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2.xml" ContentType="application/vnd.openxmlformats-officedocument.drawing+xml"/>
  <Override PartName="/xl/comments6.xml" ContentType="application/vnd.openxmlformats-officedocument.spreadsheetml.comments+xml"/>
  <Override PartName="/xl/drawings/drawing3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Gundagai\SRV &amp; LIRS\SRV - Application\"/>
    </mc:Choice>
  </mc:AlternateContent>
  <bookViews>
    <workbookView xWindow="135" yWindow="10140" windowWidth="20100" windowHeight="4500" tabRatio="559" firstSheet="4" activeTab="4"/>
  </bookViews>
  <sheets>
    <sheet name="B" sheetId="1" state="hidden" r:id="rId1"/>
    <sheet name="R" sheetId="2" state="hidden" r:id="rId2"/>
    <sheet name="Recommendations" sheetId="3" state="hidden" r:id="rId3"/>
    <sheet name="rev 9-13" sheetId="4" state="hidden" r:id="rId4"/>
    <sheet name="Gen-TID Com CashFlow &amp; BalSheet" sheetId="9" r:id="rId5"/>
    <sheet name="General" sheetId="5" r:id="rId6"/>
    <sheet name="TID" sheetId="8" r:id="rId7"/>
    <sheet name="Water" sheetId="6" r:id="rId8"/>
    <sheet name="Sewer" sheetId="7" r:id="rId9"/>
    <sheet name="Senario's" sheetId="10" state="hidden" r:id="rId10"/>
    <sheet name="Loan Cal's v SRV" sheetId="11" state="hidden" r:id="rId11"/>
    <sheet name="Rates" sheetId="12" state="hidden" r:id="rId12"/>
    <sheet name="Sheet1" sheetId="13" r:id="rId13"/>
  </sheets>
  <externalReferences>
    <externalReference r:id="rId14"/>
    <externalReference r:id="rId15"/>
  </externalReferences>
  <definedNames>
    <definedName name="_xlnm._FilterDatabase" localSheetId="0" hidden="1">B!$AJ$1:$AJ$1631</definedName>
    <definedName name="_xlnm._FilterDatabase" localSheetId="5" hidden="1">General!$A$1:$A$1145</definedName>
    <definedName name="_xlnm._FilterDatabase" localSheetId="7" hidden="1">Water!$A$2:$A$250</definedName>
    <definedName name="_xlnm.Print_Area" localSheetId="0">B!$A$1:$AZ$1483</definedName>
    <definedName name="_xlnm.Print_Area" localSheetId="5">General!$A$1:$BE$1143</definedName>
    <definedName name="_xlnm.Print_Area" localSheetId="4">'Gen-TID Com CashFlow &amp; BalSheet'!$A$1:$Z$91</definedName>
    <definedName name="_xlnm.Print_Area" localSheetId="1">'R'!$A$1:$BQ$67</definedName>
    <definedName name="_xlnm.Print_Area" localSheetId="2">Recommendations!$A$3:$F$67</definedName>
    <definedName name="_xlnm.Print_Area" localSheetId="3">'rev 9-13'!$A$1:$AM$1478</definedName>
    <definedName name="_xlnm.Print_Area" localSheetId="7">Water!$A$1:$BE$250</definedName>
    <definedName name="_xlnm.Print_Titles" localSheetId="5">General!$1:$3</definedName>
    <definedName name="_xlnm.Print_Titles" localSheetId="4">'Gen-TID Com CashFlow &amp; BalSheet'!$1:$3</definedName>
    <definedName name="_xlnm.Print_Titles" localSheetId="8">Sewer!$1:$3</definedName>
    <definedName name="_xlnm.Print_Titles" localSheetId="6">TID!$1:$3</definedName>
    <definedName name="_xlnm.Print_Titles" localSheetId="7">Water!$1:$3</definedName>
  </definedNames>
  <calcPr calcId="152511"/>
</workbook>
</file>

<file path=xl/calcChain.xml><?xml version="1.0" encoding="utf-8"?>
<calcChain xmlns="http://schemas.openxmlformats.org/spreadsheetml/2006/main">
  <c r="AI1106" i="5" l="1"/>
  <c r="AK1106" i="5" s="1"/>
  <c r="AG1108" i="5"/>
  <c r="AG1114" i="5" l="1"/>
  <c r="AG1109" i="5"/>
  <c r="AM1106" i="5"/>
  <c r="AG1139" i="5"/>
  <c r="AO1106" i="5" l="1"/>
  <c r="AQ1106" i="5" l="1"/>
  <c r="AG1142" i="5"/>
  <c r="AG1132" i="5"/>
  <c r="AG1127" i="5"/>
  <c r="AG1119" i="5"/>
  <c r="AG1121" i="5" s="1"/>
  <c r="AG231" i="8"/>
  <c r="AG223" i="8"/>
  <c r="AG236" i="8"/>
  <c r="AG238" i="8" s="1"/>
  <c r="AG246" i="8"/>
  <c r="AG214" i="8"/>
  <c r="AG213" i="8"/>
  <c r="B53" i="9" s="1"/>
  <c r="AG218" i="8" l="1"/>
  <c r="AI214" i="8"/>
  <c r="B54" i="9"/>
  <c r="AG225" i="8"/>
  <c r="AG240" i="8" s="1"/>
  <c r="AG247" i="8" s="1"/>
  <c r="AG1134" i="5"/>
  <c r="AS1106" i="5"/>
  <c r="BE46" i="9"/>
  <c r="BE47" i="9" s="1"/>
  <c r="BC46" i="9"/>
  <c r="BC47" i="9" s="1"/>
  <c r="BA46" i="9"/>
  <c r="BA47" i="9" s="1"/>
  <c r="AY46" i="9"/>
  <c r="AY47" i="9" s="1"/>
  <c r="AW46" i="9"/>
  <c r="AW47" i="9" s="1"/>
  <c r="AU46" i="9"/>
  <c r="AU47" i="9" s="1"/>
  <c r="AS46" i="9"/>
  <c r="AS47" i="9" s="1"/>
  <c r="AQ46" i="9"/>
  <c r="AQ47" i="9" s="1"/>
  <c r="AO46" i="9"/>
  <c r="AO47" i="9" s="1"/>
  <c r="AM46" i="9"/>
  <c r="AM47" i="9" s="1"/>
  <c r="AK46" i="9"/>
  <c r="AK47" i="9" s="1"/>
  <c r="BE137" i="7"/>
  <c r="BE133" i="7"/>
  <c r="BE102" i="7"/>
  <c r="BE60" i="7"/>
  <c r="BE61" i="7" s="1"/>
  <c r="BE53" i="7"/>
  <c r="BC137" i="7"/>
  <c r="BC133" i="7"/>
  <c r="BC102" i="7"/>
  <c r="BC60" i="7"/>
  <c r="BC61" i="7" s="1"/>
  <c r="BC53" i="7"/>
  <c r="BE177" i="7"/>
  <c r="BE178" i="7" s="1"/>
  <c r="BE168" i="7"/>
  <c r="BE171" i="7" s="1"/>
  <c r="BE149" i="7"/>
  <c r="BE148" i="7"/>
  <c r="BC177" i="7"/>
  <c r="BC178" i="7" s="1"/>
  <c r="BC168" i="7"/>
  <c r="BC171" i="7" s="1"/>
  <c r="BC149" i="7"/>
  <c r="BC148" i="7"/>
  <c r="BE223" i="7"/>
  <c r="BC223" i="7"/>
  <c r="BA53" i="7"/>
  <c r="AY53" i="7"/>
  <c r="AW53" i="7"/>
  <c r="AU53" i="7"/>
  <c r="AS53" i="7"/>
  <c r="AQ53" i="7"/>
  <c r="AO53" i="7"/>
  <c r="AM53" i="7"/>
  <c r="AK53" i="7"/>
  <c r="AI53" i="7"/>
  <c r="BE239" i="6"/>
  <c r="BC239" i="6"/>
  <c r="BE193" i="6"/>
  <c r="BE194" i="6" s="1"/>
  <c r="BE164" i="6"/>
  <c r="BC193" i="6"/>
  <c r="BC194" i="6" s="1"/>
  <c r="BC164" i="6"/>
  <c r="BE154" i="6"/>
  <c r="BE67" i="6"/>
  <c r="BE68" i="6" s="1"/>
  <c r="BC154" i="6"/>
  <c r="BC67" i="6"/>
  <c r="BC68" i="6" s="1"/>
  <c r="D54" i="9" l="1"/>
  <c r="AK214" i="8"/>
  <c r="AF571" i="5"/>
  <c r="D38" i="12"/>
  <c r="E38" i="12" s="1"/>
  <c r="F38" i="12" s="1"/>
  <c r="G38" i="12" s="1"/>
  <c r="H38" i="12" s="1"/>
  <c r="I38" i="12" s="1"/>
  <c r="J38" i="12" s="1"/>
  <c r="K38" i="12" s="1"/>
  <c r="L38" i="12" s="1"/>
  <c r="D35" i="12"/>
  <c r="F54" i="9" l="1"/>
  <c r="AM214" i="8"/>
  <c r="D39" i="12"/>
  <c r="E35" i="12"/>
  <c r="AM235" i="1"/>
  <c r="AO235" i="1"/>
  <c r="BA245" i="1"/>
  <c r="BP245" i="1" s="1"/>
  <c r="BP246" i="1"/>
  <c r="BP247" i="1"/>
  <c r="BP248" i="1"/>
  <c r="BP249" i="1"/>
  <c r="BP250" i="1"/>
  <c r="BP251" i="1"/>
  <c r="BP252" i="1"/>
  <c r="BP254" i="1"/>
  <c r="BP255" i="1"/>
  <c r="BP256" i="1"/>
  <c r="BP257" i="1"/>
  <c r="BP259" i="1"/>
  <c r="BP260" i="1"/>
  <c r="BP261" i="1"/>
  <c r="BP263" i="1"/>
  <c r="BP264" i="1"/>
  <c r="BP265" i="1"/>
  <c r="BP266" i="1"/>
  <c r="BP267" i="1"/>
  <c r="BP268" i="1"/>
  <c r="BP269" i="1"/>
  <c r="BP270" i="1"/>
  <c r="BP271" i="1"/>
  <c r="BP272" i="1"/>
  <c r="BP273" i="1"/>
  <c r="BP274" i="1"/>
  <c r="BP275" i="1"/>
  <c r="BP276" i="1"/>
  <c r="BP277" i="1"/>
  <c r="BP278" i="1"/>
  <c r="BP280" i="1"/>
  <c r="BP281" i="1"/>
  <c r="BP282" i="1"/>
  <c r="BP283" i="1"/>
  <c r="BP284" i="1"/>
  <c r="BP285" i="1"/>
  <c r="BP286" i="1"/>
  <c r="BP287" i="1"/>
  <c r="BP288" i="1"/>
  <c r="BP289" i="1"/>
  <c r="BP290" i="1"/>
  <c r="BP291" i="1"/>
  <c r="BP292" i="1"/>
  <c r="BP293" i="1"/>
  <c r="BP294" i="1"/>
  <c r="BP295" i="1"/>
  <c r="BP296" i="1"/>
  <c r="BP297" i="1"/>
  <c r="BP298" i="1"/>
  <c r="BP299" i="1"/>
  <c r="BP300" i="1"/>
  <c r="BP302" i="1"/>
  <c r="BP303" i="1"/>
  <c r="BP304" i="1"/>
  <c r="BP305" i="1"/>
  <c r="BP306" i="1"/>
  <c r="BP307" i="1"/>
  <c r="BP308" i="1"/>
  <c r="BP309" i="1"/>
  <c r="BP310" i="1"/>
  <c r="BP311" i="1"/>
  <c r="BP314" i="1"/>
  <c r="BP315" i="1"/>
  <c r="BP317" i="1"/>
  <c r="BP319" i="1"/>
  <c r="BP320" i="1"/>
  <c r="BP321" i="1"/>
  <c r="BP325" i="1"/>
  <c r="BP326" i="1"/>
  <c r="BP329" i="1"/>
  <c r="BP330" i="1"/>
  <c r="BP331" i="1"/>
  <c r="BP335" i="1"/>
  <c r="BP336" i="1"/>
  <c r="BP337" i="1"/>
  <c r="BP338" i="1"/>
  <c r="BP339" i="1"/>
  <c r="BP341" i="1"/>
  <c r="BP342" i="1"/>
  <c r="BP343" i="1"/>
  <c r="BP348" i="1"/>
  <c r="BP350" i="1"/>
  <c r="BP351" i="1"/>
  <c r="BP352" i="1"/>
  <c r="BP353" i="1"/>
  <c r="BP355" i="1"/>
  <c r="BP356" i="1"/>
  <c r="BP357" i="1"/>
  <c r="BP358" i="1"/>
  <c r="BP359" i="1"/>
  <c r="BP360" i="1"/>
  <c r="BP361" i="1"/>
  <c r="BP362" i="1"/>
  <c r="BP363" i="1"/>
  <c r="BP364" i="1"/>
  <c r="BP365" i="1"/>
  <c r="BP366" i="1"/>
  <c r="BP367" i="1"/>
  <c r="BP368" i="1"/>
  <c r="BP369" i="1"/>
  <c r="BP371" i="1"/>
  <c r="BP373" i="1"/>
  <c r="BP374" i="1"/>
  <c r="BP375" i="1"/>
  <c r="BP376" i="1"/>
  <c r="BP378" i="1"/>
  <c r="BP379" i="1"/>
  <c r="BP389" i="1"/>
  <c r="BP390" i="1"/>
  <c r="BP391" i="1"/>
  <c r="BP392" i="1"/>
  <c r="BP397" i="1"/>
  <c r="BP399" i="1"/>
  <c r="BP400" i="1"/>
  <c r="BP404" i="1"/>
  <c r="BP405" i="1"/>
  <c r="BP408" i="1"/>
  <c r="BP412" i="1"/>
  <c r="BP413" i="1"/>
  <c r="BP425" i="1"/>
  <c r="BP428" i="1"/>
  <c r="BP437" i="1"/>
  <c r="BP440" i="1"/>
  <c r="BP459" i="1"/>
  <c r="AQ204" i="1"/>
  <c r="AQ235" i="1" s="1"/>
  <c r="AS204" i="1"/>
  <c r="AS235" i="1" s="1"/>
  <c r="AU204" i="1"/>
  <c r="AU235" i="1" s="1"/>
  <c r="AW204" i="1"/>
  <c r="AW235" i="1" s="1"/>
  <c r="AY204" i="1"/>
  <c r="AY235" i="1" s="1"/>
  <c r="AH204" i="1"/>
  <c r="BP176" i="1"/>
  <c r="BP111" i="1"/>
  <c r="BA93" i="1"/>
  <c r="BP93" i="1" s="1"/>
  <c r="BA94" i="1"/>
  <c r="BP94" i="1" s="1"/>
  <c r="BA96" i="1"/>
  <c r="BP96" i="1" s="1"/>
  <c r="BA97" i="1"/>
  <c r="BP97" i="1" s="1"/>
  <c r="BA99" i="1"/>
  <c r="BP99" i="1" s="1"/>
  <c r="BA100" i="1"/>
  <c r="BP100" i="1" s="1"/>
  <c r="BA101" i="1"/>
  <c r="BP101" i="1" s="1"/>
  <c r="BA105" i="1"/>
  <c r="BP105" i="1" s="1"/>
  <c r="BA106" i="1"/>
  <c r="BP106" i="1" s="1"/>
  <c r="BA109" i="1"/>
  <c r="BP109" i="1" s="1"/>
  <c r="BA112" i="1"/>
  <c r="BP112" i="1" s="1"/>
  <c r="BA113" i="1"/>
  <c r="BP113" i="1" s="1"/>
  <c r="BA114" i="1"/>
  <c r="BP114" i="1" s="1"/>
  <c r="BA115" i="1"/>
  <c r="BP115" i="1" s="1"/>
  <c r="BA119" i="1"/>
  <c r="BP119" i="1" s="1"/>
  <c r="BA120" i="1"/>
  <c r="BP120" i="1" s="1"/>
  <c r="BA122" i="1"/>
  <c r="BP122" i="1" s="1"/>
  <c r="BA124" i="1"/>
  <c r="BP124" i="1" s="1"/>
  <c r="BA127" i="1"/>
  <c r="BP127" i="1" s="1"/>
  <c r="BA132" i="1"/>
  <c r="BP132" i="1" s="1"/>
  <c r="BA133" i="1"/>
  <c r="BP133" i="1" s="1"/>
  <c r="BA136" i="1"/>
  <c r="BP136" i="1" s="1"/>
  <c r="BA137" i="1"/>
  <c r="BP137" i="1" s="1"/>
  <c r="BA139" i="1"/>
  <c r="BP139" i="1" s="1"/>
  <c r="BA140" i="1"/>
  <c r="BP140" i="1" s="1"/>
  <c r="BA141" i="1"/>
  <c r="BP141" i="1" s="1"/>
  <c r="BA142" i="1"/>
  <c r="BA144" i="1"/>
  <c r="BP144" i="1" s="1"/>
  <c r="BA145" i="1"/>
  <c r="BP145" i="1" s="1"/>
  <c r="BA147" i="1"/>
  <c r="BP147" i="1" s="1"/>
  <c r="BA148" i="1"/>
  <c r="BP148" i="1" s="1"/>
  <c r="BA150" i="1"/>
  <c r="BP150" i="1" s="1"/>
  <c r="BA154" i="1"/>
  <c r="BP154" i="1" s="1"/>
  <c r="BA155" i="1"/>
  <c r="BP155" i="1" s="1"/>
  <c r="BA158" i="1"/>
  <c r="BP158" i="1" s="1"/>
  <c r="BA164" i="1"/>
  <c r="BP164" i="1" s="1"/>
  <c r="BA169" i="1"/>
  <c r="BP169" i="1" s="1"/>
  <c r="BA170" i="1"/>
  <c r="BP170" i="1" s="1"/>
  <c r="BA171" i="1"/>
  <c r="BP171" i="1" s="1"/>
  <c r="BA174" i="1"/>
  <c r="BP174" i="1" s="1"/>
  <c r="BA175" i="1"/>
  <c r="BA177" i="1"/>
  <c r="BP177" i="1" s="1"/>
  <c r="BA180" i="1"/>
  <c r="BP180" i="1" s="1"/>
  <c r="BA181" i="1"/>
  <c r="BP181" i="1" s="1"/>
  <c r="BA183" i="1"/>
  <c r="BP183" i="1" s="1"/>
  <c r="BA184" i="1"/>
  <c r="BP184" i="1" s="1"/>
  <c r="BA185" i="1"/>
  <c r="BP185" i="1" s="1"/>
  <c r="BA188" i="1"/>
  <c r="BP188" i="1" s="1"/>
  <c r="BA189" i="1"/>
  <c r="BP189" i="1" s="1"/>
  <c r="BA192" i="1"/>
  <c r="BP192" i="1" s="1"/>
  <c r="BA193" i="1"/>
  <c r="BP193" i="1" s="1"/>
  <c r="BA194" i="1"/>
  <c r="BP194" i="1" s="1"/>
  <c r="BA195" i="1"/>
  <c r="BP195" i="1" s="1"/>
  <c r="BA196" i="1"/>
  <c r="BP196" i="1" s="1"/>
  <c r="BA197" i="1"/>
  <c r="BP197" i="1" s="1"/>
  <c r="BA199" i="1"/>
  <c r="BP199" i="1" s="1"/>
  <c r="BA200" i="1"/>
  <c r="BP200" i="1" s="1"/>
  <c r="BA201" i="1"/>
  <c r="BP201" i="1" s="1"/>
  <c r="BA203" i="1"/>
  <c r="BP203" i="1" s="1"/>
  <c r="BA205" i="1"/>
  <c r="BP205" i="1" s="1"/>
  <c r="BA206" i="1"/>
  <c r="BP206" i="1" s="1"/>
  <c r="BA207" i="1"/>
  <c r="BP207" i="1" s="1"/>
  <c r="BA208" i="1"/>
  <c r="BP208" i="1" s="1"/>
  <c r="BA209" i="1"/>
  <c r="BP209" i="1" s="1"/>
  <c r="BA210" i="1"/>
  <c r="BP210" i="1" s="1"/>
  <c r="BA212" i="1"/>
  <c r="BP212" i="1" s="1"/>
  <c r="BA213" i="1"/>
  <c r="BP213" i="1" s="1"/>
  <c r="BA214" i="1"/>
  <c r="BP214" i="1" s="1"/>
  <c r="BA215" i="1"/>
  <c r="BP215" i="1" s="1"/>
  <c r="BA216" i="1"/>
  <c r="BP216" i="1" s="1"/>
  <c r="BA217" i="1"/>
  <c r="BP217" i="1" s="1"/>
  <c r="BA218" i="1"/>
  <c r="BP218" i="1" s="1"/>
  <c r="BA219" i="1"/>
  <c r="BP219" i="1" s="1"/>
  <c r="BA220" i="1"/>
  <c r="BP220" i="1" s="1"/>
  <c r="BA221" i="1"/>
  <c r="BP221" i="1" s="1"/>
  <c r="BA223" i="1"/>
  <c r="BP223" i="1" s="1"/>
  <c r="BA224" i="1"/>
  <c r="BP224" i="1" s="1"/>
  <c r="BA225" i="1"/>
  <c r="BP225" i="1" s="1"/>
  <c r="BA226" i="1"/>
  <c r="BP226" i="1" s="1"/>
  <c r="BA227" i="1"/>
  <c r="BP227" i="1" s="1"/>
  <c r="BA228" i="1"/>
  <c r="BP228" i="1" s="1"/>
  <c r="BA229" i="1"/>
  <c r="BP229" i="1" s="1"/>
  <c r="BA230" i="1"/>
  <c r="BP230" i="1" s="1"/>
  <c r="BA231" i="1"/>
  <c r="BP231" i="1" s="1"/>
  <c r="BA232" i="1"/>
  <c r="BP232" i="1" s="1"/>
  <c r="BA236" i="1"/>
  <c r="BP236" i="1" s="1"/>
  <c r="BA237" i="1"/>
  <c r="BP237" i="1" s="1"/>
  <c r="BA238" i="1"/>
  <c r="BP238" i="1" s="1"/>
  <c r="BA241" i="1"/>
  <c r="BP241" i="1" s="1"/>
  <c r="BA242" i="1"/>
  <c r="BP242" i="1" s="1"/>
  <c r="BA243" i="1"/>
  <c r="BP243" i="1" s="1"/>
  <c r="BA67" i="1"/>
  <c r="BP67" i="1" s="1"/>
  <c r="BA68" i="1"/>
  <c r="BP68" i="1" s="1"/>
  <c r="BA69" i="1"/>
  <c r="BP69" i="1" s="1"/>
  <c r="BA72" i="1"/>
  <c r="BP72" i="1" s="1"/>
  <c r="BA74" i="1"/>
  <c r="BP74" i="1" s="1"/>
  <c r="BA75" i="1"/>
  <c r="BP75" i="1" s="1"/>
  <c r="BA78" i="1"/>
  <c r="BP78" i="1" s="1"/>
  <c r="BA79" i="1"/>
  <c r="BP79" i="1" s="1"/>
  <c r="BA81" i="1"/>
  <c r="BP81" i="1" s="1"/>
  <c r="BA82" i="1"/>
  <c r="BP82" i="1" s="1"/>
  <c r="BA85" i="1"/>
  <c r="BP85" i="1" s="1"/>
  <c r="BA86" i="1"/>
  <c r="BP86" i="1" s="1"/>
  <c r="BA87" i="1"/>
  <c r="BP87" i="1" s="1"/>
  <c r="BA92" i="1"/>
  <c r="BP92" i="1" s="1"/>
  <c r="AZ220" i="5"/>
  <c r="AL220" i="5"/>
  <c r="AN220" i="5"/>
  <c r="AP220" i="5"/>
  <c r="AR220" i="5"/>
  <c r="AT220" i="5"/>
  <c r="AV220" i="5"/>
  <c r="AX220" i="5"/>
  <c r="AU1097" i="5"/>
  <c r="AI189" i="5"/>
  <c r="BD220" i="5"/>
  <c r="AV34" i="5"/>
  <c r="AX34" i="5"/>
  <c r="AZ34" i="5"/>
  <c r="AM31" i="5"/>
  <c r="AL30" i="5"/>
  <c r="AM30" i="5"/>
  <c r="AN30" i="5"/>
  <c r="AO30" i="5"/>
  <c r="AP30" i="5"/>
  <c r="AQ30" i="5"/>
  <c r="AR30" i="5"/>
  <c r="AS30" i="5"/>
  <c r="AT30" i="5"/>
  <c r="AU30" i="5"/>
  <c r="AV30" i="5"/>
  <c r="AW30" i="5"/>
  <c r="AX30" i="5"/>
  <c r="AY30" i="5"/>
  <c r="AZ30" i="5"/>
  <c r="BA30" i="5"/>
  <c r="AL31" i="5"/>
  <c r="AN31" i="5"/>
  <c r="AO31" i="5"/>
  <c r="AP31" i="5"/>
  <c r="AQ31" i="5"/>
  <c r="AR31" i="5"/>
  <c r="AS31" i="5"/>
  <c r="AT31" i="5"/>
  <c r="AU31" i="5"/>
  <c r="AV31" i="5"/>
  <c r="AW31" i="5"/>
  <c r="AX31" i="5"/>
  <c r="AY31" i="5"/>
  <c r="AZ31" i="5"/>
  <c r="BA31" i="5"/>
  <c r="AL32" i="5"/>
  <c r="AM32" i="5"/>
  <c r="AN32" i="5"/>
  <c r="AO32" i="5"/>
  <c r="AP32" i="5"/>
  <c r="AQ32" i="5"/>
  <c r="AR32" i="5"/>
  <c r="AS32" i="5"/>
  <c r="AT32" i="5"/>
  <c r="AU32" i="5"/>
  <c r="AV32" i="5"/>
  <c r="AW32" i="5"/>
  <c r="AX32" i="5"/>
  <c r="AY32" i="5"/>
  <c r="AZ32" i="5"/>
  <c r="BA32" i="5"/>
  <c r="AK32" i="5"/>
  <c r="AK31" i="5"/>
  <c r="AK30" i="5"/>
  <c r="AI35" i="5"/>
  <c r="AZ29" i="5"/>
  <c r="AX29" i="5"/>
  <c r="AV29" i="5"/>
  <c r="AT29" i="5"/>
  <c r="AR29" i="5"/>
  <c r="AP29" i="5"/>
  <c r="AN29" i="5"/>
  <c r="AL29" i="5"/>
  <c r="AL30" i="6"/>
  <c r="AM30" i="6"/>
  <c r="AN30" i="6"/>
  <c r="AO30" i="6"/>
  <c r="AP30" i="6"/>
  <c r="AQ30" i="6"/>
  <c r="AR30" i="6"/>
  <c r="AT30" i="6"/>
  <c r="AU30" i="6"/>
  <c r="AV30" i="6"/>
  <c r="AW30" i="6"/>
  <c r="AX30" i="6"/>
  <c r="AY30" i="6"/>
  <c r="AZ30" i="6"/>
  <c r="BA30" i="6"/>
  <c r="AI30" i="6"/>
  <c r="AI33" i="6" s="1"/>
  <c r="AJ30" i="6"/>
  <c r="AK30" i="6"/>
  <c r="AJ17" i="6"/>
  <c r="AJ18" i="6" s="1"/>
  <c r="AL17" i="6"/>
  <c r="AL18" i="6" s="1"/>
  <c r="AL28" i="6" s="1"/>
  <c r="AN17" i="6"/>
  <c r="AN18" i="6" s="1"/>
  <c r="AN28" i="6" s="1"/>
  <c r="AP17" i="6"/>
  <c r="AP18" i="6" s="1"/>
  <c r="AP28" i="6" s="1"/>
  <c r="AR17" i="6"/>
  <c r="AR18" i="6" s="1"/>
  <c r="AR28" i="6" s="1"/>
  <c r="AR33" i="6" s="1"/>
  <c r="AT17" i="6"/>
  <c r="AT18" i="6" s="1"/>
  <c r="AT28" i="6" s="1"/>
  <c r="AV17" i="6"/>
  <c r="AV18" i="6" s="1"/>
  <c r="AV28" i="6" s="1"/>
  <c r="AX17" i="6"/>
  <c r="AX18" i="6" s="1"/>
  <c r="AX28" i="6" s="1"/>
  <c r="AZ17" i="6"/>
  <c r="AZ18" i="6" s="1"/>
  <c r="AZ28" i="6" s="1"/>
  <c r="AL30" i="7"/>
  <c r="AM30" i="7"/>
  <c r="AN30" i="7"/>
  <c r="AO30" i="7"/>
  <c r="AP30" i="7"/>
  <c r="AQ30" i="7"/>
  <c r="AR30" i="7"/>
  <c r="AS30" i="7"/>
  <c r="AT30" i="7"/>
  <c r="AU30" i="7"/>
  <c r="AV30" i="7"/>
  <c r="AW30" i="7"/>
  <c r="AX30" i="7"/>
  <c r="AY30" i="7"/>
  <c r="AZ30" i="7"/>
  <c r="BA30" i="7"/>
  <c r="AK30" i="7"/>
  <c r="AS28" i="8"/>
  <c r="AT28" i="8"/>
  <c r="AU28" i="8"/>
  <c r="AV28" i="8"/>
  <c r="AW28" i="8"/>
  <c r="AX28" i="8"/>
  <c r="AY28" i="8"/>
  <c r="AZ28" i="8"/>
  <c r="BA28" i="8"/>
  <c r="AS29" i="8"/>
  <c r="AT29" i="8"/>
  <c r="AU29" i="8"/>
  <c r="AV29" i="8"/>
  <c r="AW29" i="8"/>
  <c r="AX29" i="8"/>
  <c r="AY29" i="8"/>
  <c r="AZ29" i="8"/>
  <c r="BA29" i="8"/>
  <c r="AS30" i="8"/>
  <c r="AT30" i="8"/>
  <c r="AU30" i="8"/>
  <c r="AV30" i="8"/>
  <c r="AW30" i="8"/>
  <c r="AX30" i="8"/>
  <c r="AY30" i="8"/>
  <c r="AZ30" i="8"/>
  <c r="BA30" i="8"/>
  <c r="AL27" i="8"/>
  <c r="AL28" i="8"/>
  <c r="AM28" i="8"/>
  <c r="AN28" i="8"/>
  <c r="AO28" i="8"/>
  <c r="AP28" i="8"/>
  <c r="AQ28" i="8"/>
  <c r="AR28" i="8"/>
  <c r="AL29" i="8"/>
  <c r="AM29" i="8"/>
  <c r="AN29" i="8"/>
  <c r="AO29" i="8"/>
  <c r="AP29" i="8"/>
  <c r="AQ29" i="8"/>
  <c r="AR29" i="8"/>
  <c r="AL30" i="8"/>
  <c r="AM30" i="8"/>
  <c r="AN30" i="8"/>
  <c r="AO30" i="8"/>
  <c r="AP30" i="8"/>
  <c r="AQ30" i="8"/>
  <c r="AR30" i="8"/>
  <c r="AK30" i="8"/>
  <c r="AK29" i="8"/>
  <c r="AK28" i="8"/>
  <c r="AJ16" i="8"/>
  <c r="AN16" i="8"/>
  <c r="AN17" i="8" s="1"/>
  <c r="AN27" i="8" s="1"/>
  <c r="AP16" i="8"/>
  <c r="AP17" i="8" s="1"/>
  <c r="AP27" i="8" s="1"/>
  <c r="AR16" i="8"/>
  <c r="AR17" i="8" s="1"/>
  <c r="AR27" i="8" s="1"/>
  <c r="AT16" i="8"/>
  <c r="AT17" i="8" s="1"/>
  <c r="AT27" i="8" s="1"/>
  <c r="AV16" i="8"/>
  <c r="AV17" i="8" s="1"/>
  <c r="AV27" i="8" s="1"/>
  <c r="AX16" i="8"/>
  <c r="AX17" i="8" s="1"/>
  <c r="AX27" i="8" s="1"/>
  <c r="AZ16" i="8"/>
  <c r="AZ17" i="8" s="1"/>
  <c r="AZ27" i="8" s="1"/>
  <c r="E130" i="8"/>
  <c r="H130" i="8"/>
  <c r="K130" i="8"/>
  <c r="N130" i="8"/>
  <c r="S130" i="8"/>
  <c r="U130" i="8"/>
  <c r="W130" i="8"/>
  <c r="Z130" i="8"/>
  <c r="AD130" i="8"/>
  <c r="AF130" i="8"/>
  <c r="AJ17" i="7"/>
  <c r="AJ18" i="7" s="1"/>
  <c r="AL17" i="7"/>
  <c r="AL18" i="7" s="1"/>
  <c r="AL28" i="7" s="1"/>
  <c r="AN17" i="7"/>
  <c r="AN18" i="7" s="1"/>
  <c r="AN28" i="7" s="1"/>
  <c r="AP17" i="7"/>
  <c r="AP18" i="7" s="1"/>
  <c r="AP28" i="7" s="1"/>
  <c r="AR17" i="7"/>
  <c r="AR18" i="7" s="1"/>
  <c r="AR28" i="7" s="1"/>
  <c r="AT17" i="7"/>
  <c r="AT18" i="7" s="1"/>
  <c r="AT28" i="7" s="1"/>
  <c r="AV17" i="7"/>
  <c r="AV18" i="7" s="1"/>
  <c r="AV28" i="7" s="1"/>
  <c r="AX17" i="7"/>
  <c r="AX18" i="7" s="1"/>
  <c r="AX28" i="7" s="1"/>
  <c r="AZ17" i="7"/>
  <c r="AZ18" i="7" s="1"/>
  <c r="AZ28" i="7" s="1"/>
  <c r="AI1107" i="5"/>
  <c r="AK1624" i="1"/>
  <c r="AL1624" i="1"/>
  <c r="AM1624" i="1"/>
  <c r="AN1624" i="1"/>
  <c r="AO1624" i="1"/>
  <c r="AP1624" i="1"/>
  <c r="AQ1624" i="1"/>
  <c r="AR1624" i="1"/>
  <c r="AS1624" i="1"/>
  <c r="AT1624" i="1"/>
  <c r="AU1624" i="1"/>
  <c r="AV1624" i="1"/>
  <c r="AW1624" i="1"/>
  <c r="AX1624" i="1"/>
  <c r="AY1624" i="1"/>
  <c r="AZ1624" i="1"/>
  <c r="AJ1624" i="1"/>
  <c r="D55" i="9" l="1"/>
  <c r="D56" i="9" s="1"/>
  <c r="AI1108" i="5"/>
  <c r="AO214" i="8"/>
  <c r="H54" i="9"/>
  <c r="E39" i="12"/>
  <c r="F35" i="12"/>
  <c r="AX33" i="6"/>
  <c r="AN33" i="6"/>
  <c r="AZ33" i="6"/>
  <c r="AV32" i="8"/>
  <c r="AP33" i="6"/>
  <c r="AT35" i="5"/>
  <c r="AV33" i="6"/>
  <c r="AX32" i="8"/>
  <c r="AL33" i="6"/>
  <c r="AZ32" i="8"/>
  <c r="AT32" i="8"/>
  <c r="AT33" i="6"/>
  <c r="AT33" i="7"/>
  <c r="AP33" i="7"/>
  <c r="AX33" i="7"/>
  <c r="AN32" i="8"/>
  <c r="AP32" i="8"/>
  <c r="AX35" i="5"/>
  <c r="AR35" i="5"/>
  <c r="AZ35" i="5"/>
  <c r="AN35" i="5"/>
  <c r="AV35" i="5"/>
  <c r="AL35" i="5"/>
  <c r="AP35" i="5"/>
  <c r="AZ33" i="7"/>
  <c r="AV33" i="7"/>
  <c r="AN33" i="7"/>
  <c r="AK1107" i="5"/>
  <c r="AK1108" i="5" s="1"/>
  <c r="AU1106" i="5"/>
  <c r="B56" i="9"/>
  <c r="B57" i="9" s="1"/>
  <c r="BE229" i="8"/>
  <c r="BC229" i="8"/>
  <c r="X73" i="9" s="1"/>
  <c r="BA229" i="8"/>
  <c r="D12" i="10"/>
  <c r="C12" i="10"/>
  <c r="B12" i="10"/>
  <c r="D11" i="10"/>
  <c r="C11" i="10"/>
  <c r="B11" i="10"/>
  <c r="AI214" i="6"/>
  <c r="AK214" i="6" s="1"/>
  <c r="AM214" i="6" s="1"/>
  <c r="AO214" i="6" s="1"/>
  <c r="AQ214" i="6" s="1"/>
  <c r="AS214" i="6" s="1"/>
  <c r="AU214" i="6" s="1"/>
  <c r="AI218" i="6"/>
  <c r="AK218" i="6" s="1"/>
  <c r="AM218" i="6" s="1"/>
  <c r="AO218" i="6" s="1"/>
  <c r="AQ218" i="6" s="1"/>
  <c r="AS218" i="6" s="1"/>
  <c r="AU218" i="6" s="1"/>
  <c r="AG216" i="6"/>
  <c r="AI198" i="7"/>
  <c r="AI202" i="7"/>
  <c r="AK202" i="7" s="1"/>
  <c r="AM202" i="7" s="1"/>
  <c r="AO202" i="7" s="1"/>
  <c r="AQ202" i="7" s="1"/>
  <c r="AS202" i="7" s="1"/>
  <c r="AU202" i="7" s="1"/>
  <c r="AG200" i="7"/>
  <c r="AI199" i="7"/>
  <c r="AK199" i="7" s="1"/>
  <c r="AM199" i="7" s="1"/>
  <c r="AO199" i="7" s="1"/>
  <c r="AQ199" i="7" s="1"/>
  <c r="D10" i="10"/>
  <c r="C10" i="10"/>
  <c r="B10" i="10"/>
  <c r="B9" i="10"/>
  <c r="D5" i="10"/>
  <c r="C5" i="10"/>
  <c r="AK1082" i="5"/>
  <c r="BC236" i="8"/>
  <c r="AY229" i="8"/>
  <c r="AW229" i="8"/>
  <c r="AU229" i="8"/>
  <c r="AS229" i="8"/>
  <c r="AQ229" i="8"/>
  <c r="AO229" i="8"/>
  <c r="AM229" i="8"/>
  <c r="AK229" i="8"/>
  <c r="AK193" i="8"/>
  <c r="AK191" i="8"/>
  <c r="B5" i="10"/>
  <c r="AI39" i="7"/>
  <c r="E39" i="7"/>
  <c r="H39" i="7"/>
  <c r="K39" i="7"/>
  <c r="N39" i="7"/>
  <c r="P39" i="7"/>
  <c r="U39" i="7" s="1"/>
  <c r="S39" i="7"/>
  <c r="W39" i="7"/>
  <c r="Z39" i="7"/>
  <c r="AD39" i="7"/>
  <c r="AF39" i="7"/>
  <c r="C61" i="11"/>
  <c r="C62" i="11"/>
  <c r="C63" i="11"/>
  <c r="C51" i="11"/>
  <c r="C52" i="11"/>
  <c r="C53" i="11"/>
  <c r="AG205" i="7" l="1"/>
  <c r="AG201" i="7"/>
  <c r="AG221" i="6"/>
  <c r="AG217" i="6"/>
  <c r="AQ214" i="8"/>
  <c r="J54" i="9"/>
  <c r="AM1107" i="5"/>
  <c r="AM1108" i="5" s="1"/>
  <c r="AG1136" i="5"/>
  <c r="AG1143" i="5" s="1"/>
  <c r="B62" i="9"/>
  <c r="G35" i="12"/>
  <c r="F39" i="12"/>
  <c r="F55" i="9"/>
  <c r="AK198" i="7"/>
  <c r="AM198" i="7" s="1"/>
  <c r="AO198" i="7" s="1"/>
  <c r="AI200" i="7"/>
  <c r="AK234" i="8"/>
  <c r="AW1106" i="5"/>
  <c r="D13" i="10"/>
  <c r="B13" i="10"/>
  <c r="C64" i="11"/>
  <c r="B18" i="10"/>
  <c r="B20" i="10"/>
  <c r="B19" i="10"/>
  <c r="B21" i="10"/>
  <c r="D6" i="10"/>
  <c r="C17" i="10" s="1"/>
  <c r="C13" i="10"/>
  <c r="AS199" i="7"/>
  <c r="AU199" i="7" s="1"/>
  <c r="AW199" i="7" s="1"/>
  <c r="AY199" i="7" s="1"/>
  <c r="BA199" i="7" s="1"/>
  <c r="BC199" i="7" s="1"/>
  <c r="BE199" i="7" s="1"/>
  <c r="Z31" i="9"/>
  <c r="Z29" i="9"/>
  <c r="Z26" i="9"/>
  <c r="Z25" i="9"/>
  <c r="Z24" i="9"/>
  <c r="Z17" i="9"/>
  <c r="X31" i="9"/>
  <c r="X29" i="9"/>
  <c r="X26" i="9"/>
  <c r="X25" i="9"/>
  <c r="X24" i="9"/>
  <c r="X17" i="9"/>
  <c r="BC1095" i="5"/>
  <c r="BE1097" i="5"/>
  <c r="BE1095" i="5"/>
  <c r="BE1084" i="5"/>
  <c r="BE1125" i="5" s="1"/>
  <c r="BE1082" i="5"/>
  <c r="BE1072" i="5"/>
  <c r="Z27" i="9" s="1"/>
  <c r="BC1097" i="5"/>
  <c r="BC1082" i="5"/>
  <c r="BC1072" i="5"/>
  <c r="BE1044" i="5"/>
  <c r="BE801" i="5"/>
  <c r="BE776" i="5"/>
  <c r="BE704" i="5"/>
  <c r="BE701" i="5" s="1"/>
  <c r="BE697" i="5"/>
  <c r="BE627" i="5"/>
  <c r="BE586" i="5"/>
  <c r="BE353" i="5"/>
  <c r="BE354" i="5" s="1"/>
  <c r="BE265" i="5"/>
  <c r="BE248" i="5"/>
  <c r="BE244" i="5"/>
  <c r="BE239" i="5"/>
  <c r="BE196" i="5"/>
  <c r="BE127" i="5"/>
  <c r="BC1044" i="5"/>
  <c r="BC801" i="5"/>
  <c r="BC776" i="5"/>
  <c r="BC704" i="5"/>
  <c r="BC701" i="5" s="1"/>
  <c r="BC697" i="5"/>
  <c r="BC627" i="5"/>
  <c r="BC586" i="5"/>
  <c r="BC353" i="5"/>
  <c r="BC354" i="5" s="1"/>
  <c r="BC265" i="5"/>
  <c r="BC248" i="5"/>
  <c r="BC244" i="5"/>
  <c r="BC239" i="5"/>
  <c r="BC196" i="5"/>
  <c r="BC127" i="5"/>
  <c r="BE193" i="8"/>
  <c r="BA193" i="8"/>
  <c r="BE231" i="8"/>
  <c r="BE206" i="8"/>
  <c r="BE204" i="8"/>
  <c r="BE191" i="8"/>
  <c r="BE187" i="8"/>
  <c r="BE165" i="8"/>
  <c r="BE154" i="8"/>
  <c r="BE150" i="8"/>
  <c r="BE126" i="8"/>
  <c r="BE114" i="8"/>
  <c r="BE89" i="8"/>
  <c r="BE63" i="8"/>
  <c r="BE64" i="8" s="1"/>
  <c r="BC206" i="8"/>
  <c r="BC204" i="8"/>
  <c r="BC193" i="8"/>
  <c r="BC191" i="8"/>
  <c r="BC187" i="8"/>
  <c r="BC165" i="8"/>
  <c r="BC154" i="8"/>
  <c r="BC150" i="8"/>
  <c r="BC126" i="8"/>
  <c r="BC114" i="8"/>
  <c r="BC89" i="8"/>
  <c r="BC63" i="8"/>
  <c r="BC64" i="8" s="1"/>
  <c r="AK194" i="8"/>
  <c r="BA1097" i="5"/>
  <c r="BA1082" i="5"/>
  <c r="BA1072" i="5"/>
  <c r="BC231" i="8"/>
  <c r="D89" i="9"/>
  <c r="AK1124" i="5"/>
  <c r="AM1124" i="5" s="1"/>
  <c r="H72" i="9" s="1"/>
  <c r="D44" i="9"/>
  <c r="D79" i="9"/>
  <c r="D74" i="9"/>
  <c r="D73" i="9"/>
  <c r="D72" i="9"/>
  <c r="D65" i="9"/>
  <c r="D61" i="9"/>
  <c r="D60" i="9"/>
  <c r="D59" i="9"/>
  <c r="BA231" i="8"/>
  <c r="AY231" i="8"/>
  <c r="AW231" i="8"/>
  <c r="AU231" i="8"/>
  <c r="AS231" i="8"/>
  <c r="AQ231" i="8"/>
  <c r="AO231" i="8"/>
  <c r="AM231" i="8"/>
  <c r="AX213" i="8"/>
  <c r="AG249" i="6"/>
  <c r="AK231" i="8"/>
  <c r="AI182" i="7"/>
  <c r="AI165" i="8"/>
  <c r="AI191" i="8"/>
  <c r="AI193" i="8"/>
  <c r="AK164" i="8"/>
  <c r="AK165" i="8"/>
  <c r="AK187" i="8"/>
  <c r="AM165" i="8"/>
  <c r="AM187" i="8"/>
  <c r="AM191" i="8"/>
  <c r="AM193" i="8"/>
  <c r="AO165" i="8"/>
  <c r="AO187" i="8"/>
  <c r="AO191" i="8"/>
  <c r="AO193" i="8"/>
  <c r="AQ165" i="8"/>
  <c r="AQ187" i="8"/>
  <c r="AQ191" i="8"/>
  <c r="AQ193" i="8"/>
  <c r="AS165" i="8"/>
  <c r="AS187" i="8"/>
  <c r="AS191" i="8"/>
  <c r="AS193" i="8"/>
  <c r="AU165" i="8"/>
  <c r="AU187" i="8"/>
  <c r="AU191" i="8"/>
  <c r="AU193" i="8"/>
  <c r="AW165" i="8"/>
  <c r="AW187" i="8"/>
  <c r="AW191" i="8"/>
  <c r="AW193" i="8"/>
  <c r="AY165" i="8"/>
  <c r="AY187" i="8"/>
  <c r="AY191" i="8"/>
  <c r="AY193" i="8"/>
  <c r="BA165" i="8"/>
  <c r="BA187" i="8"/>
  <c r="BA191" i="8"/>
  <c r="B40" i="9"/>
  <c r="B33" i="9"/>
  <c r="B20" i="9"/>
  <c r="B90" i="9"/>
  <c r="B80" i="9"/>
  <c r="B75" i="9"/>
  <c r="B67" i="9"/>
  <c r="AG199" i="8"/>
  <c r="AI198" i="8"/>
  <c r="H55" i="9" l="1"/>
  <c r="AS214" i="8"/>
  <c r="L54" i="9"/>
  <c r="AO1107" i="5"/>
  <c r="AO1108" i="5" s="1"/>
  <c r="AY194" i="8"/>
  <c r="AQ198" i="7"/>
  <c r="AS198" i="7" s="1"/>
  <c r="AU198" i="7" s="1"/>
  <c r="AW198" i="7" s="1"/>
  <c r="AM200" i="7"/>
  <c r="AW194" i="8"/>
  <c r="AU194" i="8"/>
  <c r="AS194" i="8"/>
  <c r="H35" i="12"/>
  <c r="G39" i="12"/>
  <c r="AK200" i="7"/>
  <c r="BA194" i="8"/>
  <c r="AQ194" i="8"/>
  <c r="AO194" i="8"/>
  <c r="AM194" i="8"/>
  <c r="BC194" i="8"/>
  <c r="AY1106" i="5"/>
  <c r="D14" i="10"/>
  <c r="X37" i="9"/>
  <c r="Z37" i="9"/>
  <c r="BE194" i="8"/>
  <c r="C21" i="10"/>
  <c r="C22" i="10" s="1"/>
  <c r="AM234" i="8"/>
  <c r="AO234" i="8" s="1"/>
  <c r="AQ234" i="8" s="1"/>
  <c r="AS234" i="8" s="1"/>
  <c r="X27" i="9"/>
  <c r="BE1085" i="5"/>
  <c r="BC713" i="5"/>
  <c r="BE713" i="5"/>
  <c r="Z39" i="9"/>
  <c r="F72" i="9"/>
  <c r="BE236" i="8"/>
  <c r="BE238" i="8" s="1"/>
  <c r="BC238" i="8"/>
  <c r="AK236" i="8"/>
  <c r="F89" i="9"/>
  <c r="B82" i="9"/>
  <c r="B69" i="9"/>
  <c r="B42" i="9"/>
  <c r="AI236" i="8"/>
  <c r="AI231" i="8"/>
  <c r="AI1089" i="5"/>
  <c r="BA1106" i="5" l="1"/>
  <c r="AU214" i="8"/>
  <c r="N54" i="9"/>
  <c r="AI238" i="8"/>
  <c r="AQ1107" i="5"/>
  <c r="AQ1108" i="5" s="1"/>
  <c r="J55" i="9"/>
  <c r="AO236" i="8"/>
  <c r="AO238" i="8" s="1"/>
  <c r="H39" i="12"/>
  <c r="I35" i="12"/>
  <c r="Z40" i="9"/>
  <c r="AM236" i="8"/>
  <c r="AM238" i="8" s="1"/>
  <c r="B84" i="9"/>
  <c r="B91" i="9" s="1"/>
  <c r="AQ236" i="8"/>
  <c r="AQ238" i="8" s="1"/>
  <c r="AU234" i="8"/>
  <c r="AK238" i="8"/>
  <c r="AS236" i="8"/>
  <c r="AS238" i="8" s="1"/>
  <c r="BA206" i="8"/>
  <c r="AY206" i="8"/>
  <c r="AW206" i="8"/>
  <c r="AU206" i="8"/>
  <c r="AS206" i="8"/>
  <c r="AQ206" i="8"/>
  <c r="AO206" i="8"/>
  <c r="AM206" i="8"/>
  <c r="AK206" i="8"/>
  <c r="AI206" i="8"/>
  <c r="AZ204" i="8"/>
  <c r="AX204" i="8"/>
  <c r="AV204" i="8"/>
  <c r="AT204" i="8"/>
  <c r="AR204" i="8"/>
  <c r="AP204" i="8"/>
  <c r="AN204" i="8"/>
  <c r="AL204" i="8"/>
  <c r="F17" i="9"/>
  <c r="H17" i="9"/>
  <c r="J17" i="9"/>
  <c r="L17" i="9"/>
  <c r="N17" i="9"/>
  <c r="P17" i="9"/>
  <c r="R17" i="9"/>
  <c r="T17" i="9"/>
  <c r="V17" i="9"/>
  <c r="F24" i="9"/>
  <c r="H24" i="9"/>
  <c r="J24" i="9"/>
  <c r="L24" i="9"/>
  <c r="N24" i="9"/>
  <c r="P24" i="9"/>
  <c r="R24" i="9"/>
  <c r="T24" i="9"/>
  <c r="V24" i="9"/>
  <c r="F25" i="9"/>
  <c r="H25" i="9"/>
  <c r="J25" i="9"/>
  <c r="L25" i="9"/>
  <c r="N25" i="9"/>
  <c r="P25" i="9"/>
  <c r="R25" i="9"/>
  <c r="T25" i="9"/>
  <c r="V25" i="9"/>
  <c r="F26" i="9"/>
  <c r="H26" i="9"/>
  <c r="J26" i="9"/>
  <c r="L26" i="9"/>
  <c r="N26" i="9"/>
  <c r="P26" i="9"/>
  <c r="R26" i="9"/>
  <c r="T26" i="9"/>
  <c r="V26" i="9"/>
  <c r="F29" i="9"/>
  <c r="H29" i="9"/>
  <c r="J29" i="9"/>
  <c r="L29" i="9"/>
  <c r="N29" i="9"/>
  <c r="P29" i="9"/>
  <c r="R29" i="9"/>
  <c r="T29" i="9"/>
  <c r="V29" i="9"/>
  <c r="F31" i="9"/>
  <c r="H31" i="9"/>
  <c r="J31" i="9"/>
  <c r="L31" i="9"/>
  <c r="N31" i="9"/>
  <c r="P31" i="9"/>
  <c r="R31" i="9"/>
  <c r="T31" i="9"/>
  <c r="V31" i="9"/>
  <c r="D31" i="9"/>
  <c r="D29" i="9"/>
  <c r="D26" i="9"/>
  <c r="D25" i="9"/>
  <c r="D24" i="9"/>
  <c r="D17" i="9"/>
  <c r="H5" i="12"/>
  <c r="M5" i="12"/>
  <c r="M8" i="12" s="1"/>
  <c r="AA5" i="12"/>
  <c r="AA8" i="12" s="1"/>
  <c r="N8" i="12"/>
  <c r="H8" i="12"/>
  <c r="D5" i="12"/>
  <c r="D8" i="12" s="1"/>
  <c r="O24" i="12"/>
  <c r="O25" i="12" s="1"/>
  <c r="N12" i="12"/>
  <c r="N13" i="12"/>
  <c r="N14" i="12"/>
  <c r="N11" i="12"/>
  <c r="L12" i="12"/>
  <c r="L13" i="12"/>
  <c r="L14" i="12"/>
  <c r="L11" i="12"/>
  <c r="K12" i="12"/>
  <c r="K13" i="12"/>
  <c r="K14" i="12"/>
  <c r="K11" i="12"/>
  <c r="J12" i="12"/>
  <c r="J13" i="12"/>
  <c r="J14" i="12"/>
  <c r="J11" i="12"/>
  <c r="H12" i="12"/>
  <c r="M12" i="12" s="1"/>
  <c r="H13" i="12"/>
  <c r="M13" i="12" s="1"/>
  <c r="H14" i="12"/>
  <c r="M14" i="12" s="1"/>
  <c r="H11" i="12"/>
  <c r="M11" i="12" s="1"/>
  <c r="AC3" i="12"/>
  <c r="AD3" i="12" s="1"/>
  <c r="AC4" i="12"/>
  <c r="AE4" i="12" s="1"/>
  <c r="AF4" i="12" s="1"/>
  <c r="AG4" i="12" s="1"/>
  <c r="AH4" i="12" s="1"/>
  <c r="AC7" i="12"/>
  <c r="AD7" i="12" s="1"/>
  <c r="AC2" i="12"/>
  <c r="AD2" i="12" s="1"/>
  <c r="V3" i="12"/>
  <c r="V4" i="12"/>
  <c r="V7" i="12"/>
  <c r="V2" i="12"/>
  <c r="O3" i="12"/>
  <c r="Q13" i="12" s="1"/>
  <c r="R13" i="12" s="1"/>
  <c r="O4" i="12"/>
  <c r="Q4" i="12" s="1"/>
  <c r="W4" i="12" s="1"/>
  <c r="O7" i="12"/>
  <c r="P7" i="12" s="1"/>
  <c r="O2" i="12"/>
  <c r="Q2" i="12" s="1"/>
  <c r="W2" i="12" s="1"/>
  <c r="X2" i="12" s="1"/>
  <c r="K3" i="12"/>
  <c r="Y3" i="12" s="1"/>
  <c r="K4" i="12"/>
  <c r="Y4" i="12" s="1"/>
  <c r="K7" i="12"/>
  <c r="L7" i="12" s="1"/>
  <c r="K2" i="12"/>
  <c r="Y2" i="12" s="1"/>
  <c r="F2" i="12"/>
  <c r="G2" i="12" s="1"/>
  <c r="F3" i="12"/>
  <c r="G3" i="12" s="1"/>
  <c r="F4" i="12"/>
  <c r="G4" i="12" s="1"/>
  <c r="F7" i="12"/>
  <c r="AW214" i="8" l="1"/>
  <c r="P54" i="9"/>
  <c r="L55" i="9"/>
  <c r="AS1107" i="5"/>
  <c r="AS1108" i="5" s="1"/>
  <c r="AE3" i="12"/>
  <c r="AF3" i="12" s="1"/>
  <c r="AG3" i="12" s="1"/>
  <c r="AH3" i="12" s="1"/>
  <c r="F5" i="12"/>
  <c r="F8" i="12" s="1"/>
  <c r="I39" i="12"/>
  <c r="J35" i="12"/>
  <c r="BC1106" i="5"/>
  <c r="X4" i="12"/>
  <c r="Z4" i="12"/>
  <c r="L4" i="12"/>
  <c r="P4" i="12"/>
  <c r="Q3" i="12"/>
  <c r="W3" i="12" s="1"/>
  <c r="Y7" i="12"/>
  <c r="AD4" i="12"/>
  <c r="AE2" i="12"/>
  <c r="AF2" i="12" s="1"/>
  <c r="AG2" i="12" s="1"/>
  <c r="AH2" i="12" s="1"/>
  <c r="Q12" i="12"/>
  <c r="R12" i="12" s="1"/>
  <c r="L3" i="12"/>
  <c r="P3" i="12"/>
  <c r="AC5" i="12"/>
  <c r="AC8" i="12" s="1"/>
  <c r="AD8" i="12" s="1"/>
  <c r="K5" i="12"/>
  <c r="K8" i="12" s="1"/>
  <c r="O18" i="12" s="1"/>
  <c r="O19" i="12" s="1"/>
  <c r="AE7" i="12"/>
  <c r="AF7" i="12" s="1"/>
  <c r="L2" i="12"/>
  <c r="P2" i="12"/>
  <c r="Q7" i="12"/>
  <c r="W7" i="12" s="1"/>
  <c r="Q14" i="12"/>
  <c r="R14" i="12" s="1"/>
  <c r="O5" i="12"/>
  <c r="AW234" i="8"/>
  <c r="AU236" i="8"/>
  <c r="AU238" i="8" s="1"/>
  <c r="Z2" i="12"/>
  <c r="G7" i="12"/>
  <c r="D37" i="11"/>
  <c r="D38" i="11"/>
  <c r="C39" i="11"/>
  <c r="D36" i="11"/>
  <c r="D51" i="11" s="1"/>
  <c r="B7" i="11"/>
  <c r="D6" i="11"/>
  <c r="D7" i="11" s="1"/>
  <c r="D8" i="11" s="1"/>
  <c r="D9" i="11" s="1"/>
  <c r="D10" i="11" s="1"/>
  <c r="D11" i="11" s="1"/>
  <c r="D12" i="11" s="1"/>
  <c r="D13" i="11" s="1"/>
  <c r="D14" i="11" s="1"/>
  <c r="D15" i="11" s="1"/>
  <c r="D16" i="11" s="1"/>
  <c r="D17" i="11" s="1"/>
  <c r="D18" i="11" s="1"/>
  <c r="D19" i="11" s="1"/>
  <c r="D20" i="11" s="1"/>
  <c r="D21" i="11" s="1"/>
  <c r="D22" i="11" s="1"/>
  <c r="D23" i="11" s="1"/>
  <c r="D24" i="11" s="1"/>
  <c r="E5" i="11"/>
  <c r="AY214" i="8" l="1"/>
  <c r="R54" i="9"/>
  <c r="N55" i="9"/>
  <c r="AU1107" i="5"/>
  <c r="AU1108" i="5" s="1"/>
  <c r="AC9" i="12"/>
  <c r="K35" i="12"/>
  <c r="J39" i="12"/>
  <c r="BE1106" i="5"/>
  <c r="O8" i="12"/>
  <c r="O9" i="12" s="1"/>
  <c r="O26" i="12" s="1"/>
  <c r="Q15" i="12"/>
  <c r="Z7" i="12"/>
  <c r="X7" i="12"/>
  <c r="X3" i="12"/>
  <c r="X5" i="12" s="1"/>
  <c r="Z3" i="12"/>
  <c r="AY234" i="8"/>
  <c r="G5" i="11"/>
  <c r="O5" i="11" s="1"/>
  <c r="W5" i="11" s="1"/>
  <c r="D44" i="11"/>
  <c r="M5" i="11"/>
  <c r="U5" i="11" s="1"/>
  <c r="F5" i="11"/>
  <c r="AW236" i="8"/>
  <c r="AW238" i="8" s="1"/>
  <c r="E38" i="11"/>
  <c r="D53" i="11"/>
  <c r="D58" i="11" s="1"/>
  <c r="D63" i="11" s="1"/>
  <c r="E37" i="11"/>
  <c r="D52" i="11"/>
  <c r="D57" i="11" s="1"/>
  <c r="D62" i="11" s="1"/>
  <c r="E36" i="11"/>
  <c r="E51" i="11" s="1"/>
  <c r="E56" i="11" s="1"/>
  <c r="E61" i="11" s="1"/>
  <c r="D56" i="11"/>
  <c r="D61" i="11" s="1"/>
  <c r="G23" i="11"/>
  <c r="D39" i="11"/>
  <c r="F44" i="11"/>
  <c r="L44" i="11"/>
  <c r="E44" i="11"/>
  <c r="M44" i="11"/>
  <c r="I44" i="11"/>
  <c r="G44" i="11"/>
  <c r="J44" i="11"/>
  <c r="H44" i="11"/>
  <c r="K44" i="11"/>
  <c r="N44" i="11"/>
  <c r="G16" i="11"/>
  <c r="G21" i="11"/>
  <c r="G8" i="11"/>
  <c r="G24" i="11"/>
  <c r="G6" i="11"/>
  <c r="G13" i="11"/>
  <c r="G11" i="11"/>
  <c r="G14" i="11"/>
  <c r="G19" i="11"/>
  <c r="G22" i="11"/>
  <c r="G9" i="11"/>
  <c r="G12" i="11"/>
  <c r="G17" i="11"/>
  <c r="G20" i="11"/>
  <c r="G7" i="11"/>
  <c r="G10" i="11"/>
  <c r="G15" i="11"/>
  <c r="G18" i="11"/>
  <c r="V27" i="9"/>
  <c r="AI1084" i="5"/>
  <c r="AY1082" i="5"/>
  <c r="AY1072" i="5"/>
  <c r="T27" i="9" s="1"/>
  <c r="AW1082" i="5"/>
  <c r="AW1072" i="5"/>
  <c r="R27" i="9" s="1"/>
  <c r="AU1082" i="5"/>
  <c r="AU1072" i="5"/>
  <c r="P27" i="9" s="1"/>
  <c r="AS1082" i="5"/>
  <c r="AS1072" i="5"/>
  <c r="N27" i="9" s="1"/>
  <c r="AQ1082" i="5"/>
  <c r="AQ1072" i="5"/>
  <c r="L27" i="9" s="1"/>
  <c r="AO1082" i="5"/>
  <c r="AO1072" i="5"/>
  <c r="J27" i="9" s="1"/>
  <c r="AM1082" i="5"/>
  <c r="AM1072" i="5"/>
  <c r="H27" i="9" s="1"/>
  <c r="AK1072" i="5"/>
  <c r="F27" i="9" s="1"/>
  <c r="AK1055" i="5"/>
  <c r="AY1097" i="5"/>
  <c r="AW1097" i="5"/>
  <c r="AS1097" i="5"/>
  <c r="AQ1097" i="5"/>
  <c r="AO1097" i="5"/>
  <c r="AM1097" i="5"/>
  <c r="AK1097" i="5"/>
  <c r="AI1097" i="5"/>
  <c r="BA214" i="8" l="1"/>
  <c r="T54" i="9"/>
  <c r="AW1107" i="5"/>
  <c r="AW1108" i="5" s="1"/>
  <c r="P55" i="9"/>
  <c r="L35" i="12"/>
  <c r="L39" i="12" s="1"/>
  <c r="K39" i="12"/>
  <c r="H5" i="11"/>
  <c r="P5" i="11" s="1"/>
  <c r="X5" i="11" s="1"/>
  <c r="X8" i="12"/>
  <c r="BA234" i="8"/>
  <c r="BA236" i="8" s="1"/>
  <c r="BA238" i="8" s="1"/>
  <c r="O10" i="11"/>
  <c r="W10" i="11" s="1"/>
  <c r="O12" i="11"/>
  <c r="W12" i="11" s="1"/>
  <c r="O14" i="11"/>
  <c r="W14" i="11" s="1"/>
  <c r="O24" i="11"/>
  <c r="W24" i="11" s="1"/>
  <c r="O11" i="11"/>
  <c r="W11" i="11" s="1"/>
  <c r="O21" i="11"/>
  <c r="W21" i="11" s="1"/>
  <c r="O7" i="11"/>
  <c r="W7" i="11" s="1"/>
  <c r="O9" i="11"/>
  <c r="W9" i="11" s="1"/>
  <c r="O8" i="11"/>
  <c r="W8" i="11" s="1"/>
  <c r="O18" i="11"/>
  <c r="W18" i="11" s="1"/>
  <c r="O20" i="11"/>
  <c r="W20" i="11" s="1"/>
  <c r="O22" i="11"/>
  <c r="W22" i="11" s="1"/>
  <c r="O13" i="11"/>
  <c r="W13" i="11" s="1"/>
  <c r="O15" i="11"/>
  <c r="W15" i="11" s="1"/>
  <c r="O17" i="11"/>
  <c r="W17" i="11" s="1"/>
  <c r="O19" i="11"/>
  <c r="W19" i="11" s="1"/>
  <c r="O6" i="11"/>
  <c r="W6" i="11" s="1"/>
  <c r="O16" i="11"/>
  <c r="W16" i="11" s="1"/>
  <c r="O23" i="11"/>
  <c r="W23" i="11" s="1"/>
  <c r="N5" i="11"/>
  <c r="V5" i="11" s="1"/>
  <c r="E6" i="11"/>
  <c r="AY236" i="8"/>
  <c r="AY238" i="8" s="1"/>
  <c r="E39" i="11"/>
  <c r="O44" i="11"/>
  <c r="F37" i="11"/>
  <c r="E52" i="11"/>
  <c r="E57" i="11" s="1"/>
  <c r="E62" i="11" s="1"/>
  <c r="D64" i="11"/>
  <c r="F38" i="11"/>
  <c r="E53" i="11"/>
  <c r="E58" i="11" s="1"/>
  <c r="E63" i="11" s="1"/>
  <c r="F36" i="11"/>
  <c r="F51" i="11" s="1"/>
  <c r="F56" i="11" s="1"/>
  <c r="F61" i="11" s="1"/>
  <c r="G26" i="11"/>
  <c r="AI1059" i="5"/>
  <c r="D14" i="9" s="1"/>
  <c r="AI1072" i="5"/>
  <c r="D27" i="9" s="1"/>
  <c r="AK1117" i="5"/>
  <c r="F65" i="9" s="1"/>
  <c r="AI1140" i="5"/>
  <c r="AK1131" i="5"/>
  <c r="F79" i="9" s="1"/>
  <c r="AK1126" i="5"/>
  <c r="F74" i="9" s="1"/>
  <c r="F56" i="9"/>
  <c r="AI1082" i="5"/>
  <c r="AK1113" i="5"/>
  <c r="F61" i="9" s="1"/>
  <c r="AK1112" i="5"/>
  <c r="F60" i="9" s="1"/>
  <c r="AK1111" i="5"/>
  <c r="F59" i="9" s="1"/>
  <c r="BC214" i="8" l="1"/>
  <c r="V54" i="9"/>
  <c r="R55" i="9"/>
  <c r="AY1107" i="5"/>
  <c r="M39" i="12"/>
  <c r="AI1130" i="5"/>
  <c r="D78" i="9" s="1"/>
  <c r="F6" i="11"/>
  <c r="I6" i="11" s="1"/>
  <c r="M6" i="11"/>
  <c r="U6" i="11" s="1"/>
  <c r="P44" i="11"/>
  <c r="AK1140" i="5"/>
  <c r="D88" i="9"/>
  <c r="AM1113" i="5"/>
  <c r="AM1112" i="5"/>
  <c r="AM1111" i="5"/>
  <c r="AM1126" i="5"/>
  <c r="AM1131" i="5"/>
  <c r="H89" i="9"/>
  <c r="E64" i="11"/>
  <c r="G38" i="11"/>
  <c r="F53" i="11"/>
  <c r="F58" i="11" s="1"/>
  <c r="F63" i="11" s="1"/>
  <c r="G37" i="11"/>
  <c r="F52" i="11"/>
  <c r="F57" i="11" s="1"/>
  <c r="F62" i="11" s="1"/>
  <c r="G36" i="11"/>
  <c r="G51" i="11" s="1"/>
  <c r="G56" i="11" s="1"/>
  <c r="G61" i="11" s="1"/>
  <c r="F39" i="11"/>
  <c r="AI1127" i="5"/>
  <c r="AO1124" i="5"/>
  <c r="J72" i="9" s="1"/>
  <c r="AM1117" i="5"/>
  <c r="AI1085" i="5"/>
  <c r="H56" i="9"/>
  <c r="E44" i="5"/>
  <c r="H44" i="5"/>
  <c r="K44" i="5"/>
  <c r="N44" i="5"/>
  <c r="S44" i="5"/>
  <c r="U44" i="5"/>
  <c r="W44" i="5"/>
  <c r="Z44" i="5"/>
  <c r="AD44" i="5"/>
  <c r="AF44" i="5"/>
  <c r="E45" i="5"/>
  <c r="H45" i="5"/>
  <c r="K45" i="5"/>
  <c r="N45" i="5"/>
  <c r="S45" i="5"/>
  <c r="U45" i="5"/>
  <c r="W45" i="5"/>
  <c r="Z45" i="5"/>
  <c r="AD45" i="5"/>
  <c r="AF45" i="5"/>
  <c r="S40" i="5"/>
  <c r="U40" i="5"/>
  <c r="W40" i="5"/>
  <c r="Z40" i="5"/>
  <c r="AD40" i="5"/>
  <c r="AF40" i="5"/>
  <c r="E57" i="5"/>
  <c r="H57" i="5"/>
  <c r="K57" i="5"/>
  <c r="N57" i="5"/>
  <c r="S57" i="5"/>
  <c r="U57" i="5"/>
  <c r="W57" i="5"/>
  <c r="Z57" i="5"/>
  <c r="AD57" i="5"/>
  <c r="AF57" i="5"/>
  <c r="S58" i="5"/>
  <c r="U58" i="5"/>
  <c r="W58" i="5"/>
  <c r="Z58" i="5"/>
  <c r="AD58" i="5"/>
  <c r="AF58" i="5"/>
  <c r="E55" i="5"/>
  <c r="H55" i="5"/>
  <c r="K55" i="5"/>
  <c r="N55" i="5"/>
  <c r="S55" i="5"/>
  <c r="U55" i="5"/>
  <c r="W55" i="5"/>
  <c r="Z55" i="5"/>
  <c r="AD55" i="5"/>
  <c r="AF55" i="5"/>
  <c r="E68" i="5"/>
  <c r="H68" i="5"/>
  <c r="K68" i="5"/>
  <c r="N68" i="5"/>
  <c r="S68" i="5"/>
  <c r="U68" i="5"/>
  <c r="W68" i="5"/>
  <c r="Z68" i="5"/>
  <c r="AD68" i="5"/>
  <c r="AF68" i="5"/>
  <c r="E69" i="5"/>
  <c r="H69" i="5"/>
  <c r="K69" i="5"/>
  <c r="N69" i="5"/>
  <c r="S69" i="5"/>
  <c r="U69" i="5"/>
  <c r="W69" i="5"/>
  <c r="Z69" i="5"/>
  <c r="AD69" i="5"/>
  <c r="AF69" i="5"/>
  <c r="E64" i="5"/>
  <c r="H64" i="5"/>
  <c r="K64" i="5"/>
  <c r="N64" i="5"/>
  <c r="W64" i="5"/>
  <c r="AD64" i="5"/>
  <c r="AF64" i="5"/>
  <c r="E65" i="5"/>
  <c r="H65" i="5"/>
  <c r="K65" i="5"/>
  <c r="N65" i="5"/>
  <c r="S65" i="5"/>
  <c r="U65" i="5"/>
  <c r="W65" i="5"/>
  <c r="Z65" i="5"/>
  <c r="AD65" i="5"/>
  <c r="AF65" i="5"/>
  <c r="E83" i="5"/>
  <c r="H83" i="5"/>
  <c r="K83" i="5"/>
  <c r="N83" i="5"/>
  <c r="S83" i="5"/>
  <c r="U83" i="5"/>
  <c r="W83" i="5"/>
  <c r="Z83" i="5"/>
  <c r="AD83" i="5"/>
  <c r="AF83" i="5"/>
  <c r="E79" i="5"/>
  <c r="H79" i="5"/>
  <c r="K79" i="5"/>
  <c r="N79" i="5"/>
  <c r="S79" i="5"/>
  <c r="U79" i="5"/>
  <c r="W79" i="5"/>
  <c r="Z79" i="5"/>
  <c r="AD79" i="5"/>
  <c r="AF79" i="5"/>
  <c r="U80" i="5"/>
  <c r="W80" i="5"/>
  <c r="Z80" i="5"/>
  <c r="AD80" i="5"/>
  <c r="AF80" i="5"/>
  <c r="E208" i="5"/>
  <c r="H208" i="5"/>
  <c r="K208" i="5"/>
  <c r="N208" i="5"/>
  <c r="S208" i="5"/>
  <c r="U208" i="5"/>
  <c r="W208" i="5"/>
  <c r="Z208" i="5"/>
  <c r="AD208" i="5"/>
  <c r="AF208" i="5"/>
  <c r="E209" i="5"/>
  <c r="H209" i="5"/>
  <c r="K209" i="5"/>
  <c r="N209" i="5"/>
  <c r="S209" i="5"/>
  <c r="U209" i="5"/>
  <c r="W209" i="5"/>
  <c r="Z209" i="5"/>
  <c r="AD209" i="5"/>
  <c r="AF209" i="5"/>
  <c r="E210" i="5"/>
  <c r="H210" i="5"/>
  <c r="K210" i="5"/>
  <c r="N210" i="5"/>
  <c r="S210" i="5"/>
  <c r="U210" i="5"/>
  <c r="W210" i="5"/>
  <c r="Z210" i="5"/>
  <c r="AD210" i="5"/>
  <c r="AF210" i="5"/>
  <c r="E211" i="5"/>
  <c r="H211" i="5"/>
  <c r="K211" i="5"/>
  <c r="N211" i="5"/>
  <c r="S211" i="5"/>
  <c r="U211" i="5"/>
  <c r="W211" i="5"/>
  <c r="Z211" i="5"/>
  <c r="AD211" i="5"/>
  <c r="AF211" i="5"/>
  <c r="E212" i="5"/>
  <c r="H212" i="5"/>
  <c r="K212" i="5"/>
  <c r="N212" i="5"/>
  <c r="S212" i="5"/>
  <c r="U212" i="5"/>
  <c r="W212" i="5"/>
  <c r="Z212" i="5"/>
  <c r="AD212" i="5"/>
  <c r="AF212" i="5"/>
  <c r="E204" i="5"/>
  <c r="H204" i="5"/>
  <c r="K204" i="5"/>
  <c r="N204" i="5"/>
  <c r="S204" i="5"/>
  <c r="U204" i="5"/>
  <c r="W204" i="5"/>
  <c r="Z204" i="5"/>
  <c r="AD204" i="5"/>
  <c r="AF204" i="5"/>
  <c r="E205" i="5"/>
  <c r="H205" i="5"/>
  <c r="K205" i="5"/>
  <c r="N205" i="5"/>
  <c r="S205" i="5"/>
  <c r="U205" i="5"/>
  <c r="W205" i="5"/>
  <c r="Z205" i="5"/>
  <c r="AD205" i="5"/>
  <c r="AF205" i="5"/>
  <c r="E206" i="5"/>
  <c r="H206" i="5"/>
  <c r="K206" i="5"/>
  <c r="N206" i="5"/>
  <c r="S206" i="5"/>
  <c r="U206" i="5"/>
  <c r="W206" i="5"/>
  <c r="Z206" i="5"/>
  <c r="AD206" i="5"/>
  <c r="AF206" i="5"/>
  <c r="S198" i="5"/>
  <c r="U198" i="5"/>
  <c r="W198" i="5"/>
  <c r="Z198" i="5"/>
  <c r="E199" i="5"/>
  <c r="H199" i="5"/>
  <c r="K199" i="5"/>
  <c r="N199" i="5"/>
  <c r="S199" i="5"/>
  <c r="U199" i="5"/>
  <c r="W199" i="5"/>
  <c r="Z199" i="5"/>
  <c r="AD200" i="5"/>
  <c r="AF200" i="5"/>
  <c r="E201" i="5"/>
  <c r="H201" i="5"/>
  <c r="K201" i="5"/>
  <c r="N201" i="5"/>
  <c r="S201" i="5"/>
  <c r="U201" i="5"/>
  <c r="W201" i="5"/>
  <c r="Z201" i="5"/>
  <c r="AD201" i="5"/>
  <c r="AF201" i="5"/>
  <c r="E202" i="5"/>
  <c r="H202" i="5"/>
  <c r="K202" i="5"/>
  <c r="N202" i="5"/>
  <c r="S202" i="5"/>
  <c r="U202" i="5"/>
  <c r="W202" i="5"/>
  <c r="Z202" i="5"/>
  <c r="AD202" i="5"/>
  <c r="AF202" i="5"/>
  <c r="E214" i="5"/>
  <c r="H214" i="5"/>
  <c r="K214" i="5"/>
  <c r="N214" i="5"/>
  <c r="S214" i="5"/>
  <c r="U214" i="5"/>
  <c r="W214" i="5"/>
  <c r="Z214" i="5"/>
  <c r="AD214" i="5"/>
  <c r="AF214" i="5"/>
  <c r="S215" i="5"/>
  <c r="U215" i="5"/>
  <c r="W215" i="5"/>
  <c r="Z215" i="5"/>
  <c r="AD215" i="5"/>
  <c r="AF215" i="5"/>
  <c r="E216" i="5"/>
  <c r="H216" i="5"/>
  <c r="K216" i="5"/>
  <c r="N216" i="5"/>
  <c r="S216" i="5"/>
  <c r="U216" i="5"/>
  <c r="W216" i="5"/>
  <c r="Z216" i="5"/>
  <c r="AD216" i="5"/>
  <c r="AF216" i="5"/>
  <c r="E217" i="5"/>
  <c r="H217" i="5"/>
  <c r="K217" i="5"/>
  <c r="N217" i="5"/>
  <c r="S217" i="5"/>
  <c r="U217" i="5"/>
  <c r="W217" i="5"/>
  <c r="Z217" i="5"/>
  <c r="AD217" i="5"/>
  <c r="AF217" i="5"/>
  <c r="E268" i="5"/>
  <c r="H268" i="5"/>
  <c r="K268" i="5"/>
  <c r="N268" i="5"/>
  <c r="E269" i="5"/>
  <c r="H269" i="5"/>
  <c r="K269" i="5"/>
  <c r="N269" i="5"/>
  <c r="AD269" i="5"/>
  <c r="AF269" i="5"/>
  <c r="AD270" i="5"/>
  <c r="AF270" i="5"/>
  <c r="E271" i="5"/>
  <c r="H271" i="5"/>
  <c r="K271" i="5"/>
  <c r="N271" i="5"/>
  <c r="S271" i="5"/>
  <c r="U271" i="5"/>
  <c r="W271" i="5"/>
  <c r="Z271" i="5"/>
  <c r="AD271" i="5"/>
  <c r="AF271" i="5"/>
  <c r="E272" i="5"/>
  <c r="H272" i="5"/>
  <c r="K272" i="5"/>
  <c r="N272" i="5"/>
  <c r="S272" i="5"/>
  <c r="U272" i="5"/>
  <c r="W272" i="5"/>
  <c r="Z272" i="5"/>
  <c r="AD272" i="5"/>
  <c r="AF272" i="5"/>
  <c r="E273" i="5"/>
  <c r="H273" i="5"/>
  <c r="K273" i="5"/>
  <c r="N273" i="5"/>
  <c r="S273" i="5"/>
  <c r="U273" i="5"/>
  <c r="W273" i="5"/>
  <c r="Z273" i="5"/>
  <c r="AD273" i="5"/>
  <c r="AF273" i="5"/>
  <c r="E274" i="5"/>
  <c r="H274" i="5"/>
  <c r="K274" i="5"/>
  <c r="N274" i="5"/>
  <c r="S274" i="5"/>
  <c r="U274" i="5"/>
  <c r="W274" i="5"/>
  <c r="Z274" i="5"/>
  <c r="AD274" i="5"/>
  <c r="AF274" i="5"/>
  <c r="E276" i="5"/>
  <c r="H276" i="5"/>
  <c r="K276" i="5"/>
  <c r="N276" i="5"/>
  <c r="S276" i="5"/>
  <c r="U276" i="5"/>
  <c r="W276" i="5"/>
  <c r="Z276" i="5"/>
  <c r="AD276" i="5"/>
  <c r="AF276" i="5"/>
  <c r="E277" i="5"/>
  <c r="H277" i="5"/>
  <c r="K277" i="5"/>
  <c r="N277" i="5"/>
  <c r="S277" i="5"/>
  <c r="U277" i="5"/>
  <c r="W277" i="5"/>
  <c r="Z277" i="5"/>
  <c r="AD277" i="5"/>
  <c r="AF277" i="5"/>
  <c r="E278" i="5"/>
  <c r="H278" i="5"/>
  <c r="K278" i="5"/>
  <c r="N278" i="5"/>
  <c r="S278" i="5"/>
  <c r="U278" i="5"/>
  <c r="W278" i="5"/>
  <c r="Z278" i="5"/>
  <c r="AD278" i="5"/>
  <c r="AF278" i="5"/>
  <c r="E279" i="5"/>
  <c r="H279" i="5"/>
  <c r="K279" i="5"/>
  <c r="N279" i="5"/>
  <c r="S279" i="5"/>
  <c r="U279" i="5"/>
  <c r="W279" i="5"/>
  <c r="Z279" i="5"/>
  <c r="AD279" i="5"/>
  <c r="AF279" i="5"/>
  <c r="E280" i="5"/>
  <c r="H280" i="5"/>
  <c r="K280" i="5"/>
  <c r="N280" i="5"/>
  <c r="S280" i="5"/>
  <c r="U280" i="5"/>
  <c r="W280" i="5"/>
  <c r="Z280" i="5"/>
  <c r="AD280" i="5"/>
  <c r="AF280" i="5"/>
  <c r="E281" i="5"/>
  <c r="H281" i="5"/>
  <c r="K281" i="5"/>
  <c r="N281" i="5"/>
  <c r="S281" i="5"/>
  <c r="U281" i="5"/>
  <c r="W281" i="5"/>
  <c r="Z281" i="5"/>
  <c r="AD281" i="5"/>
  <c r="AF281" i="5"/>
  <c r="E282" i="5"/>
  <c r="H282" i="5"/>
  <c r="K282" i="5"/>
  <c r="N282" i="5"/>
  <c r="S282" i="5"/>
  <c r="U282" i="5"/>
  <c r="W282" i="5"/>
  <c r="Z282" i="5"/>
  <c r="AD282" i="5"/>
  <c r="AF282" i="5"/>
  <c r="E283" i="5"/>
  <c r="H283" i="5"/>
  <c r="K283" i="5"/>
  <c r="N283" i="5"/>
  <c r="S283" i="5"/>
  <c r="U283" i="5"/>
  <c r="W283" i="5"/>
  <c r="Z283" i="5"/>
  <c r="AD283" i="5"/>
  <c r="AF283" i="5"/>
  <c r="K284" i="5"/>
  <c r="N284" i="5"/>
  <c r="S284" i="5"/>
  <c r="U284" i="5"/>
  <c r="W284" i="5"/>
  <c r="Z284" i="5"/>
  <c r="AD284" i="5"/>
  <c r="AF284" i="5"/>
  <c r="K285" i="5"/>
  <c r="N285" i="5"/>
  <c r="S285" i="5"/>
  <c r="U285" i="5"/>
  <c r="W285" i="5"/>
  <c r="Z285" i="5"/>
  <c r="AD285" i="5"/>
  <c r="AF285" i="5"/>
  <c r="K286" i="5"/>
  <c r="N286" i="5"/>
  <c r="S286" i="5"/>
  <c r="U286" i="5"/>
  <c r="W286" i="5"/>
  <c r="Z286" i="5"/>
  <c r="AD286" i="5"/>
  <c r="AF286" i="5"/>
  <c r="E288" i="5"/>
  <c r="H288" i="5"/>
  <c r="K288" i="5"/>
  <c r="N288" i="5"/>
  <c r="S288" i="5"/>
  <c r="U288" i="5"/>
  <c r="W288" i="5"/>
  <c r="Z288" i="5"/>
  <c r="AD288" i="5"/>
  <c r="AF288" i="5"/>
  <c r="E289" i="5"/>
  <c r="H289" i="5"/>
  <c r="K289" i="5"/>
  <c r="N289" i="5"/>
  <c r="S289" i="5"/>
  <c r="U289" i="5"/>
  <c r="W289" i="5"/>
  <c r="Z289" i="5"/>
  <c r="AD289" i="5"/>
  <c r="AF289" i="5"/>
  <c r="E290" i="5"/>
  <c r="H290" i="5"/>
  <c r="K290" i="5"/>
  <c r="N290" i="5"/>
  <c r="S290" i="5"/>
  <c r="U290" i="5"/>
  <c r="W290" i="5"/>
  <c r="Z290" i="5"/>
  <c r="AD290" i="5"/>
  <c r="AF290" i="5"/>
  <c r="E291" i="5"/>
  <c r="H291" i="5"/>
  <c r="K291" i="5"/>
  <c r="N291" i="5"/>
  <c r="S291" i="5"/>
  <c r="U291" i="5"/>
  <c r="W291" i="5"/>
  <c r="Z291" i="5"/>
  <c r="AD291" i="5"/>
  <c r="AF291" i="5"/>
  <c r="E292" i="5"/>
  <c r="H292" i="5"/>
  <c r="K292" i="5"/>
  <c r="N292" i="5"/>
  <c r="S292" i="5"/>
  <c r="U292" i="5"/>
  <c r="W292" i="5"/>
  <c r="Z292" i="5"/>
  <c r="AD292" i="5"/>
  <c r="AF292" i="5"/>
  <c r="E293" i="5"/>
  <c r="H293" i="5"/>
  <c r="K293" i="5"/>
  <c r="N293" i="5"/>
  <c r="S293" i="5"/>
  <c r="U293" i="5"/>
  <c r="W293" i="5"/>
  <c r="Z293" i="5"/>
  <c r="AD293" i="5"/>
  <c r="AF293" i="5"/>
  <c r="E294" i="5"/>
  <c r="H294" i="5"/>
  <c r="K294" i="5"/>
  <c r="N294" i="5"/>
  <c r="S294" i="5"/>
  <c r="U294" i="5"/>
  <c r="W294" i="5"/>
  <c r="Z294" i="5"/>
  <c r="AD294" i="5"/>
  <c r="AF294" i="5"/>
  <c r="AD295" i="5"/>
  <c r="AF295" i="5"/>
  <c r="E296" i="5"/>
  <c r="H296" i="5"/>
  <c r="K296" i="5"/>
  <c r="N296" i="5"/>
  <c r="S296" i="5"/>
  <c r="U296" i="5"/>
  <c r="W296" i="5"/>
  <c r="Z296" i="5"/>
  <c r="AD296" i="5"/>
  <c r="AF296" i="5"/>
  <c r="E342" i="5"/>
  <c r="H342" i="5"/>
  <c r="K342" i="5"/>
  <c r="N342" i="5"/>
  <c r="S342" i="5"/>
  <c r="U342" i="5"/>
  <c r="W342" i="5"/>
  <c r="Z342" i="5"/>
  <c r="AD342" i="5"/>
  <c r="AF342" i="5"/>
  <c r="E345" i="5"/>
  <c r="H345" i="5"/>
  <c r="K345" i="5"/>
  <c r="N345" i="5"/>
  <c r="S345" i="5"/>
  <c r="U345" i="5"/>
  <c r="W345" i="5"/>
  <c r="Z345" i="5"/>
  <c r="AD345" i="5"/>
  <c r="AF345" i="5"/>
  <c r="E346" i="5"/>
  <c r="H346" i="5"/>
  <c r="K346" i="5"/>
  <c r="N346" i="5"/>
  <c r="S346" i="5"/>
  <c r="U346" i="5"/>
  <c r="W346" i="5"/>
  <c r="Z346" i="5"/>
  <c r="AD346" i="5"/>
  <c r="AF346" i="5"/>
  <c r="E347" i="5"/>
  <c r="H347" i="5"/>
  <c r="K347" i="5"/>
  <c r="N347" i="5"/>
  <c r="S347" i="5"/>
  <c r="U347" i="5"/>
  <c r="W347" i="5"/>
  <c r="Z347" i="5"/>
  <c r="AD347" i="5"/>
  <c r="AF347" i="5"/>
  <c r="E348" i="5"/>
  <c r="H348" i="5"/>
  <c r="K348" i="5"/>
  <c r="N348" i="5"/>
  <c r="S348" i="5"/>
  <c r="U348" i="5"/>
  <c r="W348" i="5"/>
  <c r="Z348" i="5"/>
  <c r="AD348" i="5"/>
  <c r="AF348" i="5"/>
  <c r="E349" i="5"/>
  <c r="H349" i="5"/>
  <c r="K349" i="5"/>
  <c r="N349" i="5"/>
  <c r="S349" i="5"/>
  <c r="U349" i="5"/>
  <c r="W349" i="5"/>
  <c r="Z349" i="5"/>
  <c r="AD349" i="5"/>
  <c r="AF349" i="5"/>
  <c r="E350" i="5"/>
  <c r="H350" i="5"/>
  <c r="K350" i="5"/>
  <c r="N350" i="5"/>
  <c r="S350" i="5"/>
  <c r="U350" i="5"/>
  <c r="W350" i="5"/>
  <c r="Z350" i="5"/>
  <c r="AD350" i="5"/>
  <c r="AF350" i="5"/>
  <c r="E351" i="5"/>
  <c r="H351" i="5"/>
  <c r="K351" i="5"/>
  <c r="N351" i="5"/>
  <c r="S351" i="5"/>
  <c r="U351" i="5"/>
  <c r="W351" i="5"/>
  <c r="Z351" i="5"/>
  <c r="AD351" i="5"/>
  <c r="AF351" i="5"/>
  <c r="E729" i="5"/>
  <c r="H729" i="5"/>
  <c r="K729" i="5"/>
  <c r="N729" i="5"/>
  <c r="S729" i="5"/>
  <c r="U729" i="5"/>
  <c r="W729" i="5"/>
  <c r="Z729" i="5"/>
  <c r="AD729" i="5"/>
  <c r="AF729" i="5"/>
  <c r="E730" i="5"/>
  <c r="H730" i="5"/>
  <c r="K730" i="5"/>
  <c r="N730" i="5"/>
  <c r="S730" i="5"/>
  <c r="U730" i="5"/>
  <c r="W730" i="5"/>
  <c r="Z730" i="5"/>
  <c r="AD730" i="5"/>
  <c r="AF730" i="5"/>
  <c r="E731" i="5"/>
  <c r="H731" i="5"/>
  <c r="K731" i="5"/>
  <c r="N731" i="5"/>
  <c r="S731" i="5"/>
  <c r="U731" i="5"/>
  <c r="W731" i="5"/>
  <c r="Z731" i="5"/>
  <c r="AD731" i="5"/>
  <c r="AF731" i="5"/>
  <c r="E732" i="5"/>
  <c r="H732" i="5"/>
  <c r="K732" i="5"/>
  <c r="N732" i="5"/>
  <c r="S732" i="5"/>
  <c r="U732" i="5"/>
  <c r="W732" i="5"/>
  <c r="Z732" i="5"/>
  <c r="AD732" i="5"/>
  <c r="AF732" i="5"/>
  <c r="K733" i="5"/>
  <c r="N733" i="5"/>
  <c r="S733" i="5"/>
  <c r="U733" i="5"/>
  <c r="W733" i="5"/>
  <c r="Z733" i="5"/>
  <c r="AD733" i="5"/>
  <c r="AF733" i="5"/>
  <c r="K734" i="5"/>
  <c r="N734" i="5"/>
  <c r="S734" i="5"/>
  <c r="U734" i="5"/>
  <c r="W734" i="5"/>
  <c r="Z734" i="5"/>
  <c r="AD734" i="5"/>
  <c r="AF734" i="5"/>
  <c r="K735" i="5"/>
  <c r="N735" i="5"/>
  <c r="S735" i="5"/>
  <c r="U735" i="5"/>
  <c r="W735" i="5"/>
  <c r="Z735" i="5"/>
  <c r="AD735" i="5"/>
  <c r="AF735" i="5"/>
  <c r="K736" i="5"/>
  <c r="N736" i="5"/>
  <c r="S736" i="5"/>
  <c r="U736" i="5"/>
  <c r="W736" i="5"/>
  <c r="Z736" i="5"/>
  <c r="AD736" i="5"/>
  <c r="AF736" i="5"/>
  <c r="K737" i="5"/>
  <c r="N737" i="5"/>
  <c r="S737" i="5"/>
  <c r="U737" i="5"/>
  <c r="W737" i="5"/>
  <c r="Z737" i="5"/>
  <c r="AD737" i="5"/>
  <c r="AF737" i="5"/>
  <c r="K738" i="5"/>
  <c r="N738" i="5"/>
  <c r="S738" i="5"/>
  <c r="U738" i="5"/>
  <c r="W738" i="5"/>
  <c r="Z738" i="5"/>
  <c r="AD738" i="5"/>
  <c r="AF738" i="5"/>
  <c r="K739" i="5"/>
  <c r="N739" i="5"/>
  <c r="S739" i="5"/>
  <c r="U739" i="5"/>
  <c r="W739" i="5"/>
  <c r="Z739" i="5"/>
  <c r="AD739" i="5"/>
  <c r="AF739" i="5"/>
  <c r="E723" i="5"/>
  <c r="H723" i="5"/>
  <c r="K723" i="5"/>
  <c r="N723" i="5"/>
  <c r="S723" i="5"/>
  <c r="U723" i="5"/>
  <c r="W723" i="5"/>
  <c r="Z723" i="5"/>
  <c r="AD723" i="5"/>
  <c r="AF723" i="5"/>
  <c r="E716" i="5"/>
  <c r="H716" i="5"/>
  <c r="K716" i="5"/>
  <c r="N716" i="5"/>
  <c r="S716" i="5"/>
  <c r="U716" i="5"/>
  <c r="W716" i="5"/>
  <c r="Z716" i="5"/>
  <c r="AD716" i="5"/>
  <c r="AF716" i="5"/>
  <c r="E717" i="5"/>
  <c r="H717" i="5"/>
  <c r="K717" i="5"/>
  <c r="N717" i="5"/>
  <c r="S717" i="5"/>
  <c r="U717" i="5"/>
  <c r="W717" i="5"/>
  <c r="Z717" i="5"/>
  <c r="AD717" i="5"/>
  <c r="AF717" i="5"/>
  <c r="E718" i="5"/>
  <c r="H718" i="5"/>
  <c r="J718" i="5"/>
  <c r="K718" i="5" s="1"/>
  <c r="N718" i="5"/>
  <c r="S718" i="5"/>
  <c r="U718" i="5"/>
  <c r="W718" i="5"/>
  <c r="Z718" i="5"/>
  <c r="AD718" i="5"/>
  <c r="AF718" i="5"/>
  <c r="D719" i="5"/>
  <c r="E719" i="5" s="1"/>
  <c r="H719" i="5"/>
  <c r="K719" i="5"/>
  <c r="N719" i="5"/>
  <c r="S719" i="5"/>
  <c r="U719" i="5"/>
  <c r="W719" i="5"/>
  <c r="Z719" i="5"/>
  <c r="AD719" i="5"/>
  <c r="AF719" i="5"/>
  <c r="E720" i="5"/>
  <c r="H720" i="5"/>
  <c r="K720" i="5"/>
  <c r="N720" i="5"/>
  <c r="S720" i="5"/>
  <c r="U720" i="5"/>
  <c r="W720" i="5"/>
  <c r="Z720" i="5"/>
  <c r="AD720" i="5"/>
  <c r="AF720" i="5"/>
  <c r="E721" i="5"/>
  <c r="H721" i="5"/>
  <c r="K721" i="5"/>
  <c r="N721" i="5"/>
  <c r="S721" i="5"/>
  <c r="U721" i="5"/>
  <c r="W721" i="5"/>
  <c r="Z721" i="5"/>
  <c r="AD721" i="5"/>
  <c r="AF721" i="5"/>
  <c r="E761" i="5"/>
  <c r="H761" i="5"/>
  <c r="K761" i="5"/>
  <c r="N761" i="5"/>
  <c r="S761" i="5"/>
  <c r="U761" i="5"/>
  <c r="W761" i="5"/>
  <c r="Z761" i="5"/>
  <c r="AD761" i="5"/>
  <c r="AF761" i="5"/>
  <c r="E762" i="5"/>
  <c r="H762" i="5"/>
  <c r="K762" i="5"/>
  <c r="N762" i="5"/>
  <c r="S762" i="5"/>
  <c r="U762" i="5"/>
  <c r="W762" i="5"/>
  <c r="Z762" i="5"/>
  <c r="AD762" i="5"/>
  <c r="AF762" i="5"/>
  <c r="E763" i="5"/>
  <c r="H763" i="5"/>
  <c r="K763" i="5"/>
  <c r="N763" i="5"/>
  <c r="S763" i="5"/>
  <c r="U763" i="5"/>
  <c r="W763" i="5"/>
  <c r="Z763" i="5"/>
  <c r="AD763" i="5"/>
  <c r="AF763" i="5"/>
  <c r="E764" i="5"/>
  <c r="H764" i="5"/>
  <c r="K764" i="5"/>
  <c r="N764" i="5"/>
  <c r="S764" i="5"/>
  <c r="U764" i="5"/>
  <c r="W764" i="5"/>
  <c r="Z764" i="5"/>
  <c r="AD764" i="5"/>
  <c r="AF764" i="5"/>
  <c r="E765" i="5"/>
  <c r="H765" i="5"/>
  <c r="K765" i="5"/>
  <c r="N765" i="5"/>
  <c r="S765" i="5"/>
  <c r="U765" i="5"/>
  <c r="W765" i="5"/>
  <c r="Z765" i="5"/>
  <c r="AD765" i="5"/>
  <c r="AF765" i="5"/>
  <c r="E766" i="5"/>
  <c r="H766" i="5"/>
  <c r="K766" i="5"/>
  <c r="N766" i="5"/>
  <c r="S766" i="5"/>
  <c r="U766" i="5"/>
  <c r="W766" i="5"/>
  <c r="Z766" i="5"/>
  <c r="AD766" i="5"/>
  <c r="AF766" i="5"/>
  <c r="E767" i="5"/>
  <c r="H767" i="5"/>
  <c r="K767" i="5"/>
  <c r="N767" i="5"/>
  <c r="S767" i="5"/>
  <c r="U767" i="5"/>
  <c r="W767" i="5"/>
  <c r="Z767" i="5"/>
  <c r="AD767" i="5"/>
  <c r="AF767" i="5"/>
  <c r="E768" i="5"/>
  <c r="H768" i="5"/>
  <c r="K768" i="5"/>
  <c r="N768" i="5"/>
  <c r="S768" i="5"/>
  <c r="U768" i="5"/>
  <c r="W768" i="5"/>
  <c r="Z768" i="5"/>
  <c r="AD768" i="5"/>
  <c r="AF768" i="5"/>
  <c r="E769" i="5"/>
  <c r="H769" i="5"/>
  <c r="K769" i="5"/>
  <c r="N769" i="5"/>
  <c r="S769" i="5"/>
  <c r="U769" i="5"/>
  <c r="W769" i="5"/>
  <c r="Z769" i="5"/>
  <c r="AD769" i="5"/>
  <c r="AF769" i="5"/>
  <c r="E771" i="5"/>
  <c r="H771" i="5"/>
  <c r="K771" i="5"/>
  <c r="N771" i="5"/>
  <c r="S771" i="5"/>
  <c r="U771" i="5"/>
  <c r="W771" i="5"/>
  <c r="Z771" i="5"/>
  <c r="AD771" i="5"/>
  <c r="AF771" i="5"/>
  <c r="E772" i="5"/>
  <c r="H772" i="5"/>
  <c r="K772" i="5"/>
  <c r="N772" i="5"/>
  <c r="S772" i="5"/>
  <c r="U772" i="5"/>
  <c r="W772" i="5"/>
  <c r="Z772" i="5"/>
  <c r="AD772" i="5"/>
  <c r="AF772" i="5"/>
  <c r="E773" i="5"/>
  <c r="H773" i="5"/>
  <c r="K773" i="5"/>
  <c r="N773" i="5"/>
  <c r="S773" i="5"/>
  <c r="U773" i="5"/>
  <c r="W773" i="5"/>
  <c r="Z773" i="5"/>
  <c r="AD773" i="5"/>
  <c r="AF773" i="5"/>
  <c r="K774" i="5"/>
  <c r="N774" i="5"/>
  <c r="S774" i="5"/>
  <c r="U774" i="5"/>
  <c r="W774" i="5"/>
  <c r="Z774" i="5"/>
  <c r="AD774" i="5"/>
  <c r="AF774" i="5"/>
  <c r="E775" i="5"/>
  <c r="H775" i="5"/>
  <c r="K775" i="5"/>
  <c r="N775" i="5"/>
  <c r="S775" i="5"/>
  <c r="U775" i="5"/>
  <c r="W775" i="5"/>
  <c r="Z775" i="5"/>
  <c r="AD775" i="5"/>
  <c r="AF775" i="5"/>
  <c r="AI1055" i="5"/>
  <c r="BA1107" i="5" l="1"/>
  <c r="BA1108" i="5" s="1"/>
  <c r="AY1108" i="5"/>
  <c r="BE214" i="8"/>
  <c r="Z54" i="9" s="1"/>
  <c r="X54" i="9"/>
  <c r="T55" i="9"/>
  <c r="H6" i="11"/>
  <c r="Q6" i="11"/>
  <c r="Y6" i="11" s="1"/>
  <c r="N6" i="11"/>
  <c r="V6" i="11" s="1"/>
  <c r="J6" i="11"/>
  <c r="AK1084" i="5" s="1"/>
  <c r="E7" i="11"/>
  <c r="P6" i="11"/>
  <c r="X6" i="11" s="1"/>
  <c r="F64" i="11"/>
  <c r="AO1111" i="5"/>
  <c r="H59" i="9"/>
  <c r="AO1117" i="5"/>
  <c r="J65" i="9" s="1"/>
  <c r="H65" i="9"/>
  <c r="AO1131" i="5"/>
  <c r="H79" i="9"/>
  <c r="AO1112" i="5"/>
  <c r="H60" i="9"/>
  <c r="AO1113" i="5"/>
  <c r="H61" i="9"/>
  <c r="AO1126" i="5"/>
  <c r="H74" i="9"/>
  <c r="AM1140" i="5"/>
  <c r="F88" i="9"/>
  <c r="J89" i="9"/>
  <c r="AI1132" i="5"/>
  <c r="AI1134" i="5" s="1"/>
  <c r="H38" i="11"/>
  <c r="G53" i="11"/>
  <c r="G58" i="11" s="1"/>
  <c r="G63" i="11" s="1"/>
  <c r="H37" i="11"/>
  <c r="G52" i="11"/>
  <c r="G57" i="11" s="1"/>
  <c r="G62" i="11" s="1"/>
  <c r="H36" i="11"/>
  <c r="H51" i="11" s="1"/>
  <c r="H56" i="11" s="1"/>
  <c r="H61" i="11" s="1"/>
  <c r="G39" i="11"/>
  <c r="F7" i="11"/>
  <c r="F16" i="9"/>
  <c r="J56" i="9"/>
  <c r="AQ1124" i="5"/>
  <c r="L72" i="9" s="1"/>
  <c r="AQ1117" i="5"/>
  <c r="L65" i="9" s="1"/>
  <c r="BA1044" i="5"/>
  <c r="AY1044" i="5"/>
  <c r="AW1044" i="5"/>
  <c r="AU1044" i="5"/>
  <c r="AS1044" i="5"/>
  <c r="AQ1044" i="5"/>
  <c r="AO1044" i="5"/>
  <c r="AM1044" i="5"/>
  <c r="AK1044" i="5"/>
  <c r="AI1044" i="5"/>
  <c r="BA353" i="5"/>
  <c r="BA354" i="5" s="1"/>
  <c r="BA9" i="5" s="1"/>
  <c r="AY353" i="5"/>
  <c r="AY354" i="5" s="1"/>
  <c r="AY9" i="5" s="1"/>
  <c r="AW353" i="5"/>
  <c r="AW354" i="5" s="1"/>
  <c r="AW9" i="5" s="1"/>
  <c r="AU353" i="5"/>
  <c r="AU354" i="5" s="1"/>
  <c r="AU9" i="5" s="1"/>
  <c r="AS353" i="5"/>
  <c r="AS354" i="5" s="1"/>
  <c r="AS9" i="5" s="1"/>
  <c r="AQ353" i="5"/>
  <c r="AQ354" i="5" s="1"/>
  <c r="AQ9" i="5" s="1"/>
  <c r="AO353" i="5"/>
  <c r="AO354" i="5" s="1"/>
  <c r="AO9" i="5" s="1"/>
  <c r="AM353" i="5"/>
  <c r="AM354" i="5" s="1"/>
  <c r="AM9" i="5" s="1"/>
  <c r="AK353" i="5"/>
  <c r="AI353" i="5"/>
  <c r="AI354" i="5" s="1"/>
  <c r="AI9" i="5" s="1"/>
  <c r="BC1107" i="5" l="1"/>
  <c r="V55" i="9"/>
  <c r="K6" i="11"/>
  <c r="S6" i="11" s="1"/>
  <c r="AK1125" i="5"/>
  <c r="AK1130" i="5" s="1"/>
  <c r="AK1085" i="5"/>
  <c r="AK354" i="5"/>
  <c r="AK9" i="5" s="1"/>
  <c r="M7" i="11"/>
  <c r="U7" i="11" s="1"/>
  <c r="R6" i="11"/>
  <c r="Z6" i="11" s="1"/>
  <c r="N7" i="11"/>
  <c r="V7" i="11" s="1"/>
  <c r="G64" i="11"/>
  <c r="H7" i="11"/>
  <c r="AQ1113" i="5"/>
  <c r="J61" i="9"/>
  <c r="AQ1112" i="5"/>
  <c r="J60" i="9"/>
  <c r="AQ1126" i="5"/>
  <c r="J74" i="9"/>
  <c r="AQ1131" i="5"/>
  <c r="J79" i="9"/>
  <c r="AO1140" i="5"/>
  <c r="H88" i="9"/>
  <c r="AQ1111" i="5"/>
  <c r="J59" i="9"/>
  <c r="L89" i="9"/>
  <c r="D16" i="9"/>
  <c r="D75" i="9"/>
  <c r="D80" i="9"/>
  <c r="I37" i="11"/>
  <c r="H52" i="11"/>
  <c r="H57" i="11" s="1"/>
  <c r="H62" i="11" s="1"/>
  <c r="I38" i="11"/>
  <c r="H53" i="11"/>
  <c r="H58" i="11" s="1"/>
  <c r="H63" i="11" s="1"/>
  <c r="I36" i="11"/>
  <c r="I51" i="11" s="1"/>
  <c r="I56" i="11" s="1"/>
  <c r="I61" i="11" s="1"/>
  <c r="H39" i="11"/>
  <c r="AS1124" i="5"/>
  <c r="N72" i="9" s="1"/>
  <c r="L56" i="9"/>
  <c r="AS1117" i="5"/>
  <c r="N65" i="9" s="1"/>
  <c r="AI233" i="6"/>
  <c r="AI234" i="6" s="1"/>
  <c r="AI198" i="6"/>
  <c r="AI247" i="6"/>
  <c r="AK247" i="6" s="1"/>
  <c r="AM247" i="6" s="1"/>
  <c r="AO247" i="6" s="1"/>
  <c r="AQ247" i="6" s="1"/>
  <c r="AS247" i="6" s="1"/>
  <c r="AU247" i="6" s="1"/>
  <c r="AW247" i="6" s="1"/>
  <c r="AY247" i="6" s="1"/>
  <c r="BA247" i="6" s="1"/>
  <c r="BC247" i="6" s="1"/>
  <c r="BE247" i="6" s="1"/>
  <c r="BA239" i="6"/>
  <c r="AY239" i="6"/>
  <c r="AW239" i="6"/>
  <c r="AU239" i="6"/>
  <c r="AS239" i="6"/>
  <c r="AQ239" i="6"/>
  <c r="AO239" i="6"/>
  <c r="AM239" i="6"/>
  <c r="AK239" i="6"/>
  <c r="AI239" i="6"/>
  <c r="BA206" i="6"/>
  <c r="AY206" i="6"/>
  <c r="AU206" i="6"/>
  <c r="AS206" i="6"/>
  <c r="BE1107" i="5" l="1"/>
  <c r="BC1108" i="5"/>
  <c r="X55" i="9"/>
  <c r="AK233" i="6"/>
  <c r="AK234" i="6" s="1"/>
  <c r="AK1132" i="5"/>
  <c r="F78" i="9"/>
  <c r="F80" i="9" s="1"/>
  <c r="AK241" i="6"/>
  <c r="F73" i="9"/>
  <c r="F75" i="9" s="1"/>
  <c r="AK1127" i="5"/>
  <c r="AA6" i="11"/>
  <c r="E8" i="11"/>
  <c r="P7" i="11"/>
  <c r="X7" i="11" s="1"/>
  <c r="AS1131" i="5"/>
  <c r="L79" i="9"/>
  <c r="AS1113" i="5"/>
  <c r="L61" i="9"/>
  <c r="AQ1140" i="5"/>
  <c r="J88" i="9"/>
  <c r="AS1112" i="5"/>
  <c r="L60" i="9"/>
  <c r="AS1111" i="5"/>
  <c r="L59" i="9"/>
  <c r="AS1126" i="5"/>
  <c r="L74" i="9"/>
  <c r="N89" i="9"/>
  <c r="D82" i="9"/>
  <c r="H64" i="11"/>
  <c r="J38" i="11"/>
  <c r="I53" i="11"/>
  <c r="I58" i="11" s="1"/>
  <c r="I63" i="11" s="1"/>
  <c r="J37" i="11"/>
  <c r="I52" i="11"/>
  <c r="I57" i="11" s="1"/>
  <c r="I62" i="11" s="1"/>
  <c r="J36" i="11"/>
  <c r="J51" i="11" s="1"/>
  <c r="J56" i="11" s="1"/>
  <c r="J61" i="11" s="1"/>
  <c r="I39" i="11"/>
  <c r="AU1117" i="5"/>
  <c r="P65" i="9" s="1"/>
  <c r="N56" i="9"/>
  <c r="AU1124" i="5"/>
  <c r="P72" i="9" s="1"/>
  <c r="AI241" i="6"/>
  <c r="AM233" i="6"/>
  <c r="AI67" i="6"/>
  <c r="AI68" i="6" s="1"/>
  <c r="AI8" i="6" s="1"/>
  <c r="BA193" i="6"/>
  <c r="BA194" i="6" s="1"/>
  <c r="BA164" i="6"/>
  <c r="AY193" i="6"/>
  <c r="AY194" i="6" s="1"/>
  <c r="AY164" i="6"/>
  <c r="AW193" i="6"/>
  <c r="AW194" i="6" s="1"/>
  <c r="AW164" i="6"/>
  <c r="AU193" i="6"/>
  <c r="AU194" i="6" s="1"/>
  <c r="AU164" i="6"/>
  <c r="AS193" i="6"/>
  <c r="AS194" i="6" s="1"/>
  <c r="AS164" i="6"/>
  <c r="AQ193" i="6"/>
  <c r="AQ194" i="6" s="1"/>
  <c r="AQ164" i="6"/>
  <c r="AO193" i="6"/>
  <c r="AO194" i="6" s="1"/>
  <c r="AO164" i="6"/>
  <c r="AM193" i="6"/>
  <c r="AM194" i="6" s="1"/>
  <c r="AM164" i="6"/>
  <c r="AK193" i="6"/>
  <c r="AK194" i="6" s="1"/>
  <c r="AK164" i="6"/>
  <c r="AI193" i="6"/>
  <c r="AI194" i="6" s="1"/>
  <c r="AI177" i="7"/>
  <c r="AG194" i="6"/>
  <c r="AG187" i="6"/>
  <c r="AG174" i="6"/>
  <c r="AI164" i="6"/>
  <c r="AI190" i="7"/>
  <c r="BA154" i="6"/>
  <c r="AY154" i="6"/>
  <c r="AW154" i="6"/>
  <c r="AU154" i="6"/>
  <c r="AS154" i="6"/>
  <c r="AQ154" i="6"/>
  <c r="AO154" i="6"/>
  <c r="AM154" i="6"/>
  <c r="AK154" i="6"/>
  <c r="AI154" i="6"/>
  <c r="BA67" i="6"/>
  <c r="BA68" i="6" s="1"/>
  <c r="BA8" i="6" s="1"/>
  <c r="AY67" i="6"/>
  <c r="AW67" i="6"/>
  <c r="AW68" i="6" s="1"/>
  <c r="AW8" i="6" s="1"/>
  <c r="AU67" i="6"/>
  <c r="AU68" i="6" s="1"/>
  <c r="AU8" i="6" s="1"/>
  <c r="AS67" i="6"/>
  <c r="AS68" i="6" s="1"/>
  <c r="AS8" i="6" s="1"/>
  <c r="AQ67" i="6"/>
  <c r="AQ68" i="6" s="1"/>
  <c r="AQ8" i="6" s="1"/>
  <c r="AO67" i="6"/>
  <c r="AO68" i="6" s="1"/>
  <c r="AO8" i="6" s="1"/>
  <c r="AM67" i="6"/>
  <c r="AM68" i="6" s="1"/>
  <c r="AM8" i="6" s="1"/>
  <c r="AK67" i="6"/>
  <c r="AK68" i="6" s="1"/>
  <c r="AK8" i="6" s="1"/>
  <c r="AY68" i="6"/>
  <c r="AY8" i="6" s="1"/>
  <c r="F39" i="9"/>
  <c r="F10" i="9"/>
  <c r="D39" i="9"/>
  <c r="AI187" i="8"/>
  <c r="AG194" i="8"/>
  <c r="AG187" i="8"/>
  <c r="AG174" i="8"/>
  <c r="BA154" i="8"/>
  <c r="BA150" i="8"/>
  <c r="AY154" i="8"/>
  <c r="AY150" i="8"/>
  <c r="AW154" i="8"/>
  <c r="AW150" i="8"/>
  <c r="AU154" i="8"/>
  <c r="AU150" i="8"/>
  <c r="AS154" i="8"/>
  <c r="AS150" i="8"/>
  <c r="AQ154" i="8"/>
  <c r="AQ150" i="8"/>
  <c r="AO154" i="8"/>
  <c r="AO150" i="8"/>
  <c r="AM154" i="8"/>
  <c r="AM150" i="8"/>
  <c r="AK154" i="8"/>
  <c r="AK150" i="8"/>
  <c r="AI154" i="8"/>
  <c r="AI222" i="8" s="1"/>
  <c r="AI150" i="8"/>
  <c r="AI77" i="8"/>
  <c r="BA63" i="8"/>
  <c r="BA64" i="8" s="1"/>
  <c r="AY63" i="8"/>
  <c r="AY64" i="8" s="1"/>
  <c r="AW63" i="8"/>
  <c r="AW64" i="8" s="1"/>
  <c r="AU63" i="8"/>
  <c r="AU64" i="8" s="1"/>
  <c r="AS63" i="8"/>
  <c r="AS64" i="8" s="1"/>
  <c r="AQ63" i="8"/>
  <c r="AQ64" i="8" s="1"/>
  <c r="AO63" i="8"/>
  <c r="AO64" i="8" s="1"/>
  <c r="AM63" i="8"/>
  <c r="AM64" i="8" s="1"/>
  <c r="AK63" i="8"/>
  <c r="AK64" i="8" s="1"/>
  <c r="AI63" i="8"/>
  <c r="AI64" i="8" s="1"/>
  <c r="BE1108" i="5" l="1"/>
  <c r="Z55" i="9"/>
  <c r="F82" i="9"/>
  <c r="AK222" i="8"/>
  <c r="AI223" i="8"/>
  <c r="AK1134" i="5"/>
  <c r="Z78" i="9"/>
  <c r="F8" i="11"/>
  <c r="M8" i="11"/>
  <c r="U8" i="11" s="1"/>
  <c r="AU1126" i="5"/>
  <c r="N74" i="9"/>
  <c r="AU1112" i="5"/>
  <c r="N60" i="9"/>
  <c r="AS1140" i="5"/>
  <c r="L88" i="9"/>
  <c r="AU1131" i="5"/>
  <c r="N79" i="9"/>
  <c r="AU1111" i="5"/>
  <c r="N59" i="9"/>
  <c r="AU1113" i="5"/>
  <c r="N61" i="9"/>
  <c r="P89" i="9"/>
  <c r="I64" i="11"/>
  <c r="K37" i="11"/>
  <c r="J52" i="11"/>
  <c r="J57" i="11" s="1"/>
  <c r="J62" i="11" s="1"/>
  <c r="K38" i="11"/>
  <c r="J53" i="11"/>
  <c r="J58" i="11" s="1"/>
  <c r="J63" i="11" s="1"/>
  <c r="P37" i="9"/>
  <c r="F37" i="9"/>
  <c r="F40" i="9" s="1"/>
  <c r="N37" i="9"/>
  <c r="H37" i="9"/>
  <c r="L37" i="9"/>
  <c r="T37" i="9"/>
  <c r="V37" i="9"/>
  <c r="AI194" i="8"/>
  <c r="D37" i="9"/>
  <c r="D40" i="9" s="1"/>
  <c r="J37" i="9"/>
  <c r="R37" i="9"/>
  <c r="K36" i="11"/>
  <c r="K51" i="11" s="1"/>
  <c r="K56" i="11" s="1"/>
  <c r="K61" i="11" s="1"/>
  <c r="J39" i="11"/>
  <c r="P56" i="9"/>
  <c r="AW1124" i="5"/>
  <c r="R72" i="9" s="1"/>
  <c r="AW1117" i="5"/>
  <c r="R65" i="9" s="1"/>
  <c r="AO233" i="6"/>
  <c r="AM234" i="6"/>
  <c r="AM241" i="6" s="1"/>
  <c r="AM7" i="8"/>
  <c r="AU7" i="8"/>
  <c r="AO7" i="8"/>
  <c r="AQ7" i="8"/>
  <c r="AK7" i="8"/>
  <c r="BA7" i="8"/>
  <c r="AW7" i="8"/>
  <c r="AI7" i="8"/>
  <c r="AY7" i="8"/>
  <c r="AS7" i="8"/>
  <c r="AG233" i="7"/>
  <c r="AI231" i="7"/>
  <c r="AK231" i="7" s="1"/>
  <c r="AM231" i="7" s="1"/>
  <c r="AO231" i="7" s="1"/>
  <c r="AQ231" i="7" s="1"/>
  <c r="AS231" i="7" s="1"/>
  <c r="AU231" i="7" s="1"/>
  <c r="AW231" i="7" s="1"/>
  <c r="AY231" i="7" s="1"/>
  <c r="BA231" i="7" s="1"/>
  <c r="BC231" i="7" s="1"/>
  <c r="BE231" i="7" s="1"/>
  <c r="BA223" i="7"/>
  <c r="AY223" i="7"/>
  <c r="AW223" i="7"/>
  <c r="AU223" i="7"/>
  <c r="AS223" i="7"/>
  <c r="AQ223" i="7"/>
  <c r="AO223" i="7"/>
  <c r="AM223" i="7"/>
  <c r="AK223" i="7"/>
  <c r="AI223" i="7"/>
  <c r="AG223" i="7"/>
  <c r="AG218" i="7"/>
  <c r="AI217" i="7"/>
  <c r="AK217" i="7" s="1"/>
  <c r="AG210" i="7"/>
  <c r="BA190" i="7"/>
  <c r="AY190" i="7"/>
  <c r="AW190" i="7"/>
  <c r="AU190" i="7"/>
  <c r="AS190" i="7"/>
  <c r="AQ190" i="7"/>
  <c r="AO190" i="7"/>
  <c r="AM190" i="7"/>
  <c r="AK190" i="7"/>
  <c r="AZ188" i="7"/>
  <c r="AX188" i="7"/>
  <c r="AV188" i="7"/>
  <c r="AT188" i="7"/>
  <c r="AR188" i="7"/>
  <c r="AP188" i="7"/>
  <c r="AN188" i="7"/>
  <c r="AL188" i="7"/>
  <c r="AJ188" i="7"/>
  <c r="BA177" i="7"/>
  <c r="BA178" i="7" s="1"/>
  <c r="AY177" i="7"/>
  <c r="AY178" i="7" s="1"/>
  <c r="AW177" i="7"/>
  <c r="AW178" i="7" s="1"/>
  <c r="AU177" i="7"/>
  <c r="AU178" i="7" s="1"/>
  <c r="AS177" i="7"/>
  <c r="AS178" i="7" s="1"/>
  <c r="AQ177" i="7"/>
  <c r="AQ178" i="7" s="1"/>
  <c r="AO177" i="7"/>
  <c r="AO178" i="7" s="1"/>
  <c r="AM177" i="7"/>
  <c r="AM178" i="7" s="1"/>
  <c r="AK177" i="7"/>
  <c r="AK178" i="7" s="1"/>
  <c r="AI178" i="7"/>
  <c r="BA168" i="7"/>
  <c r="BA171" i="7" s="1"/>
  <c r="AY168" i="7"/>
  <c r="AY171" i="7" s="1"/>
  <c r="AW168" i="7"/>
  <c r="AW171" i="7" s="1"/>
  <c r="AU168" i="7"/>
  <c r="AU171" i="7" s="1"/>
  <c r="AS168" i="7"/>
  <c r="AS171" i="7" s="1"/>
  <c r="AO168" i="7"/>
  <c r="AO171" i="7" s="1"/>
  <c r="AM168" i="7"/>
  <c r="AM171" i="7" s="1"/>
  <c r="AK168" i="7"/>
  <c r="AK171" i="7" s="1"/>
  <c r="AI168" i="7"/>
  <c r="AI171" i="7" s="1"/>
  <c r="BA149" i="7"/>
  <c r="AY149" i="7"/>
  <c r="AW149" i="7"/>
  <c r="AU149" i="7"/>
  <c r="AS149" i="7"/>
  <c r="AQ149" i="7"/>
  <c r="AO149" i="7"/>
  <c r="AM149" i="7"/>
  <c r="AK149" i="7"/>
  <c r="AI149" i="7"/>
  <c r="BA148" i="7"/>
  <c r="AY148" i="7"/>
  <c r="AW148" i="7"/>
  <c r="AU148" i="7"/>
  <c r="AS148" i="7"/>
  <c r="AQ148" i="7"/>
  <c r="AO148" i="7"/>
  <c r="AM148" i="7"/>
  <c r="AK148" i="7"/>
  <c r="AI148" i="7"/>
  <c r="BA137" i="7"/>
  <c r="AY137" i="7"/>
  <c r="AW137" i="7"/>
  <c r="AU137" i="7"/>
  <c r="AS137" i="7"/>
  <c r="AQ137" i="7"/>
  <c r="AO137" i="7"/>
  <c r="AM137" i="7"/>
  <c r="AK137" i="7"/>
  <c r="AI137" i="7"/>
  <c r="BA133" i="7"/>
  <c r="BA12" i="7" s="1"/>
  <c r="AY133" i="7"/>
  <c r="AW133" i="7"/>
  <c r="AV12" i="7" s="1"/>
  <c r="AU133" i="7"/>
  <c r="AT12" i="7" s="1"/>
  <c r="AS133" i="7"/>
  <c r="AS12" i="7" s="1"/>
  <c r="AO133" i="7"/>
  <c r="AO12" i="7" s="1"/>
  <c r="AM133" i="7"/>
  <c r="AM12" i="7" s="1"/>
  <c r="AK133" i="7"/>
  <c r="AK12" i="7" s="1"/>
  <c r="AI133" i="7"/>
  <c r="AI209" i="7" s="1"/>
  <c r="AE133" i="7"/>
  <c r="AC133" i="7"/>
  <c r="Y133" i="7"/>
  <c r="Y12" i="7" s="1"/>
  <c r="V133" i="7"/>
  <c r="T133" i="7"/>
  <c r="R133" i="7"/>
  <c r="P133" i="7"/>
  <c r="P12" i="7" s="1"/>
  <c r="L133" i="7"/>
  <c r="L12" i="7" s="1"/>
  <c r="J133" i="7"/>
  <c r="F133" i="7"/>
  <c r="F12" i="7" s="1"/>
  <c r="D133" i="7"/>
  <c r="B133" i="7"/>
  <c r="B12" i="7" s="1"/>
  <c r="AF131" i="7"/>
  <c r="AD131" i="7"/>
  <c r="Z131" i="7"/>
  <c r="W131" i="7"/>
  <c r="U131" i="7"/>
  <c r="S131" i="7"/>
  <c r="N131" i="7"/>
  <c r="K131" i="7"/>
  <c r="H131" i="7"/>
  <c r="E131" i="7"/>
  <c r="AF130" i="7"/>
  <c r="AD130" i="7"/>
  <c r="Z130" i="7"/>
  <c r="W130" i="7"/>
  <c r="U130" i="7"/>
  <c r="S130" i="7"/>
  <c r="N130" i="7"/>
  <c r="K130" i="7"/>
  <c r="H130" i="7"/>
  <c r="E130" i="7"/>
  <c r="AF129" i="7"/>
  <c r="AD129" i="7"/>
  <c r="Z129" i="7"/>
  <c r="W129" i="7"/>
  <c r="N129" i="7"/>
  <c r="K129" i="7"/>
  <c r="H129" i="7"/>
  <c r="E129" i="7"/>
  <c r="AF128" i="7"/>
  <c r="AD128" i="7"/>
  <c r="Z128" i="7"/>
  <c r="W128" i="7"/>
  <c r="N128" i="7"/>
  <c r="K128" i="7"/>
  <c r="H128" i="7"/>
  <c r="E128" i="7"/>
  <c r="AF127" i="7"/>
  <c r="AD127" i="7"/>
  <c r="Z127" i="7"/>
  <c r="W127" i="7"/>
  <c r="N127" i="7"/>
  <c r="K127" i="7"/>
  <c r="H127" i="7"/>
  <c r="E127" i="7"/>
  <c r="AF126" i="7"/>
  <c r="AD126" i="7"/>
  <c r="Z126" i="7"/>
  <c r="W126" i="7"/>
  <c r="N126" i="7"/>
  <c r="K126" i="7"/>
  <c r="H126" i="7"/>
  <c r="E126" i="7"/>
  <c r="AF125" i="7"/>
  <c r="AD125" i="7"/>
  <c r="Z125" i="7"/>
  <c r="W125" i="7"/>
  <c r="N125" i="7"/>
  <c r="K125" i="7"/>
  <c r="H125" i="7"/>
  <c r="E125" i="7"/>
  <c r="AF124" i="7"/>
  <c r="AD124" i="7"/>
  <c r="Z124" i="7"/>
  <c r="W124" i="7"/>
  <c r="N124" i="7"/>
  <c r="K124" i="7"/>
  <c r="H124" i="7"/>
  <c r="E124" i="7"/>
  <c r="AF123" i="7"/>
  <c r="AD123" i="7"/>
  <c r="Z123" i="7"/>
  <c r="W123" i="7"/>
  <c r="N123" i="7"/>
  <c r="K123" i="7"/>
  <c r="H123" i="7"/>
  <c r="E123" i="7"/>
  <c r="AF122" i="7"/>
  <c r="AD122" i="7"/>
  <c r="Z122" i="7"/>
  <c r="W122" i="7"/>
  <c r="N122" i="7"/>
  <c r="K122" i="7"/>
  <c r="H122" i="7"/>
  <c r="E122" i="7"/>
  <c r="AF121" i="7"/>
  <c r="AD121" i="7"/>
  <c r="Z121" i="7"/>
  <c r="W121" i="7"/>
  <c r="N121" i="7"/>
  <c r="K121" i="7"/>
  <c r="H121" i="7"/>
  <c r="E121" i="7"/>
  <c r="AF120" i="7"/>
  <c r="AD120" i="7"/>
  <c r="Z120" i="7"/>
  <c r="W120" i="7"/>
  <c r="N120" i="7"/>
  <c r="K120" i="7"/>
  <c r="H120" i="7"/>
  <c r="E120" i="7"/>
  <c r="AF119" i="7"/>
  <c r="AD119" i="7"/>
  <c r="Z119" i="7"/>
  <c r="W119" i="7"/>
  <c r="N119" i="7"/>
  <c r="K119" i="7"/>
  <c r="H119" i="7"/>
  <c r="E119" i="7"/>
  <c r="AF118" i="7"/>
  <c r="AD118" i="7"/>
  <c r="Z118" i="7"/>
  <c r="W118" i="7"/>
  <c r="N118" i="7"/>
  <c r="K118" i="7"/>
  <c r="H118" i="7"/>
  <c r="E118" i="7"/>
  <c r="AF117" i="7"/>
  <c r="AD117" i="7"/>
  <c r="Z117" i="7"/>
  <c r="W117" i="7"/>
  <c r="N117" i="7"/>
  <c r="K117" i="7"/>
  <c r="H117" i="7"/>
  <c r="E117" i="7"/>
  <c r="AF116" i="7"/>
  <c r="AD116" i="7"/>
  <c r="Z116" i="7"/>
  <c r="W116" i="7"/>
  <c r="N116" i="7"/>
  <c r="K116" i="7"/>
  <c r="H116" i="7"/>
  <c r="E116" i="7"/>
  <c r="AQ115" i="7"/>
  <c r="AQ168" i="7" s="1"/>
  <c r="AQ171" i="7" s="1"/>
  <c r="AF115" i="7"/>
  <c r="AD115" i="7"/>
  <c r="Z115" i="7"/>
  <c r="W115" i="7"/>
  <c r="U115" i="7"/>
  <c r="S115" i="7"/>
  <c r="N115" i="7"/>
  <c r="K115" i="7"/>
  <c r="H115" i="7"/>
  <c r="E115" i="7"/>
  <c r="AF114" i="7"/>
  <c r="AD114" i="7"/>
  <c r="Z114" i="7"/>
  <c r="W114" i="7"/>
  <c r="U114" i="7"/>
  <c r="S114" i="7"/>
  <c r="N114" i="7"/>
  <c r="K114" i="7"/>
  <c r="H114" i="7"/>
  <c r="E114" i="7"/>
  <c r="AF113" i="7"/>
  <c r="AD113" i="7"/>
  <c r="Z113" i="7"/>
  <c r="W113" i="7"/>
  <c r="U113" i="7"/>
  <c r="S113" i="7"/>
  <c r="AF112" i="7"/>
  <c r="AD112" i="7"/>
  <c r="Z112" i="7"/>
  <c r="W112" i="7"/>
  <c r="U112" i="7"/>
  <c r="S112" i="7"/>
  <c r="N112" i="7"/>
  <c r="K112" i="7"/>
  <c r="H112" i="7"/>
  <c r="E112" i="7"/>
  <c r="Z111" i="7"/>
  <c r="W111" i="7"/>
  <c r="N111" i="7"/>
  <c r="K111" i="7"/>
  <c r="H111" i="7"/>
  <c r="E111" i="7"/>
  <c r="Z110" i="7"/>
  <c r="W110" i="7"/>
  <c r="N110" i="7"/>
  <c r="K110" i="7"/>
  <c r="H110" i="7"/>
  <c r="E110" i="7"/>
  <c r="W109" i="7"/>
  <c r="N109" i="7"/>
  <c r="K109" i="7"/>
  <c r="H109" i="7"/>
  <c r="E109" i="7"/>
  <c r="BA102" i="7"/>
  <c r="AY102" i="7"/>
  <c r="AW102" i="7"/>
  <c r="AU102" i="7"/>
  <c r="AS102" i="7"/>
  <c r="AQ102" i="7"/>
  <c r="AO102" i="7"/>
  <c r="AM102" i="7"/>
  <c r="AK102" i="7"/>
  <c r="AI102" i="7"/>
  <c r="AE102" i="7"/>
  <c r="Y102" i="7"/>
  <c r="V102" i="7"/>
  <c r="T102" i="7"/>
  <c r="R102" i="7"/>
  <c r="P102" i="7"/>
  <c r="L102" i="7"/>
  <c r="J102" i="7"/>
  <c r="F102" i="7"/>
  <c r="D102" i="7"/>
  <c r="B102" i="7"/>
  <c r="AF101" i="7"/>
  <c r="AD101" i="7"/>
  <c r="Z101" i="7"/>
  <c r="W101" i="7"/>
  <c r="U101" i="7"/>
  <c r="S101" i="7"/>
  <c r="N101" i="7"/>
  <c r="K101" i="7"/>
  <c r="H101" i="7"/>
  <c r="E101" i="7"/>
  <c r="AF100" i="7"/>
  <c r="AD100" i="7"/>
  <c r="Z100" i="7"/>
  <c r="W100" i="7"/>
  <c r="U100" i="7"/>
  <c r="S100" i="7"/>
  <c r="N100" i="7"/>
  <c r="K100" i="7"/>
  <c r="H100" i="7"/>
  <c r="E100" i="7"/>
  <c r="AF99" i="7"/>
  <c r="AC99" i="7"/>
  <c r="AC102" i="7" s="1"/>
  <c r="Z99" i="7"/>
  <c r="W99" i="7"/>
  <c r="U99" i="7"/>
  <c r="S99" i="7"/>
  <c r="AF95" i="7"/>
  <c r="AD95" i="7"/>
  <c r="Z95" i="7"/>
  <c r="W95" i="7"/>
  <c r="U95" i="7"/>
  <c r="S95" i="7"/>
  <c r="N95" i="7"/>
  <c r="K95" i="7"/>
  <c r="H95" i="7"/>
  <c r="E95" i="7"/>
  <c r="AE93" i="7"/>
  <c r="Y93" i="7"/>
  <c r="T93" i="7"/>
  <c r="R93" i="7"/>
  <c r="L93" i="7"/>
  <c r="F93" i="7"/>
  <c r="D93" i="7"/>
  <c r="B93" i="7"/>
  <c r="AI92" i="7"/>
  <c r="AK92" i="7" s="1"/>
  <c r="AM92" i="7" s="1"/>
  <c r="AO92" i="7" s="1"/>
  <c r="AQ92" i="7" s="1"/>
  <c r="AS92" i="7" s="1"/>
  <c r="AU92" i="7" s="1"/>
  <c r="AW92" i="7" s="1"/>
  <c r="AY92" i="7" s="1"/>
  <c r="BA92" i="7" s="1"/>
  <c r="BC92" i="7" s="1"/>
  <c r="BE92" i="7" s="1"/>
  <c r="AF92" i="7"/>
  <c r="AD92" i="7"/>
  <c r="Z92" i="7"/>
  <c r="W92" i="7"/>
  <c r="S92" i="7"/>
  <c r="P92" i="7"/>
  <c r="N92" i="7"/>
  <c r="K92" i="7"/>
  <c r="H92" i="7"/>
  <c r="E92" i="7"/>
  <c r="AI91" i="7"/>
  <c r="AK91" i="7" s="1"/>
  <c r="AM91" i="7" s="1"/>
  <c r="AO91" i="7" s="1"/>
  <c r="AQ91" i="7" s="1"/>
  <c r="AS91" i="7" s="1"/>
  <c r="AU91" i="7" s="1"/>
  <c r="AW91" i="7" s="1"/>
  <c r="AY91" i="7" s="1"/>
  <c r="BA91" i="7" s="1"/>
  <c r="BC91" i="7" s="1"/>
  <c r="BE91" i="7" s="1"/>
  <c r="AF91" i="7"/>
  <c r="AD91" i="7"/>
  <c r="Z91" i="7"/>
  <c r="W91" i="7"/>
  <c r="U91" i="7"/>
  <c r="S91" i="7"/>
  <c r="N91" i="7"/>
  <c r="K91" i="7"/>
  <c r="H91" i="7"/>
  <c r="E91" i="7"/>
  <c r="AF90" i="7"/>
  <c r="AC90" i="7"/>
  <c r="AD90" i="7" s="1"/>
  <c r="Z90" i="7"/>
  <c r="V90" i="7"/>
  <c r="W90" i="7" s="1"/>
  <c r="S90" i="7"/>
  <c r="P90" i="7"/>
  <c r="AI90" i="7" s="1"/>
  <c r="N90" i="7"/>
  <c r="J90" i="7"/>
  <c r="K90" i="7" s="1"/>
  <c r="H90" i="7"/>
  <c r="E90" i="7"/>
  <c r="AE88" i="7"/>
  <c r="Y88" i="7"/>
  <c r="V88" i="7"/>
  <c r="T88" i="7"/>
  <c r="R88" i="7"/>
  <c r="L88" i="7"/>
  <c r="J88" i="7"/>
  <c r="F88" i="7"/>
  <c r="B88" i="7"/>
  <c r="AF87" i="7"/>
  <c r="AD87" i="7"/>
  <c r="Z87" i="7"/>
  <c r="W87" i="7"/>
  <c r="S87" i="7"/>
  <c r="P87" i="7"/>
  <c r="U87" i="7" s="1"/>
  <c r="N87" i="7"/>
  <c r="K87" i="7"/>
  <c r="H87" i="7"/>
  <c r="E87" i="7"/>
  <c r="AK86" i="7"/>
  <c r="AM86" i="7" s="1"/>
  <c r="AO86" i="7" s="1"/>
  <c r="AQ86" i="7" s="1"/>
  <c r="AS86" i="7" s="1"/>
  <c r="AU86" i="7" s="1"/>
  <c r="AW86" i="7" s="1"/>
  <c r="AY86" i="7" s="1"/>
  <c r="BA86" i="7" s="1"/>
  <c r="BC86" i="7" s="1"/>
  <c r="BE86" i="7" s="1"/>
  <c r="AF86" i="7"/>
  <c r="AD86" i="7"/>
  <c r="Z86" i="7"/>
  <c r="W86" i="7"/>
  <c r="U86" i="7"/>
  <c r="S86" i="7"/>
  <c r="N86" i="7"/>
  <c r="K86" i="7"/>
  <c r="H86" i="7"/>
  <c r="E86" i="7"/>
  <c r="AF85" i="7"/>
  <c r="AD85" i="7"/>
  <c r="Z85" i="7"/>
  <c r="W85" i="7"/>
  <c r="S85" i="7"/>
  <c r="P85" i="7"/>
  <c r="U85" i="7" s="1"/>
  <c r="N85" i="7"/>
  <c r="K85" i="7"/>
  <c r="H85" i="7"/>
  <c r="E85" i="7"/>
  <c r="AF84" i="7"/>
  <c r="AD84" i="7"/>
  <c r="Z84" i="7"/>
  <c r="W84" i="7"/>
  <c r="S84" i="7"/>
  <c r="P84" i="7"/>
  <c r="AI84" i="7" s="1"/>
  <c r="AK84" i="7" s="1"/>
  <c r="AM84" i="7" s="1"/>
  <c r="AO84" i="7" s="1"/>
  <c r="AQ84" i="7" s="1"/>
  <c r="AS84" i="7" s="1"/>
  <c r="AU84" i="7" s="1"/>
  <c r="AW84" i="7" s="1"/>
  <c r="AY84" i="7" s="1"/>
  <c r="BA84" i="7" s="1"/>
  <c r="BC84" i="7" s="1"/>
  <c r="BE84" i="7" s="1"/>
  <c r="N84" i="7"/>
  <c r="K84" i="7"/>
  <c r="H84" i="7"/>
  <c r="E84" i="7"/>
  <c r="AF83" i="7"/>
  <c r="AD83" i="7"/>
  <c r="Z83" i="7"/>
  <c r="W83" i="7"/>
  <c r="S83" i="7"/>
  <c r="P83" i="7"/>
  <c r="AI83" i="7" s="1"/>
  <c r="AK83" i="7" s="1"/>
  <c r="AM83" i="7" s="1"/>
  <c r="AO83" i="7" s="1"/>
  <c r="AQ83" i="7" s="1"/>
  <c r="AS83" i="7" s="1"/>
  <c r="AU83" i="7" s="1"/>
  <c r="AW83" i="7" s="1"/>
  <c r="AY83" i="7" s="1"/>
  <c r="BA83" i="7" s="1"/>
  <c r="BC83" i="7" s="1"/>
  <c r="BE83" i="7" s="1"/>
  <c r="N83" i="7"/>
  <c r="K83" i="7"/>
  <c r="H83" i="7"/>
  <c r="E83" i="7"/>
  <c r="AI82" i="7"/>
  <c r="AK82" i="7" s="1"/>
  <c r="AM82" i="7" s="1"/>
  <c r="AO82" i="7" s="1"/>
  <c r="AQ82" i="7" s="1"/>
  <c r="AS82" i="7" s="1"/>
  <c r="AU82" i="7" s="1"/>
  <c r="AW82" i="7" s="1"/>
  <c r="AY82" i="7" s="1"/>
  <c r="BA82" i="7" s="1"/>
  <c r="BC82" i="7" s="1"/>
  <c r="BE82" i="7" s="1"/>
  <c r="AF82" i="7"/>
  <c r="AD82" i="7"/>
  <c r="Z82" i="7"/>
  <c r="W82" i="7"/>
  <c r="S82" i="7"/>
  <c r="P82" i="7"/>
  <c r="U82" i="7" s="1"/>
  <c r="N82" i="7"/>
  <c r="K82" i="7"/>
  <c r="H82" i="7"/>
  <c r="E82" i="7"/>
  <c r="AK81" i="7"/>
  <c r="AM81" i="7" s="1"/>
  <c r="AO81" i="7" s="1"/>
  <c r="AQ81" i="7" s="1"/>
  <c r="AS81" i="7" s="1"/>
  <c r="AU81" i="7" s="1"/>
  <c r="AW81" i="7" s="1"/>
  <c r="AY81" i="7" s="1"/>
  <c r="BA81" i="7" s="1"/>
  <c r="BC81" i="7" s="1"/>
  <c r="BE81" i="7" s="1"/>
  <c r="AF81" i="7"/>
  <c r="AD81" i="7"/>
  <c r="Z81" i="7"/>
  <c r="W81" i="7"/>
  <c r="S81" i="7"/>
  <c r="P81" i="7"/>
  <c r="U81" i="7" s="1"/>
  <c r="N81" i="7"/>
  <c r="K81" i="7"/>
  <c r="H81" i="7"/>
  <c r="E81" i="7"/>
  <c r="AI80" i="7"/>
  <c r="AK80" i="7" s="1"/>
  <c r="AM80" i="7" s="1"/>
  <c r="AF80" i="7"/>
  <c r="AC80" i="7"/>
  <c r="AD80" i="7" s="1"/>
  <c r="Z80" i="7"/>
  <c r="W80" i="7"/>
  <c r="S80" i="7"/>
  <c r="P80" i="7"/>
  <c r="U80" i="7" s="1"/>
  <c r="N80" i="7"/>
  <c r="K80" i="7"/>
  <c r="H80" i="7"/>
  <c r="D80" i="7"/>
  <c r="D88" i="7" s="1"/>
  <c r="AE77" i="7"/>
  <c r="AC77" i="7"/>
  <c r="Y77" i="7"/>
  <c r="V77" i="7"/>
  <c r="T77" i="7"/>
  <c r="R77" i="7"/>
  <c r="L77" i="7"/>
  <c r="J77" i="7"/>
  <c r="F77" i="7"/>
  <c r="D77" i="7"/>
  <c r="AI76" i="7"/>
  <c r="AK76" i="7" s="1"/>
  <c r="AM76" i="7" s="1"/>
  <c r="AO76" i="7" s="1"/>
  <c r="AQ76" i="7" s="1"/>
  <c r="AS76" i="7" s="1"/>
  <c r="AU76" i="7" s="1"/>
  <c r="AW76" i="7" s="1"/>
  <c r="AY76" i="7" s="1"/>
  <c r="BA76" i="7" s="1"/>
  <c r="BC76" i="7" s="1"/>
  <c r="BE76" i="7" s="1"/>
  <c r="AF76" i="7"/>
  <c r="AD76" i="7"/>
  <c r="Z76" i="7"/>
  <c r="W76" i="7"/>
  <c r="S76" i="7"/>
  <c r="P76" i="7"/>
  <c r="U76" i="7" s="1"/>
  <c r="N76" i="7"/>
  <c r="K76" i="7"/>
  <c r="H76" i="7"/>
  <c r="E76" i="7"/>
  <c r="AI75" i="7"/>
  <c r="AK75" i="7" s="1"/>
  <c r="AM75" i="7" s="1"/>
  <c r="AO75" i="7" s="1"/>
  <c r="AQ75" i="7" s="1"/>
  <c r="AS75" i="7" s="1"/>
  <c r="AU75" i="7" s="1"/>
  <c r="AW75" i="7" s="1"/>
  <c r="AY75" i="7" s="1"/>
  <c r="BA75" i="7" s="1"/>
  <c r="BC75" i="7" s="1"/>
  <c r="BE75" i="7" s="1"/>
  <c r="AF75" i="7"/>
  <c r="AD75" i="7"/>
  <c r="Z75" i="7"/>
  <c r="W75" i="7"/>
  <c r="S75" i="7"/>
  <c r="P75" i="7"/>
  <c r="U75" i="7" s="1"/>
  <c r="N75" i="7"/>
  <c r="K75" i="7"/>
  <c r="H75" i="7"/>
  <c r="E75" i="7"/>
  <c r="AF74" i="7"/>
  <c r="AD74" i="7"/>
  <c r="Z74" i="7"/>
  <c r="W74" i="7"/>
  <c r="U74" i="7"/>
  <c r="S74" i="7"/>
  <c r="N74" i="7"/>
  <c r="K74" i="7"/>
  <c r="H74" i="7"/>
  <c r="E74" i="7"/>
  <c r="AI73" i="7"/>
  <c r="AI152" i="7" s="1"/>
  <c r="AF73" i="7"/>
  <c r="AD73" i="7"/>
  <c r="Z73" i="7"/>
  <c r="W73" i="7"/>
  <c r="U73" i="7"/>
  <c r="S73" i="7"/>
  <c r="N73" i="7"/>
  <c r="K73" i="7"/>
  <c r="H73" i="7"/>
  <c r="E73" i="7"/>
  <c r="AF72" i="7"/>
  <c r="AD72" i="7"/>
  <c r="Z72" i="7"/>
  <c r="W72" i="7"/>
  <c r="U72" i="7"/>
  <c r="S72" i="7"/>
  <c r="N72" i="7"/>
  <c r="K72" i="7"/>
  <c r="H72" i="7"/>
  <c r="E72" i="7"/>
  <c r="AI71" i="7"/>
  <c r="AK71" i="7" s="1"/>
  <c r="AM71" i="7" s="1"/>
  <c r="AO71" i="7" s="1"/>
  <c r="AQ71" i="7" s="1"/>
  <c r="AS71" i="7" s="1"/>
  <c r="AU71" i="7" s="1"/>
  <c r="AW71" i="7" s="1"/>
  <c r="AY71" i="7" s="1"/>
  <c r="BA71" i="7" s="1"/>
  <c r="BC71" i="7" s="1"/>
  <c r="BE71" i="7" s="1"/>
  <c r="AF71" i="7"/>
  <c r="AD71" i="7"/>
  <c r="Z71" i="7"/>
  <c r="W71" i="7"/>
  <c r="S71" i="7"/>
  <c r="P71" i="7"/>
  <c r="N71" i="7"/>
  <c r="K71" i="7"/>
  <c r="H71" i="7"/>
  <c r="E71" i="7"/>
  <c r="AI70" i="7"/>
  <c r="AK70" i="7" s="1"/>
  <c r="AM70" i="7" s="1"/>
  <c r="AO70" i="7" s="1"/>
  <c r="AQ70" i="7" s="1"/>
  <c r="AS70" i="7" s="1"/>
  <c r="AU70" i="7" s="1"/>
  <c r="AW70" i="7" s="1"/>
  <c r="AY70" i="7" s="1"/>
  <c r="BA70" i="7" s="1"/>
  <c r="BC70" i="7" s="1"/>
  <c r="BE70" i="7" s="1"/>
  <c r="AF70" i="7"/>
  <c r="AD70" i="7"/>
  <c r="Z70" i="7"/>
  <c r="W70" i="7"/>
  <c r="S70" i="7"/>
  <c r="P70" i="7"/>
  <c r="U70" i="7" s="1"/>
  <c r="N70" i="7"/>
  <c r="K70" i="7"/>
  <c r="H70" i="7"/>
  <c r="E70" i="7"/>
  <c r="AF69" i="7"/>
  <c r="AD69" i="7"/>
  <c r="Z69" i="7"/>
  <c r="W69" i="7"/>
  <c r="U69" i="7"/>
  <c r="S69" i="7"/>
  <c r="N69" i="7"/>
  <c r="K69" i="7"/>
  <c r="H69" i="7"/>
  <c r="E69" i="7"/>
  <c r="AI68" i="7"/>
  <c r="AK68" i="7" s="1"/>
  <c r="AF68" i="7"/>
  <c r="AD68" i="7"/>
  <c r="Z68" i="7"/>
  <c r="W68" i="7"/>
  <c r="U68" i="7"/>
  <c r="S68" i="7"/>
  <c r="N68" i="7"/>
  <c r="K68" i="7"/>
  <c r="E68" i="7"/>
  <c r="B68" i="7"/>
  <c r="B77" i="7" s="1"/>
  <c r="W67" i="7"/>
  <c r="AI61" i="7"/>
  <c r="AE61" i="7"/>
  <c r="AE8" i="7" s="1"/>
  <c r="AC61" i="7"/>
  <c r="Y61" i="7"/>
  <c r="Y8" i="7" s="1"/>
  <c r="V61" i="7"/>
  <c r="T61" i="7"/>
  <c r="T8" i="7" s="1"/>
  <c r="R61" i="7"/>
  <c r="P61" i="7"/>
  <c r="P8" i="7" s="1"/>
  <c r="L61" i="7"/>
  <c r="L8" i="7" s="1"/>
  <c r="J61" i="7"/>
  <c r="F61" i="7"/>
  <c r="F8" i="7" s="1"/>
  <c r="H8" i="7" s="1"/>
  <c r="D61" i="7"/>
  <c r="B61" i="7"/>
  <c r="BA60" i="7"/>
  <c r="BA61" i="7" s="1"/>
  <c r="BA8" i="7" s="1"/>
  <c r="AY60" i="7"/>
  <c r="AY61" i="7" s="1"/>
  <c r="AY8" i="7" s="1"/>
  <c r="AW60" i="7"/>
  <c r="AW61" i="7" s="1"/>
  <c r="AW8" i="7" s="1"/>
  <c r="AU60" i="7"/>
  <c r="AU61" i="7" s="1"/>
  <c r="AU8" i="7" s="1"/>
  <c r="AS60" i="7"/>
  <c r="AS61" i="7" s="1"/>
  <c r="AS8" i="7" s="1"/>
  <c r="AQ60" i="7"/>
  <c r="AQ61" i="7" s="1"/>
  <c r="AQ8" i="7" s="1"/>
  <c r="AO60" i="7"/>
  <c r="AO61" i="7" s="1"/>
  <c r="AO8" i="7" s="1"/>
  <c r="AM60" i="7"/>
  <c r="AM61" i="7" s="1"/>
  <c r="AM8" i="7" s="1"/>
  <c r="AK60" i="7"/>
  <c r="AK61" i="7" s="1"/>
  <c r="AK8" i="7" s="1"/>
  <c r="AF59" i="7"/>
  <c r="AF61" i="7" s="1"/>
  <c r="AD59" i="7"/>
  <c r="AD61" i="7" s="1"/>
  <c r="Z59" i="7"/>
  <c r="Z61" i="7" s="1"/>
  <c r="W59" i="7"/>
  <c r="W61" i="7" s="1"/>
  <c r="U59" i="7"/>
  <c r="U61" i="7" s="1"/>
  <c r="S59" i="7"/>
  <c r="S61" i="7" s="1"/>
  <c r="N59" i="7"/>
  <c r="N61" i="7" s="1"/>
  <c r="K59" i="7"/>
  <c r="K61" i="7" s="1"/>
  <c r="H59" i="7"/>
  <c r="H61" i="7" s="1"/>
  <c r="E59" i="7"/>
  <c r="E61" i="7" s="1"/>
  <c r="AF52" i="7"/>
  <c r="AD52" i="7"/>
  <c r="Z52" i="7"/>
  <c r="W52" i="7"/>
  <c r="U52" i="7"/>
  <c r="S52" i="7"/>
  <c r="N52" i="7"/>
  <c r="K52" i="7"/>
  <c r="H52" i="7"/>
  <c r="E52" i="7"/>
  <c r="N51" i="7"/>
  <c r="K51" i="7"/>
  <c r="H51" i="7"/>
  <c r="E51" i="7"/>
  <c r="AE49" i="7"/>
  <c r="AE54" i="7" s="1"/>
  <c r="AE7" i="7" s="1"/>
  <c r="AC49" i="7"/>
  <c r="AC54" i="7" s="1"/>
  <c r="Y49" i="7"/>
  <c r="Y54" i="7" s="1"/>
  <c r="V49" i="7"/>
  <c r="V54" i="7" s="1"/>
  <c r="T49" i="7"/>
  <c r="T54" i="7" s="1"/>
  <c r="R49" i="7"/>
  <c r="R54" i="7" s="1"/>
  <c r="L49" i="7"/>
  <c r="L54" i="7" s="1"/>
  <c r="J49" i="7"/>
  <c r="J54" i="7" s="1"/>
  <c r="F49" i="7"/>
  <c r="F54" i="7" s="1"/>
  <c r="D49" i="7"/>
  <c r="D54" i="7" s="1"/>
  <c r="B49" i="7"/>
  <c r="B54" i="7" s="1"/>
  <c r="B63" i="7" s="1"/>
  <c r="AF48" i="7"/>
  <c r="AD48" i="7"/>
  <c r="Z48" i="7"/>
  <c r="W48" i="7"/>
  <c r="U48" i="7"/>
  <c r="S48" i="7"/>
  <c r="N48" i="7"/>
  <c r="K48" i="7"/>
  <c r="H48" i="7"/>
  <c r="E48" i="7"/>
  <c r="AF47" i="7"/>
  <c r="AD47" i="7"/>
  <c r="Z47" i="7"/>
  <c r="W47" i="7"/>
  <c r="U47" i="7"/>
  <c r="S47" i="7"/>
  <c r="N47" i="7"/>
  <c r="K47" i="7"/>
  <c r="H47" i="7"/>
  <c r="E47" i="7"/>
  <c r="AI46" i="7"/>
  <c r="AK46" i="7" s="1"/>
  <c r="AM46" i="7" s="1"/>
  <c r="AO46" i="7" s="1"/>
  <c r="AQ46" i="7" s="1"/>
  <c r="AS46" i="7" s="1"/>
  <c r="AU46" i="7" s="1"/>
  <c r="AW46" i="7" s="1"/>
  <c r="AY46" i="7" s="1"/>
  <c r="BA46" i="7" s="1"/>
  <c r="BC46" i="7" s="1"/>
  <c r="BE46" i="7" s="1"/>
  <c r="AF46" i="7"/>
  <c r="AD46" i="7"/>
  <c r="Z46" i="7"/>
  <c r="W46" i="7"/>
  <c r="S46" i="7"/>
  <c r="P46" i="7"/>
  <c r="U46" i="7" s="1"/>
  <c r="N46" i="7"/>
  <c r="K46" i="7"/>
  <c r="H46" i="7"/>
  <c r="E46" i="7"/>
  <c r="AF45" i="7"/>
  <c r="AD45" i="7"/>
  <c r="Z45" i="7"/>
  <c r="W45" i="7"/>
  <c r="U45" i="7"/>
  <c r="S45" i="7"/>
  <c r="N45" i="7"/>
  <c r="K45" i="7"/>
  <c r="H45" i="7"/>
  <c r="E45" i="7"/>
  <c r="AF44" i="7"/>
  <c r="AD44" i="7"/>
  <c r="Z44" i="7"/>
  <c r="W44" i="7"/>
  <c r="S44" i="7"/>
  <c r="P44" i="7"/>
  <c r="AI44" i="7" s="1"/>
  <c r="N44" i="7"/>
  <c r="K44" i="7"/>
  <c r="H44" i="7"/>
  <c r="E44" i="7"/>
  <c r="AK43" i="7"/>
  <c r="AM43" i="7" s="1"/>
  <c r="AO43" i="7" s="1"/>
  <c r="AF43" i="7"/>
  <c r="AD43" i="7"/>
  <c r="Z43" i="7"/>
  <c r="W43" i="7"/>
  <c r="S43" i="7"/>
  <c r="P43" i="7"/>
  <c r="U43" i="7" s="1"/>
  <c r="N43" i="7"/>
  <c r="K43" i="7"/>
  <c r="H43" i="7"/>
  <c r="E43" i="7"/>
  <c r="AF42" i="7"/>
  <c r="AD42" i="7"/>
  <c r="Z42" i="7"/>
  <c r="W42" i="7"/>
  <c r="U42" i="7"/>
  <c r="S42" i="7"/>
  <c r="N42" i="7"/>
  <c r="K42" i="7"/>
  <c r="H42" i="7"/>
  <c r="E42" i="7"/>
  <c r="AF41" i="7"/>
  <c r="AD41" i="7"/>
  <c r="Z41" i="7"/>
  <c r="W41" i="7"/>
  <c r="U41" i="7"/>
  <c r="S41" i="7"/>
  <c r="N41" i="7"/>
  <c r="K41" i="7"/>
  <c r="H41" i="7"/>
  <c r="E41" i="7"/>
  <c r="AF40" i="7"/>
  <c r="AD40" i="7"/>
  <c r="Z40" i="7"/>
  <c r="W40" i="7"/>
  <c r="U40" i="7"/>
  <c r="S40" i="7"/>
  <c r="N40" i="7"/>
  <c r="K40" i="7"/>
  <c r="H40" i="7"/>
  <c r="E40" i="7"/>
  <c r="AF24" i="7"/>
  <c r="Z24" i="7"/>
  <c r="U24" i="7"/>
  <c r="N24" i="7"/>
  <c r="H24" i="7"/>
  <c r="BA23" i="7"/>
  <c r="BA25" i="7" s="1"/>
  <c r="AY23" i="7"/>
  <c r="AY25" i="7" s="1"/>
  <c r="AW23" i="7"/>
  <c r="AW25" i="7" s="1"/>
  <c r="AU23" i="7"/>
  <c r="AU25" i="7" s="1"/>
  <c r="AS23" i="7"/>
  <c r="AS25" i="7" s="1"/>
  <c r="AQ23" i="7"/>
  <c r="AQ25" i="7" s="1"/>
  <c r="AO23" i="7"/>
  <c r="AO25" i="7" s="1"/>
  <c r="AM23" i="7"/>
  <c r="AM25" i="7" s="1"/>
  <c r="AK23" i="7"/>
  <c r="AK25" i="7" s="1"/>
  <c r="AI23" i="7"/>
  <c r="AI25" i="7" s="1"/>
  <c r="AE23" i="7"/>
  <c r="AE25" i="7" s="1"/>
  <c r="Y23" i="7"/>
  <c r="T23" i="7"/>
  <c r="T25" i="7" s="1"/>
  <c r="P23" i="7"/>
  <c r="P25" i="7" s="1"/>
  <c r="P26" i="7" s="1"/>
  <c r="AI21" i="7" s="1"/>
  <c r="L23" i="7"/>
  <c r="F23" i="7"/>
  <c r="F25" i="7" s="1"/>
  <c r="B23" i="7"/>
  <c r="B25" i="7" s="1"/>
  <c r="B26" i="7" s="1"/>
  <c r="AF22" i="7"/>
  <c r="H22" i="7"/>
  <c r="AF21" i="7"/>
  <c r="Z21" i="7"/>
  <c r="U21" i="7"/>
  <c r="N21" i="7"/>
  <c r="H21" i="7"/>
  <c r="H20" i="7"/>
  <c r="H19" i="7"/>
  <c r="N14" i="7"/>
  <c r="H14" i="7"/>
  <c r="AN13" i="7"/>
  <c r="AY12" i="7"/>
  <c r="AW12" i="7"/>
  <c r="AE12" i="7"/>
  <c r="T12" i="7"/>
  <c r="N10" i="7"/>
  <c r="H10" i="7"/>
  <c r="B9" i="7"/>
  <c r="AI8" i="7"/>
  <c r="Z5" i="7"/>
  <c r="U5" i="7"/>
  <c r="N5" i="7"/>
  <c r="H5" i="7"/>
  <c r="AG234" i="6"/>
  <c r="AG241" i="6" s="1"/>
  <c r="AG226" i="6"/>
  <c r="R63" i="7" l="1"/>
  <c r="AU12" i="7"/>
  <c r="N12" i="7"/>
  <c r="AM222" i="8"/>
  <c r="AK223" i="8"/>
  <c r="AO200" i="7"/>
  <c r="W49" i="7"/>
  <c r="W54" i="7" s="1"/>
  <c r="W63" i="7" s="1"/>
  <c r="Z12" i="7"/>
  <c r="K49" i="7"/>
  <c r="T63" i="7"/>
  <c r="U102" i="7"/>
  <c r="AK73" i="7"/>
  <c r="AK77" i="7" s="1"/>
  <c r="U83" i="7"/>
  <c r="AI12" i="7"/>
  <c r="AI146" i="7"/>
  <c r="AI49" i="7"/>
  <c r="AI54" i="7" s="1"/>
  <c r="N133" i="7"/>
  <c r="H8" i="11"/>
  <c r="N8" i="11"/>
  <c r="V8" i="11" s="1"/>
  <c r="J8" i="11"/>
  <c r="AM1084" i="5" s="1"/>
  <c r="I8" i="11"/>
  <c r="H16" i="9" s="1"/>
  <c r="AW1113" i="5"/>
  <c r="P61" i="9"/>
  <c r="AW1111" i="5"/>
  <c r="P59" i="9"/>
  <c r="AU1140" i="5"/>
  <c r="N88" i="9"/>
  <c r="AW1131" i="5"/>
  <c r="P79" i="9"/>
  <c r="AW1112" i="5"/>
  <c r="P60" i="9"/>
  <c r="AW1126" i="5"/>
  <c r="P74" i="9"/>
  <c r="R89" i="9"/>
  <c r="J64" i="11"/>
  <c r="L37" i="11"/>
  <c r="K52" i="11"/>
  <c r="K57" i="11" s="1"/>
  <c r="K62" i="11" s="1"/>
  <c r="L38" i="11"/>
  <c r="K53" i="11"/>
  <c r="K58" i="11" s="1"/>
  <c r="K63" i="11" s="1"/>
  <c r="L36" i="11"/>
  <c r="L51" i="11" s="1"/>
  <c r="L56" i="11" s="1"/>
  <c r="L61" i="11" s="1"/>
  <c r="K39" i="11"/>
  <c r="Z8" i="7"/>
  <c r="AF23" i="7"/>
  <c r="J63" i="7"/>
  <c r="V63" i="7"/>
  <c r="AD88" i="7"/>
  <c r="E93" i="7"/>
  <c r="AI93" i="7"/>
  <c r="W77" i="7"/>
  <c r="H88" i="7"/>
  <c r="S88" i="7"/>
  <c r="H93" i="7"/>
  <c r="S93" i="7"/>
  <c r="AD93" i="7"/>
  <c r="W102" i="7"/>
  <c r="E102" i="7"/>
  <c r="T7" i="7"/>
  <c r="T9" i="7" s="1"/>
  <c r="H25" i="7"/>
  <c r="AC63" i="7"/>
  <c r="E77" i="7"/>
  <c r="U84" i="7"/>
  <c r="U88" i="7" s="1"/>
  <c r="K93" i="7"/>
  <c r="U90" i="7"/>
  <c r="AY1117" i="5"/>
  <c r="BA1117" i="5" s="1"/>
  <c r="AY1124" i="5"/>
  <c r="BA1124" i="5" s="1"/>
  <c r="R56" i="9"/>
  <c r="AO234" i="6"/>
  <c r="AO241" i="6" s="1"/>
  <c r="AQ233" i="6"/>
  <c r="L63" i="7"/>
  <c r="L7" i="7"/>
  <c r="U12" i="7"/>
  <c r="F63" i="7"/>
  <c r="F7" i="7"/>
  <c r="H12" i="7"/>
  <c r="AF12" i="7"/>
  <c r="H23" i="7"/>
  <c r="U23" i="7"/>
  <c r="N49" i="7"/>
  <c r="N54" i="7" s="1"/>
  <c r="N63" i="7" s="1"/>
  <c r="Z49" i="7"/>
  <c r="Z54" i="7" s="1"/>
  <c r="Z63" i="7" s="1"/>
  <c r="AK39" i="7"/>
  <c r="AK146" i="7" s="1"/>
  <c r="AF49" i="7"/>
  <c r="AF54" i="7" s="1"/>
  <c r="AF63" i="7" s="1"/>
  <c r="S77" i="7"/>
  <c r="AD77" i="7"/>
  <c r="K77" i="7"/>
  <c r="K88" i="7"/>
  <c r="AF88" i="7"/>
  <c r="N93" i="7"/>
  <c r="W93" i="7"/>
  <c r="P93" i="7"/>
  <c r="Z102" i="7"/>
  <c r="H102" i="7"/>
  <c r="AF102" i="7"/>
  <c r="N102" i="7"/>
  <c r="Y103" i="7"/>
  <c r="Y11" i="7" s="1"/>
  <c r="E133" i="7"/>
  <c r="W133" i="7"/>
  <c r="N23" i="7"/>
  <c r="Z23" i="7"/>
  <c r="AI26" i="7"/>
  <c r="AK21" i="7" s="1"/>
  <c r="E49" i="7"/>
  <c r="E54" i="7" s="1"/>
  <c r="E63" i="7" s="1"/>
  <c r="AD49" i="7"/>
  <c r="AD54" i="7" s="1"/>
  <c r="AD63" i="7" s="1"/>
  <c r="K54" i="7"/>
  <c r="K63" i="7" s="1"/>
  <c r="D63" i="7"/>
  <c r="H68" i="7"/>
  <c r="H77" i="7" s="1"/>
  <c r="W88" i="7"/>
  <c r="Z93" i="7"/>
  <c r="AF93" i="7"/>
  <c r="S102" i="7"/>
  <c r="K102" i="7"/>
  <c r="AE103" i="7"/>
  <c r="AE11" i="7" s="1"/>
  <c r="AE13" i="7" s="1"/>
  <c r="H133" i="7"/>
  <c r="S133" i="7"/>
  <c r="AD133" i="7"/>
  <c r="AG225" i="7"/>
  <c r="N8" i="7"/>
  <c r="U8" i="7"/>
  <c r="Y25" i="7"/>
  <c r="Y26" i="7" s="1"/>
  <c r="H49" i="7"/>
  <c r="H54" i="7" s="1"/>
  <c r="H63" i="7" s="1"/>
  <c r="S49" i="7"/>
  <c r="S54" i="7" s="1"/>
  <c r="S63" i="7" s="1"/>
  <c r="AE63" i="7"/>
  <c r="P77" i="7"/>
  <c r="E80" i="7"/>
  <c r="E88" i="7" s="1"/>
  <c r="P88" i="7"/>
  <c r="Z88" i="7"/>
  <c r="N88" i="7"/>
  <c r="T103" i="7"/>
  <c r="T11" i="7" s="1"/>
  <c r="T13" i="7" s="1"/>
  <c r="T15" i="7" s="1"/>
  <c r="K133" i="7"/>
  <c r="Z133" i="7"/>
  <c r="U133" i="7"/>
  <c r="AF133" i="7"/>
  <c r="AG212" i="7"/>
  <c r="AG228" i="6"/>
  <c r="AG243" i="6" s="1"/>
  <c r="AG250" i="6" s="1"/>
  <c r="Y13" i="7"/>
  <c r="AI150" i="7"/>
  <c r="AK44" i="7"/>
  <c r="AM44" i="7" s="1"/>
  <c r="AO44" i="7" s="1"/>
  <c r="AQ44" i="7" s="1"/>
  <c r="AS44" i="7" s="1"/>
  <c r="AU44" i="7" s="1"/>
  <c r="AW44" i="7" s="1"/>
  <c r="AY44" i="7" s="1"/>
  <c r="BA44" i="7" s="1"/>
  <c r="BC44" i="7" s="1"/>
  <c r="BE44" i="7" s="1"/>
  <c r="Y63" i="7"/>
  <c r="Y7" i="7"/>
  <c r="AE26" i="7"/>
  <c r="AF8" i="7"/>
  <c r="AE9" i="7"/>
  <c r="T26" i="7"/>
  <c r="U26" i="7" s="1"/>
  <c r="U25" i="7"/>
  <c r="L25" i="7"/>
  <c r="F26" i="7"/>
  <c r="H26" i="7" s="1"/>
  <c r="AF77" i="7"/>
  <c r="D103" i="7"/>
  <c r="P49" i="7"/>
  <c r="P54" i="7" s="1"/>
  <c r="F103" i="7"/>
  <c r="F11" i="7" s="1"/>
  <c r="R103" i="7"/>
  <c r="AQ43" i="7"/>
  <c r="U44" i="7"/>
  <c r="U49" i="7" s="1"/>
  <c r="U54" i="7" s="1"/>
  <c r="U63" i="7" s="1"/>
  <c r="N77" i="7"/>
  <c r="Z77" i="7"/>
  <c r="AK156" i="7"/>
  <c r="AI77" i="7"/>
  <c r="AO80" i="7"/>
  <c r="AM68" i="7"/>
  <c r="U71" i="7"/>
  <c r="U77" i="7" s="1"/>
  <c r="B103" i="7"/>
  <c r="B11" i="7" s="1"/>
  <c r="B13" i="7" s="1"/>
  <c r="B15" i="7" s="1"/>
  <c r="B16" i="7" s="1"/>
  <c r="L103" i="7"/>
  <c r="L11" i="7" s="1"/>
  <c r="AI85" i="7"/>
  <c r="AK85" i="7" s="1"/>
  <c r="AM85" i="7" s="1"/>
  <c r="AO85" i="7" s="1"/>
  <c r="AQ85" i="7" s="1"/>
  <c r="AS85" i="7" s="1"/>
  <c r="AU85" i="7" s="1"/>
  <c r="AW85" i="7" s="1"/>
  <c r="AY85" i="7" s="1"/>
  <c r="BA85" i="7" s="1"/>
  <c r="BC85" i="7" s="1"/>
  <c r="BE85" i="7" s="1"/>
  <c r="AI87" i="7"/>
  <c r="AK87" i="7" s="1"/>
  <c r="AM87" i="7" s="1"/>
  <c r="AO87" i="7" s="1"/>
  <c r="AQ87" i="7" s="1"/>
  <c r="AS87" i="7" s="1"/>
  <c r="AU87" i="7" s="1"/>
  <c r="AW87" i="7" s="1"/>
  <c r="AY87" i="7" s="1"/>
  <c r="BA87" i="7" s="1"/>
  <c r="BC87" i="7" s="1"/>
  <c r="BE87" i="7" s="1"/>
  <c r="AC88" i="7"/>
  <c r="U92" i="7"/>
  <c r="J93" i="7"/>
  <c r="J103" i="7" s="1"/>
  <c r="AK218" i="7"/>
  <c r="AK225" i="7" s="1"/>
  <c r="AM217" i="7"/>
  <c r="AK90" i="7"/>
  <c r="V93" i="7"/>
  <c r="V103" i="7" s="1"/>
  <c r="AC93" i="7"/>
  <c r="AD99" i="7"/>
  <c r="AD102" i="7" s="1"/>
  <c r="AK209" i="7"/>
  <c r="AI210" i="7"/>
  <c r="AQ133" i="7"/>
  <c r="AQ12" i="7" s="1"/>
  <c r="AI156" i="7"/>
  <c r="AI218" i="7"/>
  <c r="AI225" i="7" s="1"/>
  <c r="AG196" i="6"/>
  <c r="AG199" i="6" s="1"/>
  <c r="N7" i="7" l="1"/>
  <c r="AM73" i="7"/>
  <c r="AK152" i="7"/>
  <c r="E103" i="7"/>
  <c r="AM1125" i="5"/>
  <c r="AM1130" i="5" s="1"/>
  <c r="AM1085" i="5"/>
  <c r="H39" i="9"/>
  <c r="H40" i="9" s="1"/>
  <c r="K103" i="7"/>
  <c r="AM223" i="8"/>
  <c r="AO222" i="8"/>
  <c r="AW202" i="7"/>
  <c r="AQ200" i="7"/>
  <c r="L9" i="7"/>
  <c r="W103" i="7"/>
  <c r="S103" i="7"/>
  <c r="Z103" i="7"/>
  <c r="AD103" i="7"/>
  <c r="Z25" i="7"/>
  <c r="N103" i="7"/>
  <c r="U93" i="7"/>
  <c r="U103" i="7" s="1"/>
  <c r="H103" i="7"/>
  <c r="AF11" i="7"/>
  <c r="AM39" i="7"/>
  <c r="AM146" i="7" s="1"/>
  <c r="R8" i="11"/>
  <c r="K64" i="11"/>
  <c r="Q8" i="11"/>
  <c r="Y8" i="11" s="1"/>
  <c r="K8" i="11"/>
  <c r="E9" i="11"/>
  <c r="P8" i="11"/>
  <c r="X8" i="11" s="1"/>
  <c r="T72" i="9"/>
  <c r="AY1112" i="5"/>
  <c r="BA1112" i="5" s="1"/>
  <c r="R60" i="9"/>
  <c r="T65" i="9"/>
  <c r="AY1126" i="5"/>
  <c r="BA1126" i="5" s="1"/>
  <c r="R74" i="9"/>
  <c r="AY1131" i="5"/>
  <c r="BA1131" i="5" s="1"/>
  <c r="R79" i="9"/>
  <c r="AW1140" i="5"/>
  <c r="P88" i="9"/>
  <c r="AY1111" i="5"/>
  <c r="BA1111" i="5" s="1"/>
  <c r="R59" i="9"/>
  <c r="AY1113" i="5"/>
  <c r="BA1113" i="5" s="1"/>
  <c r="R61" i="9"/>
  <c r="M38" i="11"/>
  <c r="L53" i="11"/>
  <c r="L58" i="11" s="1"/>
  <c r="L63" i="11" s="1"/>
  <c r="M37" i="11"/>
  <c r="L52" i="11"/>
  <c r="L57" i="11" s="1"/>
  <c r="L62" i="11" s="1"/>
  <c r="M36" i="11"/>
  <c r="M51" i="11" s="1"/>
  <c r="M56" i="11" s="1"/>
  <c r="M61" i="11" s="1"/>
  <c r="L39" i="11"/>
  <c r="P103" i="7"/>
  <c r="P11" i="7" s="1"/>
  <c r="U11" i="7" s="1"/>
  <c r="AF26" i="7"/>
  <c r="AQ234" i="6"/>
  <c r="AQ241" i="6" s="1"/>
  <c r="AS233" i="6"/>
  <c r="AM150" i="7"/>
  <c r="Z13" i="7"/>
  <c r="AG227" i="7"/>
  <c r="AG234" i="7" s="1"/>
  <c r="Z11" i="7"/>
  <c r="AC103" i="7"/>
  <c r="AK49" i="7"/>
  <c r="AO150" i="7"/>
  <c r="AF103" i="7"/>
  <c r="AK150" i="7"/>
  <c r="AF25" i="7"/>
  <c r="AK26" i="7"/>
  <c r="AM21" i="7" s="1"/>
  <c r="F9" i="7"/>
  <c r="H9" i="7" s="1"/>
  <c r="H7" i="7"/>
  <c r="AM156" i="7"/>
  <c r="AM77" i="7"/>
  <c r="AO68" i="7"/>
  <c r="AM88" i="7"/>
  <c r="AM152" i="7"/>
  <c r="AO73" i="7"/>
  <c r="AK210" i="7"/>
  <c r="AM209" i="7"/>
  <c r="AO88" i="7"/>
  <c r="AQ80" i="7"/>
  <c r="AQ150" i="7"/>
  <c r="AS43" i="7"/>
  <c r="AF7" i="7"/>
  <c r="Y9" i="7"/>
  <c r="Z7" i="7"/>
  <c r="T16" i="7"/>
  <c r="AK93" i="7"/>
  <c r="AM90" i="7"/>
  <c r="AK88" i="7"/>
  <c r="L13" i="7"/>
  <c r="L15" i="7" s="1"/>
  <c r="N11" i="7"/>
  <c r="AO39" i="7"/>
  <c r="AM49" i="7"/>
  <c r="AM54" i="7" s="1"/>
  <c r="P63" i="7"/>
  <c r="P7" i="7"/>
  <c r="Z26" i="7"/>
  <c r="AF13" i="7"/>
  <c r="AM218" i="7"/>
  <c r="AM225" i="7" s="1"/>
  <c r="AO217" i="7"/>
  <c r="AI7" i="7"/>
  <c r="AI9" i="7" s="1"/>
  <c r="AI63" i="7"/>
  <c r="F13" i="7"/>
  <c r="H11" i="7"/>
  <c r="AI88" i="7"/>
  <c r="L26" i="7"/>
  <c r="N26" i="7" s="1"/>
  <c r="N25" i="7"/>
  <c r="AE15" i="7"/>
  <c r="AF9" i="7"/>
  <c r="N9" i="7"/>
  <c r="P13" i="7" l="1"/>
  <c r="U13" i="7" s="1"/>
  <c r="AK54" i="7"/>
  <c r="AK63" i="7" s="1"/>
  <c r="AQ222" i="8"/>
  <c r="AO223" i="8"/>
  <c r="AM1132" i="5"/>
  <c r="H78" i="9"/>
  <c r="H80" i="9" s="1"/>
  <c r="H73" i="9"/>
  <c r="H75" i="9" s="1"/>
  <c r="AM1127" i="5"/>
  <c r="AY202" i="7"/>
  <c r="AS200" i="7"/>
  <c r="BC1124" i="5"/>
  <c r="BC1117" i="5"/>
  <c r="S8" i="11"/>
  <c r="AA8" i="11" s="1"/>
  <c r="Z8" i="11"/>
  <c r="M9" i="11"/>
  <c r="U9" i="11" s="1"/>
  <c r="F9" i="11"/>
  <c r="L64" i="11"/>
  <c r="T89" i="9"/>
  <c r="T59" i="9"/>
  <c r="AY1140" i="5"/>
  <c r="BA1140" i="5" s="1"/>
  <c r="R88" i="9"/>
  <c r="T74" i="9"/>
  <c r="T61" i="9"/>
  <c r="V72" i="9"/>
  <c r="T56" i="9"/>
  <c r="T60" i="9"/>
  <c r="T79" i="9"/>
  <c r="V65" i="9"/>
  <c r="N37" i="11"/>
  <c r="N52" i="11" s="1"/>
  <c r="N57" i="11" s="1"/>
  <c r="N62" i="11" s="1"/>
  <c r="M52" i="11"/>
  <c r="M57" i="11" s="1"/>
  <c r="M62" i="11" s="1"/>
  <c r="N38" i="11"/>
  <c r="N53" i="11" s="1"/>
  <c r="N58" i="11" s="1"/>
  <c r="N63" i="11" s="1"/>
  <c r="M53" i="11"/>
  <c r="M58" i="11" s="1"/>
  <c r="M63" i="11" s="1"/>
  <c r="N36" i="11"/>
  <c r="M39" i="11"/>
  <c r="AK153" i="7"/>
  <c r="AK158" i="7" s="1"/>
  <c r="AK180" i="7" s="1"/>
  <c r="AS234" i="6"/>
  <c r="AS241" i="6" s="1"/>
  <c r="AU233" i="6"/>
  <c r="AM26" i="7"/>
  <c r="AO26" i="7" s="1"/>
  <c r="AQ21" i="7" s="1"/>
  <c r="AQ26" i="7" s="1"/>
  <c r="AS21" i="7" s="1"/>
  <c r="AS26" i="7" s="1"/>
  <c r="AU21" i="7" s="1"/>
  <c r="AU26" i="7" s="1"/>
  <c r="AW21" i="7" s="1"/>
  <c r="AW26" i="7" s="1"/>
  <c r="AY21" i="7" s="1"/>
  <c r="AY26" i="7" s="1"/>
  <c r="BA21" i="7" s="1"/>
  <c r="BA26" i="7" s="1"/>
  <c r="AE16" i="7"/>
  <c r="AM63" i="7"/>
  <c r="AM7" i="7"/>
  <c r="AM9" i="7" s="1"/>
  <c r="N13" i="7"/>
  <c r="AO156" i="7"/>
  <c r="AQ68" i="7"/>
  <c r="AO77" i="7"/>
  <c r="L16" i="7"/>
  <c r="AI153" i="7"/>
  <c r="AI158" i="7" s="1"/>
  <c r="AI180" i="7" s="1"/>
  <c r="AI103" i="7"/>
  <c r="AI11" i="7" s="1"/>
  <c r="AI13" i="7" s="1"/>
  <c r="AI15" i="7" s="1"/>
  <c r="AO146" i="7"/>
  <c r="AO49" i="7"/>
  <c r="AO54" i="7" s="1"/>
  <c r="AQ39" i="7"/>
  <c r="AS150" i="7"/>
  <c r="AU43" i="7"/>
  <c r="AO152" i="7"/>
  <c r="AQ73" i="7"/>
  <c r="AQ217" i="7"/>
  <c r="AO218" i="7"/>
  <c r="AO225" i="7" s="1"/>
  <c r="P9" i="7"/>
  <c r="U7" i="7"/>
  <c r="AM93" i="7"/>
  <c r="AM103" i="7" s="1"/>
  <c r="AM11" i="7" s="1"/>
  <c r="AM13" i="7" s="1"/>
  <c r="AO90" i="7"/>
  <c r="AO21" i="7"/>
  <c r="H13" i="7"/>
  <c r="F15" i="7"/>
  <c r="N15" i="7" s="1"/>
  <c r="AK103" i="7"/>
  <c r="AK11" i="7" s="1"/>
  <c r="AK13" i="7" s="1"/>
  <c r="Z9" i="7"/>
  <c r="Y15" i="7"/>
  <c r="AF15" i="7" s="1"/>
  <c r="AS80" i="7"/>
  <c r="AQ88" i="7"/>
  <c r="AM210" i="7"/>
  <c r="AO209" i="7"/>
  <c r="AI24" i="5"/>
  <c r="AI667" i="5"/>
  <c r="AI229" i="5"/>
  <c r="AI127" i="5"/>
  <c r="AK7" i="7" l="1"/>
  <c r="AK9" i="7" s="1"/>
  <c r="AK15" i="7" s="1"/>
  <c r="AK188" i="7" s="1"/>
  <c r="AK189" i="7" s="1"/>
  <c r="AK191" i="7" s="1"/>
  <c r="AI188" i="7"/>
  <c r="AI189" i="7" s="1"/>
  <c r="AI191" i="7" s="1"/>
  <c r="AI16" i="7"/>
  <c r="AK5" i="7" s="1"/>
  <c r="AM1134" i="5"/>
  <c r="H82" i="9"/>
  <c r="AS222" i="8"/>
  <c r="AQ223" i="8"/>
  <c r="AW214" i="6"/>
  <c r="AW218" i="6"/>
  <c r="BA202" i="7"/>
  <c r="BC202" i="7" s="1"/>
  <c r="BE202" i="7" s="1"/>
  <c r="AU200" i="7"/>
  <c r="BC1126" i="5"/>
  <c r="BC1127" i="5" s="1"/>
  <c r="BC1131" i="5"/>
  <c r="BC1111" i="5"/>
  <c r="BE1124" i="5"/>
  <c r="X72" i="9"/>
  <c r="BC1112" i="5"/>
  <c r="BC1113" i="5"/>
  <c r="BE1117" i="5"/>
  <c r="Z65" i="9" s="1"/>
  <c r="X65" i="9"/>
  <c r="H9" i="11"/>
  <c r="E10" i="11" s="1"/>
  <c r="N9" i="11"/>
  <c r="V9" i="11" s="1"/>
  <c r="M64" i="11"/>
  <c r="V74" i="9"/>
  <c r="V60" i="9"/>
  <c r="V56" i="9"/>
  <c r="V59" i="9"/>
  <c r="V79" i="9"/>
  <c r="V61" i="9"/>
  <c r="T88" i="9"/>
  <c r="V89" i="9"/>
  <c r="N39" i="11"/>
  <c r="N51" i="11"/>
  <c r="N56" i="11" s="1"/>
  <c r="N61" i="11" s="1"/>
  <c r="N64" i="11" s="1"/>
  <c r="AK105" i="7"/>
  <c r="AK135" i="7" s="1"/>
  <c r="AK139" i="7" s="1"/>
  <c r="AW233" i="6"/>
  <c r="AU234" i="6"/>
  <c r="AU241" i="6" s="1"/>
  <c r="AI183" i="7"/>
  <c r="AI197" i="7" s="1"/>
  <c r="AQ156" i="7"/>
  <c r="AQ77" i="7"/>
  <c r="AS68" i="7"/>
  <c r="AQ209" i="7"/>
  <c r="AO210" i="7"/>
  <c r="P15" i="7"/>
  <c r="U9" i="7"/>
  <c r="AO63" i="7"/>
  <c r="AO7" i="7"/>
  <c r="AO9" i="7" s="1"/>
  <c r="AS217" i="7"/>
  <c r="AQ218" i="7"/>
  <c r="AQ225" i="7" s="1"/>
  <c r="AU150" i="7"/>
  <c r="AW43" i="7"/>
  <c r="AM15" i="7"/>
  <c r="AO93" i="7"/>
  <c r="AQ90" i="7"/>
  <c r="AQ146" i="7"/>
  <c r="AQ49" i="7"/>
  <c r="AQ54" i="7" s="1"/>
  <c r="AS39" i="7"/>
  <c r="AM153" i="7"/>
  <c r="AM158" i="7" s="1"/>
  <c r="AM180" i="7" s="1"/>
  <c r="AU80" i="7"/>
  <c r="AS88" i="7"/>
  <c r="H15" i="7"/>
  <c r="F16" i="7"/>
  <c r="H16" i="7" s="1"/>
  <c r="AQ152" i="7"/>
  <c r="AS73" i="7"/>
  <c r="AM105" i="7"/>
  <c r="AM135" i="7" s="1"/>
  <c r="AM139" i="7" s="1"/>
  <c r="Y16" i="7"/>
  <c r="Z16" i="7" s="1"/>
  <c r="Z15" i="7"/>
  <c r="AI105" i="7"/>
  <c r="AI135" i="7" s="1"/>
  <c r="AI139" i="7" s="1"/>
  <c r="AE141" i="8"/>
  <c r="Y141" i="8"/>
  <c r="V141" i="8"/>
  <c r="T141" i="8"/>
  <c r="R141" i="8"/>
  <c r="L141" i="8"/>
  <c r="J141" i="8"/>
  <c r="F141" i="8"/>
  <c r="D141" i="8"/>
  <c r="B141" i="8"/>
  <c r="AI140" i="8"/>
  <c r="AK140" i="8" s="1"/>
  <c r="AM140" i="8" s="1"/>
  <c r="AO140" i="8" s="1"/>
  <c r="AQ140" i="8" s="1"/>
  <c r="AS140" i="8" s="1"/>
  <c r="AU140" i="8" s="1"/>
  <c r="AW140" i="8" s="1"/>
  <c r="AY140" i="8" s="1"/>
  <c r="BA140" i="8" s="1"/>
  <c r="BC140" i="8" s="1"/>
  <c r="BE140" i="8" s="1"/>
  <c r="AF140" i="8"/>
  <c r="AC140" i="8"/>
  <c r="AC141" i="8" s="1"/>
  <c r="Z140" i="8"/>
  <c r="W140" i="8"/>
  <c r="U140" i="8"/>
  <c r="S140" i="8"/>
  <c r="N140" i="8"/>
  <c r="K140" i="8"/>
  <c r="H140" i="8"/>
  <c r="E140" i="8"/>
  <c r="AF139" i="8"/>
  <c r="AD139" i="8"/>
  <c r="Z139" i="8"/>
  <c r="W139" i="8"/>
  <c r="U139" i="8"/>
  <c r="S139" i="8"/>
  <c r="N139" i="8"/>
  <c r="K139" i="8"/>
  <c r="H139" i="8"/>
  <c r="E139" i="8"/>
  <c r="AF138" i="8"/>
  <c r="AD138" i="8"/>
  <c r="Z138" i="8"/>
  <c r="W138" i="8"/>
  <c r="U138" i="8"/>
  <c r="S138" i="8"/>
  <c r="N138" i="8"/>
  <c r="K138" i="8"/>
  <c r="H138" i="8"/>
  <c r="E138" i="8"/>
  <c r="AF137" i="8"/>
  <c r="AD137" i="8"/>
  <c r="Z137" i="8"/>
  <c r="W137" i="8"/>
  <c r="U137" i="8"/>
  <c r="S137" i="8"/>
  <c r="N137" i="8"/>
  <c r="K137" i="8"/>
  <c r="H137" i="8"/>
  <c r="E137" i="8"/>
  <c r="AF136" i="8"/>
  <c r="AD136" i="8"/>
  <c r="Z136" i="8"/>
  <c r="W136" i="8"/>
  <c r="U136" i="8"/>
  <c r="S136" i="8"/>
  <c r="AF135" i="8"/>
  <c r="AD135" i="8"/>
  <c r="Z135" i="8"/>
  <c r="W135" i="8"/>
  <c r="U135" i="8"/>
  <c r="S135" i="8"/>
  <c r="N135" i="8"/>
  <c r="K135" i="8"/>
  <c r="H135" i="8"/>
  <c r="E135" i="8"/>
  <c r="AF134" i="8"/>
  <c r="AD134" i="8"/>
  <c r="Z134" i="8"/>
  <c r="W134" i="8"/>
  <c r="U134" i="8"/>
  <c r="S134" i="8"/>
  <c r="N134" i="8"/>
  <c r="K134" i="8"/>
  <c r="H134" i="8"/>
  <c r="E134" i="8"/>
  <c r="AF133" i="8"/>
  <c r="AD133" i="8"/>
  <c r="Z133" i="8"/>
  <c r="W133" i="8"/>
  <c r="U133" i="8"/>
  <c r="S133" i="8"/>
  <c r="N133" i="8"/>
  <c r="K133" i="8"/>
  <c r="H133" i="8"/>
  <c r="E133" i="8"/>
  <c r="AI132" i="8"/>
  <c r="AK132" i="8" s="1"/>
  <c r="AF132" i="8"/>
  <c r="AD132" i="8"/>
  <c r="Z132" i="8"/>
  <c r="W132" i="8"/>
  <c r="S132" i="8"/>
  <c r="P132" i="8"/>
  <c r="U132" i="8" s="1"/>
  <c r="N132" i="8"/>
  <c r="K132" i="8"/>
  <c r="H132" i="8"/>
  <c r="E132" i="8"/>
  <c r="AF131" i="8"/>
  <c r="AD131" i="8"/>
  <c r="Z131" i="8"/>
  <c r="W131" i="8"/>
  <c r="U131" i="8"/>
  <c r="S131" i="8"/>
  <c r="N131" i="8"/>
  <c r="K131" i="8"/>
  <c r="H131" i="8"/>
  <c r="E131" i="8"/>
  <c r="BA126" i="8"/>
  <c r="AY126" i="8"/>
  <c r="AW126" i="8"/>
  <c r="AU126" i="8"/>
  <c r="AS126" i="8"/>
  <c r="AQ126" i="8"/>
  <c r="AO126" i="8"/>
  <c r="AM126" i="8"/>
  <c r="AK126" i="8"/>
  <c r="AI126" i="8"/>
  <c r="AE126" i="8"/>
  <c r="AC126" i="8"/>
  <c r="Y126" i="8"/>
  <c r="V126" i="8"/>
  <c r="T126" i="8"/>
  <c r="R126" i="8"/>
  <c r="P126" i="8"/>
  <c r="L126" i="8"/>
  <c r="J126" i="8"/>
  <c r="F126" i="8"/>
  <c r="D126" i="8"/>
  <c r="B126" i="8"/>
  <c r="AF125" i="8"/>
  <c r="AD125" i="8"/>
  <c r="Z125" i="8"/>
  <c r="N125" i="8"/>
  <c r="K125" i="8"/>
  <c r="H125" i="8"/>
  <c r="E125" i="8"/>
  <c r="AF124" i="8"/>
  <c r="AD124" i="8"/>
  <c r="Z124" i="8"/>
  <c r="N124" i="8"/>
  <c r="K124" i="8"/>
  <c r="H124" i="8"/>
  <c r="E124" i="8"/>
  <c r="AF123" i="8"/>
  <c r="AD123" i="8"/>
  <c r="Z123" i="8"/>
  <c r="N123" i="8"/>
  <c r="K123" i="8"/>
  <c r="H123" i="8"/>
  <c r="E123" i="8"/>
  <c r="AF122" i="8"/>
  <c r="AD122" i="8"/>
  <c r="Z122" i="8"/>
  <c r="N122" i="8"/>
  <c r="K122" i="8"/>
  <c r="H122" i="8"/>
  <c r="E122" i="8"/>
  <c r="AF121" i="8"/>
  <c r="AD121" i="8"/>
  <c r="Z121" i="8"/>
  <c r="N121" i="8"/>
  <c r="K121" i="8"/>
  <c r="H121" i="8"/>
  <c r="E121" i="8"/>
  <c r="AF120" i="8"/>
  <c r="AD120" i="8"/>
  <c r="Z120" i="8"/>
  <c r="N120" i="8"/>
  <c r="K120" i="8"/>
  <c r="H120" i="8"/>
  <c r="E120" i="8"/>
  <c r="AF119" i="8"/>
  <c r="AD119" i="8"/>
  <c r="Z119" i="8"/>
  <c r="N119" i="8"/>
  <c r="K119" i="8"/>
  <c r="H119" i="8"/>
  <c r="E119" i="8"/>
  <c r="AF118" i="8"/>
  <c r="AD118" i="8"/>
  <c r="Z118" i="8"/>
  <c r="W118" i="8"/>
  <c r="W126" i="8" s="1"/>
  <c r="U118" i="8"/>
  <c r="U126" i="8" s="1"/>
  <c r="S118" i="8"/>
  <c r="S126" i="8" s="1"/>
  <c r="N118" i="8"/>
  <c r="K118" i="8"/>
  <c r="H118" i="8"/>
  <c r="E118" i="8"/>
  <c r="Z117" i="8"/>
  <c r="BA114" i="8"/>
  <c r="AY114" i="8"/>
  <c r="AW114" i="8"/>
  <c r="AU114" i="8"/>
  <c r="AS114" i="8"/>
  <c r="AQ114" i="8"/>
  <c r="AO114" i="8"/>
  <c r="AM114" i="8"/>
  <c r="AK114" i="8"/>
  <c r="AI114" i="8"/>
  <c r="AE114" i="8"/>
  <c r="AC114" i="8"/>
  <c r="Y114" i="8"/>
  <c r="V114" i="8"/>
  <c r="T114" i="8"/>
  <c r="R114" i="8"/>
  <c r="P114" i="8"/>
  <c r="L114" i="8"/>
  <c r="J114" i="8"/>
  <c r="F114" i="8"/>
  <c r="D114" i="8"/>
  <c r="B114" i="8"/>
  <c r="AF113" i="8"/>
  <c r="AD113" i="8"/>
  <c r="Z113" i="8"/>
  <c r="N113" i="8"/>
  <c r="K113" i="8"/>
  <c r="H113" i="8"/>
  <c r="E113" i="8"/>
  <c r="AF112" i="8"/>
  <c r="AD112" i="8"/>
  <c r="Z112" i="8"/>
  <c r="N112" i="8"/>
  <c r="K112" i="8"/>
  <c r="H112" i="8"/>
  <c r="E112" i="8"/>
  <c r="AF111" i="8"/>
  <c r="AD111" i="8"/>
  <c r="Z111" i="8"/>
  <c r="N111" i="8"/>
  <c r="K111" i="8"/>
  <c r="H111" i="8"/>
  <c r="E111" i="8"/>
  <c r="AF110" i="8"/>
  <c r="AD110" i="8"/>
  <c r="Z110" i="8"/>
  <c r="N110" i="8"/>
  <c r="K110" i="8"/>
  <c r="H110" i="8"/>
  <c r="E110" i="8"/>
  <c r="AF109" i="8"/>
  <c r="AD109" i="8"/>
  <c r="Z109" i="8"/>
  <c r="N109" i="8"/>
  <c r="K109" i="8"/>
  <c r="H109" i="8"/>
  <c r="E109" i="8"/>
  <c r="AF108" i="8"/>
  <c r="AD108" i="8"/>
  <c r="Z108" i="8"/>
  <c r="N108" i="8"/>
  <c r="K108" i="8"/>
  <c r="H108" i="8"/>
  <c r="E108" i="8"/>
  <c r="AF107" i="8"/>
  <c r="AD107" i="8"/>
  <c r="Z107" i="8"/>
  <c r="W107" i="8"/>
  <c r="U107" i="8"/>
  <c r="S107" i="8"/>
  <c r="N107" i="8"/>
  <c r="K107" i="8"/>
  <c r="H107" i="8"/>
  <c r="E107" i="8"/>
  <c r="AF106" i="8"/>
  <c r="AD106" i="8"/>
  <c r="Z106" i="8"/>
  <c r="W106" i="8"/>
  <c r="N106" i="8"/>
  <c r="K106" i="8"/>
  <c r="H106" i="8"/>
  <c r="E106" i="8"/>
  <c r="AF105" i="8"/>
  <c r="AD105" i="8"/>
  <c r="Z105" i="8"/>
  <c r="W105" i="8"/>
  <c r="N105" i="8"/>
  <c r="K105" i="8"/>
  <c r="H105" i="8"/>
  <c r="E105" i="8"/>
  <c r="AF104" i="8"/>
  <c r="AD104" i="8"/>
  <c r="Z104" i="8"/>
  <c r="W104" i="8"/>
  <c r="N104" i="8"/>
  <c r="K104" i="8"/>
  <c r="H104" i="8"/>
  <c r="E104" i="8"/>
  <c r="AF103" i="8"/>
  <c r="AD103" i="8"/>
  <c r="Z103" i="8"/>
  <c r="W103" i="8"/>
  <c r="N103" i="8"/>
  <c r="K103" i="8"/>
  <c r="H103" i="8"/>
  <c r="E103" i="8"/>
  <c r="AF102" i="8"/>
  <c r="AD102" i="8"/>
  <c r="Z102" i="8"/>
  <c r="W102" i="8"/>
  <c r="N102" i="8"/>
  <c r="K102" i="8"/>
  <c r="H102" i="8"/>
  <c r="E102" i="8"/>
  <c r="AF101" i="8"/>
  <c r="AD101" i="8"/>
  <c r="Z101" i="8"/>
  <c r="W101" i="8"/>
  <c r="N101" i="8"/>
  <c r="K101" i="8"/>
  <c r="H101" i="8"/>
  <c r="E101" i="8"/>
  <c r="AF100" i="8"/>
  <c r="AD100" i="8"/>
  <c r="Z100" i="8"/>
  <c r="W100" i="8"/>
  <c r="N100" i="8"/>
  <c r="K100" i="8"/>
  <c r="H100" i="8"/>
  <c r="E100" i="8"/>
  <c r="AF99" i="8"/>
  <c r="AD99" i="8"/>
  <c r="Z99" i="8"/>
  <c r="W99" i="8"/>
  <c r="N99" i="8"/>
  <c r="K99" i="8"/>
  <c r="H99" i="8"/>
  <c r="E99" i="8"/>
  <c r="AF98" i="8"/>
  <c r="AD98" i="8"/>
  <c r="Z98" i="8"/>
  <c r="W98" i="8"/>
  <c r="N98" i="8"/>
  <c r="K98" i="8"/>
  <c r="H98" i="8"/>
  <c r="E98" i="8"/>
  <c r="AF97" i="8"/>
  <c r="AD97" i="8"/>
  <c r="Z97" i="8"/>
  <c r="W97" i="8"/>
  <c r="N97" i="8"/>
  <c r="K97" i="8"/>
  <c r="H97" i="8"/>
  <c r="E97" i="8"/>
  <c r="AF96" i="8"/>
  <c r="AD96" i="8"/>
  <c r="Z96" i="8"/>
  <c r="W96" i="8"/>
  <c r="U96" i="8"/>
  <c r="S96" i="8"/>
  <c r="N96" i="8"/>
  <c r="K96" i="8"/>
  <c r="H96" i="8"/>
  <c r="E96" i="8"/>
  <c r="AF95" i="8"/>
  <c r="AD95" i="8"/>
  <c r="Z95" i="8"/>
  <c r="AF94" i="8"/>
  <c r="AD94" i="8"/>
  <c r="Z94" i="8"/>
  <c r="AF93" i="8"/>
  <c r="AD93" i="8"/>
  <c r="Z93" i="8"/>
  <c r="AF92" i="8"/>
  <c r="AD92" i="8"/>
  <c r="Z92" i="8"/>
  <c r="BA89" i="8"/>
  <c r="AY89" i="8"/>
  <c r="AW89" i="8"/>
  <c r="AU89" i="8"/>
  <c r="AS89" i="8"/>
  <c r="AQ89" i="8"/>
  <c r="AO89" i="8"/>
  <c r="AM89" i="8"/>
  <c r="AK89" i="8"/>
  <c r="AI89" i="8"/>
  <c r="AE89" i="8"/>
  <c r="AC89" i="8"/>
  <c r="Y89" i="8"/>
  <c r="W89" i="8"/>
  <c r="V89" i="8"/>
  <c r="T89" i="8"/>
  <c r="R89" i="8"/>
  <c r="P89" i="8"/>
  <c r="L89" i="8"/>
  <c r="J89" i="8"/>
  <c r="F89" i="8"/>
  <c r="D89" i="8"/>
  <c r="B89" i="8"/>
  <c r="AF88" i="8"/>
  <c r="AD88" i="8"/>
  <c r="Z88" i="8"/>
  <c r="AF87" i="8"/>
  <c r="AD87" i="8"/>
  <c r="Z87" i="8"/>
  <c r="U87" i="8"/>
  <c r="S87" i="8"/>
  <c r="AF86" i="8"/>
  <c r="AD86" i="8"/>
  <c r="Z86" i="8"/>
  <c r="U86" i="8"/>
  <c r="S86" i="8"/>
  <c r="N86" i="8"/>
  <c r="N89" i="8" s="1"/>
  <c r="K86" i="8"/>
  <c r="K89" i="8" s="1"/>
  <c r="H86" i="8"/>
  <c r="H89" i="8" s="1"/>
  <c r="E86" i="8"/>
  <c r="E89" i="8" s="1"/>
  <c r="AI82" i="8"/>
  <c r="AK82" i="8" s="1"/>
  <c r="AM82" i="8" s="1"/>
  <c r="AO82" i="8" s="1"/>
  <c r="AQ82" i="8" s="1"/>
  <c r="AS82" i="8" s="1"/>
  <c r="AU82" i="8" s="1"/>
  <c r="AW82" i="8" s="1"/>
  <c r="AY82" i="8" s="1"/>
  <c r="BA82" i="8" s="1"/>
  <c r="BC82" i="8" s="1"/>
  <c r="BE82" i="8" s="1"/>
  <c r="AF82" i="8"/>
  <c r="AD82" i="8"/>
  <c r="Z82" i="8"/>
  <c r="W82" i="8"/>
  <c r="S82" i="8"/>
  <c r="P82" i="8"/>
  <c r="U82" i="8" s="1"/>
  <c r="N82" i="8"/>
  <c r="K82" i="8"/>
  <c r="H82" i="8"/>
  <c r="E82" i="8"/>
  <c r="AK77" i="8"/>
  <c r="AM77" i="8" s="1"/>
  <c r="AO77" i="8" s="1"/>
  <c r="AQ77" i="8" s="1"/>
  <c r="AS77" i="8" s="1"/>
  <c r="AU77" i="8" s="1"/>
  <c r="AW77" i="8" s="1"/>
  <c r="AY77" i="8" s="1"/>
  <c r="BA77" i="8" s="1"/>
  <c r="BC77" i="8" s="1"/>
  <c r="BE77" i="8" s="1"/>
  <c r="AF77" i="8"/>
  <c r="AD77" i="8"/>
  <c r="Z77" i="8"/>
  <c r="W77" i="8"/>
  <c r="S77" i="8"/>
  <c r="P77" i="8"/>
  <c r="U77" i="8" s="1"/>
  <c r="N77" i="8"/>
  <c r="K77" i="8"/>
  <c r="H77" i="8"/>
  <c r="E77" i="8"/>
  <c r="AE73" i="8"/>
  <c r="AC73" i="8"/>
  <c r="Y73" i="8"/>
  <c r="V73" i="8"/>
  <c r="T73" i="8"/>
  <c r="R73" i="8"/>
  <c r="L73" i="8"/>
  <c r="J73" i="8"/>
  <c r="F73" i="8"/>
  <c r="D73" i="8"/>
  <c r="B73" i="8"/>
  <c r="AF72" i="8"/>
  <c r="AD72" i="8"/>
  <c r="Z72" i="8"/>
  <c r="W72" i="8"/>
  <c r="S72" i="8"/>
  <c r="P72" i="8"/>
  <c r="AI72" i="8" s="1"/>
  <c r="AK72" i="8" s="1"/>
  <c r="AM72" i="8" s="1"/>
  <c r="AO72" i="8" s="1"/>
  <c r="AQ72" i="8" s="1"/>
  <c r="AS72" i="8" s="1"/>
  <c r="AU72" i="8" s="1"/>
  <c r="AW72" i="8" s="1"/>
  <c r="AY72" i="8" s="1"/>
  <c r="BA72" i="8" s="1"/>
  <c r="BC72" i="8" s="1"/>
  <c r="BE72" i="8" s="1"/>
  <c r="N72" i="8"/>
  <c r="K72" i="8"/>
  <c r="H72" i="8"/>
  <c r="E72" i="8"/>
  <c r="AI71" i="8"/>
  <c r="AF71" i="8"/>
  <c r="AD71" i="8"/>
  <c r="Z71" i="8"/>
  <c r="W71" i="8"/>
  <c r="U71" i="8"/>
  <c r="S71" i="8"/>
  <c r="S73" i="8" s="1"/>
  <c r="N71" i="8"/>
  <c r="K71" i="8"/>
  <c r="H71" i="8"/>
  <c r="E71" i="8"/>
  <c r="AF62" i="8"/>
  <c r="AD62" i="8"/>
  <c r="Z62" i="8"/>
  <c r="W62" i="8"/>
  <c r="U62" i="8"/>
  <c r="S62" i="8"/>
  <c r="N62" i="8"/>
  <c r="K62" i="8"/>
  <c r="H62" i="8"/>
  <c r="E62" i="8"/>
  <c r="AE55" i="8"/>
  <c r="Y55" i="8"/>
  <c r="V55" i="8"/>
  <c r="T55" i="8"/>
  <c r="R55" i="8"/>
  <c r="L55" i="8"/>
  <c r="J55" i="8"/>
  <c r="F55" i="8"/>
  <c r="D55" i="8"/>
  <c r="B55" i="8"/>
  <c r="AF54" i="8"/>
  <c r="AD54" i="8"/>
  <c r="Z54" i="8"/>
  <c r="W54" i="8"/>
  <c r="S54" i="8"/>
  <c r="P54" i="8"/>
  <c r="AI54" i="8" s="1"/>
  <c r="AI166" i="8" s="1"/>
  <c r="N54" i="8"/>
  <c r="K54" i="8"/>
  <c r="H54" i="8"/>
  <c r="E54" i="8"/>
  <c r="AF53" i="8"/>
  <c r="AD53" i="8"/>
  <c r="Z53" i="8"/>
  <c r="W53" i="8"/>
  <c r="U53" i="8"/>
  <c r="S53" i="8"/>
  <c r="N53" i="8"/>
  <c r="K53" i="8"/>
  <c r="H53" i="8"/>
  <c r="E53" i="8"/>
  <c r="AF52" i="8"/>
  <c r="AD52" i="8"/>
  <c r="Z52" i="8"/>
  <c r="W52" i="8"/>
  <c r="U52" i="8"/>
  <c r="S52" i="8"/>
  <c r="N52" i="8"/>
  <c r="K52" i="8"/>
  <c r="H52" i="8"/>
  <c r="E52" i="8"/>
  <c r="AF51" i="8"/>
  <c r="AD51" i="8"/>
  <c r="Z51" i="8"/>
  <c r="W51" i="8"/>
  <c r="U51" i="8"/>
  <c r="S51" i="8"/>
  <c r="N51" i="8"/>
  <c r="K51" i="8"/>
  <c r="H51" i="8"/>
  <c r="E51" i="8"/>
  <c r="AF50" i="8"/>
  <c r="AD50" i="8"/>
  <c r="Z50" i="8"/>
  <c r="W50" i="8"/>
  <c r="U50" i="8"/>
  <c r="S50" i="8"/>
  <c r="N50" i="8"/>
  <c r="K50" i="8"/>
  <c r="H50" i="8"/>
  <c r="E50" i="8"/>
  <c r="AF49" i="8"/>
  <c r="AD49" i="8"/>
  <c r="Z49" i="8"/>
  <c r="W49" i="8"/>
  <c r="U49" i="8"/>
  <c r="S49" i="8"/>
  <c r="N49" i="8"/>
  <c r="K49" i="8"/>
  <c r="H49" i="8"/>
  <c r="E49" i="8"/>
  <c r="AF48" i="8"/>
  <c r="AC48" i="8"/>
  <c r="AC55" i="8" s="1"/>
  <c r="Z48" i="8"/>
  <c r="W48" i="8"/>
  <c r="U48" i="8"/>
  <c r="S48" i="8"/>
  <c r="N48" i="8"/>
  <c r="K48" i="8"/>
  <c r="H48" i="8"/>
  <c r="E48" i="8"/>
  <c r="AF47" i="8"/>
  <c r="AD47" i="8"/>
  <c r="W47" i="8"/>
  <c r="AE44" i="8"/>
  <c r="AC44" i="8"/>
  <c r="Y44" i="8"/>
  <c r="V44" i="8"/>
  <c r="T44" i="8"/>
  <c r="R44" i="8"/>
  <c r="L44" i="8"/>
  <c r="J44" i="8"/>
  <c r="F44" i="8"/>
  <c r="D44" i="8"/>
  <c r="B44" i="8"/>
  <c r="AF43" i="8"/>
  <c r="AD43" i="8"/>
  <c r="Z43" i="8"/>
  <c r="W43" i="8"/>
  <c r="U43" i="8"/>
  <c r="S43" i="8"/>
  <c r="N43" i="8"/>
  <c r="K43" i="8"/>
  <c r="H43" i="8"/>
  <c r="E43" i="8"/>
  <c r="AM42" i="8"/>
  <c r="AM164" i="8" s="1"/>
  <c r="AI42" i="8"/>
  <c r="AF42" i="8"/>
  <c r="AD42" i="8"/>
  <c r="Z42" i="8"/>
  <c r="W42" i="8"/>
  <c r="U42" i="8"/>
  <c r="S42" i="8"/>
  <c r="N42" i="8"/>
  <c r="K42" i="8"/>
  <c r="H42" i="8"/>
  <c r="E42" i="8"/>
  <c r="AI41" i="8"/>
  <c r="AI163" i="8" s="1"/>
  <c r="AF41" i="8"/>
  <c r="AD41" i="8"/>
  <c r="Z41" i="8"/>
  <c r="W41" i="8"/>
  <c r="S41" i="8"/>
  <c r="P41" i="8"/>
  <c r="U41" i="8" s="1"/>
  <c r="N41" i="8"/>
  <c r="K41" i="8"/>
  <c r="H41" i="8"/>
  <c r="E41" i="8"/>
  <c r="AK40" i="8"/>
  <c r="AF40" i="8"/>
  <c r="AD40" i="8"/>
  <c r="Z40" i="8"/>
  <c r="W40" i="8"/>
  <c r="U40" i="8"/>
  <c r="S40" i="8"/>
  <c r="N40" i="8"/>
  <c r="K40" i="8"/>
  <c r="H40" i="8"/>
  <c r="E40" i="8"/>
  <c r="AZ39" i="8"/>
  <c r="AT39" i="8"/>
  <c r="AV39" i="8" s="1"/>
  <c r="AN39" i="8"/>
  <c r="AI39" i="8"/>
  <c r="AF39" i="8"/>
  <c r="AD39" i="8"/>
  <c r="Z39" i="8"/>
  <c r="W39" i="8"/>
  <c r="S39" i="8"/>
  <c r="P39" i="8"/>
  <c r="U39" i="8" s="1"/>
  <c r="N39" i="8"/>
  <c r="K39" i="8"/>
  <c r="H39" i="8"/>
  <c r="E39" i="8"/>
  <c r="BA24" i="8"/>
  <c r="AY24" i="8"/>
  <c r="AW24" i="8"/>
  <c r="AU24" i="8"/>
  <c r="AS24" i="8"/>
  <c r="AQ24" i="8"/>
  <c r="AO24" i="8"/>
  <c r="AM24" i="8"/>
  <c r="AK24" i="8"/>
  <c r="AI24" i="8"/>
  <c r="AE24" i="8"/>
  <c r="AE25" i="8" s="1"/>
  <c r="Y24" i="8"/>
  <c r="Y25" i="8" s="1"/>
  <c r="T24" i="8"/>
  <c r="T25" i="8" s="1"/>
  <c r="P24" i="8"/>
  <c r="P25" i="8" s="1"/>
  <c r="AI20" i="8" s="1"/>
  <c r="L24" i="8"/>
  <c r="L25" i="8" s="1"/>
  <c r="F24" i="8"/>
  <c r="B24" i="8"/>
  <c r="B25" i="8" s="1"/>
  <c r="AF23" i="8"/>
  <c r="H23" i="8"/>
  <c r="N23" i="8" s="1"/>
  <c r="AF22" i="8"/>
  <c r="H22" i="8"/>
  <c r="N22" i="8" s="1"/>
  <c r="AF21" i="8"/>
  <c r="H21" i="8"/>
  <c r="AF20" i="8"/>
  <c r="Z20" i="8"/>
  <c r="U20" i="8"/>
  <c r="N20" i="8"/>
  <c r="H20" i="8"/>
  <c r="H19" i="8"/>
  <c r="H18" i="8"/>
  <c r="H16" i="8"/>
  <c r="N13" i="8"/>
  <c r="H13" i="8"/>
  <c r="BA11" i="8"/>
  <c r="AY11" i="8"/>
  <c r="AW11" i="8"/>
  <c r="AU11" i="8"/>
  <c r="AS11" i="8"/>
  <c r="AQ11" i="8"/>
  <c r="AO11" i="8"/>
  <c r="AM11" i="8"/>
  <c r="AK11" i="8"/>
  <c r="AI11" i="8"/>
  <c r="AE11" i="8"/>
  <c r="Y11" i="8"/>
  <c r="T11" i="8"/>
  <c r="P11" i="8"/>
  <c r="L11" i="8"/>
  <c r="F11" i="8"/>
  <c r="B11" i="8"/>
  <c r="B12" i="8" s="1"/>
  <c r="N9" i="8"/>
  <c r="H9" i="8"/>
  <c r="AE7" i="8"/>
  <c r="Y7" i="8"/>
  <c r="T7" i="8"/>
  <c r="P7" i="8"/>
  <c r="L7" i="8"/>
  <c r="F7" i="8"/>
  <c r="B7" i="8"/>
  <c r="Z4" i="8"/>
  <c r="N4" i="8"/>
  <c r="H4" i="8"/>
  <c r="AE150" i="6"/>
  <c r="AE12" i="6" s="1"/>
  <c r="AC150" i="6"/>
  <c r="Y150" i="6"/>
  <c r="Y12" i="6" s="1"/>
  <c r="V150" i="6"/>
  <c r="T150" i="6"/>
  <c r="T12" i="6" s="1"/>
  <c r="R150" i="6"/>
  <c r="L150" i="6"/>
  <c r="L12" i="6" s="1"/>
  <c r="J150" i="6"/>
  <c r="F150" i="6"/>
  <c r="F12" i="6" s="1"/>
  <c r="D150" i="6"/>
  <c r="B150" i="6"/>
  <c r="B12" i="6" s="1"/>
  <c r="AI149" i="6"/>
  <c r="AK149" i="6" s="1"/>
  <c r="AF149" i="6"/>
  <c r="AD149" i="6"/>
  <c r="Z149" i="6"/>
  <c r="W149" i="6"/>
  <c r="U149" i="6"/>
  <c r="S149" i="6"/>
  <c r="N149" i="6"/>
  <c r="K149" i="6"/>
  <c r="H149" i="6"/>
  <c r="E149" i="6"/>
  <c r="AF148" i="6"/>
  <c r="AD148" i="6"/>
  <c r="Z148" i="6"/>
  <c r="W148" i="6"/>
  <c r="N148" i="6"/>
  <c r="K148" i="6"/>
  <c r="H148" i="6"/>
  <c r="E148" i="6"/>
  <c r="AW147" i="6"/>
  <c r="AW206" i="6" s="1"/>
  <c r="AQ147" i="6"/>
  <c r="AO147" i="6"/>
  <c r="AO206" i="6" s="1"/>
  <c r="AM147" i="6"/>
  <c r="AM206" i="6" s="1"/>
  <c r="AK147" i="6"/>
  <c r="AK206" i="6" s="1"/>
  <c r="AI147" i="6"/>
  <c r="AI206" i="6" s="1"/>
  <c r="AF147" i="6"/>
  <c r="AD147" i="6"/>
  <c r="Z147" i="6"/>
  <c r="W147" i="6"/>
  <c r="S147" i="6"/>
  <c r="P147" i="6"/>
  <c r="P150" i="6" s="1"/>
  <c r="P12" i="6" s="1"/>
  <c r="N147" i="6"/>
  <c r="K147" i="6"/>
  <c r="H147" i="6"/>
  <c r="E147" i="6"/>
  <c r="AF146" i="6"/>
  <c r="AD146" i="6"/>
  <c r="Z146" i="6"/>
  <c r="W146" i="6"/>
  <c r="N146" i="6"/>
  <c r="K146" i="6"/>
  <c r="H146" i="6"/>
  <c r="E146" i="6"/>
  <c r="AF145" i="6"/>
  <c r="AD145" i="6"/>
  <c r="Z145" i="6"/>
  <c r="W145" i="6"/>
  <c r="N145" i="6"/>
  <c r="K145" i="6"/>
  <c r="H145" i="6"/>
  <c r="E145" i="6"/>
  <c r="AF144" i="6"/>
  <c r="AD144" i="6"/>
  <c r="Z144" i="6"/>
  <c r="W144" i="6"/>
  <c r="N144" i="6"/>
  <c r="K144" i="6"/>
  <c r="H144" i="6"/>
  <c r="E144" i="6"/>
  <c r="AF143" i="6"/>
  <c r="AD143" i="6"/>
  <c r="Z143" i="6"/>
  <c r="W143" i="6"/>
  <c r="N143" i="6"/>
  <c r="K143" i="6"/>
  <c r="H143" i="6"/>
  <c r="E143" i="6"/>
  <c r="AF142" i="6"/>
  <c r="AD142" i="6"/>
  <c r="Z142" i="6"/>
  <c r="W142" i="6"/>
  <c r="N142" i="6"/>
  <c r="K142" i="6"/>
  <c r="H142" i="6"/>
  <c r="E142" i="6"/>
  <c r="AF141" i="6"/>
  <c r="AD141" i="6"/>
  <c r="Z141" i="6"/>
  <c r="W141" i="6"/>
  <c r="N141" i="6"/>
  <c r="K141" i="6"/>
  <c r="H141" i="6"/>
  <c r="E141" i="6"/>
  <c r="AF140" i="6"/>
  <c r="AD140" i="6"/>
  <c r="Z140" i="6"/>
  <c r="W140" i="6"/>
  <c r="N140" i="6"/>
  <c r="K140" i="6"/>
  <c r="H140" i="6"/>
  <c r="E140" i="6"/>
  <c r="AF139" i="6"/>
  <c r="AD139" i="6"/>
  <c r="Z139" i="6"/>
  <c r="W139" i="6"/>
  <c r="N139" i="6"/>
  <c r="K139" i="6"/>
  <c r="H139" i="6"/>
  <c r="E139" i="6"/>
  <c r="AF138" i="6"/>
  <c r="AD138" i="6"/>
  <c r="Z138" i="6"/>
  <c r="W138" i="6"/>
  <c r="N138" i="6"/>
  <c r="K138" i="6"/>
  <c r="H138" i="6"/>
  <c r="E138" i="6"/>
  <c r="AF137" i="6"/>
  <c r="AD137" i="6"/>
  <c r="Z137" i="6"/>
  <c r="W137" i="6"/>
  <c r="N137" i="6"/>
  <c r="K137" i="6"/>
  <c r="H137" i="6"/>
  <c r="E137" i="6"/>
  <c r="AF136" i="6"/>
  <c r="AD136" i="6"/>
  <c r="Z136" i="6"/>
  <c r="W136" i="6"/>
  <c r="N136" i="6"/>
  <c r="K136" i="6"/>
  <c r="H136" i="6"/>
  <c r="E136" i="6"/>
  <c r="AF135" i="6"/>
  <c r="AD135" i="6"/>
  <c r="Z135" i="6"/>
  <c r="W135" i="6"/>
  <c r="N135" i="6"/>
  <c r="K135" i="6"/>
  <c r="H135" i="6"/>
  <c r="E135" i="6"/>
  <c r="AF134" i="6"/>
  <c r="AD134" i="6"/>
  <c r="Z134" i="6"/>
  <c r="W134" i="6"/>
  <c r="N134" i="6"/>
  <c r="K134" i="6"/>
  <c r="H134" i="6"/>
  <c r="E134" i="6"/>
  <c r="AF133" i="6"/>
  <c r="AD133" i="6"/>
  <c r="Z133" i="6"/>
  <c r="W133" i="6"/>
  <c r="N133" i="6"/>
  <c r="K133" i="6"/>
  <c r="H133" i="6"/>
  <c r="E133" i="6"/>
  <c r="AF132" i="6"/>
  <c r="AD132" i="6"/>
  <c r="Z132" i="6"/>
  <c r="W132" i="6"/>
  <c r="N132" i="6"/>
  <c r="K132" i="6"/>
  <c r="H132" i="6"/>
  <c r="E132" i="6"/>
  <c r="AF131" i="6"/>
  <c r="AD131" i="6"/>
  <c r="Z131" i="6"/>
  <c r="W131" i="6"/>
  <c r="N131" i="6"/>
  <c r="K131" i="6"/>
  <c r="H131" i="6"/>
  <c r="E131" i="6"/>
  <c r="AF130" i="6"/>
  <c r="AD130" i="6"/>
  <c r="Z130" i="6"/>
  <c r="W130" i="6"/>
  <c r="N130" i="6"/>
  <c r="K130" i="6"/>
  <c r="H130" i="6"/>
  <c r="E130" i="6"/>
  <c r="AF129" i="6"/>
  <c r="AD129" i="6"/>
  <c r="Z129" i="6"/>
  <c r="W129" i="6"/>
  <c r="U129" i="6"/>
  <c r="S129" i="6"/>
  <c r="N129" i="6"/>
  <c r="K129" i="6"/>
  <c r="H129" i="6"/>
  <c r="E129" i="6"/>
  <c r="AF128" i="6"/>
  <c r="AD128" i="6"/>
  <c r="Z128" i="6"/>
  <c r="W128" i="6"/>
  <c r="N128" i="6"/>
  <c r="K128" i="6"/>
  <c r="H128" i="6"/>
  <c r="E128" i="6"/>
  <c r="AF127" i="6"/>
  <c r="AD127" i="6"/>
  <c r="Z127" i="6"/>
  <c r="W127" i="6"/>
  <c r="N127" i="6"/>
  <c r="K127" i="6"/>
  <c r="H127" i="6"/>
  <c r="E127" i="6"/>
  <c r="AF126" i="6"/>
  <c r="AD126" i="6"/>
  <c r="Z126" i="6"/>
  <c r="W126" i="6"/>
  <c r="N126" i="6"/>
  <c r="K126" i="6"/>
  <c r="H126" i="6"/>
  <c r="E126" i="6"/>
  <c r="AF125" i="6"/>
  <c r="AD125" i="6"/>
  <c r="Z125" i="6"/>
  <c r="W125" i="6"/>
  <c r="N125" i="6"/>
  <c r="K125" i="6"/>
  <c r="H125" i="6"/>
  <c r="E125" i="6"/>
  <c r="AF124" i="6"/>
  <c r="AD124" i="6"/>
  <c r="Z124" i="6"/>
  <c r="W124" i="6"/>
  <c r="N124" i="6"/>
  <c r="K124" i="6"/>
  <c r="H124" i="6"/>
  <c r="E124" i="6"/>
  <c r="AF123" i="6"/>
  <c r="AD123" i="6"/>
  <c r="Z123" i="6"/>
  <c r="W123" i="6"/>
  <c r="N123" i="6"/>
  <c r="K123" i="6"/>
  <c r="H123" i="6"/>
  <c r="E123" i="6"/>
  <c r="AI122" i="6"/>
  <c r="AF122" i="6"/>
  <c r="AD122" i="6"/>
  <c r="Z122" i="6"/>
  <c r="W122" i="6"/>
  <c r="U122" i="6"/>
  <c r="S122" i="6"/>
  <c r="N122" i="6"/>
  <c r="K122" i="6"/>
  <c r="H122" i="6"/>
  <c r="E122" i="6"/>
  <c r="AF121" i="6"/>
  <c r="AD121" i="6"/>
  <c r="Z121" i="6"/>
  <c r="W121" i="6"/>
  <c r="N121" i="6"/>
  <c r="K121" i="6"/>
  <c r="H121" i="6"/>
  <c r="E121" i="6"/>
  <c r="AF120" i="6"/>
  <c r="AD120" i="6"/>
  <c r="Z120" i="6"/>
  <c r="W120" i="6"/>
  <c r="N120" i="6"/>
  <c r="K120" i="6"/>
  <c r="H120" i="6"/>
  <c r="E120" i="6"/>
  <c r="AF119" i="6"/>
  <c r="AD119" i="6"/>
  <c r="Z119" i="6"/>
  <c r="W119" i="6"/>
  <c r="N119" i="6"/>
  <c r="K119" i="6"/>
  <c r="H119" i="6"/>
  <c r="E119" i="6"/>
  <c r="AF118" i="6"/>
  <c r="AD118" i="6"/>
  <c r="Z118" i="6"/>
  <c r="W118" i="6"/>
  <c r="N118" i="6"/>
  <c r="K118" i="6"/>
  <c r="H118" i="6"/>
  <c r="E118" i="6"/>
  <c r="AF117" i="6"/>
  <c r="AD117" i="6"/>
  <c r="Z117" i="6"/>
  <c r="W117" i="6"/>
  <c r="N117" i="6"/>
  <c r="K117" i="6"/>
  <c r="H117" i="6"/>
  <c r="E117" i="6"/>
  <c r="AF116" i="6"/>
  <c r="AD116" i="6"/>
  <c r="Z116" i="6"/>
  <c r="W116" i="6"/>
  <c r="N116" i="6"/>
  <c r="K116" i="6"/>
  <c r="H116" i="6"/>
  <c r="E116" i="6"/>
  <c r="AF115" i="6"/>
  <c r="AD115" i="6"/>
  <c r="Z115" i="6"/>
  <c r="W115" i="6"/>
  <c r="N115" i="6"/>
  <c r="K115" i="6"/>
  <c r="H115" i="6"/>
  <c r="E115" i="6"/>
  <c r="AF114" i="6"/>
  <c r="AD114" i="6"/>
  <c r="W114" i="6"/>
  <c r="AF113" i="6"/>
  <c r="AD113" i="6"/>
  <c r="W113" i="6"/>
  <c r="AF112" i="6"/>
  <c r="AD112" i="6"/>
  <c r="W112" i="6"/>
  <c r="AF111" i="6"/>
  <c r="AD111" i="6"/>
  <c r="AE105" i="6"/>
  <c r="AC105" i="6"/>
  <c r="Y105" i="6"/>
  <c r="V105" i="6"/>
  <c r="T105" i="6"/>
  <c r="R105" i="6"/>
  <c r="L105" i="6"/>
  <c r="J105" i="6"/>
  <c r="F105" i="6"/>
  <c r="D105" i="6"/>
  <c r="B105" i="6"/>
  <c r="AF104" i="6"/>
  <c r="AD104" i="6"/>
  <c r="Z104" i="6"/>
  <c r="W104" i="6"/>
  <c r="S104" i="6"/>
  <c r="P104" i="6"/>
  <c r="AI104" i="6" s="1"/>
  <c r="N104" i="6"/>
  <c r="K104" i="6"/>
  <c r="H104" i="6"/>
  <c r="H105" i="6" s="1"/>
  <c r="E104" i="6"/>
  <c r="E105" i="6" s="1"/>
  <c r="AF103" i="6"/>
  <c r="AD103" i="6"/>
  <c r="Z103" i="6"/>
  <c r="W103" i="6"/>
  <c r="N103" i="6"/>
  <c r="N105" i="6" s="1"/>
  <c r="K103" i="6"/>
  <c r="K105" i="6" s="1"/>
  <c r="AF102" i="6"/>
  <c r="AD102" i="6"/>
  <c r="Z102" i="6"/>
  <c r="W102" i="6"/>
  <c r="AF101" i="6"/>
  <c r="AD101" i="6"/>
  <c r="Z101" i="6"/>
  <c r="W101" i="6"/>
  <c r="U101" i="6"/>
  <c r="S101" i="6"/>
  <c r="AF98" i="6"/>
  <c r="AD98" i="6"/>
  <c r="Z98" i="6"/>
  <c r="W98" i="6"/>
  <c r="U98" i="6"/>
  <c r="S98" i="6"/>
  <c r="N98" i="6"/>
  <c r="J98" i="6"/>
  <c r="H98" i="6"/>
  <c r="E98" i="6"/>
  <c r="AF96" i="6"/>
  <c r="AD96" i="6"/>
  <c r="Z96" i="6"/>
  <c r="W96" i="6"/>
  <c r="S96" i="6"/>
  <c r="P96" i="6"/>
  <c r="AI96" i="6" s="1"/>
  <c r="N96" i="6"/>
  <c r="K96" i="6"/>
  <c r="K98" i="6" s="1"/>
  <c r="H96" i="6"/>
  <c r="E96" i="6"/>
  <c r="AE94" i="6"/>
  <c r="Y94" i="6"/>
  <c r="T94" i="6"/>
  <c r="R94" i="6"/>
  <c r="L94" i="6"/>
  <c r="J94" i="6"/>
  <c r="F94" i="6"/>
  <c r="D94" i="6"/>
  <c r="B94" i="6"/>
  <c r="AF93" i="6"/>
  <c r="AC93" i="6"/>
  <c r="AC94" i="6" s="1"/>
  <c r="Z93" i="6"/>
  <c r="V93" i="6"/>
  <c r="V94" i="6" s="1"/>
  <c r="S93" i="6"/>
  <c r="S94" i="6" s="1"/>
  <c r="P93" i="6"/>
  <c r="U93" i="6" s="1"/>
  <c r="U94" i="6" s="1"/>
  <c r="N93" i="6"/>
  <c r="N94" i="6" s="1"/>
  <c r="K93" i="6"/>
  <c r="K94" i="6" s="1"/>
  <c r="H93" i="6"/>
  <c r="H94" i="6" s="1"/>
  <c r="E93" i="6"/>
  <c r="E94" i="6" s="1"/>
  <c r="AF92" i="6"/>
  <c r="AD92" i="6"/>
  <c r="Z92" i="6"/>
  <c r="AE90" i="6"/>
  <c r="AC90" i="6"/>
  <c r="Y90" i="6"/>
  <c r="T90" i="6"/>
  <c r="R90" i="6"/>
  <c r="L90" i="6"/>
  <c r="J90" i="6"/>
  <c r="F90" i="6"/>
  <c r="D90" i="6"/>
  <c r="B90" i="6"/>
  <c r="AF89" i="6"/>
  <c r="AD89" i="6"/>
  <c r="Z89" i="6"/>
  <c r="W89" i="6"/>
  <c r="U89" i="6"/>
  <c r="S89" i="6"/>
  <c r="N89" i="6"/>
  <c r="K89" i="6"/>
  <c r="H89" i="6"/>
  <c r="E89" i="6"/>
  <c r="AF88" i="6"/>
  <c r="AD88" i="6"/>
  <c r="Z88" i="6"/>
  <c r="V88" i="6"/>
  <c r="W88" i="6" s="1"/>
  <c r="S88" i="6"/>
  <c r="P88" i="6"/>
  <c r="AI88" i="6" s="1"/>
  <c r="AK88" i="6" s="1"/>
  <c r="AM88" i="6" s="1"/>
  <c r="AO88" i="6" s="1"/>
  <c r="AQ88" i="6" s="1"/>
  <c r="AS88" i="6" s="1"/>
  <c r="AU88" i="6" s="1"/>
  <c r="AW88" i="6" s="1"/>
  <c r="AY88" i="6" s="1"/>
  <c r="BA88" i="6" s="1"/>
  <c r="BC88" i="6" s="1"/>
  <c r="BE88" i="6" s="1"/>
  <c r="N88" i="6"/>
  <c r="K88" i="6"/>
  <c r="H88" i="6"/>
  <c r="E88" i="6"/>
  <c r="AI87" i="6"/>
  <c r="AK87" i="6" s="1"/>
  <c r="AM87" i="6" s="1"/>
  <c r="AO87" i="6" s="1"/>
  <c r="AQ87" i="6" s="1"/>
  <c r="AS87" i="6" s="1"/>
  <c r="AU87" i="6" s="1"/>
  <c r="AW87" i="6" s="1"/>
  <c r="AY87" i="6" s="1"/>
  <c r="BA87" i="6" s="1"/>
  <c r="BC87" i="6" s="1"/>
  <c r="BE87" i="6" s="1"/>
  <c r="AF87" i="6"/>
  <c r="AD87" i="6"/>
  <c r="Z87" i="6"/>
  <c r="W87" i="6"/>
  <c r="S87" i="6"/>
  <c r="P87" i="6"/>
  <c r="U87" i="6" s="1"/>
  <c r="N87" i="6"/>
  <c r="K87" i="6"/>
  <c r="H87" i="6"/>
  <c r="E87" i="6"/>
  <c r="AI86" i="6"/>
  <c r="AK86" i="6" s="1"/>
  <c r="AM86" i="6" s="1"/>
  <c r="AO86" i="6" s="1"/>
  <c r="AQ86" i="6" s="1"/>
  <c r="AS86" i="6" s="1"/>
  <c r="AU86" i="6" s="1"/>
  <c r="AW86" i="6" s="1"/>
  <c r="AY86" i="6" s="1"/>
  <c r="BA86" i="6" s="1"/>
  <c r="BC86" i="6" s="1"/>
  <c r="BE86" i="6" s="1"/>
  <c r="AF86" i="6"/>
  <c r="AD86" i="6"/>
  <c r="Z86" i="6"/>
  <c r="W86" i="6"/>
  <c r="S86" i="6"/>
  <c r="P86" i="6"/>
  <c r="U86" i="6" s="1"/>
  <c r="N86" i="6"/>
  <c r="K86" i="6"/>
  <c r="H86" i="6"/>
  <c r="E86" i="6"/>
  <c r="AI85" i="6"/>
  <c r="AK85" i="6" s="1"/>
  <c r="AF85" i="6"/>
  <c r="AD85" i="6"/>
  <c r="Z85" i="6"/>
  <c r="W85" i="6"/>
  <c r="S85" i="6"/>
  <c r="P85" i="6"/>
  <c r="U85" i="6" s="1"/>
  <c r="N85" i="6"/>
  <c r="K85" i="6"/>
  <c r="H85" i="6"/>
  <c r="E85" i="6"/>
  <c r="AE82" i="6"/>
  <c r="AC82" i="6"/>
  <c r="Y82" i="6"/>
  <c r="V82" i="6"/>
  <c r="T82" i="6"/>
  <c r="R82" i="6"/>
  <c r="L82" i="6"/>
  <c r="J82" i="6"/>
  <c r="F82" i="6"/>
  <c r="D82" i="6"/>
  <c r="AK81" i="6"/>
  <c r="AM81" i="6" s="1"/>
  <c r="AO81" i="6" s="1"/>
  <c r="AQ81" i="6" s="1"/>
  <c r="AS81" i="6" s="1"/>
  <c r="AU81" i="6" s="1"/>
  <c r="AW81" i="6" s="1"/>
  <c r="AY81" i="6" s="1"/>
  <c r="BA81" i="6" s="1"/>
  <c r="BC81" i="6" s="1"/>
  <c r="BE81" i="6" s="1"/>
  <c r="AF81" i="6"/>
  <c r="AD81" i="6"/>
  <c r="Z81" i="6"/>
  <c r="W81" i="6"/>
  <c r="S81" i="6"/>
  <c r="P81" i="6"/>
  <c r="U81" i="6" s="1"/>
  <c r="N81" i="6"/>
  <c r="K81" i="6"/>
  <c r="H81" i="6"/>
  <c r="E81" i="6"/>
  <c r="AK80" i="6"/>
  <c r="AM80" i="6" s="1"/>
  <c r="AO80" i="6" s="1"/>
  <c r="AQ80" i="6" s="1"/>
  <c r="AS80" i="6" s="1"/>
  <c r="AU80" i="6" s="1"/>
  <c r="AW80" i="6" s="1"/>
  <c r="AY80" i="6" s="1"/>
  <c r="BA80" i="6" s="1"/>
  <c r="BC80" i="6" s="1"/>
  <c r="BE80" i="6" s="1"/>
  <c r="AF80" i="6"/>
  <c r="AD80" i="6"/>
  <c r="Z80" i="6"/>
  <c r="W80" i="6"/>
  <c r="S80" i="6"/>
  <c r="P80" i="6"/>
  <c r="U80" i="6" s="1"/>
  <c r="N80" i="6"/>
  <c r="K80" i="6"/>
  <c r="H80" i="6"/>
  <c r="E80" i="6"/>
  <c r="AI79" i="6"/>
  <c r="AK79" i="6" s="1"/>
  <c r="AM79" i="6" s="1"/>
  <c r="AO79" i="6" s="1"/>
  <c r="AQ79" i="6" s="1"/>
  <c r="AS79" i="6" s="1"/>
  <c r="AU79" i="6" s="1"/>
  <c r="AW79" i="6" s="1"/>
  <c r="AY79" i="6" s="1"/>
  <c r="BA79" i="6" s="1"/>
  <c r="BC79" i="6" s="1"/>
  <c r="BE79" i="6" s="1"/>
  <c r="AF79" i="6"/>
  <c r="AD79" i="6"/>
  <c r="Z79" i="6"/>
  <c r="W79" i="6"/>
  <c r="S79" i="6"/>
  <c r="P79" i="6"/>
  <c r="U79" i="6" s="1"/>
  <c r="N79" i="6"/>
  <c r="K79" i="6"/>
  <c r="E79" i="6"/>
  <c r="B79" i="6"/>
  <c r="H79" i="6" s="1"/>
  <c r="AI78" i="6"/>
  <c r="AF78" i="6"/>
  <c r="AD78" i="6"/>
  <c r="Z78" i="6"/>
  <c r="W78" i="6"/>
  <c r="S78" i="6"/>
  <c r="P78" i="6"/>
  <c r="U78" i="6" s="1"/>
  <c r="N78" i="6"/>
  <c r="K78" i="6"/>
  <c r="H78" i="6"/>
  <c r="E78" i="6"/>
  <c r="AF77" i="6"/>
  <c r="AD77" i="6"/>
  <c r="Z77" i="6"/>
  <c r="W77" i="6"/>
  <c r="U77" i="6"/>
  <c r="S77" i="6"/>
  <c r="N77" i="6"/>
  <c r="K77" i="6"/>
  <c r="H77" i="6"/>
  <c r="E77" i="6"/>
  <c r="AF76" i="6"/>
  <c r="AD76" i="6"/>
  <c r="Z76" i="6"/>
  <c r="W76" i="6"/>
  <c r="U76" i="6"/>
  <c r="S76" i="6"/>
  <c r="N76" i="6"/>
  <c r="K76" i="6"/>
  <c r="H76" i="6"/>
  <c r="E76" i="6"/>
  <c r="AI75" i="6"/>
  <c r="AF75" i="6"/>
  <c r="AD75" i="6"/>
  <c r="Z75" i="6"/>
  <c r="W75" i="6"/>
  <c r="U75" i="6"/>
  <c r="S75" i="6"/>
  <c r="N75" i="6"/>
  <c r="K75" i="6"/>
  <c r="E75" i="6"/>
  <c r="B75" i="6"/>
  <c r="H75" i="6" s="1"/>
  <c r="AE68" i="6"/>
  <c r="AE8" i="6" s="1"/>
  <c r="AC68" i="6"/>
  <c r="Y68" i="6"/>
  <c r="Y8" i="6" s="1"/>
  <c r="V68" i="6"/>
  <c r="T68" i="6"/>
  <c r="T8" i="6" s="1"/>
  <c r="R68" i="6"/>
  <c r="P68" i="6"/>
  <c r="P8" i="6" s="1"/>
  <c r="L68" i="6"/>
  <c r="L8" i="6" s="1"/>
  <c r="J68" i="6"/>
  <c r="F68" i="6"/>
  <c r="F8" i="6" s="1"/>
  <c r="D68" i="6"/>
  <c r="B68" i="6"/>
  <c r="B8" i="6" s="1"/>
  <c r="AF66" i="6"/>
  <c r="AD66" i="6"/>
  <c r="Z66" i="6"/>
  <c r="W66" i="6"/>
  <c r="U66" i="6"/>
  <c r="S66" i="6"/>
  <c r="N66" i="6"/>
  <c r="N68" i="6" s="1"/>
  <c r="K66" i="6"/>
  <c r="K68" i="6" s="1"/>
  <c r="H66" i="6"/>
  <c r="H68" i="6" s="1"/>
  <c r="E66" i="6"/>
  <c r="E68" i="6" s="1"/>
  <c r="AF65" i="6"/>
  <c r="AD65" i="6"/>
  <c r="Z65" i="6"/>
  <c r="W65" i="6"/>
  <c r="U65" i="6"/>
  <c r="S65" i="6"/>
  <c r="AF64" i="6"/>
  <c r="AD64" i="6"/>
  <c r="Z64" i="6"/>
  <c r="W64" i="6"/>
  <c r="AT57" i="6"/>
  <c r="AN57" i="6"/>
  <c r="AF57" i="6"/>
  <c r="AD57" i="6"/>
  <c r="Z57" i="6"/>
  <c r="W57" i="6"/>
  <c r="S57" i="6"/>
  <c r="P57" i="6"/>
  <c r="N57" i="6"/>
  <c r="K57" i="6"/>
  <c r="H57" i="6"/>
  <c r="E57" i="6"/>
  <c r="AF56" i="6"/>
  <c r="AD56" i="6"/>
  <c r="Z56" i="6"/>
  <c r="W56" i="6"/>
  <c r="U56" i="6"/>
  <c r="S56" i="6"/>
  <c r="N56" i="6"/>
  <c r="K56" i="6"/>
  <c r="H56" i="6"/>
  <c r="E56" i="6"/>
  <c r="AI55" i="6"/>
  <c r="AF55" i="6"/>
  <c r="AD55" i="6"/>
  <c r="Z55" i="6"/>
  <c r="W55" i="6"/>
  <c r="U55" i="6"/>
  <c r="S55" i="6"/>
  <c r="N55" i="6"/>
  <c r="K55" i="6"/>
  <c r="H55" i="6"/>
  <c r="E55" i="6"/>
  <c r="AF54" i="6"/>
  <c r="AD54" i="6"/>
  <c r="Z54" i="6"/>
  <c r="W54" i="6"/>
  <c r="U54" i="6"/>
  <c r="S54" i="6"/>
  <c r="N54" i="6"/>
  <c r="K54" i="6"/>
  <c r="H54" i="6"/>
  <c r="E54" i="6"/>
  <c r="AF53" i="6"/>
  <c r="AD53" i="6"/>
  <c r="Z53" i="6"/>
  <c r="W53" i="6"/>
  <c r="U53" i="6"/>
  <c r="S53" i="6"/>
  <c r="N53" i="6"/>
  <c r="K53" i="6"/>
  <c r="H53" i="6"/>
  <c r="E53" i="6"/>
  <c r="AF52" i="6"/>
  <c r="AD52" i="6"/>
  <c r="Z52" i="6"/>
  <c r="W52" i="6"/>
  <c r="U52" i="6"/>
  <c r="S52" i="6"/>
  <c r="N52" i="6"/>
  <c r="K52" i="6"/>
  <c r="H52" i="6"/>
  <c r="E52" i="6"/>
  <c r="AF50" i="6"/>
  <c r="AD50" i="6"/>
  <c r="Z50" i="6"/>
  <c r="W50" i="6"/>
  <c r="U50" i="6"/>
  <c r="S50" i="6"/>
  <c r="N50" i="6"/>
  <c r="K50" i="6"/>
  <c r="H50" i="6"/>
  <c r="E50" i="6"/>
  <c r="AF47" i="6"/>
  <c r="AD47" i="6"/>
  <c r="Z47" i="6"/>
  <c r="W47" i="6"/>
  <c r="U47" i="6"/>
  <c r="S47" i="6"/>
  <c r="N47" i="6"/>
  <c r="K47" i="6"/>
  <c r="H47" i="6"/>
  <c r="E47" i="6"/>
  <c r="AT46" i="6"/>
  <c r="AL46" i="6"/>
  <c r="AN46" i="6" s="1"/>
  <c r="AI46" i="6"/>
  <c r="AK46" i="6" s="1"/>
  <c r="AM46" i="6" s="1"/>
  <c r="AO46" i="6" s="1"/>
  <c r="AQ46" i="6" s="1"/>
  <c r="AS46" i="6" s="1"/>
  <c r="AU46" i="6" s="1"/>
  <c r="AW46" i="6" s="1"/>
  <c r="AY46" i="6" s="1"/>
  <c r="BA46" i="6" s="1"/>
  <c r="BC46" i="6" s="1"/>
  <c r="BE46" i="6" s="1"/>
  <c r="AF46" i="6"/>
  <c r="AD46" i="6"/>
  <c r="Z46" i="6"/>
  <c r="W46" i="6"/>
  <c r="S46" i="6"/>
  <c r="P46" i="6"/>
  <c r="U46" i="6" s="1"/>
  <c r="N46" i="6"/>
  <c r="K46" i="6"/>
  <c r="H46" i="6"/>
  <c r="E46" i="6"/>
  <c r="AT45" i="6"/>
  <c r="AL45" i="6"/>
  <c r="AN45" i="6" s="1"/>
  <c r="AI45" i="6"/>
  <c r="AK45" i="6" s="1"/>
  <c r="AM45" i="6" s="1"/>
  <c r="AO45" i="6" s="1"/>
  <c r="AQ45" i="6" s="1"/>
  <c r="AS45" i="6" s="1"/>
  <c r="AU45" i="6" s="1"/>
  <c r="AW45" i="6" s="1"/>
  <c r="AY45" i="6" s="1"/>
  <c r="BA45" i="6" s="1"/>
  <c r="BC45" i="6" s="1"/>
  <c r="BE45" i="6" s="1"/>
  <c r="AF45" i="6"/>
  <c r="AD45" i="6"/>
  <c r="Z45" i="6"/>
  <c r="W45" i="6"/>
  <c r="S45" i="6"/>
  <c r="P45" i="6"/>
  <c r="U45" i="6" s="1"/>
  <c r="N45" i="6"/>
  <c r="K45" i="6"/>
  <c r="H45" i="6"/>
  <c r="E45" i="6"/>
  <c r="AT44" i="6"/>
  <c r="AL44" i="6"/>
  <c r="AN44" i="6" s="1"/>
  <c r="AI44" i="6"/>
  <c r="AK44" i="6" s="1"/>
  <c r="AM44" i="6" s="1"/>
  <c r="AO44" i="6" s="1"/>
  <c r="AQ44" i="6" s="1"/>
  <c r="AS44" i="6" s="1"/>
  <c r="AU44" i="6" s="1"/>
  <c r="AW44" i="6" s="1"/>
  <c r="AY44" i="6" s="1"/>
  <c r="BA44" i="6" s="1"/>
  <c r="BC44" i="6" s="1"/>
  <c r="BE44" i="6" s="1"/>
  <c r="AF44" i="6"/>
  <c r="AD44" i="6"/>
  <c r="Z44" i="6"/>
  <c r="W44" i="6"/>
  <c r="U44" i="6"/>
  <c r="S44" i="6"/>
  <c r="N44" i="6"/>
  <c r="K44" i="6"/>
  <c r="H44" i="6"/>
  <c r="E44" i="6"/>
  <c r="AT43" i="6"/>
  <c r="AL43" i="6"/>
  <c r="AN43" i="6" s="1"/>
  <c r="AI43" i="6"/>
  <c r="AK43" i="6" s="1"/>
  <c r="AF43" i="6"/>
  <c r="AD43" i="6"/>
  <c r="Z43" i="6"/>
  <c r="W43" i="6"/>
  <c r="S43" i="6"/>
  <c r="P43" i="6"/>
  <c r="U43" i="6" s="1"/>
  <c r="N43" i="6"/>
  <c r="K43" i="6"/>
  <c r="H43" i="6"/>
  <c r="E43" i="6"/>
  <c r="AT42" i="6"/>
  <c r="AL42" i="6"/>
  <c r="AN42" i="6" s="1"/>
  <c r="AI42" i="6"/>
  <c r="AF42" i="6"/>
  <c r="AD42" i="6"/>
  <c r="Z42" i="6"/>
  <c r="W42" i="6"/>
  <c r="S42" i="6"/>
  <c r="P42" i="6"/>
  <c r="U42" i="6" s="1"/>
  <c r="N42" i="6"/>
  <c r="K42" i="6"/>
  <c r="H42" i="6"/>
  <c r="E42" i="6"/>
  <c r="AE39" i="6"/>
  <c r="AE60" i="6" s="1"/>
  <c r="AE7" i="6" s="1"/>
  <c r="AC39" i="6"/>
  <c r="AC60" i="6" s="1"/>
  <c r="Y39" i="6"/>
  <c r="Y60" i="6" s="1"/>
  <c r="Y7" i="6" s="1"/>
  <c r="V39" i="6"/>
  <c r="V60" i="6" s="1"/>
  <c r="T39" i="6"/>
  <c r="T60" i="6" s="1"/>
  <c r="T7" i="6" s="1"/>
  <c r="R39" i="6"/>
  <c r="R60" i="6" s="1"/>
  <c r="L39" i="6"/>
  <c r="L60" i="6" s="1"/>
  <c r="L7" i="6" s="1"/>
  <c r="J39" i="6"/>
  <c r="J60" i="6" s="1"/>
  <c r="D39" i="6"/>
  <c r="D60" i="6" s="1"/>
  <c r="AL38" i="6"/>
  <c r="AF38" i="6"/>
  <c r="AD38" i="6"/>
  <c r="Z38" i="6"/>
  <c r="W38" i="6"/>
  <c r="S38" i="6"/>
  <c r="P38" i="6"/>
  <c r="AI38" i="6" s="1"/>
  <c r="AK38" i="6" s="1"/>
  <c r="AM38" i="6" s="1"/>
  <c r="AO38" i="6" s="1"/>
  <c r="AQ38" i="6" s="1"/>
  <c r="AS38" i="6" s="1"/>
  <c r="AU38" i="6" s="1"/>
  <c r="AW38" i="6" s="1"/>
  <c r="AY38" i="6" s="1"/>
  <c r="BA38" i="6" s="1"/>
  <c r="BC38" i="6" s="1"/>
  <c r="BE38" i="6" s="1"/>
  <c r="K38" i="6"/>
  <c r="F38" i="6"/>
  <c r="N38" i="6" s="1"/>
  <c r="B38" i="6"/>
  <c r="AL37" i="6"/>
  <c r="AF37" i="6"/>
  <c r="AD37" i="6"/>
  <c r="Z37" i="6"/>
  <c r="W37" i="6"/>
  <c r="S37" i="6"/>
  <c r="P37" i="6"/>
  <c r="K37" i="6"/>
  <c r="F37" i="6"/>
  <c r="N37" i="6" s="1"/>
  <c r="B37" i="6"/>
  <c r="BA24" i="6"/>
  <c r="AY24" i="6"/>
  <c r="AW24" i="6"/>
  <c r="AU24" i="6"/>
  <c r="AS24" i="6"/>
  <c r="AE24" i="6"/>
  <c r="Y24" i="6"/>
  <c r="T24" i="6"/>
  <c r="P24" i="6"/>
  <c r="H24" i="6"/>
  <c r="N24" i="6" s="1"/>
  <c r="BA23" i="6"/>
  <c r="AY23" i="6"/>
  <c r="AU23" i="6"/>
  <c r="AS23" i="6"/>
  <c r="AE23" i="6"/>
  <c r="Y23" i="6"/>
  <c r="T23" i="6"/>
  <c r="L23" i="6"/>
  <c r="F23" i="6"/>
  <c r="F25" i="6" s="1"/>
  <c r="B23" i="6"/>
  <c r="B25" i="6" s="1"/>
  <c r="B26" i="6" s="1"/>
  <c r="AF22" i="6"/>
  <c r="Z22" i="6"/>
  <c r="U22" i="6"/>
  <c r="H22" i="6"/>
  <c r="N22" i="6" s="1"/>
  <c r="AF21" i="6"/>
  <c r="Z21" i="6"/>
  <c r="U21" i="6"/>
  <c r="H21" i="6"/>
  <c r="N21" i="6" s="1"/>
  <c r="H20" i="6"/>
  <c r="N20" i="6" s="1"/>
  <c r="H19" i="6"/>
  <c r="N19" i="6" s="1"/>
  <c r="H17" i="6"/>
  <c r="N17" i="6" s="1"/>
  <c r="N14" i="6"/>
  <c r="H14" i="6"/>
  <c r="H10" i="6"/>
  <c r="N10" i="6" s="1"/>
  <c r="Z5" i="6"/>
  <c r="U5" i="6"/>
  <c r="N5" i="6"/>
  <c r="H5" i="6"/>
  <c r="AE1040" i="5"/>
  <c r="AC1040" i="5"/>
  <c r="AC1042" i="5" s="1"/>
  <c r="Y1040" i="5"/>
  <c r="T1040" i="5"/>
  <c r="R1040" i="5"/>
  <c r="R1042" i="5" s="1"/>
  <c r="L1040" i="5"/>
  <c r="L1042" i="5" s="1"/>
  <c r="F1040" i="5"/>
  <c r="AF1039" i="5"/>
  <c r="AD1039" i="5"/>
  <c r="Z1039" i="5"/>
  <c r="W1039" i="5"/>
  <c r="U1039" i="5"/>
  <c r="S1039" i="5"/>
  <c r="N1039" i="5"/>
  <c r="K1039" i="5"/>
  <c r="H1039" i="5"/>
  <c r="E1039" i="5"/>
  <c r="AF1036" i="5"/>
  <c r="AD1036" i="5"/>
  <c r="Z1036" i="5"/>
  <c r="W1036" i="5"/>
  <c r="U1036" i="5"/>
  <c r="S1036" i="5"/>
  <c r="N1036" i="5"/>
  <c r="K1036" i="5"/>
  <c r="H1036" i="5"/>
  <c r="E1036" i="5"/>
  <c r="AF1035" i="5"/>
  <c r="AD1035" i="5"/>
  <c r="AF1034" i="5"/>
  <c r="AD1034" i="5"/>
  <c r="Z1034" i="5"/>
  <c r="W1034" i="5"/>
  <c r="U1034" i="5"/>
  <c r="S1034" i="5"/>
  <c r="N1034" i="5"/>
  <c r="K1034" i="5"/>
  <c r="H1034" i="5"/>
  <c r="E1034" i="5"/>
  <c r="AF1033" i="5"/>
  <c r="AD1033" i="5"/>
  <c r="Z1033" i="5"/>
  <c r="W1033" i="5"/>
  <c r="U1033" i="5"/>
  <c r="S1033" i="5"/>
  <c r="N1033" i="5"/>
  <c r="K1033" i="5"/>
  <c r="H1033" i="5"/>
  <c r="E1033" i="5"/>
  <c r="AF1032" i="5"/>
  <c r="AD1032" i="5"/>
  <c r="Z1032" i="5"/>
  <c r="W1032" i="5"/>
  <c r="U1032" i="5"/>
  <c r="S1032" i="5"/>
  <c r="N1032" i="5"/>
  <c r="K1032" i="5"/>
  <c r="H1032" i="5"/>
  <c r="E1032" i="5"/>
  <c r="AF1031" i="5"/>
  <c r="AD1031" i="5"/>
  <c r="Z1031" i="5"/>
  <c r="W1031" i="5"/>
  <c r="U1031" i="5"/>
  <c r="S1031" i="5"/>
  <c r="N1031" i="5"/>
  <c r="K1031" i="5"/>
  <c r="H1031" i="5"/>
  <c r="E1031" i="5"/>
  <c r="AF1030" i="5"/>
  <c r="AD1030" i="5"/>
  <c r="Z1030" i="5"/>
  <c r="W1030" i="5"/>
  <c r="U1030" i="5"/>
  <c r="S1030" i="5"/>
  <c r="N1030" i="5"/>
  <c r="K1030" i="5"/>
  <c r="H1030" i="5"/>
  <c r="E1030" i="5"/>
  <c r="AF1029" i="5"/>
  <c r="AD1029" i="5"/>
  <c r="Z1029" i="5"/>
  <c r="W1029" i="5"/>
  <c r="U1029" i="5"/>
  <c r="S1029" i="5"/>
  <c r="N1029" i="5"/>
  <c r="K1029" i="5"/>
  <c r="H1029" i="5"/>
  <c r="E1029" i="5"/>
  <c r="AF1028" i="5"/>
  <c r="AD1028" i="5"/>
  <c r="Z1028" i="5"/>
  <c r="W1028" i="5"/>
  <c r="U1028" i="5"/>
  <c r="S1028" i="5"/>
  <c r="N1028" i="5"/>
  <c r="K1028" i="5"/>
  <c r="H1028" i="5"/>
  <c r="E1028" i="5"/>
  <c r="AF1027" i="5"/>
  <c r="AD1027" i="5"/>
  <c r="Z1027" i="5"/>
  <c r="W1027" i="5"/>
  <c r="U1027" i="5"/>
  <c r="S1027" i="5"/>
  <c r="N1027" i="5"/>
  <c r="K1027" i="5"/>
  <c r="H1027" i="5"/>
  <c r="E1027" i="5"/>
  <c r="AF1026" i="5"/>
  <c r="AD1026" i="5"/>
  <c r="Z1026" i="5"/>
  <c r="W1026" i="5"/>
  <c r="U1026" i="5"/>
  <c r="S1026" i="5"/>
  <c r="N1026" i="5"/>
  <c r="K1026" i="5"/>
  <c r="H1026" i="5"/>
  <c r="E1026" i="5"/>
  <c r="AF1025" i="5"/>
  <c r="AD1025" i="5"/>
  <c r="Z1025" i="5"/>
  <c r="W1025" i="5"/>
  <c r="U1025" i="5"/>
  <c r="S1025" i="5"/>
  <c r="N1025" i="5"/>
  <c r="K1025" i="5"/>
  <c r="H1025" i="5"/>
  <c r="E1025" i="5"/>
  <c r="AF1024" i="5"/>
  <c r="AD1024" i="5"/>
  <c r="Z1024" i="5"/>
  <c r="W1024" i="5"/>
  <c r="U1024" i="5"/>
  <c r="S1024" i="5"/>
  <c r="N1024" i="5"/>
  <c r="K1024" i="5"/>
  <c r="H1024" i="5"/>
  <c r="E1024" i="5"/>
  <c r="AF1023" i="5"/>
  <c r="AD1023" i="5"/>
  <c r="Z1023" i="5"/>
  <c r="W1023" i="5"/>
  <c r="U1023" i="5"/>
  <c r="S1023" i="5"/>
  <c r="N1023" i="5"/>
  <c r="K1023" i="5"/>
  <c r="H1023" i="5"/>
  <c r="E1023" i="5"/>
  <c r="AF1022" i="5"/>
  <c r="AD1022" i="5"/>
  <c r="Z1022" i="5"/>
  <c r="W1022" i="5"/>
  <c r="U1022" i="5"/>
  <c r="S1022" i="5"/>
  <c r="N1022" i="5"/>
  <c r="K1022" i="5"/>
  <c r="H1022" i="5"/>
  <c r="E1022" i="5"/>
  <c r="AF1021" i="5"/>
  <c r="AD1021" i="5"/>
  <c r="Z1021" i="5"/>
  <c r="W1021" i="5"/>
  <c r="U1021" i="5"/>
  <c r="S1021" i="5"/>
  <c r="N1021" i="5"/>
  <c r="K1021" i="5"/>
  <c r="H1021" i="5"/>
  <c r="E1021" i="5"/>
  <c r="AF1019" i="5"/>
  <c r="AD1019" i="5"/>
  <c r="Z1019" i="5"/>
  <c r="W1019" i="5"/>
  <c r="U1019" i="5"/>
  <c r="S1019" i="5"/>
  <c r="N1019" i="5"/>
  <c r="K1019" i="5"/>
  <c r="H1019" i="5"/>
  <c r="E1019" i="5"/>
  <c r="AF1018" i="5"/>
  <c r="AD1018" i="5"/>
  <c r="Z1018" i="5"/>
  <c r="W1018" i="5"/>
  <c r="U1018" i="5"/>
  <c r="S1018" i="5"/>
  <c r="N1018" i="5"/>
  <c r="K1018" i="5"/>
  <c r="H1018" i="5"/>
  <c r="E1018" i="5"/>
  <c r="AF1017" i="5"/>
  <c r="AD1017" i="5"/>
  <c r="Z1017" i="5"/>
  <c r="W1017" i="5"/>
  <c r="U1017" i="5"/>
  <c r="S1017" i="5"/>
  <c r="N1017" i="5"/>
  <c r="K1017" i="5"/>
  <c r="H1017" i="5"/>
  <c r="E1017" i="5"/>
  <c r="AF1016" i="5"/>
  <c r="AD1016" i="5"/>
  <c r="Z1016" i="5"/>
  <c r="W1016" i="5"/>
  <c r="U1016" i="5"/>
  <c r="S1016" i="5"/>
  <c r="N1016" i="5"/>
  <c r="K1016" i="5"/>
  <c r="H1016" i="5"/>
  <c r="E1016" i="5"/>
  <c r="AF1015" i="5"/>
  <c r="AD1015" i="5"/>
  <c r="Z1015" i="5"/>
  <c r="W1015" i="5"/>
  <c r="U1015" i="5"/>
  <c r="S1015" i="5"/>
  <c r="N1015" i="5"/>
  <c r="K1015" i="5"/>
  <c r="H1015" i="5"/>
  <c r="E1015" i="5"/>
  <c r="AF1014" i="5"/>
  <c r="AD1014" i="5"/>
  <c r="Z1014" i="5"/>
  <c r="W1014" i="5"/>
  <c r="U1014" i="5"/>
  <c r="S1014" i="5"/>
  <c r="N1014" i="5"/>
  <c r="K1014" i="5"/>
  <c r="H1014" i="5"/>
  <c r="E1014" i="5"/>
  <c r="AF1013" i="5"/>
  <c r="AD1013" i="5"/>
  <c r="Z1013" i="5"/>
  <c r="W1013" i="5"/>
  <c r="U1013" i="5"/>
  <c r="S1013" i="5"/>
  <c r="N1013" i="5"/>
  <c r="K1013" i="5"/>
  <c r="H1013" i="5"/>
  <c r="E1013" i="5"/>
  <c r="AF1012" i="5"/>
  <c r="AD1012" i="5"/>
  <c r="Z1012" i="5"/>
  <c r="AF1011" i="5"/>
  <c r="AD1011" i="5"/>
  <c r="Z1011" i="5"/>
  <c r="W1011" i="5"/>
  <c r="U1011" i="5"/>
  <c r="S1011" i="5"/>
  <c r="N1011" i="5"/>
  <c r="K1011" i="5"/>
  <c r="H1011" i="5"/>
  <c r="E1011" i="5"/>
  <c r="AF1010" i="5"/>
  <c r="AD1010" i="5"/>
  <c r="Z1010" i="5"/>
  <c r="W1010" i="5"/>
  <c r="U1010" i="5"/>
  <c r="S1010" i="5"/>
  <c r="N1010" i="5"/>
  <c r="K1010" i="5"/>
  <c r="H1010" i="5"/>
  <c r="E1010" i="5"/>
  <c r="AF1009" i="5"/>
  <c r="AD1009" i="5"/>
  <c r="Z1009" i="5"/>
  <c r="W1009" i="5"/>
  <c r="U1009" i="5"/>
  <c r="S1009" i="5"/>
  <c r="N1009" i="5"/>
  <c r="K1009" i="5"/>
  <c r="H1009" i="5"/>
  <c r="E1009" i="5"/>
  <c r="AF1008" i="5"/>
  <c r="AD1008" i="5"/>
  <c r="Z1008" i="5"/>
  <c r="W1008" i="5"/>
  <c r="U1008" i="5"/>
  <c r="S1008" i="5"/>
  <c r="N1008" i="5"/>
  <c r="K1008" i="5"/>
  <c r="H1008" i="5"/>
  <c r="E1008" i="5"/>
  <c r="AF1007" i="5"/>
  <c r="AD1007" i="5"/>
  <c r="Z1007" i="5"/>
  <c r="W1007" i="5"/>
  <c r="U1007" i="5"/>
  <c r="S1007" i="5"/>
  <c r="N1007" i="5"/>
  <c r="K1007" i="5"/>
  <c r="H1007" i="5"/>
  <c r="E1007" i="5"/>
  <c r="AF1006" i="5"/>
  <c r="AD1006" i="5"/>
  <c r="Z1006" i="5"/>
  <c r="W1006" i="5"/>
  <c r="U1006" i="5"/>
  <c r="S1006" i="5"/>
  <c r="N1006" i="5"/>
  <c r="K1006" i="5"/>
  <c r="H1006" i="5"/>
  <c r="E1006" i="5"/>
  <c r="AF1005" i="5"/>
  <c r="AD1005" i="5"/>
  <c r="Z1005" i="5"/>
  <c r="W1005" i="5"/>
  <c r="U1005" i="5"/>
  <c r="S1005" i="5"/>
  <c r="N1005" i="5"/>
  <c r="K1005" i="5"/>
  <c r="H1005" i="5"/>
  <c r="E1005" i="5"/>
  <c r="AF1004" i="5"/>
  <c r="AD1004" i="5"/>
  <c r="Z1004" i="5"/>
  <c r="W1004" i="5"/>
  <c r="U1004" i="5"/>
  <c r="S1004" i="5"/>
  <c r="N1004" i="5"/>
  <c r="K1004" i="5"/>
  <c r="H1004" i="5"/>
  <c r="E1004" i="5"/>
  <c r="AF1003" i="5"/>
  <c r="AD1003" i="5"/>
  <c r="Z1003" i="5"/>
  <c r="W1003" i="5"/>
  <c r="U1003" i="5"/>
  <c r="S1003" i="5"/>
  <c r="N1003" i="5"/>
  <c r="K1003" i="5"/>
  <c r="H1003" i="5"/>
  <c r="E1003" i="5"/>
  <c r="AF1002" i="5"/>
  <c r="AD1002" i="5"/>
  <c r="Z1002" i="5"/>
  <c r="W1002" i="5"/>
  <c r="U1002" i="5"/>
  <c r="S1002" i="5"/>
  <c r="N1002" i="5"/>
  <c r="K1002" i="5"/>
  <c r="H1002" i="5"/>
  <c r="E1002" i="5"/>
  <c r="AF1001" i="5"/>
  <c r="AD1001" i="5"/>
  <c r="Z1001" i="5"/>
  <c r="W1001" i="5"/>
  <c r="U1001" i="5"/>
  <c r="S1001" i="5"/>
  <c r="N1001" i="5"/>
  <c r="K1001" i="5"/>
  <c r="H1001" i="5"/>
  <c r="E1001" i="5"/>
  <c r="AF1000" i="5"/>
  <c r="AD1000" i="5"/>
  <c r="Z1000" i="5"/>
  <c r="W1000" i="5"/>
  <c r="U1000" i="5"/>
  <c r="S1000" i="5"/>
  <c r="N1000" i="5"/>
  <c r="K1000" i="5"/>
  <c r="H1000" i="5"/>
  <c r="E1000" i="5"/>
  <c r="AF999" i="5"/>
  <c r="AD999" i="5"/>
  <c r="Z999" i="5"/>
  <c r="W999" i="5"/>
  <c r="U999" i="5"/>
  <c r="S999" i="5"/>
  <c r="N999" i="5"/>
  <c r="K999" i="5"/>
  <c r="H999" i="5"/>
  <c r="E999" i="5"/>
  <c r="AF998" i="5"/>
  <c r="AD998" i="5"/>
  <c r="Z998" i="5"/>
  <c r="W998" i="5"/>
  <c r="U998" i="5"/>
  <c r="S998" i="5"/>
  <c r="N998" i="5"/>
  <c r="K998" i="5"/>
  <c r="H998" i="5"/>
  <c r="E998" i="5"/>
  <c r="AF997" i="5"/>
  <c r="AD997" i="5"/>
  <c r="Z997" i="5"/>
  <c r="W997" i="5"/>
  <c r="U997" i="5"/>
  <c r="S997" i="5"/>
  <c r="N997" i="5"/>
  <c r="K997" i="5"/>
  <c r="H997" i="5"/>
  <c r="E997" i="5"/>
  <c r="AF995" i="5"/>
  <c r="AD995" i="5"/>
  <c r="Z995" i="5"/>
  <c r="W995" i="5"/>
  <c r="U995" i="5"/>
  <c r="S995" i="5"/>
  <c r="AF994" i="5"/>
  <c r="AD994" i="5"/>
  <c r="Z994" i="5"/>
  <c r="W994" i="5"/>
  <c r="S994" i="5"/>
  <c r="P994" i="5"/>
  <c r="U994" i="5" s="1"/>
  <c r="N994" i="5"/>
  <c r="K994" i="5"/>
  <c r="H994" i="5"/>
  <c r="E994" i="5"/>
  <c r="AF993" i="5"/>
  <c r="AD993" i="5"/>
  <c r="Z993" i="5"/>
  <c r="W993" i="5"/>
  <c r="U993" i="5"/>
  <c r="S993" i="5"/>
  <c r="N993" i="5"/>
  <c r="K993" i="5"/>
  <c r="H993" i="5"/>
  <c r="AF992" i="5"/>
  <c r="AD992" i="5"/>
  <c r="Z992" i="5"/>
  <c r="W992" i="5"/>
  <c r="U992" i="5"/>
  <c r="S992" i="5"/>
  <c r="N992" i="5"/>
  <c r="K992" i="5"/>
  <c r="H992" i="5"/>
  <c r="E992" i="5"/>
  <c r="AF991" i="5"/>
  <c r="AD991" i="5"/>
  <c r="Z991" i="5"/>
  <c r="W991" i="5"/>
  <c r="U991" i="5"/>
  <c r="S991" i="5"/>
  <c r="N991" i="5"/>
  <c r="K991" i="5"/>
  <c r="H991" i="5"/>
  <c r="E991" i="5"/>
  <c r="AF990" i="5"/>
  <c r="AD990" i="5"/>
  <c r="Z990" i="5"/>
  <c r="W990" i="5"/>
  <c r="U990" i="5"/>
  <c r="S990" i="5"/>
  <c r="N990" i="5"/>
  <c r="K990" i="5"/>
  <c r="H990" i="5"/>
  <c r="E990" i="5"/>
  <c r="AF988" i="5"/>
  <c r="AD988" i="5"/>
  <c r="Z988" i="5"/>
  <c r="W988" i="5"/>
  <c r="U988" i="5"/>
  <c r="S988" i="5"/>
  <c r="N988" i="5"/>
  <c r="K988" i="5"/>
  <c r="H988" i="5"/>
  <c r="E988" i="5"/>
  <c r="AF987" i="5"/>
  <c r="AD987" i="5"/>
  <c r="Z987" i="5"/>
  <c r="W987" i="5"/>
  <c r="U987" i="5"/>
  <c r="S987" i="5"/>
  <c r="N987" i="5"/>
  <c r="K987" i="5"/>
  <c r="H987" i="5"/>
  <c r="E987" i="5"/>
  <c r="AF986" i="5"/>
  <c r="AD986" i="5"/>
  <c r="Z986" i="5"/>
  <c r="W986" i="5"/>
  <c r="U986" i="5"/>
  <c r="S986" i="5"/>
  <c r="N986" i="5"/>
  <c r="K986" i="5"/>
  <c r="H986" i="5"/>
  <c r="E986" i="5"/>
  <c r="AF985" i="5"/>
  <c r="AD985" i="5"/>
  <c r="Z985" i="5"/>
  <c r="W985" i="5"/>
  <c r="U985" i="5"/>
  <c r="S985" i="5"/>
  <c r="N985" i="5"/>
  <c r="K985" i="5"/>
  <c r="H985" i="5"/>
  <c r="E985" i="5"/>
  <c r="AF984" i="5"/>
  <c r="AD984" i="5"/>
  <c r="Z984" i="5"/>
  <c r="W984" i="5"/>
  <c r="U984" i="5"/>
  <c r="S984" i="5"/>
  <c r="N984" i="5"/>
  <c r="K984" i="5"/>
  <c r="H984" i="5"/>
  <c r="E984" i="5"/>
  <c r="AF983" i="5"/>
  <c r="AD983" i="5"/>
  <c r="Z983" i="5"/>
  <c r="W983" i="5"/>
  <c r="U983" i="5"/>
  <c r="S983" i="5"/>
  <c r="N983" i="5"/>
  <c r="K983" i="5"/>
  <c r="H983" i="5"/>
  <c r="E983" i="5"/>
  <c r="AF982" i="5"/>
  <c r="AD982" i="5"/>
  <c r="Z982" i="5"/>
  <c r="W982" i="5"/>
  <c r="U982" i="5"/>
  <c r="S982" i="5"/>
  <c r="N982" i="5"/>
  <c r="K982" i="5"/>
  <c r="H982" i="5"/>
  <c r="E982" i="5"/>
  <c r="AF981" i="5"/>
  <c r="AD981" i="5"/>
  <c r="Z981" i="5"/>
  <c r="W981" i="5"/>
  <c r="U981" i="5"/>
  <c r="S981" i="5"/>
  <c r="N981" i="5"/>
  <c r="K981" i="5"/>
  <c r="H981" i="5"/>
  <c r="E981" i="5"/>
  <c r="AF980" i="5"/>
  <c r="AD980" i="5"/>
  <c r="Z980" i="5"/>
  <c r="W980" i="5"/>
  <c r="U980" i="5"/>
  <c r="S980" i="5"/>
  <c r="N980" i="5"/>
  <c r="K980" i="5"/>
  <c r="H980" i="5"/>
  <c r="E980" i="5"/>
  <c r="AF979" i="5"/>
  <c r="AD979" i="5"/>
  <c r="Z979" i="5"/>
  <c r="W979" i="5"/>
  <c r="U979" i="5"/>
  <c r="S979" i="5"/>
  <c r="N979" i="5"/>
  <c r="K979" i="5"/>
  <c r="H979" i="5"/>
  <c r="E979" i="5"/>
  <c r="AF978" i="5"/>
  <c r="AD978" i="5"/>
  <c r="Z978" i="5"/>
  <c r="W978" i="5"/>
  <c r="U978" i="5"/>
  <c r="S978" i="5"/>
  <c r="N978" i="5"/>
  <c r="K978" i="5"/>
  <c r="H978" i="5"/>
  <c r="E978" i="5"/>
  <c r="AF977" i="5"/>
  <c r="AD977" i="5"/>
  <c r="Z977" i="5"/>
  <c r="W977" i="5"/>
  <c r="U977" i="5"/>
  <c r="S977" i="5"/>
  <c r="N977" i="5"/>
  <c r="K977" i="5"/>
  <c r="H977" i="5"/>
  <c r="E977" i="5"/>
  <c r="AF976" i="5"/>
  <c r="AD976" i="5"/>
  <c r="Z976" i="5"/>
  <c r="W976" i="5"/>
  <c r="U976" i="5"/>
  <c r="S976" i="5"/>
  <c r="N976" i="5"/>
  <c r="K976" i="5"/>
  <c r="H976" i="5"/>
  <c r="E976" i="5"/>
  <c r="AF975" i="5"/>
  <c r="AD975" i="5"/>
  <c r="Z975" i="5"/>
  <c r="W975" i="5"/>
  <c r="U975" i="5"/>
  <c r="S975" i="5"/>
  <c r="N975" i="5"/>
  <c r="K975" i="5"/>
  <c r="H975" i="5"/>
  <c r="E975" i="5"/>
  <c r="AF974" i="5"/>
  <c r="AD974" i="5"/>
  <c r="Z974" i="5"/>
  <c r="W974" i="5"/>
  <c r="U974" i="5"/>
  <c r="S974" i="5"/>
  <c r="N974" i="5"/>
  <c r="K974" i="5"/>
  <c r="H974" i="5"/>
  <c r="E974" i="5"/>
  <c r="AF973" i="5"/>
  <c r="AD973" i="5"/>
  <c r="Z973" i="5"/>
  <c r="W973" i="5"/>
  <c r="U973" i="5"/>
  <c r="S973" i="5"/>
  <c r="N973" i="5"/>
  <c r="K973" i="5"/>
  <c r="H973" i="5"/>
  <c r="E973" i="5"/>
  <c r="AF972" i="5"/>
  <c r="AD972" i="5"/>
  <c r="Z972" i="5"/>
  <c r="W972" i="5"/>
  <c r="U972" i="5"/>
  <c r="S972" i="5"/>
  <c r="N972" i="5"/>
  <c r="K972" i="5"/>
  <c r="H972" i="5"/>
  <c r="AF971" i="5"/>
  <c r="AD971" i="5"/>
  <c r="Z971" i="5"/>
  <c r="W971" i="5"/>
  <c r="U971" i="5"/>
  <c r="S971" i="5"/>
  <c r="N971" i="5"/>
  <c r="K971" i="5"/>
  <c r="H971" i="5"/>
  <c r="E971" i="5"/>
  <c r="AF970" i="5"/>
  <c r="AD970" i="5"/>
  <c r="Z970" i="5"/>
  <c r="W970" i="5"/>
  <c r="U970" i="5"/>
  <c r="S970" i="5"/>
  <c r="N970" i="5"/>
  <c r="K970" i="5"/>
  <c r="H970" i="5"/>
  <c r="E970" i="5"/>
  <c r="AF969" i="5"/>
  <c r="AD969" i="5"/>
  <c r="Z969" i="5"/>
  <c r="W969" i="5"/>
  <c r="U969" i="5"/>
  <c r="S969" i="5"/>
  <c r="N969" i="5"/>
  <c r="K969" i="5"/>
  <c r="H969" i="5"/>
  <c r="E969" i="5"/>
  <c r="AF968" i="5"/>
  <c r="AD968" i="5"/>
  <c r="Z968" i="5"/>
  <c r="W968" i="5"/>
  <c r="U968" i="5"/>
  <c r="S968" i="5"/>
  <c r="N968" i="5"/>
  <c r="K968" i="5"/>
  <c r="H968" i="5"/>
  <c r="E968" i="5"/>
  <c r="AF967" i="5"/>
  <c r="AD967" i="5"/>
  <c r="Z967" i="5"/>
  <c r="W967" i="5"/>
  <c r="U967" i="5"/>
  <c r="S967" i="5"/>
  <c r="N967" i="5"/>
  <c r="K967" i="5"/>
  <c r="H967" i="5"/>
  <c r="E967" i="5"/>
  <c r="AF966" i="5"/>
  <c r="AD966" i="5"/>
  <c r="Z966" i="5"/>
  <c r="W966" i="5"/>
  <c r="U966" i="5"/>
  <c r="S966" i="5"/>
  <c r="N966" i="5"/>
  <c r="K966" i="5"/>
  <c r="H966" i="5"/>
  <c r="E966" i="5"/>
  <c r="AF965" i="5"/>
  <c r="AD965" i="5"/>
  <c r="Z965" i="5"/>
  <c r="W965" i="5"/>
  <c r="U965" i="5"/>
  <c r="S965" i="5"/>
  <c r="N965" i="5"/>
  <c r="K965" i="5"/>
  <c r="H965" i="5"/>
  <c r="E965" i="5"/>
  <c r="AF964" i="5"/>
  <c r="AD964" i="5"/>
  <c r="Z964" i="5"/>
  <c r="W964" i="5"/>
  <c r="U964" i="5"/>
  <c r="S964" i="5"/>
  <c r="N964" i="5"/>
  <c r="K964" i="5"/>
  <c r="H964" i="5"/>
  <c r="E964" i="5"/>
  <c r="AF963" i="5"/>
  <c r="AD963" i="5"/>
  <c r="Z963" i="5"/>
  <c r="W963" i="5"/>
  <c r="U963" i="5"/>
  <c r="S963" i="5"/>
  <c r="N963" i="5"/>
  <c r="K963" i="5"/>
  <c r="H963" i="5"/>
  <c r="E963" i="5"/>
  <c r="AF962" i="5"/>
  <c r="AD962" i="5"/>
  <c r="Z962" i="5"/>
  <c r="W962" i="5"/>
  <c r="U962" i="5"/>
  <c r="S962" i="5"/>
  <c r="N962" i="5"/>
  <c r="K962" i="5"/>
  <c r="H962" i="5"/>
  <c r="E962" i="5"/>
  <c r="AF961" i="5"/>
  <c r="AD961" i="5"/>
  <c r="Z961" i="5"/>
  <c r="W961" i="5"/>
  <c r="U961" i="5"/>
  <c r="S961" i="5"/>
  <c r="N961" i="5"/>
  <c r="K961" i="5"/>
  <c r="H961" i="5"/>
  <c r="E961" i="5"/>
  <c r="AF960" i="5"/>
  <c r="AD960" i="5"/>
  <c r="Z960" i="5"/>
  <c r="W960" i="5"/>
  <c r="U960" i="5"/>
  <c r="S960" i="5"/>
  <c r="N960" i="5"/>
  <c r="K960" i="5"/>
  <c r="H960" i="5"/>
  <c r="E960" i="5"/>
  <c r="AF959" i="5"/>
  <c r="AD959" i="5"/>
  <c r="Z959" i="5"/>
  <c r="W959" i="5"/>
  <c r="U959" i="5"/>
  <c r="S959" i="5"/>
  <c r="N959" i="5"/>
  <c r="K959" i="5"/>
  <c r="H959" i="5"/>
  <c r="AF958" i="5"/>
  <c r="AD958" i="5"/>
  <c r="Z958" i="5"/>
  <c r="W958" i="5"/>
  <c r="U958" i="5"/>
  <c r="S958" i="5"/>
  <c r="N958" i="5"/>
  <c r="K958" i="5"/>
  <c r="H958" i="5"/>
  <c r="E958" i="5"/>
  <c r="AF957" i="5"/>
  <c r="AD957" i="5"/>
  <c r="Z957" i="5"/>
  <c r="W957" i="5"/>
  <c r="U957" i="5"/>
  <c r="S957" i="5"/>
  <c r="N957" i="5"/>
  <c r="K957" i="5"/>
  <c r="H957" i="5"/>
  <c r="E957" i="5"/>
  <c r="AF956" i="5"/>
  <c r="AD956" i="5"/>
  <c r="Z956" i="5"/>
  <c r="W956" i="5"/>
  <c r="U956" i="5"/>
  <c r="S956" i="5"/>
  <c r="N956" i="5"/>
  <c r="K956" i="5"/>
  <c r="H956" i="5"/>
  <c r="E956" i="5"/>
  <c r="AF955" i="5"/>
  <c r="AD955" i="5"/>
  <c r="Z955" i="5"/>
  <c r="W955" i="5"/>
  <c r="U955" i="5"/>
  <c r="S955" i="5"/>
  <c r="N955" i="5"/>
  <c r="K955" i="5"/>
  <c r="H955" i="5"/>
  <c r="E955" i="5"/>
  <c r="AF954" i="5"/>
  <c r="AD954" i="5"/>
  <c r="Z954" i="5"/>
  <c r="W954" i="5"/>
  <c r="U954" i="5"/>
  <c r="S954" i="5"/>
  <c r="N954" i="5"/>
  <c r="K954" i="5"/>
  <c r="H954" i="5"/>
  <c r="E954" i="5"/>
  <c r="AF953" i="5"/>
  <c r="AD953" i="5"/>
  <c r="Z953" i="5"/>
  <c r="W953" i="5"/>
  <c r="U953" i="5"/>
  <c r="S953" i="5"/>
  <c r="N953" i="5"/>
  <c r="K953" i="5"/>
  <c r="H953" i="5"/>
  <c r="E953" i="5"/>
  <c r="AF952" i="5"/>
  <c r="AD952" i="5"/>
  <c r="Z952" i="5"/>
  <c r="W952" i="5"/>
  <c r="U952" i="5"/>
  <c r="S952" i="5"/>
  <c r="N952" i="5"/>
  <c r="K952" i="5"/>
  <c r="H952" i="5"/>
  <c r="E952" i="5"/>
  <c r="AF951" i="5"/>
  <c r="AD951" i="5"/>
  <c r="Z951" i="5"/>
  <c r="W951" i="5"/>
  <c r="U951" i="5"/>
  <c r="S951" i="5"/>
  <c r="K951" i="5"/>
  <c r="H951" i="5"/>
  <c r="E951" i="5"/>
  <c r="AF950" i="5"/>
  <c r="AD950" i="5"/>
  <c r="Z950" i="5"/>
  <c r="W950" i="5"/>
  <c r="U950" i="5"/>
  <c r="S950" i="5"/>
  <c r="N950" i="5"/>
  <c r="K950" i="5"/>
  <c r="H950" i="5"/>
  <c r="E950" i="5"/>
  <c r="AF949" i="5"/>
  <c r="AD949" i="5"/>
  <c r="Z949" i="5"/>
  <c r="W949" i="5"/>
  <c r="U949" i="5"/>
  <c r="S949" i="5"/>
  <c r="N949" i="5"/>
  <c r="K949" i="5"/>
  <c r="H949" i="5"/>
  <c r="E949" i="5"/>
  <c r="AF948" i="5"/>
  <c r="AD948" i="5"/>
  <c r="Z948" i="5"/>
  <c r="W948" i="5"/>
  <c r="U948" i="5"/>
  <c r="S948" i="5"/>
  <c r="N948" i="5"/>
  <c r="K948" i="5"/>
  <c r="H948" i="5"/>
  <c r="E948" i="5"/>
  <c r="AK947" i="5"/>
  <c r="AM947" i="5" s="1"/>
  <c r="AO947" i="5" s="1"/>
  <c r="AQ947" i="5" s="1"/>
  <c r="AS947" i="5" s="1"/>
  <c r="AU947" i="5" s="1"/>
  <c r="AW947" i="5" s="1"/>
  <c r="AY947" i="5" s="1"/>
  <c r="BA947" i="5" s="1"/>
  <c r="BC947" i="5" s="1"/>
  <c r="BE947" i="5" s="1"/>
  <c r="AF947" i="5"/>
  <c r="AD947" i="5"/>
  <c r="Z947" i="5"/>
  <c r="W947" i="5"/>
  <c r="S947" i="5"/>
  <c r="P947" i="5"/>
  <c r="U947" i="5" s="1"/>
  <c r="N947" i="5"/>
  <c r="K947" i="5"/>
  <c r="H947" i="5"/>
  <c r="E947" i="5"/>
  <c r="AD946" i="5"/>
  <c r="Z946" i="5"/>
  <c r="W946" i="5"/>
  <c r="U946" i="5"/>
  <c r="S946" i="5"/>
  <c r="N946" i="5"/>
  <c r="K946" i="5"/>
  <c r="H946" i="5"/>
  <c r="E946" i="5"/>
  <c r="AD945" i="5"/>
  <c r="Z945" i="5"/>
  <c r="W945" i="5"/>
  <c r="U945" i="5"/>
  <c r="S945" i="5"/>
  <c r="N945" i="5"/>
  <c r="K945" i="5"/>
  <c r="H945" i="5"/>
  <c r="E945" i="5"/>
  <c r="AF944" i="5"/>
  <c r="AD944" i="5"/>
  <c r="Z944" i="5"/>
  <c r="W944" i="5"/>
  <c r="U944" i="5"/>
  <c r="S944" i="5"/>
  <c r="N944" i="5"/>
  <c r="K944" i="5"/>
  <c r="H944" i="5"/>
  <c r="E944" i="5"/>
  <c r="AF943" i="5"/>
  <c r="AD943" i="5"/>
  <c r="Z943" i="5"/>
  <c r="W943" i="5"/>
  <c r="U943" i="5"/>
  <c r="S943" i="5"/>
  <c r="N943" i="5"/>
  <c r="K943" i="5"/>
  <c r="H943" i="5"/>
  <c r="E943" i="5"/>
  <c r="AF940" i="5"/>
  <c r="AD940" i="5"/>
  <c r="Z940" i="5"/>
  <c r="W940" i="5"/>
  <c r="U940" i="5"/>
  <c r="S940" i="5"/>
  <c r="N940" i="5"/>
  <c r="K940" i="5"/>
  <c r="H940" i="5"/>
  <c r="E940" i="5"/>
  <c r="AF939" i="5"/>
  <c r="AD939" i="5"/>
  <c r="Z939" i="5"/>
  <c r="W939" i="5"/>
  <c r="U939" i="5"/>
  <c r="S939" i="5"/>
  <c r="N939" i="5"/>
  <c r="K939" i="5"/>
  <c r="H939" i="5"/>
  <c r="E939" i="5"/>
  <c r="AF938" i="5"/>
  <c r="AD938" i="5"/>
  <c r="Z938" i="5"/>
  <c r="W938" i="5"/>
  <c r="U938" i="5"/>
  <c r="S938" i="5"/>
  <c r="N938" i="5"/>
  <c r="K938" i="5"/>
  <c r="H938" i="5"/>
  <c r="E938" i="5"/>
  <c r="AF937" i="5"/>
  <c r="AD937" i="5"/>
  <c r="Z937" i="5"/>
  <c r="W937" i="5"/>
  <c r="U937" i="5"/>
  <c r="S937" i="5"/>
  <c r="N937" i="5"/>
  <c r="K937" i="5"/>
  <c r="H937" i="5"/>
  <c r="E937" i="5"/>
  <c r="AF936" i="5"/>
  <c r="AD936" i="5"/>
  <c r="Z936" i="5"/>
  <c r="W936" i="5"/>
  <c r="U936" i="5"/>
  <c r="S936" i="5"/>
  <c r="N936" i="5"/>
  <c r="K936" i="5"/>
  <c r="AF935" i="5"/>
  <c r="AD935" i="5"/>
  <c r="Z935" i="5"/>
  <c r="V935" i="5"/>
  <c r="W935" i="5" s="1"/>
  <c r="S935" i="5"/>
  <c r="P935" i="5"/>
  <c r="U935" i="5" s="1"/>
  <c r="N935" i="5"/>
  <c r="J935" i="5"/>
  <c r="J1040" i="5" s="1"/>
  <c r="D935" i="5"/>
  <c r="D1040" i="5" s="1"/>
  <c r="B935" i="5"/>
  <c r="H935" i="5" s="1"/>
  <c r="AF934" i="5"/>
  <c r="AD934" i="5"/>
  <c r="Z934" i="5"/>
  <c r="W934" i="5"/>
  <c r="U934" i="5"/>
  <c r="S934" i="5"/>
  <c r="N934" i="5"/>
  <c r="K934" i="5"/>
  <c r="H934" i="5"/>
  <c r="E934" i="5"/>
  <c r="AF933" i="5"/>
  <c r="AD933" i="5"/>
  <c r="Z933" i="5"/>
  <c r="W933" i="5"/>
  <c r="U933" i="5"/>
  <c r="S933" i="5"/>
  <c r="N933" i="5"/>
  <c r="K933" i="5"/>
  <c r="H933" i="5"/>
  <c r="E933" i="5"/>
  <c r="AF932" i="5"/>
  <c r="AD932" i="5"/>
  <c r="Z932" i="5"/>
  <c r="W932" i="5"/>
  <c r="U932" i="5"/>
  <c r="S932" i="5"/>
  <c r="N932" i="5"/>
  <c r="K932" i="5"/>
  <c r="H932" i="5"/>
  <c r="E932" i="5"/>
  <c r="AF931" i="5"/>
  <c r="AD931" i="5"/>
  <c r="Z931" i="5"/>
  <c r="W931" i="5"/>
  <c r="U931" i="5"/>
  <c r="S931" i="5"/>
  <c r="N931" i="5"/>
  <c r="K931" i="5"/>
  <c r="H931" i="5"/>
  <c r="AF930" i="5"/>
  <c r="AD930" i="5"/>
  <c r="Z930" i="5"/>
  <c r="W930" i="5"/>
  <c r="U930" i="5"/>
  <c r="S930" i="5"/>
  <c r="N930" i="5"/>
  <c r="K930" i="5"/>
  <c r="H930" i="5"/>
  <c r="E930" i="5"/>
  <c r="AF929" i="5"/>
  <c r="AD929" i="5"/>
  <c r="Z929" i="5"/>
  <c r="W929" i="5"/>
  <c r="U929" i="5"/>
  <c r="S929" i="5"/>
  <c r="N929" i="5"/>
  <c r="K929" i="5"/>
  <c r="AF928" i="5"/>
  <c r="AD928" i="5"/>
  <c r="Z928" i="5"/>
  <c r="W928" i="5"/>
  <c r="U928" i="5"/>
  <c r="S928" i="5"/>
  <c r="N928" i="5"/>
  <c r="K928" i="5"/>
  <c r="H928" i="5"/>
  <c r="E928" i="5"/>
  <c r="AF927" i="5"/>
  <c r="AD927" i="5"/>
  <c r="Z927" i="5"/>
  <c r="W927" i="5"/>
  <c r="U927" i="5"/>
  <c r="S927" i="5"/>
  <c r="N927" i="5"/>
  <c r="K927" i="5"/>
  <c r="H927" i="5"/>
  <c r="E927" i="5"/>
  <c r="AF926" i="5"/>
  <c r="AD926" i="5"/>
  <c r="Z926" i="5"/>
  <c r="W926" i="5"/>
  <c r="U926" i="5"/>
  <c r="S926" i="5"/>
  <c r="N926" i="5"/>
  <c r="K926" i="5"/>
  <c r="H926" i="5"/>
  <c r="E926" i="5"/>
  <c r="AF925" i="5"/>
  <c r="AD925" i="5"/>
  <c r="Z925" i="5"/>
  <c r="W925" i="5"/>
  <c r="U925" i="5"/>
  <c r="S925" i="5"/>
  <c r="N925" i="5"/>
  <c r="K925" i="5"/>
  <c r="H925" i="5"/>
  <c r="E925" i="5"/>
  <c r="AF924" i="5"/>
  <c r="AD924" i="5"/>
  <c r="Z924" i="5"/>
  <c r="W924" i="5"/>
  <c r="U924" i="5"/>
  <c r="S924" i="5"/>
  <c r="N924" i="5"/>
  <c r="K924" i="5"/>
  <c r="H924" i="5"/>
  <c r="E924" i="5"/>
  <c r="AF923" i="5"/>
  <c r="AD923" i="5"/>
  <c r="Z923" i="5"/>
  <c r="W923" i="5"/>
  <c r="U923" i="5"/>
  <c r="S923" i="5"/>
  <c r="N923" i="5"/>
  <c r="K923" i="5"/>
  <c r="H923" i="5"/>
  <c r="E923" i="5"/>
  <c r="AF922" i="5"/>
  <c r="AD922" i="5"/>
  <c r="Z922" i="5"/>
  <c r="W922" i="5"/>
  <c r="U922" i="5"/>
  <c r="S922" i="5"/>
  <c r="N922" i="5"/>
  <c r="K922" i="5"/>
  <c r="H922" i="5"/>
  <c r="E922" i="5"/>
  <c r="AF921" i="5"/>
  <c r="AD921" i="5"/>
  <c r="Z921" i="5"/>
  <c r="W921" i="5"/>
  <c r="U921" i="5"/>
  <c r="S921" i="5"/>
  <c r="N921" i="5"/>
  <c r="K921" i="5"/>
  <c r="H921" i="5"/>
  <c r="E921" i="5"/>
  <c r="AF920" i="5"/>
  <c r="AD920" i="5"/>
  <c r="Z920" i="5"/>
  <c r="W920" i="5"/>
  <c r="U920" i="5"/>
  <c r="S920" i="5"/>
  <c r="N920" i="5"/>
  <c r="K920" i="5"/>
  <c r="H920" i="5"/>
  <c r="E920" i="5"/>
  <c r="AF919" i="5"/>
  <c r="AD919" i="5"/>
  <c r="Z919" i="5"/>
  <c r="W919" i="5"/>
  <c r="U919" i="5"/>
  <c r="S919" i="5"/>
  <c r="N919" i="5"/>
  <c r="K919" i="5"/>
  <c r="H919" i="5"/>
  <c r="E919" i="5"/>
  <c r="AF918" i="5"/>
  <c r="AD918" i="5"/>
  <c r="Z918" i="5"/>
  <c r="W918" i="5"/>
  <c r="U918" i="5"/>
  <c r="S918" i="5"/>
  <c r="N918" i="5"/>
  <c r="K918" i="5"/>
  <c r="H918" i="5"/>
  <c r="E918" i="5"/>
  <c r="AF915" i="5"/>
  <c r="AD915" i="5"/>
  <c r="Z915" i="5"/>
  <c r="W915" i="5"/>
  <c r="U915" i="5"/>
  <c r="S915" i="5"/>
  <c r="N915" i="5"/>
  <c r="K915" i="5"/>
  <c r="H915" i="5"/>
  <c r="E915" i="5"/>
  <c r="AF914" i="5"/>
  <c r="AD914" i="5"/>
  <c r="Z914" i="5"/>
  <c r="W914" i="5"/>
  <c r="U914" i="5"/>
  <c r="S914" i="5"/>
  <c r="N914" i="5"/>
  <c r="K914" i="5"/>
  <c r="H914" i="5"/>
  <c r="E914" i="5"/>
  <c r="AF913" i="5"/>
  <c r="AD913" i="5"/>
  <c r="Z913" i="5"/>
  <c r="W913" i="5"/>
  <c r="U913" i="5"/>
  <c r="S913" i="5"/>
  <c r="N913" i="5"/>
  <c r="K913" i="5"/>
  <c r="H913" i="5"/>
  <c r="E913" i="5"/>
  <c r="AF912" i="5"/>
  <c r="AD912" i="5"/>
  <c r="Z912" i="5"/>
  <c r="W912" i="5"/>
  <c r="U912" i="5"/>
  <c r="S912" i="5"/>
  <c r="N912" i="5"/>
  <c r="K912" i="5"/>
  <c r="H912" i="5"/>
  <c r="E912" i="5"/>
  <c r="AF911" i="5"/>
  <c r="AD911" i="5"/>
  <c r="Z911" i="5"/>
  <c r="W911" i="5"/>
  <c r="U911" i="5"/>
  <c r="S911" i="5"/>
  <c r="N911" i="5"/>
  <c r="K911" i="5"/>
  <c r="H911" i="5"/>
  <c r="E911" i="5"/>
  <c r="AF910" i="5"/>
  <c r="AD910" i="5"/>
  <c r="Z910" i="5"/>
  <c r="W910" i="5"/>
  <c r="U910" i="5"/>
  <c r="S910" i="5"/>
  <c r="N910" i="5"/>
  <c r="K910" i="5"/>
  <c r="H910" i="5"/>
  <c r="E910" i="5"/>
  <c r="AF909" i="5"/>
  <c r="AD909" i="5"/>
  <c r="Z909" i="5"/>
  <c r="W909" i="5"/>
  <c r="U909" i="5"/>
  <c r="S909" i="5"/>
  <c r="N909" i="5"/>
  <c r="K909" i="5"/>
  <c r="H909" i="5"/>
  <c r="E909" i="5"/>
  <c r="AF908" i="5"/>
  <c r="AD908" i="5"/>
  <c r="Z908" i="5"/>
  <c r="W908" i="5"/>
  <c r="U908" i="5"/>
  <c r="S908" i="5"/>
  <c r="N908" i="5"/>
  <c r="K908" i="5"/>
  <c r="H908" i="5"/>
  <c r="E908" i="5"/>
  <c r="AF907" i="5"/>
  <c r="AD907" i="5"/>
  <c r="Z907" i="5"/>
  <c r="W907" i="5"/>
  <c r="U907" i="5"/>
  <c r="S907" i="5"/>
  <c r="N907" i="5"/>
  <c r="K907" i="5"/>
  <c r="H907" i="5"/>
  <c r="E907" i="5"/>
  <c r="AF906" i="5"/>
  <c r="AD906" i="5"/>
  <c r="Z906" i="5"/>
  <c r="W906" i="5"/>
  <c r="U906" i="5"/>
  <c r="S906" i="5"/>
  <c r="N906" i="5"/>
  <c r="K906" i="5"/>
  <c r="H906" i="5"/>
  <c r="E906" i="5"/>
  <c r="AF905" i="5"/>
  <c r="AD905" i="5"/>
  <c r="Z905" i="5"/>
  <c r="W905" i="5"/>
  <c r="U905" i="5"/>
  <c r="S905" i="5"/>
  <c r="N905" i="5"/>
  <c r="K905" i="5"/>
  <c r="H905" i="5"/>
  <c r="E905" i="5"/>
  <c r="AF904" i="5"/>
  <c r="AD904" i="5"/>
  <c r="Z904" i="5"/>
  <c r="W904" i="5"/>
  <c r="U904" i="5"/>
  <c r="S904" i="5"/>
  <c r="N904" i="5"/>
  <c r="K904" i="5"/>
  <c r="H904" i="5"/>
  <c r="E904" i="5"/>
  <c r="AF903" i="5"/>
  <c r="AD903" i="5"/>
  <c r="Z903" i="5"/>
  <c r="W903" i="5"/>
  <c r="U903" i="5"/>
  <c r="S903" i="5"/>
  <c r="N903" i="5"/>
  <c r="K903" i="5"/>
  <c r="H903" i="5"/>
  <c r="E903" i="5"/>
  <c r="AF902" i="5"/>
  <c r="AD902" i="5"/>
  <c r="Z902" i="5"/>
  <c r="W902" i="5"/>
  <c r="U902" i="5"/>
  <c r="S902" i="5"/>
  <c r="N902" i="5"/>
  <c r="K902" i="5"/>
  <c r="H902" i="5"/>
  <c r="E902" i="5"/>
  <c r="AF901" i="5"/>
  <c r="AD901" i="5"/>
  <c r="Z901" i="5"/>
  <c r="W901" i="5"/>
  <c r="U901" i="5"/>
  <c r="S901" i="5"/>
  <c r="N901" i="5"/>
  <c r="K901" i="5"/>
  <c r="H901" i="5"/>
  <c r="E901" i="5"/>
  <c r="AF900" i="5"/>
  <c r="AD900" i="5"/>
  <c r="Z900" i="5"/>
  <c r="W900" i="5"/>
  <c r="U900" i="5"/>
  <c r="S900" i="5"/>
  <c r="N900" i="5"/>
  <c r="K900" i="5"/>
  <c r="H900" i="5"/>
  <c r="E900" i="5"/>
  <c r="AF899" i="5"/>
  <c r="AD899" i="5"/>
  <c r="Z899" i="5"/>
  <c r="W899" i="5"/>
  <c r="U899" i="5"/>
  <c r="S899" i="5"/>
  <c r="N899" i="5"/>
  <c r="K899" i="5"/>
  <c r="H899" i="5"/>
  <c r="E899" i="5"/>
  <c r="AF898" i="5"/>
  <c r="AD898" i="5"/>
  <c r="Z898" i="5"/>
  <c r="W898" i="5"/>
  <c r="U898" i="5"/>
  <c r="S898" i="5"/>
  <c r="N898" i="5"/>
  <c r="K898" i="5"/>
  <c r="H898" i="5"/>
  <c r="E898" i="5"/>
  <c r="AF897" i="5"/>
  <c r="AD897" i="5"/>
  <c r="Z897" i="5"/>
  <c r="W897" i="5"/>
  <c r="U897" i="5"/>
  <c r="S897" i="5"/>
  <c r="N897" i="5"/>
  <c r="K897" i="5"/>
  <c r="H897" i="5"/>
  <c r="E897" i="5"/>
  <c r="AF896" i="5"/>
  <c r="AD896" i="5"/>
  <c r="Z896" i="5"/>
  <c r="W896" i="5"/>
  <c r="U896" i="5"/>
  <c r="S896" i="5"/>
  <c r="N896" i="5"/>
  <c r="K896" i="5"/>
  <c r="H896" i="5"/>
  <c r="E896" i="5"/>
  <c r="AF895" i="5"/>
  <c r="AD895" i="5"/>
  <c r="Z895" i="5"/>
  <c r="W895" i="5"/>
  <c r="U895" i="5"/>
  <c r="S895" i="5"/>
  <c r="N895" i="5"/>
  <c r="K895" i="5"/>
  <c r="H895" i="5"/>
  <c r="E895" i="5"/>
  <c r="AF894" i="5"/>
  <c r="AD894" i="5"/>
  <c r="Z894" i="5"/>
  <c r="W894" i="5"/>
  <c r="U894" i="5"/>
  <c r="S894" i="5"/>
  <c r="N894" i="5"/>
  <c r="K894" i="5"/>
  <c r="H894" i="5"/>
  <c r="E894" i="5"/>
  <c r="AF893" i="5"/>
  <c r="AD893" i="5"/>
  <c r="Z893" i="5"/>
  <c r="W893" i="5"/>
  <c r="U893" i="5"/>
  <c r="S893" i="5"/>
  <c r="N893" i="5"/>
  <c r="K893" i="5"/>
  <c r="H893" i="5"/>
  <c r="E893" i="5"/>
  <c r="AF892" i="5"/>
  <c r="AD892" i="5"/>
  <c r="Z892" i="5"/>
  <c r="W892" i="5"/>
  <c r="U892" i="5"/>
  <c r="S892" i="5"/>
  <c r="N892" i="5"/>
  <c r="K892" i="5"/>
  <c r="H892" i="5"/>
  <c r="E892" i="5"/>
  <c r="AF891" i="5"/>
  <c r="AD891" i="5"/>
  <c r="Z891" i="5"/>
  <c r="W891" i="5"/>
  <c r="U891" i="5"/>
  <c r="S891" i="5"/>
  <c r="N891" i="5"/>
  <c r="K891" i="5"/>
  <c r="H891" i="5"/>
  <c r="E891" i="5"/>
  <c r="AF890" i="5"/>
  <c r="AD890" i="5"/>
  <c r="Z890" i="5"/>
  <c r="W890" i="5"/>
  <c r="U890" i="5"/>
  <c r="S890" i="5"/>
  <c r="N890" i="5"/>
  <c r="K890" i="5"/>
  <c r="H890" i="5"/>
  <c r="E890" i="5"/>
  <c r="AF889" i="5"/>
  <c r="AD889" i="5"/>
  <c r="Z889" i="5"/>
  <c r="W889" i="5"/>
  <c r="U889" i="5"/>
  <c r="S889" i="5"/>
  <c r="N889" i="5"/>
  <c r="K889" i="5"/>
  <c r="H889" i="5"/>
  <c r="E889" i="5"/>
  <c r="AF888" i="5"/>
  <c r="AD888" i="5"/>
  <c r="Z888" i="5"/>
  <c r="W888" i="5"/>
  <c r="U888" i="5"/>
  <c r="S888" i="5"/>
  <c r="N888" i="5"/>
  <c r="K888" i="5"/>
  <c r="H888" i="5"/>
  <c r="E888" i="5"/>
  <c r="AI886" i="5"/>
  <c r="AF886" i="5"/>
  <c r="AD886" i="5"/>
  <c r="Z886" i="5"/>
  <c r="W886" i="5"/>
  <c r="U886" i="5"/>
  <c r="S886" i="5"/>
  <c r="N886" i="5"/>
  <c r="K886" i="5"/>
  <c r="H886" i="5"/>
  <c r="E886" i="5"/>
  <c r="AI885" i="5"/>
  <c r="AF885" i="5"/>
  <c r="AD885" i="5"/>
  <c r="Z885" i="5"/>
  <c r="W885" i="5"/>
  <c r="U885" i="5"/>
  <c r="S885" i="5"/>
  <c r="N885" i="5"/>
  <c r="K885" i="5"/>
  <c r="H885" i="5"/>
  <c r="E885" i="5"/>
  <c r="AF884" i="5"/>
  <c r="AD884" i="5"/>
  <c r="Z884" i="5"/>
  <c r="W884" i="5"/>
  <c r="U884" i="5"/>
  <c r="S884" i="5"/>
  <c r="N884" i="5"/>
  <c r="K884" i="5"/>
  <c r="H884" i="5"/>
  <c r="E884" i="5"/>
  <c r="AF883" i="5"/>
  <c r="AD883" i="5"/>
  <c r="Z883" i="5"/>
  <c r="W883" i="5"/>
  <c r="U883" i="5"/>
  <c r="S883" i="5"/>
  <c r="N883" i="5"/>
  <c r="K883" i="5"/>
  <c r="H883" i="5"/>
  <c r="E883" i="5"/>
  <c r="AF882" i="5"/>
  <c r="AD882" i="5"/>
  <c r="Z882" i="5"/>
  <c r="W882" i="5"/>
  <c r="U882" i="5"/>
  <c r="S882" i="5"/>
  <c r="N882" i="5"/>
  <c r="K882" i="5"/>
  <c r="H882" i="5"/>
  <c r="E882" i="5"/>
  <c r="AF881" i="5"/>
  <c r="AD881" i="5"/>
  <c r="Z881" i="5"/>
  <c r="W881" i="5"/>
  <c r="U881" i="5"/>
  <c r="S881" i="5"/>
  <c r="N881" i="5"/>
  <c r="K881" i="5"/>
  <c r="H881" i="5"/>
  <c r="E881" i="5"/>
  <c r="AF880" i="5"/>
  <c r="AD880" i="5"/>
  <c r="Z880" i="5"/>
  <c r="W880" i="5"/>
  <c r="U880" i="5"/>
  <c r="S880" i="5"/>
  <c r="N880" i="5"/>
  <c r="K880" i="5"/>
  <c r="H880" i="5"/>
  <c r="E880" i="5"/>
  <c r="AF879" i="5"/>
  <c r="AD879" i="5"/>
  <c r="Z879" i="5"/>
  <c r="W879" i="5"/>
  <c r="U879" i="5"/>
  <c r="S879" i="5"/>
  <c r="N879" i="5"/>
  <c r="K879" i="5"/>
  <c r="H879" i="5"/>
  <c r="E879" i="5"/>
  <c r="AF878" i="5"/>
  <c r="AD878" i="5"/>
  <c r="Z878" i="5"/>
  <c r="W878" i="5"/>
  <c r="U878" i="5"/>
  <c r="S878" i="5"/>
  <c r="N878" i="5"/>
  <c r="K878" i="5"/>
  <c r="H878" i="5"/>
  <c r="E878" i="5"/>
  <c r="AF877" i="5"/>
  <c r="AD877" i="5"/>
  <c r="Z877" i="5"/>
  <c r="W877" i="5"/>
  <c r="U877" i="5"/>
  <c r="S877" i="5"/>
  <c r="N877" i="5"/>
  <c r="K877" i="5"/>
  <c r="H877" i="5"/>
  <c r="E877" i="5"/>
  <c r="AF876" i="5"/>
  <c r="AD876" i="5"/>
  <c r="Z876" i="5"/>
  <c r="W876" i="5"/>
  <c r="U876" i="5"/>
  <c r="S876" i="5"/>
  <c r="N876" i="5"/>
  <c r="K876" i="5"/>
  <c r="H876" i="5"/>
  <c r="E876" i="5"/>
  <c r="AF875" i="5"/>
  <c r="AD875" i="5"/>
  <c r="Z875" i="5"/>
  <c r="W875" i="5"/>
  <c r="U875" i="5"/>
  <c r="S875" i="5"/>
  <c r="N875" i="5"/>
  <c r="K875" i="5"/>
  <c r="H875" i="5"/>
  <c r="E875" i="5"/>
  <c r="AF874" i="5"/>
  <c r="AD874" i="5"/>
  <c r="Z874" i="5"/>
  <c r="W874" i="5"/>
  <c r="U874" i="5"/>
  <c r="S874" i="5"/>
  <c r="AF873" i="5"/>
  <c r="AD873" i="5"/>
  <c r="Z873" i="5"/>
  <c r="W873" i="5"/>
  <c r="U873" i="5"/>
  <c r="S873" i="5"/>
  <c r="N873" i="5"/>
  <c r="K873" i="5"/>
  <c r="H873" i="5"/>
  <c r="E873" i="5"/>
  <c r="AF872" i="5"/>
  <c r="AD872" i="5"/>
  <c r="Z872" i="5"/>
  <c r="W872" i="5"/>
  <c r="U872" i="5"/>
  <c r="S872" i="5"/>
  <c r="N872" i="5"/>
  <c r="K872" i="5"/>
  <c r="H872" i="5"/>
  <c r="E872" i="5"/>
  <c r="AF871" i="5"/>
  <c r="AD871" i="5"/>
  <c r="Z871" i="5"/>
  <c r="W871" i="5"/>
  <c r="U871" i="5"/>
  <c r="S871" i="5"/>
  <c r="N871" i="5"/>
  <c r="K871" i="5"/>
  <c r="H871" i="5"/>
  <c r="E871" i="5"/>
  <c r="AF870" i="5"/>
  <c r="AD870" i="5"/>
  <c r="Z870" i="5"/>
  <c r="W870" i="5"/>
  <c r="U870" i="5"/>
  <c r="S870" i="5"/>
  <c r="N870" i="5"/>
  <c r="K870" i="5"/>
  <c r="H870" i="5"/>
  <c r="E870" i="5"/>
  <c r="AF869" i="5"/>
  <c r="AD869" i="5"/>
  <c r="Z869" i="5"/>
  <c r="W869" i="5"/>
  <c r="U869" i="5"/>
  <c r="S869" i="5"/>
  <c r="N869" i="5"/>
  <c r="K869" i="5"/>
  <c r="H869" i="5"/>
  <c r="E869" i="5"/>
  <c r="AF868" i="5"/>
  <c r="AD868" i="5"/>
  <c r="Z868" i="5"/>
  <c r="W868" i="5"/>
  <c r="U868" i="5"/>
  <c r="S868" i="5"/>
  <c r="N868" i="5"/>
  <c r="K868" i="5"/>
  <c r="H868" i="5"/>
  <c r="E868" i="5"/>
  <c r="AF867" i="5"/>
  <c r="AD867" i="5"/>
  <c r="Z867" i="5"/>
  <c r="W867" i="5"/>
  <c r="U867" i="5"/>
  <c r="S867" i="5"/>
  <c r="AF866" i="5"/>
  <c r="AD866" i="5"/>
  <c r="Z866" i="5"/>
  <c r="W866" i="5"/>
  <c r="U866" i="5"/>
  <c r="S866" i="5"/>
  <c r="N866" i="5"/>
  <c r="K866" i="5"/>
  <c r="H866" i="5"/>
  <c r="E866" i="5"/>
  <c r="AF864" i="5"/>
  <c r="AD864" i="5"/>
  <c r="Z864" i="5"/>
  <c r="W864" i="5"/>
  <c r="U864" i="5"/>
  <c r="S864" i="5"/>
  <c r="N864" i="5"/>
  <c r="K864" i="5"/>
  <c r="H864" i="5"/>
  <c r="E864" i="5"/>
  <c r="AF863" i="5"/>
  <c r="AD863" i="5"/>
  <c r="Z863" i="5"/>
  <c r="W863" i="5"/>
  <c r="U863" i="5"/>
  <c r="S863" i="5"/>
  <c r="N863" i="5"/>
  <c r="K863" i="5"/>
  <c r="H863" i="5"/>
  <c r="E863" i="5"/>
  <c r="AF862" i="5"/>
  <c r="AD862" i="5"/>
  <c r="Z862" i="5"/>
  <c r="W862" i="5"/>
  <c r="U862" i="5"/>
  <c r="S862" i="5"/>
  <c r="N862" i="5"/>
  <c r="K862" i="5"/>
  <c r="H862" i="5"/>
  <c r="E862" i="5"/>
  <c r="AF861" i="5"/>
  <c r="AD861" i="5"/>
  <c r="Z861" i="5"/>
  <c r="W861" i="5"/>
  <c r="U861" i="5"/>
  <c r="S861" i="5"/>
  <c r="N861" i="5"/>
  <c r="K861" i="5"/>
  <c r="H861" i="5"/>
  <c r="E861" i="5"/>
  <c r="AF860" i="5"/>
  <c r="AD860" i="5"/>
  <c r="Z860" i="5"/>
  <c r="W860" i="5"/>
  <c r="U860" i="5"/>
  <c r="S860" i="5"/>
  <c r="N860" i="5"/>
  <c r="K860" i="5"/>
  <c r="H860" i="5"/>
  <c r="E860" i="5"/>
  <c r="AF859" i="5"/>
  <c r="AD859" i="5"/>
  <c r="Z859" i="5"/>
  <c r="W859" i="5"/>
  <c r="U859" i="5"/>
  <c r="S859" i="5"/>
  <c r="N859" i="5"/>
  <c r="K859" i="5"/>
  <c r="H859" i="5"/>
  <c r="E859" i="5"/>
  <c r="AF858" i="5"/>
  <c r="AD858" i="5"/>
  <c r="Z858" i="5"/>
  <c r="W858" i="5"/>
  <c r="U858" i="5"/>
  <c r="S858" i="5"/>
  <c r="N858" i="5"/>
  <c r="K858" i="5"/>
  <c r="H858" i="5"/>
  <c r="E858" i="5"/>
  <c r="AF857" i="5"/>
  <c r="AD857" i="5"/>
  <c r="Z857" i="5"/>
  <c r="W857" i="5"/>
  <c r="U857" i="5"/>
  <c r="S857" i="5"/>
  <c r="N857" i="5"/>
  <c r="K857" i="5"/>
  <c r="H857" i="5"/>
  <c r="E857" i="5"/>
  <c r="AF856" i="5"/>
  <c r="AD856" i="5"/>
  <c r="Z856" i="5"/>
  <c r="W856" i="5"/>
  <c r="U856" i="5"/>
  <c r="S856" i="5"/>
  <c r="N856" i="5"/>
  <c r="K856" i="5"/>
  <c r="H856" i="5"/>
  <c r="E856" i="5"/>
  <c r="AF855" i="5"/>
  <c r="AD855" i="5"/>
  <c r="Z855" i="5"/>
  <c r="W855" i="5"/>
  <c r="U855" i="5"/>
  <c r="S855" i="5"/>
  <c r="N855" i="5"/>
  <c r="K855" i="5"/>
  <c r="H855" i="5"/>
  <c r="E855" i="5"/>
  <c r="AF854" i="5"/>
  <c r="AD854" i="5"/>
  <c r="Z854" i="5"/>
  <c r="W854" i="5"/>
  <c r="U854" i="5"/>
  <c r="S854" i="5"/>
  <c r="N854" i="5"/>
  <c r="K854" i="5"/>
  <c r="H854" i="5"/>
  <c r="E854" i="5"/>
  <c r="AF853" i="5"/>
  <c r="AD853" i="5"/>
  <c r="Z853" i="5"/>
  <c r="W853" i="5"/>
  <c r="U853" i="5"/>
  <c r="S853" i="5"/>
  <c r="N853" i="5"/>
  <c r="K853" i="5"/>
  <c r="H853" i="5"/>
  <c r="E853" i="5"/>
  <c r="AF852" i="5"/>
  <c r="AD852" i="5"/>
  <c r="Z852" i="5"/>
  <c r="W852" i="5"/>
  <c r="U852" i="5"/>
  <c r="S852" i="5"/>
  <c r="N852" i="5"/>
  <c r="K852" i="5"/>
  <c r="H852" i="5"/>
  <c r="E852" i="5"/>
  <c r="AI851" i="5"/>
  <c r="AF851" i="5"/>
  <c r="AD851" i="5"/>
  <c r="Z851" i="5"/>
  <c r="W851" i="5"/>
  <c r="U851" i="5"/>
  <c r="S851" i="5"/>
  <c r="N851" i="5"/>
  <c r="K851" i="5"/>
  <c r="H851" i="5"/>
  <c r="E851" i="5"/>
  <c r="AF850" i="5"/>
  <c r="AD850" i="5"/>
  <c r="Z850" i="5"/>
  <c r="W850" i="5"/>
  <c r="U850" i="5"/>
  <c r="S850" i="5"/>
  <c r="N850" i="5"/>
  <c r="K850" i="5"/>
  <c r="H850" i="5"/>
  <c r="E850" i="5"/>
  <c r="AF849" i="5"/>
  <c r="AD849" i="5"/>
  <c r="Z849" i="5"/>
  <c r="W849" i="5"/>
  <c r="U849" i="5"/>
  <c r="S849" i="5"/>
  <c r="N849" i="5"/>
  <c r="K849" i="5"/>
  <c r="H849" i="5"/>
  <c r="E849" i="5"/>
  <c r="AF848" i="5"/>
  <c r="AD848" i="5"/>
  <c r="Z848" i="5"/>
  <c r="W848" i="5"/>
  <c r="U848" i="5"/>
  <c r="S848" i="5"/>
  <c r="N848" i="5"/>
  <c r="K848" i="5"/>
  <c r="H848" i="5"/>
  <c r="E848" i="5"/>
  <c r="AF847" i="5"/>
  <c r="AD847" i="5"/>
  <c r="Z847" i="5"/>
  <c r="W847" i="5"/>
  <c r="U847" i="5"/>
  <c r="S847" i="5"/>
  <c r="N847" i="5"/>
  <c r="K847" i="5"/>
  <c r="H847" i="5"/>
  <c r="E847" i="5"/>
  <c r="AF846" i="5"/>
  <c r="AD846" i="5"/>
  <c r="Z846" i="5"/>
  <c r="W846" i="5"/>
  <c r="U846" i="5"/>
  <c r="S846" i="5"/>
  <c r="N846" i="5"/>
  <c r="K846" i="5"/>
  <c r="H846" i="5"/>
  <c r="E846" i="5"/>
  <c r="AF845" i="5"/>
  <c r="AD845" i="5"/>
  <c r="Z845" i="5"/>
  <c r="W845" i="5"/>
  <c r="U845" i="5"/>
  <c r="S845" i="5"/>
  <c r="N845" i="5"/>
  <c r="K845" i="5"/>
  <c r="H845" i="5"/>
  <c r="E845" i="5"/>
  <c r="AF844" i="5"/>
  <c r="AD844" i="5"/>
  <c r="Z844" i="5"/>
  <c r="W844" i="5"/>
  <c r="U844" i="5"/>
  <c r="S844" i="5"/>
  <c r="N844" i="5"/>
  <c r="K844" i="5"/>
  <c r="H844" i="5"/>
  <c r="E844" i="5"/>
  <c r="AF842" i="5"/>
  <c r="AD842" i="5"/>
  <c r="Z842" i="5"/>
  <c r="W842" i="5"/>
  <c r="U842" i="5"/>
  <c r="S842" i="5"/>
  <c r="N842" i="5"/>
  <c r="K842" i="5"/>
  <c r="H842" i="5"/>
  <c r="E842" i="5"/>
  <c r="AF841" i="5"/>
  <c r="AD841" i="5"/>
  <c r="Z841" i="5"/>
  <c r="W841" i="5"/>
  <c r="U841" i="5"/>
  <c r="S841" i="5"/>
  <c r="N841" i="5"/>
  <c r="K841" i="5"/>
  <c r="H841" i="5"/>
  <c r="E841" i="5"/>
  <c r="AF840" i="5"/>
  <c r="AD840" i="5"/>
  <c r="Z840" i="5"/>
  <c r="W840" i="5"/>
  <c r="U840" i="5"/>
  <c r="S840" i="5"/>
  <c r="N840" i="5"/>
  <c r="K840" i="5"/>
  <c r="H840" i="5"/>
  <c r="E840" i="5"/>
  <c r="AF839" i="5"/>
  <c r="AD839" i="5"/>
  <c r="Z839" i="5"/>
  <c r="V839" i="5"/>
  <c r="U839" i="5"/>
  <c r="S839" i="5"/>
  <c r="N839" i="5"/>
  <c r="K839" i="5"/>
  <c r="H839" i="5"/>
  <c r="E839" i="5"/>
  <c r="AE830" i="5"/>
  <c r="AC830" i="5"/>
  <c r="Y830" i="5"/>
  <c r="V830" i="5"/>
  <c r="T830" i="5"/>
  <c r="R830" i="5"/>
  <c r="L830" i="5"/>
  <c r="J830" i="5"/>
  <c r="F830" i="5"/>
  <c r="D830" i="5"/>
  <c r="B830" i="5"/>
  <c r="AF829" i="5"/>
  <c r="AD829" i="5"/>
  <c r="Z829" i="5"/>
  <c r="W829" i="5"/>
  <c r="U829" i="5"/>
  <c r="S829" i="5"/>
  <c r="N829" i="5"/>
  <c r="K829" i="5"/>
  <c r="H829" i="5"/>
  <c r="E829" i="5"/>
  <c r="AF828" i="5"/>
  <c r="AD828" i="5"/>
  <c r="Z828" i="5"/>
  <c r="W828" i="5"/>
  <c r="U828" i="5"/>
  <c r="S828" i="5"/>
  <c r="N828" i="5"/>
  <c r="K828" i="5"/>
  <c r="H828" i="5"/>
  <c r="E828" i="5"/>
  <c r="AF827" i="5"/>
  <c r="AD827" i="5"/>
  <c r="Z827" i="5"/>
  <c r="W827" i="5"/>
  <c r="U827" i="5"/>
  <c r="S827" i="5"/>
  <c r="N827" i="5"/>
  <c r="K827" i="5"/>
  <c r="H827" i="5"/>
  <c r="E827" i="5"/>
  <c r="AK826" i="5"/>
  <c r="AM826" i="5" s="1"/>
  <c r="AO826" i="5" s="1"/>
  <c r="AQ826" i="5" s="1"/>
  <c r="AS826" i="5" s="1"/>
  <c r="AU826" i="5" s="1"/>
  <c r="AW826" i="5" s="1"/>
  <c r="AY826" i="5" s="1"/>
  <c r="BA826" i="5" s="1"/>
  <c r="BC826" i="5" s="1"/>
  <c r="BE826" i="5" s="1"/>
  <c r="AF826" i="5"/>
  <c r="AD826" i="5"/>
  <c r="Z826" i="5"/>
  <c r="W826" i="5"/>
  <c r="S826" i="5"/>
  <c r="P826" i="5"/>
  <c r="P830" i="5" s="1"/>
  <c r="N826" i="5"/>
  <c r="K826" i="5"/>
  <c r="H826" i="5"/>
  <c r="E826" i="5"/>
  <c r="AF825" i="5"/>
  <c r="AD825" i="5"/>
  <c r="Z825" i="5"/>
  <c r="W825" i="5"/>
  <c r="U825" i="5"/>
  <c r="S825" i="5"/>
  <c r="N825" i="5"/>
  <c r="K825" i="5"/>
  <c r="H825" i="5"/>
  <c r="E825" i="5"/>
  <c r="AM824" i="5"/>
  <c r="AO824" i="5" s="1"/>
  <c r="AQ824" i="5" s="1"/>
  <c r="AS824" i="5" s="1"/>
  <c r="AU824" i="5" s="1"/>
  <c r="AW824" i="5" s="1"/>
  <c r="AY824" i="5" s="1"/>
  <c r="BA824" i="5" s="1"/>
  <c r="BC824" i="5" s="1"/>
  <c r="BE824" i="5" s="1"/>
  <c r="AF824" i="5"/>
  <c r="AD824" i="5"/>
  <c r="Z824" i="5"/>
  <c r="W824" i="5"/>
  <c r="U824" i="5"/>
  <c r="S824" i="5"/>
  <c r="N824" i="5"/>
  <c r="K824" i="5"/>
  <c r="H824" i="5"/>
  <c r="E824" i="5"/>
  <c r="AF823" i="5"/>
  <c r="AD823" i="5"/>
  <c r="Z823" i="5"/>
  <c r="W823" i="5"/>
  <c r="U823" i="5"/>
  <c r="S823" i="5"/>
  <c r="N823" i="5"/>
  <c r="K823" i="5"/>
  <c r="H823" i="5"/>
  <c r="E823" i="5"/>
  <c r="AF822" i="5"/>
  <c r="AD822" i="5"/>
  <c r="Z822" i="5"/>
  <c r="W822" i="5"/>
  <c r="U822" i="5"/>
  <c r="S822" i="5"/>
  <c r="N822" i="5"/>
  <c r="K822" i="5"/>
  <c r="H822" i="5"/>
  <c r="E822" i="5"/>
  <c r="AI821" i="5"/>
  <c r="AI830" i="5" s="1"/>
  <c r="AF821" i="5"/>
  <c r="AD821" i="5"/>
  <c r="Z821" i="5"/>
  <c r="W821" i="5"/>
  <c r="U821" i="5"/>
  <c r="S821" i="5"/>
  <c r="N821" i="5"/>
  <c r="K821" i="5"/>
  <c r="H821" i="5"/>
  <c r="E821" i="5"/>
  <c r="AF820" i="5"/>
  <c r="AD820" i="5"/>
  <c r="Z820" i="5"/>
  <c r="W820" i="5"/>
  <c r="U820" i="5"/>
  <c r="S820" i="5"/>
  <c r="N820" i="5"/>
  <c r="K820" i="5"/>
  <c r="H820" i="5"/>
  <c r="E820" i="5"/>
  <c r="AF819" i="5"/>
  <c r="AD819" i="5"/>
  <c r="Z819" i="5"/>
  <c r="W819" i="5"/>
  <c r="U819" i="5"/>
  <c r="S819" i="5"/>
  <c r="N819" i="5"/>
  <c r="K819" i="5"/>
  <c r="H819" i="5"/>
  <c r="E819" i="5"/>
  <c r="AK818" i="5"/>
  <c r="AF818" i="5"/>
  <c r="AD818" i="5"/>
  <c r="Z818" i="5"/>
  <c r="W818" i="5"/>
  <c r="U818" i="5"/>
  <c r="S818" i="5"/>
  <c r="N818" i="5"/>
  <c r="K818" i="5"/>
  <c r="H818" i="5"/>
  <c r="E818" i="5"/>
  <c r="AE816" i="5"/>
  <c r="AC816" i="5"/>
  <c r="Y816" i="5"/>
  <c r="V816" i="5"/>
  <c r="T816" i="5"/>
  <c r="R816" i="5"/>
  <c r="L816" i="5"/>
  <c r="J816" i="5"/>
  <c r="F816" i="5"/>
  <c r="D816" i="5"/>
  <c r="AF815" i="5"/>
  <c r="AD815" i="5"/>
  <c r="Z815" i="5"/>
  <c r="W815" i="5"/>
  <c r="U815" i="5"/>
  <c r="S815" i="5"/>
  <c r="N815" i="5"/>
  <c r="K815" i="5"/>
  <c r="H815" i="5"/>
  <c r="E815" i="5"/>
  <c r="AI814" i="5"/>
  <c r="AK814" i="5" s="1"/>
  <c r="AM814" i="5" s="1"/>
  <c r="AO814" i="5" s="1"/>
  <c r="AQ814" i="5" s="1"/>
  <c r="AS814" i="5" s="1"/>
  <c r="AU814" i="5" s="1"/>
  <c r="AW814" i="5" s="1"/>
  <c r="AY814" i="5" s="1"/>
  <c r="BA814" i="5" s="1"/>
  <c r="BC814" i="5" s="1"/>
  <c r="BE814" i="5" s="1"/>
  <c r="AF814" i="5"/>
  <c r="AD814" i="5"/>
  <c r="Z814" i="5"/>
  <c r="W814" i="5"/>
  <c r="U814" i="5"/>
  <c r="S814" i="5"/>
  <c r="N814" i="5"/>
  <c r="K814" i="5"/>
  <c r="E814" i="5"/>
  <c r="B814" i="5"/>
  <c r="B816" i="5" s="1"/>
  <c r="AI813" i="5"/>
  <c r="AK813" i="5" s="1"/>
  <c r="AF813" i="5"/>
  <c r="AD813" i="5"/>
  <c r="Z813" i="5"/>
  <c r="W813" i="5"/>
  <c r="S813" i="5"/>
  <c r="P813" i="5"/>
  <c r="N813" i="5"/>
  <c r="K813" i="5"/>
  <c r="H813" i="5"/>
  <c r="E813" i="5"/>
  <c r="AE809" i="5"/>
  <c r="Y809" i="5"/>
  <c r="T809" i="5"/>
  <c r="L809" i="5"/>
  <c r="J809" i="5"/>
  <c r="F809" i="5"/>
  <c r="B809" i="5"/>
  <c r="AF808" i="5"/>
  <c r="AD808" i="5"/>
  <c r="Z808" i="5"/>
  <c r="W808" i="5"/>
  <c r="U808" i="5"/>
  <c r="S808" i="5"/>
  <c r="N808" i="5"/>
  <c r="K808" i="5"/>
  <c r="H808" i="5"/>
  <c r="E808" i="5"/>
  <c r="AI807" i="5"/>
  <c r="AK807" i="5" s="1"/>
  <c r="AM807" i="5" s="1"/>
  <c r="AO807" i="5" s="1"/>
  <c r="AQ807" i="5" s="1"/>
  <c r="AS807" i="5" s="1"/>
  <c r="AU807" i="5" s="1"/>
  <c r="AW807" i="5" s="1"/>
  <c r="AY807" i="5" s="1"/>
  <c r="BA807" i="5" s="1"/>
  <c r="BC807" i="5" s="1"/>
  <c r="BE807" i="5" s="1"/>
  <c r="AF807" i="5"/>
  <c r="AD807" i="5"/>
  <c r="Z807" i="5"/>
  <c r="W807" i="5"/>
  <c r="S807" i="5"/>
  <c r="P807" i="5"/>
  <c r="U807" i="5" s="1"/>
  <c r="N807" i="5"/>
  <c r="K807" i="5"/>
  <c r="H807" i="5"/>
  <c r="E807" i="5"/>
  <c r="AF806" i="5"/>
  <c r="AD806" i="5"/>
  <c r="Z806" i="5"/>
  <c r="W806" i="5"/>
  <c r="U806" i="5"/>
  <c r="S806" i="5"/>
  <c r="N806" i="5"/>
  <c r="K806" i="5"/>
  <c r="H806" i="5"/>
  <c r="E806" i="5"/>
  <c r="AF805" i="5"/>
  <c r="AD805" i="5"/>
  <c r="Z805" i="5"/>
  <c r="W805" i="5"/>
  <c r="U805" i="5"/>
  <c r="S805" i="5"/>
  <c r="N805" i="5"/>
  <c r="K805" i="5"/>
  <c r="H805" i="5"/>
  <c r="E805" i="5"/>
  <c r="AF804" i="5"/>
  <c r="AD804" i="5"/>
  <c r="Z804" i="5"/>
  <c r="W804" i="5"/>
  <c r="U804" i="5"/>
  <c r="S804" i="5"/>
  <c r="N804" i="5"/>
  <c r="K804" i="5"/>
  <c r="H804" i="5"/>
  <c r="E804" i="5"/>
  <c r="AF803" i="5"/>
  <c r="AD803" i="5"/>
  <c r="Z803" i="5"/>
  <c r="W803" i="5"/>
  <c r="U803" i="5"/>
  <c r="S803" i="5"/>
  <c r="N803" i="5"/>
  <c r="K803" i="5"/>
  <c r="H803" i="5"/>
  <c r="E803" i="5"/>
  <c r="BA801" i="5"/>
  <c r="AY801" i="5"/>
  <c r="AW801" i="5"/>
  <c r="AU801" i="5"/>
  <c r="AS801" i="5"/>
  <c r="AQ801" i="5"/>
  <c r="AO801" i="5"/>
  <c r="AM801" i="5"/>
  <c r="AK801" i="5"/>
  <c r="AI800" i="5"/>
  <c r="AK800" i="5" s="1"/>
  <c r="AM800" i="5" s="1"/>
  <c r="AO800" i="5" s="1"/>
  <c r="AQ800" i="5" s="1"/>
  <c r="AS800" i="5" s="1"/>
  <c r="AU800" i="5" s="1"/>
  <c r="AW800" i="5" s="1"/>
  <c r="AY800" i="5" s="1"/>
  <c r="BA800" i="5" s="1"/>
  <c r="BC800" i="5" s="1"/>
  <c r="BE800" i="5" s="1"/>
  <c r="AF800" i="5"/>
  <c r="AD800" i="5"/>
  <c r="Z800" i="5"/>
  <c r="W800" i="5"/>
  <c r="U800" i="5"/>
  <c r="S800" i="5"/>
  <c r="AF799" i="5"/>
  <c r="AD799" i="5"/>
  <c r="Z799" i="5"/>
  <c r="W799" i="5"/>
  <c r="U799" i="5"/>
  <c r="S799" i="5"/>
  <c r="N799" i="5"/>
  <c r="K799" i="5"/>
  <c r="H799" i="5"/>
  <c r="E799" i="5"/>
  <c r="AI798" i="5"/>
  <c r="AK798" i="5" s="1"/>
  <c r="AM798" i="5" s="1"/>
  <c r="AO798" i="5" s="1"/>
  <c r="AQ798" i="5" s="1"/>
  <c r="AS798" i="5" s="1"/>
  <c r="AU798" i="5" s="1"/>
  <c r="AW798" i="5" s="1"/>
  <c r="AY798" i="5" s="1"/>
  <c r="BA798" i="5" s="1"/>
  <c r="BC798" i="5" s="1"/>
  <c r="BE798" i="5" s="1"/>
  <c r="AF798" i="5"/>
  <c r="AD798" i="5"/>
  <c r="Z798" i="5"/>
  <c r="W798" i="5"/>
  <c r="U798" i="5"/>
  <c r="S798" i="5"/>
  <c r="N798" i="5"/>
  <c r="K798" i="5"/>
  <c r="H798" i="5"/>
  <c r="E798" i="5"/>
  <c r="AI797" i="5"/>
  <c r="AK797" i="5" s="1"/>
  <c r="AM797" i="5" s="1"/>
  <c r="AO797" i="5" s="1"/>
  <c r="AQ797" i="5" s="1"/>
  <c r="AS797" i="5" s="1"/>
  <c r="AU797" i="5" s="1"/>
  <c r="AW797" i="5" s="1"/>
  <c r="AY797" i="5" s="1"/>
  <c r="BA797" i="5" s="1"/>
  <c r="BC797" i="5" s="1"/>
  <c r="BE797" i="5" s="1"/>
  <c r="AF797" i="5"/>
  <c r="AD797" i="5"/>
  <c r="Z797" i="5"/>
  <c r="W797" i="5"/>
  <c r="U797" i="5"/>
  <c r="S797" i="5"/>
  <c r="N797" i="5"/>
  <c r="K797" i="5"/>
  <c r="H797" i="5"/>
  <c r="E797" i="5"/>
  <c r="AF796" i="5"/>
  <c r="AC796" i="5"/>
  <c r="AD796" i="5" s="1"/>
  <c r="Z796" i="5"/>
  <c r="W796" i="5"/>
  <c r="S796" i="5"/>
  <c r="P796" i="5"/>
  <c r="U796" i="5" s="1"/>
  <c r="N796" i="5"/>
  <c r="K796" i="5"/>
  <c r="H796" i="5"/>
  <c r="E796" i="5"/>
  <c r="AI795" i="5"/>
  <c r="AK795" i="5" s="1"/>
  <c r="AM795" i="5" s="1"/>
  <c r="AO795" i="5" s="1"/>
  <c r="AQ795" i="5" s="1"/>
  <c r="AS795" i="5" s="1"/>
  <c r="AU795" i="5" s="1"/>
  <c r="AW795" i="5" s="1"/>
  <c r="AY795" i="5" s="1"/>
  <c r="BA795" i="5" s="1"/>
  <c r="BC795" i="5" s="1"/>
  <c r="BE795" i="5" s="1"/>
  <c r="AF795" i="5"/>
  <c r="AD795" i="5"/>
  <c r="Z795" i="5"/>
  <c r="V795" i="5"/>
  <c r="W795" i="5" s="1"/>
  <c r="S795" i="5"/>
  <c r="P795" i="5"/>
  <c r="U795" i="5" s="1"/>
  <c r="N795" i="5"/>
  <c r="K795" i="5"/>
  <c r="H795" i="5"/>
  <c r="E795" i="5"/>
  <c r="AI794" i="5"/>
  <c r="AK794" i="5" s="1"/>
  <c r="AM794" i="5" s="1"/>
  <c r="AO794" i="5" s="1"/>
  <c r="AQ794" i="5" s="1"/>
  <c r="AS794" i="5" s="1"/>
  <c r="AU794" i="5" s="1"/>
  <c r="AW794" i="5" s="1"/>
  <c r="AY794" i="5" s="1"/>
  <c r="BA794" i="5" s="1"/>
  <c r="BC794" i="5" s="1"/>
  <c r="BE794" i="5" s="1"/>
  <c r="AF794" i="5"/>
  <c r="AD794" i="5"/>
  <c r="Z794" i="5"/>
  <c r="V794" i="5"/>
  <c r="W794" i="5" s="1"/>
  <c r="R794" i="5"/>
  <c r="P794" i="5"/>
  <c r="U794" i="5" s="1"/>
  <c r="N794" i="5"/>
  <c r="K794" i="5"/>
  <c r="H794" i="5"/>
  <c r="E794" i="5"/>
  <c r="AI793" i="5"/>
  <c r="AK793" i="5" s="1"/>
  <c r="AM793" i="5" s="1"/>
  <c r="AO793" i="5" s="1"/>
  <c r="AQ793" i="5" s="1"/>
  <c r="AS793" i="5" s="1"/>
  <c r="AU793" i="5" s="1"/>
  <c r="AW793" i="5" s="1"/>
  <c r="AY793" i="5" s="1"/>
  <c r="BA793" i="5" s="1"/>
  <c r="BC793" i="5" s="1"/>
  <c r="BE793" i="5" s="1"/>
  <c r="AF793" i="5"/>
  <c r="AD793" i="5"/>
  <c r="Z793" i="5"/>
  <c r="V793" i="5"/>
  <c r="W793" i="5" s="1"/>
  <c r="R793" i="5"/>
  <c r="S793" i="5" s="1"/>
  <c r="P793" i="5"/>
  <c r="U793" i="5" s="1"/>
  <c r="N793" i="5"/>
  <c r="K793" i="5"/>
  <c r="H793" i="5"/>
  <c r="D793" i="5"/>
  <c r="D809" i="5" s="1"/>
  <c r="AI792" i="5"/>
  <c r="AK792" i="5" s="1"/>
  <c r="AM792" i="5" s="1"/>
  <c r="AO792" i="5" s="1"/>
  <c r="AQ792" i="5" s="1"/>
  <c r="AS792" i="5" s="1"/>
  <c r="AU792" i="5" s="1"/>
  <c r="AW792" i="5" s="1"/>
  <c r="AY792" i="5" s="1"/>
  <c r="BA792" i="5" s="1"/>
  <c r="BC792" i="5" s="1"/>
  <c r="BE792" i="5" s="1"/>
  <c r="AF792" i="5"/>
  <c r="AD792" i="5"/>
  <c r="Z792" i="5"/>
  <c r="W792" i="5"/>
  <c r="S792" i="5"/>
  <c r="P792" i="5"/>
  <c r="U792" i="5" s="1"/>
  <c r="N792" i="5"/>
  <c r="K792" i="5"/>
  <c r="H792" i="5"/>
  <c r="E792" i="5"/>
  <c r="AI791" i="5"/>
  <c r="AK791" i="5" s="1"/>
  <c r="AM791" i="5" s="1"/>
  <c r="AO791" i="5" s="1"/>
  <c r="AQ791" i="5" s="1"/>
  <c r="AS791" i="5" s="1"/>
  <c r="AU791" i="5" s="1"/>
  <c r="AW791" i="5" s="1"/>
  <c r="AY791" i="5" s="1"/>
  <c r="BA791" i="5" s="1"/>
  <c r="BC791" i="5" s="1"/>
  <c r="BE791" i="5" s="1"/>
  <c r="AF791" i="5"/>
  <c r="AD791" i="5"/>
  <c r="Z791" i="5"/>
  <c r="W791" i="5"/>
  <c r="S791" i="5"/>
  <c r="P791" i="5"/>
  <c r="U791" i="5" s="1"/>
  <c r="N791" i="5"/>
  <c r="K791" i="5"/>
  <c r="H791" i="5"/>
  <c r="E791" i="5"/>
  <c r="AI790" i="5"/>
  <c r="AK790" i="5" s="1"/>
  <c r="AM790" i="5" s="1"/>
  <c r="AO790" i="5" s="1"/>
  <c r="AQ790" i="5" s="1"/>
  <c r="AS790" i="5" s="1"/>
  <c r="AU790" i="5" s="1"/>
  <c r="AW790" i="5" s="1"/>
  <c r="AY790" i="5" s="1"/>
  <c r="BA790" i="5" s="1"/>
  <c r="BC790" i="5" s="1"/>
  <c r="BE790" i="5" s="1"/>
  <c r="AF790" i="5"/>
  <c r="AD790" i="5"/>
  <c r="Z790" i="5"/>
  <c r="W790" i="5"/>
  <c r="S790" i="5"/>
  <c r="P790" i="5"/>
  <c r="U790" i="5" s="1"/>
  <c r="N790" i="5"/>
  <c r="K790" i="5"/>
  <c r="H790" i="5"/>
  <c r="E790" i="5"/>
  <c r="AI789" i="5"/>
  <c r="AF789" i="5"/>
  <c r="AC789" i="5"/>
  <c r="AD789" i="5" s="1"/>
  <c r="Z789" i="5"/>
  <c r="W789" i="5"/>
  <c r="S789" i="5"/>
  <c r="P789" i="5"/>
  <c r="U789" i="5" s="1"/>
  <c r="N789" i="5"/>
  <c r="K789" i="5"/>
  <c r="H789" i="5"/>
  <c r="E789" i="5"/>
  <c r="AK788" i="5"/>
  <c r="AM788" i="5" s="1"/>
  <c r="AO788" i="5" s="1"/>
  <c r="AQ788" i="5" s="1"/>
  <c r="AS788" i="5" s="1"/>
  <c r="AU788" i="5" s="1"/>
  <c r="AW788" i="5" s="1"/>
  <c r="AY788" i="5" s="1"/>
  <c r="BA788" i="5" s="1"/>
  <c r="BC788" i="5" s="1"/>
  <c r="BE788" i="5" s="1"/>
  <c r="AF788" i="5"/>
  <c r="AC788" i="5"/>
  <c r="AD788" i="5" s="1"/>
  <c r="Z788" i="5"/>
  <c r="V788" i="5"/>
  <c r="W788" i="5" s="1"/>
  <c r="S788" i="5"/>
  <c r="P788" i="5"/>
  <c r="N788" i="5"/>
  <c r="K788" i="5"/>
  <c r="H788" i="5"/>
  <c r="E788" i="5"/>
  <c r="AZ787" i="5"/>
  <c r="AT787" i="5"/>
  <c r="AV787" i="5" s="1"/>
  <c r="AN787" i="5"/>
  <c r="AP787" i="5" s="1"/>
  <c r="AK787" i="5"/>
  <c r="AM787" i="5" s="1"/>
  <c r="AO787" i="5" s="1"/>
  <c r="AQ787" i="5" s="1"/>
  <c r="AS787" i="5" s="1"/>
  <c r="AU787" i="5" s="1"/>
  <c r="AW787" i="5" s="1"/>
  <c r="AY787" i="5" s="1"/>
  <c r="BA787" i="5" s="1"/>
  <c r="BC787" i="5" s="1"/>
  <c r="BE787" i="5" s="1"/>
  <c r="AF787" i="5"/>
  <c r="AD787" i="5"/>
  <c r="Z787" i="5"/>
  <c r="W787" i="5"/>
  <c r="U787" i="5"/>
  <c r="S787" i="5"/>
  <c r="N787" i="5"/>
  <c r="K787" i="5"/>
  <c r="H787" i="5"/>
  <c r="E787" i="5"/>
  <c r="AZ786" i="5"/>
  <c r="AT786" i="5"/>
  <c r="AV786" i="5" s="1"/>
  <c r="AL786" i="5"/>
  <c r="AN786" i="5" s="1"/>
  <c r="AP786" i="5" s="1"/>
  <c r="AK786" i="5"/>
  <c r="AM786" i="5" s="1"/>
  <c r="AO786" i="5" s="1"/>
  <c r="AQ786" i="5" s="1"/>
  <c r="AS786" i="5" s="1"/>
  <c r="AU786" i="5" s="1"/>
  <c r="AW786" i="5" s="1"/>
  <c r="AY786" i="5" s="1"/>
  <c r="BA786" i="5" s="1"/>
  <c r="BC786" i="5" s="1"/>
  <c r="BE786" i="5" s="1"/>
  <c r="AF786" i="5"/>
  <c r="AC786" i="5"/>
  <c r="AD786" i="5" s="1"/>
  <c r="Z786" i="5"/>
  <c r="V786" i="5"/>
  <c r="U786" i="5"/>
  <c r="S786" i="5"/>
  <c r="N786" i="5"/>
  <c r="K786" i="5"/>
  <c r="H786" i="5"/>
  <c r="E786" i="5"/>
  <c r="AZ785" i="5"/>
  <c r="AT785" i="5"/>
  <c r="AV785" i="5" s="1"/>
  <c r="AL785" i="5"/>
  <c r="AN785" i="5" s="1"/>
  <c r="AP785" i="5" s="1"/>
  <c r="AK785" i="5"/>
  <c r="AM785" i="5" s="1"/>
  <c r="AF785" i="5"/>
  <c r="AC785" i="5"/>
  <c r="Z785" i="5"/>
  <c r="W785" i="5"/>
  <c r="U785" i="5"/>
  <c r="S785" i="5"/>
  <c r="N785" i="5"/>
  <c r="K785" i="5"/>
  <c r="H785" i="5"/>
  <c r="E785" i="5"/>
  <c r="AO783" i="5"/>
  <c r="AM783" i="5"/>
  <c r="AE783" i="5"/>
  <c r="AC783" i="5"/>
  <c r="Y783" i="5"/>
  <c r="V783" i="5"/>
  <c r="T783" i="5"/>
  <c r="R783" i="5"/>
  <c r="P783" i="5"/>
  <c r="L783" i="5"/>
  <c r="J783" i="5"/>
  <c r="F783" i="5"/>
  <c r="D783" i="5"/>
  <c r="B783" i="5"/>
  <c r="AF782" i="5"/>
  <c r="AD782" i="5"/>
  <c r="Z782" i="5"/>
  <c r="W782" i="5"/>
  <c r="U782" i="5"/>
  <c r="S782" i="5"/>
  <c r="N782" i="5"/>
  <c r="K782" i="5"/>
  <c r="H782" i="5"/>
  <c r="E782" i="5"/>
  <c r="AQ781" i="5"/>
  <c r="AQ783" i="5" s="1"/>
  <c r="AI781" i="5"/>
  <c r="AI783" i="5" s="1"/>
  <c r="AF781" i="5"/>
  <c r="AD781" i="5"/>
  <c r="AD783" i="5" s="1"/>
  <c r="Z781" i="5"/>
  <c r="Z783" i="5" s="1"/>
  <c r="W781" i="5"/>
  <c r="W783" i="5" s="1"/>
  <c r="U781" i="5"/>
  <c r="S781" i="5"/>
  <c r="S783" i="5" s="1"/>
  <c r="N781" i="5"/>
  <c r="K781" i="5"/>
  <c r="H781" i="5"/>
  <c r="E781" i="5"/>
  <c r="E783" i="5" s="1"/>
  <c r="Z780" i="5"/>
  <c r="BA776" i="5"/>
  <c r="AY776" i="5"/>
  <c r="AW776" i="5"/>
  <c r="AU776" i="5"/>
  <c r="AS776" i="5"/>
  <c r="AQ776" i="5"/>
  <c r="AO776" i="5"/>
  <c r="AM776" i="5"/>
  <c r="AK776" i="5"/>
  <c r="AI776" i="5"/>
  <c r="AE776" i="5"/>
  <c r="Y776" i="5"/>
  <c r="V776" i="5"/>
  <c r="T776" i="5"/>
  <c r="R776" i="5"/>
  <c r="P776" i="5"/>
  <c r="L776" i="5"/>
  <c r="J776" i="5"/>
  <c r="F776" i="5"/>
  <c r="B776" i="5"/>
  <c r="AF770" i="5"/>
  <c r="AD770" i="5"/>
  <c r="Z770" i="5"/>
  <c r="W770" i="5"/>
  <c r="U770" i="5"/>
  <c r="S770" i="5"/>
  <c r="N770" i="5"/>
  <c r="K770" i="5"/>
  <c r="H770" i="5"/>
  <c r="E770" i="5"/>
  <c r="AF760" i="5"/>
  <c r="AD760" i="5"/>
  <c r="Z760" i="5"/>
  <c r="W760" i="5"/>
  <c r="U760" i="5"/>
  <c r="S760" i="5"/>
  <c r="N760" i="5"/>
  <c r="K760" i="5"/>
  <c r="H760" i="5"/>
  <c r="E760" i="5"/>
  <c r="AF759" i="5"/>
  <c r="AD759" i="5"/>
  <c r="Z759" i="5"/>
  <c r="W759" i="5"/>
  <c r="U759" i="5"/>
  <c r="S759" i="5"/>
  <c r="N759" i="5"/>
  <c r="K759" i="5"/>
  <c r="AF758" i="5"/>
  <c r="AD758" i="5"/>
  <c r="Z758" i="5"/>
  <c r="W758" i="5"/>
  <c r="U758" i="5"/>
  <c r="S758" i="5"/>
  <c r="N758" i="5"/>
  <c r="K758" i="5"/>
  <c r="AF757" i="5"/>
  <c r="AD757" i="5"/>
  <c r="Z757" i="5"/>
  <c r="W757" i="5"/>
  <c r="U757" i="5"/>
  <c r="S757" i="5"/>
  <c r="N757" i="5"/>
  <c r="K757" i="5"/>
  <c r="E757" i="5"/>
  <c r="AF756" i="5"/>
  <c r="AD756" i="5"/>
  <c r="Z756" i="5"/>
  <c r="W756" i="5"/>
  <c r="U756" i="5"/>
  <c r="S756" i="5"/>
  <c r="N756" i="5"/>
  <c r="K756" i="5"/>
  <c r="AF755" i="5"/>
  <c r="AD755" i="5"/>
  <c r="Z755" i="5"/>
  <c r="W755" i="5"/>
  <c r="U755" i="5"/>
  <c r="S755" i="5"/>
  <c r="N755" i="5"/>
  <c r="K755" i="5"/>
  <c r="H755" i="5"/>
  <c r="AF754" i="5"/>
  <c r="AD754" i="5"/>
  <c r="Z754" i="5"/>
  <c r="W754" i="5"/>
  <c r="U754" i="5"/>
  <c r="S754" i="5"/>
  <c r="N754" i="5"/>
  <c r="K754" i="5"/>
  <c r="H754" i="5"/>
  <c r="E754" i="5"/>
  <c r="AF753" i="5"/>
  <c r="AD753" i="5"/>
  <c r="Z753" i="5"/>
  <c r="W753" i="5"/>
  <c r="U753" i="5"/>
  <c r="S753" i="5"/>
  <c r="N753" i="5"/>
  <c r="J753" i="5"/>
  <c r="K753" i="5" s="1"/>
  <c r="H753" i="5"/>
  <c r="E753" i="5"/>
  <c r="AF752" i="5"/>
  <c r="AD752" i="5"/>
  <c r="Z752" i="5"/>
  <c r="W752" i="5"/>
  <c r="U752" i="5"/>
  <c r="S752" i="5"/>
  <c r="N752" i="5"/>
  <c r="K752" i="5"/>
  <c r="H752" i="5"/>
  <c r="E752" i="5"/>
  <c r="AF751" i="5"/>
  <c r="AD751" i="5"/>
  <c r="Z751" i="5"/>
  <c r="W751" i="5"/>
  <c r="U751" i="5"/>
  <c r="S751" i="5"/>
  <c r="N751" i="5"/>
  <c r="K751" i="5"/>
  <c r="H751" i="5"/>
  <c r="E751" i="5"/>
  <c r="AF750" i="5"/>
  <c r="AD750" i="5"/>
  <c r="Z750" i="5"/>
  <c r="W750" i="5"/>
  <c r="U750" i="5"/>
  <c r="S750" i="5"/>
  <c r="N750" i="5"/>
  <c r="K750" i="5"/>
  <c r="H750" i="5"/>
  <c r="E750" i="5"/>
  <c r="AF749" i="5"/>
  <c r="AD749" i="5"/>
  <c r="Z749" i="5"/>
  <c r="W749" i="5"/>
  <c r="U749" i="5"/>
  <c r="S749" i="5"/>
  <c r="N749" i="5"/>
  <c r="K749" i="5"/>
  <c r="H749" i="5"/>
  <c r="E749" i="5"/>
  <c r="AF748" i="5"/>
  <c r="AD748" i="5"/>
  <c r="Z748" i="5"/>
  <c r="W748" i="5"/>
  <c r="U748" i="5"/>
  <c r="S748" i="5"/>
  <c r="N748" i="5"/>
  <c r="K748" i="5"/>
  <c r="H748" i="5"/>
  <c r="E748" i="5"/>
  <c r="AF747" i="5"/>
  <c r="AC747" i="5"/>
  <c r="AD747" i="5" s="1"/>
  <c r="Z747" i="5"/>
  <c r="W747" i="5"/>
  <c r="U747" i="5"/>
  <c r="S747" i="5"/>
  <c r="N747" i="5"/>
  <c r="K747" i="5"/>
  <c r="H747" i="5"/>
  <c r="D747" i="5"/>
  <c r="D776" i="5" s="1"/>
  <c r="AE745" i="5"/>
  <c r="AC745" i="5"/>
  <c r="Y745" i="5"/>
  <c r="V745" i="5"/>
  <c r="T745" i="5"/>
  <c r="L745" i="5"/>
  <c r="F745" i="5"/>
  <c r="B745" i="5"/>
  <c r="AF744" i="5"/>
  <c r="AD744" i="5"/>
  <c r="Z744" i="5"/>
  <c r="W744" i="5"/>
  <c r="S744" i="5"/>
  <c r="P744" i="5"/>
  <c r="AI744" i="5" s="1"/>
  <c r="AK744" i="5" s="1"/>
  <c r="AM744" i="5" s="1"/>
  <c r="AO744" i="5" s="1"/>
  <c r="AQ744" i="5" s="1"/>
  <c r="AS744" i="5" s="1"/>
  <c r="AU744" i="5" s="1"/>
  <c r="AW744" i="5" s="1"/>
  <c r="AY744" i="5" s="1"/>
  <c r="BA744" i="5" s="1"/>
  <c r="BC744" i="5" s="1"/>
  <c r="BE744" i="5" s="1"/>
  <c r="N744" i="5"/>
  <c r="K744" i="5"/>
  <c r="H744" i="5"/>
  <c r="E744" i="5"/>
  <c r="AF742" i="5"/>
  <c r="AD742" i="5"/>
  <c r="Z742" i="5"/>
  <c r="W742" i="5"/>
  <c r="S742" i="5"/>
  <c r="P742" i="5"/>
  <c r="AI742" i="5" s="1"/>
  <c r="AK742" i="5" s="1"/>
  <c r="AM742" i="5" s="1"/>
  <c r="AO742" i="5" s="1"/>
  <c r="AQ742" i="5" s="1"/>
  <c r="AS742" i="5" s="1"/>
  <c r="AU742" i="5" s="1"/>
  <c r="AW742" i="5" s="1"/>
  <c r="AY742" i="5" s="1"/>
  <c r="BA742" i="5" s="1"/>
  <c r="BC742" i="5" s="1"/>
  <c r="BE742" i="5" s="1"/>
  <c r="N742" i="5"/>
  <c r="K742" i="5"/>
  <c r="H742" i="5"/>
  <c r="E742" i="5"/>
  <c r="AF741" i="5"/>
  <c r="AD741" i="5"/>
  <c r="Z741" i="5"/>
  <c r="W741" i="5"/>
  <c r="U741" i="5"/>
  <c r="S741" i="5"/>
  <c r="N741" i="5"/>
  <c r="K741" i="5"/>
  <c r="H741" i="5"/>
  <c r="E741" i="5"/>
  <c r="AF740" i="5"/>
  <c r="AD740" i="5"/>
  <c r="Z740" i="5"/>
  <c r="W740" i="5"/>
  <c r="S740" i="5"/>
  <c r="P740" i="5"/>
  <c r="AI740" i="5" s="1"/>
  <c r="N740" i="5"/>
  <c r="K740" i="5"/>
  <c r="AF728" i="5"/>
  <c r="AD728" i="5"/>
  <c r="Z728" i="5"/>
  <c r="W728" i="5"/>
  <c r="U728" i="5"/>
  <c r="S728" i="5"/>
  <c r="N728" i="5"/>
  <c r="K728" i="5"/>
  <c r="H728" i="5"/>
  <c r="E728" i="5"/>
  <c r="AF727" i="5"/>
  <c r="AD727" i="5"/>
  <c r="Z727" i="5"/>
  <c r="W727" i="5"/>
  <c r="U727" i="5"/>
  <c r="S727" i="5"/>
  <c r="N727" i="5"/>
  <c r="K727" i="5"/>
  <c r="H727" i="5"/>
  <c r="E727" i="5"/>
  <c r="AF726" i="5"/>
  <c r="AD726" i="5"/>
  <c r="Z726" i="5"/>
  <c r="W726" i="5"/>
  <c r="U726" i="5"/>
  <c r="S726" i="5"/>
  <c r="N726" i="5"/>
  <c r="K726" i="5"/>
  <c r="H726" i="5"/>
  <c r="E726" i="5"/>
  <c r="AK725" i="5"/>
  <c r="AM725" i="5" s="1"/>
  <c r="AO725" i="5" s="1"/>
  <c r="AQ725" i="5" s="1"/>
  <c r="AF725" i="5"/>
  <c r="AD725" i="5"/>
  <c r="Z725" i="5"/>
  <c r="W725" i="5"/>
  <c r="U725" i="5"/>
  <c r="S725" i="5"/>
  <c r="N725" i="5"/>
  <c r="K725" i="5"/>
  <c r="H725" i="5"/>
  <c r="E725" i="5"/>
  <c r="AF724" i="5"/>
  <c r="AD724" i="5"/>
  <c r="Z724" i="5"/>
  <c r="W724" i="5"/>
  <c r="U724" i="5"/>
  <c r="R724" i="5"/>
  <c r="AF715" i="5"/>
  <c r="AD715" i="5"/>
  <c r="Z715" i="5"/>
  <c r="W715" i="5"/>
  <c r="U715" i="5"/>
  <c r="S715" i="5"/>
  <c r="N715" i="5"/>
  <c r="K715" i="5"/>
  <c r="H715" i="5"/>
  <c r="E715" i="5"/>
  <c r="AC713" i="5"/>
  <c r="Y713" i="5"/>
  <c r="V713" i="5"/>
  <c r="T713" i="5"/>
  <c r="R713" i="5"/>
  <c r="L713" i="5"/>
  <c r="J713" i="5"/>
  <c r="F713" i="5"/>
  <c r="D713" i="5"/>
  <c r="B713" i="5"/>
  <c r="AF710" i="5"/>
  <c r="AD710" i="5"/>
  <c r="Z710" i="5"/>
  <c r="W710" i="5"/>
  <c r="U710" i="5"/>
  <c r="S710" i="5"/>
  <c r="N710" i="5"/>
  <c r="K710" i="5"/>
  <c r="H710" i="5"/>
  <c r="E710" i="5"/>
  <c r="AF709" i="5"/>
  <c r="AD709" i="5"/>
  <c r="Z709" i="5"/>
  <c r="W709" i="5"/>
  <c r="U709" i="5"/>
  <c r="S709" i="5"/>
  <c r="N709" i="5"/>
  <c r="K709" i="5"/>
  <c r="H709" i="5"/>
  <c r="E709" i="5"/>
  <c r="AF708" i="5"/>
  <c r="AD708" i="5"/>
  <c r="Z708" i="5"/>
  <c r="W708" i="5"/>
  <c r="U708" i="5"/>
  <c r="S708" i="5"/>
  <c r="N708" i="5"/>
  <c r="K708" i="5"/>
  <c r="H708" i="5"/>
  <c r="E708" i="5"/>
  <c r="AF707" i="5"/>
  <c r="AD707" i="5"/>
  <c r="Z707" i="5"/>
  <c r="W707" i="5"/>
  <c r="U707" i="5"/>
  <c r="S707" i="5"/>
  <c r="N707" i="5"/>
  <c r="K707" i="5"/>
  <c r="H707" i="5"/>
  <c r="E707" i="5"/>
  <c r="AF706" i="5"/>
  <c r="AD706" i="5"/>
  <c r="Z706" i="5"/>
  <c r="W706" i="5"/>
  <c r="U706" i="5"/>
  <c r="S706" i="5"/>
  <c r="N706" i="5"/>
  <c r="K706" i="5"/>
  <c r="H706" i="5"/>
  <c r="E706" i="5"/>
  <c r="AF705" i="5"/>
  <c r="AD705" i="5"/>
  <c r="Z705" i="5"/>
  <c r="W705" i="5"/>
  <c r="U705" i="5"/>
  <c r="S705" i="5"/>
  <c r="N705" i="5"/>
  <c r="K705" i="5"/>
  <c r="H705" i="5"/>
  <c r="E705" i="5"/>
  <c r="BA704" i="5"/>
  <c r="BA701" i="5" s="1"/>
  <c r="AY704" i="5"/>
  <c r="AY701" i="5" s="1"/>
  <c r="AW704" i="5"/>
  <c r="AW701" i="5" s="1"/>
  <c r="AU704" i="5"/>
  <c r="AU701" i="5" s="1"/>
  <c r="AS704" i="5"/>
  <c r="AS701" i="5" s="1"/>
  <c r="AQ704" i="5"/>
  <c r="AQ701" i="5" s="1"/>
  <c r="AO704" i="5"/>
  <c r="AO701" i="5" s="1"/>
  <c r="AM704" i="5"/>
  <c r="AM701" i="5" s="1"/>
  <c r="AK704" i="5"/>
  <c r="AK701" i="5" s="1"/>
  <c r="AI704" i="5"/>
  <c r="AI701" i="5" s="1"/>
  <c r="AF704" i="5"/>
  <c r="AD704" i="5"/>
  <c r="Z704" i="5"/>
  <c r="W704" i="5"/>
  <c r="S704" i="5"/>
  <c r="P704" i="5"/>
  <c r="U704" i="5" s="1"/>
  <c r="N704" i="5"/>
  <c r="K704" i="5"/>
  <c r="H704" i="5"/>
  <c r="E704" i="5"/>
  <c r="AF703" i="5"/>
  <c r="AD703" i="5"/>
  <c r="Z703" i="5"/>
  <c r="W703" i="5"/>
  <c r="U703" i="5"/>
  <c r="S703" i="5"/>
  <c r="N703" i="5"/>
  <c r="K703" i="5"/>
  <c r="H703" i="5"/>
  <c r="E703" i="5"/>
  <c r="AF702" i="5"/>
  <c r="AD702" i="5"/>
  <c r="Z702" i="5"/>
  <c r="W702" i="5"/>
  <c r="U702" i="5"/>
  <c r="S702" i="5"/>
  <c r="N702" i="5"/>
  <c r="K702" i="5"/>
  <c r="H702" i="5"/>
  <c r="E702" i="5"/>
  <c r="AV701" i="5"/>
  <c r="AN701" i="5"/>
  <c r="AL701" i="5"/>
  <c r="AF701" i="5"/>
  <c r="AD701" i="5"/>
  <c r="Z701" i="5"/>
  <c r="W701" i="5"/>
  <c r="S701" i="5"/>
  <c r="N701" i="5"/>
  <c r="K701" i="5"/>
  <c r="H701" i="5"/>
  <c r="E701" i="5"/>
  <c r="AF700" i="5"/>
  <c r="AD700" i="5"/>
  <c r="Z700" i="5"/>
  <c r="W700" i="5"/>
  <c r="U700" i="5"/>
  <c r="S700" i="5"/>
  <c r="N700" i="5"/>
  <c r="K700" i="5"/>
  <c r="H700" i="5"/>
  <c r="E700" i="5"/>
  <c r="AF699" i="5"/>
  <c r="AD699" i="5"/>
  <c r="Z699" i="5"/>
  <c r="W699" i="5"/>
  <c r="U699" i="5"/>
  <c r="S699" i="5"/>
  <c r="N699" i="5"/>
  <c r="K699" i="5"/>
  <c r="H699" i="5"/>
  <c r="E699" i="5"/>
  <c r="AE698" i="5"/>
  <c r="AD698" i="5" s="1"/>
  <c r="Z698" i="5"/>
  <c r="W698" i="5"/>
  <c r="U698" i="5"/>
  <c r="S698" i="5"/>
  <c r="N698" i="5"/>
  <c r="K698" i="5"/>
  <c r="E698" i="5"/>
  <c r="BA697" i="5"/>
  <c r="AY697" i="5"/>
  <c r="AW697" i="5"/>
  <c r="AV697" i="5"/>
  <c r="AU697" i="5"/>
  <c r="AT697" i="5"/>
  <c r="AS697" i="5"/>
  <c r="AQ697" i="5"/>
  <c r="AO697" i="5"/>
  <c r="AN697" i="5"/>
  <c r="AM697" i="5"/>
  <c r="AL697" i="5"/>
  <c r="AI697" i="5"/>
  <c r="AE697" i="5"/>
  <c r="Z697" i="5"/>
  <c r="W697" i="5"/>
  <c r="S697" i="5"/>
  <c r="P697" i="5"/>
  <c r="U697" i="5" s="1"/>
  <c r="N697" i="5"/>
  <c r="K697" i="5"/>
  <c r="H697" i="5"/>
  <c r="E697" i="5"/>
  <c r="AF696" i="5"/>
  <c r="AD696" i="5"/>
  <c r="Z696" i="5"/>
  <c r="AF695" i="5"/>
  <c r="AD695" i="5"/>
  <c r="AF692" i="5"/>
  <c r="AD692" i="5"/>
  <c r="Z692" i="5"/>
  <c r="W692" i="5"/>
  <c r="U692" i="5"/>
  <c r="S692" i="5"/>
  <c r="N692" i="5"/>
  <c r="K692" i="5"/>
  <c r="H692" i="5"/>
  <c r="E692" i="5"/>
  <c r="AE690" i="5"/>
  <c r="AC690" i="5"/>
  <c r="Y690" i="5"/>
  <c r="T690" i="5"/>
  <c r="R690" i="5"/>
  <c r="L690" i="5"/>
  <c r="J690" i="5"/>
  <c r="F690" i="5"/>
  <c r="B690" i="5"/>
  <c r="AF689" i="5"/>
  <c r="AF690" i="5" s="1"/>
  <c r="AD689" i="5"/>
  <c r="AD690" i="5" s="1"/>
  <c r="Z689" i="5"/>
  <c r="V689" i="5"/>
  <c r="S689" i="5"/>
  <c r="S690" i="5" s="1"/>
  <c r="P689" i="5"/>
  <c r="P690" i="5" s="1"/>
  <c r="N689" i="5"/>
  <c r="N690" i="5" s="1"/>
  <c r="K689" i="5"/>
  <c r="K690" i="5" s="1"/>
  <c r="H689" i="5"/>
  <c r="H690" i="5" s="1"/>
  <c r="D689" i="5"/>
  <c r="Z688" i="5"/>
  <c r="Z690" i="5" s="1"/>
  <c r="AE686" i="5"/>
  <c r="AC686" i="5"/>
  <c r="Y686" i="5"/>
  <c r="V686" i="5"/>
  <c r="T686" i="5"/>
  <c r="R686" i="5"/>
  <c r="L686" i="5"/>
  <c r="J686" i="5"/>
  <c r="F686" i="5"/>
  <c r="D686" i="5"/>
  <c r="AF685" i="5"/>
  <c r="AD685" i="5"/>
  <c r="Z685" i="5"/>
  <c r="W685" i="5"/>
  <c r="U685" i="5"/>
  <c r="S685" i="5"/>
  <c r="N685" i="5"/>
  <c r="K685" i="5"/>
  <c r="H685" i="5"/>
  <c r="E685" i="5"/>
  <c r="AF684" i="5"/>
  <c r="AD684" i="5"/>
  <c r="Z684" i="5"/>
  <c r="W684" i="5"/>
  <c r="U684" i="5"/>
  <c r="S684" i="5"/>
  <c r="N684" i="5"/>
  <c r="K684" i="5"/>
  <c r="H684" i="5"/>
  <c r="E684" i="5"/>
  <c r="AF683" i="5"/>
  <c r="AD683" i="5"/>
  <c r="Z683" i="5"/>
  <c r="W683" i="5"/>
  <c r="S683" i="5"/>
  <c r="N683" i="5"/>
  <c r="K683" i="5"/>
  <c r="E683" i="5"/>
  <c r="B683" i="5"/>
  <c r="P683" i="5" s="1"/>
  <c r="P686" i="5" s="1"/>
  <c r="AE681" i="5"/>
  <c r="AC681" i="5"/>
  <c r="Y681" i="5"/>
  <c r="V681" i="5"/>
  <c r="T681" i="5"/>
  <c r="R681" i="5"/>
  <c r="L681" i="5"/>
  <c r="J681" i="5"/>
  <c r="F681" i="5"/>
  <c r="D681" i="5"/>
  <c r="AF680" i="5"/>
  <c r="AD680" i="5"/>
  <c r="Z680" i="5"/>
  <c r="W680" i="5"/>
  <c r="U680" i="5"/>
  <c r="S680" i="5"/>
  <c r="N680" i="5"/>
  <c r="K680" i="5"/>
  <c r="H680" i="5"/>
  <c r="E680" i="5"/>
  <c r="AF679" i="5"/>
  <c r="AD679" i="5"/>
  <c r="Z679" i="5"/>
  <c r="W679" i="5"/>
  <c r="U679" i="5"/>
  <c r="S679" i="5"/>
  <c r="N679" i="5"/>
  <c r="K679" i="5"/>
  <c r="AF678" i="5"/>
  <c r="AD678" i="5"/>
  <c r="Z678" i="5"/>
  <c r="W678" i="5"/>
  <c r="U678" i="5"/>
  <c r="S678" i="5"/>
  <c r="N678" i="5"/>
  <c r="K678" i="5"/>
  <c r="H678" i="5"/>
  <c r="E678" i="5"/>
  <c r="AF677" i="5"/>
  <c r="AD677" i="5"/>
  <c r="Z677" i="5"/>
  <c r="W677" i="5"/>
  <c r="S677" i="5"/>
  <c r="N677" i="5"/>
  <c r="K677" i="5"/>
  <c r="E677" i="5"/>
  <c r="B677" i="5"/>
  <c r="B681" i="5" s="1"/>
  <c r="AE675" i="5"/>
  <c r="AC675" i="5"/>
  <c r="Y675" i="5"/>
  <c r="V675" i="5"/>
  <c r="T675" i="5"/>
  <c r="R675" i="5"/>
  <c r="L675" i="5"/>
  <c r="J675" i="5"/>
  <c r="F675" i="5"/>
  <c r="D675" i="5"/>
  <c r="AF674" i="5"/>
  <c r="AD674" i="5"/>
  <c r="Z674" i="5"/>
  <c r="W674" i="5"/>
  <c r="U674" i="5"/>
  <c r="S674" i="5"/>
  <c r="N674" i="5"/>
  <c r="K674" i="5"/>
  <c r="H674" i="5"/>
  <c r="E674" i="5"/>
  <c r="AF673" i="5"/>
  <c r="AD673" i="5"/>
  <c r="Z673" i="5"/>
  <c r="W673" i="5"/>
  <c r="U673" i="5"/>
  <c r="S673" i="5"/>
  <c r="N673" i="5"/>
  <c r="K673" i="5"/>
  <c r="AF672" i="5"/>
  <c r="AD672" i="5"/>
  <c r="Z672" i="5"/>
  <c r="W672" i="5"/>
  <c r="S672" i="5"/>
  <c r="N672" i="5"/>
  <c r="K672" i="5"/>
  <c r="E672" i="5"/>
  <c r="E675" i="5" s="1"/>
  <c r="B672" i="5"/>
  <c r="H672" i="5" s="1"/>
  <c r="AF671" i="5"/>
  <c r="AD671" i="5"/>
  <c r="AK667" i="5"/>
  <c r="AM667" i="5" s="1"/>
  <c r="AO667" i="5" s="1"/>
  <c r="AQ667" i="5" s="1"/>
  <c r="AS667" i="5" s="1"/>
  <c r="AU667" i="5" s="1"/>
  <c r="AW667" i="5" s="1"/>
  <c r="AY667" i="5" s="1"/>
  <c r="BA667" i="5" s="1"/>
  <c r="BC667" i="5" s="1"/>
  <c r="BE667" i="5" s="1"/>
  <c r="AF667" i="5"/>
  <c r="AD667" i="5"/>
  <c r="Z667" i="5"/>
  <c r="W667" i="5"/>
  <c r="U667" i="5"/>
  <c r="S667" i="5"/>
  <c r="N667" i="5"/>
  <c r="K667" i="5"/>
  <c r="H667" i="5"/>
  <c r="E667" i="5"/>
  <c r="N662" i="5"/>
  <c r="K662" i="5"/>
  <c r="AI660" i="5"/>
  <c r="AE660" i="5"/>
  <c r="AC660" i="5"/>
  <c r="Y660" i="5"/>
  <c r="T660" i="5"/>
  <c r="R660" i="5"/>
  <c r="L660" i="5"/>
  <c r="J660" i="5"/>
  <c r="F660" i="5"/>
  <c r="B660" i="5"/>
  <c r="AF659" i="5"/>
  <c r="AD659" i="5"/>
  <c r="Z659" i="5"/>
  <c r="W659" i="5"/>
  <c r="U659" i="5"/>
  <c r="S659" i="5"/>
  <c r="N659" i="5"/>
  <c r="K659" i="5"/>
  <c r="H659" i="5"/>
  <c r="E659" i="5"/>
  <c r="AF658" i="5"/>
  <c r="AD658" i="5"/>
  <c r="Z658" i="5"/>
  <c r="W658" i="5"/>
  <c r="U658" i="5"/>
  <c r="S658" i="5"/>
  <c r="AF657" i="5"/>
  <c r="AD657" i="5"/>
  <c r="Z657" i="5"/>
  <c r="W657" i="5"/>
  <c r="U657" i="5"/>
  <c r="S657" i="5"/>
  <c r="N657" i="5"/>
  <c r="K657" i="5"/>
  <c r="H657" i="5"/>
  <c r="E657" i="5"/>
  <c r="AF656" i="5"/>
  <c r="AD656" i="5"/>
  <c r="Z656" i="5"/>
  <c r="W656" i="5"/>
  <c r="U656" i="5"/>
  <c r="S656" i="5"/>
  <c r="N656" i="5"/>
  <c r="K656" i="5"/>
  <c r="H656" i="5"/>
  <c r="E656" i="5"/>
  <c r="AF655" i="5"/>
  <c r="AD655" i="5"/>
  <c r="Z655" i="5"/>
  <c r="W655" i="5"/>
  <c r="U655" i="5"/>
  <c r="S655" i="5"/>
  <c r="AF654" i="5"/>
  <c r="AD654" i="5"/>
  <c r="Z654" i="5"/>
  <c r="W654" i="5"/>
  <c r="U654" i="5"/>
  <c r="S654" i="5"/>
  <c r="AF653" i="5"/>
  <c r="AD653" i="5"/>
  <c r="Z653" i="5"/>
  <c r="W653" i="5"/>
  <c r="U653" i="5"/>
  <c r="S653" i="5"/>
  <c r="N653" i="5"/>
  <c r="K653" i="5"/>
  <c r="H653" i="5"/>
  <c r="E653" i="5"/>
  <c r="AF652" i="5"/>
  <c r="AD652" i="5"/>
  <c r="Z652" i="5"/>
  <c r="W652" i="5"/>
  <c r="U652" i="5"/>
  <c r="S652" i="5"/>
  <c r="N652" i="5"/>
  <c r="K652" i="5"/>
  <c r="H652" i="5"/>
  <c r="E652" i="5"/>
  <c r="AK651" i="5"/>
  <c r="AK660" i="5" s="1"/>
  <c r="AF651" i="5"/>
  <c r="AD651" i="5"/>
  <c r="Z651" i="5"/>
  <c r="V651" i="5"/>
  <c r="W651" i="5" s="1"/>
  <c r="S651" i="5"/>
  <c r="P651" i="5"/>
  <c r="P660" i="5" s="1"/>
  <c r="N651" i="5"/>
  <c r="K651" i="5"/>
  <c r="H651" i="5"/>
  <c r="D651" i="5"/>
  <c r="E651" i="5" s="1"/>
  <c r="AI648" i="5"/>
  <c r="AE648" i="5"/>
  <c r="AC648" i="5"/>
  <c r="Y648" i="5"/>
  <c r="V648" i="5"/>
  <c r="T648" i="5"/>
  <c r="R648" i="5"/>
  <c r="L648" i="5"/>
  <c r="J648" i="5"/>
  <c r="F648" i="5"/>
  <c r="D648" i="5"/>
  <c r="B648" i="5"/>
  <c r="AF647" i="5"/>
  <c r="AD647" i="5"/>
  <c r="Z647" i="5"/>
  <c r="W647" i="5"/>
  <c r="U647" i="5"/>
  <c r="S647" i="5"/>
  <c r="N647" i="5"/>
  <c r="K647" i="5"/>
  <c r="H647" i="5"/>
  <c r="E647" i="5"/>
  <c r="AK646" i="5"/>
  <c r="AF646" i="5"/>
  <c r="AD646" i="5"/>
  <c r="Z646" i="5"/>
  <c r="W646" i="5"/>
  <c r="S646" i="5"/>
  <c r="P646" i="5"/>
  <c r="P648" i="5" s="1"/>
  <c r="N646" i="5"/>
  <c r="K646" i="5"/>
  <c r="H646" i="5"/>
  <c r="E646" i="5"/>
  <c r="AE643" i="5"/>
  <c r="AC643" i="5"/>
  <c r="Y643" i="5"/>
  <c r="V643" i="5"/>
  <c r="T643" i="5"/>
  <c r="R643" i="5"/>
  <c r="L643" i="5"/>
  <c r="J643" i="5"/>
  <c r="F643" i="5"/>
  <c r="D643" i="5"/>
  <c r="B643" i="5"/>
  <c r="AK642" i="5"/>
  <c r="AM642" i="5" s="1"/>
  <c r="AO642" i="5" s="1"/>
  <c r="AQ642" i="5" s="1"/>
  <c r="AS642" i="5" s="1"/>
  <c r="AU642" i="5" s="1"/>
  <c r="AW642" i="5" s="1"/>
  <c r="AY642" i="5" s="1"/>
  <c r="BA642" i="5" s="1"/>
  <c r="BC642" i="5" s="1"/>
  <c r="BE642" i="5" s="1"/>
  <c r="AF642" i="5"/>
  <c r="AD642" i="5"/>
  <c r="Z642" i="5"/>
  <c r="W642" i="5"/>
  <c r="U642" i="5"/>
  <c r="S642" i="5"/>
  <c r="N642" i="5"/>
  <c r="K642" i="5"/>
  <c r="H642" i="5"/>
  <c r="E642" i="5"/>
  <c r="AI641" i="5"/>
  <c r="AK641" i="5" s="1"/>
  <c r="AM641" i="5" s="1"/>
  <c r="AO641" i="5" s="1"/>
  <c r="AQ641" i="5" s="1"/>
  <c r="AS641" i="5" s="1"/>
  <c r="AU641" i="5" s="1"/>
  <c r="AW641" i="5" s="1"/>
  <c r="AY641" i="5" s="1"/>
  <c r="BA641" i="5" s="1"/>
  <c r="BC641" i="5" s="1"/>
  <c r="BE641" i="5" s="1"/>
  <c r="AF641" i="5"/>
  <c r="AD641" i="5"/>
  <c r="Z641" i="5"/>
  <c r="W641" i="5"/>
  <c r="S641" i="5"/>
  <c r="P641" i="5"/>
  <c r="N641" i="5"/>
  <c r="K641" i="5"/>
  <c r="H641" i="5"/>
  <c r="E641" i="5"/>
  <c r="AI640" i="5"/>
  <c r="AF640" i="5"/>
  <c r="AD640" i="5"/>
  <c r="Z640" i="5"/>
  <c r="W640" i="5"/>
  <c r="U640" i="5"/>
  <c r="S640" i="5"/>
  <c r="AI633" i="5"/>
  <c r="AE633" i="5"/>
  <c r="AC633" i="5"/>
  <c r="Y633" i="5"/>
  <c r="V633" i="5"/>
  <c r="T633" i="5"/>
  <c r="R633" i="5"/>
  <c r="L633" i="5"/>
  <c r="J633" i="5"/>
  <c r="F633" i="5"/>
  <c r="D633" i="5"/>
  <c r="B633" i="5"/>
  <c r="AF632" i="5"/>
  <c r="AD632" i="5"/>
  <c r="Z632" i="5"/>
  <c r="W632" i="5"/>
  <c r="U632" i="5"/>
  <c r="S632" i="5"/>
  <c r="N632" i="5"/>
  <c r="K632" i="5"/>
  <c r="H632" i="5"/>
  <c r="E632" i="5"/>
  <c r="AF631" i="5"/>
  <c r="AD631" i="5"/>
  <c r="Z631" i="5"/>
  <c r="W631" i="5"/>
  <c r="U631" i="5"/>
  <c r="S631" i="5"/>
  <c r="N631" i="5"/>
  <c r="K631" i="5"/>
  <c r="H631" i="5"/>
  <c r="E631" i="5"/>
  <c r="AF630" i="5"/>
  <c r="AD630" i="5"/>
  <c r="Z630" i="5"/>
  <c r="W630" i="5"/>
  <c r="U630" i="5"/>
  <c r="S630" i="5"/>
  <c r="N630" i="5"/>
  <c r="K630" i="5"/>
  <c r="H630" i="5"/>
  <c r="E630" i="5"/>
  <c r="AK629" i="5"/>
  <c r="AK633" i="5" s="1"/>
  <c r="AF629" i="5"/>
  <c r="AD629" i="5"/>
  <c r="Z629" i="5"/>
  <c r="W629" i="5"/>
  <c r="S629" i="5"/>
  <c r="P629" i="5"/>
  <c r="N629" i="5"/>
  <c r="K629" i="5"/>
  <c r="H629" i="5"/>
  <c r="E629" i="5"/>
  <c r="BA627" i="5"/>
  <c r="AY627" i="5"/>
  <c r="AW627" i="5"/>
  <c r="AU627" i="5"/>
  <c r="AS627" i="5"/>
  <c r="AQ627" i="5"/>
  <c r="AO627" i="5"/>
  <c r="AM627" i="5"/>
  <c r="AK627" i="5"/>
  <c r="AI627" i="5"/>
  <c r="AE627" i="5"/>
  <c r="AC627" i="5"/>
  <c r="Y627" i="5"/>
  <c r="V627" i="5"/>
  <c r="T627" i="5"/>
  <c r="R627" i="5"/>
  <c r="L627" i="5"/>
  <c r="J627" i="5"/>
  <c r="F627" i="5"/>
  <c r="D627" i="5"/>
  <c r="B627" i="5"/>
  <c r="AF626" i="5"/>
  <c r="AF627" i="5" s="1"/>
  <c r="AD626" i="5"/>
  <c r="AD627" i="5" s="1"/>
  <c r="Z626" i="5"/>
  <c r="W626" i="5"/>
  <c r="W627" i="5" s="1"/>
  <c r="S626" i="5"/>
  <c r="S627" i="5" s="1"/>
  <c r="P626" i="5"/>
  <c r="U626" i="5" s="1"/>
  <c r="U627" i="5" s="1"/>
  <c r="N626" i="5"/>
  <c r="K626" i="5"/>
  <c r="H626" i="5"/>
  <c r="E626" i="5"/>
  <c r="Z625" i="5"/>
  <c r="N625" i="5"/>
  <c r="K625" i="5"/>
  <c r="H625" i="5"/>
  <c r="E625" i="5"/>
  <c r="Z624" i="5"/>
  <c r="Z623" i="5"/>
  <c r="Z622" i="5"/>
  <c r="AI620" i="5"/>
  <c r="AE620" i="5"/>
  <c r="AC620" i="5"/>
  <c r="Y620" i="5"/>
  <c r="V620" i="5"/>
  <c r="T620" i="5"/>
  <c r="R620" i="5"/>
  <c r="L620" i="5"/>
  <c r="J620" i="5"/>
  <c r="F620" i="5"/>
  <c r="D620" i="5"/>
  <c r="B620" i="5"/>
  <c r="AF619" i="5"/>
  <c r="AD619" i="5"/>
  <c r="Z619" i="5"/>
  <c r="W619" i="5"/>
  <c r="U619" i="5"/>
  <c r="S619" i="5"/>
  <c r="N619" i="5"/>
  <c r="K619" i="5"/>
  <c r="H619" i="5"/>
  <c r="E619" i="5"/>
  <c r="AF618" i="5"/>
  <c r="AD618" i="5"/>
  <c r="Z618" i="5"/>
  <c r="W618" i="5"/>
  <c r="U618" i="5"/>
  <c r="S618" i="5"/>
  <c r="N618" i="5"/>
  <c r="K618" i="5"/>
  <c r="H618" i="5"/>
  <c r="E618" i="5"/>
  <c r="AK617" i="5"/>
  <c r="AK620" i="5" s="1"/>
  <c r="AF617" i="5"/>
  <c r="AD617" i="5"/>
  <c r="Z617" i="5"/>
  <c r="W617" i="5"/>
  <c r="S617" i="5"/>
  <c r="P617" i="5"/>
  <c r="P620" i="5" s="1"/>
  <c r="N617" i="5"/>
  <c r="K617" i="5"/>
  <c r="H617" i="5"/>
  <c r="E617" i="5"/>
  <c r="AE615" i="5"/>
  <c r="Y615" i="5"/>
  <c r="T615" i="5"/>
  <c r="R615" i="5"/>
  <c r="L615" i="5"/>
  <c r="J615" i="5"/>
  <c r="F615" i="5"/>
  <c r="D615" i="5"/>
  <c r="AI614" i="5"/>
  <c r="AK614" i="5" s="1"/>
  <c r="AM614" i="5" s="1"/>
  <c r="AO614" i="5" s="1"/>
  <c r="AQ614" i="5" s="1"/>
  <c r="AS614" i="5" s="1"/>
  <c r="AU614" i="5" s="1"/>
  <c r="AW614" i="5" s="1"/>
  <c r="AY614" i="5" s="1"/>
  <c r="BA614" i="5" s="1"/>
  <c r="BC614" i="5" s="1"/>
  <c r="BE614" i="5" s="1"/>
  <c r="AF614" i="5"/>
  <c r="AD614" i="5"/>
  <c r="Z614" i="5"/>
  <c r="V614" i="5"/>
  <c r="W614" i="5" s="1"/>
  <c r="S614" i="5"/>
  <c r="P614" i="5"/>
  <c r="U614" i="5" s="1"/>
  <c r="N614" i="5"/>
  <c r="K614" i="5"/>
  <c r="H614" i="5"/>
  <c r="E614" i="5"/>
  <c r="AK613" i="5"/>
  <c r="AM613" i="5" s="1"/>
  <c r="AO613" i="5" s="1"/>
  <c r="AQ613" i="5" s="1"/>
  <c r="AS613" i="5" s="1"/>
  <c r="AU613" i="5" s="1"/>
  <c r="AW613" i="5" s="1"/>
  <c r="AY613" i="5" s="1"/>
  <c r="BA613" i="5" s="1"/>
  <c r="BC613" i="5" s="1"/>
  <c r="BE613" i="5" s="1"/>
  <c r="AF613" i="5"/>
  <c r="AD613" i="5"/>
  <c r="Z613" i="5"/>
  <c r="W613" i="5"/>
  <c r="S613" i="5"/>
  <c r="P613" i="5"/>
  <c r="U613" i="5" s="1"/>
  <c r="N613" i="5"/>
  <c r="K613" i="5"/>
  <c r="H613" i="5"/>
  <c r="E613" i="5"/>
  <c r="AI612" i="5"/>
  <c r="AK612" i="5" s="1"/>
  <c r="AM612" i="5" s="1"/>
  <c r="AO612" i="5" s="1"/>
  <c r="AQ612" i="5" s="1"/>
  <c r="AS612" i="5" s="1"/>
  <c r="AU612" i="5" s="1"/>
  <c r="AW612" i="5" s="1"/>
  <c r="AY612" i="5" s="1"/>
  <c r="BA612" i="5" s="1"/>
  <c r="BC612" i="5" s="1"/>
  <c r="BE612" i="5" s="1"/>
  <c r="AF612" i="5"/>
  <c r="AD612" i="5"/>
  <c r="Z612" i="5"/>
  <c r="W612" i="5"/>
  <c r="S612" i="5"/>
  <c r="P612" i="5"/>
  <c r="U612" i="5" s="1"/>
  <c r="N612" i="5"/>
  <c r="K612" i="5"/>
  <c r="H612" i="5"/>
  <c r="E612" i="5"/>
  <c r="AF611" i="5"/>
  <c r="AD611" i="5"/>
  <c r="Z611" i="5"/>
  <c r="W611" i="5"/>
  <c r="S611" i="5"/>
  <c r="P611" i="5"/>
  <c r="N611" i="5"/>
  <c r="K611" i="5"/>
  <c r="H611" i="5"/>
  <c r="E611" i="5"/>
  <c r="AI610" i="5"/>
  <c r="AK610" i="5" s="1"/>
  <c r="AM610" i="5" s="1"/>
  <c r="AO610" i="5" s="1"/>
  <c r="AQ610" i="5" s="1"/>
  <c r="AS610" i="5" s="1"/>
  <c r="AU610" i="5" s="1"/>
  <c r="AW610" i="5" s="1"/>
  <c r="AY610" i="5" s="1"/>
  <c r="BA610" i="5" s="1"/>
  <c r="BC610" i="5" s="1"/>
  <c r="BE610" i="5" s="1"/>
  <c r="AF610" i="5"/>
  <c r="AD610" i="5"/>
  <c r="Z610" i="5"/>
  <c r="W610" i="5"/>
  <c r="U610" i="5"/>
  <c r="S610" i="5"/>
  <c r="N610" i="5"/>
  <c r="K610" i="5"/>
  <c r="H610" i="5"/>
  <c r="E610" i="5"/>
  <c r="AI609" i="5"/>
  <c r="AK609" i="5" s="1"/>
  <c r="AM609" i="5" s="1"/>
  <c r="AO609" i="5" s="1"/>
  <c r="AQ609" i="5" s="1"/>
  <c r="AS609" i="5" s="1"/>
  <c r="AU609" i="5" s="1"/>
  <c r="AW609" i="5" s="1"/>
  <c r="AY609" i="5" s="1"/>
  <c r="BA609" i="5" s="1"/>
  <c r="BC609" i="5" s="1"/>
  <c r="BE609" i="5" s="1"/>
  <c r="AF609" i="5"/>
  <c r="AD609" i="5"/>
  <c r="Z609" i="5"/>
  <c r="W609" i="5"/>
  <c r="S609" i="5"/>
  <c r="P609" i="5"/>
  <c r="U609" i="5" s="1"/>
  <c r="N609" i="5"/>
  <c r="K609" i="5"/>
  <c r="H609" i="5"/>
  <c r="E609" i="5"/>
  <c r="AI608" i="5"/>
  <c r="AK608" i="5" s="1"/>
  <c r="AM608" i="5" s="1"/>
  <c r="AO608" i="5" s="1"/>
  <c r="AQ608" i="5" s="1"/>
  <c r="AS608" i="5" s="1"/>
  <c r="AU608" i="5" s="1"/>
  <c r="AW608" i="5" s="1"/>
  <c r="AY608" i="5" s="1"/>
  <c r="BA608" i="5" s="1"/>
  <c r="BC608" i="5" s="1"/>
  <c r="BE608" i="5" s="1"/>
  <c r="AF608" i="5"/>
  <c r="AD608" i="5"/>
  <c r="Z608" i="5"/>
  <c r="W608" i="5"/>
  <c r="S608" i="5"/>
  <c r="P608" i="5"/>
  <c r="U608" i="5" s="1"/>
  <c r="N608" i="5"/>
  <c r="K608" i="5"/>
  <c r="H608" i="5"/>
  <c r="E608" i="5"/>
  <c r="AI607" i="5"/>
  <c r="AK607" i="5" s="1"/>
  <c r="AM607" i="5" s="1"/>
  <c r="AO607" i="5" s="1"/>
  <c r="AQ607" i="5" s="1"/>
  <c r="AS607" i="5" s="1"/>
  <c r="AU607" i="5" s="1"/>
  <c r="AW607" i="5" s="1"/>
  <c r="AY607" i="5" s="1"/>
  <c r="BA607" i="5" s="1"/>
  <c r="BC607" i="5" s="1"/>
  <c r="BE607" i="5" s="1"/>
  <c r="AF607" i="5"/>
  <c r="AD607" i="5"/>
  <c r="Z607" i="5"/>
  <c r="V607" i="5"/>
  <c r="S607" i="5"/>
  <c r="P607" i="5"/>
  <c r="U607" i="5" s="1"/>
  <c r="N607" i="5"/>
  <c r="K607" i="5"/>
  <c r="H607" i="5"/>
  <c r="E607" i="5"/>
  <c r="AI606" i="5"/>
  <c r="AK606" i="5" s="1"/>
  <c r="AM606" i="5" s="1"/>
  <c r="AO606" i="5" s="1"/>
  <c r="AQ606" i="5" s="1"/>
  <c r="AS606" i="5" s="1"/>
  <c r="AU606" i="5" s="1"/>
  <c r="AW606" i="5" s="1"/>
  <c r="AY606" i="5" s="1"/>
  <c r="BA606" i="5" s="1"/>
  <c r="BC606" i="5" s="1"/>
  <c r="BE606" i="5" s="1"/>
  <c r="AF606" i="5"/>
  <c r="AD606" i="5"/>
  <c r="Z606" i="5"/>
  <c r="W606" i="5"/>
  <c r="S606" i="5"/>
  <c r="P606" i="5"/>
  <c r="U606" i="5" s="1"/>
  <c r="N606" i="5"/>
  <c r="K606" i="5"/>
  <c r="H606" i="5"/>
  <c r="E606" i="5"/>
  <c r="AF605" i="5"/>
  <c r="AD605" i="5"/>
  <c r="Z605" i="5"/>
  <c r="W605" i="5"/>
  <c r="S605" i="5"/>
  <c r="P605" i="5"/>
  <c r="AI605" i="5" s="1"/>
  <c r="AK605" i="5" s="1"/>
  <c r="AM605" i="5" s="1"/>
  <c r="AO605" i="5" s="1"/>
  <c r="AQ605" i="5" s="1"/>
  <c r="AS605" i="5" s="1"/>
  <c r="AU605" i="5" s="1"/>
  <c r="AW605" i="5" s="1"/>
  <c r="AY605" i="5" s="1"/>
  <c r="BA605" i="5" s="1"/>
  <c r="BC605" i="5" s="1"/>
  <c r="BE605" i="5" s="1"/>
  <c r="N605" i="5"/>
  <c r="K605" i="5"/>
  <c r="H605" i="5"/>
  <c r="E605" i="5"/>
  <c r="AF604" i="5"/>
  <c r="AD604" i="5"/>
  <c r="Z604" i="5"/>
  <c r="W604" i="5"/>
  <c r="S604" i="5"/>
  <c r="P604" i="5"/>
  <c r="AI604" i="5" s="1"/>
  <c r="AK604" i="5" s="1"/>
  <c r="AM604" i="5" s="1"/>
  <c r="AO604" i="5" s="1"/>
  <c r="AQ604" i="5" s="1"/>
  <c r="AS604" i="5" s="1"/>
  <c r="AU604" i="5" s="1"/>
  <c r="AW604" i="5" s="1"/>
  <c r="AY604" i="5" s="1"/>
  <c r="BA604" i="5" s="1"/>
  <c r="BC604" i="5" s="1"/>
  <c r="BE604" i="5" s="1"/>
  <c r="N604" i="5"/>
  <c r="K604" i="5"/>
  <c r="H604" i="5"/>
  <c r="E604" i="5"/>
  <c r="AI603" i="5"/>
  <c r="AK603" i="5" s="1"/>
  <c r="AM603" i="5" s="1"/>
  <c r="AO603" i="5" s="1"/>
  <c r="AQ603" i="5" s="1"/>
  <c r="AS603" i="5" s="1"/>
  <c r="AU603" i="5" s="1"/>
  <c r="AW603" i="5" s="1"/>
  <c r="AY603" i="5" s="1"/>
  <c r="BA603" i="5" s="1"/>
  <c r="BC603" i="5" s="1"/>
  <c r="BE603" i="5" s="1"/>
  <c r="AF603" i="5"/>
  <c r="AD603" i="5"/>
  <c r="Z603" i="5"/>
  <c r="W603" i="5"/>
  <c r="S603" i="5"/>
  <c r="P603" i="5"/>
  <c r="U603" i="5" s="1"/>
  <c r="N603" i="5"/>
  <c r="K603" i="5"/>
  <c r="H603" i="5"/>
  <c r="E603" i="5"/>
  <c r="AI602" i="5"/>
  <c r="AK602" i="5" s="1"/>
  <c r="AM602" i="5" s="1"/>
  <c r="AO602" i="5" s="1"/>
  <c r="AQ602" i="5" s="1"/>
  <c r="AS602" i="5" s="1"/>
  <c r="AU602" i="5" s="1"/>
  <c r="AW602" i="5" s="1"/>
  <c r="AY602" i="5" s="1"/>
  <c r="BA602" i="5" s="1"/>
  <c r="BC602" i="5" s="1"/>
  <c r="BE602" i="5" s="1"/>
  <c r="AF602" i="5"/>
  <c r="AD602" i="5"/>
  <c r="Z602" i="5"/>
  <c r="W602" i="5"/>
  <c r="S602" i="5"/>
  <c r="P602" i="5"/>
  <c r="U602" i="5" s="1"/>
  <c r="N602" i="5"/>
  <c r="K602" i="5"/>
  <c r="E602" i="5"/>
  <c r="B602" i="5"/>
  <c r="B615" i="5" s="1"/>
  <c r="AK601" i="5"/>
  <c r="AM601" i="5" s="1"/>
  <c r="AO601" i="5" s="1"/>
  <c r="AQ601" i="5" s="1"/>
  <c r="AS601" i="5" s="1"/>
  <c r="AU601" i="5" s="1"/>
  <c r="AW601" i="5" s="1"/>
  <c r="AY601" i="5" s="1"/>
  <c r="BA601" i="5" s="1"/>
  <c r="BC601" i="5" s="1"/>
  <c r="BE601" i="5" s="1"/>
  <c r="AF601" i="5"/>
  <c r="AD601" i="5"/>
  <c r="Z601" i="5"/>
  <c r="W601" i="5"/>
  <c r="S601" i="5"/>
  <c r="P601" i="5"/>
  <c r="N601" i="5"/>
  <c r="K601" i="5"/>
  <c r="H601" i="5"/>
  <c r="E601" i="5"/>
  <c r="AK600" i="5"/>
  <c r="AM600" i="5" s="1"/>
  <c r="AF600" i="5"/>
  <c r="AC600" i="5"/>
  <c r="AD600" i="5" s="1"/>
  <c r="Z600" i="5"/>
  <c r="W600" i="5"/>
  <c r="U600" i="5"/>
  <c r="S600" i="5"/>
  <c r="N600" i="5"/>
  <c r="K600" i="5"/>
  <c r="H600" i="5"/>
  <c r="E600" i="5"/>
  <c r="AI595" i="5"/>
  <c r="AF595" i="5"/>
  <c r="AD595" i="5"/>
  <c r="Z595" i="5"/>
  <c r="S595" i="5"/>
  <c r="P595" i="5"/>
  <c r="N595" i="5"/>
  <c r="K595" i="5"/>
  <c r="H595" i="5"/>
  <c r="E595" i="5"/>
  <c r="AZ594" i="5"/>
  <c r="AT594" i="5"/>
  <c r="AV594" i="5" s="1"/>
  <c r="AN594" i="5"/>
  <c r="AP594" i="5" s="1"/>
  <c r="AI594" i="5"/>
  <c r="AK594" i="5" s="1"/>
  <c r="AM594" i="5" s="1"/>
  <c r="AO594" i="5" s="1"/>
  <c r="AQ594" i="5" s="1"/>
  <c r="AS594" i="5" s="1"/>
  <c r="AU594" i="5" s="1"/>
  <c r="AW594" i="5" s="1"/>
  <c r="AY594" i="5" s="1"/>
  <c r="BA594" i="5" s="1"/>
  <c r="BC594" i="5" s="1"/>
  <c r="BE594" i="5" s="1"/>
  <c r="AK592" i="5"/>
  <c r="AO592" i="5" s="1"/>
  <c r="AS592" i="5" s="1"/>
  <c r="AW592" i="5" s="1"/>
  <c r="BA592" i="5" s="1"/>
  <c r="BE592" i="5" s="1"/>
  <c r="AI592" i="5"/>
  <c r="AM592" i="5" s="1"/>
  <c r="AQ592" i="5" s="1"/>
  <c r="AU592" i="5" s="1"/>
  <c r="AY592" i="5" s="1"/>
  <c r="BC592" i="5" s="1"/>
  <c r="AF592" i="5"/>
  <c r="AD592" i="5"/>
  <c r="Z592" i="5"/>
  <c r="W592" i="5"/>
  <c r="S592" i="5"/>
  <c r="P592" i="5"/>
  <c r="U592" i="5" s="1"/>
  <c r="N592" i="5"/>
  <c r="K592" i="5"/>
  <c r="H592" i="5"/>
  <c r="E592" i="5"/>
  <c r="AF590" i="5"/>
  <c r="AD590" i="5"/>
  <c r="Z590" i="5"/>
  <c r="W590" i="5"/>
  <c r="S590" i="5"/>
  <c r="P590" i="5"/>
  <c r="N590" i="5"/>
  <c r="K590" i="5"/>
  <c r="H590" i="5"/>
  <c r="E590" i="5"/>
  <c r="AF588" i="5"/>
  <c r="AD588" i="5"/>
  <c r="Z588" i="5"/>
  <c r="W588" i="5"/>
  <c r="U588" i="5"/>
  <c r="S588" i="5"/>
  <c r="N588" i="5"/>
  <c r="K588" i="5"/>
  <c r="H588" i="5"/>
  <c r="E588" i="5"/>
  <c r="BA586" i="5"/>
  <c r="AY586" i="5"/>
  <c r="AW586" i="5"/>
  <c r="AU586" i="5"/>
  <c r="AS586" i="5"/>
  <c r="AQ586" i="5"/>
  <c r="AO586" i="5"/>
  <c r="AM586" i="5"/>
  <c r="AK586" i="5"/>
  <c r="AI586" i="5"/>
  <c r="AE586" i="5"/>
  <c r="AC586" i="5"/>
  <c r="Y586" i="5"/>
  <c r="V586" i="5"/>
  <c r="T586" i="5"/>
  <c r="R586" i="5"/>
  <c r="P586" i="5"/>
  <c r="L586" i="5"/>
  <c r="J586" i="5"/>
  <c r="F586" i="5"/>
  <c r="D586" i="5"/>
  <c r="B586" i="5"/>
  <c r="AF585" i="5"/>
  <c r="AF586" i="5" s="1"/>
  <c r="AD585" i="5"/>
  <c r="AD586" i="5" s="1"/>
  <c r="Z585" i="5"/>
  <c r="Z586" i="5" s="1"/>
  <c r="W585" i="5"/>
  <c r="W586" i="5" s="1"/>
  <c r="U585" i="5"/>
  <c r="U586" i="5" s="1"/>
  <c r="S585" i="5"/>
  <c r="S586" i="5" s="1"/>
  <c r="N585" i="5"/>
  <c r="N586" i="5" s="1"/>
  <c r="K585" i="5"/>
  <c r="K586" i="5" s="1"/>
  <c r="H585" i="5"/>
  <c r="H586" i="5" s="1"/>
  <c r="E585" i="5"/>
  <c r="E586" i="5" s="1"/>
  <c r="AF584" i="5"/>
  <c r="AD584" i="5"/>
  <c r="N584" i="5"/>
  <c r="K584" i="5"/>
  <c r="AI582" i="5"/>
  <c r="AK582" i="5" s="1"/>
  <c r="AM582" i="5" s="1"/>
  <c r="AO582" i="5" s="1"/>
  <c r="AQ582" i="5" s="1"/>
  <c r="AS582" i="5" s="1"/>
  <c r="AU582" i="5" s="1"/>
  <c r="AW582" i="5" s="1"/>
  <c r="AY582" i="5" s="1"/>
  <c r="BA582" i="5" s="1"/>
  <c r="BC582" i="5" s="1"/>
  <c r="BE582" i="5" s="1"/>
  <c r="AF582" i="5"/>
  <c r="AD582" i="5"/>
  <c r="Z582" i="5"/>
  <c r="W582" i="5"/>
  <c r="S582" i="5"/>
  <c r="P582" i="5"/>
  <c r="U582" i="5" s="1"/>
  <c r="N582" i="5"/>
  <c r="K582" i="5"/>
  <c r="H582" i="5"/>
  <c r="E582" i="5"/>
  <c r="AE580" i="5"/>
  <c r="AC580" i="5"/>
  <c r="Y580" i="5"/>
  <c r="V580" i="5"/>
  <c r="T580" i="5"/>
  <c r="R580" i="5"/>
  <c r="L580" i="5"/>
  <c r="J580" i="5"/>
  <c r="F580" i="5"/>
  <c r="B580" i="5"/>
  <c r="AZ578" i="5"/>
  <c r="AT578" i="5"/>
  <c r="AV578" i="5" s="1"/>
  <c r="AN578" i="5"/>
  <c r="AP578" i="5" s="1"/>
  <c r="AM578" i="5"/>
  <c r="AO578" i="5" s="1"/>
  <c r="AQ578" i="5" s="1"/>
  <c r="AS578" i="5" s="1"/>
  <c r="AU578" i="5" s="1"/>
  <c r="AW578" i="5" s="1"/>
  <c r="AY578" i="5" s="1"/>
  <c r="BA578" i="5" s="1"/>
  <c r="BC578" i="5" s="1"/>
  <c r="BE578" i="5" s="1"/>
  <c r="AF578" i="5"/>
  <c r="AD578" i="5"/>
  <c r="Z578" i="5"/>
  <c r="W578" i="5"/>
  <c r="U578" i="5"/>
  <c r="S578" i="5"/>
  <c r="N578" i="5"/>
  <c r="K578" i="5"/>
  <c r="H578" i="5"/>
  <c r="E578" i="5"/>
  <c r="AF577" i="5"/>
  <c r="AD577" i="5"/>
  <c r="Z577" i="5"/>
  <c r="W577" i="5"/>
  <c r="U577" i="5"/>
  <c r="S577" i="5"/>
  <c r="AF576" i="5"/>
  <c r="AD576" i="5"/>
  <c r="Z576" i="5"/>
  <c r="W576" i="5"/>
  <c r="U576" i="5"/>
  <c r="S576" i="5"/>
  <c r="N576" i="5"/>
  <c r="K576" i="5"/>
  <c r="H576" i="5"/>
  <c r="E576" i="5"/>
  <c r="AZ575" i="5"/>
  <c r="AT575" i="5"/>
  <c r="AV575" i="5" s="1"/>
  <c r="AN575" i="5"/>
  <c r="AP575" i="5" s="1"/>
  <c r="AI575" i="5"/>
  <c r="AK575" i="5" s="1"/>
  <c r="AM575" i="5" s="1"/>
  <c r="AO575" i="5" s="1"/>
  <c r="AQ575" i="5" s="1"/>
  <c r="AS575" i="5" s="1"/>
  <c r="AU575" i="5" s="1"/>
  <c r="AW575" i="5" s="1"/>
  <c r="AY575" i="5" s="1"/>
  <c r="BA575" i="5" s="1"/>
  <c r="BC575" i="5" s="1"/>
  <c r="BE575" i="5" s="1"/>
  <c r="AF575" i="5"/>
  <c r="AD575" i="5"/>
  <c r="Z575" i="5"/>
  <c r="W575" i="5"/>
  <c r="U575" i="5"/>
  <c r="S575" i="5"/>
  <c r="N575" i="5"/>
  <c r="K575" i="5"/>
  <c r="H575" i="5"/>
  <c r="D575" i="5"/>
  <c r="D580" i="5" s="1"/>
  <c r="AZ574" i="5"/>
  <c r="AT574" i="5"/>
  <c r="AV574" i="5" s="1"/>
  <c r="AN574" i="5"/>
  <c r="AP574" i="5" s="1"/>
  <c r="AI574" i="5"/>
  <c r="AK574" i="5" s="1"/>
  <c r="AM574" i="5" s="1"/>
  <c r="AO574" i="5" s="1"/>
  <c r="AQ574" i="5" s="1"/>
  <c r="AS574" i="5" s="1"/>
  <c r="AU574" i="5" s="1"/>
  <c r="AW574" i="5" s="1"/>
  <c r="AY574" i="5" s="1"/>
  <c r="BA574" i="5" s="1"/>
  <c r="BC574" i="5" s="1"/>
  <c r="BE574" i="5" s="1"/>
  <c r="AF574" i="5"/>
  <c r="AD574" i="5"/>
  <c r="Z574" i="5"/>
  <c r="W574" i="5"/>
  <c r="S574" i="5"/>
  <c r="P574" i="5"/>
  <c r="U574" i="5" s="1"/>
  <c r="N574" i="5"/>
  <c r="K574" i="5"/>
  <c r="H574" i="5"/>
  <c r="E574" i="5"/>
  <c r="AZ573" i="5"/>
  <c r="AT573" i="5"/>
  <c r="AV573" i="5" s="1"/>
  <c r="AN573" i="5"/>
  <c r="AP573" i="5" s="1"/>
  <c r="AI573" i="5"/>
  <c r="AK573" i="5" s="1"/>
  <c r="AM573" i="5" s="1"/>
  <c r="AO573" i="5" s="1"/>
  <c r="AQ573" i="5" s="1"/>
  <c r="AS573" i="5" s="1"/>
  <c r="AU573" i="5" s="1"/>
  <c r="AW573" i="5" s="1"/>
  <c r="AY573" i="5" s="1"/>
  <c r="BA573" i="5" s="1"/>
  <c r="BC573" i="5" s="1"/>
  <c r="BE573" i="5" s="1"/>
  <c r="AF573" i="5"/>
  <c r="AD573" i="5"/>
  <c r="Z573" i="5"/>
  <c r="W573" i="5"/>
  <c r="U573" i="5"/>
  <c r="S573" i="5"/>
  <c r="N573" i="5"/>
  <c r="K573" i="5"/>
  <c r="H573" i="5"/>
  <c r="E573" i="5"/>
  <c r="AZ572" i="5"/>
  <c r="AT572" i="5"/>
  <c r="AV572" i="5" s="1"/>
  <c r="AN572" i="5"/>
  <c r="AP572" i="5" s="1"/>
  <c r="AI572" i="5"/>
  <c r="AK572" i="5" s="1"/>
  <c r="AM572" i="5" s="1"/>
  <c r="AO572" i="5" s="1"/>
  <c r="AQ572" i="5" s="1"/>
  <c r="AS572" i="5" s="1"/>
  <c r="AU572" i="5" s="1"/>
  <c r="AW572" i="5" s="1"/>
  <c r="AY572" i="5" s="1"/>
  <c r="BA572" i="5" s="1"/>
  <c r="BC572" i="5" s="1"/>
  <c r="BE572" i="5" s="1"/>
  <c r="AF572" i="5"/>
  <c r="AD572" i="5"/>
  <c r="Z572" i="5"/>
  <c r="W572" i="5"/>
  <c r="S572" i="5"/>
  <c r="P572" i="5"/>
  <c r="U572" i="5" s="1"/>
  <c r="N572" i="5"/>
  <c r="K572" i="5"/>
  <c r="H572" i="5"/>
  <c r="E572" i="5"/>
  <c r="AZ571" i="5"/>
  <c r="AT571" i="5"/>
  <c r="AV571" i="5" s="1"/>
  <c r="AN571" i="5"/>
  <c r="AP571" i="5" s="1"/>
  <c r="AI571" i="5"/>
  <c r="AK571" i="5" s="1"/>
  <c r="AM571" i="5" s="1"/>
  <c r="AO571" i="5" s="1"/>
  <c r="AQ571" i="5" s="1"/>
  <c r="AS571" i="5" s="1"/>
  <c r="AU571" i="5" s="1"/>
  <c r="AW571" i="5" s="1"/>
  <c r="AY571" i="5" s="1"/>
  <c r="BA571" i="5" s="1"/>
  <c r="BC571" i="5" s="1"/>
  <c r="BE571" i="5" s="1"/>
  <c r="AD571" i="5"/>
  <c r="Z571" i="5"/>
  <c r="W571" i="5"/>
  <c r="S571" i="5"/>
  <c r="P571" i="5"/>
  <c r="U571" i="5" s="1"/>
  <c r="N571" i="5"/>
  <c r="K571" i="5"/>
  <c r="H571" i="5"/>
  <c r="E571" i="5"/>
  <c r="AZ570" i="5"/>
  <c r="AT570" i="5"/>
  <c r="AV570" i="5" s="1"/>
  <c r="AN570" i="5"/>
  <c r="AP570" i="5" s="1"/>
  <c r="AI570" i="5"/>
  <c r="AK570" i="5" s="1"/>
  <c r="AM570" i="5" s="1"/>
  <c r="AO570" i="5" s="1"/>
  <c r="AQ570" i="5" s="1"/>
  <c r="AS570" i="5" s="1"/>
  <c r="AU570" i="5" s="1"/>
  <c r="AW570" i="5" s="1"/>
  <c r="AY570" i="5" s="1"/>
  <c r="BA570" i="5" s="1"/>
  <c r="BC570" i="5" s="1"/>
  <c r="BE570" i="5" s="1"/>
  <c r="AF570" i="5"/>
  <c r="AD570" i="5"/>
  <c r="Z570" i="5"/>
  <c r="W570" i="5"/>
  <c r="S570" i="5"/>
  <c r="P570" i="5"/>
  <c r="U570" i="5" s="1"/>
  <c r="N570" i="5"/>
  <c r="K570" i="5"/>
  <c r="H570" i="5"/>
  <c r="E570" i="5"/>
  <c r="AZ569" i="5"/>
  <c r="AT569" i="5"/>
  <c r="AV569" i="5" s="1"/>
  <c r="AN569" i="5"/>
  <c r="AP569" i="5" s="1"/>
  <c r="AI569" i="5"/>
  <c r="AK569" i="5" s="1"/>
  <c r="AM569" i="5" s="1"/>
  <c r="AO569" i="5" s="1"/>
  <c r="AQ569" i="5" s="1"/>
  <c r="AS569" i="5" s="1"/>
  <c r="AU569" i="5" s="1"/>
  <c r="AW569" i="5" s="1"/>
  <c r="AY569" i="5" s="1"/>
  <c r="BA569" i="5" s="1"/>
  <c r="BC569" i="5" s="1"/>
  <c r="BE569" i="5" s="1"/>
  <c r="AF569" i="5"/>
  <c r="AD569" i="5"/>
  <c r="Z569" i="5"/>
  <c r="W569" i="5"/>
  <c r="S569" i="5"/>
  <c r="P569" i="5"/>
  <c r="U569" i="5" s="1"/>
  <c r="N569" i="5"/>
  <c r="K569" i="5"/>
  <c r="H569" i="5"/>
  <c r="E569" i="5"/>
  <c r="AZ568" i="5"/>
  <c r="AT568" i="5"/>
  <c r="AV568" i="5" s="1"/>
  <c r="AN568" i="5"/>
  <c r="AP568" i="5" s="1"/>
  <c r="AI568" i="5"/>
  <c r="AK568" i="5" s="1"/>
  <c r="AM568" i="5" s="1"/>
  <c r="AO568" i="5" s="1"/>
  <c r="AQ568" i="5" s="1"/>
  <c r="AS568" i="5" s="1"/>
  <c r="AU568" i="5" s="1"/>
  <c r="AW568" i="5" s="1"/>
  <c r="AY568" i="5" s="1"/>
  <c r="BA568" i="5" s="1"/>
  <c r="BC568" i="5" s="1"/>
  <c r="BE568" i="5" s="1"/>
  <c r="AF568" i="5"/>
  <c r="AD568" i="5"/>
  <c r="Z568" i="5"/>
  <c r="W568" i="5"/>
  <c r="S568" i="5"/>
  <c r="P568" i="5"/>
  <c r="U568" i="5" s="1"/>
  <c r="N568" i="5"/>
  <c r="K568" i="5"/>
  <c r="H568" i="5"/>
  <c r="E568" i="5"/>
  <c r="AZ567" i="5"/>
  <c r="AT567" i="5"/>
  <c r="AV567" i="5" s="1"/>
  <c r="AN567" i="5"/>
  <c r="AP567" i="5" s="1"/>
  <c r="AI567" i="5"/>
  <c r="AK567" i="5" s="1"/>
  <c r="AM567" i="5" s="1"/>
  <c r="AO567" i="5" s="1"/>
  <c r="AQ567" i="5" s="1"/>
  <c r="AS567" i="5" s="1"/>
  <c r="AU567" i="5" s="1"/>
  <c r="AW567" i="5" s="1"/>
  <c r="AY567" i="5" s="1"/>
  <c r="BA567" i="5" s="1"/>
  <c r="BC567" i="5" s="1"/>
  <c r="BE567" i="5" s="1"/>
  <c r="AF567" i="5"/>
  <c r="AD567" i="5"/>
  <c r="Z567" i="5"/>
  <c r="W567" i="5"/>
  <c r="S567" i="5"/>
  <c r="P567" i="5"/>
  <c r="U567" i="5" s="1"/>
  <c r="N567" i="5"/>
  <c r="K567" i="5"/>
  <c r="H567" i="5"/>
  <c r="E567" i="5"/>
  <c r="AZ566" i="5"/>
  <c r="AT566" i="5"/>
  <c r="AV566" i="5" s="1"/>
  <c r="AN566" i="5"/>
  <c r="AP566" i="5" s="1"/>
  <c r="AI566" i="5"/>
  <c r="AK566" i="5" s="1"/>
  <c r="AM566" i="5" s="1"/>
  <c r="AO566" i="5" s="1"/>
  <c r="AQ566" i="5" s="1"/>
  <c r="AS566" i="5" s="1"/>
  <c r="AU566" i="5" s="1"/>
  <c r="AW566" i="5" s="1"/>
  <c r="AY566" i="5" s="1"/>
  <c r="BA566" i="5" s="1"/>
  <c r="BC566" i="5" s="1"/>
  <c r="BE566" i="5" s="1"/>
  <c r="AF566" i="5"/>
  <c r="AD566" i="5"/>
  <c r="Z566" i="5"/>
  <c r="W566" i="5"/>
  <c r="S566" i="5"/>
  <c r="P566" i="5"/>
  <c r="U566" i="5" s="1"/>
  <c r="N566" i="5"/>
  <c r="K566" i="5"/>
  <c r="H566" i="5"/>
  <c r="E566" i="5"/>
  <c r="AZ565" i="5"/>
  <c r="AT565" i="5"/>
  <c r="AV565" i="5" s="1"/>
  <c r="AN565" i="5"/>
  <c r="AP565" i="5" s="1"/>
  <c r="AI565" i="5"/>
  <c r="AK565" i="5" s="1"/>
  <c r="AM565" i="5" s="1"/>
  <c r="AO565" i="5" s="1"/>
  <c r="AQ565" i="5" s="1"/>
  <c r="AS565" i="5" s="1"/>
  <c r="AU565" i="5" s="1"/>
  <c r="AW565" i="5" s="1"/>
  <c r="AY565" i="5" s="1"/>
  <c r="BA565" i="5" s="1"/>
  <c r="BC565" i="5" s="1"/>
  <c r="BE565" i="5" s="1"/>
  <c r="AF565" i="5"/>
  <c r="AD565" i="5"/>
  <c r="Z565" i="5"/>
  <c r="W565" i="5"/>
  <c r="S565" i="5"/>
  <c r="P565" i="5"/>
  <c r="U565" i="5" s="1"/>
  <c r="N565" i="5"/>
  <c r="K565" i="5"/>
  <c r="H565" i="5"/>
  <c r="E565" i="5"/>
  <c r="AZ564" i="5"/>
  <c r="AT564" i="5"/>
  <c r="AV564" i="5" s="1"/>
  <c r="AN564" i="5"/>
  <c r="AP564" i="5" s="1"/>
  <c r="AI564" i="5"/>
  <c r="AK564" i="5" s="1"/>
  <c r="AM564" i="5" s="1"/>
  <c r="AO564" i="5" s="1"/>
  <c r="AQ564" i="5" s="1"/>
  <c r="AS564" i="5" s="1"/>
  <c r="AU564" i="5" s="1"/>
  <c r="AW564" i="5" s="1"/>
  <c r="AY564" i="5" s="1"/>
  <c r="BA564" i="5" s="1"/>
  <c r="BC564" i="5" s="1"/>
  <c r="BE564" i="5" s="1"/>
  <c r="AF564" i="5"/>
  <c r="AD564" i="5"/>
  <c r="Z564" i="5"/>
  <c r="W564" i="5"/>
  <c r="S564" i="5"/>
  <c r="P564" i="5"/>
  <c r="U564" i="5" s="1"/>
  <c r="N564" i="5"/>
  <c r="K564" i="5"/>
  <c r="H564" i="5"/>
  <c r="E564" i="5"/>
  <c r="AZ563" i="5"/>
  <c r="AT563" i="5"/>
  <c r="AV563" i="5" s="1"/>
  <c r="AN563" i="5"/>
  <c r="AP563" i="5" s="1"/>
  <c r="AI563" i="5"/>
  <c r="AF563" i="5"/>
  <c r="AD563" i="5"/>
  <c r="Z563" i="5"/>
  <c r="W563" i="5"/>
  <c r="S563" i="5"/>
  <c r="P563" i="5"/>
  <c r="U563" i="5" s="1"/>
  <c r="N563" i="5"/>
  <c r="K563" i="5"/>
  <c r="H563" i="5"/>
  <c r="E563" i="5"/>
  <c r="AZ562" i="5"/>
  <c r="AT562" i="5"/>
  <c r="AV562" i="5" s="1"/>
  <c r="AN562" i="5"/>
  <c r="AP562" i="5" s="1"/>
  <c r="AI562" i="5"/>
  <c r="AK562" i="5" s="1"/>
  <c r="AF562" i="5"/>
  <c r="AD562" i="5"/>
  <c r="Z562" i="5"/>
  <c r="W562" i="5"/>
  <c r="S562" i="5"/>
  <c r="P562" i="5"/>
  <c r="N562" i="5"/>
  <c r="K562" i="5"/>
  <c r="H562" i="5"/>
  <c r="E562" i="5"/>
  <c r="AI561" i="5"/>
  <c r="AK561" i="5" s="1"/>
  <c r="AM561" i="5" s="1"/>
  <c r="AO561" i="5" s="1"/>
  <c r="AQ561" i="5" s="1"/>
  <c r="AS561" i="5" s="1"/>
  <c r="AU561" i="5" s="1"/>
  <c r="AW561" i="5" s="1"/>
  <c r="AY561" i="5" s="1"/>
  <c r="BA561" i="5" s="1"/>
  <c r="BC561" i="5" s="1"/>
  <c r="BE561" i="5" s="1"/>
  <c r="AF561" i="5"/>
  <c r="AD561" i="5"/>
  <c r="Z561" i="5"/>
  <c r="W561" i="5"/>
  <c r="U561" i="5"/>
  <c r="S561" i="5"/>
  <c r="N561" i="5"/>
  <c r="K561" i="5"/>
  <c r="H561" i="5"/>
  <c r="E561" i="5"/>
  <c r="AI560" i="5"/>
  <c r="AK560" i="5" s="1"/>
  <c r="AM560" i="5" s="1"/>
  <c r="AO560" i="5" s="1"/>
  <c r="AF560" i="5"/>
  <c r="AD560" i="5"/>
  <c r="Z560" i="5"/>
  <c r="W560" i="5"/>
  <c r="U560" i="5"/>
  <c r="S560" i="5"/>
  <c r="N560" i="5"/>
  <c r="K560" i="5"/>
  <c r="H560" i="5"/>
  <c r="E560" i="5"/>
  <c r="AE558" i="5"/>
  <c r="AC558" i="5"/>
  <c r="Y558" i="5"/>
  <c r="V558" i="5"/>
  <c r="T558" i="5"/>
  <c r="R558" i="5"/>
  <c r="L558" i="5"/>
  <c r="J558" i="5"/>
  <c r="F558" i="5"/>
  <c r="D558" i="5"/>
  <c r="B558" i="5"/>
  <c r="AF557" i="5"/>
  <c r="AD557" i="5"/>
  <c r="Z557" i="5"/>
  <c r="W557" i="5"/>
  <c r="U557" i="5"/>
  <c r="S557" i="5"/>
  <c r="N557" i="5"/>
  <c r="K557" i="5"/>
  <c r="H557" i="5"/>
  <c r="E557" i="5"/>
  <c r="AI556" i="5"/>
  <c r="AK556" i="5" s="1"/>
  <c r="AM556" i="5" s="1"/>
  <c r="AO556" i="5" s="1"/>
  <c r="AQ556" i="5" s="1"/>
  <c r="AS556" i="5" s="1"/>
  <c r="AU556" i="5" s="1"/>
  <c r="AW556" i="5" s="1"/>
  <c r="AY556" i="5" s="1"/>
  <c r="BA556" i="5" s="1"/>
  <c r="BC556" i="5" s="1"/>
  <c r="BE556" i="5" s="1"/>
  <c r="AF556" i="5"/>
  <c r="AD556" i="5"/>
  <c r="Z556" i="5"/>
  <c r="W556" i="5"/>
  <c r="U556" i="5"/>
  <c r="S556" i="5"/>
  <c r="N556" i="5"/>
  <c r="K556" i="5"/>
  <c r="H556" i="5"/>
  <c r="E556" i="5"/>
  <c r="AZ555" i="5"/>
  <c r="AT555" i="5"/>
  <c r="AV555" i="5" s="1"/>
  <c r="AN555" i="5"/>
  <c r="AP555" i="5" s="1"/>
  <c r="AI555" i="5"/>
  <c r="AK555" i="5" s="1"/>
  <c r="AM555" i="5" s="1"/>
  <c r="AO555" i="5" s="1"/>
  <c r="AQ555" i="5" s="1"/>
  <c r="AS555" i="5" s="1"/>
  <c r="AU555" i="5" s="1"/>
  <c r="AW555" i="5" s="1"/>
  <c r="AY555" i="5" s="1"/>
  <c r="BA555" i="5" s="1"/>
  <c r="BC555" i="5" s="1"/>
  <c r="BE555" i="5" s="1"/>
  <c r="AF555" i="5"/>
  <c r="AD555" i="5"/>
  <c r="Z555" i="5"/>
  <c r="W555" i="5"/>
  <c r="S555" i="5"/>
  <c r="P555" i="5"/>
  <c r="U555" i="5" s="1"/>
  <c r="N555" i="5"/>
  <c r="K555" i="5"/>
  <c r="H555" i="5"/>
  <c r="E555" i="5"/>
  <c r="AZ554" i="5"/>
  <c r="AT554" i="5"/>
  <c r="AV554" i="5" s="1"/>
  <c r="AN554" i="5"/>
  <c r="AP554" i="5" s="1"/>
  <c r="AI554" i="5"/>
  <c r="AK554" i="5" s="1"/>
  <c r="AM554" i="5" s="1"/>
  <c r="AO554" i="5" s="1"/>
  <c r="AQ554" i="5" s="1"/>
  <c r="AS554" i="5" s="1"/>
  <c r="AU554" i="5" s="1"/>
  <c r="AW554" i="5" s="1"/>
  <c r="AY554" i="5" s="1"/>
  <c r="BA554" i="5" s="1"/>
  <c r="BC554" i="5" s="1"/>
  <c r="BE554" i="5" s="1"/>
  <c r="AF554" i="5"/>
  <c r="AD554" i="5"/>
  <c r="Z554" i="5"/>
  <c r="W554" i="5"/>
  <c r="U554" i="5"/>
  <c r="S554" i="5"/>
  <c r="N554" i="5"/>
  <c r="K554" i="5"/>
  <c r="H554" i="5"/>
  <c r="E554" i="5"/>
  <c r="AZ553" i="5"/>
  <c r="AT553" i="5"/>
  <c r="AV553" i="5" s="1"/>
  <c r="AN553" i="5"/>
  <c r="AP553" i="5" s="1"/>
  <c r="AI553" i="5"/>
  <c r="AK553" i="5" s="1"/>
  <c r="AM553" i="5" s="1"/>
  <c r="AO553" i="5" s="1"/>
  <c r="AQ553" i="5" s="1"/>
  <c r="AS553" i="5" s="1"/>
  <c r="AU553" i="5" s="1"/>
  <c r="AW553" i="5" s="1"/>
  <c r="AY553" i="5" s="1"/>
  <c r="BA553" i="5" s="1"/>
  <c r="BC553" i="5" s="1"/>
  <c r="BE553" i="5" s="1"/>
  <c r="AF553" i="5"/>
  <c r="AD553" i="5"/>
  <c r="Z553" i="5"/>
  <c r="W553" i="5"/>
  <c r="U553" i="5"/>
  <c r="S553" i="5"/>
  <c r="N553" i="5"/>
  <c r="K553" i="5"/>
  <c r="H553" i="5"/>
  <c r="E553" i="5"/>
  <c r="AZ552" i="5"/>
  <c r="AT552" i="5"/>
  <c r="AV552" i="5" s="1"/>
  <c r="AN552" i="5"/>
  <c r="AP552" i="5" s="1"/>
  <c r="AI552" i="5"/>
  <c r="AK552" i="5" s="1"/>
  <c r="AM552" i="5" s="1"/>
  <c r="AF552" i="5"/>
  <c r="AD552" i="5"/>
  <c r="Z552" i="5"/>
  <c r="W552" i="5"/>
  <c r="S552" i="5"/>
  <c r="P552" i="5"/>
  <c r="N552" i="5"/>
  <c r="K552" i="5"/>
  <c r="H552" i="5"/>
  <c r="E552" i="5"/>
  <c r="AE549" i="5"/>
  <c r="AC549" i="5"/>
  <c r="Y549" i="5"/>
  <c r="V549" i="5"/>
  <c r="T549" i="5"/>
  <c r="R549" i="5"/>
  <c r="L549" i="5"/>
  <c r="J549" i="5"/>
  <c r="F549" i="5"/>
  <c r="D549" i="5"/>
  <c r="AF548" i="5"/>
  <c r="AD548" i="5"/>
  <c r="Z548" i="5"/>
  <c r="W548" i="5"/>
  <c r="U548" i="5"/>
  <c r="S548" i="5"/>
  <c r="N548" i="5"/>
  <c r="K548" i="5"/>
  <c r="H548" i="5"/>
  <c r="E548" i="5"/>
  <c r="AZ547" i="5"/>
  <c r="AT547" i="5"/>
  <c r="AV547" i="5" s="1"/>
  <c r="AN547" i="5"/>
  <c r="AP547" i="5" s="1"/>
  <c r="AK547" i="5"/>
  <c r="AM547" i="5" s="1"/>
  <c r="AO547" i="5" s="1"/>
  <c r="AQ547" i="5" s="1"/>
  <c r="AS547" i="5" s="1"/>
  <c r="AU547" i="5" s="1"/>
  <c r="AW547" i="5" s="1"/>
  <c r="AY547" i="5" s="1"/>
  <c r="BA547" i="5" s="1"/>
  <c r="BC547" i="5" s="1"/>
  <c r="BE547" i="5" s="1"/>
  <c r="AF547" i="5"/>
  <c r="AD547" i="5"/>
  <c r="Z547" i="5"/>
  <c r="W547" i="5"/>
  <c r="U547" i="5"/>
  <c r="S547" i="5"/>
  <c r="N547" i="5"/>
  <c r="K547" i="5"/>
  <c r="H547" i="5"/>
  <c r="E547" i="5"/>
  <c r="AZ546" i="5"/>
  <c r="AT546" i="5"/>
  <c r="AV546" i="5" s="1"/>
  <c r="AN546" i="5"/>
  <c r="AP546" i="5" s="1"/>
  <c r="AK546" i="5"/>
  <c r="AM546" i="5" s="1"/>
  <c r="AO546" i="5" s="1"/>
  <c r="AQ546" i="5" s="1"/>
  <c r="AS546" i="5" s="1"/>
  <c r="AU546" i="5" s="1"/>
  <c r="AW546" i="5" s="1"/>
  <c r="AY546" i="5" s="1"/>
  <c r="BA546" i="5" s="1"/>
  <c r="BC546" i="5" s="1"/>
  <c r="BE546" i="5" s="1"/>
  <c r="AF546" i="5"/>
  <c r="AD546" i="5"/>
  <c r="AZ545" i="5"/>
  <c r="AT545" i="5"/>
  <c r="AV545" i="5" s="1"/>
  <c r="AN545" i="5"/>
  <c r="AP545" i="5" s="1"/>
  <c r="AI545" i="5"/>
  <c r="AI549" i="5" s="1"/>
  <c r="AF545" i="5"/>
  <c r="AD545" i="5"/>
  <c r="Z545" i="5"/>
  <c r="W545" i="5"/>
  <c r="S545" i="5"/>
  <c r="P545" i="5"/>
  <c r="P549" i="5" s="1"/>
  <c r="N545" i="5"/>
  <c r="K545" i="5"/>
  <c r="E545" i="5"/>
  <c r="B545" i="5"/>
  <c r="H545" i="5" s="1"/>
  <c r="AE540" i="5"/>
  <c r="AC540" i="5"/>
  <c r="Y540" i="5"/>
  <c r="V540" i="5"/>
  <c r="T540" i="5"/>
  <c r="R540" i="5"/>
  <c r="L540" i="5"/>
  <c r="J540" i="5"/>
  <c r="F540" i="5"/>
  <c r="D540" i="5"/>
  <c r="B540" i="5"/>
  <c r="AF539" i="5"/>
  <c r="AD539" i="5"/>
  <c r="Z539" i="5"/>
  <c r="W539" i="5"/>
  <c r="U539" i="5"/>
  <c r="S539" i="5"/>
  <c r="N539" i="5"/>
  <c r="K539" i="5"/>
  <c r="H539" i="5"/>
  <c r="E539" i="5"/>
  <c r="AZ538" i="5"/>
  <c r="AT538" i="5"/>
  <c r="AV538" i="5" s="1"/>
  <c r="AN538" i="5"/>
  <c r="AP538" i="5" s="1"/>
  <c r="AI538" i="5"/>
  <c r="AK538" i="5" s="1"/>
  <c r="AK540" i="5" s="1"/>
  <c r="AF538" i="5"/>
  <c r="AD538" i="5"/>
  <c r="Z538" i="5"/>
  <c r="W538" i="5"/>
  <c r="S538" i="5"/>
  <c r="P538" i="5"/>
  <c r="U538" i="5" s="1"/>
  <c r="N538" i="5"/>
  <c r="K538" i="5"/>
  <c r="H538" i="5"/>
  <c r="E538" i="5"/>
  <c r="AE536" i="5"/>
  <c r="AC536" i="5"/>
  <c r="Y536" i="5"/>
  <c r="V536" i="5"/>
  <c r="R536" i="5"/>
  <c r="L536" i="5"/>
  <c r="J536" i="5"/>
  <c r="F536" i="5"/>
  <c r="D536" i="5"/>
  <c r="B536" i="5"/>
  <c r="AK535" i="5"/>
  <c r="AM535" i="5" s="1"/>
  <c r="AO535" i="5" s="1"/>
  <c r="AQ535" i="5" s="1"/>
  <c r="AS535" i="5" s="1"/>
  <c r="AU535" i="5" s="1"/>
  <c r="AW535" i="5" s="1"/>
  <c r="AY535" i="5" s="1"/>
  <c r="BA535" i="5" s="1"/>
  <c r="BC535" i="5" s="1"/>
  <c r="BE535" i="5" s="1"/>
  <c r="AF535" i="5"/>
  <c r="AD535" i="5"/>
  <c r="Z535" i="5"/>
  <c r="W535" i="5"/>
  <c r="U535" i="5"/>
  <c r="S535" i="5"/>
  <c r="N535" i="5"/>
  <c r="K535" i="5"/>
  <c r="H535" i="5"/>
  <c r="E535" i="5"/>
  <c r="AI534" i="5"/>
  <c r="AK534" i="5" s="1"/>
  <c r="AM534" i="5" s="1"/>
  <c r="AO534" i="5" s="1"/>
  <c r="AQ534" i="5" s="1"/>
  <c r="AS534" i="5" s="1"/>
  <c r="AU534" i="5" s="1"/>
  <c r="AW534" i="5" s="1"/>
  <c r="AY534" i="5" s="1"/>
  <c r="BA534" i="5" s="1"/>
  <c r="BC534" i="5" s="1"/>
  <c r="BE534" i="5" s="1"/>
  <c r="AF534" i="5"/>
  <c r="AD534" i="5"/>
  <c r="W534" i="5"/>
  <c r="P534" i="5"/>
  <c r="T534" i="5" s="1"/>
  <c r="U534" i="5" s="1"/>
  <c r="N534" i="5"/>
  <c r="K534" i="5"/>
  <c r="H534" i="5"/>
  <c r="E534" i="5"/>
  <c r="AI533" i="5"/>
  <c r="AK533" i="5" s="1"/>
  <c r="AM533" i="5" s="1"/>
  <c r="AO533" i="5" s="1"/>
  <c r="AQ533" i="5" s="1"/>
  <c r="AS533" i="5" s="1"/>
  <c r="AU533" i="5" s="1"/>
  <c r="AW533" i="5" s="1"/>
  <c r="AY533" i="5" s="1"/>
  <c r="BA533" i="5" s="1"/>
  <c r="BC533" i="5" s="1"/>
  <c r="BE533" i="5" s="1"/>
  <c r="AF533" i="5"/>
  <c r="AD533" i="5"/>
  <c r="Z533" i="5"/>
  <c r="W533" i="5"/>
  <c r="U533" i="5"/>
  <c r="S533" i="5"/>
  <c r="N533" i="5"/>
  <c r="K533" i="5"/>
  <c r="H533" i="5"/>
  <c r="E533" i="5"/>
  <c r="AF532" i="5"/>
  <c r="AD532" i="5"/>
  <c r="W532" i="5"/>
  <c r="T532" i="5"/>
  <c r="S532" i="5" s="1"/>
  <c r="P532" i="5"/>
  <c r="N532" i="5"/>
  <c r="K532" i="5"/>
  <c r="H532" i="5"/>
  <c r="E532" i="5"/>
  <c r="AI531" i="5"/>
  <c r="AK531" i="5" s="1"/>
  <c r="AM531" i="5" s="1"/>
  <c r="AO531" i="5" s="1"/>
  <c r="AQ531" i="5" s="1"/>
  <c r="AS531" i="5" s="1"/>
  <c r="AU531" i="5" s="1"/>
  <c r="AW531" i="5" s="1"/>
  <c r="AY531" i="5" s="1"/>
  <c r="BA531" i="5" s="1"/>
  <c r="BC531" i="5" s="1"/>
  <c r="BE531" i="5" s="1"/>
  <c r="AF531" i="5"/>
  <c r="AD531" i="5"/>
  <c r="Z531" i="5"/>
  <c r="W531" i="5"/>
  <c r="U531" i="5"/>
  <c r="S531" i="5"/>
  <c r="N531" i="5"/>
  <c r="K531" i="5"/>
  <c r="H531" i="5"/>
  <c r="E531" i="5"/>
  <c r="AI530" i="5"/>
  <c r="AK530" i="5" s="1"/>
  <c r="AM530" i="5" s="1"/>
  <c r="AO530" i="5" s="1"/>
  <c r="AQ530" i="5" s="1"/>
  <c r="AS530" i="5" s="1"/>
  <c r="AU530" i="5" s="1"/>
  <c r="AW530" i="5" s="1"/>
  <c r="AY530" i="5" s="1"/>
  <c r="BA530" i="5" s="1"/>
  <c r="BC530" i="5" s="1"/>
  <c r="BE530" i="5" s="1"/>
  <c r="AF530" i="5"/>
  <c r="AD530" i="5"/>
  <c r="Z530" i="5"/>
  <c r="W530" i="5"/>
  <c r="U530" i="5"/>
  <c r="S530" i="5"/>
  <c r="N530" i="5"/>
  <c r="K530" i="5"/>
  <c r="H530" i="5"/>
  <c r="E530" i="5"/>
  <c r="AI528" i="5"/>
  <c r="AK528" i="5" s="1"/>
  <c r="AM528" i="5" s="1"/>
  <c r="AO528" i="5" s="1"/>
  <c r="AQ528" i="5" s="1"/>
  <c r="AS528" i="5" s="1"/>
  <c r="AU528" i="5" s="1"/>
  <c r="AW528" i="5" s="1"/>
  <c r="AY528" i="5" s="1"/>
  <c r="BA528" i="5" s="1"/>
  <c r="BC528" i="5" s="1"/>
  <c r="BE528" i="5" s="1"/>
  <c r="AF528" i="5"/>
  <c r="AD528" i="5"/>
  <c r="W528" i="5"/>
  <c r="T528" i="5"/>
  <c r="P528" i="5"/>
  <c r="N528" i="5"/>
  <c r="K528" i="5"/>
  <c r="H528" i="5"/>
  <c r="E528" i="5"/>
  <c r="AI527" i="5"/>
  <c r="AK527" i="5" s="1"/>
  <c r="AM527" i="5" s="1"/>
  <c r="AO527" i="5" s="1"/>
  <c r="AQ527" i="5" s="1"/>
  <c r="AS527" i="5" s="1"/>
  <c r="AU527" i="5" s="1"/>
  <c r="AW527" i="5" s="1"/>
  <c r="AY527" i="5" s="1"/>
  <c r="BA527" i="5" s="1"/>
  <c r="BC527" i="5" s="1"/>
  <c r="BE527" i="5" s="1"/>
  <c r="AF527" i="5"/>
  <c r="AD527" i="5"/>
  <c r="Z527" i="5"/>
  <c r="W527" i="5"/>
  <c r="U527" i="5"/>
  <c r="S527" i="5"/>
  <c r="N527" i="5"/>
  <c r="K527" i="5"/>
  <c r="H527" i="5"/>
  <c r="E527" i="5"/>
  <c r="AI526" i="5"/>
  <c r="AK526" i="5" s="1"/>
  <c r="AM526" i="5" s="1"/>
  <c r="AO526" i="5" s="1"/>
  <c r="AQ526" i="5" s="1"/>
  <c r="AS526" i="5" s="1"/>
  <c r="AU526" i="5" s="1"/>
  <c r="AW526" i="5" s="1"/>
  <c r="AY526" i="5" s="1"/>
  <c r="BA526" i="5" s="1"/>
  <c r="BC526" i="5" s="1"/>
  <c r="BE526" i="5" s="1"/>
  <c r="AF526" i="5"/>
  <c r="AD526" i="5"/>
  <c r="Z526" i="5"/>
  <c r="W526" i="5"/>
  <c r="U526" i="5"/>
  <c r="S526" i="5"/>
  <c r="N526" i="5"/>
  <c r="K526" i="5"/>
  <c r="H526" i="5"/>
  <c r="E526" i="5"/>
  <c r="AK525" i="5"/>
  <c r="AM525" i="5" s="1"/>
  <c r="AO525" i="5" s="1"/>
  <c r="AQ525" i="5" s="1"/>
  <c r="AS525" i="5" s="1"/>
  <c r="AU525" i="5" s="1"/>
  <c r="AW525" i="5" s="1"/>
  <c r="AY525" i="5" s="1"/>
  <c r="BA525" i="5" s="1"/>
  <c r="BC525" i="5" s="1"/>
  <c r="BE525" i="5" s="1"/>
  <c r="AF525" i="5"/>
  <c r="AD525" i="5"/>
  <c r="Z525" i="5"/>
  <c r="W525" i="5"/>
  <c r="U525" i="5"/>
  <c r="S525" i="5"/>
  <c r="N525" i="5"/>
  <c r="K525" i="5"/>
  <c r="H525" i="5"/>
  <c r="E525" i="5"/>
  <c r="AF524" i="5"/>
  <c r="AD524" i="5"/>
  <c r="Z524" i="5"/>
  <c r="W524" i="5"/>
  <c r="U524" i="5"/>
  <c r="S524" i="5"/>
  <c r="N524" i="5"/>
  <c r="K524" i="5"/>
  <c r="H524" i="5"/>
  <c r="E524" i="5"/>
  <c r="AF523" i="5"/>
  <c r="AD523" i="5"/>
  <c r="Z523" i="5"/>
  <c r="W523" i="5"/>
  <c r="U523" i="5"/>
  <c r="S523" i="5"/>
  <c r="N523" i="5"/>
  <c r="K523" i="5"/>
  <c r="H523" i="5"/>
  <c r="E523" i="5"/>
  <c r="AF522" i="5"/>
  <c r="AD522" i="5"/>
  <c r="Z522" i="5"/>
  <c r="W522" i="5"/>
  <c r="U522" i="5"/>
  <c r="S522" i="5"/>
  <c r="N522" i="5"/>
  <c r="K522" i="5"/>
  <c r="H522" i="5"/>
  <c r="E522" i="5"/>
  <c r="AI521" i="5"/>
  <c r="AK521" i="5" s="1"/>
  <c r="AM521" i="5" s="1"/>
  <c r="AF521" i="5"/>
  <c r="AD521" i="5"/>
  <c r="Z521" i="5"/>
  <c r="W521" i="5"/>
  <c r="U521" i="5"/>
  <c r="S521" i="5"/>
  <c r="N521" i="5"/>
  <c r="K521" i="5"/>
  <c r="H521" i="5"/>
  <c r="E521" i="5"/>
  <c r="AF520" i="5"/>
  <c r="AD520" i="5"/>
  <c r="Z520" i="5"/>
  <c r="W520" i="5"/>
  <c r="U520" i="5"/>
  <c r="S520" i="5"/>
  <c r="N520" i="5"/>
  <c r="K520" i="5"/>
  <c r="H520" i="5"/>
  <c r="E520" i="5"/>
  <c r="AF519" i="5"/>
  <c r="AD519" i="5"/>
  <c r="Z519" i="5"/>
  <c r="W519" i="5"/>
  <c r="U519" i="5"/>
  <c r="S519" i="5"/>
  <c r="N519" i="5"/>
  <c r="K519" i="5"/>
  <c r="H519" i="5"/>
  <c r="E519" i="5"/>
  <c r="AI514" i="5"/>
  <c r="AE514" i="5"/>
  <c r="AC514" i="5"/>
  <c r="Y514" i="5"/>
  <c r="V514" i="5"/>
  <c r="T514" i="5"/>
  <c r="R514" i="5"/>
  <c r="L514" i="5"/>
  <c r="J514" i="5"/>
  <c r="F514" i="5"/>
  <c r="D514" i="5"/>
  <c r="B514" i="5"/>
  <c r="AF513" i="5"/>
  <c r="AD513" i="5"/>
  <c r="Z513" i="5"/>
  <c r="W513" i="5"/>
  <c r="N513" i="5"/>
  <c r="K513" i="5"/>
  <c r="H513" i="5"/>
  <c r="E513" i="5"/>
  <c r="AF512" i="5"/>
  <c r="AD512" i="5"/>
  <c r="Z512" i="5"/>
  <c r="W512" i="5"/>
  <c r="N512" i="5"/>
  <c r="K512" i="5"/>
  <c r="H512" i="5"/>
  <c r="E512" i="5"/>
  <c r="AK511" i="5"/>
  <c r="AK514" i="5" s="1"/>
  <c r="AF511" i="5"/>
  <c r="AD511" i="5"/>
  <c r="Z511" i="5"/>
  <c r="W511" i="5"/>
  <c r="S511" i="5"/>
  <c r="S514" i="5" s="1"/>
  <c r="P511" i="5"/>
  <c r="N511" i="5"/>
  <c r="K511" i="5"/>
  <c r="H511" i="5"/>
  <c r="E511" i="5"/>
  <c r="AE509" i="5"/>
  <c r="AC509" i="5"/>
  <c r="Y509" i="5"/>
  <c r="V509" i="5"/>
  <c r="T509" i="5"/>
  <c r="R509" i="5"/>
  <c r="L509" i="5"/>
  <c r="J509" i="5"/>
  <c r="F509" i="5"/>
  <c r="D509" i="5"/>
  <c r="B509" i="5"/>
  <c r="AT508" i="5"/>
  <c r="AV508" i="5" s="1"/>
  <c r="AX508" i="5" s="1"/>
  <c r="AZ508" i="5" s="1"/>
  <c r="AN508" i="5"/>
  <c r="AP508" i="5" s="1"/>
  <c r="AI508" i="5"/>
  <c r="AK508" i="5" s="1"/>
  <c r="AM508" i="5" s="1"/>
  <c r="AO508" i="5" s="1"/>
  <c r="AQ508" i="5" s="1"/>
  <c r="AS508" i="5" s="1"/>
  <c r="AU508" i="5" s="1"/>
  <c r="AW508" i="5" s="1"/>
  <c r="AY508" i="5" s="1"/>
  <c r="BA508" i="5" s="1"/>
  <c r="BC508" i="5" s="1"/>
  <c r="BE508" i="5" s="1"/>
  <c r="AF508" i="5"/>
  <c r="AD508" i="5"/>
  <c r="Z508" i="5"/>
  <c r="W508" i="5"/>
  <c r="S508" i="5"/>
  <c r="P508" i="5"/>
  <c r="U508" i="5" s="1"/>
  <c r="N508" i="5"/>
  <c r="K508" i="5"/>
  <c r="H508" i="5"/>
  <c r="E508" i="5"/>
  <c r="AT507" i="5"/>
  <c r="AV507" i="5" s="1"/>
  <c r="AX507" i="5" s="1"/>
  <c r="AZ507" i="5" s="1"/>
  <c r="AN507" i="5"/>
  <c r="AP507" i="5" s="1"/>
  <c r="AI507" i="5"/>
  <c r="AK507" i="5" s="1"/>
  <c r="AM507" i="5" s="1"/>
  <c r="AO507" i="5" s="1"/>
  <c r="AQ507" i="5" s="1"/>
  <c r="AS507" i="5" s="1"/>
  <c r="AU507" i="5" s="1"/>
  <c r="AW507" i="5" s="1"/>
  <c r="AY507" i="5" s="1"/>
  <c r="BA507" i="5" s="1"/>
  <c r="BC507" i="5" s="1"/>
  <c r="BE507" i="5" s="1"/>
  <c r="AF507" i="5"/>
  <c r="AD507" i="5"/>
  <c r="Z507" i="5"/>
  <c r="W507" i="5"/>
  <c r="S507" i="5"/>
  <c r="P507" i="5"/>
  <c r="U507" i="5" s="1"/>
  <c r="N507" i="5"/>
  <c r="K507" i="5"/>
  <c r="H507" i="5"/>
  <c r="E507" i="5"/>
  <c r="AI506" i="5"/>
  <c r="AF506" i="5"/>
  <c r="AD506" i="5"/>
  <c r="Z506" i="5"/>
  <c r="W506" i="5"/>
  <c r="U506" i="5"/>
  <c r="S506" i="5"/>
  <c r="N506" i="5"/>
  <c r="K506" i="5"/>
  <c r="H506" i="5"/>
  <c r="E506" i="5"/>
  <c r="AT505" i="5"/>
  <c r="AV505" i="5" s="1"/>
  <c r="AX505" i="5" s="1"/>
  <c r="AZ505" i="5" s="1"/>
  <c r="AN505" i="5"/>
  <c r="AP505" i="5" s="1"/>
  <c r="AI505" i="5"/>
  <c r="AK505" i="5" s="1"/>
  <c r="AM505" i="5" s="1"/>
  <c r="AO505" i="5" s="1"/>
  <c r="AQ505" i="5" s="1"/>
  <c r="AS505" i="5" s="1"/>
  <c r="AU505" i="5" s="1"/>
  <c r="AW505" i="5" s="1"/>
  <c r="AY505" i="5" s="1"/>
  <c r="BA505" i="5" s="1"/>
  <c r="BC505" i="5" s="1"/>
  <c r="BE505" i="5" s="1"/>
  <c r="AF505" i="5"/>
  <c r="AD505" i="5"/>
  <c r="Z505" i="5"/>
  <c r="W505" i="5"/>
  <c r="S505" i="5"/>
  <c r="P505" i="5"/>
  <c r="U505" i="5" s="1"/>
  <c r="N505" i="5"/>
  <c r="K505" i="5"/>
  <c r="H505" i="5"/>
  <c r="E505" i="5"/>
  <c r="AT504" i="5"/>
  <c r="AV504" i="5" s="1"/>
  <c r="AX504" i="5" s="1"/>
  <c r="AZ504" i="5" s="1"/>
  <c r="AN504" i="5"/>
  <c r="AP504" i="5" s="1"/>
  <c r="AK504" i="5"/>
  <c r="AM504" i="5" s="1"/>
  <c r="AO504" i="5" s="1"/>
  <c r="AQ504" i="5" s="1"/>
  <c r="AS504" i="5" s="1"/>
  <c r="AU504" i="5" s="1"/>
  <c r="AW504" i="5" s="1"/>
  <c r="AY504" i="5" s="1"/>
  <c r="BA504" i="5" s="1"/>
  <c r="BC504" i="5" s="1"/>
  <c r="BE504" i="5" s="1"/>
  <c r="AF504" i="5"/>
  <c r="AD504" i="5"/>
  <c r="Z504" i="5"/>
  <c r="W504" i="5"/>
  <c r="S504" i="5"/>
  <c r="P504" i="5"/>
  <c r="U504" i="5" s="1"/>
  <c r="N504" i="5"/>
  <c r="K504" i="5"/>
  <c r="H504" i="5"/>
  <c r="E504" i="5"/>
  <c r="AT503" i="5"/>
  <c r="AV503" i="5" s="1"/>
  <c r="AX503" i="5" s="1"/>
  <c r="AZ503" i="5" s="1"/>
  <c r="AN503" i="5"/>
  <c r="AP503" i="5" s="1"/>
  <c r="AI503" i="5"/>
  <c r="AF503" i="5"/>
  <c r="AD503" i="5"/>
  <c r="Z503" i="5"/>
  <c r="W503" i="5"/>
  <c r="S503" i="5"/>
  <c r="P503" i="5"/>
  <c r="N503" i="5"/>
  <c r="K503" i="5"/>
  <c r="H503" i="5"/>
  <c r="E503" i="5"/>
  <c r="AI501" i="5"/>
  <c r="AK501" i="5" s="1"/>
  <c r="AM501" i="5" s="1"/>
  <c r="AO501" i="5" s="1"/>
  <c r="AQ501" i="5" s="1"/>
  <c r="AS501" i="5" s="1"/>
  <c r="AU501" i="5" s="1"/>
  <c r="AW501" i="5" s="1"/>
  <c r="AY501" i="5" s="1"/>
  <c r="BA501" i="5" s="1"/>
  <c r="BC501" i="5" s="1"/>
  <c r="BE501" i="5" s="1"/>
  <c r="AF501" i="5"/>
  <c r="AD501" i="5"/>
  <c r="Z501" i="5"/>
  <c r="W501" i="5"/>
  <c r="U501" i="5"/>
  <c r="S501" i="5"/>
  <c r="N501" i="5"/>
  <c r="K501" i="5"/>
  <c r="H501" i="5"/>
  <c r="E501" i="5"/>
  <c r="AE499" i="5"/>
  <c r="AC499" i="5"/>
  <c r="Y499" i="5"/>
  <c r="V499" i="5"/>
  <c r="T499" i="5"/>
  <c r="R499" i="5"/>
  <c r="L499" i="5"/>
  <c r="J499" i="5"/>
  <c r="F499" i="5"/>
  <c r="D499" i="5"/>
  <c r="AK498" i="5"/>
  <c r="AM498" i="5" s="1"/>
  <c r="AO498" i="5" s="1"/>
  <c r="AQ498" i="5" s="1"/>
  <c r="AS498" i="5" s="1"/>
  <c r="AU498" i="5" s="1"/>
  <c r="AW498" i="5" s="1"/>
  <c r="AY498" i="5" s="1"/>
  <c r="BA498" i="5" s="1"/>
  <c r="BC498" i="5" s="1"/>
  <c r="BE498" i="5" s="1"/>
  <c r="AF498" i="5"/>
  <c r="AD498" i="5"/>
  <c r="Z498" i="5"/>
  <c r="W498" i="5"/>
  <c r="U498" i="5"/>
  <c r="S498" i="5"/>
  <c r="N498" i="5"/>
  <c r="K498" i="5"/>
  <c r="E498" i="5"/>
  <c r="B498" i="5"/>
  <c r="H498" i="5" s="1"/>
  <c r="AI497" i="5"/>
  <c r="AK497" i="5" s="1"/>
  <c r="AM497" i="5" s="1"/>
  <c r="AO497" i="5" s="1"/>
  <c r="AQ497" i="5" s="1"/>
  <c r="AS497" i="5" s="1"/>
  <c r="AU497" i="5" s="1"/>
  <c r="AW497" i="5" s="1"/>
  <c r="AY497" i="5" s="1"/>
  <c r="BA497" i="5" s="1"/>
  <c r="BC497" i="5" s="1"/>
  <c r="BE497" i="5" s="1"/>
  <c r="AF497" i="5"/>
  <c r="AD497" i="5"/>
  <c r="Z497" i="5"/>
  <c r="W497" i="5"/>
  <c r="S497" i="5"/>
  <c r="P497" i="5"/>
  <c r="U497" i="5" s="1"/>
  <c r="N497" i="5"/>
  <c r="K497" i="5"/>
  <c r="H497" i="5"/>
  <c r="E497" i="5"/>
  <c r="AI496" i="5"/>
  <c r="AK496" i="5" s="1"/>
  <c r="AM496" i="5" s="1"/>
  <c r="AO496" i="5" s="1"/>
  <c r="AQ496" i="5" s="1"/>
  <c r="AS496" i="5" s="1"/>
  <c r="AU496" i="5" s="1"/>
  <c r="AW496" i="5" s="1"/>
  <c r="AY496" i="5" s="1"/>
  <c r="BA496" i="5" s="1"/>
  <c r="BC496" i="5" s="1"/>
  <c r="BE496" i="5" s="1"/>
  <c r="AF496" i="5"/>
  <c r="AD496" i="5"/>
  <c r="Z496" i="5"/>
  <c r="W496" i="5"/>
  <c r="S496" i="5"/>
  <c r="P496" i="5"/>
  <c r="U496" i="5" s="1"/>
  <c r="N496" i="5"/>
  <c r="K496" i="5"/>
  <c r="H496" i="5"/>
  <c r="E496" i="5"/>
  <c r="AK495" i="5"/>
  <c r="AM495" i="5" s="1"/>
  <c r="AO495" i="5" s="1"/>
  <c r="AQ495" i="5" s="1"/>
  <c r="AS495" i="5" s="1"/>
  <c r="AU495" i="5" s="1"/>
  <c r="AW495" i="5" s="1"/>
  <c r="AY495" i="5" s="1"/>
  <c r="BA495" i="5" s="1"/>
  <c r="BC495" i="5" s="1"/>
  <c r="BE495" i="5" s="1"/>
  <c r="AF495" i="5"/>
  <c r="AD495" i="5"/>
  <c r="Z495" i="5"/>
  <c r="W495" i="5"/>
  <c r="S495" i="5"/>
  <c r="P495" i="5"/>
  <c r="U495" i="5" s="1"/>
  <c r="N495" i="5"/>
  <c r="K495" i="5"/>
  <c r="H495" i="5"/>
  <c r="E495" i="5"/>
  <c r="AF494" i="5"/>
  <c r="AD494" i="5"/>
  <c r="Z494" i="5"/>
  <c r="W494" i="5"/>
  <c r="S494" i="5"/>
  <c r="P494" i="5"/>
  <c r="U494" i="5" s="1"/>
  <c r="N494" i="5"/>
  <c r="K494" i="5"/>
  <c r="H494" i="5"/>
  <c r="E494" i="5"/>
  <c r="AT493" i="5"/>
  <c r="AV493" i="5" s="1"/>
  <c r="AX493" i="5" s="1"/>
  <c r="AZ493" i="5" s="1"/>
  <c r="AN493" i="5"/>
  <c r="AP493" i="5" s="1"/>
  <c r="AI493" i="5"/>
  <c r="AK493" i="5" s="1"/>
  <c r="AM493" i="5" s="1"/>
  <c r="AO493" i="5" s="1"/>
  <c r="AQ493" i="5" s="1"/>
  <c r="AS493" i="5" s="1"/>
  <c r="AU493" i="5" s="1"/>
  <c r="AW493" i="5" s="1"/>
  <c r="AY493" i="5" s="1"/>
  <c r="BA493" i="5" s="1"/>
  <c r="BC493" i="5" s="1"/>
  <c r="BE493" i="5" s="1"/>
  <c r="AK492" i="5"/>
  <c r="AF492" i="5"/>
  <c r="AD492" i="5"/>
  <c r="Z492" i="5"/>
  <c r="W492" i="5"/>
  <c r="S492" i="5"/>
  <c r="P492" i="5"/>
  <c r="N492" i="5"/>
  <c r="K492" i="5"/>
  <c r="H492" i="5"/>
  <c r="E492" i="5"/>
  <c r="AI487" i="5"/>
  <c r="AE487" i="5"/>
  <c r="AC487" i="5"/>
  <c r="Y487" i="5"/>
  <c r="V487" i="5"/>
  <c r="T487" i="5"/>
  <c r="R487" i="5"/>
  <c r="L487" i="5"/>
  <c r="J487" i="5"/>
  <c r="F487" i="5"/>
  <c r="D487" i="5"/>
  <c r="B487" i="5"/>
  <c r="AZ485" i="5"/>
  <c r="AT485" i="5"/>
  <c r="AV485" i="5" s="1"/>
  <c r="AN485" i="5"/>
  <c r="AP485" i="5" s="1"/>
  <c r="AK485" i="5"/>
  <c r="AK487" i="5" s="1"/>
  <c r="AF485" i="5"/>
  <c r="AD485" i="5"/>
  <c r="Z485" i="5"/>
  <c r="Z487" i="5" s="1"/>
  <c r="W485" i="5"/>
  <c r="W487" i="5" s="1"/>
  <c r="S485" i="5"/>
  <c r="S487" i="5" s="1"/>
  <c r="P485" i="5"/>
  <c r="N485" i="5"/>
  <c r="N487" i="5" s="1"/>
  <c r="K485" i="5"/>
  <c r="K487" i="5" s="1"/>
  <c r="H485" i="5"/>
  <c r="H487" i="5" s="1"/>
  <c r="E485" i="5"/>
  <c r="E487" i="5" s="1"/>
  <c r="AE483" i="5"/>
  <c r="AC483" i="5"/>
  <c r="Y483" i="5"/>
  <c r="V483" i="5"/>
  <c r="T483" i="5"/>
  <c r="R483" i="5"/>
  <c r="L483" i="5"/>
  <c r="J483" i="5"/>
  <c r="F483" i="5"/>
  <c r="D483" i="5"/>
  <c r="AZ482" i="5"/>
  <c r="AT482" i="5"/>
  <c r="AV482" i="5" s="1"/>
  <c r="AN482" i="5"/>
  <c r="AP482" i="5" s="1"/>
  <c r="AI482" i="5"/>
  <c r="AK482" i="5" s="1"/>
  <c r="AM482" i="5" s="1"/>
  <c r="AO482" i="5" s="1"/>
  <c r="AQ482" i="5" s="1"/>
  <c r="AS482" i="5" s="1"/>
  <c r="AU482" i="5" s="1"/>
  <c r="AW482" i="5" s="1"/>
  <c r="AY482" i="5" s="1"/>
  <c r="BA482" i="5" s="1"/>
  <c r="BC482" i="5" s="1"/>
  <c r="BE482" i="5" s="1"/>
  <c r="AF482" i="5"/>
  <c r="AD482" i="5"/>
  <c r="Z482" i="5"/>
  <c r="W482" i="5"/>
  <c r="U482" i="5"/>
  <c r="S482" i="5"/>
  <c r="N482" i="5"/>
  <c r="K482" i="5"/>
  <c r="E482" i="5"/>
  <c r="B482" i="5"/>
  <c r="B483" i="5" s="1"/>
  <c r="AZ481" i="5"/>
  <c r="AT481" i="5"/>
  <c r="AV481" i="5" s="1"/>
  <c r="AN481" i="5"/>
  <c r="AP481" i="5" s="1"/>
  <c r="AI481" i="5"/>
  <c r="AK481" i="5" s="1"/>
  <c r="AM481" i="5" s="1"/>
  <c r="AO481" i="5" s="1"/>
  <c r="AQ481" i="5" s="1"/>
  <c r="AS481" i="5" s="1"/>
  <c r="AU481" i="5" s="1"/>
  <c r="AW481" i="5" s="1"/>
  <c r="AY481" i="5" s="1"/>
  <c r="BA481" i="5" s="1"/>
  <c r="BC481" i="5" s="1"/>
  <c r="BE481" i="5" s="1"/>
  <c r="AF481" i="5"/>
  <c r="AD481" i="5"/>
  <c r="Z481" i="5"/>
  <c r="W481" i="5"/>
  <c r="U481" i="5"/>
  <c r="S481" i="5"/>
  <c r="N481" i="5"/>
  <c r="K481" i="5"/>
  <c r="H481" i="5"/>
  <c r="E481" i="5"/>
  <c r="AZ480" i="5"/>
  <c r="AT480" i="5"/>
  <c r="AV480" i="5" s="1"/>
  <c r="AN480" i="5"/>
  <c r="AP480" i="5" s="1"/>
  <c r="AI480" i="5"/>
  <c r="AK480" i="5" s="1"/>
  <c r="AF480" i="5"/>
  <c r="AD480" i="5"/>
  <c r="Z480" i="5"/>
  <c r="W480" i="5"/>
  <c r="S480" i="5"/>
  <c r="P480" i="5"/>
  <c r="U480" i="5" s="1"/>
  <c r="N480" i="5"/>
  <c r="K480" i="5"/>
  <c r="H480" i="5"/>
  <c r="E480" i="5"/>
  <c r="AF479" i="5"/>
  <c r="AD479" i="5"/>
  <c r="Z479" i="5"/>
  <c r="W479" i="5"/>
  <c r="U479" i="5"/>
  <c r="S479" i="5"/>
  <c r="N479" i="5"/>
  <c r="K479" i="5"/>
  <c r="H479" i="5"/>
  <c r="E479" i="5"/>
  <c r="AE477" i="5"/>
  <c r="AC477" i="5"/>
  <c r="Y477" i="5"/>
  <c r="V477" i="5"/>
  <c r="T477" i="5"/>
  <c r="R477" i="5"/>
  <c r="L477" i="5"/>
  <c r="J477" i="5"/>
  <c r="F477" i="5"/>
  <c r="D477" i="5"/>
  <c r="B477" i="5"/>
  <c r="AZ476" i="5"/>
  <c r="AT476" i="5"/>
  <c r="AV476" i="5" s="1"/>
  <c r="AN476" i="5"/>
  <c r="AP476" i="5" s="1"/>
  <c r="AF476" i="5"/>
  <c r="AD476" i="5"/>
  <c r="Z476" i="5"/>
  <c r="W476" i="5"/>
  <c r="S476" i="5"/>
  <c r="P476" i="5"/>
  <c r="AI476" i="5" s="1"/>
  <c r="AK476" i="5" s="1"/>
  <c r="AM476" i="5" s="1"/>
  <c r="AO476" i="5" s="1"/>
  <c r="AQ476" i="5" s="1"/>
  <c r="AS476" i="5" s="1"/>
  <c r="AU476" i="5" s="1"/>
  <c r="AW476" i="5" s="1"/>
  <c r="AY476" i="5" s="1"/>
  <c r="BA476" i="5" s="1"/>
  <c r="BC476" i="5" s="1"/>
  <c r="BE476" i="5" s="1"/>
  <c r="N476" i="5"/>
  <c r="K476" i="5"/>
  <c r="H476" i="5"/>
  <c r="E476" i="5"/>
  <c r="AZ475" i="5"/>
  <c r="AT475" i="5"/>
  <c r="AV475" i="5" s="1"/>
  <c r="AN475" i="5"/>
  <c r="AP475" i="5" s="1"/>
  <c r="AI475" i="5"/>
  <c r="AK475" i="5" s="1"/>
  <c r="AM475" i="5" s="1"/>
  <c r="AO475" i="5" s="1"/>
  <c r="AQ475" i="5" s="1"/>
  <c r="AS475" i="5" s="1"/>
  <c r="AU475" i="5" s="1"/>
  <c r="AW475" i="5" s="1"/>
  <c r="AY475" i="5" s="1"/>
  <c r="BA475" i="5" s="1"/>
  <c r="BC475" i="5" s="1"/>
  <c r="BE475" i="5" s="1"/>
  <c r="AZ474" i="5"/>
  <c r="AT474" i="5"/>
  <c r="AV474" i="5" s="1"/>
  <c r="AN474" i="5"/>
  <c r="AP474" i="5" s="1"/>
  <c r="AK474" i="5"/>
  <c r="AM474" i="5" s="1"/>
  <c r="AO474" i="5" s="1"/>
  <c r="AQ474" i="5" s="1"/>
  <c r="AS474" i="5" s="1"/>
  <c r="AU474" i="5" s="1"/>
  <c r="AW474" i="5" s="1"/>
  <c r="AY474" i="5" s="1"/>
  <c r="BA474" i="5" s="1"/>
  <c r="BC474" i="5" s="1"/>
  <c r="BE474" i="5" s="1"/>
  <c r="AF474" i="5"/>
  <c r="AD474" i="5"/>
  <c r="Z474" i="5"/>
  <c r="W474" i="5"/>
  <c r="U474" i="5"/>
  <c r="S474" i="5"/>
  <c r="N474" i="5"/>
  <c r="K474" i="5"/>
  <c r="H474" i="5"/>
  <c r="E474" i="5"/>
  <c r="AZ473" i="5"/>
  <c r="AT473" i="5"/>
  <c r="AV473" i="5" s="1"/>
  <c r="AN473" i="5"/>
  <c r="AP473" i="5" s="1"/>
  <c r="AI473" i="5"/>
  <c r="AK473" i="5" s="1"/>
  <c r="AM473" i="5" s="1"/>
  <c r="AO473" i="5" s="1"/>
  <c r="AQ473" i="5" s="1"/>
  <c r="AS473" i="5" s="1"/>
  <c r="AU473" i="5" s="1"/>
  <c r="AW473" i="5" s="1"/>
  <c r="AY473" i="5" s="1"/>
  <c r="BA473" i="5" s="1"/>
  <c r="BC473" i="5" s="1"/>
  <c r="BE473" i="5" s="1"/>
  <c r="AF473" i="5"/>
  <c r="AD473" i="5"/>
  <c r="Z473" i="5"/>
  <c r="W473" i="5"/>
  <c r="S473" i="5"/>
  <c r="P473" i="5"/>
  <c r="U473" i="5" s="1"/>
  <c r="N473" i="5"/>
  <c r="K473" i="5"/>
  <c r="H473" i="5"/>
  <c r="E473" i="5"/>
  <c r="AZ472" i="5"/>
  <c r="AT472" i="5"/>
  <c r="AV472" i="5" s="1"/>
  <c r="AN472" i="5"/>
  <c r="AP472" i="5" s="1"/>
  <c r="AI472" i="5"/>
  <c r="AK472" i="5" s="1"/>
  <c r="AM472" i="5" s="1"/>
  <c r="AF472" i="5"/>
  <c r="AD472" i="5"/>
  <c r="Z472" i="5"/>
  <c r="W472" i="5"/>
  <c r="S472" i="5"/>
  <c r="P472" i="5"/>
  <c r="U472" i="5" s="1"/>
  <c r="N472" i="5"/>
  <c r="K472" i="5"/>
  <c r="H472" i="5"/>
  <c r="E472" i="5"/>
  <c r="AZ471" i="5"/>
  <c r="AT471" i="5"/>
  <c r="AV471" i="5" s="1"/>
  <c r="AN471" i="5"/>
  <c r="AP471" i="5" s="1"/>
  <c r="AK471" i="5"/>
  <c r="AM471" i="5" s="1"/>
  <c r="AO471" i="5" s="1"/>
  <c r="AQ471" i="5" s="1"/>
  <c r="AF471" i="5"/>
  <c r="AD471" i="5"/>
  <c r="Z471" i="5"/>
  <c r="W471" i="5"/>
  <c r="S471" i="5"/>
  <c r="P471" i="5"/>
  <c r="U471" i="5" s="1"/>
  <c r="N471" i="5"/>
  <c r="K471" i="5"/>
  <c r="H471" i="5"/>
  <c r="E471" i="5"/>
  <c r="AE468" i="5"/>
  <c r="AC468" i="5"/>
  <c r="Y468" i="5"/>
  <c r="V468" i="5"/>
  <c r="T468" i="5"/>
  <c r="R468" i="5"/>
  <c r="P468" i="5"/>
  <c r="L468" i="5"/>
  <c r="J468" i="5"/>
  <c r="F468" i="5"/>
  <c r="D468" i="5"/>
  <c r="B468" i="5"/>
  <c r="AF467" i="5"/>
  <c r="AD467" i="5"/>
  <c r="Z467" i="5"/>
  <c r="W467" i="5"/>
  <c r="U467" i="5"/>
  <c r="S467" i="5"/>
  <c r="N467" i="5"/>
  <c r="K467" i="5"/>
  <c r="H467" i="5"/>
  <c r="E467" i="5"/>
  <c r="AF466" i="5"/>
  <c r="AD466" i="5"/>
  <c r="Z466" i="5"/>
  <c r="W466" i="5"/>
  <c r="U466" i="5"/>
  <c r="S466" i="5"/>
  <c r="N466" i="5"/>
  <c r="K466" i="5"/>
  <c r="H466" i="5"/>
  <c r="E466" i="5"/>
  <c r="AF465" i="5"/>
  <c r="AD465" i="5"/>
  <c r="Z465" i="5"/>
  <c r="W465" i="5"/>
  <c r="U465" i="5"/>
  <c r="S465" i="5"/>
  <c r="N465" i="5"/>
  <c r="K465" i="5"/>
  <c r="H465" i="5"/>
  <c r="E465" i="5"/>
  <c r="AZ464" i="5"/>
  <c r="AT464" i="5"/>
  <c r="AV464" i="5" s="1"/>
  <c r="AN464" i="5"/>
  <c r="AP464" i="5" s="1"/>
  <c r="AK464" i="5"/>
  <c r="AM464" i="5" s="1"/>
  <c r="AO464" i="5" s="1"/>
  <c r="AQ464" i="5" s="1"/>
  <c r="AS464" i="5" s="1"/>
  <c r="AU464" i="5" s="1"/>
  <c r="AW464" i="5" s="1"/>
  <c r="AY464" i="5" s="1"/>
  <c r="BA464" i="5" s="1"/>
  <c r="BC464" i="5" s="1"/>
  <c r="BE464" i="5" s="1"/>
  <c r="AF464" i="5"/>
  <c r="AD464" i="5"/>
  <c r="Z464" i="5"/>
  <c r="W464" i="5"/>
  <c r="U464" i="5"/>
  <c r="S464" i="5"/>
  <c r="N464" i="5"/>
  <c r="K464" i="5"/>
  <c r="H464" i="5"/>
  <c r="E464" i="5"/>
  <c r="AZ463" i="5"/>
  <c r="AT463" i="5"/>
  <c r="AV463" i="5" s="1"/>
  <c r="AN463" i="5"/>
  <c r="AP463" i="5" s="1"/>
  <c r="AK463" i="5"/>
  <c r="AM463" i="5" s="1"/>
  <c r="AO463" i="5" s="1"/>
  <c r="AQ463" i="5" s="1"/>
  <c r="AS463" i="5" s="1"/>
  <c r="AU463" i="5" s="1"/>
  <c r="AW463" i="5" s="1"/>
  <c r="AY463" i="5" s="1"/>
  <c r="BA463" i="5" s="1"/>
  <c r="BC463" i="5" s="1"/>
  <c r="BE463" i="5" s="1"/>
  <c r="AF463" i="5"/>
  <c r="AD463" i="5"/>
  <c r="Z463" i="5"/>
  <c r="W463" i="5"/>
  <c r="U463" i="5"/>
  <c r="S463" i="5"/>
  <c r="AZ462" i="5"/>
  <c r="AT462" i="5"/>
  <c r="AV462" i="5" s="1"/>
  <c r="AN462" i="5"/>
  <c r="AP462" i="5" s="1"/>
  <c r="AI462" i="5"/>
  <c r="AK462" i="5" s="1"/>
  <c r="AM462" i="5" s="1"/>
  <c r="AO462" i="5" s="1"/>
  <c r="AQ462" i="5" s="1"/>
  <c r="AS462" i="5" s="1"/>
  <c r="AU462" i="5" s="1"/>
  <c r="AW462" i="5" s="1"/>
  <c r="AY462" i="5" s="1"/>
  <c r="BA462" i="5" s="1"/>
  <c r="BC462" i="5" s="1"/>
  <c r="BE462" i="5" s="1"/>
  <c r="AF462" i="5"/>
  <c r="AD462" i="5"/>
  <c r="Z462" i="5"/>
  <c r="W462" i="5"/>
  <c r="U462" i="5"/>
  <c r="S462" i="5"/>
  <c r="N462" i="5"/>
  <c r="K462" i="5"/>
  <c r="H462" i="5"/>
  <c r="E462" i="5"/>
  <c r="AZ461" i="5"/>
  <c r="AT461" i="5"/>
  <c r="AV461" i="5" s="1"/>
  <c r="AN461" i="5"/>
  <c r="AP461" i="5" s="1"/>
  <c r="AI461" i="5"/>
  <c r="AK461" i="5" s="1"/>
  <c r="AM461" i="5" s="1"/>
  <c r="AO461" i="5" s="1"/>
  <c r="AQ461" i="5" s="1"/>
  <c r="AS461" i="5" s="1"/>
  <c r="AU461" i="5" s="1"/>
  <c r="AW461" i="5" s="1"/>
  <c r="AY461" i="5" s="1"/>
  <c r="BA461" i="5" s="1"/>
  <c r="BC461" i="5" s="1"/>
  <c r="BE461" i="5" s="1"/>
  <c r="AF461" i="5"/>
  <c r="AD461" i="5"/>
  <c r="Z461" i="5"/>
  <c r="W461" i="5"/>
  <c r="U461" i="5"/>
  <c r="S461" i="5"/>
  <c r="N461" i="5"/>
  <c r="K461" i="5"/>
  <c r="H461" i="5"/>
  <c r="E461" i="5"/>
  <c r="AZ460" i="5"/>
  <c r="AT460" i="5"/>
  <c r="AV460" i="5" s="1"/>
  <c r="AN460" i="5"/>
  <c r="AP460" i="5" s="1"/>
  <c r="AI460" i="5"/>
  <c r="AF460" i="5"/>
  <c r="AD460" i="5"/>
  <c r="Z460" i="5"/>
  <c r="W460" i="5"/>
  <c r="U460" i="5"/>
  <c r="S460" i="5"/>
  <c r="N460" i="5"/>
  <c r="K460" i="5"/>
  <c r="H460" i="5"/>
  <c r="E460" i="5"/>
  <c r="AZ459" i="5"/>
  <c r="AT459" i="5"/>
  <c r="AV459" i="5" s="1"/>
  <c r="AN459" i="5"/>
  <c r="AP459" i="5" s="1"/>
  <c r="AK459" i="5"/>
  <c r="AM459" i="5" s="1"/>
  <c r="AF459" i="5"/>
  <c r="AD459" i="5"/>
  <c r="Z459" i="5"/>
  <c r="W459" i="5"/>
  <c r="U459" i="5"/>
  <c r="S459" i="5"/>
  <c r="N459" i="5"/>
  <c r="K459" i="5"/>
  <c r="H459" i="5"/>
  <c r="E459" i="5"/>
  <c r="AE454" i="5"/>
  <c r="Y454" i="5"/>
  <c r="V454" i="5"/>
  <c r="T454" i="5"/>
  <c r="R454" i="5"/>
  <c r="L454" i="5"/>
  <c r="J454" i="5"/>
  <c r="F454" i="5"/>
  <c r="B454" i="5"/>
  <c r="AZ453" i="5"/>
  <c r="AT453" i="5"/>
  <c r="AV453" i="5" s="1"/>
  <c r="AL453" i="5"/>
  <c r="AN453" i="5" s="1"/>
  <c r="AP453" i="5" s="1"/>
  <c r="AI453" i="5"/>
  <c r="AK453" i="5" s="1"/>
  <c r="AM453" i="5" s="1"/>
  <c r="AO453" i="5" s="1"/>
  <c r="AQ453" i="5" s="1"/>
  <c r="AS453" i="5" s="1"/>
  <c r="AU453" i="5" s="1"/>
  <c r="AW453" i="5" s="1"/>
  <c r="AY453" i="5" s="1"/>
  <c r="BA453" i="5" s="1"/>
  <c r="BC453" i="5" s="1"/>
  <c r="BE453" i="5" s="1"/>
  <c r="AF453" i="5"/>
  <c r="AD453" i="5"/>
  <c r="Z453" i="5"/>
  <c r="W453" i="5"/>
  <c r="S453" i="5"/>
  <c r="P453" i="5"/>
  <c r="U453" i="5" s="1"/>
  <c r="N453" i="5"/>
  <c r="K453" i="5"/>
  <c r="H453" i="5"/>
  <c r="E453" i="5"/>
  <c r="AZ452" i="5"/>
  <c r="AT452" i="5"/>
  <c r="AV452" i="5" s="1"/>
  <c r="AN452" i="5"/>
  <c r="AP452" i="5" s="1"/>
  <c r="AI452" i="5"/>
  <c r="AK452" i="5" s="1"/>
  <c r="AM452" i="5" s="1"/>
  <c r="AO452" i="5" s="1"/>
  <c r="AQ452" i="5" s="1"/>
  <c r="AS452" i="5" s="1"/>
  <c r="AU452" i="5" s="1"/>
  <c r="AW452" i="5" s="1"/>
  <c r="AY452" i="5" s="1"/>
  <c r="BA452" i="5" s="1"/>
  <c r="BC452" i="5" s="1"/>
  <c r="BE452" i="5" s="1"/>
  <c r="AF452" i="5"/>
  <c r="AD452" i="5"/>
  <c r="Z452" i="5"/>
  <c r="W452" i="5"/>
  <c r="S452" i="5"/>
  <c r="P452" i="5"/>
  <c r="U452" i="5" s="1"/>
  <c r="N452" i="5"/>
  <c r="K452" i="5"/>
  <c r="H452" i="5"/>
  <c r="E452" i="5"/>
  <c r="AF451" i="5"/>
  <c r="AD451" i="5"/>
  <c r="Z451" i="5"/>
  <c r="W451" i="5"/>
  <c r="U451" i="5"/>
  <c r="S451" i="5"/>
  <c r="N451" i="5"/>
  <c r="K451" i="5"/>
  <c r="H451" i="5"/>
  <c r="E451" i="5"/>
  <c r="AT450" i="5"/>
  <c r="AV450" i="5" s="1"/>
  <c r="AN450" i="5"/>
  <c r="AI450" i="5"/>
  <c r="AK450" i="5" s="1"/>
  <c r="AM450" i="5" s="1"/>
  <c r="AO450" i="5" s="1"/>
  <c r="AQ450" i="5" s="1"/>
  <c r="AS450" i="5" s="1"/>
  <c r="AU450" i="5" s="1"/>
  <c r="AW450" i="5" s="1"/>
  <c r="AY450" i="5" s="1"/>
  <c r="BA450" i="5" s="1"/>
  <c r="BC450" i="5" s="1"/>
  <c r="BE450" i="5" s="1"/>
  <c r="AF450" i="5"/>
  <c r="AD450" i="5"/>
  <c r="Z450" i="5"/>
  <c r="W450" i="5"/>
  <c r="S450" i="5"/>
  <c r="P450" i="5"/>
  <c r="U450" i="5" s="1"/>
  <c r="N450" i="5"/>
  <c r="K450" i="5"/>
  <c r="H450" i="5"/>
  <c r="E450" i="5"/>
  <c r="AF449" i="5"/>
  <c r="AD449" i="5"/>
  <c r="Z449" i="5"/>
  <c r="W449" i="5"/>
  <c r="U449" i="5"/>
  <c r="S449" i="5"/>
  <c r="N449" i="5"/>
  <c r="K449" i="5"/>
  <c r="H449" i="5"/>
  <c r="E449" i="5"/>
  <c r="AZ448" i="5"/>
  <c r="AT448" i="5"/>
  <c r="AV448" i="5" s="1"/>
  <c r="AN448" i="5"/>
  <c r="AP448" i="5" s="1"/>
  <c r="AI448" i="5"/>
  <c r="AK448" i="5" s="1"/>
  <c r="AM448" i="5" s="1"/>
  <c r="AO448" i="5" s="1"/>
  <c r="AQ448" i="5" s="1"/>
  <c r="AS448" i="5" s="1"/>
  <c r="AU448" i="5" s="1"/>
  <c r="AW448" i="5" s="1"/>
  <c r="AY448" i="5" s="1"/>
  <c r="BA448" i="5" s="1"/>
  <c r="BC448" i="5" s="1"/>
  <c r="BE448" i="5" s="1"/>
  <c r="AF448" i="5"/>
  <c r="AD448" i="5"/>
  <c r="Z448" i="5"/>
  <c r="W448" i="5"/>
  <c r="S448" i="5"/>
  <c r="P448" i="5"/>
  <c r="U448" i="5" s="1"/>
  <c r="N448" i="5"/>
  <c r="K448" i="5"/>
  <c r="H448" i="5"/>
  <c r="E448" i="5"/>
  <c r="AF447" i="5"/>
  <c r="AD447" i="5"/>
  <c r="Z447" i="5"/>
  <c r="W447" i="5"/>
  <c r="U447" i="5"/>
  <c r="S447" i="5"/>
  <c r="N447" i="5"/>
  <c r="K447" i="5"/>
  <c r="H447" i="5"/>
  <c r="E447" i="5"/>
  <c r="AF446" i="5"/>
  <c r="AD446" i="5"/>
  <c r="Z446" i="5"/>
  <c r="W446" i="5"/>
  <c r="U446" i="5"/>
  <c r="S446" i="5"/>
  <c r="N446" i="5"/>
  <c r="K446" i="5"/>
  <c r="H446" i="5"/>
  <c r="E446" i="5"/>
  <c r="AZ445" i="5"/>
  <c r="AT445" i="5"/>
  <c r="AV445" i="5" s="1"/>
  <c r="AN445" i="5"/>
  <c r="AP445" i="5" s="1"/>
  <c r="AI445" i="5"/>
  <c r="AK445" i="5" s="1"/>
  <c r="AM445" i="5" s="1"/>
  <c r="AO445" i="5" s="1"/>
  <c r="AQ445" i="5" s="1"/>
  <c r="AS445" i="5" s="1"/>
  <c r="AU445" i="5" s="1"/>
  <c r="AW445" i="5" s="1"/>
  <c r="AY445" i="5" s="1"/>
  <c r="BA445" i="5" s="1"/>
  <c r="BC445" i="5" s="1"/>
  <c r="BE445" i="5" s="1"/>
  <c r="AF445" i="5"/>
  <c r="AD445" i="5"/>
  <c r="Z445" i="5"/>
  <c r="W445" i="5"/>
  <c r="S445" i="5"/>
  <c r="P445" i="5"/>
  <c r="U445" i="5" s="1"/>
  <c r="N445" i="5"/>
  <c r="K445" i="5"/>
  <c r="H445" i="5"/>
  <c r="E445" i="5"/>
  <c r="AM444" i="5"/>
  <c r="AO444" i="5" s="1"/>
  <c r="AQ444" i="5" s="1"/>
  <c r="AS444" i="5" s="1"/>
  <c r="AU444" i="5" s="1"/>
  <c r="AW444" i="5" s="1"/>
  <c r="AY444" i="5" s="1"/>
  <c r="BA444" i="5" s="1"/>
  <c r="BC444" i="5" s="1"/>
  <c r="BE444" i="5" s="1"/>
  <c r="AF444" i="5"/>
  <c r="AD444" i="5"/>
  <c r="Z444" i="5"/>
  <c r="W444" i="5"/>
  <c r="U444" i="5"/>
  <c r="S444" i="5"/>
  <c r="N444" i="5"/>
  <c r="K444" i="5"/>
  <c r="H444" i="5"/>
  <c r="E444" i="5"/>
  <c r="AF443" i="5"/>
  <c r="AD443" i="5"/>
  <c r="Z443" i="5"/>
  <c r="W443" i="5"/>
  <c r="U443" i="5"/>
  <c r="S443" i="5"/>
  <c r="AF442" i="5"/>
  <c r="AD442" i="5"/>
  <c r="Z442" i="5"/>
  <c r="W442" i="5"/>
  <c r="U442" i="5"/>
  <c r="S442" i="5"/>
  <c r="N442" i="5"/>
  <c r="K442" i="5"/>
  <c r="H442" i="5"/>
  <c r="E442" i="5"/>
  <c r="AI441" i="5"/>
  <c r="AK441" i="5" s="1"/>
  <c r="AM441" i="5" s="1"/>
  <c r="AO441" i="5" s="1"/>
  <c r="AQ441" i="5" s="1"/>
  <c r="AS441" i="5" s="1"/>
  <c r="AU441" i="5" s="1"/>
  <c r="AW441" i="5" s="1"/>
  <c r="AY441" i="5" s="1"/>
  <c r="BA441" i="5" s="1"/>
  <c r="BC441" i="5" s="1"/>
  <c r="BE441" i="5" s="1"/>
  <c r="AF441" i="5"/>
  <c r="AD441" i="5"/>
  <c r="Z441" i="5"/>
  <c r="W441" i="5"/>
  <c r="S441" i="5"/>
  <c r="P441" i="5"/>
  <c r="U441" i="5" s="1"/>
  <c r="N441" i="5"/>
  <c r="K441" i="5"/>
  <c r="H441" i="5"/>
  <c r="E441" i="5"/>
  <c r="AI440" i="5"/>
  <c r="AK440" i="5" s="1"/>
  <c r="AM440" i="5" s="1"/>
  <c r="AO440" i="5" s="1"/>
  <c r="AQ440" i="5" s="1"/>
  <c r="AS440" i="5" s="1"/>
  <c r="AU440" i="5" s="1"/>
  <c r="AW440" i="5" s="1"/>
  <c r="AY440" i="5" s="1"/>
  <c r="BA440" i="5" s="1"/>
  <c r="BC440" i="5" s="1"/>
  <c r="BE440" i="5" s="1"/>
  <c r="AF440" i="5"/>
  <c r="AD440" i="5"/>
  <c r="Z440" i="5"/>
  <c r="W440" i="5"/>
  <c r="S440" i="5"/>
  <c r="P440" i="5"/>
  <c r="U440" i="5" s="1"/>
  <c r="N440" i="5"/>
  <c r="K440" i="5"/>
  <c r="H440" i="5"/>
  <c r="E440" i="5"/>
  <c r="AI439" i="5"/>
  <c r="AK439" i="5" s="1"/>
  <c r="AM439" i="5" s="1"/>
  <c r="AO439" i="5" s="1"/>
  <c r="AQ439" i="5" s="1"/>
  <c r="AS439" i="5" s="1"/>
  <c r="AU439" i="5" s="1"/>
  <c r="AW439" i="5" s="1"/>
  <c r="AY439" i="5" s="1"/>
  <c r="BA439" i="5" s="1"/>
  <c r="BC439" i="5" s="1"/>
  <c r="BE439" i="5" s="1"/>
  <c r="AF439" i="5"/>
  <c r="AD439" i="5"/>
  <c r="Z439" i="5"/>
  <c r="W439" i="5"/>
  <c r="S439" i="5"/>
  <c r="P439" i="5"/>
  <c r="U439" i="5" s="1"/>
  <c r="N439" i="5"/>
  <c r="K439" i="5"/>
  <c r="H439" i="5"/>
  <c r="E439" i="5"/>
  <c r="AK438" i="5"/>
  <c r="AM438" i="5" s="1"/>
  <c r="AO438" i="5" s="1"/>
  <c r="AQ438" i="5" s="1"/>
  <c r="AS438" i="5" s="1"/>
  <c r="AU438" i="5" s="1"/>
  <c r="AW438" i="5" s="1"/>
  <c r="AY438" i="5" s="1"/>
  <c r="BA438" i="5" s="1"/>
  <c r="BC438" i="5" s="1"/>
  <c r="BE438" i="5" s="1"/>
  <c r="AF438" i="5"/>
  <c r="AD438" i="5"/>
  <c r="Z438" i="5"/>
  <c r="W438" i="5"/>
  <c r="S438" i="5"/>
  <c r="P438" i="5"/>
  <c r="U438" i="5" s="1"/>
  <c r="N438" i="5"/>
  <c r="K438" i="5"/>
  <c r="H438" i="5"/>
  <c r="E438" i="5"/>
  <c r="AK437" i="5"/>
  <c r="AM437" i="5" s="1"/>
  <c r="AO437" i="5" s="1"/>
  <c r="AQ437" i="5" s="1"/>
  <c r="AS437" i="5" s="1"/>
  <c r="AU437" i="5" s="1"/>
  <c r="AW437" i="5" s="1"/>
  <c r="AY437" i="5" s="1"/>
  <c r="BA437" i="5" s="1"/>
  <c r="BC437" i="5" s="1"/>
  <c r="BE437" i="5" s="1"/>
  <c r="AF437" i="5"/>
  <c r="AD437" i="5"/>
  <c r="Z437" i="5"/>
  <c r="W437" i="5"/>
  <c r="S437" i="5"/>
  <c r="P437" i="5"/>
  <c r="U437" i="5" s="1"/>
  <c r="N437" i="5"/>
  <c r="K437" i="5"/>
  <c r="H437" i="5"/>
  <c r="E437" i="5"/>
  <c r="AK436" i="5"/>
  <c r="AM436" i="5" s="1"/>
  <c r="AO436" i="5" s="1"/>
  <c r="AQ436" i="5" s="1"/>
  <c r="AS436" i="5" s="1"/>
  <c r="AU436" i="5" s="1"/>
  <c r="AW436" i="5" s="1"/>
  <c r="AY436" i="5" s="1"/>
  <c r="BA436" i="5" s="1"/>
  <c r="BC436" i="5" s="1"/>
  <c r="BE436" i="5" s="1"/>
  <c r="AF436" i="5"/>
  <c r="AC436" i="5"/>
  <c r="AD436" i="5" s="1"/>
  <c r="Z436" i="5"/>
  <c r="W436" i="5"/>
  <c r="U436" i="5"/>
  <c r="S436" i="5"/>
  <c r="N436" i="5"/>
  <c r="K436" i="5"/>
  <c r="H436" i="5"/>
  <c r="E436" i="5"/>
  <c r="AI435" i="5"/>
  <c r="AK435" i="5" s="1"/>
  <c r="AM435" i="5" s="1"/>
  <c r="AO435" i="5" s="1"/>
  <c r="AQ435" i="5" s="1"/>
  <c r="AS435" i="5" s="1"/>
  <c r="AU435" i="5" s="1"/>
  <c r="AW435" i="5" s="1"/>
  <c r="AY435" i="5" s="1"/>
  <c r="BA435" i="5" s="1"/>
  <c r="BC435" i="5" s="1"/>
  <c r="BE435" i="5" s="1"/>
  <c r="AF435" i="5"/>
  <c r="AD435" i="5"/>
  <c r="Z435" i="5"/>
  <c r="W435" i="5"/>
  <c r="U435" i="5"/>
  <c r="S435" i="5"/>
  <c r="N435" i="5"/>
  <c r="K435" i="5"/>
  <c r="H435" i="5"/>
  <c r="E435" i="5"/>
  <c r="AK434" i="5"/>
  <c r="AM434" i="5" s="1"/>
  <c r="AO434" i="5" s="1"/>
  <c r="AQ434" i="5" s="1"/>
  <c r="AS434" i="5" s="1"/>
  <c r="AU434" i="5" s="1"/>
  <c r="AW434" i="5" s="1"/>
  <c r="AY434" i="5" s="1"/>
  <c r="BA434" i="5" s="1"/>
  <c r="BC434" i="5" s="1"/>
  <c r="BE434" i="5" s="1"/>
  <c r="AF434" i="5"/>
  <c r="AD434" i="5"/>
  <c r="Z434" i="5"/>
  <c r="W434" i="5"/>
  <c r="S434" i="5"/>
  <c r="P434" i="5"/>
  <c r="U434" i="5" s="1"/>
  <c r="N434" i="5"/>
  <c r="K434" i="5"/>
  <c r="H434" i="5"/>
  <c r="E434" i="5"/>
  <c r="AM433" i="5"/>
  <c r="AO433" i="5" s="1"/>
  <c r="AQ433" i="5" s="1"/>
  <c r="AS433" i="5" s="1"/>
  <c r="AU433" i="5" s="1"/>
  <c r="AW433" i="5" s="1"/>
  <c r="AY433" i="5" s="1"/>
  <c r="BA433" i="5" s="1"/>
  <c r="BC433" i="5" s="1"/>
  <c r="BE433" i="5" s="1"/>
  <c r="AI433" i="5"/>
  <c r="AF433" i="5"/>
  <c r="AD433" i="5"/>
  <c r="Z433" i="5"/>
  <c r="W433" i="5"/>
  <c r="S433" i="5"/>
  <c r="P433" i="5"/>
  <c r="U433" i="5" s="1"/>
  <c r="N433" i="5"/>
  <c r="K433" i="5"/>
  <c r="H433" i="5"/>
  <c r="E433" i="5"/>
  <c r="AI432" i="5"/>
  <c r="AK432" i="5" s="1"/>
  <c r="AM432" i="5" s="1"/>
  <c r="AO432" i="5" s="1"/>
  <c r="AQ432" i="5" s="1"/>
  <c r="AS432" i="5" s="1"/>
  <c r="AU432" i="5" s="1"/>
  <c r="AW432" i="5" s="1"/>
  <c r="AY432" i="5" s="1"/>
  <c r="BA432" i="5" s="1"/>
  <c r="BC432" i="5" s="1"/>
  <c r="BE432" i="5" s="1"/>
  <c r="AF432" i="5"/>
  <c r="AD432" i="5"/>
  <c r="Z432" i="5"/>
  <c r="W432" i="5"/>
  <c r="S432" i="5"/>
  <c r="P432" i="5"/>
  <c r="U432" i="5" s="1"/>
  <c r="N432" i="5"/>
  <c r="K432" i="5"/>
  <c r="H432" i="5"/>
  <c r="E432" i="5"/>
  <c r="AI431" i="5"/>
  <c r="AK431" i="5" s="1"/>
  <c r="AM431" i="5" s="1"/>
  <c r="AO431" i="5" s="1"/>
  <c r="AQ431" i="5" s="1"/>
  <c r="AS431" i="5" s="1"/>
  <c r="AU431" i="5" s="1"/>
  <c r="AW431" i="5" s="1"/>
  <c r="AY431" i="5" s="1"/>
  <c r="BA431" i="5" s="1"/>
  <c r="BC431" i="5" s="1"/>
  <c r="BE431" i="5" s="1"/>
  <c r="AF431" i="5"/>
  <c r="AD431" i="5"/>
  <c r="Z431" i="5"/>
  <c r="W431" i="5"/>
  <c r="S431" i="5"/>
  <c r="P431" i="5"/>
  <c r="U431" i="5" s="1"/>
  <c r="N431" i="5"/>
  <c r="K431" i="5"/>
  <c r="H431" i="5"/>
  <c r="E431" i="5"/>
  <c r="AI430" i="5"/>
  <c r="AK430" i="5" s="1"/>
  <c r="AM430" i="5" s="1"/>
  <c r="AO430" i="5" s="1"/>
  <c r="AQ430" i="5" s="1"/>
  <c r="AS430" i="5" s="1"/>
  <c r="AU430" i="5" s="1"/>
  <c r="AW430" i="5" s="1"/>
  <c r="AY430" i="5" s="1"/>
  <c r="BA430" i="5" s="1"/>
  <c r="BC430" i="5" s="1"/>
  <c r="BE430" i="5" s="1"/>
  <c r="AF430" i="5"/>
  <c r="AD430" i="5"/>
  <c r="Z430" i="5"/>
  <c r="W430" i="5"/>
  <c r="S430" i="5"/>
  <c r="P430" i="5"/>
  <c r="U430" i="5" s="1"/>
  <c r="N430" i="5"/>
  <c r="K430" i="5"/>
  <c r="H430" i="5"/>
  <c r="E430" i="5"/>
  <c r="AK429" i="5"/>
  <c r="AM429" i="5" s="1"/>
  <c r="AO429" i="5" s="1"/>
  <c r="AQ429" i="5" s="1"/>
  <c r="AS429" i="5" s="1"/>
  <c r="AU429" i="5" s="1"/>
  <c r="AW429" i="5" s="1"/>
  <c r="AY429" i="5" s="1"/>
  <c r="BA429" i="5" s="1"/>
  <c r="BC429" i="5" s="1"/>
  <c r="BE429" i="5" s="1"/>
  <c r="AF429" i="5"/>
  <c r="AD429" i="5"/>
  <c r="Z429" i="5"/>
  <c r="W429" i="5"/>
  <c r="S429" i="5"/>
  <c r="P429" i="5"/>
  <c r="U429" i="5" s="1"/>
  <c r="N429" i="5"/>
  <c r="K429" i="5"/>
  <c r="H429" i="5"/>
  <c r="E429" i="5"/>
  <c r="AK428" i="5"/>
  <c r="AM428" i="5" s="1"/>
  <c r="AO428" i="5" s="1"/>
  <c r="AQ428" i="5" s="1"/>
  <c r="AS428" i="5" s="1"/>
  <c r="AU428" i="5" s="1"/>
  <c r="AW428" i="5" s="1"/>
  <c r="AY428" i="5" s="1"/>
  <c r="BA428" i="5" s="1"/>
  <c r="BC428" i="5" s="1"/>
  <c r="BE428" i="5" s="1"/>
  <c r="AF428" i="5"/>
  <c r="AD428" i="5"/>
  <c r="Z428" i="5"/>
  <c r="W428" i="5"/>
  <c r="S428" i="5"/>
  <c r="P428" i="5"/>
  <c r="U428" i="5" s="1"/>
  <c r="N428" i="5"/>
  <c r="K428" i="5"/>
  <c r="H428" i="5"/>
  <c r="E428" i="5"/>
  <c r="AK427" i="5"/>
  <c r="AM427" i="5" s="1"/>
  <c r="AO427" i="5" s="1"/>
  <c r="AQ427" i="5" s="1"/>
  <c r="AS427" i="5" s="1"/>
  <c r="AU427" i="5" s="1"/>
  <c r="AW427" i="5" s="1"/>
  <c r="AY427" i="5" s="1"/>
  <c r="BA427" i="5" s="1"/>
  <c r="BC427" i="5" s="1"/>
  <c r="BE427" i="5" s="1"/>
  <c r="AF427" i="5"/>
  <c r="AD427" i="5"/>
  <c r="Z427" i="5"/>
  <c r="W427" i="5"/>
  <c r="S427" i="5"/>
  <c r="P427" i="5"/>
  <c r="U427" i="5" s="1"/>
  <c r="N427" i="5"/>
  <c r="K427" i="5"/>
  <c r="H427" i="5"/>
  <c r="E427" i="5"/>
  <c r="AK426" i="5"/>
  <c r="AM426" i="5" s="1"/>
  <c r="AO426" i="5" s="1"/>
  <c r="AQ426" i="5" s="1"/>
  <c r="AS426" i="5" s="1"/>
  <c r="AU426" i="5" s="1"/>
  <c r="AW426" i="5" s="1"/>
  <c r="AY426" i="5" s="1"/>
  <c r="BA426" i="5" s="1"/>
  <c r="BC426" i="5" s="1"/>
  <c r="BE426" i="5" s="1"/>
  <c r="AF426" i="5"/>
  <c r="AD426" i="5"/>
  <c r="Z426" i="5"/>
  <c r="W426" i="5"/>
  <c r="U426" i="5"/>
  <c r="S426" i="5"/>
  <c r="N426" i="5"/>
  <c r="K426" i="5"/>
  <c r="H426" i="5"/>
  <c r="E426" i="5"/>
  <c r="AK425" i="5"/>
  <c r="AF425" i="5"/>
  <c r="AD425" i="5"/>
  <c r="Z425" i="5"/>
  <c r="W425" i="5"/>
  <c r="U425" i="5"/>
  <c r="S425" i="5"/>
  <c r="N425" i="5"/>
  <c r="K425" i="5"/>
  <c r="H425" i="5"/>
  <c r="E425" i="5"/>
  <c r="AK424" i="5"/>
  <c r="AM424" i="5" s="1"/>
  <c r="AO424" i="5" s="1"/>
  <c r="AQ424" i="5" s="1"/>
  <c r="AF424" i="5"/>
  <c r="AD424" i="5"/>
  <c r="Z424" i="5"/>
  <c r="W424" i="5"/>
  <c r="S424" i="5"/>
  <c r="P424" i="5"/>
  <c r="N424" i="5"/>
  <c r="K424" i="5"/>
  <c r="H424" i="5"/>
  <c r="D424" i="5"/>
  <c r="D454" i="5" s="1"/>
  <c r="AE422" i="5"/>
  <c r="Y422" i="5"/>
  <c r="T422" i="5"/>
  <c r="L422" i="5"/>
  <c r="F422" i="5"/>
  <c r="B422" i="5"/>
  <c r="AK421" i="5"/>
  <c r="AM421" i="5" s="1"/>
  <c r="AO421" i="5" s="1"/>
  <c r="AQ421" i="5" s="1"/>
  <c r="AS421" i="5" s="1"/>
  <c r="AU421" i="5" s="1"/>
  <c r="AW421" i="5" s="1"/>
  <c r="AY421" i="5" s="1"/>
  <c r="BA421" i="5" s="1"/>
  <c r="BC421" i="5" s="1"/>
  <c r="BE421" i="5" s="1"/>
  <c r="AF421" i="5"/>
  <c r="AD421" i="5"/>
  <c r="Z421" i="5"/>
  <c r="W421" i="5"/>
  <c r="U421" i="5"/>
  <c r="S421" i="5"/>
  <c r="N421" i="5"/>
  <c r="K421" i="5"/>
  <c r="H421" i="5"/>
  <c r="E421" i="5"/>
  <c r="AF420" i="5"/>
  <c r="AD420" i="5"/>
  <c r="Z420" i="5"/>
  <c r="W420" i="5"/>
  <c r="U420" i="5"/>
  <c r="S420" i="5"/>
  <c r="N420" i="5"/>
  <c r="K420" i="5"/>
  <c r="H420" i="5"/>
  <c r="E420" i="5"/>
  <c r="AI419" i="5"/>
  <c r="AK419" i="5" s="1"/>
  <c r="AM419" i="5" s="1"/>
  <c r="AO419" i="5" s="1"/>
  <c r="AQ419" i="5" s="1"/>
  <c r="AS419" i="5" s="1"/>
  <c r="AU419" i="5" s="1"/>
  <c r="AW419" i="5" s="1"/>
  <c r="AY419" i="5" s="1"/>
  <c r="BA419" i="5" s="1"/>
  <c r="BC419" i="5" s="1"/>
  <c r="BE419" i="5" s="1"/>
  <c r="AF419" i="5"/>
  <c r="AD419" i="5"/>
  <c r="Z419" i="5"/>
  <c r="W419" i="5"/>
  <c r="S419" i="5"/>
  <c r="P419" i="5"/>
  <c r="U419" i="5" s="1"/>
  <c r="N419" i="5"/>
  <c r="K419" i="5"/>
  <c r="H419" i="5"/>
  <c r="E419" i="5"/>
  <c r="AI418" i="5"/>
  <c r="AK418" i="5" s="1"/>
  <c r="AM418" i="5" s="1"/>
  <c r="AO418" i="5" s="1"/>
  <c r="AQ418" i="5" s="1"/>
  <c r="AS418" i="5" s="1"/>
  <c r="AU418" i="5" s="1"/>
  <c r="AW418" i="5" s="1"/>
  <c r="AY418" i="5" s="1"/>
  <c r="BA418" i="5" s="1"/>
  <c r="BC418" i="5" s="1"/>
  <c r="BE418" i="5" s="1"/>
  <c r="AF418" i="5"/>
  <c r="AD418" i="5"/>
  <c r="Z418" i="5"/>
  <c r="W418" i="5"/>
  <c r="U418" i="5"/>
  <c r="S418" i="5"/>
  <c r="N418" i="5"/>
  <c r="K418" i="5"/>
  <c r="H418" i="5"/>
  <c r="D418" i="5"/>
  <c r="E418" i="5" s="1"/>
  <c r="AI417" i="5"/>
  <c r="AK417" i="5" s="1"/>
  <c r="AM417" i="5" s="1"/>
  <c r="AO417" i="5" s="1"/>
  <c r="AQ417" i="5" s="1"/>
  <c r="AS417" i="5" s="1"/>
  <c r="AU417" i="5" s="1"/>
  <c r="AW417" i="5" s="1"/>
  <c r="AY417" i="5" s="1"/>
  <c r="BA417" i="5" s="1"/>
  <c r="BC417" i="5" s="1"/>
  <c r="BE417" i="5" s="1"/>
  <c r="AF417" i="5"/>
  <c r="AD417" i="5"/>
  <c r="Z417" i="5"/>
  <c r="W417" i="5"/>
  <c r="U417" i="5"/>
  <c r="S417" i="5"/>
  <c r="N417" i="5"/>
  <c r="K417" i="5"/>
  <c r="H417" i="5"/>
  <c r="E417" i="5"/>
  <c r="AI416" i="5"/>
  <c r="AK416" i="5" s="1"/>
  <c r="AM416" i="5" s="1"/>
  <c r="AO416" i="5" s="1"/>
  <c r="AQ416" i="5" s="1"/>
  <c r="AS416" i="5" s="1"/>
  <c r="AU416" i="5" s="1"/>
  <c r="AW416" i="5" s="1"/>
  <c r="AY416" i="5" s="1"/>
  <c r="BA416" i="5" s="1"/>
  <c r="BC416" i="5" s="1"/>
  <c r="BE416" i="5" s="1"/>
  <c r="AF416" i="5"/>
  <c r="AD416" i="5"/>
  <c r="Z416" i="5"/>
  <c r="W416" i="5"/>
  <c r="S416" i="5"/>
  <c r="P416" i="5"/>
  <c r="U416" i="5" s="1"/>
  <c r="N416" i="5"/>
  <c r="K416" i="5"/>
  <c r="H416" i="5"/>
  <c r="E416" i="5"/>
  <c r="AI415" i="5"/>
  <c r="AK415" i="5" s="1"/>
  <c r="AM415" i="5" s="1"/>
  <c r="AO415" i="5" s="1"/>
  <c r="AQ415" i="5" s="1"/>
  <c r="AS415" i="5" s="1"/>
  <c r="AU415" i="5" s="1"/>
  <c r="AW415" i="5" s="1"/>
  <c r="AY415" i="5" s="1"/>
  <c r="BA415" i="5" s="1"/>
  <c r="BC415" i="5" s="1"/>
  <c r="BE415" i="5" s="1"/>
  <c r="AF415" i="5"/>
  <c r="AD415" i="5"/>
  <c r="Z415" i="5"/>
  <c r="W415" i="5"/>
  <c r="S415" i="5"/>
  <c r="P415" i="5"/>
  <c r="U415" i="5" s="1"/>
  <c r="N415" i="5"/>
  <c r="K415" i="5"/>
  <c r="H415" i="5"/>
  <c r="E415" i="5"/>
  <c r="AI414" i="5"/>
  <c r="AK414" i="5" s="1"/>
  <c r="AM414" i="5" s="1"/>
  <c r="AO414" i="5" s="1"/>
  <c r="AQ414" i="5" s="1"/>
  <c r="AS414" i="5" s="1"/>
  <c r="AU414" i="5" s="1"/>
  <c r="AW414" i="5" s="1"/>
  <c r="AY414" i="5" s="1"/>
  <c r="BA414" i="5" s="1"/>
  <c r="BC414" i="5" s="1"/>
  <c r="BE414" i="5" s="1"/>
  <c r="AF414" i="5"/>
  <c r="AD414" i="5"/>
  <c r="Z414" i="5"/>
  <c r="W414" i="5"/>
  <c r="S414" i="5"/>
  <c r="P414" i="5"/>
  <c r="U414" i="5" s="1"/>
  <c r="N414" i="5"/>
  <c r="K414" i="5"/>
  <c r="H414" i="5"/>
  <c r="E414" i="5"/>
  <c r="AK413" i="5"/>
  <c r="AM413" i="5" s="1"/>
  <c r="AO413" i="5" s="1"/>
  <c r="AQ413" i="5" s="1"/>
  <c r="AS413" i="5" s="1"/>
  <c r="AU413" i="5" s="1"/>
  <c r="AW413" i="5" s="1"/>
  <c r="AY413" i="5" s="1"/>
  <c r="BA413" i="5" s="1"/>
  <c r="BC413" i="5" s="1"/>
  <c r="BE413" i="5" s="1"/>
  <c r="AF413" i="5"/>
  <c r="AD413" i="5"/>
  <c r="Z413" i="5"/>
  <c r="W413" i="5"/>
  <c r="U413" i="5"/>
  <c r="S413" i="5"/>
  <c r="N413" i="5"/>
  <c r="K413" i="5"/>
  <c r="H413" i="5"/>
  <c r="E413" i="5"/>
  <c r="AI412" i="5"/>
  <c r="AK412" i="5" s="1"/>
  <c r="AM412" i="5" s="1"/>
  <c r="AO412" i="5" s="1"/>
  <c r="AQ412" i="5" s="1"/>
  <c r="AS412" i="5" s="1"/>
  <c r="AU412" i="5" s="1"/>
  <c r="AW412" i="5" s="1"/>
  <c r="AY412" i="5" s="1"/>
  <c r="BA412" i="5" s="1"/>
  <c r="BC412" i="5" s="1"/>
  <c r="BE412" i="5" s="1"/>
  <c r="AF412" i="5"/>
  <c r="AD412" i="5"/>
  <c r="Z412" i="5"/>
  <c r="W412" i="5"/>
  <c r="U412" i="5"/>
  <c r="S412" i="5"/>
  <c r="N412" i="5"/>
  <c r="K412" i="5"/>
  <c r="H412" i="5"/>
  <c r="E412" i="5"/>
  <c r="AF411" i="5"/>
  <c r="AD411" i="5"/>
  <c r="Z411" i="5"/>
  <c r="W411" i="5"/>
  <c r="U411" i="5"/>
  <c r="S411" i="5"/>
  <c r="N411" i="5"/>
  <c r="K411" i="5"/>
  <c r="H411" i="5"/>
  <c r="E411" i="5"/>
  <c r="AI410" i="5"/>
  <c r="AK410" i="5" s="1"/>
  <c r="AM410" i="5" s="1"/>
  <c r="AO410" i="5" s="1"/>
  <c r="AQ410" i="5" s="1"/>
  <c r="AS410" i="5" s="1"/>
  <c r="AU410" i="5" s="1"/>
  <c r="AW410" i="5" s="1"/>
  <c r="AY410" i="5" s="1"/>
  <c r="BA410" i="5" s="1"/>
  <c r="BC410" i="5" s="1"/>
  <c r="BE410" i="5" s="1"/>
  <c r="AF410" i="5"/>
  <c r="AC410" i="5"/>
  <c r="AD410" i="5" s="1"/>
  <c r="Z410" i="5"/>
  <c r="W410" i="5"/>
  <c r="U410" i="5"/>
  <c r="S410" i="5"/>
  <c r="N410" i="5"/>
  <c r="J410" i="5"/>
  <c r="K410" i="5" s="1"/>
  <c r="H410" i="5"/>
  <c r="D410" i="5"/>
  <c r="E410" i="5" s="1"/>
  <c r="AI409" i="5"/>
  <c r="AK409" i="5" s="1"/>
  <c r="AM409" i="5" s="1"/>
  <c r="AO409" i="5" s="1"/>
  <c r="AQ409" i="5" s="1"/>
  <c r="AS409" i="5" s="1"/>
  <c r="AU409" i="5" s="1"/>
  <c r="AW409" i="5" s="1"/>
  <c r="AY409" i="5" s="1"/>
  <c r="BA409" i="5" s="1"/>
  <c r="BC409" i="5" s="1"/>
  <c r="BE409" i="5" s="1"/>
  <c r="AF409" i="5"/>
  <c r="AC409" i="5"/>
  <c r="AD409" i="5" s="1"/>
  <c r="Z409" i="5"/>
  <c r="W409" i="5"/>
  <c r="S409" i="5"/>
  <c r="P409" i="5"/>
  <c r="U409" i="5" s="1"/>
  <c r="N409" i="5"/>
  <c r="J409" i="5"/>
  <c r="K409" i="5" s="1"/>
  <c r="H409" i="5"/>
  <c r="E409" i="5"/>
  <c r="AL408" i="5"/>
  <c r="AN408" i="5" s="1"/>
  <c r="AF408" i="5"/>
  <c r="AD408" i="5"/>
  <c r="Z408" i="5"/>
  <c r="W408" i="5"/>
  <c r="U408" i="5"/>
  <c r="S408" i="5"/>
  <c r="N408" i="5"/>
  <c r="K408" i="5"/>
  <c r="H408" i="5"/>
  <c r="E408" i="5"/>
  <c r="AI407" i="5"/>
  <c r="AK407" i="5" s="1"/>
  <c r="AM407" i="5" s="1"/>
  <c r="AO407" i="5" s="1"/>
  <c r="AQ407" i="5" s="1"/>
  <c r="AS407" i="5" s="1"/>
  <c r="AU407" i="5" s="1"/>
  <c r="AW407" i="5" s="1"/>
  <c r="AY407" i="5" s="1"/>
  <c r="BA407" i="5" s="1"/>
  <c r="BC407" i="5" s="1"/>
  <c r="BE407" i="5" s="1"/>
  <c r="AF407" i="5"/>
  <c r="AD407" i="5"/>
  <c r="Z407" i="5"/>
  <c r="W407" i="5"/>
  <c r="U407" i="5"/>
  <c r="S407" i="5"/>
  <c r="N407" i="5"/>
  <c r="J407" i="5"/>
  <c r="H407" i="5"/>
  <c r="E407" i="5"/>
  <c r="AI406" i="5"/>
  <c r="AK406" i="5" s="1"/>
  <c r="AM406" i="5" s="1"/>
  <c r="AO406" i="5" s="1"/>
  <c r="AQ406" i="5" s="1"/>
  <c r="AS406" i="5" s="1"/>
  <c r="AU406" i="5" s="1"/>
  <c r="AW406" i="5" s="1"/>
  <c r="AY406" i="5" s="1"/>
  <c r="BA406" i="5" s="1"/>
  <c r="BC406" i="5" s="1"/>
  <c r="BE406" i="5" s="1"/>
  <c r="AF406" i="5"/>
  <c r="AD406" i="5"/>
  <c r="Z406" i="5"/>
  <c r="W406" i="5"/>
  <c r="S406" i="5"/>
  <c r="P406" i="5"/>
  <c r="U406" i="5" s="1"/>
  <c r="N406" i="5"/>
  <c r="K406" i="5"/>
  <c r="H406" i="5"/>
  <c r="E406" i="5"/>
  <c r="AI405" i="5"/>
  <c r="AK405" i="5" s="1"/>
  <c r="AM405" i="5" s="1"/>
  <c r="AO405" i="5" s="1"/>
  <c r="AQ405" i="5" s="1"/>
  <c r="AS405" i="5" s="1"/>
  <c r="AU405" i="5" s="1"/>
  <c r="AW405" i="5" s="1"/>
  <c r="AY405" i="5" s="1"/>
  <c r="BA405" i="5" s="1"/>
  <c r="BC405" i="5" s="1"/>
  <c r="BE405" i="5" s="1"/>
  <c r="AF405" i="5"/>
  <c r="AD405" i="5"/>
  <c r="Z405" i="5"/>
  <c r="W405" i="5"/>
  <c r="S405" i="5"/>
  <c r="P405" i="5"/>
  <c r="U405" i="5" s="1"/>
  <c r="N405" i="5"/>
  <c r="K405" i="5"/>
  <c r="H405" i="5"/>
  <c r="E405" i="5"/>
  <c r="AI404" i="5"/>
  <c r="AK404" i="5" s="1"/>
  <c r="AM404" i="5" s="1"/>
  <c r="AO404" i="5" s="1"/>
  <c r="AQ404" i="5" s="1"/>
  <c r="AS404" i="5" s="1"/>
  <c r="AU404" i="5" s="1"/>
  <c r="AW404" i="5" s="1"/>
  <c r="AY404" i="5" s="1"/>
  <c r="BA404" i="5" s="1"/>
  <c r="BC404" i="5" s="1"/>
  <c r="BE404" i="5" s="1"/>
  <c r="AF404" i="5"/>
  <c r="AD404" i="5"/>
  <c r="Z404" i="5"/>
  <c r="W404" i="5"/>
  <c r="S404" i="5"/>
  <c r="P404" i="5"/>
  <c r="U404" i="5" s="1"/>
  <c r="N404" i="5"/>
  <c r="K404" i="5"/>
  <c r="H404" i="5"/>
  <c r="E404" i="5"/>
  <c r="AI403" i="5"/>
  <c r="AK403" i="5" s="1"/>
  <c r="AM403" i="5" s="1"/>
  <c r="AO403" i="5" s="1"/>
  <c r="AQ403" i="5" s="1"/>
  <c r="AS403" i="5" s="1"/>
  <c r="AU403" i="5" s="1"/>
  <c r="AW403" i="5" s="1"/>
  <c r="AY403" i="5" s="1"/>
  <c r="BA403" i="5" s="1"/>
  <c r="BC403" i="5" s="1"/>
  <c r="BE403" i="5" s="1"/>
  <c r="AF403" i="5"/>
  <c r="AD403" i="5"/>
  <c r="Z403" i="5"/>
  <c r="W403" i="5"/>
  <c r="S403" i="5"/>
  <c r="P403" i="5"/>
  <c r="U403" i="5" s="1"/>
  <c r="N403" i="5"/>
  <c r="K403" i="5"/>
  <c r="H403" i="5"/>
  <c r="E403" i="5"/>
  <c r="AI402" i="5"/>
  <c r="AK402" i="5" s="1"/>
  <c r="AM402" i="5" s="1"/>
  <c r="AO402" i="5" s="1"/>
  <c r="AQ402" i="5" s="1"/>
  <c r="AS402" i="5" s="1"/>
  <c r="AU402" i="5" s="1"/>
  <c r="AW402" i="5" s="1"/>
  <c r="AY402" i="5" s="1"/>
  <c r="BA402" i="5" s="1"/>
  <c r="BC402" i="5" s="1"/>
  <c r="BE402" i="5" s="1"/>
  <c r="AF402" i="5"/>
  <c r="AD402" i="5"/>
  <c r="Z402" i="5"/>
  <c r="W402" i="5"/>
  <c r="S402" i="5"/>
  <c r="P402" i="5"/>
  <c r="U402" i="5" s="1"/>
  <c r="N402" i="5"/>
  <c r="K402" i="5"/>
  <c r="H402" i="5"/>
  <c r="E402" i="5"/>
  <c r="AK401" i="5"/>
  <c r="AM401" i="5" s="1"/>
  <c r="AO401" i="5" s="1"/>
  <c r="AQ401" i="5" s="1"/>
  <c r="AS401" i="5" s="1"/>
  <c r="AU401" i="5" s="1"/>
  <c r="AW401" i="5" s="1"/>
  <c r="AY401" i="5" s="1"/>
  <c r="BA401" i="5" s="1"/>
  <c r="BC401" i="5" s="1"/>
  <c r="BE401" i="5" s="1"/>
  <c r="AF401" i="5"/>
  <c r="AD401" i="5"/>
  <c r="Z401" i="5"/>
  <c r="W401" i="5"/>
  <c r="U401" i="5"/>
  <c r="S401" i="5"/>
  <c r="N401" i="5"/>
  <c r="K401" i="5"/>
  <c r="H401" i="5"/>
  <c r="E401" i="5"/>
  <c r="AK400" i="5"/>
  <c r="AM400" i="5" s="1"/>
  <c r="AO400" i="5" s="1"/>
  <c r="AQ400" i="5" s="1"/>
  <c r="AS400" i="5" s="1"/>
  <c r="AU400" i="5" s="1"/>
  <c r="AW400" i="5" s="1"/>
  <c r="AY400" i="5" s="1"/>
  <c r="BA400" i="5" s="1"/>
  <c r="BC400" i="5" s="1"/>
  <c r="BE400" i="5" s="1"/>
  <c r="AF400" i="5"/>
  <c r="AD400" i="5"/>
  <c r="Z400" i="5"/>
  <c r="W400" i="5"/>
  <c r="U400" i="5"/>
  <c r="S400" i="5"/>
  <c r="N400" i="5"/>
  <c r="K400" i="5"/>
  <c r="H400" i="5"/>
  <c r="E400" i="5"/>
  <c r="AI399" i="5"/>
  <c r="AK399" i="5" s="1"/>
  <c r="AM399" i="5" s="1"/>
  <c r="AO399" i="5" s="1"/>
  <c r="AQ399" i="5" s="1"/>
  <c r="AS399" i="5" s="1"/>
  <c r="AU399" i="5" s="1"/>
  <c r="AW399" i="5" s="1"/>
  <c r="AY399" i="5" s="1"/>
  <c r="BA399" i="5" s="1"/>
  <c r="BC399" i="5" s="1"/>
  <c r="BE399" i="5" s="1"/>
  <c r="AF399" i="5"/>
  <c r="AD399" i="5"/>
  <c r="Z399" i="5"/>
  <c r="W399" i="5"/>
  <c r="R399" i="5"/>
  <c r="R422" i="5" s="1"/>
  <c r="P399" i="5"/>
  <c r="U399" i="5" s="1"/>
  <c r="N399" i="5"/>
  <c r="K399" i="5"/>
  <c r="H399" i="5"/>
  <c r="E399" i="5"/>
  <c r="AI398" i="5"/>
  <c r="AK398" i="5" s="1"/>
  <c r="AM398" i="5" s="1"/>
  <c r="AO398" i="5" s="1"/>
  <c r="AQ398" i="5" s="1"/>
  <c r="AS398" i="5" s="1"/>
  <c r="AU398" i="5" s="1"/>
  <c r="AW398" i="5" s="1"/>
  <c r="AY398" i="5" s="1"/>
  <c r="BA398" i="5" s="1"/>
  <c r="BC398" i="5" s="1"/>
  <c r="BE398" i="5" s="1"/>
  <c r="AF398" i="5"/>
  <c r="AD398" i="5"/>
  <c r="Z398" i="5"/>
  <c r="W398" i="5"/>
  <c r="S398" i="5"/>
  <c r="P398" i="5"/>
  <c r="U398" i="5" s="1"/>
  <c r="N398" i="5"/>
  <c r="K398" i="5"/>
  <c r="H398" i="5"/>
  <c r="E398" i="5"/>
  <c r="AK397" i="5"/>
  <c r="AM397" i="5" s="1"/>
  <c r="AO397" i="5" s="1"/>
  <c r="AQ397" i="5" s="1"/>
  <c r="AS397" i="5" s="1"/>
  <c r="AU397" i="5" s="1"/>
  <c r="AW397" i="5" s="1"/>
  <c r="AY397" i="5" s="1"/>
  <c r="BA397" i="5" s="1"/>
  <c r="BC397" i="5" s="1"/>
  <c r="BE397" i="5" s="1"/>
  <c r="AF397" i="5"/>
  <c r="AD397" i="5"/>
  <c r="Z397" i="5"/>
  <c r="W397" i="5"/>
  <c r="S397" i="5"/>
  <c r="P397" i="5"/>
  <c r="U397" i="5" s="1"/>
  <c r="N397" i="5"/>
  <c r="K397" i="5"/>
  <c r="H397" i="5"/>
  <c r="E397" i="5"/>
  <c r="AI394" i="5"/>
  <c r="AK394" i="5" s="1"/>
  <c r="AM394" i="5" s="1"/>
  <c r="AO394" i="5" s="1"/>
  <c r="AQ394" i="5" s="1"/>
  <c r="AS394" i="5" s="1"/>
  <c r="AU394" i="5" s="1"/>
  <c r="AW394" i="5" s="1"/>
  <c r="AY394" i="5" s="1"/>
  <c r="BA394" i="5" s="1"/>
  <c r="BC394" i="5" s="1"/>
  <c r="BE394" i="5" s="1"/>
  <c r="AF394" i="5"/>
  <c r="AD394" i="5"/>
  <c r="Z394" i="5"/>
  <c r="W394" i="5"/>
  <c r="S394" i="5"/>
  <c r="P394" i="5"/>
  <c r="U394" i="5" s="1"/>
  <c r="N394" i="5"/>
  <c r="K394" i="5"/>
  <c r="H394" i="5"/>
  <c r="E394" i="5"/>
  <c r="AK393" i="5"/>
  <c r="AM393" i="5" s="1"/>
  <c r="AO393" i="5" s="1"/>
  <c r="AQ393" i="5" s="1"/>
  <c r="AS393" i="5" s="1"/>
  <c r="AU393" i="5" s="1"/>
  <c r="AW393" i="5" s="1"/>
  <c r="AY393" i="5" s="1"/>
  <c r="BA393" i="5" s="1"/>
  <c r="BC393" i="5" s="1"/>
  <c r="BE393" i="5" s="1"/>
  <c r="AF393" i="5"/>
  <c r="AD393" i="5"/>
  <c r="Z393" i="5"/>
  <c r="W393" i="5"/>
  <c r="U393" i="5"/>
  <c r="S393" i="5"/>
  <c r="N393" i="5"/>
  <c r="K393" i="5"/>
  <c r="H393" i="5"/>
  <c r="E393" i="5"/>
  <c r="AI392" i="5"/>
  <c r="AK392" i="5" s="1"/>
  <c r="AM392" i="5" s="1"/>
  <c r="AO392" i="5" s="1"/>
  <c r="AQ392" i="5" s="1"/>
  <c r="AS392" i="5" s="1"/>
  <c r="AU392" i="5" s="1"/>
  <c r="AW392" i="5" s="1"/>
  <c r="AY392" i="5" s="1"/>
  <c r="BA392" i="5" s="1"/>
  <c r="BC392" i="5" s="1"/>
  <c r="BE392" i="5" s="1"/>
  <c r="AF392" i="5"/>
  <c r="AD392" i="5"/>
  <c r="Z392" i="5"/>
  <c r="V392" i="5"/>
  <c r="S392" i="5"/>
  <c r="P392" i="5"/>
  <c r="U392" i="5" s="1"/>
  <c r="N392" i="5"/>
  <c r="K392" i="5"/>
  <c r="H392" i="5"/>
  <c r="D392" i="5"/>
  <c r="AF391" i="5"/>
  <c r="AD391" i="5"/>
  <c r="Z391" i="5"/>
  <c r="W391" i="5"/>
  <c r="U391" i="5"/>
  <c r="S391" i="5"/>
  <c r="AT390" i="5"/>
  <c r="AL390" i="5"/>
  <c r="AN390" i="5" s="1"/>
  <c r="AI390" i="5"/>
  <c r="AK390" i="5" s="1"/>
  <c r="AM390" i="5" s="1"/>
  <c r="AO390" i="5" s="1"/>
  <c r="AQ390" i="5" s="1"/>
  <c r="AS390" i="5" s="1"/>
  <c r="AU390" i="5" s="1"/>
  <c r="AW390" i="5" s="1"/>
  <c r="AY390" i="5" s="1"/>
  <c r="BA390" i="5" s="1"/>
  <c r="BC390" i="5" s="1"/>
  <c r="BE390" i="5" s="1"/>
  <c r="AF390" i="5"/>
  <c r="AD390" i="5"/>
  <c r="Z390" i="5"/>
  <c r="W390" i="5"/>
  <c r="S390" i="5"/>
  <c r="P390" i="5"/>
  <c r="U390" i="5" s="1"/>
  <c r="N390" i="5"/>
  <c r="K390" i="5"/>
  <c r="H390" i="5"/>
  <c r="E390" i="5"/>
  <c r="AT389" i="5"/>
  <c r="AL389" i="5"/>
  <c r="AN389" i="5" s="1"/>
  <c r="AI389" i="5"/>
  <c r="AK389" i="5" s="1"/>
  <c r="AM389" i="5" s="1"/>
  <c r="AO389" i="5" s="1"/>
  <c r="AQ389" i="5" s="1"/>
  <c r="AS389" i="5" s="1"/>
  <c r="AU389" i="5" s="1"/>
  <c r="AW389" i="5" s="1"/>
  <c r="AY389" i="5" s="1"/>
  <c r="BA389" i="5" s="1"/>
  <c r="BC389" i="5" s="1"/>
  <c r="BE389" i="5" s="1"/>
  <c r="AF389" i="5"/>
  <c r="AD389" i="5"/>
  <c r="Z389" i="5"/>
  <c r="W389" i="5"/>
  <c r="U389" i="5"/>
  <c r="S389" i="5"/>
  <c r="N389" i="5"/>
  <c r="K389" i="5"/>
  <c r="H389" i="5"/>
  <c r="E389" i="5"/>
  <c r="AF388" i="5"/>
  <c r="AD388" i="5"/>
  <c r="Z388" i="5"/>
  <c r="W388" i="5"/>
  <c r="U388" i="5"/>
  <c r="S388" i="5"/>
  <c r="N388" i="5"/>
  <c r="K388" i="5"/>
  <c r="H388" i="5"/>
  <c r="E388" i="5"/>
  <c r="AF387" i="5"/>
  <c r="AD387" i="5"/>
  <c r="Z387" i="5"/>
  <c r="W387" i="5"/>
  <c r="U387" i="5"/>
  <c r="S387" i="5"/>
  <c r="N387" i="5"/>
  <c r="K387" i="5"/>
  <c r="H387" i="5"/>
  <c r="E387" i="5"/>
  <c r="AL386" i="5"/>
  <c r="AN386" i="5" s="1"/>
  <c r="AK386" i="5"/>
  <c r="AM386" i="5" s="1"/>
  <c r="AO386" i="5" s="1"/>
  <c r="AQ386" i="5" s="1"/>
  <c r="AS386" i="5" s="1"/>
  <c r="AU386" i="5" s="1"/>
  <c r="AW386" i="5" s="1"/>
  <c r="AY386" i="5" s="1"/>
  <c r="BA386" i="5" s="1"/>
  <c r="BC386" i="5" s="1"/>
  <c r="BE386" i="5" s="1"/>
  <c r="AF386" i="5"/>
  <c r="AD386" i="5"/>
  <c r="Z386" i="5"/>
  <c r="W386" i="5"/>
  <c r="S386" i="5"/>
  <c r="P386" i="5"/>
  <c r="U386" i="5" s="1"/>
  <c r="N386" i="5"/>
  <c r="K386" i="5"/>
  <c r="H386" i="5"/>
  <c r="E386" i="5"/>
  <c r="AK385" i="5"/>
  <c r="AM385" i="5" s="1"/>
  <c r="AO385" i="5" s="1"/>
  <c r="AQ385" i="5" s="1"/>
  <c r="AS385" i="5" s="1"/>
  <c r="AU385" i="5" s="1"/>
  <c r="AW385" i="5" s="1"/>
  <c r="AY385" i="5" s="1"/>
  <c r="BA385" i="5" s="1"/>
  <c r="BC385" i="5" s="1"/>
  <c r="BE385" i="5" s="1"/>
  <c r="AF385" i="5"/>
  <c r="AD385" i="5"/>
  <c r="Z385" i="5"/>
  <c r="W385" i="5"/>
  <c r="S385" i="5"/>
  <c r="P385" i="5"/>
  <c r="U385" i="5" s="1"/>
  <c r="N385" i="5"/>
  <c r="K385" i="5"/>
  <c r="H385" i="5"/>
  <c r="E385" i="5"/>
  <c r="AK384" i="5"/>
  <c r="AM384" i="5" s="1"/>
  <c r="AO384" i="5" s="1"/>
  <c r="AQ384" i="5" s="1"/>
  <c r="AS384" i="5" s="1"/>
  <c r="AU384" i="5" s="1"/>
  <c r="AW384" i="5" s="1"/>
  <c r="AY384" i="5" s="1"/>
  <c r="BA384" i="5" s="1"/>
  <c r="BC384" i="5" s="1"/>
  <c r="BE384" i="5" s="1"/>
  <c r="AF384" i="5"/>
  <c r="AD384" i="5"/>
  <c r="Z384" i="5"/>
  <c r="W384" i="5"/>
  <c r="U384" i="5"/>
  <c r="S384" i="5"/>
  <c r="N384" i="5"/>
  <c r="K384" i="5"/>
  <c r="H384" i="5"/>
  <c r="E384" i="5"/>
  <c r="AF383" i="5"/>
  <c r="AD383" i="5"/>
  <c r="Z383" i="5"/>
  <c r="W383" i="5"/>
  <c r="U383" i="5"/>
  <c r="S383" i="5"/>
  <c r="N383" i="5"/>
  <c r="K383" i="5"/>
  <c r="H383" i="5"/>
  <c r="E383" i="5"/>
  <c r="AK382" i="5"/>
  <c r="AM382" i="5" s="1"/>
  <c r="AO382" i="5" s="1"/>
  <c r="AQ382" i="5" s="1"/>
  <c r="AS382" i="5" s="1"/>
  <c r="AU382" i="5" s="1"/>
  <c r="AF382" i="5"/>
  <c r="AD382" i="5"/>
  <c r="Z382" i="5"/>
  <c r="W382" i="5"/>
  <c r="U382" i="5"/>
  <c r="S382" i="5"/>
  <c r="N382" i="5"/>
  <c r="K382" i="5"/>
  <c r="H382" i="5"/>
  <c r="E382" i="5"/>
  <c r="AK381" i="5"/>
  <c r="AF381" i="5"/>
  <c r="AD381" i="5"/>
  <c r="Z381" i="5"/>
  <c r="W381" i="5"/>
  <c r="U381" i="5"/>
  <c r="S381" i="5"/>
  <c r="N381" i="5"/>
  <c r="K381" i="5"/>
  <c r="H381" i="5"/>
  <c r="E381" i="5"/>
  <c r="AF380" i="5"/>
  <c r="AD380" i="5"/>
  <c r="Z380" i="5"/>
  <c r="W380" i="5"/>
  <c r="U380" i="5"/>
  <c r="S380" i="5"/>
  <c r="N380" i="5"/>
  <c r="K380" i="5"/>
  <c r="H380" i="5"/>
  <c r="E380" i="5"/>
  <c r="AI379" i="5"/>
  <c r="AF379" i="5"/>
  <c r="AD379" i="5"/>
  <c r="Z379" i="5"/>
  <c r="W379" i="5"/>
  <c r="S379" i="5"/>
  <c r="P379" i="5"/>
  <c r="U379" i="5" s="1"/>
  <c r="N379" i="5"/>
  <c r="K379" i="5"/>
  <c r="H379" i="5"/>
  <c r="E379" i="5"/>
  <c r="AK378" i="5"/>
  <c r="AF378" i="5"/>
  <c r="AD378" i="5"/>
  <c r="Z378" i="5"/>
  <c r="W378" i="5"/>
  <c r="U378" i="5"/>
  <c r="S378" i="5"/>
  <c r="N378" i="5"/>
  <c r="K378" i="5"/>
  <c r="H378" i="5"/>
  <c r="E378" i="5"/>
  <c r="AK377" i="5"/>
  <c r="AF377" i="5"/>
  <c r="AD377" i="5"/>
  <c r="Z377" i="5"/>
  <c r="W377" i="5"/>
  <c r="U377" i="5"/>
  <c r="S377" i="5"/>
  <c r="N377" i="5"/>
  <c r="K377" i="5"/>
  <c r="H377" i="5"/>
  <c r="E377" i="5"/>
  <c r="AK376" i="5"/>
  <c r="AM376" i="5" s="1"/>
  <c r="AO376" i="5" s="1"/>
  <c r="AF376" i="5"/>
  <c r="AD376" i="5"/>
  <c r="Z376" i="5"/>
  <c r="W376" i="5"/>
  <c r="S376" i="5"/>
  <c r="P376" i="5"/>
  <c r="N376" i="5"/>
  <c r="K376" i="5"/>
  <c r="H376" i="5"/>
  <c r="E376" i="5"/>
  <c r="AE373" i="5"/>
  <c r="AC373" i="5"/>
  <c r="Y373" i="5"/>
  <c r="T373" i="5"/>
  <c r="R373" i="5"/>
  <c r="L373" i="5"/>
  <c r="F373" i="5"/>
  <c r="AL372" i="5"/>
  <c r="AN372" i="5" s="1"/>
  <c r="AI372" i="5"/>
  <c r="AK372" i="5" s="1"/>
  <c r="AM372" i="5" s="1"/>
  <c r="AO372" i="5" s="1"/>
  <c r="AQ372" i="5" s="1"/>
  <c r="AS372" i="5" s="1"/>
  <c r="AU372" i="5" s="1"/>
  <c r="AW372" i="5" s="1"/>
  <c r="AY372" i="5" s="1"/>
  <c r="BA372" i="5" s="1"/>
  <c r="BC372" i="5" s="1"/>
  <c r="BE372" i="5" s="1"/>
  <c r="AF372" i="5"/>
  <c r="AD372" i="5"/>
  <c r="Z372" i="5"/>
  <c r="V372" i="5"/>
  <c r="V373" i="5" s="1"/>
  <c r="U372" i="5"/>
  <c r="S372" i="5"/>
  <c r="N372" i="5"/>
  <c r="J372" i="5"/>
  <c r="K372" i="5" s="1"/>
  <c r="H372" i="5"/>
  <c r="D372" i="5"/>
  <c r="D373" i="5" s="1"/>
  <c r="AI371" i="5"/>
  <c r="AK371" i="5" s="1"/>
  <c r="AM371" i="5" s="1"/>
  <c r="AO371" i="5" s="1"/>
  <c r="AQ371" i="5" s="1"/>
  <c r="AS371" i="5" s="1"/>
  <c r="AU371" i="5" s="1"/>
  <c r="AW371" i="5" s="1"/>
  <c r="AY371" i="5" s="1"/>
  <c r="BA371" i="5" s="1"/>
  <c r="BC371" i="5" s="1"/>
  <c r="BE371" i="5" s="1"/>
  <c r="AF371" i="5"/>
  <c r="AD371" i="5"/>
  <c r="Z371" i="5"/>
  <c r="W371" i="5"/>
  <c r="S371" i="5"/>
  <c r="P371" i="5"/>
  <c r="U371" i="5" s="1"/>
  <c r="N371" i="5"/>
  <c r="K371" i="5"/>
  <c r="H371" i="5"/>
  <c r="E371" i="5"/>
  <c r="AI370" i="5"/>
  <c r="AK370" i="5" s="1"/>
  <c r="AM370" i="5" s="1"/>
  <c r="AO370" i="5" s="1"/>
  <c r="AQ370" i="5" s="1"/>
  <c r="AS370" i="5" s="1"/>
  <c r="AU370" i="5" s="1"/>
  <c r="AW370" i="5" s="1"/>
  <c r="AY370" i="5" s="1"/>
  <c r="BA370" i="5" s="1"/>
  <c r="BC370" i="5" s="1"/>
  <c r="BE370" i="5" s="1"/>
  <c r="AF370" i="5"/>
  <c r="AD370" i="5"/>
  <c r="Z370" i="5"/>
  <c r="W370" i="5"/>
  <c r="U370" i="5"/>
  <c r="S370" i="5"/>
  <c r="AW369" i="5"/>
  <c r="AY369" i="5" s="1"/>
  <c r="BA369" i="5" s="1"/>
  <c r="BC369" i="5" s="1"/>
  <c r="BE369" i="5" s="1"/>
  <c r="AK369" i="5"/>
  <c r="AM369" i="5" s="1"/>
  <c r="AF369" i="5"/>
  <c r="AD369" i="5"/>
  <c r="Z369" i="5"/>
  <c r="W369" i="5"/>
  <c r="U369" i="5"/>
  <c r="S369" i="5"/>
  <c r="N369" i="5"/>
  <c r="K369" i="5"/>
  <c r="H369" i="5"/>
  <c r="E369" i="5"/>
  <c r="AK368" i="5"/>
  <c r="AM368" i="5" s="1"/>
  <c r="AO368" i="5" s="1"/>
  <c r="AQ368" i="5" s="1"/>
  <c r="AS368" i="5" s="1"/>
  <c r="AU368" i="5" s="1"/>
  <c r="AW368" i="5" s="1"/>
  <c r="AY368" i="5" s="1"/>
  <c r="BA368" i="5" s="1"/>
  <c r="BC368" i="5" s="1"/>
  <c r="BE368" i="5" s="1"/>
  <c r="AF368" i="5"/>
  <c r="AD368" i="5"/>
  <c r="Z368" i="5"/>
  <c r="W368" i="5"/>
  <c r="S368" i="5"/>
  <c r="P368" i="5"/>
  <c r="U368" i="5" s="1"/>
  <c r="N368" i="5"/>
  <c r="K368" i="5"/>
  <c r="H368" i="5"/>
  <c r="E368" i="5"/>
  <c r="AO367" i="5"/>
  <c r="AQ367" i="5" s="1"/>
  <c r="AS367" i="5" s="1"/>
  <c r="AU367" i="5" s="1"/>
  <c r="AW367" i="5" s="1"/>
  <c r="AY367" i="5" s="1"/>
  <c r="BA367" i="5" s="1"/>
  <c r="BC367" i="5" s="1"/>
  <c r="BE367" i="5" s="1"/>
  <c r="AK367" i="5"/>
  <c r="AF367" i="5"/>
  <c r="AD367" i="5"/>
  <c r="Z367" i="5"/>
  <c r="W367" i="5"/>
  <c r="U367" i="5"/>
  <c r="S367" i="5"/>
  <c r="N367" i="5"/>
  <c r="K367" i="5"/>
  <c r="H367" i="5"/>
  <c r="E367" i="5"/>
  <c r="AK366" i="5"/>
  <c r="AM366" i="5" s="1"/>
  <c r="AO366" i="5" s="1"/>
  <c r="AQ366" i="5" s="1"/>
  <c r="AS366" i="5" s="1"/>
  <c r="AU366" i="5" s="1"/>
  <c r="AW366" i="5" s="1"/>
  <c r="AY366" i="5" s="1"/>
  <c r="BA366" i="5" s="1"/>
  <c r="BC366" i="5" s="1"/>
  <c r="BE366" i="5" s="1"/>
  <c r="AF366" i="5"/>
  <c r="AD366" i="5"/>
  <c r="Z366" i="5"/>
  <c r="W366" i="5"/>
  <c r="U366" i="5"/>
  <c r="S366" i="5"/>
  <c r="N366" i="5"/>
  <c r="K366" i="5"/>
  <c r="H366" i="5"/>
  <c r="E366" i="5"/>
  <c r="AK365" i="5"/>
  <c r="AM365" i="5" s="1"/>
  <c r="AO365" i="5" s="1"/>
  <c r="AQ365" i="5" s="1"/>
  <c r="AS365" i="5" s="1"/>
  <c r="AU365" i="5" s="1"/>
  <c r="AW365" i="5" s="1"/>
  <c r="AY365" i="5" s="1"/>
  <c r="BA365" i="5" s="1"/>
  <c r="BC365" i="5" s="1"/>
  <c r="BE365" i="5" s="1"/>
  <c r="AF365" i="5"/>
  <c r="AD365" i="5"/>
  <c r="Z365" i="5"/>
  <c r="W365" i="5"/>
  <c r="U365" i="5"/>
  <c r="S365" i="5"/>
  <c r="N365" i="5"/>
  <c r="K365" i="5"/>
  <c r="H365" i="5"/>
  <c r="E365" i="5"/>
  <c r="AF364" i="5"/>
  <c r="AD364" i="5"/>
  <c r="Z364" i="5"/>
  <c r="W364" i="5"/>
  <c r="U364" i="5"/>
  <c r="S364" i="5"/>
  <c r="N364" i="5"/>
  <c r="K364" i="5"/>
  <c r="H364" i="5"/>
  <c r="E364" i="5"/>
  <c r="AU363" i="5"/>
  <c r="AS363" i="5"/>
  <c r="AQ363" i="5"/>
  <c r="AO363" i="5"/>
  <c r="AW363" i="5" s="1"/>
  <c r="AM363" i="5"/>
  <c r="AK363" i="5"/>
  <c r="AI363" i="5"/>
  <c r="AF363" i="5"/>
  <c r="AD363" i="5"/>
  <c r="Z363" i="5"/>
  <c r="W363" i="5"/>
  <c r="U363" i="5"/>
  <c r="S363" i="5"/>
  <c r="N363" i="5"/>
  <c r="K363" i="5"/>
  <c r="E363" i="5"/>
  <c r="B363" i="5"/>
  <c r="H363" i="5" s="1"/>
  <c r="AI362" i="5"/>
  <c r="AK362" i="5" s="1"/>
  <c r="AF362" i="5"/>
  <c r="AD362" i="5"/>
  <c r="Z362" i="5"/>
  <c r="W362" i="5"/>
  <c r="S362" i="5"/>
  <c r="P362" i="5"/>
  <c r="U362" i="5" s="1"/>
  <c r="N362" i="5"/>
  <c r="K362" i="5"/>
  <c r="H362" i="5"/>
  <c r="E362" i="5"/>
  <c r="AE354" i="5"/>
  <c r="AE9" i="5" s="1"/>
  <c r="AC354" i="5"/>
  <c r="Y354" i="5"/>
  <c r="Y9" i="5" s="1"/>
  <c r="V354" i="5"/>
  <c r="T354" i="5"/>
  <c r="T9" i="5" s="1"/>
  <c r="R354" i="5"/>
  <c r="P354" i="5"/>
  <c r="P9" i="5" s="1"/>
  <c r="L354" i="5"/>
  <c r="L9" i="5" s="1"/>
  <c r="J354" i="5"/>
  <c r="J9" i="5" s="1"/>
  <c r="F354" i="5"/>
  <c r="F9" i="5" s="1"/>
  <c r="D354" i="5"/>
  <c r="D9" i="5" s="1"/>
  <c r="AF352" i="5"/>
  <c r="AD352" i="5"/>
  <c r="Z352" i="5"/>
  <c r="W352" i="5"/>
  <c r="U352" i="5"/>
  <c r="S352" i="5"/>
  <c r="N352" i="5"/>
  <c r="K352" i="5"/>
  <c r="H352" i="5"/>
  <c r="E352" i="5"/>
  <c r="AF344" i="5"/>
  <c r="AD344" i="5"/>
  <c r="Z344" i="5"/>
  <c r="W344" i="5"/>
  <c r="U344" i="5"/>
  <c r="S344" i="5"/>
  <c r="N344" i="5"/>
  <c r="K344" i="5"/>
  <c r="H344" i="5"/>
  <c r="E344" i="5"/>
  <c r="AF340" i="5"/>
  <c r="AD340" i="5"/>
  <c r="Z340" i="5"/>
  <c r="W340" i="5"/>
  <c r="U340" i="5"/>
  <c r="S340" i="5"/>
  <c r="N340" i="5"/>
  <c r="K340" i="5"/>
  <c r="E340" i="5"/>
  <c r="B340" i="5"/>
  <c r="H340" i="5" s="1"/>
  <c r="AF339" i="5"/>
  <c r="AF24" i="5" s="1"/>
  <c r="AF26" i="5" s="1"/>
  <c r="AD339" i="5"/>
  <c r="Z339" i="5"/>
  <c r="W339" i="5"/>
  <c r="U339" i="5"/>
  <c r="S339" i="5"/>
  <c r="N339" i="5"/>
  <c r="K339" i="5"/>
  <c r="E339" i="5"/>
  <c r="B339" i="5"/>
  <c r="B24" i="5" s="1"/>
  <c r="B26" i="5" s="1"/>
  <c r="B27" i="5" s="1"/>
  <c r="AE333" i="5"/>
  <c r="AC333" i="5"/>
  <c r="Y333" i="5"/>
  <c r="V333" i="5"/>
  <c r="T333" i="5"/>
  <c r="R333" i="5"/>
  <c r="L333" i="5"/>
  <c r="J333" i="5"/>
  <c r="F333" i="5"/>
  <c r="D333" i="5"/>
  <c r="B333" i="5"/>
  <c r="AI332" i="5"/>
  <c r="AK332" i="5" s="1"/>
  <c r="AM332" i="5" s="1"/>
  <c r="AO332" i="5" s="1"/>
  <c r="AQ332" i="5" s="1"/>
  <c r="AS332" i="5" s="1"/>
  <c r="AU332" i="5" s="1"/>
  <c r="AW332" i="5" s="1"/>
  <c r="AY332" i="5" s="1"/>
  <c r="BA332" i="5" s="1"/>
  <c r="BC332" i="5" s="1"/>
  <c r="BE332" i="5" s="1"/>
  <c r="AF332" i="5"/>
  <c r="AD332" i="5"/>
  <c r="Z332" i="5"/>
  <c r="W332" i="5"/>
  <c r="S332" i="5"/>
  <c r="P332" i="5"/>
  <c r="U332" i="5" s="1"/>
  <c r="N332" i="5"/>
  <c r="K332" i="5"/>
  <c r="H332" i="5"/>
  <c r="E332" i="5"/>
  <c r="AK331" i="5"/>
  <c r="AM331" i="5" s="1"/>
  <c r="AO331" i="5" s="1"/>
  <c r="AQ331" i="5" s="1"/>
  <c r="AS331" i="5" s="1"/>
  <c r="AU331" i="5" s="1"/>
  <c r="AW331" i="5" s="1"/>
  <c r="AY331" i="5" s="1"/>
  <c r="BA331" i="5" s="1"/>
  <c r="BC331" i="5" s="1"/>
  <c r="BE331" i="5" s="1"/>
  <c r="AF331" i="5"/>
  <c r="AD331" i="5"/>
  <c r="Z331" i="5"/>
  <c r="W331" i="5"/>
  <c r="U331" i="5"/>
  <c r="S331" i="5"/>
  <c r="N331" i="5"/>
  <c r="K331" i="5"/>
  <c r="H331" i="5"/>
  <c r="E331" i="5"/>
  <c r="AF330" i="5"/>
  <c r="AD330" i="5"/>
  <c r="Z330" i="5"/>
  <c r="W330" i="5"/>
  <c r="U330" i="5"/>
  <c r="S330" i="5"/>
  <c r="N330" i="5"/>
  <c r="K330" i="5"/>
  <c r="H330" i="5"/>
  <c r="E330" i="5"/>
  <c r="AF329" i="5"/>
  <c r="AD329" i="5"/>
  <c r="Z329" i="5"/>
  <c r="W329" i="5"/>
  <c r="U329" i="5"/>
  <c r="S329" i="5"/>
  <c r="N329" i="5"/>
  <c r="K329" i="5"/>
  <c r="H329" i="5"/>
  <c r="E329" i="5"/>
  <c r="AF328" i="5"/>
  <c r="AD328" i="5"/>
  <c r="Z328" i="5"/>
  <c r="W328" i="5"/>
  <c r="U328" i="5"/>
  <c r="S328" i="5"/>
  <c r="N328" i="5"/>
  <c r="K328" i="5"/>
  <c r="H328" i="5"/>
  <c r="E328" i="5"/>
  <c r="AI327" i="5"/>
  <c r="AK327" i="5" s="1"/>
  <c r="AM327" i="5" s="1"/>
  <c r="AF327" i="5"/>
  <c r="AD327" i="5"/>
  <c r="Z327" i="5"/>
  <c r="W327" i="5"/>
  <c r="S327" i="5"/>
  <c r="P327" i="5"/>
  <c r="U327" i="5" s="1"/>
  <c r="N327" i="5"/>
  <c r="K327" i="5"/>
  <c r="H327" i="5"/>
  <c r="E327" i="5"/>
  <c r="AF326" i="5"/>
  <c r="AD326" i="5"/>
  <c r="Z326" i="5"/>
  <c r="W326" i="5"/>
  <c r="U326" i="5"/>
  <c r="S326" i="5"/>
  <c r="N326" i="5"/>
  <c r="K326" i="5"/>
  <c r="H326" i="5"/>
  <c r="E326" i="5"/>
  <c r="AF325" i="5"/>
  <c r="AD325" i="5"/>
  <c r="Z325" i="5"/>
  <c r="W325" i="5"/>
  <c r="U325" i="5"/>
  <c r="S325" i="5"/>
  <c r="N325" i="5"/>
  <c r="K325" i="5"/>
  <c r="H325" i="5"/>
  <c r="E325" i="5"/>
  <c r="AF324" i="5"/>
  <c r="AD324" i="5"/>
  <c r="Z324" i="5"/>
  <c r="W324" i="5"/>
  <c r="U324" i="5"/>
  <c r="S324" i="5"/>
  <c r="N324" i="5"/>
  <c r="K324" i="5"/>
  <c r="H324" i="5"/>
  <c r="E324" i="5"/>
  <c r="AK321" i="5"/>
  <c r="AI321" i="5"/>
  <c r="AE321" i="5"/>
  <c r="AC321" i="5"/>
  <c r="Y321" i="5"/>
  <c r="V321" i="5"/>
  <c r="T321" i="5"/>
  <c r="R321" i="5"/>
  <c r="P321" i="5"/>
  <c r="J321" i="5"/>
  <c r="F321" i="5"/>
  <c r="D321" i="5"/>
  <c r="B321" i="5"/>
  <c r="AM320" i="5"/>
  <c r="AO320" i="5" s="1"/>
  <c r="AQ320" i="5" s="1"/>
  <c r="AS320" i="5" s="1"/>
  <c r="AU320" i="5" s="1"/>
  <c r="AW320" i="5" s="1"/>
  <c r="AY320" i="5" s="1"/>
  <c r="BA320" i="5" s="1"/>
  <c r="BC320" i="5" s="1"/>
  <c r="BE320" i="5" s="1"/>
  <c r="AF320" i="5"/>
  <c r="AF321" i="5" s="1"/>
  <c r="AD320" i="5"/>
  <c r="AD321" i="5" s="1"/>
  <c r="Z320" i="5"/>
  <c r="W320" i="5"/>
  <c r="W321" i="5" s="1"/>
  <c r="U320" i="5"/>
  <c r="U321" i="5" s="1"/>
  <c r="S320" i="5"/>
  <c r="S321" i="5" s="1"/>
  <c r="N320" i="5"/>
  <c r="N321" i="5" s="1"/>
  <c r="K320" i="5"/>
  <c r="K321" i="5" s="1"/>
  <c r="H320" i="5"/>
  <c r="H321" i="5" s="1"/>
  <c r="E320" i="5"/>
  <c r="E321" i="5" s="1"/>
  <c r="AM319" i="5"/>
  <c r="Z317" i="5"/>
  <c r="AI315" i="5"/>
  <c r="AE315" i="5"/>
  <c r="AC315" i="5"/>
  <c r="Y315" i="5"/>
  <c r="V315" i="5"/>
  <c r="T315" i="5"/>
  <c r="R315" i="5"/>
  <c r="L315" i="5"/>
  <c r="J315" i="5"/>
  <c r="F315" i="5"/>
  <c r="D315" i="5"/>
  <c r="B315" i="5"/>
  <c r="AK314" i="5"/>
  <c r="AM314" i="5" s="1"/>
  <c r="AO314" i="5" s="1"/>
  <c r="AQ314" i="5" s="1"/>
  <c r="AS314" i="5" s="1"/>
  <c r="AU314" i="5" s="1"/>
  <c r="AW314" i="5" s="1"/>
  <c r="AY314" i="5" s="1"/>
  <c r="BA314" i="5" s="1"/>
  <c r="BC314" i="5" s="1"/>
  <c r="BE314" i="5" s="1"/>
  <c r="AF314" i="5"/>
  <c r="AD314" i="5"/>
  <c r="Z314" i="5"/>
  <c r="W314" i="5"/>
  <c r="S314" i="5"/>
  <c r="P314" i="5"/>
  <c r="U314" i="5" s="1"/>
  <c r="N314" i="5"/>
  <c r="K314" i="5"/>
  <c r="H314" i="5"/>
  <c r="E314" i="5"/>
  <c r="AF313" i="5"/>
  <c r="AD313" i="5"/>
  <c r="Z313" i="5"/>
  <c r="W313" i="5"/>
  <c r="U313" i="5"/>
  <c r="S313" i="5"/>
  <c r="N313" i="5"/>
  <c r="K313" i="5"/>
  <c r="H313" i="5"/>
  <c r="E313" i="5"/>
  <c r="AF312" i="5"/>
  <c r="AD312" i="5"/>
  <c r="Z312" i="5"/>
  <c r="W312" i="5"/>
  <c r="U312" i="5"/>
  <c r="S312" i="5"/>
  <c r="N312" i="5"/>
  <c r="K312" i="5"/>
  <c r="H312" i="5"/>
  <c r="E312" i="5"/>
  <c r="AK311" i="5"/>
  <c r="AM311" i="5" s="1"/>
  <c r="AO311" i="5" s="1"/>
  <c r="AQ311" i="5" s="1"/>
  <c r="AS311" i="5" s="1"/>
  <c r="AU311" i="5" s="1"/>
  <c r="AW311" i="5" s="1"/>
  <c r="AY311" i="5" s="1"/>
  <c r="BA311" i="5" s="1"/>
  <c r="BC311" i="5" s="1"/>
  <c r="BE311" i="5" s="1"/>
  <c r="AF311" i="5"/>
  <c r="AD311" i="5"/>
  <c r="Z311" i="5"/>
  <c r="W311" i="5"/>
  <c r="S311" i="5"/>
  <c r="P311" i="5"/>
  <c r="U311" i="5" s="1"/>
  <c r="N311" i="5"/>
  <c r="K311" i="5"/>
  <c r="H311" i="5"/>
  <c r="E311" i="5"/>
  <c r="AK310" i="5"/>
  <c r="AM310" i="5" s="1"/>
  <c r="AO310" i="5" s="1"/>
  <c r="AQ310" i="5" s="1"/>
  <c r="AS310" i="5" s="1"/>
  <c r="AU310" i="5" s="1"/>
  <c r="AW310" i="5" s="1"/>
  <c r="AY310" i="5" s="1"/>
  <c r="BA310" i="5" s="1"/>
  <c r="BC310" i="5" s="1"/>
  <c r="BE310" i="5" s="1"/>
  <c r="AF310" i="5"/>
  <c r="AD310" i="5"/>
  <c r="Z310" i="5"/>
  <c r="W310" i="5"/>
  <c r="S310" i="5"/>
  <c r="P310" i="5"/>
  <c r="U310" i="5" s="1"/>
  <c r="N310" i="5"/>
  <c r="K310" i="5"/>
  <c r="H310" i="5"/>
  <c r="E310" i="5"/>
  <c r="AK309" i="5"/>
  <c r="AF309" i="5"/>
  <c r="AD309" i="5"/>
  <c r="Z309" i="5"/>
  <c r="W309" i="5"/>
  <c r="S309" i="5"/>
  <c r="P309" i="5"/>
  <c r="U309" i="5" s="1"/>
  <c r="N309" i="5"/>
  <c r="K309" i="5"/>
  <c r="H309" i="5"/>
  <c r="E309" i="5"/>
  <c r="AF308" i="5"/>
  <c r="AD308" i="5"/>
  <c r="AE305" i="5"/>
  <c r="AC305" i="5"/>
  <c r="Y305" i="5"/>
  <c r="V305" i="5"/>
  <c r="T305" i="5"/>
  <c r="R305" i="5"/>
  <c r="L305" i="5"/>
  <c r="J305" i="5"/>
  <c r="F305" i="5"/>
  <c r="D305" i="5"/>
  <c r="B305" i="5"/>
  <c r="AF304" i="5"/>
  <c r="AD304" i="5"/>
  <c r="N304" i="5"/>
  <c r="K304" i="5"/>
  <c r="H304" i="5"/>
  <c r="E304" i="5"/>
  <c r="AI303" i="5"/>
  <c r="AF303" i="5"/>
  <c r="AD303" i="5"/>
  <c r="Z303" i="5"/>
  <c r="Z305" i="5" s="1"/>
  <c r="W303" i="5"/>
  <c r="W305" i="5" s="1"/>
  <c r="S303" i="5"/>
  <c r="S305" i="5" s="1"/>
  <c r="P303" i="5"/>
  <c r="P305" i="5" s="1"/>
  <c r="N303" i="5"/>
  <c r="K303" i="5"/>
  <c r="H303" i="5"/>
  <c r="E303" i="5"/>
  <c r="AE298" i="5"/>
  <c r="AC298" i="5"/>
  <c r="Y298" i="5"/>
  <c r="V298" i="5"/>
  <c r="T298" i="5"/>
  <c r="R298" i="5"/>
  <c r="L298" i="5"/>
  <c r="J298" i="5"/>
  <c r="F298" i="5"/>
  <c r="D298" i="5"/>
  <c r="B298" i="5"/>
  <c r="AF297" i="5"/>
  <c r="AD297" i="5"/>
  <c r="Z297" i="5"/>
  <c r="W297" i="5"/>
  <c r="U297" i="5"/>
  <c r="S297" i="5"/>
  <c r="N297" i="5"/>
  <c r="K297" i="5"/>
  <c r="H297" i="5"/>
  <c r="E297" i="5"/>
  <c r="AI287" i="5"/>
  <c r="AI298" i="5" s="1"/>
  <c r="AF287" i="5"/>
  <c r="AD287" i="5"/>
  <c r="Z287" i="5"/>
  <c r="W287" i="5"/>
  <c r="S287" i="5"/>
  <c r="P287" i="5"/>
  <c r="P298" i="5" s="1"/>
  <c r="N287" i="5"/>
  <c r="K287" i="5"/>
  <c r="H287" i="5"/>
  <c r="E287" i="5"/>
  <c r="AF275" i="5"/>
  <c r="AD275" i="5"/>
  <c r="Z275" i="5"/>
  <c r="W275" i="5"/>
  <c r="U275" i="5"/>
  <c r="S275" i="5"/>
  <c r="N275" i="5"/>
  <c r="K275" i="5"/>
  <c r="H275" i="5"/>
  <c r="E275" i="5"/>
  <c r="BA265" i="5"/>
  <c r="AY265" i="5"/>
  <c r="AW265" i="5"/>
  <c r="AU265" i="5"/>
  <c r="AS265" i="5"/>
  <c r="AQ265" i="5"/>
  <c r="AO265" i="5"/>
  <c r="AM265" i="5"/>
  <c r="AI265" i="5"/>
  <c r="AE265" i="5"/>
  <c r="AC265" i="5"/>
  <c r="Y265" i="5"/>
  <c r="V265" i="5"/>
  <c r="T265" i="5"/>
  <c r="R265" i="5"/>
  <c r="P265" i="5"/>
  <c r="L265" i="5"/>
  <c r="J265" i="5"/>
  <c r="F265" i="5"/>
  <c r="D265" i="5"/>
  <c r="B265" i="5"/>
  <c r="AF263" i="5"/>
  <c r="AD263" i="5"/>
  <c r="Z263" i="5"/>
  <c r="W263" i="5"/>
  <c r="U263" i="5"/>
  <c r="S263" i="5"/>
  <c r="N263" i="5"/>
  <c r="K263" i="5"/>
  <c r="H263" i="5"/>
  <c r="E263" i="5"/>
  <c r="AF262" i="5"/>
  <c r="AD262" i="5"/>
  <c r="Z262" i="5"/>
  <c r="W262" i="5"/>
  <c r="AF261" i="5"/>
  <c r="AD261" i="5"/>
  <c r="Z261" i="5"/>
  <c r="W261" i="5"/>
  <c r="U261" i="5"/>
  <c r="S261" i="5"/>
  <c r="N261" i="5"/>
  <c r="K261" i="5"/>
  <c r="H261" i="5"/>
  <c r="E261" i="5"/>
  <c r="AF260" i="5"/>
  <c r="AD260" i="5"/>
  <c r="Z260" i="5"/>
  <c r="W260" i="5"/>
  <c r="U260" i="5"/>
  <c r="S260" i="5"/>
  <c r="N260" i="5"/>
  <c r="K260" i="5"/>
  <c r="H260" i="5"/>
  <c r="E260" i="5"/>
  <c r="AF259" i="5"/>
  <c r="AD259" i="5"/>
  <c r="Z259" i="5"/>
  <c r="W259" i="5"/>
  <c r="U259" i="5"/>
  <c r="S259" i="5"/>
  <c r="N259" i="5"/>
  <c r="K259" i="5"/>
  <c r="H259" i="5"/>
  <c r="E259" i="5"/>
  <c r="AF258" i="5"/>
  <c r="AD258" i="5"/>
  <c r="Z258" i="5"/>
  <c r="W258" i="5"/>
  <c r="U258" i="5"/>
  <c r="S258" i="5"/>
  <c r="N258" i="5"/>
  <c r="K258" i="5"/>
  <c r="H258" i="5"/>
  <c r="E258" i="5"/>
  <c r="AF257" i="5"/>
  <c r="AD257" i="5"/>
  <c r="Z257" i="5"/>
  <c r="W257" i="5"/>
  <c r="U257" i="5"/>
  <c r="S257" i="5"/>
  <c r="N257" i="5"/>
  <c r="K257" i="5"/>
  <c r="H257" i="5"/>
  <c r="E257" i="5"/>
  <c r="AF256" i="5"/>
  <c r="AD256" i="5"/>
  <c r="Z256" i="5"/>
  <c r="W256" i="5"/>
  <c r="U256" i="5"/>
  <c r="S256" i="5"/>
  <c r="N256" i="5"/>
  <c r="K256" i="5"/>
  <c r="H256" i="5"/>
  <c r="E256" i="5"/>
  <c r="AF255" i="5"/>
  <c r="AD255" i="5"/>
  <c r="Z255" i="5"/>
  <c r="W255" i="5"/>
  <c r="U255" i="5"/>
  <c r="S255" i="5"/>
  <c r="N255" i="5"/>
  <c r="K255" i="5"/>
  <c r="H255" i="5"/>
  <c r="E255" i="5"/>
  <c r="AF254" i="5"/>
  <c r="AD254" i="5"/>
  <c r="Z254" i="5"/>
  <c r="W254" i="5"/>
  <c r="U254" i="5"/>
  <c r="S254" i="5"/>
  <c r="N254" i="5"/>
  <c r="K254" i="5"/>
  <c r="H254" i="5"/>
  <c r="E254" i="5"/>
  <c r="AF253" i="5"/>
  <c r="AD253" i="5"/>
  <c r="Z253" i="5"/>
  <c r="W253" i="5"/>
  <c r="U253" i="5"/>
  <c r="S253" i="5"/>
  <c r="N253" i="5"/>
  <c r="K253" i="5"/>
  <c r="H253" i="5"/>
  <c r="E253" i="5"/>
  <c r="AF252" i="5"/>
  <c r="AD252" i="5"/>
  <c r="Z252" i="5"/>
  <c r="W252" i="5"/>
  <c r="U252" i="5"/>
  <c r="S252" i="5"/>
  <c r="N252" i="5"/>
  <c r="K252" i="5"/>
  <c r="H252" i="5"/>
  <c r="E252" i="5"/>
  <c r="AF251" i="5"/>
  <c r="AD251" i="5"/>
  <c r="Z251" i="5"/>
  <c r="W251" i="5"/>
  <c r="U251" i="5"/>
  <c r="S251" i="5"/>
  <c r="N251" i="5"/>
  <c r="K251" i="5"/>
  <c r="H251" i="5"/>
  <c r="E251" i="5"/>
  <c r="AK250" i="5"/>
  <c r="AK697" i="5" s="1"/>
  <c r="AF250" i="5"/>
  <c r="AD250" i="5"/>
  <c r="Z250" i="5"/>
  <c r="W250" i="5"/>
  <c r="U250" i="5"/>
  <c r="S250" i="5"/>
  <c r="N250" i="5"/>
  <c r="K250" i="5"/>
  <c r="H250" i="5"/>
  <c r="E250" i="5"/>
  <c r="BA248" i="5"/>
  <c r="AY248" i="5"/>
  <c r="AW248" i="5"/>
  <c r="AU248" i="5"/>
  <c r="AS248" i="5"/>
  <c r="AQ248" i="5"/>
  <c r="AO248" i="5"/>
  <c r="AM248" i="5"/>
  <c r="AK248" i="5"/>
  <c r="AI248" i="5"/>
  <c r="AD248" i="5"/>
  <c r="AC248" i="5"/>
  <c r="AF248" i="5" s="1"/>
  <c r="Z248" i="5"/>
  <c r="Y248" i="5"/>
  <c r="W248" i="5"/>
  <c r="V248" i="5"/>
  <c r="U248" i="5"/>
  <c r="T248" i="5"/>
  <c r="S248" i="5"/>
  <c r="R248" i="5"/>
  <c r="P248" i="5"/>
  <c r="N248" i="5"/>
  <c r="L248" i="5"/>
  <c r="K248" i="5"/>
  <c r="J248" i="5"/>
  <c r="H248" i="5"/>
  <c r="F248" i="5"/>
  <c r="E248" i="5"/>
  <c r="D248" i="5"/>
  <c r="B248" i="5"/>
  <c r="BA244" i="5"/>
  <c r="AY244" i="5"/>
  <c r="AW244" i="5"/>
  <c r="AU244" i="5"/>
  <c r="AS244" i="5"/>
  <c r="AQ244" i="5"/>
  <c r="AO244" i="5"/>
  <c r="AM244" i="5"/>
  <c r="AK244" i="5"/>
  <c r="AI244" i="5"/>
  <c r="AC244" i="5"/>
  <c r="AF244" i="5" s="1"/>
  <c r="Z244" i="5"/>
  <c r="Y244" i="5"/>
  <c r="W244" i="5"/>
  <c r="V244" i="5"/>
  <c r="U244" i="5"/>
  <c r="T244" i="5"/>
  <c r="S244" i="5"/>
  <c r="R244" i="5"/>
  <c r="P244" i="5"/>
  <c r="K244" i="5"/>
  <c r="H244" i="5"/>
  <c r="F244" i="5"/>
  <c r="E244" i="5"/>
  <c r="D244" i="5"/>
  <c r="B244" i="5"/>
  <c r="BA239" i="5"/>
  <c r="AY239" i="5"/>
  <c r="AW239" i="5"/>
  <c r="AU239" i="5"/>
  <c r="AS239" i="5"/>
  <c r="AQ239" i="5"/>
  <c r="AO239" i="5"/>
  <c r="AM239" i="5"/>
  <c r="AK239" i="5"/>
  <c r="AI239" i="5"/>
  <c r="AE239" i="5"/>
  <c r="AC239" i="5"/>
  <c r="Y239" i="5"/>
  <c r="V239" i="5"/>
  <c r="T239" i="5"/>
  <c r="R239" i="5"/>
  <c r="P239" i="5"/>
  <c r="L239" i="5"/>
  <c r="J239" i="5"/>
  <c r="F239" i="5"/>
  <c r="D239" i="5"/>
  <c r="B239" i="5"/>
  <c r="AF238" i="5"/>
  <c r="AF239" i="5" s="1"/>
  <c r="AD238" i="5"/>
  <c r="AD239" i="5" s="1"/>
  <c r="Z238" i="5"/>
  <c r="Z239" i="5" s="1"/>
  <c r="W238" i="5"/>
  <c r="W239" i="5" s="1"/>
  <c r="U238" i="5"/>
  <c r="U239" i="5" s="1"/>
  <c r="S238" i="5"/>
  <c r="S239" i="5" s="1"/>
  <c r="N238" i="5"/>
  <c r="K238" i="5"/>
  <c r="H238" i="5"/>
  <c r="H239" i="5" s="1"/>
  <c r="E238" i="5"/>
  <c r="E239" i="5" s="1"/>
  <c r="N236" i="5"/>
  <c r="N239" i="5" s="1"/>
  <c r="K236" i="5"/>
  <c r="N233" i="5"/>
  <c r="K233" i="5"/>
  <c r="E233" i="5"/>
  <c r="AE229" i="5"/>
  <c r="AC229" i="5"/>
  <c r="Y229" i="5"/>
  <c r="V229" i="5"/>
  <c r="T229" i="5"/>
  <c r="R229" i="5"/>
  <c r="P229" i="5"/>
  <c r="L229" i="5"/>
  <c r="J229" i="5"/>
  <c r="F229" i="5"/>
  <c r="D229" i="5"/>
  <c r="B229" i="5"/>
  <c r="AF228" i="5"/>
  <c r="AD228" i="5"/>
  <c r="Z228" i="5"/>
  <c r="W228" i="5"/>
  <c r="U228" i="5"/>
  <c r="S228" i="5"/>
  <c r="N228" i="5"/>
  <c r="K228" i="5"/>
  <c r="H228" i="5"/>
  <c r="E228" i="5"/>
  <c r="AF227" i="5"/>
  <c r="AD227" i="5"/>
  <c r="Z227" i="5"/>
  <c r="W227" i="5"/>
  <c r="U227" i="5"/>
  <c r="S227" i="5"/>
  <c r="N227" i="5"/>
  <c r="K227" i="5"/>
  <c r="H227" i="5"/>
  <c r="E227" i="5"/>
  <c r="AF226" i="5"/>
  <c r="AD226" i="5"/>
  <c r="Z226" i="5"/>
  <c r="W226" i="5"/>
  <c r="U226" i="5"/>
  <c r="S226" i="5"/>
  <c r="N226" i="5"/>
  <c r="K226" i="5"/>
  <c r="H226" i="5"/>
  <c r="E226" i="5"/>
  <c r="AK225" i="5"/>
  <c r="AM225" i="5" s="1"/>
  <c r="AO225" i="5" s="1"/>
  <c r="AQ225" i="5" s="1"/>
  <c r="AS225" i="5" s="1"/>
  <c r="AU225" i="5" s="1"/>
  <c r="AW225" i="5" s="1"/>
  <c r="AY225" i="5" s="1"/>
  <c r="BA225" i="5" s="1"/>
  <c r="AF225" i="5"/>
  <c r="AD225" i="5"/>
  <c r="Z225" i="5"/>
  <c r="W225" i="5"/>
  <c r="U225" i="5"/>
  <c r="S225" i="5"/>
  <c r="N225" i="5"/>
  <c r="K225" i="5"/>
  <c r="H225" i="5"/>
  <c r="E225" i="5"/>
  <c r="AK224" i="5"/>
  <c r="AM224" i="5" s="1"/>
  <c r="AF224" i="5"/>
  <c r="AD224" i="5"/>
  <c r="Z224" i="5"/>
  <c r="W224" i="5"/>
  <c r="U224" i="5"/>
  <c r="S224" i="5"/>
  <c r="N224" i="5"/>
  <c r="K224" i="5"/>
  <c r="H224" i="5"/>
  <c r="E224" i="5"/>
  <c r="AI219" i="5"/>
  <c r="AE219" i="5"/>
  <c r="AC219" i="5"/>
  <c r="Y219" i="5"/>
  <c r="V219" i="5"/>
  <c r="T219" i="5"/>
  <c r="R219" i="5"/>
  <c r="P219" i="5"/>
  <c r="L219" i="5"/>
  <c r="J219" i="5"/>
  <c r="F219" i="5"/>
  <c r="D219" i="5"/>
  <c r="B219" i="5"/>
  <c r="AK218" i="5"/>
  <c r="AM218" i="5" s="1"/>
  <c r="AO218" i="5" s="1"/>
  <c r="AQ218" i="5" s="1"/>
  <c r="AS218" i="5" s="1"/>
  <c r="AU218" i="5" s="1"/>
  <c r="AW218" i="5" s="1"/>
  <c r="AY218" i="5" s="1"/>
  <c r="BA218" i="5" s="1"/>
  <c r="AF218" i="5"/>
  <c r="AD218" i="5"/>
  <c r="Z218" i="5"/>
  <c r="W218" i="5"/>
  <c r="U218" i="5"/>
  <c r="S218" i="5"/>
  <c r="N218" i="5"/>
  <c r="K218" i="5"/>
  <c r="H218" i="5"/>
  <c r="E218" i="5"/>
  <c r="AK207" i="5"/>
  <c r="AM207" i="5" s="1"/>
  <c r="AF207" i="5"/>
  <c r="AD207" i="5"/>
  <c r="Z207" i="5"/>
  <c r="W207" i="5"/>
  <c r="U207" i="5"/>
  <c r="S207" i="5"/>
  <c r="N207" i="5"/>
  <c r="K207" i="5"/>
  <c r="H207" i="5"/>
  <c r="E207" i="5"/>
  <c r="AF203" i="5"/>
  <c r="AD203" i="5"/>
  <c r="Z203" i="5"/>
  <c r="W203" i="5"/>
  <c r="U203" i="5"/>
  <c r="S203" i="5"/>
  <c r="N203" i="5"/>
  <c r="K203" i="5"/>
  <c r="H203" i="5"/>
  <c r="E203" i="5"/>
  <c r="BA196" i="5"/>
  <c r="BA211" i="1" s="1"/>
  <c r="AY196" i="5"/>
  <c r="AW196" i="5"/>
  <c r="AU196" i="5"/>
  <c r="AS196" i="5"/>
  <c r="AQ196" i="5"/>
  <c r="AO196" i="5"/>
  <c r="AM196" i="5"/>
  <c r="AK196" i="5"/>
  <c r="AI196" i="5"/>
  <c r="AF196" i="5"/>
  <c r="AE196" i="5"/>
  <c r="AD196" i="5"/>
  <c r="AC196" i="5"/>
  <c r="Y196" i="5"/>
  <c r="W196" i="5"/>
  <c r="V196" i="5"/>
  <c r="U196" i="5"/>
  <c r="T196" i="5"/>
  <c r="S196" i="5"/>
  <c r="R196" i="5"/>
  <c r="P196" i="5"/>
  <c r="N196" i="5"/>
  <c r="L196" i="5"/>
  <c r="K196" i="5"/>
  <c r="J196" i="5"/>
  <c r="H196" i="5"/>
  <c r="F196" i="5"/>
  <c r="E196" i="5"/>
  <c r="D196" i="5"/>
  <c r="B196" i="5"/>
  <c r="Z194" i="5"/>
  <c r="Z196" i="5" s="1"/>
  <c r="AE189" i="5"/>
  <c r="AC189" i="5"/>
  <c r="Y189" i="5"/>
  <c r="V189" i="5"/>
  <c r="T189" i="5"/>
  <c r="R189" i="5"/>
  <c r="P189" i="5"/>
  <c r="L189" i="5"/>
  <c r="J189" i="5"/>
  <c r="F189" i="5"/>
  <c r="D189" i="5"/>
  <c r="B189" i="5"/>
  <c r="AF188" i="5"/>
  <c r="AD188" i="5"/>
  <c r="Z188" i="5"/>
  <c r="W188" i="5"/>
  <c r="U188" i="5"/>
  <c r="S188" i="5"/>
  <c r="N188" i="5"/>
  <c r="K188" i="5"/>
  <c r="H188" i="5"/>
  <c r="AK187" i="5"/>
  <c r="AM187" i="5" s="1"/>
  <c r="AO187" i="5" s="1"/>
  <c r="AQ187" i="5" s="1"/>
  <c r="AS187" i="5" s="1"/>
  <c r="AU187" i="5" s="1"/>
  <c r="AW187" i="5" s="1"/>
  <c r="AY187" i="5" s="1"/>
  <c r="BA187" i="5" s="1"/>
  <c r="AF187" i="5"/>
  <c r="AD187" i="5"/>
  <c r="Z187" i="5"/>
  <c r="W187" i="5"/>
  <c r="U187" i="5"/>
  <c r="S187" i="5"/>
  <c r="N187" i="5"/>
  <c r="K187" i="5"/>
  <c r="H187" i="5"/>
  <c r="E187" i="5"/>
  <c r="AF186" i="5"/>
  <c r="AD186" i="5"/>
  <c r="Z186" i="5"/>
  <c r="W186" i="5"/>
  <c r="U186" i="5"/>
  <c r="S186" i="5"/>
  <c r="N186" i="5"/>
  <c r="K186" i="5"/>
  <c r="H186" i="5"/>
  <c r="E186" i="5"/>
  <c r="AF185" i="5"/>
  <c r="AD185" i="5"/>
  <c r="Z185" i="5"/>
  <c r="W185" i="5"/>
  <c r="U185" i="5"/>
  <c r="S185" i="5"/>
  <c r="N185" i="5"/>
  <c r="K185" i="5"/>
  <c r="H185" i="5"/>
  <c r="E185" i="5"/>
  <c r="AF184" i="5"/>
  <c r="AD184" i="5"/>
  <c r="Z184" i="5"/>
  <c r="W184" i="5"/>
  <c r="U184" i="5"/>
  <c r="S184" i="5"/>
  <c r="N184" i="5"/>
  <c r="K184" i="5"/>
  <c r="AK183" i="5"/>
  <c r="AF183" i="5"/>
  <c r="AD183" i="5"/>
  <c r="Z183" i="5"/>
  <c r="W183" i="5"/>
  <c r="U183" i="5"/>
  <c r="S183" i="5"/>
  <c r="N183" i="5"/>
  <c r="K183" i="5"/>
  <c r="H183" i="5"/>
  <c r="E183" i="5"/>
  <c r="AF177" i="5"/>
  <c r="AD177" i="5"/>
  <c r="Z177" i="5"/>
  <c r="W177" i="5"/>
  <c r="U177" i="5"/>
  <c r="S177" i="5"/>
  <c r="H177" i="5"/>
  <c r="N177" i="5" s="1"/>
  <c r="E177" i="5"/>
  <c r="AE175" i="5"/>
  <c r="AC175" i="5"/>
  <c r="Y175" i="5"/>
  <c r="V175" i="5"/>
  <c r="T175" i="5"/>
  <c r="R175" i="5"/>
  <c r="L175" i="5"/>
  <c r="J175" i="5"/>
  <c r="F175" i="5"/>
  <c r="D175" i="5"/>
  <c r="B175" i="5"/>
  <c r="AI174" i="5"/>
  <c r="AF174" i="5"/>
  <c r="AF175" i="5" s="1"/>
  <c r="AD174" i="5"/>
  <c r="AD175" i="5" s="1"/>
  <c r="Z174" i="5"/>
  <c r="Z175" i="5" s="1"/>
  <c r="W174" i="5"/>
  <c r="W175" i="5" s="1"/>
  <c r="S174" i="5"/>
  <c r="S175" i="5" s="1"/>
  <c r="P174" i="5"/>
  <c r="P175" i="5" s="1"/>
  <c r="N174" i="5"/>
  <c r="N175" i="5" s="1"/>
  <c r="K174" i="5"/>
  <c r="K175" i="5" s="1"/>
  <c r="H174" i="5"/>
  <c r="H175" i="5" s="1"/>
  <c r="E174" i="5"/>
  <c r="E173" i="5"/>
  <c r="AI171" i="5"/>
  <c r="AE171" i="5"/>
  <c r="AC171" i="5"/>
  <c r="Y171" i="5"/>
  <c r="V171" i="5"/>
  <c r="T171" i="5"/>
  <c r="R171" i="5"/>
  <c r="L171" i="5"/>
  <c r="J171" i="5"/>
  <c r="F171" i="5"/>
  <c r="D171" i="5"/>
  <c r="B171" i="5"/>
  <c r="AK170" i="5"/>
  <c r="AK171" i="5" s="1"/>
  <c r="AF170" i="5"/>
  <c r="AF171" i="5" s="1"/>
  <c r="AD170" i="5"/>
  <c r="AD171" i="5" s="1"/>
  <c r="Z170" i="5"/>
  <c r="W170" i="5"/>
  <c r="W171" i="5" s="1"/>
  <c r="S170" i="5"/>
  <c r="S171" i="5" s="1"/>
  <c r="P170" i="5"/>
  <c r="P171" i="5" s="1"/>
  <c r="N170" i="5"/>
  <c r="N171" i="5" s="1"/>
  <c r="K170" i="5"/>
  <c r="K171" i="5" s="1"/>
  <c r="H170" i="5"/>
  <c r="H171" i="5" s="1"/>
  <c r="E170" i="5"/>
  <c r="E171" i="5" s="1"/>
  <c r="Z169" i="5"/>
  <c r="Z168" i="5"/>
  <c r="AI166" i="5"/>
  <c r="AE166" i="5"/>
  <c r="AC166" i="5"/>
  <c r="Y166" i="5"/>
  <c r="V166" i="5"/>
  <c r="T166" i="5"/>
  <c r="R166" i="5"/>
  <c r="L166" i="5"/>
  <c r="J166" i="5"/>
  <c r="F166" i="5"/>
  <c r="D166" i="5"/>
  <c r="B166" i="5"/>
  <c r="AF164" i="5"/>
  <c r="AD164" i="5"/>
  <c r="Z164" i="5"/>
  <c r="W164" i="5"/>
  <c r="U164" i="5"/>
  <c r="S164" i="5"/>
  <c r="N164" i="5"/>
  <c r="K164" i="5"/>
  <c r="H164" i="5"/>
  <c r="E164" i="5"/>
  <c r="AK163" i="5"/>
  <c r="AM163" i="5" s="1"/>
  <c r="AO163" i="5" s="1"/>
  <c r="AQ163" i="5" s="1"/>
  <c r="AS163" i="5" s="1"/>
  <c r="AU163" i="5" s="1"/>
  <c r="AW163" i="5" s="1"/>
  <c r="AY163" i="5" s="1"/>
  <c r="BA163" i="5" s="1"/>
  <c r="AF163" i="5"/>
  <c r="AD163" i="5"/>
  <c r="Z163" i="5"/>
  <c r="W163" i="5"/>
  <c r="S163" i="5"/>
  <c r="P163" i="5"/>
  <c r="U163" i="5" s="1"/>
  <c r="N163" i="5"/>
  <c r="K163" i="5"/>
  <c r="H163" i="5"/>
  <c r="E163" i="5"/>
  <c r="AK162" i="5"/>
  <c r="AF162" i="5"/>
  <c r="AD162" i="5"/>
  <c r="Z162" i="5"/>
  <c r="W162" i="5"/>
  <c r="S162" i="5"/>
  <c r="P162" i="5"/>
  <c r="N162" i="5"/>
  <c r="K162" i="5"/>
  <c r="H162" i="5"/>
  <c r="E162" i="5"/>
  <c r="AI157" i="5"/>
  <c r="AF157" i="5"/>
  <c r="AD157" i="5"/>
  <c r="Z157" i="5"/>
  <c r="W157" i="5"/>
  <c r="S157" i="5"/>
  <c r="P157" i="5"/>
  <c r="U157" i="5" s="1"/>
  <c r="N157" i="5"/>
  <c r="K157" i="5"/>
  <c r="H157" i="5"/>
  <c r="E157" i="5"/>
  <c r="AE153" i="5"/>
  <c r="AC153" i="5"/>
  <c r="Y153" i="5"/>
  <c r="V153" i="5"/>
  <c r="T153" i="5"/>
  <c r="R153" i="5"/>
  <c r="L153" i="5"/>
  <c r="J153" i="5"/>
  <c r="F153" i="5"/>
  <c r="D153" i="5"/>
  <c r="B153" i="5"/>
  <c r="AM152" i="5"/>
  <c r="AO152" i="5" s="1"/>
  <c r="AQ152" i="5" s="1"/>
  <c r="AS152" i="5" s="1"/>
  <c r="AU152" i="5" s="1"/>
  <c r="AW152" i="5" s="1"/>
  <c r="AY152" i="5" s="1"/>
  <c r="BA152" i="5" s="1"/>
  <c r="AF152" i="5"/>
  <c r="AD152" i="5"/>
  <c r="Z152" i="5"/>
  <c r="W152" i="5"/>
  <c r="S152" i="5"/>
  <c r="P152" i="5"/>
  <c r="U152" i="5" s="1"/>
  <c r="N152" i="5"/>
  <c r="K152" i="5"/>
  <c r="H152" i="5"/>
  <c r="E152" i="5"/>
  <c r="AM151" i="5"/>
  <c r="AO151" i="5" s="1"/>
  <c r="AQ151" i="5" s="1"/>
  <c r="AS151" i="5" s="1"/>
  <c r="AU151" i="5" s="1"/>
  <c r="AW151" i="5" s="1"/>
  <c r="AY151" i="5" s="1"/>
  <c r="BA151" i="5" s="1"/>
  <c r="AF151" i="5"/>
  <c r="AD151" i="5"/>
  <c r="Z151" i="5"/>
  <c r="W151" i="5"/>
  <c r="U151" i="5"/>
  <c r="S151" i="5"/>
  <c r="N151" i="5"/>
  <c r="K151" i="5"/>
  <c r="H151" i="5"/>
  <c r="E151" i="5"/>
  <c r="AI150" i="5"/>
  <c r="AK150" i="5" s="1"/>
  <c r="AM150" i="5" s="1"/>
  <c r="AO150" i="5" s="1"/>
  <c r="AQ150" i="5" s="1"/>
  <c r="AS150" i="5" s="1"/>
  <c r="AU150" i="5" s="1"/>
  <c r="AW150" i="5" s="1"/>
  <c r="AY150" i="5" s="1"/>
  <c r="BA150" i="5" s="1"/>
  <c r="AF150" i="5"/>
  <c r="AD150" i="5"/>
  <c r="Z150" i="5"/>
  <c r="W150" i="5"/>
  <c r="S150" i="5"/>
  <c r="P150" i="5"/>
  <c r="U150" i="5" s="1"/>
  <c r="N150" i="5"/>
  <c r="K150" i="5"/>
  <c r="H150" i="5"/>
  <c r="E150" i="5"/>
  <c r="AF149" i="5"/>
  <c r="AD149" i="5"/>
  <c r="Z149" i="5"/>
  <c r="W149" i="5"/>
  <c r="U149" i="5"/>
  <c r="S149" i="5"/>
  <c r="N149" i="5"/>
  <c r="K149" i="5"/>
  <c r="H149" i="5"/>
  <c r="E149" i="5"/>
  <c r="AF148" i="5"/>
  <c r="AD148" i="5"/>
  <c r="Z148" i="5"/>
  <c r="W148" i="5"/>
  <c r="S148" i="5"/>
  <c r="P148" i="5"/>
  <c r="U148" i="5" s="1"/>
  <c r="N148" i="5"/>
  <c r="K148" i="5"/>
  <c r="H148" i="5"/>
  <c r="E148" i="5"/>
  <c r="AK147" i="5"/>
  <c r="AM147" i="5" s="1"/>
  <c r="AO147" i="5" s="1"/>
  <c r="AQ147" i="5" s="1"/>
  <c r="AS147" i="5" s="1"/>
  <c r="AU147" i="5" s="1"/>
  <c r="AW147" i="5" s="1"/>
  <c r="AY147" i="5" s="1"/>
  <c r="BA147" i="5" s="1"/>
  <c r="AF147" i="5"/>
  <c r="AD147" i="5"/>
  <c r="Z147" i="5"/>
  <c r="W147" i="5"/>
  <c r="S147" i="5"/>
  <c r="P147" i="5"/>
  <c r="U147" i="5" s="1"/>
  <c r="N147" i="5"/>
  <c r="K147" i="5"/>
  <c r="H147" i="5"/>
  <c r="E147" i="5"/>
  <c r="AF146" i="5"/>
  <c r="AD146" i="5"/>
  <c r="Z146" i="5"/>
  <c r="W146" i="5"/>
  <c r="S146" i="5"/>
  <c r="P146" i="5"/>
  <c r="U146" i="5" s="1"/>
  <c r="N146" i="5"/>
  <c r="K146" i="5"/>
  <c r="H146" i="5"/>
  <c r="E146" i="5"/>
  <c r="AI145" i="5"/>
  <c r="AK145" i="5" s="1"/>
  <c r="AM145" i="5" s="1"/>
  <c r="AO145" i="5" s="1"/>
  <c r="AQ145" i="5" s="1"/>
  <c r="AS145" i="5" s="1"/>
  <c r="AU145" i="5" s="1"/>
  <c r="AW145" i="5" s="1"/>
  <c r="AY145" i="5" s="1"/>
  <c r="BA145" i="5" s="1"/>
  <c r="AF145" i="5"/>
  <c r="AD145" i="5"/>
  <c r="Z145" i="5"/>
  <c r="W145" i="5"/>
  <c r="S145" i="5"/>
  <c r="P145" i="5"/>
  <c r="U145" i="5" s="1"/>
  <c r="N145" i="5"/>
  <c r="K145" i="5"/>
  <c r="H145" i="5"/>
  <c r="E145" i="5"/>
  <c r="AI144" i="5"/>
  <c r="AK144" i="5" s="1"/>
  <c r="AM144" i="5" s="1"/>
  <c r="AO144" i="5" s="1"/>
  <c r="AQ144" i="5" s="1"/>
  <c r="AS144" i="5" s="1"/>
  <c r="AU144" i="5" s="1"/>
  <c r="AW144" i="5" s="1"/>
  <c r="AF144" i="5"/>
  <c r="AD144" i="5"/>
  <c r="Z144" i="5"/>
  <c r="W144" i="5"/>
  <c r="S144" i="5"/>
  <c r="P144" i="5"/>
  <c r="U144" i="5" s="1"/>
  <c r="N144" i="5"/>
  <c r="K144" i="5"/>
  <c r="H144" i="5"/>
  <c r="E144" i="5"/>
  <c r="AE142" i="5"/>
  <c r="AC142" i="5"/>
  <c r="Y142" i="5"/>
  <c r="V142" i="5"/>
  <c r="T142" i="5"/>
  <c r="R142" i="5"/>
  <c r="L142" i="5"/>
  <c r="J142" i="5"/>
  <c r="F142" i="5"/>
  <c r="D142" i="5"/>
  <c r="B142" i="5"/>
  <c r="AI141" i="5"/>
  <c r="AK141" i="5" s="1"/>
  <c r="AM141" i="5" s="1"/>
  <c r="AO141" i="5" s="1"/>
  <c r="AQ141" i="5" s="1"/>
  <c r="AS141" i="5" s="1"/>
  <c r="AU141" i="5" s="1"/>
  <c r="AW141" i="5" s="1"/>
  <c r="AY141" i="5" s="1"/>
  <c r="BA141" i="5" s="1"/>
  <c r="AF141" i="5"/>
  <c r="AD141" i="5"/>
  <c r="Z141" i="5"/>
  <c r="W141" i="5"/>
  <c r="S141" i="5"/>
  <c r="P141" i="5"/>
  <c r="U141" i="5" s="1"/>
  <c r="N141" i="5"/>
  <c r="K141" i="5"/>
  <c r="H141" i="5"/>
  <c r="E141" i="5"/>
  <c r="AF140" i="5"/>
  <c r="AD140" i="5"/>
  <c r="Z140" i="5"/>
  <c r="W140" i="5"/>
  <c r="U140" i="5"/>
  <c r="S140" i="5"/>
  <c r="N140" i="5"/>
  <c r="K140" i="5"/>
  <c r="H140" i="5"/>
  <c r="E140" i="5"/>
  <c r="AF139" i="5"/>
  <c r="AD139" i="5"/>
  <c r="Z139" i="5"/>
  <c r="W139" i="5"/>
  <c r="U139" i="5"/>
  <c r="S139" i="5"/>
  <c r="N139" i="5"/>
  <c r="K139" i="5"/>
  <c r="H139" i="5"/>
  <c r="E139" i="5"/>
  <c r="AK138" i="5"/>
  <c r="AM138" i="5" s="1"/>
  <c r="AO138" i="5" s="1"/>
  <c r="AQ138" i="5" s="1"/>
  <c r="AS138" i="5" s="1"/>
  <c r="AU138" i="5" s="1"/>
  <c r="AW138" i="5" s="1"/>
  <c r="AY138" i="5" s="1"/>
  <c r="BA138" i="5" s="1"/>
  <c r="AF138" i="5"/>
  <c r="AD138" i="5"/>
  <c r="Z138" i="5"/>
  <c r="W138" i="5"/>
  <c r="S138" i="5"/>
  <c r="P138" i="5"/>
  <c r="U138" i="5" s="1"/>
  <c r="N138" i="5"/>
  <c r="K138" i="5"/>
  <c r="H138" i="5"/>
  <c r="E138" i="5"/>
  <c r="AK137" i="5"/>
  <c r="AM137" i="5" s="1"/>
  <c r="AO137" i="5" s="1"/>
  <c r="AQ137" i="5" s="1"/>
  <c r="AS137" i="5" s="1"/>
  <c r="AU137" i="5" s="1"/>
  <c r="AW137" i="5" s="1"/>
  <c r="AY137" i="5" s="1"/>
  <c r="BA137" i="5" s="1"/>
  <c r="AF137" i="5"/>
  <c r="AD137" i="5"/>
  <c r="Z137" i="5"/>
  <c r="W137" i="5"/>
  <c r="S137" i="5"/>
  <c r="P137" i="5"/>
  <c r="U137" i="5" s="1"/>
  <c r="N137" i="5"/>
  <c r="K137" i="5"/>
  <c r="H137" i="5"/>
  <c r="E137" i="5"/>
  <c r="AK136" i="5"/>
  <c r="AF136" i="5"/>
  <c r="AD136" i="5"/>
  <c r="Z136" i="5"/>
  <c r="W136" i="5"/>
  <c r="S136" i="5"/>
  <c r="P136" i="5"/>
  <c r="U136" i="5" s="1"/>
  <c r="N136" i="5"/>
  <c r="K136" i="5"/>
  <c r="H136" i="5"/>
  <c r="E136" i="5"/>
  <c r="AE134" i="5"/>
  <c r="AC134" i="5"/>
  <c r="Y134" i="5"/>
  <c r="V134" i="5"/>
  <c r="T134" i="5"/>
  <c r="R134" i="5"/>
  <c r="L134" i="5"/>
  <c r="J134" i="5"/>
  <c r="F134" i="5"/>
  <c r="D134" i="5"/>
  <c r="B134" i="5"/>
  <c r="AF131" i="5"/>
  <c r="AF134" i="5" s="1"/>
  <c r="AD131" i="5"/>
  <c r="AD134" i="5" s="1"/>
  <c r="Z131" i="5"/>
  <c r="Z134" i="5" s="1"/>
  <c r="W131" i="5"/>
  <c r="W134" i="5" s="1"/>
  <c r="S131" i="5"/>
  <c r="S134" i="5" s="1"/>
  <c r="P131" i="5"/>
  <c r="AI131" i="5" s="1"/>
  <c r="N131" i="5"/>
  <c r="N134" i="5" s="1"/>
  <c r="K131" i="5"/>
  <c r="K134" i="5" s="1"/>
  <c r="H131" i="5"/>
  <c r="H134" i="5" s="1"/>
  <c r="E131" i="5"/>
  <c r="E134" i="5" s="1"/>
  <c r="BA127" i="5"/>
  <c r="BA143" i="1" s="1"/>
  <c r="AY127" i="5"/>
  <c r="AW127" i="5"/>
  <c r="AU127" i="5"/>
  <c r="AS127" i="5"/>
  <c r="AQ127" i="5"/>
  <c r="AO127" i="5"/>
  <c r="AM127" i="5"/>
  <c r="AK127" i="5"/>
  <c r="AE127" i="5"/>
  <c r="AC127" i="5"/>
  <c r="Y127" i="5"/>
  <c r="V127" i="5"/>
  <c r="T127" i="5"/>
  <c r="R127" i="5"/>
  <c r="P127" i="5"/>
  <c r="L127" i="5"/>
  <c r="J127" i="5"/>
  <c r="F127" i="5"/>
  <c r="D127" i="5"/>
  <c r="B127" i="5"/>
  <c r="AF126" i="5"/>
  <c r="AD126" i="5"/>
  <c r="Z126" i="5"/>
  <c r="W126" i="5"/>
  <c r="U126" i="5"/>
  <c r="S126" i="5"/>
  <c r="N126" i="5"/>
  <c r="K126" i="5"/>
  <c r="H126" i="5"/>
  <c r="E126" i="5"/>
  <c r="AF125" i="5"/>
  <c r="AD125" i="5"/>
  <c r="AF124" i="5"/>
  <c r="AD124" i="5"/>
  <c r="Z124" i="5"/>
  <c r="Z127" i="5" s="1"/>
  <c r="W124" i="5"/>
  <c r="W127" i="5" s="1"/>
  <c r="U124" i="5"/>
  <c r="S124" i="5"/>
  <c r="S127" i="5" s="1"/>
  <c r="N124" i="5"/>
  <c r="N127" i="5" s="1"/>
  <c r="K124" i="5"/>
  <c r="K127" i="5" s="1"/>
  <c r="H124" i="5"/>
  <c r="E124" i="5"/>
  <c r="E127" i="5" s="1"/>
  <c r="AE118" i="5"/>
  <c r="AC118" i="5"/>
  <c r="Y118" i="5"/>
  <c r="V118" i="5"/>
  <c r="T118" i="5"/>
  <c r="R118" i="5"/>
  <c r="N118" i="5"/>
  <c r="L118" i="5"/>
  <c r="K118" i="5"/>
  <c r="J118" i="5"/>
  <c r="F118" i="5"/>
  <c r="D118" i="5"/>
  <c r="B118" i="5"/>
  <c r="AF117" i="5"/>
  <c r="AF118" i="5" s="1"/>
  <c r="AD117" i="5"/>
  <c r="AD118" i="5" s="1"/>
  <c r="Z117" i="5"/>
  <c r="W117" i="5"/>
  <c r="W118" i="5" s="1"/>
  <c r="S117" i="5"/>
  <c r="S118" i="5" s="1"/>
  <c r="P117" i="5"/>
  <c r="P118" i="5" s="1"/>
  <c r="H117" i="5"/>
  <c r="H118" i="5" s="1"/>
  <c r="E117" i="5"/>
  <c r="E118" i="5" s="1"/>
  <c r="AE114" i="5"/>
  <c r="AC114" i="5"/>
  <c r="Y114" i="5"/>
  <c r="V114" i="5"/>
  <c r="T114" i="5"/>
  <c r="R114" i="5"/>
  <c r="L114" i="5"/>
  <c r="J114" i="5"/>
  <c r="F114" i="5"/>
  <c r="D114" i="5"/>
  <c r="B114" i="5"/>
  <c r="AI113" i="5"/>
  <c r="AK113" i="5" s="1"/>
  <c r="AM113" i="5" s="1"/>
  <c r="AO113" i="5" s="1"/>
  <c r="AQ113" i="5" s="1"/>
  <c r="AS113" i="5" s="1"/>
  <c r="AU113" i="5" s="1"/>
  <c r="AW113" i="5" s="1"/>
  <c r="AY113" i="5" s="1"/>
  <c r="BA113" i="5" s="1"/>
  <c r="AF113" i="5"/>
  <c r="AD113" i="5"/>
  <c r="Z113" i="5"/>
  <c r="W113" i="5"/>
  <c r="S113" i="5"/>
  <c r="P113" i="5"/>
  <c r="U113" i="5" s="1"/>
  <c r="N113" i="5"/>
  <c r="K113" i="5"/>
  <c r="H113" i="5"/>
  <c r="E113" i="5"/>
  <c r="AK112" i="5"/>
  <c r="AM112" i="5" s="1"/>
  <c r="AO112" i="5" s="1"/>
  <c r="AQ112" i="5" s="1"/>
  <c r="AS112" i="5" s="1"/>
  <c r="AU112" i="5" s="1"/>
  <c r="AW112" i="5" s="1"/>
  <c r="AY112" i="5" s="1"/>
  <c r="BA112" i="5" s="1"/>
  <c r="AF112" i="5"/>
  <c r="AD112" i="5"/>
  <c r="Z112" i="5"/>
  <c r="W112" i="5"/>
  <c r="S112" i="5"/>
  <c r="P112" i="5"/>
  <c r="N112" i="5"/>
  <c r="K112" i="5"/>
  <c r="H112" i="5"/>
  <c r="E112" i="5"/>
  <c r="AT111" i="5"/>
  <c r="AV111" i="5" s="1"/>
  <c r="AL111" i="5"/>
  <c r="AN111" i="5" s="1"/>
  <c r="AI111" i="5"/>
  <c r="AF111" i="5"/>
  <c r="AD111" i="5"/>
  <c r="Z111" i="5"/>
  <c r="W111" i="5"/>
  <c r="U111" i="5"/>
  <c r="S111" i="5"/>
  <c r="N111" i="5"/>
  <c r="K111" i="5"/>
  <c r="H111" i="5"/>
  <c r="AF110" i="5"/>
  <c r="AD110" i="5"/>
  <c r="Z110" i="5"/>
  <c r="W110" i="5"/>
  <c r="U110" i="5"/>
  <c r="S110" i="5"/>
  <c r="N110" i="5"/>
  <c r="K110" i="5"/>
  <c r="H110" i="5"/>
  <c r="E110" i="5"/>
  <c r="AT109" i="5"/>
  <c r="AV109" i="5" s="1"/>
  <c r="AL109" i="5"/>
  <c r="AN109" i="5" s="1"/>
  <c r="AK109" i="5"/>
  <c r="AM109" i="5" s="1"/>
  <c r="AO109" i="5" s="1"/>
  <c r="AQ109" i="5" s="1"/>
  <c r="AS109" i="5" s="1"/>
  <c r="AU109" i="5" s="1"/>
  <c r="AW109" i="5" s="1"/>
  <c r="AY109" i="5" s="1"/>
  <c r="BA109" i="5" s="1"/>
  <c r="AF109" i="5"/>
  <c r="AD109" i="5"/>
  <c r="Z109" i="5"/>
  <c r="W109" i="5"/>
  <c r="U109" i="5"/>
  <c r="S109" i="5"/>
  <c r="N109" i="5"/>
  <c r="K109" i="5"/>
  <c r="H109" i="5"/>
  <c r="E109" i="5"/>
  <c r="AT108" i="5"/>
  <c r="AV108" i="5" s="1"/>
  <c r="AL108" i="5"/>
  <c r="AN108" i="5" s="1"/>
  <c r="AI108" i="5"/>
  <c r="AF108" i="5"/>
  <c r="AD108" i="5"/>
  <c r="Z108" i="5"/>
  <c r="W108" i="5"/>
  <c r="U108" i="5"/>
  <c r="S108" i="5"/>
  <c r="N108" i="5"/>
  <c r="K108" i="5"/>
  <c r="H108" i="5"/>
  <c r="E108" i="5"/>
  <c r="AI106" i="5"/>
  <c r="AF106" i="5"/>
  <c r="AE106" i="5"/>
  <c r="AC106" i="5"/>
  <c r="Y106" i="5"/>
  <c r="V106" i="5"/>
  <c r="T106" i="5"/>
  <c r="R106" i="5"/>
  <c r="P106" i="5"/>
  <c r="L106" i="5"/>
  <c r="J106" i="5"/>
  <c r="F106" i="5"/>
  <c r="D106" i="5"/>
  <c r="B106" i="5"/>
  <c r="AK104" i="5"/>
  <c r="AK106" i="5" s="1"/>
  <c r="W104" i="5"/>
  <c r="W106" i="5" s="1"/>
  <c r="U104" i="5"/>
  <c r="U106" i="5" s="1"/>
  <c r="S104" i="5"/>
  <c r="S106" i="5" s="1"/>
  <c r="N104" i="5"/>
  <c r="N106" i="5" s="1"/>
  <c r="K104" i="5"/>
  <c r="K106" i="5" s="1"/>
  <c r="H104" i="5"/>
  <c r="H106" i="5" s="1"/>
  <c r="E104" i="5"/>
  <c r="E106" i="5" s="1"/>
  <c r="AI99" i="5"/>
  <c r="AE99" i="5"/>
  <c r="AC99" i="5"/>
  <c r="Y99" i="5"/>
  <c r="V99" i="5"/>
  <c r="T99" i="5"/>
  <c r="R99" i="5"/>
  <c r="L99" i="5"/>
  <c r="J99" i="5"/>
  <c r="F99" i="5"/>
  <c r="D99" i="5"/>
  <c r="B99" i="5"/>
  <c r="AK98" i="5"/>
  <c r="AK99" i="5" s="1"/>
  <c r="AF98" i="5"/>
  <c r="AF99" i="5" s="1"/>
  <c r="AD98" i="5"/>
  <c r="AD99" i="5" s="1"/>
  <c r="Z98" i="5"/>
  <c r="Z99" i="5" s="1"/>
  <c r="W98" i="5"/>
  <c r="S98" i="5"/>
  <c r="S99" i="5" s="1"/>
  <c r="P98" i="5"/>
  <c r="P99" i="5" s="1"/>
  <c r="N98" i="5"/>
  <c r="N99" i="5" s="1"/>
  <c r="K98" i="5"/>
  <c r="K99" i="5" s="1"/>
  <c r="H98" i="5"/>
  <c r="H99" i="5" s="1"/>
  <c r="E98" i="5"/>
  <c r="W97" i="5"/>
  <c r="E97" i="5"/>
  <c r="E96" i="5"/>
  <c r="AI93" i="5"/>
  <c r="AE93" i="5"/>
  <c r="AC93" i="5"/>
  <c r="Y93" i="5"/>
  <c r="V93" i="5"/>
  <c r="T93" i="5"/>
  <c r="L93" i="5"/>
  <c r="J93" i="5"/>
  <c r="F93" i="5"/>
  <c r="D93" i="5"/>
  <c r="B93" i="5"/>
  <c r="AK91" i="5"/>
  <c r="AF91" i="5"/>
  <c r="AD91" i="5"/>
  <c r="Z91" i="5"/>
  <c r="W91" i="5"/>
  <c r="R91" i="5"/>
  <c r="R93" i="5" s="1"/>
  <c r="P91" i="5"/>
  <c r="U91" i="5" s="1"/>
  <c r="N91" i="5"/>
  <c r="K91" i="5"/>
  <c r="H91" i="5"/>
  <c r="E91" i="5"/>
  <c r="AK90" i="5"/>
  <c r="AM90" i="5" s="1"/>
  <c r="AO90" i="5" s="1"/>
  <c r="AQ90" i="5" s="1"/>
  <c r="AF90" i="5"/>
  <c r="AD90" i="5"/>
  <c r="Z90" i="5"/>
  <c r="W90" i="5"/>
  <c r="S90" i="5"/>
  <c r="P90" i="5"/>
  <c r="N90" i="5"/>
  <c r="K90" i="5"/>
  <c r="H90" i="5"/>
  <c r="E90" i="5"/>
  <c r="AE87" i="5"/>
  <c r="AC87" i="5"/>
  <c r="Y87" i="5"/>
  <c r="V87" i="5"/>
  <c r="T87" i="5"/>
  <c r="R87" i="5"/>
  <c r="L87" i="5"/>
  <c r="J87" i="5"/>
  <c r="F87" i="5"/>
  <c r="D87" i="5"/>
  <c r="B87" i="5"/>
  <c r="AK86" i="5"/>
  <c r="AM86" i="5" s="1"/>
  <c r="AO86" i="5" s="1"/>
  <c r="AQ86" i="5" s="1"/>
  <c r="AS86" i="5" s="1"/>
  <c r="AU86" i="5" s="1"/>
  <c r="AW86" i="5" s="1"/>
  <c r="AY86" i="5" s="1"/>
  <c r="BA86" i="5" s="1"/>
  <c r="AF86" i="5"/>
  <c r="AD86" i="5"/>
  <c r="Z86" i="5"/>
  <c r="W86" i="5"/>
  <c r="U86" i="5"/>
  <c r="S86" i="5"/>
  <c r="N86" i="5"/>
  <c r="K86" i="5"/>
  <c r="H86" i="5"/>
  <c r="E86" i="5"/>
  <c r="AI85" i="5"/>
  <c r="AI87" i="5" s="1"/>
  <c r="AF85" i="5"/>
  <c r="AD85" i="5"/>
  <c r="Z85" i="5"/>
  <c r="W85" i="5"/>
  <c r="U85" i="5"/>
  <c r="S85" i="5"/>
  <c r="N85" i="5"/>
  <c r="K85" i="5"/>
  <c r="H85" i="5"/>
  <c r="E85" i="5"/>
  <c r="AF84" i="5"/>
  <c r="AD84" i="5"/>
  <c r="Z84" i="5"/>
  <c r="W84" i="5"/>
  <c r="U84" i="5"/>
  <c r="S84" i="5"/>
  <c r="N84" i="5"/>
  <c r="K84" i="5"/>
  <c r="H84" i="5"/>
  <c r="E84" i="5"/>
  <c r="AF82" i="5"/>
  <c r="AD82" i="5"/>
  <c r="Z82" i="5"/>
  <c r="W82" i="5"/>
  <c r="S82" i="5"/>
  <c r="P82" i="5"/>
  <c r="U82" i="5" s="1"/>
  <c r="N82" i="5"/>
  <c r="K82" i="5"/>
  <c r="H82" i="5"/>
  <c r="E82" i="5"/>
  <c r="AK81" i="5"/>
  <c r="AM81" i="5" s="1"/>
  <c r="AO81" i="5" s="1"/>
  <c r="AQ81" i="5" s="1"/>
  <c r="AS81" i="5" s="1"/>
  <c r="AU81" i="5" s="1"/>
  <c r="AW81" i="5" s="1"/>
  <c r="AY81" i="5" s="1"/>
  <c r="BA81" i="5" s="1"/>
  <c r="AF81" i="5"/>
  <c r="AD81" i="5"/>
  <c r="Z81" i="5"/>
  <c r="W81" i="5"/>
  <c r="S81" i="5"/>
  <c r="P81" i="5"/>
  <c r="U81" i="5" s="1"/>
  <c r="N81" i="5"/>
  <c r="K81" i="5"/>
  <c r="H81" i="5"/>
  <c r="E81" i="5"/>
  <c r="AK78" i="5"/>
  <c r="AF78" i="5"/>
  <c r="AD78" i="5"/>
  <c r="Z78" i="5"/>
  <c r="W78" i="5"/>
  <c r="S78" i="5"/>
  <c r="P78" i="5"/>
  <c r="U78" i="5" s="1"/>
  <c r="N78" i="5"/>
  <c r="K78" i="5"/>
  <c r="H78" i="5"/>
  <c r="E78" i="5"/>
  <c r="AE73" i="5"/>
  <c r="AC73" i="5"/>
  <c r="Y73" i="5"/>
  <c r="T73" i="5"/>
  <c r="L73" i="5"/>
  <c r="J73" i="5"/>
  <c r="F73" i="5"/>
  <c r="D73" i="5"/>
  <c r="B73" i="5"/>
  <c r="AF72" i="5"/>
  <c r="AD72" i="5"/>
  <c r="Z72" i="5"/>
  <c r="W72" i="5"/>
  <c r="S72" i="5"/>
  <c r="P72" i="5"/>
  <c r="U72" i="5" s="1"/>
  <c r="N72" i="5"/>
  <c r="K72" i="5"/>
  <c r="H72" i="5"/>
  <c r="E72" i="5"/>
  <c r="AK71" i="5"/>
  <c r="AM71" i="5" s="1"/>
  <c r="AO71" i="5" s="1"/>
  <c r="AQ71" i="5" s="1"/>
  <c r="AS71" i="5" s="1"/>
  <c r="AU71" i="5" s="1"/>
  <c r="AW71" i="5" s="1"/>
  <c r="AY71" i="5" s="1"/>
  <c r="BA71" i="5" s="1"/>
  <c r="AF71" i="5"/>
  <c r="AD71" i="5"/>
  <c r="Z71" i="5"/>
  <c r="W71" i="5"/>
  <c r="S71" i="5"/>
  <c r="P71" i="5"/>
  <c r="U71" i="5" s="1"/>
  <c r="N71" i="5"/>
  <c r="K71" i="5"/>
  <c r="H71" i="5"/>
  <c r="E71" i="5"/>
  <c r="AF70" i="5"/>
  <c r="AD70" i="5"/>
  <c r="Z70" i="5"/>
  <c r="W70" i="5"/>
  <c r="U70" i="5"/>
  <c r="S70" i="5"/>
  <c r="N70" i="5"/>
  <c r="K70" i="5"/>
  <c r="H70" i="5"/>
  <c r="E70" i="5"/>
  <c r="AF67" i="5"/>
  <c r="AD67" i="5"/>
  <c r="Z67" i="5"/>
  <c r="V67" i="5"/>
  <c r="V73" i="5" s="1"/>
  <c r="R67" i="5"/>
  <c r="S67" i="5" s="1"/>
  <c r="P67" i="5"/>
  <c r="U67" i="5" s="1"/>
  <c r="N67" i="5"/>
  <c r="K67" i="5"/>
  <c r="H67" i="5"/>
  <c r="E67" i="5"/>
  <c r="AF66" i="5"/>
  <c r="AD66" i="5"/>
  <c r="Z66" i="5"/>
  <c r="W66" i="5"/>
  <c r="S66" i="5"/>
  <c r="P66" i="5"/>
  <c r="U66" i="5" s="1"/>
  <c r="N66" i="5"/>
  <c r="K66" i="5"/>
  <c r="H66" i="5"/>
  <c r="E66" i="5"/>
  <c r="AK63" i="5"/>
  <c r="AM63" i="5" s="1"/>
  <c r="AF63" i="5"/>
  <c r="AD63" i="5"/>
  <c r="Z63" i="5"/>
  <c r="W63" i="5"/>
  <c r="U63" i="5"/>
  <c r="S63" i="5"/>
  <c r="N63" i="5"/>
  <c r="K63" i="5"/>
  <c r="H63" i="5"/>
  <c r="E63" i="5"/>
  <c r="AE60" i="5"/>
  <c r="AC60" i="5"/>
  <c r="Y60" i="5"/>
  <c r="V60" i="5"/>
  <c r="T60" i="5"/>
  <c r="R60" i="5"/>
  <c r="L60" i="5"/>
  <c r="L61" i="5" s="1"/>
  <c r="J60" i="5"/>
  <c r="J61" i="5" s="1"/>
  <c r="F60" i="5"/>
  <c r="D60" i="5"/>
  <c r="B60" i="5"/>
  <c r="AK59" i="5"/>
  <c r="AM59" i="5" s="1"/>
  <c r="AO59" i="5" s="1"/>
  <c r="AQ59" i="5" s="1"/>
  <c r="AS59" i="5" s="1"/>
  <c r="AU59" i="5" s="1"/>
  <c r="AW59" i="5" s="1"/>
  <c r="AY59" i="5" s="1"/>
  <c r="BA59" i="5" s="1"/>
  <c r="AF59" i="5"/>
  <c r="AD59" i="5"/>
  <c r="Z59" i="5"/>
  <c r="W59" i="5"/>
  <c r="S59" i="5"/>
  <c r="P59" i="5"/>
  <c r="U59" i="5" s="1"/>
  <c r="N59" i="5"/>
  <c r="K59" i="5"/>
  <c r="H59" i="5"/>
  <c r="E59" i="5"/>
  <c r="AK56" i="5"/>
  <c r="AM56" i="5" s="1"/>
  <c r="AO56" i="5" s="1"/>
  <c r="AQ56" i="5" s="1"/>
  <c r="AS56" i="5" s="1"/>
  <c r="AU56" i="5" s="1"/>
  <c r="AW56" i="5" s="1"/>
  <c r="AY56" i="5" s="1"/>
  <c r="BA56" i="5" s="1"/>
  <c r="AF56" i="5"/>
  <c r="AD56" i="5"/>
  <c r="Z56" i="5"/>
  <c r="W56" i="5"/>
  <c r="U56" i="5"/>
  <c r="S56" i="5"/>
  <c r="N56" i="5"/>
  <c r="K56" i="5"/>
  <c r="H56" i="5"/>
  <c r="E56" i="5"/>
  <c r="AI54" i="5"/>
  <c r="AF54" i="5"/>
  <c r="AD54" i="5"/>
  <c r="Z54" i="5"/>
  <c r="W54" i="5"/>
  <c r="S54" i="5"/>
  <c r="P54" i="5"/>
  <c r="U54" i="5" s="1"/>
  <c r="N54" i="5"/>
  <c r="K54" i="5"/>
  <c r="H54" i="5"/>
  <c r="E54" i="5"/>
  <c r="AK53" i="5"/>
  <c r="AF53" i="5"/>
  <c r="AD53" i="5"/>
  <c r="Z53" i="5"/>
  <c r="W53" i="5"/>
  <c r="S53" i="5"/>
  <c r="P53" i="5"/>
  <c r="U53" i="5" s="1"/>
  <c r="N53" i="5"/>
  <c r="K53" i="5"/>
  <c r="H53" i="5"/>
  <c r="E53" i="5"/>
  <c r="AE49" i="5"/>
  <c r="Y49" i="5"/>
  <c r="V49" i="5"/>
  <c r="T49" i="5"/>
  <c r="L49" i="5"/>
  <c r="J49" i="5"/>
  <c r="F49" i="5"/>
  <c r="AM47" i="5"/>
  <c r="AF47" i="5"/>
  <c r="AC47" i="5"/>
  <c r="AC49" i="5" s="1"/>
  <c r="Z47" i="5"/>
  <c r="W47" i="5"/>
  <c r="U47" i="5"/>
  <c r="R47" i="5"/>
  <c r="N47" i="5"/>
  <c r="K47" i="5"/>
  <c r="E47" i="5"/>
  <c r="B47" i="5"/>
  <c r="H47" i="5" s="1"/>
  <c r="AK46" i="5"/>
  <c r="AM46" i="5" s="1"/>
  <c r="AO46" i="5" s="1"/>
  <c r="AQ46" i="5" s="1"/>
  <c r="AS46" i="5" s="1"/>
  <c r="AU46" i="5" s="1"/>
  <c r="AW46" i="5" s="1"/>
  <c r="AY46" i="5" s="1"/>
  <c r="BA46" i="5" s="1"/>
  <c r="BC46" i="5" s="1"/>
  <c r="BE46" i="5" s="1"/>
  <c r="AF46" i="5"/>
  <c r="AD46" i="5"/>
  <c r="Z46" i="5"/>
  <c r="W46" i="5"/>
  <c r="S46" i="5"/>
  <c r="P46" i="5"/>
  <c r="U46" i="5" s="1"/>
  <c r="N46" i="5"/>
  <c r="K46" i="5"/>
  <c r="H46" i="5"/>
  <c r="E46" i="5"/>
  <c r="AF43" i="5"/>
  <c r="AD43" i="5"/>
  <c r="Z43" i="5"/>
  <c r="W43" i="5"/>
  <c r="U43" i="5"/>
  <c r="S43" i="5"/>
  <c r="N43" i="5"/>
  <c r="K43" i="5"/>
  <c r="H43" i="5"/>
  <c r="E43" i="5"/>
  <c r="AF42" i="5"/>
  <c r="AD42" i="5"/>
  <c r="Z42" i="5"/>
  <c r="W42" i="5"/>
  <c r="S42" i="5"/>
  <c r="P42" i="5"/>
  <c r="U42" i="5" s="1"/>
  <c r="N42" i="5"/>
  <c r="K42" i="5"/>
  <c r="E42" i="5"/>
  <c r="B42" i="5"/>
  <c r="H42" i="5" s="1"/>
  <c r="AI41" i="5"/>
  <c r="AF41" i="5"/>
  <c r="AD41" i="5"/>
  <c r="Z41" i="5"/>
  <c r="W41" i="5"/>
  <c r="S41" i="5"/>
  <c r="P41" i="5"/>
  <c r="U41" i="5" s="1"/>
  <c r="N41" i="5"/>
  <c r="K41" i="5"/>
  <c r="E41" i="5"/>
  <c r="B41" i="5"/>
  <c r="H41" i="5" s="1"/>
  <c r="AZ39" i="5"/>
  <c r="AT39" i="5"/>
  <c r="AV39" i="5" s="1"/>
  <c r="AN39" i="5"/>
  <c r="AI39" i="5"/>
  <c r="AK39" i="5" s="1"/>
  <c r="AF39" i="5"/>
  <c r="AD39" i="5"/>
  <c r="Z39" i="5"/>
  <c r="W39" i="5"/>
  <c r="S39" i="5"/>
  <c r="P39" i="5"/>
  <c r="U39" i="5" s="1"/>
  <c r="N39" i="5"/>
  <c r="K39" i="5"/>
  <c r="H39" i="5"/>
  <c r="D39" i="5"/>
  <c r="D49" i="5" s="1"/>
  <c r="Z25" i="5"/>
  <c r="U25" i="5"/>
  <c r="H25" i="5"/>
  <c r="BA24" i="5"/>
  <c r="BA26" i="5" s="1"/>
  <c r="AY24" i="5"/>
  <c r="AY26" i="5" s="1"/>
  <c r="AW24" i="5"/>
  <c r="AW26" i="5" s="1"/>
  <c r="AU24" i="5"/>
  <c r="AU26" i="5" s="1"/>
  <c r="AS24" i="5"/>
  <c r="AS26" i="5" s="1"/>
  <c r="AQ24" i="5"/>
  <c r="AQ26" i="5" s="1"/>
  <c r="AO24" i="5"/>
  <c r="AO26" i="5" s="1"/>
  <c r="AM24" i="5"/>
  <c r="AM26" i="5" s="1"/>
  <c r="AK24" i="5"/>
  <c r="AK26" i="5" s="1"/>
  <c r="AI26" i="5"/>
  <c r="AI27" i="5" s="1"/>
  <c r="AK22" i="5" s="1"/>
  <c r="AE24" i="5"/>
  <c r="AE26" i="5" s="1"/>
  <c r="AE27" i="5" s="1"/>
  <c r="Y24" i="5"/>
  <c r="T24" i="5"/>
  <c r="P24" i="5"/>
  <c r="P26" i="5" s="1"/>
  <c r="P27" i="5" s="1"/>
  <c r="L24" i="5"/>
  <c r="L26" i="5" s="1"/>
  <c r="L27" i="5" s="1"/>
  <c r="J24" i="5"/>
  <c r="J26" i="5" s="1"/>
  <c r="J27" i="5" s="1"/>
  <c r="F24" i="5"/>
  <c r="F26" i="5" s="1"/>
  <c r="F27" i="5" s="1"/>
  <c r="D24" i="5"/>
  <c r="D26" i="5" s="1"/>
  <c r="D27" i="5" s="1"/>
  <c r="Z23" i="5"/>
  <c r="U23" i="5"/>
  <c r="H23" i="5"/>
  <c r="Z22" i="5"/>
  <c r="U22" i="5"/>
  <c r="H22" i="5"/>
  <c r="N16" i="5"/>
  <c r="N15" i="5"/>
  <c r="Z11" i="5"/>
  <c r="U11" i="5"/>
  <c r="N11" i="5"/>
  <c r="N6" i="5"/>
  <c r="Z5" i="5"/>
  <c r="U5" i="5"/>
  <c r="N5" i="5"/>
  <c r="AI205" i="7" l="1"/>
  <c r="AI201" i="7"/>
  <c r="AI25" i="8"/>
  <c r="AK20" i="8" s="1"/>
  <c r="AI162" i="8"/>
  <c r="AK39" i="8"/>
  <c r="AM39" i="8" s="1"/>
  <c r="AK16" i="7"/>
  <c r="AM5" i="7" s="1"/>
  <c r="AI184" i="6"/>
  <c r="AI187" i="6" s="1"/>
  <c r="AI1053" i="5"/>
  <c r="D8" i="9" s="1"/>
  <c r="BC187" i="5"/>
  <c r="BE187" i="5" s="1"/>
  <c r="BA202" i="1"/>
  <c r="BC152" i="5"/>
  <c r="BE152" i="5" s="1"/>
  <c r="BA167" i="1"/>
  <c r="BC163" i="5"/>
  <c r="BE163" i="5" s="1"/>
  <c r="BA179" i="1"/>
  <c r="BC81" i="5"/>
  <c r="BE81" i="5" s="1"/>
  <c r="BA98" i="1"/>
  <c r="BC113" i="5"/>
  <c r="BE113" i="5" s="1"/>
  <c r="BA130" i="1"/>
  <c r="BC218" i="5"/>
  <c r="BE218" i="5" s="1"/>
  <c r="BA233" i="1"/>
  <c r="BC56" i="5"/>
  <c r="BE56" i="5" s="1"/>
  <c r="BA73" i="1"/>
  <c r="BC112" i="5"/>
  <c r="BE112" i="5" s="1"/>
  <c r="BA129" i="1"/>
  <c r="BC138" i="5"/>
  <c r="BE138" i="5" s="1"/>
  <c r="BA153" i="1"/>
  <c r="BC145" i="5"/>
  <c r="BE145" i="5" s="1"/>
  <c r="BA160" i="1"/>
  <c r="BC150" i="5"/>
  <c r="BE150" i="5" s="1"/>
  <c r="BA165" i="1"/>
  <c r="BC71" i="5"/>
  <c r="BE71" i="5" s="1"/>
  <c r="BA88" i="1"/>
  <c r="BC225" i="5"/>
  <c r="BE225" i="5" s="1"/>
  <c r="BA240" i="1"/>
  <c r="BC59" i="5"/>
  <c r="BE59" i="5" s="1"/>
  <c r="BA76" i="1"/>
  <c r="BC141" i="5"/>
  <c r="BE141" i="5" s="1"/>
  <c r="BA156" i="1"/>
  <c r="BC151" i="5"/>
  <c r="BE151" i="5" s="1"/>
  <c r="BA166" i="1"/>
  <c r="BC86" i="5"/>
  <c r="BE86" i="5" s="1"/>
  <c r="BA103" i="1"/>
  <c r="BC109" i="5"/>
  <c r="BE109" i="5" s="1"/>
  <c r="BA126" i="1"/>
  <c r="BC137" i="5"/>
  <c r="BE137" i="5" s="1"/>
  <c r="BA152" i="1"/>
  <c r="BC147" i="5"/>
  <c r="BE147" i="5" s="1"/>
  <c r="BA162" i="1"/>
  <c r="AW382" i="5"/>
  <c r="AU34" i="5"/>
  <c r="AM188" i="7"/>
  <c r="AM189" i="7" s="1"/>
  <c r="AM191" i="7" s="1"/>
  <c r="N16" i="7"/>
  <c r="P9" i="11"/>
  <c r="X9" i="11" s="1"/>
  <c r="AI215" i="6"/>
  <c r="AI164" i="8"/>
  <c r="D10" i="9" s="1"/>
  <c r="AU222" i="8"/>
  <c r="AS223" i="8"/>
  <c r="AY214" i="6"/>
  <c r="AY218" i="6"/>
  <c r="AW200" i="7"/>
  <c r="C33" i="11"/>
  <c r="C40" i="11" s="1"/>
  <c r="BC1140" i="5"/>
  <c r="BE1112" i="5"/>
  <c r="Z60" i="9" s="1"/>
  <c r="X60" i="9"/>
  <c r="Z72" i="9"/>
  <c r="Z56" i="9"/>
  <c r="X56" i="9"/>
  <c r="BE1111" i="5"/>
  <c r="Z59" i="9" s="1"/>
  <c r="X59" i="9"/>
  <c r="Z73" i="9"/>
  <c r="Z16" i="9"/>
  <c r="BE1113" i="5"/>
  <c r="Z61" i="9" s="1"/>
  <c r="X61" i="9"/>
  <c r="BE1131" i="5"/>
  <c r="X79" i="9"/>
  <c r="BE1126" i="5"/>
  <c r="Z74" i="9" s="1"/>
  <c r="X74" i="9"/>
  <c r="X75" i="9" s="1"/>
  <c r="Z89" i="9"/>
  <c r="X89" i="9"/>
  <c r="F10" i="11"/>
  <c r="H10" i="11" s="1"/>
  <c r="M10" i="11"/>
  <c r="U10" i="11" s="1"/>
  <c r="AK1053" i="5"/>
  <c r="V88" i="9"/>
  <c r="AI141" i="8"/>
  <c r="AI142" i="8" s="1"/>
  <c r="K239" i="5"/>
  <c r="AO47" i="5"/>
  <c r="AM1055" i="5"/>
  <c r="H10" i="9" s="1"/>
  <c r="AM381" i="5"/>
  <c r="AK1059" i="5"/>
  <c r="F14" i="9" s="1"/>
  <c r="H127" i="5"/>
  <c r="AI60" i="5"/>
  <c r="AK111" i="5"/>
  <c r="AM111" i="5" s="1"/>
  <c r="AO111" i="5" s="1"/>
  <c r="AQ111" i="5" s="1"/>
  <c r="AS111" i="5" s="1"/>
  <c r="AU111" i="5" s="1"/>
  <c r="AW111" i="5" s="1"/>
  <c r="AY111" i="5" s="1"/>
  <c r="BA111" i="5" s="1"/>
  <c r="AK182" i="7"/>
  <c r="U127" i="5"/>
  <c r="L13" i="5"/>
  <c r="AK41" i="5"/>
  <c r="F13" i="5"/>
  <c r="F1042" i="5"/>
  <c r="AE13" i="5"/>
  <c r="AE1042" i="5"/>
  <c r="J13" i="5"/>
  <c r="J1042" i="5"/>
  <c r="Y13" i="5"/>
  <c r="Y1042" i="5"/>
  <c r="D13" i="5"/>
  <c r="D1042" i="5"/>
  <c r="T13" i="5"/>
  <c r="T1042" i="5"/>
  <c r="AK78" i="6"/>
  <c r="AK82" i="6" s="1"/>
  <c r="AI23" i="6"/>
  <c r="AI25" i="6" s="1"/>
  <c r="AQ206" i="6"/>
  <c r="AM149" i="6"/>
  <c r="AM150" i="6" s="1"/>
  <c r="AK184" i="6"/>
  <c r="AK187" i="6" s="1"/>
  <c r="AK75" i="6"/>
  <c r="AK172" i="6" s="1"/>
  <c r="AI172" i="6"/>
  <c r="AK96" i="6"/>
  <c r="AI169" i="6"/>
  <c r="AY233" i="6"/>
  <c r="AW234" i="6"/>
  <c r="AW241" i="6" s="1"/>
  <c r="AI150" i="6"/>
  <c r="AI225" i="6" s="1"/>
  <c r="AO23" i="6"/>
  <c r="AO25" i="6" s="1"/>
  <c r="AK23" i="6"/>
  <c r="AK25" i="6" s="1"/>
  <c r="AK150" i="6"/>
  <c r="AK188" i="6" s="1"/>
  <c r="AW23" i="6"/>
  <c r="AW25" i="6" s="1"/>
  <c r="AM23" i="6"/>
  <c r="AM25" i="6" s="1"/>
  <c r="AK42" i="6"/>
  <c r="AM42" i="6" s="1"/>
  <c r="AO42" i="6" s="1"/>
  <c r="AQ42" i="6" s="1"/>
  <c r="AS42" i="6" s="1"/>
  <c r="AU42" i="6" s="1"/>
  <c r="AW42" i="6" s="1"/>
  <c r="AY42" i="6" s="1"/>
  <c r="BA42" i="6" s="1"/>
  <c r="BC42" i="6" s="1"/>
  <c r="AI48" i="6"/>
  <c r="AI163" i="6" s="1"/>
  <c r="U57" i="6"/>
  <c r="AI57" i="6"/>
  <c r="AK57" i="6" s="1"/>
  <c r="AM57" i="6" s="1"/>
  <c r="AK55" i="6"/>
  <c r="AM43" i="6"/>
  <c r="AO42" i="8"/>
  <c r="AO164" i="8" s="1"/>
  <c r="AF11" i="8"/>
  <c r="AM40" i="8"/>
  <c r="Z11" i="8"/>
  <c r="K39" i="6"/>
  <c r="Z39" i="6"/>
  <c r="Z60" i="6" s="1"/>
  <c r="H38" i="6"/>
  <c r="S105" i="6"/>
  <c r="P23" i="6"/>
  <c r="H8" i="6"/>
  <c r="N90" i="6"/>
  <c r="AK41" i="8"/>
  <c r="AM41" i="8" s="1"/>
  <c r="AO41" i="8" s="1"/>
  <c r="AQ41" i="8" s="1"/>
  <c r="AS41" i="8" s="1"/>
  <c r="AU41" i="8" s="1"/>
  <c r="AW41" i="8" s="1"/>
  <c r="AY41" i="8" s="1"/>
  <c r="BA41" i="8" s="1"/>
  <c r="BC41" i="8" s="1"/>
  <c r="BE41" i="8" s="1"/>
  <c r="AK25" i="8"/>
  <c r="AM20" i="8" s="1"/>
  <c r="AM25" i="8" s="1"/>
  <c r="AO20" i="8" s="1"/>
  <c r="AO25" i="8" s="1"/>
  <c r="AQ20" i="8" s="1"/>
  <c r="AQ25" i="8" s="1"/>
  <c r="AS20" i="8" s="1"/>
  <c r="AS25" i="8" s="1"/>
  <c r="AU20" i="8" s="1"/>
  <c r="AU25" i="8" s="1"/>
  <c r="AW20" i="8" s="1"/>
  <c r="AW25" i="8" s="1"/>
  <c r="AY20" i="8" s="1"/>
  <c r="AY25" i="8" s="1"/>
  <c r="BA20" i="8" s="1"/>
  <c r="BA25" i="8" s="1"/>
  <c r="H73" i="8"/>
  <c r="AF73" i="8"/>
  <c r="U114" i="8"/>
  <c r="N141" i="8"/>
  <c r="Z141" i="8"/>
  <c r="H141" i="8"/>
  <c r="W114" i="8"/>
  <c r="AD73" i="8"/>
  <c r="N7" i="8"/>
  <c r="AM132" i="8"/>
  <c r="AM141" i="8" s="1"/>
  <c r="AD114" i="8"/>
  <c r="K114" i="8"/>
  <c r="U7" i="8"/>
  <c r="H24" i="8"/>
  <c r="N24" i="8" s="1"/>
  <c r="Z25" i="8"/>
  <c r="E44" i="8"/>
  <c r="AD44" i="8"/>
  <c r="P44" i="8"/>
  <c r="K55" i="8"/>
  <c r="W55" i="8"/>
  <c r="AF55" i="8"/>
  <c r="N55" i="8"/>
  <c r="V57" i="8"/>
  <c r="V66" i="8" s="1"/>
  <c r="N73" i="8"/>
  <c r="Z73" i="8"/>
  <c r="S89" i="8"/>
  <c r="AF89" i="8"/>
  <c r="T142" i="8"/>
  <c r="T144" i="8" s="1"/>
  <c r="T150" i="8" s="1"/>
  <c r="S44" i="8"/>
  <c r="S114" i="8"/>
  <c r="AF126" i="8"/>
  <c r="AD48" i="8"/>
  <c r="AD55" i="8" s="1"/>
  <c r="K73" i="8"/>
  <c r="W73" i="8"/>
  <c r="AW80" i="7"/>
  <c r="AU88" i="7"/>
  <c r="AS218" i="7"/>
  <c r="AS225" i="7" s="1"/>
  <c r="AU217" i="7"/>
  <c r="AF16" i="7"/>
  <c r="AI230" i="7"/>
  <c r="AK230" i="7" s="1"/>
  <c r="AQ93" i="7"/>
  <c r="AS90" i="7"/>
  <c r="AW150" i="7"/>
  <c r="AY43" i="7"/>
  <c r="P16" i="7"/>
  <c r="U16" i="7" s="1"/>
  <c r="U15" i="7"/>
  <c r="AS156" i="7"/>
  <c r="AS77" i="7"/>
  <c r="AU68" i="7"/>
  <c r="AS152" i="7"/>
  <c r="AU73" i="7"/>
  <c r="AS146" i="7"/>
  <c r="AS49" i="7"/>
  <c r="AS54" i="7" s="1"/>
  <c r="AU39" i="7"/>
  <c r="AO103" i="7"/>
  <c r="AO11" i="7" s="1"/>
  <c r="AO13" i="7" s="1"/>
  <c r="AO15" i="7" s="1"/>
  <c r="AO153" i="7"/>
  <c r="AO158" i="7" s="1"/>
  <c r="AO180" i="7" s="1"/>
  <c r="AM16" i="7"/>
  <c r="AO5" i="7" s="1"/>
  <c r="AQ7" i="7"/>
  <c r="AQ9" i="7" s="1"/>
  <c r="AQ63" i="7"/>
  <c r="AS209" i="7"/>
  <c r="AQ210" i="7"/>
  <c r="AS25" i="6"/>
  <c r="BA25" i="6"/>
  <c r="AF90" i="6"/>
  <c r="AF94" i="6"/>
  <c r="AD105" i="6"/>
  <c r="AD150" i="6"/>
  <c r="E150" i="6"/>
  <c r="S150" i="6"/>
  <c r="P25" i="6"/>
  <c r="P26" i="6" s="1"/>
  <c r="AI21" i="6" s="1"/>
  <c r="AU25" i="6"/>
  <c r="N39" i="6"/>
  <c r="N60" i="6" s="1"/>
  <c r="N70" i="6" s="1"/>
  <c r="AF105" i="6"/>
  <c r="AM377" i="5"/>
  <c r="AK595" i="5"/>
  <c r="AM595" i="5" s="1"/>
  <c r="AO595" i="5" s="1"/>
  <c r="AQ595" i="5" s="1"/>
  <c r="AD540" i="5"/>
  <c r="AI422" i="5"/>
  <c r="H514" i="5"/>
  <c r="H648" i="5"/>
  <c r="N514" i="5"/>
  <c r="U540" i="5"/>
  <c r="P114" i="5"/>
  <c r="P121" i="5" s="1"/>
  <c r="E514" i="5"/>
  <c r="K514" i="5"/>
  <c r="AO713" i="5"/>
  <c r="N816" i="5"/>
  <c r="Z816" i="5"/>
  <c r="AI299" i="5"/>
  <c r="AQ713" i="5"/>
  <c r="P701" i="5"/>
  <c r="U701" i="5" s="1"/>
  <c r="U713" i="5" s="1"/>
  <c r="S354" i="5"/>
  <c r="AD354" i="5"/>
  <c r="J422" i="5"/>
  <c r="N166" i="5"/>
  <c r="Z321" i="5"/>
  <c r="AM511" i="5"/>
  <c r="AO511" i="5" s="1"/>
  <c r="AO514" i="5" s="1"/>
  <c r="AF681" i="5"/>
  <c r="V1040" i="5"/>
  <c r="V1042" i="5" s="1"/>
  <c r="AD127" i="5"/>
  <c r="AK157" i="5"/>
  <c r="AM157" i="5" s="1"/>
  <c r="AO157" i="5" s="1"/>
  <c r="D121" i="5"/>
  <c r="U112" i="5"/>
  <c r="U114" i="5" s="1"/>
  <c r="K166" i="5"/>
  <c r="AD514" i="5"/>
  <c r="E166" i="5"/>
  <c r="P166" i="5"/>
  <c r="P220" i="5" s="1"/>
  <c r="Y515" i="5"/>
  <c r="Z106" i="5"/>
  <c r="H166" i="5"/>
  <c r="Z514" i="5"/>
  <c r="U742" i="5"/>
  <c r="E93" i="5"/>
  <c r="P93" i="5"/>
  <c r="AI100" i="5"/>
  <c r="AI509" i="5"/>
  <c r="N643" i="5"/>
  <c r="H677" i="5"/>
  <c r="H681" i="5" s="1"/>
  <c r="Z118" i="5"/>
  <c r="B158" i="5"/>
  <c r="U162" i="5"/>
  <c r="U166" i="5" s="1"/>
  <c r="U170" i="5"/>
  <c r="U171" i="5" s="1"/>
  <c r="AK189" i="5"/>
  <c r="AK287" i="5"/>
  <c r="AK298" i="5" s="1"/>
  <c r="AK315" i="5"/>
  <c r="D334" i="5"/>
  <c r="AM485" i="5"/>
  <c r="AO485" i="5" s="1"/>
  <c r="AO487" i="5" s="1"/>
  <c r="H549" i="5"/>
  <c r="P558" i="5"/>
  <c r="K620" i="5"/>
  <c r="W620" i="5"/>
  <c r="E627" i="5"/>
  <c r="H675" i="5"/>
  <c r="AF675" i="5"/>
  <c r="H142" i="5"/>
  <c r="AI148" i="5"/>
  <c r="AK148" i="5" s="1"/>
  <c r="AM148" i="5" s="1"/>
  <c r="AO148" i="5" s="1"/>
  <c r="AQ148" i="5" s="1"/>
  <c r="AS148" i="5" s="1"/>
  <c r="AU148" i="5" s="1"/>
  <c r="AW148" i="5" s="1"/>
  <c r="AY148" i="5" s="1"/>
  <c r="BA148" i="5" s="1"/>
  <c r="U174" i="5"/>
  <c r="U175" i="5" s="1"/>
  <c r="K265" i="5"/>
  <c r="W265" i="5"/>
  <c r="H660" i="5"/>
  <c r="AF660" i="5"/>
  <c r="AU713" i="5"/>
  <c r="R100" i="5"/>
  <c r="AF93" i="5"/>
  <c r="AM104" i="5"/>
  <c r="AM106" i="5" s="1"/>
  <c r="U287" i="5"/>
  <c r="U298" i="5" s="1"/>
  <c r="N354" i="5"/>
  <c r="Z354" i="5"/>
  <c r="W540" i="5"/>
  <c r="U651" i="5"/>
  <c r="U660" i="5" s="1"/>
  <c r="AW713" i="5"/>
  <c r="K776" i="5"/>
  <c r="H809" i="5"/>
  <c r="V809" i="5"/>
  <c r="V831" i="5" s="1"/>
  <c r="Z830" i="5"/>
  <c r="Z1040" i="5"/>
  <c r="Z1042" i="5" s="1"/>
  <c r="AK483" i="5"/>
  <c r="AK229" i="5"/>
  <c r="N305" i="5"/>
  <c r="E499" i="5"/>
  <c r="P499" i="5"/>
  <c r="N499" i="5"/>
  <c r="Z558" i="5"/>
  <c r="U617" i="5"/>
  <c r="U620" i="5" s="1"/>
  <c r="N633" i="5"/>
  <c r="P677" i="5"/>
  <c r="P681" i="5" s="1"/>
  <c r="E816" i="5"/>
  <c r="AD816" i="5"/>
  <c r="U24" i="5"/>
  <c r="AK85" i="5"/>
  <c r="AM85" i="5" s="1"/>
  <c r="AO85" i="5" s="1"/>
  <c r="AQ85" i="5" s="1"/>
  <c r="AS85" i="5" s="1"/>
  <c r="AU85" i="5" s="1"/>
  <c r="AW85" i="5" s="1"/>
  <c r="AY85" i="5" s="1"/>
  <c r="BA85" i="5" s="1"/>
  <c r="N93" i="5"/>
  <c r="W99" i="5"/>
  <c r="AM98" i="5"/>
  <c r="AM99" i="5" s="1"/>
  <c r="K153" i="5"/>
  <c r="U153" i="5"/>
  <c r="AF166" i="5"/>
  <c r="Z171" i="5"/>
  <c r="H305" i="5"/>
  <c r="AF305" i="5"/>
  <c r="K305" i="5"/>
  <c r="E372" i="5"/>
  <c r="E373" i="5" s="1"/>
  <c r="U483" i="5"/>
  <c r="H482" i="5"/>
  <c r="H483" i="5" s="1"/>
  <c r="H627" i="5"/>
  <c r="H633" i="5"/>
  <c r="U689" i="5"/>
  <c r="U690" i="5" s="1"/>
  <c r="V100" i="5"/>
  <c r="H27" i="5"/>
  <c r="H24" i="5"/>
  <c r="L74" i="5"/>
  <c r="U9" i="5"/>
  <c r="E73" i="5"/>
  <c r="AD73" i="5"/>
  <c r="F74" i="5"/>
  <c r="U87" i="5"/>
  <c r="D100" i="5"/>
  <c r="AC100" i="5"/>
  <c r="H93" i="5"/>
  <c r="J100" i="5"/>
  <c r="E99" i="5"/>
  <c r="N114" i="5"/>
  <c r="N121" i="5" s="1"/>
  <c r="Z114" i="5"/>
  <c r="N142" i="5"/>
  <c r="P142" i="5"/>
  <c r="K354" i="5"/>
  <c r="V615" i="5"/>
  <c r="W607" i="5"/>
  <c r="W615" i="5" s="1"/>
  <c r="K49" i="5"/>
  <c r="AF49" i="5"/>
  <c r="AC74" i="5"/>
  <c r="B100" i="5"/>
  <c r="U98" i="5"/>
  <c r="U99" i="5" s="1"/>
  <c r="R121" i="5"/>
  <c r="U117" i="5"/>
  <c r="U118" i="5" s="1"/>
  <c r="V121" i="5"/>
  <c r="AI305" i="5"/>
  <c r="AK303" i="5"/>
  <c r="AK305" i="5" s="1"/>
  <c r="V422" i="5"/>
  <c r="V455" i="5" s="1"/>
  <c r="W392" i="5"/>
  <c r="W422" i="5" s="1"/>
  <c r="S580" i="5"/>
  <c r="AD580" i="5"/>
  <c r="AI590" i="5"/>
  <c r="AK590" i="5" s="1"/>
  <c r="AM590" i="5" s="1"/>
  <c r="AO590" i="5" s="1"/>
  <c r="AQ590" i="5" s="1"/>
  <c r="AS590" i="5" s="1"/>
  <c r="AU590" i="5" s="1"/>
  <c r="AW590" i="5" s="1"/>
  <c r="AY590" i="5" s="1"/>
  <c r="BA590" i="5" s="1"/>
  <c r="BC590" i="5" s="1"/>
  <c r="BE590" i="5" s="1"/>
  <c r="U590" i="5"/>
  <c r="AI611" i="5"/>
  <c r="U611" i="5"/>
  <c r="AI713" i="5"/>
  <c r="S816" i="5"/>
  <c r="B74" i="5"/>
  <c r="T100" i="5"/>
  <c r="AE100" i="5"/>
  <c r="AI117" i="5"/>
  <c r="AK117" i="5" s="1"/>
  <c r="AM117" i="5" s="1"/>
  <c r="K142" i="5"/>
  <c r="AF142" i="5"/>
  <c r="Y158" i="5"/>
  <c r="AF153" i="5"/>
  <c r="AI146" i="5"/>
  <c r="E175" i="5"/>
  <c r="Z189" i="5"/>
  <c r="Z219" i="5"/>
  <c r="D220" i="5"/>
  <c r="E229" i="5"/>
  <c r="S229" i="5"/>
  <c r="AD229" i="5"/>
  <c r="AF315" i="5"/>
  <c r="N315" i="5"/>
  <c r="Z315" i="5"/>
  <c r="AF354" i="5"/>
  <c r="AF9" i="5" s="1"/>
  <c r="N373" i="5"/>
  <c r="Z373" i="5"/>
  <c r="AD477" i="5"/>
  <c r="N483" i="5"/>
  <c r="AF499" i="5"/>
  <c r="N509" i="5"/>
  <c r="Z509" i="5"/>
  <c r="S509" i="5"/>
  <c r="U528" i="5"/>
  <c r="S540" i="5"/>
  <c r="AF540" i="5"/>
  <c r="B541" i="5"/>
  <c r="L541" i="5"/>
  <c r="S549" i="5"/>
  <c r="AF549" i="5"/>
  <c r="E558" i="5"/>
  <c r="AD558" i="5"/>
  <c r="H580" i="5"/>
  <c r="AF580" i="5"/>
  <c r="K648" i="5"/>
  <c r="L663" i="5"/>
  <c r="AS713" i="5"/>
  <c r="N783" i="5"/>
  <c r="AF816" i="5"/>
  <c r="S1040" i="5"/>
  <c r="S1042" i="5" s="1"/>
  <c r="AD1040" i="5"/>
  <c r="AD1042" i="5" s="1"/>
  <c r="AK713" i="5"/>
  <c r="H265" i="5"/>
  <c r="K298" i="5"/>
  <c r="W298" i="5"/>
  <c r="E305" i="5"/>
  <c r="K333" i="5"/>
  <c r="W333" i="5"/>
  <c r="E333" i="5"/>
  <c r="H373" i="5"/>
  <c r="D422" i="5"/>
  <c r="D455" i="5" s="1"/>
  <c r="W454" i="5"/>
  <c r="S468" i="5"/>
  <c r="AD468" i="5"/>
  <c r="H477" i="5"/>
  <c r="S477" i="5"/>
  <c r="AE515" i="5"/>
  <c r="U532" i="5"/>
  <c r="K549" i="5"/>
  <c r="W549" i="5"/>
  <c r="Z615" i="5"/>
  <c r="S633" i="5"/>
  <c r="S643" i="5"/>
  <c r="AD643" i="5"/>
  <c r="N648" i="5"/>
  <c r="Z648" i="5"/>
  <c r="E681" i="5"/>
  <c r="AD681" i="5"/>
  <c r="K681" i="5"/>
  <c r="W681" i="5"/>
  <c r="S686" i="5"/>
  <c r="AF686" i="5"/>
  <c r="Z686" i="5"/>
  <c r="H713" i="5"/>
  <c r="AE713" i="5"/>
  <c r="AE777" i="5" s="1"/>
  <c r="K830" i="5"/>
  <c r="AE158" i="5"/>
  <c r="U219" i="5"/>
  <c r="H219" i="5"/>
  <c r="AF219" i="5"/>
  <c r="K229" i="5"/>
  <c r="AM229" i="5"/>
  <c r="H315" i="5"/>
  <c r="S315" i="5"/>
  <c r="E354" i="5"/>
  <c r="N454" i="5"/>
  <c r="Z454" i="5"/>
  <c r="H468" i="5"/>
  <c r="Z483" i="5"/>
  <c r="AD487" i="5"/>
  <c r="Z549" i="5"/>
  <c r="S615" i="5"/>
  <c r="Y663" i="5"/>
  <c r="AF620" i="5"/>
  <c r="K627" i="5"/>
  <c r="H783" i="5"/>
  <c r="U783" i="5"/>
  <c r="AF783" i="5"/>
  <c r="AK27" i="5"/>
  <c r="AM22" i="5" s="1"/>
  <c r="AM27" i="5" s="1"/>
  <c r="AO22" i="5" s="1"/>
  <c r="AO27" i="5" s="1"/>
  <c r="AQ22" i="5" s="1"/>
  <c r="AQ27" i="5" s="1"/>
  <c r="AS22" i="5" s="1"/>
  <c r="AS27" i="5" s="1"/>
  <c r="AU22" i="5" s="1"/>
  <c r="AU27" i="5" s="1"/>
  <c r="AW22" i="5" s="1"/>
  <c r="AW27" i="5" s="1"/>
  <c r="AY22" i="5" s="1"/>
  <c r="AY27" i="5" s="1"/>
  <c r="BA22" i="5" s="1"/>
  <c r="BA27" i="5" s="1"/>
  <c r="AI134" i="5"/>
  <c r="AK131" i="5"/>
  <c r="AM131" i="5" s="1"/>
  <c r="AO131" i="5" s="1"/>
  <c r="U142" i="5"/>
  <c r="B49" i="5"/>
  <c r="T74" i="5"/>
  <c r="T158" i="5"/>
  <c r="Y220" i="5"/>
  <c r="P299" i="5"/>
  <c r="T299" i="5"/>
  <c r="AE299" i="5"/>
  <c r="Z24" i="5"/>
  <c r="Y26" i="5"/>
  <c r="Y27" i="5" s="1"/>
  <c r="AF27" i="5" s="1"/>
  <c r="N49" i="5"/>
  <c r="W49" i="5"/>
  <c r="AD47" i="5"/>
  <c r="AD49" i="5" s="1"/>
  <c r="Z60" i="5"/>
  <c r="N73" i="5"/>
  <c r="Z73" i="5"/>
  <c r="Y74" i="5"/>
  <c r="S91" i="5"/>
  <c r="S93" i="5" s="1"/>
  <c r="L100" i="5"/>
  <c r="H114" i="5"/>
  <c r="H121" i="5" s="1"/>
  <c r="J121" i="5"/>
  <c r="Z142" i="5"/>
  <c r="E142" i="5"/>
  <c r="E219" i="5"/>
  <c r="AM219" i="5"/>
  <c r="H229" i="5"/>
  <c r="J299" i="5"/>
  <c r="Z9" i="5"/>
  <c r="AI42" i="5"/>
  <c r="AK42" i="5" s="1"/>
  <c r="AM42" i="5" s="1"/>
  <c r="AO42" i="5" s="1"/>
  <c r="AQ42" i="5" s="1"/>
  <c r="AS42" i="5" s="1"/>
  <c r="AU42" i="5" s="1"/>
  <c r="AW42" i="5" s="1"/>
  <c r="AY42" i="5" s="1"/>
  <c r="BA42" i="5" s="1"/>
  <c r="BC42" i="5" s="1"/>
  <c r="BE42" i="5" s="1"/>
  <c r="E60" i="5"/>
  <c r="U60" i="5"/>
  <c r="P60" i="5"/>
  <c r="S73" i="5"/>
  <c r="H87" i="5"/>
  <c r="S87" i="5"/>
  <c r="AD87" i="5"/>
  <c r="Z87" i="5"/>
  <c r="AD93" i="5"/>
  <c r="W93" i="5"/>
  <c r="AK93" i="5"/>
  <c r="F100" i="5"/>
  <c r="Y100" i="5"/>
  <c r="E114" i="5"/>
  <c r="E121" i="5" s="1"/>
  <c r="S114" i="5"/>
  <c r="S121" i="5" s="1"/>
  <c r="AD114" i="5"/>
  <c r="AI175" i="5"/>
  <c r="AI220" i="5" s="1"/>
  <c r="AK174" i="5"/>
  <c r="K189" i="5"/>
  <c r="W189" i="5"/>
  <c r="T220" i="5"/>
  <c r="AE220" i="5"/>
  <c r="E298" i="5"/>
  <c r="AD298" i="5"/>
  <c r="S298" i="5"/>
  <c r="E315" i="5"/>
  <c r="U315" i="5"/>
  <c r="U373" i="5"/>
  <c r="N9" i="5"/>
  <c r="H49" i="5"/>
  <c r="H60" i="5"/>
  <c r="S60" i="5"/>
  <c r="AF60" i="5"/>
  <c r="K73" i="5"/>
  <c r="V74" i="5"/>
  <c r="R73" i="5"/>
  <c r="R74" i="5" s="1"/>
  <c r="AE74" i="5"/>
  <c r="K87" i="5"/>
  <c r="AF87" i="5"/>
  <c r="E87" i="5"/>
  <c r="U90" i="5"/>
  <c r="U93" i="5" s="1"/>
  <c r="Z93" i="5"/>
  <c r="AM91" i="5"/>
  <c r="AM93" i="5" s="1"/>
  <c r="AF114" i="5"/>
  <c r="AF121" i="5" s="1"/>
  <c r="L121" i="5"/>
  <c r="AF127" i="5"/>
  <c r="AC158" i="5"/>
  <c r="W219" i="5"/>
  <c r="K219" i="5"/>
  <c r="S219" i="5"/>
  <c r="AD219" i="5"/>
  <c r="AO224" i="5"/>
  <c r="AO229" i="5" s="1"/>
  <c r="F121" i="5"/>
  <c r="AC121" i="5"/>
  <c r="S142" i="5"/>
  <c r="AD142" i="5"/>
  <c r="J158" i="5"/>
  <c r="AI142" i="5"/>
  <c r="W153" i="5"/>
  <c r="Z153" i="5"/>
  <c r="S166" i="5"/>
  <c r="AD166" i="5"/>
  <c r="H189" i="5"/>
  <c r="U189" i="5"/>
  <c r="AF189" i="5"/>
  <c r="S189" i="5"/>
  <c r="AD189" i="5"/>
  <c r="E189" i="5"/>
  <c r="B220" i="5"/>
  <c r="L220" i="5"/>
  <c r="V220" i="5"/>
  <c r="N229" i="5"/>
  <c r="Z229" i="5"/>
  <c r="U265" i="5"/>
  <c r="AF265" i="5"/>
  <c r="B299" i="5"/>
  <c r="L299" i="5"/>
  <c r="V299" i="5"/>
  <c r="AD305" i="5"/>
  <c r="N333" i="5"/>
  <c r="Z333" i="5"/>
  <c r="U333" i="5"/>
  <c r="AF333" i="5"/>
  <c r="R334" i="5"/>
  <c r="AD373" i="5"/>
  <c r="W372" i="5"/>
  <c r="W373" i="5" s="1"/>
  <c r="B373" i="5"/>
  <c r="B455" i="5" s="1"/>
  <c r="E392" i="5"/>
  <c r="E422" i="5" s="1"/>
  <c r="E424" i="5"/>
  <c r="E454" i="5" s="1"/>
  <c r="P454" i="5"/>
  <c r="U424" i="5"/>
  <c r="U454" i="5" s="1"/>
  <c r="AD454" i="5"/>
  <c r="D299" i="5"/>
  <c r="Y299" i="5"/>
  <c r="K315" i="5"/>
  <c r="W315" i="5"/>
  <c r="AM321" i="5"/>
  <c r="AC334" i="5"/>
  <c r="U354" i="5"/>
  <c r="S373" i="5"/>
  <c r="AC422" i="5"/>
  <c r="H454" i="5"/>
  <c r="S454" i="5"/>
  <c r="B121" i="5"/>
  <c r="D158" i="5"/>
  <c r="AD153" i="5"/>
  <c r="E153" i="5"/>
  <c r="W166" i="5"/>
  <c r="Z166" i="5"/>
  <c r="N189" i="5"/>
  <c r="N219" i="5"/>
  <c r="F220" i="5"/>
  <c r="R220" i="5"/>
  <c r="AC220" i="5"/>
  <c r="U229" i="5"/>
  <c r="AF229" i="5"/>
  <c r="W229" i="5"/>
  <c r="N265" i="5"/>
  <c r="Z265" i="5"/>
  <c r="E265" i="5"/>
  <c r="S265" i="5"/>
  <c r="AD265" i="5"/>
  <c r="N298" i="5"/>
  <c r="AF298" i="5"/>
  <c r="Z298" i="5"/>
  <c r="H298" i="5"/>
  <c r="F299" i="5"/>
  <c r="R299" i="5"/>
  <c r="AC299" i="5"/>
  <c r="AM309" i="5"/>
  <c r="AM315" i="5" s="1"/>
  <c r="AO319" i="5"/>
  <c r="AQ319" i="5" s="1"/>
  <c r="J334" i="5"/>
  <c r="V334" i="5"/>
  <c r="W354" i="5"/>
  <c r="AF373" i="5"/>
  <c r="K407" i="5"/>
  <c r="K422" i="5" s="1"/>
  <c r="AD315" i="5"/>
  <c r="J373" i="5"/>
  <c r="E468" i="5"/>
  <c r="AM477" i="5"/>
  <c r="P483" i="5"/>
  <c r="Y488" i="5"/>
  <c r="Z499" i="5"/>
  <c r="AK503" i="5"/>
  <c r="L515" i="5"/>
  <c r="V515" i="5"/>
  <c r="V541" i="5"/>
  <c r="AI540" i="5"/>
  <c r="J596" i="5"/>
  <c r="D596" i="5"/>
  <c r="F596" i="5"/>
  <c r="Y596" i="5"/>
  <c r="K454" i="5"/>
  <c r="AF454" i="5"/>
  <c r="L455" i="5"/>
  <c r="K468" i="5"/>
  <c r="W468" i="5"/>
  <c r="AI468" i="5"/>
  <c r="K477" i="5"/>
  <c r="AF477" i="5"/>
  <c r="N477" i="5"/>
  <c r="U476" i="5"/>
  <c r="U477" i="5" s="1"/>
  <c r="F488" i="5"/>
  <c r="T488" i="5"/>
  <c r="AE488" i="5"/>
  <c r="H499" i="5"/>
  <c r="S499" i="5"/>
  <c r="AD499" i="5"/>
  <c r="B499" i="5"/>
  <c r="B515" i="5" s="1"/>
  <c r="E509" i="5"/>
  <c r="AD509" i="5"/>
  <c r="D515" i="5"/>
  <c r="AF514" i="5"/>
  <c r="AF536" i="5"/>
  <c r="AM538" i="5"/>
  <c r="AM540" i="5" s="1"/>
  <c r="Z540" i="5"/>
  <c r="P540" i="5"/>
  <c r="Y541" i="5"/>
  <c r="AK545" i="5"/>
  <c r="AM545" i="5" s="1"/>
  <c r="AM549" i="5" s="1"/>
  <c r="B549" i="5"/>
  <c r="B596" i="5" s="1"/>
  <c r="N558" i="5"/>
  <c r="K580" i="5"/>
  <c r="R596" i="5"/>
  <c r="N468" i="5"/>
  <c r="Z468" i="5"/>
  <c r="W477" i="5"/>
  <c r="E483" i="5"/>
  <c r="S483" i="5"/>
  <c r="AD483" i="5"/>
  <c r="AF483" i="5"/>
  <c r="B488" i="5"/>
  <c r="L488" i="5"/>
  <c r="U492" i="5"/>
  <c r="U499" i="5" s="1"/>
  <c r="H509" i="5"/>
  <c r="F515" i="5"/>
  <c r="R515" i="5"/>
  <c r="AC515" i="5"/>
  <c r="W514" i="5"/>
  <c r="E536" i="5"/>
  <c r="AD536" i="5"/>
  <c r="K536" i="5"/>
  <c r="H540" i="5"/>
  <c r="E540" i="5"/>
  <c r="F541" i="5"/>
  <c r="E549" i="5"/>
  <c r="AD549" i="5"/>
  <c r="N549" i="5"/>
  <c r="H558" i="5"/>
  <c r="S558" i="5"/>
  <c r="AF558" i="5"/>
  <c r="P580" i="5"/>
  <c r="W580" i="5"/>
  <c r="AI580" i="5"/>
  <c r="T596" i="5"/>
  <c r="F455" i="5"/>
  <c r="U468" i="5"/>
  <c r="AF468" i="5"/>
  <c r="AK477" i="5"/>
  <c r="W509" i="5"/>
  <c r="T515" i="5"/>
  <c r="P536" i="5"/>
  <c r="Z532" i="5"/>
  <c r="K540" i="5"/>
  <c r="AE541" i="5"/>
  <c r="K558" i="5"/>
  <c r="W558" i="5"/>
  <c r="AI558" i="5"/>
  <c r="N580" i="5"/>
  <c r="Z580" i="5"/>
  <c r="V596" i="5"/>
  <c r="AE596" i="5"/>
  <c r="N615" i="5"/>
  <c r="N627" i="5"/>
  <c r="H643" i="5"/>
  <c r="F663" i="5"/>
  <c r="S681" i="5"/>
  <c r="AF697" i="5"/>
  <c r="J745" i="5"/>
  <c r="J777" i="5" s="1"/>
  <c r="E747" i="5"/>
  <c r="E776" i="5" s="1"/>
  <c r="AS781" i="5"/>
  <c r="W786" i="5"/>
  <c r="W809" i="5" s="1"/>
  <c r="W830" i="5"/>
  <c r="H830" i="5"/>
  <c r="AF830" i="5"/>
  <c r="H1040" i="5"/>
  <c r="H1042" i="5" s="1"/>
  <c r="E615" i="5"/>
  <c r="AD615" i="5"/>
  <c r="P615" i="5"/>
  <c r="AM617" i="5"/>
  <c r="N620" i="5"/>
  <c r="Z620" i="5"/>
  <c r="Z627" i="5"/>
  <c r="Z633" i="5"/>
  <c r="AM629" i="5"/>
  <c r="W633" i="5"/>
  <c r="W643" i="5"/>
  <c r="AI643" i="5"/>
  <c r="U646" i="5"/>
  <c r="U648" i="5" s="1"/>
  <c r="AF648" i="5"/>
  <c r="T663" i="5"/>
  <c r="N660" i="5"/>
  <c r="W660" i="5"/>
  <c r="Z675" i="5"/>
  <c r="U744" i="5"/>
  <c r="AF776" i="5"/>
  <c r="N776" i="5"/>
  <c r="Z776" i="5"/>
  <c r="H776" i="5"/>
  <c r="U776" i="5"/>
  <c r="Y777" i="5"/>
  <c r="K783" i="5"/>
  <c r="N809" i="5"/>
  <c r="Z809" i="5"/>
  <c r="P809" i="5"/>
  <c r="E793" i="5"/>
  <c r="E809" i="5" s="1"/>
  <c r="N830" i="5"/>
  <c r="AM818" i="5"/>
  <c r="U826" i="5"/>
  <c r="U830" i="5" s="1"/>
  <c r="AF1040" i="5"/>
  <c r="AK851" i="5"/>
  <c r="K935" i="5"/>
  <c r="K1040" i="5" s="1"/>
  <c r="K1042" i="5" s="1"/>
  <c r="AI994" i="5"/>
  <c r="AK994" i="5" s="1"/>
  <c r="AM994" i="5" s="1"/>
  <c r="AO994" i="5" s="1"/>
  <c r="AQ994" i="5" s="1"/>
  <c r="AS994" i="5" s="1"/>
  <c r="AU994" i="5" s="1"/>
  <c r="AW994" i="5" s="1"/>
  <c r="AY994" i="5" s="1"/>
  <c r="BA994" i="5" s="1"/>
  <c r="BC994" i="5" s="1"/>
  <c r="BE994" i="5" s="1"/>
  <c r="B1040" i="5"/>
  <c r="L596" i="5"/>
  <c r="AC596" i="5"/>
  <c r="K615" i="5"/>
  <c r="AF615" i="5"/>
  <c r="U604" i="5"/>
  <c r="S620" i="5"/>
  <c r="AD620" i="5"/>
  <c r="E620" i="5"/>
  <c r="E633" i="5"/>
  <c r="AD633" i="5"/>
  <c r="Z643" i="5"/>
  <c r="E643" i="5"/>
  <c r="W648" i="5"/>
  <c r="E660" i="5"/>
  <c r="AM651" i="5"/>
  <c r="Z660" i="5"/>
  <c r="D660" i="5"/>
  <c r="D663" i="5" s="1"/>
  <c r="N675" i="5"/>
  <c r="AD675" i="5"/>
  <c r="N681" i="5"/>
  <c r="N686" i="5"/>
  <c r="AD686" i="5"/>
  <c r="K686" i="5"/>
  <c r="E686" i="5"/>
  <c r="E713" i="5"/>
  <c r="AF698" i="5"/>
  <c r="AF713" i="5" s="1"/>
  <c r="Z713" i="5"/>
  <c r="AY713" i="5"/>
  <c r="H745" i="5"/>
  <c r="AF745" i="5"/>
  <c r="N745" i="5"/>
  <c r="Z745" i="5"/>
  <c r="W745" i="5"/>
  <c r="AD745" i="5"/>
  <c r="AI745" i="5"/>
  <c r="AC776" i="5"/>
  <c r="AC777" i="5" s="1"/>
  <c r="AK781" i="5"/>
  <c r="AK783" i="5" s="1"/>
  <c r="AC809" i="5"/>
  <c r="AC831" i="5" s="1"/>
  <c r="K816" i="5"/>
  <c r="W816" i="5"/>
  <c r="AI816" i="5"/>
  <c r="H814" i="5"/>
  <c r="H816" i="5" s="1"/>
  <c r="E830" i="5"/>
  <c r="S830" i="5"/>
  <c r="AD830" i="5"/>
  <c r="AK821" i="5"/>
  <c r="AM821" i="5" s="1"/>
  <c r="AO821" i="5" s="1"/>
  <c r="AQ821" i="5" s="1"/>
  <c r="AS821" i="5" s="1"/>
  <c r="AU821" i="5" s="1"/>
  <c r="AW821" i="5" s="1"/>
  <c r="N1040" i="5"/>
  <c r="N1042" i="5" s="1"/>
  <c r="W839" i="5"/>
  <c r="W1040" i="5" s="1"/>
  <c r="W1042" i="5" s="1"/>
  <c r="E935" i="5"/>
  <c r="E1040" i="5" s="1"/>
  <c r="E1042" i="5" s="1"/>
  <c r="E648" i="5"/>
  <c r="AM713" i="5"/>
  <c r="AY25" i="6"/>
  <c r="W39" i="6"/>
  <c r="W60" i="6" s="1"/>
  <c r="N8" i="6"/>
  <c r="H82" i="6"/>
  <c r="U82" i="6"/>
  <c r="AF82" i="6"/>
  <c r="E82" i="6"/>
  <c r="Z90" i="6"/>
  <c r="AE25" i="6"/>
  <c r="AE26" i="6" s="1"/>
  <c r="U24" i="6"/>
  <c r="S39" i="6"/>
  <c r="AF39" i="6"/>
  <c r="AF60" i="6" s="1"/>
  <c r="Z68" i="6"/>
  <c r="U68" i="6"/>
  <c r="U8" i="6"/>
  <c r="U12" i="6"/>
  <c r="F39" i="6"/>
  <c r="F60" i="6" s="1"/>
  <c r="F7" i="6" s="1"/>
  <c r="F9" i="6" s="1"/>
  <c r="AD68" i="6"/>
  <c r="N82" i="6"/>
  <c r="Z82" i="6"/>
  <c r="N12" i="6"/>
  <c r="K60" i="6"/>
  <c r="K70" i="6" s="1"/>
  <c r="K90" i="6"/>
  <c r="AQ23" i="6"/>
  <c r="AQ25" i="6" s="1"/>
  <c r="Y25" i="6"/>
  <c r="Y26" i="6" s="1"/>
  <c r="AF23" i="6"/>
  <c r="AF12" i="6"/>
  <c r="Z12" i="6"/>
  <c r="B39" i="6"/>
  <c r="B60" i="6" s="1"/>
  <c r="B7" i="6" s="1"/>
  <c r="B9" i="6" s="1"/>
  <c r="P39" i="6"/>
  <c r="P60" i="6" s="1"/>
  <c r="P7" i="6" s="1"/>
  <c r="P9" i="6" s="1"/>
  <c r="AD39" i="6"/>
  <c r="AD60" i="6" s="1"/>
  <c r="W82" i="6"/>
  <c r="K82" i="6"/>
  <c r="K107" i="6" s="1"/>
  <c r="AF150" i="6"/>
  <c r="H150" i="6"/>
  <c r="Z150" i="6"/>
  <c r="AF8" i="6"/>
  <c r="H12" i="6"/>
  <c r="Z23" i="6"/>
  <c r="Z24" i="6"/>
  <c r="S60" i="6"/>
  <c r="AF68" i="6"/>
  <c r="B82" i="6"/>
  <c r="B107" i="6" s="1"/>
  <c r="B11" i="6" s="1"/>
  <c r="B13" i="6" s="1"/>
  <c r="P82" i="6"/>
  <c r="E90" i="6"/>
  <c r="P90" i="6"/>
  <c r="W90" i="6"/>
  <c r="Z94" i="6"/>
  <c r="W105" i="6"/>
  <c r="K150" i="6"/>
  <c r="Z8" i="6"/>
  <c r="H23" i="6"/>
  <c r="N23" i="6" s="1"/>
  <c r="U23" i="6"/>
  <c r="H37" i="6"/>
  <c r="W68" i="6"/>
  <c r="S68" i="6"/>
  <c r="S82" i="6"/>
  <c r="AD82" i="6"/>
  <c r="H90" i="6"/>
  <c r="S90" i="6"/>
  <c r="AD90" i="6"/>
  <c r="Z105" i="6"/>
  <c r="W150" i="6"/>
  <c r="N150" i="6"/>
  <c r="U147" i="6"/>
  <c r="U150" i="6" s="1"/>
  <c r="U11" i="8"/>
  <c r="AF44" i="8"/>
  <c r="L57" i="8"/>
  <c r="E73" i="8"/>
  <c r="P73" i="8"/>
  <c r="Z114" i="8"/>
  <c r="K126" i="8"/>
  <c r="E141" i="8"/>
  <c r="S141" i="8"/>
  <c r="H7" i="8"/>
  <c r="N11" i="8"/>
  <c r="N44" i="8"/>
  <c r="E55" i="8"/>
  <c r="AC57" i="8"/>
  <c r="AC66" i="8" s="1"/>
  <c r="R57" i="8"/>
  <c r="R66" i="8" s="1"/>
  <c r="U72" i="8"/>
  <c r="U73" i="8" s="1"/>
  <c r="Z89" i="8"/>
  <c r="U89" i="8"/>
  <c r="E114" i="8"/>
  <c r="Z126" i="8"/>
  <c r="N126" i="8"/>
  <c r="H126" i="8"/>
  <c r="AD126" i="8"/>
  <c r="AE142" i="8"/>
  <c r="AE144" i="8" s="1"/>
  <c r="U141" i="8"/>
  <c r="AC142" i="8"/>
  <c r="AC144" i="8" s="1"/>
  <c r="AC150" i="8" s="1"/>
  <c r="B142" i="8"/>
  <c r="B144" i="8" s="1"/>
  <c r="B150" i="8" s="1"/>
  <c r="Y142" i="8"/>
  <c r="Y144" i="8" s="1"/>
  <c r="Z44" i="8"/>
  <c r="AF7" i="8"/>
  <c r="AF25" i="8"/>
  <c r="H44" i="8"/>
  <c r="U44" i="8"/>
  <c r="H55" i="8"/>
  <c r="S55" i="8"/>
  <c r="F57" i="8"/>
  <c r="AI73" i="8"/>
  <c r="AI169" i="8" s="1"/>
  <c r="AD89" i="8"/>
  <c r="AF114" i="8"/>
  <c r="H114" i="8"/>
  <c r="N114" i="8"/>
  <c r="E126" i="8"/>
  <c r="K141" i="8"/>
  <c r="AK54" i="8"/>
  <c r="AK166" i="8" s="1"/>
  <c r="AI55" i="8"/>
  <c r="T57" i="8"/>
  <c r="AK141" i="8"/>
  <c r="Z7" i="8"/>
  <c r="H11" i="8"/>
  <c r="AF24" i="8"/>
  <c r="F25" i="8"/>
  <c r="H25" i="8" s="1"/>
  <c r="J57" i="8"/>
  <c r="J66" i="8" s="1"/>
  <c r="U25" i="8"/>
  <c r="K44" i="8"/>
  <c r="Z55" i="8"/>
  <c r="B57" i="8"/>
  <c r="Y57" i="8"/>
  <c r="W44" i="8"/>
  <c r="AI44" i="8"/>
  <c r="D57" i="8"/>
  <c r="D66" i="8" s="1"/>
  <c r="AE57" i="8"/>
  <c r="U54" i="8"/>
  <c r="U55" i="8" s="1"/>
  <c r="P55" i="8"/>
  <c r="AK71" i="8"/>
  <c r="AF141" i="8"/>
  <c r="D142" i="8"/>
  <c r="D144" i="8" s="1"/>
  <c r="D150" i="8" s="1"/>
  <c r="J142" i="8"/>
  <c r="J144" i="8" s="1"/>
  <c r="J150" i="8" s="1"/>
  <c r="P141" i="8"/>
  <c r="P142" i="8" s="1"/>
  <c r="P144" i="8" s="1"/>
  <c r="W141" i="8"/>
  <c r="R142" i="8"/>
  <c r="R144" i="8" s="1"/>
  <c r="R150" i="8" s="1"/>
  <c r="V142" i="8"/>
  <c r="V144" i="8" s="1"/>
  <c r="V150" i="8" s="1"/>
  <c r="F142" i="8"/>
  <c r="F144" i="8" s="1"/>
  <c r="L142" i="8"/>
  <c r="L144" i="8" s="1"/>
  <c r="AD140" i="8"/>
  <c r="AD141" i="8" s="1"/>
  <c r="Z7" i="6"/>
  <c r="Y9" i="6"/>
  <c r="T70" i="6"/>
  <c r="AE70" i="6"/>
  <c r="T9" i="6"/>
  <c r="D70" i="6"/>
  <c r="L70" i="6"/>
  <c r="V70" i="6"/>
  <c r="AF7" i="6"/>
  <c r="AE9" i="6"/>
  <c r="Y70" i="6"/>
  <c r="AM75" i="6"/>
  <c r="AM172" i="6" s="1"/>
  <c r="AK90" i="6"/>
  <c r="AM85" i="6"/>
  <c r="F26" i="6"/>
  <c r="H26" i="6" s="1"/>
  <c r="H25" i="6"/>
  <c r="L9" i="6"/>
  <c r="J70" i="6"/>
  <c r="R70" i="6"/>
  <c r="AC70" i="6"/>
  <c r="AF24" i="6"/>
  <c r="T25" i="6"/>
  <c r="U88" i="6"/>
  <c r="U90" i="6" s="1"/>
  <c r="V90" i="6"/>
  <c r="V107" i="6" s="1"/>
  <c r="V152" i="6" s="1"/>
  <c r="AI90" i="6"/>
  <c r="D107" i="6"/>
  <c r="D152" i="6" s="1"/>
  <c r="R107" i="6"/>
  <c r="R152" i="6" s="1"/>
  <c r="AC107" i="6"/>
  <c r="AC152" i="6" s="1"/>
  <c r="L25" i="6"/>
  <c r="AI82" i="6"/>
  <c r="AI105" i="6"/>
  <c r="AK104" i="6"/>
  <c r="F107" i="6"/>
  <c r="F11" i="6" s="1"/>
  <c r="T107" i="6"/>
  <c r="T11" i="6" s="1"/>
  <c r="AE107" i="6"/>
  <c r="AE11" i="6" s="1"/>
  <c r="U37" i="6"/>
  <c r="U38" i="6"/>
  <c r="J107" i="6"/>
  <c r="J152" i="6" s="1"/>
  <c r="E37" i="6"/>
  <c r="AI37" i="6"/>
  <c r="E38" i="6"/>
  <c r="L107" i="6"/>
  <c r="L11" i="6" s="1"/>
  <c r="Y107" i="6"/>
  <c r="Y11" i="6" s="1"/>
  <c r="AD93" i="6"/>
  <c r="AD94" i="6" s="1"/>
  <c r="W93" i="6"/>
  <c r="W94" i="6" s="1"/>
  <c r="P94" i="6"/>
  <c r="AI93" i="6"/>
  <c r="U96" i="6"/>
  <c r="U104" i="6"/>
  <c r="U105" i="6" s="1"/>
  <c r="P105" i="6"/>
  <c r="H26" i="5"/>
  <c r="AS90" i="5"/>
  <c r="AY144" i="5"/>
  <c r="U49" i="5"/>
  <c r="R49" i="5"/>
  <c r="S47" i="5"/>
  <c r="S49" i="5" s="1"/>
  <c r="AK54" i="5"/>
  <c r="P73" i="5"/>
  <c r="J74" i="5"/>
  <c r="T26" i="5"/>
  <c r="E39" i="5"/>
  <c r="E49" i="5" s="1"/>
  <c r="P49" i="5"/>
  <c r="Z49" i="5"/>
  <c r="N60" i="5"/>
  <c r="N61" i="5" s="1"/>
  <c r="AM53" i="5"/>
  <c r="K60" i="5"/>
  <c r="K61" i="5" s="1"/>
  <c r="H73" i="5"/>
  <c r="U73" i="5"/>
  <c r="AF73" i="5"/>
  <c r="D74" i="5"/>
  <c r="N87" i="5"/>
  <c r="W87" i="5"/>
  <c r="AM78" i="5"/>
  <c r="P87" i="5"/>
  <c r="AE121" i="5"/>
  <c r="P134" i="5"/>
  <c r="U131" i="5"/>
  <c r="U134" i="5" s="1"/>
  <c r="L158" i="5"/>
  <c r="N153" i="5"/>
  <c r="R158" i="5"/>
  <c r="AK166" i="5"/>
  <c r="AM162" i="5"/>
  <c r="W60" i="5"/>
  <c r="AD60" i="5"/>
  <c r="AO63" i="5"/>
  <c r="W67" i="5"/>
  <c r="W73" i="5" s="1"/>
  <c r="AI67" i="5"/>
  <c r="AK67" i="5" s="1"/>
  <c r="AM67" i="5" s="1"/>
  <c r="AO67" i="5" s="1"/>
  <c r="AQ67" i="5" s="1"/>
  <c r="AS67" i="5" s="1"/>
  <c r="AU67" i="5" s="1"/>
  <c r="AW67" i="5" s="1"/>
  <c r="AY67" i="5" s="1"/>
  <c r="BA67" i="5" s="1"/>
  <c r="AI72" i="5"/>
  <c r="AK72" i="5" s="1"/>
  <c r="AM72" i="5" s="1"/>
  <c r="AO72" i="5" s="1"/>
  <c r="AQ72" i="5" s="1"/>
  <c r="AS72" i="5" s="1"/>
  <c r="AU72" i="5" s="1"/>
  <c r="AW72" i="5" s="1"/>
  <c r="AY72" i="5" s="1"/>
  <c r="BA72" i="5" s="1"/>
  <c r="K93" i="5"/>
  <c r="AD106" i="5"/>
  <c r="Y121" i="5"/>
  <c r="W142" i="5"/>
  <c r="AK142" i="5"/>
  <c r="AM136" i="5"/>
  <c r="F158" i="5"/>
  <c r="H153" i="5"/>
  <c r="S153" i="5"/>
  <c r="K114" i="5"/>
  <c r="K121" i="5" s="1"/>
  <c r="W114" i="5"/>
  <c r="W121" i="5" s="1"/>
  <c r="AI114" i="5"/>
  <c r="AK108" i="5"/>
  <c r="T121" i="5"/>
  <c r="P153" i="5"/>
  <c r="V158" i="5"/>
  <c r="AI66" i="5"/>
  <c r="AM170" i="5"/>
  <c r="J177" i="5"/>
  <c r="K177" i="5" s="1"/>
  <c r="AM183" i="5"/>
  <c r="AM189" i="5" s="1"/>
  <c r="U303" i="5"/>
  <c r="U305" i="5" s="1"/>
  <c r="P315" i="5"/>
  <c r="S333" i="5"/>
  <c r="AD333" i="5"/>
  <c r="T334" i="5"/>
  <c r="AI333" i="5"/>
  <c r="K373" i="5"/>
  <c r="AI373" i="5"/>
  <c r="P373" i="5"/>
  <c r="N422" i="5"/>
  <c r="Z422" i="5"/>
  <c r="S399" i="5"/>
  <c r="S422" i="5" s="1"/>
  <c r="Y455" i="5"/>
  <c r="AO459" i="5"/>
  <c r="AS471" i="5"/>
  <c r="H333" i="5"/>
  <c r="AK333" i="5"/>
  <c r="L334" i="5"/>
  <c r="AK373" i="5"/>
  <c r="AM362" i="5"/>
  <c r="P422" i="5"/>
  <c r="U376" i="5"/>
  <c r="U422" i="5" s="1"/>
  <c r="AD422" i="5"/>
  <c r="AQ376" i="5"/>
  <c r="R455" i="5"/>
  <c r="AE455" i="5"/>
  <c r="AK219" i="5"/>
  <c r="AK265" i="5"/>
  <c r="AM333" i="5"/>
  <c r="AO327" i="5"/>
  <c r="F334" i="5"/>
  <c r="P333" i="5"/>
  <c r="AE334" i="5"/>
  <c r="H422" i="5"/>
  <c r="AF422" i="5"/>
  <c r="AM378" i="5"/>
  <c r="AO378" i="5" s="1"/>
  <c r="AQ378" i="5" s="1"/>
  <c r="AS378" i="5" s="1"/>
  <c r="AU378" i="5" s="1"/>
  <c r="AW378" i="5" s="1"/>
  <c r="AY378" i="5" s="1"/>
  <c r="BA378" i="5" s="1"/>
  <c r="BC378" i="5" s="1"/>
  <c r="BE378" i="5" s="1"/>
  <c r="AK379" i="5"/>
  <c r="AM379" i="5" s="1"/>
  <c r="AO379" i="5" s="1"/>
  <c r="AQ379" i="5" s="1"/>
  <c r="AS379" i="5" s="1"/>
  <c r="AU379" i="5" s="1"/>
  <c r="AW379" i="5" s="1"/>
  <c r="AY379" i="5" s="1"/>
  <c r="BA379" i="5" s="1"/>
  <c r="BC379" i="5" s="1"/>
  <c r="BE379" i="5" s="1"/>
  <c r="AK454" i="5"/>
  <c r="T455" i="5"/>
  <c r="AO207" i="5"/>
  <c r="B334" i="5"/>
  <c r="Y334" i="5"/>
  <c r="B354" i="5"/>
  <c r="H339" i="5"/>
  <c r="H354" i="5" s="1"/>
  <c r="AS424" i="5"/>
  <c r="AM425" i="5"/>
  <c r="AO425" i="5" s="1"/>
  <c r="AQ425" i="5" s="1"/>
  <c r="AS425" i="5" s="1"/>
  <c r="AU425" i="5" s="1"/>
  <c r="AW425" i="5" s="1"/>
  <c r="AY425" i="5" s="1"/>
  <c r="BA425" i="5" s="1"/>
  <c r="BC425" i="5" s="1"/>
  <c r="BE425" i="5" s="1"/>
  <c r="K483" i="5"/>
  <c r="W483" i="5"/>
  <c r="AM480" i="5"/>
  <c r="V488" i="5"/>
  <c r="K499" i="5"/>
  <c r="AF509" i="5"/>
  <c r="H536" i="5"/>
  <c r="AI532" i="5"/>
  <c r="AK532" i="5" s="1"/>
  <c r="AM532" i="5" s="1"/>
  <c r="AO532" i="5" s="1"/>
  <c r="AQ532" i="5" s="1"/>
  <c r="AS532" i="5" s="1"/>
  <c r="AU532" i="5" s="1"/>
  <c r="AW532" i="5" s="1"/>
  <c r="AY532" i="5" s="1"/>
  <c r="BA532" i="5" s="1"/>
  <c r="BC532" i="5" s="1"/>
  <c r="BE532" i="5" s="1"/>
  <c r="E477" i="5"/>
  <c r="P477" i="5"/>
  <c r="Z477" i="5"/>
  <c r="AI477" i="5"/>
  <c r="AO472" i="5"/>
  <c r="AQ472" i="5" s="1"/>
  <c r="AS472" i="5" s="1"/>
  <c r="AU472" i="5" s="1"/>
  <c r="AW472" i="5" s="1"/>
  <c r="AY472" i="5" s="1"/>
  <c r="BA472" i="5" s="1"/>
  <c r="BC472" i="5" s="1"/>
  <c r="BE472" i="5" s="1"/>
  <c r="R488" i="5"/>
  <c r="AF487" i="5"/>
  <c r="W499" i="5"/>
  <c r="AK499" i="5"/>
  <c r="K509" i="5"/>
  <c r="J515" i="5"/>
  <c r="W536" i="5"/>
  <c r="T536" i="5"/>
  <c r="T541" i="5" s="1"/>
  <c r="Z528" i="5"/>
  <c r="S528" i="5"/>
  <c r="R541" i="5"/>
  <c r="AC541" i="5"/>
  <c r="B663" i="5"/>
  <c r="AC454" i="5"/>
  <c r="AI454" i="5"/>
  <c r="P487" i="5"/>
  <c r="U485" i="5"/>
  <c r="U487" i="5" s="1"/>
  <c r="J488" i="5"/>
  <c r="AI499" i="5"/>
  <c r="U511" i="5"/>
  <c r="U514" i="5" s="1"/>
  <c r="P514" i="5"/>
  <c r="N536" i="5"/>
  <c r="N540" i="5"/>
  <c r="J541" i="5"/>
  <c r="AK460" i="5"/>
  <c r="AM460" i="5" s="1"/>
  <c r="AO460" i="5" s="1"/>
  <c r="AQ460" i="5" s="1"/>
  <c r="AS460" i="5" s="1"/>
  <c r="AU460" i="5" s="1"/>
  <c r="AW460" i="5" s="1"/>
  <c r="AY460" i="5" s="1"/>
  <c r="BA460" i="5" s="1"/>
  <c r="BC460" i="5" s="1"/>
  <c r="BE460" i="5" s="1"/>
  <c r="D488" i="5"/>
  <c r="AC488" i="5"/>
  <c r="P509" i="5"/>
  <c r="U503" i="5"/>
  <c r="U509" i="5" s="1"/>
  <c r="AO521" i="5"/>
  <c r="Z534" i="5"/>
  <c r="S534" i="5"/>
  <c r="D541" i="5"/>
  <c r="AM558" i="5"/>
  <c r="AO552" i="5"/>
  <c r="AQ560" i="5"/>
  <c r="AI483" i="5"/>
  <c r="U545" i="5"/>
  <c r="U549" i="5" s="1"/>
  <c r="U552" i="5"/>
  <c r="U558" i="5" s="1"/>
  <c r="U562" i="5"/>
  <c r="U580" i="5" s="1"/>
  <c r="AK563" i="5"/>
  <c r="AM563" i="5" s="1"/>
  <c r="AO563" i="5" s="1"/>
  <c r="AQ563" i="5" s="1"/>
  <c r="AS563" i="5" s="1"/>
  <c r="AU563" i="5" s="1"/>
  <c r="AW563" i="5" s="1"/>
  <c r="AY563" i="5" s="1"/>
  <c r="BA563" i="5" s="1"/>
  <c r="BC563" i="5" s="1"/>
  <c r="BE563" i="5" s="1"/>
  <c r="E575" i="5"/>
  <c r="E580" i="5" s="1"/>
  <c r="U595" i="5"/>
  <c r="U601" i="5"/>
  <c r="H602" i="5"/>
  <c r="H615" i="5" s="1"/>
  <c r="U605" i="5"/>
  <c r="P627" i="5"/>
  <c r="K633" i="5"/>
  <c r="K643" i="5"/>
  <c r="AK648" i="5"/>
  <c r="AM646" i="5"/>
  <c r="D690" i="5"/>
  <c r="E689" i="5"/>
  <c r="E690" i="5" s="1"/>
  <c r="N713" i="5"/>
  <c r="W713" i="5"/>
  <c r="AO785" i="5"/>
  <c r="AM492" i="5"/>
  <c r="AK558" i="5"/>
  <c r="AC615" i="5"/>
  <c r="AC663" i="5" s="1"/>
  <c r="K660" i="5"/>
  <c r="AE663" i="5"/>
  <c r="K675" i="5"/>
  <c r="H620" i="5"/>
  <c r="P633" i="5"/>
  <c r="U629" i="5"/>
  <c r="U633" i="5" s="1"/>
  <c r="P643" i="5"/>
  <c r="U641" i="5"/>
  <c r="U643" i="5" s="1"/>
  <c r="R663" i="5"/>
  <c r="V660" i="5"/>
  <c r="D745" i="5"/>
  <c r="E745" i="5"/>
  <c r="AM562" i="5"/>
  <c r="AO562" i="5" s="1"/>
  <c r="AQ562" i="5" s="1"/>
  <c r="AS562" i="5" s="1"/>
  <c r="AU562" i="5" s="1"/>
  <c r="AW562" i="5" s="1"/>
  <c r="AY562" i="5" s="1"/>
  <c r="BA562" i="5" s="1"/>
  <c r="BC562" i="5" s="1"/>
  <c r="BE562" i="5" s="1"/>
  <c r="AO600" i="5"/>
  <c r="AK640" i="5"/>
  <c r="J663" i="5"/>
  <c r="P672" i="5"/>
  <c r="B675" i="5"/>
  <c r="V690" i="5"/>
  <c r="V777" i="5" s="1"/>
  <c r="W689" i="5"/>
  <c r="W690" i="5" s="1"/>
  <c r="K713" i="5"/>
  <c r="T777" i="5"/>
  <c r="AF633" i="5"/>
  <c r="S675" i="5"/>
  <c r="H683" i="5"/>
  <c r="H686" i="5" s="1"/>
  <c r="U683" i="5"/>
  <c r="U686" i="5" s="1"/>
  <c r="B686" i="5"/>
  <c r="AI689" i="5"/>
  <c r="K745" i="5"/>
  <c r="R745" i="5"/>
  <c r="R777" i="5" s="1"/>
  <c r="S724" i="5"/>
  <c r="S745" i="5" s="1"/>
  <c r="W776" i="5"/>
  <c r="AD785" i="5"/>
  <c r="AD809" i="5" s="1"/>
  <c r="K809" i="5"/>
  <c r="AK789" i="5"/>
  <c r="AM789" i="5" s="1"/>
  <c r="AO789" i="5" s="1"/>
  <c r="AQ789" i="5" s="1"/>
  <c r="AS789" i="5" s="1"/>
  <c r="AU789" i="5" s="1"/>
  <c r="AW789" i="5" s="1"/>
  <c r="AY789" i="5" s="1"/>
  <c r="BA789" i="5" s="1"/>
  <c r="BC789" i="5" s="1"/>
  <c r="BE789" i="5" s="1"/>
  <c r="AK816" i="5"/>
  <c r="AM813" i="5"/>
  <c r="J831" i="5"/>
  <c r="T831" i="5"/>
  <c r="AE831" i="5"/>
  <c r="U1040" i="5"/>
  <c r="U1042" i="5" s="1"/>
  <c r="AF643" i="5"/>
  <c r="S648" i="5"/>
  <c r="AD648" i="5"/>
  <c r="S660" i="5"/>
  <c r="AD660" i="5"/>
  <c r="W675" i="5"/>
  <c r="Z681" i="5"/>
  <c r="W686" i="5"/>
  <c r="AI683" i="5"/>
  <c r="S713" i="5"/>
  <c r="AD697" i="5"/>
  <c r="AD713" i="5" s="1"/>
  <c r="BA713" i="5"/>
  <c r="U740" i="5"/>
  <c r="AF809" i="5"/>
  <c r="U788" i="5"/>
  <c r="U809" i="5" s="1"/>
  <c r="R809" i="5"/>
  <c r="R831" i="5" s="1"/>
  <c r="S794" i="5"/>
  <c r="S809" i="5" s="1"/>
  <c r="AI796" i="5"/>
  <c r="U813" i="5"/>
  <c r="U816" i="5" s="1"/>
  <c r="P816" i="5"/>
  <c r="B831" i="5"/>
  <c r="L831" i="5"/>
  <c r="AK740" i="5"/>
  <c r="P745" i="5"/>
  <c r="S776" i="5"/>
  <c r="AD776" i="5"/>
  <c r="F777" i="5"/>
  <c r="L777" i="5"/>
  <c r="D831" i="5"/>
  <c r="Y831" i="5"/>
  <c r="AS725" i="5"/>
  <c r="F831" i="5"/>
  <c r="P1040" i="5"/>
  <c r="P1042" i="5" s="1"/>
  <c r="A1486" i="1"/>
  <c r="AJ222" i="1"/>
  <c r="AH1495" i="1"/>
  <c r="AK162" i="8" l="1"/>
  <c r="BE42" i="6"/>
  <c r="S107" i="6"/>
  <c r="AK48" i="6"/>
  <c r="AK163" i="6" s="1"/>
  <c r="P70" i="6"/>
  <c r="U7" i="6"/>
  <c r="AI12" i="6"/>
  <c r="W142" i="8"/>
  <c r="W144" i="8" s="1"/>
  <c r="W150" i="8" s="1"/>
  <c r="U142" i="8"/>
  <c r="AM163" i="8"/>
  <c r="N142" i="8"/>
  <c r="N144" i="8" s="1"/>
  <c r="N150" i="8" s="1"/>
  <c r="E57" i="8"/>
  <c r="E66" i="8" s="1"/>
  <c r="BC85" i="5"/>
  <c r="BE85" i="5" s="1"/>
  <c r="BA102" i="1"/>
  <c r="BC111" i="5"/>
  <c r="BE111" i="5" s="1"/>
  <c r="BA128" i="1"/>
  <c r="BC72" i="5"/>
  <c r="BE72" i="5" s="1"/>
  <c r="BA89" i="1"/>
  <c r="BC148" i="5"/>
  <c r="BE148" i="5" s="1"/>
  <c r="BA163" i="1"/>
  <c r="BC67" i="5"/>
  <c r="BE67" i="5" s="1"/>
  <c r="BA84" i="1"/>
  <c r="AY382" i="5"/>
  <c r="AW34" i="5"/>
  <c r="AK1056" i="5"/>
  <c r="F11" i="9" s="1"/>
  <c r="AI1056" i="5"/>
  <c r="D11" i="9" s="1"/>
  <c r="AO188" i="7"/>
  <c r="K142" i="8"/>
  <c r="K144" i="8" s="1"/>
  <c r="K150" i="8" s="1"/>
  <c r="AI174" i="8"/>
  <c r="AI196" i="8" s="1"/>
  <c r="AM188" i="6"/>
  <c r="AM12" i="6"/>
  <c r="AU223" i="8"/>
  <c r="AW222" i="8"/>
  <c r="AI216" i="6"/>
  <c r="AK215" i="6"/>
  <c r="AI26" i="6"/>
  <c r="AK21" i="6" s="1"/>
  <c r="AK26" i="6" s="1"/>
  <c r="AM21" i="6" s="1"/>
  <c r="AM26" i="6" s="1"/>
  <c r="AO21" i="6" s="1"/>
  <c r="AO26" i="6" s="1"/>
  <c r="AQ21" i="6" s="1"/>
  <c r="AQ26" i="6" s="1"/>
  <c r="AS21" i="6" s="1"/>
  <c r="AS26" i="6" s="1"/>
  <c r="AU21" i="6" s="1"/>
  <c r="AU26" i="6" s="1"/>
  <c r="AW21" i="6" s="1"/>
  <c r="AW26" i="6" s="1"/>
  <c r="AY21" i="6" s="1"/>
  <c r="AY26" i="6" s="1"/>
  <c r="BA21" i="6" s="1"/>
  <c r="BA26" i="6" s="1"/>
  <c r="AK163" i="8"/>
  <c r="BA214" i="6"/>
  <c r="BC214" i="6" s="1"/>
  <c r="BE214" i="6" s="1"/>
  <c r="BA218" i="6"/>
  <c r="BC218" i="6" s="1"/>
  <c r="BE218" i="6" s="1"/>
  <c r="AY198" i="7"/>
  <c r="AY200" i="7" s="1"/>
  <c r="AK189" i="6"/>
  <c r="AK12" i="6"/>
  <c r="Z79" i="9"/>
  <c r="Z80" i="9" s="1"/>
  <c r="BE1132" i="5"/>
  <c r="BE1127" i="5"/>
  <c r="BE1140" i="5"/>
  <c r="Z88" i="9" s="1"/>
  <c r="X88" i="9"/>
  <c r="Z75" i="9"/>
  <c r="AK142" i="8"/>
  <c r="E11" i="11"/>
  <c r="P10" i="11"/>
  <c r="X10" i="11" s="1"/>
  <c r="N10" i="11"/>
  <c r="V10" i="11" s="1"/>
  <c r="J10" i="11"/>
  <c r="AO1084" i="5" s="1"/>
  <c r="I10" i="11"/>
  <c r="J16" i="9" s="1"/>
  <c r="D33" i="11"/>
  <c r="D42" i="11" s="1"/>
  <c r="S57" i="8"/>
  <c r="S66" i="8" s="1"/>
  <c r="AO381" i="5"/>
  <c r="AM1059" i="5"/>
  <c r="H14" i="9" s="1"/>
  <c r="AM54" i="5"/>
  <c r="AM60" i="5" s="1"/>
  <c r="AM39" i="5"/>
  <c r="AQ47" i="5"/>
  <c r="AO1055" i="5"/>
  <c r="J10" i="9" s="1"/>
  <c r="AM41" i="5"/>
  <c r="AI1040" i="5"/>
  <c r="AI1118" i="5" s="1"/>
  <c r="D66" i="9" s="1"/>
  <c r="D67" i="9" s="1"/>
  <c r="AI1057" i="5"/>
  <c r="D12" i="9" s="1"/>
  <c r="AI1054" i="5"/>
  <c r="D9" i="9" s="1"/>
  <c r="N13" i="5"/>
  <c r="AI184" i="7"/>
  <c r="AI185" i="7" s="1"/>
  <c r="AK1040" i="5"/>
  <c r="Z13" i="5"/>
  <c r="B13" i="5"/>
  <c r="H13" i="5" s="1"/>
  <c r="B1042" i="5"/>
  <c r="AF13" i="5"/>
  <c r="AF1042" i="5"/>
  <c r="AK796" i="5"/>
  <c r="AK809" i="5" s="1"/>
  <c r="AI188" i="6"/>
  <c r="AI189" i="6" s="1"/>
  <c r="AM78" i="6"/>
  <c r="AF107" i="6"/>
  <c r="AF152" i="6" s="1"/>
  <c r="AM96" i="6"/>
  <c r="AK169" i="6"/>
  <c r="AO149" i="6"/>
  <c r="AM184" i="6"/>
  <c r="AM187" i="6" s="1"/>
  <c r="AM189" i="6" s="1"/>
  <c r="AY234" i="6"/>
  <c r="AY241" i="6" s="1"/>
  <c r="BA233" i="6"/>
  <c r="Z107" i="6"/>
  <c r="Z152" i="6" s="1"/>
  <c r="E107" i="6"/>
  <c r="E152" i="6" s="1"/>
  <c r="AI58" i="6"/>
  <c r="AI165" i="6" s="1"/>
  <c r="H107" i="6"/>
  <c r="H152" i="6" s="1"/>
  <c r="AM55" i="6"/>
  <c r="AO55" i="6" s="1"/>
  <c r="AQ55" i="6" s="1"/>
  <c r="AS55" i="6" s="1"/>
  <c r="AU55" i="6" s="1"/>
  <c r="AW55" i="6" s="1"/>
  <c r="AY55" i="6" s="1"/>
  <c r="BA55" i="6" s="1"/>
  <c r="BC55" i="6" s="1"/>
  <c r="BE55" i="6" s="1"/>
  <c r="AK58" i="6"/>
  <c r="AK165" i="6" s="1"/>
  <c r="AO43" i="6"/>
  <c r="AM48" i="6"/>
  <c r="AM163" i="6" s="1"/>
  <c r="AO57" i="6"/>
  <c r="Z70" i="6"/>
  <c r="AO40" i="8"/>
  <c r="AO163" i="8" s="1"/>
  <c r="P57" i="8"/>
  <c r="P6" i="8" s="1"/>
  <c r="P8" i="8" s="1"/>
  <c r="S142" i="8"/>
  <c r="S144" i="8" s="1"/>
  <c r="S150" i="8" s="1"/>
  <c r="AQ42" i="8"/>
  <c r="AQ164" i="8" s="1"/>
  <c r="AO105" i="7"/>
  <c r="AO135" i="7" s="1"/>
  <c r="AO139" i="7" s="1"/>
  <c r="F70" i="6"/>
  <c r="H39" i="6"/>
  <c r="H60" i="6" s="1"/>
  <c r="H70" i="6" s="1"/>
  <c r="AD70" i="6"/>
  <c r="K152" i="6"/>
  <c r="AF70" i="6"/>
  <c r="AF25" i="6"/>
  <c r="N107" i="6"/>
  <c r="N152" i="6" s="1"/>
  <c r="P107" i="6"/>
  <c r="P11" i="6" s="1"/>
  <c r="P13" i="6" s="1"/>
  <c r="P15" i="6" s="1"/>
  <c r="P16" i="6" s="1"/>
  <c r="AI5" i="6" s="1"/>
  <c r="B70" i="6"/>
  <c r="S70" i="6"/>
  <c r="W107" i="6"/>
  <c r="W152" i="6" s="1"/>
  <c r="S152" i="6"/>
  <c r="AD57" i="8"/>
  <c r="AD66" i="8" s="1"/>
  <c r="H142" i="8"/>
  <c r="H144" i="8" s="1"/>
  <c r="H150" i="8" s="1"/>
  <c r="AI144" i="8"/>
  <c r="Z142" i="8"/>
  <c r="Z144" i="8" s="1"/>
  <c r="Z150" i="8" s="1"/>
  <c r="AF142" i="8"/>
  <c r="AF144" i="8" s="1"/>
  <c r="AF150" i="8" s="1"/>
  <c r="N57" i="8"/>
  <c r="N66" i="8" s="1"/>
  <c r="AF57" i="8"/>
  <c r="AF66" i="8" s="1"/>
  <c r="Z57" i="8"/>
  <c r="Z66" i="8" s="1"/>
  <c r="AI57" i="8"/>
  <c r="AI6" i="8" s="1"/>
  <c r="H57" i="8"/>
  <c r="H66" i="8" s="1"/>
  <c r="U144" i="8"/>
  <c r="U150" i="8" s="1"/>
  <c r="T10" i="8"/>
  <c r="T12" i="8" s="1"/>
  <c r="E142" i="8"/>
  <c r="E144" i="8" s="1"/>
  <c r="E150" i="8" s="1"/>
  <c r="AD142" i="8"/>
  <c r="AD144" i="8" s="1"/>
  <c r="AD150" i="8" s="1"/>
  <c r="W57" i="8"/>
  <c r="W66" i="8" s="1"/>
  <c r="K57" i="8"/>
  <c r="K66" i="8" s="1"/>
  <c r="AS210" i="7"/>
  <c r="AU209" i="7"/>
  <c r="AU152" i="7"/>
  <c r="AW73" i="7"/>
  <c r="AK183" i="7"/>
  <c r="AK197" i="7" s="1"/>
  <c r="AI212" i="7"/>
  <c r="AI227" i="7" s="1"/>
  <c r="AO16" i="7"/>
  <c r="AQ5" i="7" s="1"/>
  <c r="AU146" i="7"/>
  <c r="AW39" i="7"/>
  <c r="AU49" i="7"/>
  <c r="AU54" i="7" s="1"/>
  <c r="AS93" i="7"/>
  <c r="AU90" i="7"/>
  <c r="AS63" i="7"/>
  <c r="AS7" i="7"/>
  <c r="AS9" i="7" s="1"/>
  <c r="AU156" i="7"/>
  <c r="AU77" i="7"/>
  <c r="AW68" i="7"/>
  <c r="AQ103" i="7"/>
  <c r="AQ11" i="7" s="1"/>
  <c r="AQ13" i="7" s="1"/>
  <c r="AQ15" i="7" s="1"/>
  <c r="AQ153" i="7"/>
  <c r="AQ158" i="7" s="1"/>
  <c r="AQ180" i="7" s="1"/>
  <c r="AI233" i="7"/>
  <c r="AO189" i="7"/>
  <c r="AO191" i="7" s="1"/>
  <c r="AY150" i="7"/>
  <c r="BA43" i="7"/>
  <c r="AU218" i="7"/>
  <c r="AU225" i="7" s="1"/>
  <c r="AW217" i="7"/>
  <c r="AW88" i="7"/>
  <c r="AY80" i="7"/>
  <c r="W70" i="6"/>
  <c r="AD107" i="6"/>
  <c r="AD152" i="6" s="1"/>
  <c r="B15" i="6"/>
  <c r="B16" i="6" s="1"/>
  <c r="H7" i="6"/>
  <c r="N7" i="6"/>
  <c r="V663" i="5"/>
  <c r="V833" i="5" s="1"/>
  <c r="H100" i="5"/>
  <c r="AO309" i="5"/>
  <c r="AO315" i="5" s="1"/>
  <c r="P713" i="5"/>
  <c r="AM487" i="5"/>
  <c r="W299" i="5"/>
  <c r="AO377" i="5"/>
  <c r="AK611" i="5"/>
  <c r="S334" i="5"/>
  <c r="AO98" i="5"/>
  <c r="AQ98" i="5" s="1"/>
  <c r="AO104" i="5"/>
  <c r="AQ104" i="5" s="1"/>
  <c r="AI488" i="5"/>
  <c r="W541" i="5"/>
  <c r="AI455" i="5"/>
  <c r="E541" i="5"/>
  <c r="H220" i="5"/>
  <c r="P100" i="5"/>
  <c r="AD541" i="5"/>
  <c r="AI596" i="5"/>
  <c r="AI515" i="5"/>
  <c r="N334" i="5"/>
  <c r="H158" i="5"/>
  <c r="N74" i="5"/>
  <c r="S158" i="5"/>
  <c r="W158" i="5"/>
  <c r="AI677" i="5"/>
  <c r="AI681" i="5" s="1"/>
  <c r="H455" i="5"/>
  <c r="AD334" i="5"/>
  <c r="P596" i="5"/>
  <c r="K488" i="5"/>
  <c r="P455" i="5"/>
  <c r="AI334" i="5"/>
  <c r="AF541" i="5"/>
  <c r="N515" i="5"/>
  <c r="AM287" i="5"/>
  <c r="AM298" i="5" s="1"/>
  <c r="AM299" i="5" s="1"/>
  <c r="AK299" i="5"/>
  <c r="N299" i="5"/>
  <c r="AD299" i="5"/>
  <c r="AD158" i="5"/>
  <c r="N220" i="5"/>
  <c r="E220" i="5"/>
  <c r="D777" i="5"/>
  <c r="D833" i="5" s="1"/>
  <c r="AQ511" i="5"/>
  <c r="AS511" i="5" s="1"/>
  <c r="S455" i="5"/>
  <c r="N596" i="5"/>
  <c r="J455" i="5"/>
  <c r="J833" i="5" s="1"/>
  <c r="U677" i="5"/>
  <c r="U681" i="5" s="1"/>
  <c r="AF596" i="5"/>
  <c r="AO538" i="5"/>
  <c r="AQ538" i="5" s="1"/>
  <c r="AF74" i="5"/>
  <c r="P541" i="5"/>
  <c r="AM514" i="5"/>
  <c r="Z334" i="5"/>
  <c r="K596" i="5"/>
  <c r="K334" i="5"/>
  <c r="H299" i="5"/>
  <c r="Z515" i="5"/>
  <c r="U121" i="5"/>
  <c r="K158" i="5"/>
  <c r="E158" i="5"/>
  <c r="AI153" i="5"/>
  <c r="AI158" i="5" s="1"/>
  <c r="Z121" i="5"/>
  <c r="Z100" i="5"/>
  <c r="Z74" i="5"/>
  <c r="AD121" i="5"/>
  <c r="AD831" i="5"/>
  <c r="N777" i="5"/>
  <c r="AF299" i="5"/>
  <c r="E299" i="5"/>
  <c r="AD488" i="5"/>
  <c r="U220" i="5"/>
  <c r="Z663" i="5"/>
  <c r="U536" i="5"/>
  <c r="U541" i="5" s="1"/>
  <c r="Y833" i="5"/>
  <c r="Y12" i="5" s="1"/>
  <c r="Y14" i="5" s="1"/>
  <c r="Z488" i="5"/>
  <c r="AF515" i="5"/>
  <c r="AK146" i="5"/>
  <c r="AM146" i="5" s="1"/>
  <c r="AO146" i="5" s="1"/>
  <c r="AQ146" i="5" s="1"/>
  <c r="AS146" i="5" s="1"/>
  <c r="AU146" i="5" s="1"/>
  <c r="AW146" i="5" s="1"/>
  <c r="AY146" i="5" s="1"/>
  <c r="BA146" i="5" s="1"/>
  <c r="Z26" i="5"/>
  <c r="H831" i="5"/>
  <c r="AF777" i="5"/>
  <c r="AQ485" i="5"/>
  <c r="AF831" i="5"/>
  <c r="H74" i="5"/>
  <c r="K299" i="5"/>
  <c r="AD100" i="5"/>
  <c r="AK87" i="5"/>
  <c r="AK100" i="5" s="1"/>
  <c r="N100" i="5"/>
  <c r="AO91" i="5"/>
  <c r="AO93" i="5" s="1"/>
  <c r="AI615" i="5"/>
  <c r="AI663" i="5" s="1"/>
  <c r="U334" i="5"/>
  <c r="Z831" i="5"/>
  <c r="W831" i="5"/>
  <c r="H515" i="5"/>
  <c r="E488" i="5"/>
  <c r="Z158" i="5"/>
  <c r="U100" i="5"/>
  <c r="H334" i="5"/>
  <c r="N455" i="5"/>
  <c r="K100" i="5"/>
  <c r="Z596" i="5"/>
  <c r="S596" i="5"/>
  <c r="K541" i="5"/>
  <c r="E100" i="5"/>
  <c r="S299" i="5"/>
  <c r="P831" i="5"/>
  <c r="H777" i="5"/>
  <c r="Z536" i="5"/>
  <c r="Z541" i="5" s="1"/>
  <c r="W515" i="5"/>
  <c r="K220" i="5"/>
  <c r="AI118" i="5"/>
  <c r="AI121" i="5" s="1"/>
  <c r="U158" i="5"/>
  <c r="Z220" i="5"/>
  <c r="U299" i="5"/>
  <c r="S220" i="5"/>
  <c r="AD220" i="5"/>
  <c r="AC336" i="5"/>
  <c r="AC356" i="5" s="1"/>
  <c r="E74" i="5"/>
  <c r="AD596" i="5"/>
  <c r="H488" i="5"/>
  <c r="E515" i="5"/>
  <c r="AF100" i="5"/>
  <c r="AI49" i="5"/>
  <c r="AD455" i="5"/>
  <c r="P158" i="5"/>
  <c r="AK118" i="5"/>
  <c r="AK134" i="5"/>
  <c r="S100" i="5"/>
  <c r="W100" i="5"/>
  <c r="U74" i="5"/>
  <c r="E831" i="5"/>
  <c r="E663" i="5"/>
  <c r="N831" i="5"/>
  <c r="P663" i="5"/>
  <c r="N663" i="5"/>
  <c r="N488" i="5"/>
  <c r="K455" i="5"/>
  <c r="AM303" i="5"/>
  <c r="E455" i="5"/>
  <c r="S831" i="5"/>
  <c r="AO545" i="5"/>
  <c r="AO549" i="5" s="1"/>
  <c r="L336" i="5"/>
  <c r="L8" i="5" s="1"/>
  <c r="AM134" i="5"/>
  <c r="S515" i="5"/>
  <c r="AF334" i="5"/>
  <c r="AF220" i="5"/>
  <c r="H596" i="5"/>
  <c r="AF158" i="5"/>
  <c r="E777" i="5"/>
  <c r="AM580" i="5"/>
  <c r="AM596" i="5" s="1"/>
  <c r="AK549" i="5"/>
  <c r="H541" i="5"/>
  <c r="AK334" i="5"/>
  <c r="AD74" i="5"/>
  <c r="E334" i="5"/>
  <c r="W596" i="5"/>
  <c r="S488" i="5"/>
  <c r="W334" i="5"/>
  <c r="W663" i="5"/>
  <c r="W220" i="5"/>
  <c r="Z299" i="5"/>
  <c r="AF663" i="5"/>
  <c r="AF488" i="5"/>
  <c r="AF455" i="5"/>
  <c r="AQ224" i="5"/>
  <c r="AQ229" i="5" s="1"/>
  <c r="U745" i="5"/>
  <c r="B777" i="5"/>
  <c r="B833" i="5" s="1"/>
  <c r="AC455" i="5"/>
  <c r="AC833" i="5" s="1"/>
  <c r="K515" i="5"/>
  <c r="P334" i="5"/>
  <c r="F336" i="5"/>
  <c r="F8" i="5" s="1"/>
  <c r="Z777" i="5"/>
  <c r="AE833" i="5"/>
  <c r="AE12" i="5" s="1"/>
  <c r="AE14" i="5" s="1"/>
  <c r="K831" i="5"/>
  <c r="E596" i="5"/>
  <c r="P488" i="5"/>
  <c r="W488" i="5"/>
  <c r="B336" i="5"/>
  <c r="B8" i="5" s="1"/>
  <c r="AO321" i="5"/>
  <c r="Z455" i="5"/>
  <c r="W455" i="5"/>
  <c r="V336" i="5"/>
  <c r="V356" i="5" s="1"/>
  <c r="N158" i="5"/>
  <c r="D336" i="5"/>
  <c r="D356" i="5" s="1"/>
  <c r="P74" i="5"/>
  <c r="L833" i="5"/>
  <c r="L12" i="5" s="1"/>
  <c r="L14" i="5" s="1"/>
  <c r="K777" i="5"/>
  <c r="K663" i="5"/>
  <c r="U615" i="5"/>
  <c r="U663" i="5" s="1"/>
  <c r="AO477" i="5"/>
  <c r="AK580" i="5"/>
  <c r="AK596" i="5" s="1"/>
  <c r="W74" i="5"/>
  <c r="AE336" i="5"/>
  <c r="AE8" i="5" s="1"/>
  <c r="AM633" i="5"/>
  <c r="AO629" i="5"/>
  <c r="AK509" i="5"/>
  <c r="AK515" i="5" s="1"/>
  <c r="AM503" i="5"/>
  <c r="AQ321" i="5"/>
  <c r="AS319" i="5"/>
  <c r="AM851" i="5"/>
  <c r="AM1040" i="5" s="1"/>
  <c r="AM830" i="5"/>
  <c r="AO818" i="5"/>
  <c r="AM620" i="5"/>
  <c r="AO617" i="5"/>
  <c r="AU781" i="5"/>
  <c r="AS783" i="5"/>
  <c r="R833" i="5"/>
  <c r="H663" i="5"/>
  <c r="Y336" i="5"/>
  <c r="Y8" i="5" s="1"/>
  <c r="AO651" i="5"/>
  <c r="AM660" i="5"/>
  <c r="AK830" i="5"/>
  <c r="S74" i="5"/>
  <c r="F833" i="5"/>
  <c r="F12" i="5" s="1"/>
  <c r="U831" i="5"/>
  <c r="S536" i="5"/>
  <c r="S541" i="5" s="1"/>
  <c r="U515" i="5"/>
  <c r="T336" i="5"/>
  <c r="AK60" i="5"/>
  <c r="AD515" i="5"/>
  <c r="AK175" i="5"/>
  <c r="AK220" i="5" s="1"/>
  <c r="AM174" i="5"/>
  <c r="U107" i="6"/>
  <c r="U152" i="6" s="1"/>
  <c r="T152" i="6"/>
  <c r="F66" i="8"/>
  <c r="F6" i="8"/>
  <c r="F8" i="8" s="1"/>
  <c r="Y150" i="8"/>
  <c r="Y10" i="8"/>
  <c r="AE150" i="8"/>
  <c r="AE10" i="8"/>
  <c r="L66" i="8"/>
  <c r="L6" i="8"/>
  <c r="U57" i="8"/>
  <c r="U66" i="8" s="1"/>
  <c r="L150" i="8"/>
  <c r="L10" i="8"/>
  <c r="AK44" i="8"/>
  <c r="AM162" i="8"/>
  <c r="N25" i="8"/>
  <c r="F150" i="8"/>
  <c r="F10" i="8"/>
  <c r="AE66" i="8"/>
  <c r="AE6" i="8"/>
  <c r="AO132" i="8"/>
  <c r="AM54" i="8"/>
  <c r="AM166" i="8" s="1"/>
  <c r="AK55" i="8"/>
  <c r="Y66" i="8"/>
  <c r="Y6" i="8"/>
  <c r="P150" i="8"/>
  <c r="P10" i="8"/>
  <c r="AK73" i="8"/>
  <c r="AK169" i="8" s="1"/>
  <c r="AM71" i="8"/>
  <c r="B66" i="8"/>
  <c r="B6" i="8"/>
  <c r="T66" i="8"/>
  <c r="T6" i="8"/>
  <c r="AE152" i="6"/>
  <c r="AI39" i="6"/>
  <c r="AK37" i="6"/>
  <c r="B152" i="6"/>
  <c r="AM104" i="6"/>
  <c r="AK105" i="6"/>
  <c r="T26" i="6"/>
  <c r="U26" i="6" s="1"/>
  <c r="U25" i="6"/>
  <c r="Z25" i="6"/>
  <c r="E39" i="6"/>
  <c r="E60" i="6" s="1"/>
  <c r="E70" i="6" s="1"/>
  <c r="AF11" i="6"/>
  <c r="AE13" i="6"/>
  <c r="AE15" i="6" s="1"/>
  <c r="N9" i="6"/>
  <c r="AM90" i="6"/>
  <c r="AO85" i="6"/>
  <c r="AF9" i="6"/>
  <c r="F152" i="6"/>
  <c r="Z11" i="6"/>
  <c r="Y13" i="6"/>
  <c r="Y15" i="6" s="1"/>
  <c r="U39" i="6"/>
  <c r="U60" i="6" s="1"/>
  <c r="U70" i="6" s="1"/>
  <c r="Y152" i="6"/>
  <c r="T13" i="6"/>
  <c r="L26" i="6"/>
  <c r="N26" i="6" s="1"/>
  <c r="N25" i="6"/>
  <c r="AF26" i="6"/>
  <c r="H9" i="6"/>
  <c r="AK93" i="6"/>
  <c r="AI94" i="6"/>
  <c r="AI168" i="6" s="1"/>
  <c r="N11" i="6"/>
  <c r="L13" i="6"/>
  <c r="L152" i="6"/>
  <c r="F13" i="6"/>
  <c r="H13" i="6" s="1"/>
  <c r="H11" i="6"/>
  <c r="AM82" i="6"/>
  <c r="AO75" i="6"/>
  <c r="AO172" i="6" s="1"/>
  <c r="U9" i="6"/>
  <c r="Z9" i="6"/>
  <c r="P13" i="5"/>
  <c r="S777" i="5"/>
  <c r="AK683" i="5"/>
  <c r="AI686" i="5"/>
  <c r="AD663" i="5"/>
  <c r="AK643" i="5"/>
  <c r="AM640" i="5"/>
  <c r="AO492" i="5"/>
  <c r="AM499" i="5"/>
  <c r="AO646" i="5"/>
  <c r="AM648" i="5"/>
  <c r="AO580" i="5"/>
  <c r="AM536" i="5"/>
  <c r="AM541" i="5" s="1"/>
  <c r="P515" i="5"/>
  <c r="N541" i="5"/>
  <c r="B9" i="5"/>
  <c r="H9" i="5" s="1"/>
  <c r="AO219" i="5"/>
  <c r="AQ207" i="5"/>
  <c r="AK422" i="5"/>
  <c r="AK455" i="5" s="1"/>
  <c r="AS477" i="5"/>
  <c r="AU471" i="5"/>
  <c r="BA144" i="5"/>
  <c r="AU90" i="5"/>
  <c r="S663" i="5"/>
  <c r="AI809" i="5"/>
  <c r="AI831" i="5" s="1"/>
  <c r="U672" i="5"/>
  <c r="U675" i="5" s="1"/>
  <c r="AI672" i="5"/>
  <c r="P675" i="5"/>
  <c r="AQ785" i="5"/>
  <c r="AK536" i="5"/>
  <c r="AK541" i="5" s="1"/>
  <c r="AK468" i="5"/>
  <c r="AK488" i="5" s="1"/>
  <c r="AO362" i="5"/>
  <c r="AM373" i="5"/>
  <c r="AQ477" i="5"/>
  <c r="AM422" i="5"/>
  <c r="AO170" i="5"/>
  <c r="AM171" i="5"/>
  <c r="AM118" i="5"/>
  <c r="AO117" i="5"/>
  <c r="J220" i="5"/>
  <c r="J336" i="5" s="1"/>
  <c r="AM142" i="5"/>
  <c r="AO136" i="5"/>
  <c r="AQ63" i="5"/>
  <c r="AQ157" i="5"/>
  <c r="U26" i="5"/>
  <c r="T27" i="5"/>
  <c r="R336" i="5"/>
  <c r="R356" i="5" s="1"/>
  <c r="K74" i="5"/>
  <c r="AU725" i="5"/>
  <c r="AM740" i="5"/>
  <c r="AK745" i="5"/>
  <c r="U596" i="5"/>
  <c r="AO558" i="5"/>
  <c r="AQ552" i="5"/>
  <c r="U488" i="5"/>
  <c r="AO480" i="5"/>
  <c r="AM483" i="5"/>
  <c r="AM454" i="5"/>
  <c r="AI536" i="5"/>
  <c r="AI541" i="5" s="1"/>
  <c r="AQ459" i="5"/>
  <c r="AO468" i="5"/>
  <c r="U455" i="5"/>
  <c r="AK66" i="5"/>
  <c r="AK1057" i="5" s="1"/>
  <c r="F12" i="9" s="1"/>
  <c r="AI73" i="5"/>
  <c r="AI74" i="5" s="1"/>
  <c r="AO134" i="5"/>
  <c r="AQ131" i="5"/>
  <c r="AK114" i="5"/>
  <c r="AM108" i="5"/>
  <c r="AM87" i="5"/>
  <c r="AM100" i="5" s="1"/>
  <c r="AO78" i="5"/>
  <c r="AD777" i="5"/>
  <c r="T833" i="5"/>
  <c r="AO813" i="5"/>
  <c r="AM816" i="5"/>
  <c r="W777" i="5"/>
  <c r="AK689" i="5"/>
  <c r="AI690" i="5"/>
  <c r="AQ600" i="5"/>
  <c r="AQ580" i="5"/>
  <c r="AS560" i="5"/>
  <c r="AQ521" i="5"/>
  <c r="AO536" i="5"/>
  <c r="AS595" i="5"/>
  <c r="AU424" i="5"/>
  <c r="AQ327" i="5"/>
  <c r="AO333" i="5"/>
  <c r="AS376" i="5"/>
  <c r="AM468" i="5"/>
  <c r="AO183" i="5"/>
  <c r="AO189" i="5" s="1"/>
  <c r="AM166" i="5"/>
  <c r="AO162" i="5"/>
  <c r="AO53" i="5"/>
  <c r="M199" i="2"/>
  <c r="H197" i="2"/>
  <c r="M197" i="2" s="1"/>
  <c r="M195" i="2"/>
  <c r="H193" i="2"/>
  <c r="M193" i="2" s="1"/>
  <c r="M191" i="2"/>
  <c r="K189" i="2"/>
  <c r="I189" i="2"/>
  <c r="H187" i="2"/>
  <c r="K186" i="2"/>
  <c r="I186" i="2"/>
  <c r="H184" i="2"/>
  <c r="K183" i="2"/>
  <c r="I183" i="2"/>
  <c r="K180" i="2"/>
  <c r="I180" i="2"/>
  <c r="M177" i="2" s="1"/>
  <c r="K176" i="2"/>
  <c r="I176" i="2"/>
  <c r="K170" i="2"/>
  <c r="I170" i="2"/>
  <c r="K167" i="2"/>
  <c r="I167" i="2"/>
  <c r="K162" i="2"/>
  <c r="I162" i="2"/>
  <c r="K152" i="2"/>
  <c r="I152" i="2"/>
  <c r="K146" i="2"/>
  <c r="I146" i="2"/>
  <c r="AK205" i="7" l="1"/>
  <c r="AK201" i="7"/>
  <c r="M171" i="2"/>
  <c r="BA234" i="6"/>
  <c r="BA241" i="6" s="1"/>
  <c r="BC233" i="6"/>
  <c r="M187" i="2"/>
  <c r="BA150" i="7"/>
  <c r="BC43" i="7"/>
  <c r="AK174" i="8"/>
  <c r="AK196" i="8" s="1"/>
  <c r="P66" i="8"/>
  <c r="AM1053" i="5"/>
  <c r="BC144" i="5"/>
  <c r="BA159" i="1"/>
  <c r="BC146" i="5"/>
  <c r="BE146" i="5" s="1"/>
  <c r="BA161" i="1"/>
  <c r="BA382" i="5"/>
  <c r="AY34" i="5"/>
  <c r="AM1056" i="5"/>
  <c r="H11" i="9" s="1"/>
  <c r="AQ188" i="7"/>
  <c r="AQ189" i="7" s="1"/>
  <c r="AQ191" i="7" s="1"/>
  <c r="AO454" i="5"/>
  <c r="M181" i="2"/>
  <c r="AO1125" i="5"/>
  <c r="AO1130" i="5" s="1"/>
  <c r="AO1085" i="5"/>
  <c r="J39" i="9"/>
  <c r="J40" i="9" s="1"/>
  <c r="AM215" i="6"/>
  <c r="AK216" i="6"/>
  <c r="H201" i="2"/>
  <c r="M147" i="2"/>
  <c r="AY222" i="8"/>
  <c r="AW223" i="8"/>
  <c r="BA198" i="7"/>
  <c r="Z82" i="9"/>
  <c r="D65" i="11"/>
  <c r="E33" i="11"/>
  <c r="E42" i="11" s="1"/>
  <c r="BE1134" i="5"/>
  <c r="BE144" i="5"/>
  <c r="R10" i="11"/>
  <c r="Z10" i="11" s="1"/>
  <c r="AO39" i="5"/>
  <c r="AQ39" i="5" s="1"/>
  <c r="D40" i="11"/>
  <c r="AM142" i="8"/>
  <c r="Q10" i="11"/>
  <c r="K10" i="11"/>
  <c r="M11" i="11"/>
  <c r="U11" i="11" s="1"/>
  <c r="F11" i="11"/>
  <c r="AO422" i="5"/>
  <c r="D45" i="11"/>
  <c r="AI199" i="8"/>
  <c r="AI213" i="8" s="1"/>
  <c r="AI218" i="8" s="1"/>
  <c r="AK1054" i="5"/>
  <c r="F9" i="9" s="1"/>
  <c r="AK1075" i="5"/>
  <c r="AM1075" i="5"/>
  <c r="AM1054" i="5"/>
  <c r="H9" i="9" s="1"/>
  <c r="AS47" i="5"/>
  <c r="AQ1055" i="5"/>
  <c r="L10" i="9" s="1"/>
  <c r="AO41" i="5"/>
  <c r="AO54" i="5"/>
  <c r="AO60" i="5" s="1"/>
  <c r="AK1118" i="5"/>
  <c r="F66" i="9" s="1"/>
  <c r="F67" i="9" s="1"/>
  <c r="AI1075" i="5"/>
  <c r="D30" i="9" s="1"/>
  <c r="D33" i="9" s="1"/>
  <c r="AQ381" i="5"/>
  <c r="AO1059" i="5"/>
  <c r="J14" i="9" s="1"/>
  <c r="AI1063" i="5"/>
  <c r="AI1078" i="5"/>
  <c r="AQ309" i="5"/>
  <c r="AS309" i="5" s="1"/>
  <c r="P777" i="5"/>
  <c r="P833" i="5" s="1"/>
  <c r="P12" i="5" s="1"/>
  <c r="P14" i="5" s="1"/>
  <c r="AI13" i="5"/>
  <c r="AK13" i="5"/>
  <c r="AM796" i="5"/>
  <c r="AQ149" i="6"/>
  <c r="AO184" i="6"/>
  <c r="AO187" i="6" s="1"/>
  <c r="AO150" i="6"/>
  <c r="AK225" i="6"/>
  <c r="AI226" i="6"/>
  <c r="AI107" i="6"/>
  <c r="AI11" i="6" s="1"/>
  <c r="AI13" i="6" s="1"/>
  <c r="AI60" i="6"/>
  <c r="AI70" i="6" s="1"/>
  <c r="AI162" i="6"/>
  <c r="AI174" i="6" s="1"/>
  <c r="AI196" i="6" s="1"/>
  <c r="AO96" i="6"/>
  <c r="AM169" i="6"/>
  <c r="AO78" i="6"/>
  <c r="AM58" i="6"/>
  <c r="AM165" i="6" s="1"/>
  <c r="U11" i="6"/>
  <c r="AQ43" i="6"/>
  <c r="AO48" i="6"/>
  <c r="AO163" i="6" s="1"/>
  <c r="AQ57" i="6"/>
  <c r="AO58" i="6"/>
  <c r="AO165" i="6" s="1"/>
  <c r="AQ40" i="8"/>
  <c r="AQ163" i="8" s="1"/>
  <c r="AK144" i="8"/>
  <c r="AS42" i="8"/>
  <c r="AS164" i="8" s="1"/>
  <c r="AI234" i="7"/>
  <c r="U13" i="6"/>
  <c r="P152" i="6"/>
  <c r="AI66" i="8"/>
  <c r="AI146" i="8" s="1"/>
  <c r="AI243" i="8" s="1"/>
  <c r="AI10" i="8"/>
  <c r="AI12" i="8" s="1"/>
  <c r="AU93" i="7"/>
  <c r="AW90" i="7"/>
  <c r="AW152" i="7"/>
  <c r="AY73" i="7"/>
  <c r="AY217" i="7"/>
  <c r="AW218" i="7"/>
  <c r="AW225" i="7" s="1"/>
  <c r="AS103" i="7"/>
  <c r="AS11" i="7" s="1"/>
  <c r="AS13" i="7" s="1"/>
  <c r="AS15" i="7" s="1"/>
  <c r="AS153" i="7"/>
  <c r="AS158" i="7" s="1"/>
  <c r="AS180" i="7" s="1"/>
  <c r="AQ16" i="7"/>
  <c r="AS5" i="7" s="1"/>
  <c r="AM230" i="7"/>
  <c r="AK233" i="7"/>
  <c r="AW156" i="7"/>
  <c r="AY68" i="7"/>
  <c r="AW77" i="7"/>
  <c r="AS105" i="7"/>
  <c r="AS135" i="7" s="1"/>
  <c r="AS139" i="7" s="1"/>
  <c r="AU63" i="7"/>
  <c r="AU7" i="7"/>
  <c r="AU9" i="7" s="1"/>
  <c r="AU210" i="7"/>
  <c r="AW209" i="7"/>
  <c r="BA80" i="7"/>
  <c r="AY88" i="7"/>
  <c r="AQ105" i="7"/>
  <c r="AQ135" i="7" s="1"/>
  <c r="AQ139" i="7" s="1"/>
  <c r="AW146" i="7"/>
  <c r="AW49" i="7"/>
  <c r="AW54" i="7" s="1"/>
  <c r="AY39" i="7"/>
  <c r="AK184" i="7"/>
  <c r="AK185" i="7" s="1"/>
  <c r="Z26" i="6"/>
  <c r="T15" i="6"/>
  <c r="Z15" i="6" s="1"/>
  <c r="AK615" i="5"/>
  <c r="AK663" i="5" s="1"/>
  <c r="AO106" i="5"/>
  <c r="AQ377" i="5"/>
  <c r="AO99" i="5"/>
  <c r="AM611" i="5"/>
  <c r="AQ514" i="5"/>
  <c r="AO287" i="5"/>
  <c r="AO298" i="5" s="1"/>
  <c r="AO299" i="5" s="1"/>
  <c r="AK677" i="5"/>
  <c r="AK681" i="5" s="1"/>
  <c r="AQ545" i="5"/>
  <c r="AQ549" i="5" s="1"/>
  <c r="E833" i="5"/>
  <c r="N12" i="5"/>
  <c r="W833" i="5"/>
  <c r="AY153" i="5"/>
  <c r="AK153" i="5"/>
  <c r="AK158" i="5" s="1"/>
  <c r="AI336" i="5"/>
  <c r="AI356" i="5" s="1"/>
  <c r="AO540" i="5"/>
  <c r="AO541" i="5" s="1"/>
  <c r="U777" i="5"/>
  <c r="U833" i="5" s="1"/>
  <c r="H336" i="5"/>
  <c r="H356" i="5" s="1"/>
  <c r="N833" i="5"/>
  <c r="P336" i="5"/>
  <c r="P356" i="5" s="1"/>
  <c r="AS224" i="5"/>
  <c r="AS229" i="5" s="1"/>
  <c r="N336" i="5"/>
  <c r="N356" i="5" s="1"/>
  <c r="K336" i="5"/>
  <c r="K356" i="5" s="1"/>
  <c r="Z833" i="5"/>
  <c r="H833" i="5"/>
  <c r="E336" i="5"/>
  <c r="E356" i="5" s="1"/>
  <c r="AE356" i="5"/>
  <c r="D8" i="5"/>
  <c r="D10" i="5" s="1"/>
  <c r="Z336" i="5"/>
  <c r="Z356" i="5" s="1"/>
  <c r="AU153" i="5"/>
  <c r="AQ153" i="5"/>
  <c r="BA153" i="5"/>
  <c r="BA168" i="1" s="1"/>
  <c r="AW153" i="5"/>
  <c r="AO153" i="5"/>
  <c r="AS153" i="5"/>
  <c r="U336" i="5"/>
  <c r="U356" i="5" s="1"/>
  <c r="AM153" i="5"/>
  <c r="AM158" i="5" s="1"/>
  <c r="L356" i="5"/>
  <c r="W336" i="5"/>
  <c r="W356" i="5" s="1"/>
  <c r="AD336" i="5"/>
  <c r="AD356" i="5" s="1"/>
  <c r="AD833" i="5"/>
  <c r="K833" i="5"/>
  <c r="S336" i="5"/>
  <c r="S356" i="5" s="1"/>
  <c r="F14" i="5"/>
  <c r="N14" i="5" s="1"/>
  <c r="AK121" i="5"/>
  <c r="AQ487" i="5"/>
  <c r="AS485" i="5"/>
  <c r="AQ91" i="5"/>
  <c r="AS91" i="5" s="1"/>
  <c r="AF336" i="5"/>
  <c r="AF356" i="5" s="1"/>
  <c r="AF833" i="5"/>
  <c r="AF12" i="5" s="1"/>
  <c r="AF14" i="5" s="1"/>
  <c r="B356" i="5"/>
  <c r="AM305" i="5"/>
  <c r="AM334" i="5" s="1"/>
  <c r="AO303" i="5"/>
  <c r="AO1054" i="5" s="1"/>
  <c r="J9" i="9" s="1"/>
  <c r="F356" i="5"/>
  <c r="T8" i="5"/>
  <c r="T10" i="5" s="1"/>
  <c r="AK831" i="5"/>
  <c r="Y356" i="5"/>
  <c r="T356" i="5"/>
  <c r="AS98" i="5"/>
  <c r="AQ99" i="5"/>
  <c r="AU783" i="5"/>
  <c r="AW781" i="5"/>
  <c r="AO830" i="5"/>
  <c r="AQ818" i="5"/>
  <c r="AS321" i="5"/>
  <c r="AU319" i="5"/>
  <c r="AO633" i="5"/>
  <c r="AQ629" i="5"/>
  <c r="AM488" i="5"/>
  <c r="S833" i="5"/>
  <c r="AO174" i="5"/>
  <c r="AM175" i="5"/>
  <c r="AM220" i="5" s="1"/>
  <c r="AO620" i="5"/>
  <c r="AQ617" i="5"/>
  <c r="AO851" i="5"/>
  <c r="AO1040" i="5" s="1"/>
  <c r="AO503" i="5"/>
  <c r="AM509" i="5"/>
  <c r="AM515" i="5" s="1"/>
  <c r="AO660" i="5"/>
  <c r="AQ651" i="5"/>
  <c r="AS104" i="5"/>
  <c r="AQ106" i="5"/>
  <c r="N13" i="6"/>
  <c r="Z13" i="6"/>
  <c r="AE12" i="8"/>
  <c r="AF10" i="8"/>
  <c r="AK57" i="8"/>
  <c r="N6" i="8"/>
  <c r="L8" i="8"/>
  <c r="N8" i="8" s="1"/>
  <c r="Y12" i="8"/>
  <c r="Z12" i="8" s="1"/>
  <c r="Z10" i="8"/>
  <c r="AM73" i="8"/>
  <c r="AM169" i="8" s="1"/>
  <c r="AM174" i="8" s="1"/>
  <c r="AM196" i="8" s="1"/>
  <c r="AO71" i="8"/>
  <c r="U6" i="8"/>
  <c r="T8" i="8"/>
  <c r="Z6" i="8"/>
  <c r="Y8" i="8"/>
  <c r="AF6" i="8"/>
  <c r="AE8" i="8"/>
  <c r="AI8" i="8"/>
  <c r="B8" i="8"/>
  <c r="H6" i="8"/>
  <c r="P12" i="8"/>
  <c r="U12" i="8" s="1"/>
  <c r="U10" i="8"/>
  <c r="AM55" i="8"/>
  <c r="AO54" i="8"/>
  <c r="AO166" i="8" s="1"/>
  <c r="AO39" i="8"/>
  <c r="AO162" i="8" s="1"/>
  <c r="AM44" i="8"/>
  <c r="N10" i="8"/>
  <c r="L12" i="8"/>
  <c r="AO141" i="8"/>
  <c r="AQ132" i="8"/>
  <c r="H10" i="8"/>
  <c r="F12" i="8"/>
  <c r="AE16" i="6"/>
  <c r="AF15" i="6"/>
  <c r="F15" i="6"/>
  <c r="L15" i="6"/>
  <c r="AK94" i="6"/>
  <c r="AM93" i="6"/>
  <c r="AF13" i="6"/>
  <c r="AO104" i="6"/>
  <c r="AM105" i="6"/>
  <c r="Y16" i="6"/>
  <c r="AQ75" i="6"/>
  <c r="AQ172" i="6" s="1"/>
  <c r="AO82" i="6"/>
  <c r="AO90" i="6"/>
  <c r="AQ85" i="6"/>
  <c r="AM37" i="6"/>
  <c r="AK39" i="6"/>
  <c r="AW424" i="5"/>
  <c r="AQ813" i="5"/>
  <c r="AO816" i="5"/>
  <c r="AQ536" i="5"/>
  <c r="AS521" i="5"/>
  <c r="B12" i="5"/>
  <c r="AQ183" i="5"/>
  <c r="AQ189" i="5" s="1"/>
  <c r="AS327" i="5"/>
  <c r="AQ333" i="5"/>
  <c r="AQ540" i="5"/>
  <c r="AS538" i="5"/>
  <c r="AS600" i="5"/>
  <c r="AM745" i="5"/>
  <c r="AO740" i="5"/>
  <c r="U27" i="5"/>
  <c r="Z27" i="5"/>
  <c r="AO118" i="5"/>
  <c r="AQ117" i="5"/>
  <c r="AW90" i="5"/>
  <c r="AO596" i="5"/>
  <c r="AQ492" i="5"/>
  <c r="AO499" i="5"/>
  <c r="F10" i="5"/>
  <c r="H8" i="5"/>
  <c r="AS580" i="5"/>
  <c r="AU560" i="5"/>
  <c r="AO166" i="5"/>
  <c r="AQ162" i="5"/>
  <c r="AQ53" i="5"/>
  <c r="AU376" i="5"/>
  <c r="AU595" i="5"/>
  <c r="T12" i="5"/>
  <c r="AQ78" i="5"/>
  <c r="AO87" i="5"/>
  <c r="AO108" i="5"/>
  <c r="AM114" i="5"/>
  <c r="AM121" i="5" s="1"/>
  <c r="AQ468" i="5"/>
  <c r="AS459" i="5"/>
  <c r="AM455" i="5"/>
  <c r="AU511" i="5"/>
  <c r="AS514" i="5"/>
  <c r="AQ558" i="5"/>
  <c r="AS552" i="5"/>
  <c r="AS63" i="5"/>
  <c r="J356" i="5"/>
  <c r="J8" i="5"/>
  <c r="J10" i="5" s="1"/>
  <c r="AO373" i="5"/>
  <c r="AQ362" i="5"/>
  <c r="AS785" i="5"/>
  <c r="J12" i="5"/>
  <c r="J14" i="5" s="1"/>
  <c r="AK686" i="5"/>
  <c r="AM683" i="5"/>
  <c r="AM66" i="5"/>
  <c r="AM1057" i="5" s="1"/>
  <c r="H12" i="9" s="1"/>
  <c r="AK73" i="5"/>
  <c r="AK74" i="5" s="1"/>
  <c r="AW725" i="5"/>
  <c r="AI675" i="5"/>
  <c r="AK672" i="5"/>
  <c r="AW471" i="5"/>
  <c r="AU477" i="5"/>
  <c r="AO648" i="5"/>
  <c r="AQ646" i="5"/>
  <c r="AO640" i="5"/>
  <c r="AM643" i="5"/>
  <c r="D12" i="5"/>
  <c r="D14" i="5" s="1"/>
  <c r="B10" i="5"/>
  <c r="N8" i="5"/>
  <c r="L10" i="5"/>
  <c r="AE10" i="5"/>
  <c r="AK690" i="5"/>
  <c r="AM689" i="5"/>
  <c r="AQ134" i="5"/>
  <c r="AS131" i="5"/>
  <c r="AO483" i="5"/>
  <c r="AO488" i="5" s="1"/>
  <c r="AQ480" i="5"/>
  <c r="AS157" i="5"/>
  <c r="AQ136" i="5"/>
  <c r="AO142" i="5"/>
  <c r="AQ170" i="5"/>
  <c r="AO171" i="5"/>
  <c r="AQ219" i="5"/>
  <c r="AS207" i="5"/>
  <c r="AS219" i="5" s="1"/>
  <c r="U13" i="5"/>
  <c r="Y10" i="5"/>
  <c r="Y18" i="5" s="1"/>
  <c r="M163" i="2"/>
  <c r="M168" i="2"/>
  <c r="M153" i="2"/>
  <c r="K201" i="2"/>
  <c r="M141" i="2"/>
  <c r="I201" i="2"/>
  <c r="M184" i="2"/>
  <c r="AL343" i="4"/>
  <c r="BE233" i="6" l="1"/>
  <c r="BE234" i="6" s="1"/>
  <c r="BE241" i="6" s="1"/>
  <c r="BC234" i="6"/>
  <c r="BC241" i="6" s="1"/>
  <c r="BE43" i="7"/>
  <c r="BE150" i="7" s="1"/>
  <c r="BC150" i="7"/>
  <c r="BA88" i="7"/>
  <c r="BC80" i="7"/>
  <c r="BA200" i="7"/>
  <c r="BC198" i="7"/>
  <c r="U15" i="6"/>
  <c r="AI109" i="6"/>
  <c r="AI246" i="6" s="1"/>
  <c r="AI249" i="6" s="1"/>
  <c r="BC153" i="5"/>
  <c r="BE153" i="5"/>
  <c r="AQ1053" i="5"/>
  <c r="BC382" i="5"/>
  <c r="BE382" i="5" s="1"/>
  <c r="BA34" i="5"/>
  <c r="AO1056" i="5"/>
  <c r="J11" i="9" s="1"/>
  <c r="F33" i="11"/>
  <c r="F42" i="11" s="1"/>
  <c r="AO1053" i="5"/>
  <c r="AQ315" i="5"/>
  <c r="AS188" i="7"/>
  <c r="AI152" i="8"/>
  <c r="AI156" i="8" s="1"/>
  <c r="AI246" i="8"/>
  <c r="E40" i="11"/>
  <c r="AY223" i="8"/>
  <c r="BA222" i="8"/>
  <c r="AI7" i="6"/>
  <c r="AI9" i="6" s="1"/>
  <c r="AI15" i="6" s="1"/>
  <c r="AO215" i="6"/>
  <c r="AM216" i="6"/>
  <c r="AO1127" i="5"/>
  <c r="J73" i="9"/>
  <c r="J75" i="9" s="1"/>
  <c r="AO1132" i="5"/>
  <c r="J78" i="9"/>
  <c r="J80" i="9" s="1"/>
  <c r="E65" i="11"/>
  <c r="AK49" i="5"/>
  <c r="AK336" i="5" s="1"/>
  <c r="AK8" i="5" s="1"/>
  <c r="AK10" i="8"/>
  <c r="AK12" i="8" s="1"/>
  <c r="S10" i="11"/>
  <c r="AA10" i="11" s="1"/>
  <c r="Y10" i="11"/>
  <c r="AO455" i="5"/>
  <c r="AO142" i="8"/>
  <c r="N11" i="11"/>
  <c r="V11" i="11" s="1"/>
  <c r="H11" i="11"/>
  <c r="G33" i="11"/>
  <c r="E45" i="11"/>
  <c r="AM1078" i="5"/>
  <c r="H30" i="9"/>
  <c r="H33" i="9" s="1"/>
  <c r="AK1078" i="5"/>
  <c r="F30" i="9"/>
  <c r="F33" i="9" s="1"/>
  <c r="AI201" i="8"/>
  <c r="AM1118" i="5"/>
  <c r="H66" i="9" s="1"/>
  <c r="H67" i="9" s="1"/>
  <c r="D18" i="9"/>
  <c r="AK1063" i="5"/>
  <c r="F18" i="9" s="1"/>
  <c r="AS381" i="5"/>
  <c r="AS1059" i="5" s="1"/>
  <c r="AQ1059" i="5"/>
  <c r="L14" i="9" s="1"/>
  <c r="AQ54" i="5"/>
  <c r="AQ60" i="5" s="1"/>
  <c r="AU47" i="5"/>
  <c r="AS1055" i="5"/>
  <c r="N10" i="9" s="1"/>
  <c r="AO1075" i="5"/>
  <c r="AQ41" i="5"/>
  <c r="AQ49" i="5" s="1"/>
  <c r="AI1119" i="5"/>
  <c r="AQ287" i="5"/>
  <c r="AS287" i="5" s="1"/>
  <c r="AI8" i="5"/>
  <c r="AI10" i="5" s="1"/>
  <c r="AM13" i="5"/>
  <c r="AO796" i="5"/>
  <c r="AM809" i="5"/>
  <c r="AM831" i="5" s="1"/>
  <c r="AQ78" i="6"/>
  <c r="AO12" i="6"/>
  <c r="AO188" i="6"/>
  <c r="AO189" i="6" s="1"/>
  <c r="AI199" i="6"/>
  <c r="AM225" i="6"/>
  <c r="AK226" i="6"/>
  <c r="AK60" i="6"/>
  <c r="AK70" i="6" s="1"/>
  <c r="AK162" i="6"/>
  <c r="AK107" i="6"/>
  <c r="AK11" i="6" s="1"/>
  <c r="AK13" i="6" s="1"/>
  <c r="AK168" i="6"/>
  <c r="AQ96" i="6"/>
  <c r="AO169" i="6"/>
  <c r="AS149" i="6"/>
  <c r="AQ184" i="6"/>
  <c r="AQ187" i="6" s="1"/>
  <c r="AQ150" i="6"/>
  <c r="AS43" i="6"/>
  <c r="AQ48" i="6"/>
  <c r="AQ163" i="6" s="1"/>
  <c r="AS57" i="6"/>
  <c r="AQ58" i="6"/>
  <c r="AQ165" i="6" s="1"/>
  <c r="T16" i="6"/>
  <c r="U16" i="6" s="1"/>
  <c r="AM144" i="8"/>
  <c r="AM10" i="8" s="1"/>
  <c r="AM12" i="8" s="1"/>
  <c r="AU42" i="8"/>
  <c r="AU164" i="8" s="1"/>
  <c r="AS40" i="8"/>
  <c r="AS163" i="8" s="1"/>
  <c r="AI14" i="8"/>
  <c r="AK6" i="8"/>
  <c r="AK8" i="8" s="1"/>
  <c r="AK66" i="8"/>
  <c r="AK146" i="8" s="1"/>
  <c r="AF12" i="8"/>
  <c r="AM182" i="7"/>
  <c r="AM183" i="7" s="1"/>
  <c r="AK212" i="7"/>
  <c r="AK227" i="7" s="1"/>
  <c r="AK234" i="7" s="1"/>
  <c r="AY209" i="7"/>
  <c r="AW210" i="7"/>
  <c r="AY152" i="7"/>
  <c r="BA73" i="7"/>
  <c r="AU103" i="7"/>
  <c r="AU105" i="7" s="1"/>
  <c r="AU135" i="7" s="1"/>
  <c r="AU139" i="7" s="1"/>
  <c r="AU153" i="7"/>
  <c r="AU158" i="7" s="1"/>
  <c r="AU180" i="7" s="1"/>
  <c r="AO230" i="7"/>
  <c r="AM233" i="7"/>
  <c r="AY146" i="7"/>
  <c r="AY49" i="7"/>
  <c r="AY54" i="7" s="1"/>
  <c r="BA39" i="7"/>
  <c r="BC39" i="7" s="1"/>
  <c r="AY156" i="7"/>
  <c r="AY77" i="7"/>
  <c r="BA68" i="7"/>
  <c r="BC68" i="7" s="1"/>
  <c r="AS16" i="7"/>
  <c r="AU5" i="7" s="1"/>
  <c r="AW63" i="7"/>
  <c r="AW7" i="7"/>
  <c r="AW9" i="7" s="1"/>
  <c r="AS189" i="7"/>
  <c r="AS191" i="7" s="1"/>
  <c r="BA217" i="7"/>
  <c r="AY218" i="7"/>
  <c r="AY225" i="7" s="1"/>
  <c r="AW93" i="7"/>
  <c r="AY90" i="7"/>
  <c r="AO100" i="5"/>
  <c r="AS377" i="5"/>
  <c r="AQ422" i="5"/>
  <c r="AO611" i="5"/>
  <c r="AM615" i="5"/>
  <c r="AM663" i="5" s="1"/>
  <c r="AM677" i="5"/>
  <c r="AM681" i="5" s="1"/>
  <c r="P8" i="5"/>
  <c r="U8" i="5" s="1"/>
  <c r="AS545" i="5"/>
  <c r="AU545" i="5" s="1"/>
  <c r="AQ93" i="5"/>
  <c r="AO158" i="5"/>
  <c r="AI777" i="5"/>
  <c r="AI833" i="5" s="1"/>
  <c r="AI1060" i="5" s="1"/>
  <c r="D15" i="9" s="1"/>
  <c r="AU224" i="5"/>
  <c r="AU229" i="5" s="1"/>
  <c r="D17" i="5"/>
  <c r="Z8" i="5"/>
  <c r="AF8" i="5"/>
  <c r="AF10" i="5" s="1"/>
  <c r="AS487" i="5"/>
  <c r="AU485" i="5"/>
  <c r="AO305" i="5"/>
  <c r="AO334" i="5" s="1"/>
  <c r="AQ303" i="5"/>
  <c r="AQ1054" i="5" s="1"/>
  <c r="L9" i="9" s="1"/>
  <c r="AS617" i="5"/>
  <c r="AQ620" i="5"/>
  <c r="AW319" i="5"/>
  <c r="AU321" i="5"/>
  <c r="AW783" i="5"/>
  <c r="AY781" i="5"/>
  <c r="AU104" i="5"/>
  <c r="AS106" i="5"/>
  <c r="AQ503" i="5"/>
  <c r="AO509" i="5"/>
  <c r="AO515" i="5" s="1"/>
  <c r="AQ596" i="5"/>
  <c r="AS651" i="5"/>
  <c r="AQ660" i="5"/>
  <c r="AS629" i="5"/>
  <c r="AQ633" i="5"/>
  <c r="AQ830" i="5"/>
  <c r="AS818" i="5"/>
  <c r="AQ851" i="5"/>
  <c r="AQ174" i="5"/>
  <c r="AO175" i="5"/>
  <c r="AO220" i="5" s="1"/>
  <c r="AU98" i="5"/>
  <c r="AS99" i="5"/>
  <c r="H12" i="8"/>
  <c r="F15" i="8"/>
  <c r="F14" i="8"/>
  <c r="AM57" i="8"/>
  <c r="AM66" i="8" s="1"/>
  <c r="AE14" i="8"/>
  <c r="AE15" i="8"/>
  <c r="AF8" i="8"/>
  <c r="Y15" i="8"/>
  <c r="Z8" i="8"/>
  <c r="Y14" i="8"/>
  <c r="P14" i="8"/>
  <c r="AQ39" i="8"/>
  <c r="AQ162" i="8" s="1"/>
  <c r="AO44" i="8"/>
  <c r="B15" i="8"/>
  <c r="B14" i="8"/>
  <c r="H8" i="8"/>
  <c r="AQ141" i="8"/>
  <c r="AS132" i="8"/>
  <c r="N12" i="8"/>
  <c r="L14" i="8"/>
  <c r="L15" i="8"/>
  <c r="AO73" i="8"/>
  <c r="AO169" i="8" s="1"/>
  <c r="AO174" i="8" s="1"/>
  <c r="AO196" i="8" s="1"/>
  <c r="AQ71" i="8"/>
  <c r="AQ54" i="8"/>
  <c r="AQ166" i="8" s="1"/>
  <c r="AO55" i="8"/>
  <c r="T14" i="8"/>
  <c r="T15" i="8"/>
  <c r="U8" i="8"/>
  <c r="AQ104" i="6"/>
  <c r="AO105" i="6"/>
  <c r="AO93" i="6"/>
  <c r="AM94" i="6"/>
  <c r="L16" i="6"/>
  <c r="N15" i="6"/>
  <c r="F16" i="6"/>
  <c r="H16" i="6" s="1"/>
  <c r="H15" i="6"/>
  <c r="AF16" i="6"/>
  <c r="AS85" i="6"/>
  <c r="AQ90" i="6"/>
  <c r="AO37" i="6"/>
  <c r="AM39" i="6"/>
  <c r="AS75" i="6"/>
  <c r="AS172" i="6" s="1"/>
  <c r="AQ82" i="6"/>
  <c r="AU131" i="5"/>
  <c r="AS134" i="5"/>
  <c r="L18" i="5"/>
  <c r="L17" i="5"/>
  <c r="N10" i="5"/>
  <c r="AS170" i="5"/>
  <c r="AQ171" i="5"/>
  <c r="AU157" i="5"/>
  <c r="AU207" i="5"/>
  <c r="AQ483" i="5"/>
  <c r="AQ488" i="5" s="1"/>
  <c r="AS480" i="5"/>
  <c r="AO689" i="5"/>
  <c r="AM690" i="5"/>
  <c r="AO643" i="5"/>
  <c r="AQ640" i="5"/>
  <c r="AK675" i="5"/>
  <c r="AK777" i="5" s="1"/>
  <c r="AK833" i="5" s="1"/>
  <c r="AM672" i="5"/>
  <c r="AU309" i="5"/>
  <c r="AS315" i="5"/>
  <c r="AQ373" i="5"/>
  <c r="AS362" i="5"/>
  <c r="AS78" i="5"/>
  <c r="AQ87" i="5"/>
  <c r="AW376" i="5"/>
  <c r="D18" i="5"/>
  <c r="AQ541" i="5"/>
  <c r="AS183" i="5"/>
  <c r="AS189" i="5" s="1"/>
  <c r="AS536" i="5"/>
  <c r="AU521" i="5"/>
  <c r="AY424" i="5"/>
  <c r="Y17" i="5"/>
  <c r="Z10" i="5"/>
  <c r="AS136" i="5"/>
  <c r="AQ142" i="5"/>
  <c r="AQ158" i="5" s="1"/>
  <c r="AE18" i="5"/>
  <c r="AI5" i="5" s="1"/>
  <c r="AE17" i="5"/>
  <c r="AQ648" i="5"/>
  <c r="AS646" i="5"/>
  <c r="AM686" i="5"/>
  <c r="AO683" i="5"/>
  <c r="J18" i="5"/>
  <c r="J17" i="5"/>
  <c r="AW511" i="5"/>
  <c r="AU514" i="5"/>
  <c r="AS53" i="5"/>
  <c r="AW560" i="5"/>
  <c r="AU580" i="5"/>
  <c r="AU600" i="5"/>
  <c r="AS39" i="5"/>
  <c r="AQ816" i="5"/>
  <c r="AS813" i="5"/>
  <c r="AW477" i="5"/>
  <c r="AY471" i="5"/>
  <c r="AY725" i="5"/>
  <c r="AO66" i="5"/>
  <c r="AO1057" i="5" s="1"/>
  <c r="J12" i="9" s="1"/>
  <c r="AM73" i="5"/>
  <c r="AM74" i="5" s="1"/>
  <c r="AU785" i="5"/>
  <c r="AU552" i="5"/>
  <c r="AS558" i="5"/>
  <c r="AQ108" i="5"/>
  <c r="AO114" i="5"/>
  <c r="AO121" i="5" s="1"/>
  <c r="F18" i="5"/>
  <c r="F17" i="5"/>
  <c r="H10" i="5"/>
  <c r="AY90" i="5"/>
  <c r="AS117" i="5"/>
  <c r="AQ118" i="5"/>
  <c r="AS333" i="5"/>
  <c r="AU327" i="5"/>
  <c r="AU91" i="5"/>
  <c r="AS93" i="5"/>
  <c r="AU63" i="5"/>
  <c r="AU459" i="5"/>
  <c r="AS468" i="5"/>
  <c r="U12" i="5"/>
  <c r="T14" i="5"/>
  <c r="T18" i="5" s="1"/>
  <c r="Z12" i="5"/>
  <c r="AW595" i="5"/>
  <c r="AQ166" i="5"/>
  <c r="AS162" i="5"/>
  <c r="AQ499" i="5"/>
  <c r="AS492" i="5"/>
  <c r="AQ740" i="5"/>
  <c r="AO745" i="5"/>
  <c r="AU538" i="5"/>
  <c r="AS540" i="5"/>
  <c r="B14" i="5"/>
  <c r="H14" i="5" s="1"/>
  <c r="H12" i="5"/>
  <c r="J202" i="2"/>
  <c r="M201" i="2"/>
  <c r="BE1458" i="4"/>
  <c r="BC1458" i="4"/>
  <c r="BE1314" i="4"/>
  <c r="BC1314" i="4"/>
  <c r="BE839" i="4"/>
  <c r="BC839" i="4"/>
  <c r="BE749" i="4"/>
  <c r="BC749" i="4"/>
  <c r="BA218" i="7" l="1"/>
  <c r="BA225" i="7" s="1"/>
  <c r="BC217" i="7"/>
  <c r="BE39" i="7"/>
  <c r="BC146" i="7"/>
  <c r="BC49" i="7"/>
  <c r="BC54" i="7" s="1"/>
  <c r="BC63" i="7" s="1"/>
  <c r="AM197" i="7"/>
  <c r="BE68" i="7"/>
  <c r="BC156" i="7"/>
  <c r="BE80" i="7"/>
  <c r="BE88" i="7" s="1"/>
  <c r="BC88" i="7"/>
  <c r="BA152" i="7"/>
  <c r="BC73" i="7"/>
  <c r="BE198" i="7"/>
  <c r="BE200" i="7" s="1"/>
  <c r="BC200" i="7"/>
  <c r="AI152" i="6"/>
  <c r="AI156" i="6" s="1"/>
  <c r="AK174" i="6"/>
  <c r="AK196" i="6" s="1"/>
  <c r="AK7" i="6"/>
  <c r="AK9" i="6" s="1"/>
  <c r="AI213" i="6"/>
  <c r="AS1053" i="5"/>
  <c r="F40" i="11"/>
  <c r="AQ1056" i="5"/>
  <c r="L11" i="9" s="1"/>
  <c r="AK1060" i="5"/>
  <c r="AK1065" i="5" s="1"/>
  <c r="AK109" i="6"/>
  <c r="AK152" i="6" s="1"/>
  <c r="AK156" i="6" s="1"/>
  <c r="AI204" i="6"/>
  <c r="AI204" i="8"/>
  <c r="AI205" i="8" s="1"/>
  <c r="AI207" i="8" s="1"/>
  <c r="AQ215" i="6"/>
  <c r="AO216" i="6"/>
  <c r="J82" i="9"/>
  <c r="AO1134" i="5"/>
  <c r="BA223" i="8"/>
  <c r="BC222" i="8"/>
  <c r="F8" i="9"/>
  <c r="F65" i="11"/>
  <c r="AM49" i="5"/>
  <c r="AM336" i="5" s="1"/>
  <c r="H8" i="9"/>
  <c r="AK14" i="8"/>
  <c r="AM1063" i="5"/>
  <c r="H18" i="9" s="1"/>
  <c r="AQ142" i="8"/>
  <c r="AK152" i="8"/>
  <c r="AK156" i="8" s="1"/>
  <c r="AK243" i="8"/>
  <c r="E12" i="11"/>
  <c r="P11" i="11"/>
  <c r="X11" i="11" s="1"/>
  <c r="H33" i="11"/>
  <c r="G42" i="11"/>
  <c r="G40" i="11"/>
  <c r="F45" i="11"/>
  <c r="AO1118" i="5"/>
  <c r="J66" i="9" s="1"/>
  <c r="J67" i="9" s="1"/>
  <c r="AO1078" i="5"/>
  <c r="J30" i="9"/>
  <c r="J33" i="9" s="1"/>
  <c r="D20" i="9"/>
  <c r="D42" i="9" s="1"/>
  <c r="D45" i="9" s="1"/>
  <c r="AK198" i="8"/>
  <c r="AK199" i="8" s="1"/>
  <c r="AK213" i="8" s="1"/>
  <c r="AK218" i="8" s="1"/>
  <c r="AI225" i="8"/>
  <c r="AI240" i="8" s="1"/>
  <c r="AI247" i="8" s="1"/>
  <c r="AM146" i="8"/>
  <c r="AM152" i="8" s="1"/>
  <c r="AM156" i="8" s="1"/>
  <c r="AS41" i="5"/>
  <c r="AU381" i="5"/>
  <c r="N14" i="9"/>
  <c r="AS54" i="5"/>
  <c r="AS60" i="5" s="1"/>
  <c r="AW47" i="5"/>
  <c r="AU1055" i="5"/>
  <c r="P10" i="9" s="1"/>
  <c r="AI1065" i="5"/>
  <c r="AI1087" i="5" s="1"/>
  <c r="AI1090" i="5" s="1"/>
  <c r="AI1105" i="5" s="1"/>
  <c r="AQ298" i="5"/>
  <c r="AQ299" i="5" s="1"/>
  <c r="AI835" i="5"/>
  <c r="AK1119" i="5"/>
  <c r="AQ100" i="5"/>
  <c r="P10" i="5"/>
  <c r="U10" i="5" s="1"/>
  <c r="AO13" i="5"/>
  <c r="AQ796" i="5"/>
  <c r="AO809" i="5"/>
  <c r="AO831" i="5" s="1"/>
  <c r="AQ188" i="6"/>
  <c r="AQ189" i="6" s="1"/>
  <c r="AQ12" i="6"/>
  <c r="AS96" i="6"/>
  <c r="AQ169" i="6"/>
  <c r="AS78" i="6"/>
  <c r="AS82" i="6" s="1"/>
  <c r="AM107" i="6"/>
  <c r="AM11" i="6" s="1"/>
  <c r="AM13" i="6" s="1"/>
  <c r="AM168" i="6"/>
  <c r="AM60" i="6"/>
  <c r="AM7" i="6" s="1"/>
  <c r="AM9" i="6" s="1"/>
  <c r="AM162" i="6"/>
  <c r="AS150" i="6"/>
  <c r="AS184" i="6"/>
  <c r="AS187" i="6" s="1"/>
  <c r="AU149" i="6"/>
  <c r="AO225" i="6"/>
  <c r="AM226" i="6"/>
  <c r="Z16" i="6"/>
  <c r="AI16" i="6"/>
  <c r="AK5" i="6" s="1"/>
  <c r="AU43" i="6"/>
  <c r="AS48" i="6"/>
  <c r="AS163" i="6" s="1"/>
  <c r="AU57" i="6"/>
  <c r="AS58" i="6"/>
  <c r="AS165" i="6" s="1"/>
  <c r="AO144" i="8"/>
  <c r="AO10" i="8" s="1"/>
  <c r="AO12" i="8" s="1"/>
  <c r="AW42" i="8"/>
  <c r="AW164" i="8" s="1"/>
  <c r="AU40" i="8"/>
  <c r="AU163" i="8" s="1"/>
  <c r="AO57" i="8"/>
  <c r="AO66" i="8" s="1"/>
  <c r="N14" i="8"/>
  <c r="AT11" i="7"/>
  <c r="AT13" i="7" s="1"/>
  <c r="AU11" i="7"/>
  <c r="AU13" i="7" s="1"/>
  <c r="AU15" i="7" s="1"/>
  <c r="BA209" i="7"/>
  <c r="AY210" i="7"/>
  <c r="BA156" i="7"/>
  <c r="BA77" i="7"/>
  <c r="AY93" i="7"/>
  <c r="BA90" i="7"/>
  <c r="BA146" i="7"/>
  <c r="BA49" i="7"/>
  <c r="BA54" i="7" s="1"/>
  <c r="AO233" i="7"/>
  <c r="AQ230" i="7"/>
  <c r="AW103" i="7"/>
  <c r="AW105" i="7" s="1"/>
  <c r="AW135" i="7" s="1"/>
  <c r="AW139" i="7" s="1"/>
  <c r="AW153" i="7"/>
  <c r="AW158" i="7" s="1"/>
  <c r="AW180" i="7" s="1"/>
  <c r="AY63" i="7"/>
  <c r="AY7" i="7"/>
  <c r="AY9" i="7" s="1"/>
  <c r="AM184" i="7"/>
  <c r="AM185" i="7" s="1"/>
  <c r="AO677" i="5"/>
  <c r="AO681" i="5" s="1"/>
  <c r="AS549" i="5"/>
  <c r="AS596" i="5" s="1"/>
  <c r="AU377" i="5"/>
  <c r="AS422" i="5"/>
  <c r="AQ611" i="5"/>
  <c r="AO615" i="5"/>
  <c r="AO663" i="5" s="1"/>
  <c r="AK356" i="5"/>
  <c r="AW224" i="5"/>
  <c r="AW229" i="5" s="1"/>
  <c r="AI12" i="5"/>
  <c r="AI14" i="5" s="1"/>
  <c r="AW485" i="5"/>
  <c r="AU487" i="5"/>
  <c r="AS541" i="5"/>
  <c r="AF18" i="5"/>
  <c r="AF17" i="5"/>
  <c r="AQ305" i="5"/>
  <c r="AQ334" i="5" s="1"/>
  <c r="AS303" i="5"/>
  <c r="AS1054" i="5" s="1"/>
  <c r="N9" i="9" s="1"/>
  <c r="AS851" i="5"/>
  <c r="AU629" i="5"/>
  <c r="AS633" i="5"/>
  <c r="AW104" i="5"/>
  <c r="AU106" i="5"/>
  <c r="AW321" i="5"/>
  <c r="AY319" i="5"/>
  <c r="AU818" i="5"/>
  <c r="AS830" i="5"/>
  <c r="BA781" i="5"/>
  <c r="AY783" i="5"/>
  <c r="AU99" i="5"/>
  <c r="AW98" i="5"/>
  <c r="AQ175" i="5"/>
  <c r="AQ220" i="5" s="1"/>
  <c r="AS174" i="5"/>
  <c r="AS660" i="5"/>
  <c r="AU651" i="5"/>
  <c r="AQ509" i="5"/>
  <c r="AQ515" i="5" s="1"/>
  <c r="AS503" i="5"/>
  <c r="AU617" i="5"/>
  <c r="AS620" i="5"/>
  <c r="AS298" i="5"/>
  <c r="AS299" i="5" s="1"/>
  <c r="AU287" i="5"/>
  <c r="AK15" i="6"/>
  <c r="U14" i="8"/>
  <c r="AF15" i="8"/>
  <c r="N15" i="8"/>
  <c r="P4" i="8"/>
  <c r="AS141" i="8"/>
  <c r="AU132" i="8"/>
  <c r="AQ73" i="8"/>
  <c r="AQ169" i="8" s="1"/>
  <c r="AQ174" i="8" s="1"/>
  <c r="AQ196" i="8" s="1"/>
  <c r="AS71" i="8"/>
  <c r="Z14" i="8"/>
  <c r="AM6" i="8"/>
  <c r="AM8" i="8" s="1"/>
  <c r="AM14" i="8" s="1"/>
  <c r="AM204" i="8" s="1"/>
  <c r="AM205" i="8" s="1"/>
  <c r="H14" i="8"/>
  <c r="AS39" i="8"/>
  <c r="AS162" i="8" s="1"/>
  <c r="AQ44" i="8"/>
  <c r="AF14" i="8"/>
  <c r="H15" i="8"/>
  <c r="AS54" i="8"/>
  <c r="AS166" i="8" s="1"/>
  <c r="AQ55" i="8"/>
  <c r="Z15" i="8"/>
  <c r="AS90" i="6"/>
  <c r="AU85" i="6"/>
  <c r="AQ105" i="6"/>
  <c r="AS104" i="6"/>
  <c r="AU75" i="6"/>
  <c r="AU172" i="6" s="1"/>
  <c r="AO39" i="6"/>
  <c r="AQ37" i="6"/>
  <c r="N16" i="6"/>
  <c r="AQ93" i="6"/>
  <c r="AO94" i="6"/>
  <c r="AK12" i="5"/>
  <c r="AK14" i="5" s="1"/>
  <c r="AW63" i="5"/>
  <c r="AS499" i="5"/>
  <c r="AU492" i="5"/>
  <c r="AY595" i="5"/>
  <c r="AU540" i="5"/>
  <c r="AW538" i="5"/>
  <c r="AU468" i="5"/>
  <c r="AW459" i="5"/>
  <c r="AW91" i="5"/>
  <c r="AU93" i="5"/>
  <c r="AU117" i="5"/>
  <c r="AS118" i="5"/>
  <c r="AU558" i="5"/>
  <c r="AW552" i="5"/>
  <c r="BA725" i="5"/>
  <c r="BC725" i="5" s="1"/>
  <c r="AY477" i="5"/>
  <c r="BA471" i="5"/>
  <c r="AU39" i="5"/>
  <c r="AW600" i="5"/>
  <c r="AU53" i="5"/>
  <c r="AU183" i="5"/>
  <c r="AU189" i="5" s="1"/>
  <c r="AO672" i="5"/>
  <c r="AM675" i="5"/>
  <c r="AM777" i="5" s="1"/>
  <c r="AM833" i="5" s="1"/>
  <c r="AO690" i="5"/>
  <c r="AQ689" i="5"/>
  <c r="AS740" i="5"/>
  <c r="AQ745" i="5"/>
  <c r="U14" i="5"/>
  <c r="Z14" i="5"/>
  <c r="AU549" i="5"/>
  <c r="AW545" i="5"/>
  <c r="AU333" i="5"/>
  <c r="AW327" i="5"/>
  <c r="AW785" i="5"/>
  <c r="AQ66" i="5"/>
  <c r="AQ1057" i="5" s="1"/>
  <c r="L12" i="9" s="1"/>
  <c r="AO73" i="5"/>
  <c r="AO74" i="5" s="1"/>
  <c r="AS142" i="5"/>
  <c r="AS158" i="5" s="1"/>
  <c r="AU136" i="5"/>
  <c r="AU536" i="5"/>
  <c r="AW521" i="5"/>
  <c r="AS87" i="5"/>
  <c r="AS100" i="5" s="1"/>
  <c r="AU78" i="5"/>
  <c r="AU315" i="5"/>
  <c r="AW309" i="5"/>
  <c r="B17" i="5"/>
  <c r="H17" i="5" s="1"/>
  <c r="AS483" i="5"/>
  <c r="AS488" i="5" s="1"/>
  <c r="AU480" i="5"/>
  <c r="AU219" i="5"/>
  <c r="AW207" i="5"/>
  <c r="AW131" i="5"/>
  <c r="AU134" i="5"/>
  <c r="BA90" i="5"/>
  <c r="AQ114" i="5"/>
  <c r="AQ121" i="5" s="1"/>
  <c r="AS108" i="5"/>
  <c r="AS816" i="5"/>
  <c r="AU813" i="5"/>
  <c r="AO686" i="5"/>
  <c r="AQ683" i="5"/>
  <c r="AY376" i="5"/>
  <c r="AS373" i="5"/>
  <c r="AU362" i="5"/>
  <c r="AQ643" i="5"/>
  <c r="AS640" i="5"/>
  <c r="B18" i="5"/>
  <c r="H18" i="5" s="1"/>
  <c r="AS171" i="5"/>
  <c r="AU170" i="5"/>
  <c r="N17" i="5"/>
  <c r="AS166" i="5"/>
  <c r="AU162" i="5"/>
  <c r="AW580" i="5"/>
  <c r="AY560" i="5"/>
  <c r="AY511" i="5"/>
  <c r="AW514" i="5"/>
  <c r="AK10" i="5"/>
  <c r="AS648" i="5"/>
  <c r="AU646" i="5"/>
  <c r="T17" i="5"/>
  <c r="Z18" i="5"/>
  <c r="BA424" i="5"/>
  <c r="AW157" i="5"/>
  <c r="N18" i="5"/>
  <c r="AM1470" i="4"/>
  <c r="AM1469" i="4"/>
  <c r="AM1468" i="4"/>
  <c r="AM1467" i="4"/>
  <c r="AM1466" i="4"/>
  <c r="AM1465" i="4"/>
  <c r="AM1464" i="4"/>
  <c r="AM1462" i="4"/>
  <c r="AM1461" i="4"/>
  <c r="AM1460" i="4"/>
  <c r="AM1455" i="4"/>
  <c r="AM1454" i="4"/>
  <c r="AM1453" i="4"/>
  <c r="AM1452" i="4"/>
  <c r="AM1451" i="4"/>
  <c r="AM1450" i="4"/>
  <c r="AM1449" i="4"/>
  <c r="AM1448" i="4"/>
  <c r="AM1444" i="4"/>
  <c r="AM1443" i="4"/>
  <c r="AM1442" i="4"/>
  <c r="AM1441" i="4"/>
  <c r="AM1440" i="4"/>
  <c r="AM1439" i="4"/>
  <c r="AM1438" i="4"/>
  <c r="AM1437" i="4"/>
  <c r="AM1436" i="4"/>
  <c r="AM1435" i="4"/>
  <c r="AM1434" i="4"/>
  <c r="AM1433" i="4"/>
  <c r="AM1432" i="4"/>
  <c r="AM1431" i="4"/>
  <c r="AM1430" i="4"/>
  <c r="AM1429" i="4"/>
  <c r="AM1428" i="4"/>
  <c r="AM1427" i="4"/>
  <c r="AM1426" i="4"/>
  <c r="AM1425" i="4"/>
  <c r="AM1424" i="4"/>
  <c r="AM1423" i="4"/>
  <c r="AM1420" i="4"/>
  <c r="AM1419" i="4"/>
  <c r="AM1418" i="4"/>
  <c r="AM1399" i="4"/>
  <c r="AM1392" i="4"/>
  <c r="AM1391" i="4"/>
  <c r="AM1390" i="4"/>
  <c r="AM1389" i="4"/>
  <c r="AM1388" i="4"/>
  <c r="AM1387" i="4"/>
  <c r="AM1382" i="4"/>
  <c r="AM1379" i="4"/>
  <c r="AL1273" i="4"/>
  <c r="AK201" i="4"/>
  <c r="AK200" i="4"/>
  <c r="AM201" i="4"/>
  <c r="Z201" i="4"/>
  <c r="W201" i="4"/>
  <c r="U201" i="4"/>
  <c r="S201" i="4"/>
  <c r="N201" i="4"/>
  <c r="K201" i="4"/>
  <c r="H201" i="4"/>
  <c r="E201" i="4"/>
  <c r="AM200" i="4"/>
  <c r="Z200" i="4"/>
  <c r="W200" i="4"/>
  <c r="U200" i="4"/>
  <c r="S200" i="4"/>
  <c r="N200" i="4"/>
  <c r="K200" i="4"/>
  <c r="H200" i="4"/>
  <c r="E200" i="4"/>
  <c r="AI200" i="6" l="1"/>
  <c r="AI201" i="6" s="1"/>
  <c r="AI217" i="6"/>
  <c r="AM205" i="7"/>
  <c r="AM201" i="7"/>
  <c r="D53" i="9"/>
  <c r="AI1109" i="5"/>
  <c r="AI1139" i="5"/>
  <c r="D87" i="9" s="1"/>
  <c r="D90" i="9" s="1"/>
  <c r="AQ57" i="8"/>
  <c r="AQ66" i="8" s="1"/>
  <c r="BE156" i="7"/>
  <c r="BA93" i="7"/>
  <c r="BC90" i="7"/>
  <c r="BE146" i="7"/>
  <c r="BE49" i="7"/>
  <c r="BE54" i="7" s="1"/>
  <c r="BE63" i="7" s="1"/>
  <c r="BA210" i="7"/>
  <c r="BC209" i="7"/>
  <c r="BE73" i="7"/>
  <c r="BE152" i="7" s="1"/>
  <c r="BC152" i="7"/>
  <c r="BC77" i="7"/>
  <c r="BE217" i="7"/>
  <c r="BE218" i="7" s="1"/>
  <c r="BE225" i="7" s="1"/>
  <c r="BC218" i="7"/>
  <c r="BC225" i="7" s="1"/>
  <c r="AM70" i="6"/>
  <c r="AM109" i="6" s="1"/>
  <c r="AK198" i="6"/>
  <c r="AK199" i="6" s="1"/>
  <c r="AM174" i="6"/>
  <c r="AM196" i="6" s="1"/>
  <c r="AI221" i="6"/>
  <c r="AI228" i="6" s="1"/>
  <c r="AI243" i="6" s="1"/>
  <c r="AI250" i="6" s="1"/>
  <c r="AK246" i="6"/>
  <c r="AI205" i="6"/>
  <c r="AI207" i="6" s="1"/>
  <c r="AU1053" i="5"/>
  <c r="BC90" i="5"/>
  <c r="BE90" i="5" s="1"/>
  <c r="BA107" i="1"/>
  <c r="AK204" i="8"/>
  <c r="AK205" i="8" s="1"/>
  <c r="AK207" i="8" s="1"/>
  <c r="AS1056" i="5"/>
  <c r="N11" i="9" s="1"/>
  <c r="AU188" i="7"/>
  <c r="AU189" i="7" s="1"/>
  <c r="AU191" i="7" s="1"/>
  <c r="BE222" i="8"/>
  <c r="BE223" i="8" s="1"/>
  <c r="BC223" i="8"/>
  <c r="AS215" i="6"/>
  <c r="AQ216" i="6"/>
  <c r="AM8" i="5"/>
  <c r="AM356" i="5"/>
  <c r="AM835" i="5" s="1"/>
  <c r="AM1042" i="5" s="1"/>
  <c r="AM1046" i="5" s="1"/>
  <c r="G65" i="11"/>
  <c r="AO49" i="5"/>
  <c r="AO336" i="5" s="1"/>
  <c r="J8" i="9"/>
  <c r="AK213" i="6"/>
  <c r="BA783" i="5"/>
  <c r="BC781" i="5"/>
  <c r="BE725" i="5"/>
  <c r="BA477" i="5"/>
  <c r="BC471" i="5"/>
  <c r="BC424" i="5"/>
  <c r="AS142" i="8"/>
  <c r="AO146" i="8"/>
  <c r="AO152" i="8" s="1"/>
  <c r="AO156" i="8" s="1"/>
  <c r="AM243" i="8"/>
  <c r="AK246" i="8"/>
  <c r="F12" i="11"/>
  <c r="H12" i="11" s="1"/>
  <c r="M12" i="11"/>
  <c r="U12" i="11" s="1"/>
  <c r="G45" i="11"/>
  <c r="I33" i="11"/>
  <c r="H42" i="11"/>
  <c r="H40" i="11"/>
  <c r="AO1063" i="5"/>
  <c r="J18" i="9" s="1"/>
  <c r="AK201" i="8"/>
  <c r="AK225" i="8"/>
  <c r="AK240" i="8" s="1"/>
  <c r="AM198" i="8"/>
  <c r="AM199" i="8" s="1"/>
  <c r="AM213" i="8" s="1"/>
  <c r="AM1060" i="5"/>
  <c r="AU41" i="5"/>
  <c r="AY47" i="5"/>
  <c r="AW1055" i="5"/>
  <c r="R10" i="9" s="1"/>
  <c r="AU54" i="5"/>
  <c r="AU60" i="5" s="1"/>
  <c r="AW381" i="5"/>
  <c r="AU1059" i="5"/>
  <c r="P14" i="9" s="1"/>
  <c r="AI1042" i="5"/>
  <c r="AI1046" i="5" s="1"/>
  <c r="P17" i="5"/>
  <c r="U17" i="5" s="1"/>
  <c r="AM1119" i="5"/>
  <c r="P18" i="5"/>
  <c r="U18" i="5" s="1"/>
  <c r="AQ677" i="5"/>
  <c r="AQ681" i="5" s="1"/>
  <c r="AY224" i="5"/>
  <c r="BA224" i="5" s="1"/>
  <c r="BA239" i="1" s="1"/>
  <c r="AK835" i="5"/>
  <c r="AK1042" i="5" s="1"/>
  <c r="AK1046" i="5" s="1"/>
  <c r="AS796" i="5"/>
  <c r="AQ809" i="5"/>
  <c r="AQ831" i="5" s="1"/>
  <c r="AO60" i="6"/>
  <c r="AO7" i="6" s="1"/>
  <c r="AO9" i="6" s="1"/>
  <c r="AO162" i="6"/>
  <c r="AQ225" i="6"/>
  <c r="AO226" i="6"/>
  <c r="AU96" i="6"/>
  <c r="AS169" i="6"/>
  <c r="AK204" i="6"/>
  <c r="AK205" i="6" s="1"/>
  <c r="AK207" i="6" s="1"/>
  <c r="AO107" i="6"/>
  <c r="AO11" i="6" s="1"/>
  <c r="AO13" i="6" s="1"/>
  <c r="AO168" i="6"/>
  <c r="AS188" i="6"/>
  <c r="AS189" i="6" s="1"/>
  <c r="AS12" i="6"/>
  <c r="AU150" i="6"/>
  <c r="AU184" i="6"/>
  <c r="AU187" i="6" s="1"/>
  <c r="AW149" i="6"/>
  <c r="AK249" i="6"/>
  <c r="AU78" i="6"/>
  <c r="AK16" i="6"/>
  <c r="AM5" i="6" s="1"/>
  <c r="AW43" i="6"/>
  <c r="AU48" i="6"/>
  <c r="AU163" i="6" s="1"/>
  <c r="AW57" i="6"/>
  <c r="AU58" i="6"/>
  <c r="AU165" i="6" s="1"/>
  <c r="AQ144" i="8"/>
  <c r="AQ146" i="8" s="1"/>
  <c r="AQ152" i="8" s="1"/>
  <c r="AQ156" i="8" s="1"/>
  <c r="AY42" i="8"/>
  <c r="AY164" i="8" s="1"/>
  <c r="AW40" i="8"/>
  <c r="AW163" i="8" s="1"/>
  <c r="AO6" i="8"/>
  <c r="AO8" i="8" s="1"/>
  <c r="AO14" i="8" s="1"/>
  <c r="AM212" i="7"/>
  <c r="AM227" i="7" s="1"/>
  <c r="AM234" i="7" s="1"/>
  <c r="AO182" i="7"/>
  <c r="AO183" i="7" s="1"/>
  <c r="AO197" i="7" s="1"/>
  <c r="AO201" i="7" s="1"/>
  <c r="AQ233" i="7"/>
  <c r="AS230" i="7"/>
  <c r="BA103" i="7"/>
  <c r="BA11" i="7" s="1"/>
  <c r="BA13" i="7" s="1"/>
  <c r="BA153" i="7"/>
  <c r="BA158" i="7" s="1"/>
  <c r="BA180" i="7" s="1"/>
  <c r="BA63" i="7"/>
  <c r="BA7" i="7"/>
  <c r="BA9" i="7" s="1"/>
  <c r="AY103" i="7"/>
  <c r="AY11" i="7" s="1"/>
  <c r="AY13" i="7" s="1"/>
  <c r="AY15" i="7" s="1"/>
  <c r="AY153" i="7"/>
  <c r="AY158" i="7" s="1"/>
  <c r="AY180" i="7" s="1"/>
  <c r="AU16" i="7"/>
  <c r="AW5" i="7" s="1"/>
  <c r="AW11" i="7"/>
  <c r="AW13" i="7" s="1"/>
  <c r="AW15" i="7" s="1"/>
  <c r="AV11" i="7"/>
  <c r="AV13" i="7" s="1"/>
  <c r="AW377" i="5"/>
  <c r="AU422" i="5"/>
  <c r="AS611" i="5"/>
  <c r="AQ615" i="5"/>
  <c r="AQ663" i="5" s="1"/>
  <c r="AI18" i="5"/>
  <c r="AI17" i="5"/>
  <c r="AW487" i="5"/>
  <c r="AY485" i="5"/>
  <c r="AS305" i="5"/>
  <c r="AS334" i="5" s="1"/>
  <c r="AU303" i="5"/>
  <c r="AU1054" i="5" s="1"/>
  <c r="P9" i="9" s="1"/>
  <c r="AK17" i="5"/>
  <c r="AU620" i="5"/>
  <c r="AW617" i="5"/>
  <c r="AU633" i="5"/>
  <c r="AW629" i="5"/>
  <c r="AW287" i="5"/>
  <c r="AU298" i="5"/>
  <c r="AU299" i="5" s="1"/>
  <c r="AS509" i="5"/>
  <c r="AS515" i="5" s="1"/>
  <c r="AU503" i="5"/>
  <c r="AU174" i="5"/>
  <c r="AS175" i="5"/>
  <c r="AS220" i="5" s="1"/>
  <c r="AU830" i="5"/>
  <c r="AW818" i="5"/>
  <c r="AW106" i="5"/>
  <c r="AY104" i="5"/>
  <c r="AU851" i="5"/>
  <c r="AW651" i="5"/>
  <c r="AU660" i="5"/>
  <c r="AW99" i="5"/>
  <c r="AY98" i="5"/>
  <c r="BA319" i="5"/>
  <c r="AY321" i="5"/>
  <c r="AU54" i="8"/>
  <c r="AU166" i="8" s="1"/>
  <c r="AS55" i="8"/>
  <c r="AS73" i="8"/>
  <c r="AS169" i="8" s="1"/>
  <c r="AS174" i="8" s="1"/>
  <c r="AS196" i="8" s="1"/>
  <c r="AU71" i="8"/>
  <c r="AW132" i="8"/>
  <c r="AU141" i="8"/>
  <c r="U4" i="8"/>
  <c r="P15" i="8"/>
  <c r="AS44" i="8"/>
  <c r="AU39" i="8"/>
  <c r="AU162" i="8" s="1"/>
  <c r="AS93" i="6"/>
  <c r="AQ94" i="6"/>
  <c r="AU82" i="6"/>
  <c r="AW75" i="6"/>
  <c r="AW172" i="6" s="1"/>
  <c r="AU90" i="6"/>
  <c r="AW85" i="6"/>
  <c r="AM15" i="6"/>
  <c r="AM204" i="6" s="1"/>
  <c r="AS37" i="6"/>
  <c r="AQ39" i="6"/>
  <c r="AU104" i="6"/>
  <c r="AS105" i="6"/>
  <c r="AM12" i="5"/>
  <c r="AM14" i="5" s="1"/>
  <c r="AY580" i="5"/>
  <c r="BA560" i="5"/>
  <c r="AW134" i="5"/>
  <c r="AY131" i="5"/>
  <c r="AW219" i="5"/>
  <c r="AY207" i="5"/>
  <c r="AS66" i="5"/>
  <c r="AS1057" i="5" s="1"/>
  <c r="N12" i="9" s="1"/>
  <c r="AQ73" i="5"/>
  <c r="AQ74" i="5" s="1"/>
  <c r="AW549" i="5"/>
  <c r="AY545" i="5"/>
  <c r="AW53" i="5"/>
  <c r="AW468" i="5"/>
  <c r="AY459" i="5"/>
  <c r="AU541" i="5"/>
  <c r="AY514" i="5"/>
  <c r="BA511" i="5"/>
  <c r="AU166" i="5"/>
  <c r="AW162" i="5"/>
  <c r="BA376" i="5"/>
  <c r="BC376" i="5" s="1"/>
  <c r="AY157" i="5"/>
  <c r="AW362" i="5"/>
  <c r="AU373" i="5"/>
  <c r="Z17" i="5"/>
  <c r="AS683" i="5"/>
  <c r="AQ686" i="5"/>
  <c r="AW813" i="5"/>
  <c r="AU816" i="5"/>
  <c r="AS114" i="5"/>
  <c r="AS121" i="5" s="1"/>
  <c r="AU108" i="5"/>
  <c r="AY309" i="5"/>
  <c r="AW315" i="5"/>
  <c r="AY521" i="5"/>
  <c r="AW536" i="5"/>
  <c r="AU142" i="5"/>
  <c r="AU158" i="5" s="1"/>
  <c r="AW136" i="5"/>
  <c r="AO675" i="5"/>
  <c r="AO777" i="5" s="1"/>
  <c r="AO833" i="5" s="1"/>
  <c r="AQ672" i="5"/>
  <c r="AW183" i="5"/>
  <c r="AW189" i="5" s="1"/>
  <c r="AW39" i="5"/>
  <c r="AY91" i="5"/>
  <c r="AW93" i="5"/>
  <c r="BA595" i="5"/>
  <c r="BC595" i="5" s="1"/>
  <c r="BE595" i="5" s="1"/>
  <c r="AW170" i="5"/>
  <c r="AU171" i="5"/>
  <c r="AS643" i="5"/>
  <c r="AU640" i="5"/>
  <c r="AW480" i="5"/>
  <c r="AU483" i="5"/>
  <c r="AU488" i="5" s="1"/>
  <c r="AY785" i="5"/>
  <c r="AY327" i="5"/>
  <c r="AW333" i="5"/>
  <c r="AU740" i="5"/>
  <c r="AS745" i="5"/>
  <c r="AS689" i="5"/>
  <c r="AQ690" i="5"/>
  <c r="AY600" i="5"/>
  <c r="AW558" i="5"/>
  <c r="AY552" i="5"/>
  <c r="AY63" i="5"/>
  <c r="AW646" i="5"/>
  <c r="AU648" i="5"/>
  <c r="AU87" i="5"/>
  <c r="AU100" i="5" s="1"/>
  <c r="AW78" i="5"/>
  <c r="AM10" i="5"/>
  <c r="AU596" i="5"/>
  <c r="AU118" i="5"/>
  <c r="AW117" i="5"/>
  <c r="AW540" i="5"/>
  <c r="AY538" i="5"/>
  <c r="AU499" i="5"/>
  <c r="AW492" i="5"/>
  <c r="AM1456" i="4"/>
  <c r="AM1445" i="4"/>
  <c r="AM1421" i="4"/>
  <c r="AK1027" i="4"/>
  <c r="AM1027" i="4"/>
  <c r="AQ6" i="8" l="1"/>
  <c r="AQ8" i="8" s="1"/>
  <c r="AM198" i="6"/>
  <c r="AK217" i="6"/>
  <c r="AI1142" i="5"/>
  <c r="AM218" i="8"/>
  <c r="AM225" i="8" s="1"/>
  <c r="AM240" i="8" s="1"/>
  <c r="BC210" i="7"/>
  <c r="BE209" i="7"/>
  <c r="BE210" i="7" s="1"/>
  <c r="BE77" i="7"/>
  <c r="BE103" i="7" s="1"/>
  <c r="BE105" i="7" s="1"/>
  <c r="BE135" i="7" s="1"/>
  <c r="BE139" i="7" s="1"/>
  <c r="BE90" i="7"/>
  <c r="BE93" i="7" s="1"/>
  <c r="BE153" i="7" s="1"/>
  <c r="BE158" i="7" s="1"/>
  <c r="BE180" i="7" s="1"/>
  <c r="BC93" i="7"/>
  <c r="AM152" i="6"/>
  <c r="AM156" i="6" s="1"/>
  <c r="AM246" i="6"/>
  <c r="AM199" i="6"/>
  <c r="AM213" i="6" s="1"/>
  <c r="AW1053" i="5"/>
  <c r="AK1095" i="5"/>
  <c r="AI1095" i="5"/>
  <c r="AI1096" i="5" s="1"/>
  <c r="AI1098" i="5" s="1"/>
  <c r="AU1056" i="5"/>
  <c r="P11" i="9" s="1"/>
  <c r="AY188" i="7"/>
  <c r="AY189" i="7" s="1"/>
  <c r="AY191" i="7" s="1"/>
  <c r="AW188" i="7"/>
  <c r="AW189" i="7" s="1"/>
  <c r="AW191" i="7" s="1"/>
  <c r="AI1091" i="5"/>
  <c r="AU215" i="6"/>
  <c r="AS216" i="6"/>
  <c r="AK200" i="6"/>
  <c r="AK201" i="6" s="1"/>
  <c r="AK221" i="6"/>
  <c r="AK228" i="6" s="1"/>
  <c r="AK243" i="6" s="1"/>
  <c r="AK250" i="6" s="1"/>
  <c r="AO356" i="5"/>
  <c r="AO835" i="5" s="1"/>
  <c r="AO1042" i="5" s="1"/>
  <c r="AO1046" i="5" s="1"/>
  <c r="AO8" i="5"/>
  <c r="AO10" i="5" s="1"/>
  <c r="L8" i="9"/>
  <c r="AQ336" i="5"/>
  <c r="H65" i="11"/>
  <c r="BE781" i="5"/>
  <c r="BE783" i="5" s="1"/>
  <c r="BC783" i="5"/>
  <c r="BA580" i="5"/>
  <c r="BC560" i="5"/>
  <c r="AO1060" i="5"/>
  <c r="AO1065" i="5" s="1"/>
  <c r="AO1087" i="5" s="1"/>
  <c r="BA514" i="5"/>
  <c r="BC511" i="5"/>
  <c r="BE471" i="5"/>
  <c r="BE477" i="5" s="1"/>
  <c r="BC477" i="5"/>
  <c r="BE424" i="5"/>
  <c r="BE454" i="5" s="1"/>
  <c r="BE376" i="5"/>
  <c r="BA321" i="5"/>
  <c r="BC319" i="5"/>
  <c r="BA229" i="5"/>
  <c r="BA244" i="1" s="1"/>
  <c r="BC224" i="5"/>
  <c r="AM207" i="8"/>
  <c r="BA105" i="7"/>
  <c r="BA135" i="7" s="1"/>
  <c r="BA139" i="7" s="1"/>
  <c r="AW16" i="7"/>
  <c r="AY5" i="7" s="1"/>
  <c r="AY16" i="7" s="1"/>
  <c r="BA5" i="7" s="1"/>
  <c r="AU142" i="8"/>
  <c r="AQ10" i="8"/>
  <c r="AQ12" i="8" s="1"/>
  <c r="AQ14" i="8" s="1"/>
  <c r="AO204" i="8"/>
  <c r="AO205" i="8" s="1"/>
  <c r="AO207" i="8" s="1"/>
  <c r="AO243" i="8"/>
  <c r="AM246" i="8"/>
  <c r="E13" i="11"/>
  <c r="P12" i="11"/>
  <c r="X12" i="11" s="1"/>
  <c r="N12" i="11"/>
  <c r="V12" i="11" s="1"/>
  <c r="J12" i="11"/>
  <c r="I12" i="11"/>
  <c r="J33" i="11"/>
  <c r="I42" i="11"/>
  <c r="I40" i="11"/>
  <c r="H45" i="11"/>
  <c r="AK1139" i="5"/>
  <c r="F87" i="9" s="1"/>
  <c r="AK247" i="8"/>
  <c r="AM201" i="8"/>
  <c r="AO198" i="8"/>
  <c r="AO199" i="8" s="1"/>
  <c r="AO213" i="8" s="1"/>
  <c r="AM1065" i="5"/>
  <c r="AM1087" i="5" s="1"/>
  <c r="H15" i="9"/>
  <c r="H20" i="9" s="1"/>
  <c r="H42" i="9" s="1"/>
  <c r="AY381" i="5"/>
  <c r="AW1059" i="5"/>
  <c r="R14" i="9" s="1"/>
  <c r="AW54" i="5"/>
  <c r="AW60" i="5" s="1"/>
  <c r="BA47" i="5"/>
  <c r="AY1055" i="5"/>
  <c r="T10" i="9" s="1"/>
  <c r="AW41" i="5"/>
  <c r="AS677" i="5"/>
  <c r="AU677" i="5" s="1"/>
  <c r="AO1119" i="5"/>
  <c r="AY229" i="5"/>
  <c r="AU796" i="5"/>
  <c r="AS809" i="5"/>
  <c r="AS831" i="5" s="1"/>
  <c r="AW96" i="6"/>
  <c r="AU169" i="6"/>
  <c r="AO70" i="6"/>
  <c r="AO109" i="6" s="1"/>
  <c r="AO152" i="6" s="1"/>
  <c r="AO156" i="6" s="1"/>
  <c r="AW78" i="6"/>
  <c r="AW82" i="6" s="1"/>
  <c r="AW150" i="6"/>
  <c r="AW184" i="6"/>
  <c r="AW187" i="6" s="1"/>
  <c r="AY149" i="6"/>
  <c r="AM205" i="6"/>
  <c r="AM207" i="6" s="1"/>
  <c r="AQ60" i="6"/>
  <c r="AQ7" i="6" s="1"/>
  <c r="AQ9" i="6" s="1"/>
  <c r="AQ162" i="6"/>
  <c r="AS225" i="6"/>
  <c r="AQ226" i="6"/>
  <c r="AQ107" i="6"/>
  <c r="AQ11" i="6" s="1"/>
  <c r="AQ13" i="6" s="1"/>
  <c r="AQ168" i="6"/>
  <c r="AM249" i="6"/>
  <c r="AU188" i="6"/>
  <c r="AU189" i="6" s="1"/>
  <c r="AU12" i="6"/>
  <c r="AO174" i="6"/>
  <c r="AO196" i="6" s="1"/>
  <c r="AM16" i="6"/>
  <c r="AO5" i="6" s="1"/>
  <c r="AY43" i="6"/>
  <c r="AW48" i="6"/>
  <c r="AW163" i="6" s="1"/>
  <c r="AY57" i="6"/>
  <c r="AW58" i="6"/>
  <c r="AW165" i="6" s="1"/>
  <c r="BA42" i="8"/>
  <c r="AS144" i="8"/>
  <c r="AS10" i="8" s="1"/>
  <c r="AS12" i="8" s="1"/>
  <c r="AY40" i="8"/>
  <c r="AY163" i="8" s="1"/>
  <c r="BA15" i="7"/>
  <c r="AY105" i="7"/>
  <c r="AY135" i="7" s="1"/>
  <c r="AY139" i="7" s="1"/>
  <c r="AO205" i="7"/>
  <c r="AU230" i="7"/>
  <c r="AS233" i="7"/>
  <c r="AK5" i="5"/>
  <c r="AK18" i="5" s="1"/>
  <c r="AY377" i="5"/>
  <c r="AW422" i="5"/>
  <c r="AU611" i="5"/>
  <c r="AS615" i="5"/>
  <c r="AS663" i="5" s="1"/>
  <c r="AY487" i="5"/>
  <c r="BA485" i="5"/>
  <c r="AW596" i="5"/>
  <c r="AW541" i="5"/>
  <c r="AU305" i="5"/>
  <c r="AU334" i="5" s="1"/>
  <c r="AW303" i="5"/>
  <c r="AW1054" i="5" s="1"/>
  <c r="R9" i="9" s="1"/>
  <c r="AM17" i="5"/>
  <c r="AW633" i="5"/>
  <c r="AY629" i="5"/>
  <c r="AW660" i="5"/>
  <c r="AY651" i="5"/>
  <c r="BA104" i="5"/>
  <c r="BA121" i="1" s="1"/>
  <c r="AY106" i="5"/>
  <c r="AY99" i="5"/>
  <c r="BA98" i="5"/>
  <c r="BA116" i="1" s="1"/>
  <c r="AW174" i="5"/>
  <c r="AU175" i="5"/>
  <c r="AU220" i="5" s="1"/>
  <c r="AW298" i="5"/>
  <c r="AW299" i="5" s="1"/>
  <c r="AY287" i="5"/>
  <c r="AW620" i="5"/>
  <c r="AY617" i="5"/>
  <c r="AW851" i="5"/>
  <c r="AY818" i="5"/>
  <c r="AW830" i="5"/>
  <c r="AU509" i="5"/>
  <c r="AU515" i="5" s="1"/>
  <c r="AW503" i="5"/>
  <c r="AO15" i="6"/>
  <c r="AO204" i="6" s="1"/>
  <c r="AU73" i="8"/>
  <c r="AU169" i="8" s="1"/>
  <c r="AU174" i="8" s="1"/>
  <c r="AU196" i="8" s="1"/>
  <c r="AW71" i="8"/>
  <c r="AS57" i="8"/>
  <c r="AS66" i="8" s="1"/>
  <c r="AU55" i="8"/>
  <c r="AW54" i="8"/>
  <c r="AW166" i="8" s="1"/>
  <c r="AW39" i="8"/>
  <c r="AW162" i="8" s="1"/>
  <c r="AU44" i="8"/>
  <c r="AW141" i="8"/>
  <c r="AY132" i="8"/>
  <c r="AI4" i="8"/>
  <c r="AI15" i="8" s="1"/>
  <c r="U15" i="8"/>
  <c r="AY75" i="6"/>
  <c r="AY172" i="6" s="1"/>
  <c r="AW90" i="6"/>
  <c r="AY85" i="6"/>
  <c r="AS94" i="6"/>
  <c r="AU93" i="6"/>
  <c r="AW104" i="6"/>
  <c r="AU105" i="6"/>
  <c r="AU37" i="6"/>
  <c r="AS39" i="6"/>
  <c r="AO12" i="5"/>
  <c r="AO14" i="5" s="1"/>
  <c r="AW499" i="5"/>
  <c r="AY492" i="5"/>
  <c r="AY117" i="5"/>
  <c r="AW118" i="5"/>
  <c r="AW87" i="5"/>
  <c r="AW100" i="5" s="1"/>
  <c r="AY78" i="5"/>
  <c r="AW648" i="5"/>
  <c r="AY646" i="5"/>
  <c r="BA552" i="5"/>
  <c r="AY558" i="5"/>
  <c r="BA327" i="5"/>
  <c r="AY333" i="5"/>
  <c r="AY480" i="5"/>
  <c r="AW483" i="5"/>
  <c r="AW488" i="5" s="1"/>
  <c r="AY39" i="5"/>
  <c r="BA309" i="5"/>
  <c r="AY315" i="5"/>
  <c r="AS686" i="5"/>
  <c r="AU683" i="5"/>
  <c r="AW166" i="5"/>
  <c r="AY162" i="5"/>
  <c r="AY53" i="5"/>
  <c r="AU66" i="5"/>
  <c r="AU1057" i="5" s="1"/>
  <c r="P12" i="9" s="1"/>
  <c r="AS73" i="5"/>
  <c r="AS74" i="5" s="1"/>
  <c r="AY540" i="5"/>
  <c r="BA538" i="5"/>
  <c r="BA63" i="5"/>
  <c r="AS690" i="5"/>
  <c r="AU689" i="5"/>
  <c r="AW740" i="5"/>
  <c r="AU745" i="5"/>
  <c r="BA785" i="5"/>
  <c r="BC785" i="5" s="1"/>
  <c r="AQ675" i="5"/>
  <c r="AQ777" i="5" s="1"/>
  <c r="AS672" i="5"/>
  <c r="BA157" i="5"/>
  <c r="AY219" i="5"/>
  <c r="BA207" i="5"/>
  <c r="BA222" i="1" s="1"/>
  <c r="BA600" i="5"/>
  <c r="BC600" i="5" s="1"/>
  <c r="AY170" i="5"/>
  <c r="AW171" i="5"/>
  <c r="BA91" i="5"/>
  <c r="BA108" i="1" s="1"/>
  <c r="AY93" i="5"/>
  <c r="AY536" i="5"/>
  <c r="BA521" i="5"/>
  <c r="AY813" i="5"/>
  <c r="AW816" i="5"/>
  <c r="BA131" i="5"/>
  <c r="BA146" i="1" s="1"/>
  <c r="AY134" i="5"/>
  <c r="AW640" i="5"/>
  <c r="AU643" i="5"/>
  <c r="AY183" i="5"/>
  <c r="AY189" i="5" s="1"/>
  <c r="AW142" i="5"/>
  <c r="AW158" i="5" s="1"/>
  <c r="AY136" i="5"/>
  <c r="AU114" i="5"/>
  <c r="AU121" i="5" s="1"/>
  <c r="AW108" i="5"/>
  <c r="AW373" i="5"/>
  <c r="AY362" i="5"/>
  <c r="AY468" i="5"/>
  <c r="BA459" i="5"/>
  <c r="BA545" i="5"/>
  <c r="AY549" i="5"/>
  <c r="AL706" i="4"/>
  <c r="AL703" i="4" s="1"/>
  <c r="AJ691" i="4"/>
  <c r="AJ726" i="4"/>
  <c r="AL356" i="4"/>
  <c r="AH518" i="4"/>
  <c r="AJ534" i="4"/>
  <c r="AJ536" i="4"/>
  <c r="AK425" i="4"/>
  <c r="AK424" i="4"/>
  <c r="AK423" i="4"/>
  <c r="AK422" i="4"/>
  <c r="AK421" i="4"/>
  <c r="AK420" i="4"/>
  <c r="AK419" i="4"/>
  <c r="AK418" i="4"/>
  <c r="AK417" i="4"/>
  <c r="AK416" i="4"/>
  <c r="AK415" i="4"/>
  <c r="AK414" i="4"/>
  <c r="AK413" i="4"/>
  <c r="AJ469" i="4"/>
  <c r="AO198" i="6" l="1"/>
  <c r="AM217" i="6"/>
  <c r="AO218" i="8"/>
  <c r="AO225" i="8" s="1"/>
  <c r="AO240" i="8" s="1"/>
  <c r="AM247" i="8"/>
  <c r="AQ70" i="6"/>
  <c r="AI1092" i="5"/>
  <c r="D46" i="9"/>
  <c r="D47" i="9" s="1"/>
  <c r="BC103" i="7"/>
  <c r="BC105" i="7" s="1"/>
  <c r="BC135" i="7" s="1"/>
  <c r="BC139" i="7" s="1"/>
  <c r="BC153" i="7"/>
  <c r="BC158" i="7" s="1"/>
  <c r="BC180" i="7" s="1"/>
  <c r="AO246" i="6"/>
  <c r="AY1053" i="5"/>
  <c r="BC157" i="5"/>
  <c r="BE157" i="5" s="1"/>
  <c r="BA172" i="1"/>
  <c r="BC63" i="5"/>
  <c r="BE63" i="5" s="1"/>
  <c r="BA80" i="1"/>
  <c r="AM1095" i="5"/>
  <c r="AM1096" i="5" s="1"/>
  <c r="AM1098" i="5" s="1"/>
  <c r="AW1056" i="5"/>
  <c r="R11" i="9" s="1"/>
  <c r="AM5" i="5"/>
  <c r="AM18" i="5" s="1"/>
  <c r="AO5" i="5" s="1"/>
  <c r="AO18" i="5" s="1"/>
  <c r="BA188" i="7"/>
  <c r="BA189" i="7" s="1"/>
  <c r="BA191" i="7" s="1"/>
  <c r="AS146" i="8"/>
  <c r="AS152" i="8" s="1"/>
  <c r="AS156" i="8" s="1"/>
  <c r="AK4" i="8"/>
  <c r="AK15" i="8" s="1"/>
  <c r="AM4" i="8" s="1"/>
  <c r="AI1114" i="5"/>
  <c r="L16" i="9"/>
  <c r="AQ454" i="5"/>
  <c r="AQ455" i="5" s="1"/>
  <c r="AQ1063" i="5" s="1"/>
  <c r="L18" i="9" s="1"/>
  <c r="AQ1084" i="5"/>
  <c r="AQ1040" i="5"/>
  <c r="AW215" i="6"/>
  <c r="AU216" i="6"/>
  <c r="BC42" i="8"/>
  <c r="BA164" i="8"/>
  <c r="AM200" i="6"/>
  <c r="AM201" i="6" s="1"/>
  <c r="AM221" i="6"/>
  <c r="AM228" i="6" s="1"/>
  <c r="AM243" i="6" s="1"/>
  <c r="AM250" i="6" s="1"/>
  <c r="AS681" i="5"/>
  <c r="AQ8" i="5"/>
  <c r="AQ10" i="5" s="1"/>
  <c r="AQ356" i="5"/>
  <c r="I65" i="11"/>
  <c r="N8" i="9"/>
  <c r="AS49" i="5"/>
  <c r="AS336" i="5" s="1"/>
  <c r="J15" i="9"/>
  <c r="J20" i="9" s="1"/>
  <c r="J42" i="9" s="1"/>
  <c r="BE785" i="5"/>
  <c r="BE600" i="5"/>
  <c r="BE560" i="5"/>
  <c r="BE580" i="5" s="1"/>
  <c r="BC580" i="5"/>
  <c r="BA549" i="5"/>
  <c r="BC545" i="5"/>
  <c r="BA558" i="5"/>
  <c r="BC552" i="5"/>
  <c r="BA536" i="5"/>
  <c r="BC521" i="5"/>
  <c r="BA540" i="5"/>
  <c r="BC538" i="5"/>
  <c r="BE511" i="5"/>
  <c r="BE514" i="5" s="1"/>
  <c r="BC514" i="5"/>
  <c r="BA468" i="5"/>
  <c r="BC459" i="5"/>
  <c r="BA487" i="5"/>
  <c r="BC485" i="5"/>
  <c r="BA315" i="5"/>
  <c r="BC309" i="5"/>
  <c r="BE319" i="5"/>
  <c r="BE321" i="5" s="1"/>
  <c r="BC321" i="5"/>
  <c r="BA333" i="5"/>
  <c r="BC327" i="5"/>
  <c r="BE224" i="5"/>
  <c r="BE229" i="5" s="1"/>
  <c r="BC229" i="5"/>
  <c r="BA219" i="5"/>
  <c r="BC207" i="5"/>
  <c r="BA134" i="5"/>
  <c r="BA149" i="1" s="1"/>
  <c r="BC131" i="5"/>
  <c r="BA106" i="5"/>
  <c r="BA123" i="1" s="1"/>
  <c r="BC104" i="5"/>
  <c r="BA93" i="5"/>
  <c r="BA110" i="1" s="1"/>
  <c r="BC91" i="5"/>
  <c r="BA99" i="5"/>
  <c r="BA117" i="1" s="1"/>
  <c r="BC98" i="5"/>
  <c r="BA1055" i="5"/>
  <c r="BC47" i="5"/>
  <c r="BA16" i="7"/>
  <c r="R12" i="11"/>
  <c r="Z12" i="11" s="1"/>
  <c r="AW142" i="8"/>
  <c r="AQ204" i="8"/>
  <c r="AQ205" i="8" s="1"/>
  <c r="AQ207" i="8" s="1"/>
  <c r="AQ243" i="8"/>
  <c r="AO246" i="8"/>
  <c r="Q12" i="11"/>
  <c r="Y12" i="11" s="1"/>
  <c r="K12" i="11"/>
  <c r="F13" i="11"/>
  <c r="M13" i="11"/>
  <c r="U13" i="11" s="1"/>
  <c r="I45" i="11"/>
  <c r="K33" i="11"/>
  <c r="J42" i="11"/>
  <c r="J40" i="11"/>
  <c r="F90" i="9"/>
  <c r="AK1142" i="5"/>
  <c r="AK1089" i="5"/>
  <c r="AQ198" i="8"/>
  <c r="AQ199" i="8" s="1"/>
  <c r="AQ213" i="8" s="1"/>
  <c r="AO201" i="8"/>
  <c r="AY41" i="5"/>
  <c r="AY54" i="5"/>
  <c r="AY60" i="5" s="1"/>
  <c r="BA381" i="5"/>
  <c r="BC381" i="5" s="1"/>
  <c r="AY1059" i="5"/>
  <c r="T14" i="9" s="1"/>
  <c r="AM1139" i="5"/>
  <c r="H87" i="9" s="1"/>
  <c r="AW796" i="5"/>
  <c r="AU809" i="5"/>
  <c r="AU831" i="5" s="1"/>
  <c r="AS60" i="6"/>
  <c r="AS7" i="6" s="1"/>
  <c r="AS9" i="6" s="1"/>
  <c r="AS162" i="6"/>
  <c r="AQ109" i="6"/>
  <c r="AQ152" i="6" s="1"/>
  <c r="AQ156" i="6" s="1"/>
  <c r="AO199" i="6"/>
  <c r="AW188" i="6"/>
  <c r="AW189" i="6" s="1"/>
  <c r="AW12" i="6"/>
  <c r="AU225" i="6"/>
  <c r="AS226" i="6"/>
  <c r="AY96" i="6"/>
  <c r="AW169" i="6"/>
  <c r="AS107" i="6"/>
  <c r="AS168" i="6"/>
  <c r="AO205" i="6"/>
  <c r="AO207" i="6" s="1"/>
  <c r="AO249" i="6"/>
  <c r="AQ174" i="6"/>
  <c r="AQ196" i="6" s="1"/>
  <c r="AY150" i="6"/>
  <c r="AY184" i="6"/>
  <c r="AY187" i="6" s="1"/>
  <c r="BA149" i="6"/>
  <c r="BC149" i="6" s="1"/>
  <c r="AY78" i="6"/>
  <c r="AY82" i="6" s="1"/>
  <c r="AO16" i="6"/>
  <c r="AQ5" i="6" s="1"/>
  <c r="BA43" i="6"/>
  <c r="AY48" i="6"/>
  <c r="AY163" i="6" s="1"/>
  <c r="BA57" i="6"/>
  <c r="AY58" i="6"/>
  <c r="AY165" i="6" s="1"/>
  <c r="AU144" i="8"/>
  <c r="AU10" i="8" s="1"/>
  <c r="AU12" i="8" s="1"/>
  <c r="BA40" i="8"/>
  <c r="AQ15" i="6"/>
  <c r="AQ204" i="6" s="1"/>
  <c r="AO212" i="7"/>
  <c r="AO227" i="7" s="1"/>
  <c r="AO234" i="7" s="1"/>
  <c r="AQ182" i="7"/>
  <c r="AQ183" i="7" s="1"/>
  <c r="AQ197" i="7" s="1"/>
  <c r="AQ201" i="7" s="1"/>
  <c r="AO184" i="7"/>
  <c r="AO185" i="7" s="1"/>
  <c r="AW230" i="7"/>
  <c r="AU233" i="7"/>
  <c r="BA377" i="5"/>
  <c r="BC377" i="5" s="1"/>
  <c r="AY422" i="5"/>
  <c r="AW611" i="5"/>
  <c r="AU615" i="5"/>
  <c r="AU663" i="5" s="1"/>
  <c r="AY303" i="5"/>
  <c r="AY1054" i="5" s="1"/>
  <c r="T9" i="9" s="1"/>
  <c r="AW305" i="5"/>
  <c r="AW334" i="5" s="1"/>
  <c r="AO17" i="5"/>
  <c r="AY620" i="5"/>
  <c r="BA617" i="5"/>
  <c r="BA629" i="5"/>
  <c r="AY633" i="5"/>
  <c r="AY830" i="5"/>
  <c r="BA818" i="5"/>
  <c r="AY174" i="5"/>
  <c r="AW175" i="5"/>
  <c r="AW220" i="5" s="1"/>
  <c r="AW509" i="5"/>
  <c r="AW515" i="5" s="1"/>
  <c r="AY503" i="5"/>
  <c r="BA287" i="5"/>
  <c r="AY298" i="5"/>
  <c r="AY299" i="5" s="1"/>
  <c r="AY660" i="5"/>
  <c r="BA651" i="5"/>
  <c r="AY851" i="5"/>
  <c r="AY141" i="8"/>
  <c r="BA132" i="8"/>
  <c r="AW44" i="8"/>
  <c r="AY39" i="8"/>
  <c r="AS6" i="8"/>
  <c r="AS8" i="8" s="1"/>
  <c r="AS14" i="8" s="1"/>
  <c r="AW73" i="8"/>
  <c r="AW169" i="8" s="1"/>
  <c r="AW174" i="8" s="1"/>
  <c r="AW196" i="8" s="1"/>
  <c r="AY71" i="8"/>
  <c r="AY54" i="8"/>
  <c r="AY166" i="8" s="1"/>
  <c r="AW55" i="8"/>
  <c r="AU57" i="8"/>
  <c r="AU66" i="8" s="1"/>
  <c r="AY104" i="6"/>
  <c r="AW105" i="6"/>
  <c r="AW37" i="6"/>
  <c r="AU39" i="6"/>
  <c r="AS11" i="6"/>
  <c r="AS13" i="6" s="1"/>
  <c r="AY90" i="6"/>
  <c r="BA85" i="6"/>
  <c r="AW93" i="6"/>
  <c r="AU94" i="6"/>
  <c r="BA75" i="6"/>
  <c r="BC75" i="6" s="1"/>
  <c r="AY816" i="5"/>
  <c r="BA813" i="5"/>
  <c r="AW114" i="5"/>
  <c r="AW121" i="5" s="1"/>
  <c r="AY108" i="5"/>
  <c r="BA183" i="5"/>
  <c r="AW643" i="5"/>
  <c r="AY640" i="5"/>
  <c r="AU690" i="5"/>
  <c r="AW689" i="5"/>
  <c r="AW677" i="5"/>
  <c r="AU681" i="5"/>
  <c r="AY166" i="5"/>
  <c r="BA162" i="5"/>
  <c r="BA178" i="1" s="1"/>
  <c r="AY87" i="5"/>
  <c r="AY100" i="5" s="1"/>
  <c r="BA78" i="5"/>
  <c r="BA95" i="1" s="1"/>
  <c r="AY373" i="5"/>
  <c r="BA362" i="5"/>
  <c r="AY142" i="5"/>
  <c r="AY158" i="5" s="1"/>
  <c r="BA136" i="5"/>
  <c r="BA151" i="1" s="1"/>
  <c r="BA170" i="5"/>
  <c r="BA186" i="1" s="1"/>
  <c r="AY171" i="5"/>
  <c r="AS675" i="5"/>
  <c r="AU672" i="5"/>
  <c r="AW66" i="5"/>
  <c r="AW1057" i="5" s="1"/>
  <c r="R12" i="9" s="1"/>
  <c r="AU73" i="5"/>
  <c r="AU74" i="5" s="1"/>
  <c r="AW683" i="5"/>
  <c r="AU686" i="5"/>
  <c r="BA39" i="5"/>
  <c r="AY483" i="5"/>
  <c r="AY488" i="5" s="1"/>
  <c r="BA480" i="5"/>
  <c r="BA117" i="5"/>
  <c r="BA134" i="1" s="1"/>
  <c r="AY118" i="5"/>
  <c r="AY541" i="5"/>
  <c r="AY648" i="5"/>
  <c r="BA646" i="5"/>
  <c r="AY499" i="5"/>
  <c r="BA492" i="5"/>
  <c r="AY740" i="5"/>
  <c r="AW745" i="5"/>
  <c r="BA53" i="5"/>
  <c r="AY596" i="5"/>
  <c r="AJ442" i="4"/>
  <c r="AJ430" i="4"/>
  <c r="AM425" i="4"/>
  <c r="AM424" i="4"/>
  <c r="AM417" i="4"/>
  <c r="AM415" i="4"/>
  <c r="AM31" i="4"/>
  <c r="AM29" i="4"/>
  <c r="AM28" i="4"/>
  <c r="AM27" i="4"/>
  <c r="AM26" i="4"/>
  <c r="AM25" i="4"/>
  <c r="AM24" i="4"/>
  <c r="AM21" i="4"/>
  <c r="AM20" i="4"/>
  <c r="AM16" i="4"/>
  <c r="AQ218" i="8" l="1"/>
  <c r="AQ225" i="8" s="1"/>
  <c r="AQ240" i="8" s="1"/>
  <c r="F44" i="9"/>
  <c r="D51" i="9"/>
  <c r="BA90" i="6"/>
  <c r="BC85" i="6"/>
  <c r="BC172" i="6"/>
  <c r="BE75" i="6"/>
  <c r="BC150" i="6"/>
  <c r="BC188" i="6" s="1"/>
  <c r="BC184" i="6"/>
  <c r="BC187" i="6" s="1"/>
  <c r="BC189" i="6" s="1"/>
  <c r="BE149" i="6"/>
  <c r="BA48" i="6"/>
  <c r="BA163" i="6" s="1"/>
  <c r="BC43" i="6"/>
  <c r="BA58" i="6"/>
  <c r="BA165" i="6" s="1"/>
  <c r="BC57" i="6"/>
  <c r="BA1053" i="5"/>
  <c r="BC53" i="5"/>
  <c r="BA70" i="1"/>
  <c r="BA189" i="5"/>
  <c r="BA204" i="1" s="1"/>
  <c r="BA198" i="1"/>
  <c r="BA234" i="1"/>
  <c r="AO1095" i="5"/>
  <c r="AO1096" i="5" s="1"/>
  <c r="AO1098" i="5" s="1"/>
  <c r="AS777" i="5"/>
  <c r="AY1056" i="5"/>
  <c r="T11" i="9" s="1"/>
  <c r="BA541" i="5"/>
  <c r="V10" i="9"/>
  <c r="AM15" i="8"/>
  <c r="D57" i="9"/>
  <c r="D62" i="9"/>
  <c r="D69" i="9" s="1"/>
  <c r="D84" i="9" s="1"/>
  <c r="D91" i="9" s="1"/>
  <c r="AQ833" i="5"/>
  <c r="BC40" i="8"/>
  <c r="BA163" i="8"/>
  <c r="AS70" i="6"/>
  <c r="AS109" i="6" s="1"/>
  <c r="AS152" i="6" s="1"/>
  <c r="AS156" i="6" s="1"/>
  <c r="BA141" i="8"/>
  <c r="BA142" i="8" s="1"/>
  <c r="BC132" i="8"/>
  <c r="AY215" i="6"/>
  <c r="AW216" i="6"/>
  <c r="AY162" i="8"/>
  <c r="BA39" i="8"/>
  <c r="AQ1125" i="5"/>
  <c r="AQ1130" i="5" s="1"/>
  <c r="AQ1085" i="5"/>
  <c r="L39" i="9"/>
  <c r="L40" i="9" s="1"/>
  <c r="AQ246" i="6"/>
  <c r="AS174" i="6"/>
  <c r="AS196" i="6" s="1"/>
  <c r="BE42" i="8"/>
  <c r="BE164" i="8" s="1"/>
  <c r="BC164" i="8"/>
  <c r="AQ1075" i="5"/>
  <c r="AQ13" i="5"/>
  <c r="AQ1118" i="5"/>
  <c r="BA596" i="5"/>
  <c r="AS356" i="5"/>
  <c r="AS8" i="5"/>
  <c r="AS10" i="5" s="1"/>
  <c r="BC39" i="5"/>
  <c r="BC1053" i="5" s="1"/>
  <c r="J65" i="11"/>
  <c r="AU49" i="5"/>
  <c r="AU336" i="5" s="1"/>
  <c r="P8" i="9"/>
  <c r="AO213" i="6"/>
  <c r="BA816" i="5"/>
  <c r="BC813" i="5"/>
  <c r="BA830" i="5"/>
  <c r="BC818" i="5"/>
  <c r="BA648" i="5"/>
  <c r="BC646" i="5"/>
  <c r="BA660" i="5"/>
  <c r="BC651" i="5"/>
  <c r="BA620" i="5"/>
  <c r="BC617" i="5"/>
  <c r="BA633" i="5"/>
  <c r="BC629" i="5"/>
  <c r="BE545" i="5"/>
  <c r="BE549" i="5" s="1"/>
  <c r="BC549" i="5"/>
  <c r="BE552" i="5"/>
  <c r="BE558" i="5" s="1"/>
  <c r="BC558" i="5"/>
  <c r="BE538" i="5"/>
  <c r="BE540" i="5" s="1"/>
  <c r="BC540" i="5"/>
  <c r="BE521" i="5"/>
  <c r="BE536" i="5" s="1"/>
  <c r="BC536" i="5"/>
  <c r="BA499" i="5"/>
  <c r="BC492" i="5"/>
  <c r="BA483" i="5"/>
  <c r="BA488" i="5" s="1"/>
  <c r="BC480" i="5"/>
  <c r="BE459" i="5"/>
  <c r="BE468" i="5" s="1"/>
  <c r="BC468" i="5"/>
  <c r="BE485" i="5"/>
  <c r="BE487" i="5" s="1"/>
  <c r="BC487" i="5"/>
  <c r="BE381" i="5"/>
  <c r="BE1059" i="5" s="1"/>
  <c r="Z14" i="9" s="1"/>
  <c r="BC1059" i="5"/>
  <c r="X14" i="9" s="1"/>
  <c r="BA373" i="5"/>
  <c r="BC362" i="5"/>
  <c r="BE377" i="5"/>
  <c r="BE422" i="5" s="1"/>
  <c r="BC422" i="5"/>
  <c r="BE327" i="5"/>
  <c r="BE333" i="5" s="1"/>
  <c r="BC333" i="5"/>
  <c r="BE309" i="5"/>
  <c r="BE315" i="5" s="1"/>
  <c r="BC315" i="5"/>
  <c r="BA298" i="5"/>
  <c r="BA299" i="5" s="1"/>
  <c r="BC287" i="5"/>
  <c r="BC183" i="5"/>
  <c r="BC189" i="5" s="1"/>
  <c r="BA171" i="5"/>
  <c r="BA187" i="1" s="1"/>
  <c r="BC170" i="5"/>
  <c r="BA166" i="5"/>
  <c r="BA182" i="1" s="1"/>
  <c r="BC162" i="5"/>
  <c r="BE207" i="5"/>
  <c r="BE219" i="5" s="1"/>
  <c r="BC219" i="5"/>
  <c r="BE131" i="5"/>
  <c r="BE134" i="5" s="1"/>
  <c r="BC134" i="5"/>
  <c r="BA142" i="5"/>
  <c r="BC136" i="5"/>
  <c r="BE104" i="5"/>
  <c r="BE106" i="5" s="1"/>
  <c r="BC106" i="5"/>
  <c r="BA118" i="5"/>
  <c r="BA135" i="1" s="1"/>
  <c r="BC117" i="5"/>
  <c r="BE91" i="5"/>
  <c r="BE93" i="5" s="1"/>
  <c r="BC93" i="5"/>
  <c r="BE98" i="5"/>
  <c r="BE99" i="5" s="1"/>
  <c r="BC99" i="5"/>
  <c r="BA87" i="5"/>
  <c r="BC78" i="5"/>
  <c r="BE53" i="5"/>
  <c r="BE47" i="5"/>
  <c r="BE1055" i="5" s="1"/>
  <c r="BC1055" i="5"/>
  <c r="AU146" i="8"/>
  <c r="AU152" i="8" s="1"/>
  <c r="AU156" i="8" s="1"/>
  <c r="S12" i="11"/>
  <c r="AA12" i="11" s="1"/>
  <c r="AO247" i="8"/>
  <c r="AY142" i="8"/>
  <c r="AS204" i="8"/>
  <c r="AS205" i="8" s="1"/>
  <c r="AS207" i="8" s="1"/>
  <c r="AS243" i="8"/>
  <c r="AQ246" i="8"/>
  <c r="N13" i="11"/>
  <c r="V13" i="11" s="1"/>
  <c r="H13" i="11"/>
  <c r="J45" i="11"/>
  <c r="L33" i="11"/>
  <c r="BA1059" i="5"/>
  <c r="V14" i="9" s="1"/>
  <c r="K42" i="11"/>
  <c r="K40" i="11"/>
  <c r="AO1139" i="5"/>
  <c r="H90" i="9"/>
  <c r="AI1121" i="5"/>
  <c r="AQ201" i="8"/>
  <c r="BA54" i="5"/>
  <c r="BA41" i="5"/>
  <c r="AM1142" i="5"/>
  <c r="AQ5" i="5"/>
  <c r="AY796" i="5"/>
  <c r="AW809" i="5"/>
  <c r="AW831" i="5" s="1"/>
  <c r="BA150" i="6"/>
  <c r="BA184" i="6"/>
  <c r="BA187" i="6" s="1"/>
  <c r="AW225" i="6"/>
  <c r="AU226" i="6"/>
  <c r="AU107" i="6"/>
  <c r="AU11" i="6" s="1"/>
  <c r="AU13" i="6" s="1"/>
  <c r="AU168" i="6"/>
  <c r="AY188" i="6"/>
  <c r="AY189" i="6" s="1"/>
  <c r="AY12" i="6"/>
  <c r="BA96" i="6"/>
  <c r="AY169" i="6"/>
  <c r="BA172" i="6"/>
  <c r="AU60" i="6"/>
  <c r="AU70" i="6" s="1"/>
  <c r="AU162" i="6"/>
  <c r="BA78" i="6"/>
  <c r="BC78" i="6" s="1"/>
  <c r="BE78" i="6" s="1"/>
  <c r="AQ205" i="6"/>
  <c r="AQ207" i="6" s="1"/>
  <c r="AQ16" i="6"/>
  <c r="AS5" i="6" s="1"/>
  <c r="AW144" i="8"/>
  <c r="AW10" i="8" s="1"/>
  <c r="AW12" i="8" s="1"/>
  <c r="AW233" i="7"/>
  <c r="AY230" i="7"/>
  <c r="BA422" i="5"/>
  <c r="AY611" i="5"/>
  <c r="AW615" i="5"/>
  <c r="AW663" i="5" s="1"/>
  <c r="AY305" i="5"/>
  <c r="AY334" i="5" s="1"/>
  <c r="BA303" i="5"/>
  <c r="AY175" i="5"/>
  <c r="AY220" i="5" s="1"/>
  <c r="BA174" i="5"/>
  <c r="BA190" i="1" s="1"/>
  <c r="AY509" i="5"/>
  <c r="AY515" i="5" s="1"/>
  <c r="BA503" i="5"/>
  <c r="BA851" i="5"/>
  <c r="AW57" i="8"/>
  <c r="AW66" i="8" s="1"/>
  <c r="AU6" i="8"/>
  <c r="AU8" i="8" s="1"/>
  <c r="AU14" i="8" s="1"/>
  <c r="AU204" i="8" s="1"/>
  <c r="BA54" i="8"/>
  <c r="AY55" i="8"/>
  <c r="AY73" i="8"/>
  <c r="AY169" i="8" s="1"/>
  <c r="BA71" i="8"/>
  <c r="AY44" i="8"/>
  <c r="AS15" i="6"/>
  <c r="AY105" i="6"/>
  <c r="BA104" i="6"/>
  <c r="AW39" i="6"/>
  <c r="AY37" i="6"/>
  <c r="AY93" i="6"/>
  <c r="AW94" i="6"/>
  <c r="AW686" i="5"/>
  <c r="AY683" i="5"/>
  <c r="AY689" i="5"/>
  <c r="AW690" i="5"/>
  <c r="BA640" i="5"/>
  <c r="AY643" i="5"/>
  <c r="AY114" i="5"/>
  <c r="AY121" i="5" s="1"/>
  <c r="BA108" i="5"/>
  <c r="BA125" i="1" s="1"/>
  <c r="AW672" i="5"/>
  <c r="AU675" i="5"/>
  <c r="AU777" i="5" s="1"/>
  <c r="AW681" i="5"/>
  <c r="AY677" i="5"/>
  <c r="BA740" i="5"/>
  <c r="AY745" i="5"/>
  <c r="AY66" i="5"/>
  <c r="AY1057" i="5" s="1"/>
  <c r="T12" i="9" s="1"/>
  <c r="AW73" i="5"/>
  <c r="AW74" i="5" s="1"/>
  <c r="AL30" i="4"/>
  <c r="AM52" i="4"/>
  <c r="AM51" i="4"/>
  <c r="AM50" i="4"/>
  <c r="AM49" i="4"/>
  <c r="AM48" i="4"/>
  <c r="AM47" i="4"/>
  <c r="AM44" i="4"/>
  <c r="AK52" i="4"/>
  <c r="AK51" i="4"/>
  <c r="AK50" i="4"/>
  <c r="AK49" i="4"/>
  <c r="AK48" i="4"/>
  <c r="AK47" i="4"/>
  <c r="AK46" i="4"/>
  <c r="AK45" i="4"/>
  <c r="AK44" i="4"/>
  <c r="AK43" i="4"/>
  <c r="AJ53" i="4"/>
  <c r="AL53" i="4"/>
  <c r="AM63" i="4"/>
  <c r="AM62" i="4"/>
  <c r="AM61" i="4"/>
  <c r="AM60" i="4"/>
  <c r="AM59" i="4"/>
  <c r="AM57" i="4"/>
  <c r="AK63" i="4"/>
  <c r="AK62" i="4"/>
  <c r="AK61" i="4"/>
  <c r="AK60" i="4"/>
  <c r="AK59" i="4"/>
  <c r="AK58" i="4"/>
  <c r="AK57" i="4"/>
  <c r="AJ64" i="4"/>
  <c r="AL64" i="4"/>
  <c r="AM75" i="4"/>
  <c r="AM74" i="4"/>
  <c r="AM73" i="4"/>
  <c r="AM72" i="4"/>
  <c r="AM69" i="4"/>
  <c r="AM68" i="4"/>
  <c r="AM67" i="4"/>
  <c r="AK76" i="4"/>
  <c r="AK75" i="4"/>
  <c r="AK74" i="4"/>
  <c r="AK73" i="4"/>
  <c r="AK72" i="4"/>
  <c r="AK71" i="4"/>
  <c r="AK70" i="4"/>
  <c r="AK69" i="4"/>
  <c r="AK68" i="4"/>
  <c r="AK67" i="4"/>
  <c r="AJ77" i="4"/>
  <c r="AL77" i="4"/>
  <c r="AM90" i="4"/>
  <c r="AM88" i="4"/>
  <c r="AM87" i="4"/>
  <c r="AM86" i="4"/>
  <c r="AM85" i="4"/>
  <c r="AM84" i="4"/>
  <c r="AM83" i="4"/>
  <c r="AM82" i="4"/>
  <c r="AK90" i="4"/>
  <c r="AK89" i="4"/>
  <c r="AK88" i="4"/>
  <c r="AK87" i="4"/>
  <c r="AK86" i="4"/>
  <c r="AK85" i="4"/>
  <c r="AK84" i="4"/>
  <c r="AK83" i="4"/>
  <c r="AK82" i="4"/>
  <c r="AJ91" i="4"/>
  <c r="AL91" i="4"/>
  <c r="AM96" i="4"/>
  <c r="AM95" i="4"/>
  <c r="AM94" i="4"/>
  <c r="AK96" i="4"/>
  <c r="AK95" i="4"/>
  <c r="AK94" i="4"/>
  <c r="AJ97" i="4"/>
  <c r="AL97" i="4"/>
  <c r="AM101" i="4"/>
  <c r="AM100" i="4"/>
  <c r="AM99" i="4"/>
  <c r="AK101" i="4"/>
  <c r="AK100" i="4"/>
  <c r="AK99" i="4"/>
  <c r="AJ102" i="4"/>
  <c r="AL102" i="4"/>
  <c r="AM107" i="4"/>
  <c r="AM106" i="4"/>
  <c r="AK107" i="4"/>
  <c r="AK106" i="4"/>
  <c r="AJ108" i="4"/>
  <c r="AL108" i="4"/>
  <c r="AM116" i="4"/>
  <c r="AM114" i="4"/>
  <c r="AM113" i="4"/>
  <c r="AK117" i="4"/>
  <c r="AK116" i="4"/>
  <c r="AK115" i="4"/>
  <c r="AK114" i="4"/>
  <c r="AK113" i="4"/>
  <c r="AK112" i="4"/>
  <c r="AJ118" i="4"/>
  <c r="AL118" i="4"/>
  <c r="AM120" i="4"/>
  <c r="AK121" i="4"/>
  <c r="AK120" i="4"/>
  <c r="AM124" i="4"/>
  <c r="AK124" i="4"/>
  <c r="AJ122" i="4"/>
  <c r="AL122" i="4"/>
  <c r="AM129" i="4"/>
  <c r="AM128" i="4"/>
  <c r="AM127" i="4"/>
  <c r="AK129" i="4"/>
  <c r="AK128" i="4"/>
  <c r="AK127" i="4"/>
  <c r="AJ130" i="4"/>
  <c r="AL130" i="4"/>
  <c r="AM135" i="4"/>
  <c r="AM134" i="4"/>
  <c r="AK135" i="4"/>
  <c r="AK134" i="4"/>
  <c r="AK133" i="4"/>
  <c r="AJ136" i="4"/>
  <c r="AL136" i="4"/>
  <c r="AM142" i="4"/>
  <c r="AM141" i="4"/>
  <c r="AM140" i="4"/>
  <c r="AM139" i="4"/>
  <c r="AM138" i="4"/>
  <c r="AK143" i="4"/>
  <c r="AK142" i="4"/>
  <c r="AK141" i="4"/>
  <c r="AK140" i="4"/>
  <c r="AK139" i="4"/>
  <c r="AK138" i="4"/>
  <c r="AJ144" i="4"/>
  <c r="AL144" i="4"/>
  <c r="AL155" i="4"/>
  <c r="AJ155" i="4"/>
  <c r="AM154" i="4"/>
  <c r="AM153" i="4"/>
  <c r="AM151" i="4"/>
  <c r="AM149" i="4"/>
  <c r="AK154" i="4"/>
  <c r="AK153" i="4"/>
  <c r="AK152" i="4"/>
  <c r="AK151" i="4"/>
  <c r="AK150" i="4"/>
  <c r="AK149" i="4"/>
  <c r="AK148" i="4"/>
  <c r="AK147" i="4"/>
  <c r="AK146" i="4"/>
  <c r="AM157" i="4"/>
  <c r="AK157" i="4"/>
  <c r="AK159" i="4"/>
  <c r="AM166" i="4"/>
  <c r="AM165" i="4"/>
  <c r="AM164" i="4"/>
  <c r="AM163" i="4"/>
  <c r="AK166" i="4"/>
  <c r="AK165" i="4"/>
  <c r="AK164" i="4"/>
  <c r="AK163" i="4"/>
  <c r="AK171" i="4"/>
  <c r="AK170" i="4"/>
  <c r="AK169" i="4"/>
  <c r="AM171" i="4"/>
  <c r="AM170" i="4"/>
  <c r="AM169" i="4"/>
  <c r="AM174" i="4"/>
  <c r="AK175" i="4"/>
  <c r="AK174" i="4"/>
  <c r="AJ167" i="4"/>
  <c r="AL167" i="4"/>
  <c r="AJ172" i="4"/>
  <c r="AL172" i="4"/>
  <c r="AJ176" i="4"/>
  <c r="AL176" i="4"/>
  <c r="AM178" i="4"/>
  <c r="AK178" i="4"/>
  <c r="AM188" i="4"/>
  <c r="AM187" i="4"/>
  <c r="AM186" i="4"/>
  <c r="AM185" i="4"/>
  <c r="AM184" i="4"/>
  <c r="AM183" i="4"/>
  <c r="AM182" i="4"/>
  <c r="AM181" i="4"/>
  <c r="AM180" i="4"/>
  <c r="AK188" i="4"/>
  <c r="AK187" i="4"/>
  <c r="AK186" i="4"/>
  <c r="AK185" i="4"/>
  <c r="AK184" i="4"/>
  <c r="AK183" i="4"/>
  <c r="AK182" i="4"/>
  <c r="AK181" i="4"/>
  <c r="AK180" i="4"/>
  <c r="AM195" i="4"/>
  <c r="AM194" i="4"/>
  <c r="AM193" i="4"/>
  <c r="AM192" i="4"/>
  <c r="AM191" i="4"/>
  <c r="AK195" i="4"/>
  <c r="AK194" i="4"/>
  <c r="AK193" i="4"/>
  <c r="AK192" i="4"/>
  <c r="AK191" i="4"/>
  <c r="AJ189" i="4"/>
  <c r="AL189" i="4"/>
  <c r="AJ196" i="4"/>
  <c r="AL196" i="4"/>
  <c r="AM220" i="4"/>
  <c r="AM219" i="4"/>
  <c r="AM218" i="4"/>
  <c r="AM217" i="4"/>
  <c r="AM216" i="4"/>
  <c r="AM215" i="4"/>
  <c r="AM214" i="4"/>
  <c r="AM213" i="4"/>
  <c r="AM212" i="4"/>
  <c r="AM211" i="4"/>
  <c r="AM210" i="4"/>
  <c r="AM209" i="4"/>
  <c r="AM208" i="4"/>
  <c r="AM207" i="4"/>
  <c r="AM206" i="4"/>
  <c r="AM205" i="4"/>
  <c r="AM204" i="4"/>
  <c r="AM203" i="4"/>
  <c r="AM202" i="4"/>
  <c r="AM199" i="4"/>
  <c r="AM198" i="4"/>
  <c r="AK220" i="4"/>
  <c r="AK219" i="4"/>
  <c r="AK218" i="4"/>
  <c r="AK217" i="4"/>
  <c r="AK216" i="4"/>
  <c r="AK215" i="4"/>
  <c r="AK214" i="4"/>
  <c r="AK213" i="4"/>
  <c r="AK212" i="4"/>
  <c r="AK211" i="4"/>
  <c r="AK210" i="4"/>
  <c r="AK209" i="4"/>
  <c r="AK208" i="4"/>
  <c r="AK207" i="4"/>
  <c r="AK206" i="4"/>
  <c r="AK205" i="4"/>
  <c r="AK204" i="4"/>
  <c r="AK203" i="4"/>
  <c r="AK202" i="4"/>
  <c r="AK199" i="4"/>
  <c r="AK198" i="4"/>
  <c r="AM232" i="4"/>
  <c r="AM231" i="4"/>
  <c r="AM230" i="4"/>
  <c r="AM229" i="4"/>
  <c r="AM228" i="4"/>
  <c r="AK232" i="4"/>
  <c r="AK231" i="4"/>
  <c r="AK230" i="4"/>
  <c r="AK229" i="4"/>
  <c r="AK228" i="4"/>
  <c r="AJ221" i="4"/>
  <c r="AL221" i="4"/>
  <c r="AM236" i="4"/>
  <c r="AM241" i="4"/>
  <c r="AM240" i="4"/>
  <c r="AM239" i="4"/>
  <c r="AM238" i="4"/>
  <c r="AK236" i="4"/>
  <c r="AK241" i="4"/>
  <c r="AK240" i="4"/>
  <c r="AK239" i="4"/>
  <c r="AK238" i="4"/>
  <c r="AJ233" i="4"/>
  <c r="AL233" i="4"/>
  <c r="AM246" i="4"/>
  <c r="AM245" i="4"/>
  <c r="AM244" i="4"/>
  <c r="AM250" i="4"/>
  <c r="AM249" i="4"/>
  <c r="AK246" i="4"/>
  <c r="AK245" i="4"/>
  <c r="AK244" i="4"/>
  <c r="AK250" i="4"/>
  <c r="AK249" i="4"/>
  <c r="AJ242" i="4"/>
  <c r="AL242" i="4"/>
  <c r="AM267" i="4"/>
  <c r="AM266" i="4"/>
  <c r="AM265" i="4"/>
  <c r="AM264" i="4"/>
  <c r="AM263" i="4"/>
  <c r="AM262" i="4"/>
  <c r="AM261" i="4"/>
  <c r="AM260" i="4"/>
  <c r="AM259" i="4"/>
  <c r="AM258" i="4"/>
  <c r="AM257" i="4"/>
  <c r="AM256" i="4"/>
  <c r="AM255" i="4"/>
  <c r="AM254" i="4"/>
  <c r="AM253" i="4"/>
  <c r="AK267" i="4"/>
  <c r="AK266" i="4"/>
  <c r="AK265" i="4"/>
  <c r="AK264" i="4"/>
  <c r="AK263" i="4"/>
  <c r="AK262" i="4"/>
  <c r="AK261" i="4"/>
  <c r="AK260" i="4"/>
  <c r="AK259" i="4"/>
  <c r="AK258" i="4"/>
  <c r="AK257" i="4"/>
  <c r="AK256" i="4"/>
  <c r="AK255" i="4"/>
  <c r="AK254" i="4"/>
  <c r="AK253" i="4"/>
  <c r="AJ247" i="4"/>
  <c r="AL247" i="4"/>
  <c r="AJ251" i="4"/>
  <c r="AL251" i="4"/>
  <c r="AJ268" i="4"/>
  <c r="AL268" i="4"/>
  <c r="AM300" i="4"/>
  <c r="AM299" i="4"/>
  <c r="AM298" i="4"/>
  <c r="AM297" i="4"/>
  <c r="AM296" i="4"/>
  <c r="AM295" i="4"/>
  <c r="AM294" i="4"/>
  <c r="AM293" i="4"/>
  <c r="AM292" i="4"/>
  <c r="AM291" i="4"/>
  <c r="AM289" i="4"/>
  <c r="AM288" i="4"/>
  <c r="AM287" i="4"/>
  <c r="AM286" i="4"/>
  <c r="AM285" i="4"/>
  <c r="AM284" i="4"/>
  <c r="AM283" i="4"/>
  <c r="AM282" i="4"/>
  <c r="AM281" i="4"/>
  <c r="AM280" i="4"/>
  <c r="AM279" i="4"/>
  <c r="AM278" i="4"/>
  <c r="AM277" i="4"/>
  <c r="AM276" i="4"/>
  <c r="AM275" i="4"/>
  <c r="AM274" i="4"/>
  <c r="AM273" i="4"/>
  <c r="AM272" i="4"/>
  <c r="AM271" i="4"/>
  <c r="AM270" i="4"/>
  <c r="AK300" i="4"/>
  <c r="AK299" i="4"/>
  <c r="AK298" i="4"/>
  <c r="AK297" i="4"/>
  <c r="AK296" i="4"/>
  <c r="AK295" i="4"/>
  <c r="AK294" i="4"/>
  <c r="AK293" i="4"/>
  <c r="AK292" i="4"/>
  <c r="AK291" i="4"/>
  <c r="AK290" i="4"/>
  <c r="AK289" i="4"/>
  <c r="AK288" i="4"/>
  <c r="AK287" i="4"/>
  <c r="AK286" i="4"/>
  <c r="AK285" i="4"/>
  <c r="AK284" i="4"/>
  <c r="AK283" i="4"/>
  <c r="AK282" i="4"/>
  <c r="AK281" i="4"/>
  <c r="AK280" i="4"/>
  <c r="AK279" i="4"/>
  <c r="AK278" i="4"/>
  <c r="AK277" i="4"/>
  <c r="AK276" i="4"/>
  <c r="AK275" i="4"/>
  <c r="AK274" i="4"/>
  <c r="AK273" i="4"/>
  <c r="AK272" i="4"/>
  <c r="AK271" i="4"/>
  <c r="AK270" i="4"/>
  <c r="AM306" i="4"/>
  <c r="AK306" i="4"/>
  <c r="AK305" i="4"/>
  <c r="AJ301" i="4"/>
  <c r="AL301" i="4"/>
  <c r="AM316" i="4"/>
  <c r="AM315" i="4"/>
  <c r="AM314" i="4"/>
  <c r="AM313" i="4"/>
  <c r="AM312" i="4"/>
  <c r="AM311" i="4"/>
  <c r="AM310" i="4"/>
  <c r="AM309" i="4"/>
  <c r="AK316" i="4"/>
  <c r="AK315" i="4"/>
  <c r="AK314" i="4"/>
  <c r="AK313" i="4"/>
  <c r="AK312" i="4"/>
  <c r="AK311" i="4"/>
  <c r="AK310" i="4"/>
  <c r="AK309" i="4"/>
  <c r="AM322" i="4"/>
  <c r="AM321" i="4"/>
  <c r="AM320" i="4"/>
  <c r="AM319" i="4"/>
  <c r="AK322" i="4"/>
  <c r="AK321" i="4"/>
  <c r="AK320" i="4"/>
  <c r="AK319" i="4"/>
  <c r="AJ307" i="4"/>
  <c r="AL307" i="4"/>
  <c r="AJ317" i="4"/>
  <c r="AL317" i="4"/>
  <c r="AJ323" i="4"/>
  <c r="AL323" i="4"/>
  <c r="AM326" i="4"/>
  <c r="AM333" i="4"/>
  <c r="AM332" i="4"/>
  <c r="AM331" i="4"/>
  <c r="AM330" i="4"/>
  <c r="AM328" i="4"/>
  <c r="AM327" i="4"/>
  <c r="AK334" i="4"/>
  <c r="AK333" i="4"/>
  <c r="AK332" i="4"/>
  <c r="AK331" i="4"/>
  <c r="AK330" i="4"/>
  <c r="AK329" i="4"/>
  <c r="AK328" i="4"/>
  <c r="AK327" i="4"/>
  <c r="AK326" i="4"/>
  <c r="AJ335" i="4"/>
  <c r="AL335" i="4"/>
  <c r="AM356" i="4"/>
  <c r="AM355" i="4"/>
  <c r="AM354" i="4"/>
  <c r="AM353" i="4"/>
  <c r="AM352" i="4"/>
  <c r="AM351" i="4"/>
  <c r="AM350" i="4"/>
  <c r="AM349" i="4"/>
  <c r="AM348" i="4"/>
  <c r="AM347" i="4"/>
  <c r="AM346" i="4"/>
  <c r="AM345" i="4"/>
  <c r="AM344" i="4"/>
  <c r="AM343" i="4"/>
  <c r="AK356" i="4"/>
  <c r="AK355" i="4"/>
  <c r="AK354" i="4"/>
  <c r="AK353" i="4"/>
  <c r="AK352" i="4"/>
  <c r="AK351" i="4"/>
  <c r="AK350" i="4"/>
  <c r="AK349" i="4"/>
  <c r="AK348" i="4"/>
  <c r="AK347" i="4"/>
  <c r="AK346" i="4"/>
  <c r="AK345" i="4"/>
  <c r="AK344" i="4"/>
  <c r="AK343" i="4"/>
  <c r="AJ357" i="4"/>
  <c r="AL357" i="4"/>
  <c r="AL14" i="4" s="1"/>
  <c r="AM371" i="4"/>
  <c r="AM370" i="4"/>
  <c r="AM369" i="4"/>
  <c r="AM368" i="4"/>
  <c r="AM367" i="4"/>
  <c r="AM366" i="4"/>
  <c r="AK374" i="4"/>
  <c r="AK373" i="4"/>
  <c r="AK372" i="4"/>
  <c r="AK371" i="4"/>
  <c r="AK370" i="4"/>
  <c r="AK369" i="4"/>
  <c r="AK368" i="4"/>
  <c r="AK367" i="4"/>
  <c r="AK366" i="4"/>
  <c r="AK365" i="4"/>
  <c r="AK364" i="4"/>
  <c r="AJ375" i="4"/>
  <c r="AL375" i="4"/>
  <c r="AM412" i="4"/>
  <c r="AM405" i="4"/>
  <c r="AM404" i="4"/>
  <c r="AM401" i="4"/>
  <c r="AM400" i="4"/>
  <c r="AM399" i="4"/>
  <c r="AM397" i="4"/>
  <c r="AM395" i="4"/>
  <c r="AM392" i="4"/>
  <c r="AM391" i="4"/>
  <c r="AM390" i="4"/>
  <c r="AM389" i="4"/>
  <c r="AM388" i="4"/>
  <c r="AM387" i="4"/>
  <c r="AM386" i="4"/>
  <c r="AM385" i="4"/>
  <c r="AM384" i="4"/>
  <c r="AM382" i="4"/>
  <c r="AM381" i="4"/>
  <c r="AM380" i="4"/>
  <c r="AK412" i="4"/>
  <c r="AK411" i="4"/>
  <c r="AK410" i="4"/>
  <c r="AK409" i="4"/>
  <c r="AK408" i="4"/>
  <c r="AK407" i="4"/>
  <c r="AK406" i="4"/>
  <c r="AK405" i="4"/>
  <c r="AK404" i="4"/>
  <c r="AK403" i="4"/>
  <c r="AK402" i="4"/>
  <c r="AK401" i="4"/>
  <c r="AK400" i="4"/>
  <c r="AK399" i="4"/>
  <c r="AK398" i="4"/>
  <c r="AK397" i="4"/>
  <c r="AK396" i="4"/>
  <c r="AK395" i="4"/>
  <c r="AK394" i="4"/>
  <c r="AK393" i="4"/>
  <c r="AK392" i="4"/>
  <c r="AK391" i="4"/>
  <c r="AK390" i="4"/>
  <c r="AK389" i="4"/>
  <c r="AK388" i="4"/>
  <c r="AK387" i="4"/>
  <c r="AK386" i="4"/>
  <c r="AK385" i="4"/>
  <c r="AK384" i="4"/>
  <c r="AK383" i="4"/>
  <c r="AK382" i="4"/>
  <c r="AK381" i="4"/>
  <c r="AK380" i="4"/>
  <c r="AJ426" i="4"/>
  <c r="AL426" i="4"/>
  <c r="AM430" i="4"/>
  <c r="AM457" i="4"/>
  <c r="AM455" i="4"/>
  <c r="AM453" i="4"/>
  <c r="AM452" i="4"/>
  <c r="AM450" i="4"/>
  <c r="AM449" i="4"/>
  <c r="AM448" i="4"/>
  <c r="AM444" i="4"/>
  <c r="AM443" i="4"/>
  <c r="AM442" i="4"/>
  <c r="AM440" i="4"/>
  <c r="AM435" i="4"/>
  <c r="AM434" i="4"/>
  <c r="AM433" i="4"/>
  <c r="AM432" i="4"/>
  <c r="AM431" i="4"/>
  <c r="AK459" i="4"/>
  <c r="AK458" i="4"/>
  <c r="AK457" i="4"/>
  <c r="AK456" i="4"/>
  <c r="AK455" i="4"/>
  <c r="AK454" i="4"/>
  <c r="AK453" i="4"/>
  <c r="AK452" i="4"/>
  <c r="AK451" i="4"/>
  <c r="AK450" i="4"/>
  <c r="AK449" i="4"/>
  <c r="AK448" i="4"/>
  <c r="AK447" i="4"/>
  <c r="AK446" i="4"/>
  <c r="AK445" i="4"/>
  <c r="AK444" i="4"/>
  <c r="AK443" i="4"/>
  <c r="AK442" i="4"/>
  <c r="AK441" i="4"/>
  <c r="AK440" i="4"/>
  <c r="AK439" i="4"/>
  <c r="AK438" i="4"/>
  <c r="AK437" i="4"/>
  <c r="AK436" i="4"/>
  <c r="AK435" i="4"/>
  <c r="AK434" i="4"/>
  <c r="AK433" i="4"/>
  <c r="AK432" i="4"/>
  <c r="AK431" i="4"/>
  <c r="AK430" i="4"/>
  <c r="AM472" i="4"/>
  <c r="AM471" i="4"/>
  <c r="AM470" i="4"/>
  <c r="AM469" i="4"/>
  <c r="AM468" i="4"/>
  <c r="AM464" i="4"/>
  <c r="AK472" i="4"/>
  <c r="AK471" i="4"/>
  <c r="AK470" i="4"/>
  <c r="AK469" i="4"/>
  <c r="AK468" i="4"/>
  <c r="AK467" i="4"/>
  <c r="AK466" i="4"/>
  <c r="AK465" i="4"/>
  <c r="AK464" i="4"/>
  <c r="AJ460" i="4"/>
  <c r="AL460" i="4"/>
  <c r="AM479" i="4"/>
  <c r="AM476" i="4"/>
  <c r="AM475" i="4"/>
  <c r="AK481" i="4"/>
  <c r="AK480" i="4"/>
  <c r="AK479" i="4"/>
  <c r="AK478" i="4"/>
  <c r="AK477" i="4"/>
  <c r="AK476" i="4"/>
  <c r="AK475" i="4"/>
  <c r="AJ473" i="4"/>
  <c r="AL473" i="4"/>
  <c r="AM484" i="4"/>
  <c r="AK487" i="4"/>
  <c r="AK486" i="4"/>
  <c r="AK485" i="4"/>
  <c r="AK484" i="4"/>
  <c r="AJ482" i="4"/>
  <c r="AL482" i="4"/>
  <c r="AJ488" i="4"/>
  <c r="AL488" i="4"/>
  <c r="AM491" i="4"/>
  <c r="AM490" i="4"/>
  <c r="AK491" i="4"/>
  <c r="AK490" i="4"/>
  <c r="AJ492" i="4"/>
  <c r="AL492" i="4"/>
  <c r="AM502" i="4"/>
  <c r="AM499" i="4"/>
  <c r="AM498" i="4"/>
  <c r="AM496" i="4"/>
  <c r="AK502" i="4"/>
  <c r="AK501" i="4"/>
  <c r="AK500" i="4"/>
  <c r="AK499" i="4"/>
  <c r="AK498" i="4"/>
  <c r="AK497" i="4"/>
  <c r="AK496" i="4"/>
  <c r="AK505" i="4"/>
  <c r="AJ503" i="4"/>
  <c r="AL503" i="4"/>
  <c r="AM508" i="4"/>
  <c r="AK512" i="4"/>
  <c r="AK511" i="4"/>
  <c r="AK510" i="4"/>
  <c r="AK509" i="4"/>
  <c r="AK508" i="4"/>
  <c r="AK507" i="4"/>
  <c r="AM517" i="4"/>
  <c r="AM516" i="4"/>
  <c r="AM515" i="4"/>
  <c r="AK517" i="4"/>
  <c r="AK516" i="4"/>
  <c r="AK515" i="4"/>
  <c r="AJ513" i="4"/>
  <c r="AL513" i="4"/>
  <c r="AM538" i="4"/>
  <c r="AM532" i="4"/>
  <c r="AM528" i="4"/>
  <c r="AM527" i="4"/>
  <c r="AM526" i="4"/>
  <c r="AM525" i="4"/>
  <c r="AM523" i="4"/>
  <c r="AM522" i="4"/>
  <c r="AK538" i="4"/>
  <c r="AK537" i="4"/>
  <c r="AK536" i="4"/>
  <c r="AK535" i="4"/>
  <c r="AK534" i="4"/>
  <c r="AK533" i="4"/>
  <c r="AK532" i="4"/>
  <c r="AK531" i="4"/>
  <c r="AK530" i="4"/>
  <c r="AK529" i="4"/>
  <c r="AK528" i="4"/>
  <c r="AK527" i="4"/>
  <c r="AK526" i="4"/>
  <c r="AK525" i="4"/>
  <c r="AK524" i="4"/>
  <c r="AK523" i="4"/>
  <c r="AK522" i="4"/>
  <c r="AJ518" i="4"/>
  <c r="AL518" i="4"/>
  <c r="AM544" i="4"/>
  <c r="AK544" i="4"/>
  <c r="AK543" i="4"/>
  <c r="AJ539" i="4"/>
  <c r="AL539" i="4"/>
  <c r="AJ545" i="4"/>
  <c r="AL545" i="4"/>
  <c r="AM552" i="4"/>
  <c r="AM551" i="4"/>
  <c r="AM550" i="4"/>
  <c r="AK552" i="4"/>
  <c r="AK551" i="4"/>
  <c r="AK550" i="4"/>
  <c r="AK549" i="4"/>
  <c r="AJ553" i="4"/>
  <c r="AL553" i="4"/>
  <c r="AM561" i="4"/>
  <c r="AM555" i="4"/>
  <c r="AK561" i="4"/>
  <c r="AK560" i="4"/>
  <c r="AK559" i="4"/>
  <c r="AK558" i="4"/>
  <c r="AK557" i="4"/>
  <c r="AK556" i="4"/>
  <c r="AK555" i="4"/>
  <c r="AJ562" i="4"/>
  <c r="AL562" i="4"/>
  <c r="AM583" i="4"/>
  <c r="AM582" i="4"/>
  <c r="AM581" i="4"/>
  <c r="AM580" i="4"/>
  <c r="AK583" i="4"/>
  <c r="AK582" i="4"/>
  <c r="AK581" i="4"/>
  <c r="AK580" i="4"/>
  <c r="AK579" i="4"/>
  <c r="AK578" i="4"/>
  <c r="AK577" i="4"/>
  <c r="AK576" i="4"/>
  <c r="AK575" i="4"/>
  <c r="AK574" i="4"/>
  <c r="AK573" i="4"/>
  <c r="AK572" i="4"/>
  <c r="AK571" i="4"/>
  <c r="AK570" i="4"/>
  <c r="AK569" i="4"/>
  <c r="AK568" i="4"/>
  <c r="AK567" i="4"/>
  <c r="AK566" i="4"/>
  <c r="AK565" i="4"/>
  <c r="AK564" i="4"/>
  <c r="AK586" i="4"/>
  <c r="AM589" i="4"/>
  <c r="AM590" i="4" s="1"/>
  <c r="AM588" i="4"/>
  <c r="AK589" i="4"/>
  <c r="AK590" i="4" s="1"/>
  <c r="AK588" i="4"/>
  <c r="AM592" i="4"/>
  <c r="AK592" i="4"/>
  <c r="AK594" i="4"/>
  <c r="AK596" i="4"/>
  <c r="AK599" i="4"/>
  <c r="AK598" i="4"/>
  <c r="AJ584" i="4"/>
  <c r="AL584" i="4"/>
  <c r="AJ590" i="4"/>
  <c r="AL590" i="4"/>
  <c r="AM616" i="4"/>
  <c r="AM604" i="4"/>
  <c r="AM603" i="4"/>
  <c r="AK617" i="4"/>
  <c r="AK616" i="4"/>
  <c r="AK615" i="4"/>
  <c r="AK614" i="4"/>
  <c r="AK613" i="4"/>
  <c r="AK612" i="4"/>
  <c r="AK611" i="4"/>
  <c r="AK610" i="4"/>
  <c r="AK609" i="4"/>
  <c r="AK608" i="4"/>
  <c r="AK607" i="4"/>
  <c r="AK606" i="4"/>
  <c r="AK605" i="4"/>
  <c r="AK604" i="4"/>
  <c r="AK603" i="4"/>
  <c r="AM622" i="4"/>
  <c r="AM621" i="4"/>
  <c r="AM620" i="4"/>
  <c r="AK622" i="4"/>
  <c r="AK621" i="4"/>
  <c r="AK620" i="4"/>
  <c r="AJ618" i="4"/>
  <c r="AL618" i="4"/>
  <c r="AM629" i="4"/>
  <c r="AM628" i="4"/>
  <c r="AM627" i="4"/>
  <c r="AM626" i="4"/>
  <c r="AM625" i="4"/>
  <c r="AK629" i="4"/>
  <c r="AK628" i="4"/>
  <c r="AK627" i="4"/>
  <c r="AK626" i="4"/>
  <c r="AK625" i="4"/>
  <c r="AJ623" i="4"/>
  <c r="AL623" i="4"/>
  <c r="AJ630" i="4"/>
  <c r="AL630" i="4"/>
  <c r="AM635" i="4"/>
  <c r="AM634" i="4"/>
  <c r="AM633" i="4"/>
  <c r="AM632" i="4"/>
  <c r="AK635" i="4"/>
  <c r="AK634" i="4"/>
  <c r="AK633" i="4"/>
  <c r="AK632" i="4"/>
  <c r="AJ636" i="4"/>
  <c r="AL636" i="4"/>
  <c r="AM645" i="4"/>
  <c r="AM642" i="4"/>
  <c r="AM641" i="4"/>
  <c r="AM640" i="4"/>
  <c r="AM639" i="4"/>
  <c r="AM638" i="4"/>
  <c r="AK645" i="4"/>
  <c r="AK644" i="4"/>
  <c r="AK643" i="4"/>
  <c r="AK642" i="4"/>
  <c r="AK641" i="4"/>
  <c r="AK640" i="4"/>
  <c r="AK639" i="4"/>
  <c r="AK638" i="4"/>
  <c r="AM650" i="4"/>
  <c r="AM649" i="4"/>
  <c r="AM648" i="4"/>
  <c r="AK648" i="4"/>
  <c r="AK649" i="4"/>
  <c r="AK650" i="4"/>
  <c r="AJ646" i="4"/>
  <c r="AL646" i="4"/>
  <c r="AJ651" i="4"/>
  <c r="AL651" i="4"/>
  <c r="AK670" i="4"/>
  <c r="AM663" i="4"/>
  <c r="AM662" i="4"/>
  <c r="AM661" i="4"/>
  <c r="AM660" i="4"/>
  <c r="AM659" i="4"/>
  <c r="AM658" i="4"/>
  <c r="AM657" i="4"/>
  <c r="AM656" i="4"/>
  <c r="AM655" i="4"/>
  <c r="AK663" i="4"/>
  <c r="AK662" i="4"/>
  <c r="AK661" i="4"/>
  <c r="AK660" i="4"/>
  <c r="AK659" i="4"/>
  <c r="AK658" i="4"/>
  <c r="AK657" i="4"/>
  <c r="AK656" i="4"/>
  <c r="AK655" i="4"/>
  <c r="AK676" i="4"/>
  <c r="AK675" i="4"/>
  <c r="AK674" i="4"/>
  <c r="AM676" i="4"/>
  <c r="AM675" i="4"/>
  <c r="AM682" i="4"/>
  <c r="AM681" i="4"/>
  <c r="AM680" i="4"/>
  <c r="AK682" i="4"/>
  <c r="AK681" i="4"/>
  <c r="AK680" i="4"/>
  <c r="AK679" i="4"/>
  <c r="AK687" i="4"/>
  <c r="AK686" i="4"/>
  <c r="AK685" i="4"/>
  <c r="AM687" i="4"/>
  <c r="AM686" i="4"/>
  <c r="AM690" i="4"/>
  <c r="AK691" i="4"/>
  <c r="AK690" i="4"/>
  <c r="AM694" i="4"/>
  <c r="AK694" i="4"/>
  <c r="AJ664" i="4"/>
  <c r="AL664" i="4"/>
  <c r="AJ677" i="4"/>
  <c r="AL677" i="4"/>
  <c r="AJ683" i="4"/>
  <c r="AL683" i="4"/>
  <c r="AJ688" i="4"/>
  <c r="AL688" i="4"/>
  <c r="AJ692" i="4"/>
  <c r="AL692" i="4"/>
  <c r="AM714" i="4"/>
  <c r="AM713" i="4"/>
  <c r="AM712" i="4"/>
  <c r="AM711" i="4"/>
  <c r="AM710" i="4"/>
  <c r="AM709" i="4"/>
  <c r="AM708" i="4"/>
  <c r="AM707" i="4"/>
  <c r="AM705" i="4"/>
  <c r="AM704" i="4"/>
  <c r="AM702" i="4"/>
  <c r="AM701" i="4"/>
  <c r="AM700" i="4"/>
  <c r="AM698" i="4"/>
  <c r="AM697" i="4"/>
  <c r="AM696" i="4"/>
  <c r="AK714" i="4"/>
  <c r="AK713" i="4"/>
  <c r="AK712" i="4"/>
  <c r="AK711" i="4"/>
  <c r="AK710" i="4"/>
  <c r="AK709" i="4"/>
  <c r="AK708" i="4"/>
  <c r="AK707" i="4"/>
  <c r="AK706" i="4"/>
  <c r="AK705" i="4"/>
  <c r="AK704" i="4"/>
  <c r="AK703" i="4"/>
  <c r="AK702" i="4"/>
  <c r="AK701" i="4"/>
  <c r="AK700" i="4"/>
  <c r="AK699" i="4"/>
  <c r="AK698" i="4"/>
  <c r="AK697" i="4"/>
  <c r="AK696" i="4"/>
  <c r="AJ715" i="4"/>
  <c r="AL715" i="4"/>
  <c r="AM745" i="4"/>
  <c r="AM743" i="4"/>
  <c r="AM741" i="4"/>
  <c r="AM740" i="4"/>
  <c r="AM739" i="4"/>
  <c r="AM738" i="4"/>
  <c r="AM737" i="4"/>
  <c r="AM736" i="4"/>
  <c r="AM735" i="4"/>
  <c r="AM734" i="4"/>
  <c r="AM733" i="4"/>
  <c r="AM732" i="4"/>
  <c r="AM731" i="4"/>
  <c r="AM730" i="4"/>
  <c r="AM729" i="4"/>
  <c r="AM728" i="4"/>
  <c r="AM727" i="4"/>
  <c r="AM726" i="4"/>
  <c r="AM725" i="4"/>
  <c r="AM724" i="4"/>
  <c r="AM723" i="4"/>
  <c r="AM722" i="4"/>
  <c r="AM721" i="4"/>
  <c r="AM720" i="4"/>
  <c r="AM719" i="4"/>
  <c r="AM718" i="4"/>
  <c r="AM717" i="4"/>
  <c r="AK746" i="4"/>
  <c r="AK745" i="4"/>
  <c r="AK744" i="4"/>
  <c r="AK743" i="4"/>
  <c r="AK742" i="4"/>
  <c r="AK741" i="4"/>
  <c r="AK740" i="4"/>
  <c r="AK739" i="4"/>
  <c r="AK738" i="4"/>
  <c r="AK737" i="4"/>
  <c r="AK736" i="4"/>
  <c r="AK735" i="4"/>
  <c r="AK734" i="4"/>
  <c r="AK733" i="4"/>
  <c r="AK732" i="4"/>
  <c r="AK731" i="4"/>
  <c r="AK730" i="4"/>
  <c r="AK729" i="4"/>
  <c r="AK728" i="4"/>
  <c r="AK727" i="4"/>
  <c r="AK726" i="4"/>
  <c r="AK725" i="4"/>
  <c r="AK724" i="4"/>
  <c r="AK723" i="4"/>
  <c r="AK722" i="4"/>
  <c r="AK721" i="4"/>
  <c r="AK720" i="4"/>
  <c r="AK719" i="4"/>
  <c r="AK718" i="4"/>
  <c r="AK717" i="4"/>
  <c r="AJ747" i="4"/>
  <c r="AL747" i="4"/>
  <c r="AM779" i="4"/>
  <c r="AM778" i="4"/>
  <c r="AM777" i="4"/>
  <c r="AM776" i="4"/>
  <c r="AM775" i="4"/>
  <c r="AM774" i="4"/>
  <c r="AM773" i="4"/>
  <c r="AM772" i="4"/>
  <c r="AM771" i="4"/>
  <c r="AM770" i="4"/>
  <c r="AM769" i="4"/>
  <c r="AM768" i="4"/>
  <c r="AM767" i="4"/>
  <c r="AM766" i="4"/>
  <c r="AM765" i="4"/>
  <c r="AM764" i="4"/>
  <c r="AM763" i="4"/>
  <c r="AM762" i="4"/>
  <c r="AM761" i="4"/>
  <c r="AM760" i="4"/>
  <c r="AM759" i="4"/>
  <c r="AM758" i="4"/>
  <c r="AM757" i="4"/>
  <c r="AM756" i="4"/>
  <c r="AM755" i="4"/>
  <c r="AM754" i="4"/>
  <c r="AM753" i="4"/>
  <c r="AM752" i="4"/>
  <c r="AM751" i="4"/>
  <c r="AK779" i="4"/>
  <c r="AK778" i="4"/>
  <c r="AK777" i="4"/>
  <c r="AK776" i="4"/>
  <c r="AK775" i="4"/>
  <c r="AK774" i="4"/>
  <c r="AK773" i="4"/>
  <c r="AK772" i="4"/>
  <c r="AK771" i="4"/>
  <c r="AK770" i="4"/>
  <c r="AK769" i="4"/>
  <c r="AK768" i="4"/>
  <c r="AK767" i="4"/>
  <c r="AK766" i="4"/>
  <c r="AK765" i="4"/>
  <c r="AK764" i="4"/>
  <c r="AK763" i="4"/>
  <c r="AK762" i="4"/>
  <c r="AK761" i="4"/>
  <c r="AK760" i="4"/>
  <c r="AK759" i="4"/>
  <c r="AK758" i="4"/>
  <c r="AK757" i="4"/>
  <c r="AK756" i="4"/>
  <c r="AK755" i="4"/>
  <c r="AK754" i="4"/>
  <c r="AK753" i="4"/>
  <c r="AK752" i="4"/>
  <c r="AK751" i="4"/>
  <c r="AM785" i="4"/>
  <c r="AK785" i="4"/>
  <c r="AK784" i="4"/>
  <c r="AJ780" i="4"/>
  <c r="AL780" i="4"/>
  <c r="AJ786" i="4"/>
  <c r="AL786" i="4"/>
  <c r="AM811" i="4"/>
  <c r="AM809" i="4"/>
  <c r="AM808" i="4"/>
  <c r="AM807" i="4"/>
  <c r="AM806" i="4"/>
  <c r="AM805" i="4"/>
  <c r="AM804" i="4"/>
  <c r="AM802" i="4"/>
  <c r="AM791" i="4"/>
  <c r="AM790" i="4"/>
  <c r="AM789" i="4"/>
  <c r="AM788" i="4"/>
  <c r="AK811" i="4"/>
  <c r="AK810" i="4"/>
  <c r="AK809" i="4"/>
  <c r="AK808" i="4"/>
  <c r="AK807" i="4"/>
  <c r="AK806" i="4"/>
  <c r="AK805" i="4"/>
  <c r="AK804" i="4"/>
  <c r="AK803" i="4"/>
  <c r="AK802" i="4"/>
  <c r="AK801" i="4"/>
  <c r="AK800" i="4"/>
  <c r="AK799" i="4"/>
  <c r="AK798" i="4"/>
  <c r="AK797" i="4"/>
  <c r="AK796" i="4"/>
  <c r="AK795" i="4"/>
  <c r="AK794" i="4"/>
  <c r="AK793" i="4"/>
  <c r="AK792" i="4"/>
  <c r="AK791" i="4"/>
  <c r="AK790" i="4"/>
  <c r="AK789" i="4"/>
  <c r="AK788" i="4"/>
  <c r="AM818" i="4"/>
  <c r="AM815" i="4"/>
  <c r="AM814" i="4"/>
  <c r="AK818" i="4"/>
  <c r="AK817" i="4"/>
  <c r="AK816" i="4"/>
  <c r="AK815" i="4"/>
  <c r="AK814" i="4"/>
  <c r="AJ812" i="4"/>
  <c r="AL812" i="4"/>
  <c r="AM832" i="4"/>
  <c r="AM831" i="4"/>
  <c r="AM830" i="4"/>
  <c r="AM829" i="4"/>
  <c r="AM828" i="4"/>
  <c r="AM827" i="4"/>
  <c r="AM826" i="4"/>
  <c r="AM825" i="4"/>
  <c r="AM823" i="4"/>
  <c r="AM822" i="4"/>
  <c r="AM821" i="4"/>
  <c r="AK832" i="4"/>
  <c r="AK831" i="4"/>
  <c r="AK830" i="4"/>
  <c r="AK829" i="4"/>
  <c r="AK828" i="4"/>
  <c r="AK827" i="4"/>
  <c r="AK826" i="4"/>
  <c r="AK825" i="4"/>
  <c r="AK824" i="4"/>
  <c r="AK823" i="4"/>
  <c r="AK822" i="4"/>
  <c r="AK821" i="4"/>
  <c r="AJ819" i="4"/>
  <c r="AL819" i="4"/>
  <c r="AJ833" i="4"/>
  <c r="AL833" i="4"/>
  <c r="AM1042" i="4"/>
  <c r="AM1041" i="4"/>
  <c r="AM1040" i="4"/>
  <c r="AM1039" i="4"/>
  <c r="AM1038" i="4"/>
  <c r="AM1037" i="4"/>
  <c r="AM1036" i="4"/>
  <c r="AM1035" i="4"/>
  <c r="AM1034" i="4"/>
  <c r="AM1033" i="4"/>
  <c r="AM1032" i="4"/>
  <c r="AM1031" i="4"/>
  <c r="AM1030" i="4"/>
  <c r="AM1029" i="4"/>
  <c r="AM1028" i="4"/>
  <c r="AM1026" i="4"/>
  <c r="AM1025" i="4"/>
  <c r="AM1024" i="4"/>
  <c r="AM1023" i="4"/>
  <c r="AM1022" i="4"/>
  <c r="AM1021" i="4"/>
  <c r="AM1020" i="4"/>
  <c r="AM1019" i="4"/>
  <c r="AM1018" i="4"/>
  <c r="AM1017" i="4"/>
  <c r="AM1016" i="4"/>
  <c r="AM1015" i="4"/>
  <c r="AM1014" i="4"/>
  <c r="AM1013" i="4"/>
  <c r="AM1012" i="4"/>
  <c r="AM1011" i="4"/>
  <c r="AM1010" i="4"/>
  <c r="AM1009" i="4"/>
  <c r="AM1008" i="4"/>
  <c r="AM1007" i="4"/>
  <c r="AM1006" i="4"/>
  <c r="AM1005" i="4"/>
  <c r="AM1004" i="4"/>
  <c r="AM1003" i="4"/>
  <c r="AM1002" i="4"/>
  <c r="AM1001" i="4"/>
  <c r="AM1000" i="4"/>
  <c r="AM999" i="4"/>
  <c r="AM998" i="4"/>
  <c r="AM997" i="4"/>
  <c r="AM995" i="4"/>
  <c r="AM994" i="4"/>
  <c r="AM993" i="4"/>
  <c r="AM992" i="4"/>
  <c r="AM991" i="4"/>
  <c r="AM990" i="4"/>
  <c r="AM989" i="4"/>
  <c r="AM988" i="4"/>
  <c r="AM987" i="4"/>
  <c r="AM986" i="4"/>
  <c r="AM985" i="4"/>
  <c r="AM984" i="4"/>
  <c r="AM983" i="4"/>
  <c r="AM982" i="4"/>
  <c r="AM981" i="4"/>
  <c r="AM980" i="4"/>
  <c r="AM979" i="4"/>
  <c r="AM978" i="4"/>
  <c r="AM977" i="4"/>
  <c r="AM976" i="4"/>
  <c r="AM975" i="4"/>
  <c r="AM974" i="4"/>
  <c r="AM973" i="4"/>
  <c r="AM972" i="4"/>
  <c r="AM971" i="4"/>
  <c r="AM970" i="4"/>
  <c r="AM969" i="4"/>
  <c r="AM968" i="4"/>
  <c r="AM967" i="4"/>
  <c r="AM966" i="4"/>
  <c r="AM965" i="4"/>
  <c r="AM964" i="4"/>
  <c r="AM963" i="4"/>
  <c r="AM962" i="4"/>
  <c r="AM961" i="4"/>
  <c r="AM960" i="4"/>
  <c r="AM959" i="4"/>
  <c r="AM958" i="4"/>
  <c r="AM957" i="4"/>
  <c r="AM956" i="4"/>
  <c r="AM955" i="4"/>
  <c r="AM954" i="4"/>
  <c r="AM953" i="4"/>
  <c r="AM952" i="4"/>
  <c r="AM951" i="4"/>
  <c r="AM950" i="4"/>
  <c r="AM949" i="4"/>
  <c r="AM948" i="4"/>
  <c r="AM947" i="4"/>
  <c r="AM946" i="4"/>
  <c r="AM945" i="4"/>
  <c r="AM944" i="4"/>
  <c r="AM943" i="4"/>
  <c r="AM942" i="4"/>
  <c r="AM941" i="4"/>
  <c r="AM940" i="4"/>
  <c r="AM939" i="4"/>
  <c r="AM938" i="4"/>
  <c r="AM937" i="4"/>
  <c r="AM936" i="4"/>
  <c r="AM935" i="4"/>
  <c r="AM934" i="4"/>
  <c r="AM933" i="4"/>
  <c r="AM932" i="4"/>
  <c r="AM931" i="4"/>
  <c r="AM930" i="4"/>
  <c r="AM929" i="4"/>
  <c r="AM928" i="4"/>
  <c r="AM927" i="4"/>
  <c r="AM926" i="4"/>
  <c r="AM925" i="4"/>
  <c r="AM924" i="4"/>
  <c r="AM923" i="4"/>
  <c r="AM922" i="4"/>
  <c r="AM921" i="4"/>
  <c r="AM920" i="4"/>
  <c r="AM919" i="4"/>
  <c r="AM918" i="4"/>
  <c r="AM917" i="4"/>
  <c r="AM916" i="4"/>
  <c r="AM915" i="4"/>
  <c r="AM914" i="4"/>
  <c r="AM913" i="4"/>
  <c r="AM912" i="4"/>
  <c r="AM911" i="4"/>
  <c r="AM910" i="4"/>
  <c r="AM909" i="4"/>
  <c r="AM908" i="4"/>
  <c r="AM907" i="4"/>
  <c r="AM906" i="4"/>
  <c r="AM905" i="4"/>
  <c r="AM904" i="4"/>
  <c r="AM903" i="4"/>
  <c r="AM902" i="4"/>
  <c r="AM901" i="4"/>
  <c r="AM900" i="4"/>
  <c r="AM899" i="4"/>
  <c r="AM898" i="4"/>
  <c r="AM897" i="4"/>
  <c r="AM896" i="4"/>
  <c r="AM895" i="4"/>
  <c r="AM894" i="4"/>
  <c r="AM893" i="4"/>
  <c r="AM892" i="4"/>
  <c r="AM891" i="4"/>
  <c r="AM890" i="4"/>
  <c r="AM889" i="4"/>
  <c r="AM886" i="4"/>
  <c r="AM885" i="4"/>
  <c r="AM884" i="4"/>
  <c r="AM883" i="4"/>
  <c r="AM882" i="4"/>
  <c r="AM881" i="4"/>
  <c r="AM880" i="4"/>
  <c r="AM879" i="4"/>
  <c r="AM878" i="4"/>
  <c r="AM877" i="4"/>
  <c r="AM876" i="4"/>
  <c r="AM875" i="4"/>
  <c r="AM874" i="4"/>
  <c r="AM873" i="4"/>
  <c r="AM872" i="4"/>
  <c r="AM871" i="4"/>
  <c r="AM870" i="4"/>
  <c r="AM869" i="4"/>
  <c r="AM868" i="4"/>
  <c r="AM867" i="4"/>
  <c r="AM866" i="4"/>
  <c r="AM865" i="4"/>
  <c r="AM864" i="4"/>
  <c r="AM863" i="4"/>
  <c r="AM862" i="4"/>
  <c r="AM861" i="4"/>
  <c r="AM860" i="4"/>
  <c r="AM859" i="4"/>
  <c r="AM858" i="4"/>
  <c r="AM857" i="4"/>
  <c r="AM856" i="4"/>
  <c r="AM855" i="4"/>
  <c r="AM854" i="4"/>
  <c r="AM852" i="4"/>
  <c r="AM851" i="4"/>
  <c r="AM850" i="4"/>
  <c r="AM849" i="4"/>
  <c r="AM848" i="4"/>
  <c r="AM847" i="4"/>
  <c r="AM846" i="4"/>
  <c r="AM845" i="4"/>
  <c r="AM844" i="4"/>
  <c r="AM843" i="4"/>
  <c r="AM842" i="4"/>
  <c r="AM841" i="4"/>
  <c r="AK1042" i="4"/>
  <c r="AK1041" i="4"/>
  <c r="AK1040" i="4"/>
  <c r="AK1039" i="4"/>
  <c r="AK1038" i="4"/>
  <c r="AK1037" i="4"/>
  <c r="AK1036" i="4"/>
  <c r="AK1035" i="4"/>
  <c r="AK1034" i="4"/>
  <c r="AK1033" i="4"/>
  <c r="AK1032" i="4"/>
  <c r="AK1031" i="4"/>
  <c r="AK1030" i="4"/>
  <c r="AK1029" i="4"/>
  <c r="AK1028" i="4"/>
  <c r="AK1026" i="4"/>
  <c r="AK1025" i="4"/>
  <c r="AK1024" i="4"/>
  <c r="AK1023" i="4"/>
  <c r="AK1022" i="4"/>
  <c r="AK1021" i="4"/>
  <c r="AK1020" i="4"/>
  <c r="AK1019" i="4"/>
  <c r="AK1018" i="4"/>
  <c r="AK1017" i="4"/>
  <c r="AK1016" i="4"/>
  <c r="AK1015" i="4"/>
  <c r="AK1014" i="4"/>
  <c r="AK1013" i="4"/>
  <c r="AK1012" i="4"/>
  <c r="AK1011" i="4"/>
  <c r="AK1010" i="4"/>
  <c r="AK1009" i="4"/>
  <c r="AK1008" i="4"/>
  <c r="AK1007" i="4"/>
  <c r="AK1006" i="4"/>
  <c r="AK1005" i="4"/>
  <c r="AK1004" i="4"/>
  <c r="AK1003" i="4"/>
  <c r="AK1002" i="4"/>
  <c r="AK1001" i="4"/>
  <c r="AK1000" i="4"/>
  <c r="AK999" i="4"/>
  <c r="AK998" i="4"/>
  <c r="AK997" i="4"/>
  <c r="AK996" i="4"/>
  <c r="AK995" i="4"/>
  <c r="AK994" i="4"/>
  <c r="AK993" i="4"/>
  <c r="AK992" i="4"/>
  <c r="AK991" i="4"/>
  <c r="AK990" i="4"/>
  <c r="AK989" i="4"/>
  <c r="AK988" i="4"/>
  <c r="AK987" i="4"/>
  <c r="AK986" i="4"/>
  <c r="AK985" i="4"/>
  <c r="AK984" i="4"/>
  <c r="AK983" i="4"/>
  <c r="AK982" i="4"/>
  <c r="AK981" i="4"/>
  <c r="AK980" i="4"/>
  <c r="AK979" i="4"/>
  <c r="AK978" i="4"/>
  <c r="AK977" i="4"/>
  <c r="AK976" i="4"/>
  <c r="AK975" i="4"/>
  <c r="AK974" i="4"/>
  <c r="AK973" i="4"/>
  <c r="AK972" i="4"/>
  <c r="AK971" i="4"/>
  <c r="AK970" i="4"/>
  <c r="AK969" i="4"/>
  <c r="AK968" i="4"/>
  <c r="AK967" i="4"/>
  <c r="AK966" i="4"/>
  <c r="AK965" i="4"/>
  <c r="AK964" i="4"/>
  <c r="AK963" i="4"/>
  <c r="AK962" i="4"/>
  <c r="AK961" i="4"/>
  <c r="AK960" i="4"/>
  <c r="AK959" i="4"/>
  <c r="AK958" i="4"/>
  <c r="AK957" i="4"/>
  <c r="AK956" i="4"/>
  <c r="AK955" i="4"/>
  <c r="AK954" i="4"/>
  <c r="AK953" i="4"/>
  <c r="AK952" i="4"/>
  <c r="AK951" i="4"/>
  <c r="AK950" i="4"/>
  <c r="AK949" i="4"/>
  <c r="AK948" i="4"/>
  <c r="AK947" i="4"/>
  <c r="AK946" i="4"/>
  <c r="AK945" i="4"/>
  <c r="AK944" i="4"/>
  <c r="AK943" i="4"/>
  <c r="AK942" i="4"/>
  <c r="AK941" i="4"/>
  <c r="AK940" i="4"/>
  <c r="AK939" i="4"/>
  <c r="AK938" i="4"/>
  <c r="AK937" i="4"/>
  <c r="AK936" i="4"/>
  <c r="AK935" i="4"/>
  <c r="AK934" i="4"/>
  <c r="AK933" i="4"/>
  <c r="AK932" i="4"/>
  <c r="AK931" i="4"/>
  <c r="AK930" i="4"/>
  <c r="AK929" i="4"/>
  <c r="AK928" i="4"/>
  <c r="AK927" i="4"/>
  <c r="AK926" i="4"/>
  <c r="AK925" i="4"/>
  <c r="AK924" i="4"/>
  <c r="AK923" i="4"/>
  <c r="AK922" i="4"/>
  <c r="AK921" i="4"/>
  <c r="AK920" i="4"/>
  <c r="AK919" i="4"/>
  <c r="AK918" i="4"/>
  <c r="AK917" i="4"/>
  <c r="AK916" i="4"/>
  <c r="AK915" i="4"/>
  <c r="AK914" i="4"/>
  <c r="AK913" i="4"/>
  <c r="AK912" i="4"/>
  <c r="AK911" i="4"/>
  <c r="AK910" i="4"/>
  <c r="AK909" i="4"/>
  <c r="AK908" i="4"/>
  <c r="AK907" i="4"/>
  <c r="AK906" i="4"/>
  <c r="AK905" i="4"/>
  <c r="AK904" i="4"/>
  <c r="AK903" i="4"/>
  <c r="AK902" i="4"/>
  <c r="AK901" i="4"/>
  <c r="AK900" i="4"/>
  <c r="AK899" i="4"/>
  <c r="AK898" i="4"/>
  <c r="AK897" i="4"/>
  <c r="AK896" i="4"/>
  <c r="AK895" i="4"/>
  <c r="AK894" i="4"/>
  <c r="AK893" i="4"/>
  <c r="AK892" i="4"/>
  <c r="AK891" i="4"/>
  <c r="AK890" i="4"/>
  <c r="AK889" i="4"/>
  <c r="AK888" i="4"/>
  <c r="AK887" i="4"/>
  <c r="AK886" i="4"/>
  <c r="AK885" i="4"/>
  <c r="AK884" i="4"/>
  <c r="AK883" i="4"/>
  <c r="AK882" i="4"/>
  <c r="AK881" i="4"/>
  <c r="AK880" i="4"/>
  <c r="AK879" i="4"/>
  <c r="AK878" i="4"/>
  <c r="AK877" i="4"/>
  <c r="AK876" i="4"/>
  <c r="AK875" i="4"/>
  <c r="AK874" i="4"/>
  <c r="AK873" i="4"/>
  <c r="AK872" i="4"/>
  <c r="AK871" i="4"/>
  <c r="AK870" i="4"/>
  <c r="AK869" i="4"/>
  <c r="AK868" i="4"/>
  <c r="AK867" i="4"/>
  <c r="AK866" i="4"/>
  <c r="AK865" i="4"/>
  <c r="AK864" i="4"/>
  <c r="AK863" i="4"/>
  <c r="AK862" i="4"/>
  <c r="AK861" i="4"/>
  <c r="AK860" i="4"/>
  <c r="AK859" i="4"/>
  <c r="AK858" i="4"/>
  <c r="AK857" i="4"/>
  <c r="AK856" i="4"/>
  <c r="AK855" i="4"/>
  <c r="AK854" i="4"/>
  <c r="AK853" i="4"/>
  <c r="AK852" i="4"/>
  <c r="AK851" i="4"/>
  <c r="AK850" i="4"/>
  <c r="AK849" i="4"/>
  <c r="AK848" i="4"/>
  <c r="AK847" i="4"/>
  <c r="AK846" i="4"/>
  <c r="AK845" i="4"/>
  <c r="AK844" i="4"/>
  <c r="AK843" i="4"/>
  <c r="AK842" i="4"/>
  <c r="AK841" i="4"/>
  <c r="AJ1043" i="4"/>
  <c r="AL1043" i="4"/>
  <c r="AL18" i="4" s="1"/>
  <c r="AL1123" i="4"/>
  <c r="AL1078" i="4" s="1"/>
  <c r="AL1093" i="4"/>
  <c r="AL1095" i="4" s="1"/>
  <c r="AM1115" i="4"/>
  <c r="AM1113" i="4"/>
  <c r="AM1112" i="4"/>
  <c r="AM1111" i="4"/>
  <c r="AM1110" i="4"/>
  <c r="AM1109" i="4"/>
  <c r="AM1122" i="4"/>
  <c r="AM1121" i="4"/>
  <c r="AM1120" i="4"/>
  <c r="AM1119" i="4"/>
  <c r="AK1101" i="4"/>
  <c r="AK1100" i="4"/>
  <c r="AK1116" i="4"/>
  <c r="AK1115" i="4"/>
  <c r="AK1114" i="4"/>
  <c r="AK1113" i="4"/>
  <c r="AK1112" i="4"/>
  <c r="AK1111" i="4"/>
  <c r="AK1110" i="4"/>
  <c r="AK1109" i="4"/>
  <c r="AK1108" i="4"/>
  <c r="AK1107" i="4"/>
  <c r="AK1106" i="4"/>
  <c r="AK1105" i="4"/>
  <c r="AK1104" i="4"/>
  <c r="AK1122" i="4"/>
  <c r="AK1121" i="4"/>
  <c r="AK1120" i="4"/>
  <c r="AK1119" i="4"/>
  <c r="AJ1102" i="4"/>
  <c r="AJ1117" i="4" s="1"/>
  <c r="AL1102" i="4"/>
  <c r="AL1117" i="4" s="1"/>
  <c r="AJ1123" i="4"/>
  <c r="AM1134" i="4"/>
  <c r="AM1133" i="4"/>
  <c r="AM1130" i="4"/>
  <c r="AM1129" i="4"/>
  <c r="AM1142" i="4"/>
  <c r="AM1145" i="4"/>
  <c r="AM1154" i="4"/>
  <c r="AM1151" i="4"/>
  <c r="AM1156" i="4"/>
  <c r="AM1155" i="4"/>
  <c r="AK1134" i="4"/>
  <c r="AK1133" i="4"/>
  <c r="AK1132" i="4"/>
  <c r="AK1131" i="4"/>
  <c r="AK1130" i="4"/>
  <c r="AK1129" i="4"/>
  <c r="AK1128" i="4"/>
  <c r="AK1142" i="4"/>
  <c r="AK1141" i="4"/>
  <c r="AK1140" i="4"/>
  <c r="AK1139" i="4"/>
  <c r="AK1138" i="4"/>
  <c r="AK1151" i="4"/>
  <c r="AK1149" i="4"/>
  <c r="AK1146" i="4"/>
  <c r="AK1145" i="4"/>
  <c r="AK1157" i="4"/>
  <c r="AK1156" i="4"/>
  <c r="AK1155" i="4"/>
  <c r="AK1154" i="4"/>
  <c r="AJ1135" i="4"/>
  <c r="AL1135" i="4"/>
  <c r="AJ1143" i="4"/>
  <c r="AL1143" i="4"/>
  <c r="AJ1147" i="4"/>
  <c r="AL1147" i="4"/>
  <c r="AJ1158" i="4"/>
  <c r="AL1158" i="4"/>
  <c r="AM1201" i="4"/>
  <c r="AM1199" i="4"/>
  <c r="AM1198" i="4"/>
  <c r="AM1197" i="4"/>
  <c r="AM1196" i="4"/>
  <c r="AM1195" i="4"/>
  <c r="AM1194" i="4"/>
  <c r="AM1193" i="4"/>
  <c r="AM1192" i="4"/>
  <c r="AM1191" i="4"/>
  <c r="AM1190" i="4"/>
  <c r="AM1189" i="4"/>
  <c r="AM1188" i="4"/>
  <c r="AM1187" i="4"/>
  <c r="AM1186" i="4"/>
  <c r="AM1185" i="4"/>
  <c r="AM1184" i="4"/>
  <c r="AM1183" i="4"/>
  <c r="AM1182" i="4"/>
  <c r="AM1181" i="4"/>
  <c r="AM1180" i="4"/>
  <c r="AM1179" i="4"/>
  <c r="AM1178" i="4"/>
  <c r="AM1177" i="4"/>
  <c r="AM1176" i="4"/>
  <c r="AM1174" i="4"/>
  <c r="AM1173" i="4"/>
  <c r="AM1172" i="4"/>
  <c r="AM1171" i="4"/>
  <c r="AM1170" i="4"/>
  <c r="AM1169" i="4"/>
  <c r="AM1168" i="4"/>
  <c r="AM1167" i="4"/>
  <c r="AM1166" i="4"/>
  <c r="AM1165" i="4"/>
  <c r="AK1202" i="4"/>
  <c r="AK1201" i="4"/>
  <c r="AK1200" i="4"/>
  <c r="AK1199" i="4"/>
  <c r="AK1198" i="4"/>
  <c r="AK1197" i="4"/>
  <c r="AK1196" i="4"/>
  <c r="AK1195" i="4"/>
  <c r="AK1194" i="4"/>
  <c r="AK1193" i="4"/>
  <c r="AK1192" i="4"/>
  <c r="AK1191" i="4"/>
  <c r="AK1190" i="4"/>
  <c r="AK1189" i="4"/>
  <c r="AK1188" i="4"/>
  <c r="AK1187" i="4"/>
  <c r="AK1186" i="4"/>
  <c r="AK1185" i="4"/>
  <c r="AK1184" i="4"/>
  <c r="AK1183" i="4"/>
  <c r="AK1182" i="4"/>
  <c r="AK1181" i="4"/>
  <c r="AK1180" i="4"/>
  <c r="AK1179" i="4"/>
  <c r="AK1178" i="4"/>
  <c r="AK1177" i="4"/>
  <c r="AK1176" i="4"/>
  <c r="AK1175" i="4"/>
  <c r="AK1174" i="4"/>
  <c r="AK1173" i="4"/>
  <c r="AK1172" i="4"/>
  <c r="AK1171" i="4"/>
  <c r="AK1170" i="4"/>
  <c r="AK1169" i="4"/>
  <c r="AK1168" i="4"/>
  <c r="AK1167" i="4"/>
  <c r="AK1166" i="4"/>
  <c r="AK1165" i="4"/>
  <c r="AJ1203" i="4"/>
  <c r="AL1203" i="4"/>
  <c r="AL1082" i="4" s="1"/>
  <c r="AL1246" i="4"/>
  <c r="AL1247" i="4" s="1"/>
  <c r="AM1227" i="4"/>
  <c r="AM1226" i="4"/>
  <c r="AK1339" i="4"/>
  <c r="AK1338" i="4"/>
  <c r="AK1337" i="4"/>
  <c r="AK1336" i="4"/>
  <c r="AK1335" i="4"/>
  <c r="AK1334" i="4"/>
  <c r="AK1333" i="4"/>
  <c r="AK1332" i="4"/>
  <c r="AK1331" i="4"/>
  <c r="AK1330" i="4"/>
  <c r="AK1329" i="4"/>
  <c r="AK1328" i="4"/>
  <c r="AK1327" i="4"/>
  <c r="AK1326" i="4"/>
  <c r="AK1325" i="4"/>
  <c r="AK1324" i="4"/>
  <c r="AK1323" i="4"/>
  <c r="AK1322" i="4"/>
  <c r="AK1321" i="4"/>
  <c r="AK1320" i="4"/>
  <c r="AK1319" i="4"/>
  <c r="AK1318" i="4"/>
  <c r="AK1317" i="4"/>
  <c r="AK1316" i="4"/>
  <c r="AM1309" i="4"/>
  <c r="AM1308" i="4"/>
  <c r="AM1307" i="4"/>
  <c r="AM1306" i="4"/>
  <c r="AK1309" i="4"/>
  <c r="AK1308" i="4"/>
  <c r="AK1307" i="4"/>
  <c r="AK1306" i="4"/>
  <c r="AL1229" i="4"/>
  <c r="AM1244" i="4"/>
  <c r="AM1246" i="4" s="1"/>
  <c r="AM1272" i="4"/>
  <c r="AM1271" i="4"/>
  <c r="AM1270" i="4"/>
  <c r="AM1267" i="4"/>
  <c r="AM1266" i="4"/>
  <c r="AM1263" i="4"/>
  <c r="AM1262" i="4"/>
  <c r="AM1260" i="4"/>
  <c r="AM1258" i="4"/>
  <c r="AM1257" i="4"/>
  <c r="AM1256" i="4"/>
  <c r="AM1255" i="4"/>
  <c r="AK1258" i="4"/>
  <c r="AK1272" i="4"/>
  <c r="AK1271" i="4"/>
  <c r="AK1270" i="4"/>
  <c r="AK1267" i="4"/>
  <c r="AK1266" i="4"/>
  <c r="AK1263" i="4"/>
  <c r="AK1262" i="4"/>
  <c r="AK1261" i="4"/>
  <c r="AK1260" i="4"/>
  <c r="AK1259" i="4"/>
  <c r="AK1257" i="4"/>
  <c r="AK1256" i="4"/>
  <c r="AK1255" i="4"/>
  <c r="AK1254" i="4"/>
  <c r="AJ1264" i="4"/>
  <c r="AJ1268" i="4" s="1"/>
  <c r="AL1264" i="4"/>
  <c r="AL1268" i="4" s="1"/>
  <c r="AL1228" i="4" s="1"/>
  <c r="AM1284" i="4"/>
  <c r="AM1282" i="4"/>
  <c r="AM1279" i="4"/>
  <c r="AK1286" i="4"/>
  <c r="AK1285" i="4"/>
  <c r="AK1284" i="4"/>
  <c r="AK1283" i="4"/>
  <c r="AK1282" i="4"/>
  <c r="AK1281" i="4"/>
  <c r="AK1280" i="4"/>
  <c r="AK1279" i="4"/>
  <c r="AK1278" i="4"/>
  <c r="AM1304" i="4"/>
  <c r="AK1304" i="4"/>
  <c r="AJ1273" i="4"/>
  <c r="AM1291" i="4"/>
  <c r="AM1296" i="4"/>
  <c r="AK1302" i="4"/>
  <c r="AK1301" i="4"/>
  <c r="AK1300" i="4"/>
  <c r="AK1291" i="4"/>
  <c r="AK1292" i="4"/>
  <c r="AK1293" i="4"/>
  <c r="AK1294" i="4"/>
  <c r="AK1295" i="4"/>
  <c r="AK1296" i="4"/>
  <c r="AK1297" i="4"/>
  <c r="AK1290" i="4"/>
  <c r="AJ1287" i="4"/>
  <c r="AL1287" i="4"/>
  <c r="AM1340" i="4"/>
  <c r="AJ1298" i="4"/>
  <c r="AL1298" i="4"/>
  <c r="AJ1303" i="4"/>
  <c r="AL1303" i="4"/>
  <c r="AJ1310" i="4"/>
  <c r="AL1310" i="4"/>
  <c r="AK1378" i="4"/>
  <c r="AJ1340" i="4"/>
  <c r="AL1340" i="4"/>
  <c r="AL1233" i="4" s="1"/>
  <c r="AQ198" i="6" l="1"/>
  <c r="AQ199" i="6" s="1"/>
  <c r="AO217" i="6"/>
  <c r="J87" i="9"/>
  <c r="J90" i="9" s="1"/>
  <c r="AY174" i="8"/>
  <c r="AY196" i="8" s="1"/>
  <c r="BE150" i="6"/>
  <c r="BE188" i="6" s="1"/>
  <c r="BE184" i="6"/>
  <c r="BE187" i="6" s="1"/>
  <c r="BC82" i="6"/>
  <c r="BE85" i="6"/>
  <c r="BE90" i="6" s="1"/>
  <c r="BC90" i="6"/>
  <c r="BA169" i="6"/>
  <c r="BC96" i="6"/>
  <c r="BE82" i="6"/>
  <c r="BE172" i="6"/>
  <c r="BA105" i="6"/>
  <c r="BC104" i="6"/>
  <c r="BE43" i="6"/>
  <c r="BE48" i="6" s="1"/>
  <c r="BE163" i="6" s="1"/>
  <c r="BC48" i="6"/>
  <c r="BC163" i="6" s="1"/>
  <c r="AS246" i="6"/>
  <c r="AS249" i="6" s="1"/>
  <c r="BC58" i="6"/>
  <c r="BE57" i="6"/>
  <c r="BE58" i="6" s="1"/>
  <c r="AU109" i="6"/>
  <c r="AU152" i="6" s="1"/>
  <c r="AU156" i="6" s="1"/>
  <c r="AQ249" i="6"/>
  <c r="X10" i="9"/>
  <c r="BE39" i="5"/>
  <c r="BE1053" i="5" s="1"/>
  <c r="BC54" i="5"/>
  <c r="BE54" i="5" s="1"/>
  <c r="BE60" i="5" s="1"/>
  <c r="BA71" i="1"/>
  <c r="BA158" i="5"/>
  <c r="BA173" i="1" s="1"/>
  <c r="BA157" i="1"/>
  <c r="BA100" i="5"/>
  <c r="BA118" i="1" s="1"/>
  <c r="BA104" i="1"/>
  <c r="BA1056" i="5"/>
  <c r="V11" i="9" s="1"/>
  <c r="AS204" i="6"/>
  <c r="AS205" i="6" s="1"/>
  <c r="AS207" i="6" s="1"/>
  <c r="AO4" i="8"/>
  <c r="AO15" i="8" s="1"/>
  <c r="AQ1060" i="5"/>
  <c r="AQ835" i="5"/>
  <c r="AQ1042" i="5" s="1"/>
  <c r="AQ1046" i="5" s="1"/>
  <c r="AQ12" i="5"/>
  <c r="AQ14" i="5" s="1"/>
  <c r="BA166" i="8"/>
  <c r="BC54" i="8"/>
  <c r="L66" i="9"/>
  <c r="L67" i="9" s="1"/>
  <c r="AQ1119" i="5"/>
  <c r="BE132" i="8"/>
  <c r="BE141" i="8" s="1"/>
  <c r="BE142" i="8" s="1"/>
  <c r="BC141" i="8"/>
  <c r="BC142" i="8" s="1"/>
  <c r="AU7" i="6"/>
  <c r="AU9" i="6" s="1"/>
  <c r="AU15" i="6" s="1"/>
  <c r="AU204" i="6" s="1"/>
  <c r="AQ1078" i="5"/>
  <c r="L30" i="9"/>
  <c r="L33" i="9" s="1"/>
  <c r="AQ1127" i="5"/>
  <c r="L73" i="9"/>
  <c r="L75" i="9" s="1"/>
  <c r="BE40" i="8"/>
  <c r="BE163" i="8" s="1"/>
  <c r="BC163" i="8"/>
  <c r="BA73" i="8"/>
  <c r="BA169" i="8" s="1"/>
  <c r="BC71" i="8"/>
  <c r="AK307" i="4"/>
  <c r="Z10" i="9"/>
  <c r="AQ1132" i="5"/>
  <c r="L78" i="9"/>
  <c r="L80" i="9" s="1"/>
  <c r="BA162" i="8"/>
  <c r="BC39" i="8"/>
  <c r="BA215" i="6"/>
  <c r="AY216" i="6"/>
  <c r="AO200" i="6"/>
  <c r="AO201" i="6" s="1"/>
  <c r="AO221" i="6"/>
  <c r="AO228" i="6" s="1"/>
  <c r="AO243" i="6" s="1"/>
  <c r="AO250" i="6" s="1"/>
  <c r="AQ184" i="7"/>
  <c r="AQ185" i="7" s="1"/>
  <c r="AQ205" i="7"/>
  <c r="AQ212" i="7" s="1"/>
  <c r="AQ227" i="7" s="1"/>
  <c r="AQ234" i="7" s="1"/>
  <c r="AU356" i="5"/>
  <c r="AU8" i="5"/>
  <c r="AU10" i="5" s="1"/>
  <c r="K65" i="11"/>
  <c r="BC41" i="5"/>
  <c r="BE596" i="5"/>
  <c r="AW49" i="5"/>
  <c r="AW336" i="5" s="1"/>
  <c r="R8" i="9"/>
  <c r="AQ213" i="6"/>
  <c r="BC851" i="5"/>
  <c r="BC541" i="5"/>
  <c r="BC596" i="5"/>
  <c r="BE813" i="5"/>
  <c r="BE816" i="5" s="1"/>
  <c r="BC816" i="5"/>
  <c r="BE818" i="5"/>
  <c r="BE830" i="5" s="1"/>
  <c r="BC830" i="5"/>
  <c r="BA745" i="5"/>
  <c r="BC740" i="5"/>
  <c r="BE629" i="5"/>
  <c r="BE633" i="5" s="1"/>
  <c r="BC633" i="5"/>
  <c r="BE651" i="5"/>
  <c r="BE660" i="5" s="1"/>
  <c r="BC660" i="5"/>
  <c r="BA643" i="5"/>
  <c r="BC640" i="5"/>
  <c r="BE617" i="5"/>
  <c r="BE620" i="5" s="1"/>
  <c r="BC620" i="5"/>
  <c r="BE646" i="5"/>
  <c r="BE648" i="5" s="1"/>
  <c r="BC648" i="5"/>
  <c r="BE541" i="5"/>
  <c r="BA509" i="5"/>
  <c r="BA515" i="5" s="1"/>
  <c r="BC503" i="5"/>
  <c r="BE492" i="5"/>
  <c r="BE499" i="5" s="1"/>
  <c r="BC499" i="5"/>
  <c r="BE480" i="5"/>
  <c r="BE483" i="5" s="1"/>
  <c r="BE488" i="5" s="1"/>
  <c r="BC483" i="5"/>
  <c r="BC488" i="5" s="1"/>
  <c r="BE362" i="5"/>
  <c r="BE373" i="5" s="1"/>
  <c r="BE455" i="5" s="1"/>
  <c r="BC373" i="5"/>
  <c r="BA305" i="5"/>
  <c r="BA334" i="5" s="1"/>
  <c r="BC303" i="5"/>
  <c r="AO1142" i="5"/>
  <c r="BE287" i="5"/>
  <c r="BE298" i="5" s="1"/>
  <c r="BE299" i="5" s="1"/>
  <c r="BC298" i="5"/>
  <c r="BC299" i="5" s="1"/>
  <c r="BE170" i="5"/>
  <c r="BE171" i="5" s="1"/>
  <c r="BC171" i="5"/>
  <c r="BA175" i="5"/>
  <c r="BA191" i="1" s="1"/>
  <c r="BC174" i="5"/>
  <c r="BE162" i="5"/>
  <c r="BE166" i="5" s="1"/>
  <c r="BC166" i="5"/>
  <c r="BE183" i="5"/>
  <c r="BE189" i="5" s="1"/>
  <c r="BE136" i="5"/>
  <c r="BE142" i="5" s="1"/>
  <c r="BE158" i="5" s="1"/>
  <c r="BC142" i="5"/>
  <c r="BC158" i="5" s="1"/>
  <c r="BE117" i="5"/>
  <c r="BE118" i="5" s="1"/>
  <c r="BC118" i="5"/>
  <c r="BA114" i="5"/>
  <c r="BC108" i="5"/>
  <c r="BE78" i="5"/>
  <c r="BE87" i="5" s="1"/>
  <c r="BE100" i="5" s="1"/>
  <c r="BC87" i="5"/>
  <c r="BC100" i="5" s="1"/>
  <c r="AQ247" i="8"/>
  <c r="AU243" i="8"/>
  <c r="AS246" i="8"/>
  <c r="E14" i="11"/>
  <c r="P13" i="11"/>
  <c r="X13" i="11" s="1"/>
  <c r="L42" i="11"/>
  <c r="M33" i="11"/>
  <c r="L40" i="11"/>
  <c r="BA1054" i="5"/>
  <c r="V9" i="9" s="1"/>
  <c r="BA60" i="5"/>
  <c r="BA77" i="1" s="1"/>
  <c r="K45" i="11"/>
  <c r="AI1136" i="5"/>
  <c r="AI1143" i="5" s="1"/>
  <c r="AS198" i="8"/>
  <c r="AS199" i="8" s="1"/>
  <c r="AS213" i="8" s="1"/>
  <c r="AU205" i="8"/>
  <c r="AU207" i="8" s="1"/>
  <c r="BA796" i="5"/>
  <c r="BC796" i="5" s="1"/>
  <c r="AY809" i="5"/>
  <c r="AY831" i="5" s="1"/>
  <c r="AW107" i="6"/>
  <c r="AW11" i="6" s="1"/>
  <c r="AW13" i="6" s="1"/>
  <c r="AW168" i="6"/>
  <c r="AY225" i="6"/>
  <c r="AW226" i="6"/>
  <c r="BA82" i="6"/>
  <c r="AW60" i="6"/>
  <c r="AW70" i="6" s="1"/>
  <c r="AW162" i="6"/>
  <c r="AU174" i="6"/>
  <c r="AU196" i="6" s="1"/>
  <c r="BA188" i="6"/>
  <c r="BA189" i="6" s="1"/>
  <c r="BA12" i="6"/>
  <c r="AS16" i="6"/>
  <c r="AU5" i="6" s="1"/>
  <c r="BA55" i="8"/>
  <c r="AW146" i="8"/>
  <c r="AW152" i="8" s="1"/>
  <c r="AW156" i="8" s="1"/>
  <c r="AY144" i="8"/>
  <c r="AY10" i="8" s="1"/>
  <c r="AY12" i="8" s="1"/>
  <c r="BA44" i="8"/>
  <c r="AW6" i="8"/>
  <c r="AW8" i="8" s="1"/>
  <c r="AW14" i="8" s="1"/>
  <c r="AW204" i="8" s="1"/>
  <c r="AS182" i="7"/>
  <c r="AS183" i="7" s="1"/>
  <c r="AY233" i="7"/>
  <c r="BA230" i="7"/>
  <c r="BA611" i="5"/>
  <c r="BC611" i="5" s="1"/>
  <c r="AY615" i="5"/>
  <c r="AY663" i="5" s="1"/>
  <c r="AY57" i="8"/>
  <c r="AY66" i="8" s="1"/>
  <c r="BA93" i="6"/>
  <c r="AY94" i="6"/>
  <c r="BA37" i="6"/>
  <c r="AY39" i="6"/>
  <c r="AW675" i="5"/>
  <c r="AW777" i="5" s="1"/>
  <c r="AY672" i="5"/>
  <c r="BA683" i="5"/>
  <c r="AY686" i="5"/>
  <c r="BA66" i="5"/>
  <c r="BA83" i="1" s="1"/>
  <c r="AY73" i="5"/>
  <c r="AY74" i="5" s="1"/>
  <c r="AY681" i="5"/>
  <c r="BA677" i="5"/>
  <c r="BA689" i="5"/>
  <c r="AY690" i="5"/>
  <c r="AJ125" i="4"/>
  <c r="AK545" i="4"/>
  <c r="AM108" i="4"/>
  <c r="AK122" i="4"/>
  <c r="AJ103" i="4"/>
  <c r="AL1124" i="4"/>
  <c r="AM518" i="4"/>
  <c r="AL32" i="4"/>
  <c r="AK692" i="4"/>
  <c r="AM630" i="4"/>
  <c r="AM317" i="4"/>
  <c r="AK251" i="4"/>
  <c r="AK247" i="4"/>
  <c r="AK176" i="4"/>
  <c r="AK108" i="4"/>
  <c r="AK812" i="4"/>
  <c r="AJ834" i="4"/>
  <c r="AK786" i="4"/>
  <c r="AK780" i="4"/>
  <c r="AK683" i="4"/>
  <c r="AJ600" i="4"/>
  <c r="AK553" i="4"/>
  <c r="AJ546" i="4"/>
  <c r="AK518" i="4"/>
  <c r="AJ519" i="4"/>
  <c r="AM492" i="4"/>
  <c r="AL493" i="4"/>
  <c r="AK1043" i="4"/>
  <c r="AJ781" i="4"/>
  <c r="AK562" i="4"/>
  <c r="AK492" i="4"/>
  <c r="AK488" i="4"/>
  <c r="AM323" i="4"/>
  <c r="AK1310" i="4"/>
  <c r="AM1310" i="4"/>
  <c r="AK819" i="4"/>
  <c r="AK688" i="4"/>
  <c r="AK646" i="4"/>
  <c r="AK623" i="4"/>
  <c r="AK618" i="4"/>
  <c r="AK513" i="4"/>
  <c r="AK482" i="4"/>
  <c r="AK357" i="4"/>
  <c r="AM242" i="4"/>
  <c r="AM196" i="4"/>
  <c r="AK1203" i="4"/>
  <c r="AM1123" i="4"/>
  <c r="AM1078" i="4" s="1"/>
  <c r="AK833" i="4"/>
  <c r="AK715" i="4"/>
  <c r="AK677" i="4"/>
  <c r="AK664" i="4"/>
  <c r="AM664" i="4"/>
  <c r="AM651" i="4"/>
  <c r="AJ302" i="4"/>
  <c r="AM247" i="4"/>
  <c r="AM172" i="4"/>
  <c r="AK167" i="4"/>
  <c r="AM167" i="4"/>
  <c r="AL1096" i="4"/>
  <c r="AM357" i="4"/>
  <c r="AJ1124" i="4"/>
  <c r="AJ493" i="4"/>
  <c r="AJ1311" i="4"/>
  <c r="AJ1274" i="4"/>
  <c r="AK1273" i="4"/>
  <c r="AL1230" i="4"/>
  <c r="AM1273" i="4"/>
  <c r="AK747" i="4"/>
  <c r="AK636" i="4"/>
  <c r="AM636" i="4"/>
  <c r="AL600" i="4"/>
  <c r="AK503" i="4"/>
  <c r="AM221" i="4"/>
  <c r="AK196" i="4"/>
  <c r="AK136" i="4"/>
  <c r="AK630" i="4"/>
  <c r="AM623" i="4"/>
  <c r="AK584" i="4"/>
  <c r="AL546" i="4"/>
  <c r="AK539" i="4"/>
  <c r="AJ336" i="4"/>
  <c r="AM251" i="4"/>
  <c r="AK242" i="4"/>
  <c r="AK172" i="4"/>
  <c r="AL125" i="4"/>
  <c r="AK102" i="4"/>
  <c r="AM97" i="4"/>
  <c r="AK91" i="4"/>
  <c r="AL834" i="4"/>
  <c r="AM780" i="4"/>
  <c r="AK473" i="4"/>
  <c r="AK1147" i="4"/>
  <c r="AL1077" i="4"/>
  <c r="AL1079" i="4" s="1"/>
  <c r="AK189" i="4"/>
  <c r="AK53" i="4"/>
  <c r="AK460" i="4"/>
  <c r="AL461" i="4"/>
  <c r="AJ461" i="4"/>
  <c r="AK426" i="4"/>
  <c r="AK375" i="4"/>
  <c r="AK335" i="4"/>
  <c r="AK323" i="4"/>
  <c r="AK317" i="4"/>
  <c r="AL336" i="4"/>
  <c r="AK301" i="4"/>
  <c r="AM268" i="4"/>
  <c r="AK268" i="4"/>
  <c r="AL302" i="4"/>
  <c r="AM233" i="4"/>
  <c r="AK233" i="4"/>
  <c r="AK221" i="4"/>
  <c r="AM189" i="4"/>
  <c r="AJ222" i="4"/>
  <c r="AK155" i="4"/>
  <c r="AK144" i="4"/>
  <c r="AM130" i="4"/>
  <c r="AK130" i="4"/>
  <c r="AK118" i="4"/>
  <c r="AL103" i="4"/>
  <c r="AM102" i="4"/>
  <c r="AK97" i="4"/>
  <c r="AL78" i="4"/>
  <c r="AJ78" i="4"/>
  <c r="AK77" i="4"/>
  <c r="AK64" i="4"/>
  <c r="AJ160" i="4"/>
  <c r="AL160" i="4"/>
  <c r="AL222" i="4"/>
  <c r="AL519" i="4"/>
  <c r="AK600" i="4"/>
  <c r="AL667" i="4"/>
  <c r="AJ667" i="4"/>
  <c r="AK651" i="4"/>
  <c r="AL781" i="4"/>
  <c r="AK1158" i="4"/>
  <c r="AK1123" i="4"/>
  <c r="AK1102" i="4"/>
  <c r="AK1117" i="4" s="1"/>
  <c r="AL1160" i="4"/>
  <c r="AK1143" i="4"/>
  <c r="AJ1160" i="4"/>
  <c r="AJ1204" i="4" s="1"/>
  <c r="AK1135" i="4"/>
  <c r="AK1340" i="4"/>
  <c r="AL1274" i="4"/>
  <c r="AK1264" i="4"/>
  <c r="AK1268" i="4" s="1"/>
  <c r="AK1287" i="4"/>
  <c r="AK1303" i="4"/>
  <c r="AK1298" i="4"/>
  <c r="AJ1342" i="4"/>
  <c r="AL1311" i="4"/>
  <c r="AM1372" i="4"/>
  <c r="AM1361" i="4"/>
  <c r="AL1359" i="4"/>
  <c r="AM1357" i="4"/>
  <c r="AL1355" i="4"/>
  <c r="AL1372" i="4"/>
  <c r="AL1472" i="4"/>
  <c r="AJ1472" i="4"/>
  <c r="AK1471" i="4"/>
  <c r="AK1470" i="4"/>
  <c r="AK1469" i="4"/>
  <c r="AK1468" i="4"/>
  <c r="AK1467" i="4"/>
  <c r="AK1466" i="4"/>
  <c r="AK1465" i="4"/>
  <c r="AK1464" i="4"/>
  <c r="AK1463" i="4"/>
  <c r="AK1462" i="4"/>
  <c r="AK1461" i="4"/>
  <c r="AK1460" i="4"/>
  <c r="AL1456" i="4"/>
  <c r="AJ1456" i="4"/>
  <c r="AK1455" i="4"/>
  <c r="AK1454" i="4"/>
  <c r="AK1453" i="4"/>
  <c r="AK1452" i="4"/>
  <c r="AK1451" i="4"/>
  <c r="AK1450" i="4"/>
  <c r="AK1449" i="4"/>
  <c r="AK1448" i="4"/>
  <c r="AL1445" i="4"/>
  <c r="AJ1445" i="4"/>
  <c r="AK1444" i="4"/>
  <c r="AK1443" i="4"/>
  <c r="AK1442" i="4"/>
  <c r="AK1441" i="4"/>
  <c r="AK1440" i="4"/>
  <c r="AK1439" i="4"/>
  <c r="AK1438" i="4"/>
  <c r="AK1437" i="4"/>
  <c r="AK1436" i="4"/>
  <c r="AK1435" i="4"/>
  <c r="AK1434" i="4"/>
  <c r="AK1433" i="4"/>
  <c r="AK1432" i="4"/>
  <c r="AK1431" i="4"/>
  <c r="AK1430" i="4"/>
  <c r="AK1429" i="4"/>
  <c r="AK1428" i="4"/>
  <c r="AK1427" i="4"/>
  <c r="AK1426" i="4"/>
  <c r="AK1425" i="4"/>
  <c r="AK1424" i="4"/>
  <c r="AK1423" i="4"/>
  <c r="AL1421" i="4"/>
  <c r="AJ1421" i="4"/>
  <c r="AK1420" i="4"/>
  <c r="AK1419" i="4"/>
  <c r="AK1418" i="4"/>
  <c r="AK1414" i="4"/>
  <c r="AK1409" i="4"/>
  <c r="AL1406" i="4"/>
  <c r="AJ1406" i="4"/>
  <c r="AK1405" i="4"/>
  <c r="AK1404" i="4"/>
  <c r="AK1399" i="4"/>
  <c r="AK1398" i="4"/>
  <c r="AL1394" i="4"/>
  <c r="AJ1394" i="4"/>
  <c r="AK1393" i="4"/>
  <c r="AK1392" i="4"/>
  <c r="AK1391" i="4"/>
  <c r="AK1390" i="4"/>
  <c r="AK1389" i="4"/>
  <c r="AK1388" i="4"/>
  <c r="AK1387" i="4"/>
  <c r="AL1383" i="4"/>
  <c r="AJ1383" i="4"/>
  <c r="AK1382" i="4"/>
  <c r="AK1381" i="4"/>
  <c r="AK1380" i="4"/>
  <c r="AK1379" i="4"/>
  <c r="AH1610" i="4"/>
  <c r="AH1618" i="4" s="1"/>
  <c r="AO1606" i="4" s="1"/>
  <c r="AO1610" i="4" s="1"/>
  <c r="AO1618" i="4" s="1"/>
  <c r="AQ1606" i="4" s="1"/>
  <c r="AQ1610" i="4" s="1"/>
  <c r="AQ1618" i="4" s="1"/>
  <c r="AS1606" i="4" s="1"/>
  <c r="AS1610" i="4" s="1"/>
  <c r="AS1618" i="4" s="1"/>
  <c r="AU1606" i="4" s="1"/>
  <c r="AU1610" i="4" s="1"/>
  <c r="AU1618" i="4" s="1"/>
  <c r="AW1606" i="4" s="1"/>
  <c r="AW1610" i="4" s="1"/>
  <c r="AW1618" i="4" s="1"/>
  <c r="AY1606" i="4" s="1"/>
  <c r="AY1610" i="4" s="1"/>
  <c r="AY1618" i="4" s="1"/>
  <c r="BA1606" i="4" s="1"/>
  <c r="BA1610" i="4" s="1"/>
  <c r="BA1618" i="4" s="1"/>
  <c r="BC1606" i="4" s="1"/>
  <c r="BC1610" i="4" s="1"/>
  <c r="BC1618" i="4" s="1"/>
  <c r="BE1606" i="4" s="1"/>
  <c r="BE1610" i="4" s="1"/>
  <c r="BE1618" i="4" s="1"/>
  <c r="AH1594" i="4"/>
  <c r="AH1602" i="4" s="1"/>
  <c r="AO1590" i="4" s="1"/>
  <c r="AO1594" i="4" s="1"/>
  <c r="AO1602" i="4" s="1"/>
  <c r="AQ1590" i="4" s="1"/>
  <c r="AQ1594" i="4" s="1"/>
  <c r="AQ1602" i="4" s="1"/>
  <c r="AS1590" i="4" s="1"/>
  <c r="AS1594" i="4" s="1"/>
  <c r="AS1602" i="4" s="1"/>
  <c r="AU1590" i="4" s="1"/>
  <c r="AU1594" i="4" s="1"/>
  <c r="AU1602" i="4" s="1"/>
  <c r="AW1590" i="4" s="1"/>
  <c r="AW1594" i="4" s="1"/>
  <c r="AW1602" i="4" s="1"/>
  <c r="AY1590" i="4" s="1"/>
  <c r="AY1594" i="4" s="1"/>
  <c r="AY1602" i="4" s="1"/>
  <c r="BA1590" i="4" s="1"/>
  <c r="BA1594" i="4" s="1"/>
  <c r="BA1602" i="4" s="1"/>
  <c r="BC1590" i="4" s="1"/>
  <c r="BC1594" i="4" s="1"/>
  <c r="BC1602" i="4" s="1"/>
  <c r="BE1590" i="4" s="1"/>
  <c r="BE1594" i="4" s="1"/>
  <c r="BE1602" i="4" s="1"/>
  <c r="AH1578" i="4"/>
  <c r="AH1586" i="4" s="1"/>
  <c r="AO1574" i="4" s="1"/>
  <c r="AO1578" i="4" s="1"/>
  <c r="AO1586" i="4" s="1"/>
  <c r="AQ1574" i="4" s="1"/>
  <c r="AQ1578" i="4" s="1"/>
  <c r="AQ1586" i="4" s="1"/>
  <c r="AS1574" i="4" s="1"/>
  <c r="AS1578" i="4" s="1"/>
  <c r="AS1586" i="4" s="1"/>
  <c r="AU1574" i="4" s="1"/>
  <c r="AU1578" i="4" s="1"/>
  <c r="AU1586" i="4" s="1"/>
  <c r="AW1574" i="4" s="1"/>
  <c r="AW1578" i="4" s="1"/>
  <c r="AW1586" i="4" s="1"/>
  <c r="AY1574" i="4" s="1"/>
  <c r="AY1578" i="4" s="1"/>
  <c r="AY1586" i="4" s="1"/>
  <c r="BA1574" i="4" s="1"/>
  <c r="BA1578" i="4" s="1"/>
  <c r="BA1586" i="4" s="1"/>
  <c r="BC1574" i="4" s="1"/>
  <c r="BC1578" i="4" s="1"/>
  <c r="BC1586" i="4" s="1"/>
  <c r="BE1574" i="4" s="1"/>
  <c r="BE1578" i="4" s="1"/>
  <c r="BE1586" i="4" s="1"/>
  <c r="AH1562" i="4"/>
  <c r="AH1570" i="4" s="1"/>
  <c r="AO1558" i="4" s="1"/>
  <c r="AO1562" i="4" s="1"/>
  <c r="AO1570" i="4" s="1"/>
  <c r="AQ1558" i="4" s="1"/>
  <c r="AQ1562" i="4" s="1"/>
  <c r="AQ1570" i="4" s="1"/>
  <c r="AS1558" i="4" s="1"/>
  <c r="AS1562" i="4" s="1"/>
  <c r="AS1570" i="4" s="1"/>
  <c r="AU1558" i="4" s="1"/>
  <c r="AU1562" i="4" s="1"/>
  <c r="AU1570" i="4" s="1"/>
  <c r="AW1558" i="4" s="1"/>
  <c r="AW1562" i="4" s="1"/>
  <c r="AW1570" i="4" s="1"/>
  <c r="AY1558" i="4" s="1"/>
  <c r="AY1562" i="4" s="1"/>
  <c r="AY1570" i="4" s="1"/>
  <c r="BA1558" i="4" s="1"/>
  <c r="BA1562" i="4" s="1"/>
  <c r="BA1570" i="4" s="1"/>
  <c r="BC1558" i="4" s="1"/>
  <c r="BC1562" i="4" s="1"/>
  <c r="BC1570" i="4" s="1"/>
  <c r="BE1558" i="4" s="1"/>
  <c r="BE1562" i="4" s="1"/>
  <c r="BE1570" i="4" s="1"/>
  <c r="AH1541" i="4"/>
  <c r="AH1549" i="4" s="1"/>
  <c r="AO1537" i="4" s="1"/>
  <c r="AO1541" i="4" s="1"/>
  <c r="AO1549" i="4" s="1"/>
  <c r="AQ1537" i="4" s="1"/>
  <c r="AQ1541" i="4" s="1"/>
  <c r="AQ1549" i="4" s="1"/>
  <c r="AS1537" i="4" s="1"/>
  <c r="AS1541" i="4" s="1"/>
  <c r="AS1549" i="4" s="1"/>
  <c r="AU1537" i="4" s="1"/>
  <c r="AU1541" i="4" s="1"/>
  <c r="AU1549" i="4" s="1"/>
  <c r="AW1537" i="4" s="1"/>
  <c r="AW1541" i="4" s="1"/>
  <c r="AW1549" i="4" s="1"/>
  <c r="AY1537" i="4" s="1"/>
  <c r="AY1541" i="4" s="1"/>
  <c r="AY1549" i="4" s="1"/>
  <c r="BA1537" i="4" s="1"/>
  <c r="BA1541" i="4" s="1"/>
  <c r="BA1549" i="4" s="1"/>
  <c r="BC1537" i="4" s="1"/>
  <c r="BC1541" i="4" s="1"/>
  <c r="BC1549" i="4" s="1"/>
  <c r="BE1537" i="4" s="1"/>
  <c r="BE1541" i="4" s="1"/>
  <c r="BE1549" i="4" s="1"/>
  <c r="AH1525" i="4"/>
  <c r="AH1533" i="4" s="1"/>
  <c r="AO1521" i="4" s="1"/>
  <c r="AO1525" i="4" s="1"/>
  <c r="AO1533" i="4" s="1"/>
  <c r="AQ1521" i="4" s="1"/>
  <c r="AQ1525" i="4" s="1"/>
  <c r="AQ1533" i="4" s="1"/>
  <c r="AS1521" i="4" s="1"/>
  <c r="AS1525" i="4" s="1"/>
  <c r="AS1533" i="4" s="1"/>
  <c r="AU1521" i="4" s="1"/>
  <c r="AU1525" i="4" s="1"/>
  <c r="AU1533" i="4" s="1"/>
  <c r="AW1521" i="4" s="1"/>
  <c r="AW1525" i="4" s="1"/>
  <c r="AW1533" i="4" s="1"/>
  <c r="AY1521" i="4" s="1"/>
  <c r="AY1525" i="4" s="1"/>
  <c r="AY1533" i="4" s="1"/>
  <c r="BA1521" i="4" s="1"/>
  <c r="BA1525" i="4" s="1"/>
  <c r="BA1533" i="4" s="1"/>
  <c r="BC1521" i="4" s="1"/>
  <c r="BC1525" i="4" s="1"/>
  <c r="BC1533" i="4" s="1"/>
  <c r="BE1521" i="4" s="1"/>
  <c r="BE1525" i="4" s="1"/>
  <c r="BE1533" i="4" s="1"/>
  <c r="AH1509" i="4"/>
  <c r="AH1517" i="4" s="1"/>
  <c r="AO1505" i="4" s="1"/>
  <c r="AO1509" i="4" s="1"/>
  <c r="AO1517" i="4" s="1"/>
  <c r="AQ1505" i="4" s="1"/>
  <c r="AQ1509" i="4" s="1"/>
  <c r="AQ1517" i="4" s="1"/>
  <c r="AS1505" i="4" s="1"/>
  <c r="AS1509" i="4" s="1"/>
  <c r="AS1517" i="4" s="1"/>
  <c r="AU1505" i="4" s="1"/>
  <c r="AU1509" i="4" s="1"/>
  <c r="AU1517" i="4" s="1"/>
  <c r="AW1505" i="4" s="1"/>
  <c r="AW1509" i="4" s="1"/>
  <c r="AW1517" i="4" s="1"/>
  <c r="AY1505" i="4" s="1"/>
  <c r="AY1509" i="4" s="1"/>
  <c r="AY1517" i="4" s="1"/>
  <c r="BA1505" i="4" s="1"/>
  <c r="BA1509" i="4" s="1"/>
  <c r="BA1517" i="4" s="1"/>
  <c r="BC1505" i="4" s="1"/>
  <c r="BC1509" i="4" s="1"/>
  <c r="BC1517" i="4" s="1"/>
  <c r="BE1505" i="4" s="1"/>
  <c r="BE1509" i="4" s="1"/>
  <c r="BE1517" i="4" s="1"/>
  <c r="AH1493" i="4"/>
  <c r="AH1501" i="4" s="1"/>
  <c r="AO1489" i="4" s="1"/>
  <c r="AO1493" i="4" s="1"/>
  <c r="AO1501" i="4" s="1"/>
  <c r="AQ1489" i="4" s="1"/>
  <c r="AQ1493" i="4" s="1"/>
  <c r="AQ1501" i="4" s="1"/>
  <c r="AS1489" i="4" s="1"/>
  <c r="AS1493" i="4" s="1"/>
  <c r="AS1501" i="4" s="1"/>
  <c r="AU1489" i="4" s="1"/>
  <c r="AU1493" i="4" s="1"/>
  <c r="AU1501" i="4" s="1"/>
  <c r="AW1489" i="4" s="1"/>
  <c r="AW1493" i="4" s="1"/>
  <c r="AW1501" i="4" s="1"/>
  <c r="AY1489" i="4" s="1"/>
  <c r="AY1493" i="4" s="1"/>
  <c r="AY1501" i="4" s="1"/>
  <c r="BA1489" i="4" s="1"/>
  <c r="BA1493" i="4" s="1"/>
  <c r="BA1501" i="4" s="1"/>
  <c r="BC1489" i="4" s="1"/>
  <c r="BC1493" i="4" s="1"/>
  <c r="BC1501" i="4" s="1"/>
  <c r="BE1489" i="4" s="1"/>
  <c r="BE1493" i="4" s="1"/>
  <c r="BE1501" i="4" s="1"/>
  <c r="A1484" i="4"/>
  <c r="AE1472" i="4"/>
  <c r="Y1472" i="4"/>
  <c r="V1472" i="4"/>
  <c r="T1472" i="4"/>
  <c r="R1472" i="4"/>
  <c r="L1472" i="4"/>
  <c r="J1472" i="4"/>
  <c r="F1472" i="4"/>
  <c r="D1472" i="4"/>
  <c r="B1472" i="4"/>
  <c r="AH1471" i="4"/>
  <c r="AF1471" i="4"/>
  <c r="AC1471" i="4"/>
  <c r="AC1472" i="4" s="1"/>
  <c r="Z1471" i="4"/>
  <c r="W1471" i="4"/>
  <c r="U1471" i="4"/>
  <c r="S1471" i="4"/>
  <c r="N1471" i="4"/>
  <c r="K1471" i="4"/>
  <c r="H1471" i="4"/>
  <c r="E1471" i="4"/>
  <c r="AF1470" i="4"/>
  <c r="AD1470" i="4"/>
  <c r="Z1470" i="4"/>
  <c r="W1470" i="4"/>
  <c r="U1470" i="4"/>
  <c r="S1470" i="4"/>
  <c r="N1470" i="4"/>
  <c r="K1470" i="4"/>
  <c r="H1470" i="4"/>
  <c r="E1470" i="4"/>
  <c r="AF1469" i="4"/>
  <c r="AD1469" i="4"/>
  <c r="Z1469" i="4"/>
  <c r="W1469" i="4"/>
  <c r="U1469" i="4"/>
  <c r="S1469" i="4"/>
  <c r="N1469" i="4"/>
  <c r="K1469" i="4"/>
  <c r="H1469" i="4"/>
  <c r="E1469" i="4"/>
  <c r="AF1468" i="4"/>
  <c r="AD1468" i="4"/>
  <c r="Z1468" i="4"/>
  <c r="W1468" i="4"/>
  <c r="U1468" i="4"/>
  <c r="S1468" i="4"/>
  <c r="N1468" i="4"/>
  <c r="K1468" i="4"/>
  <c r="H1468" i="4"/>
  <c r="E1468" i="4"/>
  <c r="AF1467" i="4"/>
  <c r="AD1467" i="4"/>
  <c r="Z1467" i="4"/>
  <c r="W1467" i="4"/>
  <c r="U1467" i="4"/>
  <c r="S1467" i="4"/>
  <c r="AF1466" i="4"/>
  <c r="AD1466" i="4"/>
  <c r="Z1466" i="4"/>
  <c r="W1466" i="4"/>
  <c r="U1466" i="4"/>
  <c r="S1466" i="4"/>
  <c r="N1466" i="4"/>
  <c r="K1466" i="4"/>
  <c r="H1466" i="4"/>
  <c r="E1466" i="4"/>
  <c r="AF1465" i="4"/>
  <c r="AD1465" i="4"/>
  <c r="Z1465" i="4"/>
  <c r="W1465" i="4"/>
  <c r="U1465" i="4"/>
  <c r="S1465" i="4"/>
  <c r="N1465" i="4"/>
  <c r="K1465" i="4"/>
  <c r="H1465" i="4"/>
  <c r="E1465" i="4"/>
  <c r="AF1464" i="4"/>
  <c r="AD1464" i="4"/>
  <c r="Z1464" i="4"/>
  <c r="W1464" i="4"/>
  <c r="U1464" i="4"/>
  <c r="S1464" i="4"/>
  <c r="N1464" i="4"/>
  <c r="K1464" i="4"/>
  <c r="H1464" i="4"/>
  <c r="E1464" i="4"/>
  <c r="AH1463" i="4"/>
  <c r="AF1463" i="4"/>
  <c r="AD1463" i="4"/>
  <c r="Z1463" i="4"/>
  <c r="W1463" i="4"/>
  <c r="S1463" i="4"/>
  <c r="P1463" i="4"/>
  <c r="P1472" i="4" s="1"/>
  <c r="N1463" i="4"/>
  <c r="K1463" i="4"/>
  <c r="H1463" i="4"/>
  <c r="E1463" i="4"/>
  <c r="AF1462" i="4"/>
  <c r="AD1462" i="4"/>
  <c r="Z1462" i="4"/>
  <c r="W1462" i="4"/>
  <c r="U1462" i="4"/>
  <c r="S1462" i="4"/>
  <c r="N1462" i="4"/>
  <c r="K1462" i="4"/>
  <c r="H1462" i="4"/>
  <c r="E1462" i="4"/>
  <c r="AF1461" i="4"/>
  <c r="AD1461" i="4"/>
  <c r="Z1461" i="4"/>
  <c r="W1461" i="4"/>
  <c r="U1461" i="4"/>
  <c r="S1461" i="4"/>
  <c r="N1461" i="4"/>
  <c r="K1461" i="4"/>
  <c r="H1461" i="4"/>
  <c r="E1461" i="4"/>
  <c r="BE1456" i="4"/>
  <c r="BC1456" i="4"/>
  <c r="BA1456" i="4"/>
  <c r="AY1456" i="4"/>
  <c r="AW1456" i="4"/>
  <c r="AU1456" i="4"/>
  <c r="AS1456" i="4"/>
  <c r="AQ1456" i="4"/>
  <c r="AO1456" i="4"/>
  <c r="AH1456" i="4"/>
  <c r="AE1456" i="4"/>
  <c r="AC1456" i="4"/>
  <c r="Y1456" i="4"/>
  <c r="V1456" i="4"/>
  <c r="T1456" i="4"/>
  <c r="R1456" i="4"/>
  <c r="P1456" i="4"/>
  <c r="L1456" i="4"/>
  <c r="J1456" i="4"/>
  <c r="F1456" i="4"/>
  <c r="D1456" i="4"/>
  <c r="B1456" i="4"/>
  <c r="AF1455" i="4"/>
  <c r="AD1455" i="4"/>
  <c r="Z1455" i="4"/>
  <c r="N1455" i="4"/>
  <c r="K1455" i="4"/>
  <c r="H1455" i="4"/>
  <c r="E1455" i="4"/>
  <c r="AF1454" i="4"/>
  <c r="AD1454" i="4"/>
  <c r="Z1454" i="4"/>
  <c r="N1454" i="4"/>
  <c r="K1454" i="4"/>
  <c r="H1454" i="4"/>
  <c r="E1454" i="4"/>
  <c r="AF1453" i="4"/>
  <c r="AD1453" i="4"/>
  <c r="Z1453" i="4"/>
  <c r="N1453" i="4"/>
  <c r="K1453" i="4"/>
  <c r="H1453" i="4"/>
  <c r="E1453" i="4"/>
  <c r="AF1452" i="4"/>
  <c r="AD1452" i="4"/>
  <c r="Z1452" i="4"/>
  <c r="N1452" i="4"/>
  <c r="K1452" i="4"/>
  <c r="H1452" i="4"/>
  <c r="E1452" i="4"/>
  <c r="AF1451" i="4"/>
  <c r="AD1451" i="4"/>
  <c r="Z1451" i="4"/>
  <c r="N1451" i="4"/>
  <c r="K1451" i="4"/>
  <c r="H1451" i="4"/>
  <c r="E1451" i="4"/>
  <c r="AF1450" i="4"/>
  <c r="AD1450" i="4"/>
  <c r="Z1450" i="4"/>
  <c r="N1450" i="4"/>
  <c r="K1450" i="4"/>
  <c r="H1450" i="4"/>
  <c r="E1450" i="4"/>
  <c r="AF1449" i="4"/>
  <c r="AD1449" i="4"/>
  <c r="Z1449" i="4"/>
  <c r="N1449" i="4"/>
  <c r="K1449" i="4"/>
  <c r="H1449" i="4"/>
  <c r="E1449" i="4"/>
  <c r="AF1448" i="4"/>
  <c r="AD1448" i="4"/>
  <c r="Z1448" i="4"/>
  <c r="W1448" i="4"/>
  <c r="W1456" i="4" s="1"/>
  <c r="U1448" i="4"/>
  <c r="U1456" i="4" s="1"/>
  <c r="S1448" i="4"/>
  <c r="S1456" i="4" s="1"/>
  <c r="N1448" i="4"/>
  <c r="K1448" i="4"/>
  <c r="H1448" i="4"/>
  <c r="E1448" i="4"/>
  <c r="Z1447" i="4"/>
  <c r="BE1445" i="4"/>
  <c r="BC1445" i="4"/>
  <c r="BA1445" i="4"/>
  <c r="AY1445" i="4"/>
  <c r="AW1445" i="4"/>
  <c r="AU1445" i="4"/>
  <c r="AS1445" i="4"/>
  <c r="AQ1445" i="4"/>
  <c r="AO1445" i="4"/>
  <c r="AH1445" i="4"/>
  <c r="AE1445" i="4"/>
  <c r="AC1445" i="4"/>
  <c r="Y1445" i="4"/>
  <c r="V1445" i="4"/>
  <c r="T1445" i="4"/>
  <c r="R1445" i="4"/>
  <c r="P1445" i="4"/>
  <c r="L1445" i="4"/>
  <c r="J1445" i="4"/>
  <c r="F1445" i="4"/>
  <c r="D1445" i="4"/>
  <c r="B1445" i="4"/>
  <c r="AF1444" i="4"/>
  <c r="AD1444" i="4"/>
  <c r="Z1444" i="4"/>
  <c r="N1444" i="4"/>
  <c r="K1444" i="4"/>
  <c r="H1444" i="4"/>
  <c r="E1444" i="4"/>
  <c r="AF1443" i="4"/>
  <c r="AD1443" i="4"/>
  <c r="Z1443" i="4"/>
  <c r="N1443" i="4"/>
  <c r="K1443" i="4"/>
  <c r="H1443" i="4"/>
  <c r="E1443" i="4"/>
  <c r="AF1442" i="4"/>
  <c r="AD1442" i="4"/>
  <c r="Z1442" i="4"/>
  <c r="N1442" i="4"/>
  <c r="K1442" i="4"/>
  <c r="H1442" i="4"/>
  <c r="E1442" i="4"/>
  <c r="AF1441" i="4"/>
  <c r="AD1441" i="4"/>
  <c r="Z1441" i="4"/>
  <c r="N1441" i="4"/>
  <c r="K1441" i="4"/>
  <c r="H1441" i="4"/>
  <c r="E1441" i="4"/>
  <c r="AF1440" i="4"/>
  <c r="AD1440" i="4"/>
  <c r="Z1440" i="4"/>
  <c r="N1440" i="4"/>
  <c r="K1440" i="4"/>
  <c r="H1440" i="4"/>
  <c r="E1440" i="4"/>
  <c r="AF1439" i="4"/>
  <c r="AD1439" i="4"/>
  <c r="Z1439" i="4"/>
  <c r="N1439" i="4"/>
  <c r="K1439" i="4"/>
  <c r="H1439" i="4"/>
  <c r="E1439" i="4"/>
  <c r="AF1438" i="4"/>
  <c r="AD1438" i="4"/>
  <c r="Z1438" i="4"/>
  <c r="W1438" i="4"/>
  <c r="U1438" i="4"/>
  <c r="S1438" i="4"/>
  <c r="N1438" i="4"/>
  <c r="K1438" i="4"/>
  <c r="H1438" i="4"/>
  <c r="E1438" i="4"/>
  <c r="AF1437" i="4"/>
  <c r="AD1437" i="4"/>
  <c r="Z1437" i="4"/>
  <c r="W1437" i="4"/>
  <c r="N1437" i="4"/>
  <c r="K1437" i="4"/>
  <c r="H1437" i="4"/>
  <c r="E1437" i="4"/>
  <c r="AF1436" i="4"/>
  <c r="AD1436" i="4"/>
  <c r="Z1436" i="4"/>
  <c r="W1436" i="4"/>
  <c r="N1436" i="4"/>
  <c r="K1436" i="4"/>
  <c r="H1436" i="4"/>
  <c r="E1436" i="4"/>
  <c r="AF1435" i="4"/>
  <c r="AD1435" i="4"/>
  <c r="Z1435" i="4"/>
  <c r="W1435" i="4"/>
  <c r="N1435" i="4"/>
  <c r="K1435" i="4"/>
  <c r="H1435" i="4"/>
  <c r="E1435" i="4"/>
  <c r="AF1434" i="4"/>
  <c r="AD1434" i="4"/>
  <c r="Z1434" i="4"/>
  <c r="W1434" i="4"/>
  <c r="N1434" i="4"/>
  <c r="K1434" i="4"/>
  <c r="H1434" i="4"/>
  <c r="E1434" i="4"/>
  <c r="AF1433" i="4"/>
  <c r="AD1433" i="4"/>
  <c r="Z1433" i="4"/>
  <c r="W1433" i="4"/>
  <c r="N1433" i="4"/>
  <c r="K1433" i="4"/>
  <c r="H1433" i="4"/>
  <c r="E1433" i="4"/>
  <c r="AF1432" i="4"/>
  <c r="AD1432" i="4"/>
  <c r="Z1432" i="4"/>
  <c r="W1432" i="4"/>
  <c r="N1432" i="4"/>
  <c r="K1432" i="4"/>
  <c r="H1432" i="4"/>
  <c r="E1432" i="4"/>
  <c r="AF1431" i="4"/>
  <c r="AD1431" i="4"/>
  <c r="Z1431" i="4"/>
  <c r="W1431" i="4"/>
  <c r="N1431" i="4"/>
  <c r="K1431" i="4"/>
  <c r="H1431" i="4"/>
  <c r="E1431" i="4"/>
  <c r="AF1430" i="4"/>
  <c r="AD1430" i="4"/>
  <c r="Z1430" i="4"/>
  <c r="W1430" i="4"/>
  <c r="N1430" i="4"/>
  <c r="K1430" i="4"/>
  <c r="H1430" i="4"/>
  <c r="E1430" i="4"/>
  <c r="AF1429" i="4"/>
  <c r="AD1429" i="4"/>
  <c r="Z1429" i="4"/>
  <c r="W1429" i="4"/>
  <c r="N1429" i="4"/>
  <c r="K1429" i="4"/>
  <c r="H1429" i="4"/>
  <c r="E1429" i="4"/>
  <c r="AF1428" i="4"/>
  <c r="AD1428" i="4"/>
  <c r="Z1428" i="4"/>
  <c r="W1428" i="4"/>
  <c r="N1428" i="4"/>
  <c r="K1428" i="4"/>
  <c r="H1428" i="4"/>
  <c r="E1428" i="4"/>
  <c r="AF1427" i="4"/>
  <c r="AD1427" i="4"/>
  <c r="Z1427" i="4"/>
  <c r="W1427" i="4"/>
  <c r="U1427" i="4"/>
  <c r="S1427" i="4"/>
  <c r="N1427" i="4"/>
  <c r="K1427" i="4"/>
  <c r="H1427" i="4"/>
  <c r="E1427" i="4"/>
  <c r="AF1426" i="4"/>
  <c r="AD1426" i="4"/>
  <c r="Z1426" i="4"/>
  <c r="AF1425" i="4"/>
  <c r="AD1425" i="4"/>
  <c r="Z1425" i="4"/>
  <c r="AF1424" i="4"/>
  <c r="AD1424" i="4"/>
  <c r="Z1424" i="4"/>
  <c r="AF1423" i="4"/>
  <c r="AD1423" i="4"/>
  <c r="Z1423" i="4"/>
  <c r="BE1421" i="4"/>
  <c r="BC1421" i="4"/>
  <c r="BA1421" i="4"/>
  <c r="AY1421" i="4"/>
  <c r="AW1421" i="4"/>
  <c r="AU1421" i="4"/>
  <c r="AS1421" i="4"/>
  <c r="AQ1421" i="4"/>
  <c r="AO1421" i="4"/>
  <c r="AH1421" i="4"/>
  <c r="AE1421" i="4"/>
  <c r="AC1421" i="4"/>
  <c r="Y1421" i="4"/>
  <c r="W1421" i="4"/>
  <c r="V1421" i="4"/>
  <c r="T1421" i="4"/>
  <c r="R1421" i="4"/>
  <c r="P1421" i="4"/>
  <c r="L1421" i="4"/>
  <c r="J1421" i="4"/>
  <c r="F1421" i="4"/>
  <c r="D1421" i="4"/>
  <c r="B1421" i="4"/>
  <c r="AF1420" i="4"/>
  <c r="AD1420" i="4"/>
  <c r="Z1420" i="4"/>
  <c r="AF1419" i="4"/>
  <c r="AD1419" i="4"/>
  <c r="Z1419" i="4"/>
  <c r="U1419" i="4"/>
  <c r="S1419" i="4"/>
  <c r="AF1418" i="4"/>
  <c r="AD1418" i="4"/>
  <c r="Z1418" i="4"/>
  <c r="U1418" i="4"/>
  <c r="S1418" i="4"/>
  <c r="N1418" i="4"/>
  <c r="N1421" i="4" s="1"/>
  <c r="K1418" i="4"/>
  <c r="K1421" i="4" s="1"/>
  <c r="H1418" i="4"/>
  <c r="H1421" i="4" s="1"/>
  <c r="E1418" i="4"/>
  <c r="E1421" i="4" s="1"/>
  <c r="AH1414" i="4"/>
  <c r="AF1414" i="4"/>
  <c r="AD1414" i="4"/>
  <c r="Z1414" i="4"/>
  <c r="W1414" i="4"/>
  <c r="S1414" i="4"/>
  <c r="P1414" i="4"/>
  <c r="U1414" i="4" s="1"/>
  <c r="N1414" i="4"/>
  <c r="K1414" i="4"/>
  <c r="H1414" i="4"/>
  <c r="E1414" i="4"/>
  <c r="AH1409" i="4"/>
  <c r="AF1409" i="4"/>
  <c r="AD1409" i="4"/>
  <c r="Z1409" i="4"/>
  <c r="W1409" i="4"/>
  <c r="S1409" i="4"/>
  <c r="P1409" i="4"/>
  <c r="U1409" i="4" s="1"/>
  <c r="N1409" i="4"/>
  <c r="K1409" i="4"/>
  <c r="H1409" i="4"/>
  <c r="E1409" i="4"/>
  <c r="AE1406" i="4"/>
  <c r="AC1406" i="4"/>
  <c r="Y1406" i="4"/>
  <c r="V1406" i="4"/>
  <c r="T1406" i="4"/>
  <c r="R1406" i="4"/>
  <c r="L1406" i="4"/>
  <c r="J1406" i="4"/>
  <c r="F1406" i="4"/>
  <c r="D1406" i="4"/>
  <c r="B1406" i="4"/>
  <c r="AF1405" i="4"/>
  <c r="AD1405" i="4"/>
  <c r="Z1405" i="4"/>
  <c r="W1405" i="4"/>
  <c r="S1405" i="4"/>
  <c r="P1405" i="4"/>
  <c r="AH1405" i="4" s="1"/>
  <c r="N1405" i="4"/>
  <c r="K1405" i="4"/>
  <c r="H1405" i="4"/>
  <c r="E1405" i="4"/>
  <c r="AH1404" i="4"/>
  <c r="AM1404" i="4" s="1"/>
  <c r="AF1404" i="4"/>
  <c r="AD1404" i="4"/>
  <c r="Z1404" i="4"/>
  <c r="W1404" i="4"/>
  <c r="U1404" i="4"/>
  <c r="S1404" i="4"/>
  <c r="S1406" i="4" s="1"/>
  <c r="N1404" i="4"/>
  <c r="K1404" i="4"/>
  <c r="H1404" i="4"/>
  <c r="E1404" i="4"/>
  <c r="AF1399" i="4"/>
  <c r="AD1399" i="4"/>
  <c r="Z1399" i="4"/>
  <c r="W1399" i="4"/>
  <c r="U1399" i="4"/>
  <c r="S1399" i="4"/>
  <c r="N1399" i="4"/>
  <c r="K1399" i="4"/>
  <c r="H1399" i="4"/>
  <c r="E1399" i="4"/>
  <c r="AE1394" i="4"/>
  <c r="Y1394" i="4"/>
  <c r="V1394" i="4"/>
  <c r="T1394" i="4"/>
  <c r="R1394" i="4"/>
  <c r="L1394" i="4"/>
  <c r="J1394" i="4"/>
  <c r="F1394" i="4"/>
  <c r="D1394" i="4"/>
  <c r="B1394" i="4"/>
  <c r="AF1393" i="4"/>
  <c r="AD1393" i="4"/>
  <c r="Z1393" i="4"/>
  <c r="W1393" i="4"/>
  <c r="S1393" i="4"/>
  <c r="P1393" i="4"/>
  <c r="P1394" i="4" s="1"/>
  <c r="N1393" i="4"/>
  <c r="K1393" i="4"/>
  <c r="H1393" i="4"/>
  <c r="E1393" i="4"/>
  <c r="AF1392" i="4"/>
  <c r="AD1392" i="4"/>
  <c r="Z1392" i="4"/>
  <c r="W1392" i="4"/>
  <c r="U1392" i="4"/>
  <c r="S1392" i="4"/>
  <c r="N1392" i="4"/>
  <c r="K1392" i="4"/>
  <c r="H1392" i="4"/>
  <c r="E1392" i="4"/>
  <c r="AF1391" i="4"/>
  <c r="AD1391" i="4"/>
  <c r="Z1391" i="4"/>
  <c r="W1391" i="4"/>
  <c r="U1391" i="4"/>
  <c r="S1391" i="4"/>
  <c r="N1391" i="4"/>
  <c r="K1391" i="4"/>
  <c r="H1391" i="4"/>
  <c r="E1391" i="4"/>
  <c r="AF1390" i="4"/>
  <c r="AD1390" i="4"/>
  <c r="Z1390" i="4"/>
  <c r="W1390" i="4"/>
  <c r="U1390" i="4"/>
  <c r="S1390" i="4"/>
  <c r="N1390" i="4"/>
  <c r="K1390" i="4"/>
  <c r="H1390" i="4"/>
  <c r="E1390" i="4"/>
  <c r="AF1389" i="4"/>
  <c r="AD1389" i="4"/>
  <c r="Z1389" i="4"/>
  <c r="W1389" i="4"/>
  <c r="U1389" i="4"/>
  <c r="S1389" i="4"/>
  <c r="N1389" i="4"/>
  <c r="K1389" i="4"/>
  <c r="H1389" i="4"/>
  <c r="E1389" i="4"/>
  <c r="AF1388" i="4"/>
  <c r="AD1388" i="4"/>
  <c r="Z1388" i="4"/>
  <c r="W1388" i="4"/>
  <c r="U1388" i="4"/>
  <c r="S1388" i="4"/>
  <c r="N1388" i="4"/>
  <c r="K1388" i="4"/>
  <c r="H1388" i="4"/>
  <c r="E1388" i="4"/>
  <c r="AF1387" i="4"/>
  <c r="AC1387" i="4"/>
  <c r="AC1394" i="4" s="1"/>
  <c r="Z1387" i="4"/>
  <c r="W1387" i="4"/>
  <c r="U1387" i="4"/>
  <c r="S1387" i="4"/>
  <c r="N1387" i="4"/>
  <c r="K1387" i="4"/>
  <c r="H1387" i="4"/>
  <c r="E1387" i="4"/>
  <c r="AF1386" i="4"/>
  <c r="AD1386" i="4"/>
  <c r="W1386" i="4"/>
  <c r="AE1383" i="4"/>
  <c r="AC1383" i="4"/>
  <c r="Y1383" i="4"/>
  <c r="V1383" i="4"/>
  <c r="T1383" i="4"/>
  <c r="R1383" i="4"/>
  <c r="L1383" i="4"/>
  <c r="J1383" i="4"/>
  <c r="F1383" i="4"/>
  <c r="D1383" i="4"/>
  <c r="B1383" i="4"/>
  <c r="AF1382" i="4"/>
  <c r="AD1382" i="4"/>
  <c r="Z1382" i="4"/>
  <c r="W1382" i="4"/>
  <c r="U1382" i="4"/>
  <c r="S1382" i="4"/>
  <c r="N1382" i="4"/>
  <c r="K1382" i="4"/>
  <c r="H1382" i="4"/>
  <c r="E1382" i="4"/>
  <c r="AQ1381" i="4"/>
  <c r="AS1381" i="4" s="1"/>
  <c r="AU1381" i="4" s="1"/>
  <c r="AW1381" i="4" s="1"/>
  <c r="AY1381" i="4" s="1"/>
  <c r="BA1381" i="4" s="1"/>
  <c r="BC1381" i="4" s="1"/>
  <c r="BE1381" i="4" s="1"/>
  <c r="AH1381" i="4"/>
  <c r="AM1381" i="4" s="1"/>
  <c r="AF1381" i="4"/>
  <c r="AD1381" i="4"/>
  <c r="Z1381" i="4"/>
  <c r="W1381" i="4"/>
  <c r="U1381" i="4"/>
  <c r="S1381" i="4"/>
  <c r="N1381" i="4"/>
  <c r="K1381" i="4"/>
  <c r="H1381" i="4"/>
  <c r="E1381" i="4"/>
  <c r="AH1380" i="4"/>
  <c r="AF1380" i="4"/>
  <c r="AD1380" i="4"/>
  <c r="Z1380" i="4"/>
  <c r="W1380" i="4"/>
  <c r="S1380" i="4"/>
  <c r="P1380" i="4"/>
  <c r="U1380" i="4" s="1"/>
  <c r="N1380" i="4"/>
  <c r="K1380" i="4"/>
  <c r="H1380" i="4"/>
  <c r="E1380" i="4"/>
  <c r="AO1379" i="4"/>
  <c r="AQ1379" i="4" s="1"/>
  <c r="AS1379" i="4" s="1"/>
  <c r="AU1379" i="4" s="1"/>
  <c r="AW1379" i="4" s="1"/>
  <c r="AY1379" i="4" s="1"/>
  <c r="BA1379" i="4" s="1"/>
  <c r="BC1379" i="4" s="1"/>
  <c r="BE1379" i="4" s="1"/>
  <c r="AF1379" i="4"/>
  <c r="AD1379" i="4"/>
  <c r="Z1379" i="4"/>
  <c r="W1379" i="4"/>
  <c r="U1379" i="4"/>
  <c r="S1379" i="4"/>
  <c r="N1379" i="4"/>
  <c r="K1379" i="4"/>
  <c r="H1379" i="4"/>
  <c r="E1379" i="4"/>
  <c r="BD1378" i="4"/>
  <c r="AX1378" i="4"/>
  <c r="AZ1378" i="4" s="1"/>
  <c r="AR1378" i="4"/>
  <c r="AH1378" i="4"/>
  <c r="AM1378" i="4" s="1"/>
  <c r="AF1378" i="4"/>
  <c r="AD1378" i="4"/>
  <c r="Z1378" i="4"/>
  <c r="W1378" i="4"/>
  <c r="S1378" i="4"/>
  <c r="P1378" i="4"/>
  <c r="U1378" i="4" s="1"/>
  <c r="N1378" i="4"/>
  <c r="K1378" i="4"/>
  <c r="H1378" i="4"/>
  <c r="E1378" i="4"/>
  <c r="BE1372" i="4"/>
  <c r="BC1372" i="4"/>
  <c r="BA1372" i="4"/>
  <c r="AY1372" i="4"/>
  <c r="AW1372" i="4"/>
  <c r="AU1372" i="4"/>
  <c r="AS1372" i="4"/>
  <c r="AQ1372" i="4"/>
  <c r="AO1372" i="4"/>
  <c r="AH1372" i="4"/>
  <c r="AE1372" i="4"/>
  <c r="AE1373" i="4" s="1"/>
  <c r="Y1372" i="4"/>
  <c r="Y1373" i="4" s="1"/>
  <c r="T1372" i="4"/>
  <c r="T1373" i="4" s="1"/>
  <c r="AL1368" i="4" s="1"/>
  <c r="AL1373" i="4" s="1"/>
  <c r="P1372" i="4"/>
  <c r="P1373" i="4" s="1"/>
  <c r="AH1368" i="4" s="1"/>
  <c r="AH1373" i="4" s="1"/>
  <c r="AO1368" i="4" s="1"/>
  <c r="L1372" i="4"/>
  <c r="L1373" i="4" s="1"/>
  <c r="F1372" i="4"/>
  <c r="B1372" i="4"/>
  <c r="B1373" i="4" s="1"/>
  <c r="AF1371" i="4"/>
  <c r="H1371" i="4"/>
  <c r="N1371" i="4" s="1"/>
  <c r="AF1370" i="4"/>
  <c r="H1370" i="4"/>
  <c r="N1370" i="4" s="1"/>
  <c r="AF1369" i="4"/>
  <c r="H1369" i="4"/>
  <c r="AF1368" i="4"/>
  <c r="Z1368" i="4"/>
  <c r="U1368" i="4"/>
  <c r="N1368" i="4"/>
  <c r="H1368" i="4"/>
  <c r="H1367" i="4"/>
  <c r="H1366" i="4"/>
  <c r="H1365" i="4"/>
  <c r="H1364" i="4"/>
  <c r="N1361" i="4"/>
  <c r="H1361" i="4"/>
  <c r="BE1359" i="4"/>
  <c r="BC1359" i="4"/>
  <c r="BA1359" i="4"/>
  <c r="AY1359" i="4"/>
  <c r="AW1359" i="4"/>
  <c r="AU1359" i="4"/>
  <c r="AS1359" i="4"/>
  <c r="AQ1359" i="4"/>
  <c r="AO1359" i="4"/>
  <c r="AH1359" i="4"/>
  <c r="AE1359" i="4"/>
  <c r="Y1359" i="4"/>
  <c r="T1359" i="4"/>
  <c r="P1359" i="4"/>
  <c r="L1359" i="4"/>
  <c r="F1359" i="4"/>
  <c r="B1359" i="4"/>
  <c r="B1360" i="4" s="1"/>
  <c r="N1357" i="4"/>
  <c r="H1357" i="4"/>
  <c r="BE1355" i="4"/>
  <c r="BC1355" i="4"/>
  <c r="BA1355" i="4"/>
  <c r="AY1355" i="4"/>
  <c r="AW1355" i="4"/>
  <c r="AU1355" i="4"/>
  <c r="AS1355" i="4"/>
  <c r="AQ1355" i="4"/>
  <c r="AO1355" i="4"/>
  <c r="AH1355" i="4"/>
  <c r="AE1355" i="4"/>
  <c r="Y1355" i="4"/>
  <c r="T1355" i="4"/>
  <c r="P1355" i="4"/>
  <c r="L1355" i="4"/>
  <c r="F1355" i="4"/>
  <c r="B1355" i="4"/>
  <c r="Z1352" i="4"/>
  <c r="N1352" i="4"/>
  <c r="H1352" i="4"/>
  <c r="BE1348" i="4"/>
  <c r="BC1348" i="4"/>
  <c r="BE1340" i="4"/>
  <c r="BE1233" i="4" s="1"/>
  <c r="BC1340" i="4"/>
  <c r="BA1340" i="4"/>
  <c r="AY1340" i="4"/>
  <c r="AX1233" i="4" s="1"/>
  <c r="AW1340" i="4"/>
  <c r="AW1233" i="4" s="1"/>
  <c r="AS1340" i="4"/>
  <c r="AQ1340" i="4"/>
  <c r="AQ1233" i="4" s="1"/>
  <c r="AO1340" i="4"/>
  <c r="AO1233" i="4" s="1"/>
  <c r="AH1340" i="4"/>
  <c r="AE1340" i="4"/>
  <c r="AC1340" i="4"/>
  <c r="Y1340" i="4"/>
  <c r="Y1233" i="4" s="1"/>
  <c r="V1340" i="4"/>
  <c r="T1340" i="4"/>
  <c r="R1340" i="4"/>
  <c r="P1340" i="4"/>
  <c r="P1233" i="4" s="1"/>
  <c r="L1340" i="4"/>
  <c r="L1233" i="4" s="1"/>
  <c r="J1340" i="4"/>
  <c r="F1340" i="4"/>
  <c r="F1233" i="4" s="1"/>
  <c r="D1340" i="4"/>
  <c r="B1340" i="4"/>
  <c r="B1233" i="4" s="1"/>
  <c r="AF1339" i="4"/>
  <c r="AD1339" i="4"/>
  <c r="Z1339" i="4"/>
  <c r="W1339" i="4"/>
  <c r="U1339" i="4"/>
  <c r="S1339" i="4"/>
  <c r="N1339" i="4"/>
  <c r="K1339" i="4"/>
  <c r="H1339" i="4"/>
  <c r="E1339" i="4"/>
  <c r="AF1338" i="4"/>
  <c r="AD1338" i="4"/>
  <c r="Z1338" i="4"/>
  <c r="W1338" i="4"/>
  <c r="U1338" i="4"/>
  <c r="S1338" i="4"/>
  <c r="N1338" i="4"/>
  <c r="K1338" i="4"/>
  <c r="H1338" i="4"/>
  <c r="E1338" i="4"/>
  <c r="AF1337" i="4"/>
  <c r="AD1337" i="4"/>
  <c r="Z1337" i="4"/>
  <c r="W1337" i="4"/>
  <c r="N1337" i="4"/>
  <c r="K1337" i="4"/>
  <c r="H1337" i="4"/>
  <c r="E1337" i="4"/>
  <c r="AF1336" i="4"/>
  <c r="AD1336" i="4"/>
  <c r="Z1336" i="4"/>
  <c r="W1336" i="4"/>
  <c r="N1336" i="4"/>
  <c r="K1336" i="4"/>
  <c r="H1336" i="4"/>
  <c r="E1336" i="4"/>
  <c r="AF1335" i="4"/>
  <c r="AD1335" i="4"/>
  <c r="Z1335" i="4"/>
  <c r="W1335" i="4"/>
  <c r="N1335" i="4"/>
  <c r="K1335" i="4"/>
  <c r="H1335" i="4"/>
  <c r="E1335" i="4"/>
  <c r="AF1334" i="4"/>
  <c r="AD1334" i="4"/>
  <c r="Z1334" i="4"/>
  <c r="W1334" i="4"/>
  <c r="N1334" i="4"/>
  <c r="K1334" i="4"/>
  <c r="H1334" i="4"/>
  <c r="E1334" i="4"/>
  <c r="AF1333" i="4"/>
  <c r="AD1333" i="4"/>
  <c r="Z1333" i="4"/>
  <c r="W1333" i="4"/>
  <c r="N1333" i="4"/>
  <c r="K1333" i="4"/>
  <c r="H1333" i="4"/>
  <c r="E1333" i="4"/>
  <c r="AF1332" i="4"/>
  <c r="AD1332" i="4"/>
  <c r="Z1332" i="4"/>
  <c r="W1332" i="4"/>
  <c r="N1332" i="4"/>
  <c r="K1332" i="4"/>
  <c r="H1332" i="4"/>
  <c r="E1332" i="4"/>
  <c r="AF1331" i="4"/>
  <c r="AD1331" i="4"/>
  <c r="Z1331" i="4"/>
  <c r="W1331" i="4"/>
  <c r="N1331" i="4"/>
  <c r="K1331" i="4"/>
  <c r="H1331" i="4"/>
  <c r="E1331" i="4"/>
  <c r="AF1330" i="4"/>
  <c r="AD1330" i="4"/>
  <c r="Z1330" i="4"/>
  <c r="W1330" i="4"/>
  <c r="N1330" i="4"/>
  <c r="K1330" i="4"/>
  <c r="H1330" i="4"/>
  <c r="E1330" i="4"/>
  <c r="AF1329" i="4"/>
  <c r="AD1329" i="4"/>
  <c r="Z1329" i="4"/>
  <c r="W1329" i="4"/>
  <c r="N1329" i="4"/>
  <c r="K1329" i="4"/>
  <c r="H1329" i="4"/>
  <c r="E1329" i="4"/>
  <c r="AF1328" i="4"/>
  <c r="AD1328" i="4"/>
  <c r="Z1328" i="4"/>
  <c r="W1328" i="4"/>
  <c r="N1328" i="4"/>
  <c r="K1328" i="4"/>
  <c r="H1328" i="4"/>
  <c r="E1328" i="4"/>
  <c r="AF1327" i="4"/>
  <c r="AD1327" i="4"/>
  <c r="Z1327" i="4"/>
  <c r="W1327" i="4"/>
  <c r="N1327" i="4"/>
  <c r="K1327" i="4"/>
  <c r="H1327" i="4"/>
  <c r="E1327" i="4"/>
  <c r="AF1326" i="4"/>
  <c r="AD1326" i="4"/>
  <c r="Z1326" i="4"/>
  <c r="W1326" i="4"/>
  <c r="N1326" i="4"/>
  <c r="K1326" i="4"/>
  <c r="H1326" i="4"/>
  <c r="E1326" i="4"/>
  <c r="AF1325" i="4"/>
  <c r="AD1325" i="4"/>
  <c r="Z1325" i="4"/>
  <c r="W1325" i="4"/>
  <c r="N1325" i="4"/>
  <c r="K1325" i="4"/>
  <c r="H1325" i="4"/>
  <c r="E1325" i="4"/>
  <c r="AF1324" i="4"/>
  <c r="AD1324" i="4"/>
  <c r="Z1324" i="4"/>
  <c r="W1324" i="4"/>
  <c r="N1324" i="4"/>
  <c r="K1324" i="4"/>
  <c r="H1324" i="4"/>
  <c r="E1324" i="4"/>
  <c r="AU1323" i="4"/>
  <c r="AU1340" i="4" s="1"/>
  <c r="AU1233" i="4" s="1"/>
  <c r="AF1323" i="4"/>
  <c r="AD1323" i="4"/>
  <c r="Z1323" i="4"/>
  <c r="W1323" i="4"/>
  <c r="U1323" i="4"/>
  <c r="S1323" i="4"/>
  <c r="N1323" i="4"/>
  <c r="K1323" i="4"/>
  <c r="H1323" i="4"/>
  <c r="E1323" i="4"/>
  <c r="AF1322" i="4"/>
  <c r="AD1322" i="4"/>
  <c r="Z1322" i="4"/>
  <c r="W1322" i="4"/>
  <c r="U1322" i="4"/>
  <c r="S1322" i="4"/>
  <c r="N1322" i="4"/>
  <c r="K1322" i="4"/>
  <c r="H1322" i="4"/>
  <c r="E1322" i="4"/>
  <c r="AF1321" i="4"/>
  <c r="AD1321" i="4"/>
  <c r="Z1321" i="4"/>
  <c r="W1321" i="4"/>
  <c r="U1321" i="4"/>
  <c r="S1321" i="4"/>
  <c r="AF1320" i="4"/>
  <c r="AD1320" i="4"/>
  <c r="Z1320" i="4"/>
  <c r="W1320" i="4"/>
  <c r="U1320" i="4"/>
  <c r="S1320" i="4"/>
  <c r="N1320" i="4"/>
  <c r="K1320" i="4"/>
  <c r="H1320" i="4"/>
  <c r="E1320" i="4"/>
  <c r="Z1319" i="4"/>
  <c r="W1319" i="4"/>
  <c r="N1319" i="4"/>
  <c r="K1319" i="4"/>
  <c r="H1319" i="4"/>
  <c r="E1319" i="4"/>
  <c r="Z1318" i="4"/>
  <c r="W1318" i="4"/>
  <c r="N1318" i="4"/>
  <c r="K1318" i="4"/>
  <c r="H1318" i="4"/>
  <c r="E1318" i="4"/>
  <c r="W1317" i="4"/>
  <c r="N1317" i="4"/>
  <c r="K1317" i="4"/>
  <c r="H1317" i="4"/>
  <c r="E1317" i="4"/>
  <c r="BE1310" i="4"/>
  <c r="BC1310" i="4"/>
  <c r="BA1310" i="4"/>
  <c r="AY1310" i="4"/>
  <c r="AW1310" i="4"/>
  <c r="AU1310" i="4"/>
  <c r="AS1310" i="4"/>
  <c r="AQ1310" i="4"/>
  <c r="AO1310" i="4"/>
  <c r="AH1310" i="4"/>
  <c r="AE1310" i="4"/>
  <c r="Y1310" i="4"/>
  <c r="V1310" i="4"/>
  <c r="T1310" i="4"/>
  <c r="R1310" i="4"/>
  <c r="P1310" i="4"/>
  <c r="L1310" i="4"/>
  <c r="J1310" i="4"/>
  <c r="F1310" i="4"/>
  <c r="D1310" i="4"/>
  <c r="B1310" i="4"/>
  <c r="AF1309" i="4"/>
  <c r="AD1309" i="4"/>
  <c r="Z1309" i="4"/>
  <c r="W1309" i="4"/>
  <c r="U1309" i="4"/>
  <c r="S1309" i="4"/>
  <c r="N1309" i="4"/>
  <c r="K1309" i="4"/>
  <c r="H1309" i="4"/>
  <c r="E1309" i="4"/>
  <c r="AF1308" i="4"/>
  <c r="AD1308" i="4"/>
  <c r="Z1308" i="4"/>
  <c r="W1308" i="4"/>
  <c r="U1308" i="4"/>
  <c r="S1308" i="4"/>
  <c r="N1308" i="4"/>
  <c r="K1308" i="4"/>
  <c r="H1308" i="4"/>
  <c r="E1308" i="4"/>
  <c r="AF1307" i="4"/>
  <c r="AC1307" i="4"/>
  <c r="AC1310" i="4" s="1"/>
  <c r="Z1307" i="4"/>
  <c r="W1307" i="4"/>
  <c r="U1307" i="4"/>
  <c r="S1307" i="4"/>
  <c r="AF1304" i="4"/>
  <c r="AD1304" i="4"/>
  <c r="Z1304" i="4"/>
  <c r="W1304" i="4"/>
  <c r="U1304" i="4"/>
  <c r="S1304" i="4"/>
  <c r="N1304" i="4"/>
  <c r="K1304" i="4"/>
  <c r="H1304" i="4"/>
  <c r="E1304" i="4"/>
  <c r="AE1303" i="4"/>
  <c r="Y1303" i="4"/>
  <c r="T1303" i="4"/>
  <c r="R1303" i="4"/>
  <c r="L1303" i="4"/>
  <c r="F1303" i="4"/>
  <c r="D1303" i="4"/>
  <c r="B1303" i="4"/>
  <c r="AH1302" i="4"/>
  <c r="AF1302" i="4"/>
  <c r="AD1302" i="4"/>
  <c r="Z1302" i="4"/>
  <c r="W1302" i="4"/>
  <c r="S1302" i="4"/>
  <c r="P1302" i="4"/>
  <c r="U1302" i="4" s="1"/>
  <c r="N1302" i="4"/>
  <c r="K1302" i="4"/>
  <c r="H1302" i="4"/>
  <c r="E1302" i="4"/>
  <c r="AH1301" i="4"/>
  <c r="AF1301" i="4"/>
  <c r="AD1301" i="4"/>
  <c r="Z1301" i="4"/>
  <c r="W1301" i="4"/>
  <c r="U1301" i="4"/>
  <c r="S1301" i="4"/>
  <c r="N1301" i="4"/>
  <c r="K1301" i="4"/>
  <c r="H1301" i="4"/>
  <c r="E1301" i="4"/>
  <c r="AF1300" i="4"/>
  <c r="AC1300" i="4"/>
  <c r="Z1300" i="4"/>
  <c r="V1300" i="4"/>
  <c r="W1300" i="4" s="1"/>
  <c r="S1300" i="4"/>
  <c r="P1300" i="4"/>
  <c r="N1300" i="4"/>
  <c r="J1300" i="4"/>
  <c r="J1303" i="4" s="1"/>
  <c r="H1300" i="4"/>
  <c r="E1300" i="4"/>
  <c r="AE1298" i="4"/>
  <c r="Y1298" i="4"/>
  <c r="V1298" i="4"/>
  <c r="T1298" i="4"/>
  <c r="R1298" i="4"/>
  <c r="L1298" i="4"/>
  <c r="J1298" i="4"/>
  <c r="F1298" i="4"/>
  <c r="B1298" i="4"/>
  <c r="AF1297" i="4"/>
  <c r="AD1297" i="4"/>
  <c r="Z1297" i="4"/>
  <c r="W1297" i="4"/>
  <c r="S1297" i="4"/>
  <c r="P1297" i="4"/>
  <c r="N1297" i="4"/>
  <c r="K1297" i="4"/>
  <c r="H1297" i="4"/>
  <c r="E1297" i="4"/>
  <c r="AO1296" i="4"/>
  <c r="AQ1296" i="4" s="1"/>
  <c r="AS1296" i="4" s="1"/>
  <c r="AU1296" i="4" s="1"/>
  <c r="AW1296" i="4" s="1"/>
  <c r="AY1296" i="4" s="1"/>
  <c r="BA1296" i="4" s="1"/>
  <c r="BC1296" i="4" s="1"/>
  <c r="BE1296" i="4" s="1"/>
  <c r="AF1296" i="4"/>
  <c r="AD1296" i="4"/>
  <c r="Z1296" i="4"/>
  <c r="W1296" i="4"/>
  <c r="U1296" i="4"/>
  <c r="S1296" i="4"/>
  <c r="N1296" i="4"/>
  <c r="K1296" i="4"/>
  <c r="H1296" i="4"/>
  <c r="E1296" i="4"/>
  <c r="AF1295" i="4"/>
  <c r="AD1295" i="4"/>
  <c r="Z1295" i="4"/>
  <c r="W1295" i="4"/>
  <c r="S1295" i="4"/>
  <c r="P1295" i="4"/>
  <c r="N1295" i="4"/>
  <c r="K1295" i="4"/>
  <c r="H1295" i="4"/>
  <c r="E1295" i="4"/>
  <c r="AF1294" i="4"/>
  <c r="AD1294" i="4"/>
  <c r="Z1294" i="4"/>
  <c r="W1294" i="4"/>
  <c r="S1294" i="4"/>
  <c r="P1294" i="4"/>
  <c r="AH1294" i="4" s="1"/>
  <c r="N1294" i="4"/>
  <c r="K1294" i="4"/>
  <c r="H1294" i="4"/>
  <c r="E1294" i="4"/>
  <c r="AF1293" i="4"/>
  <c r="AD1293" i="4"/>
  <c r="Z1293" i="4"/>
  <c r="W1293" i="4"/>
  <c r="S1293" i="4"/>
  <c r="P1293" i="4"/>
  <c r="N1293" i="4"/>
  <c r="K1293" i="4"/>
  <c r="H1293" i="4"/>
  <c r="E1293" i="4"/>
  <c r="AH1292" i="4"/>
  <c r="AF1292" i="4"/>
  <c r="AD1292" i="4"/>
  <c r="Z1292" i="4"/>
  <c r="W1292" i="4"/>
  <c r="S1292" i="4"/>
  <c r="P1292" i="4"/>
  <c r="U1292" i="4" s="1"/>
  <c r="N1292" i="4"/>
  <c r="K1292" i="4"/>
  <c r="H1292" i="4"/>
  <c r="E1292" i="4"/>
  <c r="AO1291" i="4"/>
  <c r="AQ1291" i="4" s="1"/>
  <c r="AS1291" i="4" s="1"/>
  <c r="AU1291" i="4" s="1"/>
  <c r="AW1291" i="4" s="1"/>
  <c r="AY1291" i="4" s="1"/>
  <c r="BA1291" i="4" s="1"/>
  <c r="BC1291" i="4" s="1"/>
  <c r="BE1291" i="4" s="1"/>
  <c r="AF1291" i="4"/>
  <c r="AD1291" i="4"/>
  <c r="Z1291" i="4"/>
  <c r="W1291" i="4"/>
  <c r="S1291" i="4"/>
  <c r="P1291" i="4"/>
  <c r="U1291" i="4" s="1"/>
  <c r="N1291" i="4"/>
  <c r="K1291" i="4"/>
  <c r="H1291" i="4"/>
  <c r="E1291" i="4"/>
  <c r="AH1290" i="4"/>
  <c r="AF1290" i="4"/>
  <c r="AC1290" i="4"/>
  <c r="Z1290" i="4"/>
  <c r="W1290" i="4"/>
  <c r="S1290" i="4"/>
  <c r="P1290" i="4"/>
  <c r="U1290" i="4" s="1"/>
  <c r="N1290" i="4"/>
  <c r="K1290" i="4"/>
  <c r="H1290" i="4"/>
  <c r="D1290" i="4"/>
  <c r="AE1287" i="4"/>
  <c r="AC1287" i="4"/>
  <c r="Y1287" i="4"/>
  <c r="V1287" i="4"/>
  <c r="T1287" i="4"/>
  <c r="R1287" i="4"/>
  <c r="L1287" i="4"/>
  <c r="J1287" i="4"/>
  <c r="F1287" i="4"/>
  <c r="D1287" i="4"/>
  <c r="AH1286" i="4"/>
  <c r="AF1286" i="4"/>
  <c r="AD1286" i="4"/>
  <c r="Z1286" i="4"/>
  <c r="W1286" i="4"/>
  <c r="S1286" i="4"/>
  <c r="P1286" i="4"/>
  <c r="U1286" i="4" s="1"/>
  <c r="N1286" i="4"/>
  <c r="K1286" i="4"/>
  <c r="H1286" i="4"/>
  <c r="E1286" i="4"/>
  <c r="AH1285" i="4"/>
  <c r="AM1285" i="4" s="1"/>
  <c r="AF1285" i="4"/>
  <c r="AD1285" i="4"/>
  <c r="Z1285" i="4"/>
  <c r="W1285" i="4"/>
  <c r="S1285" i="4"/>
  <c r="P1285" i="4"/>
  <c r="U1285" i="4" s="1"/>
  <c r="N1285" i="4"/>
  <c r="K1285" i="4"/>
  <c r="H1285" i="4"/>
  <c r="E1285" i="4"/>
  <c r="AF1284" i="4"/>
  <c r="AD1284" i="4"/>
  <c r="Z1284" i="4"/>
  <c r="W1284" i="4"/>
  <c r="U1284" i="4"/>
  <c r="S1284" i="4"/>
  <c r="N1284" i="4"/>
  <c r="K1284" i="4"/>
  <c r="H1284" i="4"/>
  <c r="E1284" i="4"/>
  <c r="AH1283" i="4"/>
  <c r="AF1283" i="4"/>
  <c r="AD1283" i="4"/>
  <c r="Z1283" i="4"/>
  <c r="W1283" i="4"/>
  <c r="U1283" i="4"/>
  <c r="S1283" i="4"/>
  <c r="N1283" i="4"/>
  <c r="K1283" i="4"/>
  <c r="H1283" i="4"/>
  <c r="E1283" i="4"/>
  <c r="AF1282" i="4"/>
  <c r="AD1282" i="4"/>
  <c r="Z1282" i="4"/>
  <c r="W1282" i="4"/>
  <c r="U1282" i="4"/>
  <c r="S1282" i="4"/>
  <c r="N1282" i="4"/>
  <c r="K1282" i="4"/>
  <c r="H1282" i="4"/>
  <c r="E1282" i="4"/>
  <c r="AH1281" i="4"/>
  <c r="AF1281" i="4"/>
  <c r="AD1281" i="4"/>
  <c r="Z1281" i="4"/>
  <c r="W1281" i="4"/>
  <c r="S1281" i="4"/>
  <c r="P1281" i="4"/>
  <c r="U1281" i="4" s="1"/>
  <c r="N1281" i="4"/>
  <c r="K1281" i="4"/>
  <c r="H1281" i="4"/>
  <c r="E1281" i="4"/>
  <c r="AH1280" i="4"/>
  <c r="AM1280" i="4" s="1"/>
  <c r="AF1280" i="4"/>
  <c r="AD1280" i="4"/>
  <c r="Z1280" i="4"/>
  <c r="W1280" i="4"/>
  <c r="S1280" i="4"/>
  <c r="P1280" i="4"/>
  <c r="N1280" i="4"/>
  <c r="K1280" i="4"/>
  <c r="H1280" i="4"/>
  <c r="E1280" i="4"/>
  <c r="AF1279" i="4"/>
  <c r="AD1279" i="4"/>
  <c r="Z1279" i="4"/>
  <c r="W1279" i="4"/>
  <c r="U1279" i="4"/>
  <c r="S1279" i="4"/>
  <c r="N1279" i="4"/>
  <c r="K1279" i="4"/>
  <c r="H1279" i="4"/>
  <c r="E1279" i="4"/>
  <c r="AH1278" i="4"/>
  <c r="AF1278" i="4"/>
  <c r="AD1278" i="4"/>
  <c r="Z1278" i="4"/>
  <c r="W1278" i="4"/>
  <c r="U1278" i="4"/>
  <c r="S1278" i="4"/>
  <c r="N1278" i="4"/>
  <c r="K1278" i="4"/>
  <c r="E1278" i="4"/>
  <c r="B1278" i="4"/>
  <c r="H1278" i="4" s="1"/>
  <c r="W1277" i="4"/>
  <c r="BE1273" i="4"/>
  <c r="BE1229" i="4" s="1"/>
  <c r="BC1273" i="4"/>
  <c r="BC1229" i="4" s="1"/>
  <c r="BA1273" i="4"/>
  <c r="BA1229" i="4" s="1"/>
  <c r="AY1273" i="4"/>
  <c r="AY1229" i="4" s="1"/>
  <c r="AW1273" i="4"/>
  <c r="AW1229" i="4" s="1"/>
  <c r="AU1273" i="4"/>
  <c r="AU1229" i="4" s="1"/>
  <c r="AS1273" i="4"/>
  <c r="AS1229" i="4" s="1"/>
  <c r="AQ1273" i="4"/>
  <c r="AQ1229" i="4" s="1"/>
  <c r="AO1273" i="4"/>
  <c r="AO1229" i="4" s="1"/>
  <c r="AH1273" i="4"/>
  <c r="AH1229" i="4" s="1"/>
  <c r="AM1229" i="4" s="1"/>
  <c r="AE1273" i="4"/>
  <c r="AE1229" i="4" s="1"/>
  <c r="AC1273" i="4"/>
  <c r="Y1273" i="4"/>
  <c r="Y1229" i="4" s="1"/>
  <c r="V1273" i="4"/>
  <c r="T1273" i="4"/>
  <c r="T1229" i="4" s="1"/>
  <c r="R1273" i="4"/>
  <c r="P1273" i="4"/>
  <c r="P1229" i="4" s="1"/>
  <c r="L1273" i="4"/>
  <c r="L1229" i="4" s="1"/>
  <c r="J1273" i="4"/>
  <c r="F1273" i="4"/>
  <c r="D1273" i="4"/>
  <c r="B1273" i="4"/>
  <c r="AF1272" i="4"/>
  <c r="AF1273" i="4" s="1"/>
  <c r="AD1272" i="4"/>
  <c r="AD1273" i="4" s="1"/>
  <c r="Z1272" i="4"/>
  <c r="Z1273" i="4" s="1"/>
  <c r="W1272" i="4"/>
  <c r="W1273" i="4" s="1"/>
  <c r="U1272" i="4"/>
  <c r="U1273" i="4" s="1"/>
  <c r="S1272" i="4"/>
  <c r="S1273" i="4" s="1"/>
  <c r="N1272" i="4"/>
  <c r="N1273" i="4" s="1"/>
  <c r="K1272" i="4"/>
  <c r="K1273" i="4" s="1"/>
  <c r="H1272" i="4"/>
  <c r="H1273" i="4" s="1"/>
  <c r="E1272" i="4"/>
  <c r="E1273" i="4" s="1"/>
  <c r="AF1267" i="4"/>
  <c r="AD1267" i="4"/>
  <c r="Z1267" i="4"/>
  <c r="W1267" i="4"/>
  <c r="U1267" i="4"/>
  <c r="S1267" i="4"/>
  <c r="N1267" i="4"/>
  <c r="K1267" i="4"/>
  <c r="H1267" i="4"/>
  <c r="E1267" i="4"/>
  <c r="N1266" i="4"/>
  <c r="K1266" i="4"/>
  <c r="H1266" i="4"/>
  <c r="E1266" i="4"/>
  <c r="AE1264" i="4"/>
  <c r="AE1268" i="4" s="1"/>
  <c r="AC1264" i="4"/>
  <c r="AC1268" i="4" s="1"/>
  <c r="Y1264" i="4"/>
  <c r="Y1268" i="4" s="1"/>
  <c r="V1264" i="4"/>
  <c r="V1268" i="4" s="1"/>
  <c r="V1274" i="4" s="1"/>
  <c r="T1264" i="4"/>
  <c r="T1268" i="4" s="1"/>
  <c r="R1264" i="4"/>
  <c r="R1268" i="4" s="1"/>
  <c r="L1264" i="4"/>
  <c r="L1268" i="4" s="1"/>
  <c r="L1228" i="4" s="1"/>
  <c r="J1264" i="4"/>
  <c r="J1268" i="4" s="1"/>
  <c r="F1264" i="4"/>
  <c r="F1268" i="4" s="1"/>
  <c r="F1274" i="4" s="1"/>
  <c r="D1264" i="4"/>
  <c r="D1268" i="4" s="1"/>
  <c r="B1264" i="4"/>
  <c r="B1268" i="4" s="1"/>
  <c r="AF1263" i="4"/>
  <c r="AD1263" i="4"/>
  <c r="Z1263" i="4"/>
  <c r="W1263" i="4"/>
  <c r="U1263" i="4"/>
  <c r="S1263" i="4"/>
  <c r="N1263" i="4"/>
  <c r="K1263" i="4"/>
  <c r="H1263" i="4"/>
  <c r="E1263" i="4"/>
  <c r="AF1262" i="4"/>
  <c r="AD1262" i="4"/>
  <c r="Z1262" i="4"/>
  <c r="W1262" i="4"/>
  <c r="U1262" i="4"/>
  <c r="S1262" i="4"/>
  <c r="N1262" i="4"/>
  <c r="K1262" i="4"/>
  <c r="H1262" i="4"/>
  <c r="E1262" i="4"/>
  <c r="AH1261" i="4"/>
  <c r="AF1261" i="4"/>
  <c r="AD1261" i="4"/>
  <c r="Z1261" i="4"/>
  <c r="W1261" i="4"/>
  <c r="S1261" i="4"/>
  <c r="P1261" i="4"/>
  <c r="U1261" i="4" s="1"/>
  <c r="N1261" i="4"/>
  <c r="K1261" i="4"/>
  <c r="H1261" i="4"/>
  <c r="E1261" i="4"/>
  <c r="AF1260" i="4"/>
  <c r="AD1260" i="4"/>
  <c r="Z1260" i="4"/>
  <c r="W1260" i="4"/>
  <c r="U1260" i="4"/>
  <c r="S1260" i="4"/>
  <c r="N1260" i="4"/>
  <c r="K1260" i="4"/>
  <c r="H1260" i="4"/>
  <c r="E1260" i="4"/>
  <c r="AF1259" i="4"/>
  <c r="AD1259" i="4"/>
  <c r="Z1259" i="4"/>
  <c r="W1259" i="4"/>
  <c r="S1259" i="4"/>
  <c r="P1259" i="4"/>
  <c r="AH1259" i="4" s="1"/>
  <c r="N1259" i="4"/>
  <c r="K1259" i="4"/>
  <c r="H1259" i="4"/>
  <c r="E1259" i="4"/>
  <c r="AO1258" i="4"/>
  <c r="AQ1258" i="4" s="1"/>
  <c r="AS1258" i="4" s="1"/>
  <c r="AU1258" i="4" s="1"/>
  <c r="AW1258" i="4" s="1"/>
  <c r="AY1258" i="4" s="1"/>
  <c r="BA1258" i="4" s="1"/>
  <c r="BC1258" i="4" s="1"/>
  <c r="BE1258" i="4" s="1"/>
  <c r="AF1258" i="4"/>
  <c r="AD1258" i="4"/>
  <c r="Z1258" i="4"/>
  <c r="W1258" i="4"/>
  <c r="S1258" i="4"/>
  <c r="P1258" i="4"/>
  <c r="U1258" i="4" s="1"/>
  <c r="N1258" i="4"/>
  <c r="K1258" i="4"/>
  <c r="H1258" i="4"/>
  <c r="E1258" i="4"/>
  <c r="AF1257" i="4"/>
  <c r="AD1257" i="4"/>
  <c r="Z1257" i="4"/>
  <c r="W1257" i="4"/>
  <c r="U1257" i="4"/>
  <c r="S1257" i="4"/>
  <c r="N1257" i="4"/>
  <c r="K1257" i="4"/>
  <c r="H1257" i="4"/>
  <c r="E1257" i="4"/>
  <c r="AF1256" i="4"/>
  <c r="AD1256" i="4"/>
  <c r="Z1256" i="4"/>
  <c r="W1256" i="4"/>
  <c r="U1256" i="4"/>
  <c r="S1256" i="4"/>
  <c r="N1256" i="4"/>
  <c r="K1256" i="4"/>
  <c r="H1256" i="4"/>
  <c r="E1256" i="4"/>
  <c r="AF1255" i="4"/>
  <c r="AD1255" i="4"/>
  <c r="Z1255" i="4"/>
  <c r="W1255" i="4"/>
  <c r="U1255" i="4"/>
  <c r="S1255" i="4"/>
  <c r="N1255" i="4"/>
  <c r="K1255" i="4"/>
  <c r="H1255" i="4"/>
  <c r="E1255" i="4"/>
  <c r="AH1254" i="4"/>
  <c r="AM1254" i="4" s="1"/>
  <c r="AF1254" i="4"/>
  <c r="AD1254" i="4"/>
  <c r="Z1254" i="4"/>
  <c r="W1254" i="4"/>
  <c r="S1254" i="4"/>
  <c r="P1254" i="4"/>
  <c r="N1254" i="4"/>
  <c r="K1254" i="4"/>
  <c r="H1254" i="4"/>
  <c r="E1254" i="4"/>
  <c r="AF1245" i="4"/>
  <c r="Z1245" i="4"/>
  <c r="U1245" i="4"/>
  <c r="N1245" i="4"/>
  <c r="H1245" i="4"/>
  <c r="BE1244" i="4"/>
  <c r="BE1246" i="4" s="1"/>
  <c r="BC1244" i="4"/>
  <c r="BC1246" i="4" s="1"/>
  <c r="BA1244" i="4"/>
  <c r="BA1246" i="4" s="1"/>
  <c r="AY1244" i="4"/>
  <c r="AY1246" i="4" s="1"/>
  <c r="AW1244" i="4"/>
  <c r="AW1246" i="4" s="1"/>
  <c r="AU1244" i="4"/>
  <c r="AU1246" i="4" s="1"/>
  <c r="AS1244" i="4"/>
  <c r="AS1246" i="4" s="1"/>
  <c r="AQ1244" i="4"/>
  <c r="AQ1246" i="4" s="1"/>
  <c r="AO1244" i="4"/>
  <c r="AO1246" i="4" s="1"/>
  <c r="AH1244" i="4"/>
  <c r="AH1246" i="4" s="1"/>
  <c r="AE1244" i="4"/>
  <c r="AE1246" i="4" s="1"/>
  <c r="Y1244" i="4"/>
  <c r="T1244" i="4"/>
  <c r="T1246" i="4" s="1"/>
  <c r="P1244" i="4"/>
  <c r="P1246" i="4" s="1"/>
  <c r="P1247" i="4" s="1"/>
  <c r="AH1242" i="4" s="1"/>
  <c r="AM1242" i="4" s="1"/>
  <c r="L1244" i="4"/>
  <c r="L1246" i="4" s="1"/>
  <c r="F1244" i="4"/>
  <c r="F1246" i="4" s="1"/>
  <c r="F1247" i="4" s="1"/>
  <c r="B1244" i="4"/>
  <c r="AF1243" i="4"/>
  <c r="H1243" i="4"/>
  <c r="AF1242" i="4"/>
  <c r="Z1242" i="4"/>
  <c r="U1242" i="4"/>
  <c r="N1242" i="4"/>
  <c r="H1242" i="4"/>
  <c r="H1241" i="4"/>
  <c r="H1240" i="4"/>
  <c r="H1239" i="4"/>
  <c r="H1238" i="4"/>
  <c r="N1235" i="4"/>
  <c r="H1235" i="4"/>
  <c r="AR1234" i="4"/>
  <c r="BC1233" i="4"/>
  <c r="AS1233" i="4"/>
  <c r="AH1233" i="4"/>
  <c r="AM1233" i="4" s="1"/>
  <c r="AE1233" i="4"/>
  <c r="T1233" i="4"/>
  <c r="N1231" i="4"/>
  <c r="H1231" i="4"/>
  <c r="B1230" i="4"/>
  <c r="F1229" i="4"/>
  <c r="H1229" i="4" s="1"/>
  <c r="Z1226" i="4"/>
  <c r="U1226" i="4"/>
  <c r="N1226" i="4"/>
  <c r="H1226" i="4"/>
  <c r="AE1203" i="4"/>
  <c r="AE1082" i="4" s="1"/>
  <c r="AC1203" i="4"/>
  <c r="Y1203" i="4"/>
  <c r="Y1082" i="4" s="1"/>
  <c r="V1203" i="4"/>
  <c r="T1203" i="4"/>
  <c r="T1082" i="4" s="1"/>
  <c r="R1203" i="4"/>
  <c r="L1203" i="4"/>
  <c r="J1203" i="4"/>
  <c r="F1203" i="4"/>
  <c r="F1082" i="4" s="1"/>
  <c r="D1203" i="4"/>
  <c r="B1203" i="4"/>
  <c r="AH1202" i="4"/>
  <c r="AF1202" i="4"/>
  <c r="AD1202" i="4"/>
  <c r="Z1202" i="4"/>
  <c r="W1202" i="4"/>
  <c r="U1202" i="4"/>
  <c r="S1202" i="4"/>
  <c r="N1202" i="4"/>
  <c r="K1202" i="4"/>
  <c r="H1202" i="4"/>
  <c r="E1202" i="4"/>
  <c r="AF1201" i="4"/>
  <c r="AD1201" i="4"/>
  <c r="Z1201" i="4"/>
  <c r="W1201" i="4"/>
  <c r="N1201" i="4"/>
  <c r="K1201" i="4"/>
  <c r="H1201" i="4"/>
  <c r="E1201" i="4"/>
  <c r="BA1200" i="4"/>
  <c r="AU1200" i="4"/>
  <c r="AU1093" i="4" s="1"/>
  <c r="AU1095" i="4" s="1"/>
  <c r="AS1200" i="4"/>
  <c r="AS1093" i="4" s="1"/>
  <c r="AS1095" i="4" s="1"/>
  <c r="AQ1200" i="4"/>
  <c r="AQ1093" i="4" s="1"/>
  <c r="AQ1095" i="4" s="1"/>
  <c r="AO1200" i="4"/>
  <c r="AH1200" i="4"/>
  <c r="AM1200" i="4" s="1"/>
  <c r="AM1093" i="4" s="1"/>
  <c r="AM1095" i="4" s="1"/>
  <c r="AF1200" i="4"/>
  <c r="AD1200" i="4"/>
  <c r="Z1200" i="4"/>
  <c r="W1200" i="4"/>
  <c r="S1200" i="4"/>
  <c r="P1200" i="4"/>
  <c r="P1203" i="4" s="1"/>
  <c r="P1082" i="4" s="1"/>
  <c r="N1200" i="4"/>
  <c r="K1200" i="4"/>
  <c r="H1200" i="4"/>
  <c r="E1200" i="4"/>
  <c r="AF1199" i="4"/>
  <c r="AD1199" i="4"/>
  <c r="Z1199" i="4"/>
  <c r="W1199" i="4"/>
  <c r="N1199" i="4"/>
  <c r="K1199" i="4"/>
  <c r="H1199" i="4"/>
  <c r="E1199" i="4"/>
  <c r="AF1198" i="4"/>
  <c r="AD1198" i="4"/>
  <c r="Z1198" i="4"/>
  <c r="W1198" i="4"/>
  <c r="N1198" i="4"/>
  <c r="K1198" i="4"/>
  <c r="H1198" i="4"/>
  <c r="E1198" i="4"/>
  <c r="AF1197" i="4"/>
  <c r="AD1197" i="4"/>
  <c r="Z1197" i="4"/>
  <c r="W1197" i="4"/>
  <c r="N1197" i="4"/>
  <c r="K1197" i="4"/>
  <c r="H1197" i="4"/>
  <c r="E1197" i="4"/>
  <c r="AF1196" i="4"/>
  <c r="AD1196" i="4"/>
  <c r="Z1196" i="4"/>
  <c r="W1196" i="4"/>
  <c r="N1196" i="4"/>
  <c r="K1196" i="4"/>
  <c r="H1196" i="4"/>
  <c r="E1196" i="4"/>
  <c r="AF1195" i="4"/>
  <c r="AD1195" i="4"/>
  <c r="Z1195" i="4"/>
  <c r="W1195" i="4"/>
  <c r="N1195" i="4"/>
  <c r="K1195" i="4"/>
  <c r="H1195" i="4"/>
  <c r="E1195" i="4"/>
  <c r="AF1194" i="4"/>
  <c r="AD1194" i="4"/>
  <c r="Z1194" i="4"/>
  <c r="W1194" i="4"/>
  <c r="N1194" i="4"/>
  <c r="K1194" i="4"/>
  <c r="H1194" i="4"/>
  <c r="E1194" i="4"/>
  <c r="AF1193" i="4"/>
  <c r="AD1193" i="4"/>
  <c r="Z1193" i="4"/>
  <c r="W1193" i="4"/>
  <c r="N1193" i="4"/>
  <c r="K1193" i="4"/>
  <c r="H1193" i="4"/>
  <c r="E1193" i="4"/>
  <c r="AF1192" i="4"/>
  <c r="AD1192" i="4"/>
  <c r="Z1192" i="4"/>
  <c r="W1192" i="4"/>
  <c r="N1192" i="4"/>
  <c r="K1192" i="4"/>
  <c r="H1192" i="4"/>
  <c r="E1192" i="4"/>
  <c r="AF1191" i="4"/>
  <c r="AD1191" i="4"/>
  <c r="Z1191" i="4"/>
  <c r="W1191" i="4"/>
  <c r="N1191" i="4"/>
  <c r="K1191" i="4"/>
  <c r="H1191" i="4"/>
  <c r="E1191" i="4"/>
  <c r="AF1190" i="4"/>
  <c r="AD1190" i="4"/>
  <c r="Z1190" i="4"/>
  <c r="W1190" i="4"/>
  <c r="N1190" i="4"/>
  <c r="K1190" i="4"/>
  <c r="H1190" i="4"/>
  <c r="E1190" i="4"/>
  <c r="AF1189" i="4"/>
  <c r="AD1189" i="4"/>
  <c r="Z1189" i="4"/>
  <c r="W1189" i="4"/>
  <c r="N1189" i="4"/>
  <c r="K1189" i="4"/>
  <c r="H1189" i="4"/>
  <c r="E1189" i="4"/>
  <c r="AF1188" i="4"/>
  <c r="AD1188" i="4"/>
  <c r="Z1188" i="4"/>
  <c r="W1188" i="4"/>
  <c r="N1188" i="4"/>
  <c r="K1188" i="4"/>
  <c r="H1188" i="4"/>
  <c r="E1188" i="4"/>
  <c r="AF1187" i="4"/>
  <c r="AD1187" i="4"/>
  <c r="Z1187" i="4"/>
  <c r="W1187" i="4"/>
  <c r="N1187" i="4"/>
  <c r="K1187" i="4"/>
  <c r="H1187" i="4"/>
  <c r="E1187" i="4"/>
  <c r="AF1186" i="4"/>
  <c r="AD1186" i="4"/>
  <c r="Z1186" i="4"/>
  <c r="W1186" i="4"/>
  <c r="N1186" i="4"/>
  <c r="K1186" i="4"/>
  <c r="H1186" i="4"/>
  <c r="E1186" i="4"/>
  <c r="AF1185" i="4"/>
  <c r="AD1185" i="4"/>
  <c r="Z1185" i="4"/>
  <c r="W1185" i="4"/>
  <c r="N1185" i="4"/>
  <c r="K1185" i="4"/>
  <c r="H1185" i="4"/>
  <c r="E1185" i="4"/>
  <c r="AF1184" i="4"/>
  <c r="AD1184" i="4"/>
  <c r="Z1184" i="4"/>
  <c r="W1184" i="4"/>
  <c r="N1184" i="4"/>
  <c r="K1184" i="4"/>
  <c r="H1184" i="4"/>
  <c r="E1184" i="4"/>
  <c r="AF1183" i="4"/>
  <c r="AD1183" i="4"/>
  <c r="Z1183" i="4"/>
  <c r="W1183" i="4"/>
  <c r="N1183" i="4"/>
  <c r="K1183" i="4"/>
  <c r="H1183" i="4"/>
  <c r="E1183" i="4"/>
  <c r="AF1182" i="4"/>
  <c r="AD1182" i="4"/>
  <c r="Z1182" i="4"/>
  <c r="W1182" i="4"/>
  <c r="U1182" i="4"/>
  <c r="S1182" i="4"/>
  <c r="N1182" i="4"/>
  <c r="K1182" i="4"/>
  <c r="H1182" i="4"/>
  <c r="E1182" i="4"/>
  <c r="AF1181" i="4"/>
  <c r="AD1181" i="4"/>
  <c r="Z1181" i="4"/>
  <c r="W1181" i="4"/>
  <c r="N1181" i="4"/>
  <c r="K1181" i="4"/>
  <c r="H1181" i="4"/>
  <c r="E1181" i="4"/>
  <c r="AF1180" i="4"/>
  <c r="AD1180" i="4"/>
  <c r="Z1180" i="4"/>
  <c r="W1180" i="4"/>
  <c r="N1180" i="4"/>
  <c r="K1180" i="4"/>
  <c r="H1180" i="4"/>
  <c r="E1180" i="4"/>
  <c r="AF1179" i="4"/>
  <c r="AD1179" i="4"/>
  <c r="Z1179" i="4"/>
  <c r="W1179" i="4"/>
  <c r="N1179" i="4"/>
  <c r="K1179" i="4"/>
  <c r="H1179" i="4"/>
  <c r="E1179" i="4"/>
  <c r="AF1178" i="4"/>
  <c r="AD1178" i="4"/>
  <c r="Z1178" i="4"/>
  <c r="W1178" i="4"/>
  <c r="N1178" i="4"/>
  <c r="K1178" i="4"/>
  <c r="H1178" i="4"/>
  <c r="E1178" i="4"/>
  <c r="AF1177" i="4"/>
  <c r="AD1177" i="4"/>
  <c r="Z1177" i="4"/>
  <c r="W1177" i="4"/>
  <c r="N1177" i="4"/>
  <c r="K1177" i="4"/>
  <c r="H1177" i="4"/>
  <c r="E1177" i="4"/>
  <c r="AF1176" i="4"/>
  <c r="AD1176" i="4"/>
  <c r="Z1176" i="4"/>
  <c r="W1176" i="4"/>
  <c r="N1176" i="4"/>
  <c r="K1176" i="4"/>
  <c r="H1176" i="4"/>
  <c r="E1176" i="4"/>
  <c r="AH1175" i="4"/>
  <c r="AM1175" i="4" s="1"/>
  <c r="AF1175" i="4"/>
  <c r="AD1175" i="4"/>
  <c r="Z1175" i="4"/>
  <c r="W1175" i="4"/>
  <c r="U1175" i="4"/>
  <c r="S1175" i="4"/>
  <c r="N1175" i="4"/>
  <c r="K1175" i="4"/>
  <c r="H1175" i="4"/>
  <c r="E1175" i="4"/>
  <c r="AF1174" i="4"/>
  <c r="AD1174" i="4"/>
  <c r="Z1174" i="4"/>
  <c r="W1174" i="4"/>
  <c r="N1174" i="4"/>
  <c r="K1174" i="4"/>
  <c r="H1174" i="4"/>
  <c r="E1174" i="4"/>
  <c r="AF1173" i="4"/>
  <c r="AD1173" i="4"/>
  <c r="Z1173" i="4"/>
  <c r="W1173" i="4"/>
  <c r="N1173" i="4"/>
  <c r="K1173" i="4"/>
  <c r="H1173" i="4"/>
  <c r="E1173" i="4"/>
  <c r="AF1172" i="4"/>
  <c r="AD1172" i="4"/>
  <c r="Z1172" i="4"/>
  <c r="W1172" i="4"/>
  <c r="N1172" i="4"/>
  <c r="K1172" i="4"/>
  <c r="H1172" i="4"/>
  <c r="E1172" i="4"/>
  <c r="AF1171" i="4"/>
  <c r="AD1171" i="4"/>
  <c r="Z1171" i="4"/>
  <c r="W1171" i="4"/>
  <c r="N1171" i="4"/>
  <c r="K1171" i="4"/>
  <c r="H1171" i="4"/>
  <c r="E1171" i="4"/>
  <c r="AF1170" i="4"/>
  <c r="AD1170" i="4"/>
  <c r="Z1170" i="4"/>
  <c r="W1170" i="4"/>
  <c r="N1170" i="4"/>
  <c r="K1170" i="4"/>
  <c r="H1170" i="4"/>
  <c r="E1170" i="4"/>
  <c r="AF1169" i="4"/>
  <c r="AD1169" i="4"/>
  <c r="Z1169" i="4"/>
  <c r="W1169" i="4"/>
  <c r="N1169" i="4"/>
  <c r="K1169" i="4"/>
  <c r="H1169" i="4"/>
  <c r="E1169" i="4"/>
  <c r="AF1168" i="4"/>
  <c r="AD1168" i="4"/>
  <c r="Z1168" i="4"/>
  <c r="W1168" i="4"/>
  <c r="N1168" i="4"/>
  <c r="K1168" i="4"/>
  <c r="H1168" i="4"/>
  <c r="E1168" i="4"/>
  <c r="AF1167" i="4"/>
  <c r="AD1167" i="4"/>
  <c r="W1167" i="4"/>
  <c r="AF1166" i="4"/>
  <c r="AD1166" i="4"/>
  <c r="W1166" i="4"/>
  <c r="AF1165" i="4"/>
  <c r="AD1165" i="4"/>
  <c r="W1165" i="4"/>
  <c r="AF1164" i="4"/>
  <c r="AD1164" i="4"/>
  <c r="AE1158" i="4"/>
  <c r="AC1158" i="4"/>
  <c r="Y1158" i="4"/>
  <c r="V1158" i="4"/>
  <c r="T1158" i="4"/>
  <c r="R1158" i="4"/>
  <c r="L1158" i="4"/>
  <c r="J1158" i="4"/>
  <c r="F1158" i="4"/>
  <c r="D1158" i="4"/>
  <c r="B1158" i="4"/>
  <c r="AF1157" i="4"/>
  <c r="AD1157" i="4"/>
  <c r="Z1157" i="4"/>
  <c r="W1157" i="4"/>
  <c r="S1157" i="4"/>
  <c r="P1157" i="4"/>
  <c r="AH1157" i="4" s="1"/>
  <c r="N1157" i="4"/>
  <c r="K1157" i="4"/>
  <c r="H1157" i="4"/>
  <c r="H1158" i="4" s="1"/>
  <c r="E1157" i="4"/>
  <c r="E1158" i="4" s="1"/>
  <c r="AF1156" i="4"/>
  <c r="AD1156" i="4"/>
  <c r="Z1156" i="4"/>
  <c r="W1156" i="4"/>
  <c r="N1156" i="4"/>
  <c r="N1158" i="4" s="1"/>
  <c r="K1156" i="4"/>
  <c r="K1158" i="4" s="1"/>
  <c r="AF1155" i="4"/>
  <c r="AD1155" i="4"/>
  <c r="Z1155" i="4"/>
  <c r="W1155" i="4"/>
  <c r="AF1154" i="4"/>
  <c r="AD1154" i="4"/>
  <c r="Z1154" i="4"/>
  <c r="W1154" i="4"/>
  <c r="U1154" i="4"/>
  <c r="S1154" i="4"/>
  <c r="AF1151" i="4"/>
  <c r="AD1151" i="4"/>
  <c r="Z1151" i="4"/>
  <c r="W1151" i="4"/>
  <c r="U1151" i="4"/>
  <c r="S1151" i="4"/>
  <c r="N1151" i="4"/>
  <c r="J1151" i="4"/>
  <c r="H1151" i="4"/>
  <c r="E1151" i="4"/>
  <c r="AF1149" i="4"/>
  <c r="AD1149" i="4"/>
  <c r="Z1149" i="4"/>
  <c r="W1149" i="4"/>
  <c r="S1149" i="4"/>
  <c r="P1149" i="4"/>
  <c r="N1149" i="4"/>
  <c r="K1149" i="4"/>
  <c r="K1151" i="4" s="1"/>
  <c r="H1149" i="4"/>
  <c r="E1149" i="4"/>
  <c r="AE1147" i="4"/>
  <c r="Y1147" i="4"/>
  <c r="T1147" i="4"/>
  <c r="R1147" i="4"/>
  <c r="L1147" i="4"/>
  <c r="J1147" i="4"/>
  <c r="F1147" i="4"/>
  <c r="D1147" i="4"/>
  <c r="B1147" i="4"/>
  <c r="AF1146" i="4"/>
  <c r="AC1146" i="4"/>
  <c r="Z1146" i="4"/>
  <c r="V1146" i="4"/>
  <c r="V1147" i="4" s="1"/>
  <c r="S1146" i="4"/>
  <c r="S1147" i="4" s="1"/>
  <c r="P1146" i="4"/>
  <c r="U1146" i="4" s="1"/>
  <c r="U1147" i="4" s="1"/>
  <c r="N1146" i="4"/>
  <c r="N1147" i="4" s="1"/>
  <c r="K1146" i="4"/>
  <c r="K1147" i="4" s="1"/>
  <c r="H1146" i="4"/>
  <c r="H1147" i="4" s="1"/>
  <c r="E1146" i="4"/>
  <c r="E1147" i="4" s="1"/>
  <c r="AF1145" i="4"/>
  <c r="AD1145" i="4"/>
  <c r="Z1145" i="4"/>
  <c r="AE1143" i="4"/>
  <c r="AC1143" i="4"/>
  <c r="Y1143" i="4"/>
  <c r="T1143" i="4"/>
  <c r="R1143" i="4"/>
  <c r="L1143" i="4"/>
  <c r="J1143" i="4"/>
  <c r="F1143" i="4"/>
  <c r="D1143" i="4"/>
  <c r="B1143" i="4"/>
  <c r="AF1142" i="4"/>
  <c r="AD1142" i="4"/>
  <c r="Z1142" i="4"/>
  <c r="W1142" i="4"/>
  <c r="U1142" i="4"/>
  <c r="S1142" i="4"/>
  <c r="N1142" i="4"/>
  <c r="K1142" i="4"/>
  <c r="H1142" i="4"/>
  <c r="E1142" i="4"/>
  <c r="AF1141" i="4"/>
  <c r="AD1141" i="4"/>
  <c r="Z1141" i="4"/>
  <c r="V1141" i="4"/>
  <c r="V1143" i="4" s="1"/>
  <c r="S1141" i="4"/>
  <c r="P1141" i="4"/>
  <c r="U1141" i="4" s="1"/>
  <c r="N1141" i="4"/>
  <c r="K1141" i="4"/>
  <c r="H1141" i="4"/>
  <c r="E1141" i="4"/>
  <c r="AH1140" i="4"/>
  <c r="AF1140" i="4"/>
  <c r="AD1140" i="4"/>
  <c r="Z1140" i="4"/>
  <c r="W1140" i="4"/>
  <c r="S1140" i="4"/>
  <c r="P1140" i="4"/>
  <c r="U1140" i="4" s="1"/>
  <c r="N1140" i="4"/>
  <c r="K1140" i="4"/>
  <c r="H1140" i="4"/>
  <c r="E1140" i="4"/>
  <c r="AH1139" i="4"/>
  <c r="AF1139" i="4"/>
  <c r="AD1139" i="4"/>
  <c r="Z1139" i="4"/>
  <c r="W1139" i="4"/>
  <c r="S1139" i="4"/>
  <c r="P1139" i="4"/>
  <c r="U1139" i="4" s="1"/>
  <c r="N1139" i="4"/>
  <c r="K1139" i="4"/>
  <c r="H1139" i="4"/>
  <c r="E1139" i="4"/>
  <c r="AH1138" i="4"/>
  <c r="AM1138" i="4" s="1"/>
  <c r="AF1138" i="4"/>
  <c r="AD1138" i="4"/>
  <c r="Z1138" i="4"/>
  <c r="W1138" i="4"/>
  <c r="S1138" i="4"/>
  <c r="P1138" i="4"/>
  <c r="N1138" i="4"/>
  <c r="K1138" i="4"/>
  <c r="H1138" i="4"/>
  <c r="E1138" i="4"/>
  <c r="AE1135" i="4"/>
  <c r="AC1135" i="4"/>
  <c r="Y1135" i="4"/>
  <c r="V1135" i="4"/>
  <c r="T1135" i="4"/>
  <c r="R1135" i="4"/>
  <c r="L1135" i="4"/>
  <c r="J1135" i="4"/>
  <c r="F1135" i="4"/>
  <c r="D1135" i="4"/>
  <c r="AO1134" i="4"/>
  <c r="AQ1134" i="4" s="1"/>
  <c r="AS1134" i="4" s="1"/>
  <c r="AU1134" i="4" s="1"/>
  <c r="AW1134" i="4" s="1"/>
  <c r="AY1134" i="4" s="1"/>
  <c r="BA1134" i="4" s="1"/>
  <c r="BC1134" i="4" s="1"/>
  <c r="BE1134" i="4" s="1"/>
  <c r="AF1134" i="4"/>
  <c r="AD1134" i="4"/>
  <c r="Z1134" i="4"/>
  <c r="W1134" i="4"/>
  <c r="S1134" i="4"/>
  <c r="P1134" i="4"/>
  <c r="U1134" i="4" s="1"/>
  <c r="N1134" i="4"/>
  <c r="K1134" i="4"/>
  <c r="H1134" i="4"/>
  <c r="E1134" i="4"/>
  <c r="AO1133" i="4"/>
  <c r="AQ1133" i="4" s="1"/>
  <c r="AS1133" i="4" s="1"/>
  <c r="AU1133" i="4" s="1"/>
  <c r="AW1133" i="4" s="1"/>
  <c r="AY1133" i="4" s="1"/>
  <c r="BA1133" i="4" s="1"/>
  <c r="BC1133" i="4" s="1"/>
  <c r="BE1133" i="4" s="1"/>
  <c r="AF1133" i="4"/>
  <c r="AD1133" i="4"/>
  <c r="Z1133" i="4"/>
  <c r="W1133" i="4"/>
  <c r="S1133" i="4"/>
  <c r="P1133" i="4"/>
  <c r="U1133" i="4" s="1"/>
  <c r="N1133" i="4"/>
  <c r="K1133" i="4"/>
  <c r="H1133" i="4"/>
  <c r="E1133" i="4"/>
  <c r="AH1132" i="4"/>
  <c r="AF1132" i="4"/>
  <c r="AD1132" i="4"/>
  <c r="Z1132" i="4"/>
  <c r="W1132" i="4"/>
  <c r="S1132" i="4"/>
  <c r="P1132" i="4"/>
  <c r="U1132" i="4" s="1"/>
  <c r="N1132" i="4"/>
  <c r="K1132" i="4"/>
  <c r="E1132" i="4"/>
  <c r="B1132" i="4"/>
  <c r="H1132" i="4" s="1"/>
  <c r="AH1131" i="4"/>
  <c r="AF1131" i="4"/>
  <c r="AD1131" i="4"/>
  <c r="Z1131" i="4"/>
  <c r="W1131" i="4"/>
  <c r="S1131" i="4"/>
  <c r="P1131" i="4"/>
  <c r="U1131" i="4" s="1"/>
  <c r="N1131" i="4"/>
  <c r="K1131" i="4"/>
  <c r="H1131" i="4"/>
  <c r="E1131" i="4"/>
  <c r="AF1130" i="4"/>
  <c r="AD1130" i="4"/>
  <c r="Z1130" i="4"/>
  <c r="W1130" i="4"/>
  <c r="U1130" i="4"/>
  <c r="S1130" i="4"/>
  <c r="N1130" i="4"/>
  <c r="K1130" i="4"/>
  <c r="H1130" i="4"/>
  <c r="E1130" i="4"/>
  <c r="AF1129" i="4"/>
  <c r="AD1129" i="4"/>
  <c r="Z1129" i="4"/>
  <c r="W1129" i="4"/>
  <c r="U1129" i="4"/>
  <c r="S1129" i="4"/>
  <c r="N1129" i="4"/>
  <c r="K1129" i="4"/>
  <c r="H1129" i="4"/>
  <c r="E1129" i="4"/>
  <c r="AH1128" i="4"/>
  <c r="AM1128" i="4" s="1"/>
  <c r="AF1128" i="4"/>
  <c r="AD1128" i="4"/>
  <c r="Z1128" i="4"/>
  <c r="W1128" i="4"/>
  <c r="U1128" i="4"/>
  <c r="S1128" i="4"/>
  <c r="N1128" i="4"/>
  <c r="K1128" i="4"/>
  <c r="E1128" i="4"/>
  <c r="B1128" i="4"/>
  <c r="BE1123" i="4"/>
  <c r="BE1078" i="4" s="1"/>
  <c r="BC1123" i="4"/>
  <c r="BA1123" i="4"/>
  <c r="AY1123" i="4"/>
  <c r="AY1078" i="4" s="1"/>
  <c r="AW1123" i="4"/>
  <c r="AW1078" i="4" s="1"/>
  <c r="AU1123" i="4"/>
  <c r="AU1078" i="4" s="1"/>
  <c r="AS1123" i="4"/>
  <c r="AQ1123" i="4"/>
  <c r="AQ1078" i="4" s="1"/>
  <c r="AO1123" i="4"/>
  <c r="AO1078" i="4" s="1"/>
  <c r="AH1123" i="4"/>
  <c r="AE1123" i="4"/>
  <c r="AC1123" i="4"/>
  <c r="Y1123" i="4"/>
  <c r="Y1078" i="4" s="1"/>
  <c r="V1123" i="4"/>
  <c r="T1123" i="4"/>
  <c r="R1123" i="4"/>
  <c r="P1123" i="4"/>
  <c r="P1078" i="4" s="1"/>
  <c r="L1123" i="4"/>
  <c r="L1078" i="4" s="1"/>
  <c r="J1123" i="4"/>
  <c r="F1123" i="4"/>
  <c r="F1078" i="4" s="1"/>
  <c r="D1123" i="4"/>
  <c r="B1123" i="4"/>
  <c r="B1078" i="4" s="1"/>
  <c r="AF1122" i="4"/>
  <c r="AD1122" i="4"/>
  <c r="Z1122" i="4"/>
  <c r="W1122" i="4"/>
  <c r="U1122" i="4"/>
  <c r="S1122" i="4"/>
  <c r="N1122" i="4"/>
  <c r="N1123" i="4" s="1"/>
  <c r="K1122" i="4"/>
  <c r="K1123" i="4" s="1"/>
  <c r="H1122" i="4"/>
  <c r="H1123" i="4" s="1"/>
  <c r="E1122" i="4"/>
  <c r="E1123" i="4" s="1"/>
  <c r="AF1121" i="4"/>
  <c r="AF1123" i="4" s="1"/>
  <c r="AD1121" i="4"/>
  <c r="Z1121" i="4"/>
  <c r="W1121" i="4"/>
  <c r="U1121" i="4"/>
  <c r="U1123" i="4" s="1"/>
  <c r="S1121" i="4"/>
  <c r="AF1120" i="4"/>
  <c r="AD1120" i="4"/>
  <c r="Z1120" i="4"/>
  <c r="Z1123" i="4" s="1"/>
  <c r="W1120" i="4"/>
  <c r="AX1116" i="4"/>
  <c r="AZ1116" i="4" s="1"/>
  <c r="AP1116" i="4"/>
  <c r="AR1116" i="4" s="1"/>
  <c r="AF1116" i="4"/>
  <c r="AD1116" i="4"/>
  <c r="Z1116" i="4"/>
  <c r="W1116" i="4"/>
  <c r="S1116" i="4"/>
  <c r="P1116" i="4"/>
  <c r="N1116" i="4"/>
  <c r="K1116" i="4"/>
  <c r="H1116" i="4"/>
  <c r="E1116" i="4"/>
  <c r="AF1115" i="4"/>
  <c r="AD1115" i="4"/>
  <c r="Z1115" i="4"/>
  <c r="W1115" i="4"/>
  <c r="U1115" i="4"/>
  <c r="S1115" i="4"/>
  <c r="N1115" i="4"/>
  <c r="K1115" i="4"/>
  <c r="H1115" i="4"/>
  <c r="E1115" i="4"/>
  <c r="AH1114" i="4"/>
  <c r="AM1114" i="4" s="1"/>
  <c r="AF1114" i="4"/>
  <c r="AD1114" i="4"/>
  <c r="Z1114" i="4"/>
  <c r="W1114" i="4"/>
  <c r="U1114" i="4"/>
  <c r="S1114" i="4"/>
  <c r="N1114" i="4"/>
  <c r="K1114" i="4"/>
  <c r="H1114" i="4"/>
  <c r="E1114" i="4"/>
  <c r="AF1113" i="4"/>
  <c r="AD1113" i="4"/>
  <c r="Z1113" i="4"/>
  <c r="W1113" i="4"/>
  <c r="U1113" i="4"/>
  <c r="S1113" i="4"/>
  <c r="N1113" i="4"/>
  <c r="K1113" i="4"/>
  <c r="H1113" i="4"/>
  <c r="E1113" i="4"/>
  <c r="AF1112" i="4"/>
  <c r="AD1112" i="4"/>
  <c r="Z1112" i="4"/>
  <c r="W1112" i="4"/>
  <c r="U1112" i="4"/>
  <c r="S1112" i="4"/>
  <c r="N1112" i="4"/>
  <c r="K1112" i="4"/>
  <c r="H1112" i="4"/>
  <c r="E1112" i="4"/>
  <c r="AF1111" i="4"/>
  <c r="AD1111" i="4"/>
  <c r="Z1111" i="4"/>
  <c r="W1111" i="4"/>
  <c r="U1111" i="4"/>
  <c r="S1111" i="4"/>
  <c r="N1111" i="4"/>
  <c r="K1111" i="4"/>
  <c r="H1111" i="4"/>
  <c r="E1111" i="4"/>
  <c r="AF1110" i="4"/>
  <c r="AD1110" i="4"/>
  <c r="Z1110" i="4"/>
  <c r="W1110" i="4"/>
  <c r="U1110" i="4"/>
  <c r="S1110" i="4"/>
  <c r="N1110" i="4"/>
  <c r="K1110" i="4"/>
  <c r="H1110" i="4"/>
  <c r="E1110" i="4"/>
  <c r="AF1109" i="4"/>
  <c r="AD1109" i="4"/>
  <c r="Z1109" i="4"/>
  <c r="W1109" i="4"/>
  <c r="U1109" i="4"/>
  <c r="S1109" i="4"/>
  <c r="N1109" i="4"/>
  <c r="K1109" i="4"/>
  <c r="H1109" i="4"/>
  <c r="E1109" i="4"/>
  <c r="AX1108" i="4"/>
  <c r="AZ1108" i="4" s="1"/>
  <c r="AP1108" i="4"/>
  <c r="AR1108" i="4" s="1"/>
  <c r="AH1108" i="4"/>
  <c r="AF1108" i="4"/>
  <c r="AD1108" i="4"/>
  <c r="Z1108" i="4"/>
  <c r="W1108" i="4"/>
  <c r="S1108" i="4"/>
  <c r="P1108" i="4"/>
  <c r="U1108" i="4" s="1"/>
  <c r="N1108" i="4"/>
  <c r="K1108" i="4"/>
  <c r="H1108" i="4"/>
  <c r="E1108" i="4"/>
  <c r="AX1107" i="4"/>
  <c r="AZ1107" i="4" s="1"/>
  <c r="AP1107" i="4"/>
  <c r="AR1107" i="4" s="1"/>
  <c r="AH1107" i="4"/>
  <c r="AF1107" i="4"/>
  <c r="AD1107" i="4"/>
  <c r="Z1107" i="4"/>
  <c r="W1107" i="4"/>
  <c r="S1107" i="4"/>
  <c r="P1107" i="4"/>
  <c r="U1107" i="4" s="1"/>
  <c r="N1107" i="4"/>
  <c r="K1107" i="4"/>
  <c r="H1107" i="4"/>
  <c r="E1107" i="4"/>
  <c r="AX1106" i="4"/>
  <c r="AZ1106" i="4" s="1"/>
  <c r="AP1106" i="4"/>
  <c r="AR1106" i="4" s="1"/>
  <c r="AH1106" i="4"/>
  <c r="AF1106" i="4"/>
  <c r="AD1106" i="4"/>
  <c r="Z1106" i="4"/>
  <c r="W1106" i="4"/>
  <c r="U1106" i="4"/>
  <c r="S1106" i="4"/>
  <c r="N1106" i="4"/>
  <c r="K1106" i="4"/>
  <c r="H1106" i="4"/>
  <c r="E1106" i="4"/>
  <c r="AX1105" i="4"/>
  <c r="AZ1105" i="4" s="1"/>
  <c r="AP1105" i="4"/>
  <c r="AR1105" i="4" s="1"/>
  <c r="AH1105" i="4"/>
  <c r="AM1105" i="4" s="1"/>
  <c r="AF1105" i="4"/>
  <c r="AD1105" i="4"/>
  <c r="Z1105" i="4"/>
  <c r="W1105" i="4"/>
  <c r="S1105" i="4"/>
  <c r="P1105" i="4"/>
  <c r="U1105" i="4" s="1"/>
  <c r="N1105" i="4"/>
  <c r="K1105" i="4"/>
  <c r="H1105" i="4"/>
  <c r="E1105" i="4"/>
  <c r="AX1104" i="4"/>
  <c r="AZ1104" i="4" s="1"/>
  <c r="AP1104" i="4"/>
  <c r="AR1104" i="4" s="1"/>
  <c r="AH1104" i="4"/>
  <c r="AF1104" i="4"/>
  <c r="AD1104" i="4"/>
  <c r="Z1104" i="4"/>
  <c r="W1104" i="4"/>
  <c r="S1104" i="4"/>
  <c r="P1104" i="4"/>
  <c r="U1104" i="4" s="1"/>
  <c r="N1104" i="4"/>
  <c r="K1104" i="4"/>
  <c r="H1104" i="4"/>
  <c r="E1104" i="4"/>
  <c r="AE1102" i="4"/>
  <c r="AE1117" i="4" s="1"/>
  <c r="AE1077" i="4" s="1"/>
  <c r="AC1102" i="4"/>
  <c r="AC1117" i="4" s="1"/>
  <c r="Y1102" i="4"/>
  <c r="Y1117" i="4" s="1"/>
  <c r="Y1077" i="4" s="1"/>
  <c r="V1102" i="4"/>
  <c r="V1117" i="4" s="1"/>
  <c r="T1102" i="4"/>
  <c r="T1117" i="4" s="1"/>
  <c r="T1077" i="4" s="1"/>
  <c r="R1102" i="4"/>
  <c r="R1117" i="4" s="1"/>
  <c r="L1102" i="4"/>
  <c r="L1117" i="4" s="1"/>
  <c r="L1077" i="4" s="1"/>
  <c r="J1102" i="4"/>
  <c r="J1117" i="4" s="1"/>
  <c r="D1102" i="4"/>
  <c r="D1117" i="4" s="1"/>
  <c r="AP1101" i="4"/>
  <c r="AF1101" i="4"/>
  <c r="AD1101" i="4"/>
  <c r="Z1101" i="4"/>
  <c r="W1101" i="4"/>
  <c r="S1101" i="4"/>
  <c r="P1101" i="4"/>
  <c r="K1101" i="4"/>
  <c r="F1101" i="4"/>
  <c r="B1101" i="4"/>
  <c r="AP1100" i="4"/>
  <c r="AF1100" i="4"/>
  <c r="AD1100" i="4"/>
  <c r="AD1102" i="4" s="1"/>
  <c r="Z1100" i="4"/>
  <c r="W1100" i="4"/>
  <c r="S1100" i="4"/>
  <c r="P1100" i="4"/>
  <c r="K1100" i="4"/>
  <c r="F1100" i="4"/>
  <c r="B1100" i="4"/>
  <c r="BE1094" i="4"/>
  <c r="BC1094" i="4"/>
  <c r="BA1094" i="4"/>
  <c r="AY1094" i="4"/>
  <c r="AW1094" i="4"/>
  <c r="AE1094" i="4"/>
  <c r="Y1094" i="4"/>
  <c r="T1094" i="4"/>
  <c r="P1094" i="4"/>
  <c r="H1094" i="4"/>
  <c r="N1094" i="4" s="1"/>
  <c r="BE1093" i="4"/>
  <c r="BC1093" i="4"/>
  <c r="BA1093" i="4"/>
  <c r="AY1093" i="4"/>
  <c r="AW1093" i="4"/>
  <c r="AO1093" i="4"/>
  <c r="AO1095" i="4" s="1"/>
  <c r="AH1093" i="4"/>
  <c r="AH1095" i="4" s="1"/>
  <c r="AE1093" i="4"/>
  <c r="Y1093" i="4"/>
  <c r="T1093" i="4"/>
  <c r="L1093" i="4"/>
  <c r="L1095" i="4" s="1"/>
  <c r="F1093" i="4"/>
  <c r="B1093" i="4"/>
  <c r="B1095" i="4" s="1"/>
  <c r="B1096" i="4" s="1"/>
  <c r="AF1092" i="4"/>
  <c r="Z1092" i="4"/>
  <c r="U1092" i="4"/>
  <c r="H1092" i="4"/>
  <c r="N1092" i="4" s="1"/>
  <c r="AF1091" i="4"/>
  <c r="Z1091" i="4"/>
  <c r="U1091" i="4"/>
  <c r="H1091" i="4"/>
  <c r="N1091" i="4" s="1"/>
  <c r="H1090" i="4"/>
  <c r="N1090" i="4" s="1"/>
  <c r="H1089" i="4"/>
  <c r="N1089" i="4" s="1"/>
  <c r="H1088" i="4"/>
  <c r="N1088" i="4" s="1"/>
  <c r="H1087" i="4"/>
  <c r="N1087" i="4" s="1"/>
  <c r="N1084" i="4"/>
  <c r="H1084" i="4"/>
  <c r="L1082" i="4"/>
  <c r="B1082" i="4"/>
  <c r="H1080" i="4"/>
  <c r="N1080" i="4" s="1"/>
  <c r="BC1078" i="4"/>
  <c r="AH1078" i="4"/>
  <c r="AE1078" i="4"/>
  <c r="T1078" i="4"/>
  <c r="Z1075" i="4"/>
  <c r="U1075" i="4"/>
  <c r="N1075" i="4"/>
  <c r="H1075" i="4"/>
  <c r="AE1043" i="4"/>
  <c r="AE18" i="4" s="1"/>
  <c r="AC1043" i="4"/>
  <c r="Y1043" i="4"/>
  <c r="Y18" i="4" s="1"/>
  <c r="T1043" i="4"/>
  <c r="T18" i="4" s="1"/>
  <c r="R1043" i="4"/>
  <c r="L1043" i="4"/>
  <c r="L18" i="4" s="1"/>
  <c r="F1043" i="4"/>
  <c r="F18" i="4" s="1"/>
  <c r="AF1042" i="4"/>
  <c r="AD1042" i="4"/>
  <c r="Z1042" i="4"/>
  <c r="W1042" i="4"/>
  <c r="U1042" i="4"/>
  <c r="S1042" i="4"/>
  <c r="N1042" i="4"/>
  <c r="K1042" i="4"/>
  <c r="H1042" i="4"/>
  <c r="E1042" i="4"/>
  <c r="AF1039" i="4"/>
  <c r="AD1039" i="4"/>
  <c r="Z1039" i="4"/>
  <c r="W1039" i="4"/>
  <c r="U1039" i="4"/>
  <c r="S1039" i="4"/>
  <c r="N1039" i="4"/>
  <c r="K1039" i="4"/>
  <c r="H1039" i="4"/>
  <c r="E1039" i="4"/>
  <c r="AF1038" i="4"/>
  <c r="AD1038" i="4"/>
  <c r="AF1037" i="4"/>
  <c r="AD1037" i="4"/>
  <c r="Z1037" i="4"/>
  <c r="W1037" i="4"/>
  <c r="U1037" i="4"/>
  <c r="S1037" i="4"/>
  <c r="N1037" i="4"/>
  <c r="K1037" i="4"/>
  <c r="H1037" i="4"/>
  <c r="E1037" i="4"/>
  <c r="AF1036" i="4"/>
  <c r="AD1036" i="4"/>
  <c r="Z1036" i="4"/>
  <c r="W1036" i="4"/>
  <c r="U1036" i="4"/>
  <c r="S1036" i="4"/>
  <c r="N1036" i="4"/>
  <c r="K1036" i="4"/>
  <c r="H1036" i="4"/>
  <c r="E1036" i="4"/>
  <c r="AF1035" i="4"/>
  <c r="AD1035" i="4"/>
  <c r="Z1035" i="4"/>
  <c r="W1035" i="4"/>
  <c r="U1035" i="4"/>
  <c r="S1035" i="4"/>
  <c r="N1035" i="4"/>
  <c r="K1035" i="4"/>
  <c r="H1035" i="4"/>
  <c r="E1035" i="4"/>
  <c r="AF1034" i="4"/>
  <c r="AD1034" i="4"/>
  <c r="Z1034" i="4"/>
  <c r="W1034" i="4"/>
  <c r="U1034" i="4"/>
  <c r="S1034" i="4"/>
  <c r="N1034" i="4"/>
  <c r="K1034" i="4"/>
  <c r="H1034" i="4"/>
  <c r="E1034" i="4"/>
  <c r="AF1033" i="4"/>
  <c r="AD1033" i="4"/>
  <c r="Z1033" i="4"/>
  <c r="W1033" i="4"/>
  <c r="U1033" i="4"/>
  <c r="S1033" i="4"/>
  <c r="N1033" i="4"/>
  <c r="K1033" i="4"/>
  <c r="H1033" i="4"/>
  <c r="E1033" i="4"/>
  <c r="AF1032" i="4"/>
  <c r="AD1032" i="4"/>
  <c r="Z1032" i="4"/>
  <c r="W1032" i="4"/>
  <c r="U1032" i="4"/>
  <c r="S1032" i="4"/>
  <c r="N1032" i="4"/>
  <c r="K1032" i="4"/>
  <c r="H1032" i="4"/>
  <c r="E1032" i="4"/>
  <c r="AF1031" i="4"/>
  <c r="AD1031" i="4"/>
  <c r="Z1031" i="4"/>
  <c r="W1031" i="4"/>
  <c r="U1031" i="4"/>
  <c r="S1031" i="4"/>
  <c r="N1031" i="4"/>
  <c r="K1031" i="4"/>
  <c r="H1031" i="4"/>
  <c r="E1031" i="4"/>
  <c r="AF1030" i="4"/>
  <c r="AD1030" i="4"/>
  <c r="Z1030" i="4"/>
  <c r="W1030" i="4"/>
  <c r="U1030" i="4"/>
  <c r="S1030" i="4"/>
  <c r="N1030" i="4"/>
  <c r="K1030" i="4"/>
  <c r="H1030" i="4"/>
  <c r="E1030" i="4"/>
  <c r="AF1029" i="4"/>
  <c r="AD1029" i="4"/>
  <c r="Z1029" i="4"/>
  <c r="W1029" i="4"/>
  <c r="U1029" i="4"/>
  <c r="S1029" i="4"/>
  <c r="N1029" i="4"/>
  <c r="K1029" i="4"/>
  <c r="H1029" i="4"/>
  <c r="E1029" i="4"/>
  <c r="AF1028" i="4"/>
  <c r="AD1028" i="4"/>
  <c r="Z1028" i="4"/>
  <c r="W1028" i="4"/>
  <c r="U1028" i="4"/>
  <c r="S1028" i="4"/>
  <c r="N1028" i="4"/>
  <c r="K1028" i="4"/>
  <c r="H1028" i="4"/>
  <c r="E1028" i="4"/>
  <c r="AF1026" i="4"/>
  <c r="AD1026" i="4"/>
  <c r="Z1026" i="4"/>
  <c r="W1026" i="4"/>
  <c r="U1026" i="4"/>
  <c r="S1026" i="4"/>
  <c r="N1026" i="4"/>
  <c r="K1026" i="4"/>
  <c r="H1026" i="4"/>
  <c r="E1026" i="4"/>
  <c r="AF1025" i="4"/>
  <c r="AD1025" i="4"/>
  <c r="Z1025" i="4"/>
  <c r="W1025" i="4"/>
  <c r="U1025" i="4"/>
  <c r="S1025" i="4"/>
  <c r="N1025" i="4"/>
  <c r="K1025" i="4"/>
  <c r="H1025" i="4"/>
  <c r="E1025" i="4"/>
  <c r="AF1024" i="4"/>
  <c r="AD1024" i="4"/>
  <c r="Z1024" i="4"/>
  <c r="W1024" i="4"/>
  <c r="U1024" i="4"/>
  <c r="S1024" i="4"/>
  <c r="N1024" i="4"/>
  <c r="K1024" i="4"/>
  <c r="H1024" i="4"/>
  <c r="E1024" i="4"/>
  <c r="AF1023" i="4"/>
  <c r="AD1023" i="4"/>
  <c r="Z1023" i="4"/>
  <c r="W1023" i="4"/>
  <c r="U1023" i="4"/>
  <c r="S1023" i="4"/>
  <c r="N1023" i="4"/>
  <c r="K1023" i="4"/>
  <c r="H1023" i="4"/>
  <c r="E1023" i="4"/>
  <c r="AF1021" i="4"/>
  <c r="AD1021" i="4"/>
  <c r="Z1021" i="4"/>
  <c r="W1021" i="4"/>
  <c r="U1021" i="4"/>
  <c r="S1021" i="4"/>
  <c r="N1021" i="4"/>
  <c r="K1021" i="4"/>
  <c r="H1021" i="4"/>
  <c r="E1021" i="4"/>
  <c r="AF1020" i="4"/>
  <c r="AD1020" i="4"/>
  <c r="Z1020" i="4"/>
  <c r="W1020" i="4"/>
  <c r="U1020" i="4"/>
  <c r="S1020" i="4"/>
  <c r="N1020" i="4"/>
  <c r="K1020" i="4"/>
  <c r="H1020" i="4"/>
  <c r="E1020" i="4"/>
  <c r="AF1019" i="4"/>
  <c r="AD1019" i="4"/>
  <c r="Z1019" i="4"/>
  <c r="W1019" i="4"/>
  <c r="U1019" i="4"/>
  <c r="S1019" i="4"/>
  <c r="N1019" i="4"/>
  <c r="K1019" i="4"/>
  <c r="H1019" i="4"/>
  <c r="E1019" i="4"/>
  <c r="AF1018" i="4"/>
  <c r="AD1018" i="4"/>
  <c r="Z1018" i="4"/>
  <c r="W1018" i="4"/>
  <c r="U1018" i="4"/>
  <c r="S1018" i="4"/>
  <c r="N1018" i="4"/>
  <c r="K1018" i="4"/>
  <c r="H1018" i="4"/>
  <c r="E1018" i="4"/>
  <c r="AF1017" i="4"/>
  <c r="AD1017" i="4"/>
  <c r="Z1017" i="4"/>
  <c r="W1017" i="4"/>
  <c r="U1017" i="4"/>
  <c r="S1017" i="4"/>
  <c r="N1017" i="4"/>
  <c r="K1017" i="4"/>
  <c r="H1017" i="4"/>
  <c r="E1017" i="4"/>
  <c r="AF1016" i="4"/>
  <c r="AD1016" i="4"/>
  <c r="Z1016" i="4"/>
  <c r="W1016" i="4"/>
  <c r="U1016" i="4"/>
  <c r="S1016" i="4"/>
  <c r="N1016" i="4"/>
  <c r="K1016" i="4"/>
  <c r="H1016" i="4"/>
  <c r="E1016" i="4"/>
  <c r="AF1015" i="4"/>
  <c r="AD1015" i="4"/>
  <c r="Z1015" i="4"/>
  <c r="W1015" i="4"/>
  <c r="U1015" i="4"/>
  <c r="S1015" i="4"/>
  <c r="N1015" i="4"/>
  <c r="K1015" i="4"/>
  <c r="H1015" i="4"/>
  <c r="E1015" i="4"/>
  <c r="AF1014" i="4"/>
  <c r="AD1014" i="4"/>
  <c r="Z1014" i="4"/>
  <c r="AF1013" i="4"/>
  <c r="AD1013" i="4"/>
  <c r="Z1013" i="4"/>
  <c r="W1013" i="4"/>
  <c r="U1013" i="4"/>
  <c r="S1013" i="4"/>
  <c r="N1013" i="4"/>
  <c r="K1013" i="4"/>
  <c r="H1013" i="4"/>
  <c r="E1013" i="4"/>
  <c r="AF1012" i="4"/>
  <c r="AD1012" i="4"/>
  <c r="Z1012" i="4"/>
  <c r="W1012" i="4"/>
  <c r="U1012" i="4"/>
  <c r="S1012" i="4"/>
  <c r="N1012" i="4"/>
  <c r="K1012" i="4"/>
  <c r="H1012" i="4"/>
  <c r="E1012" i="4"/>
  <c r="AF1011" i="4"/>
  <c r="AD1011" i="4"/>
  <c r="Z1011" i="4"/>
  <c r="W1011" i="4"/>
  <c r="U1011" i="4"/>
  <c r="S1011" i="4"/>
  <c r="N1011" i="4"/>
  <c r="K1011" i="4"/>
  <c r="H1011" i="4"/>
  <c r="E1011" i="4"/>
  <c r="AF1010" i="4"/>
  <c r="AD1010" i="4"/>
  <c r="Z1010" i="4"/>
  <c r="W1010" i="4"/>
  <c r="U1010" i="4"/>
  <c r="S1010" i="4"/>
  <c r="N1010" i="4"/>
  <c r="K1010" i="4"/>
  <c r="H1010" i="4"/>
  <c r="E1010" i="4"/>
  <c r="AF1009" i="4"/>
  <c r="AD1009" i="4"/>
  <c r="Z1009" i="4"/>
  <c r="W1009" i="4"/>
  <c r="U1009" i="4"/>
  <c r="S1009" i="4"/>
  <c r="N1009" i="4"/>
  <c r="K1009" i="4"/>
  <c r="H1009" i="4"/>
  <c r="E1009" i="4"/>
  <c r="AF1008" i="4"/>
  <c r="AD1008" i="4"/>
  <c r="Z1008" i="4"/>
  <c r="W1008" i="4"/>
  <c r="U1008" i="4"/>
  <c r="S1008" i="4"/>
  <c r="N1008" i="4"/>
  <c r="K1008" i="4"/>
  <c r="H1008" i="4"/>
  <c r="E1008" i="4"/>
  <c r="AF1007" i="4"/>
  <c r="AD1007" i="4"/>
  <c r="Z1007" i="4"/>
  <c r="W1007" i="4"/>
  <c r="U1007" i="4"/>
  <c r="S1007" i="4"/>
  <c r="N1007" i="4"/>
  <c r="K1007" i="4"/>
  <c r="H1007" i="4"/>
  <c r="E1007" i="4"/>
  <c r="AF1006" i="4"/>
  <c r="AD1006" i="4"/>
  <c r="Z1006" i="4"/>
  <c r="W1006" i="4"/>
  <c r="U1006" i="4"/>
  <c r="S1006" i="4"/>
  <c r="N1006" i="4"/>
  <c r="K1006" i="4"/>
  <c r="H1006" i="4"/>
  <c r="E1006" i="4"/>
  <c r="AF1005" i="4"/>
  <c r="AD1005" i="4"/>
  <c r="Z1005" i="4"/>
  <c r="W1005" i="4"/>
  <c r="U1005" i="4"/>
  <c r="S1005" i="4"/>
  <c r="N1005" i="4"/>
  <c r="K1005" i="4"/>
  <c r="H1005" i="4"/>
  <c r="E1005" i="4"/>
  <c r="AF1004" i="4"/>
  <c r="AD1004" i="4"/>
  <c r="Z1004" i="4"/>
  <c r="W1004" i="4"/>
  <c r="U1004" i="4"/>
  <c r="S1004" i="4"/>
  <c r="N1004" i="4"/>
  <c r="K1004" i="4"/>
  <c r="H1004" i="4"/>
  <c r="E1004" i="4"/>
  <c r="AF1003" i="4"/>
  <c r="AD1003" i="4"/>
  <c r="Z1003" i="4"/>
  <c r="W1003" i="4"/>
  <c r="U1003" i="4"/>
  <c r="S1003" i="4"/>
  <c r="N1003" i="4"/>
  <c r="K1003" i="4"/>
  <c r="H1003" i="4"/>
  <c r="E1003" i="4"/>
  <c r="AF1002" i="4"/>
  <c r="AD1002" i="4"/>
  <c r="Z1002" i="4"/>
  <c r="W1002" i="4"/>
  <c r="U1002" i="4"/>
  <c r="S1002" i="4"/>
  <c r="N1002" i="4"/>
  <c r="K1002" i="4"/>
  <c r="H1002" i="4"/>
  <c r="E1002" i="4"/>
  <c r="AF1001" i="4"/>
  <c r="AD1001" i="4"/>
  <c r="Z1001" i="4"/>
  <c r="W1001" i="4"/>
  <c r="U1001" i="4"/>
  <c r="S1001" i="4"/>
  <c r="N1001" i="4"/>
  <c r="K1001" i="4"/>
  <c r="H1001" i="4"/>
  <c r="E1001" i="4"/>
  <c r="AF1000" i="4"/>
  <c r="AD1000" i="4"/>
  <c r="Z1000" i="4"/>
  <c r="W1000" i="4"/>
  <c r="U1000" i="4"/>
  <c r="S1000" i="4"/>
  <c r="N1000" i="4"/>
  <c r="K1000" i="4"/>
  <c r="H1000" i="4"/>
  <c r="E1000" i="4"/>
  <c r="AF999" i="4"/>
  <c r="AD999" i="4"/>
  <c r="Z999" i="4"/>
  <c r="W999" i="4"/>
  <c r="U999" i="4"/>
  <c r="S999" i="4"/>
  <c r="N999" i="4"/>
  <c r="K999" i="4"/>
  <c r="H999" i="4"/>
  <c r="E999" i="4"/>
  <c r="AF997" i="4"/>
  <c r="AD997" i="4"/>
  <c r="Z997" i="4"/>
  <c r="W997" i="4"/>
  <c r="U997" i="4"/>
  <c r="S997" i="4"/>
  <c r="AF996" i="4"/>
  <c r="AD996" i="4"/>
  <c r="Z996" i="4"/>
  <c r="W996" i="4"/>
  <c r="S996" i="4"/>
  <c r="P996" i="4"/>
  <c r="U996" i="4" s="1"/>
  <c r="N996" i="4"/>
  <c r="K996" i="4"/>
  <c r="H996" i="4"/>
  <c r="E996" i="4"/>
  <c r="AF995" i="4"/>
  <c r="AD995" i="4"/>
  <c r="Z995" i="4"/>
  <c r="W995" i="4"/>
  <c r="U995" i="4"/>
  <c r="S995" i="4"/>
  <c r="N995" i="4"/>
  <c r="K995" i="4"/>
  <c r="H995" i="4"/>
  <c r="AF994" i="4"/>
  <c r="AD994" i="4"/>
  <c r="Z994" i="4"/>
  <c r="W994" i="4"/>
  <c r="U994" i="4"/>
  <c r="S994" i="4"/>
  <c r="N994" i="4"/>
  <c r="K994" i="4"/>
  <c r="H994" i="4"/>
  <c r="E994" i="4"/>
  <c r="AF993" i="4"/>
  <c r="AD993" i="4"/>
  <c r="Z993" i="4"/>
  <c r="W993" i="4"/>
  <c r="U993" i="4"/>
  <c r="S993" i="4"/>
  <c r="N993" i="4"/>
  <c r="K993" i="4"/>
  <c r="H993" i="4"/>
  <c r="E993" i="4"/>
  <c r="AF992" i="4"/>
  <c r="AD992" i="4"/>
  <c r="Z992" i="4"/>
  <c r="W992" i="4"/>
  <c r="U992" i="4"/>
  <c r="S992" i="4"/>
  <c r="N992" i="4"/>
  <c r="K992" i="4"/>
  <c r="H992" i="4"/>
  <c r="E992" i="4"/>
  <c r="AF990" i="4"/>
  <c r="AD990" i="4"/>
  <c r="Z990" i="4"/>
  <c r="W990" i="4"/>
  <c r="U990" i="4"/>
  <c r="S990" i="4"/>
  <c r="N990" i="4"/>
  <c r="K990" i="4"/>
  <c r="H990" i="4"/>
  <c r="E990" i="4"/>
  <c r="AF989" i="4"/>
  <c r="AD989" i="4"/>
  <c r="Z989" i="4"/>
  <c r="W989" i="4"/>
  <c r="U989" i="4"/>
  <c r="S989" i="4"/>
  <c r="N989" i="4"/>
  <c r="K989" i="4"/>
  <c r="H989" i="4"/>
  <c r="E989" i="4"/>
  <c r="AF988" i="4"/>
  <c r="AD988" i="4"/>
  <c r="Z988" i="4"/>
  <c r="W988" i="4"/>
  <c r="U988" i="4"/>
  <c r="S988" i="4"/>
  <c r="N988" i="4"/>
  <c r="K988" i="4"/>
  <c r="H988" i="4"/>
  <c r="E988" i="4"/>
  <c r="AF987" i="4"/>
  <c r="AD987" i="4"/>
  <c r="Z987" i="4"/>
  <c r="W987" i="4"/>
  <c r="U987" i="4"/>
  <c r="S987" i="4"/>
  <c r="N987" i="4"/>
  <c r="K987" i="4"/>
  <c r="H987" i="4"/>
  <c r="E987" i="4"/>
  <c r="AF986" i="4"/>
  <c r="AD986" i="4"/>
  <c r="Z986" i="4"/>
  <c r="W986" i="4"/>
  <c r="U986" i="4"/>
  <c r="S986" i="4"/>
  <c r="N986" i="4"/>
  <c r="K986" i="4"/>
  <c r="H986" i="4"/>
  <c r="E986" i="4"/>
  <c r="AF985" i="4"/>
  <c r="AD985" i="4"/>
  <c r="Z985" i="4"/>
  <c r="W985" i="4"/>
  <c r="U985" i="4"/>
  <c r="S985" i="4"/>
  <c r="N985" i="4"/>
  <c r="K985" i="4"/>
  <c r="H985" i="4"/>
  <c r="E985" i="4"/>
  <c r="AF984" i="4"/>
  <c r="AD984" i="4"/>
  <c r="Z984" i="4"/>
  <c r="W984" i="4"/>
  <c r="U984" i="4"/>
  <c r="S984" i="4"/>
  <c r="N984" i="4"/>
  <c r="K984" i="4"/>
  <c r="H984" i="4"/>
  <c r="E984" i="4"/>
  <c r="AF983" i="4"/>
  <c r="AD983" i="4"/>
  <c r="Z983" i="4"/>
  <c r="W983" i="4"/>
  <c r="U983" i="4"/>
  <c r="S983" i="4"/>
  <c r="N983" i="4"/>
  <c r="K983" i="4"/>
  <c r="H983" i="4"/>
  <c r="E983" i="4"/>
  <c r="AF982" i="4"/>
  <c r="AD982" i="4"/>
  <c r="Z982" i="4"/>
  <c r="W982" i="4"/>
  <c r="U982" i="4"/>
  <c r="S982" i="4"/>
  <c r="N982" i="4"/>
  <c r="K982" i="4"/>
  <c r="H982" i="4"/>
  <c r="E982" i="4"/>
  <c r="AF981" i="4"/>
  <c r="AD981" i="4"/>
  <c r="Z981" i="4"/>
  <c r="W981" i="4"/>
  <c r="U981" i="4"/>
  <c r="S981" i="4"/>
  <c r="N981" i="4"/>
  <c r="K981" i="4"/>
  <c r="H981" i="4"/>
  <c r="E981" i="4"/>
  <c r="AF980" i="4"/>
  <c r="AD980" i="4"/>
  <c r="Z980" i="4"/>
  <c r="W980" i="4"/>
  <c r="U980" i="4"/>
  <c r="S980" i="4"/>
  <c r="N980" i="4"/>
  <c r="K980" i="4"/>
  <c r="H980" i="4"/>
  <c r="E980" i="4"/>
  <c r="AF979" i="4"/>
  <c r="AD979" i="4"/>
  <c r="Z979" i="4"/>
  <c r="W979" i="4"/>
  <c r="U979" i="4"/>
  <c r="S979" i="4"/>
  <c r="N979" i="4"/>
  <c r="K979" i="4"/>
  <c r="H979" i="4"/>
  <c r="E979" i="4"/>
  <c r="AF978" i="4"/>
  <c r="AD978" i="4"/>
  <c r="Z978" i="4"/>
  <c r="W978" i="4"/>
  <c r="U978" i="4"/>
  <c r="S978" i="4"/>
  <c r="N978" i="4"/>
  <c r="K978" i="4"/>
  <c r="H978" i="4"/>
  <c r="E978" i="4"/>
  <c r="AF977" i="4"/>
  <c r="AD977" i="4"/>
  <c r="Z977" i="4"/>
  <c r="W977" i="4"/>
  <c r="U977" i="4"/>
  <c r="S977" i="4"/>
  <c r="N977" i="4"/>
  <c r="K977" i="4"/>
  <c r="H977" i="4"/>
  <c r="E977" i="4"/>
  <c r="AF976" i="4"/>
  <c r="AD976" i="4"/>
  <c r="Z976" i="4"/>
  <c r="W976" i="4"/>
  <c r="U976" i="4"/>
  <c r="S976" i="4"/>
  <c r="N976" i="4"/>
  <c r="K976" i="4"/>
  <c r="H976" i="4"/>
  <c r="E976" i="4"/>
  <c r="AF975" i="4"/>
  <c r="AD975" i="4"/>
  <c r="Z975" i="4"/>
  <c r="W975" i="4"/>
  <c r="U975" i="4"/>
  <c r="S975" i="4"/>
  <c r="N975" i="4"/>
  <c r="K975" i="4"/>
  <c r="H975" i="4"/>
  <c r="E975" i="4"/>
  <c r="AF974" i="4"/>
  <c r="AD974" i="4"/>
  <c r="Z974" i="4"/>
  <c r="W974" i="4"/>
  <c r="U974" i="4"/>
  <c r="S974" i="4"/>
  <c r="N974" i="4"/>
  <c r="K974" i="4"/>
  <c r="H974" i="4"/>
  <c r="AF973" i="4"/>
  <c r="AD973" i="4"/>
  <c r="Z973" i="4"/>
  <c r="W973" i="4"/>
  <c r="U973" i="4"/>
  <c r="S973" i="4"/>
  <c r="N973" i="4"/>
  <c r="K973" i="4"/>
  <c r="H973" i="4"/>
  <c r="E973" i="4"/>
  <c r="AF972" i="4"/>
  <c r="AD972" i="4"/>
  <c r="Z972" i="4"/>
  <c r="W972" i="4"/>
  <c r="U972" i="4"/>
  <c r="S972" i="4"/>
  <c r="N972" i="4"/>
  <c r="K972" i="4"/>
  <c r="H972" i="4"/>
  <c r="E972" i="4"/>
  <c r="AF971" i="4"/>
  <c r="AD971" i="4"/>
  <c r="Z971" i="4"/>
  <c r="W971" i="4"/>
  <c r="U971" i="4"/>
  <c r="S971" i="4"/>
  <c r="N971" i="4"/>
  <c r="K971" i="4"/>
  <c r="H971" i="4"/>
  <c r="E971" i="4"/>
  <c r="AF970" i="4"/>
  <c r="AD970" i="4"/>
  <c r="Z970" i="4"/>
  <c r="W970" i="4"/>
  <c r="U970" i="4"/>
  <c r="S970" i="4"/>
  <c r="N970" i="4"/>
  <c r="K970" i="4"/>
  <c r="H970" i="4"/>
  <c r="E970" i="4"/>
  <c r="AF969" i="4"/>
  <c r="AD969" i="4"/>
  <c r="Z969" i="4"/>
  <c r="W969" i="4"/>
  <c r="U969" i="4"/>
  <c r="S969" i="4"/>
  <c r="N969" i="4"/>
  <c r="K969" i="4"/>
  <c r="H969" i="4"/>
  <c r="E969" i="4"/>
  <c r="AF968" i="4"/>
  <c r="AD968" i="4"/>
  <c r="Z968" i="4"/>
  <c r="W968" i="4"/>
  <c r="U968" i="4"/>
  <c r="S968" i="4"/>
  <c r="N968" i="4"/>
  <c r="K968" i="4"/>
  <c r="H968" i="4"/>
  <c r="E968" i="4"/>
  <c r="AF967" i="4"/>
  <c r="AD967" i="4"/>
  <c r="Z967" i="4"/>
  <c r="W967" i="4"/>
  <c r="U967" i="4"/>
  <c r="S967" i="4"/>
  <c r="N967" i="4"/>
  <c r="K967" i="4"/>
  <c r="H967" i="4"/>
  <c r="E967" i="4"/>
  <c r="AF966" i="4"/>
  <c r="AD966" i="4"/>
  <c r="Z966" i="4"/>
  <c r="W966" i="4"/>
  <c r="U966" i="4"/>
  <c r="S966" i="4"/>
  <c r="N966" i="4"/>
  <c r="K966" i="4"/>
  <c r="H966" i="4"/>
  <c r="E966" i="4"/>
  <c r="AF965" i="4"/>
  <c r="AD965" i="4"/>
  <c r="Z965" i="4"/>
  <c r="W965" i="4"/>
  <c r="U965" i="4"/>
  <c r="S965" i="4"/>
  <c r="N965" i="4"/>
  <c r="K965" i="4"/>
  <c r="H965" i="4"/>
  <c r="E965" i="4"/>
  <c r="AF964" i="4"/>
  <c r="AD964" i="4"/>
  <c r="Z964" i="4"/>
  <c r="W964" i="4"/>
  <c r="U964" i="4"/>
  <c r="S964" i="4"/>
  <c r="N964" i="4"/>
  <c r="K964" i="4"/>
  <c r="H964" i="4"/>
  <c r="E964" i="4"/>
  <c r="AF963" i="4"/>
  <c r="AD963" i="4"/>
  <c r="Z963" i="4"/>
  <c r="W963" i="4"/>
  <c r="U963" i="4"/>
  <c r="S963" i="4"/>
  <c r="N963" i="4"/>
  <c r="K963" i="4"/>
  <c r="H963" i="4"/>
  <c r="E963" i="4"/>
  <c r="AF962" i="4"/>
  <c r="AD962" i="4"/>
  <c r="Z962" i="4"/>
  <c r="W962" i="4"/>
  <c r="U962" i="4"/>
  <c r="S962" i="4"/>
  <c r="N962" i="4"/>
  <c r="K962" i="4"/>
  <c r="H962" i="4"/>
  <c r="E962" i="4"/>
  <c r="AF961" i="4"/>
  <c r="AD961" i="4"/>
  <c r="Z961" i="4"/>
  <c r="W961" i="4"/>
  <c r="U961" i="4"/>
  <c r="S961" i="4"/>
  <c r="N961" i="4"/>
  <c r="K961" i="4"/>
  <c r="H961" i="4"/>
  <c r="AF960" i="4"/>
  <c r="AD960" i="4"/>
  <c r="Z960" i="4"/>
  <c r="W960" i="4"/>
  <c r="U960" i="4"/>
  <c r="S960" i="4"/>
  <c r="N960" i="4"/>
  <c r="K960" i="4"/>
  <c r="H960" i="4"/>
  <c r="E960" i="4"/>
  <c r="AF959" i="4"/>
  <c r="AD959" i="4"/>
  <c r="Z959" i="4"/>
  <c r="W959" i="4"/>
  <c r="U959" i="4"/>
  <c r="S959" i="4"/>
  <c r="N959" i="4"/>
  <c r="K959" i="4"/>
  <c r="H959" i="4"/>
  <c r="E959" i="4"/>
  <c r="AF958" i="4"/>
  <c r="AD958" i="4"/>
  <c r="Z958" i="4"/>
  <c r="W958" i="4"/>
  <c r="U958" i="4"/>
  <c r="S958" i="4"/>
  <c r="N958" i="4"/>
  <c r="K958" i="4"/>
  <c r="H958" i="4"/>
  <c r="E958" i="4"/>
  <c r="AF957" i="4"/>
  <c r="AD957" i="4"/>
  <c r="Z957" i="4"/>
  <c r="W957" i="4"/>
  <c r="U957" i="4"/>
  <c r="S957" i="4"/>
  <c r="N957" i="4"/>
  <c r="K957" i="4"/>
  <c r="H957" i="4"/>
  <c r="E957" i="4"/>
  <c r="AF956" i="4"/>
  <c r="AD956" i="4"/>
  <c r="Z956" i="4"/>
  <c r="W956" i="4"/>
  <c r="U956" i="4"/>
  <c r="S956" i="4"/>
  <c r="N956" i="4"/>
  <c r="K956" i="4"/>
  <c r="H956" i="4"/>
  <c r="E956" i="4"/>
  <c r="AF955" i="4"/>
  <c r="AD955" i="4"/>
  <c r="Z955" i="4"/>
  <c r="W955" i="4"/>
  <c r="U955" i="4"/>
  <c r="S955" i="4"/>
  <c r="N955" i="4"/>
  <c r="K955" i="4"/>
  <c r="H955" i="4"/>
  <c r="E955" i="4"/>
  <c r="AF954" i="4"/>
  <c r="AD954" i="4"/>
  <c r="Z954" i="4"/>
  <c r="W954" i="4"/>
  <c r="U954" i="4"/>
  <c r="S954" i="4"/>
  <c r="N954" i="4"/>
  <c r="K954" i="4"/>
  <c r="H954" i="4"/>
  <c r="E954" i="4"/>
  <c r="AF953" i="4"/>
  <c r="AD953" i="4"/>
  <c r="Z953" i="4"/>
  <c r="W953" i="4"/>
  <c r="U953" i="4"/>
  <c r="S953" i="4"/>
  <c r="K953" i="4"/>
  <c r="H953" i="4"/>
  <c r="E953" i="4"/>
  <c r="AF952" i="4"/>
  <c r="AD952" i="4"/>
  <c r="Z952" i="4"/>
  <c r="W952" i="4"/>
  <c r="U952" i="4"/>
  <c r="S952" i="4"/>
  <c r="N952" i="4"/>
  <c r="K952" i="4"/>
  <c r="H952" i="4"/>
  <c r="E952" i="4"/>
  <c r="AF951" i="4"/>
  <c r="AD951" i="4"/>
  <c r="Z951" i="4"/>
  <c r="W951" i="4"/>
  <c r="U951" i="4"/>
  <c r="S951" i="4"/>
  <c r="N951" i="4"/>
  <c r="K951" i="4"/>
  <c r="H951" i="4"/>
  <c r="E951" i="4"/>
  <c r="AF950" i="4"/>
  <c r="AD950" i="4"/>
  <c r="Z950" i="4"/>
  <c r="W950" i="4"/>
  <c r="U950" i="4"/>
  <c r="S950" i="4"/>
  <c r="N950" i="4"/>
  <c r="K950" i="4"/>
  <c r="H950" i="4"/>
  <c r="E950" i="4"/>
  <c r="AO949" i="4"/>
  <c r="AQ949" i="4" s="1"/>
  <c r="AS949" i="4" s="1"/>
  <c r="AU949" i="4" s="1"/>
  <c r="AW949" i="4" s="1"/>
  <c r="AY949" i="4" s="1"/>
  <c r="BA949" i="4" s="1"/>
  <c r="BC949" i="4" s="1"/>
  <c r="BE949" i="4" s="1"/>
  <c r="AF949" i="4"/>
  <c r="AD949" i="4"/>
  <c r="Z949" i="4"/>
  <c r="W949" i="4"/>
  <c r="S949" i="4"/>
  <c r="P949" i="4"/>
  <c r="U949" i="4" s="1"/>
  <c r="N949" i="4"/>
  <c r="K949" i="4"/>
  <c r="H949" i="4"/>
  <c r="E949" i="4"/>
  <c r="AD948" i="4"/>
  <c r="Z948" i="4"/>
  <c r="W948" i="4"/>
  <c r="U948" i="4"/>
  <c r="S948" i="4"/>
  <c r="N948" i="4"/>
  <c r="K948" i="4"/>
  <c r="H948" i="4"/>
  <c r="E948" i="4"/>
  <c r="AD947" i="4"/>
  <c r="Z947" i="4"/>
  <c r="W947" i="4"/>
  <c r="U947" i="4"/>
  <c r="S947" i="4"/>
  <c r="N947" i="4"/>
  <c r="K947" i="4"/>
  <c r="H947" i="4"/>
  <c r="E947" i="4"/>
  <c r="AF946" i="4"/>
  <c r="AD946" i="4"/>
  <c r="Z946" i="4"/>
  <c r="W946" i="4"/>
  <c r="U946" i="4"/>
  <c r="S946" i="4"/>
  <c r="N946" i="4"/>
  <c r="K946" i="4"/>
  <c r="H946" i="4"/>
  <c r="E946" i="4"/>
  <c r="AF945" i="4"/>
  <c r="AD945" i="4"/>
  <c r="Z945" i="4"/>
  <c r="W945" i="4"/>
  <c r="U945" i="4"/>
  <c r="S945" i="4"/>
  <c r="N945" i="4"/>
  <c r="K945" i="4"/>
  <c r="H945" i="4"/>
  <c r="E945" i="4"/>
  <c r="AF942" i="4"/>
  <c r="AD942" i="4"/>
  <c r="Z942" i="4"/>
  <c r="W942" i="4"/>
  <c r="U942" i="4"/>
  <c r="S942" i="4"/>
  <c r="N942" i="4"/>
  <c r="K942" i="4"/>
  <c r="H942" i="4"/>
  <c r="E942" i="4"/>
  <c r="AF941" i="4"/>
  <c r="AD941" i="4"/>
  <c r="Z941" i="4"/>
  <c r="W941" i="4"/>
  <c r="U941" i="4"/>
  <c r="S941" i="4"/>
  <c r="N941" i="4"/>
  <c r="K941" i="4"/>
  <c r="H941" i="4"/>
  <c r="E941" i="4"/>
  <c r="AF940" i="4"/>
  <c r="AD940" i="4"/>
  <c r="Z940" i="4"/>
  <c r="W940" i="4"/>
  <c r="U940" i="4"/>
  <c r="S940" i="4"/>
  <c r="N940" i="4"/>
  <c r="K940" i="4"/>
  <c r="H940" i="4"/>
  <c r="E940" i="4"/>
  <c r="AF939" i="4"/>
  <c r="AD939" i="4"/>
  <c r="Z939" i="4"/>
  <c r="W939" i="4"/>
  <c r="U939" i="4"/>
  <c r="S939" i="4"/>
  <c r="N939" i="4"/>
  <c r="K939" i="4"/>
  <c r="H939" i="4"/>
  <c r="E939" i="4"/>
  <c r="AF938" i="4"/>
  <c r="AD938" i="4"/>
  <c r="Z938" i="4"/>
  <c r="W938" i="4"/>
  <c r="U938" i="4"/>
  <c r="S938" i="4"/>
  <c r="N938" i="4"/>
  <c r="K938" i="4"/>
  <c r="AF937" i="4"/>
  <c r="AD937" i="4"/>
  <c r="Z937" i="4"/>
  <c r="V937" i="4"/>
  <c r="W937" i="4" s="1"/>
  <c r="S937" i="4"/>
  <c r="P937" i="4"/>
  <c r="N937" i="4"/>
  <c r="J937" i="4"/>
  <c r="J1043" i="4" s="1"/>
  <c r="J18" i="4" s="1"/>
  <c r="D937" i="4"/>
  <c r="D1043" i="4" s="1"/>
  <c r="D18" i="4" s="1"/>
  <c r="B937" i="4"/>
  <c r="B1043" i="4" s="1"/>
  <c r="B18" i="4" s="1"/>
  <c r="AF936" i="4"/>
  <c r="AD936" i="4"/>
  <c r="Z936" i="4"/>
  <c r="W936" i="4"/>
  <c r="U936" i="4"/>
  <c r="S936" i="4"/>
  <c r="N936" i="4"/>
  <c r="K936" i="4"/>
  <c r="H936" i="4"/>
  <c r="E936" i="4"/>
  <c r="AF935" i="4"/>
  <c r="AD935" i="4"/>
  <c r="Z935" i="4"/>
  <c r="W935" i="4"/>
  <c r="U935" i="4"/>
  <c r="S935" i="4"/>
  <c r="N935" i="4"/>
  <c r="K935" i="4"/>
  <c r="H935" i="4"/>
  <c r="E935" i="4"/>
  <c r="AF934" i="4"/>
  <c r="AD934" i="4"/>
  <c r="Z934" i="4"/>
  <c r="W934" i="4"/>
  <c r="U934" i="4"/>
  <c r="S934" i="4"/>
  <c r="N934" i="4"/>
  <c r="K934" i="4"/>
  <c r="H934" i="4"/>
  <c r="E934" i="4"/>
  <c r="AF933" i="4"/>
  <c r="AD933" i="4"/>
  <c r="Z933" i="4"/>
  <c r="W933" i="4"/>
  <c r="U933" i="4"/>
  <c r="S933" i="4"/>
  <c r="N933" i="4"/>
  <c r="K933" i="4"/>
  <c r="H933" i="4"/>
  <c r="AF932" i="4"/>
  <c r="AD932" i="4"/>
  <c r="Z932" i="4"/>
  <c r="W932" i="4"/>
  <c r="U932" i="4"/>
  <c r="S932" i="4"/>
  <c r="N932" i="4"/>
  <c r="K932" i="4"/>
  <c r="H932" i="4"/>
  <c r="E932" i="4"/>
  <c r="AF931" i="4"/>
  <c r="AD931" i="4"/>
  <c r="Z931" i="4"/>
  <c r="W931" i="4"/>
  <c r="U931" i="4"/>
  <c r="S931" i="4"/>
  <c r="N931" i="4"/>
  <c r="K931" i="4"/>
  <c r="AF930" i="4"/>
  <c r="AD930" i="4"/>
  <c r="Z930" i="4"/>
  <c r="W930" i="4"/>
  <c r="U930" i="4"/>
  <c r="S930" i="4"/>
  <c r="N930" i="4"/>
  <c r="K930" i="4"/>
  <c r="H930" i="4"/>
  <c r="E930" i="4"/>
  <c r="AF929" i="4"/>
  <c r="AD929" i="4"/>
  <c r="Z929" i="4"/>
  <c r="W929" i="4"/>
  <c r="U929" i="4"/>
  <c r="S929" i="4"/>
  <c r="N929" i="4"/>
  <c r="K929" i="4"/>
  <c r="H929" i="4"/>
  <c r="E929" i="4"/>
  <c r="AF928" i="4"/>
  <c r="AD928" i="4"/>
  <c r="Z928" i="4"/>
  <c r="W928" i="4"/>
  <c r="U928" i="4"/>
  <c r="S928" i="4"/>
  <c r="N928" i="4"/>
  <c r="K928" i="4"/>
  <c r="H928" i="4"/>
  <c r="E928" i="4"/>
  <c r="AF927" i="4"/>
  <c r="AD927" i="4"/>
  <c r="Z927" i="4"/>
  <c r="W927" i="4"/>
  <c r="U927" i="4"/>
  <c r="S927" i="4"/>
  <c r="N927" i="4"/>
  <c r="K927" i="4"/>
  <c r="H927" i="4"/>
  <c r="E927" i="4"/>
  <c r="AF926" i="4"/>
  <c r="AD926" i="4"/>
  <c r="Z926" i="4"/>
  <c r="W926" i="4"/>
  <c r="U926" i="4"/>
  <c r="S926" i="4"/>
  <c r="N926" i="4"/>
  <c r="K926" i="4"/>
  <c r="H926" i="4"/>
  <c r="E926" i="4"/>
  <c r="AF925" i="4"/>
  <c r="AD925" i="4"/>
  <c r="Z925" i="4"/>
  <c r="W925" i="4"/>
  <c r="U925" i="4"/>
  <c r="S925" i="4"/>
  <c r="N925" i="4"/>
  <c r="K925" i="4"/>
  <c r="H925" i="4"/>
  <c r="E925" i="4"/>
  <c r="AF924" i="4"/>
  <c r="AD924" i="4"/>
  <c r="Z924" i="4"/>
  <c r="W924" i="4"/>
  <c r="U924" i="4"/>
  <c r="S924" i="4"/>
  <c r="N924" i="4"/>
  <c r="K924" i="4"/>
  <c r="H924" i="4"/>
  <c r="E924" i="4"/>
  <c r="AF923" i="4"/>
  <c r="AD923" i="4"/>
  <c r="Z923" i="4"/>
  <c r="W923" i="4"/>
  <c r="U923" i="4"/>
  <c r="S923" i="4"/>
  <c r="N923" i="4"/>
  <c r="K923" i="4"/>
  <c r="H923" i="4"/>
  <c r="E923" i="4"/>
  <c r="AF922" i="4"/>
  <c r="AD922" i="4"/>
  <c r="Z922" i="4"/>
  <c r="W922" i="4"/>
  <c r="U922" i="4"/>
  <c r="S922" i="4"/>
  <c r="N922" i="4"/>
  <c r="K922" i="4"/>
  <c r="H922" i="4"/>
  <c r="E922" i="4"/>
  <c r="AF921" i="4"/>
  <c r="AD921" i="4"/>
  <c r="Z921" i="4"/>
  <c r="W921" i="4"/>
  <c r="U921" i="4"/>
  <c r="S921" i="4"/>
  <c r="N921" i="4"/>
  <c r="K921" i="4"/>
  <c r="H921" i="4"/>
  <c r="E921" i="4"/>
  <c r="AF920" i="4"/>
  <c r="AD920" i="4"/>
  <c r="Z920" i="4"/>
  <c r="W920" i="4"/>
  <c r="U920" i="4"/>
  <c r="S920" i="4"/>
  <c r="N920" i="4"/>
  <c r="K920" i="4"/>
  <c r="H920" i="4"/>
  <c r="E920" i="4"/>
  <c r="AF917" i="4"/>
  <c r="AD917" i="4"/>
  <c r="Z917" i="4"/>
  <c r="W917" i="4"/>
  <c r="U917" i="4"/>
  <c r="S917" i="4"/>
  <c r="N917" i="4"/>
  <c r="K917" i="4"/>
  <c r="H917" i="4"/>
  <c r="E917" i="4"/>
  <c r="AF916" i="4"/>
  <c r="AD916" i="4"/>
  <c r="Z916" i="4"/>
  <c r="W916" i="4"/>
  <c r="U916" i="4"/>
  <c r="S916" i="4"/>
  <c r="N916" i="4"/>
  <c r="K916" i="4"/>
  <c r="H916" i="4"/>
  <c r="E916" i="4"/>
  <c r="AF915" i="4"/>
  <c r="AD915" i="4"/>
  <c r="Z915" i="4"/>
  <c r="W915" i="4"/>
  <c r="U915" i="4"/>
  <c r="S915" i="4"/>
  <c r="N915" i="4"/>
  <c r="K915" i="4"/>
  <c r="H915" i="4"/>
  <c r="E915" i="4"/>
  <c r="AF914" i="4"/>
  <c r="AD914" i="4"/>
  <c r="Z914" i="4"/>
  <c r="W914" i="4"/>
  <c r="U914" i="4"/>
  <c r="S914" i="4"/>
  <c r="N914" i="4"/>
  <c r="K914" i="4"/>
  <c r="H914" i="4"/>
  <c r="E914" i="4"/>
  <c r="AF913" i="4"/>
  <c r="AD913" i="4"/>
  <c r="Z913" i="4"/>
  <c r="W913" i="4"/>
  <c r="U913" i="4"/>
  <c r="S913" i="4"/>
  <c r="N913" i="4"/>
  <c r="K913" i="4"/>
  <c r="H913" i="4"/>
  <c r="E913" i="4"/>
  <c r="AF912" i="4"/>
  <c r="AD912" i="4"/>
  <c r="Z912" i="4"/>
  <c r="W912" i="4"/>
  <c r="U912" i="4"/>
  <c r="S912" i="4"/>
  <c r="N912" i="4"/>
  <c r="K912" i="4"/>
  <c r="H912" i="4"/>
  <c r="E912" i="4"/>
  <c r="AF911" i="4"/>
  <c r="AD911" i="4"/>
  <c r="Z911" i="4"/>
  <c r="W911" i="4"/>
  <c r="U911" i="4"/>
  <c r="S911" i="4"/>
  <c r="N911" i="4"/>
  <c r="K911" i="4"/>
  <c r="H911" i="4"/>
  <c r="E911" i="4"/>
  <c r="AF910" i="4"/>
  <c r="AD910" i="4"/>
  <c r="Z910" i="4"/>
  <c r="W910" i="4"/>
  <c r="U910" i="4"/>
  <c r="S910" i="4"/>
  <c r="N910" i="4"/>
  <c r="K910" i="4"/>
  <c r="H910" i="4"/>
  <c r="E910" i="4"/>
  <c r="AF909" i="4"/>
  <c r="AD909" i="4"/>
  <c r="Z909" i="4"/>
  <c r="W909" i="4"/>
  <c r="U909" i="4"/>
  <c r="S909" i="4"/>
  <c r="N909" i="4"/>
  <c r="K909" i="4"/>
  <c r="H909" i="4"/>
  <c r="E909" i="4"/>
  <c r="AF908" i="4"/>
  <c r="AD908" i="4"/>
  <c r="Z908" i="4"/>
  <c r="W908" i="4"/>
  <c r="U908" i="4"/>
  <c r="S908" i="4"/>
  <c r="N908" i="4"/>
  <c r="K908" i="4"/>
  <c r="H908" i="4"/>
  <c r="E908" i="4"/>
  <c r="AF907" i="4"/>
  <c r="AD907" i="4"/>
  <c r="Z907" i="4"/>
  <c r="W907" i="4"/>
  <c r="U907" i="4"/>
  <c r="S907" i="4"/>
  <c r="N907" i="4"/>
  <c r="K907" i="4"/>
  <c r="H907" i="4"/>
  <c r="E907" i="4"/>
  <c r="AF906" i="4"/>
  <c r="AD906" i="4"/>
  <c r="Z906" i="4"/>
  <c r="W906" i="4"/>
  <c r="U906" i="4"/>
  <c r="S906" i="4"/>
  <c r="N906" i="4"/>
  <c r="K906" i="4"/>
  <c r="H906" i="4"/>
  <c r="E906" i="4"/>
  <c r="AF905" i="4"/>
  <c r="AD905" i="4"/>
  <c r="Z905" i="4"/>
  <c r="W905" i="4"/>
  <c r="U905" i="4"/>
  <c r="S905" i="4"/>
  <c r="N905" i="4"/>
  <c r="K905" i="4"/>
  <c r="H905" i="4"/>
  <c r="E905" i="4"/>
  <c r="AF904" i="4"/>
  <c r="AD904" i="4"/>
  <c r="Z904" i="4"/>
  <c r="W904" i="4"/>
  <c r="U904" i="4"/>
  <c r="S904" i="4"/>
  <c r="N904" i="4"/>
  <c r="K904" i="4"/>
  <c r="H904" i="4"/>
  <c r="E904" i="4"/>
  <c r="AF903" i="4"/>
  <c r="AD903" i="4"/>
  <c r="Z903" i="4"/>
  <c r="W903" i="4"/>
  <c r="U903" i="4"/>
  <c r="S903" i="4"/>
  <c r="N903" i="4"/>
  <c r="K903" i="4"/>
  <c r="H903" i="4"/>
  <c r="E903" i="4"/>
  <c r="AF902" i="4"/>
  <c r="AD902" i="4"/>
  <c r="Z902" i="4"/>
  <c r="W902" i="4"/>
  <c r="U902" i="4"/>
  <c r="S902" i="4"/>
  <c r="N902" i="4"/>
  <c r="K902" i="4"/>
  <c r="H902" i="4"/>
  <c r="E902" i="4"/>
  <c r="AF901" i="4"/>
  <c r="AD901" i="4"/>
  <c r="Z901" i="4"/>
  <c r="W901" i="4"/>
  <c r="U901" i="4"/>
  <c r="S901" i="4"/>
  <c r="N901" i="4"/>
  <c r="K901" i="4"/>
  <c r="H901" i="4"/>
  <c r="E901" i="4"/>
  <c r="AF900" i="4"/>
  <c r="AD900" i="4"/>
  <c r="Z900" i="4"/>
  <c r="W900" i="4"/>
  <c r="U900" i="4"/>
  <c r="S900" i="4"/>
  <c r="N900" i="4"/>
  <c r="K900" i="4"/>
  <c r="H900" i="4"/>
  <c r="E900" i="4"/>
  <c r="AF899" i="4"/>
  <c r="AD899" i="4"/>
  <c r="Z899" i="4"/>
  <c r="W899" i="4"/>
  <c r="U899" i="4"/>
  <c r="S899" i="4"/>
  <c r="N899" i="4"/>
  <c r="K899" i="4"/>
  <c r="H899" i="4"/>
  <c r="E899" i="4"/>
  <c r="AF898" i="4"/>
  <c r="AD898" i="4"/>
  <c r="Z898" i="4"/>
  <c r="W898" i="4"/>
  <c r="U898" i="4"/>
  <c r="S898" i="4"/>
  <c r="N898" i="4"/>
  <c r="K898" i="4"/>
  <c r="H898" i="4"/>
  <c r="E898" i="4"/>
  <c r="AF897" i="4"/>
  <c r="AD897" i="4"/>
  <c r="Z897" i="4"/>
  <c r="W897" i="4"/>
  <c r="U897" i="4"/>
  <c r="S897" i="4"/>
  <c r="N897" i="4"/>
  <c r="K897" i="4"/>
  <c r="H897" i="4"/>
  <c r="E897" i="4"/>
  <c r="AF896" i="4"/>
  <c r="AD896" i="4"/>
  <c r="Z896" i="4"/>
  <c r="W896" i="4"/>
  <c r="U896" i="4"/>
  <c r="S896" i="4"/>
  <c r="N896" i="4"/>
  <c r="K896" i="4"/>
  <c r="H896" i="4"/>
  <c r="E896" i="4"/>
  <c r="AF895" i="4"/>
  <c r="AD895" i="4"/>
  <c r="Z895" i="4"/>
  <c r="W895" i="4"/>
  <c r="U895" i="4"/>
  <c r="S895" i="4"/>
  <c r="N895" i="4"/>
  <c r="K895" i="4"/>
  <c r="H895" i="4"/>
  <c r="E895" i="4"/>
  <c r="AF894" i="4"/>
  <c r="AD894" i="4"/>
  <c r="Z894" i="4"/>
  <c r="W894" i="4"/>
  <c r="U894" i="4"/>
  <c r="S894" i="4"/>
  <c r="N894" i="4"/>
  <c r="K894" i="4"/>
  <c r="H894" i="4"/>
  <c r="E894" i="4"/>
  <c r="AF893" i="4"/>
  <c r="AD893" i="4"/>
  <c r="Z893" i="4"/>
  <c r="W893" i="4"/>
  <c r="U893" i="4"/>
  <c r="S893" i="4"/>
  <c r="N893" i="4"/>
  <c r="K893" i="4"/>
  <c r="H893" i="4"/>
  <c r="E893" i="4"/>
  <c r="AF892" i="4"/>
  <c r="AD892" i="4"/>
  <c r="Z892" i="4"/>
  <c r="W892" i="4"/>
  <c r="U892" i="4"/>
  <c r="S892" i="4"/>
  <c r="N892" i="4"/>
  <c r="K892" i="4"/>
  <c r="H892" i="4"/>
  <c r="E892" i="4"/>
  <c r="AF891" i="4"/>
  <c r="AD891" i="4"/>
  <c r="Z891" i="4"/>
  <c r="W891" i="4"/>
  <c r="U891" i="4"/>
  <c r="S891" i="4"/>
  <c r="N891" i="4"/>
  <c r="K891" i="4"/>
  <c r="H891" i="4"/>
  <c r="E891" i="4"/>
  <c r="AF890" i="4"/>
  <c r="AD890" i="4"/>
  <c r="Z890" i="4"/>
  <c r="W890" i="4"/>
  <c r="U890" i="4"/>
  <c r="S890" i="4"/>
  <c r="N890" i="4"/>
  <c r="K890" i="4"/>
  <c r="H890" i="4"/>
  <c r="E890" i="4"/>
  <c r="AH888" i="4"/>
  <c r="AM888" i="4" s="1"/>
  <c r="AF888" i="4"/>
  <c r="AD888" i="4"/>
  <c r="Z888" i="4"/>
  <c r="W888" i="4"/>
  <c r="U888" i="4"/>
  <c r="S888" i="4"/>
  <c r="N888" i="4"/>
  <c r="K888" i="4"/>
  <c r="H888" i="4"/>
  <c r="E888" i="4"/>
  <c r="AH887" i="4"/>
  <c r="AM887" i="4" s="1"/>
  <c r="AF887" i="4"/>
  <c r="AD887" i="4"/>
  <c r="Z887" i="4"/>
  <c r="W887" i="4"/>
  <c r="U887" i="4"/>
  <c r="S887" i="4"/>
  <c r="N887" i="4"/>
  <c r="K887" i="4"/>
  <c r="H887" i="4"/>
  <c r="E887" i="4"/>
  <c r="AF886" i="4"/>
  <c r="AD886" i="4"/>
  <c r="Z886" i="4"/>
  <c r="W886" i="4"/>
  <c r="U886" i="4"/>
  <c r="S886" i="4"/>
  <c r="N886" i="4"/>
  <c r="K886" i="4"/>
  <c r="H886" i="4"/>
  <c r="E886" i="4"/>
  <c r="AF885" i="4"/>
  <c r="AD885" i="4"/>
  <c r="Z885" i="4"/>
  <c r="W885" i="4"/>
  <c r="U885" i="4"/>
  <c r="S885" i="4"/>
  <c r="N885" i="4"/>
  <c r="K885" i="4"/>
  <c r="H885" i="4"/>
  <c r="E885" i="4"/>
  <c r="AF884" i="4"/>
  <c r="AD884" i="4"/>
  <c r="Z884" i="4"/>
  <c r="W884" i="4"/>
  <c r="U884" i="4"/>
  <c r="S884" i="4"/>
  <c r="N884" i="4"/>
  <c r="K884" i="4"/>
  <c r="H884" i="4"/>
  <c r="E884" i="4"/>
  <c r="AF883" i="4"/>
  <c r="AD883" i="4"/>
  <c r="Z883" i="4"/>
  <c r="W883" i="4"/>
  <c r="U883" i="4"/>
  <c r="S883" i="4"/>
  <c r="N883" i="4"/>
  <c r="K883" i="4"/>
  <c r="H883" i="4"/>
  <c r="E883" i="4"/>
  <c r="AF882" i="4"/>
  <c r="AD882" i="4"/>
  <c r="Z882" i="4"/>
  <c r="W882" i="4"/>
  <c r="U882" i="4"/>
  <c r="S882" i="4"/>
  <c r="N882" i="4"/>
  <c r="K882" i="4"/>
  <c r="H882" i="4"/>
  <c r="E882" i="4"/>
  <c r="AF881" i="4"/>
  <c r="AD881" i="4"/>
  <c r="Z881" i="4"/>
  <c r="W881" i="4"/>
  <c r="U881" i="4"/>
  <c r="S881" i="4"/>
  <c r="N881" i="4"/>
  <c r="K881" i="4"/>
  <c r="H881" i="4"/>
  <c r="E881" i="4"/>
  <c r="AF880" i="4"/>
  <c r="AD880" i="4"/>
  <c r="Z880" i="4"/>
  <c r="W880" i="4"/>
  <c r="U880" i="4"/>
  <c r="S880" i="4"/>
  <c r="N880" i="4"/>
  <c r="K880" i="4"/>
  <c r="H880" i="4"/>
  <c r="E880" i="4"/>
  <c r="AF879" i="4"/>
  <c r="AD879" i="4"/>
  <c r="Z879" i="4"/>
  <c r="W879" i="4"/>
  <c r="U879" i="4"/>
  <c r="S879" i="4"/>
  <c r="N879" i="4"/>
  <c r="K879" i="4"/>
  <c r="H879" i="4"/>
  <c r="E879" i="4"/>
  <c r="AF878" i="4"/>
  <c r="AD878" i="4"/>
  <c r="Z878" i="4"/>
  <c r="W878" i="4"/>
  <c r="U878" i="4"/>
  <c r="S878" i="4"/>
  <c r="N878" i="4"/>
  <c r="K878" i="4"/>
  <c r="H878" i="4"/>
  <c r="E878" i="4"/>
  <c r="AF877" i="4"/>
  <c r="AD877" i="4"/>
  <c r="Z877" i="4"/>
  <c r="W877" i="4"/>
  <c r="U877" i="4"/>
  <c r="S877" i="4"/>
  <c r="N877" i="4"/>
  <c r="K877" i="4"/>
  <c r="H877" i="4"/>
  <c r="E877" i="4"/>
  <c r="AF876" i="4"/>
  <c r="AD876" i="4"/>
  <c r="Z876" i="4"/>
  <c r="W876" i="4"/>
  <c r="U876" i="4"/>
  <c r="S876" i="4"/>
  <c r="AF875" i="4"/>
  <c r="AD875" i="4"/>
  <c r="Z875" i="4"/>
  <c r="W875" i="4"/>
  <c r="U875" i="4"/>
  <c r="S875" i="4"/>
  <c r="N875" i="4"/>
  <c r="K875" i="4"/>
  <c r="H875" i="4"/>
  <c r="E875" i="4"/>
  <c r="AF874" i="4"/>
  <c r="AD874" i="4"/>
  <c r="Z874" i="4"/>
  <c r="W874" i="4"/>
  <c r="U874" i="4"/>
  <c r="S874" i="4"/>
  <c r="N874" i="4"/>
  <c r="K874" i="4"/>
  <c r="H874" i="4"/>
  <c r="E874" i="4"/>
  <c r="AF873" i="4"/>
  <c r="AD873" i="4"/>
  <c r="Z873" i="4"/>
  <c r="W873" i="4"/>
  <c r="U873" i="4"/>
  <c r="S873" i="4"/>
  <c r="N873" i="4"/>
  <c r="K873" i="4"/>
  <c r="H873" i="4"/>
  <c r="E873" i="4"/>
  <c r="AF872" i="4"/>
  <c r="AD872" i="4"/>
  <c r="Z872" i="4"/>
  <c r="W872" i="4"/>
  <c r="U872" i="4"/>
  <c r="S872" i="4"/>
  <c r="N872" i="4"/>
  <c r="K872" i="4"/>
  <c r="H872" i="4"/>
  <c r="E872" i="4"/>
  <c r="AF871" i="4"/>
  <c r="AD871" i="4"/>
  <c r="Z871" i="4"/>
  <c r="W871" i="4"/>
  <c r="U871" i="4"/>
  <c r="S871" i="4"/>
  <c r="N871" i="4"/>
  <c r="K871" i="4"/>
  <c r="H871" i="4"/>
  <c r="E871" i="4"/>
  <c r="AF870" i="4"/>
  <c r="AD870" i="4"/>
  <c r="Z870" i="4"/>
  <c r="W870" i="4"/>
  <c r="U870" i="4"/>
  <c r="S870" i="4"/>
  <c r="N870" i="4"/>
  <c r="K870" i="4"/>
  <c r="H870" i="4"/>
  <c r="E870" i="4"/>
  <c r="AF869" i="4"/>
  <c r="AD869" i="4"/>
  <c r="Z869" i="4"/>
  <c r="W869" i="4"/>
  <c r="U869" i="4"/>
  <c r="S869" i="4"/>
  <c r="AF868" i="4"/>
  <c r="AD868" i="4"/>
  <c r="Z868" i="4"/>
  <c r="W868" i="4"/>
  <c r="U868" i="4"/>
  <c r="S868" i="4"/>
  <c r="N868" i="4"/>
  <c r="K868" i="4"/>
  <c r="H868" i="4"/>
  <c r="E868" i="4"/>
  <c r="AF866" i="4"/>
  <c r="AD866" i="4"/>
  <c r="Z866" i="4"/>
  <c r="W866" i="4"/>
  <c r="U866" i="4"/>
  <c r="S866" i="4"/>
  <c r="N866" i="4"/>
  <c r="K866" i="4"/>
  <c r="H866" i="4"/>
  <c r="E866" i="4"/>
  <c r="AF865" i="4"/>
  <c r="AD865" i="4"/>
  <c r="Z865" i="4"/>
  <c r="W865" i="4"/>
  <c r="U865" i="4"/>
  <c r="S865" i="4"/>
  <c r="N865" i="4"/>
  <c r="K865" i="4"/>
  <c r="H865" i="4"/>
  <c r="E865" i="4"/>
  <c r="AF864" i="4"/>
  <c r="AD864" i="4"/>
  <c r="Z864" i="4"/>
  <c r="W864" i="4"/>
  <c r="U864" i="4"/>
  <c r="S864" i="4"/>
  <c r="N864" i="4"/>
  <c r="K864" i="4"/>
  <c r="H864" i="4"/>
  <c r="E864" i="4"/>
  <c r="AF863" i="4"/>
  <c r="AD863" i="4"/>
  <c r="Z863" i="4"/>
  <c r="W863" i="4"/>
  <c r="U863" i="4"/>
  <c r="S863" i="4"/>
  <c r="N863" i="4"/>
  <c r="K863" i="4"/>
  <c r="H863" i="4"/>
  <c r="E863" i="4"/>
  <c r="AF862" i="4"/>
  <c r="AD862" i="4"/>
  <c r="Z862" i="4"/>
  <c r="W862" i="4"/>
  <c r="U862" i="4"/>
  <c r="S862" i="4"/>
  <c r="N862" i="4"/>
  <c r="K862" i="4"/>
  <c r="H862" i="4"/>
  <c r="E862" i="4"/>
  <c r="AF861" i="4"/>
  <c r="AD861" i="4"/>
  <c r="Z861" i="4"/>
  <c r="W861" i="4"/>
  <c r="U861" i="4"/>
  <c r="S861" i="4"/>
  <c r="N861" i="4"/>
  <c r="K861" i="4"/>
  <c r="H861" i="4"/>
  <c r="E861" i="4"/>
  <c r="AF860" i="4"/>
  <c r="AD860" i="4"/>
  <c r="Z860" i="4"/>
  <c r="W860" i="4"/>
  <c r="U860" i="4"/>
  <c r="S860" i="4"/>
  <c r="N860" i="4"/>
  <c r="K860" i="4"/>
  <c r="H860" i="4"/>
  <c r="E860" i="4"/>
  <c r="AF859" i="4"/>
  <c r="AD859" i="4"/>
  <c r="Z859" i="4"/>
  <c r="W859" i="4"/>
  <c r="U859" i="4"/>
  <c r="S859" i="4"/>
  <c r="N859" i="4"/>
  <c r="K859" i="4"/>
  <c r="H859" i="4"/>
  <c r="E859" i="4"/>
  <c r="AF858" i="4"/>
  <c r="AD858" i="4"/>
  <c r="Z858" i="4"/>
  <c r="W858" i="4"/>
  <c r="U858" i="4"/>
  <c r="S858" i="4"/>
  <c r="N858" i="4"/>
  <c r="K858" i="4"/>
  <c r="H858" i="4"/>
  <c r="E858" i="4"/>
  <c r="AF857" i="4"/>
  <c r="AD857" i="4"/>
  <c r="Z857" i="4"/>
  <c r="W857" i="4"/>
  <c r="U857" i="4"/>
  <c r="S857" i="4"/>
  <c r="N857" i="4"/>
  <c r="K857" i="4"/>
  <c r="H857" i="4"/>
  <c r="E857" i="4"/>
  <c r="AF856" i="4"/>
  <c r="AD856" i="4"/>
  <c r="Z856" i="4"/>
  <c r="W856" i="4"/>
  <c r="U856" i="4"/>
  <c r="S856" i="4"/>
  <c r="N856" i="4"/>
  <c r="K856" i="4"/>
  <c r="H856" i="4"/>
  <c r="E856" i="4"/>
  <c r="AF855" i="4"/>
  <c r="AD855" i="4"/>
  <c r="Z855" i="4"/>
  <c r="W855" i="4"/>
  <c r="U855" i="4"/>
  <c r="S855" i="4"/>
  <c r="N855" i="4"/>
  <c r="K855" i="4"/>
  <c r="H855" i="4"/>
  <c r="E855" i="4"/>
  <c r="AF854" i="4"/>
  <c r="AD854" i="4"/>
  <c r="Z854" i="4"/>
  <c r="W854" i="4"/>
  <c r="U854" i="4"/>
  <c r="S854" i="4"/>
  <c r="N854" i="4"/>
  <c r="K854" i="4"/>
  <c r="H854" i="4"/>
  <c r="E854" i="4"/>
  <c r="AH853" i="4"/>
  <c r="AM853" i="4" s="1"/>
  <c r="AF853" i="4"/>
  <c r="AD853" i="4"/>
  <c r="Z853" i="4"/>
  <c r="W853" i="4"/>
  <c r="U853" i="4"/>
  <c r="S853" i="4"/>
  <c r="N853" i="4"/>
  <c r="K853" i="4"/>
  <c r="H853" i="4"/>
  <c r="E853" i="4"/>
  <c r="AF852" i="4"/>
  <c r="AD852" i="4"/>
  <c r="Z852" i="4"/>
  <c r="W852" i="4"/>
  <c r="U852" i="4"/>
  <c r="S852" i="4"/>
  <c r="N852" i="4"/>
  <c r="K852" i="4"/>
  <c r="H852" i="4"/>
  <c r="E852" i="4"/>
  <c r="AF851" i="4"/>
  <c r="AD851" i="4"/>
  <c r="Z851" i="4"/>
  <c r="W851" i="4"/>
  <c r="U851" i="4"/>
  <c r="S851" i="4"/>
  <c r="N851" i="4"/>
  <c r="K851" i="4"/>
  <c r="H851" i="4"/>
  <c r="E851" i="4"/>
  <c r="AF850" i="4"/>
  <c r="AD850" i="4"/>
  <c r="Z850" i="4"/>
  <c r="W850" i="4"/>
  <c r="U850" i="4"/>
  <c r="S850" i="4"/>
  <c r="N850" i="4"/>
  <c r="K850" i="4"/>
  <c r="H850" i="4"/>
  <c r="E850" i="4"/>
  <c r="AF849" i="4"/>
  <c r="AD849" i="4"/>
  <c r="Z849" i="4"/>
  <c r="W849" i="4"/>
  <c r="U849" i="4"/>
  <c r="S849" i="4"/>
  <c r="N849" i="4"/>
  <c r="K849" i="4"/>
  <c r="H849" i="4"/>
  <c r="E849" i="4"/>
  <c r="AF848" i="4"/>
  <c r="AD848" i="4"/>
  <c r="Z848" i="4"/>
  <c r="W848" i="4"/>
  <c r="U848" i="4"/>
  <c r="S848" i="4"/>
  <c r="N848" i="4"/>
  <c r="K848" i="4"/>
  <c r="H848" i="4"/>
  <c r="E848" i="4"/>
  <c r="AF847" i="4"/>
  <c r="AD847" i="4"/>
  <c r="Z847" i="4"/>
  <c r="W847" i="4"/>
  <c r="U847" i="4"/>
  <c r="S847" i="4"/>
  <c r="N847" i="4"/>
  <c r="K847" i="4"/>
  <c r="H847" i="4"/>
  <c r="E847" i="4"/>
  <c r="AF846" i="4"/>
  <c r="AD846" i="4"/>
  <c r="Z846" i="4"/>
  <c r="W846" i="4"/>
  <c r="U846" i="4"/>
  <c r="S846" i="4"/>
  <c r="N846" i="4"/>
  <c r="K846" i="4"/>
  <c r="H846" i="4"/>
  <c r="E846" i="4"/>
  <c r="AF844" i="4"/>
  <c r="AD844" i="4"/>
  <c r="Z844" i="4"/>
  <c r="W844" i="4"/>
  <c r="U844" i="4"/>
  <c r="S844" i="4"/>
  <c r="N844" i="4"/>
  <c r="K844" i="4"/>
  <c r="H844" i="4"/>
  <c r="E844" i="4"/>
  <c r="AF843" i="4"/>
  <c r="AD843" i="4"/>
  <c r="Z843" i="4"/>
  <c r="W843" i="4"/>
  <c r="U843" i="4"/>
  <c r="S843" i="4"/>
  <c r="N843" i="4"/>
  <c r="K843" i="4"/>
  <c r="H843" i="4"/>
  <c r="E843" i="4"/>
  <c r="AF842" i="4"/>
  <c r="AD842" i="4"/>
  <c r="Z842" i="4"/>
  <c r="W842" i="4"/>
  <c r="U842" i="4"/>
  <c r="S842" i="4"/>
  <c r="N842" i="4"/>
  <c r="K842" i="4"/>
  <c r="H842" i="4"/>
  <c r="E842" i="4"/>
  <c r="AF841" i="4"/>
  <c r="AD841" i="4"/>
  <c r="Z841" i="4"/>
  <c r="V841" i="4"/>
  <c r="U841" i="4"/>
  <c r="S841" i="4"/>
  <c r="N841" i="4"/>
  <c r="K841" i="4"/>
  <c r="H841" i="4"/>
  <c r="E841" i="4"/>
  <c r="AE833" i="4"/>
  <c r="AC833" i="4"/>
  <c r="Y833" i="4"/>
  <c r="V833" i="4"/>
  <c r="T833" i="4"/>
  <c r="R833" i="4"/>
  <c r="L833" i="4"/>
  <c r="J833" i="4"/>
  <c r="F833" i="4"/>
  <c r="D833" i="4"/>
  <c r="B833" i="4"/>
  <c r="AF832" i="4"/>
  <c r="AD832" i="4"/>
  <c r="Z832" i="4"/>
  <c r="W832" i="4"/>
  <c r="U832" i="4"/>
  <c r="S832" i="4"/>
  <c r="N832" i="4"/>
  <c r="K832" i="4"/>
  <c r="H832" i="4"/>
  <c r="E832" i="4"/>
  <c r="AF831" i="4"/>
  <c r="AD831" i="4"/>
  <c r="Z831" i="4"/>
  <c r="W831" i="4"/>
  <c r="U831" i="4"/>
  <c r="S831" i="4"/>
  <c r="N831" i="4"/>
  <c r="K831" i="4"/>
  <c r="H831" i="4"/>
  <c r="E831" i="4"/>
  <c r="AF830" i="4"/>
  <c r="AD830" i="4"/>
  <c r="Z830" i="4"/>
  <c r="W830" i="4"/>
  <c r="U830" i="4"/>
  <c r="S830" i="4"/>
  <c r="N830" i="4"/>
  <c r="K830" i="4"/>
  <c r="H830" i="4"/>
  <c r="E830" i="4"/>
  <c r="AO829" i="4"/>
  <c r="AQ829" i="4" s="1"/>
  <c r="AS829" i="4" s="1"/>
  <c r="AU829" i="4" s="1"/>
  <c r="AW829" i="4" s="1"/>
  <c r="AY829" i="4" s="1"/>
  <c r="BA829" i="4" s="1"/>
  <c r="BC829" i="4" s="1"/>
  <c r="BE829" i="4" s="1"/>
  <c r="AF829" i="4"/>
  <c r="AD829" i="4"/>
  <c r="Z829" i="4"/>
  <c r="W829" i="4"/>
  <c r="S829" i="4"/>
  <c r="P829" i="4"/>
  <c r="P833" i="4" s="1"/>
  <c r="N829" i="4"/>
  <c r="K829" i="4"/>
  <c r="H829" i="4"/>
  <c r="E829" i="4"/>
  <c r="AF828" i="4"/>
  <c r="AD828" i="4"/>
  <c r="Z828" i="4"/>
  <c r="W828" i="4"/>
  <c r="U828" i="4"/>
  <c r="S828" i="4"/>
  <c r="N828" i="4"/>
  <c r="K828" i="4"/>
  <c r="H828" i="4"/>
  <c r="E828" i="4"/>
  <c r="AQ827" i="4"/>
  <c r="AS827" i="4" s="1"/>
  <c r="AU827" i="4" s="1"/>
  <c r="AW827" i="4" s="1"/>
  <c r="AY827" i="4" s="1"/>
  <c r="BA827" i="4" s="1"/>
  <c r="BC827" i="4" s="1"/>
  <c r="BE827" i="4" s="1"/>
  <c r="AF827" i="4"/>
  <c r="AD827" i="4"/>
  <c r="Z827" i="4"/>
  <c r="W827" i="4"/>
  <c r="U827" i="4"/>
  <c r="S827" i="4"/>
  <c r="N827" i="4"/>
  <c r="K827" i="4"/>
  <c r="H827" i="4"/>
  <c r="E827" i="4"/>
  <c r="AF826" i="4"/>
  <c r="AD826" i="4"/>
  <c r="Z826" i="4"/>
  <c r="W826" i="4"/>
  <c r="U826" i="4"/>
  <c r="S826" i="4"/>
  <c r="N826" i="4"/>
  <c r="K826" i="4"/>
  <c r="H826" i="4"/>
  <c r="E826" i="4"/>
  <c r="AF825" i="4"/>
  <c r="AD825" i="4"/>
  <c r="Z825" i="4"/>
  <c r="W825" i="4"/>
  <c r="U825" i="4"/>
  <c r="S825" i="4"/>
  <c r="N825" i="4"/>
  <c r="K825" i="4"/>
  <c r="H825" i="4"/>
  <c r="E825" i="4"/>
  <c r="AH824" i="4"/>
  <c r="AF824" i="4"/>
  <c r="AD824" i="4"/>
  <c r="Z824" i="4"/>
  <c r="W824" i="4"/>
  <c r="U824" i="4"/>
  <c r="S824" i="4"/>
  <c r="N824" i="4"/>
  <c r="K824" i="4"/>
  <c r="H824" i="4"/>
  <c r="E824" i="4"/>
  <c r="AF823" i="4"/>
  <c r="AD823" i="4"/>
  <c r="Z823" i="4"/>
  <c r="W823" i="4"/>
  <c r="U823" i="4"/>
  <c r="S823" i="4"/>
  <c r="N823" i="4"/>
  <c r="K823" i="4"/>
  <c r="H823" i="4"/>
  <c r="E823" i="4"/>
  <c r="AF822" i="4"/>
  <c r="AD822" i="4"/>
  <c r="Z822" i="4"/>
  <c r="W822" i="4"/>
  <c r="U822" i="4"/>
  <c r="S822" i="4"/>
  <c r="N822" i="4"/>
  <c r="K822" i="4"/>
  <c r="H822" i="4"/>
  <c r="E822" i="4"/>
  <c r="AO821" i="4"/>
  <c r="AQ821" i="4" s="1"/>
  <c r="AS821" i="4" s="1"/>
  <c r="AU821" i="4" s="1"/>
  <c r="AW821" i="4" s="1"/>
  <c r="AY821" i="4" s="1"/>
  <c r="BA821" i="4" s="1"/>
  <c r="AF821" i="4"/>
  <c r="AD821" i="4"/>
  <c r="Z821" i="4"/>
  <c r="W821" i="4"/>
  <c r="U821" i="4"/>
  <c r="S821" i="4"/>
  <c r="N821" i="4"/>
  <c r="K821" i="4"/>
  <c r="H821" i="4"/>
  <c r="E821" i="4"/>
  <c r="AE819" i="4"/>
  <c r="AC819" i="4"/>
  <c r="Y819" i="4"/>
  <c r="V819" i="4"/>
  <c r="T819" i="4"/>
  <c r="R819" i="4"/>
  <c r="L819" i="4"/>
  <c r="J819" i="4"/>
  <c r="F819" i="4"/>
  <c r="D819" i="4"/>
  <c r="AF818" i="4"/>
  <c r="AD818" i="4"/>
  <c r="Z818" i="4"/>
  <c r="W818" i="4"/>
  <c r="U818" i="4"/>
  <c r="S818" i="4"/>
  <c r="N818" i="4"/>
  <c r="K818" i="4"/>
  <c r="H818" i="4"/>
  <c r="E818" i="4"/>
  <c r="AH817" i="4"/>
  <c r="AF817" i="4"/>
  <c r="AD817" i="4"/>
  <c r="Z817" i="4"/>
  <c r="W817" i="4"/>
  <c r="U817" i="4"/>
  <c r="S817" i="4"/>
  <c r="N817" i="4"/>
  <c r="K817" i="4"/>
  <c r="E817" i="4"/>
  <c r="B817" i="4"/>
  <c r="B819" i="4" s="1"/>
  <c r="AH816" i="4"/>
  <c r="AM816" i="4" s="1"/>
  <c r="AF816" i="4"/>
  <c r="AD816" i="4"/>
  <c r="Z816" i="4"/>
  <c r="W816" i="4"/>
  <c r="S816" i="4"/>
  <c r="P816" i="4"/>
  <c r="P819" i="4" s="1"/>
  <c r="N816" i="4"/>
  <c r="K816" i="4"/>
  <c r="H816" i="4"/>
  <c r="E816" i="4"/>
  <c r="AE812" i="4"/>
  <c r="Y812" i="4"/>
  <c r="T812" i="4"/>
  <c r="L812" i="4"/>
  <c r="J812" i="4"/>
  <c r="F812" i="4"/>
  <c r="B812" i="4"/>
  <c r="AF811" i="4"/>
  <c r="AD811" i="4"/>
  <c r="Z811" i="4"/>
  <c r="W811" i="4"/>
  <c r="U811" i="4"/>
  <c r="S811" i="4"/>
  <c r="N811" i="4"/>
  <c r="K811" i="4"/>
  <c r="H811" i="4"/>
  <c r="E811" i="4"/>
  <c r="AH810" i="4"/>
  <c r="AF810" i="4"/>
  <c r="AD810" i="4"/>
  <c r="Z810" i="4"/>
  <c r="W810" i="4"/>
  <c r="S810" i="4"/>
  <c r="P810" i="4"/>
  <c r="U810" i="4" s="1"/>
  <c r="N810" i="4"/>
  <c r="K810" i="4"/>
  <c r="H810" i="4"/>
  <c r="E810" i="4"/>
  <c r="AF809" i="4"/>
  <c r="AD809" i="4"/>
  <c r="Z809" i="4"/>
  <c r="W809" i="4"/>
  <c r="U809" i="4"/>
  <c r="S809" i="4"/>
  <c r="N809" i="4"/>
  <c r="K809" i="4"/>
  <c r="H809" i="4"/>
  <c r="E809" i="4"/>
  <c r="AF808" i="4"/>
  <c r="AD808" i="4"/>
  <c r="Z808" i="4"/>
  <c r="W808" i="4"/>
  <c r="U808" i="4"/>
  <c r="S808" i="4"/>
  <c r="N808" i="4"/>
  <c r="K808" i="4"/>
  <c r="H808" i="4"/>
  <c r="E808" i="4"/>
  <c r="AF807" i="4"/>
  <c r="AD807" i="4"/>
  <c r="Z807" i="4"/>
  <c r="W807" i="4"/>
  <c r="U807" i="4"/>
  <c r="S807" i="4"/>
  <c r="N807" i="4"/>
  <c r="K807" i="4"/>
  <c r="H807" i="4"/>
  <c r="E807" i="4"/>
  <c r="AF806" i="4"/>
  <c r="AD806" i="4"/>
  <c r="Z806" i="4"/>
  <c r="W806" i="4"/>
  <c r="U806" i="4"/>
  <c r="S806" i="4"/>
  <c r="N806" i="4"/>
  <c r="K806" i="4"/>
  <c r="H806" i="4"/>
  <c r="E806" i="4"/>
  <c r="BE804" i="4"/>
  <c r="BC804" i="4"/>
  <c r="BA804" i="4"/>
  <c r="AY804" i="4"/>
  <c r="AW804" i="4"/>
  <c r="AU804" i="4"/>
  <c r="AS804" i="4"/>
  <c r="AQ804" i="4"/>
  <c r="AO804" i="4"/>
  <c r="AH803" i="4"/>
  <c r="AF803" i="4"/>
  <c r="AD803" i="4"/>
  <c r="Z803" i="4"/>
  <c r="W803" i="4"/>
  <c r="U803" i="4"/>
  <c r="S803" i="4"/>
  <c r="AF802" i="4"/>
  <c r="AD802" i="4"/>
  <c r="Z802" i="4"/>
  <c r="W802" i="4"/>
  <c r="U802" i="4"/>
  <c r="S802" i="4"/>
  <c r="N802" i="4"/>
  <c r="K802" i="4"/>
  <c r="H802" i="4"/>
  <c r="E802" i="4"/>
  <c r="AH801" i="4"/>
  <c r="AF801" i="4"/>
  <c r="AD801" i="4"/>
  <c r="Z801" i="4"/>
  <c r="W801" i="4"/>
  <c r="U801" i="4"/>
  <c r="S801" i="4"/>
  <c r="N801" i="4"/>
  <c r="K801" i="4"/>
  <c r="H801" i="4"/>
  <c r="E801" i="4"/>
  <c r="AH800" i="4"/>
  <c r="AF800" i="4"/>
  <c r="AD800" i="4"/>
  <c r="Z800" i="4"/>
  <c r="W800" i="4"/>
  <c r="U800" i="4"/>
  <c r="S800" i="4"/>
  <c r="N800" i="4"/>
  <c r="K800" i="4"/>
  <c r="H800" i="4"/>
  <c r="E800" i="4"/>
  <c r="AF799" i="4"/>
  <c r="AC799" i="4"/>
  <c r="AD799" i="4" s="1"/>
  <c r="Z799" i="4"/>
  <c r="W799" i="4"/>
  <c r="S799" i="4"/>
  <c r="P799" i="4"/>
  <c r="AH799" i="4" s="1"/>
  <c r="N799" i="4"/>
  <c r="K799" i="4"/>
  <c r="H799" i="4"/>
  <c r="E799" i="4"/>
  <c r="AH798" i="4"/>
  <c r="AF798" i="4"/>
  <c r="AD798" i="4"/>
  <c r="Z798" i="4"/>
  <c r="V798" i="4"/>
  <c r="W798" i="4" s="1"/>
  <c r="S798" i="4"/>
  <c r="P798" i="4"/>
  <c r="U798" i="4" s="1"/>
  <c r="N798" i="4"/>
  <c r="K798" i="4"/>
  <c r="H798" i="4"/>
  <c r="E798" i="4"/>
  <c r="AH797" i="4"/>
  <c r="AF797" i="4"/>
  <c r="AD797" i="4"/>
  <c r="Z797" i="4"/>
  <c r="V797" i="4"/>
  <c r="W797" i="4" s="1"/>
  <c r="R797" i="4"/>
  <c r="S797" i="4" s="1"/>
  <c r="P797" i="4"/>
  <c r="U797" i="4" s="1"/>
  <c r="N797" i="4"/>
  <c r="K797" i="4"/>
  <c r="H797" i="4"/>
  <c r="E797" i="4"/>
  <c r="AH796" i="4"/>
  <c r="AF796" i="4"/>
  <c r="AD796" i="4"/>
  <c r="Z796" i="4"/>
  <c r="V796" i="4"/>
  <c r="W796" i="4" s="1"/>
  <c r="R796" i="4"/>
  <c r="P796" i="4"/>
  <c r="U796" i="4" s="1"/>
  <c r="N796" i="4"/>
  <c r="K796" i="4"/>
  <c r="H796" i="4"/>
  <c r="D796" i="4"/>
  <c r="E796" i="4" s="1"/>
  <c r="AH795" i="4"/>
  <c r="AF795" i="4"/>
  <c r="AD795" i="4"/>
  <c r="Z795" i="4"/>
  <c r="W795" i="4"/>
  <c r="S795" i="4"/>
  <c r="P795" i="4"/>
  <c r="U795" i="4" s="1"/>
  <c r="N795" i="4"/>
  <c r="K795" i="4"/>
  <c r="H795" i="4"/>
  <c r="E795" i="4"/>
  <c r="AH794" i="4"/>
  <c r="AF794" i="4"/>
  <c r="AD794" i="4"/>
  <c r="Z794" i="4"/>
  <c r="W794" i="4"/>
  <c r="S794" i="4"/>
  <c r="P794" i="4"/>
  <c r="U794" i="4" s="1"/>
  <c r="N794" i="4"/>
  <c r="K794" i="4"/>
  <c r="H794" i="4"/>
  <c r="E794" i="4"/>
  <c r="AH793" i="4"/>
  <c r="AF793" i="4"/>
  <c r="AD793" i="4"/>
  <c r="Z793" i="4"/>
  <c r="W793" i="4"/>
  <c r="S793" i="4"/>
  <c r="P793" i="4"/>
  <c r="U793" i="4" s="1"/>
  <c r="N793" i="4"/>
  <c r="K793" i="4"/>
  <c r="H793" i="4"/>
  <c r="E793" i="4"/>
  <c r="AH792" i="4"/>
  <c r="AF792" i="4"/>
  <c r="AC792" i="4"/>
  <c r="AD792" i="4" s="1"/>
  <c r="Z792" i="4"/>
  <c r="W792" i="4"/>
  <c r="S792" i="4"/>
  <c r="P792" i="4"/>
  <c r="U792" i="4" s="1"/>
  <c r="N792" i="4"/>
  <c r="K792" i="4"/>
  <c r="H792" i="4"/>
  <c r="E792" i="4"/>
  <c r="AO791" i="4"/>
  <c r="AQ791" i="4" s="1"/>
  <c r="AS791" i="4" s="1"/>
  <c r="AU791" i="4" s="1"/>
  <c r="AW791" i="4" s="1"/>
  <c r="AY791" i="4" s="1"/>
  <c r="BA791" i="4" s="1"/>
  <c r="BC791" i="4" s="1"/>
  <c r="BE791" i="4" s="1"/>
  <c r="AF791" i="4"/>
  <c r="AC791" i="4"/>
  <c r="AD791" i="4" s="1"/>
  <c r="Z791" i="4"/>
  <c r="V791" i="4"/>
  <c r="W791" i="4" s="1"/>
  <c r="S791" i="4"/>
  <c r="P791" i="4"/>
  <c r="U791" i="4" s="1"/>
  <c r="N791" i="4"/>
  <c r="K791" i="4"/>
  <c r="H791" i="4"/>
  <c r="E791" i="4"/>
  <c r="BD790" i="4"/>
  <c r="AX790" i="4"/>
  <c r="AZ790" i="4" s="1"/>
  <c r="AR790" i="4"/>
  <c r="AT790" i="4" s="1"/>
  <c r="AO790" i="4"/>
  <c r="AQ790" i="4" s="1"/>
  <c r="AS790" i="4" s="1"/>
  <c r="AU790" i="4" s="1"/>
  <c r="AW790" i="4" s="1"/>
  <c r="AY790" i="4" s="1"/>
  <c r="BA790" i="4" s="1"/>
  <c r="BC790" i="4" s="1"/>
  <c r="BE790" i="4" s="1"/>
  <c r="AF790" i="4"/>
  <c r="AD790" i="4"/>
  <c r="Z790" i="4"/>
  <c r="W790" i="4"/>
  <c r="U790" i="4"/>
  <c r="S790" i="4"/>
  <c r="N790" i="4"/>
  <c r="K790" i="4"/>
  <c r="H790" i="4"/>
  <c r="E790" i="4"/>
  <c r="BD789" i="4"/>
  <c r="AX789" i="4"/>
  <c r="AZ789" i="4" s="1"/>
  <c r="AP789" i="4"/>
  <c r="AR789" i="4" s="1"/>
  <c r="AT789" i="4" s="1"/>
  <c r="AO789" i="4"/>
  <c r="AF789" i="4"/>
  <c r="AC789" i="4"/>
  <c r="AD789" i="4" s="1"/>
  <c r="Z789" i="4"/>
  <c r="V789" i="4"/>
  <c r="U789" i="4"/>
  <c r="S789" i="4"/>
  <c r="N789" i="4"/>
  <c r="K789" i="4"/>
  <c r="H789" i="4"/>
  <c r="E789" i="4"/>
  <c r="BD788" i="4"/>
  <c r="AX788" i="4"/>
  <c r="AZ788" i="4" s="1"/>
  <c r="AP788" i="4"/>
  <c r="AR788" i="4" s="1"/>
  <c r="AT788" i="4" s="1"/>
  <c r="AO788" i="4"/>
  <c r="AQ788" i="4" s="1"/>
  <c r="AF788" i="4"/>
  <c r="AC788" i="4"/>
  <c r="Z788" i="4"/>
  <c r="W788" i="4"/>
  <c r="U788" i="4"/>
  <c r="S788" i="4"/>
  <c r="N788" i="4"/>
  <c r="K788" i="4"/>
  <c r="H788" i="4"/>
  <c r="E788" i="4"/>
  <c r="AS786" i="4"/>
  <c r="AQ786" i="4"/>
  <c r="AE786" i="4"/>
  <c r="AC786" i="4"/>
  <c r="Y786" i="4"/>
  <c r="V786" i="4"/>
  <c r="T786" i="4"/>
  <c r="R786" i="4"/>
  <c r="P786" i="4"/>
  <c r="L786" i="4"/>
  <c r="J786" i="4"/>
  <c r="F786" i="4"/>
  <c r="D786" i="4"/>
  <c r="B786" i="4"/>
  <c r="AF785" i="4"/>
  <c r="AD785" i="4"/>
  <c r="Z785" i="4"/>
  <c r="W785" i="4"/>
  <c r="U785" i="4"/>
  <c r="S785" i="4"/>
  <c r="N785" i="4"/>
  <c r="K785" i="4"/>
  <c r="H785" i="4"/>
  <c r="E785" i="4"/>
  <c r="AU784" i="4"/>
  <c r="AW784" i="4" s="1"/>
  <c r="AW786" i="4" s="1"/>
  <c r="AH784" i="4"/>
  <c r="AF784" i="4"/>
  <c r="AF786" i="4" s="1"/>
  <c r="AD784" i="4"/>
  <c r="Z784" i="4"/>
  <c r="W784" i="4"/>
  <c r="W786" i="4" s="1"/>
  <c r="U784" i="4"/>
  <c r="U786" i="4" s="1"/>
  <c r="S784" i="4"/>
  <c r="N784" i="4"/>
  <c r="K784" i="4"/>
  <c r="K786" i="4" s="1"/>
  <c r="H784" i="4"/>
  <c r="H786" i="4" s="1"/>
  <c r="E784" i="4"/>
  <c r="Z783" i="4"/>
  <c r="BE780" i="4"/>
  <c r="BC780" i="4"/>
  <c r="BA780" i="4"/>
  <c r="AY780" i="4"/>
  <c r="AW780" i="4"/>
  <c r="AU780" i="4"/>
  <c r="AS780" i="4"/>
  <c r="AQ780" i="4"/>
  <c r="AO780" i="4"/>
  <c r="AH780" i="4"/>
  <c r="AE780" i="4"/>
  <c r="Y780" i="4"/>
  <c r="V780" i="4"/>
  <c r="T780" i="4"/>
  <c r="R780" i="4"/>
  <c r="P780" i="4"/>
  <c r="L780" i="4"/>
  <c r="J780" i="4"/>
  <c r="F780" i="4"/>
  <c r="B780" i="4"/>
  <c r="AF779" i="4"/>
  <c r="AD779" i="4"/>
  <c r="Z779" i="4"/>
  <c r="W779" i="4"/>
  <c r="U779" i="4"/>
  <c r="S779" i="4"/>
  <c r="N779" i="4"/>
  <c r="K779" i="4"/>
  <c r="H779" i="4"/>
  <c r="E779" i="4"/>
  <c r="AF778" i="4"/>
  <c r="AD778" i="4"/>
  <c r="Z778" i="4"/>
  <c r="W778" i="4"/>
  <c r="U778" i="4"/>
  <c r="S778" i="4"/>
  <c r="N778" i="4"/>
  <c r="K778" i="4"/>
  <c r="AF777" i="4"/>
  <c r="AD777" i="4"/>
  <c r="Z777" i="4"/>
  <c r="W777" i="4"/>
  <c r="U777" i="4"/>
  <c r="S777" i="4"/>
  <c r="N777" i="4"/>
  <c r="K777" i="4"/>
  <c r="H777" i="4"/>
  <c r="E777" i="4"/>
  <c r="AF776" i="4"/>
  <c r="AD776" i="4"/>
  <c r="Z776" i="4"/>
  <c r="W776" i="4"/>
  <c r="U776" i="4"/>
  <c r="S776" i="4"/>
  <c r="N776" i="4"/>
  <c r="K776" i="4"/>
  <c r="H776" i="4"/>
  <c r="E776" i="4"/>
  <c r="AF775" i="4"/>
  <c r="AD775" i="4"/>
  <c r="Z775" i="4"/>
  <c r="W775" i="4"/>
  <c r="U775" i="4"/>
  <c r="S775" i="4"/>
  <c r="N775" i="4"/>
  <c r="K775" i="4"/>
  <c r="H775" i="4"/>
  <c r="E775" i="4"/>
  <c r="AF774" i="4"/>
  <c r="AD774" i="4"/>
  <c r="Z774" i="4"/>
  <c r="W774" i="4"/>
  <c r="U774" i="4"/>
  <c r="S774" i="4"/>
  <c r="N774" i="4"/>
  <c r="K774" i="4"/>
  <c r="H774" i="4"/>
  <c r="E774" i="4"/>
  <c r="AF773" i="4"/>
  <c r="AD773" i="4"/>
  <c r="Z773" i="4"/>
  <c r="W773" i="4"/>
  <c r="U773" i="4"/>
  <c r="S773" i="4"/>
  <c r="N773" i="4"/>
  <c r="K773" i="4"/>
  <c r="H773" i="4"/>
  <c r="E773" i="4"/>
  <c r="AF772" i="4"/>
  <c r="AD772" i="4"/>
  <c r="Z772" i="4"/>
  <c r="W772" i="4"/>
  <c r="U772" i="4"/>
  <c r="S772" i="4"/>
  <c r="N772" i="4"/>
  <c r="K772" i="4"/>
  <c r="H772" i="4"/>
  <c r="E772" i="4"/>
  <c r="AF771" i="4"/>
  <c r="AD771" i="4"/>
  <c r="Z771" i="4"/>
  <c r="W771" i="4"/>
  <c r="U771" i="4"/>
  <c r="S771" i="4"/>
  <c r="N771" i="4"/>
  <c r="K771" i="4"/>
  <c r="H771" i="4"/>
  <c r="E771" i="4"/>
  <c r="AF770" i="4"/>
  <c r="AD770" i="4"/>
  <c r="Z770" i="4"/>
  <c r="W770" i="4"/>
  <c r="U770" i="4"/>
  <c r="S770" i="4"/>
  <c r="N770" i="4"/>
  <c r="K770" i="4"/>
  <c r="H770" i="4"/>
  <c r="E770" i="4"/>
  <c r="AF769" i="4"/>
  <c r="AD769" i="4"/>
  <c r="Z769" i="4"/>
  <c r="W769" i="4"/>
  <c r="U769" i="4"/>
  <c r="S769" i="4"/>
  <c r="N769" i="4"/>
  <c r="K769" i="4"/>
  <c r="H769" i="4"/>
  <c r="E769" i="4"/>
  <c r="AF768" i="4"/>
  <c r="AD768" i="4"/>
  <c r="Z768" i="4"/>
  <c r="W768" i="4"/>
  <c r="U768" i="4"/>
  <c r="S768" i="4"/>
  <c r="N768" i="4"/>
  <c r="K768" i="4"/>
  <c r="H768" i="4"/>
  <c r="E768" i="4"/>
  <c r="AF767" i="4"/>
  <c r="AD767" i="4"/>
  <c r="Z767" i="4"/>
  <c r="W767" i="4"/>
  <c r="U767" i="4"/>
  <c r="S767" i="4"/>
  <c r="N767" i="4"/>
  <c r="K767" i="4"/>
  <c r="H767" i="4"/>
  <c r="E767" i="4"/>
  <c r="AF766" i="4"/>
  <c r="AD766" i="4"/>
  <c r="Z766" i="4"/>
  <c r="W766" i="4"/>
  <c r="U766" i="4"/>
  <c r="S766" i="4"/>
  <c r="N766" i="4"/>
  <c r="K766" i="4"/>
  <c r="H766" i="4"/>
  <c r="E766" i="4"/>
  <c r="AF765" i="4"/>
  <c r="AD765" i="4"/>
  <c r="Z765" i="4"/>
  <c r="W765" i="4"/>
  <c r="U765" i="4"/>
  <c r="S765" i="4"/>
  <c r="N765" i="4"/>
  <c r="K765" i="4"/>
  <c r="H765" i="4"/>
  <c r="E765" i="4"/>
  <c r="AF764" i="4"/>
  <c r="AD764" i="4"/>
  <c r="Z764" i="4"/>
  <c r="W764" i="4"/>
  <c r="U764" i="4"/>
  <c r="S764" i="4"/>
  <c r="N764" i="4"/>
  <c r="K764" i="4"/>
  <c r="H764" i="4"/>
  <c r="E764" i="4"/>
  <c r="AF763" i="4"/>
  <c r="AD763" i="4"/>
  <c r="Z763" i="4"/>
  <c r="W763" i="4"/>
  <c r="U763" i="4"/>
  <c r="S763" i="4"/>
  <c r="N763" i="4"/>
  <c r="K763" i="4"/>
  <c r="AF762" i="4"/>
  <c r="AD762" i="4"/>
  <c r="Z762" i="4"/>
  <c r="W762" i="4"/>
  <c r="U762" i="4"/>
  <c r="S762" i="4"/>
  <c r="N762" i="4"/>
  <c r="K762" i="4"/>
  <c r="AF761" i="4"/>
  <c r="AD761" i="4"/>
  <c r="Z761" i="4"/>
  <c r="W761" i="4"/>
  <c r="U761" i="4"/>
  <c r="S761" i="4"/>
  <c r="N761" i="4"/>
  <c r="K761" i="4"/>
  <c r="E761" i="4"/>
  <c r="AF760" i="4"/>
  <c r="AD760" i="4"/>
  <c r="Z760" i="4"/>
  <c r="W760" i="4"/>
  <c r="U760" i="4"/>
  <c r="S760" i="4"/>
  <c r="N760" i="4"/>
  <c r="K760" i="4"/>
  <c r="AF759" i="4"/>
  <c r="AD759" i="4"/>
  <c r="Z759" i="4"/>
  <c r="W759" i="4"/>
  <c r="U759" i="4"/>
  <c r="S759" i="4"/>
  <c r="N759" i="4"/>
  <c r="K759" i="4"/>
  <c r="H759" i="4"/>
  <c r="AF758" i="4"/>
  <c r="AD758" i="4"/>
  <c r="Z758" i="4"/>
  <c r="W758" i="4"/>
  <c r="U758" i="4"/>
  <c r="S758" i="4"/>
  <c r="N758" i="4"/>
  <c r="K758" i="4"/>
  <c r="H758" i="4"/>
  <c r="E758" i="4"/>
  <c r="AF757" i="4"/>
  <c r="AD757" i="4"/>
  <c r="Z757" i="4"/>
  <c r="W757" i="4"/>
  <c r="U757" i="4"/>
  <c r="S757" i="4"/>
  <c r="N757" i="4"/>
  <c r="J757" i="4"/>
  <c r="K757" i="4" s="1"/>
  <c r="H757" i="4"/>
  <c r="E757" i="4"/>
  <c r="AF756" i="4"/>
  <c r="AD756" i="4"/>
  <c r="Z756" i="4"/>
  <c r="W756" i="4"/>
  <c r="U756" i="4"/>
  <c r="S756" i="4"/>
  <c r="N756" i="4"/>
  <c r="K756" i="4"/>
  <c r="H756" i="4"/>
  <c r="E756" i="4"/>
  <c r="AF755" i="4"/>
  <c r="AD755" i="4"/>
  <c r="Z755" i="4"/>
  <c r="W755" i="4"/>
  <c r="U755" i="4"/>
  <c r="S755" i="4"/>
  <c r="N755" i="4"/>
  <c r="K755" i="4"/>
  <c r="H755" i="4"/>
  <c r="E755" i="4"/>
  <c r="AF754" i="4"/>
  <c r="AD754" i="4"/>
  <c r="Z754" i="4"/>
  <c r="W754" i="4"/>
  <c r="U754" i="4"/>
  <c r="S754" i="4"/>
  <c r="N754" i="4"/>
  <c r="K754" i="4"/>
  <c r="H754" i="4"/>
  <c r="E754" i="4"/>
  <c r="AF753" i="4"/>
  <c r="AD753" i="4"/>
  <c r="Z753" i="4"/>
  <c r="W753" i="4"/>
  <c r="U753" i="4"/>
  <c r="S753" i="4"/>
  <c r="N753" i="4"/>
  <c r="K753" i="4"/>
  <c r="H753" i="4"/>
  <c r="E753" i="4"/>
  <c r="AF752" i="4"/>
  <c r="AD752" i="4"/>
  <c r="Z752" i="4"/>
  <c r="W752" i="4"/>
  <c r="U752" i="4"/>
  <c r="S752" i="4"/>
  <c r="N752" i="4"/>
  <c r="K752" i="4"/>
  <c r="H752" i="4"/>
  <c r="E752" i="4"/>
  <c r="AF751" i="4"/>
  <c r="AC751" i="4"/>
  <c r="AC780" i="4" s="1"/>
  <c r="Z751" i="4"/>
  <c r="W751" i="4"/>
  <c r="U751" i="4"/>
  <c r="S751" i="4"/>
  <c r="N751" i="4"/>
  <c r="K751" i="4"/>
  <c r="H751" i="4"/>
  <c r="D751" i="4"/>
  <c r="D780" i="4" s="1"/>
  <c r="AE747" i="4"/>
  <c r="AC747" i="4"/>
  <c r="Y747" i="4"/>
  <c r="V747" i="4"/>
  <c r="T747" i="4"/>
  <c r="L747" i="4"/>
  <c r="F747" i="4"/>
  <c r="B747" i="4"/>
  <c r="AF746" i="4"/>
  <c r="AD746" i="4"/>
  <c r="Z746" i="4"/>
  <c r="W746" i="4"/>
  <c r="S746" i="4"/>
  <c r="P746" i="4"/>
  <c r="AH746" i="4" s="1"/>
  <c r="N746" i="4"/>
  <c r="K746" i="4"/>
  <c r="H746" i="4"/>
  <c r="E746" i="4"/>
  <c r="AF744" i="4"/>
  <c r="AD744" i="4"/>
  <c r="Z744" i="4"/>
  <c r="W744" i="4"/>
  <c r="S744" i="4"/>
  <c r="P744" i="4"/>
  <c r="U744" i="4" s="1"/>
  <c r="N744" i="4"/>
  <c r="K744" i="4"/>
  <c r="H744" i="4"/>
  <c r="E744" i="4"/>
  <c r="AF743" i="4"/>
  <c r="AD743" i="4"/>
  <c r="Z743" i="4"/>
  <c r="W743" i="4"/>
  <c r="U743" i="4"/>
  <c r="S743" i="4"/>
  <c r="N743" i="4"/>
  <c r="K743" i="4"/>
  <c r="H743" i="4"/>
  <c r="E743" i="4"/>
  <c r="AF742" i="4"/>
  <c r="AD742" i="4"/>
  <c r="Z742" i="4"/>
  <c r="W742" i="4"/>
  <c r="S742" i="4"/>
  <c r="P742" i="4"/>
  <c r="AH742" i="4" s="1"/>
  <c r="AM742" i="4" s="1"/>
  <c r="N742" i="4"/>
  <c r="K742" i="4"/>
  <c r="AF741" i="4"/>
  <c r="AD741" i="4"/>
  <c r="Z741" i="4"/>
  <c r="W741" i="4"/>
  <c r="U741" i="4"/>
  <c r="S741" i="4"/>
  <c r="N741" i="4"/>
  <c r="K741" i="4"/>
  <c r="AF740" i="4"/>
  <c r="AD740" i="4"/>
  <c r="Z740" i="4"/>
  <c r="W740" i="4"/>
  <c r="U740" i="4"/>
  <c r="S740" i="4"/>
  <c r="N740" i="4"/>
  <c r="K740" i="4"/>
  <c r="AF739" i="4"/>
  <c r="AD739" i="4"/>
  <c r="Z739" i="4"/>
  <c r="W739" i="4"/>
  <c r="U739" i="4"/>
  <c r="S739" i="4"/>
  <c r="N739" i="4"/>
  <c r="K739" i="4"/>
  <c r="AF738" i="4"/>
  <c r="AD738" i="4"/>
  <c r="Z738" i="4"/>
  <c r="W738" i="4"/>
  <c r="U738" i="4"/>
  <c r="S738" i="4"/>
  <c r="N738" i="4"/>
  <c r="K738" i="4"/>
  <c r="AF737" i="4"/>
  <c r="AD737" i="4"/>
  <c r="Z737" i="4"/>
  <c r="W737" i="4"/>
  <c r="U737" i="4"/>
  <c r="S737" i="4"/>
  <c r="N737" i="4"/>
  <c r="K737" i="4"/>
  <c r="AF736" i="4"/>
  <c r="AD736" i="4"/>
  <c r="Z736" i="4"/>
  <c r="W736" i="4"/>
  <c r="U736" i="4"/>
  <c r="S736" i="4"/>
  <c r="N736" i="4"/>
  <c r="K736" i="4"/>
  <c r="AF735" i="4"/>
  <c r="AD735" i="4"/>
  <c r="Z735" i="4"/>
  <c r="W735" i="4"/>
  <c r="U735" i="4"/>
  <c r="S735" i="4"/>
  <c r="N735" i="4"/>
  <c r="K735" i="4"/>
  <c r="AF734" i="4"/>
  <c r="AD734" i="4"/>
  <c r="Z734" i="4"/>
  <c r="W734" i="4"/>
  <c r="U734" i="4"/>
  <c r="S734" i="4"/>
  <c r="N734" i="4"/>
  <c r="K734" i="4"/>
  <c r="H734" i="4"/>
  <c r="E734" i="4"/>
  <c r="AF733" i="4"/>
  <c r="AD733" i="4"/>
  <c r="Z733" i="4"/>
  <c r="W733" i="4"/>
  <c r="U733" i="4"/>
  <c r="S733" i="4"/>
  <c r="N733" i="4"/>
  <c r="K733" i="4"/>
  <c r="H733" i="4"/>
  <c r="E733" i="4"/>
  <c r="AF732" i="4"/>
  <c r="AD732" i="4"/>
  <c r="Z732" i="4"/>
  <c r="W732" i="4"/>
  <c r="U732" i="4"/>
  <c r="S732" i="4"/>
  <c r="N732" i="4"/>
  <c r="K732" i="4"/>
  <c r="H732" i="4"/>
  <c r="E732" i="4"/>
  <c r="AF731" i="4"/>
  <c r="AD731" i="4"/>
  <c r="Z731" i="4"/>
  <c r="W731" i="4"/>
  <c r="U731" i="4"/>
  <c r="S731" i="4"/>
  <c r="N731" i="4"/>
  <c r="K731" i="4"/>
  <c r="H731" i="4"/>
  <c r="E731" i="4"/>
  <c r="AF730" i="4"/>
  <c r="AD730" i="4"/>
  <c r="Z730" i="4"/>
  <c r="W730" i="4"/>
  <c r="U730" i="4"/>
  <c r="S730" i="4"/>
  <c r="N730" i="4"/>
  <c r="K730" i="4"/>
  <c r="H730" i="4"/>
  <c r="E730" i="4"/>
  <c r="AF729" i="4"/>
  <c r="AD729" i="4"/>
  <c r="Z729" i="4"/>
  <c r="W729" i="4"/>
  <c r="U729" i="4"/>
  <c r="S729" i="4"/>
  <c r="N729" i="4"/>
  <c r="K729" i="4"/>
  <c r="H729" i="4"/>
  <c r="E729" i="4"/>
  <c r="AF728" i="4"/>
  <c r="AD728" i="4"/>
  <c r="Z728" i="4"/>
  <c r="W728" i="4"/>
  <c r="U728" i="4"/>
  <c r="S728" i="4"/>
  <c r="N728" i="4"/>
  <c r="K728" i="4"/>
  <c r="H728" i="4"/>
  <c r="E728" i="4"/>
  <c r="AO727" i="4"/>
  <c r="AQ727" i="4" s="1"/>
  <c r="AF727" i="4"/>
  <c r="AD727" i="4"/>
  <c r="Z727" i="4"/>
  <c r="W727" i="4"/>
  <c r="U727" i="4"/>
  <c r="S727" i="4"/>
  <c r="N727" i="4"/>
  <c r="K727" i="4"/>
  <c r="H727" i="4"/>
  <c r="E727" i="4"/>
  <c r="AF726" i="4"/>
  <c r="AD726" i="4"/>
  <c r="Z726" i="4"/>
  <c r="W726" i="4"/>
  <c r="U726" i="4"/>
  <c r="R726" i="4"/>
  <c r="S726" i="4" s="1"/>
  <c r="AF725" i="4"/>
  <c r="AD725" i="4"/>
  <c r="Z725" i="4"/>
  <c r="W725" i="4"/>
  <c r="U725" i="4"/>
  <c r="S725" i="4"/>
  <c r="N725" i="4"/>
  <c r="K725" i="4"/>
  <c r="H725" i="4"/>
  <c r="E725" i="4"/>
  <c r="AF723" i="4"/>
  <c r="AD723" i="4"/>
  <c r="Z723" i="4"/>
  <c r="W723" i="4"/>
  <c r="U723" i="4"/>
  <c r="S723" i="4"/>
  <c r="N723" i="4"/>
  <c r="K723" i="4"/>
  <c r="H723" i="4"/>
  <c r="E723" i="4"/>
  <c r="AF722" i="4"/>
  <c r="AD722" i="4"/>
  <c r="Z722" i="4"/>
  <c r="W722" i="4"/>
  <c r="U722" i="4"/>
  <c r="S722" i="4"/>
  <c r="N722" i="4"/>
  <c r="K722" i="4"/>
  <c r="H722" i="4"/>
  <c r="E722" i="4"/>
  <c r="AF721" i="4"/>
  <c r="AD721" i="4"/>
  <c r="Z721" i="4"/>
  <c r="W721" i="4"/>
  <c r="U721" i="4"/>
  <c r="S721" i="4"/>
  <c r="N721" i="4"/>
  <c r="K721" i="4"/>
  <c r="H721" i="4"/>
  <c r="D721" i="4"/>
  <c r="D747" i="4" s="1"/>
  <c r="AF720" i="4"/>
  <c r="AD720" i="4"/>
  <c r="Z720" i="4"/>
  <c r="W720" i="4"/>
  <c r="U720" i="4"/>
  <c r="S720" i="4"/>
  <c r="N720" i="4"/>
  <c r="J720" i="4"/>
  <c r="K720" i="4" s="1"/>
  <c r="H720" i="4"/>
  <c r="E720" i="4"/>
  <c r="AF719" i="4"/>
  <c r="AD719" i="4"/>
  <c r="Z719" i="4"/>
  <c r="W719" i="4"/>
  <c r="U719" i="4"/>
  <c r="S719" i="4"/>
  <c r="N719" i="4"/>
  <c r="K719" i="4"/>
  <c r="H719" i="4"/>
  <c r="E719" i="4"/>
  <c r="AF718" i="4"/>
  <c r="AD718" i="4"/>
  <c r="Z718" i="4"/>
  <c r="W718" i="4"/>
  <c r="U718" i="4"/>
  <c r="S718" i="4"/>
  <c r="N718" i="4"/>
  <c r="K718" i="4"/>
  <c r="H718" i="4"/>
  <c r="E718" i="4"/>
  <c r="AF717" i="4"/>
  <c r="AD717" i="4"/>
  <c r="Z717" i="4"/>
  <c r="W717" i="4"/>
  <c r="U717" i="4"/>
  <c r="S717" i="4"/>
  <c r="N717" i="4"/>
  <c r="K717" i="4"/>
  <c r="H717" i="4"/>
  <c r="E717" i="4"/>
  <c r="AC715" i="4"/>
  <c r="Y715" i="4"/>
  <c r="V715" i="4"/>
  <c r="T715" i="4"/>
  <c r="R715" i="4"/>
  <c r="L715" i="4"/>
  <c r="J715" i="4"/>
  <c r="F715" i="4"/>
  <c r="D715" i="4"/>
  <c r="B715" i="4"/>
  <c r="AF712" i="4"/>
  <c r="AD712" i="4"/>
  <c r="Z712" i="4"/>
  <c r="W712" i="4"/>
  <c r="U712" i="4"/>
  <c r="S712" i="4"/>
  <c r="N712" i="4"/>
  <c r="K712" i="4"/>
  <c r="H712" i="4"/>
  <c r="E712" i="4"/>
  <c r="AF711" i="4"/>
  <c r="AD711" i="4"/>
  <c r="Z711" i="4"/>
  <c r="W711" i="4"/>
  <c r="U711" i="4"/>
  <c r="S711" i="4"/>
  <c r="N711" i="4"/>
  <c r="K711" i="4"/>
  <c r="H711" i="4"/>
  <c r="E711" i="4"/>
  <c r="AF710" i="4"/>
  <c r="AD710" i="4"/>
  <c r="Z710" i="4"/>
  <c r="W710" i="4"/>
  <c r="U710" i="4"/>
  <c r="S710" i="4"/>
  <c r="N710" i="4"/>
  <c r="K710" i="4"/>
  <c r="H710" i="4"/>
  <c r="E710" i="4"/>
  <c r="AF709" i="4"/>
  <c r="AD709" i="4"/>
  <c r="Z709" i="4"/>
  <c r="W709" i="4"/>
  <c r="U709" i="4"/>
  <c r="S709" i="4"/>
  <c r="N709" i="4"/>
  <c r="K709" i="4"/>
  <c r="H709" i="4"/>
  <c r="E709" i="4"/>
  <c r="AF708" i="4"/>
  <c r="AD708" i="4"/>
  <c r="Z708" i="4"/>
  <c r="W708" i="4"/>
  <c r="U708" i="4"/>
  <c r="S708" i="4"/>
  <c r="N708" i="4"/>
  <c r="K708" i="4"/>
  <c r="H708" i="4"/>
  <c r="E708" i="4"/>
  <c r="AF707" i="4"/>
  <c r="AD707" i="4"/>
  <c r="Z707" i="4"/>
  <c r="W707" i="4"/>
  <c r="U707" i="4"/>
  <c r="S707" i="4"/>
  <c r="N707" i="4"/>
  <c r="K707" i="4"/>
  <c r="H707" i="4"/>
  <c r="E707" i="4"/>
  <c r="BE706" i="4"/>
  <c r="BE703" i="4" s="1"/>
  <c r="BC706" i="4"/>
  <c r="BC703" i="4" s="1"/>
  <c r="BA706" i="4"/>
  <c r="BA703" i="4" s="1"/>
  <c r="AY706" i="4"/>
  <c r="AY703" i="4" s="1"/>
  <c r="AW706" i="4"/>
  <c r="AW703" i="4" s="1"/>
  <c r="AU706" i="4"/>
  <c r="AU703" i="4" s="1"/>
  <c r="AS706" i="4"/>
  <c r="AS703" i="4" s="1"/>
  <c r="AQ706" i="4"/>
  <c r="AQ703" i="4" s="1"/>
  <c r="AO706" i="4"/>
  <c r="AO703" i="4" s="1"/>
  <c r="AH706" i="4"/>
  <c r="AM706" i="4" s="1"/>
  <c r="AF706" i="4"/>
  <c r="AD706" i="4"/>
  <c r="Z706" i="4"/>
  <c r="W706" i="4"/>
  <c r="S706" i="4"/>
  <c r="P706" i="4"/>
  <c r="U706" i="4" s="1"/>
  <c r="N706" i="4"/>
  <c r="K706" i="4"/>
  <c r="H706" i="4"/>
  <c r="E706" i="4"/>
  <c r="AF705" i="4"/>
  <c r="AD705" i="4"/>
  <c r="Z705" i="4"/>
  <c r="W705" i="4"/>
  <c r="U705" i="4"/>
  <c r="S705" i="4"/>
  <c r="N705" i="4"/>
  <c r="K705" i="4"/>
  <c r="H705" i="4"/>
  <c r="E705" i="4"/>
  <c r="AF704" i="4"/>
  <c r="AD704" i="4"/>
  <c r="Z704" i="4"/>
  <c r="W704" i="4"/>
  <c r="U704" i="4"/>
  <c r="S704" i="4"/>
  <c r="N704" i="4"/>
  <c r="K704" i="4"/>
  <c r="H704" i="4"/>
  <c r="E704" i="4"/>
  <c r="AZ703" i="4"/>
  <c r="AR703" i="4"/>
  <c r="AP703" i="4"/>
  <c r="AF703" i="4"/>
  <c r="AD703" i="4"/>
  <c r="Z703" i="4"/>
  <c r="W703" i="4"/>
  <c r="S703" i="4"/>
  <c r="N703" i="4"/>
  <c r="K703" i="4"/>
  <c r="H703" i="4"/>
  <c r="E703" i="4"/>
  <c r="AF702" i="4"/>
  <c r="AD702" i="4"/>
  <c r="Z702" i="4"/>
  <c r="W702" i="4"/>
  <c r="U702" i="4"/>
  <c r="S702" i="4"/>
  <c r="N702" i="4"/>
  <c r="K702" i="4"/>
  <c r="H702" i="4"/>
  <c r="E702" i="4"/>
  <c r="AF701" i="4"/>
  <c r="AD701" i="4"/>
  <c r="Z701" i="4"/>
  <c r="W701" i="4"/>
  <c r="U701" i="4"/>
  <c r="S701" i="4"/>
  <c r="N701" i="4"/>
  <c r="K701" i="4"/>
  <c r="H701" i="4"/>
  <c r="E701" i="4"/>
  <c r="AE700" i="4"/>
  <c r="AF700" i="4" s="1"/>
  <c r="Z700" i="4"/>
  <c r="W700" i="4"/>
  <c r="U700" i="4"/>
  <c r="S700" i="4"/>
  <c r="N700" i="4"/>
  <c r="K700" i="4"/>
  <c r="E700" i="4"/>
  <c r="BE699" i="4"/>
  <c r="BC699" i="4"/>
  <c r="BA699" i="4"/>
  <c r="AZ699" i="4"/>
  <c r="AY699" i="4"/>
  <c r="AX699" i="4"/>
  <c r="AW699" i="4"/>
  <c r="AU699" i="4"/>
  <c r="AS699" i="4"/>
  <c r="AR699" i="4"/>
  <c r="AQ699" i="4"/>
  <c r="AP699" i="4"/>
  <c r="AH699" i="4"/>
  <c r="AE699" i="4"/>
  <c r="Z699" i="4"/>
  <c r="W699" i="4"/>
  <c r="S699" i="4"/>
  <c r="P699" i="4"/>
  <c r="N699" i="4"/>
  <c r="K699" i="4"/>
  <c r="H699" i="4"/>
  <c r="E699" i="4"/>
  <c r="AF698" i="4"/>
  <c r="AD698" i="4"/>
  <c r="Z698" i="4"/>
  <c r="AF697" i="4"/>
  <c r="AD697" i="4"/>
  <c r="AF694" i="4"/>
  <c r="AD694" i="4"/>
  <c r="Z694" i="4"/>
  <c r="W694" i="4"/>
  <c r="U694" i="4"/>
  <c r="S694" i="4"/>
  <c r="N694" i="4"/>
  <c r="K694" i="4"/>
  <c r="H694" i="4"/>
  <c r="E694" i="4"/>
  <c r="AE692" i="4"/>
  <c r="AC692" i="4"/>
  <c r="Y692" i="4"/>
  <c r="T692" i="4"/>
  <c r="R692" i="4"/>
  <c r="L692" i="4"/>
  <c r="J692" i="4"/>
  <c r="F692" i="4"/>
  <c r="B692" i="4"/>
  <c r="AF691" i="4"/>
  <c r="AF692" i="4" s="1"/>
  <c r="AD691" i="4"/>
  <c r="AD692" i="4" s="1"/>
  <c r="Z691" i="4"/>
  <c r="V691" i="4"/>
  <c r="V692" i="4" s="1"/>
  <c r="S691" i="4"/>
  <c r="S692" i="4" s="1"/>
  <c r="P691" i="4"/>
  <c r="AH691" i="4" s="1"/>
  <c r="AM691" i="4" s="1"/>
  <c r="AM692" i="4" s="1"/>
  <c r="N691" i="4"/>
  <c r="N692" i="4" s="1"/>
  <c r="K691" i="4"/>
  <c r="K692" i="4" s="1"/>
  <c r="H691" i="4"/>
  <c r="H692" i="4" s="1"/>
  <c r="D691" i="4"/>
  <c r="D692" i="4" s="1"/>
  <c r="Z690" i="4"/>
  <c r="Z692" i="4" s="1"/>
  <c r="AE688" i="4"/>
  <c r="AC688" i="4"/>
  <c r="Y688" i="4"/>
  <c r="V688" i="4"/>
  <c r="T688" i="4"/>
  <c r="R688" i="4"/>
  <c r="L688" i="4"/>
  <c r="J688" i="4"/>
  <c r="F688" i="4"/>
  <c r="D688" i="4"/>
  <c r="AF687" i="4"/>
  <c r="AD687" i="4"/>
  <c r="Z687" i="4"/>
  <c r="W687" i="4"/>
  <c r="U687" i="4"/>
  <c r="S687" i="4"/>
  <c r="N687" i="4"/>
  <c r="K687" i="4"/>
  <c r="H687" i="4"/>
  <c r="E687" i="4"/>
  <c r="AF686" i="4"/>
  <c r="AD686" i="4"/>
  <c r="Z686" i="4"/>
  <c r="W686" i="4"/>
  <c r="U686" i="4"/>
  <c r="S686" i="4"/>
  <c r="N686" i="4"/>
  <c r="K686" i="4"/>
  <c r="H686" i="4"/>
  <c r="E686" i="4"/>
  <c r="AF685" i="4"/>
  <c r="AD685" i="4"/>
  <c r="Z685" i="4"/>
  <c r="W685" i="4"/>
  <c r="S685" i="4"/>
  <c r="N685" i="4"/>
  <c r="K685" i="4"/>
  <c r="E685" i="4"/>
  <c r="B685" i="4"/>
  <c r="P685" i="4" s="1"/>
  <c r="P688" i="4" s="1"/>
  <c r="AE683" i="4"/>
  <c r="AC683" i="4"/>
  <c r="Y683" i="4"/>
  <c r="V683" i="4"/>
  <c r="T683" i="4"/>
  <c r="R683" i="4"/>
  <c r="L683" i="4"/>
  <c r="J683" i="4"/>
  <c r="F683" i="4"/>
  <c r="D683" i="4"/>
  <c r="AF682" i="4"/>
  <c r="AD682" i="4"/>
  <c r="Z682" i="4"/>
  <c r="W682" i="4"/>
  <c r="U682" i="4"/>
  <c r="S682" i="4"/>
  <c r="N682" i="4"/>
  <c r="K682" i="4"/>
  <c r="H682" i="4"/>
  <c r="E682" i="4"/>
  <c r="AF681" i="4"/>
  <c r="AD681" i="4"/>
  <c r="Z681" i="4"/>
  <c r="W681" i="4"/>
  <c r="U681" i="4"/>
  <c r="S681" i="4"/>
  <c r="N681" i="4"/>
  <c r="K681" i="4"/>
  <c r="AF680" i="4"/>
  <c r="AD680" i="4"/>
  <c r="Z680" i="4"/>
  <c r="W680" i="4"/>
  <c r="U680" i="4"/>
  <c r="S680" i="4"/>
  <c r="N680" i="4"/>
  <c r="K680" i="4"/>
  <c r="H680" i="4"/>
  <c r="E680" i="4"/>
  <c r="AF679" i="4"/>
  <c r="AD679" i="4"/>
  <c r="Z679" i="4"/>
  <c r="W679" i="4"/>
  <c r="S679" i="4"/>
  <c r="N679" i="4"/>
  <c r="K679" i="4"/>
  <c r="E679" i="4"/>
  <c r="B679" i="4"/>
  <c r="P679" i="4" s="1"/>
  <c r="AE677" i="4"/>
  <c r="AC677" i="4"/>
  <c r="Y677" i="4"/>
  <c r="V677" i="4"/>
  <c r="T677" i="4"/>
  <c r="R677" i="4"/>
  <c r="L677" i="4"/>
  <c r="J677" i="4"/>
  <c r="F677" i="4"/>
  <c r="D677" i="4"/>
  <c r="AF676" i="4"/>
  <c r="AD676" i="4"/>
  <c r="Z676" i="4"/>
  <c r="W676" i="4"/>
  <c r="U676" i="4"/>
  <c r="S676" i="4"/>
  <c r="N676" i="4"/>
  <c r="K676" i="4"/>
  <c r="H676" i="4"/>
  <c r="E676" i="4"/>
  <c r="AF675" i="4"/>
  <c r="AD675" i="4"/>
  <c r="Z675" i="4"/>
  <c r="W675" i="4"/>
  <c r="U675" i="4"/>
  <c r="S675" i="4"/>
  <c r="N675" i="4"/>
  <c r="K675" i="4"/>
  <c r="AF674" i="4"/>
  <c r="AD674" i="4"/>
  <c r="Z674" i="4"/>
  <c r="W674" i="4"/>
  <c r="S674" i="4"/>
  <c r="N674" i="4"/>
  <c r="K674" i="4"/>
  <c r="E674" i="4"/>
  <c r="E677" i="4" s="1"/>
  <c r="B674" i="4"/>
  <c r="B677" i="4" s="1"/>
  <c r="AF673" i="4"/>
  <c r="AD673" i="4"/>
  <c r="AH670" i="4"/>
  <c r="AF670" i="4"/>
  <c r="AD670" i="4"/>
  <c r="Z670" i="4"/>
  <c r="W670" i="4"/>
  <c r="U670" i="4"/>
  <c r="S670" i="4"/>
  <c r="N670" i="4"/>
  <c r="K670" i="4"/>
  <c r="H670" i="4"/>
  <c r="E670" i="4"/>
  <c r="N666" i="4"/>
  <c r="K666" i="4"/>
  <c r="AH664" i="4"/>
  <c r="AE664" i="4"/>
  <c r="AC664" i="4"/>
  <c r="Y664" i="4"/>
  <c r="T664" i="4"/>
  <c r="R664" i="4"/>
  <c r="L664" i="4"/>
  <c r="J664" i="4"/>
  <c r="F664" i="4"/>
  <c r="B664" i="4"/>
  <c r="AF663" i="4"/>
  <c r="AD663" i="4"/>
  <c r="Z663" i="4"/>
  <c r="W663" i="4"/>
  <c r="U663" i="4"/>
  <c r="S663" i="4"/>
  <c r="N663" i="4"/>
  <c r="K663" i="4"/>
  <c r="H663" i="4"/>
  <c r="E663" i="4"/>
  <c r="AF662" i="4"/>
  <c r="AD662" i="4"/>
  <c r="Z662" i="4"/>
  <c r="W662" i="4"/>
  <c r="U662" i="4"/>
  <c r="S662" i="4"/>
  <c r="AF661" i="4"/>
  <c r="AD661" i="4"/>
  <c r="Z661" i="4"/>
  <c r="W661" i="4"/>
  <c r="U661" i="4"/>
  <c r="S661" i="4"/>
  <c r="N661" i="4"/>
  <c r="K661" i="4"/>
  <c r="H661" i="4"/>
  <c r="E661" i="4"/>
  <c r="AF660" i="4"/>
  <c r="AD660" i="4"/>
  <c r="Z660" i="4"/>
  <c r="W660" i="4"/>
  <c r="U660" i="4"/>
  <c r="S660" i="4"/>
  <c r="N660" i="4"/>
  <c r="K660" i="4"/>
  <c r="H660" i="4"/>
  <c r="E660" i="4"/>
  <c r="AF659" i="4"/>
  <c r="AD659" i="4"/>
  <c r="Z659" i="4"/>
  <c r="W659" i="4"/>
  <c r="U659" i="4"/>
  <c r="S659" i="4"/>
  <c r="AF658" i="4"/>
  <c r="AD658" i="4"/>
  <c r="Z658" i="4"/>
  <c r="W658" i="4"/>
  <c r="U658" i="4"/>
  <c r="S658" i="4"/>
  <c r="AF657" i="4"/>
  <c r="AD657" i="4"/>
  <c r="Z657" i="4"/>
  <c r="W657" i="4"/>
  <c r="U657" i="4"/>
  <c r="S657" i="4"/>
  <c r="N657" i="4"/>
  <c r="K657" i="4"/>
  <c r="H657" i="4"/>
  <c r="E657" i="4"/>
  <c r="AF656" i="4"/>
  <c r="AD656" i="4"/>
  <c r="Z656" i="4"/>
  <c r="W656" i="4"/>
  <c r="U656" i="4"/>
  <c r="S656" i="4"/>
  <c r="N656" i="4"/>
  <c r="K656" i="4"/>
  <c r="H656" i="4"/>
  <c r="E656" i="4"/>
  <c r="AO655" i="4"/>
  <c r="AQ655" i="4" s="1"/>
  <c r="AF655" i="4"/>
  <c r="AD655" i="4"/>
  <c r="Z655" i="4"/>
  <c r="V655" i="4"/>
  <c r="V664" i="4" s="1"/>
  <c r="S655" i="4"/>
  <c r="P655" i="4"/>
  <c r="N655" i="4"/>
  <c r="K655" i="4"/>
  <c r="H655" i="4"/>
  <c r="D655" i="4"/>
  <c r="D664" i="4" s="1"/>
  <c r="BE653" i="4"/>
  <c r="BC653" i="4"/>
  <c r="AH651" i="4"/>
  <c r="AE651" i="4"/>
  <c r="AC651" i="4"/>
  <c r="Y651" i="4"/>
  <c r="V651" i="4"/>
  <c r="T651" i="4"/>
  <c r="R651" i="4"/>
  <c r="L651" i="4"/>
  <c r="J651" i="4"/>
  <c r="F651" i="4"/>
  <c r="D651" i="4"/>
  <c r="B651" i="4"/>
  <c r="AF650" i="4"/>
  <c r="AD650" i="4"/>
  <c r="Z650" i="4"/>
  <c r="W650" i="4"/>
  <c r="U650" i="4"/>
  <c r="S650" i="4"/>
  <c r="N650" i="4"/>
  <c r="K650" i="4"/>
  <c r="H650" i="4"/>
  <c r="E650" i="4"/>
  <c r="AO649" i="4"/>
  <c r="AO651" i="4" s="1"/>
  <c r="AF649" i="4"/>
  <c r="AD649" i="4"/>
  <c r="Z649" i="4"/>
  <c r="W649" i="4"/>
  <c r="S649" i="4"/>
  <c r="P649" i="4"/>
  <c r="P651" i="4" s="1"/>
  <c r="N649" i="4"/>
  <c r="K649" i="4"/>
  <c r="H649" i="4"/>
  <c r="E649" i="4"/>
  <c r="AE646" i="4"/>
  <c r="AC646" i="4"/>
  <c r="Y646" i="4"/>
  <c r="V646" i="4"/>
  <c r="T646" i="4"/>
  <c r="R646" i="4"/>
  <c r="L646" i="4"/>
  <c r="J646" i="4"/>
  <c r="F646" i="4"/>
  <c r="D646" i="4"/>
  <c r="B646" i="4"/>
  <c r="AO645" i="4"/>
  <c r="AQ645" i="4" s="1"/>
  <c r="AS645" i="4" s="1"/>
  <c r="AU645" i="4" s="1"/>
  <c r="AW645" i="4" s="1"/>
  <c r="AY645" i="4" s="1"/>
  <c r="BA645" i="4" s="1"/>
  <c r="BC645" i="4" s="1"/>
  <c r="BE645" i="4" s="1"/>
  <c r="AF645" i="4"/>
  <c r="AD645" i="4"/>
  <c r="Z645" i="4"/>
  <c r="W645" i="4"/>
  <c r="U645" i="4"/>
  <c r="S645" i="4"/>
  <c r="N645" i="4"/>
  <c r="K645" i="4"/>
  <c r="H645" i="4"/>
  <c r="E645" i="4"/>
  <c r="AH644" i="4"/>
  <c r="AF644" i="4"/>
  <c r="AD644" i="4"/>
  <c r="Z644" i="4"/>
  <c r="W644" i="4"/>
  <c r="S644" i="4"/>
  <c r="P644" i="4"/>
  <c r="P646" i="4" s="1"/>
  <c r="N644" i="4"/>
  <c r="K644" i="4"/>
  <c r="H644" i="4"/>
  <c r="E644" i="4"/>
  <c r="AH643" i="4"/>
  <c r="AM643" i="4" s="1"/>
  <c r="AF643" i="4"/>
  <c r="AD643" i="4"/>
  <c r="Z643" i="4"/>
  <c r="W643" i="4"/>
  <c r="U643" i="4"/>
  <c r="S643" i="4"/>
  <c r="AH636" i="4"/>
  <c r="AE636" i="4"/>
  <c r="AC636" i="4"/>
  <c r="Y636" i="4"/>
  <c r="V636" i="4"/>
  <c r="T636" i="4"/>
  <c r="R636" i="4"/>
  <c r="L636" i="4"/>
  <c r="J636" i="4"/>
  <c r="F636" i="4"/>
  <c r="D636" i="4"/>
  <c r="B636" i="4"/>
  <c r="AF635" i="4"/>
  <c r="AD635" i="4"/>
  <c r="Z635" i="4"/>
  <c r="W635" i="4"/>
  <c r="U635" i="4"/>
  <c r="S635" i="4"/>
  <c r="N635" i="4"/>
  <c r="K635" i="4"/>
  <c r="H635" i="4"/>
  <c r="E635" i="4"/>
  <c r="AF634" i="4"/>
  <c r="AD634" i="4"/>
  <c r="Z634" i="4"/>
  <c r="W634" i="4"/>
  <c r="U634" i="4"/>
  <c r="S634" i="4"/>
  <c r="N634" i="4"/>
  <c r="K634" i="4"/>
  <c r="H634" i="4"/>
  <c r="E634" i="4"/>
  <c r="AF633" i="4"/>
  <c r="AD633" i="4"/>
  <c r="Z633" i="4"/>
  <c r="W633" i="4"/>
  <c r="U633" i="4"/>
  <c r="S633" i="4"/>
  <c r="N633" i="4"/>
  <c r="K633" i="4"/>
  <c r="H633" i="4"/>
  <c r="E633" i="4"/>
  <c r="AO632" i="4"/>
  <c r="AQ632" i="4" s="1"/>
  <c r="AQ636" i="4" s="1"/>
  <c r="AF632" i="4"/>
  <c r="AD632" i="4"/>
  <c r="Z632" i="4"/>
  <c r="W632" i="4"/>
  <c r="S632" i="4"/>
  <c r="P632" i="4"/>
  <c r="P636" i="4" s="1"/>
  <c r="N632" i="4"/>
  <c r="K632" i="4"/>
  <c r="H632" i="4"/>
  <c r="E632" i="4"/>
  <c r="BE630" i="4"/>
  <c r="BC630" i="4"/>
  <c r="BA630" i="4"/>
  <c r="AY630" i="4"/>
  <c r="AW630" i="4"/>
  <c r="AU630" i="4"/>
  <c r="AS630" i="4"/>
  <c r="AQ630" i="4"/>
  <c r="AO630" i="4"/>
  <c r="AH630" i="4"/>
  <c r="AE630" i="4"/>
  <c r="AC630" i="4"/>
  <c r="Y630" i="4"/>
  <c r="V630" i="4"/>
  <c r="T630" i="4"/>
  <c r="R630" i="4"/>
  <c r="L630" i="4"/>
  <c r="J630" i="4"/>
  <c r="F630" i="4"/>
  <c r="D630" i="4"/>
  <c r="B630" i="4"/>
  <c r="AF629" i="4"/>
  <c r="AF630" i="4" s="1"/>
  <c r="AD629" i="4"/>
  <c r="AD630" i="4" s="1"/>
  <c r="Z629" i="4"/>
  <c r="W629" i="4"/>
  <c r="W630" i="4" s="1"/>
  <c r="S629" i="4"/>
  <c r="S630" i="4" s="1"/>
  <c r="P629" i="4"/>
  <c r="P630" i="4" s="1"/>
  <c r="N629" i="4"/>
  <c r="K629" i="4"/>
  <c r="H629" i="4"/>
  <c r="E629" i="4"/>
  <c r="Z628" i="4"/>
  <c r="N628" i="4"/>
  <c r="K628" i="4"/>
  <c r="H628" i="4"/>
  <c r="E628" i="4"/>
  <c r="Z627" i="4"/>
  <c r="Z626" i="4"/>
  <c r="Z625" i="4"/>
  <c r="AH623" i="4"/>
  <c r="AE623" i="4"/>
  <c r="AC623" i="4"/>
  <c r="Y623" i="4"/>
  <c r="V623" i="4"/>
  <c r="T623" i="4"/>
  <c r="R623" i="4"/>
  <c r="L623" i="4"/>
  <c r="J623" i="4"/>
  <c r="F623" i="4"/>
  <c r="D623" i="4"/>
  <c r="B623" i="4"/>
  <c r="AF622" i="4"/>
  <c r="AD622" i="4"/>
  <c r="Z622" i="4"/>
  <c r="W622" i="4"/>
  <c r="U622" i="4"/>
  <c r="S622" i="4"/>
  <c r="N622" i="4"/>
  <c r="K622" i="4"/>
  <c r="H622" i="4"/>
  <c r="E622" i="4"/>
  <c r="AF621" i="4"/>
  <c r="AD621" i="4"/>
  <c r="Z621" i="4"/>
  <c r="W621" i="4"/>
  <c r="U621" i="4"/>
  <c r="S621" i="4"/>
  <c r="N621" i="4"/>
  <c r="K621" i="4"/>
  <c r="H621" i="4"/>
  <c r="E621" i="4"/>
  <c r="AO620" i="4"/>
  <c r="AQ620" i="4" s="1"/>
  <c r="AF620" i="4"/>
  <c r="AD620" i="4"/>
  <c r="Z620" i="4"/>
  <c r="W620" i="4"/>
  <c r="S620" i="4"/>
  <c r="P620" i="4"/>
  <c r="P623" i="4" s="1"/>
  <c r="N620" i="4"/>
  <c r="K620" i="4"/>
  <c r="H620" i="4"/>
  <c r="E620" i="4"/>
  <c r="AE618" i="4"/>
  <c r="Y618" i="4"/>
  <c r="T618" i="4"/>
  <c r="R618" i="4"/>
  <c r="L618" i="4"/>
  <c r="J618" i="4"/>
  <c r="F618" i="4"/>
  <c r="D618" i="4"/>
  <c r="AH617" i="4"/>
  <c r="AF617" i="4"/>
  <c r="AD617" i="4"/>
  <c r="Z617" i="4"/>
  <c r="V617" i="4"/>
  <c r="W617" i="4" s="1"/>
  <c r="S617" i="4"/>
  <c r="P617" i="4"/>
  <c r="U617" i="4" s="1"/>
  <c r="N617" i="4"/>
  <c r="K617" i="4"/>
  <c r="H617" i="4"/>
  <c r="E617" i="4"/>
  <c r="AO616" i="4"/>
  <c r="AQ616" i="4" s="1"/>
  <c r="AS616" i="4" s="1"/>
  <c r="AU616" i="4" s="1"/>
  <c r="AW616" i="4" s="1"/>
  <c r="AY616" i="4" s="1"/>
  <c r="BA616" i="4" s="1"/>
  <c r="BC616" i="4" s="1"/>
  <c r="BE616" i="4" s="1"/>
  <c r="AF616" i="4"/>
  <c r="AD616" i="4"/>
  <c r="Z616" i="4"/>
  <c r="W616" i="4"/>
  <c r="S616" i="4"/>
  <c r="P616" i="4"/>
  <c r="U616" i="4" s="1"/>
  <c r="N616" i="4"/>
  <c r="K616" i="4"/>
  <c r="H616" i="4"/>
  <c r="E616" i="4"/>
  <c r="AH615" i="4"/>
  <c r="AF615" i="4"/>
  <c r="AD615" i="4"/>
  <c r="Z615" i="4"/>
  <c r="W615" i="4"/>
  <c r="S615" i="4"/>
  <c r="P615" i="4"/>
  <c r="U615" i="4" s="1"/>
  <c r="N615" i="4"/>
  <c r="K615" i="4"/>
  <c r="H615" i="4"/>
  <c r="E615" i="4"/>
  <c r="AF614" i="4"/>
  <c r="AD614" i="4"/>
  <c r="Z614" i="4"/>
  <c r="W614" i="4"/>
  <c r="S614" i="4"/>
  <c r="P614" i="4"/>
  <c r="AH614" i="4" s="1"/>
  <c r="N614" i="4"/>
  <c r="K614" i="4"/>
  <c r="H614" i="4"/>
  <c r="E614" i="4"/>
  <c r="AH613" i="4"/>
  <c r="AF613" i="4"/>
  <c r="AD613" i="4"/>
  <c r="Z613" i="4"/>
  <c r="W613" i="4"/>
  <c r="U613" i="4"/>
  <c r="S613" i="4"/>
  <c r="N613" i="4"/>
  <c r="K613" i="4"/>
  <c r="H613" i="4"/>
  <c r="E613" i="4"/>
  <c r="AH612" i="4"/>
  <c r="AF612" i="4"/>
  <c r="AD612" i="4"/>
  <c r="Z612" i="4"/>
  <c r="W612" i="4"/>
  <c r="S612" i="4"/>
  <c r="P612" i="4"/>
  <c r="U612" i="4" s="1"/>
  <c r="N612" i="4"/>
  <c r="K612" i="4"/>
  <c r="H612" i="4"/>
  <c r="E612" i="4"/>
  <c r="AH611" i="4"/>
  <c r="AF611" i="4"/>
  <c r="AD611" i="4"/>
  <c r="Z611" i="4"/>
  <c r="W611" i="4"/>
  <c r="S611" i="4"/>
  <c r="P611" i="4"/>
  <c r="U611" i="4" s="1"/>
  <c r="N611" i="4"/>
  <c r="K611" i="4"/>
  <c r="H611" i="4"/>
  <c r="E611" i="4"/>
  <c r="AH610" i="4"/>
  <c r="AF610" i="4"/>
  <c r="AD610" i="4"/>
  <c r="Z610" i="4"/>
  <c r="V610" i="4"/>
  <c r="V618" i="4" s="1"/>
  <c r="S610" i="4"/>
  <c r="P610" i="4"/>
  <c r="U610" i="4" s="1"/>
  <c r="N610" i="4"/>
  <c r="K610" i="4"/>
  <c r="H610" i="4"/>
  <c r="E610" i="4"/>
  <c r="AH609" i="4"/>
  <c r="AF609" i="4"/>
  <c r="AD609" i="4"/>
  <c r="Z609" i="4"/>
  <c r="W609" i="4"/>
  <c r="S609" i="4"/>
  <c r="P609" i="4"/>
  <c r="U609" i="4" s="1"/>
  <c r="N609" i="4"/>
  <c r="K609" i="4"/>
  <c r="H609" i="4"/>
  <c r="E609" i="4"/>
  <c r="AF608" i="4"/>
  <c r="AD608" i="4"/>
  <c r="Z608" i="4"/>
  <c r="W608" i="4"/>
  <c r="S608" i="4"/>
  <c r="P608" i="4"/>
  <c r="AH608" i="4" s="1"/>
  <c r="N608" i="4"/>
  <c r="K608" i="4"/>
  <c r="H608" i="4"/>
  <c r="E608" i="4"/>
  <c r="AF607" i="4"/>
  <c r="AD607" i="4"/>
  <c r="Z607" i="4"/>
  <c r="W607" i="4"/>
  <c r="S607" i="4"/>
  <c r="P607" i="4"/>
  <c r="AH607" i="4" s="1"/>
  <c r="N607" i="4"/>
  <c r="K607" i="4"/>
  <c r="H607" i="4"/>
  <c r="E607" i="4"/>
  <c r="AH606" i="4"/>
  <c r="AF606" i="4"/>
  <c r="AD606" i="4"/>
  <c r="Z606" i="4"/>
  <c r="W606" i="4"/>
  <c r="S606" i="4"/>
  <c r="P606" i="4"/>
  <c r="U606" i="4" s="1"/>
  <c r="N606" i="4"/>
  <c r="K606" i="4"/>
  <c r="H606" i="4"/>
  <c r="E606" i="4"/>
  <c r="AH605" i="4"/>
  <c r="AF605" i="4"/>
  <c r="AD605" i="4"/>
  <c r="Z605" i="4"/>
  <c r="W605" i="4"/>
  <c r="S605" i="4"/>
  <c r="P605" i="4"/>
  <c r="U605" i="4" s="1"/>
  <c r="N605" i="4"/>
  <c r="K605" i="4"/>
  <c r="E605" i="4"/>
  <c r="B605" i="4"/>
  <c r="H605" i="4" s="1"/>
  <c r="AO604" i="4"/>
  <c r="AQ604" i="4" s="1"/>
  <c r="AS604" i="4" s="1"/>
  <c r="AU604" i="4" s="1"/>
  <c r="AW604" i="4" s="1"/>
  <c r="AY604" i="4" s="1"/>
  <c r="BA604" i="4" s="1"/>
  <c r="BC604" i="4" s="1"/>
  <c r="BE604" i="4" s="1"/>
  <c r="AF604" i="4"/>
  <c r="AD604" i="4"/>
  <c r="Z604" i="4"/>
  <c r="W604" i="4"/>
  <c r="S604" i="4"/>
  <c r="P604" i="4"/>
  <c r="U604" i="4" s="1"/>
  <c r="N604" i="4"/>
  <c r="K604" i="4"/>
  <c r="H604" i="4"/>
  <c r="E604" i="4"/>
  <c r="AO603" i="4"/>
  <c r="AQ603" i="4" s="1"/>
  <c r="AS603" i="4" s="1"/>
  <c r="AU603" i="4" s="1"/>
  <c r="AF603" i="4"/>
  <c r="AC603" i="4"/>
  <c r="AC618" i="4" s="1"/>
  <c r="Z603" i="4"/>
  <c r="W603" i="4"/>
  <c r="U603" i="4"/>
  <c r="S603" i="4"/>
  <c r="N603" i="4"/>
  <c r="K603" i="4"/>
  <c r="H603" i="4"/>
  <c r="E603" i="4"/>
  <c r="AH599" i="4"/>
  <c r="AF599" i="4"/>
  <c r="AD599" i="4"/>
  <c r="Z599" i="4"/>
  <c r="S599" i="4"/>
  <c r="P599" i="4"/>
  <c r="N599" i="4"/>
  <c r="K599" i="4"/>
  <c r="H599" i="4"/>
  <c r="E599" i="4"/>
  <c r="BD598" i="4"/>
  <c r="AX598" i="4"/>
  <c r="AZ598" i="4" s="1"/>
  <c r="AR598" i="4"/>
  <c r="AT598" i="4" s="1"/>
  <c r="AH598" i="4"/>
  <c r="AO596" i="4"/>
  <c r="AS596" i="4" s="1"/>
  <c r="AW596" i="4" s="1"/>
  <c r="BA596" i="4" s="1"/>
  <c r="BE596" i="4" s="1"/>
  <c r="AH596" i="4"/>
  <c r="AF596" i="4"/>
  <c r="AD596" i="4"/>
  <c r="Z596" i="4"/>
  <c r="W596" i="4"/>
  <c r="S596" i="4"/>
  <c r="P596" i="4"/>
  <c r="U596" i="4" s="1"/>
  <c r="N596" i="4"/>
  <c r="K596" i="4"/>
  <c r="H596" i="4"/>
  <c r="E596" i="4"/>
  <c r="AF594" i="4"/>
  <c r="AD594" i="4"/>
  <c r="Z594" i="4"/>
  <c r="W594" i="4"/>
  <c r="S594" i="4"/>
  <c r="P594" i="4"/>
  <c r="AH594" i="4" s="1"/>
  <c r="N594" i="4"/>
  <c r="K594" i="4"/>
  <c r="H594" i="4"/>
  <c r="E594" i="4"/>
  <c r="AF592" i="4"/>
  <c r="AD592" i="4"/>
  <c r="Z592" i="4"/>
  <c r="W592" i="4"/>
  <c r="U592" i="4"/>
  <c r="S592" i="4"/>
  <c r="N592" i="4"/>
  <c r="K592" i="4"/>
  <c r="H592" i="4"/>
  <c r="E592" i="4"/>
  <c r="BE590" i="4"/>
  <c r="BC590" i="4"/>
  <c r="BA590" i="4"/>
  <c r="AY590" i="4"/>
  <c r="AW590" i="4"/>
  <c r="AU590" i="4"/>
  <c r="AS590" i="4"/>
  <c r="AQ590" i="4"/>
  <c r="AO590" i="4"/>
  <c r="AH590" i="4"/>
  <c r="AE590" i="4"/>
  <c r="AC590" i="4"/>
  <c r="Y590" i="4"/>
  <c r="V590" i="4"/>
  <c r="T590" i="4"/>
  <c r="R590" i="4"/>
  <c r="P590" i="4"/>
  <c r="L590" i="4"/>
  <c r="J590" i="4"/>
  <c r="F590" i="4"/>
  <c r="D590" i="4"/>
  <c r="B590" i="4"/>
  <c r="AF589" i="4"/>
  <c r="AF590" i="4" s="1"/>
  <c r="AD589" i="4"/>
  <c r="AD590" i="4" s="1"/>
  <c r="Z589" i="4"/>
  <c r="Z590" i="4" s="1"/>
  <c r="W589" i="4"/>
  <c r="W590" i="4" s="1"/>
  <c r="U589" i="4"/>
  <c r="U590" i="4" s="1"/>
  <c r="S589" i="4"/>
  <c r="S590" i="4" s="1"/>
  <c r="N589" i="4"/>
  <c r="N590" i="4" s="1"/>
  <c r="K589" i="4"/>
  <c r="K590" i="4" s="1"/>
  <c r="H589" i="4"/>
  <c r="H590" i="4" s="1"/>
  <c r="E589" i="4"/>
  <c r="E590" i="4" s="1"/>
  <c r="AF588" i="4"/>
  <c r="AD588" i="4"/>
  <c r="N588" i="4"/>
  <c r="K588" i="4"/>
  <c r="AH586" i="4"/>
  <c r="AF586" i="4"/>
  <c r="AD586" i="4"/>
  <c r="Z586" i="4"/>
  <c r="W586" i="4"/>
  <c r="S586" i="4"/>
  <c r="P586" i="4"/>
  <c r="U586" i="4" s="1"/>
  <c r="N586" i="4"/>
  <c r="K586" i="4"/>
  <c r="H586" i="4"/>
  <c r="E586" i="4"/>
  <c r="AE584" i="4"/>
  <c r="AC584" i="4"/>
  <c r="Y584" i="4"/>
  <c r="V584" i="4"/>
  <c r="T584" i="4"/>
  <c r="R584" i="4"/>
  <c r="L584" i="4"/>
  <c r="J584" i="4"/>
  <c r="F584" i="4"/>
  <c r="B584" i="4"/>
  <c r="BD582" i="4"/>
  <c r="AX582" i="4"/>
  <c r="AZ582" i="4" s="1"/>
  <c r="AR582" i="4"/>
  <c r="AT582" i="4" s="1"/>
  <c r="AQ582" i="4"/>
  <c r="AS582" i="4" s="1"/>
  <c r="AU582" i="4" s="1"/>
  <c r="AW582" i="4" s="1"/>
  <c r="AY582" i="4" s="1"/>
  <c r="BA582" i="4" s="1"/>
  <c r="BC582" i="4" s="1"/>
  <c r="BE582" i="4" s="1"/>
  <c r="AF582" i="4"/>
  <c r="AD582" i="4"/>
  <c r="Z582" i="4"/>
  <c r="W582" i="4"/>
  <c r="U582" i="4"/>
  <c r="S582" i="4"/>
  <c r="N582" i="4"/>
  <c r="K582" i="4"/>
  <c r="H582" i="4"/>
  <c r="E582" i="4"/>
  <c r="AF581" i="4"/>
  <c r="AD581" i="4"/>
  <c r="Z581" i="4"/>
  <c r="W581" i="4"/>
  <c r="U581" i="4"/>
  <c r="S581" i="4"/>
  <c r="AF580" i="4"/>
  <c r="AD580" i="4"/>
  <c r="Z580" i="4"/>
  <c r="W580" i="4"/>
  <c r="U580" i="4"/>
  <c r="S580" i="4"/>
  <c r="N580" i="4"/>
  <c r="K580" i="4"/>
  <c r="H580" i="4"/>
  <c r="E580" i="4"/>
  <c r="BD579" i="4"/>
  <c r="AX579" i="4"/>
  <c r="AZ579" i="4" s="1"/>
  <c r="AR579" i="4"/>
  <c r="AT579" i="4" s="1"/>
  <c r="AH579" i="4"/>
  <c r="AF579" i="4"/>
  <c r="AD579" i="4"/>
  <c r="Z579" i="4"/>
  <c r="W579" i="4"/>
  <c r="U579" i="4"/>
  <c r="S579" i="4"/>
  <c r="N579" i="4"/>
  <c r="K579" i="4"/>
  <c r="H579" i="4"/>
  <c r="D579" i="4"/>
  <c r="D584" i="4" s="1"/>
  <c r="BD578" i="4"/>
  <c r="AX578" i="4"/>
  <c r="AZ578" i="4" s="1"/>
  <c r="AR578" i="4"/>
  <c r="AT578" i="4" s="1"/>
  <c r="AH578" i="4"/>
  <c r="AF578" i="4"/>
  <c r="AD578" i="4"/>
  <c r="Z578" i="4"/>
  <c r="W578" i="4"/>
  <c r="S578" i="4"/>
  <c r="P578" i="4"/>
  <c r="U578" i="4" s="1"/>
  <c r="N578" i="4"/>
  <c r="K578" i="4"/>
  <c r="H578" i="4"/>
  <c r="E578" i="4"/>
  <c r="BD577" i="4"/>
  <c r="AX577" i="4"/>
  <c r="AZ577" i="4" s="1"/>
  <c r="AR577" i="4"/>
  <c r="AT577" i="4" s="1"/>
  <c r="AH577" i="4"/>
  <c r="AF577" i="4"/>
  <c r="AD577" i="4"/>
  <c r="Z577" i="4"/>
  <c r="W577" i="4"/>
  <c r="U577" i="4"/>
  <c r="S577" i="4"/>
  <c r="N577" i="4"/>
  <c r="K577" i="4"/>
  <c r="H577" i="4"/>
  <c r="E577" i="4"/>
  <c r="BD576" i="4"/>
  <c r="AX576" i="4"/>
  <c r="AZ576" i="4" s="1"/>
  <c r="AR576" i="4"/>
  <c r="AT576" i="4" s="1"/>
  <c r="AH576" i="4"/>
  <c r="AM576" i="4" s="1"/>
  <c r="AF576" i="4"/>
  <c r="AD576" i="4"/>
  <c r="Z576" i="4"/>
  <c r="W576" i="4"/>
  <c r="S576" i="4"/>
  <c r="P576" i="4"/>
  <c r="U576" i="4" s="1"/>
  <c r="N576" i="4"/>
  <c r="K576" i="4"/>
  <c r="H576" i="4"/>
  <c r="E576" i="4"/>
  <c r="BD575" i="4"/>
  <c r="AX575" i="4"/>
  <c r="AZ575" i="4" s="1"/>
  <c r="AR575" i="4"/>
  <c r="AT575" i="4" s="1"/>
  <c r="AH575" i="4"/>
  <c r="AF575" i="4"/>
  <c r="AD575" i="4"/>
  <c r="Z575" i="4"/>
  <c r="W575" i="4"/>
  <c r="S575" i="4"/>
  <c r="P575" i="4"/>
  <c r="U575" i="4" s="1"/>
  <c r="N575" i="4"/>
  <c r="K575" i="4"/>
  <c r="H575" i="4"/>
  <c r="E575" i="4"/>
  <c r="BD574" i="4"/>
  <c r="AX574" i="4"/>
  <c r="AZ574" i="4" s="1"/>
  <c r="AR574" i="4"/>
  <c r="AT574" i="4" s="1"/>
  <c r="AH574" i="4"/>
  <c r="AF574" i="4"/>
  <c r="AD574" i="4"/>
  <c r="Z574" i="4"/>
  <c r="W574" i="4"/>
  <c r="S574" i="4"/>
  <c r="P574" i="4"/>
  <c r="U574" i="4" s="1"/>
  <c r="N574" i="4"/>
  <c r="K574" i="4"/>
  <c r="H574" i="4"/>
  <c r="E574" i="4"/>
  <c r="BD573" i="4"/>
  <c r="AX573" i="4"/>
  <c r="AZ573" i="4" s="1"/>
  <c r="AR573" i="4"/>
  <c r="AT573" i="4" s="1"/>
  <c r="AH573" i="4"/>
  <c r="AF573" i="4"/>
  <c r="AD573" i="4"/>
  <c r="Z573" i="4"/>
  <c r="W573" i="4"/>
  <c r="S573" i="4"/>
  <c r="P573" i="4"/>
  <c r="U573" i="4" s="1"/>
  <c r="N573" i="4"/>
  <c r="K573" i="4"/>
  <c r="H573" i="4"/>
  <c r="E573" i="4"/>
  <c r="BD572" i="4"/>
  <c r="AX572" i="4"/>
  <c r="AZ572" i="4" s="1"/>
  <c r="AR572" i="4"/>
  <c r="AT572" i="4" s="1"/>
  <c r="AH572" i="4"/>
  <c r="AF572" i="4"/>
  <c r="AD572" i="4"/>
  <c r="Z572" i="4"/>
  <c r="W572" i="4"/>
  <c r="S572" i="4"/>
  <c r="P572" i="4"/>
  <c r="U572" i="4" s="1"/>
  <c r="N572" i="4"/>
  <c r="K572" i="4"/>
  <c r="H572" i="4"/>
  <c r="E572" i="4"/>
  <c r="BD571" i="4"/>
  <c r="AX571" i="4"/>
  <c r="AZ571" i="4" s="1"/>
  <c r="AR571" i="4"/>
  <c r="AT571" i="4" s="1"/>
  <c r="AH571" i="4"/>
  <c r="AF571" i="4"/>
  <c r="AD571" i="4"/>
  <c r="Z571" i="4"/>
  <c r="W571" i="4"/>
  <c r="S571" i="4"/>
  <c r="P571" i="4"/>
  <c r="U571" i="4" s="1"/>
  <c r="N571" i="4"/>
  <c r="K571" i="4"/>
  <c r="H571" i="4"/>
  <c r="E571" i="4"/>
  <c r="BD570" i="4"/>
  <c r="AX570" i="4"/>
  <c r="AZ570" i="4" s="1"/>
  <c r="AR570" i="4"/>
  <c r="AT570" i="4" s="1"/>
  <c r="AH570" i="4"/>
  <c r="AF570" i="4"/>
  <c r="AD570" i="4"/>
  <c r="Z570" i="4"/>
  <c r="W570" i="4"/>
  <c r="S570" i="4"/>
  <c r="P570" i="4"/>
  <c r="U570" i="4" s="1"/>
  <c r="N570" i="4"/>
  <c r="K570" i="4"/>
  <c r="H570" i="4"/>
  <c r="E570" i="4"/>
  <c r="BD569" i="4"/>
  <c r="AX569" i="4"/>
  <c r="AZ569" i="4" s="1"/>
  <c r="AR569" i="4"/>
  <c r="AT569" i="4" s="1"/>
  <c r="AH569" i="4"/>
  <c r="AF569" i="4"/>
  <c r="AD569" i="4"/>
  <c r="Z569" i="4"/>
  <c r="W569" i="4"/>
  <c r="S569" i="4"/>
  <c r="P569" i="4"/>
  <c r="U569" i="4" s="1"/>
  <c r="N569" i="4"/>
  <c r="K569" i="4"/>
  <c r="H569" i="4"/>
  <c r="E569" i="4"/>
  <c r="BD568" i="4"/>
  <c r="AX568" i="4"/>
  <c r="AZ568" i="4" s="1"/>
  <c r="AR568" i="4"/>
  <c r="AT568" i="4" s="1"/>
  <c r="AH568" i="4"/>
  <c r="AF568" i="4"/>
  <c r="AD568" i="4"/>
  <c r="Z568" i="4"/>
  <c r="W568" i="4"/>
  <c r="S568" i="4"/>
  <c r="P568" i="4"/>
  <c r="U568" i="4" s="1"/>
  <c r="N568" i="4"/>
  <c r="K568" i="4"/>
  <c r="H568" i="4"/>
  <c r="E568" i="4"/>
  <c r="BD567" i="4"/>
  <c r="AX567" i="4"/>
  <c r="AZ567" i="4" s="1"/>
  <c r="AR567" i="4"/>
  <c r="AT567" i="4" s="1"/>
  <c r="AH567" i="4"/>
  <c r="AF567" i="4"/>
  <c r="AD567" i="4"/>
  <c r="Z567" i="4"/>
  <c r="W567" i="4"/>
  <c r="S567" i="4"/>
  <c r="P567" i="4"/>
  <c r="U567" i="4" s="1"/>
  <c r="N567" i="4"/>
  <c r="K567" i="4"/>
  <c r="H567" i="4"/>
  <c r="E567" i="4"/>
  <c r="BD566" i="4"/>
  <c r="AX566" i="4"/>
  <c r="AZ566" i="4" s="1"/>
  <c r="AR566" i="4"/>
  <c r="AT566" i="4" s="1"/>
  <c r="AH566" i="4"/>
  <c r="AF566" i="4"/>
  <c r="AD566" i="4"/>
  <c r="Z566" i="4"/>
  <c r="W566" i="4"/>
  <c r="S566" i="4"/>
  <c r="P566" i="4"/>
  <c r="N566" i="4"/>
  <c r="K566" i="4"/>
  <c r="H566" i="4"/>
  <c r="E566" i="4"/>
  <c r="AH565" i="4"/>
  <c r="AF565" i="4"/>
  <c r="AD565" i="4"/>
  <c r="Z565" i="4"/>
  <c r="W565" i="4"/>
  <c r="U565" i="4"/>
  <c r="S565" i="4"/>
  <c r="N565" i="4"/>
  <c r="K565" i="4"/>
  <c r="H565" i="4"/>
  <c r="E565" i="4"/>
  <c r="AH564" i="4"/>
  <c r="AF564" i="4"/>
  <c r="AD564" i="4"/>
  <c r="Z564" i="4"/>
  <c r="W564" i="4"/>
  <c r="U564" i="4"/>
  <c r="S564" i="4"/>
  <c r="N564" i="4"/>
  <c r="K564" i="4"/>
  <c r="H564" i="4"/>
  <c r="E564" i="4"/>
  <c r="AE562" i="4"/>
  <c r="AC562" i="4"/>
  <c r="Y562" i="4"/>
  <c r="V562" i="4"/>
  <c r="T562" i="4"/>
  <c r="R562" i="4"/>
  <c r="L562" i="4"/>
  <c r="J562" i="4"/>
  <c r="F562" i="4"/>
  <c r="D562" i="4"/>
  <c r="B562" i="4"/>
  <c r="AF561" i="4"/>
  <c r="AD561" i="4"/>
  <c r="Z561" i="4"/>
  <c r="W561" i="4"/>
  <c r="U561" i="4"/>
  <c r="S561" i="4"/>
  <c r="N561" i="4"/>
  <c r="K561" i="4"/>
  <c r="H561" i="4"/>
  <c r="E561" i="4"/>
  <c r="AH560" i="4"/>
  <c r="AF560" i="4"/>
  <c r="AD560" i="4"/>
  <c r="Z560" i="4"/>
  <c r="W560" i="4"/>
  <c r="U560" i="4"/>
  <c r="S560" i="4"/>
  <c r="N560" i="4"/>
  <c r="K560" i="4"/>
  <c r="H560" i="4"/>
  <c r="E560" i="4"/>
  <c r="BD559" i="4"/>
  <c r="AX559" i="4"/>
  <c r="AZ559" i="4" s="1"/>
  <c r="AR559" i="4"/>
  <c r="AT559" i="4" s="1"/>
  <c r="AH559" i="4"/>
  <c r="AM559" i="4" s="1"/>
  <c r="AF559" i="4"/>
  <c r="AD559" i="4"/>
  <c r="Z559" i="4"/>
  <c r="W559" i="4"/>
  <c r="S559" i="4"/>
  <c r="P559" i="4"/>
  <c r="U559" i="4" s="1"/>
  <c r="N559" i="4"/>
  <c r="K559" i="4"/>
  <c r="H559" i="4"/>
  <c r="E559" i="4"/>
  <c r="BD558" i="4"/>
  <c r="AX558" i="4"/>
  <c r="AZ558" i="4" s="1"/>
  <c r="AR558" i="4"/>
  <c r="AT558" i="4" s="1"/>
  <c r="AH558" i="4"/>
  <c r="AM558" i="4" s="1"/>
  <c r="AF558" i="4"/>
  <c r="AD558" i="4"/>
  <c r="Z558" i="4"/>
  <c r="W558" i="4"/>
  <c r="U558" i="4"/>
  <c r="S558" i="4"/>
  <c r="N558" i="4"/>
  <c r="K558" i="4"/>
  <c r="H558" i="4"/>
  <c r="E558" i="4"/>
  <c r="BD557" i="4"/>
  <c r="AX557" i="4"/>
  <c r="AZ557" i="4" s="1"/>
  <c r="AR557" i="4"/>
  <c r="AT557" i="4" s="1"/>
  <c r="AH557" i="4"/>
  <c r="AF557" i="4"/>
  <c r="AD557" i="4"/>
  <c r="Z557" i="4"/>
  <c r="W557" i="4"/>
  <c r="U557" i="4"/>
  <c r="S557" i="4"/>
  <c r="N557" i="4"/>
  <c r="K557" i="4"/>
  <c r="H557" i="4"/>
  <c r="E557" i="4"/>
  <c r="BD556" i="4"/>
  <c r="AX556" i="4"/>
  <c r="AZ556" i="4" s="1"/>
  <c r="AR556" i="4"/>
  <c r="AT556" i="4" s="1"/>
  <c r="AH556" i="4"/>
  <c r="AF556" i="4"/>
  <c r="AD556" i="4"/>
  <c r="Z556" i="4"/>
  <c r="W556" i="4"/>
  <c r="S556" i="4"/>
  <c r="P556" i="4"/>
  <c r="N556" i="4"/>
  <c r="K556" i="4"/>
  <c r="H556" i="4"/>
  <c r="E556" i="4"/>
  <c r="AE553" i="4"/>
  <c r="AC553" i="4"/>
  <c r="Y553" i="4"/>
  <c r="V553" i="4"/>
  <c r="T553" i="4"/>
  <c r="R553" i="4"/>
  <c r="L553" i="4"/>
  <c r="J553" i="4"/>
  <c r="F553" i="4"/>
  <c r="D553" i="4"/>
  <c r="AF552" i="4"/>
  <c r="AD552" i="4"/>
  <c r="Z552" i="4"/>
  <c r="W552" i="4"/>
  <c r="U552" i="4"/>
  <c r="S552" i="4"/>
  <c r="N552" i="4"/>
  <c r="K552" i="4"/>
  <c r="H552" i="4"/>
  <c r="E552" i="4"/>
  <c r="BD551" i="4"/>
  <c r="AX551" i="4"/>
  <c r="AZ551" i="4" s="1"/>
  <c r="AR551" i="4"/>
  <c r="AT551" i="4" s="1"/>
  <c r="AO551" i="4"/>
  <c r="AQ551" i="4" s="1"/>
  <c r="AS551" i="4" s="1"/>
  <c r="AU551" i="4" s="1"/>
  <c r="AW551" i="4" s="1"/>
  <c r="AY551" i="4" s="1"/>
  <c r="BA551" i="4" s="1"/>
  <c r="BC551" i="4" s="1"/>
  <c r="BE551" i="4" s="1"/>
  <c r="AF551" i="4"/>
  <c r="AD551" i="4"/>
  <c r="Z551" i="4"/>
  <c r="W551" i="4"/>
  <c r="U551" i="4"/>
  <c r="S551" i="4"/>
  <c r="N551" i="4"/>
  <c r="K551" i="4"/>
  <c r="H551" i="4"/>
  <c r="E551" i="4"/>
  <c r="BD550" i="4"/>
  <c r="AX550" i="4"/>
  <c r="AZ550" i="4" s="1"/>
  <c r="AR550" i="4"/>
  <c r="AT550" i="4" s="1"/>
  <c r="AO550" i="4"/>
  <c r="AQ550" i="4" s="1"/>
  <c r="AS550" i="4" s="1"/>
  <c r="AU550" i="4" s="1"/>
  <c r="AW550" i="4" s="1"/>
  <c r="AY550" i="4" s="1"/>
  <c r="BA550" i="4" s="1"/>
  <c r="BC550" i="4" s="1"/>
  <c r="BE550" i="4" s="1"/>
  <c r="AF550" i="4"/>
  <c r="AD550" i="4"/>
  <c r="BD549" i="4"/>
  <c r="AX549" i="4"/>
  <c r="AZ549" i="4" s="1"/>
  <c r="AR549" i="4"/>
  <c r="AT549" i="4" s="1"/>
  <c r="AH549" i="4"/>
  <c r="AF549" i="4"/>
  <c r="AD549" i="4"/>
  <c r="Z549" i="4"/>
  <c r="W549" i="4"/>
  <c r="S549" i="4"/>
  <c r="P549" i="4"/>
  <c r="N549" i="4"/>
  <c r="K549" i="4"/>
  <c r="E549" i="4"/>
  <c r="B549" i="4"/>
  <c r="B553" i="4" s="1"/>
  <c r="AE545" i="4"/>
  <c r="AC545" i="4"/>
  <c r="Y545" i="4"/>
  <c r="V545" i="4"/>
  <c r="T545" i="4"/>
  <c r="R545" i="4"/>
  <c r="L545" i="4"/>
  <c r="J545" i="4"/>
  <c r="F545" i="4"/>
  <c r="D545" i="4"/>
  <c r="B545" i="4"/>
  <c r="AF544" i="4"/>
  <c r="AD544" i="4"/>
  <c r="Z544" i="4"/>
  <c r="W544" i="4"/>
  <c r="U544" i="4"/>
  <c r="S544" i="4"/>
  <c r="N544" i="4"/>
  <c r="K544" i="4"/>
  <c r="H544" i="4"/>
  <c r="E544" i="4"/>
  <c r="BD543" i="4"/>
  <c r="AX543" i="4"/>
  <c r="AZ543" i="4" s="1"/>
  <c r="AR543" i="4"/>
  <c r="AT543" i="4" s="1"/>
  <c r="AH543" i="4"/>
  <c r="AF543" i="4"/>
  <c r="AD543" i="4"/>
  <c r="Z543" i="4"/>
  <c r="W543" i="4"/>
  <c r="S543" i="4"/>
  <c r="P543" i="4"/>
  <c r="P545" i="4" s="1"/>
  <c r="N543" i="4"/>
  <c r="K543" i="4"/>
  <c r="H543" i="4"/>
  <c r="E543" i="4"/>
  <c r="AE539" i="4"/>
  <c r="AC539" i="4"/>
  <c r="Y539" i="4"/>
  <c r="V539" i="4"/>
  <c r="R539" i="4"/>
  <c r="L539" i="4"/>
  <c r="J539" i="4"/>
  <c r="F539" i="4"/>
  <c r="D539" i="4"/>
  <c r="B539" i="4"/>
  <c r="AO538" i="4"/>
  <c r="AQ538" i="4" s="1"/>
  <c r="AS538" i="4" s="1"/>
  <c r="AU538" i="4" s="1"/>
  <c r="AW538" i="4" s="1"/>
  <c r="AY538" i="4" s="1"/>
  <c r="BA538" i="4" s="1"/>
  <c r="BC538" i="4" s="1"/>
  <c r="BE538" i="4" s="1"/>
  <c r="AF538" i="4"/>
  <c r="AD538" i="4"/>
  <c r="Z538" i="4"/>
  <c r="W538" i="4"/>
  <c r="U538" i="4"/>
  <c r="S538" i="4"/>
  <c r="N538" i="4"/>
  <c r="K538" i="4"/>
  <c r="H538" i="4"/>
  <c r="E538" i="4"/>
  <c r="AH537" i="4"/>
  <c r="AF537" i="4"/>
  <c r="AD537" i="4"/>
  <c r="W537" i="4"/>
  <c r="P537" i="4"/>
  <c r="T537" i="4" s="1"/>
  <c r="N537" i="4"/>
  <c r="K537" i="4"/>
  <c r="H537" i="4"/>
  <c r="E537" i="4"/>
  <c r="AH536" i="4"/>
  <c r="AF536" i="4"/>
  <c r="AD536" i="4"/>
  <c r="Z536" i="4"/>
  <c r="W536" i="4"/>
  <c r="U536" i="4"/>
  <c r="S536" i="4"/>
  <c r="N536" i="4"/>
  <c r="K536" i="4"/>
  <c r="H536" i="4"/>
  <c r="E536" i="4"/>
  <c r="AF535" i="4"/>
  <c r="AD535" i="4"/>
  <c r="W535" i="4"/>
  <c r="T535" i="4"/>
  <c r="P535" i="4"/>
  <c r="AH535" i="4" s="1"/>
  <c r="N535" i="4"/>
  <c r="K535" i="4"/>
  <c r="H535" i="4"/>
  <c r="E535" i="4"/>
  <c r="AH534" i="4"/>
  <c r="AF534" i="4"/>
  <c r="AD534" i="4"/>
  <c r="Z534" i="4"/>
  <c r="W534" i="4"/>
  <c r="U534" i="4"/>
  <c r="S534" i="4"/>
  <c r="N534" i="4"/>
  <c r="K534" i="4"/>
  <c r="H534" i="4"/>
  <c r="E534" i="4"/>
  <c r="AH533" i="4"/>
  <c r="AF533" i="4"/>
  <c r="AD533" i="4"/>
  <c r="Z533" i="4"/>
  <c r="W533" i="4"/>
  <c r="U533" i="4"/>
  <c r="S533" i="4"/>
  <c r="N533" i="4"/>
  <c r="K533" i="4"/>
  <c r="H533" i="4"/>
  <c r="E533" i="4"/>
  <c r="AH531" i="4"/>
  <c r="AF531" i="4"/>
  <c r="AD531" i="4"/>
  <c r="W531" i="4"/>
  <c r="T531" i="4"/>
  <c r="P531" i="4"/>
  <c r="N531" i="4"/>
  <c r="K531" i="4"/>
  <c r="H531" i="4"/>
  <c r="E531" i="4"/>
  <c r="AH530" i="4"/>
  <c r="AF530" i="4"/>
  <c r="AD530" i="4"/>
  <c r="Z530" i="4"/>
  <c r="W530" i="4"/>
  <c r="U530" i="4"/>
  <c r="S530" i="4"/>
  <c r="N530" i="4"/>
  <c r="K530" i="4"/>
  <c r="H530" i="4"/>
  <c r="E530" i="4"/>
  <c r="AH529" i="4"/>
  <c r="AM529" i="4" s="1"/>
  <c r="AF529" i="4"/>
  <c r="AD529" i="4"/>
  <c r="Z529" i="4"/>
  <c r="W529" i="4"/>
  <c r="U529" i="4"/>
  <c r="S529" i="4"/>
  <c r="N529" i="4"/>
  <c r="K529" i="4"/>
  <c r="H529" i="4"/>
  <c r="E529" i="4"/>
  <c r="AO528" i="4"/>
  <c r="AQ528" i="4" s="1"/>
  <c r="AS528" i="4" s="1"/>
  <c r="AU528" i="4" s="1"/>
  <c r="AW528" i="4" s="1"/>
  <c r="AY528" i="4" s="1"/>
  <c r="BA528" i="4" s="1"/>
  <c r="BC528" i="4" s="1"/>
  <c r="BE528" i="4" s="1"/>
  <c r="AF528" i="4"/>
  <c r="AD528" i="4"/>
  <c r="Z528" i="4"/>
  <c r="W528" i="4"/>
  <c r="U528" i="4"/>
  <c r="S528" i="4"/>
  <c r="N528" i="4"/>
  <c r="K528" i="4"/>
  <c r="H528" i="4"/>
  <c r="E528" i="4"/>
  <c r="AF527" i="4"/>
  <c r="AD527" i="4"/>
  <c r="Z527" i="4"/>
  <c r="W527" i="4"/>
  <c r="U527" i="4"/>
  <c r="S527" i="4"/>
  <c r="N527" i="4"/>
  <c r="K527" i="4"/>
  <c r="H527" i="4"/>
  <c r="E527" i="4"/>
  <c r="AF526" i="4"/>
  <c r="AD526" i="4"/>
  <c r="Z526" i="4"/>
  <c r="W526" i="4"/>
  <c r="U526" i="4"/>
  <c r="S526" i="4"/>
  <c r="N526" i="4"/>
  <c r="K526" i="4"/>
  <c r="H526" i="4"/>
  <c r="E526" i="4"/>
  <c r="AF525" i="4"/>
  <c r="AD525" i="4"/>
  <c r="Z525" i="4"/>
  <c r="W525" i="4"/>
  <c r="U525" i="4"/>
  <c r="S525" i="4"/>
  <c r="N525" i="4"/>
  <c r="K525" i="4"/>
  <c r="H525" i="4"/>
  <c r="E525" i="4"/>
  <c r="AH524" i="4"/>
  <c r="AF524" i="4"/>
  <c r="AD524" i="4"/>
  <c r="Z524" i="4"/>
  <c r="W524" i="4"/>
  <c r="U524" i="4"/>
  <c r="S524" i="4"/>
  <c r="N524" i="4"/>
  <c r="K524" i="4"/>
  <c r="H524" i="4"/>
  <c r="E524" i="4"/>
  <c r="AF523" i="4"/>
  <c r="AD523" i="4"/>
  <c r="Z523" i="4"/>
  <c r="W523" i="4"/>
  <c r="U523" i="4"/>
  <c r="S523" i="4"/>
  <c r="N523" i="4"/>
  <c r="K523" i="4"/>
  <c r="H523" i="4"/>
  <c r="E523" i="4"/>
  <c r="AF522" i="4"/>
  <c r="AD522" i="4"/>
  <c r="Z522" i="4"/>
  <c r="W522" i="4"/>
  <c r="U522" i="4"/>
  <c r="S522" i="4"/>
  <c r="N522" i="4"/>
  <c r="K522" i="4"/>
  <c r="H522" i="4"/>
  <c r="E522" i="4"/>
  <c r="AE518" i="4"/>
  <c r="AC518" i="4"/>
  <c r="Y518" i="4"/>
  <c r="V518" i="4"/>
  <c r="T518" i="4"/>
  <c r="R518" i="4"/>
  <c r="L518" i="4"/>
  <c r="J518" i="4"/>
  <c r="F518" i="4"/>
  <c r="D518" i="4"/>
  <c r="B518" i="4"/>
  <c r="AF517" i="4"/>
  <c r="AD517" i="4"/>
  <c r="Z517" i="4"/>
  <c r="W517" i="4"/>
  <c r="N517" i="4"/>
  <c r="K517" i="4"/>
  <c r="H517" i="4"/>
  <c r="E517" i="4"/>
  <c r="AF516" i="4"/>
  <c r="AD516" i="4"/>
  <c r="Z516" i="4"/>
  <c r="W516" i="4"/>
  <c r="N516" i="4"/>
  <c r="K516" i="4"/>
  <c r="H516" i="4"/>
  <c r="E516" i="4"/>
  <c r="AO515" i="4"/>
  <c r="AF515" i="4"/>
  <c r="AD515" i="4"/>
  <c r="Z515" i="4"/>
  <c r="W515" i="4"/>
  <c r="S515" i="4"/>
  <c r="S518" i="4" s="1"/>
  <c r="P515" i="4"/>
  <c r="U515" i="4" s="1"/>
  <c r="U518" i="4" s="1"/>
  <c r="N515" i="4"/>
  <c r="K515" i="4"/>
  <c r="H515" i="4"/>
  <c r="E515" i="4"/>
  <c r="AE513" i="4"/>
  <c r="AC513" i="4"/>
  <c r="Y513" i="4"/>
  <c r="V513" i="4"/>
  <c r="T513" i="4"/>
  <c r="R513" i="4"/>
  <c r="L513" i="4"/>
  <c r="J513" i="4"/>
  <c r="F513" i="4"/>
  <c r="D513" i="4"/>
  <c r="B513" i="4"/>
  <c r="AX512" i="4"/>
  <c r="AZ512" i="4" s="1"/>
  <c r="BB512" i="4" s="1"/>
  <c r="BD512" i="4" s="1"/>
  <c r="AR512" i="4"/>
  <c r="AT512" i="4" s="1"/>
  <c r="AH512" i="4"/>
  <c r="AF512" i="4"/>
  <c r="AD512" i="4"/>
  <c r="Z512" i="4"/>
  <c r="W512" i="4"/>
  <c r="S512" i="4"/>
  <c r="P512" i="4"/>
  <c r="U512" i="4" s="1"/>
  <c r="N512" i="4"/>
  <c r="K512" i="4"/>
  <c r="H512" i="4"/>
  <c r="E512" i="4"/>
  <c r="AX511" i="4"/>
  <c r="AZ511" i="4" s="1"/>
  <c r="BB511" i="4" s="1"/>
  <c r="BD511" i="4" s="1"/>
  <c r="AR511" i="4"/>
  <c r="AT511" i="4" s="1"/>
  <c r="AH511" i="4"/>
  <c r="AF511" i="4"/>
  <c r="AD511" i="4"/>
  <c r="Z511" i="4"/>
  <c r="W511" i="4"/>
  <c r="S511" i="4"/>
  <c r="P511" i="4"/>
  <c r="U511" i="4" s="1"/>
  <c r="N511" i="4"/>
  <c r="K511" i="4"/>
  <c r="H511" i="4"/>
  <c r="E511" i="4"/>
  <c r="AH510" i="4"/>
  <c r="AM510" i="4" s="1"/>
  <c r="AF510" i="4"/>
  <c r="AD510" i="4"/>
  <c r="Z510" i="4"/>
  <c r="W510" i="4"/>
  <c r="U510" i="4"/>
  <c r="S510" i="4"/>
  <c r="N510" i="4"/>
  <c r="K510" i="4"/>
  <c r="H510" i="4"/>
  <c r="E510" i="4"/>
  <c r="AX509" i="4"/>
  <c r="AZ509" i="4" s="1"/>
  <c r="BB509" i="4" s="1"/>
  <c r="BD509" i="4" s="1"/>
  <c r="AR509" i="4"/>
  <c r="AT509" i="4" s="1"/>
  <c r="AH509" i="4"/>
  <c r="AF509" i="4"/>
  <c r="AD509" i="4"/>
  <c r="Z509" i="4"/>
  <c r="W509" i="4"/>
  <c r="S509" i="4"/>
  <c r="P509" i="4"/>
  <c r="U509" i="4" s="1"/>
  <c r="N509" i="4"/>
  <c r="K509" i="4"/>
  <c r="H509" i="4"/>
  <c r="E509" i="4"/>
  <c r="AX508" i="4"/>
  <c r="AZ508" i="4" s="1"/>
  <c r="BB508" i="4" s="1"/>
  <c r="BD508" i="4" s="1"/>
  <c r="AR508" i="4"/>
  <c r="AT508" i="4" s="1"/>
  <c r="AO508" i="4"/>
  <c r="AQ508" i="4" s="1"/>
  <c r="AS508" i="4" s="1"/>
  <c r="AU508" i="4" s="1"/>
  <c r="AW508" i="4" s="1"/>
  <c r="AY508" i="4" s="1"/>
  <c r="BA508" i="4" s="1"/>
  <c r="BC508" i="4" s="1"/>
  <c r="BE508" i="4" s="1"/>
  <c r="AF508" i="4"/>
  <c r="AD508" i="4"/>
  <c r="Z508" i="4"/>
  <c r="W508" i="4"/>
  <c r="S508" i="4"/>
  <c r="P508" i="4"/>
  <c r="U508" i="4" s="1"/>
  <c r="N508" i="4"/>
  <c r="K508" i="4"/>
  <c r="H508" i="4"/>
  <c r="E508" i="4"/>
  <c r="AX507" i="4"/>
  <c r="AZ507" i="4" s="1"/>
  <c r="BB507" i="4" s="1"/>
  <c r="BD507" i="4" s="1"/>
  <c r="AR507" i="4"/>
  <c r="AT507" i="4" s="1"/>
  <c r="AH507" i="4"/>
  <c r="AM507" i="4" s="1"/>
  <c r="AF507" i="4"/>
  <c r="AD507" i="4"/>
  <c r="Z507" i="4"/>
  <c r="W507" i="4"/>
  <c r="S507" i="4"/>
  <c r="P507" i="4"/>
  <c r="U507" i="4" s="1"/>
  <c r="N507" i="4"/>
  <c r="K507" i="4"/>
  <c r="H507" i="4"/>
  <c r="E507" i="4"/>
  <c r="AH505" i="4"/>
  <c r="AF505" i="4"/>
  <c r="AD505" i="4"/>
  <c r="Z505" i="4"/>
  <c r="W505" i="4"/>
  <c r="U505" i="4"/>
  <c r="S505" i="4"/>
  <c r="N505" i="4"/>
  <c r="K505" i="4"/>
  <c r="H505" i="4"/>
  <c r="E505" i="4"/>
  <c r="AE503" i="4"/>
  <c r="AC503" i="4"/>
  <c r="Y503" i="4"/>
  <c r="V503" i="4"/>
  <c r="T503" i="4"/>
  <c r="R503" i="4"/>
  <c r="L503" i="4"/>
  <c r="J503" i="4"/>
  <c r="F503" i="4"/>
  <c r="D503" i="4"/>
  <c r="AO502" i="4"/>
  <c r="AQ502" i="4" s="1"/>
  <c r="AS502" i="4" s="1"/>
  <c r="AU502" i="4" s="1"/>
  <c r="AW502" i="4" s="1"/>
  <c r="AY502" i="4" s="1"/>
  <c r="BA502" i="4" s="1"/>
  <c r="BC502" i="4" s="1"/>
  <c r="BE502" i="4" s="1"/>
  <c r="AF502" i="4"/>
  <c r="AD502" i="4"/>
  <c r="Z502" i="4"/>
  <c r="W502" i="4"/>
  <c r="U502" i="4"/>
  <c r="S502" i="4"/>
  <c r="N502" i="4"/>
  <c r="K502" i="4"/>
  <c r="E502" i="4"/>
  <c r="B502" i="4"/>
  <c r="AH501" i="4"/>
  <c r="AF501" i="4"/>
  <c r="AD501" i="4"/>
  <c r="Z501" i="4"/>
  <c r="W501" i="4"/>
  <c r="S501" i="4"/>
  <c r="P501" i="4"/>
  <c r="U501" i="4" s="1"/>
  <c r="N501" i="4"/>
  <c r="K501" i="4"/>
  <c r="H501" i="4"/>
  <c r="E501" i="4"/>
  <c r="AH500" i="4"/>
  <c r="AF500" i="4"/>
  <c r="AD500" i="4"/>
  <c r="Z500" i="4"/>
  <c r="W500" i="4"/>
  <c r="S500" i="4"/>
  <c r="P500" i="4"/>
  <c r="U500" i="4" s="1"/>
  <c r="N500" i="4"/>
  <c r="K500" i="4"/>
  <c r="H500" i="4"/>
  <c r="E500" i="4"/>
  <c r="AO499" i="4"/>
  <c r="AQ499" i="4" s="1"/>
  <c r="AS499" i="4" s="1"/>
  <c r="AU499" i="4" s="1"/>
  <c r="AW499" i="4" s="1"/>
  <c r="AY499" i="4" s="1"/>
  <c r="BA499" i="4" s="1"/>
  <c r="BC499" i="4" s="1"/>
  <c r="BE499" i="4" s="1"/>
  <c r="AF499" i="4"/>
  <c r="AD499" i="4"/>
  <c r="Z499" i="4"/>
  <c r="W499" i="4"/>
  <c r="S499" i="4"/>
  <c r="P499" i="4"/>
  <c r="N499" i="4"/>
  <c r="K499" i="4"/>
  <c r="H499" i="4"/>
  <c r="E499" i="4"/>
  <c r="AF498" i="4"/>
  <c r="AD498" i="4"/>
  <c r="Z498" i="4"/>
  <c r="W498" i="4"/>
  <c r="S498" i="4"/>
  <c r="P498" i="4"/>
  <c r="U498" i="4" s="1"/>
  <c r="N498" i="4"/>
  <c r="K498" i="4"/>
  <c r="H498" i="4"/>
  <c r="E498" i="4"/>
  <c r="AX497" i="4"/>
  <c r="AZ497" i="4" s="1"/>
  <c r="BB497" i="4" s="1"/>
  <c r="BD497" i="4" s="1"/>
  <c r="AR497" i="4"/>
  <c r="AT497" i="4" s="1"/>
  <c r="AH497" i="4"/>
  <c r="AO496" i="4"/>
  <c r="AF496" i="4"/>
  <c r="AD496" i="4"/>
  <c r="Z496" i="4"/>
  <c r="W496" i="4"/>
  <c r="S496" i="4"/>
  <c r="P496" i="4"/>
  <c r="U496" i="4" s="1"/>
  <c r="N496" i="4"/>
  <c r="K496" i="4"/>
  <c r="H496" i="4"/>
  <c r="E496" i="4"/>
  <c r="BE428" i="4"/>
  <c r="BC428" i="4"/>
  <c r="AH492" i="4"/>
  <c r="AE492" i="4"/>
  <c r="AC492" i="4"/>
  <c r="Y492" i="4"/>
  <c r="V492" i="4"/>
  <c r="T492" i="4"/>
  <c r="R492" i="4"/>
  <c r="L492" i="4"/>
  <c r="J492" i="4"/>
  <c r="F492" i="4"/>
  <c r="D492" i="4"/>
  <c r="B492" i="4"/>
  <c r="BD490" i="4"/>
  <c r="AX490" i="4"/>
  <c r="AZ490" i="4" s="1"/>
  <c r="AR490" i="4"/>
  <c r="AT490" i="4" s="1"/>
  <c r="AO490" i="4"/>
  <c r="AQ490" i="4" s="1"/>
  <c r="AF490" i="4"/>
  <c r="AD490" i="4"/>
  <c r="Z490" i="4"/>
  <c r="Z492" i="4" s="1"/>
  <c r="W490" i="4"/>
  <c r="W492" i="4" s="1"/>
  <c r="S490" i="4"/>
  <c r="S492" i="4" s="1"/>
  <c r="P490" i="4"/>
  <c r="U490" i="4" s="1"/>
  <c r="U492" i="4" s="1"/>
  <c r="N490" i="4"/>
  <c r="N492" i="4" s="1"/>
  <c r="K490" i="4"/>
  <c r="K492" i="4" s="1"/>
  <c r="H490" i="4"/>
  <c r="H492" i="4" s="1"/>
  <c r="E490" i="4"/>
  <c r="E492" i="4" s="1"/>
  <c r="AE488" i="4"/>
  <c r="AC488" i="4"/>
  <c r="Y488" i="4"/>
  <c r="V488" i="4"/>
  <c r="T488" i="4"/>
  <c r="R488" i="4"/>
  <c r="L488" i="4"/>
  <c r="J488" i="4"/>
  <c r="F488" i="4"/>
  <c r="D488" i="4"/>
  <c r="BD487" i="4"/>
  <c r="AX487" i="4"/>
  <c r="AZ487" i="4" s="1"/>
  <c r="AR487" i="4"/>
  <c r="AT487" i="4" s="1"/>
  <c r="AH487" i="4"/>
  <c r="AF487" i="4"/>
  <c r="AD487" i="4"/>
  <c r="Z487" i="4"/>
  <c r="W487" i="4"/>
  <c r="U487" i="4"/>
  <c r="S487" i="4"/>
  <c r="N487" i="4"/>
  <c r="K487" i="4"/>
  <c r="E487" i="4"/>
  <c r="B487" i="4"/>
  <c r="H487" i="4" s="1"/>
  <c r="BD486" i="4"/>
  <c r="AX486" i="4"/>
  <c r="AZ486" i="4" s="1"/>
  <c r="AR486" i="4"/>
  <c r="AT486" i="4" s="1"/>
  <c r="AH486" i="4"/>
  <c r="AF486" i="4"/>
  <c r="AD486" i="4"/>
  <c r="Z486" i="4"/>
  <c r="W486" i="4"/>
  <c r="U486" i="4"/>
  <c r="S486" i="4"/>
  <c r="N486" i="4"/>
  <c r="K486" i="4"/>
  <c r="H486" i="4"/>
  <c r="E486" i="4"/>
  <c r="BD485" i="4"/>
  <c r="AX485" i="4"/>
  <c r="AZ485" i="4" s="1"/>
  <c r="AR485" i="4"/>
  <c r="AT485" i="4" s="1"/>
  <c r="AH485" i="4"/>
  <c r="AF485" i="4"/>
  <c r="AD485" i="4"/>
  <c r="Z485" i="4"/>
  <c r="W485" i="4"/>
  <c r="S485" i="4"/>
  <c r="P485" i="4"/>
  <c r="U485" i="4" s="1"/>
  <c r="N485" i="4"/>
  <c r="K485" i="4"/>
  <c r="H485" i="4"/>
  <c r="E485" i="4"/>
  <c r="AF484" i="4"/>
  <c r="AD484" i="4"/>
  <c r="Z484" i="4"/>
  <c r="W484" i="4"/>
  <c r="U484" i="4"/>
  <c r="S484" i="4"/>
  <c r="N484" i="4"/>
  <c r="K484" i="4"/>
  <c r="H484" i="4"/>
  <c r="E484" i="4"/>
  <c r="AE482" i="4"/>
  <c r="AC482" i="4"/>
  <c r="Y482" i="4"/>
  <c r="V482" i="4"/>
  <c r="T482" i="4"/>
  <c r="R482" i="4"/>
  <c r="L482" i="4"/>
  <c r="J482" i="4"/>
  <c r="F482" i="4"/>
  <c r="D482" i="4"/>
  <c r="B482" i="4"/>
  <c r="BD481" i="4"/>
  <c r="AX481" i="4"/>
  <c r="AZ481" i="4" s="1"/>
  <c r="AR481" i="4"/>
  <c r="AT481" i="4" s="1"/>
  <c r="AF481" i="4"/>
  <c r="AD481" i="4"/>
  <c r="Z481" i="4"/>
  <c r="W481" i="4"/>
  <c r="S481" i="4"/>
  <c r="P481" i="4"/>
  <c r="N481" i="4"/>
  <c r="K481" i="4"/>
  <c r="H481" i="4"/>
  <c r="E481" i="4"/>
  <c r="BD480" i="4"/>
  <c r="AX480" i="4"/>
  <c r="AZ480" i="4" s="1"/>
  <c r="AR480" i="4"/>
  <c r="AT480" i="4" s="1"/>
  <c r="AH480" i="4"/>
  <c r="BD479" i="4"/>
  <c r="AX479" i="4"/>
  <c r="AZ479" i="4" s="1"/>
  <c r="AR479" i="4"/>
  <c r="AT479" i="4" s="1"/>
  <c r="AO479" i="4"/>
  <c r="AQ479" i="4" s="1"/>
  <c r="AS479" i="4" s="1"/>
  <c r="AU479" i="4" s="1"/>
  <c r="AW479" i="4" s="1"/>
  <c r="AY479" i="4" s="1"/>
  <c r="BA479" i="4" s="1"/>
  <c r="BC479" i="4" s="1"/>
  <c r="BE479" i="4" s="1"/>
  <c r="AF479" i="4"/>
  <c r="AD479" i="4"/>
  <c r="Z479" i="4"/>
  <c r="W479" i="4"/>
  <c r="U479" i="4"/>
  <c r="S479" i="4"/>
  <c r="N479" i="4"/>
  <c r="K479" i="4"/>
  <c r="H479" i="4"/>
  <c r="E479" i="4"/>
  <c r="BD478" i="4"/>
  <c r="AX478" i="4"/>
  <c r="AZ478" i="4" s="1"/>
  <c r="AR478" i="4"/>
  <c r="AT478" i="4" s="1"/>
  <c r="AH478" i="4"/>
  <c r="AF478" i="4"/>
  <c r="AD478" i="4"/>
  <c r="Z478" i="4"/>
  <c r="W478" i="4"/>
  <c r="S478" i="4"/>
  <c r="P478" i="4"/>
  <c r="U478" i="4" s="1"/>
  <c r="N478" i="4"/>
  <c r="K478" i="4"/>
  <c r="H478" i="4"/>
  <c r="E478" i="4"/>
  <c r="BD477" i="4"/>
  <c r="AX477" i="4"/>
  <c r="AZ477" i="4" s="1"/>
  <c r="AR477" i="4"/>
  <c r="AT477" i="4" s="1"/>
  <c r="AH477" i="4"/>
  <c r="AM477" i="4" s="1"/>
  <c r="AF477" i="4"/>
  <c r="AD477" i="4"/>
  <c r="Z477" i="4"/>
  <c r="W477" i="4"/>
  <c r="S477" i="4"/>
  <c r="P477" i="4"/>
  <c r="U477" i="4" s="1"/>
  <c r="N477" i="4"/>
  <c r="K477" i="4"/>
  <c r="H477" i="4"/>
  <c r="E477" i="4"/>
  <c r="BD476" i="4"/>
  <c r="AX476" i="4"/>
  <c r="AZ476" i="4" s="1"/>
  <c r="AR476" i="4"/>
  <c r="AT476" i="4" s="1"/>
  <c r="AO476" i="4"/>
  <c r="AQ476" i="4" s="1"/>
  <c r="AS476" i="4" s="1"/>
  <c r="AU476" i="4" s="1"/>
  <c r="AF476" i="4"/>
  <c r="AD476" i="4"/>
  <c r="Z476" i="4"/>
  <c r="W476" i="4"/>
  <c r="S476" i="4"/>
  <c r="P476" i="4"/>
  <c r="U476" i="4" s="1"/>
  <c r="N476" i="4"/>
  <c r="K476" i="4"/>
  <c r="H476" i="4"/>
  <c r="E476" i="4"/>
  <c r="AE473" i="4"/>
  <c r="AC473" i="4"/>
  <c r="Y473" i="4"/>
  <c r="V473" i="4"/>
  <c r="T473" i="4"/>
  <c r="R473" i="4"/>
  <c r="P473" i="4"/>
  <c r="L473" i="4"/>
  <c r="J473" i="4"/>
  <c r="F473" i="4"/>
  <c r="D473" i="4"/>
  <c r="B473" i="4"/>
  <c r="AF472" i="4"/>
  <c r="AD472" i="4"/>
  <c r="Z472" i="4"/>
  <c r="W472" i="4"/>
  <c r="U472" i="4"/>
  <c r="S472" i="4"/>
  <c r="N472" i="4"/>
  <c r="K472" i="4"/>
  <c r="H472" i="4"/>
  <c r="E472" i="4"/>
  <c r="AF471" i="4"/>
  <c r="AD471" i="4"/>
  <c r="Z471" i="4"/>
  <c r="W471" i="4"/>
  <c r="U471" i="4"/>
  <c r="S471" i="4"/>
  <c r="N471" i="4"/>
  <c r="K471" i="4"/>
  <c r="H471" i="4"/>
  <c r="E471" i="4"/>
  <c r="AF470" i="4"/>
  <c r="AD470" i="4"/>
  <c r="Z470" i="4"/>
  <c r="W470" i="4"/>
  <c r="U470" i="4"/>
  <c r="S470" i="4"/>
  <c r="N470" i="4"/>
  <c r="K470" i="4"/>
  <c r="H470" i="4"/>
  <c r="E470" i="4"/>
  <c r="BD469" i="4"/>
  <c r="AX469" i="4"/>
  <c r="AZ469" i="4" s="1"/>
  <c r="AR469" i="4"/>
  <c r="AT469" i="4" s="1"/>
  <c r="AO469" i="4"/>
  <c r="AQ469" i="4" s="1"/>
  <c r="AS469" i="4" s="1"/>
  <c r="AU469" i="4" s="1"/>
  <c r="AW469" i="4" s="1"/>
  <c r="AY469" i="4" s="1"/>
  <c r="BA469" i="4" s="1"/>
  <c r="BC469" i="4" s="1"/>
  <c r="BE469" i="4" s="1"/>
  <c r="AF469" i="4"/>
  <c r="AD469" i="4"/>
  <c r="Z469" i="4"/>
  <c r="W469" i="4"/>
  <c r="U469" i="4"/>
  <c r="S469" i="4"/>
  <c r="N469" i="4"/>
  <c r="K469" i="4"/>
  <c r="H469" i="4"/>
  <c r="E469" i="4"/>
  <c r="BD468" i="4"/>
  <c r="AX468" i="4"/>
  <c r="AZ468" i="4" s="1"/>
  <c r="AR468" i="4"/>
  <c r="AT468" i="4" s="1"/>
  <c r="AO468" i="4"/>
  <c r="AQ468" i="4" s="1"/>
  <c r="AS468" i="4" s="1"/>
  <c r="AU468" i="4" s="1"/>
  <c r="AW468" i="4" s="1"/>
  <c r="AY468" i="4" s="1"/>
  <c r="BA468" i="4" s="1"/>
  <c r="BC468" i="4" s="1"/>
  <c r="BE468" i="4" s="1"/>
  <c r="AF468" i="4"/>
  <c r="AD468" i="4"/>
  <c r="Z468" i="4"/>
  <c r="W468" i="4"/>
  <c r="U468" i="4"/>
  <c r="S468" i="4"/>
  <c r="BD467" i="4"/>
  <c r="AX467" i="4"/>
  <c r="AZ467" i="4" s="1"/>
  <c r="AR467" i="4"/>
  <c r="AT467" i="4" s="1"/>
  <c r="AH467" i="4"/>
  <c r="AF467" i="4"/>
  <c r="AD467" i="4"/>
  <c r="Z467" i="4"/>
  <c r="W467" i="4"/>
  <c r="U467" i="4"/>
  <c r="S467" i="4"/>
  <c r="N467" i="4"/>
  <c r="K467" i="4"/>
  <c r="H467" i="4"/>
  <c r="E467" i="4"/>
  <c r="BD466" i="4"/>
  <c r="AX466" i="4"/>
  <c r="AZ466" i="4" s="1"/>
  <c r="AR466" i="4"/>
  <c r="AT466" i="4" s="1"/>
  <c r="AH466" i="4"/>
  <c r="AF466" i="4"/>
  <c r="AD466" i="4"/>
  <c r="Z466" i="4"/>
  <c r="W466" i="4"/>
  <c r="U466" i="4"/>
  <c r="S466" i="4"/>
  <c r="N466" i="4"/>
  <c r="K466" i="4"/>
  <c r="H466" i="4"/>
  <c r="E466" i="4"/>
  <c r="BD465" i="4"/>
  <c r="AX465" i="4"/>
  <c r="AZ465" i="4" s="1"/>
  <c r="AR465" i="4"/>
  <c r="AT465" i="4" s="1"/>
  <c r="AH465" i="4"/>
  <c r="AF465" i="4"/>
  <c r="AD465" i="4"/>
  <c r="Z465" i="4"/>
  <c r="W465" i="4"/>
  <c r="U465" i="4"/>
  <c r="S465" i="4"/>
  <c r="N465" i="4"/>
  <c r="K465" i="4"/>
  <c r="H465" i="4"/>
  <c r="E465" i="4"/>
  <c r="BD464" i="4"/>
  <c r="AX464" i="4"/>
  <c r="AZ464" i="4" s="1"/>
  <c r="AR464" i="4"/>
  <c r="AT464" i="4" s="1"/>
  <c r="AO464" i="4"/>
  <c r="AQ464" i="4" s="1"/>
  <c r="AF464" i="4"/>
  <c r="AD464" i="4"/>
  <c r="Z464" i="4"/>
  <c r="W464" i="4"/>
  <c r="U464" i="4"/>
  <c r="S464" i="4"/>
  <c r="N464" i="4"/>
  <c r="K464" i="4"/>
  <c r="H464" i="4"/>
  <c r="E464" i="4"/>
  <c r="AE460" i="4"/>
  <c r="Y460" i="4"/>
  <c r="V460" i="4"/>
  <c r="T460" i="4"/>
  <c r="R460" i="4"/>
  <c r="L460" i="4"/>
  <c r="J460" i="4"/>
  <c r="F460" i="4"/>
  <c r="B460" i="4"/>
  <c r="BD459" i="4"/>
  <c r="AX459" i="4"/>
  <c r="AZ459" i="4" s="1"/>
  <c r="AP459" i="4"/>
  <c r="AR459" i="4" s="1"/>
  <c r="AT459" i="4" s="1"/>
  <c r="AH459" i="4"/>
  <c r="AF459" i="4"/>
  <c r="AD459" i="4"/>
  <c r="Z459" i="4"/>
  <c r="W459" i="4"/>
  <c r="S459" i="4"/>
  <c r="P459" i="4"/>
  <c r="U459" i="4" s="1"/>
  <c r="N459" i="4"/>
  <c r="K459" i="4"/>
  <c r="H459" i="4"/>
  <c r="E459" i="4"/>
  <c r="BD458" i="4"/>
  <c r="AX458" i="4"/>
  <c r="AZ458" i="4" s="1"/>
  <c r="AR458" i="4"/>
  <c r="AT458" i="4" s="1"/>
  <c r="AH458" i="4"/>
  <c r="AF458" i="4"/>
  <c r="AD458" i="4"/>
  <c r="Z458" i="4"/>
  <c r="W458" i="4"/>
  <c r="S458" i="4"/>
  <c r="P458" i="4"/>
  <c r="U458" i="4" s="1"/>
  <c r="N458" i="4"/>
  <c r="K458" i="4"/>
  <c r="H458" i="4"/>
  <c r="E458" i="4"/>
  <c r="AF457" i="4"/>
  <c r="AD457" i="4"/>
  <c r="Z457" i="4"/>
  <c r="W457" i="4"/>
  <c r="U457" i="4"/>
  <c r="S457" i="4"/>
  <c r="N457" i="4"/>
  <c r="K457" i="4"/>
  <c r="H457" i="4"/>
  <c r="E457" i="4"/>
  <c r="AX456" i="4"/>
  <c r="AZ456" i="4" s="1"/>
  <c r="AR456" i="4"/>
  <c r="AH456" i="4"/>
  <c r="AF456" i="4"/>
  <c r="AD456" i="4"/>
  <c r="Z456" i="4"/>
  <c r="W456" i="4"/>
  <c r="S456" i="4"/>
  <c r="P456" i="4"/>
  <c r="U456" i="4" s="1"/>
  <c r="N456" i="4"/>
  <c r="K456" i="4"/>
  <c r="H456" i="4"/>
  <c r="E456" i="4"/>
  <c r="AF455" i="4"/>
  <c r="AD455" i="4"/>
  <c r="Z455" i="4"/>
  <c r="W455" i="4"/>
  <c r="U455" i="4"/>
  <c r="S455" i="4"/>
  <c r="N455" i="4"/>
  <c r="K455" i="4"/>
  <c r="H455" i="4"/>
  <c r="E455" i="4"/>
  <c r="BD454" i="4"/>
  <c r="AX454" i="4"/>
  <c r="AZ454" i="4" s="1"/>
  <c r="AR454" i="4"/>
  <c r="AT454" i="4" s="1"/>
  <c r="AH454" i="4"/>
  <c r="AF454" i="4"/>
  <c r="AD454" i="4"/>
  <c r="Z454" i="4"/>
  <c r="W454" i="4"/>
  <c r="S454" i="4"/>
  <c r="P454" i="4"/>
  <c r="U454" i="4" s="1"/>
  <c r="N454" i="4"/>
  <c r="K454" i="4"/>
  <c r="H454" i="4"/>
  <c r="E454" i="4"/>
  <c r="AF453" i="4"/>
  <c r="AD453" i="4"/>
  <c r="Z453" i="4"/>
  <c r="W453" i="4"/>
  <c r="U453" i="4"/>
  <c r="S453" i="4"/>
  <c r="N453" i="4"/>
  <c r="K453" i="4"/>
  <c r="H453" i="4"/>
  <c r="E453" i="4"/>
  <c r="AF452" i="4"/>
  <c r="AD452" i="4"/>
  <c r="Z452" i="4"/>
  <c r="W452" i="4"/>
  <c r="U452" i="4"/>
  <c r="S452" i="4"/>
  <c r="N452" i="4"/>
  <c r="K452" i="4"/>
  <c r="H452" i="4"/>
  <c r="E452" i="4"/>
  <c r="BD451" i="4"/>
  <c r="AX451" i="4"/>
  <c r="AZ451" i="4" s="1"/>
  <c r="AR451" i="4"/>
  <c r="AT451" i="4" s="1"/>
  <c r="AH451" i="4"/>
  <c r="AF451" i="4"/>
  <c r="AD451" i="4"/>
  <c r="Z451" i="4"/>
  <c r="W451" i="4"/>
  <c r="S451" i="4"/>
  <c r="P451" i="4"/>
  <c r="U451" i="4" s="1"/>
  <c r="N451" i="4"/>
  <c r="K451" i="4"/>
  <c r="H451" i="4"/>
  <c r="E451" i="4"/>
  <c r="AQ450" i="4"/>
  <c r="AS450" i="4" s="1"/>
  <c r="AU450" i="4" s="1"/>
  <c r="AW450" i="4" s="1"/>
  <c r="AY450" i="4" s="1"/>
  <c r="BA450" i="4" s="1"/>
  <c r="BC450" i="4" s="1"/>
  <c r="BE450" i="4" s="1"/>
  <c r="AF450" i="4"/>
  <c r="AD450" i="4"/>
  <c r="Z450" i="4"/>
  <c r="W450" i="4"/>
  <c r="U450" i="4"/>
  <c r="S450" i="4"/>
  <c r="N450" i="4"/>
  <c r="K450" i="4"/>
  <c r="H450" i="4"/>
  <c r="E450" i="4"/>
  <c r="AF449" i="4"/>
  <c r="AD449" i="4"/>
  <c r="Z449" i="4"/>
  <c r="W449" i="4"/>
  <c r="U449" i="4"/>
  <c r="S449" i="4"/>
  <c r="AF448" i="4"/>
  <c r="AD448" i="4"/>
  <c r="Z448" i="4"/>
  <c r="W448" i="4"/>
  <c r="U448" i="4"/>
  <c r="S448" i="4"/>
  <c r="N448" i="4"/>
  <c r="K448" i="4"/>
  <c r="H448" i="4"/>
  <c r="E448" i="4"/>
  <c r="AH447" i="4"/>
  <c r="AF447" i="4"/>
  <c r="AD447" i="4"/>
  <c r="Z447" i="4"/>
  <c r="W447" i="4"/>
  <c r="S447" i="4"/>
  <c r="P447" i="4"/>
  <c r="U447" i="4" s="1"/>
  <c r="N447" i="4"/>
  <c r="K447" i="4"/>
  <c r="H447" i="4"/>
  <c r="E447" i="4"/>
  <c r="AH446" i="4"/>
  <c r="AF446" i="4"/>
  <c r="AD446" i="4"/>
  <c r="Z446" i="4"/>
  <c r="W446" i="4"/>
  <c r="S446" i="4"/>
  <c r="P446" i="4"/>
  <c r="U446" i="4" s="1"/>
  <c r="N446" i="4"/>
  <c r="K446" i="4"/>
  <c r="H446" i="4"/>
  <c r="E446" i="4"/>
  <c r="AH445" i="4"/>
  <c r="AF445" i="4"/>
  <c r="AD445" i="4"/>
  <c r="Z445" i="4"/>
  <c r="W445" i="4"/>
  <c r="S445" i="4"/>
  <c r="P445" i="4"/>
  <c r="U445" i="4" s="1"/>
  <c r="N445" i="4"/>
  <c r="K445" i="4"/>
  <c r="H445" i="4"/>
  <c r="E445" i="4"/>
  <c r="AO444" i="4"/>
  <c r="AQ444" i="4" s="1"/>
  <c r="AS444" i="4" s="1"/>
  <c r="AU444" i="4" s="1"/>
  <c r="AW444" i="4" s="1"/>
  <c r="AY444" i="4" s="1"/>
  <c r="BA444" i="4" s="1"/>
  <c r="BC444" i="4" s="1"/>
  <c r="BE444" i="4" s="1"/>
  <c r="AF444" i="4"/>
  <c r="AD444" i="4"/>
  <c r="Z444" i="4"/>
  <c r="W444" i="4"/>
  <c r="S444" i="4"/>
  <c r="P444" i="4"/>
  <c r="U444" i="4" s="1"/>
  <c r="N444" i="4"/>
  <c r="K444" i="4"/>
  <c r="H444" i="4"/>
  <c r="E444" i="4"/>
  <c r="AO443" i="4"/>
  <c r="AQ443" i="4" s="1"/>
  <c r="AS443" i="4" s="1"/>
  <c r="AU443" i="4" s="1"/>
  <c r="AW443" i="4" s="1"/>
  <c r="AY443" i="4" s="1"/>
  <c r="BA443" i="4" s="1"/>
  <c r="BC443" i="4" s="1"/>
  <c r="BE443" i="4" s="1"/>
  <c r="AF443" i="4"/>
  <c r="AD443" i="4"/>
  <c r="Z443" i="4"/>
  <c r="W443" i="4"/>
  <c r="S443" i="4"/>
  <c r="P443" i="4"/>
  <c r="U443" i="4" s="1"/>
  <c r="N443" i="4"/>
  <c r="K443" i="4"/>
  <c r="H443" i="4"/>
  <c r="E443" i="4"/>
  <c r="AO442" i="4"/>
  <c r="AQ442" i="4" s="1"/>
  <c r="AS442" i="4" s="1"/>
  <c r="AU442" i="4" s="1"/>
  <c r="AW442" i="4" s="1"/>
  <c r="AY442" i="4" s="1"/>
  <c r="BA442" i="4" s="1"/>
  <c r="BC442" i="4" s="1"/>
  <c r="BE442" i="4" s="1"/>
  <c r="AF442" i="4"/>
  <c r="AC442" i="4"/>
  <c r="AC460" i="4" s="1"/>
  <c r="Z442" i="4"/>
  <c r="W442" i="4"/>
  <c r="U442" i="4"/>
  <c r="S442" i="4"/>
  <c r="N442" i="4"/>
  <c r="K442" i="4"/>
  <c r="H442" i="4"/>
  <c r="E442" i="4"/>
  <c r="AH441" i="4"/>
  <c r="AF441" i="4"/>
  <c r="AD441" i="4"/>
  <c r="Z441" i="4"/>
  <c r="W441" i="4"/>
  <c r="U441" i="4"/>
  <c r="S441" i="4"/>
  <c r="N441" i="4"/>
  <c r="K441" i="4"/>
  <c r="H441" i="4"/>
  <c r="E441" i="4"/>
  <c r="AO440" i="4"/>
  <c r="AQ440" i="4" s="1"/>
  <c r="AS440" i="4" s="1"/>
  <c r="AU440" i="4" s="1"/>
  <c r="AW440" i="4" s="1"/>
  <c r="AY440" i="4" s="1"/>
  <c r="BA440" i="4" s="1"/>
  <c r="BC440" i="4" s="1"/>
  <c r="BE440" i="4" s="1"/>
  <c r="AF440" i="4"/>
  <c r="AD440" i="4"/>
  <c r="Z440" i="4"/>
  <c r="W440" i="4"/>
  <c r="S440" i="4"/>
  <c r="P440" i="4"/>
  <c r="U440" i="4" s="1"/>
  <c r="N440" i="4"/>
  <c r="K440" i="4"/>
  <c r="H440" i="4"/>
  <c r="E440" i="4"/>
  <c r="AQ439" i="4"/>
  <c r="AS439" i="4" s="1"/>
  <c r="AU439" i="4" s="1"/>
  <c r="AW439" i="4" s="1"/>
  <c r="AY439" i="4" s="1"/>
  <c r="BA439" i="4" s="1"/>
  <c r="BC439" i="4" s="1"/>
  <c r="BE439" i="4" s="1"/>
  <c r="AH439" i="4"/>
  <c r="AM439" i="4" s="1"/>
  <c r="AF439" i="4"/>
  <c r="AD439" i="4"/>
  <c r="Z439" i="4"/>
  <c r="W439" i="4"/>
  <c r="S439" i="4"/>
  <c r="P439" i="4"/>
  <c r="U439" i="4" s="1"/>
  <c r="N439" i="4"/>
  <c r="K439" i="4"/>
  <c r="H439" i="4"/>
  <c r="E439" i="4"/>
  <c r="AH438" i="4"/>
  <c r="AF438" i="4"/>
  <c r="AD438" i="4"/>
  <c r="Z438" i="4"/>
  <c r="W438" i="4"/>
  <c r="S438" i="4"/>
  <c r="P438" i="4"/>
  <c r="U438" i="4" s="1"/>
  <c r="N438" i="4"/>
  <c r="K438" i="4"/>
  <c r="H438" i="4"/>
  <c r="E438" i="4"/>
  <c r="AH437" i="4"/>
  <c r="AF437" i="4"/>
  <c r="AD437" i="4"/>
  <c r="Z437" i="4"/>
  <c r="W437" i="4"/>
  <c r="S437" i="4"/>
  <c r="P437" i="4"/>
  <c r="U437" i="4" s="1"/>
  <c r="N437" i="4"/>
  <c r="K437" i="4"/>
  <c r="H437" i="4"/>
  <c r="E437" i="4"/>
  <c r="AH436" i="4"/>
  <c r="AM436" i="4" s="1"/>
  <c r="AF436" i="4"/>
  <c r="AD436" i="4"/>
  <c r="Z436" i="4"/>
  <c r="W436" i="4"/>
  <c r="S436" i="4"/>
  <c r="P436" i="4"/>
  <c r="U436" i="4" s="1"/>
  <c r="N436" i="4"/>
  <c r="K436" i="4"/>
  <c r="H436" i="4"/>
  <c r="E436" i="4"/>
  <c r="AO435" i="4"/>
  <c r="AQ435" i="4" s="1"/>
  <c r="AS435" i="4" s="1"/>
  <c r="AU435" i="4" s="1"/>
  <c r="AW435" i="4" s="1"/>
  <c r="AY435" i="4" s="1"/>
  <c r="BA435" i="4" s="1"/>
  <c r="BC435" i="4" s="1"/>
  <c r="BE435" i="4" s="1"/>
  <c r="AF435" i="4"/>
  <c r="AD435" i="4"/>
  <c r="Z435" i="4"/>
  <c r="W435" i="4"/>
  <c r="S435" i="4"/>
  <c r="P435" i="4"/>
  <c r="U435" i="4" s="1"/>
  <c r="N435" i="4"/>
  <c r="K435" i="4"/>
  <c r="H435" i="4"/>
  <c r="E435" i="4"/>
  <c r="AO434" i="4"/>
  <c r="AQ434" i="4" s="1"/>
  <c r="AS434" i="4" s="1"/>
  <c r="AU434" i="4" s="1"/>
  <c r="AW434" i="4" s="1"/>
  <c r="AY434" i="4" s="1"/>
  <c r="BA434" i="4" s="1"/>
  <c r="BC434" i="4" s="1"/>
  <c r="BE434" i="4" s="1"/>
  <c r="AF434" i="4"/>
  <c r="AD434" i="4"/>
  <c r="Z434" i="4"/>
  <c r="W434" i="4"/>
  <c r="S434" i="4"/>
  <c r="P434" i="4"/>
  <c r="U434" i="4" s="1"/>
  <c r="N434" i="4"/>
  <c r="K434" i="4"/>
  <c r="H434" i="4"/>
  <c r="E434" i="4"/>
  <c r="AO433" i="4"/>
  <c r="AQ433" i="4" s="1"/>
  <c r="AS433" i="4" s="1"/>
  <c r="AU433" i="4" s="1"/>
  <c r="AW433" i="4" s="1"/>
  <c r="AY433" i="4" s="1"/>
  <c r="BA433" i="4" s="1"/>
  <c r="BC433" i="4" s="1"/>
  <c r="BE433" i="4" s="1"/>
  <c r="AF433" i="4"/>
  <c r="AD433" i="4"/>
  <c r="Z433" i="4"/>
  <c r="W433" i="4"/>
  <c r="S433" i="4"/>
  <c r="P433" i="4"/>
  <c r="U433" i="4" s="1"/>
  <c r="N433" i="4"/>
  <c r="K433" i="4"/>
  <c r="H433" i="4"/>
  <c r="E433" i="4"/>
  <c r="AO432" i="4"/>
  <c r="AQ432" i="4" s="1"/>
  <c r="AS432" i="4" s="1"/>
  <c r="AU432" i="4" s="1"/>
  <c r="AW432" i="4" s="1"/>
  <c r="AY432" i="4" s="1"/>
  <c r="BA432" i="4" s="1"/>
  <c r="BC432" i="4" s="1"/>
  <c r="BE432" i="4" s="1"/>
  <c r="AF432" i="4"/>
  <c r="AD432" i="4"/>
  <c r="Z432" i="4"/>
  <c r="W432" i="4"/>
  <c r="U432" i="4"/>
  <c r="S432" i="4"/>
  <c r="N432" i="4"/>
  <c r="K432" i="4"/>
  <c r="H432" i="4"/>
  <c r="E432" i="4"/>
  <c r="AO431" i="4"/>
  <c r="AQ431" i="4" s="1"/>
  <c r="AS431" i="4" s="1"/>
  <c r="AU431" i="4" s="1"/>
  <c r="AW431" i="4" s="1"/>
  <c r="AY431" i="4" s="1"/>
  <c r="BA431" i="4" s="1"/>
  <c r="BC431" i="4" s="1"/>
  <c r="BE431" i="4" s="1"/>
  <c r="AF431" i="4"/>
  <c r="AD431" i="4"/>
  <c r="Z431" i="4"/>
  <c r="W431" i="4"/>
  <c r="U431" i="4"/>
  <c r="S431" i="4"/>
  <c r="N431" i="4"/>
  <c r="K431" i="4"/>
  <c r="H431" i="4"/>
  <c r="E431" i="4"/>
  <c r="AO430" i="4"/>
  <c r="AF430" i="4"/>
  <c r="AD430" i="4"/>
  <c r="Z430" i="4"/>
  <c r="W430" i="4"/>
  <c r="S430" i="4"/>
  <c r="P430" i="4"/>
  <c r="U430" i="4" s="1"/>
  <c r="N430" i="4"/>
  <c r="K430" i="4"/>
  <c r="H430" i="4"/>
  <c r="D430" i="4"/>
  <c r="D460" i="4" s="1"/>
  <c r="AE426" i="4"/>
  <c r="Y426" i="4"/>
  <c r="T426" i="4"/>
  <c r="L426" i="4"/>
  <c r="F426" i="4"/>
  <c r="B426" i="4"/>
  <c r="AO425" i="4"/>
  <c r="AQ425" i="4" s="1"/>
  <c r="AS425" i="4" s="1"/>
  <c r="AU425" i="4" s="1"/>
  <c r="AW425" i="4" s="1"/>
  <c r="AY425" i="4" s="1"/>
  <c r="BA425" i="4" s="1"/>
  <c r="BC425" i="4" s="1"/>
  <c r="BE425" i="4" s="1"/>
  <c r="AF425" i="4"/>
  <c r="AD425" i="4"/>
  <c r="Z425" i="4"/>
  <c r="W425" i="4"/>
  <c r="U425" i="4"/>
  <c r="S425" i="4"/>
  <c r="N425" i="4"/>
  <c r="K425" i="4"/>
  <c r="H425" i="4"/>
  <c r="E425" i="4"/>
  <c r="AF424" i="4"/>
  <c r="AD424" i="4"/>
  <c r="Z424" i="4"/>
  <c r="W424" i="4"/>
  <c r="U424" i="4"/>
  <c r="S424" i="4"/>
  <c r="N424" i="4"/>
  <c r="K424" i="4"/>
  <c r="H424" i="4"/>
  <c r="E424" i="4"/>
  <c r="AH423" i="4"/>
  <c r="AM423" i="4" s="1"/>
  <c r="AF423" i="4"/>
  <c r="AD423" i="4"/>
  <c r="Z423" i="4"/>
  <c r="W423" i="4"/>
  <c r="S423" i="4"/>
  <c r="P423" i="4"/>
  <c r="U423" i="4" s="1"/>
  <c r="N423" i="4"/>
  <c r="K423" i="4"/>
  <c r="H423" i="4"/>
  <c r="E423" i="4"/>
  <c r="AH422" i="4"/>
  <c r="AM422" i="4" s="1"/>
  <c r="AF422" i="4"/>
  <c r="AD422" i="4"/>
  <c r="Z422" i="4"/>
  <c r="W422" i="4"/>
  <c r="U422" i="4"/>
  <c r="S422" i="4"/>
  <c r="N422" i="4"/>
  <c r="K422" i="4"/>
  <c r="H422" i="4"/>
  <c r="D422" i="4"/>
  <c r="E422" i="4" s="1"/>
  <c r="AH421" i="4"/>
  <c r="AM421" i="4" s="1"/>
  <c r="AF421" i="4"/>
  <c r="AD421" i="4"/>
  <c r="Z421" i="4"/>
  <c r="W421" i="4"/>
  <c r="U421" i="4"/>
  <c r="S421" i="4"/>
  <c r="N421" i="4"/>
  <c r="K421" i="4"/>
  <c r="H421" i="4"/>
  <c r="E421" i="4"/>
  <c r="AH420" i="4"/>
  <c r="AM420" i="4" s="1"/>
  <c r="AF420" i="4"/>
  <c r="AD420" i="4"/>
  <c r="Z420" i="4"/>
  <c r="W420" i="4"/>
  <c r="S420" i="4"/>
  <c r="P420" i="4"/>
  <c r="U420" i="4" s="1"/>
  <c r="N420" i="4"/>
  <c r="K420" i="4"/>
  <c r="H420" i="4"/>
  <c r="E420" i="4"/>
  <c r="AH419" i="4"/>
  <c r="AM419" i="4" s="1"/>
  <c r="AF419" i="4"/>
  <c r="AD419" i="4"/>
  <c r="Z419" i="4"/>
  <c r="W419" i="4"/>
  <c r="S419" i="4"/>
  <c r="P419" i="4"/>
  <c r="U419" i="4" s="1"/>
  <c r="N419" i="4"/>
  <c r="K419" i="4"/>
  <c r="H419" i="4"/>
  <c r="E419" i="4"/>
  <c r="AH418" i="4"/>
  <c r="AM418" i="4" s="1"/>
  <c r="AF418" i="4"/>
  <c r="AD418" i="4"/>
  <c r="Z418" i="4"/>
  <c r="W418" i="4"/>
  <c r="S418" i="4"/>
  <c r="P418" i="4"/>
  <c r="U418" i="4" s="1"/>
  <c r="N418" i="4"/>
  <c r="K418" i="4"/>
  <c r="H418" i="4"/>
  <c r="E418" i="4"/>
  <c r="AO417" i="4"/>
  <c r="AQ417" i="4" s="1"/>
  <c r="AS417" i="4" s="1"/>
  <c r="AU417" i="4" s="1"/>
  <c r="AW417" i="4" s="1"/>
  <c r="AY417" i="4" s="1"/>
  <c r="BA417" i="4" s="1"/>
  <c r="BC417" i="4" s="1"/>
  <c r="AF417" i="4"/>
  <c r="AD417" i="4"/>
  <c r="Z417" i="4"/>
  <c r="W417" i="4"/>
  <c r="U417" i="4"/>
  <c r="S417" i="4"/>
  <c r="N417" i="4"/>
  <c r="K417" i="4"/>
  <c r="H417" i="4"/>
  <c r="E417" i="4"/>
  <c r="AH416" i="4"/>
  <c r="AM416" i="4" s="1"/>
  <c r="AF416" i="4"/>
  <c r="AD416" i="4"/>
  <c r="Z416" i="4"/>
  <c r="W416" i="4"/>
  <c r="U416" i="4"/>
  <c r="S416" i="4"/>
  <c r="N416" i="4"/>
  <c r="K416" i="4"/>
  <c r="H416" i="4"/>
  <c r="E416" i="4"/>
  <c r="AF415" i="4"/>
  <c r="AD415" i="4"/>
  <c r="Z415" i="4"/>
  <c r="W415" i="4"/>
  <c r="U415" i="4"/>
  <c r="S415" i="4"/>
  <c r="N415" i="4"/>
  <c r="K415" i="4"/>
  <c r="H415" i="4"/>
  <c r="E415" i="4"/>
  <c r="AH414" i="4"/>
  <c r="AF414" i="4"/>
  <c r="AC414" i="4"/>
  <c r="Z414" i="4"/>
  <c r="W414" i="4"/>
  <c r="U414" i="4"/>
  <c r="S414" i="4"/>
  <c r="N414" i="4"/>
  <c r="J414" i="4"/>
  <c r="K414" i="4" s="1"/>
  <c r="H414" i="4"/>
  <c r="D414" i="4"/>
  <c r="E414" i="4" s="1"/>
  <c r="AH413" i="4"/>
  <c r="AF413" i="4"/>
  <c r="AC413" i="4"/>
  <c r="AD413" i="4" s="1"/>
  <c r="Z413" i="4"/>
  <c r="W413" i="4"/>
  <c r="S413" i="4"/>
  <c r="P413" i="4"/>
  <c r="U413" i="4" s="1"/>
  <c r="N413" i="4"/>
  <c r="J413" i="4"/>
  <c r="K413" i="4" s="1"/>
  <c r="H413" i="4"/>
  <c r="E413" i="4"/>
  <c r="AP412" i="4"/>
  <c r="AR412" i="4" s="1"/>
  <c r="AF412" i="4"/>
  <c r="AD412" i="4"/>
  <c r="Z412" i="4"/>
  <c r="W412" i="4"/>
  <c r="U412" i="4"/>
  <c r="S412" i="4"/>
  <c r="N412" i="4"/>
  <c r="K412" i="4"/>
  <c r="H412" i="4"/>
  <c r="E412" i="4"/>
  <c r="AH411" i="4"/>
  <c r="AF411" i="4"/>
  <c r="AD411" i="4"/>
  <c r="Z411" i="4"/>
  <c r="W411" i="4"/>
  <c r="U411" i="4"/>
  <c r="S411" i="4"/>
  <c r="N411" i="4"/>
  <c r="J411" i="4"/>
  <c r="H411" i="4"/>
  <c r="E411" i="4"/>
  <c r="AH410" i="4"/>
  <c r="AF410" i="4"/>
  <c r="AD410" i="4"/>
  <c r="Z410" i="4"/>
  <c r="W410" i="4"/>
  <c r="S410" i="4"/>
  <c r="P410" i="4"/>
  <c r="U410" i="4" s="1"/>
  <c r="N410" i="4"/>
  <c r="K410" i="4"/>
  <c r="H410" i="4"/>
  <c r="E410" i="4"/>
  <c r="AH409" i="4"/>
  <c r="AF409" i="4"/>
  <c r="AD409" i="4"/>
  <c r="Z409" i="4"/>
  <c r="W409" i="4"/>
  <c r="S409" i="4"/>
  <c r="P409" i="4"/>
  <c r="U409" i="4" s="1"/>
  <c r="N409" i="4"/>
  <c r="K409" i="4"/>
  <c r="H409" i="4"/>
  <c r="E409" i="4"/>
  <c r="AH408" i="4"/>
  <c r="AF408" i="4"/>
  <c r="AD408" i="4"/>
  <c r="Z408" i="4"/>
  <c r="W408" i="4"/>
  <c r="S408" i="4"/>
  <c r="P408" i="4"/>
  <c r="U408" i="4" s="1"/>
  <c r="N408" i="4"/>
  <c r="K408" i="4"/>
  <c r="H408" i="4"/>
  <c r="E408" i="4"/>
  <c r="AH407" i="4"/>
  <c r="AF407" i="4"/>
  <c r="AD407" i="4"/>
  <c r="Z407" i="4"/>
  <c r="W407" i="4"/>
  <c r="S407" i="4"/>
  <c r="P407" i="4"/>
  <c r="U407" i="4" s="1"/>
  <c r="N407" i="4"/>
  <c r="K407" i="4"/>
  <c r="H407" i="4"/>
  <c r="E407" i="4"/>
  <c r="AH406" i="4"/>
  <c r="AF406" i="4"/>
  <c r="AD406" i="4"/>
  <c r="Z406" i="4"/>
  <c r="W406" i="4"/>
  <c r="S406" i="4"/>
  <c r="P406" i="4"/>
  <c r="U406" i="4" s="1"/>
  <c r="N406" i="4"/>
  <c r="K406" i="4"/>
  <c r="H406" i="4"/>
  <c r="E406" i="4"/>
  <c r="AO405" i="4"/>
  <c r="AQ405" i="4" s="1"/>
  <c r="AS405" i="4" s="1"/>
  <c r="AU405" i="4" s="1"/>
  <c r="AW405" i="4" s="1"/>
  <c r="AY405" i="4" s="1"/>
  <c r="BA405" i="4" s="1"/>
  <c r="BC405" i="4" s="1"/>
  <c r="BE405" i="4" s="1"/>
  <c r="AF405" i="4"/>
  <c r="AD405" i="4"/>
  <c r="Z405" i="4"/>
  <c r="W405" i="4"/>
  <c r="U405" i="4"/>
  <c r="S405" i="4"/>
  <c r="N405" i="4"/>
  <c r="K405" i="4"/>
  <c r="H405" i="4"/>
  <c r="E405" i="4"/>
  <c r="AO404" i="4"/>
  <c r="AQ404" i="4" s="1"/>
  <c r="AS404" i="4" s="1"/>
  <c r="AU404" i="4" s="1"/>
  <c r="AW404" i="4" s="1"/>
  <c r="AY404" i="4" s="1"/>
  <c r="BA404" i="4" s="1"/>
  <c r="BC404" i="4" s="1"/>
  <c r="BE404" i="4" s="1"/>
  <c r="AF404" i="4"/>
  <c r="AD404" i="4"/>
  <c r="Z404" i="4"/>
  <c r="W404" i="4"/>
  <c r="U404" i="4"/>
  <c r="S404" i="4"/>
  <c r="N404" i="4"/>
  <c r="K404" i="4"/>
  <c r="H404" i="4"/>
  <c r="E404" i="4"/>
  <c r="AH403" i="4"/>
  <c r="AF403" i="4"/>
  <c r="AD403" i="4"/>
  <c r="Z403" i="4"/>
  <c r="W403" i="4"/>
  <c r="R403" i="4"/>
  <c r="P403" i="4"/>
  <c r="U403" i="4" s="1"/>
  <c r="N403" i="4"/>
  <c r="K403" i="4"/>
  <c r="H403" i="4"/>
  <c r="E403" i="4"/>
  <c r="AH402" i="4"/>
  <c r="AF402" i="4"/>
  <c r="AD402" i="4"/>
  <c r="Z402" i="4"/>
  <c r="W402" i="4"/>
  <c r="S402" i="4"/>
  <c r="P402" i="4"/>
  <c r="U402" i="4" s="1"/>
  <c r="N402" i="4"/>
  <c r="K402" i="4"/>
  <c r="H402" i="4"/>
  <c r="E402" i="4"/>
  <c r="AO401" i="4"/>
  <c r="AQ401" i="4" s="1"/>
  <c r="AS401" i="4" s="1"/>
  <c r="AU401" i="4" s="1"/>
  <c r="AW401" i="4" s="1"/>
  <c r="AY401" i="4" s="1"/>
  <c r="BA401" i="4" s="1"/>
  <c r="BC401" i="4" s="1"/>
  <c r="BE401" i="4" s="1"/>
  <c r="AF401" i="4"/>
  <c r="AD401" i="4"/>
  <c r="Z401" i="4"/>
  <c r="W401" i="4"/>
  <c r="S401" i="4"/>
  <c r="P401" i="4"/>
  <c r="U401" i="4" s="1"/>
  <c r="N401" i="4"/>
  <c r="K401" i="4"/>
  <c r="H401" i="4"/>
  <c r="E401" i="4"/>
  <c r="AH398" i="4"/>
  <c r="AF398" i="4"/>
  <c r="AD398" i="4"/>
  <c r="Z398" i="4"/>
  <c r="W398" i="4"/>
  <c r="S398" i="4"/>
  <c r="P398" i="4"/>
  <c r="U398" i="4" s="1"/>
  <c r="N398" i="4"/>
  <c r="K398" i="4"/>
  <c r="H398" i="4"/>
  <c r="E398" i="4"/>
  <c r="AO397" i="4"/>
  <c r="AQ397" i="4" s="1"/>
  <c r="AS397" i="4" s="1"/>
  <c r="AU397" i="4" s="1"/>
  <c r="AW397" i="4" s="1"/>
  <c r="AY397" i="4" s="1"/>
  <c r="BA397" i="4" s="1"/>
  <c r="BC397" i="4" s="1"/>
  <c r="BE397" i="4" s="1"/>
  <c r="AF397" i="4"/>
  <c r="AD397" i="4"/>
  <c r="Z397" i="4"/>
  <c r="W397" i="4"/>
  <c r="U397" i="4"/>
  <c r="S397" i="4"/>
  <c r="N397" i="4"/>
  <c r="K397" i="4"/>
  <c r="H397" i="4"/>
  <c r="E397" i="4"/>
  <c r="AH396" i="4"/>
  <c r="AF396" i="4"/>
  <c r="AD396" i="4"/>
  <c r="Z396" i="4"/>
  <c r="V396" i="4"/>
  <c r="S396" i="4"/>
  <c r="P396" i="4"/>
  <c r="U396" i="4" s="1"/>
  <c r="N396" i="4"/>
  <c r="K396" i="4"/>
  <c r="H396" i="4"/>
  <c r="D396" i="4"/>
  <c r="E396" i="4" s="1"/>
  <c r="AF395" i="4"/>
  <c r="AD395" i="4"/>
  <c r="Z395" i="4"/>
  <c r="W395" i="4"/>
  <c r="U395" i="4"/>
  <c r="S395" i="4"/>
  <c r="AX394" i="4"/>
  <c r="AP394" i="4"/>
  <c r="AR394" i="4" s="1"/>
  <c r="AH394" i="4"/>
  <c r="AF394" i="4"/>
  <c r="AD394" i="4"/>
  <c r="Z394" i="4"/>
  <c r="W394" i="4"/>
  <c r="S394" i="4"/>
  <c r="P394" i="4"/>
  <c r="U394" i="4" s="1"/>
  <c r="N394" i="4"/>
  <c r="K394" i="4"/>
  <c r="H394" i="4"/>
  <c r="E394" i="4"/>
  <c r="AX393" i="4"/>
  <c r="AP393" i="4"/>
  <c r="AR393" i="4" s="1"/>
  <c r="AH393" i="4"/>
  <c r="AM393" i="4" s="1"/>
  <c r="AF393" i="4"/>
  <c r="AD393" i="4"/>
  <c r="Z393" i="4"/>
  <c r="W393" i="4"/>
  <c r="U393" i="4"/>
  <c r="S393" i="4"/>
  <c r="N393" i="4"/>
  <c r="K393" i="4"/>
  <c r="H393" i="4"/>
  <c r="E393" i="4"/>
  <c r="AF392" i="4"/>
  <c r="AD392" i="4"/>
  <c r="Z392" i="4"/>
  <c r="W392" i="4"/>
  <c r="U392" i="4"/>
  <c r="S392" i="4"/>
  <c r="N392" i="4"/>
  <c r="K392" i="4"/>
  <c r="H392" i="4"/>
  <c r="E392" i="4"/>
  <c r="AF391" i="4"/>
  <c r="AD391" i="4"/>
  <c r="Z391" i="4"/>
  <c r="W391" i="4"/>
  <c r="U391" i="4"/>
  <c r="S391" i="4"/>
  <c r="N391" i="4"/>
  <c r="K391" i="4"/>
  <c r="H391" i="4"/>
  <c r="E391" i="4"/>
  <c r="AP390" i="4"/>
  <c r="AR390" i="4" s="1"/>
  <c r="AO390" i="4"/>
  <c r="AQ390" i="4" s="1"/>
  <c r="AS390" i="4" s="1"/>
  <c r="AU390" i="4" s="1"/>
  <c r="AW390" i="4" s="1"/>
  <c r="AY390" i="4" s="1"/>
  <c r="BA390" i="4" s="1"/>
  <c r="BC390" i="4" s="1"/>
  <c r="BE390" i="4" s="1"/>
  <c r="AF390" i="4"/>
  <c r="AD390" i="4"/>
  <c r="Z390" i="4"/>
  <c r="W390" i="4"/>
  <c r="S390" i="4"/>
  <c r="P390" i="4"/>
  <c r="U390" i="4" s="1"/>
  <c r="N390" i="4"/>
  <c r="K390" i="4"/>
  <c r="H390" i="4"/>
  <c r="E390" i="4"/>
  <c r="AO389" i="4"/>
  <c r="AQ389" i="4" s="1"/>
  <c r="AS389" i="4" s="1"/>
  <c r="AU389" i="4" s="1"/>
  <c r="AW389" i="4" s="1"/>
  <c r="AY389" i="4" s="1"/>
  <c r="BA389" i="4" s="1"/>
  <c r="BC389" i="4" s="1"/>
  <c r="BE389" i="4" s="1"/>
  <c r="AF389" i="4"/>
  <c r="AD389" i="4"/>
  <c r="Z389" i="4"/>
  <c r="W389" i="4"/>
  <c r="S389" i="4"/>
  <c r="P389" i="4"/>
  <c r="U389" i="4" s="1"/>
  <c r="N389" i="4"/>
  <c r="K389" i="4"/>
  <c r="H389" i="4"/>
  <c r="E389" i="4"/>
  <c r="AO388" i="4"/>
  <c r="AQ388" i="4" s="1"/>
  <c r="AS388" i="4" s="1"/>
  <c r="AU388" i="4" s="1"/>
  <c r="AW388" i="4" s="1"/>
  <c r="AY388" i="4" s="1"/>
  <c r="BA388" i="4" s="1"/>
  <c r="BC388" i="4" s="1"/>
  <c r="BE388" i="4" s="1"/>
  <c r="AF388" i="4"/>
  <c r="AD388" i="4"/>
  <c r="Z388" i="4"/>
  <c r="W388" i="4"/>
  <c r="U388" i="4"/>
  <c r="S388" i="4"/>
  <c r="N388" i="4"/>
  <c r="K388" i="4"/>
  <c r="H388" i="4"/>
  <c r="E388" i="4"/>
  <c r="AF387" i="4"/>
  <c r="AD387" i="4"/>
  <c r="Z387" i="4"/>
  <c r="W387" i="4"/>
  <c r="U387" i="4"/>
  <c r="S387" i="4"/>
  <c r="N387" i="4"/>
  <c r="K387" i="4"/>
  <c r="H387" i="4"/>
  <c r="E387" i="4"/>
  <c r="AO386" i="4"/>
  <c r="AQ386" i="4" s="1"/>
  <c r="AS386" i="4" s="1"/>
  <c r="AU386" i="4" s="1"/>
  <c r="AW386" i="4" s="1"/>
  <c r="AF386" i="4"/>
  <c r="AD386" i="4"/>
  <c r="Z386" i="4"/>
  <c r="W386" i="4"/>
  <c r="U386" i="4"/>
  <c r="S386" i="4"/>
  <c r="N386" i="4"/>
  <c r="K386" i="4"/>
  <c r="H386" i="4"/>
  <c r="E386" i="4"/>
  <c r="AO385" i="4"/>
  <c r="AQ385" i="4" s="1"/>
  <c r="AS385" i="4" s="1"/>
  <c r="AU385" i="4" s="1"/>
  <c r="AW385" i="4" s="1"/>
  <c r="AY385" i="4" s="1"/>
  <c r="BA385" i="4" s="1"/>
  <c r="BC385" i="4" s="1"/>
  <c r="BE385" i="4" s="1"/>
  <c r="AF385" i="4"/>
  <c r="AD385" i="4"/>
  <c r="Z385" i="4"/>
  <c r="W385" i="4"/>
  <c r="U385" i="4"/>
  <c r="S385" i="4"/>
  <c r="N385" i="4"/>
  <c r="K385" i="4"/>
  <c r="H385" i="4"/>
  <c r="E385" i="4"/>
  <c r="AF384" i="4"/>
  <c r="AD384" i="4"/>
  <c r="Z384" i="4"/>
  <c r="W384" i="4"/>
  <c r="U384" i="4"/>
  <c r="S384" i="4"/>
  <c r="N384" i="4"/>
  <c r="K384" i="4"/>
  <c r="H384" i="4"/>
  <c r="E384" i="4"/>
  <c r="AH383" i="4"/>
  <c r="AF383" i="4"/>
  <c r="AD383" i="4"/>
  <c r="Z383" i="4"/>
  <c r="W383" i="4"/>
  <c r="S383" i="4"/>
  <c r="P383" i="4"/>
  <c r="U383" i="4" s="1"/>
  <c r="N383" i="4"/>
  <c r="K383" i="4"/>
  <c r="H383" i="4"/>
  <c r="E383" i="4"/>
  <c r="AO382" i="4"/>
  <c r="AQ382" i="4" s="1"/>
  <c r="AS382" i="4" s="1"/>
  <c r="AU382" i="4" s="1"/>
  <c r="AW382" i="4" s="1"/>
  <c r="AY382" i="4" s="1"/>
  <c r="BA382" i="4" s="1"/>
  <c r="BC382" i="4" s="1"/>
  <c r="BE382" i="4" s="1"/>
  <c r="AF382" i="4"/>
  <c r="AD382" i="4"/>
  <c r="Z382" i="4"/>
  <c r="W382" i="4"/>
  <c r="U382" i="4"/>
  <c r="S382" i="4"/>
  <c r="N382" i="4"/>
  <c r="K382" i="4"/>
  <c r="H382" i="4"/>
  <c r="E382" i="4"/>
  <c r="AO381" i="4"/>
  <c r="AQ381" i="4" s="1"/>
  <c r="AS381" i="4" s="1"/>
  <c r="AU381" i="4" s="1"/>
  <c r="AW381" i="4" s="1"/>
  <c r="AY381" i="4" s="1"/>
  <c r="BA381" i="4" s="1"/>
  <c r="BC381" i="4" s="1"/>
  <c r="BE381" i="4" s="1"/>
  <c r="AF381" i="4"/>
  <c r="AD381" i="4"/>
  <c r="Z381" i="4"/>
  <c r="W381" i="4"/>
  <c r="U381" i="4"/>
  <c r="S381" i="4"/>
  <c r="N381" i="4"/>
  <c r="K381" i="4"/>
  <c r="H381" i="4"/>
  <c r="E381" i="4"/>
  <c r="AO380" i="4"/>
  <c r="AQ380" i="4" s="1"/>
  <c r="AF380" i="4"/>
  <c r="AD380" i="4"/>
  <c r="Z380" i="4"/>
  <c r="W380" i="4"/>
  <c r="S380" i="4"/>
  <c r="P380" i="4"/>
  <c r="U380" i="4" s="1"/>
  <c r="N380" i="4"/>
  <c r="K380" i="4"/>
  <c r="H380" i="4"/>
  <c r="E380" i="4"/>
  <c r="AE375" i="4"/>
  <c r="AC375" i="4"/>
  <c r="Y375" i="4"/>
  <c r="T375" i="4"/>
  <c r="R375" i="4"/>
  <c r="L375" i="4"/>
  <c r="F375" i="4"/>
  <c r="AP374" i="4"/>
  <c r="AR374" i="4" s="1"/>
  <c r="AH374" i="4"/>
  <c r="AF374" i="4"/>
  <c r="AD374" i="4"/>
  <c r="Z374" i="4"/>
  <c r="V374" i="4"/>
  <c r="W374" i="4" s="1"/>
  <c r="U374" i="4"/>
  <c r="S374" i="4"/>
  <c r="N374" i="4"/>
  <c r="J374" i="4"/>
  <c r="H374" i="4"/>
  <c r="D374" i="4"/>
  <c r="E374" i="4" s="1"/>
  <c r="AH373" i="4"/>
  <c r="AF373" i="4"/>
  <c r="AD373" i="4"/>
  <c r="Z373" i="4"/>
  <c r="W373" i="4"/>
  <c r="S373" i="4"/>
  <c r="P373" i="4"/>
  <c r="U373" i="4" s="1"/>
  <c r="N373" i="4"/>
  <c r="K373" i="4"/>
  <c r="H373" i="4"/>
  <c r="E373" i="4"/>
  <c r="AH372" i="4"/>
  <c r="AF372" i="4"/>
  <c r="AD372" i="4"/>
  <c r="Z372" i="4"/>
  <c r="W372" i="4"/>
  <c r="U372" i="4"/>
  <c r="S372" i="4"/>
  <c r="BA371" i="4"/>
  <c r="BC371" i="4" s="1"/>
  <c r="BE371" i="4" s="1"/>
  <c r="AO371" i="4"/>
  <c r="AQ371" i="4" s="1"/>
  <c r="AF371" i="4"/>
  <c r="AD371" i="4"/>
  <c r="Z371" i="4"/>
  <c r="W371" i="4"/>
  <c r="U371" i="4"/>
  <c r="S371" i="4"/>
  <c r="N371" i="4"/>
  <c r="K371" i="4"/>
  <c r="H371" i="4"/>
  <c r="E371" i="4"/>
  <c r="AO370" i="4"/>
  <c r="AQ370" i="4" s="1"/>
  <c r="AS370" i="4" s="1"/>
  <c r="AU370" i="4" s="1"/>
  <c r="AW370" i="4" s="1"/>
  <c r="AY370" i="4" s="1"/>
  <c r="BA370" i="4" s="1"/>
  <c r="BC370" i="4" s="1"/>
  <c r="BE370" i="4" s="1"/>
  <c r="AF370" i="4"/>
  <c r="AD370" i="4"/>
  <c r="Z370" i="4"/>
  <c r="W370" i="4"/>
  <c r="S370" i="4"/>
  <c r="P370" i="4"/>
  <c r="U370" i="4" s="1"/>
  <c r="N370" i="4"/>
  <c r="K370" i="4"/>
  <c r="H370" i="4"/>
  <c r="E370" i="4"/>
  <c r="AS369" i="4"/>
  <c r="AU369" i="4" s="1"/>
  <c r="AW369" i="4" s="1"/>
  <c r="AY369" i="4" s="1"/>
  <c r="BA369" i="4" s="1"/>
  <c r="BC369" i="4" s="1"/>
  <c r="BE369" i="4" s="1"/>
  <c r="AO369" i="4"/>
  <c r="AF369" i="4"/>
  <c r="AD369" i="4"/>
  <c r="Z369" i="4"/>
  <c r="W369" i="4"/>
  <c r="U369" i="4"/>
  <c r="S369" i="4"/>
  <c r="N369" i="4"/>
  <c r="K369" i="4"/>
  <c r="H369" i="4"/>
  <c r="E369" i="4"/>
  <c r="AO368" i="4"/>
  <c r="AQ368" i="4" s="1"/>
  <c r="AS368" i="4" s="1"/>
  <c r="AU368" i="4" s="1"/>
  <c r="AW368" i="4" s="1"/>
  <c r="AY368" i="4" s="1"/>
  <c r="BA368" i="4" s="1"/>
  <c r="BC368" i="4" s="1"/>
  <c r="BE368" i="4" s="1"/>
  <c r="AF368" i="4"/>
  <c r="AD368" i="4"/>
  <c r="Z368" i="4"/>
  <c r="W368" i="4"/>
  <c r="U368" i="4"/>
  <c r="S368" i="4"/>
  <c r="N368" i="4"/>
  <c r="K368" i="4"/>
  <c r="H368" i="4"/>
  <c r="E368" i="4"/>
  <c r="AO367" i="4"/>
  <c r="AQ367" i="4" s="1"/>
  <c r="AS367" i="4" s="1"/>
  <c r="AU367" i="4" s="1"/>
  <c r="AW367" i="4" s="1"/>
  <c r="AY367" i="4" s="1"/>
  <c r="BA367" i="4" s="1"/>
  <c r="BC367" i="4" s="1"/>
  <c r="BE367" i="4" s="1"/>
  <c r="AF367" i="4"/>
  <c r="AD367" i="4"/>
  <c r="Z367" i="4"/>
  <c r="W367" i="4"/>
  <c r="U367" i="4"/>
  <c r="S367" i="4"/>
  <c r="N367" i="4"/>
  <c r="K367" i="4"/>
  <c r="H367" i="4"/>
  <c r="E367" i="4"/>
  <c r="AF366" i="4"/>
  <c r="AD366" i="4"/>
  <c r="Z366" i="4"/>
  <c r="W366" i="4"/>
  <c r="U366" i="4"/>
  <c r="S366" i="4"/>
  <c r="N366" i="4"/>
  <c r="K366" i="4"/>
  <c r="H366" i="4"/>
  <c r="E366" i="4"/>
  <c r="AY365" i="4"/>
  <c r="AW365" i="4"/>
  <c r="AU365" i="4"/>
  <c r="AS365" i="4"/>
  <c r="BA365" i="4" s="1"/>
  <c r="AQ365" i="4"/>
  <c r="AO365" i="4"/>
  <c r="AH365" i="4"/>
  <c r="AM365" i="4" s="1"/>
  <c r="AF365" i="4"/>
  <c r="AD365" i="4"/>
  <c r="Z365" i="4"/>
  <c r="W365" i="4"/>
  <c r="U365" i="4"/>
  <c r="S365" i="4"/>
  <c r="N365" i="4"/>
  <c r="K365" i="4"/>
  <c r="E365" i="4"/>
  <c r="B365" i="4"/>
  <c r="B375" i="4" s="1"/>
  <c r="AH364" i="4"/>
  <c r="AF364" i="4"/>
  <c r="AD364" i="4"/>
  <c r="Z364" i="4"/>
  <c r="W364" i="4"/>
  <c r="S364" i="4"/>
  <c r="P364" i="4"/>
  <c r="U364" i="4" s="1"/>
  <c r="N364" i="4"/>
  <c r="K364" i="4"/>
  <c r="H364" i="4"/>
  <c r="E364" i="4"/>
  <c r="BE357" i="4"/>
  <c r="BE14" i="4" s="1"/>
  <c r="BC357" i="4"/>
  <c r="BC14" i="4" s="1"/>
  <c r="BA357" i="4"/>
  <c r="BA14" i="4" s="1"/>
  <c r="AY357" i="4"/>
  <c r="AY14" i="4" s="1"/>
  <c r="AW357" i="4"/>
  <c r="AW14" i="4" s="1"/>
  <c r="AU357" i="4"/>
  <c r="AU14" i="4" s="1"/>
  <c r="AS357" i="4"/>
  <c r="AS14" i="4" s="1"/>
  <c r="AQ357" i="4"/>
  <c r="AQ14" i="4" s="1"/>
  <c r="AO357" i="4"/>
  <c r="AO14" i="4" s="1"/>
  <c r="AH357" i="4"/>
  <c r="AH14" i="4" s="1"/>
  <c r="AM14" i="4" s="1"/>
  <c r="AE357" i="4"/>
  <c r="AE14" i="4" s="1"/>
  <c r="AC357" i="4"/>
  <c r="Y357" i="4"/>
  <c r="Y14" i="4" s="1"/>
  <c r="V357" i="4"/>
  <c r="T357" i="4"/>
  <c r="T14" i="4" s="1"/>
  <c r="R357" i="4"/>
  <c r="P357" i="4"/>
  <c r="P14" i="4" s="1"/>
  <c r="L357" i="4"/>
  <c r="L14" i="4" s="1"/>
  <c r="J357" i="4"/>
  <c r="J14" i="4" s="1"/>
  <c r="F357" i="4"/>
  <c r="F14" i="4" s="1"/>
  <c r="D357" i="4"/>
  <c r="D14" i="4" s="1"/>
  <c r="AF356" i="4"/>
  <c r="AD356" i="4"/>
  <c r="Z356" i="4"/>
  <c r="W356" i="4"/>
  <c r="U356" i="4"/>
  <c r="S356" i="4"/>
  <c r="N356" i="4"/>
  <c r="K356" i="4"/>
  <c r="H356" i="4"/>
  <c r="E356" i="4"/>
  <c r="AF355" i="4"/>
  <c r="AD355" i="4"/>
  <c r="Z355" i="4"/>
  <c r="W355" i="4"/>
  <c r="U355" i="4"/>
  <c r="S355" i="4"/>
  <c r="N355" i="4"/>
  <c r="K355" i="4"/>
  <c r="H355" i="4"/>
  <c r="E355" i="4"/>
  <c r="AF354" i="4"/>
  <c r="AD354" i="4"/>
  <c r="Z354" i="4"/>
  <c r="W354" i="4"/>
  <c r="U354" i="4"/>
  <c r="S354" i="4"/>
  <c r="N354" i="4"/>
  <c r="K354" i="4"/>
  <c r="H354" i="4"/>
  <c r="E354" i="4"/>
  <c r="AF353" i="4"/>
  <c r="AD353" i="4"/>
  <c r="Z353" i="4"/>
  <c r="W353" i="4"/>
  <c r="U353" i="4"/>
  <c r="S353" i="4"/>
  <c r="N353" i="4"/>
  <c r="K353" i="4"/>
  <c r="H353" i="4"/>
  <c r="E353" i="4"/>
  <c r="AF352" i="4"/>
  <c r="AD352" i="4"/>
  <c r="Z352" i="4"/>
  <c r="W352" i="4"/>
  <c r="U352" i="4"/>
  <c r="S352" i="4"/>
  <c r="N352" i="4"/>
  <c r="K352" i="4"/>
  <c r="H352" i="4"/>
  <c r="E352" i="4"/>
  <c r="AF351" i="4"/>
  <c r="AD351" i="4"/>
  <c r="Z351" i="4"/>
  <c r="W351" i="4"/>
  <c r="U351" i="4"/>
  <c r="S351" i="4"/>
  <c r="N351" i="4"/>
  <c r="K351" i="4"/>
  <c r="H351" i="4"/>
  <c r="E351" i="4"/>
  <c r="AF350" i="4"/>
  <c r="AD350" i="4"/>
  <c r="Z350" i="4"/>
  <c r="W350" i="4"/>
  <c r="U350" i="4"/>
  <c r="S350" i="4"/>
  <c r="N350" i="4"/>
  <c r="K350" i="4"/>
  <c r="H350" i="4"/>
  <c r="E350" i="4"/>
  <c r="AF349" i="4"/>
  <c r="AD349" i="4"/>
  <c r="Z349" i="4"/>
  <c r="W349" i="4"/>
  <c r="U349" i="4"/>
  <c r="S349" i="4"/>
  <c r="N349" i="4"/>
  <c r="K349" i="4"/>
  <c r="H349" i="4"/>
  <c r="E349" i="4"/>
  <c r="AF348" i="4"/>
  <c r="AD348" i="4"/>
  <c r="Z348" i="4"/>
  <c r="W348" i="4"/>
  <c r="U348" i="4"/>
  <c r="S348" i="4"/>
  <c r="N348" i="4"/>
  <c r="K348" i="4"/>
  <c r="H348" i="4"/>
  <c r="E348" i="4"/>
  <c r="AF346" i="4"/>
  <c r="AD346" i="4"/>
  <c r="Z346" i="4"/>
  <c r="W346" i="4"/>
  <c r="U346" i="4"/>
  <c r="S346" i="4"/>
  <c r="N346" i="4"/>
  <c r="K346" i="4"/>
  <c r="H346" i="4"/>
  <c r="E346" i="4"/>
  <c r="AF344" i="4"/>
  <c r="AD344" i="4"/>
  <c r="Z344" i="4"/>
  <c r="W344" i="4"/>
  <c r="U344" i="4"/>
  <c r="S344" i="4"/>
  <c r="N344" i="4"/>
  <c r="K344" i="4"/>
  <c r="E344" i="4"/>
  <c r="B344" i="4"/>
  <c r="AF343" i="4"/>
  <c r="AF30" i="4" s="1"/>
  <c r="AF32" i="4" s="1"/>
  <c r="AD343" i="4"/>
  <c r="Z343" i="4"/>
  <c r="W343" i="4"/>
  <c r="U343" i="4"/>
  <c r="S343" i="4"/>
  <c r="N343" i="4"/>
  <c r="K343" i="4"/>
  <c r="E343" i="4"/>
  <c r="B343" i="4"/>
  <c r="B30" i="4" s="1"/>
  <c r="BE341" i="4"/>
  <c r="BC341" i="4"/>
  <c r="AE335" i="4"/>
  <c r="AC335" i="4"/>
  <c r="Y335" i="4"/>
  <c r="V335" i="4"/>
  <c r="T335" i="4"/>
  <c r="R335" i="4"/>
  <c r="L335" i="4"/>
  <c r="J335" i="4"/>
  <c r="F335" i="4"/>
  <c r="D335" i="4"/>
  <c r="B335" i="4"/>
  <c r="AH334" i="4"/>
  <c r="AF334" i="4"/>
  <c r="AD334" i="4"/>
  <c r="Z334" i="4"/>
  <c r="W334" i="4"/>
  <c r="S334" i="4"/>
  <c r="P334" i="4"/>
  <c r="U334" i="4" s="1"/>
  <c r="N334" i="4"/>
  <c r="K334" i="4"/>
  <c r="H334" i="4"/>
  <c r="E334" i="4"/>
  <c r="AO333" i="4"/>
  <c r="AQ333" i="4" s="1"/>
  <c r="AS333" i="4" s="1"/>
  <c r="AU333" i="4" s="1"/>
  <c r="AW333" i="4" s="1"/>
  <c r="AY333" i="4" s="1"/>
  <c r="BA333" i="4" s="1"/>
  <c r="BC333" i="4" s="1"/>
  <c r="BE333" i="4" s="1"/>
  <c r="AF333" i="4"/>
  <c r="AD333" i="4"/>
  <c r="Z333" i="4"/>
  <c r="W333" i="4"/>
  <c r="U333" i="4"/>
  <c r="S333" i="4"/>
  <c r="N333" i="4"/>
  <c r="K333" i="4"/>
  <c r="H333" i="4"/>
  <c r="E333" i="4"/>
  <c r="AF332" i="4"/>
  <c r="AD332" i="4"/>
  <c r="Z332" i="4"/>
  <c r="W332" i="4"/>
  <c r="U332" i="4"/>
  <c r="S332" i="4"/>
  <c r="N332" i="4"/>
  <c r="K332" i="4"/>
  <c r="H332" i="4"/>
  <c r="E332" i="4"/>
  <c r="AF331" i="4"/>
  <c r="AD331" i="4"/>
  <c r="Z331" i="4"/>
  <c r="W331" i="4"/>
  <c r="U331" i="4"/>
  <c r="S331" i="4"/>
  <c r="N331" i="4"/>
  <c r="K331" i="4"/>
  <c r="H331" i="4"/>
  <c r="E331" i="4"/>
  <c r="AF330" i="4"/>
  <c r="AD330" i="4"/>
  <c r="Z330" i="4"/>
  <c r="W330" i="4"/>
  <c r="U330" i="4"/>
  <c r="S330" i="4"/>
  <c r="N330" i="4"/>
  <c r="K330" i="4"/>
  <c r="H330" i="4"/>
  <c r="E330" i="4"/>
  <c r="AH329" i="4"/>
  <c r="AM329" i="4" s="1"/>
  <c r="AF329" i="4"/>
  <c r="AD329" i="4"/>
  <c r="Z329" i="4"/>
  <c r="W329" i="4"/>
  <c r="S329" i="4"/>
  <c r="P329" i="4"/>
  <c r="P335" i="4" s="1"/>
  <c r="N329" i="4"/>
  <c r="K329" i="4"/>
  <c r="H329" i="4"/>
  <c r="E329" i="4"/>
  <c r="AF328" i="4"/>
  <c r="AD328" i="4"/>
  <c r="Z328" i="4"/>
  <c r="W328" i="4"/>
  <c r="U328" i="4"/>
  <c r="S328" i="4"/>
  <c r="N328" i="4"/>
  <c r="K328" i="4"/>
  <c r="H328" i="4"/>
  <c r="E328" i="4"/>
  <c r="AF327" i="4"/>
  <c r="AD327" i="4"/>
  <c r="Z327" i="4"/>
  <c r="W327" i="4"/>
  <c r="U327" i="4"/>
  <c r="S327" i="4"/>
  <c r="N327" i="4"/>
  <c r="K327" i="4"/>
  <c r="H327" i="4"/>
  <c r="E327" i="4"/>
  <c r="AF326" i="4"/>
  <c r="AD326" i="4"/>
  <c r="Z326" i="4"/>
  <c r="W326" i="4"/>
  <c r="U326" i="4"/>
  <c r="S326" i="4"/>
  <c r="N326" i="4"/>
  <c r="K326" i="4"/>
  <c r="H326" i="4"/>
  <c r="E326" i="4"/>
  <c r="AO323" i="4"/>
  <c r="AH323" i="4"/>
  <c r="AE323" i="4"/>
  <c r="AC323" i="4"/>
  <c r="Y323" i="4"/>
  <c r="V323" i="4"/>
  <c r="T323" i="4"/>
  <c r="R323" i="4"/>
  <c r="P323" i="4"/>
  <c r="J323" i="4"/>
  <c r="F323" i="4"/>
  <c r="D323" i="4"/>
  <c r="B323" i="4"/>
  <c r="AQ322" i="4"/>
  <c r="AF322" i="4"/>
  <c r="AF323" i="4" s="1"/>
  <c r="AD322" i="4"/>
  <c r="AD323" i="4" s="1"/>
  <c r="Z322" i="4"/>
  <c r="W322" i="4"/>
  <c r="W323" i="4" s="1"/>
  <c r="U322" i="4"/>
  <c r="U323" i="4" s="1"/>
  <c r="S322" i="4"/>
  <c r="S323" i="4" s="1"/>
  <c r="N322" i="4"/>
  <c r="N323" i="4" s="1"/>
  <c r="K322" i="4"/>
  <c r="K323" i="4" s="1"/>
  <c r="H322" i="4"/>
  <c r="H323" i="4" s="1"/>
  <c r="E322" i="4"/>
  <c r="E323" i="4" s="1"/>
  <c r="AQ321" i="4"/>
  <c r="AS321" i="4" s="1"/>
  <c r="Z319" i="4"/>
  <c r="AH317" i="4"/>
  <c r="AE317" i="4"/>
  <c r="AC317" i="4"/>
  <c r="Y317" i="4"/>
  <c r="V317" i="4"/>
  <c r="T317" i="4"/>
  <c r="R317" i="4"/>
  <c r="L317" i="4"/>
  <c r="J317" i="4"/>
  <c r="F317" i="4"/>
  <c r="D317" i="4"/>
  <c r="B317" i="4"/>
  <c r="AO316" i="4"/>
  <c r="AQ316" i="4" s="1"/>
  <c r="AS316" i="4" s="1"/>
  <c r="AU316" i="4" s="1"/>
  <c r="AW316" i="4" s="1"/>
  <c r="AY316" i="4" s="1"/>
  <c r="BA316" i="4" s="1"/>
  <c r="BC316" i="4" s="1"/>
  <c r="BE316" i="4" s="1"/>
  <c r="AF316" i="4"/>
  <c r="AD316" i="4"/>
  <c r="Z316" i="4"/>
  <c r="W316" i="4"/>
  <c r="S316" i="4"/>
  <c r="P316" i="4"/>
  <c r="U316" i="4" s="1"/>
  <c r="N316" i="4"/>
  <c r="K316" i="4"/>
  <c r="H316" i="4"/>
  <c r="E316" i="4"/>
  <c r="AF315" i="4"/>
  <c r="AD315" i="4"/>
  <c r="Z315" i="4"/>
  <c r="W315" i="4"/>
  <c r="U315" i="4"/>
  <c r="S315" i="4"/>
  <c r="N315" i="4"/>
  <c r="K315" i="4"/>
  <c r="H315" i="4"/>
  <c r="E315" i="4"/>
  <c r="AF314" i="4"/>
  <c r="AD314" i="4"/>
  <c r="Z314" i="4"/>
  <c r="W314" i="4"/>
  <c r="U314" i="4"/>
  <c r="S314" i="4"/>
  <c r="N314" i="4"/>
  <c r="K314" i="4"/>
  <c r="H314" i="4"/>
  <c r="E314" i="4"/>
  <c r="AO313" i="4"/>
  <c r="AQ313" i="4" s="1"/>
  <c r="AS313" i="4" s="1"/>
  <c r="AU313" i="4" s="1"/>
  <c r="AW313" i="4" s="1"/>
  <c r="AY313" i="4" s="1"/>
  <c r="BA313" i="4" s="1"/>
  <c r="BC313" i="4" s="1"/>
  <c r="BE313" i="4" s="1"/>
  <c r="AF313" i="4"/>
  <c r="AD313" i="4"/>
  <c r="Z313" i="4"/>
  <c r="W313" i="4"/>
  <c r="S313" i="4"/>
  <c r="P313" i="4"/>
  <c r="U313" i="4" s="1"/>
  <c r="N313" i="4"/>
  <c r="K313" i="4"/>
  <c r="H313" i="4"/>
  <c r="E313" i="4"/>
  <c r="AO312" i="4"/>
  <c r="AQ312" i="4" s="1"/>
  <c r="AS312" i="4" s="1"/>
  <c r="AU312" i="4" s="1"/>
  <c r="AW312" i="4" s="1"/>
  <c r="AY312" i="4" s="1"/>
  <c r="BA312" i="4" s="1"/>
  <c r="BC312" i="4" s="1"/>
  <c r="BE312" i="4" s="1"/>
  <c r="AF312" i="4"/>
  <c r="AD312" i="4"/>
  <c r="Z312" i="4"/>
  <c r="W312" i="4"/>
  <c r="S312" i="4"/>
  <c r="P312" i="4"/>
  <c r="U312" i="4" s="1"/>
  <c r="N312" i="4"/>
  <c r="K312" i="4"/>
  <c r="H312" i="4"/>
  <c r="E312" i="4"/>
  <c r="AO311" i="4"/>
  <c r="AQ311" i="4" s="1"/>
  <c r="AS311" i="4" s="1"/>
  <c r="AF311" i="4"/>
  <c r="AD311" i="4"/>
  <c r="Z311" i="4"/>
  <c r="W311" i="4"/>
  <c r="S311" i="4"/>
  <c r="P311" i="4"/>
  <c r="N311" i="4"/>
  <c r="K311" i="4"/>
  <c r="H311" i="4"/>
  <c r="E311" i="4"/>
  <c r="AF310" i="4"/>
  <c r="AD310" i="4"/>
  <c r="AE307" i="4"/>
  <c r="AC307" i="4"/>
  <c r="Y307" i="4"/>
  <c r="V307" i="4"/>
  <c r="T307" i="4"/>
  <c r="R307" i="4"/>
  <c r="L307" i="4"/>
  <c r="J307" i="4"/>
  <c r="F307" i="4"/>
  <c r="D307" i="4"/>
  <c r="B307" i="4"/>
  <c r="AF306" i="4"/>
  <c r="AD306" i="4"/>
  <c r="N306" i="4"/>
  <c r="K306" i="4"/>
  <c r="H306" i="4"/>
  <c r="E306" i="4"/>
  <c r="AH305" i="4"/>
  <c r="AF305" i="4"/>
  <c r="AD305" i="4"/>
  <c r="Z305" i="4"/>
  <c r="Z307" i="4" s="1"/>
  <c r="W305" i="4"/>
  <c r="W307" i="4" s="1"/>
  <c r="S305" i="4"/>
  <c r="S307" i="4" s="1"/>
  <c r="P305" i="4"/>
  <c r="P307" i="4" s="1"/>
  <c r="N305" i="4"/>
  <c r="K305" i="4"/>
  <c r="H305" i="4"/>
  <c r="E305" i="4"/>
  <c r="AE301" i="4"/>
  <c r="AC301" i="4"/>
  <c r="Y301" i="4"/>
  <c r="V301" i="4"/>
  <c r="T301" i="4"/>
  <c r="R301" i="4"/>
  <c r="L301" i="4"/>
  <c r="J301" i="4"/>
  <c r="F301" i="4"/>
  <c r="D301" i="4"/>
  <c r="B301" i="4"/>
  <c r="AF300" i="4"/>
  <c r="AD300" i="4"/>
  <c r="Z300" i="4"/>
  <c r="W300" i="4"/>
  <c r="U300" i="4"/>
  <c r="S300" i="4"/>
  <c r="N300" i="4"/>
  <c r="K300" i="4"/>
  <c r="H300" i="4"/>
  <c r="E300" i="4"/>
  <c r="AF299" i="4"/>
  <c r="AD299" i="4"/>
  <c r="Z299" i="4"/>
  <c r="W299" i="4"/>
  <c r="U299" i="4"/>
  <c r="S299" i="4"/>
  <c r="N299" i="4"/>
  <c r="K299" i="4"/>
  <c r="H299" i="4"/>
  <c r="E299" i="4"/>
  <c r="AF298" i="4"/>
  <c r="AD298" i="4"/>
  <c r="AF297" i="4"/>
  <c r="AD297" i="4"/>
  <c r="Z297" i="4"/>
  <c r="W297" i="4"/>
  <c r="U297" i="4"/>
  <c r="S297" i="4"/>
  <c r="N297" i="4"/>
  <c r="K297" i="4"/>
  <c r="H297" i="4"/>
  <c r="E297" i="4"/>
  <c r="AF296" i="4"/>
  <c r="AD296" i="4"/>
  <c r="Z296" i="4"/>
  <c r="W296" i="4"/>
  <c r="U296" i="4"/>
  <c r="S296" i="4"/>
  <c r="N296" i="4"/>
  <c r="K296" i="4"/>
  <c r="H296" i="4"/>
  <c r="E296" i="4"/>
  <c r="AF295" i="4"/>
  <c r="AD295" i="4"/>
  <c r="Z295" i="4"/>
  <c r="W295" i="4"/>
  <c r="U295" i="4"/>
  <c r="S295" i="4"/>
  <c r="N295" i="4"/>
  <c r="K295" i="4"/>
  <c r="H295" i="4"/>
  <c r="E295" i="4"/>
  <c r="AF294" i="4"/>
  <c r="AD294" i="4"/>
  <c r="Z294" i="4"/>
  <c r="W294" i="4"/>
  <c r="U294" i="4"/>
  <c r="S294" i="4"/>
  <c r="N294" i="4"/>
  <c r="K294" i="4"/>
  <c r="H294" i="4"/>
  <c r="E294" i="4"/>
  <c r="AF293" i="4"/>
  <c r="AD293" i="4"/>
  <c r="Z293" i="4"/>
  <c r="W293" i="4"/>
  <c r="U293" i="4"/>
  <c r="S293" i="4"/>
  <c r="N293" i="4"/>
  <c r="K293" i="4"/>
  <c r="H293" i="4"/>
  <c r="E293" i="4"/>
  <c r="AF292" i="4"/>
  <c r="AD292" i="4"/>
  <c r="Z292" i="4"/>
  <c r="W292" i="4"/>
  <c r="U292" i="4"/>
  <c r="S292" i="4"/>
  <c r="N292" i="4"/>
  <c r="K292" i="4"/>
  <c r="H292" i="4"/>
  <c r="E292" i="4"/>
  <c r="AF291" i="4"/>
  <c r="AD291" i="4"/>
  <c r="Z291" i="4"/>
  <c r="W291" i="4"/>
  <c r="U291" i="4"/>
  <c r="S291" i="4"/>
  <c r="N291" i="4"/>
  <c r="K291" i="4"/>
  <c r="H291" i="4"/>
  <c r="E291" i="4"/>
  <c r="AH290" i="4"/>
  <c r="AF290" i="4"/>
  <c r="AD290" i="4"/>
  <c r="Z290" i="4"/>
  <c r="W290" i="4"/>
  <c r="S290" i="4"/>
  <c r="P290" i="4"/>
  <c r="P301" i="4" s="1"/>
  <c r="N290" i="4"/>
  <c r="K290" i="4"/>
  <c r="H290" i="4"/>
  <c r="E290" i="4"/>
  <c r="AF289" i="4"/>
  <c r="AD289" i="4"/>
  <c r="Z289" i="4"/>
  <c r="W289" i="4"/>
  <c r="U289" i="4"/>
  <c r="S289" i="4"/>
  <c r="N289" i="4"/>
  <c r="K289" i="4"/>
  <c r="AF288" i="4"/>
  <c r="AD288" i="4"/>
  <c r="Z288" i="4"/>
  <c r="W288" i="4"/>
  <c r="U288" i="4"/>
  <c r="S288" i="4"/>
  <c r="N288" i="4"/>
  <c r="K288" i="4"/>
  <c r="AF287" i="4"/>
  <c r="AD287" i="4"/>
  <c r="Z287" i="4"/>
  <c r="W287" i="4"/>
  <c r="U287" i="4"/>
  <c r="S287" i="4"/>
  <c r="N287" i="4"/>
  <c r="K287" i="4"/>
  <c r="AF286" i="4"/>
  <c r="AD286" i="4"/>
  <c r="Z286" i="4"/>
  <c r="W286" i="4"/>
  <c r="U286" i="4"/>
  <c r="S286" i="4"/>
  <c r="N286" i="4"/>
  <c r="K286" i="4"/>
  <c r="H286" i="4"/>
  <c r="E286" i="4"/>
  <c r="AF285" i="4"/>
  <c r="AD285" i="4"/>
  <c r="Z285" i="4"/>
  <c r="W285" i="4"/>
  <c r="U285" i="4"/>
  <c r="S285" i="4"/>
  <c r="N285" i="4"/>
  <c r="K285" i="4"/>
  <c r="H285" i="4"/>
  <c r="E285" i="4"/>
  <c r="AF284" i="4"/>
  <c r="AD284" i="4"/>
  <c r="Z284" i="4"/>
  <c r="W284" i="4"/>
  <c r="U284" i="4"/>
  <c r="S284" i="4"/>
  <c r="N284" i="4"/>
  <c r="K284" i="4"/>
  <c r="H284" i="4"/>
  <c r="E284" i="4"/>
  <c r="AF283" i="4"/>
  <c r="AD283" i="4"/>
  <c r="Z283" i="4"/>
  <c r="W283" i="4"/>
  <c r="U283" i="4"/>
  <c r="S283" i="4"/>
  <c r="N283" i="4"/>
  <c r="K283" i="4"/>
  <c r="H283" i="4"/>
  <c r="E283" i="4"/>
  <c r="AF282" i="4"/>
  <c r="AD282" i="4"/>
  <c r="Z282" i="4"/>
  <c r="W282" i="4"/>
  <c r="U282" i="4"/>
  <c r="S282" i="4"/>
  <c r="N282" i="4"/>
  <c r="K282" i="4"/>
  <c r="H282" i="4"/>
  <c r="E282" i="4"/>
  <c r="AF281" i="4"/>
  <c r="AD281" i="4"/>
  <c r="Z281" i="4"/>
  <c r="W281" i="4"/>
  <c r="U281" i="4"/>
  <c r="S281" i="4"/>
  <c r="N281" i="4"/>
  <c r="K281" i="4"/>
  <c r="H281" i="4"/>
  <c r="E281" i="4"/>
  <c r="AF280" i="4"/>
  <c r="AD280" i="4"/>
  <c r="Z280" i="4"/>
  <c r="W280" i="4"/>
  <c r="U280" i="4"/>
  <c r="S280" i="4"/>
  <c r="N280" i="4"/>
  <c r="K280" i="4"/>
  <c r="H280" i="4"/>
  <c r="E280" i="4"/>
  <c r="AF279" i="4"/>
  <c r="AD279" i="4"/>
  <c r="Z279" i="4"/>
  <c r="W279" i="4"/>
  <c r="U279" i="4"/>
  <c r="S279" i="4"/>
  <c r="N279" i="4"/>
  <c r="K279" i="4"/>
  <c r="H279" i="4"/>
  <c r="E279" i="4"/>
  <c r="AF278" i="4"/>
  <c r="AD278" i="4"/>
  <c r="Z278" i="4"/>
  <c r="W278" i="4"/>
  <c r="U278" i="4"/>
  <c r="S278" i="4"/>
  <c r="N278" i="4"/>
  <c r="K278" i="4"/>
  <c r="H278" i="4"/>
  <c r="E278" i="4"/>
  <c r="AF277" i="4"/>
  <c r="AD277" i="4"/>
  <c r="Z277" i="4"/>
  <c r="W277" i="4"/>
  <c r="U277" i="4"/>
  <c r="S277" i="4"/>
  <c r="N277" i="4"/>
  <c r="K277" i="4"/>
  <c r="H277" i="4"/>
  <c r="E277" i="4"/>
  <c r="AF276" i="4"/>
  <c r="AD276" i="4"/>
  <c r="Z276" i="4"/>
  <c r="W276" i="4"/>
  <c r="U276" i="4"/>
  <c r="S276" i="4"/>
  <c r="N276" i="4"/>
  <c r="K276" i="4"/>
  <c r="H276" i="4"/>
  <c r="E276" i="4"/>
  <c r="AF275" i="4"/>
  <c r="AD275" i="4"/>
  <c r="Z275" i="4"/>
  <c r="W275" i="4"/>
  <c r="U275" i="4"/>
  <c r="S275" i="4"/>
  <c r="N275" i="4"/>
  <c r="K275" i="4"/>
  <c r="H275" i="4"/>
  <c r="E275" i="4"/>
  <c r="AF274" i="4"/>
  <c r="AD274" i="4"/>
  <c r="Z274" i="4"/>
  <c r="W274" i="4"/>
  <c r="U274" i="4"/>
  <c r="S274" i="4"/>
  <c r="N274" i="4"/>
  <c r="K274" i="4"/>
  <c r="H274" i="4"/>
  <c r="E274" i="4"/>
  <c r="AF273" i="4"/>
  <c r="AD273" i="4"/>
  <c r="AF272" i="4"/>
  <c r="AD272" i="4"/>
  <c r="N272" i="4"/>
  <c r="K272" i="4"/>
  <c r="H272" i="4"/>
  <c r="E272" i="4"/>
  <c r="N271" i="4"/>
  <c r="K271" i="4"/>
  <c r="H271" i="4"/>
  <c r="E271" i="4"/>
  <c r="BE268" i="4"/>
  <c r="BC268" i="4"/>
  <c r="BA268" i="4"/>
  <c r="AY268" i="4"/>
  <c r="AW268" i="4"/>
  <c r="AU268" i="4"/>
  <c r="AS268" i="4"/>
  <c r="AQ268" i="4"/>
  <c r="AH268" i="4"/>
  <c r="AE268" i="4"/>
  <c r="AC268" i="4"/>
  <c r="Y268" i="4"/>
  <c r="V268" i="4"/>
  <c r="T268" i="4"/>
  <c r="R268" i="4"/>
  <c r="P268" i="4"/>
  <c r="L268" i="4"/>
  <c r="J268" i="4"/>
  <c r="F268" i="4"/>
  <c r="D268" i="4"/>
  <c r="B268" i="4"/>
  <c r="AF266" i="4"/>
  <c r="AD266" i="4"/>
  <c r="Z266" i="4"/>
  <c r="W266" i="4"/>
  <c r="U266" i="4"/>
  <c r="S266" i="4"/>
  <c r="N266" i="4"/>
  <c r="K266" i="4"/>
  <c r="H266" i="4"/>
  <c r="E266" i="4"/>
  <c r="AF265" i="4"/>
  <c r="AD265" i="4"/>
  <c r="Z265" i="4"/>
  <c r="W265" i="4"/>
  <c r="AF264" i="4"/>
  <c r="AD264" i="4"/>
  <c r="Z264" i="4"/>
  <c r="W264" i="4"/>
  <c r="U264" i="4"/>
  <c r="S264" i="4"/>
  <c r="N264" i="4"/>
  <c r="K264" i="4"/>
  <c r="H264" i="4"/>
  <c r="E264" i="4"/>
  <c r="AF263" i="4"/>
  <c r="AD263" i="4"/>
  <c r="Z263" i="4"/>
  <c r="W263" i="4"/>
  <c r="U263" i="4"/>
  <c r="S263" i="4"/>
  <c r="N263" i="4"/>
  <c r="K263" i="4"/>
  <c r="H263" i="4"/>
  <c r="E263" i="4"/>
  <c r="AF262" i="4"/>
  <c r="AD262" i="4"/>
  <c r="Z262" i="4"/>
  <c r="W262" i="4"/>
  <c r="U262" i="4"/>
  <c r="S262" i="4"/>
  <c r="N262" i="4"/>
  <c r="K262" i="4"/>
  <c r="H262" i="4"/>
  <c r="E262" i="4"/>
  <c r="AF261" i="4"/>
  <c r="AD261" i="4"/>
  <c r="Z261" i="4"/>
  <c r="W261" i="4"/>
  <c r="U261" i="4"/>
  <c r="S261" i="4"/>
  <c r="N261" i="4"/>
  <c r="K261" i="4"/>
  <c r="H261" i="4"/>
  <c r="E261" i="4"/>
  <c r="AF260" i="4"/>
  <c r="AD260" i="4"/>
  <c r="Z260" i="4"/>
  <c r="W260" i="4"/>
  <c r="U260" i="4"/>
  <c r="S260" i="4"/>
  <c r="N260" i="4"/>
  <c r="K260" i="4"/>
  <c r="H260" i="4"/>
  <c r="E260" i="4"/>
  <c r="AF259" i="4"/>
  <c r="AD259" i="4"/>
  <c r="Z259" i="4"/>
  <c r="W259" i="4"/>
  <c r="U259" i="4"/>
  <c r="S259" i="4"/>
  <c r="N259" i="4"/>
  <c r="K259" i="4"/>
  <c r="H259" i="4"/>
  <c r="E259" i="4"/>
  <c r="AF258" i="4"/>
  <c r="AD258" i="4"/>
  <c r="Z258" i="4"/>
  <c r="W258" i="4"/>
  <c r="U258" i="4"/>
  <c r="S258" i="4"/>
  <c r="N258" i="4"/>
  <c r="K258" i="4"/>
  <c r="H258" i="4"/>
  <c r="E258" i="4"/>
  <c r="AF257" i="4"/>
  <c r="AD257" i="4"/>
  <c r="Z257" i="4"/>
  <c r="W257" i="4"/>
  <c r="U257" i="4"/>
  <c r="S257" i="4"/>
  <c r="N257" i="4"/>
  <c r="K257" i="4"/>
  <c r="H257" i="4"/>
  <c r="E257" i="4"/>
  <c r="AF256" i="4"/>
  <c r="AD256" i="4"/>
  <c r="Z256" i="4"/>
  <c r="W256" i="4"/>
  <c r="U256" i="4"/>
  <c r="S256" i="4"/>
  <c r="N256" i="4"/>
  <c r="K256" i="4"/>
  <c r="H256" i="4"/>
  <c r="E256" i="4"/>
  <c r="AF255" i="4"/>
  <c r="AD255" i="4"/>
  <c r="Z255" i="4"/>
  <c r="W255" i="4"/>
  <c r="U255" i="4"/>
  <c r="S255" i="4"/>
  <c r="N255" i="4"/>
  <c r="K255" i="4"/>
  <c r="H255" i="4"/>
  <c r="E255" i="4"/>
  <c r="AF254" i="4"/>
  <c r="AD254" i="4"/>
  <c r="Z254" i="4"/>
  <c r="W254" i="4"/>
  <c r="U254" i="4"/>
  <c r="S254" i="4"/>
  <c r="N254" i="4"/>
  <c r="K254" i="4"/>
  <c r="H254" i="4"/>
  <c r="E254" i="4"/>
  <c r="AO253" i="4"/>
  <c r="AO699" i="4" s="1"/>
  <c r="AF253" i="4"/>
  <c r="AD253" i="4"/>
  <c r="Z253" i="4"/>
  <c r="W253" i="4"/>
  <c r="U253" i="4"/>
  <c r="S253" i="4"/>
  <c r="N253" i="4"/>
  <c r="K253" i="4"/>
  <c r="H253" i="4"/>
  <c r="E253" i="4"/>
  <c r="BE251" i="4"/>
  <c r="BC251" i="4"/>
  <c r="BA251" i="4"/>
  <c r="AY251" i="4"/>
  <c r="AW251" i="4"/>
  <c r="AU251" i="4"/>
  <c r="AS251" i="4"/>
  <c r="AQ251" i="4"/>
  <c r="AO251" i="4"/>
  <c r="AH251" i="4"/>
  <c r="AD251" i="4"/>
  <c r="AC251" i="4"/>
  <c r="AF251" i="4" s="1"/>
  <c r="Z251" i="4"/>
  <c r="Y251" i="4"/>
  <c r="W251" i="4"/>
  <c r="V251" i="4"/>
  <c r="U251" i="4"/>
  <c r="T251" i="4"/>
  <c r="S251" i="4"/>
  <c r="R251" i="4"/>
  <c r="P251" i="4"/>
  <c r="N251" i="4"/>
  <c r="L251" i="4"/>
  <c r="K251" i="4"/>
  <c r="J251" i="4"/>
  <c r="H251" i="4"/>
  <c r="F251" i="4"/>
  <c r="E251" i="4"/>
  <c r="D251" i="4"/>
  <c r="B251" i="4"/>
  <c r="BE247" i="4"/>
  <c r="BC247" i="4"/>
  <c r="BA247" i="4"/>
  <c r="AY247" i="4"/>
  <c r="AW247" i="4"/>
  <c r="AU247" i="4"/>
  <c r="AS247" i="4"/>
  <c r="AQ247" i="4"/>
  <c r="AO247" i="4"/>
  <c r="AH247" i="4"/>
  <c r="AC247" i="4"/>
  <c r="AF247" i="4" s="1"/>
  <c r="Z247" i="4"/>
  <c r="Y247" i="4"/>
  <c r="W247" i="4"/>
  <c r="V247" i="4"/>
  <c r="U247" i="4"/>
  <c r="T247" i="4"/>
  <c r="S247" i="4"/>
  <c r="R247" i="4"/>
  <c r="P247" i="4"/>
  <c r="K247" i="4"/>
  <c r="H247" i="4"/>
  <c r="F247" i="4"/>
  <c r="E247" i="4"/>
  <c r="D247" i="4"/>
  <c r="B247" i="4"/>
  <c r="BE242" i="4"/>
  <c r="BC242" i="4"/>
  <c r="BA242" i="4"/>
  <c r="AY242" i="4"/>
  <c r="AW242" i="4"/>
  <c r="AU242" i="4"/>
  <c r="AS242" i="4"/>
  <c r="AQ242" i="4"/>
  <c r="AO242" i="4"/>
  <c r="AH242" i="4"/>
  <c r="AE242" i="4"/>
  <c r="AC242" i="4"/>
  <c r="Y242" i="4"/>
  <c r="V242" i="4"/>
  <c r="T242" i="4"/>
  <c r="R242" i="4"/>
  <c r="P242" i="4"/>
  <c r="L242" i="4"/>
  <c r="J242" i="4"/>
  <c r="F242" i="4"/>
  <c r="D242" i="4"/>
  <c r="B242" i="4"/>
  <c r="AF241" i="4"/>
  <c r="AF242" i="4" s="1"/>
  <c r="AD241" i="4"/>
  <c r="AD242" i="4" s="1"/>
  <c r="Z241" i="4"/>
  <c r="Z242" i="4" s="1"/>
  <c r="W241" i="4"/>
  <c r="W242" i="4" s="1"/>
  <c r="U241" i="4"/>
  <c r="U242" i="4" s="1"/>
  <c r="S241" i="4"/>
  <c r="S242" i="4" s="1"/>
  <c r="N241" i="4"/>
  <c r="K241" i="4"/>
  <c r="H241" i="4"/>
  <c r="H242" i="4" s="1"/>
  <c r="E241" i="4"/>
  <c r="E242" i="4" s="1"/>
  <c r="N239" i="4"/>
  <c r="N242" i="4" s="1"/>
  <c r="K239" i="4"/>
  <c r="K242" i="4" s="1"/>
  <c r="N236" i="4"/>
  <c r="K236" i="4"/>
  <c r="E236" i="4"/>
  <c r="AH233" i="4"/>
  <c r="AE233" i="4"/>
  <c r="AC233" i="4"/>
  <c r="Y233" i="4"/>
  <c r="V233" i="4"/>
  <c r="T233" i="4"/>
  <c r="R233" i="4"/>
  <c r="P233" i="4"/>
  <c r="L233" i="4"/>
  <c r="J233" i="4"/>
  <c r="F233" i="4"/>
  <c r="D233" i="4"/>
  <c r="B233" i="4"/>
  <c r="AF232" i="4"/>
  <c r="AD232" i="4"/>
  <c r="Z232" i="4"/>
  <c r="W232" i="4"/>
  <c r="U232" i="4"/>
  <c r="S232" i="4"/>
  <c r="N232" i="4"/>
  <c r="K232" i="4"/>
  <c r="H232" i="4"/>
  <c r="E232" i="4"/>
  <c r="AF231" i="4"/>
  <c r="AD231" i="4"/>
  <c r="Z231" i="4"/>
  <c r="W231" i="4"/>
  <c r="U231" i="4"/>
  <c r="S231" i="4"/>
  <c r="N231" i="4"/>
  <c r="K231" i="4"/>
  <c r="H231" i="4"/>
  <c r="E231" i="4"/>
  <c r="AF230" i="4"/>
  <c r="AD230" i="4"/>
  <c r="Z230" i="4"/>
  <c r="W230" i="4"/>
  <c r="U230" i="4"/>
  <c r="S230" i="4"/>
  <c r="N230" i="4"/>
  <c r="K230" i="4"/>
  <c r="H230" i="4"/>
  <c r="E230" i="4"/>
  <c r="AO229" i="4"/>
  <c r="AQ229" i="4" s="1"/>
  <c r="AS229" i="4" s="1"/>
  <c r="AU229" i="4" s="1"/>
  <c r="AW229" i="4" s="1"/>
  <c r="AY229" i="4" s="1"/>
  <c r="BA229" i="4" s="1"/>
  <c r="BC229" i="4" s="1"/>
  <c r="BE229" i="4" s="1"/>
  <c r="AF229" i="4"/>
  <c r="AD229" i="4"/>
  <c r="Z229" i="4"/>
  <c r="W229" i="4"/>
  <c r="U229" i="4"/>
  <c r="S229" i="4"/>
  <c r="N229" i="4"/>
  <c r="K229" i="4"/>
  <c r="H229" i="4"/>
  <c r="E229" i="4"/>
  <c r="AO228" i="4"/>
  <c r="AF228" i="4"/>
  <c r="AD228" i="4"/>
  <c r="Z228" i="4"/>
  <c r="W228" i="4"/>
  <c r="U228" i="4"/>
  <c r="S228" i="4"/>
  <c r="N228" i="4"/>
  <c r="K228" i="4"/>
  <c r="H228" i="4"/>
  <c r="E228" i="4"/>
  <c r="AH221" i="4"/>
  <c r="AE221" i="4"/>
  <c r="AC221" i="4"/>
  <c r="Y221" i="4"/>
  <c r="V221" i="4"/>
  <c r="T221" i="4"/>
  <c r="R221" i="4"/>
  <c r="P221" i="4"/>
  <c r="L221" i="4"/>
  <c r="J221" i="4"/>
  <c r="F221" i="4"/>
  <c r="D221" i="4"/>
  <c r="B221" i="4"/>
  <c r="AO220" i="4"/>
  <c r="AQ220" i="4" s="1"/>
  <c r="AS220" i="4" s="1"/>
  <c r="AU220" i="4" s="1"/>
  <c r="AW220" i="4" s="1"/>
  <c r="AY220" i="4" s="1"/>
  <c r="BA220" i="4" s="1"/>
  <c r="BC220" i="4" s="1"/>
  <c r="BE220" i="4" s="1"/>
  <c r="AF220" i="4"/>
  <c r="AD220" i="4"/>
  <c r="Z220" i="4"/>
  <c r="W220" i="4"/>
  <c r="U220" i="4"/>
  <c r="S220" i="4"/>
  <c r="N220" i="4"/>
  <c r="K220" i="4"/>
  <c r="H220" i="4"/>
  <c r="E220" i="4"/>
  <c r="AF219" i="4"/>
  <c r="AD219" i="4"/>
  <c r="Z219" i="4"/>
  <c r="W219" i="4"/>
  <c r="U219" i="4"/>
  <c r="S219" i="4"/>
  <c r="N219" i="4"/>
  <c r="K219" i="4"/>
  <c r="H219" i="4"/>
  <c r="E219" i="4"/>
  <c r="AF218" i="4"/>
  <c r="AD218" i="4"/>
  <c r="Z218" i="4"/>
  <c r="W218" i="4"/>
  <c r="U218" i="4"/>
  <c r="S218" i="4"/>
  <c r="N218" i="4"/>
  <c r="K218" i="4"/>
  <c r="H218" i="4"/>
  <c r="E218" i="4"/>
  <c r="AF217" i="4"/>
  <c r="AD217" i="4"/>
  <c r="Z217" i="4"/>
  <c r="W217" i="4"/>
  <c r="U217" i="4"/>
  <c r="S217" i="4"/>
  <c r="AF216" i="4"/>
  <c r="AD216" i="4"/>
  <c r="Z216" i="4"/>
  <c r="W216" i="4"/>
  <c r="U216" i="4"/>
  <c r="S216" i="4"/>
  <c r="N216" i="4"/>
  <c r="K216" i="4"/>
  <c r="H216" i="4"/>
  <c r="E216" i="4"/>
  <c r="AF214" i="4"/>
  <c r="AD214" i="4"/>
  <c r="Z214" i="4"/>
  <c r="W214" i="4"/>
  <c r="U214" i="4"/>
  <c r="S214" i="4"/>
  <c r="N214" i="4"/>
  <c r="K214" i="4"/>
  <c r="H214" i="4"/>
  <c r="E214" i="4"/>
  <c r="AF213" i="4"/>
  <c r="AD213" i="4"/>
  <c r="Z213" i="4"/>
  <c r="W213" i="4"/>
  <c r="U213" i="4"/>
  <c r="S213" i="4"/>
  <c r="N213" i="4"/>
  <c r="K213" i="4"/>
  <c r="H213" i="4"/>
  <c r="E213" i="4"/>
  <c r="AF212" i="4"/>
  <c r="AD212" i="4"/>
  <c r="Z212" i="4"/>
  <c r="W212" i="4"/>
  <c r="U212" i="4"/>
  <c r="S212" i="4"/>
  <c r="N212" i="4"/>
  <c r="K212" i="4"/>
  <c r="H212" i="4"/>
  <c r="E212" i="4"/>
  <c r="AF211" i="4"/>
  <c r="AD211" i="4"/>
  <c r="Z211" i="4"/>
  <c r="W211" i="4"/>
  <c r="U211" i="4"/>
  <c r="S211" i="4"/>
  <c r="N211" i="4"/>
  <c r="K211" i="4"/>
  <c r="H211" i="4"/>
  <c r="E211" i="4"/>
  <c r="AF210" i="4"/>
  <c r="AD210" i="4"/>
  <c r="Z210" i="4"/>
  <c r="W210" i="4"/>
  <c r="U210" i="4"/>
  <c r="S210" i="4"/>
  <c r="N210" i="4"/>
  <c r="K210" i="4"/>
  <c r="H210" i="4"/>
  <c r="E210" i="4"/>
  <c r="AO209" i="4"/>
  <c r="AF209" i="4"/>
  <c r="AD209" i="4"/>
  <c r="Z209" i="4"/>
  <c r="W209" i="4"/>
  <c r="U209" i="4"/>
  <c r="S209" i="4"/>
  <c r="N209" i="4"/>
  <c r="K209" i="4"/>
  <c r="H209" i="4"/>
  <c r="E209" i="4"/>
  <c r="AF208" i="4"/>
  <c r="AD208" i="4"/>
  <c r="Z208" i="4"/>
  <c r="W208" i="4"/>
  <c r="U208" i="4"/>
  <c r="S208" i="4"/>
  <c r="N208" i="4"/>
  <c r="K208" i="4"/>
  <c r="H208" i="4"/>
  <c r="E208" i="4"/>
  <c r="AF207" i="4"/>
  <c r="AD207" i="4"/>
  <c r="Z207" i="4"/>
  <c r="W207" i="4"/>
  <c r="U207" i="4"/>
  <c r="S207" i="4"/>
  <c r="N207" i="4"/>
  <c r="K207" i="4"/>
  <c r="H207" i="4"/>
  <c r="E207" i="4"/>
  <c r="AF206" i="4"/>
  <c r="AD206" i="4"/>
  <c r="Z206" i="4"/>
  <c r="W206" i="4"/>
  <c r="U206" i="4"/>
  <c r="S206" i="4"/>
  <c r="N206" i="4"/>
  <c r="K206" i="4"/>
  <c r="H206" i="4"/>
  <c r="E206" i="4"/>
  <c r="AF205" i="4"/>
  <c r="AD205" i="4"/>
  <c r="Z205" i="4"/>
  <c r="W205" i="4"/>
  <c r="U205" i="4"/>
  <c r="S205" i="4"/>
  <c r="N205" i="4"/>
  <c r="K205" i="4"/>
  <c r="H205" i="4"/>
  <c r="E205" i="4"/>
  <c r="AF204" i="4"/>
  <c r="AD204" i="4"/>
  <c r="Z204" i="4"/>
  <c r="W204" i="4"/>
  <c r="U204" i="4"/>
  <c r="S204" i="4"/>
  <c r="N204" i="4"/>
  <c r="K204" i="4"/>
  <c r="H204" i="4"/>
  <c r="E204" i="4"/>
  <c r="AF203" i="4"/>
  <c r="AD203" i="4"/>
  <c r="Z203" i="4"/>
  <c r="W203" i="4"/>
  <c r="U203" i="4"/>
  <c r="S203" i="4"/>
  <c r="N203" i="4"/>
  <c r="K203" i="4"/>
  <c r="H203" i="4"/>
  <c r="E203" i="4"/>
  <c r="AF202" i="4"/>
  <c r="AD202" i="4"/>
  <c r="Z199" i="4"/>
  <c r="W199" i="4"/>
  <c r="U199" i="4"/>
  <c r="S199" i="4"/>
  <c r="N199" i="4"/>
  <c r="K199" i="4"/>
  <c r="H199" i="4"/>
  <c r="E199" i="4"/>
  <c r="Z198" i="4"/>
  <c r="W198" i="4"/>
  <c r="U198" i="4"/>
  <c r="S198" i="4"/>
  <c r="BE196" i="4"/>
  <c r="BC196" i="4"/>
  <c r="BA196" i="4"/>
  <c r="AY196" i="4"/>
  <c r="AW196" i="4"/>
  <c r="AU196" i="4"/>
  <c r="AS196" i="4"/>
  <c r="AQ196" i="4"/>
  <c r="AO196" i="4"/>
  <c r="AH196" i="4"/>
  <c r="AF196" i="4"/>
  <c r="AE196" i="4"/>
  <c r="AD196" i="4"/>
  <c r="AC196" i="4"/>
  <c r="Y196" i="4"/>
  <c r="W196" i="4"/>
  <c r="V196" i="4"/>
  <c r="U196" i="4"/>
  <c r="T196" i="4"/>
  <c r="S196" i="4"/>
  <c r="R196" i="4"/>
  <c r="P196" i="4"/>
  <c r="N196" i="4"/>
  <c r="L196" i="4"/>
  <c r="K196" i="4"/>
  <c r="J196" i="4"/>
  <c r="H196" i="4"/>
  <c r="F196" i="4"/>
  <c r="E196" i="4"/>
  <c r="D196" i="4"/>
  <c r="B196" i="4"/>
  <c r="Z194" i="4"/>
  <c r="Z196" i="4" s="1"/>
  <c r="AH189" i="4"/>
  <c r="AE189" i="4"/>
  <c r="AC189" i="4"/>
  <c r="Y189" i="4"/>
  <c r="V189" i="4"/>
  <c r="T189" i="4"/>
  <c r="R189" i="4"/>
  <c r="P189" i="4"/>
  <c r="L189" i="4"/>
  <c r="J189" i="4"/>
  <c r="F189" i="4"/>
  <c r="D189" i="4"/>
  <c r="B189" i="4"/>
  <c r="AF188" i="4"/>
  <c r="AD188" i="4"/>
  <c r="Z188" i="4"/>
  <c r="W188" i="4"/>
  <c r="U188" i="4"/>
  <c r="S188" i="4"/>
  <c r="N188" i="4"/>
  <c r="K188" i="4"/>
  <c r="H188" i="4"/>
  <c r="AO187" i="4"/>
  <c r="AQ187" i="4" s="1"/>
  <c r="AS187" i="4" s="1"/>
  <c r="AU187" i="4" s="1"/>
  <c r="AW187" i="4" s="1"/>
  <c r="AY187" i="4" s="1"/>
  <c r="BA187" i="4" s="1"/>
  <c r="BC187" i="4" s="1"/>
  <c r="BE187" i="4" s="1"/>
  <c r="AF187" i="4"/>
  <c r="AD187" i="4"/>
  <c r="Z187" i="4"/>
  <c r="W187" i="4"/>
  <c r="U187" i="4"/>
  <c r="S187" i="4"/>
  <c r="N187" i="4"/>
  <c r="K187" i="4"/>
  <c r="H187" i="4"/>
  <c r="E187" i="4"/>
  <c r="AF186" i="4"/>
  <c r="AD186" i="4"/>
  <c r="Z186" i="4"/>
  <c r="W186" i="4"/>
  <c r="U186" i="4"/>
  <c r="S186" i="4"/>
  <c r="N186" i="4"/>
  <c r="K186" i="4"/>
  <c r="H186" i="4"/>
  <c r="E186" i="4"/>
  <c r="AF185" i="4"/>
  <c r="AD185" i="4"/>
  <c r="Z185" i="4"/>
  <c r="W185" i="4"/>
  <c r="U185" i="4"/>
  <c r="S185" i="4"/>
  <c r="N185" i="4"/>
  <c r="K185" i="4"/>
  <c r="H185" i="4"/>
  <c r="E185" i="4"/>
  <c r="AF184" i="4"/>
  <c r="AD184" i="4"/>
  <c r="Z184" i="4"/>
  <c r="W184" i="4"/>
  <c r="U184" i="4"/>
  <c r="S184" i="4"/>
  <c r="N184" i="4"/>
  <c r="K184" i="4"/>
  <c r="AO183" i="4"/>
  <c r="AF183" i="4"/>
  <c r="AD183" i="4"/>
  <c r="Z183" i="4"/>
  <c r="W183" i="4"/>
  <c r="U183" i="4"/>
  <c r="S183" i="4"/>
  <c r="N183" i="4"/>
  <c r="K183" i="4"/>
  <c r="H183" i="4"/>
  <c r="E183" i="4"/>
  <c r="AF178" i="4"/>
  <c r="AD178" i="4"/>
  <c r="Z178" i="4"/>
  <c r="W178" i="4"/>
  <c r="U178" i="4"/>
  <c r="S178" i="4"/>
  <c r="H178" i="4"/>
  <c r="N178" i="4" s="1"/>
  <c r="E178" i="4"/>
  <c r="AE176" i="4"/>
  <c r="AC176" i="4"/>
  <c r="Y176" i="4"/>
  <c r="V176" i="4"/>
  <c r="T176" i="4"/>
  <c r="R176" i="4"/>
  <c r="L176" i="4"/>
  <c r="J176" i="4"/>
  <c r="F176" i="4"/>
  <c r="D176" i="4"/>
  <c r="B176" i="4"/>
  <c r="AH175" i="4"/>
  <c r="AO175" i="4" s="1"/>
  <c r="AQ175" i="4" s="1"/>
  <c r="AF175" i="4"/>
  <c r="AF176" i="4" s="1"/>
  <c r="AD175" i="4"/>
  <c r="AD176" i="4" s="1"/>
  <c r="Z175" i="4"/>
  <c r="Z176" i="4" s="1"/>
  <c r="W175" i="4"/>
  <c r="W176" i="4" s="1"/>
  <c r="S175" i="4"/>
  <c r="S176" i="4" s="1"/>
  <c r="P175" i="4"/>
  <c r="P176" i="4" s="1"/>
  <c r="N175" i="4"/>
  <c r="N176" i="4" s="1"/>
  <c r="K175" i="4"/>
  <c r="K176" i="4" s="1"/>
  <c r="H175" i="4"/>
  <c r="H176" i="4" s="1"/>
  <c r="E175" i="4"/>
  <c r="E174" i="4"/>
  <c r="AH172" i="4"/>
  <c r="AE172" i="4"/>
  <c r="AC172" i="4"/>
  <c r="Y172" i="4"/>
  <c r="V172" i="4"/>
  <c r="T172" i="4"/>
  <c r="R172" i="4"/>
  <c r="L172" i="4"/>
  <c r="J172" i="4"/>
  <c r="F172" i="4"/>
  <c r="D172" i="4"/>
  <c r="B172" i="4"/>
  <c r="AO171" i="4"/>
  <c r="AO172" i="4" s="1"/>
  <c r="AF171" i="4"/>
  <c r="AF172" i="4" s="1"/>
  <c r="AD171" i="4"/>
  <c r="AD172" i="4" s="1"/>
  <c r="Z171" i="4"/>
  <c r="W171" i="4"/>
  <c r="W172" i="4" s="1"/>
  <c r="S171" i="4"/>
  <c r="S172" i="4" s="1"/>
  <c r="P171" i="4"/>
  <c r="U171" i="4" s="1"/>
  <c r="U172" i="4" s="1"/>
  <c r="N171" i="4"/>
  <c r="N172" i="4" s="1"/>
  <c r="K171" i="4"/>
  <c r="K172" i="4" s="1"/>
  <c r="H171" i="4"/>
  <c r="H172" i="4" s="1"/>
  <c r="E171" i="4"/>
  <c r="E172" i="4" s="1"/>
  <c r="Z170" i="4"/>
  <c r="Z169" i="4"/>
  <c r="AH167" i="4"/>
  <c r="AE167" i="4"/>
  <c r="AC167" i="4"/>
  <c r="Y167" i="4"/>
  <c r="V167" i="4"/>
  <c r="T167" i="4"/>
  <c r="R167" i="4"/>
  <c r="L167" i="4"/>
  <c r="J167" i="4"/>
  <c r="F167" i="4"/>
  <c r="D167" i="4"/>
  <c r="B167" i="4"/>
  <c r="AF165" i="4"/>
  <c r="AD165" i="4"/>
  <c r="Z165" i="4"/>
  <c r="W165" i="4"/>
  <c r="U165" i="4"/>
  <c r="S165" i="4"/>
  <c r="N165" i="4"/>
  <c r="K165" i="4"/>
  <c r="H165" i="4"/>
  <c r="E165" i="4"/>
  <c r="AO164" i="4"/>
  <c r="AQ164" i="4" s="1"/>
  <c r="AS164" i="4" s="1"/>
  <c r="AU164" i="4" s="1"/>
  <c r="AW164" i="4" s="1"/>
  <c r="AY164" i="4" s="1"/>
  <c r="BA164" i="4" s="1"/>
  <c r="BC164" i="4" s="1"/>
  <c r="BE164" i="4" s="1"/>
  <c r="AF164" i="4"/>
  <c r="AD164" i="4"/>
  <c r="Z164" i="4"/>
  <c r="W164" i="4"/>
  <c r="S164" i="4"/>
  <c r="P164" i="4"/>
  <c r="U164" i="4" s="1"/>
  <c r="N164" i="4"/>
  <c r="K164" i="4"/>
  <c r="H164" i="4"/>
  <c r="E164" i="4"/>
  <c r="AO163" i="4"/>
  <c r="AF163" i="4"/>
  <c r="AD163" i="4"/>
  <c r="Z163" i="4"/>
  <c r="W163" i="4"/>
  <c r="S163" i="4"/>
  <c r="P163" i="4"/>
  <c r="U163" i="4" s="1"/>
  <c r="N163" i="4"/>
  <c r="K163" i="4"/>
  <c r="H163" i="4"/>
  <c r="E163" i="4"/>
  <c r="BE224" i="4"/>
  <c r="BC224" i="4"/>
  <c r="AH159" i="4"/>
  <c r="AM159" i="4" s="1"/>
  <c r="AF159" i="4"/>
  <c r="AD159" i="4"/>
  <c r="Z159" i="4"/>
  <c r="W159" i="4"/>
  <c r="S159" i="4"/>
  <c r="P159" i="4"/>
  <c r="U159" i="4" s="1"/>
  <c r="N159" i="4"/>
  <c r="K159" i="4"/>
  <c r="H159" i="4"/>
  <c r="E159" i="4"/>
  <c r="AE155" i="4"/>
  <c r="AC155" i="4"/>
  <c r="Y155" i="4"/>
  <c r="V155" i="4"/>
  <c r="T155" i="4"/>
  <c r="R155" i="4"/>
  <c r="L155" i="4"/>
  <c r="J155" i="4"/>
  <c r="F155" i="4"/>
  <c r="D155" i="4"/>
  <c r="B155" i="4"/>
  <c r="AQ154" i="4"/>
  <c r="AS154" i="4" s="1"/>
  <c r="AU154" i="4" s="1"/>
  <c r="AW154" i="4" s="1"/>
  <c r="AY154" i="4" s="1"/>
  <c r="BA154" i="4" s="1"/>
  <c r="BC154" i="4" s="1"/>
  <c r="BE154" i="4" s="1"/>
  <c r="AF154" i="4"/>
  <c r="AD154" i="4"/>
  <c r="Z154" i="4"/>
  <c r="W154" i="4"/>
  <c r="S154" i="4"/>
  <c r="P154" i="4"/>
  <c r="U154" i="4" s="1"/>
  <c r="N154" i="4"/>
  <c r="K154" i="4"/>
  <c r="H154" i="4"/>
  <c r="E154" i="4"/>
  <c r="AQ153" i="4"/>
  <c r="AS153" i="4" s="1"/>
  <c r="AU153" i="4" s="1"/>
  <c r="AW153" i="4" s="1"/>
  <c r="AY153" i="4" s="1"/>
  <c r="BA153" i="4" s="1"/>
  <c r="BC153" i="4" s="1"/>
  <c r="BE153" i="4" s="1"/>
  <c r="AF153" i="4"/>
  <c r="AD153" i="4"/>
  <c r="Z153" i="4"/>
  <c r="W153" i="4"/>
  <c r="U153" i="4"/>
  <c r="S153" i="4"/>
  <c r="N153" i="4"/>
  <c r="K153" i="4"/>
  <c r="H153" i="4"/>
  <c r="E153" i="4"/>
  <c r="AH152" i="4"/>
  <c r="AM152" i="4" s="1"/>
  <c r="AF152" i="4"/>
  <c r="AD152" i="4"/>
  <c r="Z152" i="4"/>
  <c r="W152" i="4"/>
  <c r="S152" i="4"/>
  <c r="P152" i="4"/>
  <c r="U152" i="4" s="1"/>
  <c r="N152" i="4"/>
  <c r="K152" i="4"/>
  <c r="H152" i="4"/>
  <c r="E152" i="4"/>
  <c r="AF151" i="4"/>
  <c r="AD151" i="4"/>
  <c r="Z151" i="4"/>
  <c r="W151" i="4"/>
  <c r="U151" i="4"/>
  <c r="S151" i="4"/>
  <c r="N151" i="4"/>
  <c r="K151" i="4"/>
  <c r="H151" i="4"/>
  <c r="E151" i="4"/>
  <c r="AF150" i="4"/>
  <c r="AD150" i="4"/>
  <c r="Z150" i="4"/>
  <c r="W150" i="4"/>
  <c r="S150" i="4"/>
  <c r="P150" i="4"/>
  <c r="U150" i="4" s="1"/>
  <c r="N150" i="4"/>
  <c r="K150" i="4"/>
  <c r="H150" i="4"/>
  <c r="E150" i="4"/>
  <c r="AO149" i="4"/>
  <c r="AQ149" i="4" s="1"/>
  <c r="AS149" i="4" s="1"/>
  <c r="AU149" i="4" s="1"/>
  <c r="AW149" i="4" s="1"/>
  <c r="AY149" i="4" s="1"/>
  <c r="BA149" i="4" s="1"/>
  <c r="BC149" i="4" s="1"/>
  <c r="BE149" i="4" s="1"/>
  <c r="AF149" i="4"/>
  <c r="AD149" i="4"/>
  <c r="Z149" i="4"/>
  <c r="W149" i="4"/>
  <c r="S149" i="4"/>
  <c r="P149" i="4"/>
  <c r="U149" i="4" s="1"/>
  <c r="N149" i="4"/>
  <c r="K149" i="4"/>
  <c r="H149" i="4"/>
  <c r="E149" i="4"/>
  <c r="AF148" i="4"/>
  <c r="AD148" i="4"/>
  <c r="Z148" i="4"/>
  <c r="W148" i="4"/>
  <c r="S148" i="4"/>
  <c r="P148" i="4"/>
  <c r="AH148" i="4" s="1"/>
  <c r="AM148" i="4" s="1"/>
  <c r="N148" i="4"/>
  <c r="K148" i="4"/>
  <c r="H148" i="4"/>
  <c r="E148" i="4"/>
  <c r="AH147" i="4"/>
  <c r="AF147" i="4"/>
  <c r="AD147" i="4"/>
  <c r="Z147" i="4"/>
  <c r="W147" i="4"/>
  <c r="S147" i="4"/>
  <c r="P147" i="4"/>
  <c r="U147" i="4" s="1"/>
  <c r="N147" i="4"/>
  <c r="K147" i="4"/>
  <c r="H147" i="4"/>
  <c r="E147" i="4"/>
  <c r="AH146" i="4"/>
  <c r="AM146" i="4" s="1"/>
  <c r="AF146" i="4"/>
  <c r="AD146" i="4"/>
  <c r="Z146" i="4"/>
  <c r="W146" i="4"/>
  <c r="S146" i="4"/>
  <c r="P146" i="4"/>
  <c r="U146" i="4" s="1"/>
  <c r="N146" i="4"/>
  <c r="K146" i="4"/>
  <c r="H146" i="4"/>
  <c r="E146" i="4"/>
  <c r="AE144" i="4"/>
  <c r="AC144" i="4"/>
  <c r="Y144" i="4"/>
  <c r="V144" i="4"/>
  <c r="T144" i="4"/>
  <c r="R144" i="4"/>
  <c r="L144" i="4"/>
  <c r="J144" i="4"/>
  <c r="F144" i="4"/>
  <c r="D144" i="4"/>
  <c r="B144" i="4"/>
  <c r="AH143" i="4"/>
  <c r="AF143" i="4"/>
  <c r="AD143" i="4"/>
  <c r="Z143" i="4"/>
  <c r="W143" i="4"/>
  <c r="S143" i="4"/>
  <c r="P143" i="4"/>
  <c r="U143" i="4" s="1"/>
  <c r="N143" i="4"/>
  <c r="K143" i="4"/>
  <c r="H143" i="4"/>
  <c r="E143" i="4"/>
  <c r="AF142" i="4"/>
  <c r="AD142" i="4"/>
  <c r="Z142" i="4"/>
  <c r="W142" i="4"/>
  <c r="U142" i="4"/>
  <c r="S142" i="4"/>
  <c r="N142" i="4"/>
  <c r="K142" i="4"/>
  <c r="H142" i="4"/>
  <c r="E142" i="4"/>
  <c r="AF141" i="4"/>
  <c r="AD141" i="4"/>
  <c r="Z141" i="4"/>
  <c r="W141" i="4"/>
  <c r="U141" i="4"/>
  <c r="S141" i="4"/>
  <c r="N141" i="4"/>
  <c r="K141" i="4"/>
  <c r="H141" i="4"/>
  <c r="E141" i="4"/>
  <c r="AO140" i="4"/>
  <c r="AQ140" i="4" s="1"/>
  <c r="AS140" i="4" s="1"/>
  <c r="AU140" i="4" s="1"/>
  <c r="AW140" i="4" s="1"/>
  <c r="AY140" i="4" s="1"/>
  <c r="BA140" i="4" s="1"/>
  <c r="BC140" i="4" s="1"/>
  <c r="BE140" i="4" s="1"/>
  <c r="AF140" i="4"/>
  <c r="AD140" i="4"/>
  <c r="Z140" i="4"/>
  <c r="W140" i="4"/>
  <c r="S140" i="4"/>
  <c r="P140" i="4"/>
  <c r="U140" i="4" s="1"/>
  <c r="N140" i="4"/>
  <c r="K140" i="4"/>
  <c r="H140" i="4"/>
  <c r="E140" i="4"/>
  <c r="AO139" i="4"/>
  <c r="AQ139" i="4" s="1"/>
  <c r="AS139" i="4" s="1"/>
  <c r="AU139" i="4" s="1"/>
  <c r="AW139" i="4" s="1"/>
  <c r="AY139" i="4" s="1"/>
  <c r="BA139" i="4" s="1"/>
  <c r="BC139" i="4" s="1"/>
  <c r="BE139" i="4" s="1"/>
  <c r="AF139" i="4"/>
  <c r="AD139" i="4"/>
  <c r="Z139" i="4"/>
  <c r="W139" i="4"/>
  <c r="S139" i="4"/>
  <c r="P139" i="4"/>
  <c r="U139" i="4" s="1"/>
  <c r="N139" i="4"/>
  <c r="K139" i="4"/>
  <c r="H139" i="4"/>
  <c r="E139" i="4"/>
  <c r="AO138" i="4"/>
  <c r="AF138" i="4"/>
  <c r="AD138" i="4"/>
  <c r="Z138" i="4"/>
  <c r="W138" i="4"/>
  <c r="S138" i="4"/>
  <c r="P138" i="4"/>
  <c r="N138" i="4"/>
  <c r="K138" i="4"/>
  <c r="H138" i="4"/>
  <c r="E138" i="4"/>
  <c r="AE136" i="4"/>
  <c r="AC136" i="4"/>
  <c r="Y136" i="4"/>
  <c r="V136" i="4"/>
  <c r="T136" i="4"/>
  <c r="R136" i="4"/>
  <c r="L136" i="4"/>
  <c r="J136" i="4"/>
  <c r="F136" i="4"/>
  <c r="D136" i="4"/>
  <c r="B136" i="4"/>
  <c r="AF133" i="4"/>
  <c r="AF136" i="4" s="1"/>
  <c r="AD133" i="4"/>
  <c r="AD136" i="4" s="1"/>
  <c r="Z133" i="4"/>
  <c r="Z136" i="4" s="1"/>
  <c r="W133" i="4"/>
  <c r="W136" i="4" s="1"/>
  <c r="S133" i="4"/>
  <c r="S136" i="4" s="1"/>
  <c r="P133" i="4"/>
  <c r="AH133" i="4" s="1"/>
  <c r="AM133" i="4" s="1"/>
  <c r="AM136" i="4" s="1"/>
  <c r="N133" i="4"/>
  <c r="N136" i="4" s="1"/>
  <c r="K133" i="4"/>
  <c r="K136" i="4" s="1"/>
  <c r="H133" i="4"/>
  <c r="H136" i="4" s="1"/>
  <c r="E133" i="4"/>
  <c r="E136" i="4" s="1"/>
  <c r="BE130" i="4"/>
  <c r="BC130" i="4"/>
  <c r="BA130" i="4"/>
  <c r="AY130" i="4"/>
  <c r="AW130" i="4"/>
  <c r="AU130" i="4"/>
  <c r="AS130" i="4"/>
  <c r="AQ130" i="4"/>
  <c r="AO130" i="4"/>
  <c r="AH130" i="4"/>
  <c r="AE130" i="4"/>
  <c r="AC130" i="4"/>
  <c r="Y130" i="4"/>
  <c r="V130" i="4"/>
  <c r="T130" i="4"/>
  <c r="R130" i="4"/>
  <c r="P130" i="4"/>
  <c r="L130" i="4"/>
  <c r="J130" i="4"/>
  <c r="F130" i="4"/>
  <c r="D130" i="4"/>
  <c r="B130" i="4"/>
  <c r="AF129" i="4"/>
  <c r="AD129" i="4"/>
  <c r="Z129" i="4"/>
  <c r="W129" i="4"/>
  <c r="U129" i="4"/>
  <c r="S129" i="4"/>
  <c r="N129" i="4"/>
  <c r="K129" i="4"/>
  <c r="H129" i="4"/>
  <c r="E129" i="4"/>
  <c r="AF128" i="4"/>
  <c r="AD128" i="4"/>
  <c r="AF127" i="4"/>
  <c r="AD127" i="4"/>
  <c r="Z127" i="4"/>
  <c r="Z130" i="4" s="1"/>
  <c r="W127" i="4"/>
  <c r="W130" i="4" s="1"/>
  <c r="U127" i="4"/>
  <c r="U130" i="4" s="1"/>
  <c r="S127" i="4"/>
  <c r="S130" i="4" s="1"/>
  <c r="N127" i="4"/>
  <c r="N130" i="4" s="1"/>
  <c r="K127" i="4"/>
  <c r="K130" i="4" s="1"/>
  <c r="H127" i="4"/>
  <c r="H130" i="4" s="1"/>
  <c r="E127" i="4"/>
  <c r="E130" i="4" s="1"/>
  <c r="AE122" i="4"/>
  <c r="AC122" i="4"/>
  <c r="Y122" i="4"/>
  <c r="V122" i="4"/>
  <c r="T122" i="4"/>
  <c r="R122" i="4"/>
  <c r="N122" i="4"/>
  <c r="L122" i="4"/>
  <c r="K122" i="4"/>
  <c r="J122" i="4"/>
  <c r="F122" i="4"/>
  <c r="D122" i="4"/>
  <c r="B122" i="4"/>
  <c r="AF121" i="4"/>
  <c r="AF122" i="4" s="1"/>
  <c r="AD121" i="4"/>
  <c r="AD122" i="4" s="1"/>
  <c r="Z121" i="4"/>
  <c r="W121" i="4"/>
  <c r="W122" i="4" s="1"/>
  <c r="S121" i="4"/>
  <c r="S122" i="4" s="1"/>
  <c r="P121" i="4"/>
  <c r="P122" i="4" s="1"/>
  <c r="H121" i="4"/>
  <c r="H122" i="4" s="1"/>
  <c r="E121" i="4"/>
  <c r="E122" i="4" s="1"/>
  <c r="AE118" i="4"/>
  <c r="AC118" i="4"/>
  <c r="Y118" i="4"/>
  <c r="V118" i="4"/>
  <c r="T118" i="4"/>
  <c r="R118" i="4"/>
  <c r="L118" i="4"/>
  <c r="J118" i="4"/>
  <c r="F118" i="4"/>
  <c r="D118" i="4"/>
  <c r="B118" i="4"/>
  <c r="AH117" i="4"/>
  <c r="AF117" i="4"/>
  <c r="AD117" i="4"/>
  <c r="Z117" i="4"/>
  <c r="W117" i="4"/>
  <c r="S117" i="4"/>
  <c r="P117" i="4"/>
  <c r="U117" i="4" s="1"/>
  <c r="N117" i="4"/>
  <c r="K117" i="4"/>
  <c r="H117" i="4"/>
  <c r="E117" i="4"/>
  <c r="AO116" i="4"/>
  <c r="AQ116" i="4" s="1"/>
  <c r="AS116" i="4" s="1"/>
  <c r="AU116" i="4" s="1"/>
  <c r="AW116" i="4" s="1"/>
  <c r="AY116" i="4" s="1"/>
  <c r="BA116" i="4" s="1"/>
  <c r="BC116" i="4" s="1"/>
  <c r="BE116" i="4" s="1"/>
  <c r="AF116" i="4"/>
  <c r="AD116" i="4"/>
  <c r="Z116" i="4"/>
  <c r="W116" i="4"/>
  <c r="S116" i="4"/>
  <c r="P116" i="4"/>
  <c r="U116" i="4" s="1"/>
  <c r="N116" i="4"/>
  <c r="K116" i="4"/>
  <c r="H116" i="4"/>
  <c r="E116" i="4"/>
  <c r="AX115" i="4"/>
  <c r="AZ115" i="4" s="1"/>
  <c r="AP115" i="4"/>
  <c r="AR115" i="4" s="1"/>
  <c r="AH115" i="4"/>
  <c r="AF115" i="4"/>
  <c r="AD115" i="4"/>
  <c r="Z115" i="4"/>
  <c r="W115" i="4"/>
  <c r="U115" i="4"/>
  <c r="S115" i="4"/>
  <c r="N115" i="4"/>
  <c r="K115" i="4"/>
  <c r="H115" i="4"/>
  <c r="AF114" i="4"/>
  <c r="AD114" i="4"/>
  <c r="Z114" i="4"/>
  <c r="W114" i="4"/>
  <c r="U114" i="4"/>
  <c r="S114" i="4"/>
  <c r="N114" i="4"/>
  <c r="K114" i="4"/>
  <c r="H114" i="4"/>
  <c r="E114" i="4"/>
  <c r="AX113" i="4"/>
  <c r="AZ113" i="4" s="1"/>
  <c r="AP113" i="4"/>
  <c r="AR113" i="4" s="1"/>
  <c r="AO113" i="4"/>
  <c r="AQ113" i="4" s="1"/>
  <c r="AS113" i="4" s="1"/>
  <c r="AU113" i="4" s="1"/>
  <c r="AW113" i="4" s="1"/>
  <c r="AY113" i="4" s="1"/>
  <c r="BA113" i="4" s="1"/>
  <c r="BC113" i="4" s="1"/>
  <c r="BE113" i="4" s="1"/>
  <c r="AF113" i="4"/>
  <c r="AD113" i="4"/>
  <c r="Z113" i="4"/>
  <c r="W113" i="4"/>
  <c r="U113" i="4"/>
  <c r="S113" i="4"/>
  <c r="N113" i="4"/>
  <c r="K113" i="4"/>
  <c r="H113" i="4"/>
  <c r="E113" i="4"/>
  <c r="AX112" i="4"/>
  <c r="AZ112" i="4" s="1"/>
  <c r="AP112" i="4"/>
  <c r="AR112" i="4" s="1"/>
  <c r="AH112" i="4"/>
  <c r="AM112" i="4" s="1"/>
  <c r="AF112" i="4"/>
  <c r="AD112" i="4"/>
  <c r="Z112" i="4"/>
  <c r="W112" i="4"/>
  <c r="U112" i="4"/>
  <c r="S112" i="4"/>
  <c r="N112" i="4"/>
  <c r="K112" i="4"/>
  <c r="H112" i="4"/>
  <c r="E112" i="4"/>
  <c r="AH108" i="4"/>
  <c r="AF108" i="4"/>
  <c r="AE108" i="4"/>
  <c r="AC108" i="4"/>
  <c r="Y108" i="4"/>
  <c r="V108" i="4"/>
  <c r="T108" i="4"/>
  <c r="R108" i="4"/>
  <c r="P108" i="4"/>
  <c r="L108" i="4"/>
  <c r="J108" i="4"/>
  <c r="F108" i="4"/>
  <c r="D108" i="4"/>
  <c r="B108" i="4"/>
  <c r="AO106" i="4"/>
  <c r="AO108" i="4" s="1"/>
  <c r="W106" i="4"/>
  <c r="W108" i="4" s="1"/>
  <c r="U106" i="4"/>
  <c r="U108" i="4" s="1"/>
  <c r="S106" i="4"/>
  <c r="S108" i="4" s="1"/>
  <c r="N106" i="4"/>
  <c r="N108" i="4" s="1"/>
  <c r="K106" i="4"/>
  <c r="K108" i="4" s="1"/>
  <c r="H106" i="4"/>
  <c r="H108" i="4" s="1"/>
  <c r="E106" i="4"/>
  <c r="E108" i="4" s="1"/>
  <c r="AH102" i="4"/>
  <c r="AE102" i="4"/>
  <c r="AC102" i="4"/>
  <c r="Y102" i="4"/>
  <c r="V102" i="4"/>
  <c r="T102" i="4"/>
  <c r="R102" i="4"/>
  <c r="L102" i="4"/>
  <c r="J102" i="4"/>
  <c r="F102" i="4"/>
  <c r="D102" i="4"/>
  <c r="B102" i="4"/>
  <c r="AO101" i="4"/>
  <c r="AO102" i="4" s="1"/>
  <c r="AF101" i="4"/>
  <c r="AF102" i="4" s="1"/>
  <c r="AD101" i="4"/>
  <c r="AD102" i="4" s="1"/>
  <c r="Z101" i="4"/>
  <c r="Z102" i="4" s="1"/>
  <c r="W101" i="4"/>
  <c r="S101" i="4"/>
  <c r="S102" i="4" s="1"/>
  <c r="P101" i="4"/>
  <c r="P102" i="4" s="1"/>
  <c r="N101" i="4"/>
  <c r="N102" i="4" s="1"/>
  <c r="K101" i="4"/>
  <c r="K102" i="4" s="1"/>
  <c r="H101" i="4"/>
  <c r="H102" i="4" s="1"/>
  <c r="E101" i="4"/>
  <c r="W100" i="4"/>
  <c r="E100" i="4"/>
  <c r="E99" i="4"/>
  <c r="AH97" i="4"/>
  <c r="AE97" i="4"/>
  <c r="AC97" i="4"/>
  <c r="Y97" i="4"/>
  <c r="V97" i="4"/>
  <c r="T97" i="4"/>
  <c r="L97" i="4"/>
  <c r="J97" i="4"/>
  <c r="F97" i="4"/>
  <c r="D97" i="4"/>
  <c r="B97" i="4"/>
  <c r="AO95" i="4"/>
  <c r="AQ95" i="4" s="1"/>
  <c r="AS95" i="4" s="1"/>
  <c r="AU95" i="4" s="1"/>
  <c r="AW95" i="4" s="1"/>
  <c r="AY95" i="4" s="1"/>
  <c r="BA95" i="4" s="1"/>
  <c r="BC95" i="4" s="1"/>
  <c r="BE95" i="4" s="1"/>
  <c r="AF95" i="4"/>
  <c r="AD95" i="4"/>
  <c r="Z95" i="4"/>
  <c r="W95" i="4"/>
  <c r="R95" i="4"/>
  <c r="R97" i="4" s="1"/>
  <c r="P95" i="4"/>
  <c r="U95" i="4" s="1"/>
  <c r="N95" i="4"/>
  <c r="K95" i="4"/>
  <c r="H95" i="4"/>
  <c r="E95" i="4"/>
  <c r="AO94" i="4"/>
  <c r="AQ94" i="4" s="1"/>
  <c r="AF94" i="4"/>
  <c r="AD94" i="4"/>
  <c r="Z94" i="4"/>
  <c r="W94" i="4"/>
  <c r="S94" i="4"/>
  <c r="P94" i="4"/>
  <c r="U94" i="4" s="1"/>
  <c r="N94" i="4"/>
  <c r="K94" i="4"/>
  <c r="H94" i="4"/>
  <c r="E94" i="4"/>
  <c r="AE91" i="4"/>
  <c r="AC91" i="4"/>
  <c r="Y91" i="4"/>
  <c r="V91" i="4"/>
  <c r="T91" i="4"/>
  <c r="R91" i="4"/>
  <c r="L91" i="4"/>
  <c r="J91" i="4"/>
  <c r="F91" i="4"/>
  <c r="D91" i="4"/>
  <c r="B91" i="4"/>
  <c r="AO90" i="4"/>
  <c r="AQ90" i="4" s="1"/>
  <c r="AS90" i="4" s="1"/>
  <c r="AU90" i="4" s="1"/>
  <c r="AW90" i="4" s="1"/>
  <c r="AY90" i="4" s="1"/>
  <c r="BA90" i="4" s="1"/>
  <c r="BC90" i="4" s="1"/>
  <c r="BE90" i="4" s="1"/>
  <c r="AF90" i="4"/>
  <c r="AD90" i="4"/>
  <c r="Z90" i="4"/>
  <c r="W90" i="4"/>
  <c r="U90" i="4"/>
  <c r="S90" i="4"/>
  <c r="N90" i="4"/>
  <c r="K90" i="4"/>
  <c r="H90" i="4"/>
  <c r="E90" i="4"/>
  <c r="AH89" i="4"/>
  <c r="AO89" i="4" s="1"/>
  <c r="AQ89" i="4" s="1"/>
  <c r="AS89" i="4" s="1"/>
  <c r="AU89" i="4" s="1"/>
  <c r="AW89" i="4" s="1"/>
  <c r="AY89" i="4" s="1"/>
  <c r="BA89" i="4" s="1"/>
  <c r="BC89" i="4" s="1"/>
  <c r="BE89" i="4" s="1"/>
  <c r="AF89" i="4"/>
  <c r="AD89" i="4"/>
  <c r="Z89" i="4"/>
  <c r="W89" i="4"/>
  <c r="U89" i="4"/>
  <c r="S89" i="4"/>
  <c r="N89" i="4"/>
  <c r="K89" i="4"/>
  <c r="H89" i="4"/>
  <c r="E89" i="4"/>
  <c r="AF88" i="4"/>
  <c r="AD88" i="4"/>
  <c r="Z88" i="4"/>
  <c r="W88" i="4"/>
  <c r="U88" i="4"/>
  <c r="S88" i="4"/>
  <c r="N88" i="4"/>
  <c r="K88" i="4"/>
  <c r="H88" i="4"/>
  <c r="E88" i="4"/>
  <c r="AF87" i="4"/>
  <c r="AD87" i="4"/>
  <c r="Z87" i="4"/>
  <c r="W87" i="4"/>
  <c r="U87" i="4"/>
  <c r="S87" i="4"/>
  <c r="N87" i="4"/>
  <c r="K87" i="4"/>
  <c r="H87" i="4"/>
  <c r="E87" i="4"/>
  <c r="AF86" i="4"/>
  <c r="AD86" i="4"/>
  <c r="Z86" i="4"/>
  <c r="W86" i="4"/>
  <c r="S86" i="4"/>
  <c r="P86" i="4"/>
  <c r="U86" i="4" s="1"/>
  <c r="N86" i="4"/>
  <c r="K86" i="4"/>
  <c r="H86" i="4"/>
  <c r="E86" i="4"/>
  <c r="AO85" i="4"/>
  <c r="AQ85" i="4" s="1"/>
  <c r="AS85" i="4" s="1"/>
  <c r="AU85" i="4" s="1"/>
  <c r="AW85" i="4" s="1"/>
  <c r="AY85" i="4" s="1"/>
  <c r="BA85" i="4" s="1"/>
  <c r="BC85" i="4" s="1"/>
  <c r="BE85" i="4" s="1"/>
  <c r="AF85" i="4"/>
  <c r="AD85" i="4"/>
  <c r="Z85" i="4"/>
  <c r="W85" i="4"/>
  <c r="S85" i="4"/>
  <c r="P85" i="4"/>
  <c r="U85" i="4" s="1"/>
  <c r="N85" i="4"/>
  <c r="K85" i="4"/>
  <c r="H85" i="4"/>
  <c r="E85" i="4"/>
  <c r="AF84" i="4"/>
  <c r="AD84" i="4"/>
  <c r="Z84" i="4"/>
  <c r="W84" i="4"/>
  <c r="U84" i="4"/>
  <c r="AF83" i="4"/>
  <c r="AD83" i="4"/>
  <c r="Z83" i="4"/>
  <c r="W83" i="4"/>
  <c r="U83" i="4"/>
  <c r="S83" i="4"/>
  <c r="N83" i="4"/>
  <c r="K83" i="4"/>
  <c r="H83" i="4"/>
  <c r="E83" i="4"/>
  <c r="AO82" i="4"/>
  <c r="AF82" i="4"/>
  <c r="AD82" i="4"/>
  <c r="Z82" i="4"/>
  <c r="W82" i="4"/>
  <c r="S82" i="4"/>
  <c r="P82" i="4"/>
  <c r="N82" i="4"/>
  <c r="K82" i="4"/>
  <c r="H82" i="4"/>
  <c r="E82" i="4"/>
  <c r="AE77" i="4"/>
  <c r="AC77" i="4"/>
  <c r="Y77" i="4"/>
  <c r="T77" i="4"/>
  <c r="L77" i="4"/>
  <c r="J77" i="4"/>
  <c r="F77" i="4"/>
  <c r="D77" i="4"/>
  <c r="B77" i="4"/>
  <c r="AF76" i="4"/>
  <c r="AD76" i="4"/>
  <c r="Z76" i="4"/>
  <c r="W76" i="4"/>
  <c r="S76" i="4"/>
  <c r="P76" i="4"/>
  <c r="AH76" i="4" s="1"/>
  <c r="N76" i="4"/>
  <c r="K76" i="4"/>
  <c r="H76" i="4"/>
  <c r="E76" i="4"/>
  <c r="AO75" i="4"/>
  <c r="AQ75" i="4" s="1"/>
  <c r="AS75" i="4" s="1"/>
  <c r="AU75" i="4" s="1"/>
  <c r="AW75" i="4" s="1"/>
  <c r="AY75" i="4" s="1"/>
  <c r="BA75" i="4" s="1"/>
  <c r="BC75" i="4" s="1"/>
  <c r="BE75" i="4" s="1"/>
  <c r="AF75" i="4"/>
  <c r="AD75" i="4"/>
  <c r="Z75" i="4"/>
  <c r="W75" i="4"/>
  <c r="S75" i="4"/>
  <c r="P75" i="4"/>
  <c r="U75" i="4" s="1"/>
  <c r="N75" i="4"/>
  <c r="K75" i="4"/>
  <c r="H75" i="4"/>
  <c r="E75" i="4"/>
  <c r="AF74" i="4"/>
  <c r="AD74" i="4"/>
  <c r="Z74" i="4"/>
  <c r="W74" i="4"/>
  <c r="U74" i="4"/>
  <c r="S74" i="4"/>
  <c r="N74" i="4"/>
  <c r="K74" i="4"/>
  <c r="H74" i="4"/>
  <c r="E74" i="4"/>
  <c r="AF73" i="4"/>
  <c r="AD73" i="4"/>
  <c r="Z73" i="4"/>
  <c r="W73" i="4"/>
  <c r="U73" i="4"/>
  <c r="S73" i="4"/>
  <c r="N73" i="4"/>
  <c r="K73" i="4"/>
  <c r="H73" i="4"/>
  <c r="E73" i="4"/>
  <c r="AF72" i="4"/>
  <c r="AD72" i="4"/>
  <c r="Z72" i="4"/>
  <c r="W72" i="4"/>
  <c r="U72" i="4"/>
  <c r="S72" i="4"/>
  <c r="N72" i="4"/>
  <c r="K72" i="4"/>
  <c r="H72" i="4"/>
  <c r="E72" i="4"/>
  <c r="AF71" i="4"/>
  <c r="AD71" i="4"/>
  <c r="Z71" i="4"/>
  <c r="V71" i="4"/>
  <c r="V77" i="4" s="1"/>
  <c r="R71" i="4"/>
  <c r="R77" i="4" s="1"/>
  <c r="P71" i="4"/>
  <c r="U71" i="4" s="1"/>
  <c r="N71" i="4"/>
  <c r="K71" i="4"/>
  <c r="H71" i="4"/>
  <c r="E71" i="4"/>
  <c r="AF70" i="4"/>
  <c r="AD70" i="4"/>
  <c r="Z70" i="4"/>
  <c r="W70" i="4"/>
  <c r="S70" i="4"/>
  <c r="P70" i="4"/>
  <c r="N70" i="4"/>
  <c r="K70" i="4"/>
  <c r="H70" i="4"/>
  <c r="E70" i="4"/>
  <c r="AF69" i="4"/>
  <c r="AD69" i="4"/>
  <c r="Z69" i="4"/>
  <c r="W69" i="4"/>
  <c r="U69" i="4"/>
  <c r="S69" i="4"/>
  <c r="N69" i="4"/>
  <c r="K69" i="4"/>
  <c r="H69" i="4"/>
  <c r="E69" i="4"/>
  <c r="AF68" i="4"/>
  <c r="AD68" i="4"/>
  <c r="W68" i="4"/>
  <c r="N68" i="4"/>
  <c r="K68" i="4"/>
  <c r="H68" i="4"/>
  <c r="E68" i="4"/>
  <c r="AO67" i="4"/>
  <c r="AQ67" i="4" s="1"/>
  <c r="AF67" i="4"/>
  <c r="AD67" i="4"/>
  <c r="Z67" i="4"/>
  <c r="W67" i="4"/>
  <c r="U67" i="4"/>
  <c r="S67" i="4"/>
  <c r="N67" i="4"/>
  <c r="K67" i="4"/>
  <c r="H67" i="4"/>
  <c r="E67" i="4"/>
  <c r="AE64" i="4"/>
  <c r="AC64" i="4"/>
  <c r="Y64" i="4"/>
  <c r="V64" i="4"/>
  <c r="T64" i="4"/>
  <c r="R64" i="4"/>
  <c r="L64" i="4"/>
  <c r="L65" i="4" s="1"/>
  <c r="J64" i="4"/>
  <c r="J65" i="4" s="1"/>
  <c r="F64" i="4"/>
  <c r="D64" i="4"/>
  <c r="B64" i="4"/>
  <c r="AO63" i="4"/>
  <c r="AQ63" i="4" s="1"/>
  <c r="AS63" i="4" s="1"/>
  <c r="AU63" i="4" s="1"/>
  <c r="AW63" i="4" s="1"/>
  <c r="AY63" i="4" s="1"/>
  <c r="BA63" i="4" s="1"/>
  <c r="BC63" i="4" s="1"/>
  <c r="BE63" i="4" s="1"/>
  <c r="AF63" i="4"/>
  <c r="AD63" i="4"/>
  <c r="Z63" i="4"/>
  <c r="W63" i="4"/>
  <c r="S63" i="4"/>
  <c r="P63" i="4"/>
  <c r="U63" i="4" s="1"/>
  <c r="N63" i="4"/>
  <c r="K63" i="4"/>
  <c r="H63" i="4"/>
  <c r="E63" i="4"/>
  <c r="AF62" i="4"/>
  <c r="AD62" i="4"/>
  <c r="Z62" i="4"/>
  <c r="W62" i="4"/>
  <c r="U62" i="4"/>
  <c r="S62" i="4"/>
  <c r="AF61" i="4"/>
  <c r="AD61" i="4"/>
  <c r="Z61" i="4"/>
  <c r="W61" i="4"/>
  <c r="U61" i="4"/>
  <c r="S61" i="4"/>
  <c r="N61" i="4"/>
  <c r="K61" i="4"/>
  <c r="H61" i="4"/>
  <c r="E61" i="4"/>
  <c r="AO60" i="4"/>
  <c r="AQ60" i="4" s="1"/>
  <c r="AS60" i="4" s="1"/>
  <c r="AU60" i="4" s="1"/>
  <c r="AW60" i="4" s="1"/>
  <c r="AY60" i="4" s="1"/>
  <c r="BA60" i="4" s="1"/>
  <c r="BC60" i="4" s="1"/>
  <c r="BE60" i="4" s="1"/>
  <c r="AF60" i="4"/>
  <c r="AD60" i="4"/>
  <c r="Z60" i="4"/>
  <c r="W60" i="4"/>
  <c r="U60" i="4"/>
  <c r="S60" i="4"/>
  <c r="N60" i="4"/>
  <c r="K60" i="4"/>
  <c r="H60" i="4"/>
  <c r="E60" i="4"/>
  <c r="AF59" i="4"/>
  <c r="AD59" i="4"/>
  <c r="Z59" i="4"/>
  <c r="W59" i="4"/>
  <c r="U59" i="4"/>
  <c r="S59" i="4"/>
  <c r="N59" i="4"/>
  <c r="K59" i="4"/>
  <c r="H59" i="4"/>
  <c r="E59" i="4"/>
  <c r="AH58" i="4"/>
  <c r="AF58" i="4"/>
  <c r="AD58" i="4"/>
  <c r="Z58" i="4"/>
  <c r="W58" i="4"/>
  <c r="S58" i="4"/>
  <c r="P58" i="4"/>
  <c r="U58" i="4" s="1"/>
  <c r="N58" i="4"/>
  <c r="K58" i="4"/>
  <c r="H58" i="4"/>
  <c r="E58" i="4"/>
  <c r="AO57" i="4"/>
  <c r="AQ57" i="4" s="1"/>
  <c r="AF57" i="4"/>
  <c r="AD57" i="4"/>
  <c r="Z57" i="4"/>
  <c r="W57" i="4"/>
  <c r="S57" i="4"/>
  <c r="P57" i="4"/>
  <c r="N57" i="4"/>
  <c r="K57" i="4"/>
  <c r="H57" i="4"/>
  <c r="E57" i="4"/>
  <c r="AE53" i="4"/>
  <c r="Y53" i="4"/>
  <c r="V53" i="4"/>
  <c r="T53" i="4"/>
  <c r="L53" i="4"/>
  <c r="J53" i="4"/>
  <c r="F53" i="4"/>
  <c r="AQ51" i="4"/>
  <c r="AS51" i="4" s="1"/>
  <c r="AU51" i="4" s="1"/>
  <c r="AW51" i="4" s="1"/>
  <c r="AY51" i="4" s="1"/>
  <c r="BA51" i="4" s="1"/>
  <c r="BC51" i="4" s="1"/>
  <c r="BE51" i="4" s="1"/>
  <c r="AF51" i="4"/>
  <c r="AC51" i="4"/>
  <c r="AD51" i="4" s="1"/>
  <c r="Z51" i="4"/>
  <c r="W51" i="4"/>
  <c r="U51" i="4"/>
  <c r="R51" i="4"/>
  <c r="R53" i="4" s="1"/>
  <c r="N51" i="4"/>
  <c r="K51" i="4"/>
  <c r="E51" i="4"/>
  <c r="B51" i="4"/>
  <c r="H51" i="4" s="1"/>
  <c r="AO50" i="4"/>
  <c r="AQ50" i="4" s="1"/>
  <c r="AS50" i="4" s="1"/>
  <c r="AU50" i="4" s="1"/>
  <c r="AW50" i="4" s="1"/>
  <c r="AY50" i="4" s="1"/>
  <c r="BA50" i="4" s="1"/>
  <c r="BC50" i="4" s="1"/>
  <c r="BE50" i="4" s="1"/>
  <c r="AF50" i="4"/>
  <c r="AD50" i="4"/>
  <c r="Z50" i="4"/>
  <c r="W50" i="4"/>
  <c r="S50" i="4"/>
  <c r="P50" i="4"/>
  <c r="U50" i="4" s="1"/>
  <c r="N50" i="4"/>
  <c r="K50" i="4"/>
  <c r="H50" i="4"/>
  <c r="E50" i="4"/>
  <c r="AF49" i="4"/>
  <c r="AD49" i="4"/>
  <c r="Z49" i="4"/>
  <c r="W49" i="4"/>
  <c r="U49" i="4"/>
  <c r="S49" i="4"/>
  <c r="N49" i="4"/>
  <c r="K49" i="4"/>
  <c r="H49" i="4"/>
  <c r="E49" i="4"/>
  <c r="AF48" i="4"/>
  <c r="AD48" i="4"/>
  <c r="Z48" i="4"/>
  <c r="W48" i="4"/>
  <c r="U48" i="4"/>
  <c r="S48" i="4"/>
  <c r="N48" i="4"/>
  <c r="K48" i="4"/>
  <c r="H48" i="4"/>
  <c r="E48" i="4"/>
  <c r="AF47" i="4"/>
  <c r="AD47" i="4"/>
  <c r="Z47" i="4"/>
  <c r="W47" i="4"/>
  <c r="U47" i="4"/>
  <c r="S47" i="4"/>
  <c r="N47" i="4"/>
  <c r="K47" i="4"/>
  <c r="H47" i="4"/>
  <c r="E47" i="4"/>
  <c r="AF46" i="4"/>
  <c r="AD46" i="4"/>
  <c r="Z46" i="4"/>
  <c r="W46" i="4"/>
  <c r="S46" i="4"/>
  <c r="P46" i="4"/>
  <c r="AH46" i="4" s="1"/>
  <c r="AM46" i="4" s="1"/>
  <c r="N46" i="4"/>
  <c r="K46" i="4"/>
  <c r="E46" i="4"/>
  <c r="B46" i="4"/>
  <c r="H46" i="4" s="1"/>
  <c r="AH45" i="4"/>
  <c r="AF45" i="4"/>
  <c r="AD45" i="4"/>
  <c r="Z45" i="4"/>
  <c r="W45" i="4"/>
  <c r="S45" i="4"/>
  <c r="P45" i="4"/>
  <c r="U45" i="4" s="1"/>
  <c r="N45" i="4"/>
  <c r="K45" i="4"/>
  <c r="E45" i="4"/>
  <c r="B45" i="4"/>
  <c r="H45" i="4" s="1"/>
  <c r="AF44" i="4"/>
  <c r="AD44" i="4"/>
  <c r="Z44" i="4"/>
  <c r="W44" i="4"/>
  <c r="U44" i="4"/>
  <c r="S44" i="4"/>
  <c r="BD43" i="4"/>
  <c r="AX43" i="4"/>
  <c r="AZ43" i="4" s="1"/>
  <c r="AR43" i="4"/>
  <c r="AH43" i="4"/>
  <c r="AF43" i="4"/>
  <c r="AD43" i="4"/>
  <c r="Z43" i="4"/>
  <c r="W43" i="4"/>
  <c r="S43" i="4"/>
  <c r="P43" i="4"/>
  <c r="N43" i="4"/>
  <c r="K43" i="4"/>
  <c r="H43" i="4"/>
  <c r="D43" i="4"/>
  <c r="D53" i="4" s="1"/>
  <c r="Z31" i="4"/>
  <c r="U31" i="4"/>
  <c r="H31" i="4"/>
  <c r="BT30" i="4"/>
  <c r="BT32" i="4" s="1"/>
  <c r="BR30" i="4"/>
  <c r="BR32" i="4" s="1"/>
  <c r="BP30" i="4"/>
  <c r="BP32" i="4" s="1"/>
  <c r="BN30" i="4"/>
  <c r="BN32" i="4" s="1"/>
  <c r="BL30" i="4"/>
  <c r="BL32" i="4" s="1"/>
  <c r="BK30" i="4"/>
  <c r="BK32" i="4" s="1"/>
  <c r="BI30" i="4"/>
  <c r="BI32" i="4" s="1"/>
  <c r="BG30" i="4"/>
  <c r="BG32" i="4" s="1"/>
  <c r="BE30" i="4"/>
  <c r="BE32" i="4" s="1"/>
  <c r="BC30" i="4"/>
  <c r="BC32" i="4" s="1"/>
  <c r="BA30" i="4"/>
  <c r="BA32" i="4" s="1"/>
  <c r="AY30" i="4"/>
  <c r="AY32" i="4" s="1"/>
  <c r="AW30" i="4"/>
  <c r="AW32" i="4" s="1"/>
  <c r="AU30" i="4"/>
  <c r="AU32" i="4" s="1"/>
  <c r="AS30" i="4"/>
  <c r="AS32" i="4" s="1"/>
  <c r="AQ30" i="4"/>
  <c r="AQ32" i="4" s="1"/>
  <c r="AO30" i="4"/>
  <c r="AO32" i="4" s="1"/>
  <c r="AH30" i="4"/>
  <c r="AH32" i="4" s="1"/>
  <c r="AH33" i="4" s="1"/>
  <c r="AO28" i="4" s="1"/>
  <c r="AE30" i="4"/>
  <c r="AE32" i="4" s="1"/>
  <c r="AE33" i="4" s="1"/>
  <c r="Y30" i="4"/>
  <c r="T30" i="4"/>
  <c r="T32" i="4" s="1"/>
  <c r="P30" i="4"/>
  <c r="P32" i="4" s="1"/>
  <c r="P33" i="4" s="1"/>
  <c r="L30" i="4"/>
  <c r="L32" i="4" s="1"/>
  <c r="L33" i="4" s="1"/>
  <c r="J30" i="4"/>
  <c r="J32" i="4" s="1"/>
  <c r="J33" i="4" s="1"/>
  <c r="F30" i="4"/>
  <c r="F32" i="4" s="1"/>
  <c r="F33" i="4" s="1"/>
  <c r="D30" i="4"/>
  <c r="D32" i="4" s="1"/>
  <c r="D33" i="4" s="1"/>
  <c r="Z29" i="4"/>
  <c r="U29" i="4"/>
  <c r="H29" i="4"/>
  <c r="Z28" i="4"/>
  <c r="U28" i="4"/>
  <c r="H28" i="4"/>
  <c r="N21" i="4"/>
  <c r="N20" i="4"/>
  <c r="BT18" i="4"/>
  <c r="BR18" i="4"/>
  <c r="BP18" i="4"/>
  <c r="BN18" i="4"/>
  <c r="BL18" i="4"/>
  <c r="BK18" i="4"/>
  <c r="BI18" i="4"/>
  <c r="BG18" i="4"/>
  <c r="BT17" i="4"/>
  <c r="BR17" i="4"/>
  <c r="BP17" i="4"/>
  <c r="BN17" i="4"/>
  <c r="BL17" i="4"/>
  <c r="BK17" i="4"/>
  <c r="BI17" i="4"/>
  <c r="BG17" i="4"/>
  <c r="Z16" i="4"/>
  <c r="U16" i="4"/>
  <c r="N16" i="4"/>
  <c r="BT14" i="4"/>
  <c r="BR14" i="4"/>
  <c r="BP14" i="4"/>
  <c r="BN14" i="4"/>
  <c r="BL14" i="4"/>
  <c r="BK14" i="4"/>
  <c r="BI14" i="4"/>
  <c r="BG14" i="4"/>
  <c r="BT13" i="4"/>
  <c r="BR13" i="4"/>
  <c r="BP13" i="4"/>
  <c r="BN13" i="4"/>
  <c r="BL13" i="4"/>
  <c r="BK13" i="4"/>
  <c r="BI13" i="4"/>
  <c r="BG13" i="4"/>
  <c r="N11" i="4"/>
  <c r="Z10" i="4"/>
  <c r="U10" i="4"/>
  <c r="N10" i="4"/>
  <c r="AS198" i="6" l="1"/>
  <c r="AS199" i="6" s="1"/>
  <c r="AQ217" i="6"/>
  <c r="BE189" i="6"/>
  <c r="AF1158" i="4"/>
  <c r="BC60" i="5"/>
  <c r="AS218" i="8"/>
  <c r="AS225" i="8" s="1"/>
  <c r="AS240" i="8" s="1"/>
  <c r="AS247" i="8" s="1"/>
  <c r="BA233" i="7"/>
  <c r="BC230" i="7"/>
  <c r="BE96" i="6"/>
  <c r="BE169" i="6" s="1"/>
  <c r="BC169" i="6"/>
  <c r="BC105" i="6"/>
  <c r="BE104" i="6"/>
  <c r="BE105" i="6" s="1"/>
  <c r="BA94" i="6"/>
  <c r="BA107" i="6" s="1"/>
  <c r="BC93" i="6"/>
  <c r="AU246" i="6"/>
  <c r="BA39" i="6"/>
  <c r="BC37" i="6"/>
  <c r="BE165" i="6"/>
  <c r="BC165" i="6"/>
  <c r="BA216" i="6"/>
  <c r="BC215" i="6"/>
  <c r="AW7" i="6"/>
  <c r="AW9" i="6" s="1"/>
  <c r="AW109" i="6"/>
  <c r="AW152" i="6" s="1"/>
  <c r="AW156" i="6" s="1"/>
  <c r="BA220" i="5"/>
  <c r="BA235" i="1" s="1"/>
  <c r="BA121" i="5"/>
  <c r="BA138" i="1" s="1"/>
  <c r="BA131" i="1"/>
  <c r="BE41" i="5"/>
  <c r="BC1056" i="5"/>
  <c r="X11" i="9" s="1"/>
  <c r="BA144" i="8"/>
  <c r="BA10" i="8" s="1"/>
  <c r="BA12" i="8" s="1"/>
  <c r="AQ4" i="8"/>
  <c r="AQ15" i="8" s="1"/>
  <c r="BA57" i="8"/>
  <c r="BA66" i="8" s="1"/>
  <c r="AQ1139" i="5"/>
  <c r="L82" i="9"/>
  <c r="AQ17" i="5"/>
  <c r="AQ18" i="5"/>
  <c r="AQ1065" i="5"/>
  <c r="AQ1087" i="5" s="1"/>
  <c r="L15" i="9"/>
  <c r="L20" i="9" s="1"/>
  <c r="L42" i="9" s="1"/>
  <c r="BC162" i="8"/>
  <c r="BE39" i="8"/>
  <c r="BC44" i="8"/>
  <c r="BE71" i="8"/>
  <c r="BE73" i="8" s="1"/>
  <c r="BE169" i="8" s="1"/>
  <c r="BC73" i="8"/>
  <c r="BC169" i="8" s="1"/>
  <c r="BA174" i="8"/>
  <c r="BA196" i="8" s="1"/>
  <c r="BC166" i="8"/>
  <c r="BE54" i="8"/>
  <c r="BC55" i="8"/>
  <c r="AQ1134" i="5"/>
  <c r="AQ200" i="6"/>
  <c r="AQ201" i="6" s="1"/>
  <c r="AQ221" i="6"/>
  <c r="AQ228" i="6" s="1"/>
  <c r="AQ243" i="6" s="1"/>
  <c r="AQ250" i="6" s="1"/>
  <c r="AW356" i="5"/>
  <c r="AW8" i="5"/>
  <c r="AW10" i="5" s="1"/>
  <c r="L65" i="11"/>
  <c r="AY49" i="5"/>
  <c r="AY336" i="5" s="1"/>
  <c r="AY8" i="5" s="1"/>
  <c r="T8" i="9"/>
  <c r="AS213" i="6"/>
  <c r="BE851" i="5"/>
  <c r="BE1040" i="5" s="1"/>
  <c r="BE1075" i="5" s="1"/>
  <c r="BE796" i="5"/>
  <c r="BE809" i="5" s="1"/>
  <c r="BE831" i="5" s="1"/>
  <c r="BC809" i="5"/>
  <c r="BC831" i="5" s="1"/>
  <c r="BA681" i="5"/>
  <c r="BC677" i="5"/>
  <c r="BA686" i="5"/>
  <c r="BC683" i="5"/>
  <c r="BE740" i="5"/>
  <c r="BE745" i="5" s="1"/>
  <c r="BC745" i="5"/>
  <c r="BA690" i="5"/>
  <c r="BC689" i="5"/>
  <c r="BE640" i="5"/>
  <c r="BE643" i="5" s="1"/>
  <c r="BC643" i="5"/>
  <c r="BE611" i="5"/>
  <c r="BE615" i="5" s="1"/>
  <c r="BC615" i="5"/>
  <c r="BE503" i="5"/>
  <c r="BE509" i="5" s="1"/>
  <c r="BE515" i="5" s="1"/>
  <c r="BC509" i="5"/>
  <c r="BC515" i="5" s="1"/>
  <c r="BE303" i="5"/>
  <c r="BC305" i="5"/>
  <c r="BC334" i="5" s="1"/>
  <c r="BC1054" i="5"/>
  <c r="X9" i="9" s="1"/>
  <c r="BE174" i="5"/>
  <c r="BE175" i="5" s="1"/>
  <c r="BE220" i="5" s="1"/>
  <c r="BC175" i="5"/>
  <c r="BC220" i="5" s="1"/>
  <c r="BE108" i="5"/>
  <c r="BE114" i="5" s="1"/>
  <c r="BE121" i="5" s="1"/>
  <c r="BC114" i="5"/>
  <c r="BC121" i="5" s="1"/>
  <c r="BA73" i="5"/>
  <c r="BC66" i="5"/>
  <c r="AY146" i="8"/>
  <c r="AY152" i="8" s="1"/>
  <c r="AY156" i="8" s="1"/>
  <c r="BA146" i="8"/>
  <c r="BA152" i="8" s="1"/>
  <c r="BA156" i="8" s="1"/>
  <c r="AU246" i="8"/>
  <c r="AW243" i="8"/>
  <c r="M14" i="11"/>
  <c r="U14" i="11" s="1"/>
  <c r="F14" i="11"/>
  <c r="H14" i="11" s="1"/>
  <c r="M42" i="11"/>
  <c r="N33" i="11"/>
  <c r="M40" i="11"/>
  <c r="BA1057" i="5"/>
  <c r="V12" i="9" s="1"/>
  <c r="L45" i="11"/>
  <c r="AS201" i="8"/>
  <c r="AW205" i="8"/>
  <c r="AW207" i="8" s="1"/>
  <c r="BA809" i="5"/>
  <c r="BA831" i="5" s="1"/>
  <c r="BA60" i="6"/>
  <c r="BA70" i="6" s="1"/>
  <c r="BA109" i="6" s="1"/>
  <c r="BA152" i="6" s="1"/>
  <c r="BA156" i="6" s="1"/>
  <c r="BA162" i="6"/>
  <c r="AU249" i="6"/>
  <c r="AY107" i="6"/>
  <c r="AY11" i="6" s="1"/>
  <c r="AY13" i="6" s="1"/>
  <c r="AY168" i="6"/>
  <c r="BA225" i="6"/>
  <c r="AY226" i="6"/>
  <c r="AU205" i="6"/>
  <c r="AU207" i="6" s="1"/>
  <c r="BA168" i="6"/>
  <c r="AY60" i="6"/>
  <c r="AY70" i="6" s="1"/>
  <c r="AY162" i="6"/>
  <c r="AW174" i="6"/>
  <c r="AW196" i="6" s="1"/>
  <c r="AU16" i="6"/>
  <c r="AW5" i="6" s="1"/>
  <c r="AW15" i="6"/>
  <c r="AW204" i="6" s="1"/>
  <c r="AS197" i="7"/>
  <c r="AS201" i="7" s="1"/>
  <c r="BA615" i="5"/>
  <c r="BA663" i="5" s="1"/>
  <c r="AY6" i="8"/>
  <c r="AY8" i="8" s="1"/>
  <c r="AY14" i="8" s="1"/>
  <c r="BA11" i="6"/>
  <c r="BA13" i="6" s="1"/>
  <c r="AY675" i="5"/>
  <c r="AY777" i="5" s="1"/>
  <c r="BA672" i="5"/>
  <c r="Z683" i="4"/>
  <c r="AK546" i="4"/>
  <c r="Y1095" i="4"/>
  <c r="F1228" i="4"/>
  <c r="H1228" i="4" s="1"/>
  <c r="E579" i="4"/>
  <c r="BE417" i="4"/>
  <c r="BE1068" i="4" s="1"/>
  <c r="BC1068" i="4"/>
  <c r="AK125" i="4"/>
  <c r="U531" i="4"/>
  <c r="P703" i="4"/>
  <c r="U703" i="4" s="1"/>
  <c r="Z172" i="4"/>
  <c r="K1394" i="4"/>
  <c r="W1394" i="4"/>
  <c r="W553" i="4"/>
  <c r="AH703" i="4"/>
  <c r="AM703" i="4" s="1"/>
  <c r="K97" i="4"/>
  <c r="AQ97" i="4"/>
  <c r="AO146" i="4"/>
  <c r="AQ146" i="4" s="1"/>
  <c r="AO152" i="4"/>
  <c r="AQ152" i="4" s="1"/>
  <c r="AS152" i="4" s="1"/>
  <c r="AU152" i="4" s="1"/>
  <c r="AW152" i="4" s="1"/>
  <c r="AY152" i="4" s="1"/>
  <c r="BA152" i="4" s="1"/>
  <c r="BC152" i="4" s="1"/>
  <c r="BE152" i="4" s="1"/>
  <c r="AO559" i="4"/>
  <c r="AQ559" i="4" s="1"/>
  <c r="AS559" i="4" s="1"/>
  <c r="AU559" i="4" s="1"/>
  <c r="AW559" i="4" s="1"/>
  <c r="AY559" i="4" s="1"/>
  <c r="BA559" i="4" s="1"/>
  <c r="BC559" i="4" s="1"/>
  <c r="BE559" i="4" s="1"/>
  <c r="N1229" i="4"/>
  <c r="AF1359" i="4"/>
  <c r="AO1380" i="4"/>
  <c r="AQ1380" i="4" s="1"/>
  <c r="AS1380" i="4" s="1"/>
  <c r="AU1380" i="4" s="1"/>
  <c r="AW1380" i="4" s="1"/>
  <c r="AY1380" i="4" s="1"/>
  <c r="BA1380" i="4" s="1"/>
  <c r="BC1380" i="4" s="1"/>
  <c r="BE1380" i="4" s="1"/>
  <c r="AM1380" i="4"/>
  <c r="AO1414" i="4"/>
  <c r="AQ1414" i="4" s="1"/>
  <c r="AS1414" i="4" s="1"/>
  <c r="AU1414" i="4" s="1"/>
  <c r="AW1414" i="4" s="1"/>
  <c r="AY1414" i="4" s="1"/>
  <c r="BA1414" i="4" s="1"/>
  <c r="BC1414" i="4" s="1"/>
  <c r="BE1414" i="4" s="1"/>
  <c r="AM1414" i="4"/>
  <c r="N545" i="4"/>
  <c r="AE1079" i="4"/>
  <c r="AO1409" i="4"/>
  <c r="AQ1409" i="4" s="1"/>
  <c r="AS1409" i="4" s="1"/>
  <c r="AU1409" i="4" s="1"/>
  <c r="AW1409" i="4" s="1"/>
  <c r="AY1409" i="4" s="1"/>
  <c r="BA1409" i="4" s="1"/>
  <c r="BC1409" i="4" s="1"/>
  <c r="BE1409" i="4" s="1"/>
  <c r="AM1409" i="4"/>
  <c r="AO1463" i="4"/>
  <c r="AM1463" i="4"/>
  <c r="AM30" i="4"/>
  <c r="BK15" i="4"/>
  <c r="BR15" i="4"/>
  <c r="P1303" i="4"/>
  <c r="S1383" i="4"/>
  <c r="AO1405" i="4"/>
  <c r="AQ1405" i="4" s="1"/>
  <c r="AS1405" i="4" s="1"/>
  <c r="AU1405" i="4" s="1"/>
  <c r="AW1405" i="4" s="1"/>
  <c r="AY1405" i="4" s="1"/>
  <c r="BA1405" i="4" s="1"/>
  <c r="BC1405" i="4" s="1"/>
  <c r="BE1405" i="4" s="1"/>
  <c r="AM1405" i="4"/>
  <c r="AO1471" i="4"/>
  <c r="AQ1471" i="4" s="1"/>
  <c r="AS1471" i="4" s="1"/>
  <c r="AU1471" i="4" s="1"/>
  <c r="AW1471" i="4" s="1"/>
  <c r="AY1471" i="4" s="1"/>
  <c r="BA1471" i="4" s="1"/>
  <c r="BC1471" i="4" s="1"/>
  <c r="BE1471" i="4" s="1"/>
  <c r="AM1471" i="4"/>
  <c r="AK1274" i="4"/>
  <c r="AL33" i="4"/>
  <c r="AM33" i="4" s="1"/>
  <c r="AM32" i="4"/>
  <c r="AK834" i="4"/>
  <c r="AK781" i="4"/>
  <c r="AK519" i="4"/>
  <c r="AK493" i="4"/>
  <c r="AJ836" i="4"/>
  <c r="AJ1045" i="4" s="1"/>
  <c r="P77" i="4"/>
  <c r="AO233" i="4"/>
  <c r="AO418" i="4"/>
  <c r="AQ418" i="4" s="1"/>
  <c r="AS418" i="4" s="1"/>
  <c r="AU418" i="4" s="1"/>
  <c r="AW418" i="4" s="1"/>
  <c r="AY418" i="4" s="1"/>
  <c r="BA418" i="4" s="1"/>
  <c r="BC418" i="4" s="1"/>
  <c r="BE418" i="4" s="1"/>
  <c r="AO423" i="4"/>
  <c r="AQ423" i="4" s="1"/>
  <c r="AS423" i="4" s="1"/>
  <c r="AU423" i="4" s="1"/>
  <c r="AW423" i="4" s="1"/>
  <c r="AY423" i="4" s="1"/>
  <c r="BA423" i="4" s="1"/>
  <c r="BC423" i="4" s="1"/>
  <c r="BE423" i="4" s="1"/>
  <c r="AD492" i="4"/>
  <c r="E553" i="4"/>
  <c r="AF646" i="4"/>
  <c r="H646" i="4"/>
  <c r="E651" i="4"/>
  <c r="AH996" i="4"/>
  <c r="AO1105" i="4"/>
  <c r="AQ1105" i="4" s="1"/>
  <c r="AS1105" i="4" s="1"/>
  <c r="AU1105" i="4" s="1"/>
  <c r="AW1105" i="4" s="1"/>
  <c r="AY1105" i="4" s="1"/>
  <c r="BA1105" i="4" s="1"/>
  <c r="BC1105" i="4" s="1"/>
  <c r="BE1105" i="4" s="1"/>
  <c r="B1274" i="4"/>
  <c r="AO1285" i="4"/>
  <c r="AQ1285" i="4" s="1"/>
  <c r="AS1285" i="4" s="1"/>
  <c r="AU1285" i="4" s="1"/>
  <c r="AW1285" i="4" s="1"/>
  <c r="AY1285" i="4" s="1"/>
  <c r="BA1285" i="4" s="1"/>
  <c r="BC1285" i="4" s="1"/>
  <c r="BE1285" i="4" s="1"/>
  <c r="AH1393" i="4"/>
  <c r="AK222" i="4"/>
  <c r="AK302" i="4"/>
  <c r="H545" i="4"/>
  <c r="AF545" i="4"/>
  <c r="H549" i="4"/>
  <c r="D160" i="4"/>
  <c r="AO715" i="4"/>
  <c r="Z646" i="4"/>
  <c r="AO643" i="4"/>
  <c r="N646" i="4"/>
  <c r="K651" i="4"/>
  <c r="S677" i="4"/>
  <c r="K683" i="4"/>
  <c r="N688" i="4"/>
  <c r="AD700" i="4"/>
  <c r="AD1117" i="4"/>
  <c r="F1230" i="4"/>
  <c r="AO1280" i="4"/>
  <c r="AQ1280" i="4" s="1"/>
  <c r="AS1280" i="4" s="1"/>
  <c r="AU1280" i="4" s="1"/>
  <c r="AW1280" i="4" s="1"/>
  <c r="AY1280" i="4" s="1"/>
  <c r="BA1280" i="4" s="1"/>
  <c r="BC1280" i="4" s="1"/>
  <c r="BE1280" i="4" s="1"/>
  <c r="AK103" i="4"/>
  <c r="AO117" i="4"/>
  <c r="AQ117" i="4" s="1"/>
  <c r="AS117" i="4" s="1"/>
  <c r="AU117" i="4" s="1"/>
  <c r="AW117" i="4" s="1"/>
  <c r="AY117" i="4" s="1"/>
  <c r="BA117" i="4" s="1"/>
  <c r="BC117" i="4" s="1"/>
  <c r="AM117" i="4"/>
  <c r="AH301" i="4"/>
  <c r="AH302" i="4" s="1"/>
  <c r="AM290" i="4"/>
  <c r="AM301" i="4" s="1"/>
  <c r="AM302" i="4" s="1"/>
  <c r="AO334" i="4"/>
  <c r="AQ334" i="4" s="1"/>
  <c r="AS334" i="4" s="1"/>
  <c r="AU334" i="4" s="1"/>
  <c r="AW334" i="4" s="1"/>
  <c r="AY334" i="4" s="1"/>
  <c r="BA334" i="4" s="1"/>
  <c r="BC334" i="4" s="1"/>
  <c r="BE334" i="4" s="1"/>
  <c r="AM334" i="4"/>
  <c r="AM335" i="4" s="1"/>
  <c r="AO398" i="4"/>
  <c r="AQ398" i="4" s="1"/>
  <c r="AS398" i="4" s="1"/>
  <c r="AU398" i="4" s="1"/>
  <c r="AW398" i="4" s="1"/>
  <c r="AY398" i="4" s="1"/>
  <c r="BA398" i="4" s="1"/>
  <c r="BC398" i="4" s="1"/>
  <c r="BE398" i="4" s="1"/>
  <c r="AM398" i="4"/>
  <c r="AO408" i="4"/>
  <c r="AQ408" i="4" s="1"/>
  <c r="AS408" i="4" s="1"/>
  <c r="AU408" i="4" s="1"/>
  <c r="AW408" i="4" s="1"/>
  <c r="AY408" i="4" s="1"/>
  <c r="BA408" i="4" s="1"/>
  <c r="BC408" i="4" s="1"/>
  <c r="BE408" i="4" s="1"/>
  <c r="AM408" i="4"/>
  <c r="AO414" i="4"/>
  <c r="AQ414" i="4" s="1"/>
  <c r="AS414" i="4" s="1"/>
  <c r="AU414" i="4" s="1"/>
  <c r="AW414" i="4" s="1"/>
  <c r="AY414" i="4" s="1"/>
  <c r="BA414" i="4" s="1"/>
  <c r="BC414" i="4" s="1"/>
  <c r="BE414" i="4" s="1"/>
  <c r="AM414" i="4"/>
  <c r="AO437" i="4"/>
  <c r="AQ437" i="4" s="1"/>
  <c r="AS437" i="4" s="1"/>
  <c r="AU437" i="4" s="1"/>
  <c r="AW437" i="4" s="1"/>
  <c r="AY437" i="4" s="1"/>
  <c r="BA437" i="4" s="1"/>
  <c r="BC437" i="4" s="1"/>
  <c r="BE437" i="4" s="1"/>
  <c r="AM437" i="4"/>
  <c r="AO466" i="4"/>
  <c r="AQ466" i="4" s="1"/>
  <c r="AS466" i="4" s="1"/>
  <c r="AU466" i="4" s="1"/>
  <c r="AW466" i="4" s="1"/>
  <c r="AY466" i="4" s="1"/>
  <c r="BA466" i="4" s="1"/>
  <c r="BC466" i="4" s="1"/>
  <c r="BE466" i="4" s="1"/>
  <c r="AM466" i="4"/>
  <c r="AO480" i="4"/>
  <c r="AQ480" i="4" s="1"/>
  <c r="AS480" i="4" s="1"/>
  <c r="AU480" i="4" s="1"/>
  <c r="AW480" i="4" s="1"/>
  <c r="AY480" i="4" s="1"/>
  <c r="BA480" i="4" s="1"/>
  <c r="BC480" i="4" s="1"/>
  <c r="BE480" i="4" s="1"/>
  <c r="AM480" i="4"/>
  <c r="AO485" i="4"/>
  <c r="AM485" i="4"/>
  <c r="AO501" i="4"/>
  <c r="AQ501" i="4" s="1"/>
  <c r="AS501" i="4" s="1"/>
  <c r="AU501" i="4" s="1"/>
  <c r="AW501" i="4" s="1"/>
  <c r="AY501" i="4" s="1"/>
  <c r="BA501" i="4" s="1"/>
  <c r="BC501" i="4" s="1"/>
  <c r="BE501" i="4" s="1"/>
  <c r="AM501" i="4"/>
  <c r="AO505" i="4"/>
  <c r="AQ505" i="4" s="1"/>
  <c r="AS505" i="4" s="1"/>
  <c r="AU505" i="4" s="1"/>
  <c r="AW505" i="4" s="1"/>
  <c r="AY505" i="4" s="1"/>
  <c r="BA505" i="4" s="1"/>
  <c r="BC505" i="4" s="1"/>
  <c r="BE505" i="4" s="1"/>
  <c r="AM505" i="4"/>
  <c r="AO570" i="4"/>
  <c r="AQ570" i="4" s="1"/>
  <c r="AS570" i="4" s="1"/>
  <c r="AU570" i="4" s="1"/>
  <c r="AW570" i="4" s="1"/>
  <c r="AY570" i="4" s="1"/>
  <c r="BA570" i="4" s="1"/>
  <c r="BC570" i="4" s="1"/>
  <c r="BE570" i="4" s="1"/>
  <c r="AM570" i="4"/>
  <c r="AO572" i="4"/>
  <c r="AQ572" i="4" s="1"/>
  <c r="AS572" i="4" s="1"/>
  <c r="AU572" i="4" s="1"/>
  <c r="AW572" i="4" s="1"/>
  <c r="AY572" i="4" s="1"/>
  <c r="BA572" i="4" s="1"/>
  <c r="BC572" i="4" s="1"/>
  <c r="BE572" i="4" s="1"/>
  <c r="AM572" i="4"/>
  <c r="AO607" i="4"/>
  <c r="AQ607" i="4" s="1"/>
  <c r="AS607" i="4" s="1"/>
  <c r="AU607" i="4" s="1"/>
  <c r="AW607" i="4" s="1"/>
  <c r="AY607" i="4" s="1"/>
  <c r="BA607" i="4" s="1"/>
  <c r="BC607" i="4" s="1"/>
  <c r="BE607" i="4" s="1"/>
  <c r="AM607" i="4"/>
  <c r="AO794" i="4"/>
  <c r="AQ794" i="4" s="1"/>
  <c r="AS794" i="4" s="1"/>
  <c r="AU794" i="4" s="1"/>
  <c r="AW794" i="4" s="1"/>
  <c r="AY794" i="4" s="1"/>
  <c r="BA794" i="4" s="1"/>
  <c r="BC794" i="4" s="1"/>
  <c r="BE794" i="4" s="1"/>
  <c r="AM794" i="4"/>
  <c r="H77" i="4"/>
  <c r="Z97" i="4"/>
  <c r="BR19" i="4"/>
  <c r="BR22" i="4" s="1"/>
  <c r="AO76" i="4"/>
  <c r="AQ76" i="4" s="1"/>
  <c r="AS76" i="4" s="1"/>
  <c r="AU76" i="4" s="1"/>
  <c r="AW76" i="4" s="1"/>
  <c r="AY76" i="4" s="1"/>
  <c r="BA76" i="4" s="1"/>
  <c r="BC76" i="4" s="1"/>
  <c r="BE76" i="4" s="1"/>
  <c r="AM76" i="4"/>
  <c r="AO159" i="4"/>
  <c r="AQ159" i="4" s="1"/>
  <c r="AS159" i="4" s="1"/>
  <c r="AH307" i="4"/>
  <c r="AM305" i="4"/>
  <c r="AM307" i="4" s="1"/>
  <c r="AO374" i="4"/>
  <c r="AQ374" i="4" s="1"/>
  <c r="AS374" i="4" s="1"/>
  <c r="AU374" i="4" s="1"/>
  <c r="AW374" i="4" s="1"/>
  <c r="AY374" i="4" s="1"/>
  <c r="BA374" i="4" s="1"/>
  <c r="BC374" i="4" s="1"/>
  <c r="BE374" i="4" s="1"/>
  <c r="AM374" i="4"/>
  <c r="AO383" i="4"/>
  <c r="AQ383" i="4" s="1"/>
  <c r="AS383" i="4" s="1"/>
  <c r="AU383" i="4" s="1"/>
  <c r="AW383" i="4" s="1"/>
  <c r="AY383" i="4" s="1"/>
  <c r="BA383" i="4" s="1"/>
  <c r="BC383" i="4" s="1"/>
  <c r="BE383" i="4" s="1"/>
  <c r="AM383" i="4"/>
  <c r="AO396" i="4"/>
  <c r="AQ396" i="4" s="1"/>
  <c r="AS396" i="4" s="1"/>
  <c r="AU396" i="4" s="1"/>
  <c r="AW396" i="4" s="1"/>
  <c r="AY396" i="4" s="1"/>
  <c r="BA396" i="4" s="1"/>
  <c r="BC396" i="4" s="1"/>
  <c r="BE396" i="4" s="1"/>
  <c r="AM396" i="4"/>
  <c r="AO402" i="4"/>
  <c r="AQ402" i="4" s="1"/>
  <c r="AS402" i="4" s="1"/>
  <c r="AU402" i="4" s="1"/>
  <c r="AW402" i="4" s="1"/>
  <c r="AY402" i="4" s="1"/>
  <c r="BA402" i="4" s="1"/>
  <c r="BC402" i="4" s="1"/>
  <c r="BE402" i="4" s="1"/>
  <c r="AM402" i="4"/>
  <c r="AO406" i="4"/>
  <c r="AQ406" i="4" s="1"/>
  <c r="AS406" i="4" s="1"/>
  <c r="AU406" i="4" s="1"/>
  <c r="AW406" i="4" s="1"/>
  <c r="AY406" i="4" s="1"/>
  <c r="BA406" i="4" s="1"/>
  <c r="BC406" i="4" s="1"/>
  <c r="BE406" i="4" s="1"/>
  <c r="AM406" i="4"/>
  <c r="AO410" i="4"/>
  <c r="AQ410" i="4" s="1"/>
  <c r="AS410" i="4" s="1"/>
  <c r="AU410" i="4" s="1"/>
  <c r="AW410" i="4" s="1"/>
  <c r="AY410" i="4" s="1"/>
  <c r="BA410" i="4" s="1"/>
  <c r="BC410" i="4" s="1"/>
  <c r="BE410" i="4" s="1"/>
  <c r="AM410" i="4"/>
  <c r="AO420" i="4"/>
  <c r="AQ420" i="4" s="1"/>
  <c r="AS420" i="4" s="1"/>
  <c r="AU420" i="4" s="1"/>
  <c r="AW420" i="4" s="1"/>
  <c r="AY420" i="4" s="1"/>
  <c r="BA420" i="4" s="1"/>
  <c r="BC420" i="4" s="1"/>
  <c r="BE420" i="4" s="1"/>
  <c r="AH64" i="4"/>
  <c r="AM58" i="4"/>
  <c r="AM64" i="4" s="1"/>
  <c r="AF97" i="4"/>
  <c r="AO147" i="4"/>
  <c r="AQ147" i="4" s="1"/>
  <c r="AS147" i="4" s="1"/>
  <c r="AU147" i="4" s="1"/>
  <c r="AW147" i="4" s="1"/>
  <c r="AY147" i="4" s="1"/>
  <c r="BA147" i="4" s="1"/>
  <c r="BC147" i="4" s="1"/>
  <c r="BE147" i="4" s="1"/>
  <c r="AM147" i="4"/>
  <c r="AO221" i="4"/>
  <c r="N307" i="4"/>
  <c r="H317" i="4"/>
  <c r="AO373" i="4"/>
  <c r="AQ373" i="4" s="1"/>
  <c r="AS373" i="4" s="1"/>
  <c r="AU373" i="4" s="1"/>
  <c r="AW373" i="4" s="1"/>
  <c r="AY373" i="4" s="1"/>
  <c r="BA373" i="4" s="1"/>
  <c r="BC373" i="4" s="1"/>
  <c r="BE373" i="4" s="1"/>
  <c r="AM373" i="4"/>
  <c r="AO394" i="4"/>
  <c r="AQ394" i="4" s="1"/>
  <c r="AS394" i="4" s="1"/>
  <c r="AU394" i="4" s="1"/>
  <c r="AW394" i="4" s="1"/>
  <c r="AY394" i="4" s="1"/>
  <c r="BA394" i="4" s="1"/>
  <c r="BC394" i="4" s="1"/>
  <c r="BE394" i="4" s="1"/>
  <c r="AM394" i="4"/>
  <c r="AO409" i="4"/>
  <c r="AQ409" i="4" s="1"/>
  <c r="AS409" i="4" s="1"/>
  <c r="AU409" i="4" s="1"/>
  <c r="AW409" i="4" s="1"/>
  <c r="AY409" i="4" s="1"/>
  <c r="BA409" i="4" s="1"/>
  <c r="BC409" i="4" s="1"/>
  <c r="BE409" i="4" s="1"/>
  <c r="AM409" i="4"/>
  <c r="AO413" i="4"/>
  <c r="AQ413" i="4" s="1"/>
  <c r="AS413" i="4" s="1"/>
  <c r="AU413" i="4" s="1"/>
  <c r="AW413" i="4" s="1"/>
  <c r="AY413" i="4" s="1"/>
  <c r="BA413" i="4" s="1"/>
  <c r="BC413" i="4" s="1"/>
  <c r="BE413" i="4" s="1"/>
  <c r="AM413" i="4"/>
  <c r="AO419" i="4"/>
  <c r="AQ419" i="4" s="1"/>
  <c r="AS419" i="4" s="1"/>
  <c r="AU419" i="4" s="1"/>
  <c r="AW419" i="4" s="1"/>
  <c r="AY419" i="4" s="1"/>
  <c r="BA419" i="4" s="1"/>
  <c r="BC419" i="4" s="1"/>
  <c r="BE419" i="4" s="1"/>
  <c r="AO438" i="4"/>
  <c r="AQ438" i="4" s="1"/>
  <c r="AS438" i="4" s="1"/>
  <c r="AU438" i="4" s="1"/>
  <c r="AW438" i="4" s="1"/>
  <c r="AY438" i="4" s="1"/>
  <c r="BA438" i="4" s="1"/>
  <c r="BC438" i="4" s="1"/>
  <c r="BE438" i="4" s="1"/>
  <c r="AM438" i="4"/>
  <c r="AO447" i="4"/>
  <c r="AQ447" i="4" s="1"/>
  <c r="AS447" i="4" s="1"/>
  <c r="AU447" i="4" s="1"/>
  <c r="AW447" i="4" s="1"/>
  <c r="AY447" i="4" s="1"/>
  <c r="BA447" i="4" s="1"/>
  <c r="BC447" i="4" s="1"/>
  <c r="BE447" i="4" s="1"/>
  <c r="AM447" i="4"/>
  <c r="AO458" i="4"/>
  <c r="AQ458" i="4" s="1"/>
  <c r="AS458" i="4" s="1"/>
  <c r="AU458" i="4" s="1"/>
  <c r="AW458" i="4" s="1"/>
  <c r="AY458" i="4" s="1"/>
  <c r="BA458" i="4" s="1"/>
  <c r="BC458" i="4" s="1"/>
  <c r="BE458" i="4" s="1"/>
  <c r="AM458" i="4"/>
  <c r="AO477" i="4"/>
  <c r="AQ477" i="4" s="1"/>
  <c r="AS477" i="4" s="1"/>
  <c r="AU477" i="4" s="1"/>
  <c r="AW477" i="4" s="1"/>
  <c r="AY477" i="4" s="1"/>
  <c r="BA477" i="4" s="1"/>
  <c r="BC477" i="4" s="1"/>
  <c r="BE477" i="4" s="1"/>
  <c r="AO486" i="4"/>
  <c r="AQ486" i="4" s="1"/>
  <c r="AS486" i="4" s="1"/>
  <c r="AU486" i="4" s="1"/>
  <c r="AW486" i="4" s="1"/>
  <c r="AY486" i="4" s="1"/>
  <c r="BA486" i="4" s="1"/>
  <c r="BC486" i="4" s="1"/>
  <c r="BE486" i="4" s="1"/>
  <c r="AM486" i="4"/>
  <c r="AO497" i="4"/>
  <c r="AQ497" i="4" s="1"/>
  <c r="AS497" i="4" s="1"/>
  <c r="AU497" i="4" s="1"/>
  <c r="AW497" i="4" s="1"/>
  <c r="AY497" i="4" s="1"/>
  <c r="BA497" i="4" s="1"/>
  <c r="BC497" i="4" s="1"/>
  <c r="BE497" i="4" s="1"/>
  <c r="AM497" i="4"/>
  <c r="AO533" i="4"/>
  <c r="AQ533" i="4" s="1"/>
  <c r="AS533" i="4" s="1"/>
  <c r="AU533" i="4" s="1"/>
  <c r="AW533" i="4" s="1"/>
  <c r="AY533" i="4" s="1"/>
  <c r="BA533" i="4" s="1"/>
  <c r="BC533" i="4" s="1"/>
  <c r="BE533" i="4" s="1"/>
  <c r="AM533" i="4"/>
  <c r="AO535" i="4"/>
  <c r="AQ535" i="4" s="1"/>
  <c r="AS535" i="4" s="1"/>
  <c r="AU535" i="4" s="1"/>
  <c r="AW535" i="4" s="1"/>
  <c r="AY535" i="4" s="1"/>
  <c r="BA535" i="4" s="1"/>
  <c r="BC535" i="4" s="1"/>
  <c r="BE535" i="4" s="1"/>
  <c r="AM535" i="4"/>
  <c r="AO537" i="4"/>
  <c r="AQ537" i="4" s="1"/>
  <c r="AS537" i="4" s="1"/>
  <c r="AU537" i="4" s="1"/>
  <c r="AW537" i="4" s="1"/>
  <c r="AY537" i="4" s="1"/>
  <c r="BA537" i="4" s="1"/>
  <c r="BC537" i="4" s="1"/>
  <c r="BE537" i="4" s="1"/>
  <c r="AM537" i="4"/>
  <c r="U543" i="4"/>
  <c r="U545" i="4" s="1"/>
  <c r="AO556" i="4"/>
  <c r="AQ556" i="4" s="1"/>
  <c r="AS556" i="4" s="1"/>
  <c r="AU556" i="4" s="1"/>
  <c r="AM556" i="4"/>
  <c r="AO566" i="4"/>
  <c r="AQ566" i="4" s="1"/>
  <c r="AS566" i="4" s="1"/>
  <c r="AU566" i="4" s="1"/>
  <c r="AW566" i="4" s="1"/>
  <c r="AY566" i="4" s="1"/>
  <c r="BA566" i="4" s="1"/>
  <c r="BC566" i="4" s="1"/>
  <c r="BE566" i="4" s="1"/>
  <c r="AM566" i="4"/>
  <c r="AO576" i="4"/>
  <c r="AQ576" i="4" s="1"/>
  <c r="AS576" i="4" s="1"/>
  <c r="AU576" i="4" s="1"/>
  <c r="AW576" i="4" s="1"/>
  <c r="AY576" i="4" s="1"/>
  <c r="BA576" i="4" s="1"/>
  <c r="BC576" i="4" s="1"/>
  <c r="BE576" i="4" s="1"/>
  <c r="AO578" i="4"/>
  <c r="AQ578" i="4" s="1"/>
  <c r="AS578" i="4" s="1"/>
  <c r="AU578" i="4" s="1"/>
  <c r="AW578" i="4" s="1"/>
  <c r="AY578" i="4" s="1"/>
  <c r="BA578" i="4" s="1"/>
  <c r="BC578" i="4" s="1"/>
  <c r="BE578" i="4" s="1"/>
  <c r="AM578" i="4"/>
  <c r="AO599" i="4"/>
  <c r="AQ599" i="4" s="1"/>
  <c r="AS599" i="4" s="1"/>
  <c r="AM599" i="4"/>
  <c r="AO606" i="4"/>
  <c r="AQ606" i="4" s="1"/>
  <c r="AS606" i="4" s="1"/>
  <c r="AU606" i="4" s="1"/>
  <c r="AW606" i="4" s="1"/>
  <c r="AY606" i="4" s="1"/>
  <c r="BA606" i="4" s="1"/>
  <c r="BC606" i="4" s="1"/>
  <c r="BE606" i="4" s="1"/>
  <c r="AM606" i="4"/>
  <c r="AO612" i="4"/>
  <c r="AQ612" i="4" s="1"/>
  <c r="AS612" i="4" s="1"/>
  <c r="AU612" i="4" s="1"/>
  <c r="AW612" i="4" s="1"/>
  <c r="AY612" i="4" s="1"/>
  <c r="BA612" i="4" s="1"/>
  <c r="BC612" i="4" s="1"/>
  <c r="BE612" i="4" s="1"/>
  <c r="AM612" i="4"/>
  <c r="AO614" i="4"/>
  <c r="AQ614" i="4" s="1"/>
  <c r="AS614" i="4" s="1"/>
  <c r="AU614" i="4" s="1"/>
  <c r="AW614" i="4" s="1"/>
  <c r="AY614" i="4" s="1"/>
  <c r="BA614" i="4" s="1"/>
  <c r="BC614" i="4" s="1"/>
  <c r="BE614" i="4" s="1"/>
  <c r="AM614" i="4"/>
  <c r="AO615" i="4"/>
  <c r="AQ615" i="4" s="1"/>
  <c r="AS615" i="4" s="1"/>
  <c r="AU615" i="4" s="1"/>
  <c r="AW615" i="4" s="1"/>
  <c r="AY615" i="4" s="1"/>
  <c r="BA615" i="4" s="1"/>
  <c r="BC615" i="4" s="1"/>
  <c r="BE615" i="4" s="1"/>
  <c r="AM615" i="4"/>
  <c r="AO644" i="4"/>
  <c r="AQ644" i="4" s="1"/>
  <c r="AS644" i="4" s="1"/>
  <c r="AU644" i="4" s="1"/>
  <c r="AW644" i="4" s="1"/>
  <c r="AY644" i="4" s="1"/>
  <c r="BA644" i="4" s="1"/>
  <c r="BC644" i="4" s="1"/>
  <c r="BE644" i="4" s="1"/>
  <c r="AM644" i="4"/>
  <c r="AM646" i="4" s="1"/>
  <c r="H651" i="4"/>
  <c r="P715" i="4"/>
  <c r="N715" i="4"/>
  <c r="AO746" i="4"/>
  <c r="AQ746" i="4" s="1"/>
  <c r="AS746" i="4" s="1"/>
  <c r="AU746" i="4" s="1"/>
  <c r="AW746" i="4" s="1"/>
  <c r="AY746" i="4" s="1"/>
  <c r="BA746" i="4" s="1"/>
  <c r="BC746" i="4" s="1"/>
  <c r="BE746" i="4" s="1"/>
  <c r="AM746" i="4"/>
  <c r="K780" i="4"/>
  <c r="AO795" i="4"/>
  <c r="AQ795" i="4" s="1"/>
  <c r="AS795" i="4" s="1"/>
  <c r="AU795" i="4" s="1"/>
  <c r="AW795" i="4" s="1"/>
  <c r="AY795" i="4" s="1"/>
  <c r="BA795" i="4" s="1"/>
  <c r="BC795" i="4" s="1"/>
  <c r="BE795" i="4" s="1"/>
  <c r="AM795" i="4"/>
  <c r="U799" i="4"/>
  <c r="AO824" i="4"/>
  <c r="AQ824" i="4" s="1"/>
  <c r="AS824" i="4" s="1"/>
  <c r="AU824" i="4" s="1"/>
  <c r="AW824" i="4" s="1"/>
  <c r="AY824" i="4" s="1"/>
  <c r="BA824" i="4" s="1"/>
  <c r="BA833" i="4" s="1"/>
  <c r="AM824" i="4"/>
  <c r="AM833" i="4" s="1"/>
  <c r="AF1094" i="4"/>
  <c r="AO1108" i="4"/>
  <c r="AQ1108" i="4" s="1"/>
  <c r="AS1108" i="4" s="1"/>
  <c r="AU1108" i="4" s="1"/>
  <c r="AW1108" i="4" s="1"/>
  <c r="AY1108" i="4" s="1"/>
  <c r="BA1108" i="4" s="1"/>
  <c r="BC1108" i="4" s="1"/>
  <c r="BE1108" i="4" s="1"/>
  <c r="AM1108" i="4"/>
  <c r="AO1114" i="4"/>
  <c r="AQ1114" i="4" s="1"/>
  <c r="AS1114" i="4" s="1"/>
  <c r="AU1114" i="4" s="1"/>
  <c r="AW1114" i="4" s="1"/>
  <c r="AY1114" i="4" s="1"/>
  <c r="BA1114" i="4" s="1"/>
  <c r="BC1114" i="4" s="1"/>
  <c r="BE1114" i="4" s="1"/>
  <c r="AO1128" i="4"/>
  <c r="AQ1128" i="4" s="1"/>
  <c r="AS1128" i="4" s="1"/>
  <c r="AO1139" i="4"/>
  <c r="AQ1139" i="4" s="1"/>
  <c r="AS1139" i="4" s="1"/>
  <c r="AU1139" i="4" s="1"/>
  <c r="AW1139" i="4" s="1"/>
  <c r="AY1139" i="4" s="1"/>
  <c r="BA1139" i="4" s="1"/>
  <c r="BC1139" i="4" s="1"/>
  <c r="BE1139" i="4" s="1"/>
  <c r="AM1139" i="4"/>
  <c r="AO1157" i="4"/>
  <c r="AO1158" i="4" s="1"/>
  <c r="AM1157" i="4"/>
  <c r="AM1158" i="4" s="1"/>
  <c r="AY1233" i="4"/>
  <c r="AO1261" i="4"/>
  <c r="AQ1261" i="4" s="1"/>
  <c r="AS1261" i="4" s="1"/>
  <c r="AU1261" i="4" s="1"/>
  <c r="AW1261" i="4" s="1"/>
  <c r="AY1261" i="4" s="1"/>
  <c r="BA1261" i="4" s="1"/>
  <c r="BC1261" i="4" s="1"/>
  <c r="BE1261" i="4" s="1"/>
  <c r="AM1261" i="4"/>
  <c r="J1274" i="4"/>
  <c r="AO1286" i="4"/>
  <c r="AQ1286" i="4" s="1"/>
  <c r="AS1286" i="4" s="1"/>
  <c r="AU1286" i="4" s="1"/>
  <c r="AW1286" i="4" s="1"/>
  <c r="AY1286" i="4" s="1"/>
  <c r="BA1286" i="4" s="1"/>
  <c r="BC1286" i="4" s="1"/>
  <c r="BE1286" i="4" s="1"/>
  <c r="AM1286" i="4"/>
  <c r="AO1292" i="4"/>
  <c r="AQ1292" i="4" s="1"/>
  <c r="AS1292" i="4" s="1"/>
  <c r="AU1292" i="4" s="1"/>
  <c r="AW1292" i="4" s="1"/>
  <c r="AY1292" i="4" s="1"/>
  <c r="BA1292" i="4" s="1"/>
  <c r="BC1292" i="4" s="1"/>
  <c r="BE1292" i="4" s="1"/>
  <c r="AM1292" i="4"/>
  <c r="AO1302" i="4"/>
  <c r="AQ1302" i="4" s="1"/>
  <c r="AS1302" i="4" s="1"/>
  <c r="AU1302" i="4" s="1"/>
  <c r="AW1302" i="4" s="1"/>
  <c r="AY1302" i="4" s="1"/>
  <c r="BA1302" i="4" s="1"/>
  <c r="BC1302" i="4" s="1"/>
  <c r="BE1302" i="4" s="1"/>
  <c r="AM1302" i="4"/>
  <c r="N1233" i="4"/>
  <c r="AK667" i="4"/>
  <c r="AO45" i="4"/>
  <c r="AQ45" i="4" s="1"/>
  <c r="AS45" i="4" s="1"/>
  <c r="AU45" i="4" s="1"/>
  <c r="AW45" i="4" s="1"/>
  <c r="AY45" i="4" s="1"/>
  <c r="BA45" i="4" s="1"/>
  <c r="BC45" i="4" s="1"/>
  <c r="BE45" i="4" s="1"/>
  <c r="AM45" i="4"/>
  <c r="AO372" i="4"/>
  <c r="AQ372" i="4" s="1"/>
  <c r="AS372" i="4" s="1"/>
  <c r="AU372" i="4" s="1"/>
  <c r="AW372" i="4" s="1"/>
  <c r="AY372" i="4" s="1"/>
  <c r="BA372" i="4" s="1"/>
  <c r="BC372" i="4" s="1"/>
  <c r="BE372" i="4" s="1"/>
  <c r="AM372" i="4"/>
  <c r="AO446" i="4"/>
  <c r="AQ446" i="4" s="1"/>
  <c r="AS446" i="4" s="1"/>
  <c r="AU446" i="4" s="1"/>
  <c r="AW446" i="4" s="1"/>
  <c r="AY446" i="4" s="1"/>
  <c r="BA446" i="4" s="1"/>
  <c r="BC446" i="4" s="1"/>
  <c r="BE446" i="4" s="1"/>
  <c r="AM446" i="4"/>
  <c r="AO511" i="4"/>
  <c r="AQ511" i="4" s="1"/>
  <c r="AS511" i="4" s="1"/>
  <c r="AU511" i="4" s="1"/>
  <c r="AW511" i="4" s="1"/>
  <c r="AY511" i="4" s="1"/>
  <c r="BA511" i="4" s="1"/>
  <c r="BC511" i="4" s="1"/>
  <c r="BE511" i="4" s="1"/>
  <c r="AM511" i="4"/>
  <c r="AH545" i="4"/>
  <c r="AM543" i="4"/>
  <c r="AM545" i="4" s="1"/>
  <c r="AO557" i="4"/>
  <c r="AQ557" i="4" s="1"/>
  <c r="AS557" i="4" s="1"/>
  <c r="AU557" i="4" s="1"/>
  <c r="AW557" i="4" s="1"/>
  <c r="AY557" i="4" s="1"/>
  <c r="BA557" i="4" s="1"/>
  <c r="BC557" i="4" s="1"/>
  <c r="BE557" i="4" s="1"/>
  <c r="AM557" i="4"/>
  <c r="AO560" i="4"/>
  <c r="AQ560" i="4" s="1"/>
  <c r="AS560" i="4" s="1"/>
  <c r="AU560" i="4" s="1"/>
  <c r="AW560" i="4" s="1"/>
  <c r="AY560" i="4" s="1"/>
  <c r="BA560" i="4" s="1"/>
  <c r="BC560" i="4" s="1"/>
  <c r="BE560" i="4" s="1"/>
  <c r="AM560" i="4"/>
  <c r="AO565" i="4"/>
  <c r="AQ565" i="4" s="1"/>
  <c r="AS565" i="4" s="1"/>
  <c r="AU565" i="4" s="1"/>
  <c r="AW565" i="4" s="1"/>
  <c r="AY565" i="4" s="1"/>
  <c r="BA565" i="4" s="1"/>
  <c r="BC565" i="4" s="1"/>
  <c r="BE565" i="4" s="1"/>
  <c r="AM565" i="4"/>
  <c r="AO568" i="4"/>
  <c r="AQ568" i="4" s="1"/>
  <c r="AS568" i="4" s="1"/>
  <c r="AU568" i="4" s="1"/>
  <c r="AW568" i="4" s="1"/>
  <c r="AY568" i="4" s="1"/>
  <c r="BA568" i="4" s="1"/>
  <c r="BC568" i="4" s="1"/>
  <c r="BE568" i="4" s="1"/>
  <c r="AM568" i="4"/>
  <c r="AO575" i="4"/>
  <c r="AQ575" i="4" s="1"/>
  <c r="AS575" i="4" s="1"/>
  <c r="AU575" i="4" s="1"/>
  <c r="AW575" i="4" s="1"/>
  <c r="AY575" i="4" s="1"/>
  <c r="BA575" i="4" s="1"/>
  <c r="BC575" i="4" s="1"/>
  <c r="BE575" i="4" s="1"/>
  <c r="AM575" i="4"/>
  <c r="AO594" i="4"/>
  <c r="AQ594" i="4" s="1"/>
  <c r="AS594" i="4" s="1"/>
  <c r="AU594" i="4" s="1"/>
  <c r="AW594" i="4" s="1"/>
  <c r="AY594" i="4" s="1"/>
  <c r="BA594" i="4" s="1"/>
  <c r="BC594" i="4" s="1"/>
  <c r="BE594" i="4" s="1"/>
  <c r="AM594" i="4"/>
  <c r="AO605" i="4"/>
  <c r="AQ605" i="4" s="1"/>
  <c r="AS605" i="4" s="1"/>
  <c r="AU605" i="4" s="1"/>
  <c r="AW605" i="4" s="1"/>
  <c r="AY605" i="4" s="1"/>
  <c r="BA605" i="4" s="1"/>
  <c r="BC605" i="4" s="1"/>
  <c r="BE605" i="4" s="1"/>
  <c r="AM605" i="4"/>
  <c r="AO611" i="4"/>
  <c r="AQ611" i="4" s="1"/>
  <c r="AS611" i="4" s="1"/>
  <c r="AU611" i="4" s="1"/>
  <c r="AW611" i="4" s="1"/>
  <c r="AY611" i="4" s="1"/>
  <c r="BA611" i="4" s="1"/>
  <c r="BC611" i="4" s="1"/>
  <c r="BE611" i="4" s="1"/>
  <c r="AM611" i="4"/>
  <c r="AO996" i="4"/>
  <c r="AQ996" i="4" s="1"/>
  <c r="AS996" i="4" s="1"/>
  <c r="AU996" i="4" s="1"/>
  <c r="AW996" i="4" s="1"/>
  <c r="AY996" i="4" s="1"/>
  <c r="BA996" i="4" s="1"/>
  <c r="BC996" i="4" s="1"/>
  <c r="BE996" i="4" s="1"/>
  <c r="AM996" i="4"/>
  <c r="AM1043" i="4" s="1"/>
  <c r="H18" i="4"/>
  <c r="N1078" i="4"/>
  <c r="AO1278" i="4"/>
  <c r="AQ1278" i="4" s="1"/>
  <c r="AS1278" i="4" s="1"/>
  <c r="AU1278" i="4" s="1"/>
  <c r="AW1278" i="4" s="1"/>
  <c r="AM1278" i="4"/>
  <c r="AO1301" i="4"/>
  <c r="AQ1301" i="4" s="1"/>
  <c r="AS1301" i="4" s="1"/>
  <c r="AU1301" i="4" s="1"/>
  <c r="AW1301" i="4" s="1"/>
  <c r="AY1301" i="4" s="1"/>
  <c r="BA1301" i="4" s="1"/>
  <c r="BC1301" i="4" s="1"/>
  <c r="BE1301" i="4" s="1"/>
  <c r="AM1301" i="4"/>
  <c r="AO115" i="4"/>
  <c r="AQ115" i="4" s="1"/>
  <c r="AS115" i="4" s="1"/>
  <c r="AU115" i="4" s="1"/>
  <c r="AW115" i="4" s="1"/>
  <c r="AY115" i="4" s="1"/>
  <c r="BA115" i="4" s="1"/>
  <c r="BC115" i="4" s="1"/>
  <c r="BE115" i="4" s="1"/>
  <c r="AM115" i="4"/>
  <c r="AO531" i="4"/>
  <c r="AQ531" i="4" s="1"/>
  <c r="AS531" i="4" s="1"/>
  <c r="AU531" i="4" s="1"/>
  <c r="AW531" i="4" s="1"/>
  <c r="AY531" i="4" s="1"/>
  <c r="BA531" i="4" s="1"/>
  <c r="BC531" i="4" s="1"/>
  <c r="BE531" i="4" s="1"/>
  <c r="AM531" i="4"/>
  <c r="AH553" i="4"/>
  <c r="AM549" i="4"/>
  <c r="AM553" i="4" s="1"/>
  <c r="AO564" i="4"/>
  <c r="AQ564" i="4" s="1"/>
  <c r="AS564" i="4" s="1"/>
  <c r="AM564" i="4"/>
  <c r="AO574" i="4"/>
  <c r="AQ574" i="4" s="1"/>
  <c r="AS574" i="4" s="1"/>
  <c r="AU574" i="4" s="1"/>
  <c r="AW574" i="4" s="1"/>
  <c r="AY574" i="4" s="1"/>
  <c r="BA574" i="4" s="1"/>
  <c r="BC574" i="4" s="1"/>
  <c r="BE574" i="4" s="1"/>
  <c r="AM574" i="4"/>
  <c r="AO784" i="4"/>
  <c r="AO786" i="4" s="1"/>
  <c r="AM784" i="4"/>
  <c r="AM786" i="4" s="1"/>
  <c r="AO798" i="4"/>
  <c r="AQ798" i="4" s="1"/>
  <c r="AS798" i="4" s="1"/>
  <c r="AU798" i="4" s="1"/>
  <c r="AW798" i="4" s="1"/>
  <c r="AY798" i="4" s="1"/>
  <c r="BA798" i="4" s="1"/>
  <c r="BC798" i="4" s="1"/>
  <c r="BE798" i="4" s="1"/>
  <c r="AM798" i="4"/>
  <c r="E77" i="4"/>
  <c r="AH144" i="4"/>
  <c r="AM143" i="4"/>
  <c r="AM144" i="4" s="1"/>
  <c r="AH176" i="4"/>
  <c r="AM175" i="4"/>
  <c r="AM176" i="4" s="1"/>
  <c r="AM222" i="4" s="1"/>
  <c r="AO189" i="4"/>
  <c r="N233" i="4"/>
  <c r="H307" i="4"/>
  <c r="AF307" i="4"/>
  <c r="N317" i="4"/>
  <c r="Z317" i="4"/>
  <c r="W317" i="4"/>
  <c r="AO364" i="4"/>
  <c r="AQ364" i="4" s="1"/>
  <c r="AS364" i="4" s="1"/>
  <c r="AU364" i="4" s="1"/>
  <c r="AM364" i="4"/>
  <c r="AO403" i="4"/>
  <c r="AQ403" i="4" s="1"/>
  <c r="AS403" i="4" s="1"/>
  <c r="AU403" i="4" s="1"/>
  <c r="AW403" i="4" s="1"/>
  <c r="AY403" i="4" s="1"/>
  <c r="BA403" i="4" s="1"/>
  <c r="BC403" i="4" s="1"/>
  <c r="BE403" i="4" s="1"/>
  <c r="AM403" i="4"/>
  <c r="AO407" i="4"/>
  <c r="AQ407" i="4" s="1"/>
  <c r="AS407" i="4" s="1"/>
  <c r="AU407" i="4" s="1"/>
  <c r="AW407" i="4" s="1"/>
  <c r="AY407" i="4" s="1"/>
  <c r="BA407" i="4" s="1"/>
  <c r="BC407" i="4" s="1"/>
  <c r="BE407" i="4" s="1"/>
  <c r="AM407" i="4"/>
  <c r="AO411" i="4"/>
  <c r="AQ411" i="4" s="1"/>
  <c r="AS411" i="4" s="1"/>
  <c r="AU411" i="4" s="1"/>
  <c r="AW411" i="4" s="1"/>
  <c r="AY411" i="4" s="1"/>
  <c r="BA411" i="4" s="1"/>
  <c r="BC411" i="4" s="1"/>
  <c r="BE411" i="4" s="1"/>
  <c r="AM411" i="4"/>
  <c r="AO416" i="4"/>
  <c r="AQ416" i="4" s="1"/>
  <c r="AS416" i="4" s="1"/>
  <c r="AU416" i="4" s="1"/>
  <c r="AW416" i="4" s="1"/>
  <c r="AY416" i="4" s="1"/>
  <c r="BA416" i="4" s="1"/>
  <c r="BC416" i="4" s="1"/>
  <c r="BE416" i="4" s="1"/>
  <c r="AO421" i="4"/>
  <c r="AQ421" i="4" s="1"/>
  <c r="AS421" i="4" s="1"/>
  <c r="AU421" i="4" s="1"/>
  <c r="AW421" i="4" s="1"/>
  <c r="AY421" i="4" s="1"/>
  <c r="BA421" i="4" s="1"/>
  <c r="BC421" i="4" s="1"/>
  <c r="BE421" i="4" s="1"/>
  <c r="AO441" i="4"/>
  <c r="AQ441" i="4" s="1"/>
  <c r="AS441" i="4" s="1"/>
  <c r="AU441" i="4" s="1"/>
  <c r="AW441" i="4" s="1"/>
  <c r="AY441" i="4" s="1"/>
  <c r="BA441" i="4" s="1"/>
  <c r="BC441" i="4" s="1"/>
  <c r="BE441" i="4" s="1"/>
  <c r="AM441" i="4"/>
  <c r="AO445" i="4"/>
  <c r="AQ445" i="4" s="1"/>
  <c r="AS445" i="4" s="1"/>
  <c r="AU445" i="4" s="1"/>
  <c r="AW445" i="4" s="1"/>
  <c r="AY445" i="4" s="1"/>
  <c r="BA445" i="4" s="1"/>
  <c r="BC445" i="4" s="1"/>
  <c r="BE445" i="4" s="1"/>
  <c r="AM445" i="4"/>
  <c r="AO451" i="4"/>
  <c r="AQ451" i="4" s="1"/>
  <c r="AS451" i="4" s="1"/>
  <c r="AU451" i="4" s="1"/>
  <c r="AW451" i="4" s="1"/>
  <c r="AY451" i="4" s="1"/>
  <c r="BA451" i="4" s="1"/>
  <c r="BC451" i="4" s="1"/>
  <c r="BE451" i="4" s="1"/>
  <c r="AM451" i="4"/>
  <c r="AO459" i="4"/>
  <c r="AQ459" i="4" s="1"/>
  <c r="AS459" i="4" s="1"/>
  <c r="AU459" i="4" s="1"/>
  <c r="AW459" i="4" s="1"/>
  <c r="AY459" i="4" s="1"/>
  <c r="BA459" i="4" s="1"/>
  <c r="BC459" i="4" s="1"/>
  <c r="BE459" i="4" s="1"/>
  <c r="AM459" i="4"/>
  <c r="N482" i="4"/>
  <c r="AO478" i="4"/>
  <c r="AQ478" i="4" s="1"/>
  <c r="AS478" i="4" s="1"/>
  <c r="AU478" i="4" s="1"/>
  <c r="AW478" i="4" s="1"/>
  <c r="AY478" i="4" s="1"/>
  <c r="BA478" i="4" s="1"/>
  <c r="BC478" i="4" s="1"/>
  <c r="BE478" i="4" s="1"/>
  <c r="AM478" i="4"/>
  <c r="AO487" i="4"/>
  <c r="AQ487" i="4" s="1"/>
  <c r="AS487" i="4" s="1"/>
  <c r="AU487" i="4" s="1"/>
  <c r="AW487" i="4" s="1"/>
  <c r="AY487" i="4" s="1"/>
  <c r="BA487" i="4" s="1"/>
  <c r="BC487" i="4" s="1"/>
  <c r="BE487" i="4" s="1"/>
  <c r="AM487" i="4"/>
  <c r="AO500" i="4"/>
  <c r="AQ500" i="4" s="1"/>
  <c r="AS500" i="4" s="1"/>
  <c r="AU500" i="4" s="1"/>
  <c r="AW500" i="4" s="1"/>
  <c r="AY500" i="4" s="1"/>
  <c r="BA500" i="4" s="1"/>
  <c r="BC500" i="4" s="1"/>
  <c r="BE500" i="4" s="1"/>
  <c r="AM500" i="4"/>
  <c r="AO577" i="4"/>
  <c r="AQ577" i="4" s="1"/>
  <c r="AS577" i="4" s="1"/>
  <c r="AU577" i="4" s="1"/>
  <c r="AW577" i="4" s="1"/>
  <c r="AY577" i="4" s="1"/>
  <c r="BA577" i="4" s="1"/>
  <c r="BC577" i="4" s="1"/>
  <c r="BE577" i="4" s="1"/>
  <c r="AM577" i="4"/>
  <c r="AO586" i="4"/>
  <c r="AQ586" i="4" s="1"/>
  <c r="AS586" i="4" s="1"/>
  <c r="AU586" i="4" s="1"/>
  <c r="AW586" i="4" s="1"/>
  <c r="AY586" i="4" s="1"/>
  <c r="BA586" i="4" s="1"/>
  <c r="BC586" i="4" s="1"/>
  <c r="BE586" i="4" s="1"/>
  <c r="AM586" i="4"/>
  <c r="AO610" i="4"/>
  <c r="AQ610" i="4" s="1"/>
  <c r="AS610" i="4" s="1"/>
  <c r="AU610" i="4" s="1"/>
  <c r="AW610" i="4" s="1"/>
  <c r="AY610" i="4" s="1"/>
  <c r="BA610" i="4" s="1"/>
  <c r="BC610" i="4" s="1"/>
  <c r="BE610" i="4" s="1"/>
  <c r="AM610" i="4"/>
  <c r="AO617" i="4"/>
  <c r="AQ617" i="4" s="1"/>
  <c r="AS617" i="4" s="1"/>
  <c r="AU617" i="4" s="1"/>
  <c r="AW617" i="4" s="1"/>
  <c r="AY617" i="4" s="1"/>
  <c r="BA617" i="4" s="1"/>
  <c r="BC617" i="4" s="1"/>
  <c r="BE617" i="4" s="1"/>
  <c r="AM617" i="4"/>
  <c r="N651" i="4"/>
  <c r="AO792" i="4"/>
  <c r="AQ792" i="4" s="1"/>
  <c r="AS792" i="4" s="1"/>
  <c r="AU792" i="4" s="1"/>
  <c r="AW792" i="4" s="1"/>
  <c r="AY792" i="4" s="1"/>
  <c r="BA792" i="4" s="1"/>
  <c r="BC792" i="4" s="1"/>
  <c r="BE792" i="4" s="1"/>
  <c r="AM792" i="4"/>
  <c r="AO797" i="4"/>
  <c r="AQ797" i="4" s="1"/>
  <c r="AS797" i="4" s="1"/>
  <c r="AU797" i="4" s="1"/>
  <c r="AW797" i="4" s="1"/>
  <c r="AY797" i="4" s="1"/>
  <c r="BA797" i="4" s="1"/>
  <c r="BC797" i="4" s="1"/>
  <c r="BE797" i="4" s="1"/>
  <c r="AM797" i="4"/>
  <c r="AO799" i="4"/>
  <c r="AQ799" i="4" s="1"/>
  <c r="AS799" i="4" s="1"/>
  <c r="AU799" i="4" s="1"/>
  <c r="AW799" i="4" s="1"/>
  <c r="AY799" i="4" s="1"/>
  <c r="BA799" i="4" s="1"/>
  <c r="BC799" i="4" s="1"/>
  <c r="BE799" i="4" s="1"/>
  <c r="AM799" i="4"/>
  <c r="AO801" i="4"/>
  <c r="AQ801" i="4" s="1"/>
  <c r="AS801" i="4" s="1"/>
  <c r="AU801" i="4" s="1"/>
  <c r="AW801" i="4" s="1"/>
  <c r="AY801" i="4" s="1"/>
  <c r="BA801" i="4" s="1"/>
  <c r="BC801" i="4" s="1"/>
  <c r="BE801" i="4" s="1"/>
  <c r="AM801" i="4"/>
  <c r="AO817" i="4"/>
  <c r="AQ817" i="4" s="1"/>
  <c r="AS817" i="4" s="1"/>
  <c r="AU817" i="4" s="1"/>
  <c r="AW817" i="4" s="1"/>
  <c r="AY817" i="4" s="1"/>
  <c r="BA817" i="4" s="1"/>
  <c r="BC817" i="4" s="1"/>
  <c r="BE817" i="4" s="1"/>
  <c r="AM817" i="4"/>
  <c r="AM819" i="4" s="1"/>
  <c r="P1043" i="4"/>
  <c r="P18" i="4" s="1"/>
  <c r="U18" i="4" s="1"/>
  <c r="U1094" i="4"/>
  <c r="AO1106" i="4"/>
  <c r="AQ1106" i="4" s="1"/>
  <c r="AS1106" i="4" s="1"/>
  <c r="AU1106" i="4" s="1"/>
  <c r="AW1106" i="4" s="1"/>
  <c r="AY1106" i="4" s="1"/>
  <c r="BA1106" i="4" s="1"/>
  <c r="BC1106" i="4" s="1"/>
  <c r="BE1106" i="4" s="1"/>
  <c r="AM1106" i="4"/>
  <c r="AO1132" i="4"/>
  <c r="AQ1132" i="4" s="1"/>
  <c r="AS1132" i="4" s="1"/>
  <c r="AU1132" i="4" s="1"/>
  <c r="AW1132" i="4" s="1"/>
  <c r="AY1132" i="4" s="1"/>
  <c r="BA1132" i="4" s="1"/>
  <c r="BC1132" i="4" s="1"/>
  <c r="BE1132" i="4" s="1"/>
  <c r="AM1132" i="4"/>
  <c r="AO1259" i="4"/>
  <c r="AQ1259" i="4" s="1"/>
  <c r="AS1259" i="4" s="1"/>
  <c r="AU1259" i="4" s="1"/>
  <c r="AW1259" i="4" s="1"/>
  <c r="AY1259" i="4" s="1"/>
  <c r="BA1259" i="4" s="1"/>
  <c r="BC1259" i="4" s="1"/>
  <c r="BE1259" i="4" s="1"/>
  <c r="AM1259" i="4"/>
  <c r="AO1281" i="4"/>
  <c r="AQ1281" i="4" s="1"/>
  <c r="AS1281" i="4" s="1"/>
  <c r="AU1281" i="4" s="1"/>
  <c r="AW1281" i="4" s="1"/>
  <c r="AY1281" i="4" s="1"/>
  <c r="BA1281" i="4" s="1"/>
  <c r="BC1281" i="4" s="1"/>
  <c r="BE1281" i="4" s="1"/>
  <c r="AM1281" i="4"/>
  <c r="AO1290" i="4"/>
  <c r="AQ1290" i="4" s="1"/>
  <c r="AS1290" i="4" s="1"/>
  <c r="AM1290" i="4"/>
  <c r="U1421" i="4"/>
  <c r="AK1124" i="4"/>
  <c r="AK336" i="4"/>
  <c r="AO43" i="4"/>
  <c r="AM43" i="4"/>
  <c r="AO422" i="4"/>
  <c r="AQ422" i="4" s="1"/>
  <c r="AS422" i="4" s="1"/>
  <c r="AU422" i="4" s="1"/>
  <c r="AW422" i="4" s="1"/>
  <c r="AY422" i="4" s="1"/>
  <c r="BA422" i="4" s="1"/>
  <c r="BC422" i="4" s="1"/>
  <c r="BE422" i="4" s="1"/>
  <c r="AO454" i="4"/>
  <c r="AQ454" i="4" s="1"/>
  <c r="AS454" i="4" s="1"/>
  <c r="AU454" i="4" s="1"/>
  <c r="AW454" i="4" s="1"/>
  <c r="AY454" i="4" s="1"/>
  <c r="BA454" i="4" s="1"/>
  <c r="BC454" i="4" s="1"/>
  <c r="BE454" i="4" s="1"/>
  <c r="AM454" i="4"/>
  <c r="AO456" i="4"/>
  <c r="AQ456" i="4" s="1"/>
  <c r="AS456" i="4" s="1"/>
  <c r="AU456" i="4" s="1"/>
  <c r="AW456" i="4" s="1"/>
  <c r="AY456" i="4" s="1"/>
  <c r="BA456" i="4" s="1"/>
  <c r="BC456" i="4" s="1"/>
  <c r="BE456" i="4" s="1"/>
  <c r="AM456" i="4"/>
  <c r="AQ596" i="4"/>
  <c r="AU596" i="4" s="1"/>
  <c r="AY596" i="4" s="1"/>
  <c r="BC596" i="4" s="1"/>
  <c r="AM596" i="4"/>
  <c r="AH715" i="4"/>
  <c r="AM699" i="4"/>
  <c r="AM715" i="4" s="1"/>
  <c r="AO793" i="4"/>
  <c r="AQ793" i="4" s="1"/>
  <c r="AS793" i="4" s="1"/>
  <c r="AU793" i="4" s="1"/>
  <c r="AW793" i="4" s="1"/>
  <c r="AY793" i="4" s="1"/>
  <c r="BA793" i="4" s="1"/>
  <c r="BC793" i="4" s="1"/>
  <c r="BE793" i="4" s="1"/>
  <c r="AM793" i="4"/>
  <c r="BK19" i="4"/>
  <c r="BK22" i="4" s="1"/>
  <c r="AH91" i="4"/>
  <c r="AH103" i="4" s="1"/>
  <c r="AM89" i="4"/>
  <c r="AM91" i="4" s="1"/>
  <c r="AM103" i="4" s="1"/>
  <c r="AO465" i="4"/>
  <c r="AQ465" i="4" s="1"/>
  <c r="AS465" i="4" s="1"/>
  <c r="AU465" i="4" s="1"/>
  <c r="AW465" i="4" s="1"/>
  <c r="AY465" i="4" s="1"/>
  <c r="BA465" i="4" s="1"/>
  <c r="BC465" i="4" s="1"/>
  <c r="BE465" i="4" s="1"/>
  <c r="AM465" i="4"/>
  <c r="AO467" i="4"/>
  <c r="AQ467" i="4" s="1"/>
  <c r="AS467" i="4" s="1"/>
  <c r="AU467" i="4" s="1"/>
  <c r="AW467" i="4" s="1"/>
  <c r="AY467" i="4" s="1"/>
  <c r="BA467" i="4" s="1"/>
  <c r="BC467" i="4" s="1"/>
  <c r="BE467" i="4" s="1"/>
  <c r="AM467" i="4"/>
  <c r="AF492" i="4"/>
  <c r="N513" i="4"/>
  <c r="AO509" i="4"/>
  <c r="AQ509" i="4" s="1"/>
  <c r="AS509" i="4" s="1"/>
  <c r="AU509" i="4" s="1"/>
  <c r="AW509" i="4" s="1"/>
  <c r="AY509" i="4" s="1"/>
  <c r="BA509" i="4" s="1"/>
  <c r="BC509" i="4" s="1"/>
  <c r="BE509" i="4" s="1"/>
  <c r="AM509" i="4"/>
  <c r="AO512" i="4"/>
  <c r="AQ512" i="4" s="1"/>
  <c r="AS512" i="4" s="1"/>
  <c r="AU512" i="4" s="1"/>
  <c r="AW512" i="4" s="1"/>
  <c r="AY512" i="4" s="1"/>
  <c r="BA512" i="4" s="1"/>
  <c r="BC512" i="4" s="1"/>
  <c r="AM512" i="4"/>
  <c r="AO524" i="4"/>
  <c r="AQ524" i="4" s="1"/>
  <c r="AM524" i="4"/>
  <c r="AO530" i="4"/>
  <c r="AQ530" i="4" s="1"/>
  <c r="AS530" i="4" s="1"/>
  <c r="AU530" i="4" s="1"/>
  <c r="AW530" i="4" s="1"/>
  <c r="AY530" i="4" s="1"/>
  <c r="BA530" i="4" s="1"/>
  <c r="BC530" i="4" s="1"/>
  <c r="BE530" i="4" s="1"/>
  <c r="AM530" i="4"/>
  <c r="AO534" i="4"/>
  <c r="AQ534" i="4" s="1"/>
  <c r="AS534" i="4" s="1"/>
  <c r="AU534" i="4" s="1"/>
  <c r="AW534" i="4" s="1"/>
  <c r="AY534" i="4" s="1"/>
  <c r="BA534" i="4" s="1"/>
  <c r="BC534" i="4" s="1"/>
  <c r="BE534" i="4" s="1"/>
  <c r="AM534" i="4"/>
  <c r="AO536" i="4"/>
  <c r="AQ536" i="4" s="1"/>
  <c r="AS536" i="4" s="1"/>
  <c r="AU536" i="4" s="1"/>
  <c r="AW536" i="4" s="1"/>
  <c r="AY536" i="4" s="1"/>
  <c r="BA536" i="4" s="1"/>
  <c r="BC536" i="4" s="1"/>
  <c r="BE536" i="4" s="1"/>
  <c r="AM536" i="4"/>
  <c r="AO567" i="4"/>
  <c r="AQ567" i="4" s="1"/>
  <c r="AS567" i="4" s="1"/>
  <c r="AU567" i="4" s="1"/>
  <c r="AW567" i="4" s="1"/>
  <c r="AY567" i="4" s="1"/>
  <c r="BA567" i="4" s="1"/>
  <c r="BC567" i="4" s="1"/>
  <c r="BE567" i="4" s="1"/>
  <c r="AM567" i="4"/>
  <c r="AO569" i="4"/>
  <c r="AQ569" i="4" s="1"/>
  <c r="AS569" i="4" s="1"/>
  <c r="AU569" i="4" s="1"/>
  <c r="AW569" i="4" s="1"/>
  <c r="AY569" i="4" s="1"/>
  <c r="BA569" i="4" s="1"/>
  <c r="BC569" i="4" s="1"/>
  <c r="BE569" i="4" s="1"/>
  <c r="AM569" i="4"/>
  <c r="AO571" i="4"/>
  <c r="AQ571" i="4" s="1"/>
  <c r="AS571" i="4" s="1"/>
  <c r="AU571" i="4" s="1"/>
  <c r="AW571" i="4" s="1"/>
  <c r="AY571" i="4" s="1"/>
  <c r="BA571" i="4" s="1"/>
  <c r="BC571" i="4" s="1"/>
  <c r="BE571" i="4" s="1"/>
  <c r="AM571" i="4"/>
  <c r="AO573" i="4"/>
  <c r="AQ573" i="4" s="1"/>
  <c r="AS573" i="4" s="1"/>
  <c r="AU573" i="4" s="1"/>
  <c r="AW573" i="4" s="1"/>
  <c r="AY573" i="4" s="1"/>
  <c r="BA573" i="4" s="1"/>
  <c r="BC573" i="4" s="1"/>
  <c r="BE573" i="4" s="1"/>
  <c r="AM573" i="4"/>
  <c r="AO579" i="4"/>
  <c r="AQ579" i="4" s="1"/>
  <c r="AS579" i="4" s="1"/>
  <c r="AU579" i="4" s="1"/>
  <c r="AW579" i="4" s="1"/>
  <c r="AY579" i="4" s="1"/>
  <c r="BA579" i="4" s="1"/>
  <c r="BC579" i="4" s="1"/>
  <c r="BE579" i="4" s="1"/>
  <c r="AM579" i="4"/>
  <c r="AO598" i="4"/>
  <c r="AQ598" i="4" s="1"/>
  <c r="AS598" i="4" s="1"/>
  <c r="AU598" i="4" s="1"/>
  <c r="AW598" i="4" s="1"/>
  <c r="AY598" i="4" s="1"/>
  <c r="BA598" i="4" s="1"/>
  <c r="BC598" i="4" s="1"/>
  <c r="BE598" i="4" s="1"/>
  <c r="AM598" i="4"/>
  <c r="AO608" i="4"/>
  <c r="AQ608" i="4" s="1"/>
  <c r="AS608" i="4" s="1"/>
  <c r="AU608" i="4" s="1"/>
  <c r="AW608" i="4" s="1"/>
  <c r="AY608" i="4" s="1"/>
  <c r="BA608" i="4" s="1"/>
  <c r="BC608" i="4" s="1"/>
  <c r="BE608" i="4" s="1"/>
  <c r="AM608" i="4"/>
  <c r="AO609" i="4"/>
  <c r="AQ609" i="4" s="1"/>
  <c r="AS609" i="4" s="1"/>
  <c r="AU609" i="4" s="1"/>
  <c r="AW609" i="4" s="1"/>
  <c r="AY609" i="4" s="1"/>
  <c r="BA609" i="4" s="1"/>
  <c r="BC609" i="4" s="1"/>
  <c r="BE609" i="4" s="1"/>
  <c r="AM609" i="4"/>
  <c r="AO613" i="4"/>
  <c r="AQ613" i="4" s="1"/>
  <c r="AS613" i="4" s="1"/>
  <c r="AU613" i="4" s="1"/>
  <c r="AW613" i="4" s="1"/>
  <c r="AY613" i="4" s="1"/>
  <c r="BA613" i="4" s="1"/>
  <c r="BC613" i="4" s="1"/>
  <c r="BE613" i="4" s="1"/>
  <c r="AM613" i="4"/>
  <c r="AO670" i="4"/>
  <c r="AQ670" i="4" s="1"/>
  <c r="AS670" i="4" s="1"/>
  <c r="AU670" i="4" s="1"/>
  <c r="AW670" i="4" s="1"/>
  <c r="AY670" i="4" s="1"/>
  <c r="BA670" i="4" s="1"/>
  <c r="BC670" i="4" s="1"/>
  <c r="BE670" i="4" s="1"/>
  <c r="AM670" i="4"/>
  <c r="AO796" i="4"/>
  <c r="AQ796" i="4" s="1"/>
  <c r="AS796" i="4" s="1"/>
  <c r="AU796" i="4" s="1"/>
  <c r="AW796" i="4" s="1"/>
  <c r="AY796" i="4" s="1"/>
  <c r="BA796" i="4" s="1"/>
  <c r="BC796" i="4" s="1"/>
  <c r="BE796" i="4" s="1"/>
  <c r="AM796" i="4"/>
  <c r="AO800" i="4"/>
  <c r="AQ800" i="4" s="1"/>
  <c r="AS800" i="4" s="1"/>
  <c r="AU800" i="4" s="1"/>
  <c r="AW800" i="4" s="1"/>
  <c r="AY800" i="4" s="1"/>
  <c r="BA800" i="4" s="1"/>
  <c r="BC800" i="4" s="1"/>
  <c r="BE800" i="4" s="1"/>
  <c r="AM800" i="4"/>
  <c r="AO803" i="4"/>
  <c r="AQ803" i="4" s="1"/>
  <c r="AS803" i="4" s="1"/>
  <c r="AU803" i="4" s="1"/>
  <c r="AW803" i="4" s="1"/>
  <c r="AY803" i="4" s="1"/>
  <c r="BA803" i="4" s="1"/>
  <c r="BC803" i="4" s="1"/>
  <c r="BE803" i="4" s="1"/>
  <c r="AM803" i="4"/>
  <c r="AO810" i="4"/>
  <c r="AQ810" i="4" s="1"/>
  <c r="AS810" i="4" s="1"/>
  <c r="AU810" i="4" s="1"/>
  <c r="AW810" i="4" s="1"/>
  <c r="AY810" i="4" s="1"/>
  <c r="BA810" i="4" s="1"/>
  <c r="BC810" i="4" s="1"/>
  <c r="BE810" i="4" s="1"/>
  <c r="AM810" i="4"/>
  <c r="P1093" i="4"/>
  <c r="P1095" i="4" s="1"/>
  <c r="P1096" i="4" s="1"/>
  <c r="AH1091" i="4" s="1"/>
  <c r="AO1104" i="4"/>
  <c r="AQ1104" i="4" s="1"/>
  <c r="AS1104" i="4" s="1"/>
  <c r="AU1104" i="4" s="1"/>
  <c r="AW1104" i="4" s="1"/>
  <c r="AY1104" i="4" s="1"/>
  <c r="BA1104" i="4" s="1"/>
  <c r="BC1104" i="4" s="1"/>
  <c r="BE1104" i="4" s="1"/>
  <c r="AM1104" i="4"/>
  <c r="AO1107" i="4"/>
  <c r="AQ1107" i="4" s="1"/>
  <c r="AS1107" i="4" s="1"/>
  <c r="AU1107" i="4" s="1"/>
  <c r="AW1107" i="4" s="1"/>
  <c r="AY1107" i="4" s="1"/>
  <c r="BA1107" i="4" s="1"/>
  <c r="BC1107" i="4" s="1"/>
  <c r="BE1107" i="4" s="1"/>
  <c r="AM1107" i="4"/>
  <c r="W1123" i="4"/>
  <c r="S1123" i="4"/>
  <c r="AO1131" i="4"/>
  <c r="AQ1131" i="4" s="1"/>
  <c r="AS1131" i="4" s="1"/>
  <c r="AU1131" i="4" s="1"/>
  <c r="AW1131" i="4" s="1"/>
  <c r="AY1131" i="4" s="1"/>
  <c r="BA1131" i="4" s="1"/>
  <c r="BC1131" i="4" s="1"/>
  <c r="BE1131" i="4" s="1"/>
  <c r="AM1131" i="4"/>
  <c r="AO1140" i="4"/>
  <c r="AQ1140" i="4" s="1"/>
  <c r="AS1140" i="4" s="1"/>
  <c r="AU1140" i="4" s="1"/>
  <c r="AW1140" i="4" s="1"/>
  <c r="AY1140" i="4" s="1"/>
  <c r="BA1140" i="4" s="1"/>
  <c r="BC1140" i="4" s="1"/>
  <c r="BE1140" i="4" s="1"/>
  <c r="AM1140" i="4"/>
  <c r="AO1202" i="4"/>
  <c r="AQ1202" i="4" s="1"/>
  <c r="AS1202" i="4" s="1"/>
  <c r="AU1202" i="4" s="1"/>
  <c r="AW1202" i="4" s="1"/>
  <c r="AM1202" i="4"/>
  <c r="AM1203" i="4" s="1"/>
  <c r="AM1082" i="4" s="1"/>
  <c r="AO1283" i="4"/>
  <c r="AQ1283" i="4" s="1"/>
  <c r="AS1283" i="4" s="1"/>
  <c r="AU1283" i="4" s="1"/>
  <c r="AW1283" i="4" s="1"/>
  <c r="AY1283" i="4" s="1"/>
  <c r="BA1283" i="4" s="1"/>
  <c r="BC1283" i="4" s="1"/>
  <c r="BE1283" i="4" s="1"/>
  <c r="AM1283" i="4"/>
  <c r="AO1294" i="4"/>
  <c r="AQ1294" i="4" s="1"/>
  <c r="AS1294" i="4" s="1"/>
  <c r="AU1294" i="4" s="1"/>
  <c r="AW1294" i="4" s="1"/>
  <c r="AY1294" i="4" s="1"/>
  <c r="BA1294" i="4" s="1"/>
  <c r="BC1294" i="4" s="1"/>
  <c r="BE1294" i="4" s="1"/>
  <c r="AM1294" i="4"/>
  <c r="S1310" i="4"/>
  <c r="K1310" i="4"/>
  <c r="E1310" i="4"/>
  <c r="AK461" i="4"/>
  <c r="AK160" i="4"/>
  <c r="AJ338" i="4"/>
  <c r="AJ359" i="4" s="1"/>
  <c r="AL338" i="4"/>
  <c r="AL359" i="4" s="1"/>
  <c r="AK78" i="4"/>
  <c r="AL836" i="4"/>
  <c r="AL1204" i="4"/>
  <c r="AL1081" i="4"/>
  <c r="AL1083" i="4" s="1"/>
  <c r="AL1085" i="4" s="1"/>
  <c r="AL1086" i="4" s="1"/>
  <c r="AK1160" i="4"/>
  <c r="AK1204" i="4" s="1"/>
  <c r="AL1342" i="4"/>
  <c r="AL1232" i="4"/>
  <c r="AK1311" i="4"/>
  <c r="AK1342" i="4" s="1"/>
  <c r="E43" i="4"/>
  <c r="E53" i="4" s="1"/>
  <c r="AE103" i="4"/>
  <c r="L103" i="4"/>
  <c r="AD108" i="4"/>
  <c r="H118" i="4"/>
  <c r="H125" i="4" s="1"/>
  <c r="N189" i="4"/>
  <c r="W268" i="4"/>
  <c r="Z545" i="4"/>
  <c r="U614" i="4"/>
  <c r="W623" i="4"/>
  <c r="N636" i="4"/>
  <c r="Z636" i="4"/>
  <c r="S651" i="4"/>
  <c r="AD651" i="4"/>
  <c r="E655" i="4"/>
  <c r="E664" i="4" s="1"/>
  <c r="AF677" i="4"/>
  <c r="K715" i="4"/>
  <c r="BA1095" i="4"/>
  <c r="P1158" i="4"/>
  <c r="D1274" i="4"/>
  <c r="E1303" i="4"/>
  <c r="AF1355" i="4"/>
  <c r="AD1406" i="4"/>
  <c r="K335" i="4"/>
  <c r="W335" i="4"/>
  <c r="S545" i="4"/>
  <c r="AD553" i="4"/>
  <c r="U594" i="4"/>
  <c r="AO623" i="4"/>
  <c r="U649" i="4"/>
  <c r="U651" i="4" s="1"/>
  <c r="AY1095" i="4"/>
  <c r="Z1233" i="4"/>
  <c r="U1229" i="4"/>
  <c r="H1287" i="4"/>
  <c r="H1310" i="4"/>
  <c r="U1310" i="4"/>
  <c r="AF1310" i="4"/>
  <c r="H1383" i="4"/>
  <c r="AF1383" i="4"/>
  <c r="W1445" i="4"/>
  <c r="AE78" i="4"/>
  <c r="N91" i="4"/>
  <c r="Z91" i="4"/>
  <c r="F160" i="4"/>
  <c r="N144" i="4"/>
  <c r="Z144" i="4"/>
  <c r="E144" i="4"/>
  <c r="W357" i="4"/>
  <c r="W482" i="4"/>
  <c r="F519" i="4"/>
  <c r="P584" i="4"/>
  <c r="N623" i="4"/>
  <c r="S646" i="4"/>
  <c r="Z651" i="4"/>
  <c r="BA715" i="4"/>
  <c r="N747" i="4"/>
  <c r="Z747" i="4"/>
  <c r="S780" i="4"/>
  <c r="W1102" i="4"/>
  <c r="S1303" i="4"/>
  <c r="Z1355" i="4"/>
  <c r="N1359" i="4"/>
  <c r="F1395" i="4"/>
  <c r="K1406" i="4"/>
  <c r="W1406" i="4"/>
  <c r="AH1406" i="4"/>
  <c r="D103" i="4"/>
  <c r="AD155" i="4"/>
  <c r="W301" i="4"/>
  <c r="P53" i="4"/>
  <c r="B53" i="4"/>
  <c r="N77" i="4"/>
  <c r="Z77" i="4"/>
  <c r="R78" i="4"/>
  <c r="AC78" i="4"/>
  <c r="K91" i="4"/>
  <c r="W91" i="4"/>
  <c r="W97" i="4"/>
  <c r="U118" i="4"/>
  <c r="D125" i="4"/>
  <c r="K144" i="4"/>
  <c r="H167" i="4"/>
  <c r="S167" i="4"/>
  <c r="AF167" i="4"/>
  <c r="K167" i="4"/>
  <c r="Z167" i="4"/>
  <c r="AO33" i="4"/>
  <c r="AQ28" i="4" s="1"/>
  <c r="AQ33" i="4" s="1"/>
  <c r="AS28" i="4" s="1"/>
  <c r="AS33" i="4" s="1"/>
  <c r="AU28" i="4" s="1"/>
  <c r="AU33" i="4" s="1"/>
  <c r="AW28" i="4" s="1"/>
  <c r="AW33" i="4" s="1"/>
  <c r="AY28" i="4" s="1"/>
  <c r="AY33" i="4" s="1"/>
  <c r="BA28" i="4" s="1"/>
  <c r="BA33" i="4" s="1"/>
  <c r="BC28" i="4" s="1"/>
  <c r="BC33" i="4" s="1"/>
  <c r="BE28" i="4" s="1"/>
  <c r="BE33" i="4" s="1"/>
  <c r="BG28" i="4" s="1"/>
  <c r="BG33" i="4" s="1"/>
  <c r="BI28" i="4" s="1"/>
  <c r="BI33" i="4" s="1"/>
  <c r="BK28" i="4" s="1"/>
  <c r="BK33" i="4" s="1"/>
  <c r="BL28" i="4" s="1"/>
  <c r="BL33" i="4" s="1"/>
  <c r="BN28" i="4" s="1"/>
  <c r="BN33" i="4" s="1"/>
  <c r="BP28" i="4" s="1"/>
  <c r="BP33" i="4" s="1"/>
  <c r="BR28" i="4" s="1"/>
  <c r="BR33" i="4" s="1"/>
  <c r="BT28" i="4" s="1"/>
  <c r="BT33" i="4" s="1"/>
  <c r="W71" i="4"/>
  <c r="W77" i="4" s="1"/>
  <c r="AD97" i="4"/>
  <c r="P97" i="4"/>
  <c r="K301" i="4"/>
  <c r="Z64" i="4"/>
  <c r="AO58" i="4"/>
  <c r="AO64" i="4" s="1"/>
  <c r="AC103" i="4"/>
  <c r="W102" i="4"/>
  <c r="AQ101" i="4"/>
  <c r="AS101" i="4" s="1"/>
  <c r="AS102" i="4" s="1"/>
  <c r="B125" i="4"/>
  <c r="AF130" i="4"/>
  <c r="K155" i="4"/>
  <c r="AF155" i="4"/>
  <c r="H155" i="4"/>
  <c r="S155" i="4"/>
  <c r="E167" i="4"/>
  <c r="U167" i="4"/>
  <c r="AD167" i="4"/>
  <c r="AD189" i="4"/>
  <c r="S221" i="4"/>
  <c r="E221" i="4"/>
  <c r="AD221" i="4"/>
  <c r="N221" i="4"/>
  <c r="E233" i="4"/>
  <c r="S233" i="4"/>
  <c r="AD233" i="4"/>
  <c r="H233" i="4"/>
  <c r="K307" i="4"/>
  <c r="S473" i="4"/>
  <c r="AD473" i="4"/>
  <c r="AD482" i="4"/>
  <c r="K488" i="4"/>
  <c r="E545" i="4"/>
  <c r="F546" i="4"/>
  <c r="B618" i="4"/>
  <c r="B667" i="4" s="1"/>
  <c r="Z623" i="4"/>
  <c r="N630" i="4"/>
  <c r="U629" i="4"/>
  <c r="U630" i="4" s="1"/>
  <c r="S636" i="4"/>
  <c r="W655" i="4"/>
  <c r="W664" i="4" s="1"/>
  <c r="N664" i="4"/>
  <c r="Z688" i="4"/>
  <c r="N819" i="4"/>
  <c r="Z819" i="4"/>
  <c r="AH1264" i="4"/>
  <c r="AH1268" i="4" s="1"/>
  <c r="AH1228" i="4" s="1"/>
  <c r="B1287" i="4"/>
  <c r="V1303" i="4"/>
  <c r="E1340" i="4"/>
  <c r="U1355" i="4"/>
  <c r="V1395" i="4"/>
  <c r="V1400" i="4" s="1"/>
  <c r="Z1406" i="4"/>
  <c r="S1421" i="4"/>
  <c r="AF1421" i="4"/>
  <c r="AC1473" i="4"/>
  <c r="AC1475" i="4" s="1"/>
  <c r="AC1478" i="4" s="1"/>
  <c r="AE1473" i="4"/>
  <c r="AE1475" i="4" s="1"/>
  <c r="AK1383" i="4"/>
  <c r="AH335" i="4"/>
  <c r="AH336" i="4" s="1"/>
  <c r="Z357" i="4"/>
  <c r="V375" i="4"/>
  <c r="U473" i="4"/>
  <c r="H482" i="4"/>
  <c r="S482" i="4"/>
  <c r="S513" i="4"/>
  <c r="AF553" i="4"/>
  <c r="AO636" i="4"/>
  <c r="T1473" i="4"/>
  <c r="T1475" i="4" s="1"/>
  <c r="T1478" i="4" s="1"/>
  <c r="AM1355" i="4"/>
  <c r="S189" i="4"/>
  <c r="S222" i="4" s="1"/>
  <c r="Z301" i="4"/>
  <c r="AO290" i="4"/>
  <c r="AQ290" i="4" s="1"/>
  <c r="AS290" i="4" s="1"/>
  <c r="N335" i="4"/>
  <c r="AO329" i="4"/>
  <c r="AQ329" i="4" s="1"/>
  <c r="AS329" i="4" s="1"/>
  <c r="P492" i="4"/>
  <c r="E503" i="4"/>
  <c r="AD545" i="4"/>
  <c r="L546" i="4"/>
  <c r="E562" i="4"/>
  <c r="AD562" i="4"/>
  <c r="D600" i="4"/>
  <c r="AD603" i="4"/>
  <c r="AD618" i="4" s="1"/>
  <c r="U607" i="4"/>
  <c r="H623" i="4"/>
  <c r="H630" i="4"/>
  <c r="AS632" i="4"/>
  <c r="AS636" i="4" s="1"/>
  <c r="AD646" i="4"/>
  <c r="S664" i="4"/>
  <c r="S683" i="4"/>
  <c r="AF812" i="4"/>
  <c r="AE1095" i="4"/>
  <c r="AE1096" i="4" s="1"/>
  <c r="AC1124" i="4"/>
  <c r="S1135" i="4"/>
  <c r="AD1135" i="4"/>
  <c r="Z1147" i="4"/>
  <c r="AF1147" i="4"/>
  <c r="W1158" i="4"/>
  <c r="U1157" i="4"/>
  <c r="U1158" i="4" s="1"/>
  <c r="N1203" i="4"/>
  <c r="S1203" i="4"/>
  <c r="U1200" i="4"/>
  <c r="U1203" i="4" s="1"/>
  <c r="AF1233" i="4"/>
  <c r="U1294" i="4"/>
  <c r="H1303" i="4"/>
  <c r="AF1303" i="4"/>
  <c r="AO1373" i="4"/>
  <c r="AQ1368" i="4" s="1"/>
  <c r="AQ1373" i="4" s="1"/>
  <c r="AS1368" i="4" s="1"/>
  <c r="AS1373" i="4" s="1"/>
  <c r="AU1368" i="4" s="1"/>
  <c r="AU1373" i="4" s="1"/>
  <c r="AW1368" i="4" s="1"/>
  <c r="AW1373" i="4" s="1"/>
  <c r="AY1368" i="4" s="1"/>
  <c r="AY1373" i="4" s="1"/>
  <c r="BA1368" i="4" s="1"/>
  <c r="BA1373" i="4" s="1"/>
  <c r="BC1368" i="4" s="1"/>
  <c r="BC1373" i="4" s="1"/>
  <c r="BE1368" i="4" s="1"/>
  <c r="BE1373" i="4" s="1"/>
  <c r="H1406" i="4"/>
  <c r="Z1421" i="4"/>
  <c r="K1445" i="4"/>
  <c r="N1445" i="4"/>
  <c r="H1445" i="4"/>
  <c r="AF1456" i="4"/>
  <c r="E1456" i="4"/>
  <c r="E1472" i="4"/>
  <c r="S1472" i="4"/>
  <c r="P1473" i="4"/>
  <c r="AK1472" i="4"/>
  <c r="N553" i="4"/>
  <c r="Z553" i="4"/>
  <c r="E636" i="4"/>
  <c r="AD636" i="4"/>
  <c r="K636" i="4"/>
  <c r="B688" i="4"/>
  <c r="N786" i="4"/>
  <c r="B834" i="4"/>
  <c r="K1102" i="4"/>
  <c r="Z1102" i="4"/>
  <c r="Z1117" i="4" s="1"/>
  <c r="Z1124" i="4" s="1"/>
  <c r="J1124" i="4"/>
  <c r="K1143" i="4"/>
  <c r="AF1394" i="4"/>
  <c r="N1394" i="4"/>
  <c r="T1395" i="4"/>
  <c r="N64" i="4"/>
  <c r="P172" i="4"/>
  <c r="D222" i="4"/>
  <c r="U426" i="4"/>
  <c r="AQ492" i="4"/>
  <c r="AS490" i="4"/>
  <c r="U556" i="4"/>
  <c r="U562" i="4" s="1"/>
  <c r="P562" i="4"/>
  <c r="BI15" i="4"/>
  <c r="BP15" i="4"/>
  <c r="BI19" i="4"/>
  <c r="BP19" i="4"/>
  <c r="Z53" i="4"/>
  <c r="AC53" i="4"/>
  <c r="AH71" i="4"/>
  <c r="AO91" i="4"/>
  <c r="E91" i="4"/>
  <c r="H97" i="4"/>
  <c r="E118" i="4"/>
  <c r="E125" i="4" s="1"/>
  <c r="S118" i="4"/>
  <c r="S125" i="4" s="1"/>
  <c r="AD118" i="4"/>
  <c r="P118" i="4"/>
  <c r="P125" i="4" s="1"/>
  <c r="J125" i="4"/>
  <c r="AC125" i="4"/>
  <c r="W144" i="4"/>
  <c r="E155" i="4"/>
  <c r="E160" i="4" s="1"/>
  <c r="AE160" i="4"/>
  <c r="E176" i="4"/>
  <c r="K189" i="4"/>
  <c r="W189" i="4"/>
  <c r="U189" i="4"/>
  <c r="AF189" i="4"/>
  <c r="Z221" i="4"/>
  <c r="U221" i="4"/>
  <c r="AF221" i="4"/>
  <c r="B222" i="4"/>
  <c r="L222" i="4"/>
  <c r="H268" i="4"/>
  <c r="U268" i="4"/>
  <c r="AF268" i="4"/>
  <c r="K268" i="4"/>
  <c r="H301" i="4"/>
  <c r="H302" i="4" s="1"/>
  <c r="F302" i="4"/>
  <c r="AE302" i="4"/>
  <c r="AD317" i="4"/>
  <c r="K317" i="4"/>
  <c r="K336" i="4" s="1"/>
  <c r="AO317" i="4"/>
  <c r="B336" i="4"/>
  <c r="J336" i="4"/>
  <c r="Z335" i="4"/>
  <c r="L336" i="4"/>
  <c r="S375" i="4"/>
  <c r="AF375" i="4"/>
  <c r="D375" i="4"/>
  <c r="K460" i="4"/>
  <c r="P488" i="4"/>
  <c r="F493" i="4"/>
  <c r="U513" i="4"/>
  <c r="U549" i="4"/>
  <c r="U553" i="4" s="1"/>
  <c r="P553" i="4"/>
  <c r="AD53" i="4"/>
  <c r="E307" i="4"/>
  <c r="S357" i="4"/>
  <c r="P1143" i="4"/>
  <c r="U1138" i="4"/>
  <c r="U1143" i="4" s="1"/>
  <c r="BL15" i="4"/>
  <c r="BT15" i="4"/>
  <c r="N14" i="4"/>
  <c r="BL19" i="4"/>
  <c r="BT19" i="4"/>
  <c r="Z30" i="4"/>
  <c r="Y32" i="4"/>
  <c r="Y33" i="4" s="1"/>
  <c r="K53" i="4"/>
  <c r="U43" i="4"/>
  <c r="AF53" i="4"/>
  <c r="H53" i="4"/>
  <c r="E64" i="4"/>
  <c r="P64" i="4"/>
  <c r="P78" i="4" s="1"/>
  <c r="AD64" i="4"/>
  <c r="W64" i="4"/>
  <c r="K64" i="4"/>
  <c r="K65" i="4" s="1"/>
  <c r="D78" i="4"/>
  <c r="T78" i="4"/>
  <c r="P91" i="4"/>
  <c r="AD91" i="4"/>
  <c r="B103" i="4"/>
  <c r="N97" i="4"/>
  <c r="S95" i="4"/>
  <c r="S97" i="4" s="1"/>
  <c r="F103" i="4"/>
  <c r="AQ106" i="4"/>
  <c r="AS106" i="4" s="1"/>
  <c r="AU106" i="4" s="1"/>
  <c r="K118" i="4"/>
  <c r="K125" i="4" s="1"/>
  <c r="W118" i="4"/>
  <c r="AH118" i="4"/>
  <c r="Z118" i="4"/>
  <c r="L125" i="4"/>
  <c r="AD130" i="4"/>
  <c r="J160" i="4"/>
  <c r="P144" i="4"/>
  <c r="AD144" i="4"/>
  <c r="W155" i="4"/>
  <c r="B160" i="4"/>
  <c r="W167" i="4"/>
  <c r="AO167" i="4"/>
  <c r="P167" i="4"/>
  <c r="E189" i="4"/>
  <c r="Z189" i="4"/>
  <c r="H189" i="4"/>
  <c r="F222" i="4"/>
  <c r="AC222" i="4"/>
  <c r="U233" i="4"/>
  <c r="AF233" i="4"/>
  <c r="N268" i="4"/>
  <c r="Z268" i="4"/>
  <c r="Z302" i="4" s="1"/>
  <c r="E268" i="4"/>
  <c r="N301" i="4"/>
  <c r="B302" i="4"/>
  <c r="L302" i="4"/>
  <c r="AD307" i="4"/>
  <c r="E317" i="4"/>
  <c r="P317" i="4"/>
  <c r="Z323" i="4"/>
  <c r="F336" i="4"/>
  <c r="AF335" i="4"/>
  <c r="H335" i="4"/>
  <c r="AE336" i="4"/>
  <c r="U357" i="4"/>
  <c r="AF357" i="4"/>
  <c r="AF14" i="4" s="1"/>
  <c r="N357" i="4"/>
  <c r="N375" i="4"/>
  <c r="Z375" i="4"/>
  <c r="E375" i="4"/>
  <c r="W396" i="4"/>
  <c r="W426" i="4" s="1"/>
  <c r="V426" i="4"/>
  <c r="L461" i="4"/>
  <c r="AH481" i="4"/>
  <c r="U481" i="4"/>
  <c r="E488" i="4"/>
  <c r="K503" i="4"/>
  <c r="AH562" i="4"/>
  <c r="Z584" i="4"/>
  <c r="N53" i="4"/>
  <c r="B78" i="4"/>
  <c r="AE125" i="4"/>
  <c r="P302" i="4"/>
  <c r="J302" i="4"/>
  <c r="AS317" i="4"/>
  <c r="D336" i="4"/>
  <c r="AD357" i="4"/>
  <c r="AF513" i="4"/>
  <c r="AD1146" i="4"/>
  <c r="AC1147" i="4"/>
  <c r="AC1160" i="4" s="1"/>
  <c r="AC1204" i="4" s="1"/>
  <c r="BG15" i="4"/>
  <c r="BN15" i="4"/>
  <c r="BG19" i="4"/>
  <c r="BN19" i="4"/>
  <c r="W53" i="4"/>
  <c r="S64" i="4"/>
  <c r="AF64" i="4"/>
  <c r="H64" i="4"/>
  <c r="K77" i="4"/>
  <c r="AD77" i="4"/>
  <c r="U70" i="4"/>
  <c r="AF77" i="4"/>
  <c r="V78" i="4"/>
  <c r="F78" i="4"/>
  <c r="Y78" i="4"/>
  <c r="H91" i="4"/>
  <c r="S91" i="4"/>
  <c r="S103" i="4" s="1"/>
  <c r="AF91" i="4"/>
  <c r="AF103" i="4" s="1"/>
  <c r="E97" i="4"/>
  <c r="J103" i="4"/>
  <c r="E102" i="4"/>
  <c r="U101" i="4"/>
  <c r="U102" i="4" s="1"/>
  <c r="N118" i="4"/>
  <c r="AF118" i="4"/>
  <c r="AF125" i="4" s="1"/>
  <c r="AH121" i="4"/>
  <c r="F125" i="4"/>
  <c r="N125" i="4"/>
  <c r="Z122" i="4"/>
  <c r="L160" i="4"/>
  <c r="H144" i="4"/>
  <c r="S144" i="4"/>
  <c r="AF144" i="4"/>
  <c r="P155" i="4"/>
  <c r="Z155" i="4"/>
  <c r="N155" i="4"/>
  <c r="AH150" i="4"/>
  <c r="AC160" i="4"/>
  <c r="N167" i="4"/>
  <c r="U175" i="4"/>
  <c r="U176" i="4" s="1"/>
  <c r="W221" i="4"/>
  <c r="K221" i="4"/>
  <c r="H221" i="4"/>
  <c r="AE222" i="4"/>
  <c r="K233" i="4"/>
  <c r="W233" i="4"/>
  <c r="Z233" i="4"/>
  <c r="S268" i="4"/>
  <c r="AD268" i="4"/>
  <c r="E301" i="4"/>
  <c r="AD301" i="4"/>
  <c r="S301" i="4"/>
  <c r="S302" i="4" s="1"/>
  <c r="U290" i="4"/>
  <c r="U301" i="4" s="1"/>
  <c r="AF301" i="4"/>
  <c r="D302" i="4"/>
  <c r="AC302" i="4"/>
  <c r="U305" i="4"/>
  <c r="U307" i="4" s="1"/>
  <c r="S317" i="4"/>
  <c r="AQ323" i="4"/>
  <c r="S335" i="4"/>
  <c r="AD335" i="4"/>
  <c r="AH460" i="4"/>
  <c r="B503" i="4"/>
  <c r="B519" i="4" s="1"/>
  <c r="H502" i="4"/>
  <c r="H503" i="4" s="1"/>
  <c r="AD513" i="4"/>
  <c r="W688" i="4"/>
  <c r="H460" i="4"/>
  <c r="S460" i="4"/>
  <c r="AE461" i="4"/>
  <c r="N473" i="4"/>
  <c r="Z473" i="4"/>
  <c r="K473" i="4"/>
  <c r="W473" i="4"/>
  <c r="AF482" i="4"/>
  <c r="N488" i="4"/>
  <c r="Z488" i="4"/>
  <c r="J493" i="4"/>
  <c r="AO492" i="4"/>
  <c r="S503" i="4"/>
  <c r="AD503" i="4"/>
  <c r="P503" i="4"/>
  <c r="H513" i="4"/>
  <c r="J519" i="4"/>
  <c r="E518" i="4"/>
  <c r="AD518" i="4"/>
  <c r="Z518" i="4"/>
  <c r="P518" i="4"/>
  <c r="K545" i="4"/>
  <c r="D546" i="4"/>
  <c r="AC546" i="4"/>
  <c r="H553" i="4"/>
  <c r="S553" i="4"/>
  <c r="K553" i="4"/>
  <c r="H562" i="4"/>
  <c r="S562" i="4"/>
  <c r="AF562" i="4"/>
  <c r="N562" i="4"/>
  <c r="Z562" i="4"/>
  <c r="U599" i="4"/>
  <c r="AF651" i="4"/>
  <c r="P664" i="4"/>
  <c r="U655" i="4"/>
  <c r="U664" i="4" s="1"/>
  <c r="K688" i="4"/>
  <c r="BC1095" i="4"/>
  <c r="B1135" i="4"/>
  <c r="B1160" i="4" s="1"/>
  <c r="B1081" i="4" s="1"/>
  <c r="B1083" i="4" s="1"/>
  <c r="H1128" i="4"/>
  <c r="H1135" i="4" s="1"/>
  <c r="Z1135" i="4"/>
  <c r="F461" i="4"/>
  <c r="E473" i="4"/>
  <c r="AF473" i="4"/>
  <c r="Z482" i="4"/>
  <c r="L493" i="4"/>
  <c r="AH513" i="4"/>
  <c r="W513" i="4"/>
  <c r="P513" i="4"/>
  <c r="Z513" i="4"/>
  <c r="E539" i="4"/>
  <c r="K539" i="4"/>
  <c r="W545" i="4"/>
  <c r="AE546" i="4"/>
  <c r="K562" i="4"/>
  <c r="AS620" i="4"/>
  <c r="AS623" i="4" s="1"/>
  <c r="AQ623" i="4"/>
  <c r="P674" i="4"/>
  <c r="P677" i="4" s="1"/>
  <c r="AD677" i="4"/>
  <c r="AE715" i="4"/>
  <c r="AE781" i="4" s="1"/>
  <c r="AD699" i="4"/>
  <c r="AD715" i="4" s="1"/>
  <c r="N1082" i="4"/>
  <c r="Z1093" i="4"/>
  <c r="N460" i="4"/>
  <c r="W460" i="4"/>
  <c r="H473" i="4"/>
  <c r="H488" i="4"/>
  <c r="U488" i="4"/>
  <c r="AF488" i="4"/>
  <c r="D493" i="4"/>
  <c r="N503" i="4"/>
  <c r="W503" i="4"/>
  <c r="AO507" i="4"/>
  <c r="AQ507" i="4" s="1"/>
  <c r="D519" i="4"/>
  <c r="AC519" i="4"/>
  <c r="K518" i="4"/>
  <c r="W518" i="4"/>
  <c r="AF518" i="4"/>
  <c r="H539" i="4"/>
  <c r="H546" i="4" s="1"/>
  <c r="AF539" i="4"/>
  <c r="P539" i="4"/>
  <c r="P546" i="4" s="1"/>
  <c r="J546" i="4"/>
  <c r="AO549" i="4"/>
  <c r="AC600" i="4"/>
  <c r="B600" i="4"/>
  <c r="Z715" i="4"/>
  <c r="H715" i="4"/>
  <c r="S715" i="4"/>
  <c r="Z780" i="4"/>
  <c r="Z812" i="4"/>
  <c r="W819" i="4"/>
  <c r="N1043" i="4"/>
  <c r="Z1043" i="4"/>
  <c r="F1095" i="4"/>
  <c r="H1093" i="4"/>
  <c r="N1093" i="4" s="1"/>
  <c r="AH1149" i="4"/>
  <c r="U1149" i="4"/>
  <c r="K584" i="4"/>
  <c r="W584" i="4"/>
  <c r="J600" i="4"/>
  <c r="E618" i="4"/>
  <c r="S618" i="4"/>
  <c r="K618" i="4"/>
  <c r="K623" i="4"/>
  <c r="U620" i="4"/>
  <c r="U623" i="4" s="1"/>
  <c r="AF623" i="4"/>
  <c r="W636" i="4"/>
  <c r="AH646" i="4"/>
  <c r="U644" i="4"/>
  <c r="N677" i="4"/>
  <c r="Z677" i="4"/>
  <c r="E683" i="4"/>
  <c r="W683" i="4"/>
  <c r="H685" i="4"/>
  <c r="H688" i="4" s="1"/>
  <c r="S688" i="4"/>
  <c r="AF688" i="4"/>
  <c r="U691" i="4"/>
  <c r="U692" i="4" s="1"/>
  <c r="E715" i="4"/>
  <c r="AW715" i="4"/>
  <c r="AQ715" i="4"/>
  <c r="R747" i="4"/>
  <c r="R781" i="4" s="1"/>
  <c r="W780" i="4"/>
  <c r="AF780" i="4"/>
  <c r="N780" i="4"/>
  <c r="H780" i="4"/>
  <c r="F781" i="4"/>
  <c r="E786" i="4"/>
  <c r="S786" i="4"/>
  <c r="AD786" i="4"/>
  <c r="AY784" i="4"/>
  <c r="BA784" i="4" s="1"/>
  <c r="K819" i="4"/>
  <c r="U816" i="4"/>
  <c r="U819" i="4" s="1"/>
  <c r="H817" i="4"/>
  <c r="H819" i="4" s="1"/>
  <c r="AF819" i="4"/>
  <c r="H833" i="4"/>
  <c r="AF833" i="4"/>
  <c r="F1102" i="4"/>
  <c r="F1117" i="4" s="1"/>
  <c r="F1077" i="4" s="1"/>
  <c r="N1135" i="4"/>
  <c r="AO1135" i="4"/>
  <c r="AH1135" i="4"/>
  <c r="AF1135" i="4"/>
  <c r="N1246" i="4"/>
  <c r="L1247" i="4"/>
  <c r="N1247" i="4" s="1"/>
  <c r="Z1310" i="4"/>
  <c r="BA1233" i="4"/>
  <c r="AZ1233" i="4"/>
  <c r="E584" i="4"/>
  <c r="S584" i="4"/>
  <c r="AD584" i="4"/>
  <c r="AD600" i="4" s="1"/>
  <c r="N584" i="4"/>
  <c r="E623" i="4"/>
  <c r="H664" i="4"/>
  <c r="Z664" i="4"/>
  <c r="N683" i="4"/>
  <c r="AD683" i="4"/>
  <c r="AS715" i="4"/>
  <c r="W715" i="4"/>
  <c r="S747" i="4"/>
  <c r="AD747" i="4"/>
  <c r="K747" i="4"/>
  <c r="W747" i="4"/>
  <c r="AC781" i="4"/>
  <c r="L781" i="4"/>
  <c r="E819" i="4"/>
  <c r="N833" i="4"/>
  <c r="S1043" i="4"/>
  <c r="AD1043" i="4"/>
  <c r="AH1043" i="4"/>
  <c r="AH18" i="4" s="1"/>
  <c r="AM18" i="4" s="1"/>
  <c r="H1101" i="4"/>
  <c r="AH1116" i="4"/>
  <c r="U1116" i="4"/>
  <c r="E1135" i="4"/>
  <c r="K1287" i="4"/>
  <c r="P1287" i="4"/>
  <c r="N1303" i="4"/>
  <c r="H584" i="4"/>
  <c r="AF584" i="4"/>
  <c r="F600" i="4"/>
  <c r="AE600" i="4"/>
  <c r="N618" i="4"/>
  <c r="S623" i="4"/>
  <c r="AD623" i="4"/>
  <c r="Z630" i="4"/>
  <c r="AF636" i="4"/>
  <c r="U646" i="4"/>
  <c r="E646" i="4"/>
  <c r="W651" i="4"/>
  <c r="K664" i="4"/>
  <c r="AD664" i="4"/>
  <c r="AF664" i="4"/>
  <c r="AE667" i="4"/>
  <c r="K677" i="4"/>
  <c r="W677" i="4"/>
  <c r="AF683" i="4"/>
  <c r="E688" i="4"/>
  <c r="AD688" i="4"/>
  <c r="P692" i="4"/>
  <c r="AU715" i="4"/>
  <c r="H747" i="4"/>
  <c r="AF747" i="4"/>
  <c r="U780" i="4"/>
  <c r="AD751" i="4"/>
  <c r="AD780" i="4" s="1"/>
  <c r="Z786" i="4"/>
  <c r="N812" i="4"/>
  <c r="D812" i="4"/>
  <c r="D834" i="4" s="1"/>
  <c r="S819" i="4"/>
  <c r="AD819" i="4"/>
  <c r="K833" i="4"/>
  <c r="E833" i="4"/>
  <c r="AE834" i="4"/>
  <c r="AO853" i="4"/>
  <c r="E937" i="4"/>
  <c r="E1043" i="4" s="1"/>
  <c r="L1079" i="4"/>
  <c r="H1078" i="4"/>
  <c r="Z1094" i="4"/>
  <c r="B1102" i="4"/>
  <c r="B1117" i="4" s="1"/>
  <c r="B1077" i="4" s="1"/>
  <c r="S1102" i="4"/>
  <c r="S1117" i="4" s="1"/>
  <c r="S1124" i="4" s="1"/>
  <c r="AF1102" i="4"/>
  <c r="AF1117" i="4" s="1"/>
  <c r="AF1124" i="4" s="1"/>
  <c r="AD1143" i="4"/>
  <c r="AD1147" i="4"/>
  <c r="AH1158" i="4"/>
  <c r="H1264" i="4"/>
  <c r="H1268" i="4" s="1"/>
  <c r="H1274" i="4" s="1"/>
  <c r="S1264" i="4"/>
  <c r="S1268" i="4" s="1"/>
  <c r="S1274" i="4" s="1"/>
  <c r="Z1383" i="4"/>
  <c r="P1383" i="4"/>
  <c r="P1395" i="4" s="1"/>
  <c r="H1394" i="4"/>
  <c r="AJ1395" i="4"/>
  <c r="AJ1400" i="4" s="1"/>
  <c r="AK1421" i="4"/>
  <c r="AJ1473" i="4"/>
  <c r="AJ1475" i="4" s="1"/>
  <c r="AJ1478" i="4" s="1"/>
  <c r="H1143" i="4"/>
  <c r="S1143" i="4"/>
  <c r="E1203" i="4"/>
  <c r="AU1203" i="4"/>
  <c r="AU1082" i="4" s="1"/>
  <c r="H1233" i="4"/>
  <c r="Z1244" i="4"/>
  <c r="K1264" i="4"/>
  <c r="K1268" i="4" s="1"/>
  <c r="K1274" i="4" s="1"/>
  <c r="S1298" i="4"/>
  <c r="H1340" i="4"/>
  <c r="S1340" i="4"/>
  <c r="AD1340" i="4"/>
  <c r="N1406" i="4"/>
  <c r="P1406" i="4"/>
  <c r="P1475" i="4" s="1"/>
  <c r="Z1445" i="4"/>
  <c r="AL1395" i="4"/>
  <c r="AL1473" i="4"/>
  <c r="AL1475" i="4" s="1"/>
  <c r="AF1077" i="4"/>
  <c r="AD1123" i="4"/>
  <c r="K1135" i="4"/>
  <c r="U1135" i="4"/>
  <c r="AF1143" i="4"/>
  <c r="W1146" i="4"/>
  <c r="W1147" i="4" s="1"/>
  <c r="AF1203" i="4"/>
  <c r="H1203" i="4"/>
  <c r="Z1203" i="4"/>
  <c r="AO1203" i="4"/>
  <c r="AO1082" i="4" s="1"/>
  <c r="U1233" i="4"/>
  <c r="N1244" i="4"/>
  <c r="N1264" i="4"/>
  <c r="N1268" i="4" s="1"/>
  <c r="N1274" i="4" s="1"/>
  <c r="L1274" i="4"/>
  <c r="E1287" i="4"/>
  <c r="K1298" i="4"/>
  <c r="AF1298" i="4"/>
  <c r="N1310" i="4"/>
  <c r="K1340" i="4"/>
  <c r="U1340" i="4"/>
  <c r="H1355" i="4"/>
  <c r="U1359" i="4"/>
  <c r="H1372" i="4"/>
  <c r="N1372" i="4" s="1"/>
  <c r="Z1373" i="4"/>
  <c r="B1395" i="4"/>
  <c r="B1400" i="4" s="1"/>
  <c r="L1395" i="4"/>
  <c r="L1400" i="4" s="1"/>
  <c r="Y1395" i="4"/>
  <c r="Y1400" i="4" s="1"/>
  <c r="E1406" i="4"/>
  <c r="AD1445" i="4"/>
  <c r="E1445" i="4"/>
  <c r="S1445" i="4"/>
  <c r="Z1456" i="4"/>
  <c r="N1456" i="4"/>
  <c r="H1456" i="4"/>
  <c r="K1456" i="4"/>
  <c r="V1473" i="4"/>
  <c r="V1475" i="4" s="1"/>
  <c r="V1478" i="4" s="1"/>
  <c r="K1472" i="4"/>
  <c r="AH1472" i="4"/>
  <c r="AH1473" i="4" s="1"/>
  <c r="B1473" i="4"/>
  <c r="B1475" i="4" s="1"/>
  <c r="B1478" i="4" s="1"/>
  <c r="Y1473" i="4"/>
  <c r="Y1475" i="4" s="1"/>
  <c r="AK1394" i="4"/>
  <c r="AK1395" i="4" s="1"/>
  <c r="AK1400" i="4" s="1"/>
  <c r="AK1406" i="4"/>
  <c r="AK1445" i="4"/>
  <c r="AK1456" i="4"/>
  <c r="AM1359" i="4"/>
  <c r="W1135" i="4"/>
  <c r="N1143" i="4"/>
  <c r="Z1143" i="4"/>
  <c r="AH1141" i="4"/>
  <c r="AE1160" i="4"/>
  <c r="AE1081" i="4" s="1"/>
  <c r="AE1083" i="4" s="1"/>
  <c r="AE1085" i="4" s="1"/>
  <c r="AE1086" i="4" s="1"/>
  <c r="AH1203" i="4"/>
  <c r="AH1082" i="4" s="1"/>
  <c r="AQ1203" i="4"/>
  <c r="AQ1082" i="4" s="1"/>
  <c r="AF1082" i="4"/>
  <c r="H1244" i="4"/>
  <c r="E1264" i="4"/>
  <c r="E1268" i="4" s="1"/>
  <c r="E1274" i="4" s="1"/>
  <c r="AD1264" i="4"/>
  <c r="AD1268" i="4" s="1"/>
  <c r="AD1274" i="4" s="1"/>
  <c r="AC1274" i="4"/>
  <c r="AF1287" i="4"/>
  <c r="N1287" i="4"/>
  <c r="W1298" i="4"/>
  <c r="Z1298" i="4"/>
  <c r="K1300" i="4"/>
  <c r="K1303" i="4" s="1"/>
  <c r="U1300" i="4"/>
  <c r="U1303" i="4" s="1"/>
  <c r="W1310" i="4"/>
  <c r="N1340" i="4"/>
  <c r="E1383" i="4"/>
  <c r="U1383" i="4"/>
  <c r="AD1383" i="4"/>
  <c r="E1394" i="4"/>
  <c r="AC1395" i="4"/>
  <c r="AC1400" i="4" s="1"/>
  <c r="R1395" i="4"/>
  <c r="R1400" i="4" s="1"/>
  <c r="AE1395" i="4"/>
  <c r="AE1354" i="4" s="1"/>
  <c r="U1405" i="4"/>
  <c r="U1406" i="4" s="1"/>
  <c r="AF1406" i="4"/>
  <c r="AD1421" i="4"/>
  <c r="AF1445" i="4"/>
  <c r="U1445" i="4"/>
  <c r="AD1456" i="4"/>
  <c r="N1472" i="4"/>
  <c r="H1472" i="4"/>
  <c r="AD1471" i="4"/>
  <c r="AD1472" i="4" s="1"/>
  <c r="R1473" i="4"/>
  <c r="R1475" i="4" s="1"/>
  <c r="R1478" i="4" s="1"/>
  <c r="R103" i="4"/>
  <c r="R1274" i="4"/>
  <c r="R667" i="4"/>
  <c r="T1079" i="4"/>
  <c r="Y103" i="4"/>
  <c r="Z108" i="4"/>
  <c r="Z14" i="4"/>
  <c r="V546" i="4"/>
  <c r="AF1229" i="4"/>
  <c r="T125" i="4"/>
  <c r="V160" i="4"/>
  <c r="V302" i="4"/>
  <c r="U14" i="4"/>
  <c r="V103" i="4"/>
  <c r="R546" i="4"/>
  <c r="Z18" i="4"/>
  <c r="AF1078" i="4"/>
  <c r="Z1078" i="4"/>
  <c r="B32" i="4"/>
  <c r="H32" i="4" s="1"/>
  <c r="H30" i="4"/>
  <c r="Y222" i="4"/>
  <c r="R600" i="4"/>
  <c r="T1160" i="4"/>
  <c r="T1081" i="4" s="1"/>
  <c r="T1083" i="4" s="1"/>
  <c r="L78" i="4"/>
  <c r="T103" i="4"/>
  <c r="R160" i="4"/>
  <c r="T222" i="4"/>
  <c r="R302" i="4"/>
  <c r="T336" i="4"/>
  <c r="H343" i="4"/>
  <c r="R519" i="4"/>
  <c r="V600" i="4"/>
  <c r="Y1160" i="4"/>
  <c r="Y1081" i="4" s="1"/>
  <c r="Y1083" i="4" s="1"/>
  <c r="R125" i="4"/>
  <c r="T160" i="4"/>
  <c r="V222" i="4"/>
  <c r="T302" i="4"/>
  <c r="B357" i="4"/>
  <c r="B14" i="4" s="1"/>
  <c r="H14" i="4" s="1"/>
  <c r="Y546" i="4"/>
  <c r="Y600" i="4"/>
  <c r="Y781" i="4"/>
  <c r="Y834" i="4"/>
  <c r="U1082" i="4"/>
  <c r="R1160" i="4"/>
  <c r="R1204" i="4" s="1"/>
  <c r="J78" i="4"/>
  <c r="V125" i="4"/>
  <c r="Y160" i="4"/>
  <c r="R222" i="4"/>
  <c r="Y302" i="4"/>
  <c r="Y336" i="4"/>
  <c r="T600" i="4"/>
  <c r="BC715" i="4"/>
  <c r="T781" i="4"/>
  <c r="T834" i="4"/>
  <c r="U1078" i="4"/>
  <c r="R1124" i="4"/>
  <c r="V1160" i="4"/>
  <c r="V1204" i="4" s="1"/>
  <c r="Z1229" i="4"/>
  <c r="AF33" i="4"/>
  <c r="U97" i="4"/>
  <c r="W125" i="4"/>
  <c r="AS146" i="4"/>
  <c r="AO46" i="4"/>
  <c r="AQ46" i="4" s="1"/>
  <c r="AS46" i="4" s="1"/>
  <c r="AU46" i="4" s="1"/>
  <c r="AW46" i="4" s="1"/>
  <c r="AY46" i="4" s="1"/>
  <c r="BA46" i="4" s="1"/>
  <c r="BC46" i="4" s="1"/>
  <c r="BE46" i="4" s="1"/>
  <c r="AH53" i="4"/>
  <c r="AH222" i="4"/>
  <c r="AH155" i="4"/>
  <c r="AO148" i="4"/>
  <c r="AQ148" i="4" s="1"/>
  <c r="AS148" i="4" s="1"/>
  <c r="AU148" i="4" s="1"/>
  <c r="AW148" i="4" s="1"/>
  <c r="AY148" i="4" s="1"/>
  <c r="BA148" i="4" s="1"/>
  <c r="BC148" i="4" s="1"/>
  <c r="BE148" i="4" s="1"/>
  <c r="U32" i="4"/>
  <c r="T33" i="4"/>
  <c r="U33" i="4" s="1"/>
  <c r="AS67" i="4"/>
  <c r="AH136" i="4"/>
  <c r="AO133" i="4"/>
  <c r="AS175" i="4"/>
  <c r="AQ176" i="4"/>
  <c r="AQ301" i="4"/>
  <c r="AQ302" i="4" s="1"/>
  <c r="P336" i="4"/>
  <c r="U30" i="4"/>
  <c r="Z32" i="4"/>
  <c r="S51" i="4"/>
  <c r="S53" i="4" s="1"/>
  <c r="AS57" i="4"/>
  <c r="AQ58" i="4"/>
  <c r="AS58" i="4" s="1"/>
  <c r="AU58" i="4" s="1"/>
  <c r="AW58" i="4" s="1"/>
  <c r="AY58" i="4" s="1"/>
  <c r="BA58" i="4" s="1"/>
  <c r="BC58" i="4" s="1"/>
  <c r="BE58" i="4" s="1"/>
  <c r="AH70" i="4"/>
  <c r="AM70" i="4" s="1"/>
  <c r="S71" i="4"/>
  <c r="S77" i="4" s="1"/>
  <c r="AQ82" i="4"/>
  <c r="AO112" i="4"/>
  <c r="AQ138" i="4"/>
  <c r="AO143" i="4"/>
  <c r="AQ143" i="4" s="1"/>
  <c r="AS143" i="4" s="1"/>
  <c r="AU143" i="4" s="1"/>
  <c r="AW143" i="4" s="1"/>
  <c r="AY143" i="4" s="1"/>
  <c r="BA143" i="4" s="1"/>
  <c r="BC143" i="4" s="1"/>
  <c r="BE143" i="4" s="1"/>
  <c r="AQ163" i="4"/>
  <c r="AQ171" i="4"/>
  <c r="J178" i="4"/>
  <c r="K178" i="4" s="1"/>
  <c r="AQ183" i="4"/>
  <c r="AU311" i="4"/>
  <c r="AU321" i="4"/>
  <c r="AS322" i="4"/>
  <c r="AU322" i="4" s="1"/>
  <c r="AW322" i="4" s="1"/>
  <c r="AY322" i="4" s="1"/>
  <c r="BA322" i="4" s="1"/>
  <c r="BC322" i="4" s="1"/>
  <c r="BE322" i="4" s="1"/>
  <c r="R336" i="4"/>
  <c r="V336" i="4"/>
  <c r="AC336" i="4"/>
  <c r="K357" i="4"/>
  <c r="W375" i="4"/>
  <c r="K374" i="4"/>
  <c r="K375" i="4" s="1"/>
  <c r="J375" i="4"/>
  <c r="AF426" i="4"/>
  <c r="N426" i="4"/>
  <c r="AH426" i="4"/>
  <c r="AO393" i="4"/>
  <c r="AQ393" i="4" s="1"/>
  <c r="AS393" i="4" s="1"/>
  <c r="AU393" i="4" s="1"/>
  <c r="AW393" i="4" s="1"/>
  <c r="AY393" i="4" s="1"/>
  <c r="BA393" i="4" s="1"/>
  <c r="BC393" i="4" s="1"/>
  <c r="BE393" i="4" s="1"/>
  <c r="R426" i="4"/>
  <c r="R461" i="4" s="1"/>
  <c r="S403" i="4"/>
  <c r="S426" i="4" s="1"/>
  <c r="S461" i="4" s="1"/>
  <c r="Y461" i="4"/>
  <c r="U46" i="4"/>
  <c r="U57" i="4"/>
  <c r="U64" i="4" s="1"/>
  <c r="Y125" i="4"/>
  <c r="U148" i="4"/>
  <c r="U155" i="4" s="1"/>
  <c r="AO176" i="4"/>
  <c r="AO301" i="4"/>
  <c r="U311" i="4"/>
  <c r="U317" i="4" s="1"/>
  <c r="E335" i="4"/>
  <c r="U329" i="4"/>
  <c r="U335" i="4" s="1"/>
  <c r="AH375" i="4"/>
  <c r="J426" i="4"/>
  <c r="K411" i="4"/>
  <c r="K426" i="4" s="1"/>
  <c r="B461" i="4"/>
  <c r="U482" i="4"/>
  <c r="N18" i="4"/>
  <c r="U76" i="4"/>
  <c r="AO97" i="4"/>
  <c r="AO103" i="4" s="1"/>
  <c r="AQ102" i="4"/>
  <c r="U133" i="4"/>
  <c r="U136" i="4" s="1"/>
  <c r="P136" i="4"/>
  <c r="AQ43" i="4"/>
  <c r="U82" i="4"/>
  <c r="U91" i="4" s="1"/>
  <c r="AS94" i="4"/>
  <c r="U121" i="4"/>
  <c r="U122" i="4" s="1"/>
  <c r="U138" i="4"/>
  <c r="U144" i="4" s="1"/>
  <c r="AQ209" i="4"/>
  <c r="AQ228" i="4"/>
  <c r="AO268" i="4"/>
  <c r="AO305" i="4"/>
  <c r="AF317" i="4"/>
  <c r="E357" i="4"/>
  <c r="H344" i="4"/>
  <c r="U375" i="4"/>
  <c r="AD375" i="4"/>
  <c r="E426" i="4"/>
  <c r="P426" i="4"/>
  <c r="Z426" i="4"/>
  <c r="AS380" i="4"/>
  <c r="H426" i="4"/>
  <c r="D426" i="4"/>
  <c r="AC426" i="4"/>
  <c r="AC461" i="4" s="1"/>
  <c r="AD414" i="4"/>
  <c r="AD426" i="4" s="1"/>
  <c r="T461" i="4"/>
  <c r="AQ317" i="4"/>
  <c r="H365" i="4"/>
  <c r="H375" i="4" s="1"/>
  <c r="P375" i="4"/>
  <c r="U460" i="4"/>
  <c r="AF460" i="4"/>
  <c r="AO436" i="4"/>
  <c r="AQ436" i="4" s="1"/>
  <c r="AS436" i="4" s="1"/>
  <c r="AU436" i="4" s="1"/>
  <c r="AW436" i="4" s="1"/>
  <c r="AY436" i="4" s="1"/>
  <c r="BA436" i="4" s="1"/>
  <c r="BC436" i="4" s="1"/>
  <c r="BE436" i="4" s="1"/>
  <c r="AD442" i="4"/>
  <c r="AD460" i="4" s="1"/>
  <c r="AH473" i="4"/>
  <c r="E482" i="4"/>
  <c r="AH482" i="4"/>
  <c r="W488" i="4"/>
  <c r="AQ485" i="4"/>
  <c r="T493" i="4"/>
  <c r="Y493" i="4"/>
  <c r="AE493" i="4"/>
  <c r="AF503" i="4"/>
  <c r="Z503" i="4"/>
  <c r="AH503" i="4"/>
  <c r="E513" i="4"/>
  <c r="V519" i="4"/>
  <c r="N518" i="4"/>
  <c r="AD539" i="4"/>
  <c r="W539" i="4"/>
  <c r="AS464" i="4"/>
  <c r="B488" i="4"/>
  <c r="B493" i="4" s="1"/>
  <c r="AH488" i="4"/>
  <c r="AO503" i="4"/>
  <c r="AQ496" i="4"/>
  <c r="Z535" i="4"/>
  <c r="S535" i="4"/>
  <c r="U535" i="4"/>
  <c r="E430" i="4"/>
  <c r="E460" i="4" s="1"/>
  <c r="P460" i="4"/>
  <c r="Z460" i="4"/>
  <c r="AQ430" i="4"/>
  <c r="K482" i="4"/>
  <c r="P482" i="4"/>
  <c r="P493" i="4" s="1"/>
  <c r="S488" i="4"/>
  <c r="AD488" i="4"/>
  <c r="R493" i="4"/>
  <c r="V493" i="4"/>
  <c r="AC493" i="4"/>
  <c r="U499" i="4"/>
  <c r="U503" i="4" s="1"/>
  <c r="K513" i="4"/>
  <c r="L519" i="4"/>
  <c r="T519" i="4"/>
  <c r="Y519" i="4"/>
  <c r="AE519" i="4"/>
  <c r="H518" i="4"/>
  <c r="N539" i="4"/>
  <c r="N546" i="4" s="1"/>
  <c r="AH539" i="4"/>
  <c r="AH546" i="4" s="1"/>
  <c r="U537" i="4"/>
  <c r="Z537" i="4"/>
  <c r="S537" i="4"/>
  <c r="AF546" i="4"/>
  <c r="H618" i="4"/>
  <c r="AW603" i="4"/>
  <c r="AW476" i="4"/>
  <c r="AQ515" i="4"/>
  <c r="AO518" i="4"/>
  <c r="S531" i="4"/>
  <c r="Z531" i="4"/>
  <c r="T539" i="4"/>
  <c r="T546" i="4" s="1"/>
  <c r="AO543" i="4"/>
  <c r="B546" i="4"/>
  <c r="AO558" i="4"/>
  <c r="AQ558" i="4" s="1"/>
  <c r="AS558" i="4" s="1"/>
  <c r="AU558" i="4" s="1"/>
  <c r="AW558" i="4" s="1"/>
  <c r="AY558" i="4" s="1"/>
  <c r="BA558" i="4" s="1"/>
  <c r="BC558" i="4" s="1"/>
  <c r="BE558" i="4" s="1"/>
  <c r="U566" i="4"/>
  <c r="U584" i="4" s="1"/>
  <c r="AH584" i="4"/>
  <c r="AF618" i="4"/>
  <c r="P618" i="4"/>
  <c r="U608" i="4"/>
  <c r="E630" i="4"/>
  <c r="AQ643" i="4"/>
  <c r="L667" i="4"/>
  <c r="AO691" i="4"/>
  <c r="AH692" i="4"/>
  <c r="AY715" i="4"/>
  <c r="BE715" i="4"/>
  <c r="D781" i="4"/>
  <c r="V781" i="4"/>
  <c r="U812" i="4"/>
  <c r="W562" i="4"/>
  <c r="Z618" i="4"/>
  <c r="AH618" i="4"/>
  <c r="H636" i="4"/>
  <c r="K646" i="4"/>
  <c r="D667" i="4"/>
  <c r="AH679" i="4"/>
  <c r="AM679" i="4" s="1"/>
  <c r="AM683" i="4" s="1"/>
  <c r="P683" i="4"/>
  <c r="U679" i="4"/>
  <c r="U683" i="4" s="1"/>
  <c r="AO529" i="4"/>
  <c r="AQ529" i="4" s="1"/>
  <c r="AS529" i="4" s="1"/>
  <c r="AU529" i="4" s="1"/>
  <c r="AW529" i="4" s="1"/>
  <c r="AY529" i="4" s="1"/>
  <c r="BA529" i="4" s="1"/>
  <c r="BC529" i="4" s="1"/>
  <c r="BE529" i="4" s="1"/>
  <c r="L600" i="4"/>
  <c r="W610" i="4"/>
  <c r="W618" i="4" s="1"/>
  <c r="K630" i="4"/>
  <c r="W646" i="4"/>
  <c r="V667" i="4"/>
  <c r="F667" i="4"/>
  <c r="T667" i="4"/>
  <c r="AU632" i="4"/>
  <c r="AC667" i="4"/>
  <c r="AS655" i="4"/>
  <c r="AQ664" i="4"/>
  <c r="J667" i="4"/>
  <c r="Y667" i="4"/>
  <c r="AO742" i="4"/>
  <c r="U632" i="4"/>
  <c r="U636" i="4" s="1"/>
  <c r="AQ649" i="4"/>
  <c r="H674" i="4"/>
  <c r="H677" i="4" s="1"/>
  <c r="H679" i="4"/>
  <c r="H683" i="4" s="1"/>
  <c r="B683" i="4"/>
  <c r="AH685" i="4"/>
  <c r="AM685" i="4" s="1"/>
  <c r="AM688" i="4" s="1"/>
  <c r="E691" i="4"/>
  <c r="E692" i="4" s="1"/>
  <c r="W691" i="4"/>
  <c r="W692" i="4" s="1"/>
  <c r="AF699" i="4"/>
  <c r="AF715" i="4" s="1"/>
  <c r="E721" i="4"/>
  <c r="E747" i="4" s="1"/>
  <c r="U742" i="4"/>
  <c r="AH744" i="4"/>
  <c r="U746" i="4"/>
  <c r="J747" i="4"/>
  <c r="J781" i="4" s="1"/>
  <c r="P747" i="4"/>
  <c r="E751" i="4"/>
  <c r="E780" i="4" s="1"/>
  <c r="AU786" i="4"/>
  <c r="H812" i="4"/>
  <c r="W789" i="4"/>
  <c r="W812" i="4" s="1"/>
  <c r="V812" i="4"/>
  <c r="V834" i="4" s="1"/>
  <c r="Z833" i="4"/>
  <c r="AS833" i="4"/>
  <c r="U829" i="4"/>
  <c r="U833" i="4" s="1"/>
  <c r="W841" i="4"/>
  <c r="W1043" i="4" s="1"/>
  <c r="V1043" i="4"/>
  <c r="AO664" i="4"/>
  <c r="U674" i="4"/>
  <c r="U677" i="4" s="1"/>
  <c r="AH786" i="4"/>
  <c r="AY786" i="4"/>
  <c r="K812" i="4"/>
  <c r="AS788" i="4"/>
  <c r="R812" i="4"/>
  <c r="R834" i="4" s="1"/>
  <c r="S796" i="4"/>
  <c r="S812" i="4" s="1"/>
  <c r="P812" i="4"/>
  <c r="P834" i="4" s="1"/>
  <c r="S833" i="4"/>
  <c r="AD833" i="4"/>
  <c r="AW833" i="4"/>
  <c r="J834" i="4"/>
  <c r="AH674" i="4"/>
  <c r="AM674" i="4" s="1"/>
  <c r="AM677" i="4" s="1"/>
  <c r="U685" i="4"/>
  <c r="U688" i="4" s="1"/>
  <c r="U699" i="4"/>
  <c r="U715" i="4" s="1"/>
  <c r="AS727" i="4"/>
  <c r="E812" i="4"/>
  <c r="AD788" i="4"/>
  <c r="AD812" i="4" s="1"/>
  <c r="AC812" i="4"/>
  <c r="AC834" i="4" s="1"/>
  <c r="AQ789" i="4"/>
  <c r="AS789" i="4" s="1"/>
  <c r="AU789" i="4" s="1"/>
  <c r="AW789" i="4" s="1"/>
  <c r="AY789" i="4" s="1"/>
  <c r="BA789" i="4" s="1"/>
  <c r="BC789" i="4" s="1"/>
  <c r="BE789" i="4" s="1"/>
  <c r="AH812" i="4"/>
  <c r="AO816" i="4"/>
  <c r="AH819" i="4"/>
  <c r="W833" i="4"/>
  <c r="BC821" i="4"/>
  <c r="F834" i="4"/>
  <c r="L834" i="4"/>
  <c r="AH833" i="4"/>
  <c r="AF1043" i="4"/>
  <c r="AQ853" i="4"/>
  <c r="F1079" i="4"/>
  <c r="K937" i="4"/>
  <c r="K1043" i="4" s="1"/>
  <c r="U937" i="4"/>
  <c r="U1043" i="4" s="1"/>
  <c r="H1082" i="4"/>
  <c r="AF1093" i="4"/>
  <c r="H1100" i="4"/>
  <c r="W1117" i="4"/>
  <c r="W1124" i="4" s="1"/>
  <c r="D1124" i="4"/>
  <c r="T1124" i="4"/>
  <c r="AE1124" i="4"/>
  <c r="AU1128" i="4"/>
  <c r="L1096" i="4"/>
  <c r="Y1079" i="4"/>
  <c r="Z1077" i="4"/>
  <c r="AD1124" i="4"/>
  <c r="F1124" i="4"/>
  <c r="L1124" i="4"/>
  <c r="V1124" i="4"/>
  <c r="H937" i="4"/>
  <c r="H1043" i="4" s="1"/>
  <c r="Z1082" i="4"/>
  <c r="AW1095" i="4"/>
  <c r="BE1095" i="4"/>
  <c r="T1095" i="4"/>
  <c r="Z1095" i="4" s="1"/>
  <c r="Y1096" i="4"/>
  <c r="U1100" i="4"/>
  <c r="P1102" i="4"/>
  <c r="P1117" i="4" s="1"/>
  <c r="P1077" i="4" s="1"/>
  <c r="AH1100" i="4"/>
  <c r="AM1100" i="4" s="1"/>
  <c r="U1101" i="4"/>
  <c r="AH1101" i="4"/>
  <c r="K1117" i="4"/>
  <c r="K1124" i="4" s="1"/>
  <c r="Y1124" i="4"/>
  <c r="N1077" i="4"/>
  <c r="N1100" i="4"/>
  <c r="E1100" i="4"/>
  <c r="N1101" i="4"/>
  <c r="E1101" i="4"/>
  <c r="AS1078" i="4"/>
  <c r="BA1078" i="4"/>
  <c r="P1147" i="4"/>
  <c r="S1158" i="4"/>
  <c r="AD1158" i="4"/>
  <c r="P1135" i="4"/>
  <c r="AH1146" i="4"/>
  <c r="AM1146" i="4" s="1"/>
  <c r="AM1147" i="4" s="1"/>
  <c r="D1160" i="4"/>
  <c r="D1204" i="4" s="1"/>
  <c r="J1160" i="4"/>
  <c r="J1204" i="4" s="1"/>
  <c r="AW1203" i="4"/>
  <c r="AY1202" i="4"/>
  <c r="U1246" i="4"/>
  <c r="T1247" i="4"/>
  <c r="AH1247" i="4"/>
  <c r="T1274" i="4"/>
  <c r="T1228" i="4"/>
  <c r="AE1274" i="4"/>
  <c r="AE1228" i="4"/>
  <c r="W1141" i="4"/>
  <c r="W1143" i="4" s="1"/>
  <c r="K1203" i="4"/>
  <c r="B1204" i="4"/>
  <c r="E1143" i="4"/>
  <c r="E1160" i="4" s="1"/>
  <c r="AO1138" i="4"/>
  <c r="Z1158" i="4"/>
  <c r="F1160" i="4"/>
  <c r="F1081" i="4" s="1"/>
  <c r="L1160" i="4"/>
  <c r="L1081" i="4" s="1"/>
  <c r="W1203" i="4"/>
  <c r="AD1203" i="4"/>
  <c r="AS1203" i="4"/>
  <c r="H1230" i="4"/>
  <c r="AE1247" i="4"/>
  <c r="Y1274" i="4"/>
  <c r="Y1228" i="4"/>
  <c r="L1230" i="4"/>
  <c r="U1244" i="4"/>
  <c r="AF1244" i="4"/>
  <c r="B1246" i="4"/>
  <c r="B1247" i="4" s="1"/>
  <c r="H1247" i="4" s="1"/>
  <c r="Y1246" i="4"/>
  <c r="P1264" i="4"/>
  <c r="P1268" i="4" s="1"/>
  <c r="Z1264" i="4"/>
  <c r="Z1268" i="4" s="1"/>
  <c r="Z1274" i="4" s="1"/>
  <c r="AO1254" i="4"/>
  <c r="S1287" i="4"/>
  <c r="AD1287" i="4"/>
  <c r="AH1287" i="4"/>
  <c r="N1298" i="4"/>
  <c r="P1298" i="4"/>
  <c r="AH1293" i="4"/>
  <c r="AC1303" i="4"/>
  <c r="AD1300" i="4"/>
  <c r="AD1303" i="4" s="1"/>
  <c r="B1311" i="4"/>
  <c r="B1232" i="4" s="1"/>
  <c r="B1234" i="4" s="1"/>
  <c r="B1236" i="4" s="1"/>
  <c r="B1237" i="4" s="1"/>
  <c r="L1311" i="4"/>
  <c r="L1232" i="4" s="1"/>
  <c r="V1311" i="4"/>
  <c r="V1342" i="4" s="1"/>
  <c r="E1290" i="4"/>
  <c r="E1298" i="4" s="1"/>
  <c r="E1311" i="4" s="1"/>
  <c r="D1298" i="4"/>
  <c r="D1311" i="4" s="1"/>
  <c r="D1342" i="4" s="1"/>
  <c r="AH1297" i="4"/>
  <c r="U1297" i="4"/>
  <c r="Y1311" i="4"/>
  <c r="Y1232" i="4" s="1"/>
  <c r="U1254" i="4"/>
  <c r="AF1264" i="4"/>
  <c r="AF1268" i="4" s="1"/>
  <c r="AF1274" i="4" s="1"/>
  <c r="W1287" i="4"/>
  <c r="H1298" i="4"/>
  <c r="AC1298" i="4"/>
  <c r="AD1290" i="4"/>
  <c r="AD1298" i="4" s="1"/>
  <c r="U1293" i="4"/>
  <c r="W1303" i="4"/>
  <c r="F1311" i="4"/>
  <c r="F1232" i="4" s="1"/>
  <c r="R1311" i="4"/>
  <c r="R1342" i="4" s="1"/>
  <c r="AE1311" i="4"/>
  <c r="AE1232" i="4" s="1"/>
  <c r="W1264" i="4"/>
  <c r="W1268" i="4" s="1"/>
  <c r="W1274" i="4" s="1"/>
  <c r="U1259" i="4"/>
  <c r="Z1287" i="4"/>
  <c r="U1280" i="4"/>
  <c r="U1287" i="4" s="1"/>
  <c r="AH1295" i="4"/>
  <c r="U1295" i="4"/>
  <c r="Z1303" i="4"/>
  <c r="J1311" i="4"/>
  <c r="J1342" i="4" s="1"/>
  <c r="T1311" i="4"/>
  <c r="T1232" i="4" s="1"/>
  <c r="AD1307" i="4"/>
  <c r="AD1310" i="4" s="1"/>
  <c r="Z1340" i="4"/>
  <c r="AF1340" i="4"/>
  <c r="AF1373" i="4"/>
  <c r="AM1368" i="4" s="1"/>
  <c r="AM1373" i="4" s="1"/>
  <c r="F1373" i="4"/>
  <c r="H1373" i="4" s="1"/>
  <c r="D1395" i="4"/>
  <c r="D1400" i="4" s="1"/>
  <c r="H1359" i="4"/>
  <c r="AF1372" i="4"/>
  <c r="K1383" i="4"/>
  <c r="K1395" i="4" s="1"/>
  <c r="K1400" i="4" s="1"/>
  <c r="W1383" i="4"/>
  <c r="AH1383" i="4"/>
  <c r="AO1378" i="4"/>
  <c r="Z1394" i="4"/>
  <c r="T1400" i="4"/>
  <c r="T1354" i="4"/>
  <c r="AH1300" i="4"/>
  <c r="AM1300" i="4" s="1"/>
  <c r="AM1303" i="4" s="1"/>
  <c r="W1340" i="4"/>
  <c r="N1355" i="4"/>
  <c r="Z1359" i="4"/>
  <c r="U1373" i="4"/>
  <c r="N1383" i="4"/>
  <c r="N1395" i="4" s="1"/>
  <c r="N1400" i="4" s="1"/>
  <c r="S1394" i="4"/>
  <c r="S1395" i="4" s="1"/>
  <c r="S1400" i="4" s="1"/>
  <c r="J1395" i="4"/>
  <c r="J1400" i="4" s="1"/>
  <c r="Y1354" i="4"/>
  <c r="AH1475" i="4"/>
  <c r="AD1387" i="4"/>
  <c r="AD1394" i="4" s="1"/>
  <c r="AO1393" i="4"/>
  <c r="Z1472" i="4"/>
  <c r="F1473" i="4"/>
  <c r="F1475" i="4" s="1"/>
  <c r="L1473" i="4"/>
  <c r="L1475" i="4" s="1"/>
  <c r="U1393" i="4"/>
  <c r="U1394" i="4" s="1"/>
  <c r="AO1404" i="4"/>
  <c r="AF1472" i="4"/>
  <c r="AQ1463" i="4"/>
  <c r="D1473" i="4"/>
  <c r="D1475" i="4" s="1"/>
  <c r="D1478" i="4" s="1"/>
  <c r="J1473" i="4"/>
  <c r="J1475" i="4" s="1"/>
  <c r="J1478" i="4" s="1"/>
  <c r="W1472" i="4"/>
  <c r="U1463" i="4"/>
  <c r="U1472" i="4" s="1"/>
  <c r="AU198" i="6" l="1"/>
  <c r="AU199" i="6" s="1"/>
  <c r="AS217" i="6"/>
  <c r="L87" i="9"/>
  <c r="L90" i="9" s="1"/>
  <c r="AF1160" i="4"/>
  <c r="BE230" i="7"/>
  <c r="BE233" i="7" s="1"/>
  <c r="BC233" i="7"/>
  <c r="H1077" i="4"/>
  <c r="BE93" i="6"/>
  <c r="BE94" i="6" s="1"/>
  <c r="BC94" i="6"/>
  <c r="BE37" i="6"/>
  <c r="BE39" i="6" s="1"/>
  <c r="BC39" i="6"/>
  <c r="AW246" i="6"/>
  <c r="AW249" i="6" s="1"/>
  <c r="BA7" i="6"/>
  <c r="BA9" i="6" s="1"/>
  <c r="BA15" i="6" s="1"/>
  <c r="BA226" i="6"/>
  <c r="BC225" i="6"/>
  <c r="BE215" i="6"/>
  <c r="BE216" i="6" s="1"/>
  <c r="BC216" i="6"/>
  <c r="AY109" i="6"/>
  <c r="AY152" i="6" s="1"/>
  <c r="AY156" i="6" s="1"/>
  <c r="BA74" i="5"/>
  <c r="BA91" i="1" s="1"/>
  <c r="BA90" i="1"/>
  <c r="BE1056" i="5"/>
  <c r="Z11" i="9" s="1"/>
  <c r="AS5" i="5"/>
  <c r="AS4" i="8"/>
  <c r="AS15" i="8" s="1"/>
  <c r="BE144" i="8"/>
  <c r="BA6" i="8"/>
  <c r="BA8" i="8" s="1"/>
  <c r="BA14" i="8" s="1"/>
  <c r="BA204" i="8" s="1"/>
  <c r="BA205" i="8" s="1"/>
  <c r="BA207" i="8" s="1"/>
  <c r="BC57" i="8"/>
  <c r="BC66" i="8" s="1"/>
  <c r="AQ1142" i="5"/>
  <c r="AQ1095" i="5"/>
  <c r="AQ1096" i="5" s="1"/>
  <c r="AQ1098" i="5" s="1"/>
  <c r="AO646" i="4"/>
  <c r="BE166" i="8"/>
  <c r="BE55" i="8"/>
  <c r="BC144" i="8"/>
  <c r="BE162" i="8"/>
  <c r="BE44" i="8"/>
  <c r="AH1096" i="4"/>
  <c r="AO1091" i="4" s="1"/>
  <c r="AO1096" i="4" s="1"/>
  <c r="AQ1091" i="4" s="1"/>
  <c r="AQ1096" i="4" s="1"/>
  <c r="AS1091" i="4" s="1"/>
  <c r="AS1096" i="4" s="1"/>
  <c r="AU1091" i="4" s="1"/>
  <c r="AU1096" i="4" s="1"/>
  <c r="AW1091" i="4" s="1"/>
  <c r="AW1096" i="4" s="1"/>
  <c r="AY1091" i="4" s="1"/>
  <c r="AY1096" i="4" s="1"/>
  <c r="BA1091" i="4" s="1"/>
  <c r="BA1096" i="4" s="1"/>
  <c r="BC1091" i="4" s="1"/>
  <c r="BC1096" i="4" s="1"/>
  <c r="BE1091" i="4" s="1"/>
  <c r="BE1096" i="4" s="1"/>
  <c r="AM1091" i="4"/>
  <c r="BC174" i="8"/>
  <c r="BC196" i="8" s="1"/>
  <c r="BC205" i="8" s="1"/>
  <c r="BC207" i="8" s="1"/>
  <c r="AS200" i="6"/>
  <c r="AS201" i="6" s="1"/>
  <c r="AS221" i="6"/>
  <c r="AS228" i="6" s="1"/>
  <c r="AS243" i="6" s="1"/>
  <c r="AS250" i="6" s="1"/>
  <c r="AS184" i="7"/>
  <c r="AS185" i="7" s="1"/>
  <c r="AS205" i="7"/>
  <c r="AS212" i="7" s="1"/>
  <c r="AS227" i="7" s="1"/>
  <c r="AS234" i="7" s="1"/>
  <c r="AY356" i="5"/>
  <c r="V8" i="9"/>
  <c r="BA49" i="5"/>
  <c r="M65" i="11"/>
  <c r="AU213" i="6"/>
  <c r="BE1078" i="5"/>
  <c r="Z30" i="9"/>
  <c r="Z33" i="9" s="1"/>
  <c r="BC663" i="5"/>
  <c r="BA675" i="5"/>
  <c r="BA777" i="5" s="1"/>
  <c r="BC672" i="5"/>
  <c r="BE689" i="5"/>
  <c r="BE690" i="5" s="1"/>
  <c r="BC690" i="5"/>
  <c r="BE677" i="5"/>
  <c r="BE681" i="5" s="1"/>
  <c r="BC681" i="5"/>
  <c r="BE683" i="5"/>
  <c r="BE686" i="5" s="1"/>
  <c r="BC686" i="5"/>
  <c r="BE663" i="5"/>
  <c r="BE305" i="5"/>
  <c r="BE334" i="5" s="1"/>
  <c r="BE1054" i="5"/>
  <c r="Z9" i="9" s="1"/>
  <c r="BE66" i="5"/>
  <c r="BC73" i="5"/>
  <c r="BC74" i="5" s="1"/>
  <c r="BC1057" i="5"/>
  <c r="AY204" i="8"/>
  <c r="AY205" i="8" s="1"/>
  <c r="AY207" i="8" s="1"/>
  <c r="AW246" i="8"/>
  <c r="AY243" i="8"/>
  <c r="E15" i="11"/>
  <c r="P14" i="11"/>
  <c r="X14" i="11" s="1"/>
  <c r="N14" i="11"/>
  <c r="V14" i="11" s="1"/>
  <c r="I14" i="11"/>
  <c r="J14" i="11"/>
  <c r="N42" i="11"/>
  <c r="N40" i="11"/>
  <c r="M45" i="11"/>
  <c r="AU198" i="8"/>
  <c r="AU199" i="8" s="1"/>
  <c r="AU213" i="8" s="1"/>
  <c r="AY7" i="6"/>
  <c r="AY9" i="6" s="1"/>
  <c r="AY15" i="6" s="1"/>
  <c r="AY204" i="6" s="1"/>
  <c r="AY174" i="6"/>
  <c r="AY196" i="6" s="1"/>
  <c r="BA174" i="6"/>
  <c r="BA196" i="6" s="1"/>
  <c r="AW205" i="6"/>
  <c r="AW207" i="6" s="1"/>
  <c r="AW16" i="6"/>
  <c r="AY5" i="6" s="1"/>
  <c r="AU182" i="7"/>
  <c r="AU183" i="7" s="1"/>
  <c r="AY10" i="5"/>
  <c r="AD546" i="4"/>
  <c r="AQ1157" i="4"/>
  <c r="H1311" i="4"/>
  <c r="H1342" i="4" s="1"/>
  <c r="P1311" i="4"/>
  <c r="P1232" i="4" s="1"/>
  <c r="P1234" i="4" s="1"/>
  <c r="S1311" i="4"/>
  <c r="S1342" i="4" s="1"/>
  <c r="AF1079" i="4"/>
  <c r="AH600" i="4"/>
  <c r="N1228" i="4"/>
  <c r="AO1043" i="4"/>
  <c r="AO488" i="4"/>
  <c r="AD336" i="4"/>
  <c r="N103" i="4"/>
  <c r="K103" i="4"/>
  <c r="AO1287" i="4"/>
  <c r="AO1472" i="4"/>
  <c r="AO1473" i="4" s="1"/>
  <c r="H1395" i="4"/>
  <c r="H1400" i="4" s="1"/>
  <c r="F1342" i="4"/>
  <c r="N302" i="4"/>
  <c r="W103" i="4"/>
  <c r="BE117" i="4"/>
  <c r="BE541" i="4" s="1"/>
  <c r="BC541" i="4"/>
  <c r="AQ335" i="4"/>
  <c r="P222" i="4"/>
  <c r="W1395" i="4"/>
  <c r="W1400" i="4" s="1"/>
  <c r="E1342" i="4"/>
  <c r="U125" i="4"/>
  <c r="W302" i="4"/>
  <c r="W336" i="4"/>
  <c r="U493" i="4"/>
  <c r="BE512" i="4"/>
  <c r="BE1163" i="4" s="1"/>
  <c r="BC1163" i="4"/>
  <c r="N160" i="4"/>
  <c r="AF78" i="4"/>
  <c r="N336" i="4"/>
  <c r="AH461" i="4"/>
  <c r="Z1083" i="4"/>
  <c r="J461" i="4"/>
  <c r="K600" i="4"/>
  <c r="AF493" i="4"/>
  <c r="H336" i="4"/>
  <c r="AH1394" i="4"/>
  <c r="AH1395" i="4" s="1"/>
  <c r="AM1393" i="4"/>
  <c r="AM1394" i="4" s="1"/>
  <c r="AM1395" i="4" s="1"/>
  <c r="AM1400" i="4" s="1"/>
  <c r="AH519" i="4"/>
  <c r="W160" i="4"/>
  <c r="N222" i="4"/>
  <c r="AM1472" i="4"/>
  <c r="AM1473" i="4" s="1"/>
  <c r="AM1475" i="4" s="1"/>
  <c r="AM1478" i="4" s="1"/>
  <c r="Z160" i="4"/>
  <c r="AF336" i="4"/>
  <c r="AF160" i="4"/>
  <c r="W78" i="4"/>
  <c r="AM513" i="4"/>
  <c r="AM473" i="4"/>
  <c r="AD493" i="4"/>
  <c r="H78" i="4"/>
  <c r="K160" i="4"/>
  <c r="AK836" i="4"/>
  <c r="AK1045" i="4" s="1"/>
  <c r="Z103" i="4"/>
  <c r="E78" i="4"/>
  <c r="AQ1287" i="4"/>
  <c r="H1102" i="4"/>
  <c r="H1117" i="4" s="1"/>
  <c r="H1124" i="4" s="1"/>
  <c r="AO812" i="4"/>
  <c r="S1473" i="4"/>
  <c r="S1475" i="4" s="1"/>
  <c r="S1478" i="4" s="1"/>
  <c r="U1093" i="4"/>
  <c r="N519" i="4"/>
  <c r="AM1135" i="4"/>
  <c r="AM460" i="4"/>
  <c r="AM118" i="4"/>
  <c r="AO473" i="4"/>
  <c r="AD667" i="4"/>
  <c r="AQ513" i="4"/>
  <c r="E546" i="4"/>
  <c r="P667" i="4"/>
  <c r="Z600" i="4"/>
  <c r="N493" i="4"/>
  <c r="E103" i="4"/>
  <c r="AD125" i="4"/>
  <c r="AM488" i="4"/>
  <c r="W1473" i="4"/>
  <c r="W1475" i="4" s="1"/>
  <c r="W1478" i="4" s="1"/>
  <c r="AS1287" i="4"/>
  <c r="AU1287" i="4"/>
  <c r="AF1095" i="4"/>
  <c r="Z834" i="4"/>
  <c r="AF781" i="4"/>
  <c r="B781" i="4"/>
  <c r="W600" i="4"/>
  <c r="AO513" i="4"/>
  <c r="AO375" i="4"/>
  <c r="N667" i="4"/>
  <c r="AF834" i="4"/>
  <c r="AD302" i="4"/>
  <c r="B338" i="4"/>
  <c r="B13" i="4" s="1"/>
  <c r="B15" i="4" s="1"/>
  <c r="Z78" i="4"/>
  <c r="W1311" i="4"/>
  <c r="W1342" i="4" s="1"/>
  <c r="AM336" i="4"/>
  <c r="Z781" i="4"/>
  <c r="S336" i="4"/>
  <c r="W222" i="4"/>
  <c r="S667" i="4"/>
  <c r="AM53" i="4"/>
  <c r="AH1230" i="4"/>
  <c r="AM1228" i="4"/>
  <c r="AM1230" i="4" s="1"/>
  <c r="P1160" i="4"/>
  <c r="P1081" i="4" s="1"/>
  <c r="P1083" i="4" s="1"/>
  <c r="AO1101" i="4"/>
  <c r="AQ1101" i="4" s="1"/>
  <c r="AS1101" i="4" s="1"/>
  <c r="AU1101" i="4" s="1"/>
  <c r="AW1101" i="4" s="1"/>
  <c r="AY1101" i="4" s="1"/>
  <c r="BA1101" i="4" s="1"/>
  <c r="BC1101" i="4" s="1"/>
  <c r="BE1101" i="4" s="1"/>
  <c r="AM1101" i="4"/>
  <c r="AM1102" i="4" s="1"/>
  <c r="AO1295" i="4"/>
  <c r="AQ1295" i="4" s="1"/>
  <c r="AS1295" i="4" s="1"/>
  <c r="AU1295" i="4" s="1"/>
  <c r="AW1295" i="4" s="1"/>
  <c r="AY1295" i="4" s="1"/>
  <c r="BA1295" i="4" s="1"/>
  <c r="BC1295" i="4" s="1"/>
  <c r="BE1295" i="4" s="1"/>
  <c r="AM1295" i="4"/>
  <c r="AQ375" i="4"/>
  <c r="N600" i="4"/>
  <c r="AO1149" i="4"/>
  <c r="AQ1149" i="4" s="1"/>
  <c r="AS1149" i="4" s="1"/>
  <c r="AU1149" i="4" s="1"/>
  <c r="AW1149" i="4" s="1"/>
  <c r="AY1149" i="4" s="1"/>
  <c r="BA1149" i="4" s="1"/>
  <c r="BC1149" i="4" s="1"/>
  <c r="BE1149" i="4" s="1"/>
  <c r="AM1149" i="4"/>
  <c r="E222" i="4"/>
  <c r="N78" i="4"/>
  <c r="AM1287" i="4"/>
  <c r="AM618" i="4"/>
  <c r="AM667" i="4" s="1"/>
  <c r="AM503" i="4"/>
  <c r="AM519" i="4" s="1"/>
  <c r="AO1141" i="4"/>
  <c r="AQ1141" i="4" s="1"/>
  <c r="AS1141" i="4" s="1"/>
  <c r="AU1141" i="4" s="1"/>
  <c r="AW1141" i="4" s="1"/>
  <c r="AY1141" i="4" s="1"/>
  <c r="BA1141" i="4" s="1"/>
  <c r="BC1141" i="4" s="1"/>
  <c r="BE1141" i="4" s="1"/>
  <c r="AM1141" i="4"/>
  <c r="AM1143" i="4" s="1"/>
  <c r="AO1116" i="4"/>
  <c r="AQ1116" i="4" s="1"/>
  <c r="AS1116" i="4" s="1"/>
  <c r="AU1116" i="4" s="1"/>
  <c r="AW1116" i="4" s="1"/>
  <c r="AY1116" i="4" s="1"/>
  <c r="BA1116" i="4" s="1"/>
  <c r="BC1116" i="4" s="1"/>
  <c r="BE1116" i="4" s="1"/>
  <c r="AM1116" i="4"/>
  <c r="AM426" i="4"/>
  <c r="AH1274" i="4"/>
  <c r="F1204" i="4"/>
  <c r="AQ1135" i="4"/>
  <c r="AS1135" i="4"/>
  <c r="AO833" i="4"/>
  <c r="AY833" i="4"/>
  <c r="AU833" i="4"/>
  <c r="AQ833" i="4"/>
  <c r="AO744" i="4"/>
  <c r="AQ744" i="4" s="1"/>
  <c r="AS744" i="4" s="1"/>
  <c r="AU744" i="4" s="1"/>
  <c r="AW744" i="4" s="1"/>
  <c r="AY744" i="4" s="1"/>
  <c r="BA744" i="4" s="1"/>
  <c r="BC744" i="4" s="1"/>
  <c r="BE744" i="4" s="1"/>
  <c r="AM744" i="4"/>
  <c r="AM747" i="4" s="1"/>
  <c r="AM781" i="4" s="1"/>
  <c r="H357" i="4"/>
  <c r="AS375" i="4"/>
  <c r="AU101" i="4"/>
  <c r="AU102" i="4" s="1"/>
  <c r="B1354" i="4"/>
  <c r="B1356" i="4" s="1"/>
  <c r="B1362" i="4" s="1"/>
  <c r="L1354" i="4"/>
  <c r="L1356" i="4" s="1"/>
  <c r="AE1400" i="4"/>
  <c r="AO1297" i="4"/>
  <c r="AQ1297" i="4" s="1"/>
  <c r="AS1297" i="4" s="1"/>
  <c r="AU1297" i="4" s="1"/>
  <c r="AW1297" i="4" s="1"/>
  <c r="AY1297" i="4" s="1"/>
  <c r="BA1297" i="4" s="1"/>
  <c r="BC1297" i="4" s="1"/>
  <c r="BE1297" i="4" s="1"/>
  <c r="AM1297" i="4"/>
  <c r="AC1311" i="4"/>
  <c r="AC1342" i="4" s="1"/>
  <c r="E1204" i="4"/>
  <c r="AO1242" i="4"/>
  <c r="AM1247" i="4"/>
  <c r="AS618" i="4"/>
  <c r="Z667" i="4"/>
  <c r="U618" i="4"/>
  <c r="U667" i="4" s="1"/>
  <c r="AO618" i="4"/>
  <c r="AQ584" i="4"/>
  <c r="K519" i="4"/>
  <c r="U53" i="4"/>
  <c r="AS108" i="4"/>
  <c r="N1160" i="4"/>
  <c r="N1204" i="4" s="1"/>
  <c r="AO584" i="4"/>
  <c r="AF302" i="4"/>
  <c r="E302" i="4"/>
  <c r="AO121" i="4"/>
  <c r="AM121" i="4"/>
  <c r="AM122" i="4" s="1"/>
  <c r="AO71" i="4"/>
  <c r="AQ71" i="4" s="1"/>
  <c r="AS71" i="4" s="1"/>
  <c r="AU71" i="4" s="1"/>
  <c r="AW71" i="4" s="1"/>
  <c r="AY71" i="4" s="1"/>
  <c r="BA71" i="4" s="1"/>
  <c r="BC71" i="4" s="1"/>
  <c r="BE71" i="4" s="1"/>
  <c r="AM71" i="4"/>
  <c r="AM77" i="4" s="1"/>
  <c r="AM78" i="4" s="1"/>
  <c r="S519" i="4"/>
  <c r="S160" i="4"/>
  <c r="P103" i="4"/>
  <c r="AF1395" i="4"/>
  <c r="AF1400" i="4" s="1"/>
  <c r="AL1234" i="4"/>
  <c r="AL1236" i="4" s="1"/>
  <c r="AM539" i="4"/>
  <c r="AM546" i="4" s="1"/>
  <c r="AM1264" i="4"/>
  <c r="AM1268" i="4" s="1"/>
  <c r="AM1274" i="4" s="1"/>
  <c r="AM812" i="4"/>
  <c r="AM834" i="4" s="1"/>
  <c r="AO1293" i="4"/>
  <c r="AQ1293" i="4" s="1"/>
  <c r="AS1293" i="4" s="1"/>
  <c r="AU1293" i="4" s="1"/>
  <c r="AW1293" i="4" s="1"/>
  <c r="AY1293" i="4" s="1"/>
  <c r="BA1293" i="4" s="1"/>
  <c r="BC1293" i="4" s="1"/>
  <c r="BE1293" i="4" s="1"/>
  <c r="AM1293" i="4"/>
  <c r="U1247" i="4"/>
  <c r="U519" i="4"/>
  <c r="D461" i="4"/>
  <c r="D836" i="4" s="1"/>
  <c r="AO335" i="4"/>
  <c r="E1473" i="4"/>
  <c r="E667" i="4"/>
  <c r="H493" i="4"/>
  <c r="AO150" i="4"/>
  <c r="AQ150" i="4" s="1"/>
  <c r="AS150" i="4" s="1"/>
  <c r="AU150" i="4" s="1"/>
  <c r="AW150" i="4" s="1"/>
  <c r="AY150" i="4" s="1"/>
  <c r="BA150" i="4" s="1"/>
  <c r="BC150" i="4" s="1"/>
  <c r="BE150" i="4" s="1"/>
  <c r="AM150" i="4"/>
  <c r="AM155" i="4" s="1"/>
  <c r="AM160" i="4" s="1"/>
  <c r="BG22" i="4"/>
  <c r="AO481" i="4"/>
  <c r="AQ481" i="4" s="1"/>
  <c r="AS481" i="4" s="1"/>
  <c r="AU481" i="4" s="1"/>
  <c r="AM481" i="4"/>
  <c r="AM482" i="4" s="1"/>
  <c r="H222" i="4"/>
  <c r="AD160" i="4"/>
  <c r="AD78" i="4"/>
  <c r="BT22" i="4"/>
  <c r="Z222" i="4"/>
  <c r="AM375" i="4"/>
  <c r="AM584" i="4"/>
  <c r="AM562" i="4"/>
  <c r="AL1045" i="4"/>
  <c r="AL17" i="4"/>
  <c r="AK338" i="4"/>
  <c r="AK359" i="4" s="1"/>
  <c r="AL13" i="4"/>
  <c r="K1311" i="4"/>
  <c r="K1342" i="4" s="1"/>
  <c r="P600" i="4"/>
  <c r="K302" i="4"/>
  <c r="W519" i="4"/>
  <c r="F1400" i="4"/>
  <c r="F1354" i="4"/>
  <c r="F1356" i="4" s="1"/>
  <c r="E834" i="4"/>
  <c r="H667" i="4"/>
  <c r="AF667" i="4"/>
  <c r="Z519" i="4"/>
  <c r="U77" i="4"/>
  <c r="U78" i="4" s="1"/>
  <c r="AO222" i="4"/>
  <c r="B33" i="4"/>
  <c r="H33" i="4" s="1"/>
  <c r="AF1081" i="4"/>
  <c r="H1473" i="4"/>
  <c r="H1475" i="4" s="1"/>
  <c r="H1478" i="4" s="1"/>
  <c r="E1395" i="4"/>
  <c r="E1400" i="4" s="1"/>
  <c r="K1473" i="4"/>
  <c r="K1475" i="4" s="1"/>
  <c r="K1478" i="4" s="1"/>
  <c r="AD1473" i="4"/>
  <c r="AD1475" i="4" s="1"/>
  <c r="AD1478" i="4" s="1"/>
  <c r="T1358" i="4"/>
  <c r="T1360" i="4" s="1"/>
  <c r="S781" i="4"/>
  <c r="E600" i="4"/>
  <c r="AD222" i="4"/>
  <c r="H160" i="4"/>
  <c r="AD103" i="4"/>
  <c r="W1160" i="4"/>
  <c r="W1204" i="4" s="1"/>
  <c r="AE1204" i="4"/>
  <c r="E1102" i="4"/>
  <c r="E1117" i="4" s="1"/>
  <c r="E1124" i="4" s="1"/>
  <c r="K834" i="4"/>
  <c r="P781" i="4"/>
  <c r="AS507" i="4"/>
  <c r="AS513" i="4" s="1"/>
  <c r="AF461" i="4"/>
  <c r="N461" i="4"/>
  <c r="P519" i="4"/>
  <c r="Z493" i="4"/>
  <c r="K546" i="4"/>
  <c r="BN22" i="4"/>
  <c r="AE338" i="4"/>
  <c r="AE359" i="4" s="1"/>
  <c r="V461" i="4"/>
  <c r="V836" i="4" s="1"/>
  <c r="V1045" i="4" s="1"/>
  <c r="U302" i="4"/>
  <c r="AF222" i="4"/>
  <c r="U222" i="4"/>
  <c r="U1083" i="4"/>
  <c r="T1085" i="4"/>
  <c r="T1086" i="4" s="1"/>
  <c r="AF600" i="4"/>
  <c r="S600" i="4"/>
  <c r="Z336" i="4"/>
  <c r="AC338" i="4"/>
  <c r="AC359" i="4" s="1"/>
  <c r="U1473" i="4"/>
  <c r="U1475" i="4" s="1"/>
  <c r="U1478" i="4" s="1"/>
  <c r="Z1473" i="4"/>
  <c r="Z1475" i="4" s="1"/>
  <c r="Z1478" i="4" s="1"/>
  <c r="AF1204" i="4"/>
  <c r="W781" i="4"/>
  <c r="H781" i="4"/>
  <c r="H519" i="4"/>
  <c r="S493" i="4"/>
  <c r="AO302" i="4"/>
  <c r="S78" i="4"/>
  <c r="K78" i="4"/>
  <c r="N1473" i="4"/>
  <c r="N1475" i="4" s="1"/>
  <c r="N1478" i="4" s="1"/>
  <c r="AK1473" i="4"/>
  <c r="AK1475" i="4" s="1"/>
  <c r="AK1478" i="4" s="1"/>
  <c r="AF1311" i="4"/>
  <c r="AF1342" i="4" s="1"/>
  <c r="K1160" i="4"/>
  <c r="K1204" i="4" s="1"/>
  <c r="AD781" i="4"/>
  <c r="K781" i="4"/>
  <c r="K667" i="4"/>
  <c r="H600" i="4"/>
  <c r="N781" i="4"/>
  <c r="AE836" i="4"/>
  <c r="AE17" i="4" s="1"/>
  <c r="AE19" i="4" s="1"/>
  <c r="H1160" i="4"/>
  <c r="H1204" i="4" s="1"/>
  <c r="U747" i="4"/>
  <c r="U781" i="4" s="1"/>
  <c r="AH493" i="4"/>
  <c r="K461" i="4"/>
  <c r="U1395" i="4"/>
  <c r="U1400" i="4" s="1"/>
  <c r="L1342" i="4"/>
  <c r="N1311" i="4"/>
  <c r="N1342" i="4" s="1"/>
  <c r="Y1204" i="4"/>
  <c r="AH1143" i="4"/>
  <c r="S1160" i="4"/>
  <c r="S1204" i="4" s="1"/>
  <c r="N1079" i="4"/>
  <c r="K493" i="4"/>
  <c r="W546" i="4"/>
  <c r="E336" i="4"/>
  <c r="N65" i="4"/>
  <c r="F338" i="4"/>
  <c r="F13" i="4" s="1"/>
  <c r="D338" i="4"/>
  <c r="D359" i="4" s="1"/>
  <c r="BL22" i="4"/>
  <c r="Y1478" i="4"/>
  <c r="Y1358" i="4"/>
  <c r="N834" i="4"/>
  <c r="AD1395" i="4"/>
  <c r="AD1400" i="4" s="1"/>
  <c r="Z1395" i="4"/>
  <c r="Z1400" i="4" s="1"/>
  <c r="AF1473" i="4"/>
  <c r="AF1475" i="4" s="1"/>
  <c r="AF1478" i="4" s="1"/>
  <c r="E1475" i="4"/>
  <c r="E1478" i="4" s="1"/>
  <c r="H1246" i="4"/>
  <c r="T1204" i="4"/>
  <c r="Z1081" i="4"/>
  <c r="H834" i="4"/>
  <c r="P461" i="4"/>
  <c r="U539" i="4"/>
  <c r="U546" i="4" s="1"/>
  <c r="E519" i="4"/>
  <c r="E493" i="4"/>
  <c r="P160" i="4"/>
  <c r="AO426" i="4"/>
  <c r="W461" i="4"/>
  <c r="K222" i="4"/>
  <c r="AH122" i="4"/>
  <c r="AH125" i="4" s="1"/>
  <c r="L338" i="4"/>
  <c r="L13" i="4" s="1"/>
  <c r="AL1478" i="4"/>
  <c r="AL1358" i="4"/>
  <c r="AE1478" i="4"/>
  <c r="AE1358" i="4"/>
  <c r="H1095" i="4"/>
  <c r="N1095" i="4" s="1"/>
  <c r="F1096" i="4"/>
  <c r="H1096" i="4" s="1"/>
  <c r="H103" i="4"/>
  <c r="B1124" i="4"/>
  <c r="AD1160" i="4"/>
  <c r="AD1204" i="4" s="1"/>
  <c r="B1079" i="4"/>
  <c r="B1085" i="4" s="1"/>
  <c r="B1086" i="4" s="1"/>
  <c r="AF1096" i="4"/>
  <c r="AU620" i="4"/>
  <c r="AU623" i="4" s="1"/>
  <c r="Z539" i="4"/>
  <c r="Z546" i="4" s="1"/>
  <c r="W493" i="4"/>
  <c r="AQ108" i="4"/>
  <c r="AS1157" i="4"/>
  <c r="AQ1158" i="4"/>
  <c r="BP22" i="4"/>
  <c r="AS492" i="4"/>
  <c r="AU490" i="4"/>
  <c r="AL1400" i="4"/>
  <c r="AL1354" i="4"/>
  <c r="AD519" i="4"/>
  <c r="U1298" i="4"/>
  <c r="U1311" i="4" s="1"/>
  <c r="U1342" i="4" s="1"/>
  <c r="Z1160" i="4"/>
  <c r="Z1204" i="4" s="1"/>
  <c r="L1204" i="4"/>
  <c r="U1160" i="4"/>
  <c r="U1204" i="4" s="1"/>
  <c r="L836" i="4"/>
  <c r="L17" i="4" s="1"/>
  <c r="L19" i="4" s="1"/>
  <c r="AH667" i="4"/>
  <c r="S539" i="4"/>
  <c r="S546" i="4" s="1"/>
  <c r="AF519" i="4"/>
  <c r="AD461" i="4"/>
  <c r="AH160" i="4"/>
  <c r="AO53" i="4"/>
  <c r="Z125" i="4"/>
  <c r="BA786" i="4"/>
  <c r="BC784" i="4"/>
  <c r="AO553" i="4"/>
  <c r="AQ549" i="4"/>
  <c r="BI22" i="4"/>
  <c r="V338" i="4"/>
  <c r="V359" i="4" s="1"/>
  <c r="Y1342" i="4"/>
  <c r="R836" i="4"/>
  <c r="R1045" i="4" s="1"/>
  <c r="U336" i="4"/>
  <c r="B836" i="4"/>
  <c r="B1045" i="4" s="1"/>
  <c r="Y836" i="4"/>
  <c r="Y17" i="4" s="1"/>
  <c r="H461" i="4"/>
  <c r="T836" i="4"/>
  <c r="T17" i="4" s="1"/>
  <c r="Z1311" i="4"/>
  <c r="Z1342" i="4" s="1"/>
  <c r="U834" i="4"/>
  <c r="T338" i="4"/>
  <c r="T13" i="4" s="1"/>
  <c r="AO667" i="4"/>
  <c r="U160" i="4"/>
  <c r="R338" i="4"/>
  <c r="R359" i="4" s="1"/>
  <c r="U461" i="4"/>
  <c r="Y338" i="4"/>
  <c r="Y13" i="4" s="1"/>
  <c r="U600" i="4"/>
  <c r="W667" i="4"/>
  <c r="AS1463" i="4"/>
  <c r="AQ1472" i="4"/>
  <c r="AQ1473" i="4" s="1"/>
  <c r="AO1394" i="4"/>
  <c r="AQ1393" i="4"/>
  <c r="AH1303" i="4"/>
  <c r="AO1300" i="4"/>
  <c r="AO1383" i="4"/>
  <c r="AQ1378" i="4"/>
  <c r="N1373" i="4"/>
  <c r="B1342" i="4"/>
  <c r="AE1342" i="4"/>
  <c r="H1232" i="4"/>
  <c r="F1234" i="4"/>
  <c r="U1264" i="4"/>
  <c r="U1268" i="4" s="1"/>
  <c r="U1274" i="4" s="1"/>
  <c r="AH1298" i="4"/>
  <c r="Y1247" i="4"/>
  <c r="Z1247" i="4" s="1"/>
  <c r="Z1246" i="4"/>
  <c r="N1230" i="4"/>
  <c r="AF1246" i="4"/>
  <c r="N1081" i="4"/>
  <c r="L1083" i="4"/>
  <c r="AQ1138" i="4"/>
  <c r="BA1202" i="4"/>
  <c r="AY1203" i="4"/>
  <c r="P1204" i="4"/>
  <c r="N1102" i="4"/>
  <c r="N1117" i="4" s="1"/>
  <c r="N1124" i="4" s="1"/>
  <c r="U1102" i="4"/>
  <c r="U1117" i="4" s="1"/>
  <c r="U1124" i="4" s="1"/>
  <c r="Y1085" i="4"/>
  <c r="Z1079" i="4"/>
  <c r="AQ1043" i="4"/>
  <c r="AS853" i="4"/>
  <c r="AH834" i="4"/>
  <c r="AF1083" i="4"/>
  <c r="J836" i="4"/>
  <c r="S834" i="4"/>
  <c r="AO562" i="4"/>
  <c r="AO679" i="4"/>
  <c r="AH683" i="4"/>
  <c r="AU618" i="4"/>
  <c r="AO539" i="4"/>
  <c r="E461" i="4"/>
  <c r="AQ473" i="4"/>
  <c r="AU599" i="4"/>
  <c r="AQ488" i="4"/>
  <c r="AS485" i="4"/>
  <c r="AS64" i="4"/>
  <c r="AU57" i="4"/>
  <c r="AS176" i="4"/>
  <c r="AU175" i="4"/>
  <c r="AQ155" i="4"/>
  <c r="P1274" i="4"/>
  <c r="P1228" i="4"/>
  <c r="P1230" i="4" s="1"/>
  <c r="AO1146" i="4"/>
  <c r="AH1147" i="4"/>
  <c r="L1478" i="4"/>
  <c r="L1358" i="4"/>
  <c r="Y1356" i="4"/>
  <c r="Z1354" i="4"/>
  <c r="AO1264" i="4"/>
  <c r="AO1268" i="4" s="1"/>
  <c r="AQ1254" i="4"/>
  <c r="N1096" i="4"/>
  <c r="AF18" i="4"/>
  <c r="W834" i="4"/>
  <c r="AU727" i="4"/>
  <c r="AU788" i="4"/>
  <c r="AS812" i="4"/>
  <c r="E781" i="4"/>
  <c r="AH747" i="4"/>
  <c r="AU636" i="4"/>
  <c r="AW632" i="4"/>
  <c r="AC836" i="4"/>
  <c r="AC1045" i="4" s="1"/>
  <c r="AW618" i="4"/>
  <c r="AY603" i="4"/>
  <c r="AS562" i="4"/>
  <c r="AS430" i="4"/>
  <c r="AQ460" i="4"/>
  <c r="AQ618" i="4"/>
  <c r="AO460" i="4"/>
  <c r="AS426" i="4"/>
  <c r="AU380" i="4"/>
  <c r="AQ233" i="4"/>
  <c r="AS228" i="4"/>
  <c r="AU94" i="4"/>
  <c r="AS97" i="4"/>
  <c r="AU323" i="4"/>
  <c r="AW321" i="4"/>
  <c r="AS171" i="4"/>
  <c r="AQ172" i="4"/>
  <c r="AQ144" i="4"/>
  <c r="AS138" i="4"/>
  <c r="AH77" i="4"/>
  <c r="AH78" i="4" s="1"/>
  <c r="AO70" i="4"/>
  <c r="J222" i="4"/>
  <c r="J338" i="4" s="1"/>
  <c r="AS155" i="4"/>
  <c r="AU146" i="4"/>
  <c r="U103" i="4"/>
  <c r="AO1406" i="4"/>
  <c r="AQ1404" i="4"/>
  <c r="AW1287" i="4"/>
  <c r="AY1278" i="4"/>
  <c r="T1356" i="4"/>
  <c r="AE1356" i="4"/>
  <c r="AF1354" i="4"/>
  <c r="T1234" i="4"/>
  <c r="T1342" i="4"/>
  <c r="AU1290" i="4"/>
  <c r="Z1232" i="4"/>
  <c r="Y1234" i="4"/>
  <c r="N1232" i="4"/>
  <c r="L1234" i="4"/>
  <c r="F1083" i="4"/>
  <c r="H1083" i="4" s="1"/>
  <c r="H1081" i="4"/>
  <c r="T1230" i="4"/>
  <c r="AW1082" i="4"/>
  <c r="P1124" i="4"/>
  <c r="P1478" i="4"/>
  <c r="P1358" i="4"/>
  <c r="F1478" i="4"/>
  <c r="F1358" i="4"/>
  <c r="AH1478" i="4"/>
  <c r="AH1358" i="4"/>
  <c r="AH1360" i="4" s="1"/>
  <c r="P1400" i="4"/>
  <c r="P1354" i="4"/>
  <c r="P1356" i="4" s="1"/>
  <c r="AD1311" i="4"/>
  <c r="AD1342" i="4" s="1"/>
  <c r="AE1234" i="4"/>
  <c r="AF1232" i="4"/>
  <c r="Z1228" i="4"/>
  <c r="Y1230" i="4"/>
  <c r="AO1247" i="4"/>
  <c r="AH1102" i="4"/>
  <c r="AH1117" i="4" s="1"/>
  <c r="AO1100" i="4"/>
  <c r="U1081" i="4"/>
  <c r="F836" i="4"/>
  <c r="AQ812" i="4"/>
  <c r="AQ742" i="4"/>
  <c r="AO747" i="4"/>
  <c r="AQ562" i="4"/>
  <c r="AQ539" i="4"/>
  <c r="AS524" i="4"/>
  <c r="AS643" i="4"/>
  <c r="AQ646" i="4"/>
  <c r="AS584" i="4"/>
  <c r="AU564" i="4"/>
  <c r="AO545" i="4"/>
  <c r="AQ543" i="4"/>
  <c r="AQ518" i="4"/>
  <c r="AS515" i="4"/>
  <c r="Z461" i="4"/>
  <c r="AO519" i="4"/>
  <c r="AQ426" i="4"/>
  <c r="AQ221" i="4"/>
  <c r="AS209" i="4"/>
  <c r="AW311" i="4"/>
  <c r="AU317" i="4"/>
  <c r="AQ167" i="4"/>
  <c r="AS163" i="4"/>
  <c r="AQ112" i="4"/>
  <c r="AO118" i="4"/>
  <c r="AS301" i="4"/>
  <c r="AS302" i="4" s="1"/>
  <c r="AU290" i="4"/>
  <c r="AU159" i="4"/>
  <c r="AQ64" i="4"/>
  <c r="AO144" i="4"/>
  <c r="AS323" i="4"/>
  <c r="Z33" i="4"/>
  <c r="AF1247" i="4"/>
  <c r="AS1082" i="4"/>
  <c r="AE1230" i="4"/>
  <c r="AF1228" i="4"/>
  <c r="P1079" i="4"/>
  <c r="U1077" i="4"/>
  <c r="T1096" i="4"/>
  <c r="U1095" i="4"/>
  <c r="AU1135" i="4"/>
  <c r="AW1128" i="4"/>
  <c r="H1079" i="4"/>
  <c r="AO18" i="4"/>
  <c r="BE821" i="4"/>
  <c r="BE833" i="4" s="1"/>
  <c r="BC833" i="4"/>
  <c r="AO819" i="4"/>
  <c r="AQ816" i="4"/>
  <c r="AO674" i="4"/>
  <c r="AH677" i="4"/>
  <c r="AD834" i="4"/>
  <c r="AO685" i="4"/>
  <c r="AH688" i="4"/>
  <c r="AQ651" i="4"/>
  <c r="AS649" i="4"/>
  <c r="AS664" i="4"/>
  <c r="AU655" i="4"/>
  <c r="AW556" i="4"/>
  <c r="AU562" i="4"/>
  <c r="AQ691" i="4"/>
  <c r="AO692" i="4"/>
  <c r="AY476" i="4"/>
  <c r="AS496" i="4"/>
  <c r="AQ503" i="4"/>
  <c r="AS473" i="4"/>
  <c r="AU464" i="4"/>
  <c r="AW364" i="4"/>
  <c r="AU375" i="4"/>
  <c r="AO307" i="4"/>
  <c r="AO336" i="4" s="1"/>
  <c r="AQ305" i="4"/>
  <c r="AS43" i="4"/>
  <c r="AQ53" i="4"/>
  <c r="AS335" i="4"/>
  <c r="AU329" i="4"/>
  <c r="AS183" i="4"/>
  <c r="AQ189" i="4"/>
  <c r="AQ91" i="4"/>
  <c r="AQ103" i="4" s="1"/>
  <c r="AS82" i="4"/>
  <c r="AQ133" i="4"/>
  <c r="AO136" i="4"/>
  <c r="AU67" i="4"/>
  <c r="AU108" i="4"/>
  <c r="AW106" i="4"/>
  <c r="AH58" i="1"/>
  <c r="AH56" i="1"/>
  <c r="AW198" i="6" l="1"/>
  <c r="AW199" i="6" s="1"/>
  <c r="AU217" i="6"/>
  <c r="AU218" i="8"/>
  <c r="AU225" i="8" s="1"/>
  <c r="AU240" i="8" s="1"/>
  <c r="AU247" i="8" s="1"/>
  <c r="AY246" i="6"/>
  <c r="BC168" i="6"/>
  <c r="BC107" i="6"/>
  <c r="BE168" i="6"/>
  <c r="BE107" i="6"/>
  <c r="BC162" i="6"/>
  <c r="BC174" i="6" s="1"/>
  <c r="BC196" i="6" s="1"/>
  <c r="BC60" i="6"/>
  <c r="BC70" i="6" s="1"/>
  <c r="BE162" i="6"/>
  <c r="BE174" i="6" s="1"/>
  <c r="BE196" i="6" s="1"/>
  <c r="BE60" i="6"/>
  <c r="BE70" i="6" s="1"/>
  <c r="BE109" i="6" s="1"/>
  <c r="BE152" i="6" s="1"/>
  <c r="BE156" i="6" s="1"/>
  <c r="BC226" i="6"/>
  <c r="BE225" i="6"/>
  <c r="BE226" i="6" s="1"/>
  <c r="BC146" i="8"/>
  <c r="BC152" i="8" s="1"/>
  <c r="BC156" i="8" s="1"/>
  <c r="BA66" i="1"/>
  <c r="BA336" i="5"/>
  <c r="BA8" i="5" s="1"/>
  <c r="BA10" i="5" s="1"/>
  <c r="BP28" i="1" s="1"/>
  <c r="AU4" i="8"/>
  <c r="AU15" i="8" s="1"/>
  <c r="BE174" i="8"/>
  <c r="BE196" i="8" s="1"/>
  <c r="BE205" i="8" s="1"/>
  <c r="BE207" i="8" s="1"/>
  <c r="BE57" i="8"/>
  <c r="BE66" i="8" s="1"/>
  <c r="BE146" i="8" s="1"/>
  <c r="BE152" i="8" s="1"/>
  <c r="BE156" i="8" s="1"/>
  <c r="AS1084" i="5"/>
  <c r="AS1040" i="5"/>
  <c r="P836" i="4"/>
  <c r="N16" i="9"/>
  <c r="AS454" i="5"/>
  <c r="AS455" i="5" s="1"/>
  <c r="AO1475" i="4"/>
  <c r="AU200" i="6"/>
  <c r="AU201" i="6" s="1"/>
  <c r="AU221" i="6"/>
  <c r="AU228" i="6" s="1"/>
  <c r="AU243" i="6" s="1"/>
  <c r="AU250" i="6" s="1"/>
  <c r="Z8" i="9"/>
  <c r="BE49" i="5"/>
  <c r="X8" i="9"/>
  <c r="BC49" i="5"/>
  <c r="BC336" i="5" s="1"/>
  <c r="BC356" i="5" s="1"/>
  <c r="AW213" i="6"/>
  <c r="BE672" i="5"/>
  <c r="BE675" i="5" s="1"/>
  <c r="BE777" i="5" s="1"/>
  <c r="BE833" i="5" s="1"/>
  <c r="BC675" i="5"/>
  <c r="BC777" i="5" s="1"/>
  <c r="BE1063" i="5"/>
  <c r="Z18" i="9" s="1"/>
  <c r="X12" i="9"/>
  <c r="BE73" i="5"/>
  <c r="BE74" i="5" s="1"/>
  <c r="BE1057" i="5"/>
  <c r="R14" i="11"/>
  <c r="Z14" i="11" s="1"/>
  <c r="AY246" i="8"/>
  <c r="BA243" i="8"/>
  <c r="Q14" i="11"/>
  <c r="Y14" i="11" s="1"/>
  <c r="K14" i="11"/>
  <c r="F15" i="11"/>
  <c r="M15" i="11"/>
  <c r="U15" i="11" s="1"/>
  <c r="N45" i="11"/>
  <c r="O45" i="11" s="1"/>
  <c r="O42" i="11"/>
  <c r="AU201" i="8"/>
  <c r="AY16" i="6"/>
  <c r="BA5" i="6" s="1"/>
  <c r="BA16" i="6" s="1"/>
  <c r="BA246" i="6"/>
  <c r="AY249" i="6"/>
  <c r="AY205" i="6"/>
  <c r="AY207" i="6" s="1"/>
  <c r="BA204" i="6"/>
  <c r="BA205" i="6" s="1"/>
  <c r="AU197" i="7"/>
  <c r="AU201" i="7" s="1"/>
  <c r="U1234" i="4"/>
  <c r="P1236" i="4"/>
  <c r="P1237" i="4" s="1"/>
  <c r="AH338" i="4"/>
  <c r="P1342" i="4"/>
  <c r="AO1143" i="4"/>
  <c r="AM1117" i="4"/>
  <c r="AM1124" i="4" s="1"/>
  <c r="N338" i="4"/>
  <c r="N359" i="4" s="1"/>
  <c r="AO482" i="4"/>
  <c r="AO493" i="4" s="1"/>
  <c r="F1085" i="4"/>
  <c r="AH1354" i="4"/>
  <c r="AH1356" i="4" s="1"/>
  <c r="AH1362" i="4" s="1"/>
  <c r="AH1400" i="4"/>
  <c r="B359" i="4"/>
  <c r="W338" i="4"/>
  <c r="W359" i="4" s="1"/>
  <c r="E338" i="4"/>
  <c r="E359" i="4" s="1"/>
  <c r="AE13" i="4"/>
  <c r="AE15" i="4" s="1"/>
  <c r="AE22" i="4" s="1"/>
  <c r="D13" i="4"/>
  <c r="D15" i="4" s="1"/>
  <c r="K338" i="4"/>
  <c r="K359" i="4" s="1"/>
  <c r="AF338" i="4"/>
  <c r="AF359" i="4" s="1"/>
  <c r="AU507" i="4"/>
  <c r="AU513" i="4" s="1"/>
  <c r="AM125" i="4"/>
  <c r="AM338" i="4" s="1"/>
  <c r="AM359" i="4" s="1"/>
  <c r="AL19" i="4"/>
  <c r="AL15" i="4"/>
  <c r="AO834" i="4"/>
  <c r="AS482" i="4"/>
  <c r="AO1298" i="4"/>
  <c r="U1228" i="4"/>
  <c r="AS1298" i="4"/>
  <c r="AW101" i="4"/>
  <c r="AY101" i="4" s="1"/>
  <c r="N1354" i="4"/>
  <c r="AO600" i="4"/>
  <c r="H836" i="4"/>
  <c r="H1045" i="4" s="1"/>
  <c r="S338" i="4"/>
  <c r="S359" i="4" s="1"/>
  <c r="AQ482" i="4"/>
  <c r="AM493" i="4"/>
  <c r="AM1298" i="4"/>
  <c r="AM1311" i="4" s="1"/>
  <c r="AM1342" i="4" s="1"/>
  <c r="AM461" i="4"/>
  <c r="AM600" i="4"/>
  <c r="AO155" i="4"/>
  <c r="B1363" i="4"/>
  <c r="AQ667" i="4"/>
  <c r="U1096" i="4"/>
  <c r="AM1096" i="4"/>
  <c r="AW620" i="4"/>
  <c r="H1354" i="4"/>
  <c r="H338" i="4"/>
  <c r="H359" i="4" s="1"/>
  <c r="P338" i="4"/>
  <c r="AD338" i="4"/>
  <c r="AD359" i="4" s="1"/>
  <c r="AW481" i="4"/>
  <c r="AU482" i="4"/>
  <c r="AL1237" i="4"/>
  <c r="AQ121" i="4"/>
  <c r="AO122" i="4"/>
  <c r="AO125" i="4" s="1"/>
  <c r="L1045" i="4"/>
  <c r="AQ1298" i="4"/>
  <c r="U1232" i="4"/>
  <c r="H1356" i="4"/>
  <c r="AM1077" i="4"/>
  <c r="AM1079" i="4" s="1"/>
  <c r="AM1160" i="4"/>
  <c r="F15" i="4"/>
  <c r="H15" i="4" s="1"/>
  <c r="H13" i="4"/>
  <c r="F359" i="4"/>
  <c r="K836" i="4"/>
  <c r="K1045" i="4" s="1"/>
  <c r="L359" i="4"/>
  <c r="AF836" i="4"/>
  <c r="AF17" i="4" s="1"/>
  <c r="AF19" i="4" s="1"/>
  <c r="AH1160" i="4"/>
  <c r="AH1204" i="4" s="1"/>
  <c r="U338" i="4"/>
  <c r="U359" i="4" s="1"/>
  <c r="S836" i="4"/>
  <c r="S1045" i="4" s="1"/>
  <c r="N836" i="4"/>
  <c r="N1045" i="4" s="1"/>
  <c r="AD836" i="4"/>
  <c r="AD1045" i="4" s="1"/>
  <c r="AO546" i="4"/>
  <c r="AE1045" i="4"/>
  <c r="AS549" i="4"/>
  <c r="AQ553" i="4"/>
  <c r="AQ600" i="4" s="1"/>
  <c r="AW490" i="4"/>
  <c r="AU492" i="4"/>
  <c r="AS1158" i="4"/>
  <c r="AU1157" i="4"/>
  <c r="B17" i="4"/>
  <c r="B19" i="4" s="1"/>
  <c r="B23" i="4" s="1"/>
  <c r="T1045" i="4"/>
  <c r="AM1358" i="4"/>
  <c r="AL1360" i="4"/>
  <c r="AM1360" i="4" s="1"/>
  <c r="Z1358" i="4"/>
  <c r="Y1360" i="4"/>
  <c r="Z1360" i="4" s="1"/>
  <c r="Z836" i="4"/>
  <c r="Z1045" i="4" s="1"/>
  <c r="AO461" i="4"/>
  <c r="E836" i="4"/>
  <c r="E1045" i="4" s="1"/>
  <c r="Y359" i="4"/>
  <c r="BE784" i="4"/>
  <c r="BE786" i="4" s="1"/>
  <c r="BC786" i="4"/>
  <c r="AL1356" i="4"/>
  <c r="AQ519" i="4"/>
  <c r="N1234" i="4"/>
  <c r="AF1358" i="4"/>
  <c r="AE1360" i="4"/>
  <c r="Y1045" i="4"/>
  <c r="Z338" i="4"/>
  <c r="Z359" i="4" s="1"/>
  <c r="Z17" i="4"/>
  <c r="Y19" i="4"/>
  <c r="Z1234" i="4"/>
  <c r="T359" i="4"/>
  <c r="U836" i="4"/>
  <c r="U1045" i="4" s="1"/>
  <c r="T15" i="4"/>
  <c r="AU183" i="4"/>
  <c r="AS189" i="4"/>
  <c r="AQ819" i="4"/>
  <c r="AQ834" i="4" s="1"/>
  <c r="AS816" i="4"/>
  <c r="AU643" i="4"/>
  <c r="AS646" i="4"/>
  <c r="AH1077" i="4"/>
  <c r="AH1079" i="4" s="1"/>
  <c r="AH1124" i="4"/>
  <c r="AO1478" i="4"/>
  <c r="AO1358" i="4"/>
  <c r="AO1360" i="4" s="1"/>
  <c r="AH781" i="4"/>
  <c r="AH836" i="4" s="1"/>
  <c r="AU812" i="4"/>
  <c r="AW788" i="4"/>
  <c r="AW175" i="4"/>
  <c r="AU176" i="4"/>
  <c r="AO1395" i="4"/>
  <c r="AY106" i="4"/>
  <c r="AW108" i="4"/>
  <c r="AS91" i="4"/>
  <c r="AU82" i="4"/>
  <c r="AU335" i="4"/>
  <c r="AW329" i="4"/>
  <c r="AW375" i="4"/>
  <c r="AY364" i="4"/>
  <c r="AW67" i="4"/>
  <c r="AQ307" i="4"/>
  <c r="AQ336" i="4" s="1"/>
  <c r="AS305" i="4"/>
  <c r="AS503" i="4"/>
  <c r="AU496" i="4"/>
  <c r="AS691" i="4"/>
  <c r="AQ692" i="4"/>
  <c r="AW562" i="4"/>
  <c r="AY556" i="4"/>
  <c r="AS651" i="4"/>
  <c r="AU649" i="4"/>
  <c r="P1085" i="4"/>
  <c r="U1079" i="4"/>
  <c r="AS221" i="4"/>
  <c r="AU209" i="4"/>
  <c r="AS742" i="4"/>
  <c r="AQ747" i="4"/>
  <c r="Z1096" i="4"/>
  <c r="AQ1242" i="4"/>
  <c r="AQ1247" i="4"/>
  <c r="AU1298" i="4"/>
  <c r="AW1290" i="4"/>
  <c r="U1356" i="4"/>
  <c r="T1362" i="4"/>
  <c r="T1363" i="4"/>
  <c r="AS144" i="4"/>
  <c r="AU138" i="4"/>
  <c r="AW323" i="4"/>
  <c r="AY321" i="4"/>
  <c r="AS233" i="4"/>
  <c r="AU228" i="4"/>
  <c r="AQ461" i="4"/>
  <c r="AY632" i="4"/>
  <c r="AW636" i="4"/>
  <c r="Z1356" i="4"/>
  <c r="AQ1146" i="4"/>
  <c r="AO1147" i="4"/>
  <c r="AO1160" i="4" s="1"/>
  <c r="AW57" i="4"/>
  <c r="AU64" i="4"/>
  <c r="AQ493" i="4"/>
  <c r="AW599" i="4"/>
  <c r="AO683" i="4"/>
  <c r="AQ679" i="4"/>
  <c r="AS1043" i="4"/>
  <c r="AU853" i="4"/>
  <c r="BC1202" i="4"/>
  <c r="BA1203" i="4"/>
  <c r="H1234" i="4"/>
  <c r="F1236" i="4"/>
  <c r="AH1311" i="4"/>
  <c r="AS1472" i="4"/>
  <c r="AS1473" i="4" s="1"/>
  <c r="AU1463" i="4"/>
  <c r="Y15" i="4"/>
  <c r="Z13" i="4"/>
  <c r="AU473" i="4"/>
  <c r="AW464" i="4"/>
  <c r="BA476" i="4"/>
  <c r="AW655" i="4"/>
  <c r="AU664" i="4"/>
  <c r="AW159" i="4"/>
  <c r="AQ222" i="4"/>
  <c r="AQ545" i="4"/>
  <c r="AQ546" i="4" s="1"/>
  <c r="AS543" i="4"/>
  <c r="AQ1100" i="4"/>
  <c r="AO1102" i="4"/>
  <c r="AO1117" i="4" s="1"/>
  <c r="N1356" i="4"/>
  <c r="P1360" i="4"/>
  <c r="U1360" i="4" s="1"/>
  <c r="U1358" i="4"/>
  <c r="AQ1406" i="4"/>
  <c r="AQ1475" i="4" s="1"/>
  <c r="AS1404" i="4"/>
  <c r="AU155" i="4"/>
  <c r="AW146" i="4"/>
  <c r="AS460" i="4"/>
  <c r="AS461" i="4" s="1"/>
  <c r="AU430" i="4"/>
  <c r="AW727" i="4"/>
  <c r="AQ1264" i="4"/>
  <c r="AQ1268" i="4" s="1"/>
  <c r="AS1254" i="4"/>
  <c r="L1360" i="4"/>
  <c r="N1358" i="4"/>
  <c r="P17" i="4"/>
  <c r="P19" i="4" s="1"/>
  <c r="P1045" i="4"/>
  <c r="AQ18" i="4"/>
  <c r="AQ1383" i="4"/>
  <c r="AS1378" i="4"/>
  <c r="AS1393" i="4"/>
  <c r="AQ1394" i="4"/>
  <c r="AS133" i="4"/>
  <c r="AQ136" i="4"/>
  <c r="AQ160" i="4" s="1"/>
  <c r="H1085" i="4"/>
  <c r="F1086" i="4"/>
  <c r="H1086" i="4" s="1"/>
  <c r="AE1236" i="4"/>
  <c r="AF1230" i="4"/>
  <c r="N13" i="4"/>
  <c r="L15" i="4"/>
  <c r="AQ118" i="4"/>
  <c r="AS112" i="4"/>
  <c r="AY311" i="4"/>
  <c r="AW317" i="4"/>
  <c r="F17" i="4"/>
  <c r="F1045" i="4"/>
  <c r="Z1230" i="4"/>
  <c r="Y1236" i="4"/>
  <c r="AF1356" i="4"/>
  <c r="AQ70" i="4"/>
  <c r="AO77" i="4"/>
  <c r="AO78" i="4" s="1"/>
  <c r="AS103" i="4"/>
  <c r="AU426" i="4"/>
  <c r="AW380" i="4"/>
  <c r="AW623" i="4"/>
  <c r="AY620" i="4"/>
  <c r="AO1274" i="4"/>
  <c r="AO1228" i="4"/>
  <c r="AO1230" i="4" s="1"/>
  <c r="AQ1143" i="4"/>
  <c r="AS1138" i="4"/>
  <c r="AU43" i="4"/>
  <c r="AS53" i="4"/>
  <c r="AQ685" i="4"/>
  <c r="AO688" i="4"/>
  <c r="AO677" i="4"/>
  <c r="AQ674" i="4"/>
  <c r="AW1135" i="4"/>
  <c r="AY1128" i="4"/>
  <c r="AH13" i="4"/>
  <c r="AH15" i="4" s="1"/>
  <c r="AH359" i="4"/>
  <c r="AO160" i="4"/>
  <c r="AW290" i="4"/>
  <c r="AU301" i="4"/>
  <c r="AU302" i="4" s="1"/>
  <c r="AS167" i="4"/>
  <c r="AU163" i="4"/>
  <c r="AU515" i="4"/>
  <c r="AS518" i="4"/>
  <c r="AW564" i="4"/>
  <c r="AU584" i="4"/>
  <c r="AS539" i="4"/>
  <c r="AU524" i="4"/>
  <c r="AF1234" i="4"/>
  <c r="P1362" i="4"/>
  <c r="F1360" i="4"/>
  <c r="H1358" i="4"/>
  <c r="T1236" i="4"/>
  <c r="U1230" i="4"/>
  <c r="U1354" i="4"/>
  <c r="BA1278" i="4"/>
  <c r="AY1287" i="4"/>
  <c r="J13" i="4"/>
  <c r="J15" i="4" s="1"/>
  <c r="J359" i="4"/>
  <c r="AU171" i="4"/>
  <c r="AS172" i="4"/>
  <c r="AU97" i="4"/>
  <c r="AW94" i="4"/>
  <c r="AY618" i="4"/>
  <c r="BA603" i="4"/>
  <c r="D17" i="4"/>
  <c r="D19" i="4" s="1"/>
  <c r="D1045" i="4"/>
  <c r="W836" i="4"/>
  <c r="W1045" i="4" s="1"/>
  <c r="AS488" i="4"/>
  <c r="AU485" i="4"/>
  <c r="J17" i="4"/>
  <c r="J19" i="4" s="1"/>
  <c r="J1045" i="4"/>
  <c r="Z1085" i="4"/>
  <c r="Y1086" i="4"/>
  <c r="AF1085" i="4"/>
  <c r="AY1082" i="4"/>
  <c r="N1083" i="4"/>
  <c r="L1085" i="4"/>
  <c r="L1236" i="4"/>
  <c r="AO1303" i="4"/>
  <c r="AQ1300" i="4"/>
  <c r="T19" i="4"/>
  <c r="E50" i="3"/>
  <c r="BC243" i="8" l="1"/>
  <c r="AF1360" i="4"/>
  <c r="AY198" i="6"/>
  <c r="AY199" i="6" s="1"/>
  <c r="AW217" i="6"/>
  <c r="BC109" i="6"/>
  <c r="BC152" i="6" s="1"/>
  <c r="BC156" i="6" s="1"/>
  <c r="BA249" i="6"/>
  <c r="BE336" i="5"/>
  <c r="BE356" i="5" s="1"/>
  <c r="BE835" i="5" s="1"/>
  <c r="BE1042" i="5" s="1"/>
  <c r="BE1046" i="5" s="1"/>
  <c r="BA356" i="5"/>
  <c r="AW4" i="8"/>
  <c r="AW15" i="8" s="1"/>
  <c r="AM1354" i="4"/>
  <c r="AH1081" i="4"/>
  <c r="AH1083" i="4" s="1"/>
  <c r="AH1085" i="4" s="1"/>
  <c r="AS1063" i="5"/>
  <c r="N18" i="9" s="1"/>
  <c r="AS833" i="5"/>
  <c r="AS1075" i="5"/>
  <c r="AS13" i="5"/>
  <c r="AS1118" i="5"/>
  <c r="AS1125" i="5"/>
  <c r="AS1130" i="5" s="1"/>
  <c r="AS1085" i="5"/>
  <c r="N39" i="9"/>
  <c r="N40" i="9" s="1"/>
  <c r="AW200" i="6"/>
  <c r="AW201" i="6" s="1"/>
  <c r="AW221" i="6"/>
  <c r="AW228" i="6" s="1"/>
  <c r="AW243" i="6" s="1"/>
  <c r="AW250" i="6" s="1"/>
  <c r="AU184" i="7"/>
  <c r="AU185" i="7" s="1"/>
  <c r="AU205" i="7"/>
  <c r="AU212" i="7" s="1"/>
  <c r="AU227" i="7" s="1"/>
  <c r="AU234" i="7" s="1"/>
  <c r="AY213" i="6"/>
  <c r="AY217" i="6" s="1"/>
  <c r="BE1060" i="5"/>
  <c r="Z15" i="9" s="1"/>
  <c r="Z12" i="9"/>
  <c r="S14" i="11"/>
  <c r="AA14" i="11" s="1"/>
  <c r="BA246" i="8"/>
  <c r="N15" i="11"/>
  <c r="V15" i="11" s="1"/>
  <c r="H15" i="11"/>
  <c r="AW198" i="8"/>
  <c r="AW199" i="8" s="1"/>
  <c r="AW213" i="8" s="1"/>
  <c r="BA207" i="6"/>
  <c r="AW182" i="7"/>
  <c r="AW183" i="7" s="1"/>
  <c r="AW197" i="7" s="1"/>
  <c r="AW201" i="7" s="1"/>
  <c r="AW102" i="4"/>
  <c r="AS493" i="4"/>
  <c r="AO1311" i="4"/>
  <c r="U19" i="4"/>
  <c r="AW507" i="4"/>
  <c r="AW513" i="4" s="1"/>
  <c r="AE23" i="4"/>
  <c r="AH10" i="4" s="1"/>
  <c r="AM10" i="4" s="1"/>
  <c r="AF13" i="4"/>
  <c r="AF15" i="4" s="1"/>
  <c r="AM15" i="4"/>
  <c r="AM13" i="4"/>
  <c r="AL23" i="4"/>
  <c r="AL22" i="4"/>
  <c r="AM836" i="4"/>
  <c r="AM1045" i="4" s="1"/>
  <c r="P13" i="4"/>
  <c r="P359" i="4"/>
  <c r="AM1204" i="4"/>
  <c r="AM1081" i="4"/>
  <c r="AM1083" i="4" s="1"/>
  <c r="AM1085" i="4" s="1"/>
  <c r="AQ122" i="4"/>
  <c r="AQ125" i="4" s="1"/>
  <c r="AS121" i="4"/>
  <c r="AY481" i="4"/>
  <c r="AW482" i="4"/>
  <c r="AO781" i="4"/>
  <c r="AO836" i="4" s="1"/>
  <c r="AO17" i="4" s="1"/>
  <c r="AO19" i="4" s="1"/>
  <c r="AS667" i="4"/>
  <c r="AS519" i="4"/>
  <c r="AF1045" i="4"/>
  <c r="AE1363" i="4"/>
  <c r="Y1362" i="4"/>
  <c r="Z1362" i="4" s="1"/>
  <c r="U17" i="4"/>
  <c r="Y1363" i="4"/>
  <c r="Z1363" i="4" s="1"/>
  <c r="AQ1395" i="4"/>
  <c r="AQ1354" i="4" s="1"/>
  <c r="AQ1356" i="4" s="1"/>
  <c r="AM1356" i="4"/>
  <c r="AL1363" i="4"/>
  <c r="AL1362" i="4"/>
  <c r="AM1362" i="4" s="1"/>
  <c r="AY490" i="4"/>
  <c r="AW492" i="4"/>
  <c r="AU549" i="4"/>
  <c r="AS553" i="4"/>
  <c r="AS600" i="4" s="1"/>
  <c r="AE1362" i="4"/>
  <c r="B22" i="4"/>
  <c r="AW1157" i="4"/>
  <c r="AU1158" i="4"/>
  <c r="AU539" i="4"/>
  <c r="AW524" i="4"/>
  <c r="AW43" i="4"/>
  <c r="AU53" i="4"/>
  <c r="H17" i="4"/>
  <c r="F19" i="4"/>
  <c r="N17" i="4"/>
  <c r="AF1236" i="4"/>
  <c r="AE1237" i="4"/>
  <c r="AY727" i="4"/>
  <c r="AY146" i="4"/>
  <c r="AW155" i="4"/>
  <c r="AY655" i="4"/>
  <c r="AW664" i="4"/>
  <c r="AY464" i="4"/>
  <c r="AW473" i="4"/>
  <c r="AH1342" i="4"/>
  <c r="AH1232" i="4"/>
  <c r="BE1202" i="4"/>
  <c r="BE1203" i="4" s="1"/>
  <c r="BC1203" i="4"/>
  <c r="AY599" i="4"/>
  <c r="AQ1147" i="4"/>
  <c r="AQ1160" i="4" s="1"/>
  <c r="AS1146" i="4"/>
  <c r="AU233" i="4"/>
  <c r="AW228" i="4"/>
  <c r="AU144" i="4"/>
  <c r="AW138" i="4"/>
  <c r="AS692" i="4"/>
  <c r="AU691" i="4"/>
  <c r="BA364" i="4"/>
  <c r="AY375" i="4"/>
  <c r="AU91" i="4"/>
  <c r="AU103" i="4" s="1"/>
  <c r="AW82" i="4"/>
  <c r="AO1400" i="4"/>
  <c r="AO1354" i="4"/>
  <c r="AO1356" i="4" s="1"/>
  <c r="AO1362" i="4" s="1"/>
  <c r="N1085" i="4"/>
  <c r="L1086" i="4"/>
  <c r="N1086" i="4" s="1"/>
  <c r="BA1287" i="4"/>
  <c r="BC1278" i="4"/>
  <c r="AQ1303" i="4"/>
  <c r="AQ1311" i="4" s="1"/>
  <c r="AS1300" i="4"/>
  <c r="AO1232" i="4"/>
  <c r="AO1234" i="4" s="1"/>
  <c r="AO1236" i="4" s="1"/>
  <c r="AO1342" i="4"/>
  <c r="AW485" i="4"/>
  <c r="AU488" i="4"/>
  <c r="AU493" i="4" s="1"/>
  <c r="AU518" i="4"/>
  <c r="AW515" i="4"/>
  <c r="BA1128" i="4"/>
  <c r="AY1135" i="4"/>
  <c r="AS1143" i="4"/>
  <c r="AU1138" i="4"/>
  <c r="BA620" i="4"/>
  <c r="AY623" i="4"/>
  <c r="Y1237" i="4"/>
  <c r="Z1236" i="4"/>
  <c r="L23" i="4"/>
  <c r="L22" i="4"/>
  <c r="N15" i="4"/>
  <c r="AU133" i="4"/>
  <c r="AS136" i="4"/>
  <c r="AS160" i="4" s="1"/>
  <c r="AU1393" i="4"/>
  <c r="AS1394" i="4"/>
  <c r="N1360" i="4"/>
  <c r="L1363" i="4"/>
  <c r="AS545" i="4"/>
  <c r="AS546" i="4" s="1"/>
  <c r="AU543" i="4"/>
  <c r="Z19" i="4"/>
  <c r="Z15" i="4"/>
  <c r="Y23" i="4"/>
  <c r="Y22" i="4"/>
  <c r="F1237" i="4"/>
  <c r="H1237" i="4" s="1"/>
  <c r="H1236" i="4"/>
  <c r="AU1043" i="4"/>
  <c r="AW853" i="4"/>
  <c r="T22" i="4"/>
  <c r="AY1290" i="4"/>
  <c r="AW1298" i="4"/>
  <c r="AU221" i="4"/>
  <c r="AW209" i="4"/>
  <c r="P1086" i="4"/>
  <c r="U1085" i="4"/>
  <c r="BA556" i="4"/>
  <c r="AY562" i="4"/>
  <c r="AW496" i="4"/>
  <c r="AU503" i="4"/>
  <c r="AY175" i="4"/>
  <c r="AW176" i="4"/>
  <c r="AQ1478" i="4"/>
  <c r="AQ1358" i="4"/>
  <c r="AQ1360" i="4" s="1"/>
  <c r="AW171" i="4"/>
  <c r="AU172" i="4"/>
  <c r="Z1086" i="4"/>
  <c r="AF1086" i="4"/>
  <c r="AW97" i="4"/>
  <c r="AY94" i="4"/>
  <c r="H1360" i="4"/>
  <c r="F1363" i="4"/>
  <c r="H1363" i="4" s="1"/>
  <c r="F1362" i="4"/>
  <c r="H1362" i="4" s="1"/>
  <c r="D23" i="4"/>
  <c r="D22" i="4"/>
  <c r="J22" i="4"/>
  <c r="J23" i="4"/>
  <c r="AY290" i="4"/>
  <c r="AW301" i="4"/>
  <c r="AW302" i="4" s="1"/>
  <c r="L1237" i="4"/>
  <c r="N1236" i="4"/>
  <c r="AH17" i="4"/>
  <c r="AH1045" i="4"/>
  <c r="BA618" i="4"/>
  <c r="BC603" i="4"/>
  <c r="U1236" i="4"/>
  <c r="T1237" i="4"/>
  <c r="U1237" i="4" s="1"/>
  <c r="AW163" i="4"/>
  <c r="AU167" i="4"/>
  <c r="AS685" i="4"/>
  <c r="AQ688" i="4"/>
  <c r="AO338" i="4"/>
  <c r="BA311" i="4"/>
  <c r="AY317" i="4"/>
  <c r="AU1378" i="4"/>
  <c r="AS1383" i="4"/>
  <c r="AS1264" i="4"/>
  <c r="AS1268" i="4" s="1"/>
  <c r="AU1254" i="4"/>
  <c r="AU460" i="4"/>
  <c r="AU461" i="4" s="1"/>
  <c r="AW430" i="4"/>
  <c r="AS1406" i="4"/>
  <c r="AS1475" i="4" s="1"/>
  <c r="AU1404" i="4"/>
  <c r="AO1077" i="4"/>
  <c r="AO1079" i="4" s="1"/>
  <c r="AO1124" i="4"/>
  <c r="BC476" i="4"/>
  <c r="AU1472" i="4"/>
  <c r="AU1473" i="4" s="1"/>
  <c r="AW1463" i="4"/>
  <c r="AS18" i="4"/>
  <c r="T23" i="4"/>
  <c r="AY636" i="4"/>
  <c r="BA632" i="4"/>
  <c r="AY323" i="4"/>
  <c r="BA321" i="4"/>
  <c r="AS222" i="4"/>
  <c r="AY67" i="4"/>
  <c r="AY329" i="4"/>
  <c r="AW335" i="4"/>
  <c r="AY788" i="4"/>
  <c r="AW812" i="4"/>
  <c r="AU646" i="4"/>
  <c r="AW643" i="4"/>
  <c r="AW189" i="4"/>
  <c r="AW183" i="4"/>
  <c r="AU189" i="4"/>
  <c r="AY564" i="4"/>
  <c r="AW584" i="4"/>
  <c r="AQ677" i="4"/>
  <c r="AS674" i="4"/>
  <c r="AW426" i="4"/>
  <c r="AY380" i="4"/>
  <c r="AS70" i="4"/>
  <c r="AQ77" i="4"/>
  <c r="AQ78" i="4" s="1"/>
  <c r="AS118" i="4"/>
  <c r="AU112" i="4"/>
  <c r="AF23" i="4"/>
  <c r="AF22" i="4"/>
  <c r="BA101" i="4"/>
  <c r="AY102" i="4"/>
  <c r="AQ1274" i="4"/>
  <c r="AQ1228" i="4"/>
  <c r="AQ1230" i="4" s="1"/>
  <c r="L1362" i="4"/>
  <c r="AQ1102" i="4"/>
  <c r="AQ1117" i="4" s="1"/>
  <c r="AS1100" i="4"/>
  <c r="AY159" i="4"/>
  <c r="BA1082" i="4"/>
  <c r="AS679" i="4"/>
  <c r="AQ683" i="4"/>
  <c r="AW64" i="4"/>
  <c r="AY57" i="4"/>
  <c r="AO1081" i="4"/>
  <c r="AO1083" i="4" s="1"/>
  <c r="AO1204" i="4"/>
  <c r="U1362" i="4"/>
  <c r="AS1247" i="4"/>
  <c r="AU1242" i="4" s="1"/>
  <c r="AU1247" i="4" s="1"/>
  <c r="AW1242" i="4" s="1"/>
  <c r="AW1247" i="4" s="1"/>
  <c r="AY1242" i="4" s="1"/>
  <c r="AY1247" i="4" s="1"/>
  <c r="BA1242" i="4" s="1"/>
  <c r="BA1247" i="4" s="1"/>
  <c r="BC1242" i="4" s="1"/>
  <c r="BC1247" i="4" s="1"/>
  <c r="BE1242" i="4" s="1"/>
  <c r="BE1247" i="4" s="1"/>
  <c r="AS1242" i="4"/>
  <c r="AU742" i="4"/>
  <c r="AS747" i="4"/>
  <c r="AW649" i="4"/>
  <c r="AU651" i="4"/>
  <c r="AU305" i="4"/>
  <c r="AS307" i="4"/>
  <c r="AS336" i="4" s="1"/>
  <c r="BA106" i="4"/>
  <c r="AY108" i="4"/>
  <c r="AS819" i="4"/>
  <c r="AS834" i="4" s="1"/>
  <c r="AU816" i="4"/>
  <c r="E49" i="3"/>
  <c r="E48" i="3"/>
  <c r="E47" i="3"/>
  <c r="AW218" i="8" l="1"/>
  <c r="AW225" i="8" s="1"/>
  <c r="AW240" i="8" s="1"/>
  <c r="AW247" i="8" s="1"/>
  <c r="BC246" i="6"/>
  <c r="BE246" i="6" s="1"/>
  <c r="BE249" i="6" s="1"/>
  <c r="AF1362" i="4"/>
  <c r="AY4" i="8"/>
  <c r="AY15" i="8" s="1"/>
  <c r="AF1363" i="4"/>
  <c r="N66" i="9"/>
  <c r="N67" i="9" s="1"/>
  <c r="AS1119" i="5"/>
  <c r="AY507" i="4"/>
  <c r="AQ1400" i="4"/>
  <c r="N73" i="9"/>
  <c r="N75" i="9" s="1"/>
  <c r="AS1127" i="5"/>
  <c r="AS1078" i="5"/>
  <c r="N30" i="9"/>
  <c r="N33" i="9" s="1"/>
  <c r="AS1132" i="5"/>
  <c r="N78" i="9"/>
  <c r="N80" i="9" s="1"/>
  <c r="AS12" i="5"/>
  <c r="AS14" i="5" s="1"/>
  <c r="AS1060" i="5"/>
  <c r="AS835" i="5"/>
  <c r="BA198" i="6"/>
  <c r="BA199" i="6" s="1"/>
  <c r="BA213" i="6" s="1"/>
  <c r="AY221" i="6"/>
  <c r="AY228" i="6" s="1"/>
  <c r="AY243" i="6" s="1"/>
  <c r="AY250" i="6" s="1"/>
  <c r="AY200" i="6"/>
  <c r="AY201" i="6" s="1"/>
  <c r="BE1065" i="5"/>
  <c r="BE1087" i="5" s="1"/>
  <c r="BE1096" i="5" s="1"/>
  <c r="BE1098" i="5" s="1"/>
  <c r="Z20" i="9"/>
  <c r="Z42" i="9" s="1"/>
  <c r="BC246" i="8"/>
  <c r="BE243" i="8"/>
  <c r="E16" i="11"/>
  <c r="P15" i="11"/>
  <c r="X15" i="11" s="1"/>
  <c r="AW201" i="8"/>
  <c r="AW205" i="7"/>
  <c r="AQ338" i="4"/>
  <c r="AH19" i="4"/>
  <c r="AH23" i="4" s="1"/>
  <c r="AO10" i="4" s="1"/>
  <c r="AM17" i="4"/>
  <c r="AU519" i="4"/>
  <c r="AH1234" i="4"/>
  <c r="AH1236" i="4" s="1"/>
  <c r="AM1232" i="4"/>
  <c r="AM1234" i="4" s="1"/>
  <c r="AO1045" i="4"/>
  <c r="BA481" i="4"/>
  <c r="AY482" i="4"/>
  <c r="N1362" i="4"/>
  <c r="AU121" i="4"/>
  <c r="AS122" i="4"/>
  <c r="AS125" i="4" s="1"/>
  <c r="P15" i="4"/>
  <c r="U13" i="4"/>
  <c r="AU667" i="4"/>
  <c r="AQ781" i="4"/>
  <c r="AQ836" i="4" s="1"/>
  <c r="AQ1045" i="4" s="1"/>
  <c r="N1237" i="4"/>
  <c r="AW549" i="4"/>
  <c r="AU553" i="4"/>
  <c r="AU600" i="4" s="1"/>
  <c r="AW1158" i="4"/>
  <c r="AY1157" i="4"/>
  <c r="AY492" i="4"/>
  <c r="BA490" i="4"/>
  <c r="AS1478" i="4"/>
  <c r="AS1358" i="4"/>
  <c r="AS1360" i="4" s="1"/>
  <c r="BA108" i="4"/>
  <c r="BC106" i="4"/>
  <c r="AW651" i="4"/>
  <c r="AY649" i="4"/>
  <c r="AY64" i="4"/>
  <c r="BA57" i="4"/>
  <c r="AU70" i="4"/>
  <c r="AS77" i="4"/>
  <c r="AS78" i="4" s="1"/>
  <c r="BA564" i="4"/>
  <c r="AY584" i="4"/>
  <c r="AW305" i="4"/>
  <c r="AU307" i="4"/>
  <c r="AU336" i="4" s="1"/>
  <c r="AW742" i="4"/>
  <c r="AU747" i="4"/>
  <c r="BA102" i="4"/>
  <c r="BC101" i="4"/>
  <c r="AY189" i="4"/>
  <c r="AY183" i="4"/>
  <c r="AU1406" i="4"/>
  <c r="AW1404" i="4"/>
  <c r="AU1264" i="4"/>
  <c r="AU1268" i="4" s="1"/>
  <c r="AW1254" i="4"/>
  <c r="AS688" i="4"/>
  <c r="AU685" i="4"/>
  <c r="BA290" i="4"/>
  <c r="AY301" i="4"/>
  <c r="AY302" i="4" s="1"/>
  <c r="AY97" i="4"/>
  <c r="BA94" i="4"/>
  <c r="AW221" i="4"/>
  <c r="AY209" i="4"/>
  <c r="AY853" i="4"/>
  <c r="AW1043" i="4"/>
  <c r="Z22" i="4"/>
  <c r="P1352" i="4"/>
  <c r="N1363" i="4"/>
  <c r="BA655" i="4"/>
  <c r="AY664" i="4"/>
  <c r="AY155" i="4"/>
  <c r="BA146" i="4"/>
  <c r="H19" i="4"/>
  <c r="F22" i="4"/>
  <c r="H22" i="4" s="1"/>
  <c r="F23" i="4"/>
  <c r="H23" i="4" s="1"/>
  <c r="N19" i="4"/>
  <c r="AY812" i="4"/>
  <c r="BA788" i="4"/>
  <c r="BA329" i="4"/>
  <c r="AY335" i="4"/>
  <c r="BA636" i="4"/>
  <c r="BC632" i="4"/>
  <c r="BE476" i="4"/>
  <c r="AS1274" i="4"/>
  <c r="AS1228" i="4"/>
  <c r="AS1230" i="4" s="1"/>
  <c r="BA317" i="4"/>
  <c r="BC311" i="4"/>
  <c r="BE603" i="4"/>
  <c r="BE618" i="4" s="1"/>
  <c r="BC618" i="4"/>
  <c r="AW172" i="4"/>
  <c r="AY171" i="4"/>
  <c r="BA175" i="4"/>
  <c r="AY176" i="4"/>
  <c r="BC556" i="4"/>
  <c r="BC1207" i="4" s="1"/>
  <c r="BA562" i="4"/>
  <c r="AU222" i="4"/>
  <c r="AU18" i="4"/>
  <c r="Z23" i="4"/>
  <c r="AU136" i="4"/>
  <c r="AU160" i="4" s="1"/>
  <c r="AW133" i="4"/>
  <c r="BA623" i="4"/>
  <c r="BC620" i="4"/>
  <c r="BA1135" i="4"/>
  <c r="BC1128" i="4"/>
  <c r="AS1303" i="4"/>
  <c r="AS1311" i="4" s="1"/>
  <c r="AU1300" i="4"/>
  <c r="AW144" i="4"/>
  <c r="AY138" i="4"/>
  <c r="AS1147" i="4"/>
  <c r="AS1160" i="4" s="1"/>
  <c r="AU1146" i="4"/>
  <c r="BC1082" i="4"/>
  <c r="BA727" i="4"/>
  <c r="AF1237" i="4"/>
  <c r="AW53" i="4"/>
  <c r="AY43" i="4"/>
  <c r="AQ13" i="4"/>
  <c r="AQ15" i="4" s="1"/>
  <c r="AQ359" i="4"/>
  <c r="AS1102" i="4"/>
  <c r="AS1117" i="4" s="1"/>
  <c r="AU1100" i="4"/>
  <c r="AW646" i="4"/>
  <c r="AY643" i="4"/>
  <c r="BA67" i="4"/>
  <c r="AW1472" i="4"/>
  <c r="AW1473" i="4" s="1"/>
  <c r="AY1463" i="4"/>
  <c r="AW460" i="4"/>
  <c r="AW461" i="4" s="1"/>
  <c r="AY430" i="4"/>
  <c r="AO13" i="4"/>
  <c r="AO15" i="4" s="1"/>
  <c r="AO22" i="4" s="1"/>
  <c r="AO359" i="4"/>
  <c r="AW167" i="4"/>
  <c r="AY163" i="4"/>
  <c r="AW543" i="4"/>
  <c r="AU545" i="4"/>
  <c r="AU546" i="4" s="1"/>
  <c r="AS1395" i="4"/>
  <c r="Z1237" i="4"/>
  <c r="AU1143" i="4"/>
  <c r="AW1138" i="4"/>
  <c r="AY515" i="4"/>
  <c r="AW518" i="4"/>
  <c r="AW488" i="4"/>
  <c r="AW493" i="4" s="1"/>
  <c r="AY485" i="4"/>
  <c r="AQ1232" i="4"/>
  <c r="AQ1234" i="4" s="1"/>
  <c r="AQ1236" i="4" s="1"/>
  <c r="AQ1342" i="4"/>
  <c r="BA375" i="4"/>
  <c r="BC364" i="4"/>
  <c r="AQ1081" i="4"/>
  <c r="AQ1083" i="4" s="1"/>
  <c r="AQ1204" i="4"/>
  <c r="BE1082" i="4"/>
  <c r="AY473" i="4"/>
  <c r="BA464" i="4"/>
  <c r="AW816" i="4"/>
  <c r="AU819" i="4"/>
  <c r="AU834" i="4" s="1"/>
  <c r="AU679" i="4"/>
  <c r="AS683" i="4"/>
  <c r="AY513" i="4"/>
  <c r="BA507" i="4"/>
  <c r="BA159" i="4"/>
  <c r="AQ1077" i="4"/>
  <c r="AQ1079" i="4" s="1"/>
  <c r="AQ1085" i="4" s="1"/>
  <c r="AQ1124" i="4"/>
  <c r="AW112" i="4"/>
  <c r="AU118" i="4"/>
  <c r="AY426" i="4"/>
  <c r="BA380" i="4"/>
  <c r="AS677" i="4"/>
  <c r="AU674" i="4"/>
  <c r="BA323" i="4"/>
  <c r="BC321" i="4"/>
  <c r="AU1475" i="4"/>
  <c r="AO1085" i="4"/>
  <c r="AW1378" i="4"/>
  <c r="AU1383" i="4"/>
  <c r="AW503" i="4"/>
  <c r="AY496" i="4"/>
  <c r="AH1075" i="4"/>
  <c r="U1086" i="4"/>
  <c r="AY1298" i="4"/>
  <c r="BA1290" i="4"/>
  <c r="AU1394" i="4"/>
  <c r="AW1393" i="4"/>
  <c r="BE1278" i="4"/>
  <c r="BE1287" i="4" s="1"/>
  <c r="BC1287" i="4"/>
  <c r="AW91" i="4"/>
  <c r="AW103" i="4" s="1"/>
  <c r="AY82" i="4"/>
  <c r="AW691" i="4"/>
  <c r="AU692" i="4"/>
  <c r="AW233" i="4"/>
  <c r="AY228" i="4"/>
  <c r="BA599" i="4"/>
  <c r="AW667" i="4"/>
  <c r="AQ1362" i="4"/>
  <c r="AW539" i="4"/>
  <c r="AY524" i="4"/>
  <c r="E52" i="3"/>
  <c r="E32" i="3"/>
  <c r="E31" i="3"/>
  <c r="E55" i="3"/>
  <c r="E54" i="3"/>
  <c r="E45" i="3"/>
  <c r="E66" i="3"/>
  <c r="E65" i="3"/>
  <c r="E62" i="3"/>
  <c r="E63" i="3"/>
  <c r="E64" i="3"/>
  <c r="E34" i="3"/>
  <c r="E44" i="3"/>
  <c r="E43" i="3"/>
  <c r="E42" i="3"/>
  <c r="E41" i="3"/>
  <c r="C40" i="3"/>
  <c r="B40" i="3"/>
  <c r="E40" i="3" s="1"/>
  <c r="E36" i="3"/>
  <c r="E35" i="3"/>
  <c r="E33" i="3"/>
  <c r="E30" i="3"/>
  <c r="E29" i="3"/>
  <c r="E60" i="3"/>
  <c r="E28" i="3"/>
  <c r="E27" i="3"/>
  <c r="E26" i="3"/>
  <c r="E25" i="3"/>
  <c r="E24" i="3"/>
  <c r="E23" i="3"/>
  <c r="E22" i="3"/>
  <c r="E20" i="3"/>
  <c r="E19" i="3"/>
  <c r="E18" i="3"/>
  <c r="E17" i="3"/>
  <c r="E16" i="3"/>
  <c r="E14" i="3"/>
  <c r="E13" i="3"/>
  <c r="E12" i="3"/>
  <c r="B11" i="3"/>
  <c r="E11" i="3" s="1"/>
  <c r="E10" i="3"/>
  <c r="E9" i="3"/>
  <c r="E8" i="3"/>
  <c r="E7" i="3"/>
  <c r="BC198" i="6" l="1"/>
  <c r="BC199" i="6" s="1"/>
  <c r="BA217" i="6"/>
  <c r="BC249" i="6"/>
  <c r="BC213" i="6"/>
  <c r="BA4" i="8"/>
  <c r="BA15" i="8" s="1"/>
  <c r="AS1134" i="5"/>
  <c r="AS1065" i="5"/>
  <c r="AS1087" i="5" s="1"/>
  <c r="N15" i="9"/>
  <c r="N20" i="9" s="1"/>
  <c r="N42" i="9" s="1"/>
  <c r="N82" i="9"/>
  <c r="AS17" i="5"/>
  <c r="AS18" i="5"/>
  <c r="AH1086" i="4"/>
  <c r="AO1075" i="4" s="1"/>
  <c r="AO1086" i="4" s="1"/>
  <c r="AQ1075" i="4" s="1"/>
  <c r="AQ1086" i="4" s="1"/>
  <c r="AS1075" i="4" s="1"/>
  <c r="AM1075" i="4"/>
  <c r="AM1086" i="4" s="1"/>
  <c r="AS1042" i="5"/>
  <c r="AS1046" i="5" s="1"/>
  <c r="AS1139" i="5"/>
  <c r="N87" i="9" s="1"/>
  <c r="BA200" i="6"/>
  <c r="BA201" i="6" s="1"/>
  <c r="BA221" i="6"/>
  <c r="BA228" i="6" s="1"/>
  <c r="BA243" i="6" s="1"/>
  <c r="BA250" i="6" s="1"/>
  <c r="BE246" i="8"/>
  <c r="F16" i="11"/>
  <c r="H16" i="11" s="1"/>
  <c r="M16" i="11"/>
  <c r="U16" i="11" s="1"/>
  <c r="AY198" i="8"/>
  <c r="AY199" i="8" s="1"/>
  <c r="AY213" i="8" s="1"/>
  <c r="AW212" i="7"/>
  <c r="AW227" i="7" s="1"/>
  <c r="AW234" i="7" s="1"/>
  <c r="AY182" i="7"/>
  <c r="AY183" i="7" s="1"/>
  <c r="AW184" i="7"/>
  <c r="AW185" i="7" s="1"/>
  <c r="N22" i="4"/>
  <c r="AM23" i="4"/>
  <c r="AH22" i="4"/>
  <c r="AM22" i="4" s="1"/>
  <c r="AM19" i="4"/>
  <c r="AQ17" i="4"/>
  <c r="AQ19" i="4" s="1"/>
  <c r="AQ22" i="4" s="1"/>
  <c r="U15" i="4"/>
  <c r="P23" i="4"/>
  <c r="U23" i="4" s="1"/>
  <c r="P22" i="4"/>
  <c r="U22" i="4" s="1"/>
  <c r="AS338" i="4"/>
  <c r="AS13" i="4" s="1"/>
  <c r="AS15" i="4" s="1"/>
  <c r="AH1237" i="4"/>
  <c r="AO1226" i="4" s="1"/>
  <c r="AO1237" i="4" s="1"/>
  <c r="AQ1226" i="4" s="1"/>
  <c r="AM1236" i="4"/>
  <c r="AM1237" i="4" s="1"/>
  <c r="AW121" i="4"/>
  <c r="AU122" i="4"/>
  <c r="AU125" i="4" s="1"/>
  <c r="BC481" i="4"/>
  <c r="BA482" i="4"/>
  <c r="AS781" i="4"/>
  <c r="AS836" i="4" s="1"/>
  <c r="AS17" i="4" s="1"/>
  <c r="AS19" i="4" s="1"/>
  <c r="AY1158" i="4"/>
  <c r="BA1157" i="4"/>
  <c r="AW553" i="4"/>
  <c r="AW600" i="4" s="1"/>
  <c r="AY549" i="4"/>
  <c r="AU1395" i="4"/>
  <c r="AU1354" i="4" s="1"/>
  <c r="AU1356" i="4" s="1"/>
  <c r="AW519" i="4"/>
  <c r="BA492" i="4"/>
  <c r="BC490" i="4"/>
  <c r="BC323" i="4"/>
  <c r="BE321" i="4"/>
  <c r="BE323" i="4" s="1"/>
  <c r="AW118" i="4"/>
  <c r="AY112" i="4"/>
  <c r="AY539" i="4"/>
  <c r="BA524" i="4"/>
  <c r="AY233" i="4"/>
  <c r="BA228" i="4"/>
  <c r="BA82" i="4"/>
  <c r="AY91" i="4"/>
  <c r="AW1383" i="4"/>
  <c r="AY1378" i="4"/>
  <c r="BA426" i="4"/>
  <c r="BC380" i="4"/>
  <c r="AW679" i="4"/>
  <c r="AU683" i="4"/>
  <c r="BC464" i="4"/>
  <c r="BA473" i="4"/>
  <c r="AY167" i="4"/>
  <c r="BA163" i="4"/>
  <c r="AY460" i="4"/>
  <c r="AY461" i="4" s="1"/>
  <c r="BA430" i="4"/>
  <c r="AU1102" i="4"/>
  <c r="AU1117" i="4" s="1"/>
  <c r="AW1100" i="4"/>
  <c r="AY53" i="4"/>
  <c r="BA43" i="4"/>
  <c r="AS1081" i="4"/>
  <c r="AS1083" i="4" s="1"/>
  <c r="AS1204" i="4"/>
  <c r="AS1232" i="4"/>
  <c r="AS1234" i="4" s="1"/>
  <c r="AS1236" i="4" s="1"/>
  <c r="AS1342" i="4"/>
  <c r="BA176" i="4"/>
  <c r="BC175" i="4"/>
  <c r="BC636" i="4"/>
  <c r="BE632" i="4"/>
  <c r="BE636" i="4" s="1"/>
  <c r="BC788" i="4"/>
  <c r="BA812" i="4"/>
  <c r="BA155" i="4"/>
  <c r="BC146" i="4"/>
  <c r="N23" i="4"/>
  <c r="AW222" i="4"/>
  <c r="BA301" i="4"/>
  <c r="BA302" i="4" s="1"/>
  <c r="BC290" i="4"/>
  <c r="AU1274" i="4"/>
  <c r="AU1228" i="4"/>
  <c r="AU1230" i="4" s="1"/>
  <c r="BA189" i="4"/>
  <c r="BA183" i="4"/>
  <c r="BA584" i="4"/>
  <c r="BC564" i="4"/>
  <c r="AQ1237" i="4"/>
  <c r="AS1226" i="4" s="1"/>
  <c r="AW1394" i="4"/>
  <c r="AY1393" i="4"/>
  <c r="BC1290" i="4"/>
  <c r="BA1298" i="4"/>
  <c r="AY503" i="4"/>
  <c r="BA496" i="4"/>
  <c r="BA513" i="4"/>
  <c r="BC507" i="4"/>
  <c r="AY518" i="4"/>
  <c r="BA515" i="4"/>
  <c r="AS1400" i="4"/>
  <c r="AS1354" i="4"/>
  <c r="AS1356" i="4" s="1"/>
  <c r="AS1362" i="4" s="1"/>
  <c r="BC67" i="4"/>
  <c r="AS1077" i="4"/>
  <c r="AS1079" i="4" s="1"/>
  <c r="AS1124" i="4"/>
  <c r="AY144" i="4"/>
  <c r="BA138" i="4"/>
  <c r="BC1135" i="4"/>
  <c r="BE1128" i="4"/>
  <c r="BE1135" i="4" s="1"/>
  <c r="AW136" i="4"/>
  <c r="AW160" i="4" s="1"/>
  <c r="AY133" i="4"/>
  <c r="BA171" i="4"/>
  <c r="AY172" i="4"/>
  <c r="AW18" i="4"/>
  <c r="BA97" i="4"/>
  <c r="BC94" i="4"/>
  <c r="AW685" i="4"/>
  <c r="AU688" i="4"/>
  <c r="AW1406" i="4"/>
  <c r="AW1475" i="4" s="1"/>
  <c r="AY1404" i="4"/>
  <c r="AW307" i="4"/>
  <c r="AW336" i="4" s="1"/>
  <c r="AY305" i="4"/>
  <c r="AY651" i="4"/>
  <c r="BA649" i="4"/>
  <c r="BE106" i="4"/>
  <c r="BE108" i="4" s="1"/>
  <c r="BC108" i="4"/>
  <c r="AU1400" i="4"/>
  <c r="AU1478" i="4"/>
  <c r="AU1358" i="4"/>
  <c r="AU1360" i="4" s="1"/>
  <c r="AW674" i="4"/>
  <c r="AU677" i="4"/>
  <c r="AY519" i="4"/>
  <c r="AW819" i="4"/>
  <c r="AW834" i="4" s="1"/>
  <c r="AY816" i="4"/>
  <c r="BE364" i="4"/>
  <c r="BE375" i="4" s="1"/>
  <c r="BC375" i="4"/>
  <c r="BA485" i="4"/>
  <c r="AY488" i="4"/>
  <c r="AY493" i="4" s="1"/>
  <c r="AY1138" i="4"/>
  <c r="AW1143" i="4"/>
  <c r="AY1472" i="4"/>
  <c r="AY1473" i="4" s="1"/>
  <c r="BA1463" i="4"/>
  <c r="BA643" i="4"/>
  <c r="AY646" i="4"/>
  <c r="BC562" i="4"/>
  <c r="BE556" i="4"/>
  <c r="BC317" i="4"/>
  <c r="BE311" i="4"/>
  <c r="BE317" i="4" s="1"/>
  <c r="U1352" i="4"/>
  <c r="P1363" i="4"/>
  <c r="AY1043" i="4"/>
  <c r="BA853" i="4"/>
  <c r="AY103" i="4"/>
  <c r="BE101" i="4"/>
  <c r="BE102" i="4" s="1"/>
  <c r="BC102" i="4"/>
  <c r="AO23" i="4"/>
  <c r="AQ10" i="4" s="1"/>
  <c r="AW70" i="4"/>
  <c r="AU77" i="4"/>
  <c r="AU78" i="4" s="1"/>
  <c r="BC599" i="4"/>
  <c r="AY691" i="4"/>
  <c r="AW692" i="4"/>
  <c r="BC159" i="4"/>
  <c r="AW545" i="4"/>
  <c r="AW546" i="4" s="1"/>
  <c r="AY543" i="4"/>
  <c r="BC727" i="4"/>
  <c r="AW1146" i="4"/>
  <c r="AU1147" i="4"/>
  <c r="AU1160" i="4" s="1"/>
  <c r="AU1303" i="4"/>
  <c r="AU1311" i="4" s="1"/>
  <c r="AW1300" i="4"/>
  <c r="BC623" i="4"/>
  <c r="BE620" i="4"/>
  <c r="BE623" i="4" s="1"/>
  <c r="BA335" i="4"/>
  <c r="BC329" i="4"/>
  <c r="BA664" i="4"/>
  <c r="BC655" i="4"/>
  <c r="AY221" i="4"/>
  <c r="BA209" i="4"/>
  <c r="AW1264" i="4"/>
  <c r="AW1268" i="4" s="1"/>
  <c r="AY1254" i="4"/>
  <c r="AY742" i="4"/>
  <c r="AW747" i="4"/>
  <c r="BA64" i="4"/>
  <c r="BC57" i="4"/>
  <c r="E67" i="3"/>
  <c r="E56" i="3"/>
  <c r="P27" i="2"/>
  <c r="BC200" i="6" l="1"/>
  <c r="BC201" i="6" s="1"/>
  <c r="BC217" i="6"/>
  <c r="AY225" i="8"/>
  <c r="AY240" i="8" s="1"/>
  <c r="AY247" i="8" s="1"/>
  <c r="AY218" i="8"/>
  <c r="BE198" i="6"/>
  <c r="BE199" i="6" s="1"/>
  <c r="BC221" i="6"/>
  <c r="BC228" i="6" s="1"/>
  <c r="BC243" i="6" s="1"/>
  <c r="BC250" i="6" s="1"/>
  <c r="AU5" i="5"/>
  <c r="AS1095" i="5"/>
  <c r="AS1096" i="5" s="1"/>
  <c r="AS1098" i="5" s="1"/>
  <c r="N90" i="9"/>
  <c r="AS1142" i="5"/>
  <c r="E17" i="11"/>
  <c r="P16" i="11"/>
  <c r="X16" i="11" s="1"/>
  <c r="N16" i="11"/>
  <c r="V16" i="11" s="1"/>
  <c r="J16" i="11"/>
  <c r="I16" i="11"/>
  <c r="AY201" i="8"/>
  <c r="AY197" i="7"/>
  <c r="BE562" i="4"/>
  <c r="BE1207" i="4"/>
  <c r="AS359" i="4"/>
  <c r="AQ23" i="4"/>
  <c r="AS10" i="4" s="1"/>
  <c r="AS23" i="4" s="1"/>
  <c r="AU10" i="4" s="1"/>
  <c r="AU338" i="4"/>
  <c r="AU13" i="4" s="1"/>
  <c r="AU15" i="4" s="1"/>
  <c r="BE481" i="4"/>
  <c r="BE482" i="4" s="1"/>
  <c r="BC482" i="4"/>
  <c r="AY121" i="4"/>
  <c r="AW122" i="4"/>
  <c r="AW125" i="4" s="1"/>
  <c r="AU781" i="4"/>
  <c r="AU836" i="4" s="1"/>
  <c r="AU1045" i="4" s="1"/>
  <c r="AS1045" i="4"/>
  <c r="AY667" i="4"/>
  <c r="BA1158" i="4"/>
  <c r="BC1157" i="4"/>
  <c r="AS1085" i="4"/>
  <c r="AS1086" i="4" s="1"/>
  <c r="AU1075" i="4" s="1"/>
  <c r="AY222" i="4"/>
  <c r="AS22" i="4"/>
  <c r="AW1395" i="4"/>
  <c r="AW1354" i="4" s="1"/>
  <c r="AW1356" i="4" s="1"/>
  <c r="BC492" i="4"/>
  <c r="BE490" i="4"/>
  <c r="BE492" i="4" s="1"/>
  <c r="BA549" i="4"/>
  <c r="AY553" i="4"/>
  <c r="AY600" i="4" s="1"/>
  <c r="BA221" i="4"/>
  <c r="BC209" i="4"/>
  <c r="BC335" i="4"/>
  <c r="BE329" i="4"/>
  <c r="BE335" i="4" s="1"/>
  <c r="AY1146" i="4"/>
  <c r="AW1147" i="4"/>
  <c r="AW1160" i="4" s="1"/>
  <c r="AY545" i="4"/>
  <c r="AY546" i="4" s="1"/>
  <c r="BA543" i="4"/>
  <c r="AY18" i="4"/>
  <c r="BA1472" i="4"/>
  <c r="BA1473" i="4" s="1"/>
  <c r="BC1463" i="4"/>
  <c r="AY819" i="4"/>
  <c r="AY834" i="4" s="1"/>
  <c r="BA816" i="4"/>
  <c r="AW677" i="4"/>
  <c r="AY674" i="4"/>
  <c r="AU1362" i="4"/>
  <c r="BA133" i="4"/>
  <c r="AY136" i="4"/>
  <c r="AY160" i="4" s="1"/>
  <c r="BA144" i="4"/>
  <c r="BC138" i="4"/>
  <c r="BC513" i="4"/>
  <c r="BE507" i="4"/>
  <c r="BE513" i="4" s="1"/>
  <c r="AS1237" i="4"/>
  <c r="AU1226" i="4" s="1"/>
  <c r="BC189" i="4"/>
  <c r="BC183" i="4"/>
  <c r="BE290" i="4"/>
  <c r="BE301" i="4" s="1"/>
  <c r="BE302" i="4" s="1"/>
  <c r="BC301" i="4"/>
  <c r="BC302" i="4" s="1"/>
  <c r="BC155" i="4"/>
  <c r="BE146" i="4"/>
  <c r="BE155" i="4" s="1"/>
  <c r="BE464" i="4"/>
  <c r="BE473" i="4" s="1"/>
  <c r="BC473" i="4"/>
  <c r="BA539" i="4"/>
  <c r="BC524" i="4"/>
  <c r="BA742" i="4"/>
  <c r="AY747" i="4"/>
  <c r="BA691" i="4"/>
  <c r="AY692" i="4"/>
  <c r="AH1352" i="4"/>
  <c r="U1363" i="4"/>
  <c r="BA488" i="4"/>
  <c r="BA493" i="4" s="1"/>
  <c r="BC485" i="4"/>
  <c r="AY685" i="4"/>
  <c r="AW688" i="4"/>
  <c r="BC515" i="4"/>
  <c r="BA518" i="4"/>
  <c r="BC1298" i="4"/>
  <c r="BE1290" i="4"/>
  <c r="BE1298" i="4" s="1"/>
  <c r="BE564" i="4"/>
  <c r="BE584" i="4" s="1"/>
  <c r="BC584" i="4"/>
  <c r="AY1100" i="4"/>
  <c r="AW1102" i="4"/>
  <c r="AW1117" i="4" s="1"/>
  <c r="BA167" i="4"/>
  <c r="BC163" i="4"/>
  <c r="BA1378" i="4"/>
  <c r="AY1383" i="4"/>
  <c r="BA91" i="4"/>
  <c r="BA103" i="4" s="1"/>
  <c r="BC82" i="4"/>
  <c r="BE57" i="4"/>
  <c r="BE64" i="4" s="1"/>
  <c r="BC64" i="4"/>
  <c r="AY1406" i="4"/>
  <c r="AY1475" i="4" s="1"/>
  <c r="BA1404" i="4"/>
  <c r="BC97" i="4"/>
  <c r="BE94" i="4"/>
  <c r="BE97" i="4" s="1"/>
  <c r="BE67" i="4"/>
  <c r="BA503" i="4"/>
  <c r="BA519" i="4" s="1"/>
  <c r="BC496" i="4"/>
  <c r="BA1393" i="4"/>
  <c r="AY1394" i="4"/>
  <c r="AU1077" i="4"/>
  <c r="AU1079" i="4" s="1"/>
  <c r="AU1124" i="4"/>
  <c r="AW683" i="4"/>
  <c r="AY679" i="4"/>
  <c r="BA233" i="4"/>
  <c r="BC228" i="4"/>
  <c r="AY118" i="4"/>
  <c r="BA112" i="4"/>
  <c r="AW1303" i="4"/>
  <c r="AW1311" i="4" s="1"/>
  <c r="AY1300" i="4"/>
  <c r="BE727" i="4"/>
  <c r="AY70" i="4"/>
  <c r="AW77" i="4"/>
  <c r="AW78" i="4" s="1"/>
  <c r="BA1254" i="4"/>
  <c r="AY1264" i="4"/>
  <c r="AY1268" i="4" s="1"/>
  <c r="BE655" i="4"/>
  <c r="BE664" i="4" s="1"/>
  <c r="BC664" i="4"/>
  <c r="AU1232" i="4"/>
  <c r="AU1234" i="4" s="1"/>
  <c r="AU1236" i="4" s="1"/>
  <c r="AU1342" i="4"/>
  <c r="BE159" i="4"/>
  <c r="AW1274" i="4"/>
  <c r="AW1228" i="4"/>
  <c r="AW1230" i="4" s="1"/>
  <c r="AU1081" i="4"/>
  <c r="AU1083" i="4" s="1"/>
  <c r="AU1204" i="4"/>
  <c r="AW1478" i="4"/>
  <c r="AW1358" i="4"/>
  <c r="AW1360" i="4" s="1"/>
  <c r="BE599" i="4"/>
  <c r="BA1043" i="4"/>
  <c r="BC853" i="4"/>
  <c r="BC643" i="4"/>
  <c r="BA646" i="4"/>
  <c r="AY1143" i="4"/>
  <c r="BA1138" i="4"/>
  <c r="BA651" i="4"/>
  <c r="BC649" i="4"/>
  <c r="AY307" i="4"/>
  <c r="AY336" i="4" s="1"/>
  <c r="BA305" i="4"/>
  <c r="BC171" i="4"/>
  <c r="BA172" i="4"/>
  <c r="AW1400" i="4"/>
  <c r="BE788" i="4"/>
  <c r="BE812" i="4" s="1"/>
  <c r="BC812" i="4"/>
  <c r="BE175" i="4"/>
  <c r="BE176" i="4" s="1"/>
  <c r="BC176" i="4"/>
  <c r="BA53" i="4"/>
  <c r="BC43" i="4"/>
  <c r="BA460" i="4"/>
  <c r="BA461" i="4" s="1"/>
  <c r="BC430" i="4"/>
  <c r="BC426" i="4"/>
  <c r="BE380" i="4"/>
  <c r="BE426" i="4" s="1"/>
  <c r="E58" i="3"/>
  <c r="B134" i="2"/>
  <c r="M128" i="2"/>
  <c r="H126" i="2"/>
  <c r="H130" i="2" s="1"/>
  <c r="M124" i="2"/>
  <c r="M122" i="2"/>
  <c r="M120" i="2"/>
  <c r="K118" i="2"/>
  <c r="I118" i="2"/>
  <c r="K115" i="2"/>
  <c r="I115" i="2"/>
  <c r="K112" i="2"/>
  <c r="I112" i="2"/>
  <c r="M110" i="2"/>
  <c r="K109" i="2"/>
  <c r="I109" i="2"/>
  <c r="M106" i="2" s="1"/>
  <c r="K105" i="2"/>
  <c r="I105" i="2"/>
  <c r="M102" i="2" s="1"/>
  <c r="K101" i="2"/>
  <c r="I101" i="2"/>
  <c r="M99" i="2" s="1"/>
  <c r="K98" i="2"/>
  <c r="I98" i="2"/>
  <c r="M94" i="2" s="1"/>
  <c r="K93" i="2"/>
  <c r="I93" i="2"/>
  <c r="K86" i="2"/>
  <c r="I86" i="2"/>
  <c r="K80" i="2"/>
  <c r="I80" i="2"/>
  <c r="AJ70" i="2"/>
  <c r="S70" i="2"/>
  <c r="B70" i="2"/>
  <c r="C66" i="2"/>
  <c r="R64" i="2"/>
  <c r="T64" i="2" s="1"/>
  <c r="Y64" i="2" s="1"/>
  <c r="AD64" i="2" s="1"/>
  <c r="AI64" i="2" s="1"/>
  <c r="AK64" i="2" s="1"/>
  <c r="AP64" i="2" s="1"/>
  <c r="AU64" i="2" s="1"/>
  <c r="AZ64" i="2" s="1"/>
  <c r="BB64" i="2" s="1"/>
  <c r="BG64" i="2" s="1"/>
  <c r="BL64" i="2" s="1"/>
  <c r="BQ64" i="2" s="1"/>
  <c r="H62" i="2"/>
  <c r="M62" i="2" s="1"/>
  <c r="R62" i="2" s="1"/>
  <c r="T62" i="2" s="1"/>
  <c r="Y62" i="2" s="1"/>
  <c r="AD62" i="2" s="1"/>
  <c r="AI62" i="2" s="1"/>
  <c r="AK62" i="2" s="1"/>
  <c r="AP62" i="2" s="1"/>
  <c r="AU62" i="2" s="1"/>
  <c r="AZ62" i="2" s="1"/>
  <c r="BB62" i="2" s="1"/>
  <c r="BG62" i="2" s="1"/>
  <c r="BL62" i="2" s="1"/>
  <c r="BQ62" i="2" s="1"/>
  <c r="M60" i="2"/>
  <c r="R60" i="2" s="1"/>
  <c r="T60" i="2" s="1"/>
  <c r="Y60" i="2" s="1"/>
  <c r="AD60" i="2" s="1"/>
  <c r="AI60" i="2" s="1"/>
  <c r="AK60" i="2" s="1"/>
  <c r="AP60" i="2" s="1"/>
  <c r="AU60" i="2" s="1"/>
  <c r="AZ60" i="2" s="1"/>
  <c r="BB60" i="2" s="1"/>
  <c r="BG60" i="2" s="1"/>
  <c r="BL60" i="2" s="1"/>
  <c r="BQ60" i="2" s="1"/>
  <c r="M58" i="2"/>
  <c r="R58" i="2" s="1"/>
  <c r="T58" i="2" s="1"/>
  <c r="Y58" i="2" s="1"/>
  <c r="AD58" i="2" s="1"/>
  <c r="AI58" i="2" s="1"/>
  <c r="AK58" i="2" s="1"/>
  <c r="AP58" i="2" s="1"/>
  <c r="AU58" i="2" s="1"/>
  <c r="AZ58" i="2" s="1"/>
  <c r="BB58" i="2" s="1"/>
  <c r="BG58" i="2" s="1"/>
  <c r="BL58" i="2" s="1"/>
  <c r="BQ58" i="2" s="1"/>
  <c r="H56" i="2"/>
  <c r="BO54" i="2"/>
  <c r="BM54" i="2"/>
  <c r="BJ54" i="2"/>
  <c r="BH54" i="2"/>
  <c r="BE54" i="2"/>
  <c r="BC54" i="2"/>
  <c r="AX54" i="2"/>
  <c r="AV54" i="2"/>
  <c r="AS54" i="2"/>
  <c r="AQ54" i="2"/>
  <c r="AN54" i="2"/>
  <c r="AL54" i="2"/>
  <c r="AG54" i="2"/>
  <c r="AE54" i="2"/>
  <c r="AB54" i="2"/>
  <c r="Z54" i="2"/>
  <c r="W54" i="2"/>
  <c r="U54" i="2"/>
  <c r="P54" i="2"/>
  <c r="N54" i="2"/>
  <c r="K54" i="2"/>
  <c r="I54" i="2"/>
  <c r="F54" i="2"/>
  <c r="D54" i="2"/>
  <c r="BO51" i="2"/>
  <c r="BM51" i="2"/>
  <c r="BJ51" i="2"/>
  <c r="BH51" i="2"/>
  <c r="BE51" i="2"/>
  <c r="BC51" i="2"/>
  <c r="AX51" i="2"/>
  <c r="AV51" i="2"/>
  <c r="AS51" i="2"/>
  <c r="AQ51" i="2"/>
  <c r="AN51" i="2"/>
  <c r="AL51" i="2"/>
  <c r="AG51" i="2"/>
  <c r="AE51" i="2"/>
  <c r="AB51" i="2"/>
  <c r="Z51" i="2"/>
  <c r="W51" i="2"/>
  <c r="U51" i="2"/>
  <c r="P51" i="2"/>
  <c r="N51" i="2"/>
  <c r="K51" i="2"/>
  <c r="I51" i="2"/>
  <c r="F51" i="2"/>
  <c r="D51" i="2"/>
  <c r="BO48" i="2"/>
  <c r="BM48" i="2"/>
  <c r="BJ48" i="2"/>
  <c r="BL46" i="2" s="1"/>
  <c r="BH48" i="2"/>
  <c r="BE48" i="2"/>
  <c r="BC48" i="2"/>
  <c r="AX48" i="2"/>
  <c r="AV48" i="2"/>
  <c r="AS48" i="2"/>
  <c r="AQ48" i="2"/>
  <c r="AN48" i="2"/>
  <c r="AL48" i="2"/>
  <c r="AG48" i="2"/>
  <c r="AE48" i="2"/>
  <c r="AB48" i="2"/>
  <c r="Z48" i="2"/>
  <c r="W48" i="2"/>
  <c r="U48" i="2"/>
  <c r="P48" i="2"/>
  <c r="R46" i="2" s="1"/>
  <c r="N48" i="2"/>
  <c r="K48" i="2"/>
  <c r="I48" i="2"/>
  <c r="F48" i="2"/>
  <c r="D48" i="2"/>
  <c r="BQ46" i="2"/>
  <c r="BO45" i="2"/>
  <c r="BM45" i="2"/>
  <c r="BJ45" i="2"/>
  <c r="BH45" i="2"/>
  <c r="BE45" i="2"/>
  <c r="BC45" i="2"/>
  <c r="AX45" i="2"/>
  <c r="AV45" i="2"/>
  <c r="AS45" i="2"/>
  <c r="AQ45" i="2"/>
  <c r="AN45" i="2"/>
  <c r="AL45" i="2"/>
  <c r="AG45" i="2"/>
  <c r="AE45" i="2"/>
  <c r="AB45" i="2"/>
  <c r="Z45" i="2"/>
  <c r="W45" i="2"/>
  <c r="U45" i="2"/>
  <c r="P45" i="2"/>
  <c r="N45" i="2"/>
  <c r="K45" i="2"/>
  <c r="I45" i="2"/>
  <c r="F45" i="2"/>
  <c r="D45" i="2"/>
  <c r="BM41" i="2"/>
  <c r="BH41" i="2"/>
  <c r="BC41" i="2"/>
  <c r="AV41" i="2"/>
  <c r="AQ41" i="2"/>
  <c r="AL41" i="2"/>
  <c r="AE41" i="2"/>
  <c r="Z41" i="2"/>
  <c r="W41" i="2"/>
  <c r="U41" i="2"/>
  <c r="P41" i="2"/>
  <c r="N41" i="2"/>
  <c r="K41" i="2"/>
  <c r="I41" i="2"/>
  <c r="F41" i="2"/>
  <c r="D41" i="2"/>
  <c r="AB36" i="2"/>
  <c r="AB41" i="2" s="1"/>
  <c r="BO35" i="2"/>
  <c r="BM35" i="2"/>
  <c r="BJ35" i="2"/>
  <c r="BH35" i="2"/>
  <c r="BE35" i="2"/>
  <c r="BC35" i="2"/>
  <c r="AX35" i="2"/>
  <c r="AV35" i="2"/>
  <c r="AS35" i="2"/>
  <c r="AQ35" i="2"/>
  <c r="AN35" i="2"/>
  <c r="AL35" i="2"/>
  <c r="AG35" i="2"/>
  <c r="AE35" i="2"/>
  <c r="AB35" i="2"/>
  <c r="Z35" i="2"/>
  <c r="W35" i="2"/>
  <c r="U35" i="2"/>
  <c r="P35" i="2"/>
  <c r="N35" i="2"/>
  <c r="K35" i="2"/>
  <c r="I35" i="2"/>
  <c r="F35" i="2"/>
  <c r="D35" i="2"/>
  <c r="BO32" i="2"/>
  <c r="BM32" i="2"/>
  <c r="BJ32" i="2"/>
  <c r="BH32" i="2"/>
  <c r="BE32" i="2"/>
  <c r="BC32" i="2"/>
  <c r="AX32" i="2"/>
  <c r="AV32" i="2"/>
  <c r="AS32" i="2"/>
  <c r="AQ32" i="2"/>
  <c r="AN32" i="2"/>
  <c r="AL32" i="2"/>
  <c r="AG32" i="2"/>
  <c r="AE32" i="2"/>
  <c r="AB32" i="2"/>
  <c r="Z32" i="2"/>
  <c r="W32" i="2"/>
  <c r="U32" i="2"/>
  <c r="P32" i="2"/>
  <c r="N32" i="2"/>
  <c r="K32" i="2"/>
  <c r="I32" i="2"/>
  <c r="F32" i="2"/>
  <c r="D28" i="2"/>
  <c r="D32" i="2" s="1"/>
  <c r="BO27" i="2"/>
  <c r="BM27" i="2"/>
  <c r="BJ27" i="2"/>
  <c r="BH27" i="2"/>
  <c r="BE27" i="2"/>
  <c r="BC27" i="2"/>
  <c r="AX27" i="2"/>
  <c r="AV27" i="2"/>
  <c r="AS27" i="2"/>
  <c r="AQ27" i="2"/>
  <c r="AN27" i="2"/>
  <c r="AL27" i="2"/>
  <c r="AG27" i="2"/>
  <c r="AE27" i="2"/>
  <c r="AB27" i="2"/>
  <c r="Z27" i="2"/>
  <c r="W27" i="2"/>
  <c r="U27" i="2"/>
  <c r="N27" i="2"/>
  <c r="R18" i="2" s="1"/>
  <c r="K27" i="2"/>
  <c r="I27" i="2"/>
  <c r="F27" i="2"/>
  <c r="D27" i="2"/>
  <c r="BO17" i="2"/>
  <c r="BM17" i="2"/>
  <c r="BJ17" i="2"/>
  <c r="BH17" i="2"/>
  <c r="BE17" i="2"/>
  <c r="BC17" i="2"/>
  <c r="AX17" i="2"/>
  <c r="AV17" i="2"/>
  <c r="AS17" i="2"/>
  <c r="AQ17" i="2"/>
  <c r="AN17" i="2"/>
  <c r="AL17" i="2"/>
  <c r="AG17" i="2"/>
  <c r="AE17" i="2"/>
  <c r="AB17" i="2"/>
  <c r="Z17" i="2"/>
  <c r="W17" i="2"/>
  <c r="U17" i="2"/>
  <c r="P17" i="2"/>
  <c r="N17" i="2"/>
  <c r="K17" i="2"/>
  <c r="I17" i="2"/>
  <c r="F17" i="2"/>
  <c r="D17" i="2"/>
  <c r="BO11" i="2"/>
  <c r="BM11" i="2"/>
  <c r="BJ11" i="2"/>
  <c r="BH11" i="2"/>
  <c r="BE11" i="2"/>
  <c r="BC11" i="2"/>
  <c r="AX11" i="2"/>
  <c r="AV11" i="2"/>
  <c r="AS11" i="2"/>
  <c r="AQ11" i="2"/>
  <c r="AN11" i="2"/>
  <c r="AL11" i="2"/>
  <c r="AG11" i="2"/>
  <c r="AE11" i="2"/>
  <c r="AB11" i="2"/>
  <c r="Z11" i="2"/>
  <c r="W11" i="2"/>
  <c r="U11" i="2"/>
  <c r="P11" i="2"/>
  <c r="N11" i="2"/>
  <c r="K11" i="2"/>
  <c r="I11" i="2"/>
  <c r="F11" i="2"/>
  <c r="D11" i="2"/>
  <c r="AH609" i="1"/>
  <c r="AH489" i="1"/>
  <c r="AH427" i="1"/>
  <c r="AH513" i="1"/>
  <c r="AJ513" i="1" s="1"/>
  <c r="AL513" i="1" s="1"/>
  <c r="AN513" i="1" s="1"/>
  <c r="AP513" i="1" s="1"/>
  <c r="AR513" i="1" s="1"/>
  <c r="AT513" i="1" s="1"/>
  <c r="AV513" i="1" s="1"/>
  <c r="AX513" i="1" s="1"/>
  <c r="AZ513" i="1" s="1"/>
  <c r="AH491" i="1"/>
  <c r="AJ512" i="1"/>
  <c r="AL512" i="1" s="1"/>
  <c r="AN512" i="1" s="1"/>
  <c r="AP512" i="1" s="1"/>
  <c r="AR512" i="1" s="1"/>
  <c r="AT512" i="1" s="1"/>
  <c r="AV512" i="1" s="1"/>
  <c r="AX512" i="1" s="1"/>
  <c r="AZ512" i="1" s="1"/>
  <c r="AH488" i="1"/>
  <c r="AH510" i="1"/>
  <c r="AJ521" i="1"/>
  <c r="AL521" i="1" s="1"/>
  <c r="AN521" i="1" s="1"/>
  <c r="AP521" i="1" s="1"/>
  <c r="AR521" i="1" s="1"/>
  <c r="AT521" i="1" s="1"/>
  <c r="AV521" i="1" s="1"/>
  <c r="AX521" i="1" s="1"/>
  <c r="AZ521" i="1" s="1"/>
  <c r="AH1612" i="1"/>
  <c r="AH1596" i="1"/>
  <c r="AH1604" i="1" s="1"/>
  <c r="AJ1592" i="1" s="1"/>
  <c r="AJ1596" i="1" s="1"/>
  <c r="AJ1604" i="1" s="1"/>
  <c r="AL1592" i="1" s="1"/>
  <c r="AL1596" i="1" s="1"/>
  <c r="AL1604" i="1" s="1"/>
  <c r="AN1592" i="1" s="1"/>
  <c r="AN1596" i="1" s="1"/>
  <c r="AN1604" i="1" s="1"/>
  <c r="AP1592" i="1" s="1"/>
  <c r="AP1596" i="1" s="1"/>
  <c r="AP1604" i="1" s="1"/>
  <c r="AR1592" i="1" s="1"/>
  <c r="AR1596" i="1" s="1"/>
  <c r="AR1604" i="1" s="1"/>
  <c r="AT1592" i="1" s="1"/>
  <c r="AT1596" i="1" s="1"/>
  <c r="AT1604" i="1" s="1"/>
  <c r="AV1592" i="1" s="1"/>
  <c r="AV1596" i="1" s="1"/>
  <c r="AV1604" i="1" s="1"/>
  <c r="AX1592" i="1" s="1"/>
  <c r="AX1596" i="1" s="1"/>
  <c r="AX1604" i="1" s="1"/>
  <c r="AZ1592" i="1" s="1"/>
  <c r="AZ1596" i="1" s="1"/>
  <c r="AZ1604" i="1" s="1"/>
  <c r="AH1580" i="1"/>
  <c r="AH1588" i="1" s="1"/>
  <c r="AJ1576" i="1" s="1"/>
  <c r="AJ1580" i="1" s="1"/>
  <c r="AJ1588" i="1" s="1"/>
  <c r="AL1576" i="1" s="1"/>
  <c r="AL1580" i="1" s="1"/>
  <c r="AL1588" i="1" s="1"/>
  <c r="AN1576" i="1" s="1"/>
  <c r="AN1580" i="1" s="1"/>
  <c r="AN1588" i="1" s="1"/>
  <c r="AP1576" i="1" s="1"/>
  <c r="AP1580" i="1" s="1"/>
  <c r="AP1588" i="1" s="1"/>
  <c r="AR1576" i="1" s="1"/>
  <c r="AR1580" i="1" s="1"/>
  <c r="AR1588" i="1" s="1"/>
  <c r="AT1576" i="1" s="1"/>
  <c r="AT1580" i="1" s="1"/>
  <c r="AT1588" i="1" s="1"/>
  <c r="AV1576" i="1" s="1"/>
  <c r="AV1580" i="1" s="1"/>
  <c r="AV1588" i="1" s="1"/>
  <c r="AX1576" i="1" s="1"/>
  <c r="AX1580" i="1" s="1"/>
  <c r="AX1588" i="1" s="1"/>
  <c r="AZ1576" i="1" s="1"/>
  <c r="AZ1580" i="1" s="1"/>
  <c r="AZ1588" i="1" s="1"/>
  <c r="AH1564" i="1"/>
  <c r="AH1572" i="1" s="1"/>
  <c r="AJ1560" i="1" s="1"/>
  <c r="AJ1564" i="1" s="1"/>
  <c r="AJ1572" i="1" s="1"/>
  <c r="AL1560" i="1" s="1"/>
  <c r="AL1564" i="1" s="1"/>
  <c r="AL1572" i="1" s="1"/>
  <c r="AN1560" i="1" s="1"/>
  <c r="AN1564" i="1" s="1"/>
  <c r="AN1572" i="1" s="1"/>
  <c r="AP1560" i="1" s="1"/>
  <c r="AP1564" i="1" s="1"/>
  <c r="AP1572" i="1" s="1"/>
  <c r="AR1560" i="1" s="1"/>
  <c r="AR1564" i="1" s="1"/>
  <c r="AR1572" i="1" s="1"/>
  <c r="AT1560" i="1" s="1"/>
  <c r="AT1564" i="1" s="1"/>
  <c r="AT1572" i="1" s="1"/>
  <c r="AV1560" i="1" s="1"/>
  <c r="AV1564" i="1" s="1"/>
  <c r="AV1572" i="1" s="1"/>
  <c r="AX1560" i="1" s="1"/>
  <c r="AX1564" i="1" s="1"/>
  <c r="AX1572" i="1" s="1"/>
  <c r="AZ1560" i="1" s="1"/>
  <c r="AZ1564" i="1" s="1"/>
  <c r="AZ1572" i="1" s="1"/>
  <c r="AH1543" i="1"/>
  <c r="AH1551" i="1" s="1"/>
  <c r="AJ1539" i="1" s="1"/>
  <c r="AJ1543" i="1" s="1"/>
  <c r="AJ1551" i="1" s="1"/>
  <c r="AL1539" i="1" s="1"/>
  <c r="AL1543" i="1" s="1"/>
  <c r="AL1551" i="1" s="1"/>
  <c r="AN1539" i="1" s="1"/>
  <c r="AN1543" i="1" s="1"/>
  <c r="AN1551" i="1" s="1"/>
  <c r="AP1539" i="1" s="1"/>
  <c r="AP1543" i="1" s="1"/>
  <c r="AP1551" i="1" s="1"/>
  <c r="AR1539" i="1" s="1"/>
  <c r="AR1543" i="1" s="1"/>
  <c r="AR1551" i="1" s="1"/>
  <c r="AT1539" i="1" s="1"/>
  <c r="AT1543" i="1" s="1"/>
  <c r="AT1551" i="1" s="1"/>
  <c r="AV1539" i="1" s="1"/>
  <c r="AV1543" i="1" s="1"/>
  <c r="AV1551" i="1" s="1"/>
  <c r="AX1539" i="1" s="1"/>
  <c r="AX1543" i="1" s="1"/>
  <c r="AX1551" i="1" s="1"/>
  <c r="AZ1539" i="1" s="1"/>
  <c r="AZ1543" i="1" s="1"/>
  <c r="AZ1551" i="1" s="1"/>
  <c r="AH1527" i="1"/>
  <c r="AH1535" i="1" s="1"/>
  <c r="AJ1523" i="1" s="1"/>
  <c r="AJ1527" i="1" s="1"/>
  <c r="AJ1535" i="1" s="1"/>
  <c r="AL1523" i="1" s="1"/>
  <c r="AL1527" i="1" s="1"/>
  <c r="AL1535" i="1" s="1"/>
  <c r="AN1523" i="1" s="1"/>
  <c r="AN1527" i="1" s="1"/>
  <c r="AN1535" i="1" s="1"/>
  <c r="AP1523" i="1" s="1"/>
  <c r="AP1527" i="1" s="1"/>
  <c r="AP1535" i="1" s="1"/>
  <c r="AR1523" i="1" s="1"/>
  <c r="AR1527" i="1" s="1"/>
  <c r="AR1535" i="1" s="1"/>
  <c r="AT1523" i="1" s="1"/>
  <c r="AT1527" i="1" s="1"/>
  <c r="AT1535" i="1" s="1"/>
  <c r="AV1523" i="1" s="1"/>
  <c r="AV1527" i="1" s="1"/>
  <c r="AV1535" i="1" s="1"/>
  <c r="AX1523" i="1" s="1"/>
  <c r="AX1527" i="1" s="1"/>
  <c r="AX1535" i="1" s="1"/>
  <c r="AZ1523" i="1" s="1"/>
  <c r="AZ1527" i="1" s="1"/>
  <c r="AZ1535" i="1" s="1"/>
  <c r="AH1511" i="1"/>
  <c r="AH1519" i="1" s="1"/>
  <c r="AJ1507" i="1" s="1"/>
  <c r="AJ1511" i="1" s="1"/>
  <c r="AJ1519" i="1" s="1"/>
  <c r="AL1507" i="1" s="1"/>
  <c r="AL1511" i="1" s="1"/>
  <c r="AL1519" i="1" s="1"/>
  <c r="AN1507" i="1" s="1"/>
  <c r="AN1511" i="1" s="1"/>
  <c r="AN1519" i="1" s="1"/>
  <c r="AP1507" i="1" s="1"/>
  <c r="AP1511" i="1" s="1"/>
  <c r="AP1519" i="1" s="1"/>
  <c r="AR1507" i="1" s="1"/>
  <c r="AR1511" i="1" s="1"/>
  <c r="AR1519" i="1" s="1"/>
  <c r="AT1507" i="1" s="1"/>
  <c r="AT1511" i="1" s="1"/>
  <c r="AT1519" i="1" s="1"/>
  <c r="AV1507" i="1" s="1"/>
  <c r="AV1511" i="1" s="1"/>
  <c r="AV1519" i="1" s="1"/>
  <c r="AX1507" i="1" s="1"/>
  <c r="AX1511" i="1" s="1"/>
  <c r="AX1519" i="1" s="1"/>
  <c r="AZ1507" i="1" s="1"/>
  <c r="AZ1511" i="1" s="1"/>
  <c r="AZ1519" i="1" s="1"/>
  <c r="AH1503" i="1"/>
  <c r="AJ1491" i="1" s="1"/>
  <c r="AJ1495" i="1" s="1"/>
  <c r="AJ1503" i="1" s="1"/>
  <c r="AL1491" i="1" s="1"/>
  <c r="AL1495" i="1" s="1"/>
  <c r="AL1503" i="1" s="1"/>
  <c r="AN1491" i="1" s="1"/>
  <c r="AN1495" i="1" s="1"/>
  <c r="AN1503" i="1" s="1"/>
  <c r="AP1491" i="1" s="1"/>
  <c r="AP1495" i="1" s="1"/>
  <c r="AP1503" i="1" s="1"/>
  <c r="AR1491" i="1" s="1"/>
  <c r="AR1495" i="1" s="1"/>
  <c r="AR1503" i="1" s="1"/>
  <c r="AT1491" i="1" s="1"/>
  <c r="AT1495" i="1" s="1"/>
  <c r="AT1503" i="1" s="1"/>
  <c r="AV1491" i="1" s="1"/>
  <c r="AV1495" i="1" s="1"/>
  <c r="AV1503" i="1" s="1"/>
  <c r="AX1491" i="1" s="1"/>
  <c r="AX1495" i="1" s="1"/>
  <c r="AX1503" i="1" s="1"/>
  <c r="AZ1491" i="1" s="1"/>
  <c r="AZ1495" i="1" s="1"/>
  <c r="AZ1503" i="1" s="1"/>
  <c r="AE1474" i="1"/>
  <c r="Y1474" i="1"/>
  <c r="V1474" i="1"/>
  <c r="T1474" i="1"/>
  <c r="R1474" i="1"/>
  <c r="L1474" i="1"/>
  <c r="J1474" i="1"/>
  <c r="F1474" i="1"/>
  <c r="D1474" i="1"/>
  <c r="B1474" i="1"/>
  <c r="AH1473" i="1"/>
  <c r="AJ1473" i="1" s="1"/>
  <c r="AL1473" i="1" s="1"/>
  <c r="AN1473" i="1" s="1"/>
  <c r="AP1473" i="1" s="1"/>
  <c r="AR1473" i="1" s="1"/>
  <c r="AT1473" i="1" s="1"/>
  <c r="AV1473" i="1" s="1"/>
  <c r="AX1473" i="1" s="1"/>
  <c r="AZ1473" i="1" s="1"/>
  <c r="AF1473" i="1"/>
  <c r="AC1473" i="1"/>
  <c r="AC1474" i="1" s="1"/>
  <c r="Z1473" i="1"/>
  <c r="W1473" i="1"/>
  <c r="U1473" i="1"/>
  <c r="S1473" i="1"/>
  <c r="N1473" i="1"/>
  <c r="K1473" i="1"/>
  <c r="H1473" i="1"/>
  <c r="E1473" i="1"/>
  <c r="AF1472" i="1"/>
  <c r="AD1472" i="1"/>
  <c r="Z1472" i="1"/>
  <c r="W1472" i="1"/>
  <c r="U1472" i="1"/>
  <c r="S1472" i="1"/>
  <c r="N1472" i="1"/>
  <c r="K1472" i="1"/>
  <c r="H1472" i="1"/>
  <c r="E1472" i="1"/>
  <c r="AF1471" i="1"/>
  <c r="AD1471" i="1"/>
  <c r="Z1471" i="1"/>
  <c r="W1471" i="1"/>
  <c r="U1471" i="1"/>
  <c r="S1471" i="1"/>
  <c r="N1471" i="1"/>
  <c r="K1471" i="1"/>
  <c r="H1471" i="1"/>
  <c r="E1471" i="1"/>
  <c r="AF1470" i="1"/>
  <c r="AD1470" i="1"/>
  <c r="Z1470" i="1"/>
  <c r="W1470" i="1"/>
  <c r="U1470" i="1"/>
  <c r="S1470" i="1"/>
  <c r="N1470" i="1"/>
  <c r="K1470" i="1"/>
  <c r="H1470" i="1"/>
  <c r="E1470" i="1"/>
  <c r="AF1469" i="1"/>
  <c r="AD1469" i="1"/>
  <c r="Z1469" i="1"/>
  <c r="W1469" i="1"/>
  <c r="U1469" i="1"/>
  <c r="S1469" i="1"/>
  <c r="AF1468" i="1"/>
  <c r="AD1468" i="1"/>
  <c r="Z1468" i="1"/>
  <c r="W1468" i="1"/>
  <c r="U1468" i="1"/>
  <c r="S1468" i="1"/>
  <c r="N1468" i="1"/>
  <c r="K1468" i="1"/>
  <c r="H1468" i="1"/>
  <c r="E1468" i="1"/>
  <c r="AF1467" i="1"/>
  <c r="AD1467" i="1"/>
  <c r="Z1467" i="1"/>
  <c r="W1467" i="1"/>
  <c r="U1467" i="1"/>
  <c r="S1467" i="1"/>
  <c r="N1467" i="1"/>
  <c r="K1467" i="1"/>
  <c r="H1467" i="1"/>
  <c r="E1467" i="1"/>
  <c r="AF1466" i="1"/>
  <c r="AD1466" i="1"/>
  <c r="Z1466" i="1"/>
  <c r="W1466" i="1"/>
  <c r="U1466" i="1"/>
  <c r="S1466" i="1"/>
  <c r="N1466" i="1"/>
  <c r="K1466" i="1"/>
  <c r="H1466" i="1"/>
  <c r="E1466" i="1"/>
  <c r="AH1465" i="1"/>
  <c r="AJ1465" i="1" s="1"/>
  <c r="AF1465" i="1"/>
  <c r="AD1465" i="1"/>
  <c r="Z1465" i="1"/>
  <c r="W1465" i="1"/>
  <c r="S1465" i="1"/>
  <c r="P1465" i="1"/>
  <c r="N1465" i="1"/>
  <c r="K1465" i="1"/>
  <c r="H1465" i="1"/>
  <c r="E1465" i="1"/>
  <c r="AF1464" i="1"/>
  <c r="AD1464" i="1"/>
  <c r="Z1464" i="1"/>
  <c r="W1464" i="1"/>
  <c r="U1464" i="1"/>
  <c r="S1464" i="1"/>
  <c r="N1464" i="1"/>
  <c r="K1464" i="1"/>
  <c r="H1464" i="1"/>
  <c r="E1464" i="1"/>
  <c r="AF1463" i="1"/>
  <c r="AD1463" i="1"/>
  <c r="Z1463" i="1"/>
  <c r="W1463" i="1"/>
  <c r="U1463" i="1"/>
  <c r="S1463" i="1"/>
  <c r="N1463" i="1"/>
  <c r="K1463" i="1"/>
  <c r="H1463" i="1"/>
  <c r="E1463" i="1"/>
  <c r="AZ1460" i="1"/>
  <c r="AX1460" i="1"/>
  <c r="AV1460" i="1"/>
  <c r="AT1460" i="1"/>
  <c r="AR1460" i="1"/>
  <c r="AP1460" i="1"/>
  <c r="AN1460" i="1"/>
  <c r="AL1460" i="1"/>
  <c r="AM127" i="8" s="1"/>
  <c r="AJ1460" i="1"/>
  <c r="AH1460" i="1"/>
  <c r="AE1460" i="1"/>
  <c r="AC1460" i="1"/>
  <c r="Y1460" i="1"/>
  <c r="V1460" i="1"/>
  <c r="T1460" i="1"/>
  <c r="R1460" i="1"/>
  <c r="P1460" i="1"/>
  <c r="L1460" i="1"/>
  <c r="J1460" i="1"/>
  <c r="F1460" i="1"/>
  <c r="D1460" i="1"/>
  <c r="B1460" i="1"/>
  <c r="AF1459" i="1"/>
  <c r="AD1459" i="1"/>
  <c r="Z1459" i="1"/>
  <c r="N1459" i="1"/>
  <c r="K1459" i="1"/>
  <c r="H1459" i="1"/>
  <c r="E1459" i="1"/>
  <c r="AF1458" i="1"/>
  <c r="AD1458" i="1"/>
  <c r="Z1458" i="1"/>
  <c r="N1458" i="1"/>
  <c r="K1458" i="1"/>
  <c r="H1458" i="1"/>
  <c r="E1458" i="1"/>
  <c r="AF1457" i="1"/>
  <c r="AD1457" i="1"/>
  <c r="Z1457" i="1"/>
  <c r="N1457" i="1"/>
  <c r="K1457" i="1"/>
  <c r="H1457" i="1"/>
  <c r="E1457" i="1"/>
  <c r="AF1456" i="1"/>
  <c r="AD1456" i="1"/>
  <c r="Z1456" i="1"/>
  <c r="N1456" i="1"/>
  <c r="K1456" i="1"/>
  <c r="H1456" i="1"/>
  <c r="E1456" i="1"/>
  <c r="AF1455" i="1"/>
  <c r="AD1455" i="1"/>
  <c r="Z1455" i="1"/>
  <c r="N1455" i="1"/>
  <c r="K1455" i="1"/>
  <c r="H1455" i="1"/>
  <c r="E1455" i="1"/>
  <c r="AF1454" i="1"/>
  <c r="AD1454" i="1"/>
  <c r="Z1454" i="1"/>
  <c r="N1454" i="1"/>
  <c r="K1454" i="1"/>
  <c r="H1454" i="1"/>
  <c r="E1454" i="1"/>
  <c r="AF1453" i="1"/>
  <c r="AD1453" i="1"/>
  <c r="Z1453" i="1"/>
  <c r="N1453" i="1"/>
  <c r="K1453" i="1"/>
  <c r="H1453" i="1"/>
  <c r="E1453" i="1"/>
  <c r="AF1452" i="1"/>
  <c r="AD1452" i="1"/>
  <c r="Z1452" i="1"/>
  <c r="W1452" i="1"/>
  <c r="W1460" i="1" s="1"/>
  <c r="U1452" i="1"/>
  <c r="U1460" i="1" s="1"/>
  <c r="S1452" i="1"/>
  <c r="S1460" i="1" s="1"/>
  <c r="N1452" i="1"/>
  <c r="K1452" i="1"/>
  <c r="H1452" i="1"/>
  <c r="E1452" i="1"/>
  <c r="Z1451" i="1"/>
  <c r="AZ1449" i="1"/>
  <c r="AX1449" i="1"/>
  <c r="AV1449" i="1"/>
  <c r="AT1449" i="1"/>
  <c r="AR1449" i="1"/>
  <c r="AP1449" i="1"/>
  <c r="AN1449" i="1"/>
  <c r="AL1449" i="1"/>
  <c r="AM115" i="8" s="1"/>
  <c r="AJ1449" i="1"/>
  <c r="AH1449" i="1"/>
  <c r="AE1449" i="1"/>
  <c r="AC1449" i="1"/>
  <c r="Y1449" i="1"/>
  <c r="V1449" i="1"/>
  <c r="T1449" i="1"/>
  <c r="R1449" i="1"/>
  <c r="P1449" i="1"/>
  <c r="L1449" i="1"/>
  <c r="J1449" i="1"/>
  <c r="F1449" i="1"/>
  <c r="D1449" i="1"/>
  <c r="B1449" i="1"/>
  <c r="AF1448" i="1"/>
  <c r="AD1448" i="1"/>
  <c r="Z1448" i="1"/>
  <c r="N1448" i="1"/>
  <c r="K1448" i="1"/>
  <c r="H1448" i="1"/>
  <c r="E1448" i="1"/>
  <c r="AF1447" i="1"/>
  <c r="AD1447" i="1"/>
  <c r="Z1447" i="1"/>
  <c r="N1447" i="1"/>
  <c r="K1447" i="1"/>
  <c r="H1447" i="1"/>
  <c r="E1447" i="1"/>
  <c r="AF1446" i="1"/>
  <c r="AD1446" i="1"/>
  <c r="Z1446" i="1"/>
  <c r="N1446" i="1"/>
  <c r="K1446" i="1"/>
  <c r="H1446" i="1"/>
  <c r="E1446" i="1"/>
  <c r="AF1445" i="1"/>
  <c r="AD1445" i="1"/>
  <c r="Z1445" i="1"/>
  <c r="N1445" i="1"/>
  <c r="K1445" i="1"/>
  <c r="H1445" i="1"/>
  <c r="E1445" i="1"/>
  <c r="AF1444" i="1"/>
  <c r="AD1444" i="1"/>
  <c r="Z1444" i="1"/>
  <c r="N1444" i="1"/>
  <c r="K1444" i="1"/>
  <c r="H1444" i="1"/>
  <c r="E1444" i="1"/>
  <c r="AF1443" i="1"/>
  <c r="AD1443" i="1"/>
  <c r="Z1443" i="1"/>
  <c r="N1443" i="1"/>
  <c r="K1443" i="1"/>
  <c r="H1443" i="1"/>
  <c r="E1443" i="1"/>
  <c r="AF1442" i="1"/>
  <c r="AD1442" i="1"/>
  <c r="Z1442" i="1"/>
  <c r="W1442" i="1"/>
  <c r="U1442" i="1"/>
  <c r="S1442" i="1"/>
  <c r="N1442" i="1"/>
  <c r="K1442" i="1"/>
  <c r="H1442" i="1"/>
  <c r="E1442" i="1"/>
  <c r="AF1441" i="1"/>
  <c r="AD1441" i="1"/>
  <c r="Z1441" i="1"/>
  <c r="W1441" i="1"/>
  <c r="N1441" i="1"/>
  <c r="K1441" i="1"/>
  <c r="H1441" i="1"/>
  <c r="E1441" i="1"/>
  <c r="AF1440" i="1"/>
  <c r="AD1440" i="1"/>
  <c r="Z1440" i="1"/>
  <c r="W1440" i="1"/>
  <c r="N1440" i="1"/>
  <c r="K1440" i="1"/>
  <c r="H1440" i="1"/>
  <c r="E1440" i="1"/>
  <c r="AF1439" i="1"/>
  <c r="AD1439" i="1"/>
  <c r="Z1439" i="1"/>
  <c r="W1439" i="1"/>
  <c r="N1439" i="1"/>
  <c r="K1439" i="1"/>
  <c r="H1439" i="1"/>
  <c r="E1439" i="1"/>
  <c r="AF1438" i="1"/>
  <c r="AD1438" i="1"/>
  <c r="Z1438" i="1"/>
  <c r="W1438" i="1"/>
  <c r="N1438" i="1"/>
  <c r="K1438" i="1"/>
  <c r="H1438" i="1"/>
  <c r="E1438" i="1"/>
  <c r="AF1437" i="1"/>
  <c r="AD1437" i="1"/>
  <c r="Z1437" i="1"/>
  <c r="W1437" i="1"/>
  <c r="N1437" i="1"/>
  <c r="K1437" i="1"/>
  <c r="H1437" i="1"/>
  <c r="E1437" i="1"/>
  <c r="AF1436" i="1"/>
  <c r="AD1436" i="1"/>
  <c r="Z1436" i="1"/>
  <c r="W1436" i="1"/>
  <c r="N1436" i="1"/>
  <c r="K1436" i="1"/>
  <c r="H1436" i="1"/>
  <c r="E1436" i="1"/>
  <c r="AF1435" i="1"/>
  <c r="AD1435" i="1"/>
  <c r="Z1435" i="1"/>
  <c r="W1435" i="1"/>
  <c r="N1435" i="1"/>
  <c r="K1435" i="1"/>
  <c r="H1435" i="1"/>
  <c r="E1435" i="1"/>
  <c r="AF1434" i="1"/>
  <c r="AD1434" i="1"/>
  <c r="Z1434" i="1"/>
  <c r="W1434" i="1"/>
  <c r="N1434" i="1"/>
  <c r="K1434" i="1"/>
  <c r="H1434" i="1"/>
  <c r="E1434" i="1"/>
  <c r="AF1433" i="1"/>
  <c r="AD1433" i="1"/>
  <c r="Z1433" i="1"/>
  <c r="W1433" i="1"/>
  <c r="N1433" i="1"/>
  <c r="K1433" i="1"/>
  <c r="H1433" i="1"/>
  <c r="E1433" i="1"/>
  <c r="AF1432" i="1"/>
  <c r="AD1432" i="1"/>
  <c r="Z1432" i="1"/>
  <c r="W1432" i="1"/>
  <c r="N1432" i="1"/>
  <c r="K1432" i="1"/>
  <c r="H1432" i="1"/>
  <c r="E1432" i="1"/>
  <c r="AF1431" i="1"/>
  <c r="AD1431" i="1"/>
  <c r="Z1431" i="1"/>
  <c r="W1431" i="1"/>
  <c r="W1449" i="1" s="1"/>
  <c r="U1431" i="1"/>
  <c r="S1431" i="1"/>
  <c r="N1431" i="1"/>
  <c r="K1431" i="1"/>
  <c r="H1431" i="1"/>
  <c r="E1431" i="1"/>
  <c r="AF1430" i="1"/>
  <c r="AD1430" i="1"/>
  <c r="Z1430" i="1"/>
  <c r="AF1429" i="1"/>
  <c r="AD1429" i="1"/>
  <c r="Z1429" i="1"/>
  <c r="AF1428" i="1"/>
  <c r="AD1428" i="1"/>
  <c r="Z1428" i="1"/>
  <c r="AF1427" i="1"/>
  <c r="AD1427" i="1"/>
  <c r="Z1427" i="1"/>
  <c r="AZ1425" i="1"/>
  <c r="AX1425" i="1"/>
  <c r="AV1425" i="1"/>
  <c r="AT1425" i="1"/>
  <c r="AR1425" i="1"/>
  <c r="AP1425" i="1"/>
  <c r="AN1425" i="1"/>
  <c r="AL1425" i="1"/>
  <c r="AJ1425" i="1"/>
  <c r="AH1425" i="1"/>
  <c r="AE1425" i="1"/>
  <c r="AC1425" i="1"/>
  <c r="Y1425" i="1"/>
  <c r="W1425" i="1"/>
  <c r="V1425" i="1"/>
  <c r="T1425" i="1"/>
  <c r="R1425" i="1"/>
  <c r="P1425" i="1"/>
  <c r="L1425" i="1"/>
  <c r="J1425" i="1"/>
  <c r="F1425" i="1"/>
  <c r="D1425" i="1"/>
  <c r="B1425" i="1"/>
  <c r="AF1424" i="1"/>
  <c r="AD1424" i="1"/>
  <c r="Z1424" i="1"/>
  <c r="AF1423" i="1"/>
  <c r="AD1423" i="1"/>
  <c r="Z1423" i="1"/>
  <c r="U1423" i="1"/>
  <c r="S1423" i="1"/>
  <c r="AF1422" i="1"/>
  <c r="AD1422" i="1"/>
  <c r="Z1422" i="1"/>
  <c r="U1422" i="1"/>
  <c r="S1422" i="1"/>
  <c r="N1422" i="1"/>
  <c r="N1425" i="1" s="1"/>
  <c r="K1422" i="1"/>
  <c r="K1425" i="1" s="1"/>
  <c r="H1422" i="1"/>
  <c r="H1425" i="1" s="1"/>
  <c r="E1422" i="1"/>
  <c r="E1425" i="1" s="1"/>
  <c r="AH1418" i="1"/>
  <c r="AJ1418" i="1" s="1"/>
  <c r="AL1418" i="1" s="1"/>
  <c r="AF1418" i="1"/>
  <c r="AD1418" i="1"/>
  <c r="Z1418" i="1"/>
  <c r="W1418" i="1"/>
  <c r="S1418" i="1"/>
  <c r="P1418" i="1"/>
  <c r="U1418" i="1" s="1"/>
  <c r="N1418" i="1"/>
  <c r="K1418" i="1"/>
  <c r="H1418" i="1"/>
  <c r="E1418" i="1"/>
  <c r="AH1413" i="1"/>
  <c r="AJ1413" i="1" s="1"/>
  <c r="AL1413" i="1" s="1"/>
  <c r="AF1413" i="1"/>
  <c r="AD1413" i="1"/>
  <c r="Z1413" i="1"/>
  <c r="W1413" i="1"/>
  <c r="S1413" i="1"/>
  <c r="P1413" i="1"/>
  <c r="U1413" i="1" s="1"/>
  <c r="N1413" i="1"/>
  <c r="K1413" i="1"/>
  <c r="H1413" i="1"/>
  <c r="E1413" i="1"/>
  <c r="AE1410" i="1"/>
  <c r="AC1410" i="1"/>
  <c r="Y1410" i="1"/>
  <c r="V1410" i="1"/>
  <c r="T1410" i="1"/>
  <c r="R1410" i="1"/>
  <c r="L1410" i="1"/>
  <c r="J1410" i="1"/>
  <c r="F1410" i="1"/>
  <c r="D1410" i="1"/>
  <c r="B1410" i="1"/>
  <c r="AF1409" i="1"/>
  <c r="AD1409" i="1"/>
  <c r="Z1409" i="1"/>
  <c r="W1409" i="1"/>
  <c r="S1409" i="1"/>
  <c r="P1409" i="1"/>
  <c r="N1409" i="1"/>
  <c r="K1409" i="1"/>
  <c r="H1409" i="1"/>
  <c r="E1409" i="1"/>
  <c r="AH1408" i="1"/>
  <c r="AF1408" i="1"/>
  <c r="AD1408" i="1"/>
  <c r="Z1408" i="1"/>
  <c r="W1408" i="1"/>
  <c r="U1408" i="1"/>
  <c r="S1408" i="1"/>
  <c r="S1410" i="1" s="1"/>
  <c r="N1408" i="1"/>
  <c r="K1408" i="1"/>
  <c r="H1408" i="1"/>
  <c r="E1408" i="1"/>
  <c r="AF1403" i="1"/>
  <c r="AD1403" i="1"/>
  <c r="Z1403" i="1"/>
  <c r="W1403" i="1"/>
  <c r="U1403" i="1"/>
  <c r="S1403" i="1"/>
  <c r="N1403" i="1"/>
  <c r="K1403" i="1"/>
  <c r="H1403" i="1"/>
  <c r="E1403" i="1"/>
  <c r="AE1398" i="1"/>
  <c r="Y1398" i="1"/>
  <c r="V1398" i="1"/>
  <c r="T1398" i="1"/>
  <c r="R1398" i="1"/>
  <c r="L1398" i="1"/>
  <c r="J1398" i="1"/>
  <c r="F1398" i="1"/>
  <c r="D1398" i="1"/>
  <c r="B1398" i="1"/>
  <c r="AF1397" i="1"/>
  <c r="AD1397" i="1"/>
  <c r="Z1397" i="1"/>
  <c r="W1397" i="1"/>
  <c r="S1397" i="1"/>
  <c r="P1397" i="1"/>
  <c r="P1398" i="1" s="1"/>
  <c r="N1397" i="1"/>
  <c r="K1397" i="1"/>
  <c r="H1397" i="1"/>
  <c r="E1397" i="1"/>
  <c r="AF1396" i="1"/>
  <c r="AD1396" i="1"/>
  <c r="Z1396" i="1"/>
  <c r="W1396" i="1"/>
  <c r="U1396" i="1"/>
  <c r="S1396" i="1"/>
  <c r="N1396" i="1"/>
  <c r="K1396" i="1"/>
  <c r="H1396" i="1"/>
  <c r="E1396" i="1"/>
  <c r="AF1395" i="1"/>
  <c r="AD1395" i="1"/>
  <c r="Z1395" i="1"/>
  <c r="W1395" i="1"/>
  <c r="U1395" i="1"/>
  <c r="S1395" i="1"/>
  <c r="N1395" i="1"/>
  <c r="K1395" i="1"/>
  <c r="H1395" i="1"/>
  <c r="E1395" i="1"/>
  <c r="AF1394" i="1"/>
  <c r="AD1394" i="1"/>
  <c r="Z1394" i="1"/>
  <c r="W1394" i="1"/>
  <c r="U1394" i="1"/>
  <c r="S1394" i="1"/>
  <c r="N1394" i="1"/>
  <c r="K1394" i="1"/>
  <c r="H1394" i="1"/>
  <c r="E1394" i="1"/>
  <c r="AF1393" i="1"/>
  <c r="AD1393" i="1"/>
  <c r="Z1393" i="1"/>
  <c r="W1393" i="1"/>
  <c r="U1393" i="1"/>
  <c r="S1393" i="1"/>
  <c r="N1393" i="1"/>
  <c r="K1393" i="1"/>
  <c r="H1393" i="1"/>
  <c r="E1393" i="1"/>
  <c r="AF1392" i="1"/>
  <c r="AD1392" i="1"/>
  <c r="Z1392" i="1"/>
  <c r="W1392" i="1"/>
  <c r="U1392" i="1"/>
  <c r="S1392" i="1"/>
  <c r="N1392" i="1"/>
  <c r="K1392" i="1"/>
  <c r="H1392" i="1"/>
  <c r="E1392" i="1"/>
  <c r="AF1391" i="1"/>
  <c r="AC1391" i="1"/>
  <c r="AD1391" i="1" s="1"/>
  <c r="Z1391" i="1"/>
  <c r="W1391" i="1"/>
  <c r="U1391" i="1"/>
  <c r="S1391" i="1"/>
  <c r="N1391" i="1"/>
  <c r="K1391" i="1"/>
  <c r="H1391" i="1"/>
  <c r="E1391" i="1"/>
  <c r="AF1390" i="1"/>
  <c r="AD1390" i="1"/>
  <c r="W1390" i="1"/>
  <c r="AE1387" i="1"/>
  <c r="AC1387" i="1"/>
  <c r="Y1387" i="1"/>
  <c r="V1387" i="1"/>
  <c r="T1387" i="1"/>
  <c r="R1387" i="1"/>
  <c r="L1387" i="1"/>
  <c r="J1387" i="1"/>
  <c r="F1387" i="1"/>
  <c r="D1387" i="1"/>
  <c r="B1387" i="1"/>
  <c r="AF1386" i="1"/>
  <c r="AD1386" i="1"/>
  <c r="Z1386" i="1"/>
  <c r="W1386" i="1"/>
  <c r="U1386" i="1"/>
  <c r="S1386" i="1"/>
  <c r="N1386" i="1"/>
  <c r="K1386" i="1"/>
  <c r="H1386" i="1"/>
  <c r="E1386" i="1"/>
  <c r="AL1385" i="1"/>
  <c r="AN1385" i="1" s="1"/>
  <c r="AP1385" i="1" s="1"/>
  <c r="AR1385" i="1" s="1"/>
  <c r="AT1385" i="1" s="1"/>
  <c r="AV1385" i="1" s="1"/>
  <c r="AX1385" i="1" s="1"/>
  <c r="AZ1385" i="1" s="1"/>
  <c r="AH1385" i="1"/>
  <c r="AF1385" i="1"/>
  <c r="AD1385" i="1"/>
  <c r="Z1385" i="1"/>
  <c r="W1385" i="1"/>
  <c r="U1385" i="1"/>
  <c r="S1385" i="1"/>
  <c r="N1385" i="1"/>
  <c r="K1385" i="1"/>
  <c r="H1385" i="1"/>
  <c r="E1385" i="1"/>
  <c r="AH1384" i="1"/>
  <c r="AJ1384" i="1" s="1"/>
  <c r="AL1384" i="1" s="1"/>
  <c r="AN1384" i="1" s="1"/>
  <c r="AP1384" i="1" s="1"/>
  <c r="AR1384" i="1" s="1"/>
  <c r="AT1384" i="1" s="1"/>
  <c r="AV1384" i="1" s="1"/>
  <c r="AX1384" i="1" s="1"/>
  <c r="AZ1384" i="1" s="1"/>
  <c r="AF1384" i="1"/>
  <c r="AD1384" i="1"/>
  <c r="Z1384" i="1"/>
  <c r="W1384" i="1"/>
  <c r="S1384" i="1"/>
  <c r="P1384" i="1"/>
  <c r="U1384" i="1" s="1"/>
  <c r="N1384" i="1"/>
  <c r="K1384" i="1"/>
  <c r="H1384" i="1"/>
  <c r="E1384" i="1"/>
  <c r="AJ1383" i="1"/>
  <c r="AL1383" i="1" s="1"/>
  <c r="AN1383" i="1" s="1"/>
  <c r="AP1383" i="1" s="1"/>
  <c r="AR1383" i="1" s="1"/>
  <c r="AT1383" i="1" s="1"/>
  <c r="AV1383" i="1" s="1"/>
  <c r="AX1383" i="1" s="1"/>
  <c r="AZ1383" i="1" s="1"/>
  <c r="AF1383" i="1"/>
  <c r="AD1383" i="1"/>
  <c r="Z1383" i="1"/>
  <c r="W1383" i="1"/>
  <c r="U1383" i="1"/>
  <c r="S1383" i="1"/>
  <c r="N1383" i="1"/>
  <c r="K1383" i="1"/>
  <c r="H1383" i="1"/>
  <c r="E1383" i="1"/>
  <c r="AY1382" i="1"/>
  <c r="AS1382" i="1"/>
  <c r="AU1382" i="1" s="1"/>
  <c r="AM1382" i="1"/>
  <c r="AH1382" i="1"/>
  <c r="AF1382" i="1"/>
  <c r="AD1382" i="1"/>
  <c r="Z1382" i="1"/>
  <c r="W1382" i="1"/>
  <c r="S1382" i="1"/>
  <c r="P1382" i="1"/>
  <c r="N1382" i="1"/>
  <c r="K1382" i="1"/>
  <c r="H1382" i="1"/>
  <c r="E1382" i="1"/>
  <c r="AZ1376" i="1"/>
  <c r="AX1376" i="1"/>
  <c r="AV1376" i="1"/>
  <c r="AT1376" i="1"/>
  <c r="AR1376" i="1"/>
  <c r="AP1376" i="1"/>
  <c r="AN1376" i="1"/>
  <c r="AL1376" i="1"/>
  <c r="AJ1376" i="1"/>
  <c r="AH1376" i="1"/>
  <c r="AE1376" i="1"/>
  <c r="AE1377" i="1" s="1"/>
  <c r="Y1376" i="1"/>
  <c r="Y1377" i="1" s="1"/>
  <c r="T1376" i="1"/>
  <c r="T1377" i="1" s="1"/>
  <c r="P1376" i="1"/>
  <c r="P1377" i="1" s="1"/>
  <c r="AH1372" i="1" s="1"/>
  <c r="AH1377" i="1" s="1"/>
  <c r="AJ1372" i="1" s="1"/>
  <c r="L1376" i="1"/>
  <c r="F1376" i="1"/>
  <c r="B1376" i="1"/>
  <c r="B1377" i="1" s="1"/>
  <c r="AF1375" i="1"/>
  <c r="H1375" i="1"/>
  <c r="N1375" i="1" s="1"/>
  <c r="AF1374" i="1"/>
  <c r="H1374" i="1"/>
  <c r="N1374" i="1" s="1"/>
  <c r="AF1373" i="1"/>
  <c r="H1373" i="1"/>
  <c r="AF1372" i="1"/>
  <c r="Z1372" i="1"/>
  <c r="U1372" i="1"/>
  <c r="N1372" i="1"/>
  <c r="H1372" i="1"/>
  <c r="H1371" i="1"/>
  <c r="H1370" i="1"/>
  <c r="H1369" i="1"/>
  <c r="H1368" i="1"/>
  <c r="N1365" i="1"/>
  <c r="H1365" i="1"/>
  <c r="AZ1363" i="1"/>
  <c r="AX1363" i="1"/>
  <c r="AV1363" i="1"/>
  <c r="AT1363" i="1"/>
  <c r="AR1363" i="1"/>
  <c r="AP1363" i="1"/>
  <c r="AN1363" i="1"/>
  <c r="AL1363" i="1"/>
  <c r="AJ1363" i="1"/>
  <c r="AH1363" i="1"/>
  <c r="AE1363" i="1"/>
  <c r="Y1363" i="1"/>
  <c r="T1363" i="1"/>
  <c r="P1363" i="1"/>
  <c r="L1363" i="1"/>
  <c r="F1363" i="1"/>
  <c r="B1363" i="1"/>
  <c r="N1361" i="1"/>
  <c r="H1361" i="1"/>
  <c r="AZ1359" i="1"/>
  <c r="AX1359" i="1"/>
  <c r="AV1359" i="1"/>
  <c r="AT1359" i="1"/>
  <c r="AR1359" i="1"/>
  <c r="AP1359" i="1"/>
  <c r="AN1359" i="1"/>
  <c r="AL1359" i="1"/>
  <c r="AJ1359" i="1"/>
  <c r="AH1359" i="1"/>
  <c r="AE1359" i="1"/>
  <c r="Y1359" i="1"/>
  <c r="T1359" i="1"/>
  <c r="P1359" i="1"/>
  <c r="L1359" i="1"/>
  <c r="F1359" i="1"/>
  <c r="B1359" i="1"/>
  <c r="Z1356" i="1"/>
  <c r="N1356" i="1"/>
  <c r="H1356" i="1"/>
  <c r="AZ1352" i="1"/>
  <c r="AX1352" i="1"/>
  <c r="AZ1344" i="1"/>
  <c r="AZ1239" i="1" s="1"/>
  <c r="AX1344" i="1"/>
  <c r="AX1239" i="1" s="1"/>
  <c r="AV1344" i="1"/>
  <c r="AU1239" i="1" s="1"/>
  <c r="AT1344" i="1"/>
  <c r="AT1239" i="1" s="1"/>
  <c r="AR1344" i="1"/>
  <c r="AN1344" i="1"/>
  <c r="AN1239" i="1" s="1"/>
  <c r="AL1344" i="1"/>
  <c r="AL1239" i="1" s="1"/>
  <c r="AJ1344" i="1"/>
  <c r="AJ1239" i="1" s="1"/>
  <c r="AH1344" i="1"/>
  <c r="AH1239" i="1" s="1"/>
  <c r="AE1344" i="1"/>
  <c r="AE1239" i="1" s="1"/>
  <c r="AC1344" i="1"/>
  <c r="Y1344" i="1"/>
  <c r="Y1239" i="1" s="1"/>
  <c r="V1344" i="1"/>
  <c r="T1344" i="1"/>
  <c r="T1239" i="1" s="1"/>
  <c r="R1344" i="1"/>
  <c r="P1344" i="1"/>
  <c r="L1344" i="1"/>
  <c r="L1239" i="1" s="1"/>
  <c r="J1344" i="1"/>
  <c r="F1344" i="1"/>
  <c r="F1239" i="1" s="1"/>
  <c r="D1344" i="1"/>
  <c r="B1344" i="1"/>
  <c r="AF1343" i="1"/>
  <c r="AD1343" i="1"/>
  <c r="Z1343" i="1"/>
  <c r="W1343" i="1"/>
  <c r="U1343" i="1"/>
  <c r="S1343" i="1"/>
  <c r="N1343" i="1"/>
  <c r="K1343" i="1"/>
  <c r="H1343" i="1"/>
  <c r="E1343" i="1"/>
  <c r="AF1342" i="1"/>
  <c r="AD1342" i="1"/>
  <c r="Z1342" i="1"/>
  <c r="W1342" i="1"/>
  <c r="U1342" i="1"/>
  <c r="S1342" i="1"/>
  <c r="N1342" i="1"/>
  <c r="K1342" i="1"/>
  <c r="H1342" i="1"/>
  <c r="E1342" i="1"/>
  <c r="AF1341" i="1"/>
  <c r="AD1341" i="1"/>
  <c r="Z1341" i="1"/>
  <c r="W1341" i="1"/>
  <c r="N1341" i="1"/>
  <c r="K1341" i="1"/>
  <c r="H1341" i="1"/>
  <c r="E1341" i="1"/>
  <c r="AF1340" i="1"/>
  <c r="AD1340" i="1"/>
  <c r="Z1340" i="1"/>
  <c r="W1340" i="1"/>
  <c r="N1340" i="1"/>
  <c r="K1340" i="1"/>
  <c r="H1340" i="1"/>
  <c r="E1340" i="1"/>
  <c r="AF1339" i="1"/>
  <c r="AD1339" i="1"/>
  <c r="Z1339" i="1"/>
  <c r="W1339" i="1"/>
  <c r="N1339" i="1"/>
  <c r="K1339" i="1"/>
  <c r="H1339" i="1"/>
  <c r="E1339" i="1"/>
  <c r="AF1338" i="1"/>
  <c r="AD1338" i="1"/>
  <c r="Z1338" i="1"/>
  <c r="W1338" i="1"/>
  <c r="N1338" i="1"/>
  <c r="K1338" i="1"/>
  <c r="H1338" i="1"/>
  <c r="E1338" i="1"/>
  <c r="AF1337" i="1"/>
  <c r="AD1337" i="1"/>
  <c r="Z1337" i="1"/>
  <c r="W1337" i="1"/>
  <c r="N1337" i="1"/>
  <c r="K1337" i="1"/>
  <c r="H1337" i="1"/>
  <c r="E1337" i="1"/>
  <c r="AF1336" i="1"/>
  <c r="AD1336" i="1"/>
  <c r="Z1336" i="1"/>
  <c r="W1336" i="1"/>
  <c r="N1336" i="1"/>
  <c r="K1336" i="1"/>
  <c r="H1336" i="1"/>
  <c r="E1336" i="1"/>
  <c r="AF1335" i="1"/>
  <c r="AD1335" i="1"/>
  <c r="Z1335" i="1"/>
  <c r="W1335" i="1"/>
  <c r="N1335" i="1"/>
  <c r="K1335" i="1"/>
  <c r="H1335" i="1"/>
  <c r="E1335" i="1"/>
  <c r="AF1334" i="1"/>
  <c r="AD1334" i="1"/>
  <c r="Z1334" i="1"/>
  <c r="W1334" i="1"/>
  <c r="N1334" i="1"/>
  <c r="K1334" i="1"/>
  <c r="H1334" i="1"/>
  <c r="E1334" i="1"/>
  <c r="AF1333" i="1"/>
  <c r="AD1333" i="1"/>
  <c r="Z1333" i="1"/>
  <c r="W1333" i="1"/>
  <c r="N1333" i="1"/>
  <c r="K1333" i="1"/>
  <c r="H1333" i="1"/>
  <c r="E1333" i="1"/>
  <c r="AF1332" i="1"/>
  <c r="AD1332" i="1"/>
  <c r="Z1332" i="1"/>
  <c r="W1332" i="1"/>
  <c r="N1332" i="1"/>
  <c r="K1332" i="1"/>
  <c r="H1332" i="1"/>
  <c r="E1332" i="1"/>
  <c r="AF1331" i="1"/>
  <c r="AD1331" i="1"/>
  <c r="Z1331" i="1"/>
  <c r="W1331" i="1"/>
  <c r="N1331" i="1"/>
  <c r="K1331" i="1"/>
  <c r="H1331" i="1"/>
  <c r="E1331" i="1"/>
  <c r="AF1330" i="1"/>
  <c r="AD1330" i="1"/>
  <c r="Z1330" i="1"/>
  <c r="W1330" i="1"/>
  <c r="N1330" i="1"/>
  <c r="K1330" i="1"/>
  <c r="H1330" i="1"/>
  <c r="E1330" i="1"/>
  <c r="AF1329" i="1"/>
  <c r="AD1329" i="1"/>
  <c r="Z1329" i="1"/>
  <c r="W1329" i="1"/>
  <c r="N1329" i="1"/>
  <c r="K1329" i="1"/>
  <c r="H1329" i="1"/>
  <c r="E1329" i="1"/>
  <c r="AF1328" i="1"/>
  <c r="AD1328" i="1"/>
  <c r="Z1328" i="1"/>
  <c r="W1328" i="1"/>
  <c r="N1328" i="1"/>
  <c r="K1328" i="1"/>
  <c r="H1328" i="1"/>
  <c r="E1328" i="1"/>
  <c r="AP1327" i="1"/>
  <c r="AP1344" i="1" s="1"/>
  <c r="AP1239" i="1" s="1"/>
  <c r="AF1327" i="1"/>
  <c r="AD1327" i="1"/>
  <c r="Z1327" i="1"/>
  <c r="W1327" i="1"/>
  <c r="U1327" i="1"/>
  <c r="S1327" i="1"/>
  <c r="N1327" i="1"/>
  <c r="K1327" i="1"/>
  <c r="H1327" i="1"/>
  <c r="E1327" i="1"/>
  <c r="AF1326" i="1"/>
  <c r="AD1326" i="1"/>
  <c r="Z1326" i="1"/>
  <c r="W1326" i="1"/>
  <c r="U1326" i="1"/>
  <c r="S1326" i="1"/>
  <c r="N1326" i="1"/>
  <c r="K1326" i="1"/>
  <c r="H1326" i="1"/>
  <c r="E1326" i="1"/>
  <c r="AF1325" i="1"/>
  <c r="AD1325" i="1"/>
  <c r="Z1325" i="1"/>
  <c r="W1325" i="1"/>
  <c r="U1325" i="1"/>
  <c r="S1325" i="1"/>
  <c r="AF1324" i="1"/>
  <c r="AD1324" i="1"/>
  <c r="Z1324" i="1"/>
  <c r="W1324" i="1"/>
  <c r="U1324" i="1"/>
  <c r="S1324" i="1"/>
  <c r="N1324" i="1"/>
  <c r="K1324" i="1"/>
  <c r="H1324" i="1"/>
  <c r="E1324" i="1"/>
  <c r="Z1323" i="1"/>
  <c r="W1323" i="1"/>
  <c r="N1323" i="1"/>
  <c r="K1323" i="1"/>
  <c r="H1323" i="1"/>
  <c r="E1323" i="1"/>
  <c r="Z1322" i="1"/>
  <c r="W1322" i="1"/>
  <c r="N1322" i="1"/>
  <c r="K1322" i="1"/>
  <c r="H1322" i="1"/>
  <c r="E1322" i="1"/>
  <c r="W1321" i="1"/>
  <c r="N1321" i="1"/>
  <c r="K1321" i="1"/>
  <c r="H1321" i="1"/>
  <c r="E1321" i="1"/>
  <c r="AZ1316" i="1"/>
  <c r="AX1316" i="1"/>
  <c r="AV1316" i="1"/>
  <c r="AT1316" i="1"/>
  <c r="AR1316" i="1"/>
  <c r="AP1316" i="1"/>
  <c r="AN1316" i="1"/>
  <c r="AL1316" i="1"/>
  <c r="AJ1316" i="1"/>
  <c r="AH1316" i="1"/>
  <c r="AE1316" i="1"/>
  <c r="Y1316" i="1"/>
  <c r="V1316" i="1"/>
  <c r="T1316" i="1"/>
  <c r="R1316" i="1"/>
  <c r="P1316" i="1"/>
  <c r="L1316" i="1"/>
  <c r="J1316" i="1"/>
  <c r="F1316" i="1"/>
  <c r="D1316" i="1"/>
  <c r="B1316" i="1"/>
  <c r="AF1315" i="1"/>
  <c r="AD1315" i="1"/>
  <c r="Z1315" i="1"/>
  <c r="W1315" i="1"/>
  <c r="U1315" i="1"/>
  <c r="S1315" i="1"/>
  <c r="N1315" i="1"/>
  <c r="K1315" i="1"/>
  <c r="H1315" i="1"/>
  <c r="E1315" i="1"/>
  <c r="AF1314" i="1"/>
  <c r="AD1314" i="1"/>
  <c r="Z1314" i="1"/>
  <c r="W1314" i="1"/>
  <c r="U1314" i="1"/>
  <c r="S1314" i="1"/>
  <c r="N1314" i="1"/>
  <c r="K1314" i="1"/>
  <c r="H1314" i="1"/>
  <c r="E1314" i="1"/>
  <c r="AF1313" i="1"/>
  <c r="AC1313" i="1"/>
  <c r="AC1316" i="1" s="1"/>
  <c r="Z1313" i="1"/>
  <c r="W1313" i="1"/>
  <c r="U1313" i="1"/>
  <c r="S1313" i="1"/>
  <c r="AF1310" i="1"/>
  <c r="AD1310" i="1"/>
  <c r="Z1310" i="1"/>
  <c r="W1310" i="1"/>
  <c r="U1310" i="1"/>
  <c r="S1310" i="1"/>
  <c r="N1310" i="1"/>
  <c r="K1310" i="1"/>
  <c r="H1310" i="1"/>
  <c r="E1310" i="1"/>
  <c r="AE1309" i="1"/>
  <c r="Y1309" i="1"/>
  <c r="T1309" i="1"/>
  <c r="R1309" i="1"/>
  <c r="L1309" i="1"/>
  <c r="F1309" i="1"/>
  <c r="D1309" i="1"/>
  <c r="B1309" i="1"/>
  <c r="AH1308" i="1"/>
  <c r="AJ1308" i="1" s="1"/>
  <c r="AL1308" i="1" s="1"/>
  <c r="AN1308" i="1" s="1"/>
  <c r="AP1308" i="1" s="1"/>
  <c r="AR1308" i="1" s="1"/>
  <c r="AT1308" i="1" s="1"/>
  <c r="AV1308" i="1" s="1"/>
  <c r="AX1308" i="1" s="1"/>
  <c r="AZ1308" i="1" s="1"/>
  <c r="AF1308" i="1"/>
  <c r="AD1308" i="1"/>
  <c r="Z1308" i="1"/>
  <c r="W1308" i="1"/>
  <c r="S1308" i="1"/>
  <c r="P1308" i="1"/>
  <c r="U1308" i="1" s="1"/>
  <c r="N1308" i="1"/>
  <c r="K1308" i="1"/>
  <c r="H1308" i="1"/>
  <c r="E1308" i="1"/>
  <c r="AH1307" i="1"/>
  <c r="AJ1307" i="1" s="1"/>
  <c r="AL1307" i="1" s="1"/>
  <c r="AN1307" i="1" s="1"/>
  <c r="AP1307" i="1" s="1"/>
  <c r="AR1307" i="1" s="1"/>
  <c r="AT1307" i="1" s="1"/>
  <c r="AV1307" i="1" s="1"/>
  <c r="AX1307" i="1" s="1"/>
  <c r="AZ1307" i="1" s="1"/>
  <c r="AF1307" i="1"/>
  <c r="AD1307" i="1"/>
  <c r="Z1307" i="1"/>
  <c r="W1307" i="1"/>
  <c r="U1307" i="1"/>
  <c r="S1307" i="1"/>
  <c r="N1307" i="1"/>
  <c r="K1307" i="1"/>
  <c r="H1307" i="1"/>
  <c r="E1307" i="1"/>
  <c r="AF1306" i="1"/>
  <c r="AC1306" i="1"/>
  <c r="AD1306" i="1" s="1"/>
  <c r="Z1306" i="1"/>
  <c r="V1306" i="1"/>
  <c r="V1309" i="1" s="1"/>
  <c r="S1306" i="1"/>
  <c r="P1306" i="1"/>
  <c r="N1306" i="1"/>
  <c r="J1306" i="1"/>
  <c r="K1306" i="1" s="1"/>
  <c r="H1306" i="1"/>
  <c r="E1306" i="1"/>
  <c r="AE1304" i="1"/>
  <c r="Y1304" i="1"/>
  <c r="V1304" i="1"/>
  <c r="T1304" i="1"/>
  <c r="R1304" i="1"/>
  <c r="L1304" i="1"/>
  <c r="J1304" i="1"/>
  <c r="F1304" i="1"/>
  <c r="B1304" i="1"/>
  <c r="AF1303" i="1"/>
  <c r="AD1303" i="1"/>
  <c r="Z1303" i="1"/>
  <c r="W1303" i="1"/>
  <c r="S1303" i="1"/>
  <c r="P1303" i="1"/>
  <c r="AH1303" i="1" s="1"/>
  <c r="AJ1303" i="1" s="1"/>
  <c r="AL1303" i="1" s="1"/>
  <c r="AN1303" i="1" s="1"/>
  <c r="AP1303" i="1" s="1"/>
  <c r="AR1303" i="1" s="1"/>
  <c r="AT1303" i="1" s="1"/>
  <c r="AV1303" i="1" s="1"/>
  <c r="AX1303" i="1" s="1"/>
  <c r="AZ1303" i="1" s="1"/>
  <c r="N1303" i="1"/>
  <c r="K1303" i="1"/>
  <c r="H1303" i="1"/>
  <c r="E1303" i="1"/>
  <c r="AJ1302" i="1"/>
  <c r="AL1302" i="1" s="1"/>
  <c r="AN1302" i="1" s="1"/>
  <c r="AP1302" i="1" s="1"/>
  <c r="AR1302" i="1" s="1"/>
  <c r="AT1302" i="1" s="1"/>
  <c r="AV1302" i="1" s="1"/>
  <c r="AX1302" i="1" s="1"/>
  <c r="AZ1302" i="1" s="1"/>
  <c r="AF1302" i="1"/>
  <c r="AD1302" i="1"/>
  <c r="Z1302" i="1"/>
  <c r="W1302" i="1"/>
  <c r="U1302" i="1"/>
  <c r="S1302" i="1"/>
  <c r="N1302" i="1"/>
  <c r="K1302" i="1"/>
  <c r="H1302" i="1"/>
  <c r="E1302" i="1"/>
  <c r="AF1301" i="1"/>
  <c r="AD1301" i="1"/>
  <c r="Z1301" i="1"/>
  <c r="W1301" i="1"/>
  <c r="S1301" i="1"/>
  <c r="P1301" i="1"/>
  <c r="U1301" i="1" s="1"/>
  <c r="N1301" i="1"/>
  <c r="K1301" i="1"/>
  <c r="H1301" i="1"/>
  <c r="E1301" i="1"/>
  <c r="AF1300" i="1"/>
  <c r="AD1300" i="1"/>
  <c r="Z1300" i="1"/>
  <c r="W1300" i="1"/>
  <c r="S1300" i="1"/>
  <c r="P1300" i="1"/>
  <c r="U1300" i="1" s="1"/>
  <c r="N1300" i="1"/>
  <c r="K1300" i="1"/>
  <c r="H1300" i="1"/>
  <c r="E1300" i="1"/>
  <c r="AF1299" i="1"/>
  <c r="AD1299" i="1"/>
  <c r="Z1299" i="1"/>
  <c r="W1299" i="1"/>
  <c r="S1299" i="1"/>
  <c r="P1299" i="1"/>
  <c r="N1299" i="1"/>
  <c r="K1299" i="1"/>
  <c r="H1299" i="1"/>
  <c r="E1299" i="1"/>
  <c r="AH1298" i="1"/>
  <c r="AJ1298" i="1" s="1"/>
  <c r="AL1298" i="1" s="1"/>
  <c r="AN1298" i="1" s="1"/>
  <c r="AP1298" i="1" s="1"/>
  <c r="AR1298" i="1" s="1"/>
  <c r="AT1298" i="1" s="1"/>
  <c r="AV1298" i="1" s="1"/>
  <c r="AX1298" i="1" s="1"/>
  <c r="AZ1298" i="1" s="1"/>
  <c r="AF1298" i="1"/>
  <c r="AD1298" i="1"/>
  <c r="Z1298" i="1"/>
  <c r="W1298" i="1"/>
  <c r="S1298" i="1"/>
  <c r="P1298" i="1"/>
  <c r="U1298" i="1" s="1"/>
  <c r="N1298" i="1"/>
  <c r="K1298" i="1"/>
  <c r="H1298" i="1"/>
  <c r="E1298" i="1"/>
  <c r="AJ1297" i="1"/>
  <c r="AL1297" i="1" s="1"/>
  <c r="AN1297" i="1" s="1"/>
  <c r="AP1297" i="1" s="1"/>
  <c r="AR1297" i="1" s="1"/>
  <c r="AT1297" i="1" s="1"/>
  <c r="AV1297" i="1" s="1"/>
  <c r="AX1297" i="1" s="1"/>
  <c r="AZ1297" i="1" s="1"/>
  <c r="AF1297" i="1"/>
  <c r="AD1297" i="1"/>
  <c r="Z1297" i="1"/>
  <c r="W1297" i="1"/>
  <c r="S1297" i="1"/>
  <c r="P1297" i="1"/>
  <c r="U1297" i="1" s="1"/>
  <c r="N1297" i="1"/>
  <c r="K1297" i="1"/>
  <c r="H1297" i="1"/>
  <c r="E1297" i="1"/>
  <c r="AH1296" i="1"/>
  <c r="AJ1296" i="1" s="1"/>
  <c r="AF1296" i="1"/>
  <c r="AC1296" i="1"/>
  <c r="AD1296" i="1" s="1"/>
  <c r="Z1296" i="1"/>
  <c r="W1296" i="1"/>
  <c r="S1296" i="1"/>
  <c r="P1296" i="1"/>
  <c r="U1296" i="1" s="1"/>
  <c r="N1296" i="1"/>
  <c r="K1296" i="1"/>
  <c r="H1296" i="1"/>
  <c r="D1296" i="1"/>
  <c r="E1296" i="1" s="1"/>
  <c r="AE1293" i="1"/>
  <c r="AC1293" i="1"/>
  <c r="Y1293" i="1"/>
  <c r="V1293" i="1"/>
  <c r="T1293" i="1"/>
  <c r="R1293" i="1"/>
  <c r="L1293" i="1"/>
  <c r="J1293" i="1"/>
  <c r="F1293" i="1"/>
  <c r="D1293" i="1"/>
  <c r="AH1292" i="1"/>
  <c r="AJ1292" i="1" s="1"/>
  <c r="AL1292" i="1" s="1"/>
  <c r="AN1292" i="1" s="1"/>
  <c r="AP1292" i="1" s="1"/>
  <c r="AR1292" i="1" s="1"/>
  <c r="AT1292" i="1" s="1"/>
  <c r="AV1292" i="1" s="1"/>
  <c r="AX1292" i="1" s="1"/>
  <c r="AZ1292" i="1" s="1"/>
  <c r="AF1292" i="1"/>
  <c r="AD1292" i="1"/>
  <c r="Z1292" i="1"/>
  <c r="W1292" i="1"/>
  <c r="S1292" i="1"/>
  <c r="P1292" i="1"/>
  <c r="U1292" i="1" s="1"/>
  <c r="N1292" i="1"/>
  <c r="K1292" i="1"/>
  <c r="H1292" i="1"/>
  <c r="E1292" i="1"/>
  <c r="AH1291" i="1"/>
  <c r="AJ1291" i="1" s="1"/>
  <c r="AL1291" i="1" s="1"/>
  <c r="AN1291" i="1" s="1"/>
  <c r="AP1291" i="1" s="1"/>
  <c r="AR1291" i="1" s="1"/>
  <c r="AT1291" i="1" s="1"/>
  <c r="AV1291" i="1" s="1"/>
  <c r="AX1291" i="1" s="1"/>
  <c r="AZ1291" i="1" s="1"/>
  <c r="AF1291" i="1"/>
  <c r="AD1291" i="1"/>
  <c r="Z1291" i="1"/>
  <c r="W1291" i="1"/>
  <c r="S1291" i="1"/>
  <c r="P1291" i="1"/>
  <c r="U1291" i="1" s="1"/>
  <c r="N1291" i="1"/>
  <c r="K1291" i="1"/>
  <c r="H1291" i="1"/>
  <c r="E1291" i="1"/>
  <c r="AF1290" i="1"/>
  <c r="AD1290" i="1"/>
  <c r="Z1290" i="1"/>
  <c r="W1290" i="1"/>
  <c r="U1290" i="1"/>
  <c r="S1290" i="1"/>
  <c r="N1290" i="1"/>
  <c r="K1290" i="1"/>
  <c r="H1290" i="1"/>
  <c r="E1290" i="1"/>
  <c r="AH1289" i="1"/>
  <c r="AJ1289" i="1" s="1"/>
  <c r="AL1289" i="1" s="1"/>
  <c r="AN1289" i="1" s="1"/>
  <c r="AP1289" i="1" s="1"/>
  <c r="AR1289" i="1" s="1"/>
  <c r="AT1289" i="1" s="1"/>
  <c r="AV1289" i="1" s="1"/>
  <c r="AX1289" i="1" s="1"/>
  <c r="AZ1289" i="1" s="1"/>
  <c r="AF1289" i="1"/>
  <c r="AD1289" i="1"/>
  <c r="Z1289" i="1"/>
  <c r="W1289" i="1"/>
  <c r="U1289" i="1"/>
  <c r="S1289" i="1"/>
  <c r="N1289" i="1"/>
  <c r="K1289" i="1"/>
  <c r="H1289" i="1"/>
  <c r="E1289" i="1"/>
  <c r="AF1288" i="1"/>
  <c r="AD1288" i="1"/>
  <c r="Z1288" i="1"/>
  <c r="W1288" i="1"/>
  <c r="U1288" i="1"/>
  <c r="S1288" i="1"/>
  <c r="N1288" i="1"/>
  <c r="K1288" i="1"/>
  <c r="H1288" i="1"/>
  <c r="E1288" i="1"/>
  <c r="AH1287" i="1"/>
  <c r="AJ1287" i="1" s="1"/>
  <c r="AL1287" i="1" s="1"/>
  <c r="AN1287" i="1" s="1"/>
  <c r="AP1287" i="1" s="1"/>
  <c r="AR1287" i="1" s="1"/>
  <c r="AT1287" i="1" s="1"/>
  <c r="AV1287" i="1" s="1"/>
  <c r="AX1287" i="1" s="1"/>
  <c r="AZ1287" i="1" s="1"/>
  <c r="AF1287" i="1"/>
  <c r="AD1287" i="1"/>
  <c r="Z1287" i="1"/>
  <c r="W1287" i="1"/>
  <c r="S1287" i="1"/>
  <c r="P1287" i="1"/>
  <c r="U1287" i="1" s="1"/>
  <c r="N1287" i="1"/>
  <c r="K1287" i="1"/>
  <c r="H1287" i="1"/>
  <c r="E1287" i="1"/>
  <c r="AH1286" i="1"/>
  <c r="AJ1286" i="1" s="1"/>
  <c r="AL1286" i="1" s="1"/>
  <c r="AN1286" i="1" s="1"/>
  <c r="AP1286" i="1" s="1"/>
  <c r="AR1286" i="1" s="1"/>
  <c r="AT1286" i="1" s="1"/>
  <c r="AV1286" i="1" s="1"/>
  <c r="AX1286" i="1" s="1"/>
  <c r="AZ1286" i="1" s="1"/>
  <c r="AF1286" i="1"/>
  <c r="AD1286" i="1"/>
  <c r="Z1286" i="1"/>
  <c r="W1286" i="1"/>
  <c r="S1286" i="1"/>
  <c r="P1286" i="1"/>
  <c r="N1286" i="1"/>
  <c r="K1286" i="1"/>
  <c r="H1286" i="1"/>
  <c r="E1286" i="1"/>
  <c r="AF1285" i="1"/>
  <c r="AD1285" i="1"/>
  <c r="Z1285" i="1"/>
  <c r="W1285" i="1"/>
  <c r="U1285" i="1"/>
  <c r="S1285" i="1"/>
  <c r="N1285" i="1"/>
  <c r="K1285" i="1"/>
  <c r="H1285" i="1"/>
  <c r="E1285" i="1"/>
  <c r="AH1284" i="1"/>
  <c r="AF1284" i="1"/>
  <c r="AD1284" i="1"/>
  <c r="Z1284" i="1"/>
  <c r="W1284" i="1"/>
  <c r="U1284" i="1"/>
  <c r="S1284" i="1"/>
  <c r="N1284" i="1"/>
  <c r="K1284" i="1"/>
  <c r="E1284" i="1"/>
  <c r="B1284" i="1"/>
  <c r="W1283" i="1"/>
  <c r="AZ1279" i="1"/>
  <c r="AZ1235" i="1" s="1"/>
  <c r="AX1279" i="1"/>
  <c r="AX1235" i="1" s="1"/>
  <c r="AV1279" i="1"/>
  <c r="AV1235" i="1" s="1"/>
  <c r="AT1279" i="1"/>
  <c r="AT1235" i="1" s="1"/>
  <c r="AR1279" i="1"/>
  <c r="AR1235" i="1" s="1"/>
  <c r="AP1279" i="1"/>
  <c r="AP1235" i="1" s="1"/>
  <c r="AN1279" i="1"/>
  <c r="AN1235" i="1" s="1"/>
  <c r="AL1279" i="1"/>
  <c r="AL1235" i="1" s="1"/>
  <c r="AJ1279" i="1"/>
  <c r="AJ1235" i="1" s="1"/>
  <c r="AH1279" i="1"/>
  <c r="AE1279" i="1"/>
  <c r="AE1235" i="1" s="1"/>
  <c r="AC1279" i="1"/>
  <c r="Y1279" i="1"/>
  <c r="Y1235" i="1" s="1"/>
  <c r="V1279" i="1"/>
  <c r="T1279" i="1"/>
  <c r="T1235" i="1" s="1"/>
  <c r="R1279" i="1"/>
  <c r="P1279" i="1"/>
  <c r="P1235" i="1" s="1"/>
  <c r="L1279" i="1"/>
  <c r="L1235" i="1" s="1"/>
  <c r="J1279" i="1"/>
  <c r="F1279" i="1"/>
  <c r="F1235" i="1" s="1"/>
  <c r="H1235" i="1" s="1"/>
  <c r="D1279" i="1"/>
  <c r="B1279" i="1"/>
  <c r="AF1278" i="1"/>
  <c r="AF1279" i="1" s="1"/>
  <c r="AD1278" i="1"/>
  <c r="AD1279" i="1" s="1"/>
  <c r="Z1278" i="1"/>
  <c r="Z1279" i="1" s="1"/>
  <c r="W1278" i="1"/>
  <c r="W1279" i="1" s="1"/>
  <c r="U1278" i="1"/>
  <c r="U1279" i="1" s="1"/>
  <c r="S1278" i="1"/>
  <c r="S1279" i="1" s="1"/>
  <c r="N1278" i="1"/>
  <c r="N1279" i="1" s="1"/>
  <c r="K1278" i="1"/>
  <c r="K1279" i="1" s="1"/>
  <c r="H1278" i="1"/>
  <c r="H1279" i="1" s="1"/>
  <c r="E1278" i="1"/>
  <c r="E1279" i="1" s="1"/>
  <c r="AF1273" i="1"/>
  <c r="AD1273" i="1"/>
  <c r="Z1273" i="1"/>
  <c r="W1273" i="1"/>
  <c r="U1273" i="1"/>
  <c r="S1273" i="1"/>
  <c r="N1273" i="1"/>
  <c r="K1273" i="1"/>
  <c r="H1273" i="1"/>
  <c r="E1273" i="1"/>
  <c r="N1272" i="1"/>
  <c r="K1272" i="1"/>
  <c r="H1272" i="1"/>
  <c r="E1272" i="1"/>
  <c r="AE1270" i="1"/>
  <c r="AE1274" i="1" s="1"/>
  <c r="AC1270" i="1"/>
  <c r="AC1274" i="1" s="1"/>
  <c r="AC1280" i="1" s="1"/>
  <c r="Y1270" i="1"/>
  <c r="Y1274" i="1" s="1"/>
  <c r="V1270" i="1"/>
  <c r="V1274" i="1" s="1"/>
  <c r="T1270" i="1"/>
  <c r="T1274" i="1" s="1"/>
  <c r="R1270" i="1"/>
  <c r="R1274" i="1" s="1"/>
  <c r="R1280" i="1" s="1"/>
  <c r="L1270" i="1"/>
  <c r="L1274" i="1" s="1"/>
  <c r="J1270" i="1"/>
  <c r="J1274" i="1" s="1"/>
  <c r="F1270" i="1"/>
  <c r="F1274" i="1" s="1"/>
  <c r="D1270" i="1"/>
  <c r="D1274" i="1" s="1"/>
  <c r="B1270" i="1"/>
  <c r="B1274" i="1" s="1"/>
  <c r="AF1269" i="1"/>
  <c r="AD1269" i="1"/>
  <c r="Z1269" i="1"/>
  <c r="W1269" i="1"/>
  <c r="U1269" i="1"/>
  <c r="S1269" i="1"/>
  <c r="N1269" i="1"/>
  <c r="K1269" i="1"/>
  <c r="H1269" i="1"/>
  <c r="E1269" i="1"/>
  <c r="AF1268" i="1"/>
  <c r="AD1268" i="1"/>
  <c r="Z1268" i="1"/>
  <c r="W1268" i="1"/>
  <c r="U1268" i="1"/>
  <c r="S1268" i="1"/>
  <c r="N1268" i="1"/>
  <c r="K1268" i="1"/>
  <c r="H1268" i="1"/>
  <c r="E1268" i="1"/>
  <c r="AH1267" i="1"/>
  <c r="AJ1267" i="1" s="1"/>
  <c r="AL1267" i="1" s="1"/>
  <c r="AN1267" i="1" s="1"/>
  <c r="AP1267" i="1" s="1"/>
  <c r="AR1267" i="1" s="1"/>
  <c r="AT1267" i="1" s="1"/>
  <c r="AV1267" i="1" s="1"/>
  <c r="AX1267" i="1" s="1"/>
  <c r="AZ1267" i="1" s="1"/>
  <c r="AF1267" i="1"/>
  <c r="AD1267" i="1"/>
  <c r="Z1267" i="1"/>
  <c r="W1267" i="1"/>
  <c r="S1267" i="1"/>
  <c r="P1267" i="1"/>
  <c r="U1267" i="1" s="1"/>
  <c r="N1267" i="1"/>
  <c r="K1267" i="1"/>
  <c r="H1267" i="1"/>
  <c r="E1267" i="1"/>
  <c r="AF1266" i="1"/>
  <c r="AD1266" i="1"/>
  <c r="Z1266" i="1"/>
  <c r="W1266" i="1"/>
  <c r="U1266" i="1"/>
  <c r="S1266" i="1"/>
  <c r="N1266" i="1"/>
  <c r="K1266" i="1"/>
  <c r="H1266" i="1"/>
  <c r="E1266" i="1"/>
  <c r="AF1265" i="1"/>
  <c r="AD1265" i="1"/>
  <c r="Z1265" i="1"/>
  <c r="W1265" i="1"/>
  <c r="S1265" i="1"/>
  <c r="P1265" i="1"/>
  <c r="N1265" i="1"/>
  <c r="K1265" i="1"/>
  <c r="H1265" i="1"/>
  <c r="E1265" i="1"/>
  <c r="AJ1264" i="1"/>
  <c r="AL1264" i="1" s="1"/>
  <c r="AN1264" i="1" s="1"/>
  <c r="AP1264" i="1" s="1"/>
  <c r="AR1264" i="1" s="1"/>
  <c r="AT1264" i="1" s="1"/>
  <c r="AV1264" i="1" s="1"/>
  <c r="AX1264" i="1" s="1"/>
  <c r="AZ1264" i="1" s="1"/>
  <c r="AF1264" i="1"/>
  <c r="AD1264" i="1"/>
  <c r="Z1264" i="1"/>
  <c r="W1264" i="1"/>
  <c r="S1264" i="1"/>
  <c r="P1264" i="1"/>
  <c r="U1264" i="1" s="1"/>
  <c r="N1264" i="1"/>
  <c r="K1264" i="1"/>
  <c r="H1264" i="1"/>
  <c r="E1264" i="1"/>
  <c r="AF1263" i="1"/>
  <c r="AD1263" i="1"/>
  <c r="Z1263" i="1"/>
  <c r="W1263" i="1"/>
  <c r="U1263" i="1"/>
  <c r="S1263" i="1"/>
  <c r="N1263" i="1"/>
  <c r="K1263" i="1"/>
  <c r="H1263" i="1"/>
  <c r="E1263" i="1"/>
  <c r="AF1262" i="1"/>
  <c r="AD1262" i="1"/>
  <c r="Z1262" i="1"/>
  <c r="W1262" i="1"/>
  <c r="U1262" i="1"/>
  <c r="S1262" i="1"/>
  <c r="N1262" i="1"/>
  <c r="K1262" i="1"/>
  <c r="H1262" i="1"/>
  <c r="E1262" i="1"/>
  <c r="AF1261" i="1"/>
  <c r="AD1261" i="1"/>
  <c r="Z1261" i="1"/>
  <c r="W1261" i="1"/>
  <c r="U1261" i="1"/>
  <c r="S1261" i="1"/>
  <c r="N1261" i="1"/>
  <c r="K1261" i="1"/>
  <c r="H1261" i="1"/>
  <c r="E1261" i="1"/>
  <c r="AH1260" i="1"/>
  <c r="AF1260" i="1"/>
  <c r="AD1260" i="1"/>
  <c r="Z1260" i="1"/>
  <c r="W1260" i="1"/>
  <c r="S1260" i="1"/>
  <c r="P1260" i="1"/>
  <c r="U1260" i="1" s="1"/>
  <c r="N1260" i="1"/>
  <c r="K1260" i="1"/>
  <c r="H1260" i="1"/>
  <c r="E1260" i="1"/>
  <c r="AF1251" i="1"/>
  <c r="Z1251" i="1"/>
  <c r="U1251" i="1"/>
  <c r="N1251" i="1"/>
  <c r="H1251" i="1"/>
  <c r="AZ1250" i="1"/>
  <c r="AZ1252" i="1" s="1"/>
  <c r="AX1250" i="1"/>
  <c r="AX1252" i="1" s="1"/>
  <c r="AV1250" i="1"/>
  <c r="AV1252" i="1" s="1"/>
  <c r="AT1250" i="1"/>
  <c r="AT1252" i="1" s="1"/>
  <c r="AR1250" i="1"/>
  <c r="AR1252" i="1" s="1"/>
  <c r="AP1250" i="1"/>
  <c r="AP1252" i="1" s="1"/>
  <c r="AN1250" i="1"/>
  <c r="AN1252" i="1" s="1"/>
  <c r="AL1250" i="1"/>
  <c r="AL1252" i="1" s="1"/>
  <c r="AJ1250" i="1"/>
  <c r="AJ1252" i="1" s="1"/>
  <c r="AH1250" i="1"/>
  <c r="AH1252" i="1" s="1"/>
  <c r="AE1250" i="1"/>
  <c r="AE1252" i="1" s="1"/>
  <c r="AE1253" i="1" s="1"/>
  <c r="Y1250" i="1"/>
  <c r="T1250" i="1"/>
  <c r="T1252" i="1" s="1"/>
  <c r="P1250" i="1"/>
  <c r="P1252" i="1" s="1"/>
  <c r="P1253" i="1" s="1"/>
  <c r="AH1248" i="1" s="1"/>
  <c r="L1250" i="1"/>
  <c r="F1250" i="1"/>
  <c r="F1252" i="1" s="1"/>
  <c r="F1253" i="1" s="1"/>
  <c r="B1250" i="1"/>
  <c r="AF1249" i="1"/>
  <c r="H1249" i="1"/>
  <c r="AF1248" i="1"/>
  <c r="Z1248" i="1"/>
  <c r="U1248" i="1"/>
  <c r="N1248" i="1"/>
  <c r="H1248" i="1"/>
  <c r="H1247" i="1"/>
  <c r="H1246" i="1"/>
  <c r="H1245" i="1"/>
  <c r="H1244" i="1"/>
  <c r="N1241" i="1"/>
  <c r="H1241" i="1"/>
  <c r="AM1240" i="1"/>
  <c r="AR1239" i="1"/>
  <c r="B1239" i="1"/>
  <c r="N1237" i="1"/>
  <c r="H1237" i="1"/>
  <c r="B1236" i="1"/>
  <c r="AH1235" i="1"/>
  <c r="Y1234" i="1"/>
  <c r="Y1236" i="1" s="1"/>
  <c r="Z1232" i="1"/>
  <c r="U1232" i="1"/>
  <c r="N1232" i="1"/>
  <c r="H1232" i="1"/>
  <c r="AZ1213" i="1"/>
  <c r="AX1213" i="1"/>
  <c r="AE1209" i="1"/>
  <c r="AE1090" i="1" s="1"/>
  <c r="AC1209" i="1"/>
  <c r="Y1209" i="1"/>
  <c r="Y1090" i="1" s="1"/>
  <c r="V1209" i="1"/>
  <c r="T1209" i="1"/>
  <c r="T1090" i="1" s="1"/>
  <c r="R1209" i="1"/>
  <c r="L1209" i="1"/>
  <c r="L1090" i="1" s="1"/>
  <c r="J1209" i="1"/>
  <c r="F1209" i="1"/>
  <c r="F1090" i="1" s="1"/>
  <c r="D1209" i="1"/>
  <c r="B1209" i="1"/>
  <c r="B1090" i="1" s="1"/>
  <c r="AH1208" i="1"/>
  <c r="AJ1208" i="1" s="1"/>
  <c r="AL1208" i="1" s="1"/>
  <c r="AN1208" i="1" s="1"/>
  <c r="AP1208" i="1" s="1"/>
  <c r="AR1208" i="1" s="1"/>
  <c r="AF1208" i="1"/>
  <c r="AD1208" i="1"/>
  <c r="Z1208" i="1"/>
  <c r="W1208" i="1"/>
  <c r="U1208" i="1"/>
  <c r="S1208" i="1"/>
  <c r="N1208" i="1"/>
  <c r="K1208" i="1"/>
  <c r="H1208" i="1"/>
  <c r="E1208" i="1"/>
  <c r="AF1207" i="1"/>
  <c r="AD1207" i="1"/>
  <c r="Z1207" i="1"/>
  <c r="W1207" i="1"/>
  <c r="N1207" i="1"/>
  <c r="K1207" i="1"/>
  <c r="H1207" i="1"/>
  <c r="E1207" i="1"/>
  <c r="AV1206" i="1"/>
  <c r="AV1101" i="1" s="1"/>
  <c r="AP1206" i="1"/>
  <c r="AN1206" i="1"/>
  <c r="AL1206" i="1"/>
  <c r="AJ1206" i="1"/>
  <c r="AJ1101" i="1" s="1"/>
  <c r="AJ1103" i="1" s="1"/>
  <c r="AH1206" i="1"/>
  <c r="AF1206" i="1"/>
  <c r="AD1206" i="1"/>
  <c r="Z1206" i="1"/>
  <c r="W1206" i="1"/>
  <c r="S1206" i="1"/>
  <c r="P1206" i="1"/>
  <c r="P1101" i="1" s="1"/>
  <c r="N1206" i="1"/>
  <c r="K1206" i="1"/>
  <c r="H1206" i="1"/>
  <c r="E1206" i="1"/>
  <c r="AF1205" i="1"/>
  <c r="AD1205" i="1"/>
  <c r="Z1205" i="1"/>
  <c r="W1205" i="1"/>
  <c r="N1205" i="1"/>
  <c r="K1205" i="1"/>
  <c r="H1205" i="1"/>
  <c r="E1205" i="1"/>
  <c r="AF1204" i="1"/>
  <c r="AD1204" i="1"/>
  <c r="Z1204" i="1"/>
  <c r="W1204" i="1"/>
  <c r="N1204" i="1"/>
  <c r="K1204" i="1"/>
  <c r="H1204" i="1"/>
  <c r="E1204" i="1"/>
  <c r="AF1203" i="1"/>
  <c r="AD1203" i="1"/>
  <c r="Z1203" i="1"/>
  <c r="W1203" i="1"/>
  <c r="N1203" i="1"/>
  <c r="K1203" i="1"/>
  <c r="H1203" i="1"/>
  <c r="E1203" i="1"/>
  <c r="AF1202" i="1"/>
  <c r="AD1202" i="1"/>
  <c r="Z1202" i="1"/>
  <c r="W1202" i="1"/>
  <c r="N1202" i="1"/>
  <c r="K1202" i="1"/>
  <c r="H1202" i="1"/>
  <c r="E1202" i="1"/>
  <c r="AF1201" i="1"/>
  <c r="AD1201" i="1"/>
  <c r="Z1201" i="1"/>
  <c r="W1201" i="1"/>
  <c r="N1201" i="1"/>
  <c r="K1201" i="1"/>
  <c r="H1201" i="1"/>
  <c r="E1201" i="1"/>
  <c r="AF1200" i="1"/>
  <c r="AD1200" i="1"/>
  <c r="Z1200" i="1"/>
  <c r="W1200" i="1"/>
  <c r="N1200" i="1"/>
  <c r="K1200" i="1"/>
  <c r="H1200" i="1"/>
  <c r="E1200" i="1"/>
  <c r="AF1199" i="1"/>
  <c r="AD1199" i="1"/>
  <c r="Z1199" i="1"/>
  <c r="W1199" i="1"/>
  <c r="N1199" i="1"/>
  <c r="K1199" i="1"/>
  <c r="H1199" i="1"/>
  <c r="E1199" i="1"/>
  <c r="AF1198" i="1"/>
  <c r="AD1198" i="1"/>
  <c r="Z1198" i="1"/>
  <c r="W1198" i="1"/>
  <c r="N1198" i="1"/>
  <c r="K1198" i="1"/>
  <c r="H1198" i="1"/>
  <c r="E1198" i="1"/>
  <c r="AF1197" i="1"/>
  <c r="AD1197" i="1"/>
  <c r="Z1197" i="1"/>
  <c r="W1197" i="1"/>
  <c r="N1197" i="1"/>
  <c r="K1197" i="1"/>
  <c r="H1197" i="1"/>
  <c r="E1197" i="1"/>
  <c r="AF1196" i="1"/>
  <c r="AD1196" i="1"/>
  <c r="Z1196" i="1"/>
  <c r="W1196" i="1"/>
  <c r="N1196" i="1"/>
  <c r="K1196" i="1"/>
  <c r="H1196" i="1"/>
  <c r="E1196" i="1"/>
  <c r="AF1195" i="1"/>
  <c r="AD1195" i="1"/>
  <c r="Z1195" i="1"/>
  <c r="W1195" i="1"/>
  <c r="N1195" i="1"/>
  <c r="K1195" i="1"/>
  <c r="H1195" i="1"/>
  <c r="E1195" i="1"/>
  <c r="AF1194" i="1"/>
  <c r="AD1194" i="1"/>
  <c r="Z1194" i="1"/>
  <c r="W1194" i="1"/>
  <c r="N1194" i="1"/>
  <c r="K1194" i="1"/>
  <c r="H1194" i="1"/>
  <c r="E1194" i="1"/>
  <c r="AF1193" i="1"/>
  <c r="AD1193" i="1"/>
  <c r="Z1193" i="1"/>
  <c r="W1193" i="1"/>
  <c r="N1193" i="1"/>
  <c r="K1193" i="1"/>
  <c r="H1193" i="1"/>
  <c r="E1193" i="1"/>
  <c r="AF1192" i="1"/>
  <c r="AD1192" i="1"/>
  <c r="Z1192" i="1"/>
  <c r="W1192" i="1"/>
  <c r="N1192" i="1"/>
  <c r="K1192" i="1"/>
  <c r="H1192" i="1"/>
  <c r="E1192" i="1"/>
  <c r="AF1191" i="1"/>
  <c r="AD1191" i="1"/>
  <c r="Z1191" i="1"/>
  <c r="W1191" i="1"/>
  <c r="N1191" i="1"/>
  <c r="K1191" i="1"/>
  <c r="H1191" i="1"/>
  <c r="E1191" i="1"/>
  <c r="AF1190" i="1"/>
  <c r="AD1190" i="1"/>
  <c r="Z1190" i="1"/>
  <c r="W1190" i="1"/>
  <c r="N1190" i="1"/>
  <c r="K1190" i="1"/>
  <c r="H1190" i="1"/>
  <c r="E1190" i="1"/>
  <c r="AF1189" i="1"/>
  <c r="AD1189" i="1"/>
  <c r="Z1189" i="1"/>
  <c r="W1189" i="1"/>
  <c r="N1189" i="1"/>
  <c r="K1189" i="1"/>
  <c r="H1189" i="1"/>
  <c r="E1189" i="1"/>
  <c r="AF1188" i="1"/>
  <c r="AD1188" i="1"/>
  <c r="Z1188" i="1"/>
  <c r="W1188" i="1"/>
  <c r="U1188" i="1"/>
  <c r="S1188" i="1"/>
  <c r="N1188" i="1"/>
  <c r="K1188" i="1"/>
  <c r="H1188" i="1"/>
  <c r="E1188" i="1"/>
  <c r="AF1187" i="1"/>
  <c r="AD1187" i="1"/>
  <c r="Z1187" i="1"/>
  <c r="W1187" i="1"/>
  <c r="N1187" i="1"/>
  <c r="K1187" i="1"/>
  <c r="H1187" i="1"/>
  <c r="E1187" i="1"/>
  <c r="AF1186" i="1"/>
  <c r="AD1186" i="1"/>
  <c r="Z1186" i="1"/>
  <c r="W1186" i="1"/>
  <c r="N1186" i="1"/>
  <c r="K1186" i="1"/>
  <c r="H1186" i="1"/>
  <c r="E1186" i="1"/>
  <c r="AF1185" i="1"/>
  <c r="AD1185" i="1"/>
  <c r="Z1185" i="1"/>
  <c r="W1185" i="1"/>
  <c r="N1185" i="1"/>
  <c r="K1185" i="1"/>
  <c r="H1185" i="1"/>
  <c r="E1185" i="1"/>
  <c r="AF1184" i="1"/>
  <c r="AD1184" i="1"/>
  <c r="Z1184" i="1"/>
  <c r="W1184" i="1"/>
  <c r="N1184" i="1"/>
  <c r="K1184" i="1"/>
  <c r="H1184" i="1"/>
  <c r="E1184" i="1"/>
  <c r="AF1183" i="1"/>
  <c r="AD1183" i="1"/>
  <c r="Z1183" i="1"/>
  <c r="W1183" i="1"/>
  <c r="N1183" i="1"/>
  <c r="K1183" i="1"/>
  <c r="H1183" i="1"/>
  <c r="E1183" i="1"/>
  <c r="AF1182" i="1"/>
  <c r="AD1182" i="1"/>
  <c r="Z1182" i="1"/>
  <c r="W1182" i="1"/>
  <c r="N1182" i="1"/>
  <c r="K1182" i="1"/>
  <c r="H1182" i="1"/>
  <c r="E1182" i="1"/>
  <c r="AH1181" i="1"/>
  <c r="AF1181" i="1"/>
  <c r="AD1181" i="1"/>
  <c r="Z1181" i="1"/>
  <c r="W1181" i="1"/>
  <c r="U1181" i="1"/>
  <c r="S1181" i="1"/>
  <c r="N1181" i="1"/>
  <c r="K1181" i="1"/>
  <c r="H1181" i="1"/>
  <c r="E1181" i="1"/>
  <c r="AF1180" i="1"/>
  <c r="AD1180" i="1"/>
  <c r="Z1180" i="1"/>
  <c r="W1180" i="1"/>
  <c r="N1180" i="1"/>
  <c r="K1180" i="1"/>
  <c r="H1180" i="1"/>
  <c r="E1180" i="1"/>
  <c r="AF1179" i="1"/>
  <c r="AD1179" i="1"/>
  <c r="Z1179" i="1"/>
  <c r="W1179" i="1"/>
  <c r="N1179" i="1"/>
  <c r="K1179" i="1"/>
  <c r="H1179" i="1"/>
  <c r="E1179" i="1"/>
  <c r="AF1178" i="1"/>
  <c r="AD1178" i="1"/>
  <c r="Z1178" i="1"/>
  <c r="W1178" i="1"/>
  <c r="N1178" i="1"/>
  <c r="K1178" i="1"/>
  <c r="H1178" i="1"/>
  <c r="E1178" i="1"/>
  <c r="AF1177" i="1"/>
  <c r="AD1177" i="1"/>
  <c r="Z1177" i="1"/>
  <c r="W1177" i="1"/>
  <c r="N1177" i="1"/>
  <c r="K1177" i="1"/>
  <c r="H1177" i="1"/>
  <c r="E1177" i="1"/>
  <c r="AF1176" i="1"/>
  <c r="AD1176" i="1"/>
  <c r="Z1176" i="1"/>
  <c r="W1176" i="1"/>
  <c r="N1176" i="1"/>
  <c r="K1176" i="1"/>
  <c r="H1176" i="1"/>
  <c r="E1176" i="1"/>
  <c r="AF1175" i="1"/>
  <c r="AD1175" i="1"/>
  <c r="Z1175" i="1"/>
  <c r="W1175" i="1"/>
  <c r="N1175" i="1"/>
  <c r="K1175" i="1"/>
  <c r="H1175" i="1"/>
  <c r="E1175" i="1"/>
  <c r="AF1174" i="1"/>
  <c r="AD1174" i="1"/>
  <c r="Z1174" i="1"/>
  <c r="W1174" i="1"/>
  <c r="N1174" i="1"/>
  <c r="K1174" i="1"/>
  <c r="H1174" i="1"/>
  <c r="E1174" i="1"/>
  <c r="AF1173" i="1"/>
  <c r="AD1173" i="1"/>
  <c r="W1173" i="1"/>
  <c r="AF1172" i="1"/>
  <c r="AD1172" i="1"/>
  <c r="W1172" i="1"/>
  <c r="AF1171" i="1"/>
  <c r="AD1171" i="1"/>
  <c r="W1171" i="1"/>
  <c r="AF1170" i="1"/>
  <c r="AD1170" i="1"/>
  <c r="AE1166" i="1"/>
  <c r="AC1166" i="1"/>
  <c r="Y1166" i="1"/>
  <c r="V1166" i="1"/>
  <c r="T1166" i="1"/>
  <c r="R1166" i="1"/>
  <c r="L1166" i="1"/>
  <c r="J1166" i="1"/>
  <c r="F1166" i="1"/>
  <c r="D1166" i="1"/>
  <c r="B1166" i="1"/>
  <c r="AF1165" i="1"/>
  <c r="AD1165" i="1"/>
  <c r="Z1165" i="1"/>
  <c r="W1165" i="1"/>
  <c r="S1165" i="1"/>
  <c r="P1165" i="1"/>
  <c r="U1165" i="1" s="1"/>
  <c r="N1165" i="1"/>
  <c r="K1165" i="1"/>
  <c r="H1165" i="1"/>
  <c r="H1166" i="1" s="1"/>
  <c r="E1165" i="1"/>
  <c r="E1166" i="1" s="1"/>
  <c r="AF1164" i="1"/>
  <c r="AD1164" i="1"/>
  <c r="Z1164" i="1"/>
  <c r="W1164" i="1"/>
  <c r="N1164" i="1"/>
  <c r="N1166" i="1" s="1"/>
  <c r="K1164" i="1"/>
  <c r="K1166" i="1" s="1"/>
  <c r="AF1163" i="1"/>
  <c r="AD1163" i="1"/>
  <c r="Z1163" i="1"/>
  <c r="W1163" i="1"/>
  <c r="AF1162" i="1"/>
  <c r="AD1162" i="1"/>
  <c r="Z1162" i="1"/>
  <c r="W1162" i="1"/>
  <c r="U1162" i="1"/>
  <c r="S1162" i="1"/>
  <c r="AF1159" i="1"/>
  <c r="AD1159" i="1"/>
  <c r="Z1159" i="1"/>
  <c r="W1159" i="1"/>
  <c r="U1159" i="1"/>
  <c r="S1159" i="1"/>
  <c r="N1159" i="1"/>
  <c r="J1159" i="1"/>
  <c r="H1159" i="1"/>
  <c r="E1159" i="1"/>
  <c r="AF1157" i="1"/>
  <c r="AD1157" i="1"/>
  <c r="Z1157" i="1"/>
  <c r="W1157" i="1"/>
  <c r="S1157" i="1"/>
  <c r="P1157" i="1"/>
  <c r="U1157" i="1" s="1"/>
  <c r="N1157" i="1"/>
  <c r="K1157" i="1"/>
  <c r="K1159" i="1" s="1"/>
  <c r="H1157" i="1"/>
  <c r="E1157" i="1"/>
  <c r="AE1155" i="1"/>
  <c r="Y1155" i="1"/>
  <c r="T1155" i="1"/>
  <c r="R1155" i="1"/>
  <c r="L1155" i="1"/>
  <c r="J1155" i="1"/>
  <c r="F1155" i="1"/>
  <c r="D1155" i="1"/>
  <c r="B1155" i="1"/>
  <c r="AF1154" i="1"/>
  <c r="AC1154" i="1"/>
  <c r="Z1154" i="1"/>
  <c r="V1154" i="1"/>
  <c r="V1155" i="1" s="1"/>
  <c r="S1154" i="1"/>
  <c r="S1155" i="1" s="1"/>
  <c r="P1154" i="1"/>
  <c r="AH1154" i="1" s="1"/>
  <c r="AH1155" i="1" s="1"/>
  <c r="N1154" i="1"/>
  <c r="N1155" i="1" s="1"/>
  <c r="K1154" i="1"/>
  <c r="K1155" i="1" s="1"/>
  <c r="H1154" i="1"/>
  <c r="H1155" i="1" s="1"/>
  <c r="E1154" i="1"/>
  <c r="E1155" i="1" s="1"/>
  <c r="AF1153" i="1"/>
  <c r="AD1153" i="1"/>
  <c r="Z1153" i="1"/>
  <c r="AE1151" i="1"/>
  <c r="AC1151" i="1"/>
  <c r="Y1151" i="1"/>
  <c r="T1151" i="1"/>
  <c r="R1151" i="1"/>
  <c r="L1151" i="1"/>
  <c r="J1151" i="1"/>
  <c r="F1151" i="1"/>
  <c r="D1151" i="1"/>
  <c r="B1151" i="1"/>
  <c r="AF1150" i="1"/>
  <c r="AD1150" i="1"/>
  <c r="Z1150" i="1"/>
  <c r="W1150" i="1"/>
  <c r="U1150" i="1"/>
  <c r="S1150" i="1"/>
  <c r="N1150" i="1"/>
  <c r="K1150" i="1"/>
  <c r="H1150" i="1"/>
  <c r="E1150" i="1"/>
  <c r="AF1149" i="1"/>
  <c r="AD1149" i="1"/>
  <c r="Z1149" i="1"/>
  <c r="V1149" i="1"/>
  <c r="W1149" i="1" s="1"/>
  <c r="S1149" i="1"/>
  <c r="P1149" i="1"/>
  <c r="AH1149" i="1" s="1"/>
  <c r="AJ1149" i="1" s="1"/>
  <c r="AL1149" i="1" s="1"/>
  <c r="AN1149" i="1" s="1"/>
  <c r="AP1149" i="1" s="1"/>
  <c r="AR1149" i="1" s="1"/>
  <c r="AT1149" i="1" s="1"/>
  <c r="AV1149" i="1" s="1"/>
  <c r="AX1149" i="1" s="1"/>
  <c r="AZ1149" i="1" s="1"/>
  <c r="N1149" i="1"/>
  <c r="K1149" i="1"/>
  <c r="H1149" i="1"/>
  <c r="E1149" i="1"/>
  <c r="AH1148" i="1"/>
  <c r="AJ1148" i="1" s="1"/>
  <c r="AL1148" i="1" s="1"/>
  <c r="AN1148" i="1" s="1"/>
  <c r="AP1148" i="1" s="1"/>
  <c r="AR1148" i="1" s="1"/>
  <c r="AT1148" i="1" s="1"/>
  <c r="AV1148" i="1" s="1"/>
  <c r="AX1148" i="1" s="1"/>
  <c r="AZ1148" i="1" s="1"/>
  <c r="AF1148" i="1"/>
  <c r="AD1148" i="1"/>
  <c r="Z1148" i="1"/>
  <c r="W1148" i="1"/>
  <c r="S1148" i="1"/>
  <c r="P1148" i="1"/>
  <c r="U1148" i="1" s="1"/>
  <c r="N1148" i="1"/>
  <c r="K1148" i="1"/>
  <c r="H1148" i="1"/>
  <c r="E1148" i="1"/>
  <c r="AH1147" i="1"/>
  <c r="AJ1147" i="1" s="1"/>
  <c r="AL1147" i="1" s="1"/>
  <c r="AN1147" i="1" s="1"/>
  <c r="AP1147" i="1" s="1"/>
  <c r="AR1147" i="1" s="1"/>
  <c r="AT1147" i="1" s="1"/>
  <c r="AV1147" i="1" s="1"/>
  <c r="AX1147" i="1" s="1"/>
  <c r="AZ1147" i="1" s="1"/>
  <c r="AF1147" i="1"/>
  <c r="AD1147" i="1"/>
  <c r="Z1147" i="1"/>
  <c r="W1147" i="1"/>
  <c r="S1147" i="1"/>
  <c r="P1147" i="1"/>
  <c r="U1147" i="1" s="1"/>
  <c r="N1147" i="1"/>
  <c r="K1147" i="1"/>
  <c r="H1147" i="1"/>
  <c r="E1147" i="1"/>
  <c r="AH1146" i="1"/>
  <c r="AJ1146" i="1" s="1"/>
  <c r="AF1146" i="1"/>
  <c r="AD1146" i="1"/>
  <c r="Z1146" i="1"/>
  <c r="W1146" i="1"/>
  <c r="S1146" i="1"/>
  <c r="P1146" i="1"/>
  <c r="U1146" i="1" s="1"/>
  <c r="N1146" i="1"/>
  <c r="K1146" i="1"/>
  <c r="H1146" i="1"/>
  <c r="E1146" i="1"/>
  <c r="AE1143" i="1"/>
  <c r="AC1143" i="1"/>
  <c r="Y1143" i="1"/>
  <c r="V1143" i="1"/>
  <c r="T1143" i="1"/>
  <c r="R1143" i="1"/>
  <c r="L1143" i="1"/>
  <c r="J1143" i="1"/>
  <c r="F1143" i="1"/>
  <c r="D1143" i="1"/>
  <c r="AJ1142" i="1"/>
  <c r="AL1142" i="1" s="1"/>
  <c r="AN1142" i="1" s="1"/>
  <c r="AP1142" i="1" s="1"/>
  <c r="AR1142" i="1" s="1"/>
  <c r="AT1142" i="1" s="1"/>
  <c r="AV1142" i="1" s="1"/>
  <c r="AX1142" i="1" s="1"/>
  <c r="AZ1142" i="1" s="1"/>
  <c r="AF1142" i="1"/>
  <c r="AD1142" i="1"/>
  <c r="Z1142" i="1"/>
  <c r="W1142" i="1"/>
  <c r="S1142" i="1"/>
  <c r="P1142" i="1"/>
  <c r="U1142" i="1" s="1"/>
  <c r="N1142" i="1"/>
  <c r="K1142" i="1"/>
  <c r="H1142" i="1"/>
  <c r="E1142" i="1"/>
  <c r="AJ1141" i="1"/>
  <c r="AL1141" i="1" s="1"/>
  <c r="AN1141" i="1" s="1"/>
  <c r="AP1141" i="1" s="1"/>
  <c r="AR1141" i="1" s="1"/>
  <c r="AT1141" i="1" s="1"/>
  <c r="AV1141" i="1" s="1"/>
  <c r="AX1141" i="1" s="1"/>
  <c r="AZ1141" i="1" s="1"/>
  <c r="AF1141" i="1"/>
  <c r="AD1141" i="1"/>
  <c r="Z1141" i="1"/>
  <c r="W1141" i="1"/>
  <c r="S1141" i="1"/>
  <c r="P1141" i="1"/>
  <c r="U1141" i="1" s="1"/>
  <c r="N1141" i="1"/>
  <c r="K1141" i="1"/>
  <c r="H1141" i="1"/>
  <c r="E1141" i="1"/>
  <c r="AH1140" i="1"/>
  <c r="AJ1140" i="1" s="1"/>
  <c r="AL1140" i="1" s="1"/>
  <c r="AN1140" i="1" s="1"/>
  <c r="AP1140" i="1" s="1"/>
  <c r="AR1140" i="1" s="1"/>
  <c r="AT1140" i="1" s="1"/>
  <c r="AV1140" i="1" s="1"/>
  <c r="AX1140" i="1" s="1"/>
  <c r="AZ1140" i="1" s="1"/>
  <c r="AF1140" i="1"/>
  <c r="AD1140" i="1"/>
  <c r="Z1140" i="1"/>
  <c r="W1140" i="1"/>
  <c r="S1140" i="1"/>
  <c r="P1140" i="1"/>
  <c r="U1140" i="1" s="1"/>
  <c r="N1140" i="1"/>
  <c r="K1140" i="1"/>
  <c r="E1140" i="1"/>
  <c r="B1140" i="1"/>
  <c r="H1140" i="1" s="1"/>
  <c r="AH1139" i="1"/>
  <c r="AJ1139" i="1" s="1"/>
  <c r="AL1139" i="1" s="1"/>
  <c r="AN1139" i="1" s="1"/>
  <c r="AP1139" i="1" s="1"/>
  <c r="AR1139" i="1" s="1"/>
  <c r="AT1139" i="1" s="1"/>
  <c r="AV1139" i="1" s="1"/>
  <c r="AX1139" i="1" s="1"/>
  <c r="AZ1139" i="1" s="1"/>
  <c r="AF1139" i="1"/>
  <c r="AD1139" i="1"/>
  <c r="Z1139" i="1"/>
  <c r="W1139" i="1"/>
  <c r="S1139" i="1"/>
  <c r="P1139" i="1"/>
  <c r="U1139" i="1" s="1"/>
  <c r="N1139" i="1"/>
  <c r="K1139" i="1"/>
  <c r="H1139" i="1"/>
  <c r="E1139" i="1"/>
  <c r="AF1138" i="1"/>
  <c r="AD1138" i="1"/>
  <c r="Z1138" i="1"/>
  <c r="W1138" i="1"/>
  <c r="U1138" i="1"/>
  <c r="S1138" i="1"/>
  <c r="N1138" i="1"/>
  <c r="K1138" i="1"/>
  <c r="H1138" i="1"/>
  <c r="E1138" i="1"/>
  <c r="AF1137" i="1"/>
  <c r="AD1137" i="1"/>
  <c r="Z1137" i="1"/>
  <c r="W1137" i="1"/>
  <c r="U1137" i="1"/>
  <c r="S1137" i="1"/>
  <c r="N1137" i="1"/>
  <c r="K1137" i="1"/>
  <c r="H1137" i="1"/>
  <c r="E1137" i="1"/>
  <c r="AH1136" i="1"/>
  <c r="AJ1136" i="1" s="1"/>
  <c r="AF1136" i="1"/>
  <c r="AD1136" i="1"/>
  <c r="Z1136" i="1"/>
  <c r="W1136" i="1"/>
  <c r="U1136" i="1"/>
  <c r="S1136" i="1"/>
  <c r="N1136" i="1"/>
  <c r="K1136" i="1"/>
  <c r="E1136" i="1"/>
  <c r="B1136" i="1"/>
  <c r="AZ1131" i="1"/>
  <c r="AZ1086" i="1" s="1"/>
  <c r="AX1131" i="1"/>
  <c r="AX1086" i="1" s="1"/>
  <c r="AV1131" i="1"/>
  <c r="AV1086" i="1" s="1"/>
  <c r="AT1131" i="1"/>
  <c r="AT1086" i="1" s="1"/>
  <c r="AR1131" i="1"/>
  <c r="AR1086" i="1" s="1"/>
  <c r="AP1131" i="1"/>
  <c r="AP1086" i="1" s="1"/>
  <c r="AN1131" i="1"/>
  <c r="AN1086" i="1" s="1"/>
  <c r="AL1131" i="1"/>
  <c r="AL1086" i="1" s="1"/>
  <c r="AJ1131" i="1"/>
  <c r="AJ1086" i="1" s="1"/>
  <c r="AH1131" i="1"/>
  <c r="AH1086" i="1" s="1"/>
  <c r="AE1131" i="1"/>
  <c r="AE1086" i="1" s="1"/>
  <c r="AC1131" i="1"/>
  <c r="Y1131" i="1"/>
  <c r="Y1086" i="1" s="1"/>
  <c r="V1131" i="1"/>
  <c r="T1131" i="1"/>
  <c r="T1086" i="1" s="1"/>
  <c r="R1131" i="1"/>
  <c r="P1131" i="1"/>
  <c r="P1086" i="1" s="1"/>
  <c r="L1131" i="1"/>
  <c r="L1086" i="1" s="1"/>
  <c r="J1131" i="1"/>
  <c r="F1131" i="1"/>
  <c r="F1086" i="1" s="1"/>
  <c r="D1131" i="1"/>
  <c r="B1131" i="1"/>
  <c r="B1086" i="1" s="1"/>
  <c r="AF1130" i="1"/>
  <c r="AD1130" i="1"/>
  <c r="Z1130" i="1"/>
  <c r="W1130" i="1"/>
  <c r="U1130" i="1"/>
  <c r="S1130" i="1"/>
  <c r="N1130" i="1"/>
  <c r="N1131" i="1" s="1"/>
  <c r="K1130" i="1"/>
  <c r="K1131" i="1" s="1"/>
  <c r="H1130" i="1"/>
  <c r="H1131" i="1" s="1"/>
  <c r="E1130" i="1"/>
  <c r="E1131" i="1" s="1"/>
  <c r="AF1129" i="1"/>
  <c r="AD1129" i="1"/>
  <c r="Z1129" i="1"/>
  <c r="W1129" i="1"/>
  <c r="U1129" i="1"/>
  <c r="S1129" i="1"/>
  <c r="AF1128" i="1"/>
  <c r="AD1128" i="1"/>
  <c r="Z1128" i="1"/>
  <c r="W1128" i="1"/>
  <c r="AS1124" i="1"/>
  <c r="AU1124" i="1" s="1"/>
  <c r="AK1124" i="1"/>
  <c r="AM1124" i="1" s="1"/>
  <c r="AF1124" i="1"/>
  <c r="AD1124" i="1"/>
  <c r="Z1124" i="1"/>
  <c r="W1124" i="1"/>
  <c r="S1124" i="1"/>
  <c r="P1124" i="1"/>
  <c r="AH1124" i="1" s="1"/>
  <c r="AJ1124" i="1" s="1"/>
  <c r="AL1124" i="1" s="1"/>
  <c r="AN1124" i="1" s="1"/>
  <c r="AP1124" i="1" s="1"/>
  <c r="AR1124" i="1" s="1"/>
  <c r="AT1124" i="1" s="1"/>
  <c r="AV1124" i="1" s="1"/>
  <c r="AX1124" i="1" s="1"/>
  <c r="AZ1124" i="1" s="1"/>
  <c r="N1124" i="1"/>
  <c r="K1124" i="1"/>
  <c r="H1124" i="1"/>
  <c r="E1124" i="1"/>
  <c r="AF1123" i="1"/>
  <c r="AD1123" i="1"/>
  <c r="Z1123" i="1"/>
  <c r="W1123" i="1"/>
  <c r="U1123" i="1"/>
  <c r="S1123" i="1"/>
  <c r="N1123" i="1"/>
  <c r="K1123" i="1"/>
  <c r="H1123" i="1"/>
  <c r="E1123" i="1"/>
  <c r="AH1122" i="1"/>
  <c r="AJ1122" i="1" s="1"/>
  <c r="AL1122" i="1" s="1"/>
  <c r="AN1122" i="1" s="1"/>
  <c r="AP1122" i="1" s="1"/>
  <c r="AR1122" i="1" s="1"/>
  <c r="AT1122" i="1" s="1"/>
  <c r="AV1122" i="1" s="1"/>
  <c r="AX1122" i="1" s="1"/>
  <c r="AZ1122" i="1" s="1"/>
  <c r="AF1122" i="1"/>
  <c r="AD1122" i="1"/>
  <c r="Z1122" i="1"/>
  <c r="W1122" i="1"/>
  <c r="U1122" i="1"/>
  <c r="S1122" i="1"/>
  <c r="N1122" i="1"/>
  <c r="K1122" i="1"/>
  <c r="H1122" i="1"/>
  <c r="E1122" i="1"/>
  <c r="AF1121" i="1"/>
  <c r="AD1121" i="1"/>
  <c r="Z1121" i="1"/>
  <c r="W1121" i="1"/>
  <c r="U1121" i="1"/>
  <c r="S1121" i="1"/>
  <c r="N1121" i="1"/>
  <c r="K1121" i="1"/>
  <c r="H1121" i="1"/>
  <c r="E1121" i="1"/>
  <c r="AF1120" i="1"/>
  <c r="AD1120" i="1"/>
  <c r="Z1120" i="1"/>
  <c r="W1120" i="1"/>
  <c r="U1120" i="1"/>
  <c r="S1120" i="1"/>
  <c r="N1120" i="1"/>
  <c r="K1120" i="1"/>
  <c r="H1120" i="1"/>
  <c r="E1120" i="1"/>
  <c r="AF1119" i="1"/>
  <c r="AD1119" i="1"/>
  <c r="Z1119" i="1"/>
  <c r="W1119" i="1"/>
  <c r="U1119" i="1"/>
  <c r="S1119" i="1"/>
  <c r="N1119" i="1"/>
  <c r="K1119" i="1"/>
  <c r="H1119" i="1"/>
  <c r="E1119" i="1"/>
  <c r="AF1118" i="1"/>
  <c r="AD1118" i="1"/>
  <c r="Z1118" i="1"/>
  <c r="W1118" i="1"/>
  <c r="U1118" i="1"/>
  <c r="S1118" i="1"/>
  <c r="N1118" i="1"/>
  <c r="K1118" i="1"/>
  <c r="H1118" i="1"/>
  <c r="E1118" i="1"/>
  <c r="AF1117" i="1"/>
  <c r="AD1117" i="1"/>
  <c r="Z1117" i="1"/>
  <c r="W1117" i="1"/>
  <c r="U1117" i="1"/>
  <c r="S1117" i="1"/>
  <c r="N1117" i="1"/>
  <c r="K1117" i="1"/>
  <c r="H1117" i="1"/>
  <c r="E1117" i="1"/>
  <c r="AS1116" i="1"/>
  <c r="AU1116" i="1" s="1"/>
  <c r="AK1116" i="1"/>
  <c r="AM1116" i="1" s="1"/>
  <c r="AH1116" i="1"/>
  <c r="AJ1116" i="1" s="1"/>
  <c r="AL1116" i="1" s="1"/>
  <c r="AN1116" i="1" s="1"/>
  <c r="AP1116" i="1" s="1"/>
  <c r="AR1116" i="1" s="1"/>
  <c r="AT1116" i="1" s="1"/>
  <c r="AV1116" i="1" s="1"/>
  <c r="AX1116" i="1" s="1"/>
  <c r="AZ1116" i="1" s="1"/>
  <c r="AF1116" i="1"/>
  <c r="AD1116" i="1"/>
  <c r="Z1116" i="1"/>
  <c r="W1116" i="1"/>
  <c r="S1116" i="1"/>
  <c r="P1116" i="1"/>
  <c r="U1116" i="1" s="1"/>
  <c r="N1116" i="1"/>
  <c r="K1116" i="1"/>
  <c r="H1116" i="1"/>
  <c r="E1116" i="1"/>
  <c r="AS1115" i="1"/>
  <c r="AU1115" i="1" s="1"/>
  <c r="AK1115" i="1"/>
  <c r="AM1115" i="1" s="1"/>
  <c r="AH1115" i="1"/>
  <c r="AJ1115" i="1" s="1"/>
  <c r="AL1115" i="1" s="1"/>
  <c r="AN1115" i="1" s="1"/>
  <c r="AP1115" i="1" s="1"/>
  <c r="AR1115" i="1" s="1"/>
  <c r="AT1115" i="1" s="1"/>
  <c r="AV1115" i="1" s="1"/>
  <c r="AX1115" i="1" s="1"/>
  <c r="AZ1115" i="1" s="1"/>
  <c r="AF1115" i="1"/>
  <c r="AD1115" i="1"/>
  <c r="Z1115" i="1"/>
  <c r="W1115" i="1"/>
  <c r="S1115" i="1"/>
  <c r="P1115" i="1"/>
  <c r="U1115" i="1" s="1"/>
  <c r="N1115" i="1"/>
  <c r="K1115" i="1"/>
  <c r="H1115" i="1"/>
  <c r="E1115" i="1"/>
  <c r="AS1114" i="1"/>
  <c r="AU1114" i="1" s="1"/>
  <c r="AK1114" i="1"/>
  <c r="AM1114" i="1" s="1"/>
  <c r="AH1114" i="1"/>
  <c r="AJ1114" i="1" s="1"/>
  <c r="AL1114" i="1" s="1"/>
  <c r="AN1114" i="1" s="1"/>
  <c r="AP1114" i="1" s="1"/>
  <c r="AR1114" i="1" s="1"/>
  <c r="AT1114" i="1" s="1"/>
  <c r="AV1114" i="1" s="1"/>
  <c r="AX1114" i="1" s="1"/>
  <c r="AZ1114" i="1" s="1"/>
  <c r="AF1114" i="1"/>
  <c r="AD1114" i="1"/>
  <c r="Z1114" i="1"/>
  <c r="W1114" i="1"/>
  <c r="U1114" i="1"/>
  <c r="S1114" i="1"/>
  <c r="N1114" i="1"/>
  <c r="K1114" i="1"/>
  <c r="H1114" i="1"/>
  <c r="E1114" i="1"/>
  <c r="AS1113" i="1"/>
  <c r="AU1113" i="1" s="1"/>
  <c r="AK1113" i="1"/>
  <c r="AM1113" i="1" s="1"/>
  <c r="AH1113" i="1"/>
  <c r="AJ1113" i="1" s="1"/>
  <c r="AL1113" i="1" s="1"/>
  <c r="AN1113" i="1" s="1"/>
  <c r="AP1113" i="1" s="1"/>
  <c r="AR1113" i="1" s="1"/>
  <c r="AT1113" i="1" s="1"/>
  <c r="AV1113" i="1" s="1"/>
  <c r="AX1113" i="1" s="1"/>
  <c r="AZ1113" i="1" s="1"/>
  <c r="AF1113" i="1"/>
  <c r="AD1113" i="1"/>
  <c r="Z1113" i="1"/>
  <c r="W1113" i="1"/>
  <c r="S1113" i="1"/>
  <c r="P1113" i="1"/>
  <c r="U1113" i="1" s="1"/>
  <c r="N1113" i="1"/>
  <c r="K1113" i="1"/>
  <c r="H1113" i="1"/>
  <c r="E1113" i="1"/>
  <c r="AS1112" i="1"/>
  <c r="AU1112" i="1" s="1"/>
  <c r="AK1112" i="1"/>
  <c r="AM1112" i="1" s="1"/>
  <c r="AH1112" i="1"/>
  <c r="AJ1112" i="1" s="1"/>
  <c r="AL1112" i="1" s="1"/>
  <c r="AN1112" i="1" s="1"/>
  <c r="AP1112" i="1" s="1"/>
  <c r="AR1112" i="1" s="1"/>
  <c r="AT1112" i="1" s="1"/>
  <c r="AV1112" i="1" s="1"/>
  <c r="AX1112" i="1" s="1"/>
  <c r="AZ1112" i="1" s="1"/>
  <c r="AF1112" i="1"/>
  <c r="AD1112" i="1"/>
  <c r="Z1112" i="1"/>
  <c r="W1112" i="1"/>
  <c r="S1112" i="1"/>
  <c r="P1112" i="1"/>
  <c r="U1112" i="1" s="1"/>
  <c r="N1112" i="1"/>
  <c r="K1112" i="1"/>
  <c r="H1112" i="1"/>
  <c r="E1112" i="1"/>
  <c r="AE1110" i="1"/>
  <c r="AE1125" i="1" s="1"/>
  <c r="AC1110" i="1"/>
  <c r="AC1125" i="1" s="1"/>
  <c r="Y1110" i="1"/>
  <c r="Y1125" i="1" s="1"/>
  <c r="Y1085" i="1" s="1"/>
  <c r="V1110" i="1"/>
  <c r="V1125" i="1" s="1"/>
  <c r="T1110" i="1"/>
  <c r="T1125" i="1" s="1"/>
  <c r="T1085" i="1" s="1"/>
  <c r="R1110" i="1"/>
  <c r="R1125" i="1" s="1"/>
  <c r="L1110" i="1"/>
  <c r="L1125" i="1" s="1"/>
  <c r="L1085" i="1" s="1"/>
  <c r="J1110" i="1"/>
  <c r="J1125" i="1" s="1"/>
  <c r="D1110" i="1"/>
  <c r="D1125" i="1" s="1"/>
  <c r="AK1109" i="1"/>
  <c r="AF1109" i="1"/>
  <c r="AD1109" i="1"/>
  <c r="Z1109" i="1"/>
  <c r="W1109" i="1"/>
  <c r="S1109" i="1"/>
  <c r="P1109" i="1"/>
  <c r="U1109" i="1" s="1"/>
  <c r="K1109" i="1"/>
  <c r="F1109" i="1"/>
  <c r="N1109" i="1" s="1"/>
  <c r="B1109" i="1"/>
  <c r="AK1108" i="1"/>
  <c r="AF1108" i="1"/>
  <c r="AD1108" i="1"/>
  <c r="Z1108" i="1"/>
  <c r="W1108" i="1"/>
  <c r="S1108" i="1"/>
  <c r="P1108" i="1"/>
  <c r="U1108" i="1" s="1"/>
  <c r="K1108" i="1"/>
  <c r="F1108" i="1"/>
  <c r="B1108" i="1"/>
  <c r="AZ1102" i="1"/>
  <c r="AX1102" i="1"/>
  <c r="AV1102" i="1"/>
  <c r="AT1102" i="1"/>
  <c r="AR1102" i="1"/>
  <c r="AE1102" i="1"/>
  <c r="Y1102" i="1"/>
  <c r="T1102" i="1"/>
  <c r="P1102" i="1"/>
  <c r="H1102" i="1"/>
  <c r="N1102" i="1" s="1"/>
  <c r="AZ1101" i="1"/>
  <c r="AX1101" i="1"/>
  <c r="AT1101" i="1"/>
  <c r="AR1101" i="1"/>
  <c r="AP1101" i="1"/>
  <c r="AP1103" i="1" s="1"/>
  <c r="AN1101" i="1"/>
  <c r="AN1103" i="1" s="1"/>
  <c r="AL1101" i="1"/>
  <c r="AL1103" i="1" s="1"/>
  <c r="AH1101" i="1"/>
  <c r="AH1103" i="1" s="1"/>
  <c r="AE1101" i="1"/>
  <c r="Y1101" i="1"/>
  <c r="T1101" i="1"/>
  <c r="L1101" i="1"/>
  <c r="L1103" i="1" s="1"/>
  <c r="F1101" i="1"/>
  <c r="B1101" i="1"/>
  <c r="B1103" i="1" s="1"/>
  <c r="B1104" i="1" s="1"/>
  <c r="AF1100" i="1"/>
  <c r="Z1100" i="1"/>
  <c r="U1100" i="1"/>
  <c r="H1100" i="1"/>
  <c r="N1100" i="1" s="1"/>
  <c r="AF1099" i="1"/>
  <c r="Z1099" i="1"/>
  <c r="U1099" i="1"/>
  <c r="H1099" i="1"/>
  <c r="N1099" i="1" s="1"/>
  <c r="H1098" i="1"/>
  <c r="N1098" i="1" s="1"/>
  <c r="H1097" i="1"/>
  <c r="N1097" i="1" s="1"/>
  <c r="H1096" i="1"/>
  <c r="N1096" i="1" s="1"/>
  <c r="H1095" i="1"/>
  <c r="N1095" i="1" s="1"/>
  <c r="N1092" i="1"/>
  <c r="H1092" i="1"/>
  <c r="H1088" i="1"/>
  <c r="N1088" i="1" s="1"/>
  <c r="Z1083" i="1"/>
  <c r="U1083" i="1"/>
  <c r="N1083" i="1"/>
  <c r="H1083" i="1"/>
  <c r="AZ1076" i="1"/>
  <c r="AX1076" i="1"/>
  <c r="AE1051" i="1"/>
  <c r="AC1051" i="1"/>
  <c r="Y1051" i="1"/>
  <c r="T1051" i="1"/>
  <c r="T31" i="1" s="1"/>
  <c r="R1051" i="1"/>
  <c r="L1051" i="1"/>
  <c r="F1051" i="1"/>
  <c r="AF1050" i="1"/>
  <c r="AD1050" i="1"/>
  <c r="Z1050" i="1"/>
  <c r="W1050" i="1"/>
  <c r="U1050" i="1"/>
  <c r="S1050" i="1"/>
  <c r="N1050" i="1"/>
  <c r="K1050" i="1"/>
  <c r="H1050" i="1"/>
  <c r="E1050" i="1"/>
  <c r="AF1047" i="1"/>
  <c r="AD1047" i="1"/>
  <c r="Z1047" i="1"/>
  <c r="W1047" i="1"/>
  <c r="U1047" i="1"/>
  <c r="S1047" i="1"/>
  <c r="N1047" i="1"/>
  <c r="K1047" i="1"/>
  <c r="H1047" i="1"/>
  <c r="E1047" i="1"/>
  <c r="AF1046" i="1"/>
  <c r="AD1046" i="1"/>
  <c r="AF1045" i="1"/>
  <c r="AD1045" i="1"/>
  <c r="Z1045" i="1"/>
  <c r="W1045" i="1"/>
  <c r="U1045" i="1"/>
  <c r="S1045" i="1"/>
  <c r="N1045" i="1"/>
  <c r="K1045" i="1"/>
  <c r="H1045" i="1"/>
  <c r="E1045" i="1"/>
  <c r="AF1044" i="1"/>
  <c r="AD1044" i="1"/>
  <c r="Z1044" i="1"/>
  <c r="W1044" i="1"/>
  <c r="U1044" i="1"/>
  <c r="S1044" i="1"/>
  <c r="N1044" i="1"/>
  <c r="K1044" i="1"/>
  <c r="H1044" i="1"/>
  <c r="E1044" i="1"/>
  <c r="AF1043" i="1"/>
  <c r="AD1043" i="1"/>
  <c r="Z1043" i="1"/>
  <c r="W1043" i="1"/>
  <c r="U1043" i="1"/>
  <c r="S1043" i="1"/>
  <c r="N1043" i="1"/>
  <c r="K1043" i="1"/>
  <c r="H1043" i="1"/>
  <c r="E1043" i="1"/>
  <c r="AF1042" i="1"/>
  <c r="AD1042" i="1"/>
  <c r="Z1042" i="1"/>
  <c r="W1042" i="1"/>
  <c r="U1042" i="1"/>
  <c r="S1042" i="1"/>
  <c r="N1042" i="1"/>
  <c r="K1042" i="1"/>
  <c r="H1042" i="1"/>
  <c r="E1042" i="1"/>
  <c r="AF1041" i="1"/>
  <c r="AD1041" i="1"/>
  <c r="Z1041" i="1"/>
  <c r="W1041" i="1"/>
  <c r="U1041" i="1"/>
  <c r="S1041" i="1"/>
  <c r="N1041" i="1"/>
  <c r="K1041" i="1"/>
  <c r="H1041" i="1"/>
  <c r="E1041" i="1"/>
  <c r="AF1040" i="1"/>
  <c r="AD1040" i="1"/>
  <c r="Z1040" i="1"/>
  <c r="W1040" i="1"/>
  <c r="U1040" i="1"/>
  <c r="S1040" i="1"/>
  <c r="N1040" i="1"/>
  <c r="K1040" i="1"/>
  <c r="H1040" i="1"/>
  <c r="E1040" i="1"/>
  <c r="AF1039" i="1"/>
  <c r="AD1039" i="1"/>
  <c r="Z1039" i="1"/>
  <c r="W1039" i="1"/>
  <c r="U1039" i="1"/>
  <c r="S1039" i="1"/>
  <c r="N1039" i="1"/>
  <c r="K1039" i="1"/>
  <c r="H1039" i="1"/>
  <c r="E1039" i="1"/>
  <c r="AF1038" i="1"/>
  <c r="AD1038" i="1"/>
  <c r="Z1038" i="1"/>
  <c r="W1038" i="1"/>
  <c r="U1038" i="1"/>
  <c r="S1038" i="1"/>
  <c r="N1038" i="1"/>
  <c r="K1038" i="1"/>
  <c r="H1038" i="1"/>
  <c r="E1038" i="1"/>
  <c r="AF1037" i="1"/>
  <c r="AD1037" i="1"/>
  <c r="Z1037" i="1"/>
  <c r="W1037" i="1"/>
  <c r="U1037" i="1"/>
  <c r="S1037" i="1"/>
  <c r="N1037" i="1"/>
  <c r="K1037" i="1"/>
  <c r="H1037" i="1"/>
  <c r="E1037" i="1"/>
  <c r="AF1036" i="1"/>
  <c r="AD1036" i="1"/>
  <c r="Z1036" i="1"/>
  <c r="W1036" i="1"/>
  <c r="U1036" i="1"/>
  <c r="S1036" i="1"/>
  <c r="N1036" i="1"/>
  <c r="K1036" i="1"/>
  <c r="H1036" i="1"/>
  <c r="E1036" i="1"/>
  <c r="AF1035" i="1"/>
  <c r="AD1035" i="1"/>
  <c r="Z1035" i="1"/>
  <c r="W1035" i="1"/>
  <c r="U1035" i="1"/>
  <c r="S1035" i="1"/>
  <c r="N1035" i="1"/>
  <c r="K1035" i="1"/>
  <c r="H1035" i="1"/>
  <c r="E1035" i="1"/>
  <c r="AF1034" i="1"/>
  <c r="AD1034" i="1"/>
  <c r="Z1034" i="1"/>
  <c r="W1034" i="1"/>
  <c r="U1034" i="1"/>
  <c r="S1034" i="1"/>
  <c r="N1034" i="1"/>
  <c r="K1034" i="1"/>
  <c r="H1034" i="1"/>
  <c r="E1034" i="1"/>
  <c r="AF1033" i="1"/>
  <c r="AD1033" i="1"/>
  <c r="Z1033" i="1"/>
  <c r="W1033" i="1"/>
  <c r="U1033" i="1"/>
  <c r="S1033" i="1"/>
  <c r="N1033" i="1"/>
  <c r="K1033" i="1"/>
  <c r="H1033" i="1"/>
  <c r="E1033" i="1"/>
  <c r="AF1032" i="1"/>
  <c r="AD1032" i="1"/>
  <c r="Z1032" i="1"/>
  <c r="W1032" i="1"/>
  <c r="U1032" i="1"/>
  <c r="S1032" i="1"/>
  <c r="N1032" i="1"/>
  <c r="K1032" i="1"/>
  <c r="H1032" i="1"/>
  <c r="E1032" i="1"/>
  <c r="AF1030" i="1"/>
  <c r="AD1030" i="1"/>
  <c r="Z1030" i="1"/>
  <c r="W1030" i="1"/>
  <c r="U1030" i="1"/>
  <c r="S1030" i="1"/>
  <c r="N1030" i="1"/>
  <c r="K1030" i="1"/>
  <c r="H1030" i="1"/>
  <c r="E1030" i="1"/>
  <c r="AF1029" i="1"/>
  <c r="AD1029" i="1"/>
  <c r="Z1029" i="1"/>
  <c r="W1029" i="1"/>
  <c r="U1029" i="1"/>
  <c r="S1029" i="1"/>
  <c r="N1029" i="1"/>
  <c r="K1029" i="1"/>
  <c r="H1029" i="1"/>
  <c r="E1029" i="1"/>
  <c r="AF1028" i="1"/>
  <c r="AD1028" i="1"/>
  <c r="Z1028" i="1"/>
  <c r="W1028" i="1"/>
  <c r="U1028" i="1"/>
  <c r="S1028" i="1"/>
  <c r="N1028" i="1"/>
  <c r="K1028" i="1"/>
  <c r="H1028" i="1"/>
  <c r="E1028" i="1"/>
  <c r="AF1027" i="1"/>
  <c r="AD1027" i="1"/>
  <c r="Z1027" i="1"/>
  <c r="W1027" i="1"/>
  <c r="U1027" i="1"/>
  <c r="S1027" i="1"/>
  <c r="N1027" i="1"/>
  <c r="K1027" i="1"/>
  <c r="H1027" i="1"/>
  <c r="E1027" i="1"/>
  <c r="AF1026" i="1"/>
  <c r="AD1026" i="1"/>
  <c r="Z1026" i="1"/>
  <c r="W1026" i="1"/>
  <c r="U1026" i="1"/>
  <c r="S1026" i="1"/>
  <c r="N1026" i="1"/>
  <c r="K1026" i="1"/>
  <c r="H1026" i="1"/>
  <c r="E1026" i="1"/>
  <c r="AF1025" i="1"/>
  <c r="AD1025" i="1"/>
  <c r="Z1025" i="1"/>
  <c r="W1025" i="1"/>
  <c r="U1025" i="1"/>
  <c r="S1025" i="1"/>
  <c r="N1025" i="1"/>
  <c r="K1025" i="1"/>
  <c r="H1025" i="1"/>
  <c r="E1025" i="1"/>
  <c r="AF1024" i="1"/>
  <c r="AD1024" i="1"/>
  <c r="Z1024" i="1"/>
  <c r="W1024" i="1"/>
  <c r="U1024" i="1"/>
  <c r="S1024" i="1"/>
  <c r="N1024" i="1"/>
  <c r="K1024" i="1"/>
  <c r="H1024" i="1"/>
  <c r="E1024" i="1"/>
  <c r="AF1023" i="1"/>
  <c r="AD1023" i="1"/>
  <c r="Z1023" i="1"/>
  <c r="AF1022" i="1"/>
  <c r="AD1022" i="1"/>
  <c r="Z1022" i="1"/>
  <c r="W1022" i="1"/>
  <c r="U1022" i="1"/>
  <c r="S1022" i="1"/>
  <c r="N1022" i="1"/>
  <c r="K1022" i="1"/>
  <c r="H1022" i="1"/>
  <c r="E1022" i="1"/>
  <c r="AF1021" i="1"/>
  <c r="AD1021" i="1"/>
  <c r="Z1021" i="1"/>
  <c r="W1021" i="1"/>
  <c r="U1021" i="1"/>
  <c r="S1021" i="1"/>
  <c r="N1021" i="1"/>
  <c r="K1021" i="1"/>
  <c r="H1021" i="1"/>
  <c r="E1021" i="1"/>
  <c r="AF1020" i="1"/>
  <c r="AD1020" i="1"/>
  <c r="Z1020" i="1"/>
  <c r="W1020" i="1"/>
  <c r="U1020" i="1"/>
  <c r="S1020" i="1"/>
  <c r="N1020" i="1"/>
  <c r="K1020" i="1"/>
  <c r="H1020" i="1"/>
  <c r="E1020" i="1"/>
  <c r="AF1019" i="1"/>
  <c r="AD1019" i="1"/>
  <c r="Z1019" i="1"/>
  <c r="W1019" i="1"/>
  <c r="U1019" i="1"/>
  <c r="S1019" i="1"/>
  <c r="N1019" i="1"/>
  <c r="K1019" i="1"/>
  <c r="H1019" i="1"/>
  <c r="E1019" i="1"/>
  <c r="AF1018" i="1"/>
  <c r="AD1018" i="1"/>
  <c r="Z1018" i="1"/>
  <c r="W1018" i="1"/>
  <c r="U1018" i="1"/>
  <c r="S1018" i="1"/>
  <c r="N1018" i="1"/>
  <c r="K1018" i="1"/>
  <c r="H1018" i="1"/>
  <c r="E1018" i="1"/>
  <c r="AF1017" i="1"/>
  <c r="AD1017" i="1"/>
  <c r="Z1017" i="1"/>
  <c r="W1017" i="1"/>
  <c r="U1017" i="1"/>
  <c r="S1017" i="1"/>
  <c r="N1017" i="1"/>
  <c r="K1017" i="1"/>
  <c r="H1017" i="1"/>
  <c r="E1017" i="1"/>
  <c r="AF1016" i="1"/>
  <c r="AD1016" i="1"/>
  <c r="Z1016" i="1"/>
  <c r="W1016" i="1"/>
  <c r="U1016" i="1"/>
  <c r="S1016" i="1"/>
  <c r="N1016" i="1"/>
  <c r="K1016" i="1"/>
  <c r="H1016" i="1"/>
  <c r="E1016" i="1"/>
  <c r="AF1015" i="1"/>
  <c r="AD1015" i="1"/>
  <c r="Z1015" i="1"/>
  <c r="W1015" i="1"/>
  <c r="U1015" i="1"/>
  <c r="S1015" i="1"/>
  <c r="N1015" i="1"/>
  <c r="K1015" i="1"/>
  <c r="H1015" i="1"/>
  <c r="E1015" i="1"/>
  <c r="AF1014" i="1"/>
  <c r="AD1014" i="1"/>
  <c r="Z1014" i="1"/>
  <c r="W1014" i="1"/>
  <c r="U1014" i="1"/>
  <c r="S1014" i="1"/>
  <c r="N1014" i="1"/>
  <c r="K1014" i="1"/>
  <c r="H1014" i="1"/>
  <c r="E1014" i="1"/>
  <c r="AF1013" i="1"/>
  <c r="AD1013" i="1"/>
  <c r="Z1013" i="1"/>
  <c r="W1013" i="1"/>
  <c r="U1013" i="1"/>
  <c r="S1013" i="1"/>
  <c r="N1013" i="1"/>
  <c r="K1013" i="1"/>
  <c r="H1013" i="1"/>
  <c r="E1013" i="1"/>
  <c r="AF1012" i="1"/>
  <c r="AD1012" i="1"/>
  <c r="Z1012" i="1"/>
  <c r="W1012" i="1"/>
  <c r="U1012" i="1"/>
  <c r="S1012" i="1"/>
  <c r="N1012" i="1"/>
  <c r="K1012" i="1"/>
  <c r="H1012" i="1"/>
  <c r="E1012" i="1"/>
  <c r="AF1011" i="1"/>
  <c r="AD1011" i="1"/>
  <c r="Z1011" i="1"/>
  <c r="W1011" i="1"/>
  <c r="U1011" i="1"/>
  <c r="S1011" i="1"/>
  <c r="N1011" i="1"/>
  <c r="K1011" i="1"/>
  <c r="H1011" i="1"/>
  <c r="E1011" i="1"/>
  <c r="AF1010" i="1"/>
  <c r="AD1010" i="1"/>
  <c r="Z1010" i="1"/>
  <c r="W1010" i="1"/>
  <c r="U1010" i="1"/>
  <c r="S1010" i="1"/>
  <c r="N1010" i="1"/>
  <c r="K1010" i="1"/>
  <c r="H1010" i="1"/>
  <c r="E1010" i="1"/>
  <c r="AF1009" i="1"/>
  <c r="AD1009" i="1"/>
  <c r="Z1009" i="1"/>
  <c r="W1009" i="1"/>
  <c r="U1009" i="1"/>
  <c r="S1009" i="1"/>
  <c r="N1009" i="1"/>
  <c r="K1009" i="1"/>
  <c r="H1009" i="1"/>
  <c r="E1009" i="1"/>
  <c r="AF1008" i="1"/>
  <c r="AD1008" i="1"/>
  <c r="Z1008" i="1"/>
  <c r="W1008" i="1"/>
  <c r="U1008" i="1"/>
  <c r="S1008" i="1"/>
  <c r="N1008" i="1"/>
  <c r="K1008" i="1"/>
  <c r="H1008" i="1"/>
  <c r="E1008" i="1"/>
  <c r="AF1006" i="1"/>
  <c r="AD1006" i="1"/>
  <c r="Z1006" i="1"/>
  <c r="W1006" i="1"/>
  <c r="U1006" i="1"/>
  <c r="S1006" i="1"/>
  <c r="AF1005" i="1"/>
  <c r="AD1005" i="1"/>
  <c r="Z1005" i="1"/>
  <c r="W1005" i="1"/>
  <c r="S1005" i="1"/>
  <c r="P1005" i="1"/>
  <c r="U1005" i="1" s="1"/>
  <c r="N1005" i="1"/>
  <c r="K1005" i="1"/>
  <c r="H1005" i="1"/>
  <c r="E1005" i="1"/>
  <c r="AF1004" i="1"/>
  <c r="AD1004" i="1"/>
  <c r="Z1004" i="1"/>
  <c r="W1004" i="1"/>
  <c r="U1004" i="1"/>
  <c r="S1004" i="1"/>
  <c r="N1004" i="1"/>
  <c r="K1004" i="1"/>
  <c r="H1004" i="1"/>
  <c r="AF1003" i="1"/>
  <c r="AD1003" i="1"/>
  <c r="Z1003" i="1"/>
  <c r="W1003" i="1"/>
  <c r="U1003" i="1"/>
  <c r="S1003" i="1"/>
  <c r="N1003" i="1"/>
  <c r="K1003" i="1"/>
  <c r="H1003" i="1"/>
  <c r="E1003" i="1"/>
  <c r="AF1002" i="1"/>
  <c r="AD1002" i="1"/>
  <c r="Z1002" i="1"/>
  <c r="W1002" i="1"/>
  <c r="U1002" i="1"/>
  <c r="S1002" i="1"/>
  <c r="N1002" i="1"/>
  <c r="K1002" i="1"/>
  <c r="H1002" i="1"/>
  <c r="E1002" i="1"/>
  <c r="AF1001" i="1"/>
  <c r="AD1001" i="1"/>
  <c r="Z1001" i="1"/>
  <c r="W1001" i="1"/>
  <c r="U1001" i="1"/>
  <c r="S1001" i="1"/>
  <c r="N1001" i="1"/>
  <c r="K1001" i="1"/>
  <c r="H1001" i="1"/>
  <c r="E1001" i="1"/>
  <c r="AF999" i="1"/>
  <c r="AD999" i="1"/>
  <c r="Z999" i="1"/>
  <c r="W999" i="1"/>
  <c r="U999" i="1"/>
  <c r="S999" i="1"/>
  <c r="N999" i="1"/>
  <c r="K999" i="1"/>
  <c r="H999" i="1"/>
  <c r="E999" i="1"/>
  <c r="AF998" i="1"/>
  <c r="AD998" i="1"/>
  <c r="Z998" i="1"/>
  <c r="W998" i="1"/>
  <c r="U998" i="1"/>
  <c r="S998" i="1"/>
  <c r="N998" i="1"/>
  <c r="K998" i="1"/>
  <c r="H998" i="1"/>
  <c r="E998" i="1"/>
  <c r="AF997" i="1"/>
  <c r="AD997" i="1"/>
  <c r="Z997" i="1"/>
  <c r="W997" i="1"/>
  <c r="U997" i="1"/>
  <c r="S997" i="1"/>
  <c r="N997" i="1"/>
  <c r="K997" i="1"/>
  <c r="H997" i="1"/>
  <c r="E997" i="1"/>
  <c r="AF996" i="1"/>
  <c r="AD996" i="1"/>
  <c r="Z996" i="1"/>
  <c r="W996" i="1"/>
  <c r="U996" i="1"/>
  <c r="S996" i="1"/>
  <c r="N996" i="1"/>
  <c r="K996" i="1"/>
  <c r="H996" i="1"/>
  <c r="E996" i="1"/>
  <c r="AF995" i="1"/>
  <c r="AD995" i="1"/>
  <c r="Z995" i="1"/>
  <c r="W995" i="1"/>
  <c r="U995" i="1"/>
  <c r="S995" i="1"/>
  <c r="N995" i="1"/>
  <c r="K995" i="1"/>
  <c r="H995" i="1"/>
  <c r="E995" i="1"/>
  <c r="AF994" i="1"/>
  <c r="AD994" i="1"/>
  <c r="Z994" i="1"/>
  <c r="W994" i="1"/>
  <c r="U994" i="1"/>
  <c r="S994" i="1"/>
  <c r="N994" i="1"/>
  <c r="K994" i="1"/>
  <c r="H994" i="1"/>
  <c r="E994" i="1"/>
  <c r="AF993" i="1"/>
  <c r="AD993" i="1"/>
  <c r="Z993" i="1"/>
  <c r="W993" i="1"/>
  <c r="U993" i="1"/>
  <c r="S993" i="1"/>
  <c r="N993" i="1"/>
  <c r="K993" i="1"/>
  <c r="H993" i="1"/>
  <c r="E993" i="1"/>
  <c r="AF992" i="1"/>
  <c r="AD992" i="1"/>
  <c r="Z992" i="1"/>
  <c r="W992" i="1"/>
  <c r="U992" i="1"/>
  <c r="S992" i="1"/>
  <c r="N992" i="1"/>
  <c r="K992" i="1"/>
  <c r="H992" i="1"/>
  <c r="E992" i="1"/>
  <c r="AF991" i="1"/>
  <c r="AD991" i="1"/>
  <c r="Z991" i="1"/>
  <c r="W991" i="1"/>
  <c r="U991" i="1"/>
  <c r="S991" i="1"/>
  <c r="N991" i="1"/>
  <c r="K991" i="1"/>
  <c r="H991" i="1"/>
  <c r="E991" i="1"/>
  <c r="AF990" i="1"/>
  <c r="AD990" i="1"/>
  <c r="Z990" i="1"/>
  <c r="W990" i="1"/>
  <c r="U990" i="1"/>
  <c r="S990" i="1"/>
  <c r="N990" i="1"/>
  <c r="K990" i="1"/>
  <c r="H990" i="1"/>
  <c r="E990" i="1"/>
  <c r="AF989" i="1"/>
  <c r="AD989" i="1"/>
  <c r="Z989" i="1"/>
  <c r="W989" i="1"/>
  <c r="U989" i="1"/>
  <c r="S989" i="1"/>
  <c r="N989" i="1"/>
  <c r="K989" i="1"/>
  <c r="H989" i="1"/>
  <c r="E989" i="1"/>
  <c r="AF988" i="1"/>
  <c r="AD988" i="1"/>
  <c r="Z988" i="1"/>
  <c r="W988" i="1"/>
  <c r="U988" i="1"/>
  <c r="S988" i="1"/>
  <c r="N988" i="1"/>
  <c r="K988" i="1"/>
  <c r="H988" i="1"/>
  <c r="E988" i="1"/>
  <c r="AF987" i="1"/>
  <c r="AD987" i="1"/>
  <c r="Z987" i="1"/>
  <c r="W987" i="1"/>
  <c r="U987" i="1"/>
  <c r="S987" i="1"/>
  <c r="N987" i="1"/>
  <c r="K987" i="1"/>
  <c r="H987" i="1"/>
  <c r="E987" i="1"/>
  <c r="AF986" i="1"/>
  <c r="AD986" i="1"/>
  <c r="Z986" i="1"/>
  <c r="W986" i="1"/>
  <c r="U986" i="1"/>
  <c r="S986" i="1"/>
  <c r="N986" i="1"/>
  <c r="K986" i="1"/>
  <c r="H986" i="1"/>
  <c r="E986" i="1"/>
  <c r="AF985" i="1"/>
  <c r="AD985" i="1"/>
  <c r="Z985" i="1"/>
  <c r="W985" i="1"/>
  <c r="U985" i="1"/>
  <c r="S985" i="1"/>
  <c r="N985" i="1"/>
  <c r="K985" i="1"/>
  <c r="H985" i="1"/>
  <c r="E985" i="1"/>
  <c r="AF984" i="1"/>
  <c r="AD984" i="1"/>
  <c r="Z984" i="1"/>
  <c r="W984" i="1"/>
  <c r="U984" i="1"/>
  <c r="S984" i="1"/>
  <c r="N984" i="1"/>
  <c r="K984" i="1"/>
  <c r="H984" i="1"/>
  <c r="E984" i="1"/>
  <c r="AF983" i="1"/>
  <c r="AD983" i="1"/>
  <c r="Z983" i="1"/>
  <c r="W983" i="1"/>
  <c r="U983" i="1"/>
  <c r="S983" i="1"/>
  <c r="N983" i="1"/>
  <c r="K983" i="1"/>
  <c r="H983" i="1"/>
  <c r="AF982" i="1"/>
  <c r="AD982" i="1"/>
  <c r="Z982" i="1"/>
  <c r="W982" i="1"/>
  <c r="U982" i="1"/>
  <c r="S982" i="1"/>
  <c r="N982" i="1"/>
  <c r="K982" i="1"/>
  <c r="H982" i="1"/>
  <c r="E982" i="1"/>
  <c r="AF981" i="1"/>
  <c r="AD981" i="1"/>
  <c r="Z981" i="1"/>
  <c r="W981" i="1"/>
  <c r="U981" i="1"/>
  <c r="S981" i="1"/>
  <c r="N981" i="1"/>
  <c r="K981" i="1"/>
  <c r="H981" i="1"/>
  <c r="E981" i="1"/>
  <c r="AF980" i="1"/>
  <c r="AD980" i="1"/>
  <c r="Z980" i="1"/>
  <c r="W980" i="1"/>
  <c r="U980" i="1"/>
  <c r="S980" i="1"/>
  <c r="N980" i="1"/>
  <c r="K980" i="1"/>
  <c r="H980" i="1"/>
  <c r="E980" i="1"/>
  <c r="AF979" i="1"/>
  <c r="AD979" i="1"/>
  <c r="Z979" i="1"/>
  <c r="W979" i="1"/>
  <c r="U979" i="1"/>
  <c r="S979" i="1"/>
  <c r="N979" i="1"/>
  <c r="K979" i="1"/>
  <c r="H979" i="1"/>
  <c r="E979" i="1"/>
  <c r="AF978" i="1"/>
  <c r="AD978" i="1"/>
  <c r="Z978" i="1"/>
  <c r="W978" i="1"/>
  <c r="U978" i="1"/>
  <c r="S978" i="1"/>
  <c r="N978" i="1"/>
  <c r="K978" i="1"/>
  <c r="H978" i="1"/>
  <c r="E978" i="1"/>
  <c r="AF977" i="1"/>
  <c r="AD977" i="1"/>
  <c r="Z977" i="1"/>
  <c r="W977" i="1"/>
  <c r="U977" i="1"/>
  <c r="S977" i="1"/>
  <c r="N977" i="1"/>
  <c r="K977" i="1"/>
  <c r="H977" i="1"/>
  <c r="E977" i="1"/>
  <c r="AF976" i="1"/>
  <c r="AD976" i="1"/>
  <c r="Z976" i="1"/>
  <c r="W976" i="1"/>
  <c r="U976" i="1"/>
  <c r="S976" i="1"/>
  <c r="N976" i="1"/>
  <c r="K976" i="1"/>
  <c r="H976" i="1"/>
  <c r="E976" i="1"/>
  <c r="AF975" i="1"/>
  <c r="AD975" i="1"/>
  <c r="Z975" i="1"/>
  <c r="W975" i="1"/>
  <c r="U975" i="1"/>
  <c r="S975" i="1"/>
  <c r="N975" i="1"/>
  <c r="K975" i="1"/>
  <c r="H975" i="1"/>
  <c r="E975" i="1"/>
  <c r="AF974" i="1"/>
  <c r="AD974" i="1"/>
  <c r="Z974" i="1"/>
  <c r="W974" i="1"/>
  <c r="U974" i="1"/>
  <c r="S974" i="1"/>
  <c r="N974" i="1"/>
  <c r="K974" i="1"/>
  <c r="H974" i="1"/>
  <c r="E974" i="1"/>
  <c r="AF973" i="1"/>
  <c r="AD973" i="1"/>
  <c r="Z973" i="1"/>
  <c r="W973" i="1"/>
  <c r="U973" i="1"/>
  <c r="S973" i="1"/>
  <c r="N973" i="1"/>
  <c r="K973" i="1"/>
  <c r="H973" i="1"/>
  <c r="E973" i="1"/>
  <c r="AF972" i="1"/>
  <c r="AD972" i="1"/>
  <c r="Z972" i="1"/>
  <c r="W972" i="1"/>
  <c r="U972" i="1"/>
  <c r="S972" i="1"/>
  <c r="N972" i="1"/>
  <c r="K972" i="1"/>
  <c r="H972" i="1"/>
  <c r="E972" i="1"/>
  <c r="AF971" i="1"/>
  <c r="AD971" i="1"/>
  <c r="Z971" i="1"/>
  <c r="W971" i="1"/>
  <c r="U971" i="1"/>
  <c r="S971" i="1"/>
  <c r="N971" i="1"/>
  <c r="K971" i="1"/>
  <c r="H971" i="1"/>
  <c r="E971" i="1"/>
  <c r="AF970" i="1"/>
  <c r="AD970" i="1"/>
  <c r="Z970" i="1"/>
  <c r="W970" i="1"/>
  <c r="U970" i="1"/>
  <c r="S970" i="1"/>
  <c r="N970" i="1"/>
  <c r="K970" i="1"/>
  <c r="H970" i="1"/>
  <c r="AF969" i="1"/>
  <c r="AD969" i="1"/>
  <c r="Z969" i="1"/>
  <c r="W969" i="1"/>
  <c r="U969" i="1"/>
  <c r="S969" i="1"/>
  <c r="N969" i="1"/>
  <c r="K969" i="1"/>
  <c r="H969" i="1"/>
  <c r="E969" i="1"/>
  <c r="AF968" i="1"/>
  <c r="AD968" i="1"/>
  <c r="Z968" i="1"/>
  <c r="W968" i="1"/>
  <c r="U968" i="1"/>
  <c r="S968" i="1"/>
  <c r="N968" i="1"/>
  <c r="K968" i="1"/>
  <c r="H968" i="1"/>
  <c r="E968" i="1"/>
  <c r="AF967" i="1"/>
  <c r="AD967" i="1"/>
  <c r="Z967" i="1"/>
  <c r="W967" i="1"/>
  <c r="U967" i="1"/>
  <c r="S967" i="1"/>
  <c r="N967" i="1"/>
  <c r="K967" i="1"/>
  <c r="H967" i="1"/>
  <c r="E967" i="1"/>
  <c r="AF966" i="1"/>
  <c r="AD966" i="1"/>
  <c r="Z966" i="1"/>
  <c r="W966" i="1"/>
  <c r="U966" i="1"/>
  <c r="S966" i="1"/>
  <c r="N966" i="1"/>
  <c r="K966" i="1"/>
  <c r="H966" i="1"/>
  <c r="E966" i="1"/>
  <c r="AF965" i="1"/>
  <c r="AD965" i="1"/>
  <c r="Z965" i="1"/>
  <c r="W965" i="1"/>
  <c r="U965" i="1"/>
  <c r="S965" i="1"/>
  <c r="N965" i="1"/>
  <c r="K965" i="1"/>
  <c r="H965" i="1"/>
  <c r="E965" i="1"/>
  <c r="AF964" i="1"/>
  <c r="AD964" i="1"/>
  <c r="Z964" i="1"/>
  <c r="W964" i="1"/>
  <c r="U964" i="1"/>
  <c r="S964" i="1"/>
  <c r="N964" i="1"/>
  <c r="K964" i="1"/>
  <c r="H964" i="1"/>
  <c r="E964" i="1"/>
  <c r="AF963" i="1"/>
  <c r="AD963" i="1"/>
  <c r="Z963" i="1"/>
  <c r="W963" i="1"/>
  <c r="U963" i="1"/>
  <c r="S963" i="1"/>
  <c r="N963" i="1"/>
  <c r="K963" i="1"/>
  <c r="H963" i="1"/>
  <c r="E963" i="1"/>
  <c r="AF962" i="1"/>
  <c r="AD962" i="1"/>
  <c r="Z962" i="1"/>
  <c r="W962" i="1"/>
  <c r="U962" i="1"/>
  <c r="S962" i="1"/>
  <c r="K962" i="1"/>
  <c r="H962" i="1"/>
  <c r="E962" i="1"/>
  <c r="AF961" i="1"/>
  <c r="AD961" i="1"/>
  <c r="Z961" i="1"/>
  <c r="W961" i="1"/>
  <c r="U961" i="1"/>
  <c r="S961" i="1"/>
  <c r="N961" i="1"/>
  <c r="K961" i="1"/>
  <c r="H961" i="1"/>
  <c r="E961" i="1"/>
  <c r="AF960" i="1"/>
  <c r="AD960" i="1"/>
  <c r="Z960" i="1"/>
  <c r="W960" i="1"/>
  <c r="U960" i="1"/>
  <c r="S960" i="1"/>
  <c r="N960" i="1"/>
  <c r="K960" i="1"/>
  <c r="H960" i="1"/>
  <c r="E960" i="1"/>
  <c r="AF959" i="1"/>
  <c r="AD959" i="1"/>
  <c r="Z959" i="1"/>
  <c r="W959" i="1"/>
  <c r="U959" i="1"/>
  <c r="S959" i="1"/>
  <c r="N959" i="1"/>
  <c r="K959" i="1"/>
  <c r="H959" i="1"/>
  <c r="E959" i="1"/>
  <c r="AJ958" i="1"/>
  <c r="AL958" i="1" s="1"/>
  <c r="AN958" i="1" s="1"/>
  <c r="AP958" i="1" s="1"/>
  <c r="AR958" i="1" s="1"/>
  <c r="AT958" i="1" s="1"/>
  <c r="AV958" i="1" s="1"/>
  <c r="AX958" i="1" s="1"/>
  <c r="AZ958" i="1" s="1"/>
  <c r="AF958" i="1"/>
  <c r="AD958" i="1"/>
  <c r="Z958" i="1"/>
  <c r="W958" i="1"/>
  <c r="S958" i="1"/>
  <c r="P958" i="1"/>
  <c r="U958" i="1" s="1"/>
  <c r="N958" i="1"/>
  <c r="K958" i="1"/>
  <c r="H958" i="1"/>
  <c r="E958" i="1"/>
  <c r="AD957" i="1"/>
  <c r="Z957" i="1"/>
  <c r="W957" i="1"/>
  <c r="U957" i="1"/>
  <c r="S957" i="1"/>
  <c r="N957" i="1"/>
  <c r="K957" i="1"/>
  <c r="H957" i="1"/>
  <c r="E957" i="1"/>
  <c r="AD956" i="1"/>
  <c r="Z956" i="1"/>
  <c r="W956" i="1"/>
  <c r="U956" i="1"/>
  <c r="S956" i="1"/>
  <c r="N956" i="1"/>
  <c r="K956" i="1"/>
  <c r="H956" i="1"/>
  <c r="E956" i="1"/>
  <c r="AF955" i="1"/>
  <c r="AD955" i="1"/>
  <c r="Z955" i="1"/>
  <c r="W955" i="1"/>
  <c r="U955" i="1"/>
  <c r="S955" i="1"/>
  <c r="N955" i="1"/>
  <c r="K955" i="1"/>
  <c r="H955" i="1"/>
  <c r="E955" i="1"/>
  <c r="AF954" i="1"/>
  <c r="AD954" i="1"/>
  <c r="Z954" i="1"/>
  <c r="W954" i="1"/>
  <c r="U954" i="1"/>
  <c r="S954" i="1"/>
  <c r="N954" i="1"/>
  <c r="K954" i="1"/>
  <c r="H954" i="1"/>
  <c r="E954" i="1"/>
  <c r="AF951" i="1"/>
  <c r="AD951" i="1"/>
  <c r="Z951" i="1"/>
  <c r="W951" i="1"/>
  <c r="U951" i="1"/>
  <c r="S951" i="1"/>
  <c r="N951" i="1"/>
  <c r="K951" i="1"/>
  <c r="H951" i="1"/>
  <c r="E951" i="1"/>
  <c r="AF950" i="1"/>
  <c r="AD950" i="1"/>
  <c r="Z950" i="1"/>
  <c r="W950" i="1"/>
  <c r="U950" i="1"/>
  <c r="S950" i="1"/>
  <c r="N950" i="1"/>
  <c r="K950" i="1"/>
  <c r="H950" i="1"/>
  <c r="E950" i="1"/>
  <c r="AF949" i="1"/>
  <c r="AD949" i="1"/>
  <c r="Z949" i="1"/>
  <c r="W949" i="1"/>
  <c r="U949" i="1"/>
  <c r="S949" i="1"/>
  <c r="N949" i="1"/>
  <c r="K949" i="1"/>
  <c r="H949" i="1"/>
  <c r="E949" i="1"/>
  <c r="AF948" i="1"/>
  <c r="AD948" i="1"/>
  <c r="Z948" i="1"/>
  <c r="W948" i="1"/>
  <c r="U948" i="1"/>
  <c r="S948" i="1"/>
  <c r="N948" i="1"/>
  <c r="K948" i="1"/>
  <c r="H948" i="1"/>
  <c r="E948" i="1"/>
  <c r="AF947" i="1"/>
  <c r="AD947" i="1"/>
  <c r="Z947" i="1"/>
  <c r="W947" i="1"/>
  <c r="U947" i="1"/>
  <c r="S947" i="1"/>
  <c r="N947" i="1"/>
  <c r="K947" i="1"/>
  <c r="AF946" i="1"/>
  <c r="AD946" i="1"/>
  <c r="Z946" i="1"/>
  <c r="V946" i="1"/>
  <c r="W946" i="1" s="1"/>
  <c r="S946" i="1"/>
  <c r="P946" i="1"/>
  <c r="U946" i="1" s="1"/>
  <c r="N946" i="1"/>
  <c r="J946" i="1"/>
  <c r="J1051" i="1" s="1"/>
  <c r="D946" i="1"/>
  <c r="B946" i="1"/>
  <c r="B1051" i="1" s="1"/>
  <c r="AF945" i="1"/>
  <c r="AD945" i="1"/>
  <c r="Z945" i="1"/>
  <c r="W945" i="1"/>
  <c r="U945" i="1"/>
  <c r="S945" i="1"/>
  <c r="N945" i="1"/>
  <c r="K945" i="1"/>
  <c r="H945" i="1"/>
  <c r="E945" i="1"/>
  <c r="AF944" i="1"/>
  <c r="AD944" i="1"/>
  <c r="Z944" i="1"/>
  <c r="W944" i="1"/>
  <c r="U944" i="1"/>
  <c r="S944" i="1"/>
  <c r="N944" i="1"/>
  <c r="K944" i="1"/>
  <c r="H944" i="1"/>
  <c r="E944" i="1"/>
  <c r="AF943" i="1"/>
  <c r="AD943" i="1"/>
  <c r="Z943" i="1"/>
  <c r="W943" i="1"/>
  <c r="U943" i="1"/>
  <c r="S943" i="1"/>
  <c r="N943" i="1"/>
  <c r="K943" i="1"/>
  <c r="H943" i="1"/>
  <c r="E943" i="1"/>
  <c r="AF942" i="1"/>
  <c r="AD942" i="1"/>
  <c r="Z942" i="1"/>
  <c r="W942" i="1"/>
  <c r="U942" i="1"/>
  <c r="S942" i="1"/>
  <c r="N942" i="1"/>
  <c r="K942" i="1"/>
  <c r="H942" i="1"/>
  <c r="AF941" i="1"/>
  <c r="AD941" i="1"/>
  <c r="Z941" i="1"/>
  <c r="W941" i="1"/>
  <c r="U941" i="1"/>
  <c r="S941" i="1"/>
  <c r="N941" i="1"/>
  <c r="K941" i="1"/>
  <c r="H941" i="1"/>
  <c r="E941" i="1"/>
  <c r="AF940" i="1"/>
  <c r="AD940" i="1"/>
  <c r="Z940" i="1"/>
  <c r="W940" i="1"/>
  <c r="U940" i="1"/>
  <c r="S940" i="1"/>
  <c r="N940" i="1"/>
  <c r="K940" i="1"/>
  <c r="AF939" i="1"/>
  <c r="AD939" i="1"/>
  <c r="Z939" i="1"/>
  <c r="W939" i="1"/>
  <c r="U939" i="1"/>
  <c r="S939" i="1"/>
  <c r="N939" i="1"/>
  <c r="K939" i="1"/>
  <c r="H939" i="1"/>
  <c r="E939" i="1"/>
  <c r="AF938" i="1"/>
  <c r="AD938" i="1"/>
  <c r="Z938" i="1"/>
  <c r="W938" i="1"/>
  <c r="U938" i="1"/>
  <c r="S938" i="1"/>
  <c r="N938" i="1"/>
  <c r="K938" i="1"/>
  <c r="H938" i="1"/>
  <c r="E938" i="1"/>
  <c r="AF937" i="1"/>
  <c r="AD937" i="1"/>
  <c r="Z937" i="1"/>
  <c r="W937" i="1"/>
  <c r="U937" i="1"/>
  <c r="S937" i="1"/>
  <c r="N937" i="1"/>
  <c r="K937" i="1"/>
  <c r="H937" i="1"/>
  <c r="E937" i="1"/>
  <c r="AF936" i="1"/>
  <c r="AD936" i="1"/>
  <c r="Z936" i="1"/>
  <c r="W936" i="1"/>
  <c r="U936" i="1"/>
  <c r="S936" i="1"/>
  <c r="N936" i="1"/>
  <c r="K936" i="1"/>
  <c r="H936" i="1"/>
  <c r="E936" i="1"/>
  <c r="AF935" i="1"/>
  <c r="AD935" i="1"/>
  <c r="Z935" i="1"/>
  <c r="W935" i="1"/>
  <c r="U935" i="1"/>
  <c r="S935" i="1"/>
  <c r="N935" i="1"/>
  <c r="K935" i="1"/>
  <c r="H935" i="1"/>
  <c r="E935" i="1"/>
  <c r="AF934" i="1"/>
  <c r="AD934" i="1"/>
  <c r="Z934" i="1"/>
  <c r="W934" i="1"/>
  <c r="U934" i="1"/>
  <c r="S934" i="1"/>
  <c r="N934" i="1"/>
  <c r="K934" i="1"/>
  <c r="H934" i="1"/>
  <c r="E934" i="1"/>
  <c r="AF933" i="1"/>
  <c r="AD933" i="1"/>
  <c r="Z933" i="1"/>
  <c r="W933" i="1"/>
  <c r="U933" i="1"/>
  <c r="S933" i="1"/>
  <c r="N933" i="1"/>
  <c r="K933" i="1"/>
  <c r="H933" i="1"/>
  <c r="E933" i="1"/>
  <c r="AF932" i="1"/>
  <c r="AD932" i="1"/>
  <c r="Z932" i="1"/>
  <c r="W932" i="1"/>
  <c r="U932" i="1"/>
  <c r="S932" i="1"/>
  <c r="N932" i="1"/>
  <c r="K932" i="1"/>
  <c r="H932" i="1"/>
  <c r="E932" i="1"/>
  <c r="AF931" i="1"/>
  <c r="AD931" i="1"/>
  <c r="Z931" i="1"/>
  <c r="W931" i="1"/>
  <c r="U931" i="1"/>
  <c r="S931" i="1"/>
  <c r="N931" i="1"/>
  <c r="K931" i="1"/>
  <c r="H931" i="1"/>
  <c r="E931" i="1"/>
  <c r="AF930" i="1"/>
  <c r="AD930" i="1"/>
  <c r="Z930" i="1"/>
  <c r="W930" i="1"/>
  <c r="U930" i="1"/>
  <c r="S930" i="1"/>
  <c r="N930" i="1"/>
  <c r="K930" i="1"/>
  <c r="H930" i="1"/>
  <c r="E930" i="1"/>
  <c r="AF929" i="1"/>
  <c r="AD929" i="1"/>
  <c r="Z929" i="1"/>
  <c r="W929" i="1"/>
  <c r="U929" i="1"/>
  <c r="S929" i="1"/>
  <c r="N929" i="1"/>
  <c r="K929" i="1"/>
  <c r="H929" i="1"/>
  <c r="E929" i="1"/>
  <c r="AF926" i="1"/>
  <c r="AD926" i="1"/>
  <c r="Z926" i="1"/>
  <c r="W926" i="1"/>
  <c r="U926" i="1"/>
  <c r="S926" i="1"/>
  <c r="N926" i="1"/>
  <c r="K926" i="1"/>
  <c r="H926" i="1"/>
  <c r="E926" i="1"/>
  <c r="AF925" i="1"/>
  <c r="AD925" i="1"/>
  <c r="Z925" i="1"/>
  <c r="W925" i="1"/>
  <c r="U925" i="1"/>
  <c r="S925" i="1"/>
  <c r="N925" i="1"/>
  <c r="K925" i="1"/>
  <c r="H925" i="1"/>
  <c r="E925" i="1"/>
  <c r="AF924" i="1"/>
  <c r="AD924" i="1"/>
  <c r="Z924" i="1"/>
  <c r="W924" i="1"/>
  <c r="U924" i="1"/>
  <c r="S924" i="1"/>
  <c r="N924" i="1"/>
  <c r="K924" i="1"/>
  <c r="H924" i="1"/>
  <c r="E924" i="1"/>
  <c r="AF923" i="1"/>
  <c r="AD923" i="1"/>
  <c r="Z923" i="1"/>
  <c r="W923" i="1"/>
  <c r="U923" i="1"/>
  <c r="S923" i="1"/>
  <c r="N923" i="1"/>
  <c r="K923" i="1"/>
  <c r="H923" i="1"/>
  <c r="E923" i="1"/>
  <c r="AF922" i="1"/>
  <c r="AD922" i="1"/>
  <c r="Z922" i="1"/>
  <c r="W922" i="1"/>
  <c r="U922" i="1"/>
  <c r="S922" i="1"/>
  <c r="N922" i="1"/>
  <c r="K922" i="1"/>
  <c r="H922" i="1"/>
  <c r="E922" i="1"/>
  <c r="AF921" i="1"/>
  <c r="AD921" i="1"/>
  <c r="Z921" i="1"/>
  <c r="W921" i="1"/>
  <c r="U921" i="1"/>
  <c r="S921" i="1"/>
  <c r="N921" i="1"/>
  <c r="K921" i="1"/>
  <c r="H921" i="1"/>
  <c r="E921" i="1"/>
  <c r="AF920" i="1"/>
  <c r="AD920" i="1"/>
  <c r="Z920" i="1"/>
  <c r="W920" i="1"/>
  <c r="U920" i="1"/>
  <c r="S920" i="1"/>
  <c r="N920" i="1"/>
  <c r="K920" i="1"/>
  <c r="H920" i="1"/>
  <c r="E920" i="1"/>
  <c r="AF919" i="1"/>
  <c r="AD919" i="1"/>
  <c r="Z919" i="1"/>
  <c r="W919" i="1"/>
  <c r="U919" i="1"/>
  <c r="S919" i="1"/>
  <c r="N919" i="1"/>
  <c r="K919" i="1"/>
  <c r="H919" i="1"/>
  <c r="E919" i="1"/>
  <c r="AF918" i="1"/>
  <c r="AD918" i="1"/>
  <c r="Z918" i="1"/>
  <c r="W918" i="1"/>
  <c r="U918" i="1"/>
  <c r="S918" i="1"/>
  <c r="N918" i="1"/>
  <c r="K918" i="1"/>
  <c r="H918" i="1"/>
  <c r="E918" i="1"/>
  <c r="AF917" i="1"/>
  <c r="AD917" i="1"/>
  <c r="Z917" i="1"/>
  <c r="W917" i="1"/>
  <c r="U917" i="1"/>
  <c r="S917" i="1"/>
  <c r="N917" i="1"/>
  <c r="K917" i="1"/>
  <c r="H917" i="1"/>
  <c r="E917" i="1"/>
  <c r="AF916" i="1"/>
  <c r="AD916" i="1"/>
  <c r="Z916" i="1"/>
  <c r="W916" i="1"/>
  <c r="U916" i="1"/>
  <c r="S916" i="1"/>
  <c r="N916" i="1"/>
  <c r="K916" i="1"/>
  <c r="H916" i="1"/>
  <c r="E916" i="1"/>
  <c r="AF915" i="1"/>
  <c r="AD915" i="1"/>
  <c r="Z915" i="1"/>
  <c r="W915" i="1"/>
  <c r="U915" i="1"/>
  <c r="S915" i="1"/>
  <c r="N915" i="1"/>
  <c r="K915" i="1"/>
  <c r="H915" i="1"/>
  <c r="E915" i="1"/>
  <c r="AF914" i="1"/>
  <c r="AD914" i="1"/>
  <c r="Z914" i="1"/>
  <c r="W914" i="1"/>
  <c r="U914" i="1"/>
  <c r="S914" i="1"/>
  <c r="N914" i="1"/>
  <c r="K914" i="1"/>
  <c r="H914" i="1"/>
  <c r="E914" i="1"/>
  <c r="AF913" i="1"/>
  <c r="AD913" i="1"/>
  <c r="Z913" i="1"/>
  <c r="W913" i="1"/>
  <c r="U913" i="1"/>
  <c r="S913" i="1"/>
  <c r="N913" i="1"/>
  <c r="K913" i="1"/>
  <c r="H913" i="1"/>
  <c r="E913" i="1"/>
  <c r="AF912" i="1"/>
  <c r="AD912" i="1"/>
  <c r="Z912" i="1"/>
  <c r="W912" i="1"/>
  <c r="U912" i="1"/>
  <c r="S912" i="1"/>
  <c r="N912" i="1"/>
  <c r="K912" i="1"/>
  <c r="H912" i="1"/>
  <c r="E912" i="1"/>
  <c r="AF911" i="1"/>
  <c r="AD911" i="1"/>
  <c r="Z911" i="1"/>
  <c r="W911" i="1"/>
  <c r="U911" i="1"/>
  <c r="S911" i="1"/>
  <c r="N911" i="1"/>
  <c r="K911" i="1"/>
  <c r="H911" i="1"/>
  <c r="E911" i="1"/>
  <c r="AF910" i="1"/>
  <c r="AD910" i="1"/>
  <c r="Z910" i="1"/>
  <c r="W910" i="1"/>
  <c r="U910" i="1"/>
  <c r="S910" i="1"/>
  <c r="N910" i="1"/>
  <c r="K910" i="1"/>
  <c r="H910" i="1"/>
  <c r="E910" i="1"/>
  <c r="AF909" i="1"/>
  <c r="AD909" i="1"/>
  <c r="Z909" i="1"/>
  <c r="W909" i="1"/>
  <c r="U909" i="1"/>
  <c r="S909" i="1"/>
  <c r="N909" i="1"/>
  <c r="K909" i="1"/>
  <c r="H909" i="1"/>
  <c r="E909" i="1"/>
  <c r="AF908" i="1"/>
  <c r="AD908" i="1"/>
  <c r="Z908" i="1"/>
  <c r="W908" i="1"/>
  <c r="U908" i="1"/>
  <c r="S908" i="1"/>
  <c r="N908" i="1"/>
  <c r="K908" i="1"/>
  <c r="H908" i="1"/>
  <c r="E908" i="1"/>
  <c r="AF907" i="1"/>
  <c r="AD907" i="1"/>
  <c r="Z907" i="1"/>
  <c r="W907" i="1"/>
  <c r="U907" i="1"/>
  <c r="S907" i="1"/>
  <c r="N907" i="1"/>
  <c r="K907" i="1"/>
  <c r="H907" i="1"/>
  <c r="E907" i="1"/>
  <c r="AF906" i="1"/>
  <c r="AD906" i="1"/>
  <c r="Z906" i="1"/>
  <c r="W906" i="1"/>
  <c r="U906" i="1"/>
  <c r="S906" i="1"/>
  <c r="N906" i="1"/>
  <c r="K906" i="1"/>
  <c r="H906" i="1"/>
  <c r="E906" i="1"/>
  <c r="AF905" i="1"/>
  <c r="AD905" i="1"/>
  <c r="Z905" i="1"/>
  <c r="W905" i="1"/>
  <c r="U905" i="1"/>
  <c r="S905" i="1"/>
  <c r="N905" i="1"/>
  <c r="K905" i="1"/>
  <c r="H905" i="1"/>
  <c r="E905" i="1"/>
  <c r="AF904" i="1"/>
  <c r="AD904" i="1"/>
  <c r="Z904" i="1"/>
  <c r="W904" i="1"/>
  <c r="U904" i="1"/>
  <c r="S904" i="1"/>
  <c r="N904" i="1"/>
  <c r="K904" i="1"/>
  <c r="H904" i="1"/>
  <c r="E904" i="1"/>
  <c r="AF903" i="1"/>
  <c r="AD903" i="1"/>
  <c r="Z903" i="1"/>
  <c r="W903" i="1"/>
  <c r="U903" i="1"/>
  <c r="S903" i="1"/>
  <c r="N903" i="1"/>
  <c r="K903" i="1"/>
  <c r="H903" i="1"/>
  <c r="E903" i="1"/>
  <c r="AF902" i="1"/>
  <c r="AD902" i="1"/>
  <c r="Z902" i="1"/>
  <c r="W902" i="1"/>
  <c r="U902" i="1"/>
  <c r="S902" i="1"/>
  <c r="N902" i="1"/>
  <c r="K902" i="1"/>
  <c r="H902" i="1"/>
  <c r="E902" i="1"/>
  <c r="AF901" i="1"/>
  <c r="AD901" i="1"/>
  <c r="Z901" i="1"/>
  <c r="W901" i="1"/>
  <c r="U901" i="1"/>
  <c r="S901" i="1"/>
  <c r="N901" i="1"/>
  <c r="K901" i="1"/>
  <c r="H901" i="1"/>
  <c r="E901" i="1"/>
  <c r="AF900" i="1"/>
  <c r="AD900" i="1"/>
  <c r="Z900" i="1"/>
  <c r="W900" i="1"/>
  <c r="U900" i="1"/>
  <c r="S900" i="1"/>
  <c r="N900" i="1"/>
  <c r="K900" i="1"/>
  <c r="H900" i="1"/>
  <c r="E900" i="1"/>
  <c r="AF899" i="1"/>
  <c r="AD899" i="1"/>
  <c r="Z899" i="1"/>
  <c r="W899" i="1"/>
  <c r="U899" i="1"/>
  <c r="S899" i="1"/>
  <c r="N899" i="1"/>
  <c r="K899" i="1"/>
  <c r="H899" i="1"/>
  <c r="E899" i="1"/>
  <c r="AH897" i="1"/>
  <c r="AF897" i="1"/>
  <c r="AD897" i="1"/>
  <c r="Z897" i="1"/>
  <c r="W897" i="1"/>
  <c r="U897" i="1"/>
  <c r="S897" i="1"/>
  <c r="N897" i="1"/>
  <c r="K897" i="1"/>
  <c r="H897" i="1"/>
  <c r="E897" i="1"/>
  <c r="AH896" i="1"/>
  <c r="AF896" i="1"/>
  <c r="AD896" i="1"/>
  <c r="Z896" i="1"/>
  <c r="W896" i="1"/>
  <c r="U896" i="1"/>
  <c r="S896" i="1"/>
  <c r="N896" i="1"/>
  <c r="K896" i="1"/>
  <c r="H896" i="1"/>
  <c r="E896" i="1"/>
  <c r="AF895" i="1"/>
  <c r="AD895" i="1"/>
  <c r="Z895" i="1"/>
  <c r="W895" i="1"/>
  <c r="U895" i="1"/>
  <c r="S895" i="1"/>
  <c r="N895" i="1"/>
  <c r="K895" i="1"/>
  <c r="H895" i="1"/>
  <c r="E895" i="1"/>
  <c r="AF894" i="1"/>
  <c r="AD894" i="1"/>
  <c r="Z894" i="1"/>
  <c r="W894" i="1"/>
  <c r="U894" i="1"/>
  <c r="S894" i="1"/>
  <c r="N894" i="1"/>
  <c r="K894" i="1"/>
  <c r="H894" i="1"/>
  <c r="E894" i="1"/>
  <c r="AF893" i="1"/>
  <c r="AD893" i="1"/>
  <c r="Z893" i="1"/>
  <c r="W893" i="1"/>
  <c r="U893" i="1"/>
  <c r="S893" i="1"/>
  <c r="N893" i="1"/>
  <c r="K893" i="1"/>
  <c r="H893" i="1"/>
  <c r="E893" i="1"/>
  <c r="AF892" i="1"/>
  <c r="AD892" i="1"/>
  <c r="Z892" i="1"/>
  <c r="W892" i="1"/>
  <c r="U892" i="1"/>
  <c r="S892" i="1"/>
  <c r="N892" i="1"/>
  <c r="K892" i="1"/>
  <c r="H892" i="1"/>
  <c r="E892" i="1"/>
  <c r="AF891" i="1"/>
  <c r="AD891" i="1"/>
  <c r="Z891" i="1"/>
  <c r="W891" i="1"/>
  <c r="U891" i="1"/>
  <c r="S891" i="1"/>
  <c r="N891" i="1"/>
  <c r="K891" i="1"/>
  <c r="H891" i="1"/>
  <c r="E891" i="1"/>
  <c r="AF890" i="1"/>
  <c r="AD890" i="1"/>
  <c r="Z890" i="1"/>
  <c r="W890" i="1"/>
  <c r="U890" i="1"/>
  <c r="S890" i="1"/>
  <c r="N890" i="1"/>
  <c r="K890" i="1"/>
  <c r="H890" i="1"/>
  <c r="E890" i="1"/>
  <c r="AF889" i="1"/>
  <c r="AD889" i="1"/>
  <c r="Z889" i="1"/>
  <c r="W889" i="1"/>
  <c r="U889" i="1"/>
  <c r="S889" i="1"/>
  <c r="N889" i="1"/>
  <c r="K889" i="1"/>
  <c r="H889" i="1"/>
  <c r="E889" i="1"/>
  <c r="AF888" i="1"/>
  <c r="AD888" i="1"/>
  <c r="Z888" i="1"/>
  <c r="W888" i="1"/>
  <c r="U888" i="1"/>
  <c r="S888" i="1"/>
  <c r="N888" i="1"/>
  <c r="K888" i="1"/>
  <c r="H888" i="1"/>
  <c r="E888" i="1"/>
  <c r="AF887" i="1"/>
  <c r="AD887" i="1"/>
  <c r="Z887" i="1"/>
  <c r="W887" i="1"/>
  <c r="U887" i="1"/>
  <c r="S887" i="1"/>
  <c r="N887" i="1"/>
  <c r="K887" i="1"/>
  <c r="H887" i="1"/>
  <c r="E887" i="1"/>
  <c r="AF886" i="1"/>
  <c r="AD886" i="1"/>
  <c r="Z886" i="1"/>
  <c r="W886" i="1"/>
  <c r="U886" i="1"/>
  <c r="S886" i="1"/>
  <c r="N886" i="1"/>
  <c r="K886" i="1"/>
  <c r="H886" i="1"/>
  <c r="E886" i="1"/>
  <c r="AF885" i="1"/>
  <c r="AD885" i="1"/>
  <c r="Z885" i="1"/>
  <c r="W885" i="1"/>
  <c r="U885" i="1"/>
  <c r="S885" i="1"/>
  <c r="AF884" i="1"/>
  <c r="AD884" i="1"/>
  <c r="Z884" i="1"/>
  <c r="W884" i="1"/>
  <c r="U884" i="1"/>
  <c r="S884" i="1"/>
  <c r="N884" i="1"/>
  <c r="K884" i="1"/>
  <c r="H884" i="1"/>
  <c r="E884" i="1"/>
  <c r="AF883" i="1"/>
  <c r="AD883" i="1"/>
  <c r="Z883" i="1"/>
  <c r="W883" i="1"/>
  <c r="U883" i="1"/>
  <c r="S883" i="1"/>
  <c r="N883" i="1"/>
  <c r="K883" i="1"/>
  <c r="H883" i="1"/>
  <c r="E883" i="1"/>
  <c r="AF882" i="1"/>
  <c r="AD882" i="1"/>
  <c r="Z882" i="1"/>
  <c r="W882" i="1"/>
  <c r="U882" i="1"/>
  <c r="S882" i="1"/>
  <c r="N882" i="1"/>
  <c r="K882" i="1"/>
  <c r="H882" i="1"/>
  <c r="E882" i="1"/>
  <c r="AF881" i="1"/>
  <c r="AD881" i="1"/>
  <c r="Z881" i="1"/>
  <c r="W881" i="1"/>
  <c r="U881" i="1"/>
  <c r="S881" i="1"/>
  <c r="N881" i="1"/>
  <c r="K881" i="1"/>
  <c r="H881" i="1"/>
  <c r="E881" i="1"/>
  <c r="AF880" i="1"/>
  <c r="AD880" i="1"/>
  <c r="Z880" i="1"/>
  <c r="W880" i="1"/>
  <c r="U880" i="1"/>
  <c r="S880" i="1"/>
  <c r="N880" i="1"/>
  <c r="K880" i="1"/>
  <c r="H880" i="1"/>
  <c r="E880" i="1"/>
  <c r="AF879" i="1"/>
  <c r="AD879" i="1"/>
  <c r="Z879" i="1"/>
  <c r="W879" i="1"/>
  <c r="U879" i="1"/>
  <c r="S879" i="1"/>
  <c r="N879" i="1"/>
  <c r="K879" i="1"/>
  <c r="H879" i="1"/>
  <c r="E879" i="1"/>
  <c r="AF878" i="1"/>
  <c r="AD878" i="1"/>
  <c r="Z878" i="1"/>
  <c r="W878" i="1"/>
  <c r="U878" i="1"/>
  <c r="S878" i="1"/>
  <c r="AF877" i="1"/>
  <c r="AD877" i="1"/>
  <c r="Z877" i="1"/>
  <c r="W877" i="1"/>
  <c r="U877" i="1"/>
  <c r="S877" i="1"/>
  <c r="N877" i="1"/>
  <c r="K877" i="1"/>
  <c r="H877" i="1"/>
  <c r="E877" i="1"/>
  <c r="AF875" i="1"/>
  <c r="AD875" i="1"/>
  <c r="Z875" i="1"/>
  <c r="W875" i="1"/>
  <c r="U875" i="1"/>
  <c r="S875" i="1"/>
  <c r="N875" i="1"/>
  <c r="K875" i="1"/>
  <c r="H875" i="1"/>
  <c r="E875" i="1"/>
  <c r="AF874" i="1"/>
  <c r="AD874" i="1"/>
  <c r="Z874" i="1"/>
  <c r="W874" i="1"/>
  <c r="U874" i="1"/>
  <c r="S874" i="1"/>
  <c r="N874" i="1"/>
  <c r="K874" i="1"/>
  <c r="H874" i="1"/>
  <c r="E874" i="1"/>
  <c r="AF873" i="1"/>
  <c r="AD873" i="1"/>
  <c r="Z873" i="1"/>
  <c r="W873" i="1"/>
  <c r="U873" i="1"/>
  <c r="S873" i="1"/>
  <c r="N873" i="1"/>
  <c r="K873" i="1"/>
  <c r="H873" i="1"/>
  <c r="E873" i="1"/>
  <c r="AF872" i="1"/>
  <c r="AD872" i="1"/>
  <c r="Z872" i="1"/>
  <c r="W872" i="1"/>
  <c r="U872" i="1"/>
  <c r="S872" i="1"/>
  <c r="N872" i="1"/>
  <c r="K872" i="1"/>
  <c r="H872" i="1"/>
  <c r="E872" i="1"/>
  <c r="AF871" i="1"/>
  <c r="AD871" i="1"/>
  <c r="Z871" i="1"/>
  <c r="W871" i="1"/>
  <c r="U871" i="1"/>
  <c r="S871" i="1"/>
  <c r="N871" i="1"/>
  <c r="K871" i="1"/>
  <c r="H871" i="1"/>
  <c r="E871" i="1"/>
  <c r="AF870" i="1"/>
  <c r="AD870" i="1"/>
  <c r="Z870" i="1"/>
  <c r="W870" i="1"/>
  <c r="U870" i="1"/>
  <c r="S870" i="1"/>
  <c r="N870" i="1"/>
  <c r="K870" i="1"/>
  <c r="H870" i="1"/>
  <c r="E870" i="1"/>
  <c r="AF869" i="1"/>
  <c r="AD869" i="1"/>
  <c r="Z869" i="1"/>
  <c r="W869" i="1"/>
  <c r="U869" i="1"/>
  <c r="S869" i="1"/>
  <c r="N869" i="1"/>
  <c r="K869" i="1"/>
  <c r="H869" i="1"/>
  <c r="E869" i="1"/>
  <c r="AF868" i="1"/>
  <c r="AD868" i="1"/>
  <c r="Z868" i="1"/>
  <c r="W868" i="1"/>
  <c r="U868" i="1"/>
  <c r="S868" i="1"/>
  <c r="N868" i="1"/>
  <c r="K868" i="1"/>
  <c r="H868" i="1"/>
  <c r="E868" i="1"/>
  <c r="AF867" i="1"/>
  <c r="AD867" i="1"/>
  <c r="Z867" i="1"/>
  <c r="W867" i="1"/>
  <c r="U867" i="1"/>
  <c r="S867" i="1"/>
  <c r="N867" i="1"/>
  <c r="K867" i="1"/>
  <c r="H867" i="1"/>
  <c r="E867" i="1"/>
  <c r="AF866" i="1"/>
  <c r="AD866" i="1"/>
  <c r="Z866" i="1"/>
  <c r="W866" i="1"/>
  <c r="U866" i="1"/>
  <c r="S866" i="1"/>
  <c r="N866" i="1"/>
  <c r="K866" i="1"/>
  <c r="H866" i="1"/>
  <c r="E866" i="1"/>
  <c r="AF865" i="1"/>
  <c r="AD865" i="1"/>
  <c r="Z865" i="1"/>
  <c r="W865" i="1"/>
  <c r="U865" i="1"/>
  <c r="S865" i="1"/>
  <c r="N865" i="1"/>
  <c r="K865" i="1"/>
  <c r="H865" i="1"/>
  <c r="E865" i="1"/>
  <c r="AF864" i="1"/>
  <c r="AD864" i="1"/>
  <c r="Z864" i="1"/>
  <c r="W864" i="1"/>
  <c r="U864" i="1"/>
  <c r="S864" i="1"/>
  <c r="N864" i="1"/>
  <c r="K864" i="1"/>
  <c r="H864" i="1"/>
  <c r="E864" i="1"/>
  <c r="AF863" i="1"/>
  <c r="AD863" i="1"/>
  <c r="Z863" i="1"/>
  <c r="W863" i="1"/>
  <c r="U863" i="1"/>
  <c r="S863" i="1"/>
  <c r="N863" i="1"/>
  <c r="K863" i="1"/>
  <c r="H863" i="1"/>
  <c r="E863" i="1"/>
  <c r="AH862" i="1"/>
  <c r="AJ862" i="1" s="1"/>
  <c r="AL862" i="1" s="1"/>
  <c r="AF862" i="1"/>
  <c r="AD862" i="1"/>
  <c r="Z862" i="1"/>
  <c r="W862" i="1"/>
  <c r="U862" i="1"/>
  <c r="S862" i="1"/>
  <c r="N862" i="1"/>
  <c r="K862" i="1"/>
  <c r="H862" i="1"/>
  <c r="E862" i="1"/>
  <c r="AF861" i="1"/>
  <c r="AD861" i="1"/>
  <c r="Z861" i="1"/>
  <c r="W861" i="1"/>
  <c r="U861" i="1"/>
  <c r="S861" i="1"/>
  <c r="N861" i="1"/>
  <c r="K861" i="1"/>
  <c r="H861" i="1"/>
  <c r="E861" i="1"/>
  <c r="AF860" i="1"/>
  <c r="AD860" i="1"/>
  <c r="Z860" i="1"/>
  <c r="W860" i="1"/>
  <c r="U860" i="1"/>
  <c r="S860" i="1"/>
  <c r="N860" i="1"/>
  <c r="K860" i="1"/>
  <c r="H860" i="1"/>
  <c r="E860" i="1"/>
  <c r="AF859" i="1"/>
  <c r="AD859" i="1"/>
  <c r="Z859" i="1"/>
  <c r="W859" i="1"/>
  <c r="U859" i="1"/>
  <c r="S859" i="1"/>
  <c r="N859" i="1"/>
  <c r="K859" i="1"/>
  <c r="H859" i="1"/>
  <c r="E859" i="1"/>
  <c r="AF858" i="1"/>
  <c r="AD858" i="1"/>
  <c r="Z858" i="1"/>
  <c r="W858" i="1"/>
  <c r="U858" i="1"/>
  <c r="S858" i="1"/>
  <c r="N858" i="1"/>
  <c r="K858" i="1"/>
  <c r="H858" i="1"/>
  <c r="E858" i="1"/>
  <c r="AF857" i="1"/>
  <c r="AD857" i="1"/>
  <c r="Z857" i="1"/>
  <c r="W857" i="1"/>
  <c r="U857" i="1"/>
  <c r="S857" i="1"/>
  <c r="N857" i="1"/>
  <c r="K857" i="1"/>
  <c r="H857" i="1"/>
  <c r="E857" i="1"/>
  <c r="AF856" i="1"/>
  <c r="AD856" i="1"/>
  <c r="Z856" i="1"/>
  <c r="W856" i="1"/>
  <c r="U856" i="1"/>
  <c r="S856" i="1"/>
  <c r="N856" i="1"/>
  <c r="K856" i="1"/>
  <c r="H856" i="1"/>
  <c r="E856" i="1"/>
  <c r="AF855" i="1"/>
  <c r="AD855" i="1"/>
  <c r="Z855" i="1"/>
  <c r="W855" i="1"/>
  <c r="U855" i="1"/>
  <c r="S855" i="1"/>
  <c r="N855" i="1"/>
  <c r="K855" i="1"/>
  <c r="H855" i="1"/>
  <c r="E855" i="1"/>
  <c r="AF853" i="1"/>
  <c r="AD853" i="1"/>
  <c r="Z853" i="1"/>
  <c r="W853" i="1"/>
  <c r="U853" i="1"/>
  <c r="S853" i="1"/>
  <c r="N853" i="1"/>
  <c r="K853" i="1"/>
  <c r="H853" i="1"/>
  <c r="E853" i="1"/>
  <c r="AF852" i="1"/>
  <c r="AD852" i="1"/>
  <c r="Z852" i="1"/>
  <c r="W852" i="1"/>
  <c r="U852" i="1"/>
  <c r="S852" i="1"/>
  <c r="N852" i="1"/>
  <c r="K852" i="1"/>
  <c r="H852" i="1"/>
  <c r="E852" i="1"/>
  <c r="AF851" i="1"/>
  <c r="AD851" i="1"/>
  <c r="Z851" i="1"/>
  <c r="W851" i="1"/>
  <c r="U851" i="1"/>
  <c r="S851" i="1"/>
  <c r="N851" i="1"/>
  <c r="K851" i="1"/>
  <c r="H851" i="1"/>
  <c r="E851" i="1"/>
  <c r="AF850" i="1"/>
  <c r="AD850" i="1"/>
  <c r="Z850" i="1"/>
  <c r="V850" i="1"/>
  <c r="U850" i="1"/>
  <c r="S850" i="1"/>
  <c r="N850" i="1"/>
  <c r="K850" i="1"/>
  <c r="H850" i="1"/>
  <c r="E850" i="1"/>
  <c r="AZ848" i="1"/>
  <c r="AX848" i="1"/>
  <c r="AE842" i="1"/>
  <c r="AC842" i="1"/>
  <c r="Y842" i="1"/>
  <c r="V842" i="1"/>
  <c r="T842" i="1"/>
  <c r="R842" i="1"/>
  <c r="L842" i="1"/>
  <c r="J842" i="1"/>
  <c r="F842" i="1"/>
  <c r="D842" i="1"/>
  <c r="B842" i="1"/>
  <c r="AF841" i="1"/>
  <c r="AD841" i="1"/>
  <c r="Z841" i="1"/>
  <c r="W841" i="1"/>
  <c r="U841" i="1"/>
  <c r="S841" i="1"/>
  <c r="N841" i="1"/>
  <c r="K841" i="1"/>
  <c r="H841" i="1"/>
  <c r="E841" i="1"/>
  <c r="AF840" i="1"/>
  <c r="AD840" i="1"/>
  <c r="Z840" i="1"/>
  <c r="W840" i="1"/>
  <c r="U840" i="1"/>
  <c r="S840" i="1"/>
  <c r="N840" i="1"/>
  <c r="K840" i="1"/>
  <c r="H840" i="1"/>
  <c r="E840" i="1"/>
  <c r="AF839" i="1"/>
  <c r="AD839" i="1"/>
  <c r="Z839" i="1"/>
  <c r="W839" i="1"/>
  <c r="U839" i="1"/>
  <c r="S839" i="1"/>
  <c r="N839" i="1"/>
  <c r="K839" i="1"/>
  <c r="H839" i="1"/>
  <c r="E839" i="1"/>
  <c r="AJ838" i="1"/>
  <c r="AL838" i="1" s="1"/>
  <c r="AN838" i="1" s="1"/>
  <c r="AP838" i="1" s="1"/>
  <c r="AR838" i="1" s="1"/>
  <c r="AT838" i="1" s="1"/>
  <c r="AV838" i="1" s="1"/>
  <c r="AX838" i="1" s="1"/>
  <c r="AZ838" i="1" s="1"/>
  <c r="AF838" i="1"/>
  <c r="AD838" i="1"/>
  <c r="Z838" i="1"/>
  <c r="W838" i="1"/>
  <c r="S838" i="1"/>
  <c r="P838" i="1"/>
  <c r="N838" i="1"/>
  <c r="K838" i="1"/>
  <c r="H838" i="1"/>
  <c r="E838" i="1"/>
  <c r="AF837" i="1"/>
  <c r="AD837" i="1"/>
  <c r="Z837" i="1"/>
  <c r="W837" i="1"/>
  <c r="U837" i="1"/>
  <c r="S837" i="1"/>
  <c r="N837" i="1"/>
  <c r="K837" i="1"/>
  <c r="H837" i="1"/>
  <c r="E837" i="1"/>
  <c r="AL836" i="1"/>
  <c r="AN836" i="1" s="1"/>
  <c r="AP836" i="1" s="1"/>
  <c r="AR836" i="1" s="1"/>
  <c r="AT836" i="1" s="1"/>
  <c r="AV836" i="1" s="1"/>
  <c r="AX836" i="1" s="1"/>
  <c r="AZ836" i="1" s="1"/>
  <c r="AF836" i="1"/>
  <c r="AD836" i="1"/>
  <c r="Z836" i="1"/>
  <c r="W836" i="1"/>
  <c r="U836" i="1"/>
  <c r="S836" i="1"/>
  <c r="N836" i="1"/>
  <c r="K836" i="1"/>
  <c r="H836" i="1"/>
  <c r="E836" i="1"/>
  <c r="AF835" i="1"/>
  <c r="AD835" i="1"/>
  <c r="Z835" i="1"/>
  <c r="W835" i="1"/>
  <c r="U835" i="1"/>
  <c r="S835" i="1"/>
  <c r="N835" i="1"/>
  <c r="K835" i="1"/>
  <c r="H835" i="1"/>
  <c r="E835" i="1"/>
  <c r="AF834" i="1"/>
  <c r="AD834" i="1"/>
  <c r="Z834" i="1"/>
  <c r="W834" i="1"/>
  <c r="U834" i="1"/>
  <c r="S834" i="1"/>
  <c r="N834" i="1"/>
  <c r="K834" i="1"/>
  <c r="H834" i="1"/>
  <c r="E834" i="1"/>
  <c r="AH833" i="1"/>
  <c r="AJ833" i="1" s="1"/>
  <c r="AL833" i="1" s="1"/>
  <c r="AN833" i="1" s="1"/>
  <c r="AP833" i="1" s="1"/>
  <c r="AR833" i="1" s="1"/>
  <c r="AT833" i="1" s="1"/>
  <c r="AV833" i="1" s="1"/>
  <c r="AF833" i="1"/>
  <c r="AD833" i="1"/>
  <c r="Z833" i="1"/>
  <c r="W833" i="1"/>
  <c r="U833" i="1"/>
  <c r="S833" i="1"/>
  <c r="N833" i="1"/>
  <c r="K833" i="1"/>
  <c r="H833" i="1"/>
  <c r="E833" i="1"/>
  <c r="AF832" i="1"/>
  <c r="AD832" i="1"/>
  <c r="Z832" i="1"/>
  <c r="W832" i="1"/>
  <c r="U832" i="1"/>
  <c r="S832" i="1"/>
  <c r="N832" i="1"/>
  <c r="K832" i="1"/>
  <c r="H832" i="1"/>
  <c r="E832" i="1"/>
  <c r="AF831" i="1"/>
  <c r="AD831" i="1"/>
  <c r="Z831" i="1"/>
  <c r="W831" i="1"/>
  <c r="U831" i="1"/>
  <c r="S831" i="1"/>
  <c r="N831" i="1"/>
  <c r="K831" i="1"/>
  <c r="H831" i="1"/>
  <c r="E831" i="1"/>
  <c r="AJ830" i="1"/>
  <c r="AF830" i="1"/>
  <c r="AD830" i="1"/>
  <c r="Z830" i="1"/>
  <c r="W830" i="1"/>
  <c r="U830" i="1"/>
  <c r="S830" i="1"/>
  <c r="N830" i="1"/>
  <c r="K830" i="1"/>
  <c r="H830" i="1"/>
  <c r="E830" i="1"/>
  <c r="AE828" i="1"/>
  <c r="AC828" i="1"/>
  <c r="Y828" i="1"/>
  <c r="V828" i="1"/>
  <c r="T828" i="1"/>
  <c r="R828" i="1"/>
  <c r="L828" i="1"/>
  <c r="J828" i="1"/>
  <c r="F828" i="1"/>
  <c r="D828" i="1"/>
  <c r="AF827" i="1"/>
  <c r="AD827" i="1"/>
  <c r="Z827" i="1"/>
  <c r="W827" i="1"/>
  <c r="U827" i="1"/>
  <c r="S827" i="1"/>
  <c r="N827" i="1"/>
  <c r="K827" i="1"/>
  <c r="H827" i="1"/>
  <c r="E827" i="1"/>
  <c r="AH826" i="1"/>
  <c r="AJ826" i="1" s="1"/>
  <c r="AL826" i="1" s="1"/>
  <c r="AN826" i="1" s="1"/>
  <c r="AP826" i="1" s="1"/>
  <c r="AR826" i="1" s="1"/>
  <c r="AT826" i="1" s="1"/>
  <c r="AV826" i="1" s="1"/>
  <c r="AX826" i="1" s="1"/>
  <c r="AZ826" i="1" s="1"/>
  <c r="AF826" i="1"/>
  <c r="AD826" i="1"/>
  <c r="Z826" i="1"/>
  <c r="W826" i="1"/>
  <c r="U826" i="1"/>
  <c r="S826" i="1"/>
  <c r="N826" i="1"/>
  <c r="K826" i="1"/>
  <c r="E826" i="1"/>
  <c r="B826" i="1"/>
  <c r="B828" i="1" s="1"/>
  <c r="AH825" i="1"/>
  <c r="AF825" i="1"/>
  <c r="AD825" i="1"/>
  <c r="Z825" i="1"/>
  <c r="W825" i="1"/>
  <c r="S825" i="1"/>
  <c r="P825" i="1"/>
  <c r="U825" i="1" s="1"/>
  <c r="N825" i="1"/>
  <c r="K825" i="1"/>
  <c r="H825" i="1"/>
  <c r="E825" i="1"/>
  <c r="AE821" i="1"/>
  <c r="Y821" i="1"/>
  <c r="T821" i="1"/>
  <c r="L821" i="1"/>
  <c r="J821" i="1"/>
  <c r="F821" i="1"/>
  <c r="B821" i="1"/>
  <c r="AF820" i="1"/>
  <c r="AD820" i="1"/>
  <c r="Z820" i="1"/>
  <c r="W820" i="1"/>
  <c r="U820" i="1"/>
  <c r="S820" i="1"/>
  <c r="N820" i="1"/>
  <c r="K820" i="1"/>
  <c r="H820" i="1"/>
  <c r="E820" i="1"/>
  <c r="AH819" i="1"/>
  <c r="AJ819" i="1" s="1"/>
  <c r="AL819" i="1" s="1"/>
  <c r="AN819" i="1" s="1"/>
  <c r="AP819" i="1" s="1"/>
  <c r="AR819" i="1" s="1"/>
  <c r="AT819" i="1" s="1"/>
  <c r="AV819" i="1" s="1"/>
  <c r="AX819" i="1" s="1"/>
  <c r="AZ819" i="1" s="1"/>
  <c r="AF819" i="1"/>
  <c r="AD819" i="1"/>
  <c r="Z819" i="1"/>
  <c r="W819" i="1"/>
  <c r="S819" i="1"/>
  <c r="P819" i="1"/>
  <c r="U819" i="1" s="1"/>
  <c r="N819" i="1"/>
  <c r="K819" i="1"/>
  <c r="H819" i="1"/>
  <c r="E819" i="1"/>
  <c r="AF818" i="1"/>
  <c r="AD818" i="1"/>
  <c r="Z818" i="1"/>
  <c r="W818" i="1"/>
  <c r="U818" i="1"/>
  <c r="S818" i="1"/>
  <c r="N818" i="1"/>
  <c r="K818" i="1"/>
  <c r="H818" i="1"/>
  <c r="E818" i="1"/>
  <c r="AF817" i="1"/>
  <c r="AD817" i="1"/>
  <c r="Z817" i="1"/>
  <c r="W817" i="1"/>
  <c r="U817" i="1"/>
  <c r="S817" i="1"/>
  <c r="N817" i="1"/>
  <c r="K817" i="1"/>
  <c r="H817" i="1"/>
  <c r="E817" i="1"/>
  <c r="AF816" i="1"/>
  <c r="AD816" i="1"/>
  <c r="Z816" i="1"/>
  <c r="W816" i="1"/>
  <c r="U816" i="1"/>
  <c r="S816" i="1"/>
  <c r="N816" i="1"/>
  <c r="K816" i="1"/>
  <c r="H816" i="1"/>
  <c r="E816" i="1"/>
  <c r="AF815" i="1"/>
  <c r="AD815" i="1"/>
  <c r="Z815" i="1"/>
  <c r="W815" i="1"/>
  <c r="U815" i="1"/>
  <c r="S815" i="1"/>
  <c r="N815" i="1"/>
  <c r="K815" i="1"/>
  <c r="H815" i="1"/>
  <c r="E815" i="1"/>
  <c r="AZ813" i="1"/>
  <c r="AX813" i="1"/>
  <c r="AV813" i="1"/>
  <c r="AT813" i="1"/>
  <c r="AR813" i="1"/>
  <c r="AP813" i="1"/>
  <c r="AN813" i="1"/>
  <c r="AL813" i="1"/>
  <c r="AJ813" i="1"/>
  <c r="AH812" i="1"/>
  <c r="AJ812" i="1" s="1"/>
  <c r="AL812" i="1" s="1"/>
  <c r="AN812" i="1" s="1"/>
  <c r="AP812" i="1" s="1"/>
  <c r="AR812" i="1" s="1"/>
  <c r="AT812" i="1" s="1"/>
  <c r="AV812" i="1" s="1"/>
  <c r="AX812" i="1" s="1"/>
  <c r="AZ812" i="1" s="1"/>
  <c r="AF812" i="1"/>
  <c r="AD812" i="1"/>
  <c r="Z812" i="1"/>
  <c r="W812" i="1"/>
  <c r="U812" i="1"/>
  <c r="S812" i="1"/>
  <c r="AF811" i="1"/>
  <c r="AD811" i="1"/>
  <c r="Z811" i="1"/>
  <c r="W811" i="1"/>
  <c r="U811" i="1"/>
  <c r="S811" i="1"/>
  <c r="N811" i="1"/>
  <c r="K811" i="1"/>
  <c r="H811" i="1"/>
  <c r="E811" i="1"/>
  <c r="AH810" i="1"/>
  <c r="AJ810" i="1" s="1"/>
  <c r="AL810" i="1" s="1"/>
  <c r="AN810" i="1" s="1"/>
  <c r="AP810" i="1" s="1"/>
  <c r="AR810" i="1" s="1"/>
  <c r="AT810" i="1" s="1"/>
  <c r="AV810" i="1" s="1"/>
  <c r="AX810" i="1" s="1"/>
  <c r="AZ810" i="1" s="1"/>
  <c r="AF810" i="1"/>
  <c r="AD810" i="1"/>
  <c r="Z810" i="1"/>
  <c r="W810" i="1"/>
  <c r="U810" i="1"/>
  <c r="S810" i="1"/>
  <c r="N810" i="1"/>
  <c r="K810" i="1"/>
  <c r="H810" i="1"/>
  <c r="E810" i="1"/>
  <c r="AH809" i="1"/>
  <c r="AJ809" i="1" s="1"/>
  <c r="AL809" i="1" s="1"/>
  <c r="AN809" i="1" s="1"/>
  <c r="AP809" i="1" s="1"/>
  <c r="AR809" i="1" s="1"/>
  <c r="AT809" i="1" s="1"/>
  <c r="AV809" i="1" s="1"/>
  <c r="AX809" i="1" s="1"/>
  <c r="AZ809" i="1" s="1"/>
  <c r="AF809" i="1"/>
  <c r="AD809" i="1"/>
  <c r="Z809" i="1"/>
  <c r="W809" i="1"/>
  <c r="U809" i="1"/>
  <c r="S809" i="1"/>
  <c r="N809" i="1"/>
  <c r="K809" i="1"/>
  <c r="H809" i="1"/>
  <c r="E809" i="1"/>
  <c r="AF808" i="1"/>
  <c r="AC808" i="1"/>
  <c r="AD808" i="1" s="1"/>
  <c r="Z808" i="1"/>
  <c r="W808" i="1"/>
  <c r="S808" i="1"/>
  <c r="P808" i="1"/>
  <c r="U808" i="1" s="1"/>
  <c r="N808" i="1"/>
  <c r="K808" i="1"/>
  <c r="H808" i="1"/>
  <c r="E808" i="1"/>
  <c r="AH807" i="1"/>
  <c r="AJ807" i="1" s="1"/>
  <c r="AL807" i="1" s="1"/>
  <c r="AN807" i="1" s="1"/>
  <c r="AP807" i="1" s="1"/>
  <c r="AR807" i="1" s="1"/>
  <c r="AT807" i="1" s="1"/>
  <c r="AV807" i="1" s="1"/>
  <c r="AX807" i="1" s="1"/>
  <c r="AZ807" i="1" s="1"/>
  <c r="AF807" i="1"/>
  <c r="AD807" i="1"/>
  <c r="Z807" i="1"/>
  <c r="V807" i="1"/>
  <c r="W807" i="1" s="1"/>
  <c r="S807" i="1"/>
  <c r="P807" i="1"/>
  <c r="U807" i="1" s="1"/>
  <c r="N807" i="1"/>
  <c r="K807" i="1"/>
  <c r="H807" i="1"/>
  <c r="E807" i="1"/>
  <c r="AH806" i="1"/>
  <c r="AJ806" i="1" s="1"/>
  <c r="AL806" i="1" s="1"/>
  <c r="AN806" i="1" s="1"/>
  <c r="AP806" i="1" s="1"/>
  <c r="AR806" i="1" s="1"/>
  <c r="AT806" i="1" s="1"/>
  <c r="AV806" i="1" s="1"/>
  <c r="AX806" i="1" s="1"/>
  <c r="AZ806" i="1" s="1"/>
  <c r="AF806" i="1"/>
  <c r="AD806" i="1"/>
  <c r="Z806" i="1"/>
  <c r="V806" i="1"/>
  <c r="W806" i="1" s="1"/>
  <c r="R806" i="1"/>
  <c r="S806" i="1" s="1"/>
  <c r="P806" i="1"/>
  <c r="U806" i="1" s="1"/>
  <c r="N806" i="1"/>
  <c r="K806" i="1"/>
  <c r="H806" i="1"/>
  <c r="E806" i="1"/>
  <c r="AH805" i="1"/>
  <c r="AJ805" i="1" s="1"/>
  <c r="AL805" i="1" s="1"/>
  <c r="AN805" i="1" s="1"/>
  <c r="AP805" i="1" s="1"/>
  <c r="AR805" i="1" s="1"/>
  <c r="AT805" i="1" s="1"/>
  <c r="AV805" i="1" s="1"/>
  <c r="AX805" i="1" s="1"/>
  <c r="AZ805" i="1" s="1"/>
  <c r="AF805" i="1"/>
  <c r="AD805" i="1"/>
  <c r="Z805" i="1"/>
  <c r="V805" i="1"/>
  <c r="W805" i="1" s="1"/>
  <c r="R805" i="1"/>
  <c r="S805" i="1" s="1"/>
  <c r="P805" i="1"/>
  <c r="U805" i="1" s="1"/>
  <c r="N805" i="1"/>
  <c r="K805" i="1"/>
  <c r="H805" i="1"/>
  <c r="D805" i="1"/>
  <c r="AH804" i="1"/>
  <c r="AJ804" i="1" s="1"/>
  <c r="AL804" i="1" s="1"/>
  <c r="AN804" i="1" s="1"/>
  <c r="AP804" i="1" s="1"/>
  <c r="AR804" i="1" s="1"/>
  <c r="AT804" i="1" s="1"/>
  <c r="AV804" i="1" s="1"/>
  <c r="AX804" i="1" s="1"/>
  <c r="AZ804" i="1" s="1"/>
  <c r="AF804" i="1"/>
  <c r="AD804" i="1"/>
  <c r="Z804" i="1"/>
  <c r="W804" i="1"/>
  <c r="S804" i="1"/>
  <c r="P804" i="1"/>
  <c r="U804" i="1" s="1"/>
  <c r="N804" i="1"/>
  <c r="K804" i="1"/>
  <c r="H804" i="1"/>
  <c r="E804" i="1"/>
  <c r="AH803" i="1"/>
  <c r="AJ803" i="1" s="1"/>
  <c r="AL803" i="1" s="1"/>
  <c r="AN803" i="1" s="1"/>
  <c r="AP803" i="1" s="1"/>
  <c r="AR803" i="1" s="1"/>
  <c r="AT803" i="1" s="1"/>
  <c r="AV803" i="1" s="1"/>
  <c r="AX803" i="1" s="1"/>
  <c r="AZ803" i="1" s="1"/>
  <c r="AF803" i="1"/>
  <c r="AD803" i="1"/>
  <c r="Z803" i="1"/>
  <c r="W803" i="1"/>
  <c r="S803" i="1"/>
  <c r="P803" i="1"/>
  <c r="U803" i="1" s="1"/>
  <c r="N803" i="1"/>
  <c r="K803" i="1"/>
  <c r="H803" i="1"/>
  <c r="E803" i="1"/>
  <c r="AH802" i="1"/>
  <c r="AJ802" i="1" s="1"/>
  <c r="AL802" i="1" s="1"/>
  <c r="AN802" i="1" s="1"/>
  <c r="AP802" i="1" s="1"/>
  <c r="AR802" i="1" s="1"/>
  <c r="AT802" i="1" s="1"/>
  <c r="AV802" i="1" s="1"/>
  <c r="AX802" i="1" s="1"/>
  <c r="AZ802" i="1" s="1"/>
  <c r="AF802" i="1"/>
  <c r="AD802" i="1"/>
  <c r="Z802" i="1"/>
  <c r="W802" i="1"/>
  <c r="S802" i="1"/>
  <c r="P802" i="1"/>
  <c r="U802" i="1" s="1"/>
  <c r="N802" i="1"/>
  <c r="K802" i="1"/>
  <c r="H802" i="1"/>
  <c r="E802" i="1"/>
  <c r="AH801" i="1"/>
  <c r="AF801" i="1"/>
  <c r="AC801" i="1"/>
  <c r="AD801" i="1" s="1"/>
  <c r="Z801" i="1"/>
  <c r="W801" i="1"/>
  <c r="S801" i="1"/>
  <c r="P801" i="1"/>
  <c r="U801" i="1" s="1"/>
  <c r="N801" i="1"/>
  <c r="K801" i="1"/>
  <c r="H801" i="1"/>
  <c r="E801" i="1"/>
  <c r="AJ800" i="1"/>
  <c r="AL800" i="1" s="1"/>
  <c r="AN800" i="1" s="1"/>
  <c r="AP800" i="1" s="1"/>
  <c r="AR800" i="1" s="1"/>
  <c r="AT800" i="1" s="1"/>
  <c r="AV800" i="1" s="1"/>
  <c r="AX800" i="1" s="1"/>
  <c r="AZ800" i="1" s="1"/>
  <c r="AF800" i="1"/>
  <c r="AC800" i="1"/>
  <c r="AD800" i="1" s="1"/>
  <c r="Z800" i="1"/>
  <c r="V800" i="1"/>
  <c r="W800" i="1" s="1"/>
  <c r="S800" i="1"/>
  <c r="P800" i="1"/>
  <c r="U800" i="1" s="1"/>
  <c r="N800" i="1"/>
  <c r="K800" i="1"/>
  <c r="H800" i="1"/>
  <c r="E800" i="1"/>
  <c r="AY799" i="1"/>
  <c r="AS799" i="1"/>
  <c r="AU799" i="1" s="1"/>
  <c r="AM799" i="1"/>
  <c r="AO799" i="1" s="1"/>
  <c r="AJ799" i="1"/>
  <c r="AL799" i="1" s="1"/>
  <c r="AN799" i="1" s="1"/>
  <c r="AP799" i="1" s="1"/>
  <c r="AR799" i="1" s="1"/>
  <c r="AT799" i="1" s="1"/>
  <c r="AV799" i="1" s="1"/>
  <c r="AX799" i="1" s="1"/>
  <c r="AZ799" i="1" s="1"/>
  <c r="AF799" i="1"/>
  <c r="AD799" i="1"/>
  <c r="Z799" i="1"/>
  <c r="W799" i="1"/>
  <c r="U799" i="1"/>
  <c r="S799" i="1"/>
  <c r="N799" i="1"/>
  <c r="K799" i="1"/>
  <c r="H799" i="1"/>
  <c r="E799" i="1"/>
  <c r="AY798" i="1"/>
  <c r="AS798" i="1"/>
  <c r="AU798" i="1" s="1"/>
  <c r="AK798" i="1"/>
  <c r="AM798" i="1" s="1"/>
  <c r="AO798" i="1" s="1"/>
  <c r="AJ798" i="1"/>
  <c r="AL798" i="1" s="1"/>
  <c r="AN798" i="1" s="1"/>
  <c r="AP798" i="1" s="1"/>
  <c r="AR798" i="1" s="1"/>
  <c r="AT798" i="1" s="1"/>
  <c r="AV798" i="1" s="1"/>
  <c r="AX798" i="1" s="1"/>
  <c r="AZ798" i="1" s="1"/>
  <c r="AF798" i="1"/>
  <c r="AC798" i="1"/>
  <c r="AD798" i="1" s="1"/>
  <c r="Z798" i="1"/>
  <c r="V798" i="1"/>
  <c r="W798" i="1" s="1"/>
  <c r="U798" i="1"/>
  <c r="S798" i="1"/>
  <c r="N798" i="1"/>
  <c r="K798" i="1"/>
  <c r="H798" i="1"/>
  <c r="E798" i="1"/>
  <c r="AY797" i="1"/>
  <c r="AS797" i="1"/>
  <c r="AU797" i="1" s="1"/>
  <c r="AK797" i="1"/>
  <c r="AM797" i="1" s="1"/>
  <c r="AO797" i="1" s="1"/>
  <c r="AJ797" i="1"/>
  <c r="AL797" i="1" s="1"/>
  <c r="AN797" i="1" s="1"/>
  <c r="AP797" i="1" s="1"/>
  <c r="AF797" i="1"/>
  <c r="AC797" i="1"/>
  <c r="Z797" i="1"/>
  <c r="W797" i="1"/>
  <c r="U797" i="1"/>
  <c r="S797" i="1"/>
  <c r="N797" i="1"/>
  <c r="K797" i="1"/>
  <c r="H797" i="1"/>
  <c r="E797" i="1"/>
  <c r="AN795" i="1"/>
  <c r="AE795" i="1"/>
  <c r="AC795" i="1"/>
  <c r="Y795" i="1"/>
  <c r="V795" i="1"/>
  <c r="T795" i="1"/>
  <c r="R795" i="1"/>
  <c r="P795" i="1"/>
  <c r="L795" i="1"/>
  <c r="J795" i="1"/>
  <c r="F795" i="1"/>
  <c r="D795" i="1"/>
  <c r="B795" i="1"/>
  <c r="AF794" i="1"/>
  <c r="AD794" i="1"/>
  <c r="Z794" i="1"/>
  <c r="W794" i="1"/>
  <c r="U794" i="1"/>
  <c r="S794" i="1"/>
  <c r="N794" i="1"/>
  <c r="K794" i="1"/>
  <c r="H794" i="1"/>
  <c r="E794" i="1"/>
  <c r="AP793" i="1"/>
  <c r="AP795" i="1" s="1"/>
  <c r="AH793" i="1"/>
  <c r="AH795" i="1" s="1"/>
  <c r="AF793" i="1"/>
  <c r="AD793" i="1"/>
  <c r="Z793" i="1"/>
  <c r="W793" i="1"/>
  <c r="U793" i="1"/>
  <c r="S793" i="1"/>
  <c r="N793" i="1"/>
  <c r="K793" i="1"/>
  <c r="H793" i="1"/>
  <c r="E793" i="1"/>
  <c r="Z792" i="1"/>
  <c r="AZ789" i="1"/>
  <c r="AX789" i="1"/>
  <c r="AV789" i="1"/>
  <c r="AT789" i="1"/>
  <c r="AR789" i="1"/>
  <c r="AP789" i="1"/>
  <c r="AN789" i="1"/>
  <c r="AL789" i="1"/>
  <c r="AJ789" i="1"/>
  <c r="AH789" i="1"/>
  <c r="AE789" i="1"/>
  <c r="Y789" i="1"/>
  <c r="V789" i="1"/>
  <c r="T789" i="1"/>
  <c r="R789" i="1"/>
  <c r="P789" i="1"/>
  <c r="L789" i="1"/>
  <c r="J789" i="1"/>
  <c r="F789" i="1"/>
  <c r="B789" i="1"/>
  <c r="AF788" i="1"/>
  <c r="AD788" i="1"/>
  <c r="Z788" i="1"/>
  <c r="W788" i="1"/>
  <c r="U788" i="1"/>
  <c r="S788" i="1"/>
  <c r="N788" i="1"/>
  <c r="K788" i="1"/>
  <c r="H788" i="1"/>
  <c r="E788" i="1"/>
  <c r="AF787" i="1"/>
  <c r="AD787" i="1"/>
  <c r="Z787" i="1"/>
  <c r="W787" i="1"/>
  <c r="U787" i="1"/>
  <c r="S787" i="1"/>
  <c r="N787" i="1"/>
  <c r="K787" i="1"/>
  <c r="AF786" i="1"/>
  <c r="AD786" i="1"/>
  <c r="Z786" i="1"/>
  <c r="W786" i="1"/>
  <c r="U786" i="1"/>
  <c r="S786" i="1"/>
  <c r="N786" i="1"/>
  <c r="K786" i="1"/>
  <c r="H786" i="1"/>
  <c r="E786" i="1"/>
  <c r="AF785" i="1"/>
  <c r="AD785" i="1"/>
  <c r="Z785" i="1"/>
  <c r="W785" i="1"/>
  <c r="U785" i="1"/>
  <c r="S785" i="1"/>
  <c r="N785" i="1"/>
  <c r="K785" i="1"/>
  <c r="H785" i="1"/>
  <c r="E785" i="1"/>
  <c r="AF784" i="1"/>
  <c r="AD784" i="1"/>
  <c r="Z784" i="1"/>
  <c r="W784" i="1"/>
  <c r="U784" i="1"/>
  <c r="S784" i="1"/>
  <c r="N784" i="1"/>
  <c r="K784" i="1"/>
  <c r="H784" i="1"/>
  <c r="E784" i="1"/>
  <c r="AF783" i="1"/>
  <c r="AD783" i="1"/>
  <c r="Z783" i="1"/>
  <c r="W783" i="1"/>
  <c r="U783" i="1"/>
  <c r="S783" i="1"/>
  <c r="N783" i="1"/>
  <c r="K783" i="1"/>
  <c r="H783" i="1"/>
  <c r="E783" i="1"/>
  <c r="AF782" i="1"/>
  <c r="AD782" i="1"/>
  <c r="Z782" i="1"/>
  <c r="W782" i="1"/>
  <c r="U782" i="1"/>
  <c r="S782" i="1"/>
  <c r="N782" i="1"/>
  <c r="K782" i="1"/>
  <c r="H782" i="1"/>
  <c r="E782" i="1"/>
  <c r="AF781" i="1"/>
  <c r="AD781" i="1"/>
  <c r="Z781" i="1"/>
  <c r="W781" i="1"/>
  <c r="U781" i="1"/>
  <c r="S781" i="1"/>
  <c r="N781" i="1"/>
  <c r="K781" i="1"/>
  <c r="H781" i="1"/>
  <c r="E781" i="1"/>
  <c r="AF780" i="1"/>
  <c r="AD780" i="1"/>
  <c r="Z780" i="1"/>
  <c r="W780" i="1"/>
  <c r="U780" i="1"/>
  <c r="S780" i="1"/>
  <c r="N780" i="1"/>
  <c r="K780" i="1"/>
  <c r="H780" i="1"/>
  <c r="E780" i="1"/>
  <c r="AF779" i="1"/>
  <c r="AD779" i="1"/>
  <c r="Z779" i="1"/>
  <c r="W779" i="1"/>
  <c r="U779" i="1"/>
  <c r="S779" i="1"/>
  <c r="N779" i="1"/>
  <c r="K779" i="1"/>
  <c r="H779" i="1"/>
  <c r="E779" i="1"/>
  <c r="AF778" i="1"/>
  <c r="AD778" i="1"/>
  <c r="Z778" i="1"/>
  <c r="W778" i="1"/>
  <c r="U778" i="1"/>
  <c r="S778" i="1"/>
  <c r="N778" i="1"/>
  <c r="K778" i="1"/>
  <c r="H778" i="1"/>
  <c r="E778" i="1"/>
  <c r="AF777" i="1"/>
  <c r="AD777" i="1"/>
  <c r="Z777" i="1"/>
  <c r="W777" i="1"/>
  <c r="U777" i="1"/>
  <c r="S777" i="1"/>
  <c r="N777" i="1"/>
  <c r="K777" i="1"/>
  <c r="H777" i="1"/>
  <c r="E777" i="1"/>
  <c r="AF776" i="1"/>
  <c r="AD776" i="1"/>
  <c r="Z776" i="1"/>
  <c r="W776" i="1"/>
  <c r="U776" i="1"/>
  <c r="S776" i="1"/>
  <c r="N776" i="1"/>
  <c r="K776" i="1"/>
  <c r="H776" i="1"/>
  <c r="E776" i="1"/>
  <c r="AF775" i="1"/>
  <c r="AD775" i="1"/>
  <c r="Z775" i="1"/>
  <c r="W775" i="1"/>
  <c r="U775" i="1"/>
  <c r="S775" i="1"/>
  <c r="N775" i="1"/>
  <c r="K775" i="1"/>
  <c r="H775" i="1"/>
  <c r="E775" i="1"/>
  <c r="AF774" i="1"/>
  <c r="AD774" i="1"/>
  <c r="Z774" i="1"/>
  <c r="W774" i="1"/>
  <c r="U774" i="1"/>
  <c r="S774" i="1"/>
  <c r="N774" i="1"/>
  <c r="K774" i="1"/>
  <c r="H774" i="1"/>
  <c r="E774" i="1"/>
  <c r="AF773" i="1"/>
  <c r="AD773" i="1"/>
  <c r="Z773" i="1"/>
  <c r="W773" i="1"/>
  <c r="U773" i="1"/>
  <c r="S773" i="1"/>
  <c r="N773" i="1"/>
  <c r="K773" i="1"/>
  <c r="H773" i="1"/>
  <c r="E773" i="1"/>
  <c r="AF772" i="1"/>
  <c r="AD772" i="1"/>
  <c r="Z772" i="1"/>
  <c r="W772" i="1"/>
  <c r="U772" i="1"/>
  <c r="S772" i="1"/>
  <c r="N772" i="1"/>
  <c r="K772" i="1"/>
  <c r="AF771" i="1"/>
  <c r="AD771" i="1"/>
  <c r="Z771" i="1"/>
  <c r="W771" i="1"/>
  <c r="U771" i="1"/>
  <c r="S771" i="1"/>
  <c r="N771" i="1"/>
  <c r="K771" i="1"/>
  <c r="AF770" i="1"/>
  <c r="AD770" i="1"/>
  <c r="Z770" i="1"/>
  <c r="W770" i="1"/>
  <c r="U770" i="1"/>
  <c r="S770" i="1"/>
  <c r="N770" i="1"/>
  <c r="K770" i="1"/>
  <c r="E770" i="1"/>
  <c r="AF769" i="1"/>
  <c r="AD769" i="1"/>
  <c r="Z769" i="1"/>
  <c r="W769" i="1"/>
  <c r="U769" i="1"/>
  <c r="S769" i="1"/>
  <c r="N769" i="1"/>
  <c r="K769" i="1"/>
  <c r="AF768" i="1"/>
  <c r="AD768" i="1"/>
  <c r="Z768" i="1"/>
  <c r="W768" i="1"/>
  <c r="U768" i="1"/>
  <c r="S768" i="1"/>
  <c r="N768" i="1"/>
  <c r="K768" i="1"/>
  <c r="H768" i="1"/>
  <c r="AF767" i="1"/>
  <c r="AD767" i="1"/>
  <c r="Z767" i="1"/>
  <c r="W767" i="1"/>
  <c r="U767" i="1"/>
  <c r="S767" i="1"/>
  <c r="N767" i="1"/>
  <c r="K767" i="1"/>
  <c r="H767" i="1"/>
  <c r="E767" i="1"/>
  <c r="AF766" i="1"/>
  <c r="AD766" i="1"/>
  <c r="Z766" i="1"/>
  <c r="W766" i="1"/>
  <c r="U766" i="1"/>
  <c r="S766" i="1"/>
  <c r="N766" i="1"/>
  <c r="J766" i="1"/>
  <c r="K766" i="1" s="1"/>
  <c r="H766" i="1"/>
  <c r="E766" i="1"/>
  <c r="AF765" i="1"/>
  <c r="AD765" i="1"/>
  <c r="Z765" i="1"/>
  <c r="W765" i="1"/>
  <c r="U765" i="1"/>
  <c r="S765" i="1"/>
  <c r="N765" i="1"/>
  <c r="K765" i="1"/>
  <c r="H765" i="1"/>
  <c r="E765" i="1"/>
  <c r="AF764" i="1"/>
  <c r="AD764" i="1"/>
  <c r="Z764" i="1"/>
  <c r="W764" i="1"/>
  <c r="U764" i="1"/>
  <c r="S764" i="1"/>
  <c r="N764" i="1"/>
  <c r="K764" i="1"/>
  <c r="H764" i="1"/>
  <c r="E764" i="1"/>
  <c r="AF763" i="1"/>
  <c r="AD763" i="1"/>
  <c r="Z763" i="1"/>
  <c r="W763" i="1"/>
  <c r="U763" i="1"/>
  <c r="S763" i="1"/>
  <c r="N763" i="1"/>
  <c r="K763" i="1"/>
  <c r="H763" i="1"/>
  <c r="E763" i="1"/>
  <c r="AF762" i="1"/>
  <c r="AD762" i="1"/>
  <c r="Z762" i="1"/>
  <c r="W762" i="1"/>
  <c r="U762" i="1"/>
  <c r="S762" i="1"/>
  <c r="N762" i="1"/>
  <c r="K762" i="1"/>
  <c r="H762" i="1"/>
  <c r="E762" i="1"/>
  <c r="AF761" i="1"/>
  <c r="AD761" i="1"/>
  <c r="Z761" i="1"/>
  <c r="W761" i="1"/>
  <c r="U761" i="1"/>
  <c r="S761" i="1"/>
  <c r="N761" i="1"/>
  <c r="K761" i="1"/>
  <c r="H761" i="1"/>
  <c r="E761" i="1"/>
  <c r="AF760" i="1"/>
  <c r="AC760" i="1"/>
  <c r="AC789" i="1" s="1"/>
  <c r="Z760" i="1"/>
  <c r="W760" i="1"/>
  <c r="U760" i="1"/>
  <c r="S760" i="1"/>
  <c r="N760" i="1"/>
  <c r="K760" i="1"/>
  <c r="H760" i="1"/>
  <c r="D760" i="1"/>
  <c r="E760" i="1" s="1"/>
  <c r="AE758" i="1"/>
  <c r="AC758" i="1"/>
  <c r="Y758" i="1"/>
  <c r="V758" i="1"/>
  <c r="T758" i="1"/>
  <c r="L758" i="1"/>
  <c r="F758" i="1"/>
  <c r="B758" i="1"/>
  <c r="AF757" i="1"/>
  <c r="AD757" i="1"/>
  <c r="Z757" i="1"/>
  <c r="W757" i="1"/>
  <c r="S757" i="1"/>
  <c r="P757" i="1"/>
  <c r="AH757" i="1" s="1"/>
  <c r="AJ757" i="1" s="1"/>
  <c r="AL757" i="1" s="1"/>
  <c r="AN757" i="1" s="1"/>
  <c r="AP757" i="1" s="1"/>
  <c r="AR757" i="1" s="1"/>
  <c r="AT757" i="1" s="1"/>
  <c r="AV757" i="1" s="1"/>
  <c r="AX757" i="1" s="1"/>
  <c r="AZ757" i="1" s="1"/>
  <c r="N757" i="1"/>
  <c r="K757" i="1"/>
  <c r="H757" i="1"/>
  <c r="E757" i="1"/>
  <c r="AF755" i="1"/>
  <c r="AD755" i="1"/>
  <c r="Z755" i="1"/>
  <c r="W755" i="1"/>
  <c r="S755" i="1"/>
  <c r="P755" i="1"/>
  <c r="AH755" i="1" s="1"/>
  <c r="AJ755" i="1" s="1"/>
  <c r="AL755" i="1" s="1"/>
  <c r="AN755" i="1" s="1"/>
  <c r="AP755" i="1" s="1"/>
  <c r="AR755" i="1" s="1"/>
  <c r="AT755" i="1" s="1"/>
  <c r="AV755" i="1" s="1"/>
  <c r="AX755" i="1" s="1"/>
  <c r="AZ755" i="1" s="1"/>
  <c r="N755" i="1"/>
  <c r="K755" i="1"/>
  <c r="H755" i="1"/>
  <c r="E755" i="1"/>
  <c r="AF754" i="1"/>
  <c r="AD754" i="1"/>
  <c r="Z754" i="1"/>
  <c r="W754" i="1"/>
  <c r="U754" i="1"/>
  <c r="S754" i="1"/>
  <c r="N754" i="1"/>
  <c r="K754" i="1"/>
  <c r="H754" i="1"/>
  <c r="E754" i="1"/>
  <c r="AF753" i="1"/>
  <c r="AD753" i="1"/>
  <c r="Z753" i="1"/>
  <c r="W753" i="1"/>
  <c r="S753" i="1"/>
  <c r="P753" i="1"/>
  <c r="AH753" i="1" s="1"/>
  <c r="N753" i="1"/>
  <c r="K753" i="1"/>
  <c r="AF752" i="1"/>
  <c r="AD752" i="1"/>
  <c r="Z752" i="1"/>
  <c r="W752" i="1"/>
  <c r="U752" i="1"/>
  <c r="S752" i="1"/>
  <c r="N752" i="1"/>
  <c r="K752" i="1"/>
  <c r="AF751" i="1"/>
  <c r="AD751" i="1"/>
  <c r="Z751" i="1"/>
  <c r="W751" i="1"/>
  <c r="U751" i="1"/>
  <c r="S751" i="1"/>
  <c r="N751" i="1"/>
  <c r="K751" i="1"/>
  <c r="AF750" i="1"/>
  <c r="AD750" i="1"/>
  <c r="Z750" i="1"/>
  <c r="W750" i="1"/>
  <c r="U750" i="1"/>
  <c r="S750" i="1"/>
  <c r="N750" i="1"/>
  <c r="K750" i="1"/>
  <c r="AF749" i="1"/>
  <c r="AD749" i="1"/>
  <c r="Z749" i="1"/>
  <c r="W749" i="1"/>
  <c r="U749" i="1"/>
  <c r="S749" i="1"/>
  <c r="N749" i="1"/>
  <c r="K749" i="1"/>
  <c r="AF748" i="1"/>
  <c r="AD748" i="1"/>
  <c r="Z748" i="1"/>
  <c r="W748" i="1"/>
  <c r="U748" i="1"/>
  <c r="S748" i="1"/>
  <c r="N748" i="1"/>
  <c r="K748" i="1"/>
  <c r="AF747" i="1"/>
  <c r="AD747" i="1"/>
  <c r="Z747" i="1"/>
  <c r="W747" i="1"/>
  <c r="U747" i="1"/>
  <c r="S747" i="1"/>
  <c r="N747" i="1"/>
  <c r="K747" i="1"/>
  <c r="AF746" i="1"/>
  <c r="AD746" i="1"/>
  <c r="Z746" i="1"/>
  <c r="W746" i="1"/>
  <c r="U746" i="1"/>
  <c r="S746" i="1"/>
  <c r="N746" i="1"/>
  <c r="K746" i="1"/>
  <c r="AF745" i="1"/>
  <c r="AD745" i="1"/>
  <c r="Z745" i="1"/>
  <c r="W745" i="1"/>
  <c r="U745" i="1"/>
  <c r="S745" i="1"/>
  <c r="N745" i="1"/>
  <c r="K745" i="1"/>
  <c r="H745" i="1"/>
  <c r="E745" i="1"/>
  <c r="AF744" i="1"/>
  <c r="AD744" i="1"/>
  <c r="Z744" i="1"/>
  <c r="W744" i="1"/>
  <c r="U744" i="1"/>
  <c r="S744" i="1"/>
  <c r="N744" i="1"/>
  <c r="K744" i="1"/>
  <c r="H744" i="1"/>
  <c r="E744" i="1"/>
  <c r="AF743" i="1"/>
  <c r="AD743" i="1"/>
  <c r="Z743" i="1"/>
  <c r="W743" i="1"/>
  <c r="U743" i="1"/>
  <c r="S743" i="1"/>
  <c r="N743" i="1"/>
  <c r="K743" i="1"/>
  <c r="H743" i="1"/>
  <c r="E743" i="1"/>
  <c r="AF742" i="1"/>
  <c r="AD742" i="1"/>
  <c r="Z742" i="1"/>
  <c r="W742" i="1"/>
  <c r="U742" i="1"/>
  <c r="S742" i="1"/>
  <c r="N742" i="1"/>
  <c r="K742" i="1"/>
  <c r="H742" i="1"/>
  <c r="E742" i="1"/>
  <c r="AF741" i="1"/>
  <c r="AD741" i="1"/>
  <c r="Z741" i="1"/>
  <c r="W741" i="1"/>
  <c r="U741" i="1"/>
  <c r="S741" i="1"/>
  <c r="N741" i="1"/>
  <c r="K741" i="1"/>
  <c r="H741" i="1"/>
  <c r="E741" i="1"/>
  <c r="AF740" i="1"/>
  <c r="AD740" i="1"/>
  <c r="Z740" i="1"/>
  <c r="W740" i="1"/>
  <c r="U740" i="1"/>
  <c r="S740" i="1"/>
  <c r="N740" i="1"/>
  <c r="K740" i="1"/>
  <c r="H740" i="1"/>
  <c r="E740" i="1"/>
  <c r="AF739" i="1"/>
  <c r="AD739" i="1"/>
  <c r="Z739" i="1"/>
  <c r="W739" i="1"/>
  <c r="U739" i="1"/>
  <c r="S739" i="1"/>
  <c r="N739" i="1"/>
  <c r="K739" i="1"/>
  <c r="H739" i="1"/>
  <c r="E739" i="1"/>
  <c r="AJ738" i="1"/>
  <c r="AL738" i="1" s="1"/>
  <c r="AF738" i="1"/>
  <c r="AD738" i="1"/>
  <c r="Z738" i="1"/>
  <c r="W738" i="1"/>
  <c r="U738" i="1"/>
  <c r="S738" i="1"/>
  <c r="N738" i="1"/>
  <c r="K738" i="1"/>
  <c r="H738" i="1"/>
  <c r="E738" i="1"/>
  <c r="AF737" i="1"/>
  <c r="AD737" i="1"/>
  <c r="Z737" i="1"/>
  <c r="W737" i="1"/>
  <c r="U737" i="1"/>
  <c r="R737" i="1"/>
  <c r="AF736" i="1"/>
  <c r="AD736" i="1"/>
  <c r="Z736" i="1"/>
  <c r="W736" i="1"/>
  <c r="U736" i="1"/>
  <c r="S736" i="1"/>
  <c r="N736" i="1"/>
  <c r="K736" i="1"/>
  <c r="H736" i="1"/>
  <c r="E736" i="1"/>
  <c r="AF734" i="1"/>
  <c r="AD734" i="1"/>
  <c r="Z734" i="1"/>
  <c r="W734" i="1"/>
  <c r="U734" i="1"/>
  <c r="S734" i="1"/>
  <c r="N734" i="1"/>
  <c r="K734" i="1"/>
  <c r="H734" i="1"/>
  <c r="E734" i="1"/>
  <c r="AF733" i="1"/>
  <c r="AD733" i="1"/>
  <c r="Z733" i="1"/>
  <c r="W733" i="1"/>
  <c r="U733" i="1"/>
  <c r="S733" i="1"/>
  <c r="N733" i="1"/>
  <c r="K733" i="1"/>
  <c r="H733" i="1"/>
  <c r="E733" i="1"/>
  <c r="AF732" i="1"/>
  <c r="AD732" i="1"/>
  <c r="Z732" i="1"/>
  <c r="W732" i="1"/>
  <c r="U732" i="1"/>
  <c r="S732" i="1"/>
  <c r="N732" i="1"/>
  <c r="K732" i="1"/>
  <c r="H732" i="1"/>
  <c r="D732" i="1"/>
  <c r="D758" i="1" s="1"/>
  <c r="AF731" i="1"/>
  <c r="AD731" i="1"/>
  <c r="Z731" i="1"/>
  <c r="W731" i="1"/>
  <c r="U731" i="1"/>
  <c r="S731" i="1"/>
  <c r="N731" i="1"/>
  <c r="J731" i="1"/>
  <c r="J758" i="1" s="1"/>
  <c r="H731" i="1"/>
  <c r="E731" i="1"/>
  <c r="AF730" i="1"/>
  <c r="AD730" i="1"/>
  <c r="Z730" i="1"/>
  <c r="W730" i="1"/>
  <c r="U730" i="1"/>
  <c r="S730" i="1"/>
  <c r="N730" i="1"/>
  <c r="K730" i="1"/>
  <c r="H730" i="1"/>
  <c r="E730" i="1"/>
  <c r="AF729" i="1"/>
  <c r="AD729" i="1"/>
  <c r="Z729" i="1"/>
  <c r="W729" i="1"/>
  <c r="U729" i="1"/>
  <c r="S729" i="1"/>
  <c r="N729" i="1"/>
  <c r="K729" i="1"/>
  <c r="H729" i="1"/>
  <c r="E729" i="1"/>
  <c r="AF728" i="1"/>
  <c r="AD728" i="1"/>
  <c r="Z728" i="1"/>
  <c r="W728" i="1"/>
  <c r="U728" i="1"/>
  <c r="S728" i="1"/>
  <c r="N728" i="1"/>
  <c r="K728" i="1"/>
  <c r="H728" i="1"/>
  <c r="E728" i="1"/>
  <c r="AC726" i="1"/>
  <c r="Y726" i="1"/>
  <c r="V726" i="1"/>
  <c r="T726" i="1"/>
  <c r="R726" i="1"/>
  <c r="L726" i="1"/>
  <c r="J726" i="1"/>
  <c r="F726" i="1"/>
  <c r="D726" i="1"/>
  <c r="B726" i="1"/>
  <c r="AF723" i="1"/>
  <c r="AD723" i="1"/>
  <c r="Z723" i="1"/>
  <c r="W723" i="1"/>
  <c r="U723" i="1"/>
  <c r="S723" i="1"/>
  <c r="N723" i="1"/>
  <c r="K723" i="1"/>
  <c r="H723" i="1"/>
  <c r="E723" i="1"/>
  <c r="AF722" i="1"/>
  <c r="AD722" i="1"/>
  <c r="Z722" i="1"/>
  <c r="W722" i="1"/>
  <c r="U722" i="1"/>
  <c r="S722" i="1"/>
  <c r="N722" i="1"/>
  <c r="K722" i="1"/>
  <c r="H722" i="1"/>
  <c r="E722" i="1"/>
  <c r="AF721" i="1"/>
  <c r="AD721" i="1"/>
  <c r="Z721" i="1"/>
  <c r="W721" i="1"/>
  <c r="U721" i="1"/>
  <c r="S721" i="1"/>
  <c r="N721" i="1"/>
  <c r="K721" i="1"/>
  <c r="H721" i="1"/>
  <c r="E721" i="1"/>
  <c r="AF720" i="1"/>
  <c r="AD720" i="1"/>
  <c r="Z720" i="1"/>
  <c r="W720" i="1"/>
  <c r="U720" i="1"/>
  <c r="S720" i="1"/>
  <c r="N720" i="1"/>
  <c r="K720" i="1"/>
  <c r="H720" i="1"/>
  <c r="E720" i="1"/>
  <c r="AF719" i="1"/>
  <c r="AD719" i="1"/>
  <c r="Z719" i="1"/>
  <c r="W719" i="1"/>
  <c r="U719" i="1"/>
  <c r="S719" i="1"/>
  <c r="N719" i="1"/>
  <c r="K719" i="1"/>
  <c r="H719" i="1"/>
  <c r="E719" i="1"/>
  <c r="AF718" i="1"/>
  <c r="AD718" i="1"/>
  <c r="Z718" i="1"/>
  <c r="W718" i="1"/>
  <c r="U718" i="1"/>
  <c r="S718" i="1"/>
  <c r="N718" i="1"/>
  <c r="K718" i="1"/>
  <c r="H718" i="1"/>
  <c r="E718" i="1"/>
  <c r="AZ717" i="1"/>
  <c r="AZ714" i="1" s="1"/>
  <c r="AX717" i="1"/>
  <c r="AX714" i="1" s="1"/>
  <c r="AV717" i="1"/>
  <c r="AV714" i="1" s="1"/>
  <c r="AT717" i="1"/>
  <c r="AT714" i="1" s="1"/>
  <c r="AR717" i="1"/>
  <c r="AR714" i="1" s="1"/>
  <c r="AP717" i="1"/>
  <c r="AP714" i="1" s="1"/>
  <c r="AN717" i="1"/>
  <c r="AN714" i="1" s="1"/>
  <c r="AL717" i="1"/>
  <c r="AL714" i="1" s="1"/>
  <c r="AJ717" i="1"/>
  <c r="AJ714" i="1" s="1"/>
  <c r="AH717" i="1"/>
  <c r="AH714" i="1" s="1"/>
  <c r="AF717" i="1"/>
  <c r="AD717" i="1"/>
  <c r="Z717" i="1"/>
  <c r="W717" i="1"/>
  <c r="S717" i="1"/>
  <c r="P717" i="1"/>
  <c r="U717" i="1" s="1"/>
  <c r="N717" i="1"/>
  <c r="K717" i="1"/>
  <c r="H717" i="1"/>
  <c r="E717" i="1"/>
  <c r="AF716" i="1"/>
  <c r="AD716" i="1"/>
  <c r="Z716" i="1"/>
  <c r="W716" i="1"/>
  <c r="U716" i="1"/>
  <c r="S716" i="1"/>
  <c r="N716" i="1"/>
  <c r="K716" i="1"/>
  <c r="H716" i="1"/>
  <c r="E716" i="1"/>
  <c r="AF715" i="1"/>
  <c r="AD715" i="1"/>
  <c r="Z715" i="1"/>
  <c r="W715" i="1"/>
  <c r="U715" i="1"/>
  <c r="S715" i="1"/>
  <c r="N715" i="1"/>
  <c r="K715" i="1"/>
  <c r="H715" i="1"/>
  <c r="E715" i="1"/>
  <c r="AU714" i="1"/>
  <c r="AM714" i="1"/>
  <c r="AK714" i="1"/>
  <c r="AF714" i="1"/>
  <c r="AD714" i="1"/>
  <c r="Z714" i="1"/>
  <c r="W714" i="1"/>
  <c r="S714" i="1"/>
  <c r="N714" i="1"/>
  <c r="K714" i="1"/>
  <c r="H714" i="1"/>
  <c r="E714" i="1"/>
  <c r="AF713" i="1"/>
  <c r="AD713" i="1"/>
  <c r="Z713" i="1"/>
  <c r="W713" i="1"/>
  <c r="U713" i="1"/>
  <c r="S713" i="1"/>
  <c r="N713" i="1"/>
  <c r="K713" i="1"/>
  <c r="H713" i="1"/>
  <c r="E713" i="1"/>
  <c r="AF712" i="1"/>
  <c r="AD712" i="1"/>
  <c r="Z712" i="1"/>
  <c r="W712" i="1"/>
  <c r="U712" i="1"/>
  <c r="S712" i="1"/>
  <c r="N712" i="1"/>
  <c r="K712" i="1"/>
  <c r="H712" i="1"/>
  <c r="E712" i="1"/>
  <c r="AE711" i="1"/>
  <c r="Z711" i="1"/>
  <c r="W711" i="1"/>
  <c r="U711" i="1"/>
  <c r="S711" i="1"/>
  <c r="N711" i="1"/>
  <c r="K711" i="1"/>
  <c r="E711" i="1"/>
  <c r="AZ710" i="1"/>
  <c r="AX710" i="1"/>
  <c r="AV710" i="1"/>
  <c r="AU710" i="1"/>
  <c r="AT710" i="1"/>
  <c r="AS710" i="1"/>
  <c r="AR710" i="1"/>
  <c r="AP710" i="1"/>
  <c r="AN710" i="1"/>
  <c r="AM710" i="1"/>
  <c r="AL710" i="1"/>
  <c r="AK710" i="1"/>
  <c r="AH710" i="1"/>
  <c r="AE710" i="1"/>
  <c r="AD710" i="1" s="1"/>
  <c r="Z710" i="1"/>
  <c r="W710" i="1"/>
  <c r="S710" i="1"/>
  <c r="P710" i="1"/>
  <c r="N710" i="1"/>
  <c r="K710" i="1"/>
  <c r="H710" i="1"/>
  <c r="E710" i="1"/>
  <c r="AF709" i="1"/>
  <c r="AD709" i="1"/>
  <c r="Z709" i="1"/>
  <c r="AF708" i="1"/>
  <c r="AD708" i="1"/>
  <c r="AF705" i="1"/>
  <c r="AD705" i="1"/>
  <c r="Z705" i="1"/>
  <c r="W705" i="1"/>
  <c r="U705" i="1"/>
  <c r="S705" i="1"/>
  <c r="N705" i="1"/>
  <c r="K705" i="1"/>
  <c r="H705" i="1"/>
  <c r="E705" i="1"/>
  <c r="AE703" i="1"/>
  <c r="AC703" i="1"/>
  <c r="Y703" i="1"/>
  <c r="T703" i="1"/>
  <c r="R703" i="1"/>
  <c r="L703" i="1"/>
  <c r="J703" i="1"/>
  <c r="F703" i="1"/>
  <c r="B703" i="1"/>
  <c r="AF702" i="1"/>
  <c r="AF703" i="1" s="1"/>
  <c r="AD702" i="1"/>
  <c r="AD703" i="1" s="1"/>
  <c r="Z702" i="1"/>
  <c r="V702" i="1"/>
  <c r="V703" i="1" s="1"/>
  <c r="S702" i="1"/>
  <c r="S703" i="1" s="1"/>
  <c r="P702" i="1"/>
  <c r="AH702" i="1" s="1"/>
  <c r="N702" i="1"/>
  <c r="N703" i="1" s="1"/>
  <c r="K702" i="1"/>
  <c r="K703" i="1" s="1"/>
  <c r="H702" i="1"/>
  <c r="H703" i="1" s="1"/>
  <c r="D702" i="1"/>
  <c r="E702" i="1" s="1"/>
  <c r="E703" i="1" s="1"/>
  <c r="Z701" i="1"/>
  <c r="AE699" i="1"/>
  <c r="AC699" i="1"/>
  <c r="Y699" i="1"/>
  <c r="V699" i="1"/>
  <c r="T699" i="1"/>
  <c r="R699" i="1"/>
  <c r="L699" i="1"/>
  <c r="J699" i="1"/>
  <c r="F699" i="1"/>
  <c r="D699" i="1"/>
  <c r="AF698" i="1"/>
  <c r="AD698" i="1"/>
  <c r="Z698" i="1"/>
  <c r="W698" i="1"/>
  <c r="U698" i="1"/>
  <c r="S698" i="1"/>
  <c r="N698" i="1"/>
  <c r="K698" i="1"/>
  <c r="H698" i="1"/>
  <c r="E698" i="1"/>
  <c r="AF697" i="1"/>
  <c r="AD697" i="1"/>
  <c r="Z697" i="1"/>
  <c r="W697" i="1"/>
  <c r="U697" i="1"/>
  <c r="S697" i="1"/>
  <c r="N697" i="1"/>
  <c r="K697" i="1"/>
  <c r="H697" i="1"/>
  <c r="E697" i="1"/>
  <c r="AF696" i="1"/>
  <c r="AD696" i="1"/>
  <c r="Z696" i="1"/>
  <c r="W696" i="1"/>
  <c r="S696" i="1"/>
  <c r="N696" i="1"/>
  <c r="K696" i="1"/>
  <c r="E696" i="1"/>
  <c r="B696" i="1"/>
  <c r="B699" i="1" s="1"/>
  <c r="AE694" i="1"/>
  <c r="AC694" i="1"/>
  <c r="Y694" i="1"/>
  <c r="V694" i="1"/>
  <c r="T694" i="1"/>
  <c r="R694" i="1"/>
  <c r="L694" i="1"/>
  <c r="J694" i="1"/>
  <c r="F694" i="1"/>
  <c r="D694" i="1"/>
  <c r="AF693" i="1"/>
  <c r="AD693" i="1"/>
  <c r="Z693" i="1"/>
  <c r="W693" i="1"/>
  <c r="U693" i="1"/>
  <c r="S693" i="1"/>
  <c r="N693" i="1"/>
  <c r="K693" i="1"/>
  <c r="H693" i="1"/>
  <c r="E693" i="1"/>
  <c r="AF692" i="1"/>
  <c r="AD692" i="1"/>
  <c r="Z692" i="1"/>
  <c r="W692" i="1"/>
  <c r="U692" i="1"/>
  <c r="S692" i="1"/>
  <c r="N692" i="1"/>
  <c r="K692" i="1"/>
  <c r="AF691" i="1"/>
  <c r="AD691" i="1"/>
  <c r="Z691" i="1"/>
  <c r="W691" i="1"/>
  <c r="U691" i="1"/>
  <c r="S691" i="1"/>
  <c r="N691" i="1"/>
  <c r="K691" i="1"/>
  <c r="H691" i="1"/>
  <c r="E691" i="1"/>
  <c r="AF690" i="1"/>
  <c r="AD690" i="1"/>
  <c r="Z690" i="1"/>
  <c r="W690" i="1"/>
  <c r="S690" i="1"/>
  <c r="N690" i="1"/>
  <c r="K690" i="1"/>
  <c r="E690" i="1"/>
  <c r="B690" i="1"/>
  <c r="B694" i="1" s="1"/>
  <c r="AE688" i="1"/>
  <c r="AC688" i="1"/>
  <c r="Y688" i="1"/>
  <c r="V688" i="1"/>
  <c r="T688" i="1"/>
  <c r="R688" i="1"/>
  <c r="L688" i="1"/>
  <c r="J688" i="1"/>
  <c r="F688" i="1"/>
  <c r="D688" i="1"/>
  <c r="AF687" i="1"/>
  <c r="AD687" i="1"/>
  <c r="Z687" i="1"/>
  <c r="W687" i="1"/>
  <c r="U687" i="1"/>
  <c r="S687" i="1"/>
  <c r="N687" i="1"/>
  <c r="K687" i="1"/>
  <c r="H687" i="1"/>
  <c r="E687" i="1"/>
  <c r="AF686" i="1"/>
  <c r="AD686" i="1"/>
  <c r="Z686" i="1"/>
  <c r="W686" i="1"/>
  <c r="U686" i="1"/>
  <c r="S686" i="1"/>
  <c r="N686" i="1"/>
  <c r="K686" i="1"/>
  <c r="AF685" i="1"/>
  <c r="AD685" i="1"/>
  <c r="Z685" i="1"/>
  <c r="W685" i="1"/>
  <c r="S685" i="1"/>
  <c r="N685" i="1"/>
  <c r="K685" i="1"/>
  <c r="E685" i="1"/>
  <c r="E688" i="1" s="1"/>
  <c r="B685" i="1"/>
  <c r="B688" i="1" s="1"/>
  <c r="AF684" i="1"/>
  <c r="AD684" i="1"/>
  <c r="AH681" i="1"/>
  <c r="AJ681" i="1" s="1"/>
  <c r="AL681" i="1" s="1"/>
  <c r="AN681" i="1" s="1"/>
  <c r="AP681" i="1" s="1"/>
  <c r="AR681" i="1" s="1"/>
  <c r="AT681" i="1" s="1"/>
  <c r="AV681" i="1" s="1"/>
  <c r="AX681" i="1" s="1"/>
  <c r="AZ681" i="1" s="1"/>
  <c r="AF681" i="1"/>
  <c r="AD681" i="1"/>
  <c r="Z681" i="1"/>
  <c r="W681" i="1"/>
  <c r="U681" i="1"/>
  <c r="S681" i="1"/>
  <c r="N681" i="1"/>
  <c r="K681" i="1"/>
  <c r="H681" i="1"/>
  <c r="E681" i="1"/>
  <c r="N677" i="1"/>
  <c r="K677" i="1"/>
  <c r="AE675" i="1"/>
  <c r="AC675" i="1"/>
  <c r="Y675" i="1"/>
  <c r="T675" i="1"/>
  <c r="R675" i="1"/>
  <c r="L675" i="1"/>
  <c r="J675" i="1"/>
  <c r="F675" i="1"/>
  <c r="B675" i="1"/>
  <c r="AF674" i="1"/>
  <c r="AD674" i="1"/>
  <c r="Z674" i="1"/>
  <c r="W674" i="1"/>
  <c r="U674" i="1"/>
  <c r="S674" i="1"/>
  <c r="N674" i="1"/>
  <c r="K674" i="1"/>
  <c r="H674" i="1"/>
  <c r="E674" i="1"/>
  <c r="AF673" i="1"/>
  <c r="AD673" i="1"/>
  <c r="Z673" i="1"/>
  <c r="W673" i="1"/>
  <c r="U673" i="1"/>
  <c r="S673" i="1"/>
  <c r="AF672" i="1"/>
  <c r="AD672" i="1"/>
  <c r="Z672" i="1"/>
  <c r="W672" i="1"/>
  <c r="U672" i="1"/>
  <c r="S672" i="1"/>
  <c r="N672" i="1"/>
  <c r="K672" i="1"/>
  <c r="H672" i="1"/>
  <c r="E672" i="1"/>
  <c r="AF671" i="1"/>
  <c r="AD671" i="1"/>
  <c r="Z671" i="1"/>
  <c r="W671" i="1"/>
  <c r="U671" i="1"/>
  <c r="S671" i="1"/>
  <c r="N671" i="1"/>
  <c r="K671" i="1"/>
  <c r="H671" i="1"/>
  <c r="E671" i="1"/>
  <c r="AF670" i="1"/>
  <c r="AD670" i="1"/>
  <c r="Z670" i="1"/>
  <c r="W670" i="1"/>
  <c r="U670" i="1"/>
  <c r="S670" i="1"/>
  <c r="AF669" i="1"/>
  <c r="AD669" i="1"/>
  <c r="Z669" i="1"/>
  <c r="W669" i="1"/>
  <c r="U669" i="1"/>
  <c r="S669" i="1"/>
  <c r="AF668" i="1"/>
  <c r="AD668" i="1"/>
  <c r="Z668" i="1"/>
  <c r="W668" i="1"/>
  <c r="U668" i="1"/>
  <c r="S668" i="1"/>
  <c r="N668" i="1"/>
  <c r="K668" i="1"/>
  <c r="H668" i="1"/>
  <c r="E668" i="1"/>
  <c r="AF667" i="1"/>
  <c r="AD667" i="1"/>
  <c r="Z667" i="1"/>
  <c r="W667" i="1"/>
  <c r="U667" i="1"/>
  <c r="S667" i="1"/>
  <c r="N667" i="1"/>
  <c r="K667" i="1"/>
  <c r="H667" i="1"/>
  <c r="E667" i="1"/>
  <c r="AJ666" i="1"/>
  <c r="AH675" i="1"/>
  <c r="AF666" i="1"/>
  <c r="AD666" i="1"/>
  <c r="Z666" i="1"/>
  <c r="V666" i="1"/>
  <c r="V675" i="1" s="1"/>
  <c r="S666" i="1"/>
  <c r="P666" i="1"/>
  <c r="N666" i="1"/>
  <c r="K666" i="1"/>
  <c r="H666" i="1"/>
  <c r="D666" i="1"/>
  <c r="E666" i="1" s="1"/>
  <c r="AZ664" i="1"/>
  <c r="AX664" i="1"/>
  <c r="AE662" i="1"/>
  <c r="AC662" i="1"/>
  <c r="Y662" i="1"/>
  <c r="V662" i="1"/>
  <c r="T662" i="1"/>
  <c r="R662" i="1"/>
  <c r="L662" i="1"/>
  <c r="J662" i="1"/>
  <c r="F662" i="1"/>
  <c r="D662" i="1"/>
  <c r="B662" i="1"/>
  <c r="AF661" i="1"/>
  <c r="AD661" i="1"/>
  <c r="Z661" i="1"/>
  <c r="W661" i="1"/>
  <c r="U661" i="1"/>
  <c r="S661" i="1"/>
  <c r="N661" i="1"/>
  <c r="K661" i="1"/>
  <c r="H661" i="1"/>
  <c r="E661" i="1"/>
  <c r="AJ660" i="1"/>
  <c r="AJ662" i="1" s="1"/>
  <c r="AH662" i="1"/>
  <c r="AF660" i="1"/>
  <c r="AF662" i="1" s="1"/>
  <c r="AD660" i="1"/>
  <c r="AD662" i="1" s="1"/>
  <c r="Z660" i="1"/>
  <c r="Z662" i="1" s="1"/>
  <c r="W660" i="1"/>
  <c r="W662" i="1" s="1"/>
  <c r="S660" i="1"/>
  <c r="P660" i="1"/>
  <c r="P662" i="1" s="1"/>
  <c r="N660" i="1"/>
  <c r="N662" i="1" s="1"/>
  <c r="K660" i="1"/>
  <c r="H660" i="1"/>
  <c r="H662" i="1" s="1"/>
  <c r="E660" i="1"/>
  <c r="E662" i="1" s="1"/>
  <c r="AE657" i="1"/>
  <c r="AC657" i="1"/>
  <c r="Y657" i="1"/>
  <c r="V657" i="1"/>
  <c r="T657" i="1"/>
  <c r="R657" i="1"/>
  <c r="L657" i="1"/>
  <c r="J657" i="1"/>
  <c r="F657" i="1"/>
  <c r="D657" i="1"/>
  <c r="B657" i="1"/>
  <c r="AJ656" i="1"/>
  <c r="AL656" i="1" s="1"/>
  <c r="AN656" i="1" s="1"/>
  <c r="AP656" i="1" s="1"/>
  <c r="AR656" i="1" s="1"/>
  <c r="AT656" i="1" s="1"/>
  <c r="AV656" i="1" s="1"/>
  <c r="AX656" i="1" s="1"/>
  <c r="AZ656" i="1" s="1"/>
  <c r="AF656" i="1"/>
  <c r="AD656" i="1"/>
  <c r="Z656" i="1"/>
  <c r="W656" i="1"/>
  <c r="U656" i="1"/>
  <c r="S656" i="1"/>
  <c r="N656" i="1"/>
  <c r="K656" i="1"/>
  <c r="H656" i="1"/>
  <c r="E656" i="1"/>
  <c r="AH655" i="1"/>
  <c r="AJ655" i="1" s="1"/>
  <c r="AL655" i="1" s="1"/>
  <c r="AN655" i="1" s="1"/>
  <c r="AP655" i="1" s="1"/>
  <c r="AR655" i="1" s="1"/>
  <c r="AT655" i="1" s="1"/>
  <c r="AV655" i="1" s="1"/>
  <c r="AX655" i="1" s="1"/>
  <c r="AZ655" i="1" s="1"/>
  <c r="AF655" i="1"/>
  <c r="AD655" i="1"/>
  <c r="Z655" i="1"/>
  <c r="W655" i="1"/>
  <c r="S655" i="1"/>
  <c r="P655" i="1"/>
  <c r="P657" i="1" s="1"/>
  <c r="N655" i="1"/>
  <c r="K655" i="1"/>
  <c r="H655" i="1"/>
  <c r="E655" i="1"/>
  <c r="AH654" i="1"/>
  <c r="AF654" i="1"/>
  <c r="AD654" i="1"/>
  <c r="Z654" i="1"/>
  <c r="W654" i="1"/>
  <c r="U654" i="1"/>
  <c r="S654" i="1"/>
  <c r="AH647" i="1"/>
  <c r="AE647" i="1"/>
  <c r="AC647" i="1"/>
  <c r="Y647" i="1"/>
  <c r="V647" i="1"/>
  <c r="T647" i="1"/>
  <c r="R647" i="1"/>
  <c r="L647" i="1"/>
  <c r="J647" i="1"/>
  <c r="F647" i="1"/>
  <c r="D647" i="1"/>
  <c r="B647" i="1"/>
  <c r="AF646" i="1"/>
  <c r="AD646" i="1"/>
  <c r="Z646" i="1"/>
  <c r="W646" i="1"/>
  <c r="U646" i="1"/>
  <c r="S646" i="1"/>
  <c r="N646" i="1"/>
  <c r="K646" i="1"/>
  <c r="H646" i="1"/>
  <c r="E646" i="1"/>
  <c r="AF645" i="1"/>
  <c r="AD645" i="1"/>
  <c r="Z645" i="1"/>
  <c r="W645" i="1"/>
  <c r="U645" i="1"/>
  <c r="S645" i="1"/>
  <c r="N645" i="1"/>
  <c r="K645" i="1"/>
  <c r="H645" i="1"/>
  <c r="E645" i="1"/>
  <c r="AF644" i="1"/>
  <c r="AD644" i="1"/>
  <c r="Z644" i="1"/>
  <c r="W644" i="1"/>
  <c r="U644" i="1"/>
  <c r="S644" i="1"/>
  <c r="N644" i="1"/>
  <c r="K644" i="1"/>
  <c r="H644" i="1"/>
  <c r="E644" i="1"/>
  <c r="AJ643" i="1"/>
  <c r="AJ647" i="1" s="1"/>
  <c r="AF643" i="1"/>
  <c r="AD643" i="1"/>
  <c r="Z643" i="1"/>
  <c r="W643" i="1"/>
  <c r="S643" i="1"/>
  <c r="P643" i="1"/>
  <c r="U643" i="1" s="1"/>
  <c r="N643" i="1"/>
  <c r="K643" i="1"/>
  <c r="H643" i="1"/>
  <c r="E643" i="1"/>
  <c r="AZ641" i="1"/>
  <c r="AX641" i="1"/>
  <c r="AV641" i="1"/>
  <c r="AT641" i="1"/>
  <c r="AR641" i="1"/>
  <c r="AP641" i="1"/>
  <c r="AN641" i="1"/>
  <c r="AL641" i="1"/>
  <c r="AJ641" i="1"/>
  <c r="AH641" i="1"/>
  <c r="AE641" i="1"/>
  <c r="AC641" i="1"/>
  <c r="Y641" i="1"/>
  <c r="V641" i="1"/>
  <c r="T641" i="1"/>
  <c r="R641" i="1"/>
  <c r="L641" i="1"/>
  <c r="J641" i="1"/>
  <c r="F641" i="1"/>
  <c r="D641" i="1"/>
  <c r="B641" i="1"/>
  <c r="AF640" i="1"/>
  <c r="AF641" i="1" s="1"/>
  <c r="AD640" i="1"/>
  <c r="AD641" i="1" s="1"/>
  <c r="Z640" i="1"/>
  <c r="W640" i="1"/>
  <c r="W641" i="1" s="1"/>
  <c r="S640" i="1"/>
  <c r="S641" i="1" s="1"/>
  <c r="P640" i="1"/>
  <c r="N640" i="1"/>
  <c r="K640" i="1"/>
  <c r="H640" i="1"/>
  <c r="E640" i="1"/>
  <c r="Z639" i="1"/>
  <c r="N639" i="1"/>
  <c r="K639" i="1"/>
  <c r="H639" i="1"/>
  <c r="E639" i="1"/>
  <c r="Z638" i="1"/>
  <c r="Z637" i="1"/>
  <c r="Z636" i="1"/>
  <c r="AE634" i="1"/>
  <c r="AC634" i="1"/>
  <c r="Y634" i="1"/>
  <c r="V634" i="1"/>
  <c r="T634" i="1"/>
  <c r="R634" i="1"/>
  <c r="L634" i="1"/>
  <c r="J634" i="1"/>
  <c r="F634" i="1"/>
  <c r="D634" i="1"/>
  <c r="B634" i="1"/>
  <c r="AF633" i="1"/>
  <c r="AD633" i="1"/>
  <c r="Z633" i="1"/>
  <c r="W633" i="1"/>
  <c r="U633" i="1"/>
  <c r="S633" i="1"/>
  <c r="N633" i="1"/>
  <c r="K633" i="1"/>
  <c r="H633" i="1"/>
  <c r="E633" i="1"/>
  <c r="AF632" i="1"/>
  <c r="AD632" i="1"/>
  <c r="Z632" i="1"/>
  <c r="W632" i="1"/>
  <c r="U632" i="1"/>
  <c r="S632" i="1"/>
  <c r="N632" i="1"/>
  <c r="K632" i="1"/>
  <c r="H632" i="1"/>
  <c r="E632" i="1"/>
  <c r="AF631" i="1"/>
  <c r="AD631" i="1"/>
  <c r="Z631" i="1"/>
  <c r="W631" i="1"/>
  <c r="S631" i="1"/>
  <c r="P631" i="1"/>
  <c r="P634" i="1" s="1"/>
  <c r="N631" i="1"/>
  <c r="K631" i="1"/>
  <c r="H631" i="1"/>
  <c r="E631" i="1"/>
  <c r="AE629" i="1"/>
  <c r="Y629" i="1"/>
  <c r="T629" i="1"/>
  <c r="R629" i="1"/>
  <c r="L629" i="1"/>
  <c r="J629" i="1"/>
  <c r="F629" i="1"/>
  <c r="D629" i="1"/>
  <c r="AH628" i="1"/>
  <c r="AJ628" i="1" s="1"/>
  <c r="AL628" i="1" s="1"/>
  <c r="AN628" i="1" s="1"/>
  <c r="AP628" i="1" s="1"/>
  <c r="AR628" i="1" s="1"/>
  <c r="AT628" i="1" s="1"/>
  <c r="AV628" i="1" s="1"/>
  <c r="AX628" i="1" s="1"/>
  <c r="AZ628" i="1" s="1"/>
  <c r="AF628" i="1"/>
  <c r="AD628" i="1"/>
  <c r="Z628" i="1"/>
  <c r="V628" i="1"/>
  <c r="W628" i="1" s="1"/>
  <c r="S628" i="1"/>
  <c r="P628" i="1"/>
  <c r="U628" i="1" s="1"/>
  <c r="N628" i="1"/>
  <c r="K628" i="1"/>
  <c r="H628" i="1"/>
  <c r="E628" i="1"/>
  <c r="AJ627" i="1"/>
  <c r="AL627" i="1" s="1"/>
  <c r="AN627" i="1" s="1"/>
  <c r="AP627" i="1" s="1"/>
  <c r="AR627" i="1" s="1"/>
  <c r="AT627" i="1" s="1"/>
  <c r="AV627" i="1" s="1"/>
  <c r="AX627" i="1" s="1"/>
  <c r="AZ627" i="1" s="1"/>
  <c r="AF627" i="1"/>
  <c r="AD627" i="1"/>
  <c r="Z627" i="1"/>
  <c r="W627" i="1"/>
  <c r="S627" i="1"/>
  <c r="P627" i="1"/>
  <c r="U627" i="1" s="1"/>
  <c r="N627" i="1"/>
  <c r="K627" i="1"/>
  <c r="H627" i="1"/>
  <c r="E627" i="1"/>
  <c r="AH626" i="1"/>
  <c r="AJ626" i="1" s="1"/>
  <c r="AL626" i="1" s="1"/>
  <c r="AN626" i="1" s="1"/>
  <c r="AP626" i="1" s="1"/>
  <c r="AR626" i="1" s="1"/>
  <c r="AT626" i="1" s="1"/>
  <c r="AV626" i="1" s="1"/>
  <c r="AX626" i="1" s="1"/>
  <c r="AZ626" i="1" s="1"/>
  <c r="AF626" i="1"/>
  <c r="AD626" i="1"/>
  <c r="Z626" i="1"/>
  <c r="W626" i="1"/>
  <c r="S626" i="1"/>
  <c r="P626" i="1"/>
  <c r="U626" i="1" s="1"/>
  <c r="N626" i="1"/>
  <c r="K626" i="1"/>
  <c r="H626" i="1"/>
  <c r="E626" i="1"/>
  <c r="AF625" i="1"/>
  <c r="AD625" i="1"/>
  <c r="Z625" i="1"/>
  <c r="W625" i="1"/>
  <c r="S625" i="1"/>
  <c r="P625" i="1"/>
  <c r="U625" i="1" s="1"/>
  <c r="N625" i="1"/>
  <c r="K625" i="1"/>
  <c r="H625" i="1"/>
  <c r="E625" i="1"/>
  <c r="AH624" i="1"/>
  <c r="AJ624" i="1" s="1"/>
  <c r="AL624" i="1" s="1"/>
  <c r="AN624" i="1" s="1"/>
  <c r="AP624" i="1" s="1"/>
  <c r="AR624" i="1" s="1"/>
  <c r="AT624" i="1" s="1"/>
  <c r="AV624" i="1" s="1"/>
  <c r="AX624" i="1" s="1"/>
  <c r="AZ624" i="1" s="1"/>
  <c r="AF624" i="1"/>
  <c r="AD624" i="1"/>
  <c r="Z624" i="1"/>
  <c r="W624" i="1"/>
  <c r="U624" i="1"/>
  <c r="S624" i="1"/>
  <c r="N624" i="1"/>
  <c r="K624" i="1"/>
  <c r="H624" i="1"/>
  <c r="E624" i="1"/>
  <c r="AH623" i="1"/>
  <c r="AJ623" i="1" s="1"/>
  <c r="AL623" i="1" s="1"/>
  <c r="AN623" i="1" s="1"/>
  <c r="AP623" i="1" s="1"/>
  <c r="AR623" i="1" s="1"/>
  <c r="AT623" i="1" s="1"/>
  <c r="AV623" i="1" s="1"/>
  <c r="AX623" i="1" s="1"/>
  <c r="AZ623" i="1" s="1"/>
  <c r="AF623" i="1"/>
  <c r="AD623" i="1"/>
  <c r="Z623" i="1"/>
  <c r="W623" i="1"/>
  <c r="S623" i="1"/>
  <c r="P623" i="1"/>
  <c r="U623" i="1" s="1"/>
  <c r="N623" i="1"/>
  <c r="K623" i="1"/>
  <c r="H623" i="1"/>
  <c r="E623" i="1"/>
  <c r="AH622" i="1"/>
  <c r="AJ622" i="1" s="1"/>
  <c r="AL622" i="1" s="1"/>
  <c r="AN622" i="1" s="1"/>
  <c r="AP622" i="1" s="1"/>
  <c r="AR622" i="1" s="1"/>
  <c r="AT622" i="1" s="1"/>
  <c r="AV622" i="1" s="1"/>
  <c r="AX622" i="1" s="1"/>
  <c r="AZ622" i="1" s="1"/>
  <c r="AF622" i="1"/>
  <c r="AD622" i="1"/>
  <c r="Z622" i="1"/>
  <c r="W622" i="1"/>
  <c r="S622" i="1"/>
  <c r="P622" i="1"/>
  <c r="U622" i="1" s="1"/>
  <c r="N622" i="1"/>
  <c r="K622" i="1"/>
  <c r="H622" i="1"/>
  <c r="E622" i="1"/>
  <c r="AH621" i="1"/>
  <c r="AJ621" i="1" s="1"/>
  <c r="AL621" i="1" s="1"/>
  <c r="AN621" i="1" s="1"/>
  <c r="AP621" i="1" s="1"/>
  <c r="AR621" i="1" s="1"/>
  <c r="AT621" i="1" s="1"/>
  <c r="AV621" i="1" s="1"/>
  <c r="AX621" i="1" s="1"/>
  <c r="AZ621" i="1" s="1"/>
  <c r="AF621" i="1"/>
  <c r="AD621" i="1"/>
  <c r="Z621" i="1"/>
  <c r="V621" i="1"/>
  <c r="S621" i="1"/>
  <c r="P621" i="1"/>
  <c r="U621" i="1" s="1"/>
  <c r="N621" i="1"/>
  <c r="K621" i="1"/>
  <c r="H621" i="1"/>
  <c r="E621" i="1"/>
  <c r="AH620" i="1"/>
  <c r="AJ620" i="1" s="1"/>
  <c r="AL620" i="1" s="1"/>
  <c r="AN620" i="1" s="1"/>
  <c r="AP620" i="1" s="1"/>
  <c r="AR620" i="1" s="1"/>
  <c r="AT620" i="1" s="1"/>
  <c r="AV620" i="1" s="1"/>
  <c r="AX620" i="1" s="1"/>
  <c r="AZ620" i="1" s="1"/>
  <c r="AF620" i="1"/>
  <c r="AD620" i="1"/>
  <c r="Z620" i="1"/>
  <c r="W620" i="1"/>
  <c r="S620" i="1"/>
  <c r="P620" i="1"/>
  <c r="U620" i="1" s="1"/>
  <c r="N620" i="1"/>
  <c r="K620" i="1"/>
  <c r="H620" i="1"/>
  <c r="E620" i="1"/>
  <c r="AF619" i="1"/>
  <c r="AD619" i="1"/>
  <c r="Z619" i="1"/>
  <c r="W619" i="1"/>
  <c r="S619" i="1"/>
  <c r="P619" i="1"/>
  <c r="AH619" i="1" s="1"/>
  <c r="AJ619" i="1" s="1"/>
  <c r="AL619" i="1" s="1"/>
  <c r="AN619" i="1" s="1"/>
  <c r="AP619" i="1" s="1"/>
  <c r="AR619" i="1" s="1"/>
  <c r="AT619" i="1" s="1"/>
  <c r="AV619" i="1" s="1"/>
  <c r="AX619" i="1" s="1"/>
  <c r="AZ619" i="1" s="1"/>
  <c r="N619" i="1"/>
  <c r="K619" i="1"/>
  <c r="H619" i="1"/>
  <c r="E619" i="1"/>
  <c r="AF618" i="1"/>
  <c r="AD618" i="1"/>
  <c r="Z618" i="1"/>
  <c r="W618" i="1"/>
  <c r="S618" i="1"/>
  <c r="P618" i="1"/>
  <c r="AH618" i="1" s="1"/>
  <c r="AJ618" i="1" s="1"/>
  <c r="AL618" i="1" s="1"/>
  <c r="AN618" i="1" s="1"/>
  <c r="AP618" i="1" s="1"/>
  <c r="AR618" i="1" s="1"/>
  <c r="AT618" i="1" s="1"/>
  <c r="AV618" i="1" s="1"/>
  <c r="AX618" i="1" s="1"/>
  <c r="AZ618" i="1" s="1"/>
  <c r="N618" i="1"/>
  <c r="K618" i="1"/>
  <c r="H618" i="1"/>
  <c r="E618" i="1"/>
  <c r="AH617" i="1"/>
  <c r="AJ617" i="1" s="1"/>
  <c r="AL617" i="1" s="1"/>
  <c r="AN617" i="1" s="1"/>
  <c r="AP617" i="1" s="1"/>
  <c r="AR617" i="1" s="1"/>
  <c r="AT617" i="1" s="1"/>
  <c r="AV617" i="1" s="1"/>
  <c r="AX617" i="1" s="1"/>
  <c r="AZ617" i="1" s="1"/>
  <c r="AF617" i="1"/>
  <c r="AD617" i="1"/>
  <c r="Z617" i="1"/>
  <c r="W617" i="1"/>
  <c r="S617" i="1"/>
  <c r="P617" i="1"/>
  <c r="U617" i="1" s="1"/>
  <c r="N617" i="1"/>
  <c r="K617" i="1"/>
  <c r="H617" i="1"/>
  <c r="E617" i="1"/>
  <c r="AH616" i="1"/>
  <c r="AJ616" i="1" s="1"/>
  <c r="AL616" i="1" s="1"/>
  <c r="AN616" i="1" s="1"/>
  <c r="AP616" i="1" s="1"/>
  <c r="AR616" i="1" s="1"/>
  <c r="AT616" i="1" s="1"/>
  <c r="AV616" i="1" s="1"/>
  <c r="AX616" i="1" s="1"/>
  <c r="AZ616" i="1" s="1"/>
  <c r="AF616" i="1"/>
  <c r="AD616" i="1"/>
  <c r="Z616" i="1"/>
  <c r="W616" i="1"/>
  <c r="S616" i="1"/>
  <c r="P616" i="1"/>
  <c r="U616" i="1" s="1"/>
  <c r="N616" i="1"/>
  <c r="K616" i="1"/>
  <c r="E616" i="1"/>
  <c r="B616" i="1"/>
  <c r="AF615" i="1"/>
  <c r="AD615" i="1"/>
  <c r="Z615" i="1"/>
  <c r="W615" i="1"/>
  <c r="S615" i="1"/>
  <c r="P615" i="1"/>
  <c r="U615" i="1" s="1"/>
  <c r="N615" i="1"/>
  <c r="K615" i="1"/>
  <c r="H615" i="1"/>
  <c r="E615" i="1"/>
  <c r="AJ614" i="1"/>
  <c r="AL614" i="1" s="1"/>
  <c r="AF614" i="1"/>
  <c r="AC614" i="1"/>
  <c r="AC629" i="1" s="1"/>
  <c r="Z614" i="1"/>
  <c r="W614" i="1"/>
  <c r="U614" i="1"/>
  <c r="S614" i="1"/>
  <c r="N614" i="1"/>
  <c r="K614" i="1"/>
  <c r="H614" i="1"/>
  <c r="E614" i="1"/>
  <c r="AH610" i="1"/>
  <c r="AF610" i="1"/>
  <c r="AD610" i="1"/>
  <c r="Z610" i="1"/>
  <c r="S610" i="1"/>
  <c r="P610" i="1"/>
  <c r="U610" i="1" s="1"/>
  <c r="N610" i="1"/>
  <c r="K610" i="1"/>
  <c r="H610" i="1"/>
  <c r="E610" i="1"/>
  <c r="AY609" i="1"/>
  <c r="AS609" i="1"/>
  <c r="AU609" i="1" s="1"/>
  <c r="AM609" i="1"/>
  <c r="AO609" i="1" s="1"/>
  <c r="AJ609" i="1"/>
  <c r="AL609" i="1" s="1"/>
  <c r="AN609" i="1" s="1"/>
  <c r="AP609" i="1" s="1"/>
  <c r="AR609" i="1" s="1"/>
  <c r="AT609" i="1" s="1"/>
  <c r="AV609" i="1" s="1"/>
  <c r="AX609" i="1" s="1"/>
  <c r="AZ609" i="1" s="1"/>
  <c r="AJ607" i="1"/>
  <c r="AN607" i="1" s="1"/>
  <c r="AR607" i="1" s="1"/>
  <c r="AV607" i="1" s="1"/>
  <c r="AZ607" i="1" s="1"/>
  <c r="AH607" i="1"/>
  <c r="AL607" i="1" s="1"/>
  <c r="AP607" i="1" s="1"/>
  <c r="AT607" i="1" s="1"/>
  <c r="AX607" i="1" s="1"/>
  <c r="AF607" i="1"/>
  <c r="AD607" i="1"/>
  <c r="Z607" i="1"/>
  <c r="W607" i="1"/>
  <c r="S607" i="1"/>
  <c r="P607" i="1"/>
  <c r="U607" i="1" s="1"/>
  <c r="N607" i="1"/>
  <c r="K607" i="1"/>
  <c r="H607" i="1"/>
  <c r="E607" i="1"/>
  <c r="AF605" i="1"/>
  <c r="AD605" i="1"/>
  <c r="Z605" i="1"/>
  <c r="W605" i="1"/>
  <c r="S605" i="1"/>
  <c r="P605" i="1"/>
  <c r="AH605" i="1" s="1"/>
  <c r="N605" i="1"/>
  <c r="K605" i="1"/>
  <c r="H605" i="1"/>
  <c r="E605" i="1"/>
  <c r="AF603" i="1"/>
  <c r="AD603" i="1"/>
  <c r="Z603" i="1"/>
  <c r="W603" i="1"/>
  <c r="U603" i="1"/>
  <c r="S603" i="1"/>
  <c r="N603" i="1"/>
  <c r="K603" i="1"/>
  <c r="H603" i="1"/>
  <c r="E603" i="1"/>
  <c r="AZ601" i="1"/>
  <c r="AX601" i="1"/>
  <c r="AV601" i="1"/>
  <c r="AT601" i="1"/>
  <c r="AR601" i="1"/>
  <c r="AP601" i="1"/>
  <c r="AN601" i="1"/>
  <c r="AL601" i="1"/>
  <c r="AJ601" i="1"/>
  <c r="AH601" i="1"/>
  <c r="AE601" i="1"/>
  <c r="AC601" i="1"/>
  <c r="Y601" i="1"/>
  <c r="V601" i="1"/>
  <c r="T601" i="1"/>
  <c r="R601" i="1"/>
  <c r="P601" i="1"/>
  <c r="L601" i="1"/>
  <c r="J601" i="1"/>
  <c r="F601" i="1"/>
  <c r="D601" i="1"/>
  <c r="B601" i="1"/>
  <c r="AF600" i="1"/>
  <c r="AF601" i="1" s="1"/>
  <c r="AD600" i="1"/>
  <c r="AD601" i="1" s="1"/>
  <c r="Z600" i="1"/>
  <c r="Z601" i="1" s="1"/>
  <c r="W600" i="1"/>
  <c r="W601" i="1" s="1"/>
  <c r="U600" i="1"/>
  <c r="U601" i="1" s="1"/>
  <c r="S600" i="1"/>
  <c r="S601" i="1" s="1"/>
  <c r="N600" i="1"/>
  <c r="N601" i="1" s="1"/>
  <c r="K600" i="1"/>
  <c r="K601" i="1" s="1"/>
  <c r="H600" i="1"/>
  <c r="H601" i="1" s="1"/>
  <c r="E600" i="1"/>
  <c r="E601" i="1" s="1"/>
  <c r="AF599" i="1"/>
  <c r="AD599" i="1"/>
  <c r="N599" i="1"/>
  <c r="K599" i="1"/>
  <c r="AH597" i="1"/>
  <c r="AJ597" i="1" s="1"/>
  <c r="AL597" i="1" s="1"/>
  <c r="AN597" i="1" s="1"/>
  <c r="AP597" i="1" s="1"/>
  <c r="AR597" i="1" s="1"/>
  <c r="AT597" i="1" s="1"/>
  <c r="AV597" i="1" s="1"/>
  <c r="AX597" i="1" s="1"/>
  <c r="AZ597" i="1" s="1"/>
  <c r="AF597" i="1"/>
  <c r="AD597" i="1"/>
  <c r="Z597" i="1"/>
  <c r="W597" i="1"/>
  <c r="S597" i="1"/>
  <c r="P597" i="1"/>
  <c r="U597" i="1" s="1"/>
  <c r="N597" i="1"/>
  <c r="K597" i="1"/>
  <c r="H597" i="1"/>
  <c r="E597" i="1"/>
  <c r="AE595" i="1"/>
  <c r="AC595" i="1"/>
  <c r="Y595" i="1"/>
  <c r="V595" i="1"/>
  <c r="T595" i="1"/>
  <c r="R595" i="1"/>
  <c r="L595" i="1"/>
  <c r="J595" i="1"/>
  <c r="F595" i="1"/>
  <c r="B595" i="1"/>
  <c r="AY593" i="1"/>
  <c r="AS593" i="1"/>
  <c r="AU593" i="1" s="1"/>
  <c r="AM593" i="1"/>
  <c r="AO593" i="1" s="1"/>
  <c r="AL593" i="1"/>
  <c r="AN593" i="1" s="1"/>
  <c r="AP593" i="1" s="1"/>
  <c r="AR593" i="1" s="1"/>
  <c r="AT593" i="1" s="1"/>
  <c r="AV593" i="1" s="1"/>
  <c r="AX593" i="1" s="1"/>
  <c r="AZ593" i="1" s="1"/>
  <c r="AF593" i="1"/>
  <c r="AD593" i="1"/>
  <c r="Z593" i="1"/>
  <c r="W593" i="1"/>
  <c r="U593" i="1"/>
  <c r="S593" i="1"/>
  <c r="N593" i="1"/>
  <c r="K593" i="1"/>
  <c r="H593" i="1"/>
  <c r="E593" i="1"/>
  <c r="AF592" i="1"/>
  <c r="AD592" i="1"/>
  <c r="Z592" i="1"/>
  <c r="W592" i="1"/>
  <c r="U592" i="1"/>
  <c r="S592" i="1"/>
  <c r="AF591" i="1"/>
  <c r="AD591" i="1"/>
  <c r="Z591" i="1"/>
  <c r="W591" i="1"/>
  <c r="U591" i="1"/>
  <c r="S591" i="1"/>
  <c r="N591" i="1"/>
  <c r="K591" i="1"/>
  <c r="H591" i="1"/>
  <c r="E591" i="1"/>
  <c r="AY590" i="1"/>
  <c r="AS590" i="1"/>
  <c r="AU590" i="1" s="1"/>
  <c r="AM590" i="1"/>
  <c r="AO590" i="1" s="1"/>
  <c r="AH590" i="1"/>
  <c r="AJ590" i="1" s="1"/>
  <c r="AL590" i="1" s="1"/>
  <c r="AN590" i="1" s="1"/>
  <c r="AP590" i="1" s="1"/>
  <c r="AR590" i="1" s="1"/>
  <c r="AT590" i="1" s="1"/>
  <c r="AV590" i="1" s="1"/>
  <c r="AX590" i="1" s="1"/>
  <c r="AZ590" i="1" s="1"/>
  <c r="AF590" i="1"/>
  <c r="AD590" i="1"/>
  <c r="Z590" i="1"/>
  <c r="W590" i="1"/>
  <c r="U590" i="1"/>
  <c r="S590" i="1"/>
  <c r="N590" i="1"/>
  <c r="K590" i="1"/>
  <c r="H590" i="1"/>
  <c r="D590" i="1"/>
  <c r="D595" i="1" s="1"/>
  <c r="AY589" i="1"/>
  <c r="AS589" i="1"/>
  <c r="AU589" i="1" s="1"/>
  <c r="AM589" i="1"/>
  <c r="AO589" i="1" s="1"/>
  <c r="AH589" i="1"/>
  <c r="AJ589" i="1" s="1"/>
  <c r="AL589" i="1" s="1"/>
  <c r="AN589" i="1" s="1"/>
  <c r="AP589" i="1" s="1"/>
  <c r="AR589" i="1" s="1"/>
  <c r="AT589" i="1" s="1"/>
  <c r="AV589" i="1" s="1"/>
  <c r="AX589" i="1" s="1"/>
  <c r="AZ589" i="1" s="1"/>
  <c r="AF589" i="1"/>
  <c r="AD589" i="1"/>
  <c r="Z589" i="1"/>
  <c r="W589" i="1"/>
  <c r="S589" i="1"/>
  <c r="P589" i="1"/>
  <c r="U589" i="1" s="1"/>
  <c r="N589" i="1"/>
  <c r="K589" i="1"/>
  <c r="H589" i="1"/>
  <c r="E589" i="1"/>
  <c r="AY588" i="1"/>
  <c r="AS588" i="1"/>
  <c r="AU588" i="1" s="1"/>
  <c r="AM588" i="1"/>
  <c r="AO588" i="1" s="1"/>
  <c r="AH588" i="1"/>
  <c r="AJ588" i="1" s="1"/>
  <c r="AL588" i="1" s="1"/>
  <c r="AN588" i="1" s="1"/>
  <c r="AP588" i="1" s="1"/>
  <c r="AR588" i="1" s="1"/>
  <c r="AT588" i="1" s="1"/>
  <c r="AV588" i="1" s="1"/>
  <c r="AX588" i="1" s="1"/>
  <c r="AZ588" i="1" s="1"/>
  <c r="AF588" i="1"/>
  <c r="AD588" i="1"/>
  <c r="Z588" i="1"/>
  <c r="W588" i="1"/>
  <c r="U588" i="1"/>
  <c r="S588" i="1"/>
  <c r="N588" i="1"/>
  <c r="K588" i="1"/>
  <c r="H588" i="1"/>
  <c r="E588" i="1"/>
  <c r="AY587" i="1"/>
  <c r="AS587" i="1"/>
  <c r="AU587" i="1" s="1"/>
  <c r="AM587" i="1"/>
  <c r="AO587" i="1" s="1"/>
  <c r="AH587" i="1"/>
  <c r="AJ587" i="1" s="1"/>
  <c r="AL587" i="1" s="1"/>
  <c r="AN587" i="1" s="1"/>
  <c r="AP587" i="1" s="1"/>
  <c r="AR587" i="1" s="1"/>
  <c r="AT587" i="1" s="1"/>
  <c r="AV587" i="1" s="1"/>
  <c r="AX587" i="1" s="1"/>
  <c r="AZ587" i="1" s="1"/>
  <c r="AF587" i="1"/>
  <c r="AD587" i="1"/>
  <c r="Z587" i="1"/>
  <c r="W587" i="1"/>
  <c r="S587" i="1"/>
  <c r="P587" i="1"/>
  <c r="U587" i="1" s="1"/>
  <c r="N587" i="1"/>
  <c r="K587" i="1"/>
  <c r="H587" i="1"/>
  <c r="E587" i="1"/>
  <c r="AY586" i="1"/>
  <c r="AS586" i="1"/>
  <c r="AU586" i="1" s="1"/>
  <c r="AM586" i="1"/>
  <c r="AO586" i="1" s="1"/>
  <c r="AH586" i="1"/>
  <c r="AJ586" i="1" s="1"/>
  <c r="AL586" i="1" s="1"/>
  <c r="AN586" i="1" s="1"/>
  <c r="AP586" i="1" s="1"/>
  <c r="AR586" i="1" s="1"/>
  <c r="AT586" i="1" s="1"/>
  <c r="AV586" i="1" s="1"/>
  <c r="AX586" i="1" s="1"/>
  <c r="AZ586" i="1" s="1"/>
  <c r="AF586" i="1"/>
  <c r="AD586" i="1"/>
  <c r="Z586" i="1"/>
  <c r="W586" i="1"/>
  <c r="S586" i="1"/>
  <c r="P586" i="1"/>
  <c r="U586" i="1" s="1"/>
  <c r="N586" i="1"/>
  <c r="K586" i="1"/>
  <c r="H586" i="1"/>
  <c r="E586" i="1"/>
  <c r="AY585" i="1"/>
  <c r="AS585" i="1"/>
  <c r="AU585" i="1" s="1"/>
  <c r="AM585" i="1"/>
  <c r="AO585" i="1" s="1"/>
  <c r="AH585" i="1"/>
  <c r="AJ585" i="1" s="1"/>
  <c r="AL585" i="1" s="1"/>
  <c r="AN585" i="1" s="1"/>
  <c r="AP585" i="1" s="1"/>
  <c r="AR585" i="1" s="1"/>
  <c r="AT585" i="1" s="1"/>
  <c r="AV585" i="1" s="1"/>
  <c r="AX585" i="1" s="1"/>
  <c r="AZ585" i="1" s="1"/>
  <c r="AF585" i="1"/>
  <c r="AD585" i="1"/>
  <c r="Z585" i="1"/>
  <c r="W585" i="1"/>
  <c r="S585" i="1"/>
  <c r="P585" i="1"/>
  <c r="U585" i="1" s="1"/>
  <c r="N585" i="1"/>
  <c r="K585" i="1"/>
  <c r="H585" i="1"/>
  <c r="E585" i="1"/>
  <c r="AY584" i="1"/>
  <c r="AS584" i="1"/>
  <c r="AU584" i="1" s="1"/>
  <c r="AM584" i="1"/>
  <c r="AO584" i="1" s="1"/>
  <c r="AH584" i="1"/>
  <c r="AJ584" i="1" s="1"/>
  <c r="AL584" i="1" s="1"/>
  <c r="AN584" i="1" s="1"/>
  <c r="AP584" i="1" s="1"/>
  <c r="AR584" i="1" s="1"/>
  <c r="AT584" i="1" s="1"/>
  <c r="AV584" i="1" s="1"/>
  <c r="AX584" i="1" s="1"/>
  <c r="AZ584" i="1" s="1"/>
  <c r="AF584" i="1"/>
  <c r="AD584" i="1"/>
  <c r="Z584" i="1"/>
  <c r="W584" i="1"/>
  <c r="S584" i="1"/>
  <c r="P584" i="1"/>
  <c r="U584" i="1" s="1"/>
  <c r="N584" i="1"/>
  <c r="K584" i="1"/>
  <c r="H584" i="1"/>
  <c r="E584" i="1"/>
  <c r="AY583" i="1"/>
  <c r="AS583" i="1"/>
  <c r="AU583" i="1" s="1"/>
  <c r="AM583" i="1"/>
  <c r="AO583" i="1" s="1"/>
  <c r="AH583" i="1"/>
  <c r="AJ583" i="1" s="1"/>
  <c r="AL583" i="1" s="1"/>
  <c r="AN583" i="1" s="1"/>
  <c r="AP583" i="1" s="1"/>
  <c r="AR583" i="1" s="1"/>
  <c r="AT583" i="1" s="1"/>
  <c r="AV583" i="1" s="1"/>
  <c r="AX583" i="1" s="1"/>
  <c r="AZ583" i="1" s="1"/>
  <c r="AF583" i="1"/>
  <c r="AD583" i="1"/>
  <c r="Z583" i="1"/>
  <c r="W583" i="1"/>
  <c r="S583" i="1"/>
  <c r="P583" i="1"/>
  <c r="U583" i="1" s="1"/>
  <c r="N583" i="1"/>
  <c r="K583" i="1"/>
  <c r="H583" i="1"/>
  <c r="E583" i="1"/>
  <c r="AY582" i="1"/>
  <c r="AS582" i="1"/>
  <c r="AU582" i="1" s="1"/>
  <c r="AM582" i="1"/>
  <c r="AO582" i="1" s="1"/>
  <c r="AH582" i="1"/>
  <c r="AJ582" i="1" s="1"/>
  <c r="AL582" i="1" s="1"/>
  <c r="AN582" i="1" s="1"/>
  <c r="AP582" i="1" s="1"/>
  <c r="AR582" i="1" s="1"/>
  <c r="AT582" i="1" s="1"/>
  <c r="AV582" i="1" s="1"/>
  <c r="AX582" i="1" s="1"/>
  <c r="AZ582" i="1" s="1"/>
  <c r="AF582" i="1"/>
  <c r="AD582" i="1"/>
  <c r="Z582" i="1"/>
  <c r="W582" i="1"/>
  <c r="S582" i="1"/>
  <c r="P582" i="1"/>
  <c r="U582" i="1" s="1"/>
  <c r="N582" i="1"/>
  <c r="K582" i="1"/>
  <c r="H582" i="1"/>
  <c r="E582" i="1"/>
  <c r="AY581" i="1"/>
  <c r="AS581" i="1"/>
  <c r="AU581" i="1" s="1"/>
  <c r="AM581" i="1"/>
  <c r="AO581" i="1" s="1"/>
  <c r="AH581" i="1"/>
  <c r="AJ581" i="1" s="1"/>
  <c r="AL581" i="1" s="1"/>
  <c r="AN581" i="1" s="1"/>
  <c r="AP581" i="1" s="1"/>
  <c r="AR581" i="1" s="1"/>
  <c r="AT581" i="1" s="1"/>
  <c r="AV581" i="1" s="1"/>
  <c r="AX581" i="1" s="1"/>
  <c r="AZ581" i="1" s="1"/>
  <c r="AF581" i="1"/>
  <c r="AD581" i="1"/>
  <c r="Z581" i="1"/>
  <c r="W581" i="1"/>
  <c r="S581" i="1"/>
  <c r="P581" i="1"/>
  <c r="U581" i="1" s="1"/>
  <c r="N581" i="1"/>
  <c r="K581" i="1"/>
  <c r="H581" i="1"/>
  <c r="E581" i="1"/>
  <c r="AY580" i="1"/>
  <c r="AS580" i="1"/>
  <c r="AU580" i="1" s="1"/>
  <c r="AM580" i="1"/>
  <c r="AO580" i="1" s="1"/>
  <c r="AH580" i="1"/>
  <c r="AJ580" i="1" s="1"/>
  <c r="AL580" i="1" s="1"/>
  <c r="AN580" i="1" s="1"/>
  <c r="AP580" i="1" s="1"/>
  <c r="AR580" i="1" s="1"/>
  <c r="AT580" i="1" s="1"/>
  <c r="AV580" i="1" s="1"/>
  <c r="AX580" i="1" s="1"/>
  <c r="AZ580" i="1" s="1"/>
  <c r="AF580" i="1"/>
  <c r="AD580" i="1"/>
  <c r="Z580" i="1"/>
  <c r="W580" i="1"/>
  <c r="S580" i="1"/>
  <c r="P580" i="1"/>
  <c r="U580" i="1" s="1"/>
  <c r="N580" i="1"/>
  <c r="K580" i="1"/>
  <c r="H580" i="1"/>
  <c r="E580" i="1"/>
  <c r="AY579" i="1"/>
  <c r="AS579" i="1"/>
  <c r="AU579" i="1" s="1"/>
  <c r="AM579" i="1"/>
  <c r="AO579" i="1" s="1"/>
  <c r="AH579" i="1"/>
  <c r="AJ579" i="1" s="1"/>
  <c r="AL579" i="1" s="1"/>
  <c r="AN579" i="1" s="1"/>
  <c r="AP579" i="1" s="1"/>
  <c r="AR579" i="1" s="1"/>
  <c r="AT579" i="1" s="1"/>
  <c r="AV579" i="1" s="1"/>
  <c r="AX579" i="1" s="1"/>
  <c r="AZ579" i="1" s="1"/>
  <c r="AF579" i="1"/>
  <c r="AD579" i="1"/>
  <c r="Z579" i="1"/>
  <c r="W579" i="1"/>
  <c r="S579" i="1"/>
  <c r="P579" i="1"/>
  <c r="U579" i="1" s="1"/>
  <c r="N579" i="1"/>
  <c r="K579" i="1"/>
  <c r="H579" i="1"/>
  <c r="E579" i="1"/>
  <c r="AY578" i="1"/>
  <c r="AS578" i="1"/>
  <c r="AU578" i="1" s="1"/>
  <c r="AM578" i="1"/>
  <c r="AO578" i="1" s="1"/>
  <c r="AH578" i="1"/>
  <c r="AJ578" i="1" s="1"/>
  <c r="AL578" i="1" s="1"/>
  <c r="AN578" i="1" s="1"/>
  <c r="AP578" i="1" s="1"/>
  <c r="AR578" i="1" s="1"/>
  <c r="AT578" i="1" s="1"/>
  <c r="AV578" i="1" s="1"/>
  <c r="AX578" i="1" s="1"/>
  <c r="AZ578" i="1" s="1"/>
  <c r="AF578" i="1"/>
  <c r="AD578" i="1"/>
  <c r="Z578" i="1"/>
  <c r="W578" i="1"/>
  <c r="S578" i="1"/>
  <c r="P578" i="1"/>
  <c r="U578" i="1" s="1"/>
  <c r="N578" i="1"/>
  <c r="K578" i="1"/>
  <c r="H578" i="1"/>
  <c r="E578" i="1"/>
  <c r="AY577" i="1"/>
  <c r="AS577" i="1"/>
  <c r="AU577" i="1" s="1"/>
  <c r="AM577" i="1"/>
  <c r="AO577" i="1" s="1"/>
  <c r="AH577" i="1"/>
  <c r="AJ577" i="1" s="1"/>
  <c r="AL577" i="1" s="1"/>
  <c r="AN577" i="1" s="1"/>
  <c r="AP577" i="1" s="1"/>
  <c r="AR577" i="1" s="1"/>
  <c r="AT577" i="1" s="1"/>
  <c r="AV577" i="1" s="1"/>
  <c r="AX577" i="1" s="1"/>
  <c r="AZ577" i="1" s="1"/>
  <c r="AF577" i="1"/>
  <c r="AD577" i="1"/>
  <c r="Z577" i="1"/>
  <c r="W577" i="1"/>
  <c r="S577" i="1"/>
  <c r="P577" i="1"/>
  <c r="U577" i="1" s="1"/>
  <c r="N577" i="1"/>
  <c r="K577" i="1"/>
  <c r="H577" i="1"/>
  <c r="E577" i="1"/>
  <c r="AH576" i="1"/>
  <c r="AJ576" i="1" s="1"/>
  <c r="AL576" i="1" s="1"/>
  <c r="AN576" i="1" s="1"/>
  <c r="AP576" i="1" s="1"/>
  <c r="AR576" i="1" s="1"/>
  <c r="AT576" i="1" s="1"/>
  <c r="AV576" i="1" s="1"/>
  <c r="AX576" i="1" s="1"/>
  <c r="AZ576" i="1" s="1"/>
  <c r="AF576" i="1"/>
  <c r="AD576" i="1"/>
  <c r="Z576" i="1"/>
  <c r="W576" i="1"/>
  <c r="U576" i="1"/>
  <c r="S576" i="1"/>
  <c r="N576" i="1"/>
  <c r="K576" i="1"/>
  <c r="H576" i="1"/>
  <c r="E576" i="1"/>
  <c r="AH575" i="1"/>
  <c r="AF575" i="1"/>
  <c r="AD575" i="1"/>
  <c r="Z575" i="1"/>
  <c r="W575" i="1"/>
  <c r="U575" i="1"/>
  <c r="S575" i="1"/>
  <c r="N575" i="1"/>
  <c r="K575" i="1"/>
  <c r="H575" i="1"/>
  <c r="E575" i="1"/>
  <c r="AE573" i="1"/>
  <c r="AC573" i="1"/>
  <c r="Y573" i="1"/>
  <c r="V573" i="1"/>
  <c r="T573" i="1"/>
  <c r="R573" i="1"/>
  <c r="L573" i="1"/>
  <c r="J573" i="1"/>
  <c r="F573" i="1"/>
  <c r="D573" i="1"/>
  <c r="B573" i="1"/>
  <c r="AF572" i="1"/>
  <c r="AD572" i="1"/>
  <c r="Z572" i="1"/>
  <c r="W572" i="1"/>
  <c r="U572" i="1"/>
  <c r="S572" i="1"/>
  <c r="N572" i="1"/>
  <c r="K572" i="1"/>
  <c r="H572" i="1"/>
  <c r="E572" i="1"/>
  <c r="AH571" i="1"/>
  <c r="AJ571" i="1" s="1"/>
  <c r="AL571" i="1" s="1"/>
  <c r="AN571" i="1" s="1"/>
  <c r="AP571" i="1" s="1"/>
  <c r="AR571" i="1" s="1"/>
  <c r="AT571" i="1" s="1"/>
  <c r="AV571" i="1" s="1"/>
  <c r="AX571" i="1" s="1"/>
  <c r="AZ571" i="1" s="1"/>
  <c r="AF571" i="1"/>
  <c r="AD571" i="1"/>
  <c r="Z571" i="1"/>
  <c r="W571" i="1"/>
  <c r="U571" i="1"/>
  <c r="S571" i="1"/>
  <c r="N571" i="1"/>
  <c r="K571" i="1"/>
  <c r="H571" i="1"/>
  <c r="E571" i="1"/>
  <c r="AY570" i="1"/>
  <c r="AS570" i="1"/>
  <c r="AU570" i="1" s="1"/>
  <c r="AM570" i="1"/>
  <c r="AO570" i="1" s="1"/>
  <c r="AH570" i="1"/>
  <c r="AJ570" i="1" s="1"/>
  <c r="AL570" i="1" s="1"/>
  <c r="AN570" i="1" s="1"/>
  <c r="AP570" i="1" s="1"/>
  <c r="AR570" i="1" s="1"/>
  <c r="AT570" i="1" s="1"/>
  <c r="AV570" i="1" s="1"/>
  <c r="AX570" i="1" s="1"/>
  <c r="AZ570" i="1" s="1"/>
  <c r="AF570" i="1"/>
  <c r="AD570" i="1"/>
  <c r="Z570" i="1"/>
  <c r="W570" i="1"/>
  <c r="S570" i="1"/>
  <c r="P570" i="1"/>
  <c r="U570" i="1" s="1"/>
  <c r="N570" i="1"/>
  <c r="K570" i="1"/>
  <c r="H570" i="1"/>
  <c r="E570" i="1"/>
  <c r="AY569" i="1"/>
  <c r="AS569" i="1"/>
  <c r="AU569" i="1" s="1"/>
  <c r="AM569" i="1"/>
  <c r="AO569" i="1" s="1"/>
  <c r="AH569" i="1"/>
  <c r="AJ569" i="1" s="1"/>
  <c r="AL569" i="1" s="1"/>
  <c r="AN569" i="1" s="1"/>
  <c r="AP569" i="1" s="1"/>
  <c r="AR569" i="1" s="1"/>
  <c r="AT569" i="1" s="1"/>
  <c r="AV569" i="1" s="1"/>
  <c r="AX569" i="1" s="1"/>
  <c r="AZ569" i="1" s="1"/>
  <c r="AF569" i="1"/>
  <c r="AD569" i="1"/>
  <c r="Z569" i="1"/>
  <c r="W569" i="1"/>
  <c r="U569" i="1"/>
  <c r="S569" i="1"/>
  <c r="N569" i="1"/>
  <c r="K569" i="1"/>
  <c r="H569" i="1"/>
  <c r="E569" i="1"/>
  <c r="AY568" i="1"/>
  <c r="AS568" i="1"/>
  <c r="AU568" i="1" s="1"/>
  <c r="AM568" i="1"/>
  <c r="AO568" i="1" s="1"/>
  <c r="AH568" i="1"/>
  <c r="AJ568" i="1" s="1"/>
  <c r="AL568" i="1" s="1"/>
  <c r="AN568" i="1" s="1"/>
  <c r="AP568" i="1" s="1"/>
  <c r="AR568" i="1" s="1"/>
  <c r="AT568" i="1" s="1"/>
  <c r="AV568" i="1" s="1"/>
  <c r="AX568" i="1" s="1"/>
  <c r="AZ568" i="1" s="1"/>
  <c r="AF568" i="1"/>
  <c r="AD568" i="1"/>
  <c r="Z568" i="1"/>
  <c r="W568" i="1"/>
  <c r="U568" i="1"/>
  <c r="S568" i="1"/>
  <c r="N568" i="1"/>
  <c r="K568" i="1"/>
  <c r="H568" i="1"/>
  <c r="E568" i="1"/>
  <c r="AY567" i="1"/>
  <c r="AS567" i="1"/>
  <c r="AU567" i="1" s="1"/>
  <c r="AM567" i="1"/>
  <c r="AO567" i="1" s="1"/>
  <c r="AH567" i="1"/>
  <c r="AF567" i="1"/>
  <c r="AD567" i="1"/>
  <c r="Z567" i="1"/>
  <c r="W567" i="1"/>
  <c r="S567" i="1"/>
  <c r="P567" i="1"/>
  <c r="U567" i="1" s="1"/>
  <c r="N567" i="1"/>
  <c r="K567" i="1"/>
  <c r="H567" i="1"/>
  <c r="E567" i="1"/>
  <c r="AE564" i="1"/>
  <c r="AC564" i="1"/>
  <c r="Y564" i="1"/>
  <c r="V564" i="1"/>
  <c r="T564" i="1"/>
  <c r="R564" i="1"/>
  <c r="L564" i="1"/>
  <c r="J564" i="1"/>
  <c r="F564" i="1"/>
  <c r="D564" i="1"/>
  <c r="AF563" i="1"/>
  <c r="AD563" i="1"/>
  <c r="Z563" i="1"/>
  <c r="W563" i="1"/>
  <c r="U563" i="1"/>
  <c r="S563" i="1"/>
  <c r="N563" i="1"/>
  <c r="K563" i="1"/>
  <c r="H563" i="1"/>
  <c r="E563" i="1"/>
  <c r="AY562" i="1"/>
  <c r="AS562" i="1"/>
  <c r="AU562" i="1" s="1"/>
  <c r="AM562" i="1"/>
  <c r="AO562" i="1" s="1"/>
  <c r="AJ562" i="1"/>
  <c r="AL562" i="1" s="1"/>
  <c r="AN562" i="1" s="1"/>
  <c r="AP562" i="1" s="1"/>
  <c r="AR562" i="1" s="1"/>
  <c r="AT562" i="1" s="1"/>
  <c r="AV562" i="1" s="1"/>
  <c r="AX562" i="1" s="1"/>
  <c r="AZ562" i="1" s="1"/>
  <c r="AF562" i="1"/>
  <c r="AD562" i="1"/>
  <c r="Z562" i="1"/>
  <c r="W562" i="1"/>
  <c r="U562" i="1"/>
  <c r="S562" i="1"/>
  <c r="N562" i="1"/>
  <c r="K562" i="1"/>
  <c r="H562" i="1"/>
  <c r="E562" i="1"/>
  <c r="AY561" i="1"/>
  <c r="AS561" i="1"/>
  <c r="AU561" i="1" s="1"/>
  <c r="AM561" i="1"/>
  <c r="AO561" i="1" s="1"/>
  <c r="AJ561" i="1"/>
  <c r="AL561" i="1" s="1"/>
  <c r="AN561" i="1" s="1"/>
  <c r="AP561" i="1" s="1"/>
  <c r="AR561" i="1" s="1"/>
  <c r="AT561" i="1" s="1"/>
  <c r="AV561" i="1" s="1"/>
  <c r="AX561" i="1" s="1"/>
  <c r="AZ561" i="1" s="1"/>
  <c r="AF561" i="1"/>
  <c r="AD561" i="1"/>
  <c r="AY560" i="1"/>
  <c r="AS560" i="1"/>
  <c r="AU560" i="1" s="1"/>
  <c r="AM560" i="1"/>
  <c r="AO560" i="1" s="1"/>
  <c r="AH560" i="1"/>
  <c r="AH564" i="1" s="1"/>
  <c r="AF560" i="1"/>
  <c r="AD560" i="1"/>
  <c r="Z560" i="1"/>
  <c r="W560" i="1"/>
  <c r="S560" i="1"/>
  <c r="P560" i="1"/>
  <c r="P564" i="1" s="1"/>
  <c r="N560" i="1"/>
  <c r="K560" i="1"/>
  <c r="E560" i="1"/>
  <c r="B560" i="1"/>
  <c r="B564" i="1" s="1"/>
  <c r="AE556" i="1"/>
  <c r="AC556" i="1"/>
  <c r="Y556" i="1"/>
  <c r="V556" i="1"/>
  <c r="T556" i="1"/>
  <c r="R556" i="1"/>
  <c r="L556" i="1"/>
  <c r="J556" i="1"/>
  <c r="F556" i="1"/>
  <c r="D556" i="1"/>
  <c r="B556" i="1"/>
  <c r="AF555" i="1"/>
  <c r="AD555" i="1"/>
  <c r="Z555" i="1"/>
  <c r="W555" i="1"/>
  <c r="U555" i="1"/>
  <c r="S555" i="1"/>
  <c r="N555" i="1"/>
  <c r="K555" i="1"/>
  <c r="H555" i="1"/>
  <c r="E555" i="1"/>
  <c r="AY554" i="1"/>
  <c r="AS554" i="1"/>
  <c r="AU554" i="1" s="1"/>
  <c r="AM554" i="1"/>
  <c r="AO554" i="1" s="1"/>
  <c r="AH554" i="1"/>
  <c r="AJ554" i="1" s="1"/>
  <c r="AF554" i="1"/>
  <c r="AD554" i="1"/>
  <c r="Z554" i="1"/>
  <c r="W554" i="1"/>
  <c r="S554" i="1"/>
  <c r="P554" i="1"/>
  <c r="P556" i="1" s="1"/>
  <c r="N554" i="1"/>
  <c r="K554" i="1"/>
  <c r="H554" i="1"/>
  <c r="E554" i="1"/>
  <c r="AE552" i="1"/>
  <c r="AC552" i="1"/>
  <c r="Y552" i="1"/>
  <c r="V552" i="1"/>
  <c r="R552" i="1"/>
  <c r="L552" i="1"/>
  <c r="J552" i="1"/>
  <c r="F552" i="1"/>
  <c r="D552" i="1"/>
  <c r="B552" i="1"/>
  <c r="AJ551" i="1"/>
  <c r="AL551" i="1" s="1"/>
  <c r="AN551" i="1" s="1"/>
  <c r="AP551" i="1" s="1"/>
  <c r="AR551" i="1" s="1"/>
  <c r="AT551" i="1" s="1"/>
  <c r="AV551" i="1" s="1"/>
  <c r="AX551" i="1" s="1"/>
  <c r="AZ551" i="1" s="1"/>
  <c r="AF551" i="1"/>
  <c r="AD551" i="1"/>
  <c r="Z551" i="1"/>
  <c r="W551" i="1"/>
  <c r="U551" i="1"/>
  <c r="S551" i="1"/>
  <c r="N551" i="1"/>
  <c r="K551" i="1"/>
  <c r="H551" i="1"/>
  <c r="E551" i="1"/>
  <c r="AH550" i="1"/>
  <c r="AJ550" i="1" s="1"/>
  <c r="AL550" i="1" s="1"/>
  <c r="AN550" i="1" s="1"/>
  <c r="AP550" i="1" s="1"/>
  <c r="AR550" i="1" s="1"/>
  <c r="AT550" i="1" s="1"/>
  <c r="AV550" i="1" s="1"/>
  <c r="AX550" i="1" s="1"/>
  <c r="AZ550" i="1" s="1"/>
  <c r="AF550" i="1"/>
  <c r="AD550" i="1"/>
  <c r="W550" i="1"/>
  <c r="P550" i="1"/>
  <c r="T550" i="1" s="1"/>
  <c r="N550" i="1"/>
  <c r="K550" i="1"/>
  <c r="H550" i="1"/>
  <c r="E550" i="1"/>
  <c r="AH549" i="1"/>
  <c r="AJ549" i="1" s="1"/>
  <c r="AL549" i="1" s="1"/>
  <c r="AN549" i="1" s="1"/>
  <c r="AP549" i="1" s="1"/>
  <c r="AR549" i="1" s="1"/>
  <c r="AT549" i="1" s="1"/>
  <c r="AV549" i="1" s="1"/>
  <c r="AX549" i="1" s="1"/>
  <c r="AZ549" i="1" s="1"/>
  <c r="AF549" i="1"/>
  <c r="AD549" i="1"/>
  <c r="Z549" i="1"/>
  <c r="W549" i="1"/>
  <c r="U549" i="1"/>
  <c r="S549" i="1"/>
  <c r="N549" i="1"/>
  <c r="K549" i="1"/>
  <c r="H549" i="1"/>
  <c r="E549" i="1"/>
  <c r="AF548" i="1"/>
  <c r="AD548" i="1"/>
  <c r="W548" i="1"/>
  <c r="T548" i="1"/>
  <c r="P548" i="1"/>
  <c r="AH548" i="1" s="1"/>
  <c r="AJ548" i="1" s="1"/>
  <c r="AL548" i="1" s="1"/>
  <c r="AN548" i="1" s="1"/>
  <c r="AP548" i="1" s="1"/>
  <c r="AR548" i="1" s="1"/>
  <c r="AT548" i="1" s="1"/>
  <c r="AV548" i="1" s="1"/>
  <c r="AX548" i="1" s="1"/>
  <c r="AZ548" i="1" s="1"/>
  <c r="N548" i="1"/>
  <c r="K548" i="1"/>
  <c r="H548" i="1"/>
  <c r="E548" i="1"/>
  <c r="AH547" i="1"/>
  <c r="AJ547" i="1" s="1"/>
  <c r="AL547" i="1" s="1"/>
  <c r="AN547" i="1" s="1"/>
  <c r="AP547" i="1" s="1"/>
  <c r="AR547" i="1" s="1"/>
  <c r="AT547" i="1" s="1"/>
  <c r="AV547" i="1" s="1"/>
  <c r="AX547" i="1" s="1"/>
  <c r="AZ547" i="1" s="1"/>
  <c r="AF547" i="1"/>
  <c r="AD547" i="1"/>
  <c r="Z547" i="1"/>
  <c r="W547" i="1"/>
  <c r="U547" i="1"/>
  <c r="S547" i="1"/>
  <c r="N547" i="1"/>
  <c r="K547" i="1"/>
  <c r="H547" i="1"/>
  <c r="E547" i="1"/>
  <c r="AH546" i="1"/>
  <c r="AJ546" i="1" s="1"/>
  <c r="AL546" i="1" s="1"/>
  <c r="AN546" i="1" s="1"/>
  <c r="AP546" i="1" s="1"/>
  <c r="AR546" i="1" s="1"/>
  <c r="AT546" i="1" s="1"/>
  <c r="AV546" i="1" s="1"/>
  <c r="AX546" i="1" s="1"/>
  <c r="AZ546" i="1" s="1"/>
  <c r="AF546" i="1"/>
  <c r="AD546" i="1"/>
  <c r="Z546" i="1"/>
  <c r="W546" i="1"/>
  <c r="U546" i="1"/>
  <c r="S546" i="1"/>
  <c r="N546" i="1"/>
  <c r="K546" i="1"/>
  <c r="H546" i="1"/>
  <c r="E546" i="1"/>
  <c r="AH544" i="1"/>
  <c r="AJ544" i="1" s="1"/>
  <c r="AL544" i="1" s="1"/>
  <c r="AN544" i="1" s="1"/>
  <c r="AP544" i="1" s="1"/>
  <c r="AR544" i="1" s="1"/>
  <c r="AT544" i="1" s="1"/>
  <c r="AV544" i="1" s="1"/>
  <c r="AX544" i="1" s="1"/>
  <c r="AZ544" i="1" s="1"/>
  <c r="AF544" i="1"/>
  <c r="AD544" i="1"/>
  <c r="W544" i="1"/>
  <c r="T544" i="1"/>
  <c r="P544" i="1"/>
  <c r="P552" i="1" s="1"/>
  <c r="N544" i="1"/>
  <c r="K544" i="1"/>
  <c r="H544" i="1"/>
  <c r="E544" i="1"/>
  <c r="AH543" i="1"/>
  <c r="AJ543" i="1" s="1"/>
  <c r="AL543" i="1" s="1"/>
  <c r="AN543" i="1" s="1"/>
  <c r="AP543" i="1" s="1"/>
  <c r="AR543" i="1" s="1"/>
  <c r="AT543" i="1" s="1"/>
  <c r="AV543" i="1" s="1"/>
  <c r="AX543" i="1" s="1"/>
  <c r="AZ543" i="1" s="1"/>
  <c r="AF543" i="1"/>
  <c r="AD543" i="1"/>
  <c r="Z543" i="1"/>
  <c r="W543" i="1"/>
  <c r="U543" i="1"/>
  <c r="S543" i="1"/>
  <c r="N543" i="1"/>
  <c r="K543" i="1"/>
  <c r="H543" i="1"/>
  <c r="E543" i="1"/>
  <c r="AH542" i="1"/>
  <c r="AJ542" i="1" s="1"/>
  <c r="AL542" i="1" s="1"/>
  <c r="AN542" i="1" s="1"/>
  <c r="AP542" i="1" s="1"/>
  <c r="AR542" i="1" s="1"/>
  <c r="AT542" i="1" s="1"/>
  <c r="AV542" i="1" s="1"/>
  <c r="AX542" i="1" s="1"/>
  <c r="AZ542" i="1" s="1"/>
  <c r="AF542" i="1"/>
  <c r="AD542" i="1"/>
  <c r="Z542" i="1"/>
  <c r="W542" i="1"/>
  <c r="U542" i="1"/>
  <c r="S542" i="1"/>
  <c r="N542" i="1"/>
  <c r="K542" i="1"/>
  <c r="H542" i="1"/>
  <c r="E542" i="1"/>
  <c r="AJ541" i="1"/>
  <c r="AL541" i="1" s="1"/>
  <c r="AN541" i="1" s="1"/>
  <c r="AP541" i="1" s="1"/>
  <c r="AR541" i="1" s="1"/>
  <c r="AT541" i="1" s="1"/>
  <c r="AV541" i="1" s="1"/>
  <c r="AX541" i="1" s="1"/>
  <c r="AZ541" i="1" s="1"/>
  <c r="AF541" i="1"/>
  <c r="AD541" i="1"/>
  <c r="Z541" i="1"/>
  <c r="W541" i="1"/>
  <c r="U541" i="1"/>
  <c r="S541" i="1"/>
  <c r="N541" i="1"/>
  <c r="K541" i="1"/>
  <c r="H541" i="1"/>
  <c r="E541" i="1"/>
  <c r="AF540" i="1"/>
  <c r="AD540" i="1"/>
  <c r="Z540" i="1"/>
  <c r="W540" i="1"/>
  <c r="U540" i="1"/>
  <c r="S540" i="1"/>
  <c r="N540" i="1"/>
  <c r="K540" i="1"/>
  <c r="H540" i="1"/>
  <c r="E540" i="1"/>
  <c r="AF539" i="1"/>
  <c r="AD539" i="1"/>
  <c r="Z539" i="1"/>
  <c r="W539" i="1"/>
  <c r="U539" i="1"/>
  <c r="S539" i="1"/>
  <c r="N539" i="1"/>
  <c r="K539" i="1"/>
  <c r="H539" i="1"/>
  <c r="E539" i="1"/>
  <c r="AF538" i="1"/>
  <c r="AD538" i="1"/>
  <c r="Z538" i="1"/>
  <c r="W538" i="1"/>
  <c r="U538" i="1"/>
  <c r="S538" i="1"/>
  <c r="N538" i="1"/>
  <c r="K538" i="1"/>
  <c r="H538" i="1"/>
  <c r="E538" i="1"/>
  <c r="AH537" i="1"/>
  <c r="AJ537" i="1" s="1"/>
  <c r="AF537" i="1"/>
  <c r="AD537" i="1"/>
  <c r="Z537" i="1"/>
  <c r="W537" i="1"/>
  <c r="U537" i="1"/>
  <c r="S537" i="1"/>
  <c r="N537" i="1"/>
  <c r="K537" i="1"/>
  <c r="H537" i="1"/>
  <c r="E537" i="1"/>
  <c r="AF536" i="1"/>
  <c r="AD536" i="1"/>
  <c r="Z536" i="1"/>
  <c r="W536" i="1"/>
  <c r="U536" i="1"/>
  <c r="S536" i="1"/>
  <c r="N536" i="1"/>
  <c r="K536" i="1"/>
  <c r="H536" i="1"/>
  <c r="E536" i="1"/>
  <c r="AF535" i="1"/>
  <c r="AD535" i="1"/>
  <c r="Z535" i="1"/>
  <c r="W535" i="1"/>
  <c r="U535" i="1"/>
  <c r="S535" i="1"/>
  <c r="N535" i="1"/>
  <c r="K535" i="1"/>
  <c r="H535" i="1"/>
  <c r="E535" i="1"/>
  <c r="AH531" i="1"/>
  <c r="AE531" i="1"/>
  <c r="AC531" i="1"/>
  <c r="Y531" i="1"/>
  <c r="V531" i="1"/>
  <c r="T531" i="1"/>
  <c r="R531" i="1"/>
  <c r="L531" i="1"/>
  <c r="J531" i="1"/>
  <c r="F531" i="1"/>
  <c r="D531" i="1"/>
  <c r="B531" i="1"/>
  <c r="AF530" i="1"/>
  <c r="AD530" i="1"/>
  <c r="Z530" i="1"/>
  <c r="W530" i="1"/>
  <c r="N530" i="1"/>
  <c r="K530" i="1"/>
  <c r="H530" i="1"/>
  <c r="E530" i="1"/>
  <c r="AF529" i="1"/>
  <c r="AD529" i="1"/>
  <c r="Z529" i="1"/>
  <c r="W529" i="1"/>
  <c r="N529" i="1"/>
  <c r="K529" i="1"/>
  <c r="H529" i="1"/>
  <c r="E529" i="1"/>
  <c r="AJ528" i="1"/>
  <c r="AJ531" i="1" s="1"/>
  <c r="AF528" i="1"/>
  <c r="AD528" i="1"/>
  <c r="Z528" i="1"/>
  <c r="W528" i="1"/>
  <c r="S528" i="1"/>
  <c r="S531" i="1" s="1"/>
  <c r="P528" i="1"/>
  <c r="P531" i="1" s="1"/>
  <c r="N528" i="1"/>
  <c r="K528" i="1"/>
  <c r="H528" i="1"/>
  <c r="E528" i="1"/>
  <c r="AE526" i="1"/>
  <c r="AC526" i="1"/>
  <c r="Y526" i="1"/>
  <c r="V526" i="1"/>
  <c r="T526" i="1"/>
  <c r="R526" i="1"/>
  <c r="L526" i="1"/>
  <c r="J526" i="1"/>
  <c r="F526" i="1"/>
  <c r="D526" i="1"/>
  <c r="B526" i="1"/>
  <c r="AS525" i="1"/>
  <c r="AU525" i="1" s="1"/>
  <c r="AW525" i="1" s="1"/>
  <c r="AY525" i="1" s="1"/>
  <c r="AM525" i="1"/>
  <c r="AO525" i="1" s="1"/>
  <c r="AH525" i="1"/>
  <c r="AJ525" i="1" s="1"/>
  <c r="AL525" i="1" s="1"/>
  <c r="AN525" i="1" s="1"/>
  <c r="AP525" i="1" s="1"/>
  <c r="AR525" i="1" s="1"/>
  <c r="AT525" i="1" s="1"/>
  <c r="AV525" i="1" s="1"/>
  <c r="AX525" i="1" s="1"/>
  <c r="AZ525" i="1" s="1"/>
  <c r="AF525" i="1"/>
  <c r="AD525" i="1"/>
  <c r="Z525" i="1"/>
  <c r="W525" i="1"/>
  <c r="S525" i="1"/>
  <c r="P525" i="1"/>
  <c r="U525" i="1" s="1"/>
  <c r="N525" i="1"/>
  <c r="K525" i="1"/>
  <c r="H525" i="1"/>
  <c r="E525" i="1"/>
  <c r="AS524" i="1"/>
  <c r="AU524" i="1" s="1"/>
  <c r="AW524" i="1" s="1"/>
  <c r="AY524" i="1" s="1"/>
  <c r="AM524" i="1"/>
  <c r="AO524" i="1" s="1"/>
  <c r="AH524" i="1"/>
  <c r="AJ524" i="1" s="1"/>
  <c r="AL524" i="1" s="1"/>
  <c r="AN524" i="1" s="1"/>
  <c r="AP524" i="1" s="1"/>
  <c r="AR524" i="1" s="1"/>
  <c r="AT524" i="1" s="1"/>
  <c r="AV524" i="1" s="1"/>
  <c r="AX524" i="1" s="1"/>
  <c r="AZ524" i="1" s="1"/>
  <c r="AF524" i="1"/>
  <c r="AD524" i="1"/>
  <c r="Z524" i="1"/>
  <c r="W524" i="1"/>
  <c r="S524" i="1"/>
  <c r="P524" i="1"/>
  <c r="U524" i="1" s="1"/>
  <c r="N524" i="1"/>
  <c r="K524" i="1"/>
  <c r="H524" i="1"/>
  <c r="E524" i="1"/>
  <c r="AH523" i="1"/>
  <c r="AF523" i="1"/>
  <c r="AD523" i="1"/>
  <c r="Z523" i="1"/>
  <c r="W523" i="1"/>
  <c r="U523" i="1"/>
  <c r="S523" i="1"/>
  <c r="N523" i="1"/>
  <c r="K523" i="1"/>
  <c r="H523" i="1"/>
  <c r="E523" i="1"/>
  <c r="AS522" i="1"/>
  <c r="AU522" i="1" s="1"/>
  <c r="AW522" i="1" s="1"/>
  <c r="AY522" i="1" s="1"/>
  <c r="AM522" i="1"/>
  <c r="AO522" i="1" s="1"/>
  <c r="AH522" i="1"/>
  <c r="AJ522" i="1" s="1"/>
  <c r="AL522" i="1" s="1"/>
  <c r="AN522" i="1" s="1"/>
  <c r="AP522" i="1" s="1"/>
  <c r="AR522" i="1" s="1"/>
  <c r="AT522" i="1" s="1"/>
  <c r="AV522" i="1" s="1"/>
  <c r="AX522" i="1" s="1"/>
  <c r="AZ522" i="1" s="1"/>
  <c r="AF522" i="1"/>
  <c r="AD522" i="1"/>
  <c r="Z522" i="1"/>
  <c r="W522" i="1"/>
  <c r="S522" i="1"/>
  <c r="P522" i="1"/>
  <c r="U522" i="1" s="1"/>
  <c r="N522" i="1"/>
  <c r="K522" i="1"/>
  <c r="H522" i="1"/>
  <c r="E522" i="1"/>
  <c r="AS521" i="1"/>
  <c r="AU521" i="1" s="1"/>
  <c r="AW521" i="1" s="1"/>
  <c r="AY521" i="1" s="1"/>
  <c r="AM521" i="1"/>
  <c r="AO521" i="1" s="1"/>
  <c r="AF521" i="1"/>
  <c r="AD521" i="1"/>
  <c r="Z521" i="1"/>
  <c r="W521" i="1"/>
  <c r="S521" i="1"/>
  <c r="P521" i="1"/>
  <c r="U521" i="1" s="1"/>
  <c r="N521" i="1"/>
  <c r="K521" i="1"/>
  <c r="H521" i="1"/>
  <c r="E521" i="1"/>
  <c r="AS520" i="1"/>
  <c r="AU520" i="1" s="1"/>
  <c r="AW520" i="1" s="1"/>
  <c r="AY520" i="1" s="1"/>
  <c r="AM520" i="1"/>
  <c r="AO520" i="1" s="1"/>
  <c r="AH520" i="1"/>
  <c r="AF520" i="1"/>
  <c r="AD520" i="1"/>
  <c r="Z520" i="1"/>
  <c r="W520" i="1"/>
  <c r="S520" i="1"/>
  <c r="P520" i="1"/>
  <c r="U520" i="1" s="1"/>
  <c r="N520" i="1"/>
  <c r="K520" i="1"/>
  <c r="H520" i="1"/>
  <c r="E520" i="1"/>
  <c r="AH518" i="1"/>
  <c r="AJ518" i="1" s="1"/>
  <c r="AL518" i="1" s="1"/>
  <c r="AN518" i="1" s="1"/>
  <c r="AP518" i="1" s="1"/>
  <c r="AR518" i="1" s="1"/>
  <c r="AT518" i="1" s="1"/>
  <c r="AV518" i="1" s="1"/>
  <c r="AX518" i="1" s="1"/>
  <c r="AZ518" i="1" s="1"/>
  <c r="AF518" i="1"/>
  <c r="AD518" i="1"/>
  <c r="Z518" i="1"/>
  <c r="W518" i="1"/>
  <c r="U518" i="1"/>
  <c r="S518" i="1"/>
  <c r="N518" i="1"/>
  <c r="K518" i="1"/>
  <c r="H518" i="1"/>
  <c r="E518" i="1"/>
  <c r="AE516" i="1"/>
  <c r="AC516" i="1"/>
  <c r="Y516" i="1"/>
  <c r="V516" i="1"/>
  <c r="T516" i="1"/>
  <c r="R516" i="1"/>
  <c r="L516" i="1"/>
  <c r="J516" i="1"/>
  <c r="F516" i="1"/>
  <c r="D516" i="1"/>
  <c r="AJ515" i="1"/>
  <c r="AL515" i="1" s="1"/>
  <c r="AN515" i="1" s="1"/>
  <c r="AP515" i="1" s="1"/>
  <c r="AR515" i="1" s="1"/>
  <c r="AT515" i="1" s="1"/>
  <c r="AV515" i="1" s="1"/>
  <c r="AX515" i="1" s="1"/>
  <c r="AZ515" i="1" s="1"/>
  <c r="AF515" i="1"/>
  <c r="AD515" i="1"/>
  <c r="Z515" i="1"/>
  <c r="W515" i="1"/>
  <c r="U515" i="1"/>
  <c r="S515" i="1"/>
  <c r="N515" i="1"/>
  <c r="K515" i="1"/>
  <c r="E515" i="1"/>
  <c r="B515" i="1"/>
  <c r="H515" i="1" s="1"/>
  <c r="AH514" i="1"/>
  <c r="AJ514" i="1" s="1"/>
  <c r="AL514" i="1" s="1"/>
  <c r="AN514" i="1" s="1"/>
  <c r="AP514" i="1" s="1"/>
  <c r="AR514" i="1" s="1"/>
  <c r="AT514" i="1" s="1"/>
  <c r="AV514" i="1" s="1"/>
  <c r="AX514" i="1" s="1"/>
  <c r="AZ514" i="1" s="1"/>
  <c r="AF514" i="1"/>
  <c r="AD514" i="1"/>
  <c r="Z514" i="1"/>
  <c r="W514" i="1"/>
  <c r="S514" i="1"/>
  <c r="P514" i="1"/>
  <c r="U514" i="1" s="1"/>
  <c r="N514" i="1"/>
  <c r="K514" i="1"/>
  <c r="H514" i="1"/>
  <c r="E514" i="1"/>
  <c r="AF513" i="1"/>
  <c r="AD513" i="1"/>
  <c r="Z513" i="1"/>
  <c r="W513" i="1"/>
  <c r="S513" i="1"/>
  <c r="P513" i="1"/>
  <c r="U513" i="1" s="1"/>
  <c r="N513" i="1"/>
  <c r="K513" i="1"/>
  <c r="H513" i="1"/>
  <c r="E513" i="1"/>
  <c r="AF512" i="1"/>
  <c r="AD512" i="1"/>
  <c r="Z512" i="1"/>
  <c r="W512" i="1"/>
  <c r="S512" i="1"/>
  <c r="P512" i="1"/>
  <c r="U512" i="1" s="1"/>
  <c r="N512" i="1"/>
  <c r="K512" i="1"/>
  <c r="H512" i="1"/>
  <c r="E512" i="1"/>
  <c r="AF511" i="1"/>
  <c r="AD511" i="1"/>
  <c r="Z511" i="1"/>
  <c r="W511" i="1"/>
  <c r="S511" i="1"/>
  <c r="P511" i="1"/>
  <c r="U511" i="1" s="1"/>
  <c r="N511" i="1"/>
  <c r="K511" i="1"/>
  <c r="H511" i="1"/>
  <c r="E511" i="1"/>
  <c r="AS510" i="1"/>
  <c r="AU510" i="1" s="1"/>
  <c r="AW510" i="1" s="1"/>
  <c r="AY510" i="1" s="1"/>
  <c r="AM510" i="1"/>
  <c r="AO510" i="1" s="1"/>
  <c r="AJ510" i="1"/>
  <c r="AL510" i="1" s="1"/>
  <c r="AN510" i="1" s="1"/>
  <c r="AP510" i="1" s="1"/>
  <c r="AR510" i="1" s="1"/>
  <c r="AT510" i="1" s="1"/>
  <c r="AV510" i="1" s="1"/>
  <c r="AX510" i="1" s="1"/>
  <c r="AZ510" i="1" s="1"/>
  <c r="AF509" i="1"/>
  <c r="AD509" i="1"/>
  <c r="Z509" i="1"/>
  <c r="W509" i="1"/>
  <c r="S509" i="1"/>
  <c r="P509" i="1"/>
  <c r="N509" i="1"/>
  <c r="K509" i="1"/>
  <c r="H509" i="1"/>
  <c r="E509" i="1"/>
  <c r="AZ506" i="1"/>
  <c r="AX506" i="1"/>
  <c r="AH503" i="1"/>
  <c r="AE503" i="1"/>
  <c r="AC503" i="1"/>
  <c r="Y503" i="1"/>
  <c r="V503" i="1"/>
  <c r="T503" i="1"/>
  <c r="R503" i="1"/>
  <c r="L503" i="1"/>
  <c r="J503" i="1"/>
  <c r="F503" i="1"/>
  <c r="D503" i="1"/>
  <c r="B503" i="1"/>
  <c r="AY501" i="1"/>
  <c r="AS501" i="1"/>
  <c r="AU501" i="1" s="1"/>
  <c r="AM501" i="1"/>
  <c r="AO501" i="1" s="1"/>
  <c r="AJ501" i="1"/>
  <c r="AJ503" i="1" s="1"/>
  <c r="AF501" i="1"/>
  <c r="AD501" i="1"/>
  <c r="Z501" i="1"/>
  <c r="Z503" i="1" s="1"/>
  <c r="W501" i="1"/>
  <c r="W503" i="1" s="1"/>
  <c r="S501" i="1"/>
  <c r="S503" i="1" s="1"/>
  <c r="P501" i="1"/>
  <c r="P503" i="1" s="1"/>
  <c r="N501" i="1"/>
  <c r="N503" i="1" s="1"/>
  <c r="K501" i="1"/>
  <c r="K503" i="1" s="1"/>
  <c r="H501" i="1"/>
  <c r="H503" i="1" s="1"/>
  <c r="E501" i="1"/>
  <c r="E503" i="1" s="1"/>
  <c r="AE499" i="1"/>
  <c r="AC499" i="1"/>
  <c r="Y499" i="1"/>
  <c r="V499" i="1"/>
  <c r="T499" i="1"/>
  <c r="R499" i="1"/>
  <c r="L499" i="1"/>
  <c r="J499" i="1"/>
  <c r="F499" i="1"/>
  <c r="D499" i="1"/>
  <c r="AY498" i="1"/>
  <c r="AS498" i="1"/>
  <c r="AU498" i="1" s="1"/>
  <c r="AM498" i="1"/>
  <c r="AO498" i="1" s="1"/>
  <c r="AH498" i="1"/>
  <c r="AJ498" i="1" s="1"/>
  <c r="AL498" i="1" s="1"/>
  <c r="AN498" i="1" s="1"/>
  <c r="AP498" i="1" s="1"/>
  <c r="AR498" i="1" s="1"/>
  <c r="AT498" i="1" s="1"/>
  <c r="AV498" i="1" s="1"/>
  <c r="AX498" i="1" s="1"/>
  <c r="AZ498" i="1" s="1"/>
  <c r="AF498" i="1"/>
  <c r="AD498" i="1"/>
  <c r="Z498" i="1"/>
  <c r="W498" i="1"/>
  <c r="U498" i="1"/>
  <c r="S498" i="1"/>
  <c r="N498" i="1"/>
  <c r="K498" i="1"/>
  <c r="E498" i="1"/>
  <c r="B498" i="1"/>
  <c r="H498" i="1" s="1"/>
  <c r="AY497" i="1"/>
  <c r="AS497" i="1"/>
  <c r="AU497" i="1" s="1"/>
  <c r="AM497" i="1"/>
  <c r="AO497" i="1" s="1"/>
  <c r="AH497" i="1"/>
  <c r="AJ497" i="1" s="1"/>
  <c r="AL497" i="1" s="1"/>
  <c r="AN497" i="1" s="1"/>
  <c r="AP497" i="1" s="1"/>
  <c r="AR497" i="1" s="1"/>
  <c r="AT497" i="1" s="1"/>
  <c r="AV497" i="1" s="1"/>
  <c r="AX497" i="1" s="1"/>
  <c r="AZ497" i="1" s="1"/>
  <c r="AF497" i="1"/>
  <c r="AD497" i="1"/>
  <c r="Z497" i="1"/>
  <c r="W497" i="1"/>
  <c r="U497" i="1"/>
  <c r="S497" i="1"/>
  <c r="N497" i="1"/>
  <c r="K497" i="1"/>
  <c r="H497" i="1"/>
  <c r="E497" i="1"/>
  <c r="AY496" i="1"/>
  <c r="AS496" i="1"/>
  <c r="AU496" i="1" s="1"/>
  <c r="AM496" i="1"/>
  <c r="AO496" i="1" s="1"/>
  <c r="AH496" i="1"/>
  <c r="AF496" i="1"/>
  <c r="AD496" i="1"/>
  <c r="Z496" i="1"/>
  <c r="W496" i="1"/>
  <c r="S496" i="1"/>
  <c r="P496" i="1"/>
  <c r="P499" i="1" s="1"/>
  <c r="N496" i="1"/>
  <c r="K496" i="1"/>
  <c r="H496" i="1"/>
  <c r="E496" i="1"/>
  <c r="AF495" i="1"/>
  <c r="AD495" i="1"/>
  <c r="Z495" i="1"/>
  <c r="W495" i="1"/>
  <c r="U495" i="1"/>
  <c r="S495" i="1"/>
  <c r="N495" i="1"/>
  <c r="K495" i="1"/>
  <c r="H495" i="1"/>
  <c r="E495" i="1"/>
  <c r="AE493" i="1"/>
  <c r="AC493" i="1"/>
  <c r="Y493" i="1"/>
  <c r="V493" i="1"/>
  <c r="T493" i="1"/>
  <c r="R493" i="1"/>
  <c r="L493" i="1"/>
  <c r="J493" i="1"/>
  <c r="F493" i="1"/>
  <c r="D493" i="1"/>
  <c r="B493" i="1"/>
  <c r="AY492" i="1"/>
  <c r="AS492" i="1"/>
  <c r="AU492" i="1" s="1"/>
  <c r="AM492" i="1"/>
  <c r="AO492" i="1" s="1"/>
  <c r="AF492" i="1"/>
  <c r="AD492" i="1"/>
  <c r="Z492" i="1"/>
  <c r="W492" i="1"/>
  <c r="S492" i="1"/>
  <c r="P492" i="1"/>
  <c r="AH492" i="1" s="1"/>
  <c r="N492" i="1"/>
  <c r="K492" i="1"/>
  <c r="H492" i="1"/>
  <c r="E492" i="1"/>
  <c r="AY491" i="1"/>
  <c r="AS491" i="1"/>
  <c r="AU491" i="1" s="1"/>
  <c r="AM491" i="1"/>
  <c r="AO491" i="1" s="1"/>
  <c r="AJ491" i="1"/>
  <c r="AL491" i="1" s="1"/>
  <c r="AN491" i="1" s="1"/>
  <c r="AP491" i="1" s="1"/>
  <c r="AR491" i="1" s="1"/>
  <c r="AT491" i="1" s="1"/>
  <c r="AV491" i="1" s="1"/>
  <c r="AX491" i="1" s="1"/>
  <c r="AZ491" i="1" s="1"/>
  <c r="AY490" i="1"/>
  <c r="AS490" i="1"/>
  <c r="AU490" i="1" s="1"/>
  <c r="AM490" i="1"/>
  <c r="AO490" i="1" s="1"/>
  <c r="AJ490" i="1"/>
  <c r="AL490" i="1" s="1"/>
  <c r="AN490" i="1" s="1"/>
  <c r="AP490" i="1" s="1"/>
  <c r="AR490" i="1" s="1"/>
  <c r="AT490" i="1" s="1"/>
  <c r="AV490" i="1" s="1"/>
  <c r="AX490" i="1" s="1"/>
  <c r="AZ490" i="1" s="1"/>
  <c r="AF490" i="1"/>
  <c r="AD490" i="1"/>
  <c r="Z490" i="1"/>
  <c r="W490" i="1"/>
  <c r="U490" i="1"/>
  <c r="S490" i="1"/>
  <c r="N490" i="1"/>
  <c r="K490" i="1"/>
  <c r="H490" i="1"/>
  <c r="E490" i="1"/>
  <c r="AY489" i="1"/>
  <c r="AS489" i="1"/>
  <c r="AU489" i="1" s="1"/>
  <c r="AM489" i="1"/>
  <c r="AO489" i="1" s="1"/>
  <c r="AJ489" i="1"/>
  <c r="AL489" i="1" s="1"/>
  <c r="AN489" i="1" s="1"/>
  <c r="AP489" i="1" s="1"/>
  <c r="AR489" i="1" s="1"/>
  <c r="AT489" i="1" s="1"/>
  <c r="AV489" i="1" s="1"/>
  <c r="AX489" i="1" s="1"/>
  <c r="AZ489" i="1" s="1"/>
  <c r="AF489" i="1"/>
  <c r="AD489" i="1"/>
  <c r="Z489" i="1"/>
  <c r="W489" i="1"/>
  <c r="S489" i="1"/>
  <c r="P489" i="1"/>
  <c r="U489" i="1" s="1"/>
  <c r="N489" i="1"/>
  <c r="K489" i="1"/>
  <c r="H489" i="1"/>
  <c r="E489" i="1"/>
  <c r="AY488" i="1"/>
  <c r="AS488" i="1"/>
  <c r="AU488" i="1" s="1"/>
  <c r="AM488" i="1"/>
  <c r="AO488" i="1" s="1"/>
  <c r="AJ488" i="1"/>
  <c r="AL488" i="1" s="1"/>
  <c r="AN488" i="1" s="1"/>
  <c r="AP488" i="1" s="1"/>
  <c r="AR488" i="1" s="1"/>
  <c r="AT488" i="1" s="1"/>
  <c r="AV488" i="1" s="1"/>
  <c r="AX488" i="1" s="1"/>
  <c r="AZ488" i="1" s="1"/>
  <c r="AF488" i="1"/>
  <c r="AD488" i="1"/>
  <c r="Z488" i="1"/>
  <c r="W488" i="1"/>
  <c r="S488" i="1"/>
  <c r="P488" i="1"/>
  <c r="U488" i="1" s="1"/>
  <c r="N488" i="1"/>
  <c r="K488" i="1"/>
  <c r="H488" i="1"/>
  <c r="E488" i="1"/>
  <c r="AY487" i="1"/>
  <c r="AS487" i="1"/>
  <c r="AU487" i="1" s="1"/>
  <c r="AM487" i="1"/>
  <c r="AO487" i="1" s="1"/>
  <c r="AJ487" i="1"/>
  <c r="AL487" i="1" s="1"/>
  <c r="AN487" i="1" s="1"/>
  <c r="AF487" i="1"/>
  <c r="AD487" i="1"/>
  <c r="Z487" i="1"/>
  <c r="W487" i="1"/>
  <c r="S487" i="1"/>
  <c r="P487" i="1"/>
  <c r="N487" i="1"/>
  <c r="K487" i="1"/>
  <c r="H487" i="1"/>
  <c r="E487" i="1"/>
  <c r="AE484" i="1"/>
  <c r="AC484" i="1"/>
  <c r="Y484" i="1"/>
  <c r="V484" i="1"/>
  <c r="T484" i="1"/>
  <c r="R484" i="1"/>
  <c r="P484" i="1"/>
  <c r="L484" i="1"/>
  <c r="J484" i="1"/>
  <c r="F484" i="1"/>
  <c r="D484" i="1"/>
  <c r="B484" i="1"/>
  <c r="AF483" i="1"/>
  <c r="AD483" i="1"/>
  <c r="Z483" i="1"/>
  <c r="W483" i="1"/>
  <c r="U483" i="1"/>
  <c r="S483" i="1"/>
  <c r="N483" i="1"/>
  <c r="K483" i="1"/>
  <c r="H483" i="1"/>
  <c r="E483" i="1"/>
  <c r="AF482" i="1"/>
  <c r="AD482" i="1"/>
  <c r="Z482" i="1"/>
  <c r="W482" i="1"/>
  <c r="U482" i="1"/>
  <c r="S482" i="1"/>
  <c r="N482" i="1"/>
  <c r="K482" i="1"/>
  <c r="H482" i="1"/>
  <c r="E482" i="1"/>
  <c r="AF481" i="1"/>
  <c r="AD481" i="1"/>
  <c r="Z481" i="1"/>
  <c r="W481" i="1"/>
  <c r="U481" i="1"/>
  <c r="S481" i="1"/>
  <c r="N481" i="1"/>
  <c r="K481" i="1"/>
  <c r="H481" i="1"/>
  <c r="E481" i="1"/>
  <c r="AY480" i="1"/>
  <c r="AS480" i="1"/>
  <c r="AU480" i="1" s="1"/>
  <c r="AM480" i="1"/>
  <c r="AO480" i="1" s="1"/>
  <c r="AJ480" i="1"/>
  <c r="AL480" i="1" s="1"/>
  <c r="AN480" i="1" s="1"/>
  <c r="AP480" i="1" s="1"/>
  <c r="AR480" i="1" s="1"/>
  <c r="AT480" i="1" s="1"/>
  <c r="AV480" i="1" s="1"/>
  <c r="AX480" i="1" s="1"/>
  <c r="AZ480" i="1" s="1"/>
  <c r="AF480" i="1"/>
  <c r="AD480" i="1"/>
  <c r="Z480" i="1"/>
  <c r="W480" i="1"/>
  <c r="U480" i="1"/>
  <c r="S480" i="1"/>
  <c r="N480" i="1"/>
  <c r="K480" i="1"/>
  <c r="H480" i="1"/>
  <c r="E480" i="1"/>
  <c r="AY479" i="1"/>
  <c r="AS479" i="1"/>
  <c r="AU479" i="1" s="1"/>
  <c r="AM479" i="1"/>
  <c r="AO479" i="1" s="1"/>
  <c r="AJ479" i="1"/>
  <c r="AL479" i="1" s="1"/>
  <c r="AN479" i="1" s="1"/>
  <c r="AP479" i="1" s="1"/>
  <c r="AR479" i="1" s="1"/>
  <c r="AT479" i="1" s="1"/>
  <c r="AV479" i="1" s="1"/>
  <c r="AX479" i="1" s="1"/>
  <c r="AZ479" i="1" s="1"/>
  <c r="AF479" i="1"/>
  <c r="AD479" i="1"/>
  <c r="Z479" i="1"/>
  <c r="W479" i="1"/>
  <c r="U479" i="1"/>
  <c r="S479" i="1"/>
  <c r="AY478" i="1"/>
  <c r="AS478" i="1"/>
  <c r="AU478" i="1" s="1"/>
  <c r="AM478" i="1"/>
  <c r="AO478" i="1" s="1"/>
  <c r="AH478" i="1"/>
  <c r="AJ478" i="1" s="1"/>
  <c r="AL478" i="1" s="1"/>
  <c r="AN478" i="1" s="1"/>
  <c r="AP478" i="1" s="1"/>
  <c r="AR478" i="1" s="1"/>
  <c r="AT478" i="1" s="1"/>
  <c r="AV478" i="1" s="1"/>
  <c r="AX478" i="1" s="1"/>
  <c r="AZ478" i="1" s="1"/>
  <c r="AF478" i="1"/>
  <c r="AD478" i="1"/>
  <c r="Z478" i="1"/>
  <c r="W478" i="1"/>
  <c r="U478" i="1"/>
  <c r="S478" i="1"/>
  <c r="N478" i="1"/>
  <c r="K478" i="1"/>
  <c r="H478" i="1"/>
  <c r="E478" i="1"/>
  <c r="AY477" i="1"/>
  <c r="AS477" i="1"/>
  <c r="AU477" i="1" s="1"/>
  <c r="AM477" i="1"/>
  <c r="AO477" i="1" s="1"/>
  <c r="AH477" i="1"/>
  <c r="AJ477" i="1" s="1"/>
  <c r="AL477" i="1" s="1"/>
  <c r="AN477" i="1" s="1"/>
  <c r="AP477" i="1" s="1"/>
  <c r="AR477" i="1" s="1"/>
  <c r="AT477" i="1" s="1"/>
  <c r="AV477" i="1" s="1"/>
  <c r="AX477" i="1" s="1"/>
  <c r="AZ477" i="1" s="1"/>
  <c r="AF477" i="1"/>
  <c r="AD477" i="1"/>
  <c r="Z477" i="1"/>
  <c r="W477" i="1"/>
  <c r="U477" i="1"/>
  <c r="S477" i="1"/>
  <c r="N477" i="1"/>
  <c r="K477" i="1"/>
  <c r="H477" i="1"/>
  <c r="E477" i="1"/>
  <c r="AY476" i="1"/>
  <c r="AS476" i="1"/>
  <c r="AU476" i="1" s="1"/>
  <c r="AM476" i="1"/>
  <c r="AO476" i="1" s="1"/>
  <c r="AH476" i="1"/>
  <c r="AJ476" i="1" s="1"/>
  <c r="AL476" i="1" s="1"/>
  <c r="AN476" i="1" s="1"/>
  <c r="AP476" i="1" s="1"/>
  <c r="AR476" i="1" s="1"/>
  <c r="AT476" i="1" s="1"/>
  <c r="AV476" i="1" s="1"/>
  <c r="AX476" i="1" s="1"/>
  <c r="AZ476" i="1" s="1"/>
  <c r="AF476" i="1"/>
  <c r="AD476" i="1"/>
  <c r="Z476" i="1"/>
  <c r="W476" i="1"/>
  <c r="U476" i="1"/>
  <c r="S476" i="1"/>
  <c r="N476" i="1"/>
  <c r="K476" i="1"/>
  <c r="H476" i="1"/>
  <c r="E476" i="1"/>
  <c r="AY475" i="1"/>
  <c r="AS475" i="1"/>
  <c r="AU475" i="1" s="1"/>
  <c r="AM475" i="1"/>
  <c r="AO475" i="1" s="1"/>
  <c r="AJ475" i="1"/>
  <c r="AL475" i="1" s="1"/>
  <c r="AF475" i="1"/>
  <c r="AD475" i="1"/>
  <c r="Z475" i="1"/>
  <c r="W475" i="1"/>
  <c r="U475" i="1"/>
  <c r="S475" i="1"/>
  <c r="N475" i="1"/>
  <c r="K475" i="1"/>
  <c r="H475" i="1"/>
  <c r="E475" i="1"/>
  <c r="AE471" i="1"/>
  <c r="Y471" i="1"/>
  <c r="V471" i="1"/>
  <c r="T471" i="1"/>
  <c r="R471" i="1"/>
  <c r="L471" i="1"/>
  <c r="J471" i="1"/>
  <c r="F471" i="1"/>
  <c r="B471" i="1"/>
  <c r="AY470" i="1"/>
  <c r="AS470" i="1"/>
  <c r="AU470" i="1" s="1"/>
  <c r="AK470" i="1"/>
  <c r="AM470" i="1" s="1"/>
  <c r="AO470" i="1" s="1"/>
  <c r="AH470" i="1"/>
  <c r="AJ470" i="1" s="1"/>
  <c r="AL470" i="1" s="1"/>
  <c r="AN470" i="1" s="1"/>
  <c r="AP470" i="1" s="1"/>
  <c r="AR470" i="1" s="1"/>
  <c r="AT470" i="1" s="1"/>
  <c r="AV470" i="1" s="1"/>
  <c r="AX470" i="1" s="1"/>
  <c r="AZ470" i="1" s="1"/>
  <c r="AF470" i="1"/>
  <c r="AD470" i="1"/>
  <c r="Z470" i="1"/>
  <c r="W470" i="1"/>
  <c r="S470" i="1"/>
  <c r="P470" i="1"/>
  <c r="U470" i="1" s="1"/>
  <c r="N470" i="1"/>
  <c r="K470" i="1"/>
  <c r="H470" i="1"/>
  <c r="E470" i="1"/>
  <c r="AY469" i="1"/>
  <c r="AS469" i="1"/>
  <c r="AU469" i="1" s="1"/>
  <c r="AM469" i="1"/>
  <c r="AO469" i="1" s="1"/>
  <c r="AH469" i="1"/>
  <c r="AJ469" i="1" s="1"/>
  <c r="AL469" i="1" s="1"/>
  <c r="AN469" i="1" s="1"/>
  <c r="AP469" i="1" s="1"/>
  <c r="AR469" i="1" s="1"/>
  <c r="AT469" i="1" s="1"/>
  <c r="AV469" i="1" s="1"/>
  <c r="AX469" i="1" s="1"/>
  <c r="AZ469" i="1" s="1"/>
  <c r="AF469" i="1"/>
  <c r="AD469" i="1"/>
  <c r="Z469" i="1"/>
  <c r="W469" i="1"/>
  <c r="S469" i="1"/>
  <c r="P469" i="1"/>
  <c r="U469" i="1" s="1"/>
  <c r="N469" i="1"/>
  <c r="K469" i="1"/>
  <c r="H469" i="1"/>
  <c r="E469" i="1"/>
  <c r="AF468" i="1"/>
  <c r="AD468" i="1"/>
  <c r="Z468" i="1"/>
  <c r="W468" i="1"/>
  <c r="U468" i="1"/>
  <c r="S468" i="1"/>
  <c r="N468" i="1"/>
  <c r="K468" i="1"/>
  <c r="H468" i="1"/>
  <c r="E468" i="1"/>
  <c r="AS467" i="1"/>
  <c r="AU467" i="1" s="1"/>
  <c r="AM467" i="1"/>
  <c r="AH467" i="1"/>
  <c r="AJ467" i="1" s="1"/>
  <c r="AL467" i="1" s="1"/>
  <c r="AN467" i="1" s="1"/>
  <c r="AP467" i="1" s="1"/>
  <c r="AR467" i="1" s="1"/>
  <c r="AT467" i="1" s="1"/>
  <c r="AV467" i="1" s="1"/>
  <c r="AX467" i="1" s="1"/>
  <c r="AZ467" i="1" s="1"/>
  <c r="AF467" i="1"/>
  <c r="AD467" i="1"/>
  <c r="Z467" i="1"/>
  <c r="W467" i="1"/>
  <c r="S467" i="1"/>
  <c r="P467" i="1"/>
  <c r="U467" i="1" s="1"/>
  <c r="N467" i="1"/>
  <c r="K467" i="1"/>
  <c r="H467" i="1"/>
  <c r="E467" i="1"/>
  <c r="AF466" i="1"/>
  <c r="AD466" i="1"/>
  <c r="Z466" i="1"/>
  <c r="W466" i="1"/>
  <c r="U466" i="1"/>
  <c r="S466" i="1"/>
  <c r="N466" i="1"/>
  <c r="K466" i="1"/>
  <c r="H466" i="1"/>
  <c r="E466" i="1"/>
  <c r="AY465" i="1"/>
  <c r="AS465" i="1"/>
  <c r="AU465" i="1" s="1"/>
  <c r="AM465" i="1"/>
  <c r="AO465" i="1" s="1"/>
  <c r="AH465" i="1"/>
  <c r="AJ465" i="1" s="1"/>
  <c r="AL465" i="1" s="1"/>
  <c r="AN465" i="1" s="1"/>
  <c r="AP465" i="1" s="1"/>
  <c r="AR465" i="1" s="1"/>
  <c r="AT465" i="1" s="1"/>
  <c r="AV465" i="1" s="1"/>
  <c r="AX465" i="1" s="1"/>
  <c r="AZ465" i="1" s="1"/>
  <c r="AF465" i="1"/>
  <c r="AD465" i="1"/>
  <c r="Z465" i="1"/>
  <c r="W465" i="1"/>
  <c r="S465" i="1"/>
  <c r="P465" i="1"/>
  <c r="U465" i="1" s="1"/>
  <c r="N465" i="1"/>
  <c r="K465" i="1"/>
  <c r="H465" i="1"/>
  <c r="E465" i="1"/>
  <c r="AF464" i="1"/>
  <c r="AD464" i="1"/>
  <c r="Z464" i="1"/>
  <c r="W464" i="1"/>
  <c r="U464" i="1"/>
  <c r="S464" i="1"/>
  <c r="N464" i="1"/>
  <c r="K464" i="1"/>
  <c r="H464" i="1"/>
  <c r="E464" i="1"/>
  <c r="AF463" i="1"/>
  <c r="AD463" i="1"/>
  <c r="Z463" i="1"/>
  <c r="W463" i="1"/>
  <c r="U463" i="1"/>
  <c r="S463" i="1"/>
  <c r="N463" i="1"/>
  <c r="K463" i="1"/>
  <c r="H463" i="1"/>
  <c r="E463" i="1"/>
  <c r="AY462" i="1"/>
  <c r="AS462" i="1"/>
  <c r="AU462" i="1" s="1"/>
  <c r="AM462" i="1"/>
  <c r="AO462" i="1" s="1"/>
  <c r="AH462" i="1"/>
  <c r="AJ462" i="1" s="1"/>
  <c r="AL462" i="1" s="1"/>
  <c r="AN462" i="1" s="1"/>
  <c r="AP462" i="1" s="1"/>
  <c r="AR462" i="1" s="1"/>
  <c r="AT462" i="1" s="1"/>
  <c r="AV462" i="1" s="1"/>
  <c r="AX462" i="1" s="1"/>
  <c r="AZ462" i="1" s="1"/>
  <c r="AF462" i="1"/>
  <c r="AD462" i="1"/>
  <c r="Z462" i="1"/>
  <c r="W462" i="1"/>
  <c r="S462" i="1"/>
  <c r="P462" i="1"/>
  <c r="U462" i="1" s="1"/>
  <c r="N462" i="1"/>
  <c r="K462" i="1"/>
  <c r="H462" i="1"/>
  <c r="E462" i="1"/>
  <c r="AL461" i="1"/>
  <c r="AN461" i="1" s="1"/>
  <c r="AP461" i="1" s="1"/>
  <c r="AR461" i="1" s="1"/>
  <c r="AT461" i="1" s="1"/>
  <c r="AV461" i="1" s="1"/>
  <c r="AX461" i="1" s="1"/>
  <c r="AZ461" i="1" s="1"/>
  <c r="AF461" i="1"/>
  <c r="AD461" i="1"/>
  <c r="Z461" i="1"/>
  <c r="W461" i="1"/>
  <c r="U461" i="1"/>
  <c r="S461" i="1"/>
  <c r="N461" i="1"/>
  <c r="K461" i="1"/>
  <c r="H461" i="1"/>
  <c r="E461" i="1"/>
  <c r="AF460" i="1"/>
  <c r="AD460" i="1"/>
  <c r="Z460" i="1"/>
  <c r="W460" i="1"/>
  <c r="U460" i="1"/>
  <c r="S460" i="1"/>
  <c r="AF459" i="1"/>
  <c r="AD459" i="1"/>
  <c r="Z459" i="1"/>
  <c r="W459" i="1"/>
  <c r="U459" i="1"/>
  <c r="S459" i="1"/>
  <c r="N459" i="1"/>
  <c r="K459" i="1"/>
  <c r="H459" i="1"/>
  <c r="E459" i="1"/>
  <c r="AH458" i="1"/>
  <c r="AJ458" i="1" s="1"/>
  <c r="AL458" i="1" s="1"/>
  <c r="AN458" i="1" s="1"/>
  <c r="AP458" i="1" s="1"/>
  <c r="AR458" i="1" s="1"/>
  <c r="AT458" i="1" s="1"/>
  <c r="AV458" i="1" s="1"/>
  <c r="AX458" i="1" s="1"/>
  <c r="AZ458" i="1" s="1"/>
  <c r="BP458" i="1" s="1"/>
  <c r="AF458" i="1"/>
  <c r="AD458" i="1"/>
  <c r="Z458" i="1"/>
  <c r="W458" i="1"/>
  <c r="S458" i="1"/>
  <c r="P458" i="1"/>
  <c r="U458" i="1" s="1"/>
  <c r="N458" i="1"/>
  <c r="K458" i="1"/>
  <c r="H458" i="1"/>
  <c r="E458" i="1"/>
  <c r="AH457" i="1"/>
  <c r="AJ457" i="1" s="1"/>
  <c r="AL457" i="1" s="1"/>
  <c r="AN457" i="1" s="1"/>
  <c r="AP457" i="1" s="1"/>
  <c r="AR457" i="1" s="1"/>
  <c r="AT457" i="1" s="1"/>
  <c r="AV457" i="1" s="1"/>
  <c r="AX457" i="1" s="1"/>
  <c r="AZ457" i="1" s="1"/>
  <c r="BP457" i="1" s="1"/>
  <c r="AF457" i="1"/>
  <c r="AD457" i="1"/>
  <c r="Z457" i="1"/>
  <c r="W457" i="1"/>
  <c r="S457" i="1"/>
  <c r="P457" i="1"/>
  <c r="U457" i="1" s="1"/>
  <c r="N457" i="1"/>
  <c r="K457" i="1"/>
  <c r="H457" i="1"/>
  <c r="E457" i="1"/>
  <c r="AH456" i="1"/>
  <c r="AJ456" i="1" s="1"/>
  <c r="AL456" i="1" s="1"/>
  <c r="AN456" i="1" s="1"/>
  <c r="AP456" i="1" s="1"/>
  <c r="AR456" i="1" s="1"/>
  <c r="AT456" i="1" s="1"/>
  <c r="AV456" i="1" s="1"/>
  <c r="AX456" i="1" s="1"/>
  <c r="AZ456" i="1" s="1"/>
  <c r="BP456" i="1" s="1"/>
  <c r="AF456" i="1"/>
  <c r="AD456" i="1"/>
  <c r="Z456" i="1"/>
  <c r="W456" i="1"/>
  <c r="S456" i="1"/>
  <c r="P456" i="1"/>
  <c r="U456" i="1" s="1"/>
  <c r="N456" i="1"/>
  <c r="K456" i="1"/>
  <c r="H456" i="1"/>
  <c r="E456" i="1"/>
  <c r="AJ455" i="1"/>
  <c r="AL455" i="1" s="1"/>
  <c r="AN455" i="1" s="1"/>
  <c r="AP455" i="1" s="1"/>
  <c r="AR455" i="1" s="1"/>
  <c r="AT455" i="1" s="1"/>
  <c r="AV455" i="1" s="1"/>
  <c r="AX455" i="1" s="1"/>
  <c r="AZ455" i="1" s="1"/>
  <c r="BP455" i="1" s="1"/>
  <c r="AF455" i="1"/>
  <c r="AD455" i="1"/>
  <c r="Z455" i="1"/>
  <c r="W455" i="1"/>
  <c r="S455" i="1"/>
  <c r="P455" i="1"/>
  <c r="U455" i="1" s="1"/>
  <c r="N455" i="1"/>
  <c r="K455" i="1"/>
  <c r="H455" i="1"/>
  <c r="E455" i="1"/>
  <c r="AJ454" i="1"/>
  <c r="AL454" i="1" s="1"/>
  <c r="AN454" i="1" s="1"/>
  <c r="AP454" i="1" s="1"/>
  <c r="AR454" i="1" s="1"/>
  <c r="AT454" i="1" s="1"/>
  <c r="AV454" i="1" s="1"/>
  <c r="AX454" i="1" s="1"/>
  <c r="AZ454" i="1" s="1"/>
  <c r="BP454" i="1" s="1"/>
  <c r="AF454" i="1"/>
  <c r="AD454" i="1"/>
  <c r="Z454" i="1"/>
  <c r="W454" i="1"/>
  <c r="S454" i="1"/>
  <c r="P454" i="1"/>
  <c r="U454" i="1" s="1"/>
  <c r="N454" i="1"/>
  <c r="K454" i="1"/>
  <c r="H454" i="1"/>
  <c r="E454" i="1"/>
  <c r="AJ453" i="1"/>
  <c r="AL453" i="1" s="1"/>
  <c r="AN453" i="1" s="1"/>
  <c r="AP453" i="1" s="1"/>
  <c r="AR453" i="1" s="1"/>
  <c r="AT453" i="1" s="1"/>
  <c r="AV453" i="1" s="1"/>
  <c r="AX453" i="1" s="1"/>
  <c r="AZ453" i="1" s="1"/>
  <c r="BP453" i="1" s="1"/>
  <c r="AF453" i="1"/>
  <c r="AC453" i="1"/>
  <c r="AD453" i="1" s="1"/>
  <c r="Z453" i="1"/>
  <c r="W453" i="1"/>
  <c r="U453" i="1"/>
  <c r="S453" i="1"/>
  <c r="N453" i="1"/>
  <c r="K453" i="1"/>
  <c r="H453" i="1"/>
  <c r="E453" i="1"/>
  <c r="AH452" i="1"/>
  <c r="AJ452" i="1" s="1"/>
  <c r="AL452" i="1" s="1"/>
  <c r="AN452" i="1" s="1"/>
  <c r="AP452" i="1" s="1"/>
  <c r="AR452" i="1" s="1"/>
  <c r="AT452" i="1" s="1"/>
  <c r="AV452" i="1" s="1"/>
  <c r="AX452" i="1" s="1"/>
  <c r="AZ452" i="1" s="1"/>
  <c r="BP452" i="1" s="1"/>
  <c r="AF452" i="1"/>
  <c r="AD452" i="1"/>
  <c r="Z452" i="1"/>
  <c r="W452" i="1"/>
  <c r="U452" i="1"/>
  <c r="S452" i="1"/>
  <c r="N452" i="1"/>
  <c r="K452" i="1"/>
  <c r="H452" i="1"/>
  <c r="E452" i="1"/>
  <c r="AJ451" i="1"/>
  <c r="AL451" i="1" s="1"/>
  <c r="AN451" i="1" s="1"/>
  <c r="AP451" i="1" s="1"/>
  <c r="AR451" i="1" s="1"/>
  <c r="AT451" i="1" s="1"/>
  <c r="AV451" i="1" s="1"/>
  <c r="AX451" i="1" s="1"/>
  <c r="AZ451" i="1" s="1"/>
  <c r="BP451" i="1" s="1"/>
  <c r="AF451" i="1"/>
  <c r="AD451" i="1"/>
  <c r="Z451" i="1"/>
  <c r="W451" i="1"/>
  <c r="S451" i="1"/>
  <c r="P451" i="1"/>
  <c r="U451" i="1" s="1"/>
  <c r="N451" i="1"/>
  <c r="K451" i="1"/>
  <c r="H451" i="1"/>
  <c r="E451" i="1"/>
  <c r="AL450" i="1"/>
  <c r="AN450" i="1" s="1"/>
  <c r="AP450" i="1" s="1"/>
  <c r="AR450" i="1" s="1"/>
  <c r="AT450" i="1" s="1"/>
  <c r="AV450" i="1" s="1"/>
  <c r="AX450" i="1" s="1"/>
  <c r="AZ450" i="1" s="1"/>
  <c r="BP450" i="1" s="1"/>
  <c r="AH450" i="1"/>
  <c r="AF450" i="1"/>
  <c r="AD450" i="1"/>
  <c r="Z450" i="1"/>
  <c r="W450" i="1"/>
  <c r="S450" i="1"/>
  <c r="P450" i="1"/>
  <c r="U450" i="1" s="1"/>
  <c r="N450" i="1"/>
  <c r="K450" i="1"/>
  <c r="H450" i="1"/>
  <c r="E450" i="1"/>
  <c r="AH449" i="1"/>
  <c r="AJ449" i="1" s="1"/>
  <c r="AL449" i="1" s="1"/>
  <c r="AN449" i="1" s="1"/>
  <c r="AP449" i="1" s="1"/>
  <c r="AR449" i="1" s="1"/>
  <c r="AT449" i="1" s="1"/>
  <c r="AV449" i="1" s="1"/>
  <c r="AX449" i="1" s="1"/>
  <c r="AZ449" i="1" s="1"/>
  <c r="BP449" i="1" s="1"/>
  <c r="AF449" i="1"/>
  <c r="AD449" i="1"/>
  <c r="Z449" i="1"/>
  <c r="W449" i="1"/>
  <c r="S449" i="1"/>
  <c r="P449" i="1"/>
  <c r="U449" i="1" s="1"/>
  <c r="N449" i="1"/>
  <c r="K449" i="1"/>
  <c r="H449" i="1"/>
  <c r="E449" i="1"/>
  <c r="AH448" i="1"/>
  <c r="AJ448" i="1" s="1"/>
  <c r="AL448" i="1" s="1"/>
  <c r="AN448" i="1" s="1"/>
  <c r="AP448" i="1" s="1"/>
  <c r="AR448" i="1" s="1"/>
  <c r="AT448" i="1" s="1"/>
  <c r="AV448" i="1" s="1"/>
  <c r="AX448" i="1" s="1"/>
  <c r="AZ448" i="1" s="1"/>
  <c r="BP448" i="1" s="1"/>
  <c r="AF448" i="1"/>
  <c r="AD448" i="1"/>
  <c r="Z448" i="1"/>
  <c r="W448" i="1"/>
  <c r="S448" i="1"/>
  <c r="P448" i="1"/>
  <c r="U448" i="1" s="1"/>
  <c r="N448" i="1"/>
  <c r="K448" i="1"/>
  <c r="H448" i="1"/>
  <c r="E448" i="1"/>
  <c r="AH447" i="1"/>
  <c r="AJ447" i="1" s="1"/>
  <c r="AL447" i="1" s="1"/>
  <c r="AN447" i="1" s="1"/>
  <c r="AP447" i="1" s="1"/>
  <c r="AR447" i="1" s="1"/>
  <c r="AT447" i="1" s="1"/>
  <c r="AV447" i="1" s="1"/>
  <c r="AX447" i="1" s="1"/>
  <c r="AZ447" i="1" s="1"/>
  <c r="BP447" i="1" s="1"/>
  <c r="AF447" i="1"/>
  <c r="AD447" i="1"/>
  <c r="Z447" i="1"/>
  <c r="W447" i="1"/>
  <c r="S447" i="1"/>
  <c r="P447" i="1"/>
  <c r="U447" i="1" s="1"/>
  <c r="N447" i="1"/>
  <c r="K447" i="1"/>
  <c r="H447" i="1"/>
  <c r="E447" i="1"/>
  <c r="AJ446" i="1"/>
  <c r="AL446" i="1" s="1"/>
  <c r="AN446" i="1" s="1"/>
  <c r="AP446" i="1" s="1"/>
  <c r="AR446" i="1" s="1"/>
  <c r="AT446" i="1" s="1"/>
  <c r="AV446" i="1" s="1"/>
  <c r="AX446" i="1" s="1"/>
  <c r="AZ446" i="1" s="1"/>
  <c r="BP446" i="1" s="1"/>
  <c r="AF446" i="1"/>
  <c r="AD446" i="1"/>
  <c r="Z446" i="1"/>
  <c r="W446" i="1"/>
  <c r="S446" i="1"/>
  <c r="P446" i="1"/>
  <c r="U446" i="1" s="1"/>
  <c r="N446" i="1"/>
  <c r="K446" i="1"/>
  <c r="H446" i="1"/>
  <c r="E446" i="1"/>
  <c r="AJ445" i="1"/>
  <c r="AL445" i="1" s="1"/>
  <c r="AN445" i="1" s="1"/>
  <c r="AP445" i="1" s="1"/>
  <c r="AR445" i="1" s="1"/>
  <c r="AT445" i="1" s="1"/>
  <c r="AV445" i="1" s="1"/>
  <c r="AX445" i="1" s="1"/>
  <c r="AZ445" i="1" s="1"/>
  <c r="BP445" i="1" s="1"/>
  <c r="AF445" i="1"/>
  <c r="AD445" i="1"/>
  <c r="Z445" i="1"/>
  <c r="W445" i="1"/>
  <c r="S445" i="1"/>
  <c r="P445" i="1"/>
  <c r="U445" i="1" s="1"/>
  <c r="N445" i="1"/>
  <c r="K445" i="1"/>
  <c r="H445" i="1"/>
  <c r="E445" i="1"/>
  <c r="AJ444" i="1"/>
  <c r="AL444" i="1" s="1"/>
  <c r="AN444" i="1" s="1"/>
  <c r="AP444" i="1" s="1"/>
  <c r="AR444" i="1" s="1"/>
  <c r="AT444" i="1" s="1"/>
  <c r="AV444" i="1" s="1"/>
  <c r="AX444" i="1" s="1"/>
  <c r="AZ444" i="1" s="1"/>
  <c r="BP444" i="1" s="1"/>
  <c r="AF444" i="1"/>
  <c r="AD444" i="1"/>
  <c r="Z444" i="1"/>
  <c r="W444" i="1"/>
  <c r="S444" i="1"/>
  <c r="P444" i="1"/>
  <c r="U444" i="1" s="1"/>
  <c r="N444" i="1"/>
  <c r="K444" i="1"/>
  <c r="H444" i="1"/>
  <c r="E444" i="1"/>
  <c r="AJ443" i="1"/>
  <c r="AL443" i="1" s="1"/>
  <c r="AN443" i="1" s="1"/>
  <c r="AP443" i="1" s="1"/>
  <c r="AR443" i="1" s="1"/>
  <c r="AT443" i="1" s="1"/>
  <c r="AV443" i="1" s="1"/>
  <c r="AX443" i="1" s="1"/>
  <c r="AZ443" i="1" s="1"/>
  <c r="BP443" i="1" s="1"/>
  <c r="AF443" i="1"/>
  <c r="AD443" i="1"/>
  <c r="Z443" i="1"/>
  <c r="W443" i="1"/>
  <c r="U443" i="1"/>
  <c r="S443" i="1"/>
  <c r="N443" i="1"/>
  <c r="K443" i="1"/>
  <c r="H443" i="1"/>
  <c r="E443" i="1"/>
  <c r="AJ442" i="1"/>
  <c r="AL442" i="1" s="1"/>
  <c r="AN442" i="1" s="1"/>
  <c r="AP442" i="1" s="1"/>
  <c r="AR442" i="1" s="1"/>
  <c r="AT442" i="1" s="1"/>
  <c r="AV442" i="1" s="1"/>
  <c r="AX442" i="1" s="1"/>
  <c r="AZ442" i="1" s="1"/>
  <c r="BP442" i="1" s="1"/>
  <c r="AF442" i="1"/>
  <c r="AD442" i="1"/>
  <c r="Z442" i="1"/>
  <c r="W442" i="1"/>
  <c r="U442" i="1"/>
  <c r="S442" i="1"/>
  <c r="N442" i="1"/>
  <c r="K442" i="1"/>
  <c r="H442" i="1"/>
  <c r="E442" i="1"/>
  <c r="AJ441" i="1"/>
  <c r="AF441" i="1"/>
  <c r="AD441" i="1"/>
  <c r="Z441" i="1"/>
  <c r="W441" i="1"/>
  <c r="S441" i="1"/>
  <c r="P441" i="1"/>
  <c r="U441" i="1" s="1"/>
  <c r="N441" i="1"/>
  <c r="K441" i="1"/>
  <c r="H441" i="1"/>
  <c r="D441" i="1"/>
  <c r="D471" i="1" s="1"/>
  <c r="AE439" i="1"/>
  <c r="Y439" i="1"/>
  <c r="T439" i="1"/>
  <c r="L439" i="1"/>
  <c r="F439" i="1"/>
  <c r="B439" i="1"/>
  <c r="AJ438" i="1"/>
  <c r="AL438" i="1" s="1"/>
  <c r="AN438" i="1" s="1"/>
  <c r="AP438" i="1" s="1"/>
  <c r="AR438" i="1" s="1"/>
  <c r="AT438" i="1" s="1"/>
  <c r="AV438" i="1" s="1"/>
  <c r="AX438" i="1" s="1"/>
  <c r="AZ438" i="1" s="1"/>
  <c r="BP438" i="1" s="1"/>
  <c r="AF438" i="1"/>
  <c r="AD438" i="1"/>
  <c r="Z438" i="1"/>
  <c r="W438" i="1"/>
  <c r="U438" i="1"/>
  <c r="S438" i="1"/>
  <c r="N438" i="1"/>
  <c r="K438" i="1"/>
  <c r="H438" i="1"/>
  <c r="E438" i="1"/>
  <c r="AF437" i="1"/>
  <c r="AD437" i="1"/>
  <c r="Z437" i="1"/>
  <c r="W437" i="1"/>
  <c r="U437" i="1"/>
  <c r="S437" i="1"/>
  <c r="N437" i="1"/>
  <c r="K437" i="1"/>
  <c r="H437" i="1"/>
  <c r="E437" i="1"/>
  <c r="AH436" i="1"/>
  <c r="AJ436" i="1" s="1"/>
  <c r="AL436" i="1" s="1"/>
  <c r="AN436" i="1" s="1"/>
  <c r="AP436" i="1" s="1"/>
  <c r="AR436" i="1" s="1"/>
  <c r="AT436" i="1" s="1"/>
  <c r="AV436" i="1" s="1"/>
  <c r="AX436" i="1" s="1"/>
  <c r="AZ436" i="1" s="1"/>
  <c r="BP436" i="1" s="1"/>
  <c r="AF436" i="1"/>
  <c r="AD436" i="1"/>
  <c r="Z436" i="1"/>
  <c r="W436" i="1"/>
  <c r="S436" i="1"/>
  <c r="P436" i="1"/>
  <c r="U436" i="1" s="1"/>
  <c r="N436" i="1"/>
  <c r="K436" i="1"/>
  <c r="H436" i="1"/>
  <c r="E436" i="1"/>
  <c r="AH435" i="1"/>
  <c r="AJ435" i="1" s="1"/>
  <c r="AL435" i="1" s="1"/>
  <c r="AN435" i="1" s="1"/>
  <c r="AP435" i="1" s="1"/>
  <c r="AR435" i="1" s="1"/>
  <c r="AT435" i="1" s="1"/>
  <c r="AV435" i="1" s="1"/>
  <c r="AX435" i="1" s="1"/>
  <c r="AZ435" i="1" s="1"/>
  <c r="BP435" i="1" s="1"/>
  <c r="AF435" i="1"/>
  <c r="AD435" i="1"/>
  <c r="Z435" i="1"/>
  <c r="W435" i="1"/>
  <c r="U435" i="1"/>
  <c r="S435" i="1"/>
  <c r="N435" i="1"/>
  <c r="K435" i="1"/>
  <c r="H435" i="1"/>
  <c r="D435" i="1"/>
  <c r="E435" i="1" s="1"/>
  <c r="AH434" i="1"/>
  <c r="AJ434" i="1" s="1"/>
  <c r="AL434" i="1" s="1"/>
  <c r="AN434" i="1" s="1"/>
  <c r="AP434" i="1" s="1"/>
  <c r="AR434" i="1" s="1"/>
  <c r="AT434" i="1" s="1"/>
  <c r="AV434" i="1" s="1"/>
  <c r="AX434" i="1" s="1"/>
  <c r="AZ434" i="1" s="1"/>
  <c r="BP434" i="1" s="1"/>
  <c r="AF434" i="1"/>
  <c r="AD434" i="1"/>
  <c r="Z434" i="1"/>
  <c r="W434" i="1"/>
  <c r="U434" i="1"/>
  <c r="S434" i="1"/>
  <c r="N434" i="1"/>
  <c r="K434" i="1"/>
  <c r="H434" i="1"/>
  <c r="E434" i="1"/>
  <c r="AH433" i="1"/>
  <c r="AJ433" i="1" s="1"/>
  <c r="AL433" i="1" s="1"/>
  <c r="AN433" i="1" s="1"/>
  <c r="AP433" i="1" s="1"/>
  <c r="AR433" i="1" s="1"/>
  <c r="AT433" i="1" s="1"/>
  <c r="AV433" i="1" s="1"/>
  <c r="AX433" i="1" s="1"/>
  <c r="AZ433" i="1" s="1"/>
  <c r="BP433" i="1" s="1"/>
  <c r="AF433" i="1"/>
  <c r="AD433" i="1"/>
  <c r="Z433" i="1"/>
  <c r="W433" i="1"/>
  <c r="S433" i="1"/>
  <c r="P433" i="1"/>
  <c r="U433" i="1" s="1"/>
  <c r="N433" i="1"/>
  <c r="K433" i="1"/>
  <c r="H433" i="1"/>
  <c r="E433" i="1"/>
  <c r="AH432" i="1"/>
  <c r="AJ432" i="1" s="1"/>
  <c r="AL432" i="1" s="1"/>
  <c r="AN432" i="1" s="1"/>
  <c r="AP432" i="1" s="1"/>
  <c r="AR432" i="1" s="1"/>
  <c r="AT432" i="1" s="1"/>
  <c r="AV432" i="1" s="1"/>
  <c r="AX432" i="1" s="1"/>
  <c r="AZ432" i="1" s="1"/>
  <c r="BP432" i="1" s="1"/>
  <c r="AF432" i="1"/>
  <c r="AD432" i="1"/>
  <c r="Z432" i="1"/>
  <c r="W432" i="1"/>
  <c r="S432" i="1"/>
  <c r="P432" i="1"/>
  <c r="U432" i="1" s="1"/>
  <c r="N432" i="1"/>
  <c r="K432" i="1"/>
  <c r="H432" i="1"/>
  <c r="E432" i="1"/>
  <c r="AH431" i="1"/>
  <c r="AJ431" i="1" s="1"/>
  <c r="AL431" i="1" s="1"/>
  <c r="AN431" i="1" s="1"/>
  <c r="AP431" i="1" s="1"/>
  <c r="AR431" i="1" s="1"/>
  <c r="AT431" i="1" s="1"/>
  <c r="AV431" i="1" s="1"/>
  <c r="AX431" i="1" s="1"/>
  <c r="AZ431" i="1" s="1"/>
  <c r="BP431" i="1" s="1"/>
  <c r="AF431" i="1"/>
  <c r="AD431" i="1"/>
  <c r="Z431" i="1"/>
  <c r="W431" i="1"/>
  <c r="S431" i="1"/>
  <c r="P431" i="1"/>
  <c r="U431" i="1" s="1"/>
  <c r="N431" i="1"/>
  <c r="K431" i="1"/>
  <c r="H431" i="1"/>
  <c r="E431" i="1"/>
  <c r="AJ430" i="1"/>
  <c r="AL430" i="1" s="1"/>
  <c r="AN430" i="1" s="1"/>
  <c r="AP430" i="1" s="1"/>
  <c r="AR430" i="1" s="1"/>
  <c r="AT430" i="1" s="1"/>
  <c r="AV430" i="1" s="1"/>
  <c r="AX430" i="1" s="1"/>
  <c r="AZ430" i="1" s="1"/>
  <c r="BP430" i="1" s="1"/>
  <c r="AF430" i="1"/>
  <c r="AD430" i="1"/>
  <c r="Z430" i="1"/>
  <c r="W430" i="1"/>
  <c r="U430" i="1"/>
  <c r="S430" i="1"/>
  <c r="N430" i="1"/>
  <c r="K430" i="1"/>
  <c r="H430" i="1"/>
  <c r="E430" i="1"/>
  <c r="AH429" i="1"/>
  <c r="AJ429" i="1" s="1"/>
  <c r="AL429" i="1" s="1"/>
  <c r="AN429" i="1" s="1"/>
  <c r="AP429" i="1" s="1"/>
  <c r="AR429" i="1" s="1"/>
  <c r="AT429" i="1" s="1"/>
  <c r="AV429" i="1" s="1"/>
  <c r="AX429" i="1" s="1"/>
  <c r="AZ429" i="1" s="1"/>
  <c r="BP429" i="1" s="1"/>
  <c r="AF429" i="1"/>
  <c r="AD429" i="1"/>
  <c r="Z429" i="1"/>
  <c r="W429" i="1"/>
  <c r="U429" i="1"/>
  <c r="S429" i="1"/>
  <c r="N429" i="1"/>
  <c r="K429" i="1"/>
  <c r="H429" i="1"/>
  <c r="E429" i="1"/>
  <c r="AF428" i="1"/>
  <c r="AD428" i="1"/>
  <c r="Z428" i="1"/>
  <c r="W428" i="1"/>
  <c r="U428" i="1"/>
  <c r="S428" i="1"/>
  <c r="N428" i="1"/>
  <c r="K428" i="1"/>
  <c r="H428" i="1"/>
  <c r="E428" i="1"/>
  <c r="AJ427" i="1"/>
  <c r="AL427" i="1" s="1"/>
  <c r="AN427" i="1" s="1"/>
  <c r="AP427" i="1" s="1"/>
  <c r="AR427" i="1" s="1"/>
  <c r="AT427" i="1" s="1"/>
  <c r="AV427" i="1" s="1"/>
  <c r="AX427" i="1" s="1"/>
  <c r="AZ427" i="1" s="1"/>
  <c r="BP427" i="1" s="1"/>
  <c r="AF427" i="1"/>
  <c r="AC427" i="1"/>
  <c r="AD427" i="1" s="1"/>
  <c r="Z427" i="1"/>
  <c r="W427" i="1"/>
  <c r="U427" i="1"/>
  <c r="S427" i="1"/>
  <c r="N427" i="1"/>
  <c r="J427" i="1"/>
  <c r="K427" i="1" s="1"/>
  <c r="H427" i="1"/>
  <c r="D427" i="1"/>
  <c r="E427" i="1" s="1"/>
  <c r="AH426" i="1"/>
  <c r="AJ426" i="1" s="1"/>
  <c r="AL426" i="1" s="1"/>
  <c r="AN426" i="1" s="1"/>
  <c r="AP426" i="1" s="1"/>
  <c r="AR426" i="1" s="1"/>
  <c r="AT426" i="1" s="1"/>
  <c r="AV426" i="1" s="1"/>
  <c r="AX426" i="1" s="1"/>
  <c r="AZ426" i="1" s="1"/>
  <c r="BP426" i="1" s="1"/>
  <c r="AF426" i="1"/>
  <c r="AC426" i="1"/>
  <c r="AD426" i="1" s="1"/>
  <c r="Z426" i="1"/>
  <c r="W426" i="1"/>
  <c r="S426" i="1"/>
  <c r="P426" i="1"/>
  <c r="U426" i="1" s="1"/>
  <c r="N426" i="1"/>
  <c r="J426" i="1"/>
  <c r="K426" i="1" s="1"/>
  <c r="H426" i="1"/>
  <c r="E426" i="1"/>
  <c r="AK425" i="1"/>
  <c r="AM425" i="1" s="1"/>
  <c r="AF425" i="1"/>
  <c r="AD425" i="1"/>
  <c r="Z425" i="1"/>
  <c r="W425" i="1"/>
  <c r="U425" i="1"/>
  <c r="S425" i="1"/>
  <c r="N425" i="1"/>
  <c r="K425" i="1"/>
  <c r="H425" i="1"/>
  <c r="E425" i="1"/>
  <c r="AH424" i="1"/>
  <c r="AJ424" i="1" s="1"/>
  <c r="AL424" i="1" s="1"/>
  <c r="AN424" i="1" s="1"/>
  <c r="AP424" i="1" s="1"/>
  <c r="AR424" i="1" s="1"/>
  <c r="AT424" i="1" s="1"/>
  <c r="AV424" i="1" s="1"/>
  <c r="AX424" i="1" s="1"/>
  <c r="AZ424" i="1" s="1"/>
  <c r="BP424" i="1" s="1"/>
  <c r="AF424" i="1"/>
  <c r="AD424" i="1"/>
  <c r="Z424" i="1"/>
  <c r="W424" i="1"/>
  <c r="U424" i="1"/>
  <c r="S424" i="1"/>
  <c r="N424" i="1"/>
  <c r="J424" i="1"/>
  <c r="K424" i="1" s="1"/>
  <c r="H424" i="1"/>
  <c r="E424" i="1"/>
  <c r="AH423" i="1"/>
  <c r="AJ423" i="1" s="1"/>
  <c r="AL423" i="1" s="1"/>
  <c r="AN423" i="1" s="1"/>
  <c r="AP423" i="1" s="1"/>
  <c r="AR423" i="1" s="1"/>
  <c r="AT423" i="1" s="1"/>
  <c r="AV423" i="1" s="1"/>
  <c r="AX423" i="1" s="1"/>
  <c r="AZ423" i="1" s="1"/>
  <c r="BP423" i="1" s="1"/>
  <c r="AF423" i="1"/>
  <c r="AD423" i="1"/>
  <c r="Z423" i="1"/>
  <c r="W423" i="1"/>
  <c r="S423" i="1"/>
  <c r="P423" i="1"/>
  <c r="U423" i="1" s="1"/>
  <c r="N423" i="1"/>
  <c r="K423" i="1"/>
  <c r="H423" i="1"/>
  <c r="E423" i="1"/>
  <c r="AH422" i="1"/>
  <c r="AJ422" i="1" s="1"/>
  <c r="AL422" i="1" s="1"/>
  <c r="AN422" i="1" s="1"/>
  <c r="AP422" i="1" s="1"/>
  <c r="AR422" i="1" s="1"/>
  <c r="AT422" i="1" s="1"/>
  <c r="AV422" i="1" s="1"/>
  <c r="AX422" i="1" s="1"/>
  <c r="AZ422" i="1" s="1"/>
  <c r="BP422" i="1" s="1"/>
  <c r="AF422" i="1"/>
  <c r="AD422" i="1"/>
  <c r="Z422" i="1"/>
  <c r="W422" i="1"/>
  <c r="S422" i="1"/>
  <c r="P422" i="1"/>
  <c r="U422" i="1" s="1"/>
  <c r="N422" i="1"/>
  <c r="K422" i="1"/>
  <c r="H422" i="1"/>
  <c r="E422" i="1"/>
  <c r="AH421" i="1"/>
  <c r="AJ421" i="1" s="1"/>
  <c r="AL421" i="1" s="1"/>
  <c r="AN421" i="1" s="1"/>
  <c r="AP421" i="1" s="1"/>
  <c r="AR421" i="1" s="1"/>
  <c r="AT421" i="1" s="1"/>
  <c r="AV421" i="1" s="1"/>
  <c r="AX421" i="1" s="1"/>
  <c r="AZ421" i="1" s="1"/>
  <c r="BP421" i="1" s="1"/>
  <c r="AF421" i="1"/>
  <c r="AD421" i="1"/>
  <c r="Z421" i="1"/>
  <c r="W421" i="1"/>
  <c r="S421" i="1"/>
  <c r="P421" i="1"/>
  <c r="U421" i="1" s="1"/>
  <c r="N421" i="1"/>
  <c r="K421" i="1"/>
  <c r="H421" i="1"/>
  <c r="E421" i="1"/>
  <c r="AH420" i="1"/>
  <c r="AJ420" i="1" s="1"/>
  <c r="AL420" i="1" s="1"/>
  <c r="AN420" i="1" s="1"/>
  <c r="AP420" i="1" s="1"/>
  <c r="AR420" i="1" s="1"/>
  <c r="AT420" i="1" s="1"/>
  <c r="AV420" i="1" s="1"/>
  <c r="AX420" i="1" s="1"/>
  <c r="AZ420" i="1" s="1"/>
  <c r="BP420" i="1" s="1"/>
  <c r="AF420" i="1"/>
  <c r="AD420" i="1"/>
  <c r="Z420" i="1"/>
  <c r="W420" i="1"/>
  <c r="S420" i="1"/>
  <c r="P420" i="1"/>
  <c r="U420" i="1" s="1"/>
  <c r="N420" i="1"/>
  <c r="K420" i="1"/>
  <c r="H420" i="1"/>
  <c r="E420" i="1"/>
  <c r="AH419" i="1"/>
  <c r="AJ419" i="1" s="1"/>
  <c r="AL419" i="1" s="1"/>
  <c r="AN419" i="1" s="1"/>
  <c r="AP419" i="1" s="1"/>
  <c r="AR419" i="1" s="1"/>
  <c r="AT419" i="1" s="1"/>
  <c r="AV419" i="1" s="1"/>
  <c r="AX419" i="1" s="1"/>
  <c r="AZ419" i="1" s="1"/>
  <c r="BP419" i="1" s="1"/>
  <c r="AF419" i="1"/>
  <c r="AD419" i="1"/>
  <c r="Z419" i="1"/>
  <c r="W419" i="1"/>
  <c r="S419" i="1"/>
  <c r="P419" i="1"/>
  <c r="U419" i="1" s="1"/>
  <c r="N419" i="1"/>
  <c r="K419" i="1"/>
  <c r="H419" i="1"/>
  <c r="E419" i="1"/>
  <c r="AJ418" i="1"/>
  <c r="AL418" i="1" s="1"/>
  <c r="AN418" i="1" s="1"/>
  <c r="AP418" i="1" s="1"/>
  <c r="AR418" i="1" s="1"/>
  <c r="AT418" i="1" s="1"/>
  <c r="AV418" i="1" s="1"/>
  <c r="AX418" i="1" s="1"/>
  <c r="AZ418" i="1" s="1"/>
  <c r="BP418" i="1" s="1"/>
  <c r="AF418" i="1"/>
  <c r="AD418" i="1"/>
  <c r="Z418" i="1"/>
  <c r="W418" i="1"/>
  <c r="U418" i="1"/>
  <c r="S418" i="1"/>
  <c r="N418" i="1"/>
  <c r="K418" i="1"/>
  <c r="H418" i="1"/>
  <c r="E418" i="1"/>
  <c r="AJ417" i="1"/>
  <c r="AL417" i="1" s="1"/>
  <c r="AN417" i="1" s="1"/>
  <c r="AP417" i="1" s="1"/>
  <c r="AR417" i="1" s="1"/>
  <c r="AT417" i="1" s="1"/>
  <c r="AV417" i="1" s="1"/>
  <c r="AX417" i="1" s="1"/>
  <c r="AZ417" i="1" s="1"/>
  <c r="BP417" i="1" s="1"/>
  <c r="AF417" i="1"/>
  <c r="AD417" i="1"/>
  <c r="Z417" i="1"/>
  <c r="W417" i="1"/>
  <c r="U417" i="1"/>
  <c r="S417" i="1"/>
  <c r="N417" i="1"/>
  <c r="K417" i="1"/>
  <c r="H417" i="1"/>
  <c r="E417" i="1"/>
  <c r="AH416" i="1"/>
  <c r="AJ416" i="1" s="1"/>
  <c r="AL416" i="1" s="1"/>
  <c r="AN416" i="1" s="1"/>
  <c r="AP416" i="1" s="1"/>
  <c r="AR416" i="1" s="1"/>
  <c r="AT416" i="1" s="1"/>
  <c r="AV416" i="1" s="1"/>
  <c r="AX416" i="1" s="1"/>
  <c r="AZ416" i="1" s="1"/>
  <c r="BP416" i="1" s="1"/>
  <c r="AF416" i="1"/>
  <c r="AD416" i="1"/>
  <c r="Z416" i="1"/>
  <c r="W416" i="1"/>
  <c r="R416" i="1"/>
  <c r="R439" i="1" s="1"/>
  <c r="P416" i="1"/>
  <c r="U416" i="1" s="1"/>
  <c r="N416" i="1"/>
  <c r="K416" i="1"/>
  <c r="H416" i="1"/>
  <c r="E416" i="1"/>
  <c r="AH415" i="1"/>
  <c r="AJ415" i="1" s="1"/>
  <c r="AL415" i="1" s="1"/>
  <c r="AN415" i="1" s="1"/>
  <c r="AP415" i="1" s="1"/>
  <c r="AR415" i="1" s="1"/>
  <c r="AT415" i="1" s="1"/>
  <c r="AV415" i="1" s="1"/>
  <c r="AX415" i="1" s="1"/>
  <c r="AZ415" i="1" s="1"/>
  <c r="BP415" i="1" s="1"/>
  <c r="AF415" i="1"/>
  <c r="AD415" i="1"/>
  <c r="Z415" i="1"/>
  <c r="W415" i="1"/>
  <c r="S415" i="1"/>
  <c r="P415" i="1"/>
  <c r="U415" i="1" s="1"/>
  <c r="N415" i="1"/>
  <c r="K415" i="1"/>
  <c r="H415" i="1"/>
  <c r="E415" i="1"/>
  <c r="AJ414" i="1"/>
  <c r="AL414" i="1" s="1"/>
  <c r="AN414" i="1" s="1"/>
  <c r="AP414" i="1" s="1"/>
  <c r="AR414" i="1" s="1"/>
  <c r="AT414" i="1" s="1"/>
  <c r="AV414" i="1" s="1"/>
  <c r="AX414" i="1" s="1"/>
  <c r="AZ414" i="1" s="1"/>
  <c r="BP414" i="1" s="1"/>
  <c r="AF414" i="1"/>
  <c r="AD414" i="1"/>
  <c r="Z414" i="1"/>
  <c r="W414" i="1"/>
  <c r="S414" i="1"/>
  <c r="P414" i="1"/>
  <c r="U414" i="1" s="1"/>
  <c r="N414" i="1"/>
  <c r="K414" i="1"/>
  <c r="H414" i="1"/>
  <c r="E414" i="1"/>
  <c r="AH411" i="1"/>
  <c r="AJ411" i="1" s="1"/>
  <c r="AL411" i="1" s="1"/>
  <c r="AN411" i="1" s="1"/>
  <c r="AP411" i="1" s="1"/>
  <c r="AR411" i="1" s="1"/>
  <c r="AT411" i="1" s="1"/>
  <c r="AV411" i="1" s="1"/>
  <c r="AX411" i="1" s="1"/>
  <c r="AZ411" i="1" s="1"/>
  <c r="BP411" i="1" s="1"/>
  <c r="AF411" i="1"/>
  <c r="AD411" i="1"/>
  <c r="Z411" i="1"/>
  <c r="W411" i="1"/>
  <c r="S411" i="1"/>
  <c r="P411" i="1"/>
  <c r="U411" i="1" s="1"/>
  <c r="N411" i="1"/>
  <c r="K411" i="1"/>
  <c r="H411" i="1"/>
  <c r="E411" i="1"/>
  <c r="AJ410" i="1"/>
  <c r="AL410" i="1" s="1"/>
  <c r="AN410" i="1" s="1"/>
  <c r="AP410" i="1" s="1"/>
  <c r="AR410" i="1" s="1"/>
  <c r="AT410" i="1" s="1"/>
  <c r="AV410" i="1" s="1"/>
  <c r="AX410" i="1" s="1"/>
  <c r="AZ410" i="1" s="1"/>
  <c r="BP410" i="1" s="1"/>
  <c r="AF410" i="1"/>
  <c r="AD410" i="1"/>
  <c r="Z410" i="1"/>
  <c r="W410" i="1"/>
  <c r="U410" i="1"/>
  <c r="S410" i="1"/>
  <c r="N410" i="1"/>
  <c r="K410" i="1"/>
  <c r="H410" i="1"/>
  <c r="E410" i="1"/>
  <c r="AH409" i="1"/>
  <c r="AJ409" i="1" s="1"/>
  <c r="AL409" i="1" s="1"/>
  <c r="AN409" i="1" s="1"/>
  <c r="AP409" i="1" s="1"/>
  <c r="AR409" i="1" s="1"/>
  <c r="AT409" i="1" s="1"/>
  <c r="AV409" i="1" s="1"/>
  <c r="AX409" i="1" s="1"/>
  <c r="AZ409" i="1" s="1"/>
  <c r="BP409" i="1" s="1"/>
  <c r="AF409" i="1"/>
  <c r="AD409" i="1"/>
  <c r="Z409" i="1"/>
  <c r="V409" i="1"/>
  <c r="V439" i="1" s="1"/>
  <c r="S409" i="1"/>
  <c r="P409" i="1"/>
  <c r="U409" i="1" s="1"/>
  <c r="N409" i="1"/>
  <c r="K409" i="1"/>
  <c r="H409" i="1"/>
  <c r="D409" i="1"/>
  <c r="E409" i="1" s="1"/>
  <c r="AF408" i="1"/>
  <c r="AD408" i="1"/>
  <c r="Z408" i="1"/>
  <c r="W408" i="1"/>
  <c r="U408" i="1"/>
  <c r="S408" i="1"/>
  <c r="AS407" i="1"/>
  <c r="AK407" i="1"/>
  <c r="AM407" i="1" s="1"/>
  <c r="AH407" i="1"/>
  <c r="AJ407" i="1" s="1"/>
  <c r="AL407" i="1" s="1"/>
  <c r="AN407" i="1" s="1"/>
  <c r="AP407" i="1" s="1"/>
  <c r="AR407" i="1" s="1"/>
  <c r="AT407" i="1" s="1"/>
  <c r="AV407" i="1" s="1"/>
  <c r="AX407" i="1" s="1"/>
  <c r="AZ407" i="1" s="1"/>
  <c r="BP407" i="1" s="1"/>
  <c r="AF407" i="1"/>
  <c r="AD407" i="1"/>
  <c r="Z407" i="1"/>
  <c r="W407" i="1"/>
  <c r="S407" i="1"/>
  <c r="P407" i="1"/>
  <c r="U407" i="1" s="1"/>
  <c r="N407" i="1"/>
  <c r="K407" i="1"/>
  <c r="H407" i="1"/>
  <c r="E407" i="1"/>
  <c r="AS406" i="1"/>
  <c r="AK406" i="1"/>
  <c r="AM406" i="1" s="1"/>
  <c r="AH406" i="1"/>
  <c r="AJ406" i="1" s="1"/>
  <c r="AL406" i="1" s="1"/>
  <c r="AN406" i="1" s="1"/>
  <c r="AP406" i="1" s="1"/>
  <c r="AR406" i="1" s="1"/>
  <c r="AT406" i="1" s="1"/>
  <c r="AV406" i="1" s="1"/>
  <c r="AX406" i="1" s="1"/>
  <c r="AZ406" i="1" s="1"/>
  <c r="BP406" i="1" s="1"/>
  <c r="AF406" i="1"/>
  <c r="AD406" i="1"/>
  <c r="Z406" i="1"/>
  <c r="W406" i="1"/>
  <c r="U406" i="1"/>
  <c r="S406" i="1"/>
  <c r="N406" i="1"/>
  <c r="K406" i="1"/>
  <c r="H406" i="1"/>
  <c r="E406" i="1"/>
  <c r="AF405" i="1"/>
  <c r="AD405" i="1"/>
  <c r="Z405" i="1"/>
  <c r="W405" i="1"/>
  <c r="U405" i="1"/>
  <c r="S405" i="1"/>
  <c r="N405" i="1"/>
  <c r="K405" i="1"/>
  <c r="H405" i="1"/>
  <c r="E405" i="1"/>
  <c r="AF404" i="1"/>
  <c r="AD404" i="1"/>
  <c r="Z404" i="1"/>
  <c r="W404" i="1"/>
  <c r="U404" i="1"/>
  <c r="S404" i="1"/>
  <c r="N404" i="1"/>
  <c r="K404" i="1"/>
  <c r="H404" i="1"/>
  <c r="E404" i="1"/>
  <c r="AK403" i="1"/>
  <c r="AM403" i="1" s="1"/>
  <c r="AJ403" i="1"/>
  <c r="AL403" i="1" s="1"/>
  <c r="AN403" i="1" s="1"/>
  <c r="AP403" i="1" s="1"/>
  <c r="AR403" i="1" s="1"/>
  <c r="AT403" i="1" s="1"/>
  <c r="AV403" i="1" s="1"/>
  <c r="AX403" i="1" s="1"/>
  <c r="AZ403" i="1" s="1"/>
  <c r="BP403" i="1" s="1"/>
  <c r="AF403" i="1"/>
  <c r="AD403" i="1"/>
  <c r="Z403" i="1"/>
  <c r="W403" i="1"/>
  <c r="S403" i="1"/>
  <c r="P403" i="1"/>
  <c r="U403" i="1" s="1"/>
  <c r="N403" i="1"/>
  <c r="K403" i="1"/>
  <c r="H403" i="1"/>
  <c r="E403" i="1"/>
  <c r="AJ402" i="1"/>
  <c r="AL402" i="1" s="1"/>
  <c r="AN402" i="1" s="1"/>
  <c r="AP402" i="1" s="1"/>
  <c r="AR402" i="1" s="1"/>
  <c r="AT402" i="1" s="1"/>
  <c r="AV402" i="1" s="1"/>
  <c r="AX402" i="1" s="1"/>
  <c r="AZ402" i="1" s="1"/>
  <c r="BP402" i="1" s="1"/>
  <c r="AF402" i="1"/>
  <c r="AD402" i="1"/>
  <c r="Z402" i="1"/>
  <c r="W402" i="1"/>
  <c r="S402" i="1"/>
  <c r="P402" i="1"/>
  <c r="U402" i="1" s="1"/>
  <c r="N402" i="1"/>
  <c r="K402" i="1"/>
  <c r="H402" i="1"/>
  <c r="E402" i="1"/>
  <c r="AJ401" i="1"/>
  <c r="AL401" i="1" s="1"/>
  <c r="AN401" i="1" s="1"/>
  <c r="AP401" i="1" s="1"/>
  <c r="AR401" i="1" s="1"/>
  <c r="AT401" i="1" s="1"/>
  <c r="AV401" i="1" s="1"/>
  <c r="AX401" i="1" s="1"/>
  <c r="AZ401" i="1" s="1"/>
  <c r="BP401" i="1" s="1"/>
  <c r="AF401" i="1"/>
  <c r="AD401" i="1"/>
  <c r="Z401" i="1"/>
  <c r="W401" i="1"/>
  <c r="U401" i="1"/>
  <c r="S401" i="1"/>
  <c r="N401" i="1"/>
  <c r="K401" i="1"/>
  <c r="H401" i="1"/>
  <c r="E401" i="1"/>
  <c r="AF400" i="1"/>
  <c r="AD400" i="1"/>
  <c r="Z400" i="1"/>
  <c r="W400" i="1"/>
  <c r="U400" i="1"/>
  <c r="S400" i="1"/>
  <c r="N400" i="1"/>
  <c r="K400" i="1"/>
  <c r="H400" i="1"/>
  <c r="E400" i="1"/>
  <c r="AJ399" i="1"/>
  <c r="AL399" i="1" s="1"/>
  <c r="AN399" i="1" s="1"/>
  <c r="AP399" i="1" s="1"/>
  <c r="AR399" i="1" s="1"/>
  <c r="AF399" i="1"/>
  <c r="AD399" i="1"/>
  <c r="Z399" i="1"/>
  <c r="W399" i="1"/>
  <c r="U399" i="1"/>
  <c r="S399" i="1"/>
  <c r="N399" i="1"/>
  <c r="K399" i="1"/>
  <c r="H399" i="1"/>
  <c r="E399" i="1"/>
  <c r="AJ398" i="1"/>
  <c r="AL398" i="1" s="1"/>
  <c r="AN398" i="1" s="1"/>
  <c r="AP398" i="1" s="1"/>
  <c r="AR398" i="1" s="1"/>
  <c r="AT398" i="1" s="1"/>
  <c r="AV398" i="1" s="1"/>
  <c r="AX398" i="1" s="1"/>
  <c r="AZ398" i="1" s="1"/>
  <c r="BP398" i="1" s="1"/>
  <c r="AF398" i="1"/>
  <c r="AD398" i="1"/>
  <c r="Z398" i="1"/>
  <c r="W398" i="1"/>
  <c r="U398" i="1"/>
  <c r="S398" i="1"/>
  <c r="N398" i="1"/>
  <c r="K398" i="1"/>
  <c r="H398" i="1"/>
  <c r="E398" i="1"/>
  <c r="AF397" i="1"/>
  <c r="AD397" i="1"/>
  <c r="Z397" i="1"/>
  <c r="W397" i="1"/>
  <c r="U397" i="1"/>
  <c r="S397" i="1"/>
  <c r="N397" i="1"/>
  <c r="K397" i="1"/>
  <c r="H397" i="1"/>
  <c r="E397" i="1"/>
  <c r="AH396" i="1"/>
  <c r="AJ396" i="1" s="1"/>
  <c r="AL396" i="1" s="1"/>
  <c r="AN396" i="1" s="1"/>
  <c r="AP396" i="1" s="1"/>
  <c r="AR396" i="1" s="1"/>
  <c r="AT396" i="1" s="1"/>
  <c r="AV396" i="1" s="1"/>
  <c r="AX396" i="1" s="1"/>
  <c r="AZ396" i="1" s="1"/>
  <c r="BP396" i="1" s="1"/>
  <c r="AF396" i="1"/>
  <c r="AD396" i="1"/>
  <c r="Z396" i="1"/>
  <c r="W396" i="1"/>
  <c r="S396" i="1"/>
  <c r="P396" i="1"/>
  <c r="U396" i="1" s="1"/>
  <c r="N396" i="1"/>
  <c r="K396" i="1"/>
  <c r="H396" i="1"/>
  <c r="E396" i="1"/>
  <c r="AJ395" i="1"/>
  <c r="AL395" i="1" s="1"/>
  <c r="AN395" i="1" s="1"/>
  <c r="AP395" i="1" s="1"/>
  <c r="AR395" i="1" s="1"/>
  <c r="AT395" i="1" s="1"/>
  <c r="AV395" i="1" s="1"/>
  <c r="AX395" i="1" s="1"/>
  <c r="AZ395" i="1" s="1"/>
  <c r="BP395" i="1" s="1"/>
  <c r="AF395" i="1"/>
  <c r="AD395" i="1"/>
  <c r="Z395" i="1"/>
  <c r="W395" i="1"/>
  <c r="U395" i="1"/>
  <c r="S395" i="1"/>
  <c r="N395" i="1"/>
  <c r="K395" i="1"/>
  <c r="H395" i="1"/>
  <c r="E395" i="1"/>
  <c r="AJ394" i="1"/>
  <c r="AL394" i="1" s="1"/>
  <c r="AN394" i="1" s="1"/>
  <c r="AP394" i="1" s="1"/>
  <c r="AR394" i="1" s="1"/>
  <c r="AT394" i="1" s="1"/>
  <c r="AV394" i="1" s="1"/>
  <c r="AX394" i="1" s="1"/>
  <c r="AZ394" i="1" s="1"/>
  <c r="BP394" i="1" s="1"/>
  <c r="AF394" i="1"/>
  <c r="AD394" i="1"/>
  <c r="Z394" i="1"/>
  <c r="W394" i="1"/>
  <c r="U394" i="1"/>
  <c r="S394" i="1"/>
  <c r="N394" i="1"/>
  <c r="K394" i="1"/>
  <c r="H394" i="1"/>
  <c r="E394" i="1"/>
  <c r="AJ393" i="1"/>
  <c r="AF393" i="1"/>
  <c r="AD393" i="1"/>
  <c r="Z393" i="1"/>
  <c r="W393" i="1"/>
  <c r="S393" i="1"/>
  <c r="P393" i="1"/>
  <c r="U393" i="1" s="1"/>
  <c r="N393" i="1"/>
  <c r="K393" i="1"/>
  <c r="H393" i="1"/>
  <c r="E393" i="1"/>
  <c r="AE388" i="1"/>
  <c r="AC388" i="1"/>
  <c r="Y388" i="1"/>
  <c r="T388" i="1"/>
  <c r="R388" i="1"/>
  <c r="L388" i="1"/>
  <c r="F388" i="1"/>
  <c r="AK387" i="1"/>
  <c r="AM387" i="1" s="1"/>
  <c r="AH387" i="1"/>
  <c r="AJ387" i="1" s="1"/>
  <c r="AL387" i="1" s="1"/>
  <c r="AN387" i="1" s="1"/>
  <c r="AP387" i="1" s="1"/>
  <c r="AR387" i="1" s="1"/>
  <c r="AT387" i="1" s="1"/>
  <c r="AV387" i="1" s="1"/>
  <c r="AX387" i="1" s="1"/>
  <c r="AZ387" i="1" s="1"/>
  <c r="BP387" i="1" s="1"/>
  <c r="AF387" i="1"/>
  <c r="AD387" i="1"/>
  <c r="Z387" i="1"/>
  <c r="V387" i="1"/>
  <c r="V388" i="1" s="1"/>
  <c r="U387" i="1"/>
  <c r="S387" i="1"/>
  <c r="N387" i="1"/>
  <c r="J387" i="1"/>
  <c r="K387" i="1" s="1"/>
  <c r="H387" i="1"/>
  <c r="D387" i="1"/>
  <c r="D388" i="1" s="1"/>
  <c r="AH386" i="1"/>
  <c r="AJ386" i="1" s="1"/>
  <c r="AL386" i="1" s="1"/>
  <c r="AN386" i="1" s="1"/>
  <c r="AP386" i="1" s="1"/>
  <c r="AR386" i="1" s="1"/>
  <c r="AT386" i="1" s="1"/>
  <c r="AV386" i="1" s="1"/>
  <c r="AX386" i="1" s="1"/>
  <c r="AZ386" i="1" s="1"/>
  <c r="BP386" i="1" s="1"/>
  <c r="AF386" i="1"/>
  <c r="AD386" i="1"/>
  <c r="Z386" i="1"/>
  <c r="W386" i="1"/>
  <c r="S386" i="1"/>
  <c r="P386" i="1"/>
  <c r="U386" i="1" s="1"/>
  <c r="N386" i="1"/>
  <c r="K386" i="1"/>
  <c r="H386" i="1"/>
  <c r="E386" i="1"/>
  <c r="AH385" i="1"/>
  <c r="AJ385" i="1" s="1"/>
  <c r="AL385" i="1" s="1"/>
  <c r="AN385" i="1" s="1"/>
  <c r="AP385" i="1" s="1"/>
  <c r="AR385" i="1" s="1"/>
  <c r="AT385" i="1" s="1"/>
  <c r="AV385" i="1" s="1"/>
  <c r="AX385" i="1" s="1"/>
  <c r="AZ385" i="1" s="1"/>
  <c r="BP385" i="1" s="1"/>
  <c r="AF385" i="1"/>
  <c r="AD385" i="1"/>
  <c r="Z385" i="1"/>
  <c r="W385" i="1"/>
  <c r="U385" i="1"/>
  <c r="S385" i="1"/>
  <c r="AV384" i="1"/>
  <c r="AX384" i="1" s="1"/>
  <c r="AZ384" i="1" s="1"/>
  <c r="BP384" i="1" s="1"/>
  <c r="AJ384" i="1"/>
  <c r="AL384" i="1" s="1"/>
  <c r="AF384" i="1"/>
  <c r="AD384" i="1"/>
  <c r="Z384" i="1"/>
  <c r="W384" i="1"/>
  <c r="U384" i="1"/>
  <c r="S384" i="1"/>
  <c r="N384" i="1"/>
  <c r="K384" i="1"/>
  <c r="H384" i="1"/>
  <c r="E384" i="1"/>
  <c r="AJ383" i="1"/>
  <c r="AL383" i="1" s="1"/>
  <c r="AN383" i="1" s="1"/>
  <c r="AP383" i="1" s="1"/>
  <c r="AR383" i="1" s="1"/>
  <c r="AT383" i="1" s="1"/>
  <c r="AV383" i="1" s="1"/>
  <c r="AX383" i="1" s="1"/>
  <c r="AZ383" i="1" s="1"/>
  <c r="BP383" i="1" s="1"/>
  <c r="AF383" i="1"/>
  <c r="AD383" i="1"/>
  <c r="Z383" i="1"/>
  <c r="W383" i="1"/>
  <c r="S383" i="1"/>
  <c r="P383" i="1"/>
  <c r="U383" i="1" s="1"/>
  <c r="N383" i="1"/>
  <c r="K383" i="1"/>
  <c r="H383" i="1"/>
  <c r="E383" i="1"/>
  <c r="AN382" i="1"/>
  <c r="AP382" i="1" s="1"/>
  <c r="AR382" i="1" s="1"/>
  <c r="AT382" i="1" s="1"/>
  <c r="AV382" i="1" s="1"/>
  <c r="AX382" i="1" s="1"/>
  <c r="AZ382" i="1" s="1"/>
  <c r="BP382" i="1" s="1"/>
  <c r="AJ382" i="1"/>
  <c r="AF382" i="1"/>
  <c r="AD382" i="1"/>
  <c r="Z382" i="1"/>
  <c r="W382" i="1"/>
  <c r="U382" i="1"/>
  <c r="S382" i="1"/>
  <c r="N382" i="1"/>
  <c r="K382" i="1"/>
  <c r="H382" i="1"/>
  <c r="E382" i="1"/>
  <c r="AJ381" i="1"/>
  <c r="AL381" i="1" s="1"/>
  <c r="AN381" i="1" s="1"/>
  <c r="AP381" i="1" s="1"/>
  <c r="AR381" i="1" s="1"/>
  <c r="AT381" i="1" s="1"/>
  <c r="AV381" i="1" s="1"/>
  <c r="AX381" i="1" s="1"/>
  <c r="AZ381" i="1" s="1"/>
  <c r="BP381" i="1" s="1"/>
  <c r="AF381" i="1"/>
  <c r="AD381" i="1"/>
  <c r="Z381" i="1"/>
  <c r="W381" i="1"/>
  <c r="U381" i="1"/>
  <c r="S381" i="1"/>
  <c r="N381" i="1"/>
  <c r="K381" i="1"/>
  <c r="H381" i="1"/>
  <c r="E381" i="1"/>
  <c r="AJ380" i="1"/>
  <c r="AL380" i="1" s="1"/>
  <c r="AN380" i="1" s="1"/>
  <c r="AP380" i="1" s="1"/>
  <c r="AR380" i="1" s="1"/>
  <c r="AT380" i="1" s="1"/>
  <c r="AV380" i="1" s="1"/>
  <c r="AX380" i="1" s="1"/>
  <c r="AZ380" i="1" s="1"/>
  <c r="BP380" i="1" s="1"/>
  <c r="AF380" i="1"/>
  <c r="AD380" i="1"/>
  <c r="Z380" i="1"/>
  <c r="W380" i="1"/>
  <c r="U380" i="1"/>
  <c r="S380" i="1"/>
  <c r="N380" i="1"/>
  <c r="K380" i="1"/>
  <c r="H380" i="1"/>
  <c r="E380" i="1"/>
  <c r="AF379" i="1"/>
  <c r="AD379" i="1"/>
  <c r="Z379" i="1"/>
  <c r="W379" i="1"/>
  <c r="U379" i="1"/>
  <c r="S379" i="1"/>
  <c r="N379" i="1"/>
  <c r="K379" i="1"/>
  <c r="H379" i="1"/>
  <c r="E379" i="1"/>
  <c r="AT378" i="1"/>
  <c r="AR378" i="1"/>
  <c r="AP378" i="1"/>
  <c r="AN378" i="1"/>
  <c r="AV378" i="1" s="1"/>
  <c r="AL378" i="1"/>
  <c r="AJ378" i="1"/>
  <c r="AH378" i="1"/>
  <c r="AF378" i="1"/>
  <c r="AD378" i="1"/>
  <c r="Z378" i="1"/>
  <c r="W378" i="1"/>
  <c r="U378" i="1"/>
  <c r="S378" i="1"/>
  <c r="N378" i="1"/>
  <c r="K378" i="1"/>
  <c r="E378" i="1"/>
  <c r="B378" i="1"/>
  <c r="B388" i="1" s="1"/>
  <c r="AH377" i="1"/>
  <c r="AJ377" i="1" s="1"/>
  <c r="AL377" i="1" s="1"/>
  <c r="AN377" i="1" s="1"/>
  <c r="AF377" i="1"/>
  <c r="AD377" i="1"/>
  <c r="Z377" i="1"/>
  <c r="W377" i="1"/>
  <c r="S377" i="1"/>
  <c r="P377" i="1"/>
  <c r="U377" i="1" s="1"/>
  <c r="N377" i="1"/>
  <c r="K377" i="1"/>
  <c r="H377" i="1"/>
  <c r="E377" i="1"/>
  <c r="AZ370" i="1"/>
  <c r="AX370" i="1"/>
  <c r="AV370" i="1"/>
  <c r="AV27" i="1" s="1"/>
  <c r="AT370" i="1"/>
  <c r="AT27" i="1" s="1"/>
  <c r="AR370" i="1"/>
  <c r="AR27" i="1" s="1"/>
  <c r="AP370" i="1"/>
  <c r="AP27" i="1" s="1"/>
  <c r="AN370" i="1"/>
  <c r="AN27" i="1" s="1"/>
  <c r="AL370" i="1"/>
  <c r="AL27" i="1" s="1"/>
  <c r="AJ370" i="1"/>
  <c r="AJ27" i="1" s="1"/>
  <c r="AH370" i="1"/>
  <c r="AH27" i="1" s="1"/>
  <c r="AE370" i="1"/>
  <c r="AE27" i="1" s="1"/>
  <c r="AC370" i="1"/>
  <c r="Y370" i="1"/>
  <c r="Y27" i="1" s="1"/>
  <c r="V370" i="1"/>
  <c r="T370" i="1"/>
  <c r="T27" i="1" s="1"/>
  <c r="R370" i="1"/>
  <c r="P370" i="1"/>
  <c r="P27" i="1" s="1"/>
  <c r="L370" i="1"/>
  <c r="L27" i="1" s="1"/>
  <c r="J370" i="1"/>
  <c r="J27" i="1" s="1"/>
  <c r="F370" i="1"/>
  <c r="F27" i="1" s="1"/>
  <c r="D370" i="1"/>
  <c r="D27" i="1" s="1"/>
  <c r="AF369" i="1"/>
  <c r="AD369" i="1"/>
  <c r="Z369" i="1"/>
  <c r="W369" i="1"/>
  <c r="U369" i="1"/>
  <c r="S369" i="1"/>
  <c r="N369" i="1"/>
  <c r="K369" i="1"/>
  <c r="H369" i="1"/>
  <c r="E369" i="1"/>
  <c r="AF368" i="1"/>
  <c r="AD368" i="1"/>
  <c r="Z368" i="1"/>
  <c r="W368" i="1"/>
  <c r="U368" i="1"/>
  <c r="S368" i="1"/>
  <c r="N368" i="1"/>
  <c r="K368" i="1"/>
  <c r="H368" i="1"/>
  <c r="E368" i="1"/>
  <c r="AF367" i="1"/>
  <c r="AD367" i="1"/>
  <c r="Z367" i="1"/>
  <c r="W367" i="1"/>
  <c r="U367" i="1"/>
  <c r="S367" i="1"/>
  <c r="N367" i="1"/>
  <c r="K367" i="1"/>
  <c r="H367" i="1"/>
  <c r="E367" i="1"/>
  <c r="AF366" i="1"/>
  <c r="AD366" i="1"/>
  <c r="Z366" i="1"/>
  <c r="W366" i="1"/>
  <c r="U366" i="1"/>
  <c r="S366" i="1"/>
  <c r="N366" i="1"/>
  <c r="K366" i="1"/>
  <c r="H366" i="1"/>
  <c r="E366" i="1"/>
  <c r="AF365" i="1"/>
  <c r="AD365" i="1"/>
  <c r="Z365" i="1"/>
  <c r="W365" i="1"/>
  <c r="U365" i="1"/>
  <c r="S365" i="1"/>
  <c r="N365" i="1"/>
  <c r="K365" i="1"/>
  <c r="H365" i="1"/>
  <c r="E365" i="1"/>
  <c r="AF364" i="1"/>
  <c r="AD364" i="1"/>
  <c r="Z364" i="1"/>
  <c r="W364" i="1"/>
  <c r="U364" i="1"/>
  <c r="S364" i="1"/>
  <c r="N364" i="1"/>
  <c r="K364" i="1"/>
  <c r="H364" i="1"/>
  <c r="E364" i="1"/>
  <c r="AF363" i="1"/>
  <c r="AD363" i="1"/>
  <c r="Z363" i="1"/>
  <c r="W363" i="1"/>
  <c r="U363" i="1"/>
  <c r="S363" i="1"/>
  <c r="N363" i="1"/>
  <c r="K363" i="1"/>
  <c r="H363" i="1"/>
  <c r="E363" i="1"/>
  <c r="AF362" i="1"/>
  <c r="AD362" i="1"/>
  <c r="Z362" i="1"/>
  <c r="W362" i="1"/>
  <c r="U362" i="1"/>
  <c r="S362" i="1"/>
  <c r="N362" i="1"/>
  <c r="K362" i="1"/>
  <c r="H362" i="1"/>
  <c r="E362" i="1"/>
  <c r="AF361" i="1"/>
  <c r="AD361" i="1"/>
  <c r="Z361" i="1"/>
  <c r="W361" i="1"/>
  <c r="U361" i="1"/>
  <c r="S361" i="1"/>
  <c r="N361" i="1"/>
  <c r="K361" i="1"/>
  <c r="H361" i="1"/>
  <c r="E361" i="1"/>
  <c r="AF359" i="1"/>
  <c r="AD359" i="1"/>
  <c r="Z359" i="1"/>
  <c r="W359" i="1"/>
  <c r="U359" i="1"/>
  <c r="S359" i="1"/>
  <c r="N359" i="1"/>
  <c r="K359" i="1"/>
  <c r="H359" i="1"/>
  <c r="E359" i="1"/>
  <c r="AF357" i="1"/>
  <c r="AD357" i="1"/>
  <c r="Z357" i="1"/>
  <c r="W357" i="1"/>
  <c r="U357" i="1"/>
  <c r="S357" i="1"/>
  <c r="N357" i="1"/>
  <c r="K357" i="1"/>
  <c r="E357" i="1"/>
  <c r="B357" i="1"/>
  <c r="AF356" i="1"/>
  <c r="AF43" i="1" s="1"/>
  <c r="AF45" i="1" s="1"/>
  <c r="AD356" i="1"/>
  <c r="Z356" i="1"/>
  <c r="W356" i="1"/>
  <c r="U356" i="1"/>
  <c r="S356" i="1"/>
  <c r="N356" i="1"/>
  <c r="K356" i="1"/>
  <c r="E356" i="1"/>
  <c r="B356" i="1"/>
  <c r="H356" i="1" s="1"/>
  <c r="AZ354" i="1"/>
  <c r="BP354" i="1" s="1"/>
  <c r="AX354" i="1"/>
  <c r="AE346" i="1"/>
  <c r="AC346" i="1"/>
  <c r="Y346" i="1"/>
  <c r="V346" i="1"/>
  <c r="T346" i="1"/>
  <c r="R346" i="1"/>
  <c r="L346" i="1"/>
  <c r="J346" i="1"/>
  <c r="F346" i="1"/>
  <c r="D346" i="1"/>
  <c r="B346" i="1"/>
  <c r="AH345" i="1"/>
  <c r="AJ345" i="1" s="1"/>
  <c r="AL345" i="1" s="1"/>
  <c r="AN345" i="1" s="1"/>
  <c r="AP345" i="1" s="1"/>
  <c r="AR345" i="1" s="1"/>
  <c r="AT345" i="1" s="1"/>
  <c r="AV345" i="1" s="1"/>
  <c r="AX345" i="1" s="1"/>
  <c r="AZ345" i="1" s="1"/>
  <c r="BP345" i="1" s="1"/>
  <c r="AF345" i="1"/>
  <c r="AD345" i="1"/>
  <c r="Z345" i="1"/>
  <c r="W345" i="1"/>
  <c r="S345" i="1"/>
  <c r="P345" i="1"/>
  <c r="U345" i="1" s="1"/>
  <c r="N345" i="1"/>
  <c r="K345" i="1"/>
  <c r="H345" i="1"/>
  <c r="E345" i="1"/>
  <c r="AJ344" i="1"/>
  <c r="AL344" i="1" s="1"/>
  <c r="AN344" i="1" s="1"/>
  <c r="AP344" i="1" s="1"/>
  <c r="AR344" i="1" s="1"/>
  <c r="AT344" i="1" s="1"/>
  <c r="AV344" i="1" s="1"/>
  <c r="AX344" i="1" s="1"/>
  <c r="AZ344" i="1" s="1"/>
  <c r="BP344" i="1" s="1"/>
  <c r="AF344" i="1"/>
  <c r="AD344" i="1"/>
  <c r="Z344" i="1"/>
  <c r="W344" i="1"/>
  <c r="U344" i="1"/>
  <c r="S344" i="1"/>
  <c r="N344" i="1"/>
  <c r="K344" i="1"/>
  <c r="H344" i="1"/>
  <c r="E344" i="1"/>
  <c r="AF343" i="1"/>
  <c r="AD343" i="1"/>
  <c r="Z343" i="1"/>
  <c r="W343" i="1"/>
  <c r="U343" i="1"/>
  <c r="S343" i="1"/>
  <c r="N343" i="1"/>
  <c r="K343" i="1"/>
  <c r="H343" i="1"/>
  <c r="E343" i="1"/>
  <c r="AF342" i="1"/>
  <c r="AD342" i="1"/>
  <c r="Z342" i="1"/>
  <c r="W342" i="1"/>
  <c r="U342" i="1"/>
  <c r="S342" i="1"/>
  <c r="N342" i="1"/>
  <c r="K342" i="1"/>
  <c r="H342" i="1"/>
  <c r="E342" i="1"/>
  <c r="AF341" i="1"/>
  <c r="AD341" i="1"/>
  <c r="Z341" i="1"/>
  <c r="W341" i="1"/>
  <c r="U341" i="1"/>
  <c r="S341" i="1"/>
  <c r="N341" i="1"/>
  <c r="K341" i="1"/>
  <c r="H341" i="1"/>
  <c r="E341" i="1"/>
  <c r="AH340" i="1"/>
  <c r="AH346" i="1" s="1"/>
  <c r="AF340" i="1"/>
  <c r="AD340" i="1"/>
  <c r="Z340" i="1"/>
  <c r="W340" i="1"/>
  <c r="S340" i="1"/>
  <c r="P340" i="1"/>
  <c r="N340" i="1"/>
  <c r="K340" i="1"/>
  <c r="H340" i="1"/>
  <c r="E340" i="1"/>
  <c r="AF339" i="1"/>
  <c r="AD339" i="1"/>
  <c r="Z339" i="1"/>
  <c r="W339" i="1"/>
  <c r="U339" i="1"/>
  <c r="S339" i="1"/>
  <c r="N339" i="1"/>
  <c r="K339" i="1"/>
  <c r="H339" i="1"/>
  <c r="E339" i="1"/>
  <c r="AF338" i="1"/>
  <c r="AD338" i="1"/>
  <c r="Z338" i="1"/>
  <c r="W338" i="1"/>
  <c r="U338" i="1"/>
  <c r="S338" i="1"/>
  <c r="N338" i="1"/>
  <c r="K338" i="1"/>
  <c r="H338" i="1"/>
  <c r="E338" i="1"/>
  <c r="AF337" i="1"/>
  <c r="AD337" i="1"/>
  <c r="Z337" i="1"/>
  <c r="W337" i="1"/>
  <c r="U337" i="1"/>
  <c r="S337" i="1"/>
  <c r="N337" i="1"/>
  <c r="K337" i="1"/>
  <c r="H337" i="1"/>
  <c r="E337" i="1"/>
  <c r="AJ334" i="1"/>
  <c r="AH334" i="1"/>
  <c r="AE334" i="1"/>
  <c r="AC334" i="1"/>
  <c r="Y334" i="1"/>
  <c r="V334" i="1"/>
  <c r="T334" i="1"/>
  <c r="R334" i="1"/>
  <c r="P334" i="1"/>
  <c r="J334" i="1"/>
  <c r="F334" i="1"/>
  <c r="D334" i="1"/>
  <c r="B334" i="1"/>
  <c r="AL333" i="1"/>
  <c r="AN333" i="1" s="1"/>
  <c r="AP333" i="1" s="1"/>
  <c r="AR333" i="1" s="1"/>
  <c r="AT333" i="1" s="1"/>
  <c r="AV333" i="1" s="1"/>
  <c r="AX333" i="1" s="1"/>
  <c r="AZ333" i="1" s="1"/>
  <c r="BP333" i="1" s="1"/>
  <c r="AF333" i="1"/>
  <c r="AF334" i="1" s="1"/>
  <c r="AD333" i="1"/>
  <c r="AD334" i="1" s="1"/>
  <c r="Z333" i="1"/>
  <c r="W333" i="1"/>
  <c r="W334" i="1" s="1"/>
  <c r="U333" i="1"/>
  <c r="U334" i="1" s="1"/>
  <c r="S333" i="1"/>
  <c r="S334" i="1" s="1"/>
  <c r="N333" i="1"/>
  <c r="N334" i="1" s="1"/>
  <c r="K333" i="1"/>
  <c r="K334" i="1" s="1"/>
  <c r="H333" i="1"/>
  <c r="H334" i="1" s="1"/>
  <c r="E333" i="1"/>
  <c r="E334" i="1" s="1"/>
  <c r="AL332" i="1"/>
  <c r="Z330" i="1"/>
  <c r="AH328" i="1"/>
  <c r="AE328" i="1"/>
  <c r="AC328" i="1"/>
  <c r="Y328" i="1"/>
  <c r="V328" i="1"/>
  <c r="T328" i="1"/>
  <c r="R328" i="1"/>
  <c r="L328" i="1"/>
  <c r="J328" i="1"/>
  <c r="F328" i="1"/>
  <c r="D328" i="1"/>
  <c r="B328" i="1"/>
  <c r="AJ327" i="1"/>
  <c r="AL327" i="1" s="1"/>
  <c r="AN327" i="1" s="1"/>
  <c r="AP327" i="1" s="1"/>
  <c r="AR327" i="1" s="1"/>
  <c r="AT327" i="1" s="1"/>
  <c r="AV327" i="1" s="1"/>
  <c r="AX327" i="1" s="1"/>
  <c r="AZ327" i="1" s="1"/>
  <c r="BP327" i="1" s="1"/>
  <c r="AF327" i="1"/>
  <c r="AD327" i="1"/>
  <c r="Z327" i="1"/>
  <c r="W327" i="1"/>
  <c r="S327" i="1"/>
  <c r="P327" i="1"/>
  <c r="U327" i="1" s="1"/>
  <c r="N327" i="1"/>
  <c r="K327" i="1"/>
  <c r="H327" i="1"/>
  <c r="E327" i="1"/>
  <c r="AF326" i="1"/>
  <c r="AD326" i="1"/>
  <c r="Z326" i="1"/>
  <c r="W326" i="1"/>
  <c r="U326" i="1"/>
  <c r="S326" i="1"/>
  <c r="N326" i="1"/>
  <c r="K326" i="1"/>
  <c r="H326" i="1"/>
  <c r="E326" i="1"/>
  <c r="AF325" i="1"/>
  <c r="AD325" i="1"/>
  <c r="Z325" i="1"/>
  <c r="W325" i="1"/>
  <c r="U325" i="1"/>
  <c r="S325" i="1"/>
  <c r="N325" i="1"/>
  <c r="K325" i="1"/>
  <c r="H325" i="1"/>
  <c r="E325" i="1"/>
  <c r="AJ324" i="1"/>
  <c r="AL324" i="1" s="1"/>
  <c r="AN324" i="1" s="1"/>
  <c r="AP324" i="1" s="1"/>
  <c r="AR324" i="1" s="1"/>
  <c r="AT324" i="1" s="1"/>
  <c r="AV324" i="1" s="1"/>
  <c r="AX324" i="1" s="1"/>
  <c r="AZ324" i="1" s="1"/>
  <c r="BP324" i="1" s="1"/>
  <c r="AF324" i="1"/>
  <c r="AD324" i="1"/>
  <c r="Z324" i="1"/>
  <c r="W324" i="1"/>
  <c r="S324" i="1"/>
  <c r="P324" i="1"/>
  <c r="U324" i="1" s="1"/>
  <c r="N324" i="1"/>
  <c r="K324" i="1"/>
  <c r="H324" i="1"/>
  <c r="E324" i="1"/>
  <c r="AJ323" i="1"/>
  <c r="AL323" i="1" s="1"/>
  <c r="AN323" i="1" s="1"/>
  <c r="AP323" i="1" s="1"/>
  <c r="AR323" i="1" s="1"/>
  <c r="AT323" i="1" s="1"/>
  <c r="AV323" i="1" s="1"/>
  <c r="AX323" i="1" s="1"/>
  <c r="AZ323" i="1" s="1"/>
  <c r="BP323" i="1" s="1"/>
  <c r="AF323" i="1"/>
  <c r="AD323" i="1"/>
  <c r="Z323" i="1"/>
  <c r="W323" i="1"/>
  <c r="S323" i="1"/>
  <c r="P323" i="1"/>
  <c r="U323" i="1" s="1"/>
  <c r="N323" i="1"/>
  <c r="K323" i="1"/>
  <c r="H323" i="1"/>
  <c r="E323" i="1"/>
  <c r="AJ322" i="1"/>
  <c r="AF322" i="1"/>
  <c r="AD322" i="1"/>
  <c r="Z322" i="1"/>
  <c r="W322" i="1"/>
  <c r="S322" i="1"/>
  <c r="P322" i="1"/>
  <c r="N322" i="1"/>
  <c r="K322" i="1"/>
  <c r="H322" i="1"/>
  <c r="E322" i="1"/>
  <c r="AF321" i="1"/>
  <c r="AD321" i="1"/>
  <c r="AE318" i="1"/>
  <c r="AC318" i="1"/>
  <c r="Y318" i="1"/>
  <c r="V318" i="1"/>
  <c r="T318" i="1"/>
  <c r="R318" i="1"/>
  <c r="L318" i="1"/>
  <c r="J318" i="1"/>
  <c r="F318" i="1"/>
  <c r="D318" i="1"/>
  <c r="B318" i="1"/>
  <c r="AF317" i="1"/>
  <c r="AD317" i="1"/>
  <c r="N317" i="1"/>
  <c r="K317" i="1"/>
  <c r="H317" i="1"/>
  <c r="E317" i="1"/>
  <c r="AH316" i="1"/>
  <c r="AH318" i="1" s="1"/>
  <c r="AF316" i="1"/>
  <c r="AD316" i="1"/>
  <c r="Z316" i="1"/>
  <c r="Z318" i="1" s="1"/>
  <c r="W316" i="1"/>
  <c r="W318" i="1" s="1"/>
  <c r="S316" i="1"/>
  <c r="S318" i="1" s="1"/>
  <c r="P316" i="1"/>
  <c r="U316" i="1" s="1"/>
  <c r="U318" i="1" s="1"/>
  <c r="N316" i="1"/>
  <c r="K316" i="1"/>
  <c r="H316" i="1"/>
  <c r="E316" i="1"/>
  <c r="AE312" i="1"/>
  <c r="AC312" i="1"/>
  <c r="Y312" i="1"/>
  <c r="V312" i="1"/>
  <c r="T312" i="1"/>
  <c r="R312" i="1"/>
  <c r="L312" i="1"/>
  <c r="J312" i="1"/>
  <c r="F312" i="1"/>
  <c r="D312" i="1"/>
  <c r="B312" i="1"/>
  <c r="AF311" i="1"/>
  <c r="AD311" i="1"/>
  <c r="Z311" i="1"/>
  <c r="W311" i="1"/>
  <c r="U311" i="1"/>
  <c r="S311" i="1"/>
  <c r="N311" i="1"/>
  <c r="K311" i="1"/>
  <c r="H311" i="1"/>
  <c r="E311" i="1"/>
  <c r="AF310" i="1"/>
  <c r="AD310" i="1"/>
  <c r="Z310" i="1"/>
  <c r="W310" i="1"/>
  <c r="U310" i="1"/>
  <c r="S310" i="1"/>
  <c r="N310" i="1"/>
  <c r="K310" i="1"/>
  <c r="H310" i="1"/>
  <c r="E310" i="1"/>
  <c r="AF309" i="1"/>
  <c r="AD309" i="1"/>
  <c r="AF308" i="1"/>
  <c r="AD308" i="1"/>
  <c r="Z308" i="1"/>
  <c r="W308" i="1"/>
  <c r="U308" i="1"/>
  <c r="S308" i="1"/>
  <c r="N308" i="1"/>
  <c r="K308" i="1"/>
  <c r="H308" i="1"/>
  <c r="E308" i="1"/>
  <c r="AF307" i="1"/>
  <c r="AD307" i="1"/>
  <c r="Z307" i="1"/>
  <c r="W307" i="1"/>
  <c r="U307" i="1"/>
  <c r="S307" i="1"/>
  <c r="N307" i="1"/>
  <c r="K307" i="1"/>
  <c r="H307" i="1"/>
  <c r="E307" i="1"/>
  <c r="AF306" i="1"/>
  <c r="AD306" i="1"/>
  <c r="Z306" i="1"/>
  <c r="W306" i="1"/>
  <c r="U306" i="1"/>
  <c r="S306" i="1"/>
  <c r="N306" i="1"/>
  <c r="K306" i="1"/>
  <c r="H306" i="1"/>
  <c r="E306" i="1"/>
  <c r="AF305" i="1"/>
  <c r="AD305" i="1"/>
  <c r="Z305" i="1"/>
  <c r="W305" i="1"/>
  <c r="U305" i="1"/>
  <c r="S305" i="1"/>
  <c r="N305" i="1"/>
  <c r="K305" i="1"/>
  <c r="H305" i="1"/>
  <c r="E305" i="1"/>
  <c r="AF304" i="1"/>
  <c r="AD304" i="1"/>
  <c r="Z304" i="1"/>
  <c r="W304" i="1"/>
  <c r="U304" i="1"/>
  <c r="S304" i="1"/>
  <c r="N304" i="1"/>
  <c r="K304" i="1"/>
  <c r="H304" i="1"/>
  <c r="E304" i="1"/>
  <c r="AF303" i="1"/>
  <c r="AD303" i="1"/>
  <c r="Z303" i="1"/>
  <c r="W303" i="1"/>
  <c r="U303" i="1"/>
  <c r="S303" i="1"/>
  <c r="N303" i="1"/>
  <c r="K303" i="1"/>
  <c r="H303" i="1"/>
  <c r="E303" i="1"/>
  <c r="AF302" i="1"/>
  <c r="AD302" i="1"/>
  <c r="Z302" i="1"/>
  <c r="W302" i="1"/>
  <c r="U302" i="1"/>
  <c r="S302" i="1"/>
  <c r="N302" i="1"/>
  <c r="K302" i="1"/>
  <c r="H302" i="1"/>
  <c r="E302" i="1"/>
  <c r="AH301" i="1"/>
  <c r="AH312" i="1" s="1"/>
  <c r="AF301" i="1"/>
  <c r="AD301" i="1"/>
  <c r="Z301" i="1"/>
  <c r="W301" i="1"/>
  <c r="S301" i="1"/>
  <c r="P301" i="1"/>
  <c r="P312" i="1" s="1"/>
  <c r="N301" i="1"/>
  <c r="K301" i="1"/>
  <c r="H301" i="1"/>
  <c r="E301" i="1"/>
  <c r="AF300" i="1"/>
  <c r="AD300" i="1"/>
  <c r="Z300" i="1"/>
  <c r="W300" i="1"/>
  <c r="U300" i="1"/>
  <c r="S300" i="1"/>
  <c r="N300" i="1"/>
  <c r="K300" i="1"/>
  <c r="AF299" i="1"/>
  <c r="AD299" i="1"/>
  <c r="Z299" i="1"/>
  <c r="W299" i="1"/>
  <c r="U299" i="1"/>
  <c r="S299" i="1"/>
  <c r="N299" i="1"/>
  <c r="K299" i="1"/>
  <c r="AF298" i="1"/>
  <c r="AD298" i="1"/>
  <c r="Z298" i="1"/>
  <c r="W298" i="1"/>
  <c r="U298" i="1"/>
  <c r="S298" i="1"/>
  <c r="N298" i="1"/>
  <c r="K298" i="1"/>
  <c r="AF297" i="1"/>
  <c r="AD297" i="1"/>
  <c r="Z297" i="1"/>
  <c r="W297" i="1"/>
  <c r="U297" i="1"/>
  <c r="S297" i="1"/>
  <c r="N297" i="1"/>
  <c r="K297" i="1"/>
  <c r="H297" i="1"/>
  <c r="E297" i="1"/>
  <c r="AF296" i="1"/>
  <c r="AD296" i="1"/>
  <c r="Z296" i="1"/>
  <c r="W296" i="1"/>
  <c r="U296" i="1"/>
  <c r="S296" i="1"/>
  <c r="N296" i="1"/>
  <c r="K296" i="1"/>
  <c r="H296" i="1"/>
  <c r="E296" i="1"/>
  <c r="AF295" i="1"/>
  <c r="AD295" i="1"/>
  <c r="Z295" i="1"/>
  <c r="W295" i="1"/>
  <c r="U295" i="1"/>
  <c r="S295" i="1"/>
  <c r="N295" i="1"/>
  <c r="K295" i="1"/>
  <c r="H295" i="1"/>
  <c r="E295" i="1"/>
  <c r="AF294" i="1"/>
  <c r="AD294" i="1"/>
  <c r="Z294" i="1"/>
  <c r="W294" i="1"/>
  <c r="U294" i="1"/>
  <c r="S294" i="1"/>
  <c r="N294" i="1"/>
  <c r="K294" i="1"/>
  <c r="H294" i="1"/>
  <c r="E294" i="1"/>
  <c r="AF293" i="1"/>
  <c r="AD293" i="1"/>
  <c r="Z293" i="1"/>
  <c r="W293" i="1"/>
  <c r="U293" i="1"/>
  <c r="S293" i="1"/>
  <c r="N293" i="1"/>
  <c r="K293" i="1"/>
  <c r="H293" i="1"/>
  <c r="E293" i="1"/>
  <c r="AF292" i="1"/>
  <c r="AD292" i="1"/>
  <c r="Z292" i="1"/>
  <c r="W292" i="1"/>
  <c r="U292" i="1"/>
  <c r="S292" i="1"/>
  <c r="N292" i="1"/>
  <c r="K292" i="1"/>
  <c r="H292" i="1"/>
  <c r="E292" i="1"/>
  <c r="AF291" i="1"/>
  <c r="AD291" i="1"/>
  <c r="Z291" i="1"/>
  <c r="W291" i="1"/>
  <c r="U291" i="1"/>
  <c r="S291" i="1"/>
  <c r="N291" i="1"/>
  <c r="K291" i="1"/>
  <c r="H291" i="1"/>
  <c r="E291" i="1"/>
  <c r="AF290" i="1"/>
  <c r="AD290" i="1"/>
  <c r="Z290" i="1"/>
  <c r="W290" i="1"/>
  <c r="U290" i="1"/>
  <c r="S290" i="1"/>
  <c r="N290" i="1"/>
  <c r="K290" i="1"/>
  <c r="H290" i="1"/>
  <c r="E290" i="1"/>
  <c r="AF289" i="1"/>
  <c r="AD289" i="1"/>
  <c r="Z289" i="1"/>
  <c r="W289" i="1"/>
  <c r="U289" i="1"/>
  <c r="S289" i="1"/>
  <c r="N289" i="1"/>
  <c r="K289" i="1"/>
  <c r="H289" i="1"/>
  <c r="E289" i="1"/>
  <c r="AF288" i="1"/>
  <c r="AD288" i="1"/>
  <c r="Z288" i="1"/>
  <c r="W288" i="1"/>
  <c r="U288" i="1"/>
  <c r="S288" i="1"/>
  <c r="N288" i="1"/>
  <c r="K288" i="1"/>
  <c r="H288" i="1"/>
  <c r="E288" i="1"/>
  <c r="AF287" i="1"/>
  <c r="AD287" i="1"/>
  <c r="Z287" i="1"/>
  <c r="W287" i="1"/>
  <c r="U287" i="1"/>
  <c r="S287" i="1"/>
  <c r="N287" i="1"/>
  <c r="K287" i="1"/>
  <c r="H287" i="1"/>
  <c r="E287" i="1"/>
  <c r="AF286" i="1"/>
  <c r="AD286" i="1"/>
  <c r="Z286" i="1"/>
  <c r="W286" i="1"/>
  <c r="U286" i="1"/>
  <c r="S286" i="1"/>
  <c r="N286" i="1"/>
  <c r="K286" i="1"/>
  <c r="H286" i="1"/>
  <c r="E286" i="1"/>
  <c r="AF285" i="1"/>
  <c r="AD285" i="1"/>
  <c r="Z285" i="1"/>
  <c r="W285" i="1"/>
  <c r="U285" i="1"/>
  <c r="S285" i="1"/>
  <c r="N285" i="1"/>
  <c r="K285" i="1"/>
  <c r="H285" i="1"/>
  <c r="E285" i="1"/>
  <c r="AF284" i="1"/>
  <c r="AD284" i="1"/>
  <c r="AF283" i="1"/>
  <c r="AD283" i="1"/>
  <c r="N283" i="1"/>
  <c r="K283" i="1"/>
  <c r="H283" i="1"/>
  <c r="E283" i="1"/>
  <c r="N282" i="1"/>
  <c r="K282" i="1"/>
  <c r="H282" i="1"/>
  <c r="E282" i="1"/>
  <c r="AZ279" i="1"/>
  <c r="BP279" i="1" s="1"/>
  <c r="AX279" i="1"/>
  <c r="AV279" i="1"/>
  <c r="AT279" i="1"/>
  <c r="AR279" i="1"/>
  <c r="AP279" i="1"/>
  <c r="AN279" i="1"/>
  <c r="AL279" i="1"/>
  <c r="AH279" i="1"/>
  <c r="AE279" i="1"/>
  <c r="AC279" i="1"/>
  <c r="Y279" i="1"/>
  <c r="V279" i="1"/>
  <c r="T279" i="1"/>
  <c r="R279" i="1"/>
  <c r="P279" i="1"/>
  <c r="L279" i="1"/>
  <c r="J279" i="1"/>
  <c r="F279" i="1"/>
  <c r="D279" i="1"/>
  <c r="B279" i="1"/>
  <c r="AF277" i="1"/>
  <c r="AD277" i="1"/>
  <c r="Z277" i="1"/>
  <c r="W277" i="1"/>
  <c r="U277" i="1"/>
  <c r="S277" i="1"/>
  <c r="N277" i="1"/>
  <c r="K277" i="1"/>
  <c r="H277" i="1"/>
  <c r="E277" i="1"/>
  <c r="AF276" i="1"/>
  <c r="AD276" i="1"/>
  <c r="Z276" i="1"/>
  <c r="W276" i="1"/>
  <c r="AF275" i="1"/>
  <c r="AD275" i="1"/>
  <c r="Z275" i="1"/>
  <c r="W275" i="1"/>
  <c r="U275" i="1"/>
  <c r="S275" i="1"/>
  <c r="N275" i="1"/>
  <c r="K275" i="1"/>
  <c r="H275" i="1"/>
  <c r="E275" i="1"/>
  <c r="AF274" i="1"/>
  <c r="AD274" i="1"/>
  <c r="Z274" i="1"/>
  <c r="W274" i="1"/>
  <c r="U274" i="1"/>
  <c r="S274" i="1"/>
  <c r="N274" i="1"/>
  <c r="K274" i="1"/>
  <c r="H274" i="1"/>
  <c r="E274" i="1"/>
  <c r="AF273" i="1"/>
  <c r="AD273" i="1"/>
  <c r="Z273" i="1"/>
  <c r="W273" i="1"/>
  <c r="U273" i="1"/>
  <c r="S273" i="1"/>
  <c r="N273" i="1"/>
  <c r="K273" i="1"/>
  <c r="H273" i="1"/>
  <c r="E273" i="1"/>
  <c r="AF272" i="1"/>
  <c r="AD272" i="1"/>
  <c r="Z272" i="1"/>
  <c r="W272" i="1"/>
  <c r="U272" i="1"/>
  <c r="S272" i="1"/>
  <c r="N272" i="1"/>
  <c r="K272" i="1"/>
  <c r="H272" i="1"/>
  <c r="E272" i="1"/>
  <c r="AF271" i="1"/>
  <c r="AD271" i="1"/>
  <c r="Z271" i="1"/>
  <c r="W271" i="1"/>
  <c r="U271" i="1"/>
  <c r="S271" i="1"/>
  <c r="N271" i="1"/>
  <c r="K271" i="1"/>
  <c r="H271" i="1"/>
  <c r="E271" i="1"/>
  <c r="AF270" i="1"/>
  <c r="AD270" i="1"/>
  <c r="Z270" i="1"/>
  <c r="W270" i="1"/>
  <c r="U270" i="1"/>
  <c r="S270" i="1"/>
  <c r="N270" i="1"/>
  <c r="K270" i="1"/>
  <c r="H270" i="1"/>
  <c r="E270" i="1"/>
  <c r="AF269" i="1"/>
  <c r="AD269" i="1"/>
  <c r="Z269" i="1"/>
  <c r="W269" i="1"/>
  <c r="U269" i="1"/>
  <c r="S269" i="1"/>
  <c r="N269" i="1"/>
  <c r="K269" i="1"/>
  <c r="H269" i="1"/>
  <c r="E269" i="1"/>
  <c r="AF268" i="1"/>
  <c r="AD268" i="1"/>
  <c r="Z268" i="1"/>
  <c r="W268" i="1"/>
  <c r="U268" i="1"/>
  <c r="S268" i="1"/>
  <c r="N268" i="1"/>
  <c r="K268" i="1"/>
  <c r="H268" i="1"/>
  <c r="E268" i="1"/>
  <c r="AF267" i="1"/>
  <c r="AD267" i="1"/>
  <c r="Z267" i="1"/>
  <c r="W267" i="1"/>
  <c r="U267" i="1"/>
  <c r="S267" i="1"/>
  <c r="N267" i="1"/>
  <c r="K267" i="1"/>
  <c r="H267" i="1"/>
  <c r="E267" i="1"/>
  <c r="AF266" i="1"/>
  <c r="AD266" i="1"/>
  <c r="Z266" i="1"/>
  <c r="W266" i="1"/>
  <c r="U266" i="1"/>
  <c r="S266" i="1"/>
  <c r="N266" i="1"/>
  <c r="K266" i="1"/>
  <c r="H266" i="1"/>
  <c r="E266" i="1"/>
  <c r="AF265" i="1"/>
  <c r="AD265" i="1"/>
  <c r="Z265" i="1"/>
  <c r="W265" i="1"/>
  <c r="U265" i="1"/>
  <c r="S265" i="1"/>
  <c r="N265" i="1"/>
  <c r="K265" i="1"/>
  <c r="H265" i="1"/>
  <c r="E265" i="1"/>
  <c r="AJ264" i="1"/>
  <c r="AJ710" i="1" s="1"/>
  <c r="AF264" i="1"/>
  <c r="AD264" i="1"/>
  <c r="Z264" i="1"/>
  <c r="W264" i="1"/>
  <c r="U264" i="1"/>
  <c r="S264" i="1"/>
  <c r="N264" i="1"/>
  <c r="K264" i="1"/>
  <c r="H264" i="1"/>
  <c r="E264" i="1"/>
  <c r="AZ262" i="1"/>
  <c r="BP262" i="1" s="1"/>
  <c r="AX262" i="1"/>
  <c r="AV262" i="1"/>
  <c r="AT262" i="1"/>
  <c r="AR262" i="1"/>
  <c r="AP262" i="1"/>
  <c r="AN262" i="1"/>
  <c r="AL262" i="1"/>
  <c r="AJ262" i="1"/>
  <c r="AH262" i="1"/>
  <c r="AD262" i="1"/>
  <c r="AC262" i="1"/>
  <c r="AF262" i="1" s="1"/>
  <c r="Z262" i="1"/>
  <c r="Y262" i="1"/>
  <c r="W262" i="1"/>
  <c r="V262" i="1"/>
  <c r="U262" i="1"/>
  <c r="T262" i="1"/>
  <c r="S262" i="1"/>
  <c r="R262" i="1"/>
  <c r="P262" i="1"/>
  <c r="N262" i="1"/>
  <c r="L262" i="1"/>
  <c r="K262" i="1"/>
  <c r="J262" i="1"/>
  <c r="H262" i="1"/>
  <c r="F262" i="1"/>
  <c r="E262" i="1"/>
  <c r="D262" i="1"/>
  <c r="B262" i="1"/>
  <c r="AZ258" i="1"/>
  <c r="BP258" i="1" s="1"/>
  <c r="AX258" i="1"/>
  <c r="AV258" i="1"/>
  <c r="AT258" i="1"/>
  <c r="AR258" i="1"/>
  <c r="AP258" i="1"/>
  <c r="AN258" i="1"/>
  <c r="AL258" i="1"/>
  <c r="AJ258" i="1"/>
  <c r="AH258" i="1"/>
  <c r="AC258" i="1"/>
  <c r="AF258" i="1" s="1"/>
  <c r="Z258" i="1"/>
  <c r="Y258" i="1"/>
  <c r="W258" i="1"/>
  <c r="V258" i="1"/>
  <c r="U258" i="1"/>
  <c r="T258" i="1"/>
  <c r="S258" i="1"/>
  <c r="R258" i="1"/>
  <c r="P258" i="1"/>
  <c r="K258" i="1"/>
  <c r="H258" i="1"/>
  <c r="F258" i="1"/>
  <c r="E258" i="1"/>
  <c r="D258" i="1"/>
  <c r="B258" i="1"/>
  <c r="AZ253" i="1"/>
  <c r="BP253" i="1" s="1"/>
  <c r="AX253" i="1"/>
  <c r="AV253" i="1"/>
  <c r="AT253" i="1"/>
  <c r="AR253" i="1"/>
  <c r="AP253" i="1"/>
  <c r="AN253" i="1"/>
  <c r="AL253" i="1"/>
  <c r="AJ253" i="1"/>
  <c r="AH253" i="1"/>
  <c r="AE253" i="1"/>
  <c r="AC253" i="1"/>
  <c r="Y253" i="1"/>
  <c r="V253" i="1"/>
  <c r="T253" i="1"/>
  <c r="R253" i="1"/>
  <c r="P253" i="1"/>
  <c r="L253" i="1"/>
  <c r="J253" i="1"/>
  <c r="F253" i="1"/>
  <c r="D253" i="1"/>
  <c r="B253" i="1"/>
  <c r="AF252" i="1"/>
  <c r="AF253" i="1" s="1"/>
  <c r="AD252" i="1"/>
  <c r="AD253" i="1" s="1"/>
  <c r="Z252" i="1"/>
  <c r="Z253" i="1" s="1"/>
  <c r="W252" i="1"/>
  <c r="W253" i="1" s="1"/>
  <c r="U252" i="1"/>
  <c r="U253" i="1" s="1"/>
  <c r="S252" i="1"/>
  <c r="S253" i="1" s="1"/>
  <c r="N252" i="1"/>
  <c r="K252" i="1"/>
  <c r="H252" i="1"/>
  <c r="H253" i="1" s="1"/>
  <c r="E252" i="1"/>
  <c r="E253" i="1" s="1"/>
  <c r="N250" i="1"/>
  <c r="N253" i="1" s="1"/>
  <c r="K250" i="1"/>
  <c r="K253" i="1" s="1"/>
  <c r="N247" i="1"/>
  <c r="K247" i="1"/>
  <c r="E247" i="1"/>
  <c r="AH244" i="1"/>
  <c r="AE244" i="1"/>
  <c r="AC244" i="1"/>
  <c r="Y244" i="1"/>
  <c r="V244" i="1"/>
  <c r="T244" i="1"/>
  <c r="R244" i="1"/>
  <c r="P244" i="1"/>
  <c r="L244" i="1"/>
  <c r="J244" i="1"/>
  <c r="F244" i="1"/>
  <c r="D244" i="1"/>
  <c r="B244" i="1"/>
  <c r="AF243" i="1"/>
  <c r="AD243" i="1"/>
  <c r="Z243" i="1"/>
  <c r="W243" i="1"/>
  <c r="U243" i="1"/>
  <c r="S243" i="1"/>
  <c r="N243" i="1"/>
  <c r="K243" i="1"/>
  <c r="H243" i="1"/>
  <c r="E243" i="1"/>
  <c r="AF242" i="1"/>
  <c r="AD242" i="1"/>
  <c r="Z242" i="1"/>
  <c r="W242" i="1"/>
  <c r="U242" i="1"/>
  <c r="S242" i="1"/>
  <c r="N242" i="1"/>
  <c r="K242" i="1"/>
  <c r="H242" i="1"/>
  <c r="E242" i="1"/>
  <c r="AF241" i="1"/>
  <c r="AD241" i="1"/>
  <c r="Z241" i="1"/>
  <c r="W241" i="1"/>
  <c r="U241" i="1"/>
  <c r="S241" i="1"/>
  <c r="N241" i="1"/>
  <c r="K241" i="1"/>
  <c r="H241" i="1"/>
  <c r="E241" i="1"/>
  <c r="AJ240" i="1"/>
  <c r="AL240" i="1" s="1"/>
  <c r="AN240" i="1" s="1"/>
  <c r="AP240" i="1" s="1"/>
  <c r="AR240" i="1" s="1"/>
  <c r="AT240" i="1" s="1"/>
  <c r="AV240" i="1" s="1"/>
  <c r="AX240" i="1" s="1"/>
  <c r="AZ240" i="1" s="1"/>
  <c r="BP240" i="1" s="1"/>
  <c r="AF240" i="1"/>
  <c r="AD240" i="1"/>
  <c r="Z240" i="1"/>
  <c r="W240" i="1"/>
  <c r="U240" i="1"/>
  <c r="S240" i="1"/>
  <c r="N240" i="1"/>
  <c r="K240" i="1"/>
  <c r="H240" i="1"/>
  <c r="E240" i="1"/>
  <c r="AJ239" i="1"/>
  <c r="AF239" i="1"/>
  <c r="AD239" i="1"/>
  <c r="Z239" i="1"/>
  <c r="W239" i="1"/>
  <c r="U239" i="1"/>
  <c r="S239" i="1"/>
  <c r="N239" i="1"/>
  <c r="K239" i="1"/>
  <c r="H239" i="1"/>
  <c r="E239" i="1"/>
  <c r="AH234" i="1"/>
  <c r="AE234" i="1"/>
  <c r="AC234" i="1"/>
  <c r="Y234" i="1"/>
  <c r="V234" i="1"/>
  <c r="T234" i="1"/>
  <c r="R234" i="1"/>
  <c r="P234" i="1"/>
  <c r="L234" i="1"/>
  <c r="J234" i="1"/>
  <c r="F234" i="1"/>
  <c r="D234" i="1"/>
  <c r="B234" i="1"/>
  <c r="AJ233" i="1"/>
  <c r="AL233" i="1" s="1"/>
  <c r="AN233" i="1" s="1"/>
  <c r="AP233" i="1" s="1"/>
  <c r="AR233" i="1" s="1"/>
  <c r="AT233" i="1" s="1"/>
  <c r="AV233" i="1" s="1"/>
  <c r="AX233" i="1" s="1"/>
  <c r="AZ233" i="1" s="1"/>
  <c r="BP233" i="1" s="1"/>
  <c r="AF233" i="1"/>
  <c r="AD233" i="1"/>
  <c r="Z233" i="1"/>
  <c r="W233" i="1"/>
  <c r="U233" i="1"/>
  <c r="S233" i="1"/>
  <c r="N233" i="1"/>
  <c r="K233" i="1"/>
  <c r="H233" i="1"/>
  <c r="E233" i="1"/>
  <c r="AF232" i="1"/>
  <c r="AD232" i="1"/>
  <c r="Z232" i="1"/>
  <c r="W232" i="1"/>
  <c r="U232" i="1"/>
  <c r="S232" i="1"/>
  <c r="N232" i="1"/>
  <c r="K232" i="1"/>
  <c r="H232" i="1"/>
  <c r="E232" i="1"/>
  <c r="AF231" i="1"/>
  <c r="AD231" i="1"/>
  <c r="Z231" i="1"/>
  <c r="W231" i="1"/>
  <c r="U231" i="1"/>
  <c r="S231" i="1"/>
  <c r="N231" i="1"/>
  <c r="K231" i="1"/>
  <c r="H231" i="1"/>
  <c r="E231" i="1"/>
  <c r="AF230" i="1"/>
  <c r="AD230" i="1"/>
  <c r="Z230" i="1"/>
  <c r="W230" i="1"/>
  <c r="U230" i="1"/>
  <c r="S230" i="1"/>
  <c r="AF229" i="1"/>
  <c r="AD229" i="1"/>
  <c r="Z229" i="1"/>
  <c r="W229" i="1"/>
  <c r="U229" i="1"/>
  <c r="S229" i="1"/>
  <c r="N229" i="1"/>
  <c r="K229" i="1"/>
  <c r="H229" i="1"/>
  <c r="E229" i="1"/>
  <c r="AF227" i="1"/>
  <c r="AD227" i="1"/>
  <c r="Z227" i="1"/>
  <c r="W227" i="1"/>
  <c r="U227" i="1"/>
  <c r="S227" i="1"/>
  <c r="N227" i="1"/>
  <c r="K227" i="1"/>
  <c r="H227" i="1"/>
  <c r="E227" i="1"/>
  <c r="AF226" i="1"/>
  <c r="AD226" i="1"/>
  <c r="Z226" i="1"/>
  <c r="W226" i="1"/>
  <c r="U226" i="1"/>
  <c r="S226" i="1"/>
  <c r="N226" i="1"/>
  <c r="K226" i="1"/>
  <c r="H226" i="1"/>
  <c r="E226" i="1"/>
  <c r="AF225" i="1"/>
  <c r="AD225" i="1"/>
  <c r="Z225" i="1"/>
  <c r="W225" i="1"/>
  <c r="U225" i="1"/>
  <c r="S225" i="1"/>
  <c r="N225" i="1"/>
  <c r="K225" i="1"/>
  <c r="H225" i="1"/>
  <c r="E225" i="1"/>
  <c r="AF224" i="1"/>
  <c r="AD224" i="1"/>
  <c r="Z224" i="1"/>
  <c r="W224" i="1"/>
  <c r="U224" i="1"/>
  <c r="S224" i="1"/>
  <c r="N224" i="1"/>
  <c r="K224" i="1"/>
  <c r="H224" i="1"/>
  <c r="E224" i="1"/>
  <c r="AF223" i="1"/>
  <c r="AD223" i="1"/>
  <c r="Z223" i="1"/>
  <c r="W223" i="1"/>
  <c r="U223" i="1"/>
  <c r="S223" i="1"/>
  <c r="N223" i="1"/>
  <c r="K223" i="1"/>
  <c r="H223" i="1"/>
  <c r="E223" i="1"/>
  <c r="AF222" i="1"/>
  <c r="AD222" i="1"/>
  <c r="Z222" i="1"/>
  <c r="W222" i="1"/>
  <c r="U222" i="1"/>
  <c r="S222" i="1"/>
  <c r="N222" i="1"/>
  <c r="K222" i="1"/>
  <c r="H222" i="1"/>
  <c r="E222" i="1"/>
  <c r="AF221" i="1"/>
  <c r="AD221" i="1"/>
  <c r="Z221" i="1"/>
  <c r="W221" i="1"/>
  <c r="U221" i="1"/>
  <c r="S221" i="1"/>
  <c r="N221" i="1"/>
  <c r="K221" i="1"/>
  <c r="H221" i="1"/>
  <c r="E221" i="1"/>
  <c r="AF220" i="1"/>
  <c r="AD220" i="1"/>
  <c r="Z220" i="1"/>
  <c r="W220" i="1"/>
  <c r="U220" i="1"/>
  <c r="S220" i="1"/>
  <c r="N220" i="1"/>
  <c r="K220" i="1"/>
  <c r="H220" i="1"/>
  <c r="E220" i="1"/>
  <c r="AF219" i="1"/>
  <c r="AD219" i="1"/>
  <c r="Z219" i="1"/>
  <c r="W219" i="1"/>
  <c r="U219" i="1"/>
  <c r="S219" i="1"/>
  <c r="N219" i="1"/>
  <c r="K219" i="1"/>
  <c r="H219" i="1"/>
  <c r="E219" i="1"/>
  <c r="AF218" i="1"/>
  <c r="AD218" i="1"/>
  <c r="Z218" i="1"/>
  <c r="W218" i="1"/>
  <c r="U218" i="1"/>
  <c r="S218" i="1"/>
  <c r="N218" i="1"/>
  <c r="K218" i="1"/>
  <c r="H218" i="1"/>
  <c r="E218" i="1"/>
  <c r="AF217" i="1"/>
  <c r="AD217" i="1"/>
  <c r="Z217" i="1"/>
  <c r="W217" i="1"/>
  <c r="U217" i="1"/>
  <c r="S217" i="1"/>
  <c r="N217" i="1"/>
  <c r="K217" i="1"/>
  <c r="H217" i="1"/>
  <c r="E217" i="1"/>
  <c r="AF216" i="1"/>
  <c r="AD216" i="1"/>
  <c r="Z216" i="1"/>
  <c r="W216" i="1"/>
  <c r="U216" i="1"/>
  <c r="S216" i="1"/>
  <c r="N216" i="1"/>
  <c r="K216" i="1"/>
  <c r="H216" i="1"/>
  <c r="E216" i="1"/>
  <c r="AF215" i="1"/>
  <c r="AD215" i="1"/>
  <c r="Z214" i="1"/>
  <c r="W214" i="1"/>
  <c r="U214" i="1"/>
  <c r="S214" i="1"/>
  <c r="N214" i="1"/>
  <c r="K214" i="1"/>
  <c r="H214" i="1"/>
  <c r="E214" i="1"/>
  <c r="Z213" i="1"/>
  <c r="W213" i="1"/>
  <c r="U213" i="1"/>
  <c r="S213" i="1"/>
  <c r="AZ211" i="1"/>
  <c r="BP211" i="1" s="1"/>
  <c r="AX211" i="1"/>
  <c r="AV211" i="1"/>
  <c r="AT211" i="1"/>
  <c r="AR211" i="1"/>
  <c r="AP211" i="1"/>
  <c r="AN211" i="1"/>
  <c r="AL211" i="1"/>
  <c r="AJ211" i="1"/>
  <c r="AH211" i="1"/>
  <c r="AF211" i="1"/>
  <c r="AE211" i="1"/>
  <c r="AD211" i="1"/>
  <c r="AC211" i="1"/>
  <c r="Y211" i="1"/>
  <c r="W211" i="1"/>
  <c r="V211" i="1"/>
  <c r="U211" i="1"/>
  <c r="T211" i="1"/>
  <c r="S211" i="1"/>
  <c r="R211" i="1"/>
  <c r="P211" i="1"/>
  <c r="N211" i="1"/>
  <c r="L211" i="1"/>
  <c r="K211" i="1"/>
  <c r="J211" i="1"/>
  <c r="H211" i="1"/>
  <c r="F211" i="1"/>
  <c r="E211" i="1"/>
  <c r="D211" i="1"/>
  <c r="B211" i="1"/>
  <c r="Z209" i="1"/>
  <c r="Z211" i="1" s="1"/>
  <c r="AE204" i="1"/>
  <c r="AC204" i="1"/>
  <c r="Y204" i="1"/>
  <c r="V204" i="1"/>
  <c r="T204" i="1"/>
  <c r="R204" i="1"/>
  <c r="P204" i="1"/>
  <c r="L204" i="1"/>
  <c r="J204" i="1"/>
  <c r="F204" i="1"/>
  <c r="D204" i="1"/>
  <c r="B204" i="1"/>
  <c r="AF203" i="1"/>
  <c r="AD203" i="1"/>
  <c r="Z203" i="1"/>
  <c r="W203" i="1"/>
  <c r="U203" i="1"/>
  <c r="S203" i="1"/>
  <c r="N203" i="1"/>
  <c r="K203" i="1"/>
  <c r="H203" i="1"/>
  <c r="AJ202" i="1"/>
  <c r="AL202" i="1" s="1"/>
  <c r="AN202" i="1" s="1"/>
  <c r="AP202" i="1" s="1"/>
  <c r="AR202" i="1" s="1"/>
  <c r="AT202" i="1" s="1"/>
  <c r="AV202" i="1" s="1"/>
  <c r="AX202" i="1" s="1"/>
  <c r="AZ202" i="1" s="1"/>
  <c r="BP202" i="1" s="1"/>
  <c r="AF202" i="1"/>
  <c r="AD202" i="1"/>
  <c r="Z202" i="1"/>
  <c r="W202" i="1"/>
  <c r="U202" i="1"/>
  <c r="S202" i="1"/>
  <c r="N202" i="1"/>
  <c r="K202" i="1"/>
  <c r="H202" i="1"/>
  <c r="E202" i="1"/>
  <c r="AF201" i="1"/>
  <c r="AD201" i="1"/>
  <c r="Z201" i="1"/>
  <c r="W201" i="1"/>
  <c r="U201" i="1"/>
  <c r="S201" i="1"/>
  <c r="N201" i="1"/>
  <c r="K201" i="1"/>
  <c r="H201" i="1"/>
  <c r="E201" i="1"/>
  <c r="AF200" i="1"/>
  <c r="AD200" i="1"/>
  <c r="Z200" i="1"/>
  <c r="W200" i="1"/>
  <c r="U200" i="1"/>
  <c r="S200" i="1"/>
  <c r="N200" i="1"/>
  <c r="K200" i="1"/>
  <c r="H200" i="1"/>
  <c r="E200" i="1"/>
  <c r="AF199" i="1"/>
  <c r="AD199" i="1"/>
  <c r="Z199" i="1"/>
  <c r="W199" i="1"/>
  <c r="U199" i="1"/>
  <c r="S199" i="1"/>
  <c r="N199" i="1"/>
  <c r="K199" i="1"/>
  <c r="AJ198" i="1"/>
  <c r="AF198" i="1"/>
  <c r="AD198" i="1"/>
  <c r="Z198" i="1"/>
  <c r="W198" i="1"/>
  <c r="U198" i="1"/>
  <c r="S198" i="1"/>
  <c r="N198" i="1"/>
  <c r="K198" i="1"/>
  <c r="H198" i="1"/>
  <c r="E198" i="1"/>
  <c r="AF193" i="1"/>
  <c r="AD193" i="1"/>
  <c r="Z193" i="1"/>
  <c r="W193" i="1"/>
  <c r="U193" i="1"/>
  <c r="S193" i="1"/>
  <c r="H193" i="1"/>
  <c r="N193" i="1" s="1"/>
  <c r="E193" i="1"/>
  <c r="AE191" i="1"/>
  <c r="AC191" i="1"/>
  <c r="Y191" i="1"/>
  <c r="V191" i="1"/>
  <c r="T191" i="1"/>
  <c r="R191" i="1"/>
  <c r="L191" i="1"/>
  <c r="J191" i="1"/>
  <c r="F191" i="1"/>
  <c r="D191" i="1"/>
  <c r="B191" i="1"/>
  <c r="AH190" i="1"/>
  <c r="AH191" i="1" s="1"/>
  <c r="AF190" i="1"/>
  <c r="AF191" i="1" s="1"/>
  <c r="AD190" i="1"/>
  <c r="AD191" i="1" s="1"/>
  <c r="Z190" i="1"/>
  <c r="Z191" i="1" s="1"/>
  <c r="W190" i="1"/>
  <c r="W191" i="1" s="1"/>
  <c r="S190" i="1"/>
  <c r="S191" i="1" s="1"/>
  <c r="P190" i="1"/>
  <c r="P191" i="1" s="1"/>
  <c r="N190" i="1"/>
  <c r="N191" i="1" s="1"/>
  <c r="K190" i="1"/>
  <c r="K191" i="1" s="1"/>
  <c r="H190" i="1"/>
  <c r="H191" i="1" s="1"/>
  <c r="E190" i="1"/>
  <c r="E189" i="1"/>
  <c r="AH187" i="1"/>
  <c r="AE187" i="1"/>
  <c r="AC187" i="1"/>
  <c r="Y187" i="1"/>
  <c r="V187" i="1"/>
  <c r="T187" i="1"/>
  <c r="R187" i="1"/>
  <c r="L187" i="1"/>
  <c r="J187" i="1"/>
  <c r="F187" i="1"/>
  <c r="D187" i="1"/>
  <c r="B187" i="1"/>
  <c r="AJ186" i="1"/>
  <c r="AL186" i="1" s="1"/>
  <c r="AF186" i="1"/>
  <c r="AF187" i="1" s="1"/>
  <c r="AD186" i="1"/>
  <c r="AD187" i="1" s="1"/>
  <c r="Z186" i="1"/>
  <c r="W186" i="1"/>
  <c r="W187" i="1" s="1"/>
  <c r="S186" i="1"/>
  <c r="S187" i="1" s="1"/>
  <c r="P186" i="1"/>
  <c r="P187" i="1" s="1"/>
  <c r="N186" i="1"/>
  <c r="N187" i="1" s="1"/>
  <c r="K186" i="1"/>
  <c r="K187" i="1" s="1"/>
  <c r="H186" i="1"/>
  <c r="H187" i="1" s="1"/>
  <c r="E186" i="1"/>
  <c r="E187" i="1" s="1"/>
  <c r="Z185" i="1"/>
  <c r="Z184" i="1"/>
  <c r="AH182" i="1"/>
  <c r="AE182" i="1"/>
  <c r="AC182" i="1"/>
  <c r="Y182" i="1"/>
  <c r="V182" i="1"/>
  <c r="T182" i="1"/>
  <c r="R182" i="1"/>
  <c r="L182" i="1"/>
  <c r="J182" i="1"/>
  <c r="F182" i="1"/>
  <c r="D182" i="1"/>
  <c r="B182" i="1"/>
  <c r="AF180" i="1"/>
  <c r="AD180" i="1"/>
  <c r="Z180" i="1"/>
  <c r="W180" i="1"/>
  <c r="U180" i="1"/>
  <c r="S180" i="1"/>
  <c r="N180" i="1"/>
  <c r="K180" i="1"/>
  <c r="H180" i="1"/>
  <c r="E180" i="1"/>
  <c r="AJ179" i="1"/>
  <c r="AL179" i="1" s="1"/>
  <c r="AN179" i="1" s="1"/>
  <c r="AP179" i="1" s="1"/>
  <c r="AR179" i="1" s="1"/>
  <c r="AT179" i="1" s="1"/>
  <c r="AV179" i="1" s="1"/>
  <c r="AX179" i="1" s="1"/>
  <c r="AZ179" i="1" s="1"/>
  <c r="BP179" i="1" s="1"/>
  <c r="AF179" i="1"/>
  <c r="AD179" i="1"/>
  <c r="Z179" i="1"/>
  <c r="W179" i="1"/>
  <c r="S179" i="1"/>
  <c r="P179" i="1"/>
  <c r="U179" i="1" s="1"/>
  <c r="N179" i="1"/>
  <c r="K179" i="1"/>
  <c r="H179" i="1"/>
  <c r="E179" i="1"/>
  <c r="AJ178" i="1"/>
  <c r="AF178" i="1"/>
  <c r="AD178" i="1"/>
  <c r="Z178" i="1"/>
  <c r="W178" i="1"/>
  <c r="S178" i="1"/>
  <c r="P178" i="1"/>
  <c r="N178" i="1"/>
  <c r="K178" i="1"/>
  <c r="H178" i="1"/>
  <c r="E178" i="1"/>
  <c r="AZ175" i="1"/>
  <c r="BP175" i="1" s="1"/>
  <c r="AX175" i="1"/>
  <c r="AH172" i="1"/>
  <c r="AJ172" i="1" s="1"/>
  <c r="AL172" i="1" s="1"/>
  <c r="AF172" i="1"/>
  <c r="AD172" i="1"/>
  <c r="Z172" i="1"/>
  <c r="W172" i="1"/>
  <c r="S172" i="1"/>
  <c r="P172" i="1"/>
  <c r="U172" i="1" s="1"/>
  <c r="N172" i="1"/>
  <c r="K172" i="1"/>
  <c r="H172" i="1"/>
  <c r="E172" i="1"/>
  <c r="AE168" i="1"/>
  <c r="AC168" i="1"/>
  <c r="Y168" i="1"/>
  <c r="V168" i="1"/>
  <c r="T168" i="1"/>
  <c r="R168" i="1"/>
  <c r="L168" i="1"/>
  <c r="J168" i="1"/>
  <c r="F168" i="1"/>
  <c r="D168" i="1"/>
  <c r="B168" i="1"/>
  <c r="AL167" i="1"/>
  <c r="AN167" i="1" s="1"/>
  <c r="AP167" i="1" s="1"/>
  <c r="AR167" i="1" s="1"/>
  <c r="AT167" i="1" s="1"/>
  <c r="AV167" i="1" s="1"/>
  <c r="AX167" i="1" s="1"/>
  <c r="AZ167" i="1" s="1"/>
  <c r="BP167" i="1" s="1"/>
  <c r="AF167" i="1"/>
  <c r="AD167" i="1"/>
  <c r="Z167" i="1"/>
  <c r="W167" i="1"/>
  <c r="S167" i="1"/>
  <c r="P167" i="1"/>
  <c r="U167" i="1" s="1"/>
  <c r="N167" i="1"/>
  <c r="K167" i="1"/>
  <c r="H167" i="1"/>
  <c r="E167" i="1"/>
  <c r="AL166" i="1"/>
  <c r="AN166" i="1" s="1"/>
  <c r="AP166" i="1" s="1"/>
  <c r="AR166" i="1" s="1"/>
  <c r="AT166" i="1" s="1"/>
  <c r="AV166" i="1" s="1"/>
  <c r="AX166" i="1" s="1"/>
  <c r="AZ166" i="1" s="1"/>
  <c r="BP166" i="1" s="1"/>
  <c r="AF166" i="1"/>
  <c r="AD166" i="1"/>
  <c r="Z166" i="1"/>
  <c r="W166" i="1"/>
  <c r="U166" i="1"/>
  <c r="S166" i="1"/>
  <c r="N166" i="1"/>
  <c r="K166" i="1"/>
  <c r="H166" i="1"/>
  <c r="E166" i="1"/>
  <c r="AH165" i="1"/>
  <c r="AJ165" i="1" s="1"/>
  <c r="AL165" i="1" s="1"/>
  <c r="AN165" i="1" s="1"/>
  <c r="AP165" i="1" s="1"/>
  <c r="AR165" i="1" s="1"/>
  <c r="AT165" i="1" s="1"/>
  <c r="AV165" i="1" s="1"/>
  <c r="AX165" i="1" s="1"/>
  <c r="AZ165" i="1" s="1"/>
  <c r="BP165" i="1" s="1"/>
  <c r="AF165" i="1"/>
  <c r="AD165" i="1"/>
  <c r="Z165" i="1"/>
  <c r="W165" i="1"/>
  <c r="S165" i="1"/>
  <c r="P165" i="1"/>
  <c r="U165" i="1" s="1"/>
  <c r="N165" i="1"/>
  <c r="K165" i="1"/>
  <c r="H165" i="1"/>
  <c r="E165" i="1"/>
  <c r="AF164" i="1"/>
  <c r="AD164" i="1"/>
  <c r="Z164" i="1"/>
  <c r="W164" i="1"/>
  <c r="U164" i="1"/>
  <c r="S164" i="1"/>
  <c r="N164" i="1"/>
  <c r="K164" i="1"/>
  <c r="H164" i="1"/>
  <c r="E164" i="1"/>
  <c r="AF163" i="1"/>
  <c r="AD163" i="1"/>
  <c r="Z163" i="1"/>
  <c r="W163" i="1"/>
  <c r="S163" i="1"/>
  <c r="P163" i="1"/>
  <c r="AH163" i="1" s="1"/>
  <c r="AJ163" i="1" s="1"/>
  <c r="AL163" i="1" s="1"/>
  <c r="AN163" i="1" s="1"/>
  <c r="AP163" i="1" s="1"/>
  <c r="AR163" i="1" s="1"/>
  <c r="AT163" i="1" s="1"/>
  <c r="AV163" i="1" s="1"/>
  <c r="AX163" i="1" s="1"/>
  <c r="AZ163" i="1" s="1"/>
  <c r="BP163" i="1" s="1"/>
  <c r="N163" i="1"/>
  <c r="K163" i="1"/>
  <c r="H163" i="1"/>
  <c r="E163" i="1"/>
  <c r="AJ162" i="1"/>
  <c r="AL162" i="1" s="1"/>
  <c r="AN162" i="1" s="1"/>
  <c r="AP162" i="1" s="1"/>
  <c r="AR162" i="1" s="1"/>
  <c r="AT162" i="1" s="1"/>
  <c r="AV162" i="1" s="1"/>
  <c r="AX162" i="1" s="1"/>
  <c r="AZ162" i="1" s="1"/>
  <c r="BP162" i="1" s="1"/>
  <c r="AF162" i="1"/>
  <c r="AD162" i="1"/>
  <c r="Z162" i="1"/>
  <c r="W162" i="1"/>
  <c r="S162" i="1"/>
  <c r="P162" i="1"/>
  <c r="U162" i="1" s="1"/>
  <c r="N162" i="1"/>
  <c r="K162" i="1"/>
  <c r="H162" i="1"/>
  <c r="E162" i="1"/>
  <c r="AF161" i="1"/>
  <c r="AD161" i="1"/>
  <c r="Z161" i="1"/>
  <c r="W161" i="1"/>
  <c r="S161" i="1"/>
  <c r="P161" i="1"/>
  <c r="AH161" i="1" s="1"/>
  <c r="AJ161" i="1" s="1"/>
  <c r="AL161" i="1" s="1"/>
  <c r="AN161" i="1" s="1"/>
  <c r="AP161" i="1" s="1"/>
  <c r="AR161" i="1" s="1"/>
  <c r="AT161" i="1" s="1"/>
  <c r="AV161" i="1" s="1"/>
  <c r="AX161" i="1" s="1"/>
  <c r="AZ161" i="1" s="1"/>
  <c r="BP161" i="1" s="1"/>
  <c r="N161" i="1"/>
  <c r="K161" i="1"/>
  <c r="H161" i="1"/>
  <c r="E161" i="1"/>
  <c r="AH160" i="1"/>
  <c r="AJ160" i="1" s="1"/>
  <c r="AL160" i="1" s="1"/>
  <c r="AN160" i="1" s="1"/>
  <c r="AP160" i="1" s="1"/>
  <c r="AR160" i="1" s="1"/>
  <c r="AT160" i="1" s="1"/>
  <c r="AV160" i="1" s="1"/>
  <c r="AX160" i="1" s="1"/>
  <c r="AZ160" i="1" s="1"/>
  <c r="BP160" i="1" s="1"/>
  <c r="AF160" i="1"/>
  <c r="AD160" i="1"/>
  <c r="Z160" i="1"/>
  <c r="W160" i="1"/>
  <c r="S160" i="1"/>
  <c r="P160" i="1"/>
  <c r="U160" i="1" s="1"/>
  <c r="N160" i="1"/>
  <c r="K160" i="1"/>
  <c r="H160" i="1"/>
  <c r="E160" i="1"/>
  <c r="AH159" i="1"/>
  <c r="AF159" i="1"/>
  <c r="AD159" i="1"/>
  <c r="Z159" i="1"/>
  <c r="W159" i="1"/>
  <c r="S159" i="1"/>
  <c r="P159" i="1"/>
  <c r="U159" i="1" s="1"/>
  <c r="N159" i="1"/>
  <c r="K159" i="1"/>
  <c r="H159" i="1"/>
  <c r="E159" i="1"/>
  <c r="AE157" i="1"/>
  <c r="AC157" i="1"/>
  <c r="Y157" i="1"/>
  <c r="V157" i="1"/>
  <c r="T157" i="1"/>
  <c r="R157" i="1"/>
  <c r="L157" i="1"/>
  <c r="J157" i="1"/>
  <c r="F157" i="1"/>
  <c r="D157" i="1"/>
  <c r="B157" i="1"/>
  <c r="AH156" i="1"/>
  <c r="AJ156" i="1" s="1"/>
  <c r="AL156" i="1" s="1"/>
  <c r="AN156" i="1" s="1"/>
  <c r="AP156" i="1" s="1"/>
  <c r="AR156" i="1" s="1"/>
  <c r="AT156" i="1" s="1"/>
  <c r="AV156" i="1" s="1"/>
  <c r="AX156" i="1" s="1"/>
  <c r="AZ156" i="1" s="1"/>
  <c r="BP156" i="1" s="1"/>
  <c r="AF156" i="1"/>
  <c r="AD156" i="1"/>
  <c r="Z156" i="1"/>
  <c r="W156" i="1"/>
  <c r="S156" i="1"/>
  <c r="P156" i="1"/>
  <c r="U156" i="1" s="1"/>
  <c r="N156" i="1"/>
  <c r="K156" i="1"/>
  <c r="H156" i="1"/>
  <c r="E156" i="1"/>
  <c r="AF155" i="1"/>
  <c r="AD155" i="1"/>
  <c r="Z155" i="1"/>
  <c r="W155" i="1"/>
  <c r="U155" i="1"/>
  <c r="S155" i="1"/>
  <c r="N155" i="1"/>
  <c r="K155" i="1"/>
  <c r="H155" i="1"/>
  <c r="E155" i="1"/>
  <c r="AF154" i="1"/>
  <c r="AD154" i="1"/>
  <c r="Z154" i="1"/>
  <c r="W154" i="1"/>
  <c r="U154" i="1"/>
  <c r="S154" i="1"/>
  <c r="N154" i="1"/>
  <c r="K154" i="1"/>
  <c r="H154" i="1"/>
  <c r="E154" i="1"/>
  <c r="AJ153" i="1"/>
  <c r="AL153" i="1" s="1"/>
  <c r="AN153" i="1" s="1"/>
  <c r="AP153" i="1" s="1"/>
  <c r="AR153" i="1" s="1"/>
  <c r="AT153" i="1" s="1"/>
  <c r="AV153" i="1" s="1"/>
  <c r="AX153" i="1" s="1"/>
  <c r="AZ153" i="1" s="1"/>
  <c r="BP153" i="1" s="1"/>
  <c r="AF153" i="1"/>
  <c r="AD153" i="1"/>
  <c r="Z153" i="1"/>
  <c r="W153" i="1"/>
  <c r="S153" i="1"/>
  <c r="P153" i="1"/>
  <c r="U153" i="1" s="1"/>
  <c r="N153" i="1"/>
  <c r="K153" i="1"/>
  <c r="H153" i="1"/>
  <c r="E153" i="1"/>
  <c r="AJ152" i="1"/>
  <c r="AL152" i="1" s="1"/>
  <c r="AN152" i="1" s="1"/>
  <c r="AP152" i="1" s="1"/>
  <c r="AR152" i="1" s="1"/>
  <c r="AT152" i="1" s="1"/>
  <c r="AV152" i="1" s="1"/>
  <c r="AX152" i="1" s="1"/>
  <c r="AZ152" i="1" s="1"/>
  <c r="BP152" i="1" s="1"/>
  <c r="AF152" i="1"/>
  <c r="AD152" i="1"/>
  <c r="Z152" i="1"/>
  <c r="W152" i="1"/>
  <c r="S152" i="1"/>
  <c r="P152" i="1"/>
  <c r="U152" i="1" s="1"/>
  <c r="N152" i="1"/>
  <c r="K152" i="1"/>
  <c r="H152" i="1"/>
  <c r="E152" i="1"/>
  <c r="AJ151" i="1"/>
  <c r="AF151" i="1"/>
  <c r="AD151" i="1"/>
  <c r="Z151" i="1"/>
  <c r="W151" i="1"/>
  <c r="S151" i="1"/>
  <c r="P151" i="1"/>
  <c r="N151" i="1"/>
  <c r="K151" i="1"/>
  <c r="H151" i="1"/>
  <c r="E151" i="1"/>
  <c r="AE149" i="1"/>
  <c r="AC149" i="1"/>
  <c r="Y149" i="1"/>
  <c r="V149" i="1"/>
  <c r="T149" i="1"/>
  <c r="R149" i="1"/>
  <c r="L149" i="1"/>
  <c r="J149" i="1"/>
  <c r="F149" i="1"/>
  <c r="D149" i="1"/>
  <c r="B149" i="1"/>
  <c r="AF146" i="1"/>
  <c r="AF149" i="1" s="1"/>
  <c r="AD146" i="1"/>
  <c r="AD149" i="1" s="1"/>
  <c r="Z146" i="1"/>
  <c r="Z149" i="1" s="1"/>
  <c r="W146" i="1"/>
  <c r="W149" i="1" s="1"/>
  <c r="S146" i="1"/>
  <c r="S149" i="1" s="1"/>
  <c r="P146" i="1"/>
  <c r="AH146" i="1" s="1"/>
  <c r="N146" i="1"/>
  <c r="N149" i="1" s="1"/>
  <c r="K146" i="1"/>
  <c r="K149" i="1" s="1"/>
  <c r="H146" i="1"/>
  <c r="H149" i="1" s="1"/>
  <c r="E146" i="1"/>
  <c r="E149" i="1" s="1"/>
  <c r="AZ143" i="1"/>
  <c r="BP143" i="1" s="1"/>
  <c r="AX143" i="1"/>
  <c r="AV143" i="1"/>
  <c r="AT143" i="1"/>
  <c r="AR143" i="1"/>
  <c r="AP143" i="1"/>
  <c r="AN143" i="1"/>
  <c r="AL143" i="1"/>
  <c r="AJ143" i="1"/>
  <c r="AH143" i="1"/>
  <c r="AE143" i="1"/>
  <c r="AC143" i="1"/>
  <c r="Y143" i="1"/>
  <c r="V143" i="1"/>
  <c r="T143" i="1"/>
  <c r="R143" i="1"/>
  <c r="P143" i="1"/>
  <c r="L143" i="1"/>
  <c r="J143" i="1"/>
  <c r="F143" i="1"/>
  <c r="D143" i="1"/>
  <c r="B143" i="1"/>
  <c r="AF142" i="1"/>
  <c r="AD142" i="1"/>
  <c r="Z142" i="1"/>
  <c r="W142" i="1"/>
  <c r="U142" i="1"/>
  <c r="S142" i="1"/>
  <c r="N142" i="1"/>
  <c r="K142" i="1"/>
  <c r="H142" i="1"/>
  <c r="E142" i="1"/>
  <c r="AF141" i="1"/>
  <c r="AD141" i="1"/>
  <c r="AF140" i="1"/>
  <c r="AD140" i="1"/>
  <c r="Z140" i="1"/>
  <c r="Z143" i="1" s="1"/>
  <c r="W140" i="1"/>
  <c r="W143" i="1" s="1"/>
  <c r="U140" i="1"/>
  <c r="S140" i="1"/>
  <c r="S143" i="1" s="1"/>
  <c r="N140" i="1"/>
  <c r="N143" i="1" s="1"/>
  <c r="K140" i="1"/>
  <c r="K143" i="1" s="1"/>
  <c r="H140" i="1"/>
  <c r="H143" i="1" s="1"/>
  <c r="E140" i="1"/>
  <c r="E143" i="1" s="1"/>
  <c r="AE135" i="1"/>
  <c r="AC135" i="1"/>
  <c r="Y135" i="1"/>
  <c r="V135" i="1"/>
  <c r="T135" i="1"/>
  <c r="R135" i="1"/>
  <c r="N135" i="1"/>
  <c r="L135" i="1"/>
  <c r="K135" i="1"/>
  <c r="J135" i="1"/>
  <c r="F135" i="1"/>
  <c r="D135" i="1"/>
  <c r="B135" i="1"/>
  <c r="AF134" i="1"/>
  <c r="AF135" i="1" s="1"/>
  <c r="AD134" i="1"/>
  <c r="AD135" i="1" s="1"/>
  <c r="Z134" i="1"/>
  <c r="W134" i="1"/>
  <c r="W135" i="1" s="1"/>
  <c r="S134" i="1"/>
  <c r="S135" i="1" s="1"/>
  <c r="P134" i="1"/>
  <c r="P135" i="1" s="1"/>
  <c r="H134" i="1"/>
  <c r="H135" i="1" s="1"/>
  <c r="E134" i="1"/>
  <c r="E135" i="1" s="1"/>
  <c r="AE131" i="1"/>
  <c r="AC131" i="1"/>
  <c r="Y131" i="1"/>
  <c r="V131" i="1"/>
  <c r="T131" i="1"/>
  <c r="R131" i="1"/>
  <c r="L131" i="1"/>
  <c r="J131" i="1"/>
  <c r="F131" i="1"/>
  <c r="D131" i="1"/>
  <c r="B131" i="1"/>
  <c r="AH130" i="1"/>
  <c r="AJ130" i="1" s="1"/>
  <c r="AL130" i="1" s="1"/>
  <c r="AN130" i="1" s="1"/>
  <c r="AP130" i="1" s="1"/>
  <c r="AR130" i="1" s="1"/>
  <c r="AT130" i="1" s="1"/>
  <c r="AV130" i="1" s="1"/>
  <c r="AX130" i="1" s="1"/>
  <c r="AZ130" i="1" s="1"/>
  <c r="BP130" i="1" s="1"/>
  <c r="AF130" i="1"/>
  <c r="AD130" i="1"/>
  <c r="Z130" i="1"/>
  <c r="W130" i="1"/>
  <c r="S130" i="1"/>
  <c r="P130" i="1"/>
  <c r="U130" i="1" s="1"/>
  <c r="N130" i="1"/>
  <c r="K130" i="1"/>
  <c r="H130" i="1"/>
  <c r="E130" i="1"/>
  <c r="AJ129" i="1"/>
  <c r="AL129" i="1" s="1"/>
  <c r="AN129" i="1" s="1"/>
  <c r="AP129" i="1" s="1"/>
  <c r="AR129" i="1" s="1"/>
  <c r="AT129" i="1" s="1"/>
  <c r="AV129" i="1" s="1"/>
  <c r="AX129" i="1" s="1"/>
  <c r="AZ129" i="1" s="1"/>
  <c r="BP129" i="1" s="1"/>
  <c r="AF129" i="1"/>
  <c r="AD129" i="1"/>
  <c r="Z129" i="1"/>
  <c r="W129" i="1"/>
  <c r="S129" i="1"/>
  <c r="P129" i="1"/>
  <c r="U129" i="1" s="1"/>
  <c r="N129" i="1"/>
  <c r="K129" i="1"/>
  <c r="H129" i="1"/>
  <c r="E129" i="1"/>
  <c r="AS128" i="1"/>
  <c r="AU128" i="1" s="1"/>
  <c r="AK128" i="1"/>
  <c r="AM128" i="1" s="1"/>
  <c r="AH128" i="1"/>
  <c r="AJ128" i="1" s="1"/>
  <c r="AL128" i="1" s="1"/>
  <c r="AN128" i="1" s="1"/>
  <c r="AP128" i="1" s="1"/>
  <c r="AR128" i="1" s="1"/>
  <c r="AT128" i="1" s="1"/>
  <c r="AV128" i="1" s="1"/>
  <c r="AX128" i="1" s="1"/>
  <c r="AZ128" i="1" s="1"/>
  <c r="BP128" i="1" s="1"/>
  <c r="AF128" i="1"/>
  <c r="AD128" i="1"/>
  <c r="Z128" i="1"/>
  <c r="W128" i="1"/>
  <c r="U128" i="1"/>
  <c r="S128" i="1"/>
  <c r="N128" i="1"/>
  <c r="K128" i="1"/>
  <c r="H128" i="1"/>
  <c r="AF127" i="1"/>
  <c r="AD127" i="1"/>
  <c r="Z127" i="1"/>
  <c r="W127" i="1"/>
  <c r="U127" i="1"/>
  <c r="S127" i="1"/>
  <c r="N127" i="1"/>
  <c r="K127" i="1"/>
  <c r="H127" i="1"/>
  <c r="E127" i="1"/>
  <c r="AS126" i="1"/>
  <c r="AU126" i="1" s="1"/>
  <c r="AK126" i="1"/>
  <c r="AM126" i="1" s="1"/>
  <c r="AJ126" i="1"/>
  <c r="AL126" i="1" s="1"/>
  <c r="AN126" i="1" s="1"/>
  <c r="AP126" i="1" s="1"/>
  <c r="AR126" i="1" s="1"/>
  <c r="AT126" i="1" s="1"/>
  <c r="AV126" i="1" s="1"/>
  <c r="AX126" i="1" s="1"/>
  <c r="AZ126" i="1" s="1"/>
  <c r="BP126" i="1" s="1"/>
  <c r="AF126" i="1"/>
  <c r="AD126" i="1"/>
  <c r="Z126" i="1"/>
  <c r="W126" i="1"/>
  <c r="U126" i="1"/>
  <c r="S126" i="1"/>
  <c r="N126" i="1"/>
  <c r="K126" i="1"/>
  <c r="H126" i="1"/>
  <c r="E126" i="1"/>
  <c r="AS125" i="1"/>
  <c r="AU125" i="1" s="1"/>
  <c r="AK125" i="1"/>
  <c r="AM125" i="1" s="1"/>
  <c r="AH125" i="1"/>
  <c r="AF125" i="1"/>
  <c r="AD125" i="1"/>
  <c r="Z125" i="1"/>
  <c r="W125" i="1"/>
  <c r="U125" i="1"/>
  <c r="S125" i="1"/>
  <c r="N125" i="1"/>
  <c r="K125" i="1"/>
  <c r="H125" i="1"/>
  <c r="E125" i="1"/>
  <c r="AH123" i="1"/>
  <c r="AF123" i="1"/>
  <c r="AE123" i="1"/>
  <c r="AC123" i="1"/>
  <c r="Y123" i="1"/>
  <c r="V123" i="1"/>
  <c r="T123" i="1"/>
  <c r="R123" i="1"/>
  <c r="P123" i="1"/>
  <c r="L123" i="1"/>
  <c r="J123" i="1"/>
  <c r="F123" i="1"/>
  <c r="D123" i="1"/>
  <c r="B123" i="1"/>
  <c r="AJ121" i="1"/>
  <c r="AJ123" i="1" s="1"/>
  <c r="W121" i="1"/>
  <c r="W123" i="1" s="1"/>
  <c r="U121" i="1"/>
  <c r="U123" i="1" s="1"/>
  <c r="S121" i="1"/>
  <c r="S123" i="1" s="1"/>
  <c r="N121" i="1"/>
  <c r="N123" i="1" s="1"/>
  <c r="K121" i="1"/>
  <c r="K123" i="1" s="1"/>
  <c r="H121" i="1"/>
  <c r="H123" i="1" s="1"/>
  <c r="E121" i="1"/>
  <c r="E123" i="1" s="1"/>
  <c r="AH117" i="1"/>
  <c r="AE117" i="1"/>
  <c r="AC117" i="1"/>
  <c r="Y117" i="1"/>
  <c r="V117" i="1"/>
  <c r="T117" i="1"/>
  <c r="R117" i="1"/>
  <c r="L117" i="1"/>
  <c r="J117" i="1"/>
  <c r="F117" i="1"/>
  <c r="D117" i="1"/>
  <c r="B117" i="1"/>
  <c r="AJ116" i="1"/>
  <c r="AJ117" i="1" s="1"/>
  <c r="AF116" i="1"/>
  <c r="AF117" i="1" s="1"/>
  <c r="AD116" i="1"/>
  <c r="AD117" i="1" s="1"/>
  <c r="Z116" i="1"/>
  <c r="Z117" i="1" s="1"/>
  <c r="W116" i="1"/>
  <c r="S116" i="1"/>
  <c r="S117" i="1" s="1"/>
  <c r="P116" i="1"/>
  <c r="P117" i="1" s="1"/>
  <c r="N116" i="1"/>
  <c r="N117" i="1" s="1"/>
  <c r="K116" i="1"/>
  <c r="K117" i="1" s="1"/>
  <c r="H116" i="1"/>
  <c r="H117" i="1" s="1"/>
  <c r="E116" i="1"/>
  <c r="W115" i="1"/>
  <c r="E115" i="1"/>
  <c r="E114" i="1"/>
  <c r="AH110" i="1"/>
  <c r="AE110" i="1"/>
  <c r="AC110" i="1"/>
  <c r="Y110" i="1"/>
  <c r="V110" i="1"/>
  <c r="T110" i="1"/>
  <c r="L110" i="1"/>
  <c r="J110" i="1"/>
  <c r="F110" i="1"/>
  <c r="D110" i="1"/>
  <c r="B110" i="1"/>
  <c r="AJ108" i="1"/>
  <c r="AL108" i="1" s="1"/>
  <c r="AN108" i="1" s="1"/>
  <c r="AP108" i="1" s="1"/>
  <c r="AR108" i="1" s="1"/>
  <c r="AT108" i="1" s="1"/>
  <c r="AV108" i="1" s="1"/>
  <c r="AX108" i="1" s="1"/>
  <c r="AZ108" i="1" s="1"/>
  <c r="BP108" i="1" s="1"/>
  <c r="AF108" i="1"/>
  <c r="AD108" i="1"/>
  <c r="Z108" i="1"/>
  <c r="W108" i="1"/>
  <c r="R108" i="1"/>
  <c r="R110" i="1" s="1"/>
  <c r="P108" i="1"/>
  <c r="U108" i="1" s="1"/>
  <c r="N108" i="1"/>
  <c r="K108" i="1"/>
  <c r="H108" i="1"/>
  <c r="E108" i="1"/>
  <c r="AJ107" i="1"/>
  <c r="AL107" i="1" s="1"/>
  <c r="AF107" i="1"/>
  <c r="AD107" i="1"/>
  <c r="Z107" i="1"/>
  <c r="W107" i="1"/>
  <c r="S107" i="1"/>
  <c r="P107" i="1"/>
  <c r="N107" i="1"/>
  <c r="K107" i="1"/>
  <c r="H107" i="1"/>
  <c r="E107" i="1"/>
  <c r="AE104" i="1"/>
  <c r="AC104" i="1"/>
  <c r="Y104" i="1"/>
  <c r="V104" i="1"/>
  <c r="T104" i="1"/>
  <c r="R104" i="1"/>
  <c r="L104" i="1"/>
  <c r="J104" i="1"/>
  <c r="F104" i="1"/>
  <c r="D104" i="1"/>
  <c r="B104" i="1"/>
  <c r="AJ103" i="1"/>
  <c r="AL103" i="1" s="1"/>
  <c r="AN103" i="1" s="1"/>
  <c r="AP103" i="1" s="1"/>
  <c r="AR103" i="1" s="1"/>
  <c r="AT103" i="1" s="1"/>
  <c r="AV103" i="1" s="1"/>
  <c r="AX103" i="1" s="1"/>
  <c r="AZ103" i="1" s="1"/>
  <c r="BP103" i="1" s="1"/>
  <c r="AF103" i="1"/>
  <c r="AD103" i="1"/>
  <c r="Z103" i="1"/>
  <c r="W103" i="1"/>
  <c r="U103" i="1"/>
  <c r="S103" i="1"/>
  <c r="N103" i="1"/>
  <c r="K103" i="1"/>
  <c r="H103" i="1"/>
  <c r="E103" i="1"/>
  <c r="AH102" i="1"/>
  <c r="AH104" i="1" s="1"/>
  <c r="AF102" i="1"/>
  <c r="AD102" i="1"/>
  <c r="Z102" i="1"/>
  <c r="W102" i="1"/>
  <c r="U102" i="1"/>
  <c r="S102" i="1"/>
  <c r="N102" i="1"/>
  <c r="K102" i="1"/>
  <c r="H102" i="1"/>
  <c r="E102" i="1"/>
  <c r="AF101" i="1"/>
  <c r="AD101" i="1"/>
  <c r="Z101" i="1"/>
  <c r="W101" i="1"/>
  <c r="U101" i="1"/>
  <c r="S101" i="1"/>
  <c r="N101" i="1"/>
  <c r="K101" i="1"/>
  <c r="H101" i="1"/>
  <c r="E101" i="1"/>
  <c r="AF100" i="1"/>
  <c r="AD100" i="1"/>
  <c r="Z100" i="1"/>
  <c r="W100" i="1"/>
  <c r="U100" i="1"/>
  <c r="S100" i="1"/>
  <c r="N100" i="1"/>
  <c r="K100" i="1"/>
  <c r="H100" i="1"/>
  <c r="E100" i="1"/>
  <c r="AF99" i="1"/>
  <c r="AD99" i="1"/>
  <c r="Z99" i="1"/>
  <c r="W99" i="1"/>
  <c r="S99" i="1"/>
  <c r="P99" i="1"/>
  <c r="U99" i="1" s="1"/>
  <c r="N99" i="1"/>
  <c r="K99" i="1"/>
  <c r="H99" i="1"/>
  <c r="E99" i="1"/>
  <c r="AJ98" i="1"/>
  <c r="AL98" i="1" s="1"/>
  <c r="AN98" i="1" s="1"/>
  <c r="AP98" i="1" s="1"/>
  <c r="AR98" i="1" s="1"/>
  <c r="AT98" i="1" s="1"/>
  <c r="AV98" i="1" s="1"/>
  <c r="AX98" i="1" s="1"/>
  <c r="AZ98" i="1" s="1"/>
  <c r="BP98" i="1" s="1"/>
  <c r="AF98" i="1"/>
  <c r="AD98" i="1"/>
  <c r="Z98" i="1"/>
  <c r="W98" i="1"/>
  <c r="S98" i="1"/>
  <c r="P98" i="1"/>
  <c r="N98" i="1"/>
  <c r="K98" i="1"/>
  <c r="H98" i="1"/>
  <c r="E98" i="1"/>
  <c r="AF97" i="1"/>
  <c r="AD97" i="1"/>
  <c r="Z97" i="1"/>
  <c r="W97" i="1"/>
  <c r="U97" i="1"/>
  <c r="AF96" i="1"/>
  <c r="AD96" i="1"/>
  <c r="Z96" i="1"/>
  <c r="W96" i="1"/>
  <c r="U96" i="1"/>
  <c r="S96" i="1"/>
  <c r="N96" i="1"/>
  <c r="K96" i="1"/>
  <c r="H96" i="1"/>
  <c r="E96" i="1"/>
  <c r="AJ95" i="1"/>
  <c r="AF95" i="1"/>
  <c r="AD95" i="1"/>
  <c r="Z95" i="1"/>
  <c r="W95" i="1"/>
  <c r="S95" i="1"/>
  <c r="P95" i="1"/>
  <c r="U95" i="1" s="1"/>
  <c r="N95" i="1"/>
  <c r="K95" i="1"/>
  <c r="H95" i="1"/>
  <c r="E95" i="1"/>
  <c r="AE90" i="1"/>
  <c r="AC90" i="1"/>
  <c r="Y90" i="1"/>
  <c r="T90" i="1"/>
  <c r="L90" i="1"/>
  <c r="J90" i="1"/>
  <c r="F90" i="1"/>
  <c r="D90" i="1"/>
  <c r="B90" i="1"/>
  <c r="AF89" i="1"/>
  <c r="AD89" i="1"/>
  <c r="Z89" i="1"/>
  <c r="W89" i="1"/>
  <c r="S89" i="1"/>
  <c r="P89" i="1"/>
  <c r="AH89" i="1" s="1"/>
  <c r="AJ89" i="1" s="1"/>
  <c r="AL89" i="1" s="1"/>
  <c r="AN89" i="1" s="1"/>
  <c r="AP89" i="1" s="1"/>
  <c r="AR89" i="1" s="1"/>
  <c r="AT89" i="1" s="1"/>
  <c r="AV89" i="1" s="1"/>
  <c r="AX89" i="1" s="1"/>
  <c r="AZ89" i="1" s="1"/>
  <c r="BP89" i="1" s="1"/>
  <c r="N89" i="1"/>
  <c r="K89" i="1"/>
  <c r="H89" i="1"/>
  <c r="E89" i="1"/>
  <c r="AJ88" i="1"/>
  <c r="AL88" i="1" s="1"/>
  <c r="AN88" i="1" s="1"/>
  <c r="AP88" i="1" s="1"/>
  <c r="AR88" i="1" s="1"/>
  <c r="AT88" i="1" s="1"/>
  <c r="AV88" i="1" s="1"/>
  <c r="AX88" i="1" s="1"/>
  <c r="AZ88" i="1" s="1"/>
  <c r="BP88" i="1" s="1"/>
  <c r="AF88" i="1"/>
  <c r="AD88" i="1"/>
  <c r="Z88" i="1"/>
  <c r="W88" i="1"/>
  <c r="S88" i="1"/>
  <c r="P88" i="1"/>
  <c r="U88" i="1" s="1"/>
  <c r="N88" i="1"/>
  <c r="K88" i="1"/>
  <c r="H88" i="1"/>
  <c r="E88" i="1"/>
  <c r="AF87" i="1"/>
  <c r="AD87" i="1"/>
  <c r="Z87" i="1"/>
  <c r="W87" i="1"/>
  <c r="U87" i="1"/>
  <c r="S87" i="1"/>
  <c r="N87" i="1"/>
  <c r="K87" i="1"/>
  <c r="H87" i="1"/>
  <c r="E87" i="1"/>
  <c r="AF86" i="1"/>
  <c r="AD86" i="1"/>
  <c r="Z86" i="1"/>
  <c r="W86" i="1"/>
  <c r="U86" i="1"/>
  <c r="S86" i="1"/>
  <c r="N86" i="1"/>
  <c r="K86" i="1"/>
  <c r="H86" i="1"/>
  <c r="E86" i="1"/>
  <c r="AF85" i="1"/>
  <c r="AD85" i="1"/>
  <c r="Z85" i="1"/>
  <c r="W85" i="1"/>
  <c r="U85" i="1"/>
  <c r="S85" i="1"/>
  <c r="N85" i="1"/>
  <c r="K85" i="1"/>
  <c r="H85" i="1"/>
  <c r="E85" i="1"/>
  <c r="AF84" i="1"/>
  <c r="AD84" i="1"/>
  <c r="Z84" i="1"/>
  <c r="V84" i="1"/>
  <c r="V90" i="1" s="1"/>
  <c r="R84" i="1"/>
  <c r="R90" i="1" s="1"/>
  <c r="P84" i="1"/>
  <c r="U84" i="1" s="1"/>
  <c r="N84" i="1"/>
  <c r="K84" i="1"/>
  <c r="H84" i="1"/>
  <c r="E84" i="1"/>
  <c r="AF83" i="1"/>
  <c r="AD83" i="1"/>
  <c r="Z83" i="1"/>
  <c r="W83" i="1"/>
  <c r="S83" i="1"/>
  <c r="P83" i="1"/>
  <c r="U83" i="1" s="1"/>
  <c r="N83" i="1"/>
  <c r="K83" i="1"/>
  <c r="H83" i="1"/>
  <c r="E83" i="1"/>
  <c r="AF82" i="1"/>
  <c r="AD82" i="1"/>
  <c r="Z82" i="1"/>
  <c r="W82" i="1"/>
  <c r="U82" i="1"/>
  <c r="S82" i="1"/>
  <c r="N82" i="1"/>
  <c r="K82" i="1"/>
  <c r="H82" i="1"/>
  <c r="E82" i="1"/>
  <c r="AF81" i="1"/>
  <c r="AD81" i="1"/>
  <c r="W81" i="1"/>
  <c r="N81" i="1"/>
  <c r="K81" i="1"/>
  <c r="H81" i="1"/>
  <c r="E81" i="1"/>
  <c r="AJ80" i="1"/>
  <c r="AL80" i="1" s="1"/>
  <c r="AF80" i="1"/>
  <c r="AD80" i="1"/>
  <c r="Z80" i="1"/>
  <c r="W80" i="1"/>
  <c r="U80" i="1"/>
  <c r="S80" i="1"/>
  <c r="N80" i="1"/>
  <c r="K80" i="1"/>
  <c r="H80" i="1"/>
  <c r="E80" i="1"/>
  <c r="AE77" i="1"/>
  <c r="AC77" i="1"/>
  <c r="Y77" i="1"/>
  <c r="V77" i="1"/>
  <c r="T77" i="1"/>
  <c r="R77" i="1"/>
  <c r="L77" i="1"/>
  <c r="L78" i="1" s="1"/>
  <c r="J77" i="1"/>
  <c r="J78" i="1" s="1"/>
  <c r="F77" i="1"/>
  <c r="D77" i="1"/>
  <c r="B77" i="1"/>
  <c r="AJ76" i="1"/>
  <c r="AL76" i="1" s="1"/>
  <c r="AN76" i="1" s="1"/>
  <c r="AP76" i="1" s="1"/>
  <c r="AR76" i="1" s="1"/>
  <c r="AT76" i="1" s="1"/>
  <c r="AV76" i="1" s="1"/>
  <c r="AX76" i="1" s="1"/>
  <c r="AZ76" i="1" s="1"/>
  <c r="BP76" i="1" s="1"/>
  <c r="AF76" i="1"/>
  <c r="AD76" i="1"/>
  <c r="Z76" i="1"/>
  <c r="W76" i="1"/>
  <c r="S76" i="1"/>
  <c r="P76" i="1"/>
  <c r="U76" i="1" s="1"/>
  <c r="N76" i="1"/>
  <c r="K76" i="1"/>
  <c r="H76" i="1"/>
  <c r="E76" i="1"/>
  <c r="AF75" i="1"/>
  <c r="AD75" i="1"/>
  <c r="Z75" i="1"/>
  <c r="W75" i="1"/>
  <c r="U75" i="1"/>
  <c r="S75" i="1"/>
  <c r="AF74" i="1"/>
  <c r="AD74" i="1"/>
  <c r="Z74" i="1"/>
  <c r="W74" i="1"/>
  <c r="U74" i="1"/>
  <c r="S74" i="1"/>
  <c r="N74" i="1"/>
  <c r="K74" i="1"/>
  <c r="H74" i="1"/>
  <c r="E74" i="1"/>
  <c r="AJ73" i="1"/>
  <c r="AL73" i="1" s="1"/>
  <c r="AN73" i="1" s="1"/>
  <c r="AP73" i="1" s="1"/>
  <c r="AR73" i="1" s="1"/>
  <c r="AT73" i="1" s="1"/>
  <c r="AV73" i="1" s="1"/>
  <c r="AX73" i="1" s="1"/>
  <c r="AZ73" i="1" s="1"/>
  <c r="BP73" i="1" s="1"/>
  <c r="AF73" i="1"/>
  <c r="AD73" i="1"/>
  <c r="Z73" i="1"/>
  <c r="W73" i="1"/>
  <c r="U73" i="1"/>
  <c r="S73" i="1"/>
  <c r="N73" i="1"/>
  <c r="K73" i="1"/>
  <c r="H73" i="1"/>
  <c r="E73" i="1"/>
  <c r="AF72" i="1"/>
  <c r="AD72" i="1"/>
  <c r="Z72" i="1"/>
  <c r="W72" i="1"/>
  <c r="U72" i="1"/>
  <c r="S72" i="1"/>
  <c r="N72" i="1"/>
  <c r="K72" i="1"/>
  <c r="H72" i="1"/>
  <c r="E72" i="1"/>
  <c r="AH71" i="1"/>
  <c r="AH77" i="1" s="1"/>
  <c r="AF71" i="1"/>
  <c r="AD71" i="1"/>
  <c r="Z71" i="1"/>
  <c r="W71" i="1"/>
  <c r="S71" i="1"/>
  <c r="P71" i="1"/>
  <c r="U71" i="1" s="1"/>
  <c r="N71" i="1"/>
  <c r="K71" i="1"/>
  <c r="H71" i="1"/>
  <c r="E71" i="1"/>
  <c r="AJ70" i="1"/>
  <c r="AL70" i="1" s="1"/>
  <c r="AF70" i="1"/>
  <c r="AD70" i="1"/>
  <c r="Z70" i="1"/>
  <c r="W70" i="1"/>
  <c r="S70" i="1"/>
  <c r="P70" i="1"/>
  <c r="N70" i="1"/>
  <c r="K70" i="1"/>
  <c r="H70" i="1"/>
  <c r="E70" i="1"/>
  <c r="AE66" i="1"/>
  <c r="Y66" i="1"/>
  <c r="V66" i="1"/>
  <c r="T66" i="1"/>
  <c r="L66" i="1"/>
  <c r="J66" i="1"/>
  <c r="F66" i="1"/>
  <c r="AL64" i="1"/>
  <c r="AN64" i="1" s="1"/>
  <c r="AP64" i="1" s="1"/>
  <c r="AR64" i="1" s="1"/>
  <c r="AT64" i="1" s="1"/>
  <c r="AV64" i="1" s="1"/>
  <c r="AX64" i="1" s="1"/>
  <c r="AZ64" i="1" s="1"/>
  <c r="AF64" i="1"/>
  <c r="AC64" i="1"/>
  <c r="AD64" i="1" s="1"/>
  <c r="Z64" i="1"/>
  <c r="W64" i="1"/>
  <c r="U64" i="1"/>
  <c r="R64" i="1"/>
  <c r="R66" i="1" s="1"/>
  <c r="N64" i="1"/>
  <c r="K64" i="1"/>
  <c r="E64" i="1"/>
  <c r="B64" i="1"/>
  <c r="H64" i="1" s="1"/>
  <c r="AJ63" i="1"/>
  <c r="AL63" i="1" s="1"/>
  <c r="AN63" i="1" s="1"/>
  <c r="AP63" i="1" s="1"/>
  <c r="AR63" i="1" s="1"/>
  <c r="AT63" i="1" s="1"/>
  <c r="AV63" i="1" s="1"/>
  <c r="AX63" i="1" s="1"/>
  <c r="AZ63" i="1" s="1"/>
  <c r="AF63" i="1"/>
  <c r="AD63" i="1"/>
  <c r="Z63" i="1"/>
  <c r="W63" i="1"/>
  <c r="S63" i="1"/>
  <c r="P63" i="1"/>
  <c r="U63" i="1" s="1"/>
  <c r="N63" i="1"/>
  <c r="K63" i="1"/>
  <c r="H63" i="1"/>
  <c r="E63" i="1"/>
  <c r="AF62" i="1"/>
  <c r="AD62" i="1"/>
  <c r="Z62" i="1"/>
  <c r="W62" i="1"/>
  <c r="U62" i="1"/>
  <c r="S62" i="1"/>
  <c r="N62" i="1"/>
  <c r="K62" i="1"/>
  <c r="H62" i="1"/>
  <c r="E62" i="1"/>
  <c r="AF61" i="1"/>
  <c r="AD61" i="1"/>
  <c r="Z61" i="1"/>
  <c r="W61" i="1"/>
  <c r="U61" i="1"/>
  <c r="S61" i="1"/>
  <c r="N61" i="1"/>
  <c r="K61" i="1"/>
  <c r="H61" i="1"/>
  <c r="E61" i="1"/>
  <c r="AF60" i="1"/>
  <c r="AD60" i="1"/>
  <c r="Z60" i="1"/>
  <c r="W60" i="1"/>
  <c r="U60" i="1"/>
  <c r="S60" i="1"/>
  <c r="N60" i="1"/>
  <c r="K60" i="1"/>
  <c r="H60" i="1"/>
  <c r="E60" i="1"/>
  <c r="AF59" i="1"/>
  <c r="AD59" i="1"/>
  <c r="Z59" i="1"/>
  <c r="W59" i="1"/>
  <c r="S59" i="1"/>
  <c r="P59" i="1"/>
  <c r="AH59" i="1" s="1"/>
  <c r="AH66" i="1" s="1"/>
  <c r="N59" i="1"/>
  <c r="K59" i="1"/>
  <c r="E59" i="1"/>
  <c r="B59" i="1"/>
  <c r="H59" i="1" s="1"/>
  <c r="AJ58" i="1"/>
  <c r="AL58" i="1" s="1"/>
  <c r="AN58" i="1" s="1"/>
  <c r="AP58" i="1" s="1"/>
  <c r="AR58" i="1" s="1"/>
  <c r="AT58" i="1" s="1"/>
  <c r="AV58" i="1" s="1"/>
  <c r="AX58" i="1" s="1"/>
  <c r="AZ58" i="1" s="1"/>
  <c r="AF58" i="1"/>
  <c r="AD58" i="1"/>
  <c r="Z58" i="1"/>
  <c r="W58" i="1"/>
  <c r="S58" i="1"/>
  <c r="P58" i="1"/>
  <c r="U58" i="1" s="1"/>
  <c r="N58" i="1"/>
  <c r="K58" i="1"/>
  <c r="E58" i="1"/>
  <c r="B58" i="1"/>
  <c r="H58" i="1" s="1"/>
  <c r="AF57" i="1"/>
  <c r="AD57" i="1"/>
  <c r="Z57" i="1"/>
  <c r="W57" i="1"/>
  <c r="U57" i="1"/>
  <c r="S57" i="1"/>
  <c r="AY56" i="1"/>
  <c r="AS56" i="1"/>
  <c r="AU56" i="1" s="1"/>
  <c r="AM56" i="1"/>
  <c r="AJ56" i="1"/>
  <c r="AF56" i="1"/>
  <c r="AD56" i="1"/>
  <c r="Z56" i="1"/>
  <c r="W56" i="1"/>
  <c r="S56" i="1"/>
  <c r="P56" i="1"/>
  <c r="N56" i="1"/>
  <c r="K56" i="1"/>
  <c r="H56" i="1"/>
  <c r="D56" i="1"/>
  <c r="D66" i="1" s="1"/>
  <c r="Z44" i="1"/>
  <c r="U44" i="1"/>
  <c r="H44" i="1"/>
  <c r="BO43" i="1"/>
  <c r="BO45" i="1" s="1"/>
  <c r="BM43" i="1"/>
  <c r="BM45" i="1" s="1"/>
  <c r="BK43" i="1"/>
  <c r="BK45" i="1" s="1"/>
  <c r="BI43" i="1"/>
  <c r="BI45" i="1" s="1"/>
  <c r="BG43" i="1"/>
  <c r="BG45" i="1" s="1"/>
  <c r="BF43" i="1"/>
  <c r="BF45" i="1" s="1"/>
  <c r="BD43" i="1"/>
  <c r="BD45" i="1" s="1"/>
  <c r="BB43" i="1"/>
  <c r="BB45" i="1" s="1"/>
  <c r="AZ43" i="1"/>
  <c r="AZ45" i="1" s="1"/>
  <c r="AX43" i="1"/>
  <c r="AX45" i="1" s="1"/>
  <c r="AV43" i="1"/>
  <c r="AV45" i="1" s="1"/>
  <c r="AT43" i="1"/>
  <c r="AT45" i="1" s="1"/>
  <c r="AR43" i="1"/>
  <c r="AR45" i="1" s="1"/>
  <c r="AP43" i="1"/>
  <c r="AP45" i="1" s="1"/>
  <c r="AN43" i="1"/>
  <c r="AN45" i="1" s="1"/>
  <c r="AL43" i="1"/>
  <c r="AL45" i="1" s="1"/>
  <c r="AJ43" i="1"/>
  <c r="AJ45" i="1" s="1"/>
  <c r="AH43" i="1"/>
  <c r="AH45" i="1" s="1"/>
  <c r="AH46" i="1" s="1"/>
  <c r="AJ41" i="1" s="1"/>
  <c r="AE43" i="1"/>
  <c r="AE45" i="1" s="1"/>
  <c r="AE46" i="1" s="1"/>
  <c r="Y43" i="1"/>
  <c r="Y45" i="1" s="1"/>
  <c r="Y46" i="1" s="1"/>
  <c r="T43" i="1"/>
  <c r="P43" i="1"/>
  <c r="P45" i="1" s="1"/>
  <c r="P46" i="1" s="1"/>
  <c r="L43" i="1"/>
  <c r="L45" i="1" s="1"/>
  <c r="L46" i="1" s="1"/>
  <c r="J43" i="1"/>
  <c r="J45" i="1" s="1"/>
  <c r="J46" i="1" s="1"/>
  <c r="F43" i="1"/>
  <c r="F45" i="1" s="1"/>
  <c r="D43" i="1"/>
  <c r="D45" i="1" s="1"/>
  <c r="D46" i="1" s="1"/>
  <c r="Z42" i="1"/>
  <c r="U42" i="1"/>
  <c r="H42" i="1"/>
  <c r="Z41" i="1"/>
  <c r="U41" i="1"/>
  <c r="H41" i="1"/>
  <c r="N34" i="1"/>
  <c r="N33" i="1"/>
  <c r="BO31" i="1"/>
  <c r="BM31" i="1"/>
  <c r="BK31" i="1"/>
  <c r="BI31" i="1"/>
  <c r="BG31" i="1"/>
  <c r="BF31" i="1"/>
  <c r="BD31" i="1"/>
  <c r="BB31" i="1"/>
  <c r="AE31" i="1"/>
  <c r="Y31" i="1"/>
  <c r="L31" i="1"/>
  <c r="J31" i="1"/>
  <c r="F31" i="1"/>
  <c r="B31" i="1"/>
  <c r="BO30" i="1"/>
  <c r="BM30" i="1"/>
  <c r="BK30" i="1"/>
  <c r="BI30" i="1"/>
  <c r="BG30" i="1"/>
  <c r="BF30" i="1"/>
  <c r="BD30" i="1"/>
  <c r="BB30" i="1"/>
  <c r="Z29" i="1"/>
  <c r="U29" i="1"/>
  <c r="N29" i="1"/>
  <c r="BO27" i="1"/>
  <c r="BM27" i="1"/>
  <c r="BK27" i="1"/>
  <c r="BI27" i="1"/>
  <c r="BG27" i="1"/>
  <c r="BF27" i="1"/>
  <c r="BD27" i="1"/>
  <c r="BB27" i="1"/>
  <c r="AX27" i="1"/>
  <c r="BO26" i="1"/>
  <c r="BM26" i="1"/>
  <c r="BK26" i="1"/>
  <c r="BI26" i="1"/>
  <c r="BG26" i="1"/>
  <c r="BF26" i="1"/>
  <c r="BD26" i="1"/>
  <c r="BB26" i="1"/>
  <c r="N24" i="1"/>
  <c r="Z23" i="1"/>
  <c r="U23" i="1"/>
  <c r="N23" i="1"/>
  <c r="AY205" i="7" l="1"/>
  <c r="AY201" i="7"/>
  <c r="R36" i="2"/>
  <c r="Y36" i="2" s="1"/>
  <c r="AD36" i="2" s="1"/>
  <c r="BL52" i="2"/>
  <c r="H66" i="2"/>
  <c r="Y46" i="2"/>
  <c r="AD46" i="2" s="1"/>
  <c r="AI46" i="2" s="1"/>
  <c r="F66" i="2"/>
  <c r="R12" i="2"/>
  <c r="BQ52" i="2"/>
  <c r="R42" i="2"/>
  <c r="Y42" i="2" s="1"/>
  <c r="AD42" i="2" s="1"/>
  <c r="AI42" i="2" s="1"/>
  <c r="AP42" i="2" s="1"/>
  <c r="AU42" i="2" s="1"/>
  <c r="AZ42" i="2" s="1"/>
  <c r="M49" i="2"/>
  <c r="AZ27" i="1"/>
  <c r="BP370" i="1"/>
  <c r="D66" i="2"/>
  <c r="E67" i="2" s="1"/>
  <c r="N66" i="2"/>
  <c r="Z66" i="2"/>
  <c r="AL66" i="2"/>
  <c r="AV66" i="2"/>
  <c r="BH66" i="2"/>
  <c r="BE213" i="6"/>
  <c r="U143" i="1"/>
  <c r="AS1239" i="1"/>
  <c r="AN1418" i="1"/>
  <c r="AP1418" i="1" s="1"/>
  <c r="AR1418" i="1" s="1"/>
  <c r="AT1418" i="1" s="1"/>
  <c r="AV1418" i="1" s="1"/>
  <c r="AX1418" i="1" s="1"/>
  <c r="AZ1418" i="1" s="1"/>
  <c r="AN1413" i="1"/>
  <c r="AP1413" i="1" s="1"/>
  <c r="AR1413" i="1" s="1"/>
  <c r="AT1413" i="1" s="1"/>
  <c r="AV1413" i="1" s="1"/>
  <c r="AX1413" i="1" s="1"/>
  <c r="AZ1413" i="1" s="1"/>
  <c r="Y12" i="2"/>
  <c r="AD12" i="2" s="1"/>
  <c r="AI12" i="2" s="1"/>
  <c r="AP12" i="2" s="1"/>
  <c r="AU12" i="2" s="1"/>
  <c r="AZ12" i="2" s="1"/>
  <c r="T12" i="2"/>
  <c r="P16" i="9"/>
  <c r="AU454" i="5"/>
  <c r="AU455" i="5" s="1"/>
  <c r="I66" i="2"/>
  <c r="U66" i="2"/>
  <c r="AE66" i="2"/>
  <c r="AQ66" i="2"/>
  <c r="BC66" i="2"/>
  <c r="BM66" i="2"/>
  <c r="M52" i="2"/>
  <c r="R52" i="2" s="1"/>
  <c r="I130" i="2"/>
  <c r="M87" i="2"/>
  <c r="M116" i="2"/>
  <c r="AU1084" i="5"/>
  <c r="AU1040" i="5"/>
  <c r="U1124" i="1"/>
  <c r="R6" i="2"/>
  <c r="Y6" i="2" s="1"/>
  <c r="K66" i="2"/>
  <c r="W66" i="2"/>
  <c r="K130" i="2"/>
  <c r="B1110" i="1"/>
  <c r="B1125" i="1" s="1"/>
  <c r="B1132" i="1" s="1"/>
  <c r="R33" i="2"/>
  <c r="Y33" i="2" s="1"/>
  <c r="AD33" i="2" s="1"/>
  <c r="AI33" i="2" s="1"/>
  <c r="AP33" i="2" s="1"/>
  <c r="AU33" i="2" s="1"/>
  <c r="AZ33" i="2" s="1"/>
  <c r="M56" i="2"/>
  <c r="R56" i="2" s="1"/>
  <c r="T56" i="2" s="1"/>
  <c r="Y56" i="2" s="1"/>
  <c r="AD56" i="2" s="1"/>
  <c r="AI56" i="2" s="1"/>
  <c r="AK56" i="2" s="1"/>
  <c r="AP56" i="2" s="1"/>
  <c r="AU56" i="2" s="1"/>
  <c r="AZ56" i="2" s="1"/>
  <c r="BB56" i="2" s="1"/>
  <c r="BG56" i="2" s="1"/>
  <c r="BL56" i="2" s="1"/>
  <c r="BQ56" i="2" s="1"/>
  <c r="M81" i="2"/>
  <c r="M113" i="2"/>
  <c r="R16" i="11"/>
  <c r="Z16" i="11" s="1"/>
  <c r="Q16" i="11"/>
  <c r="Y16" i="11" s="1"/>
  <c r="K16" i="11"/>
  <c r="F17" i="11"/>
  <c r="M17" i="11"/>
  <c r="U17" i="11" s="1"/>
  <c r="BA198" i="8"/>
  <c r="BA199" i="8" s="1"/>
  <c r="BA213" i="8" s="1"/>
  <c r="BA182" i="7"/>
  <c r="BA183" i="7" s="1"/>
  <c r="AY212" i="7"/>
  <c r="AY227" i="7" s="1"/>
  <c r="AY234" i="7" s="1"/>
  <c r="AY184" i="7"/>
  <c r="AY185" i="7" s="1"/>
  <c r="BF28" i="1"/>
  <c r="W1131" i="1"/>
  <c r="S1131" i="1"/>
  <c r="U27" i="1"/>
  <c r="BM28" i="1"/>
  <c r="R1132" i="1"/>
  <c r="H1209" i="1"/>
  <c r="F1280" i="1"/>
  <c r="N110" i="1"/>
  <c r="Z110" i="1"/>
  <c r="AJ157" i="1"/>
  <c r="H531" i="1"/>
  <c r="AF1110" i="1"/>
  <c r="AF1125" i="1" s="1"/>
  <c r="AE1132" i="1"/>
  <c r="P110" i="1"/>
  <c r="P157" i="1"/>
  <c r="B1280" i="1"/>
  <c r="H110" i="1"/>
  <c r="AJ726" i="1"/>
  <c r="Z1131" i="1"/>
  <c r="U1131" i="1"/>
  <c r="N1143" i="1"/>
  <c r="Z1304" i="1"/>
  <c r="N657" i="1"/>
  <c r="AT726" i="1"/>
  <c r="AL110" i="1"/>
  <c r="U151" i="1"/>
  <c r="U157" i="1" s="1"/>
  <c r="E531" i="1"/>
  <c r="P714" i="1"/>
  <c r="U714" i="1" s="1"/>
  <c r="T1087" i="1"/>
  <c r="N1410" i="1"/>
  <c r="Z1410" i="1"/>
  <c r="AH1620" i="1"/>
  <c r="AJ1608" i="1" s="1"/>
  <c r="AJ1612" i="1" s="1"/>
  <c r="AJ1620" i="1" s="1"/>
  <c r="AL1608" i="1" s="1"/>
  <c r="AL1612" i="1" s="1"/>
  <c r="AL1620" i="1" s="1"/>
  <c r="AN1608" i="1" s="1"/>
  <c r="AN1612" i="1" s="1"/>
  <c r="AN1620" i="1" s="1"/>
  <c r="AP1608" i="1" s="1"/>
  <c r="AP1612" i="1" s="1"/>
  <c r="AP1620" i="1" s="1"/>
  <c r="AR1608" i="1" s="1"/>
  <c r="AR1612" i="1" s="1"/>
  <c r="AR1620" i="1" s="1"/>
  <c r="AT1608" i="1" s="1"/>
  <c r="AT1612" i="1" s="1"/>
  <c r="AT1620" i="1" s="1"/>
  <c r="AV1608" i="1" s="1"/>
  <c r="AV1612" i="1" s="1"/>
  <c r="AV1620" i="1" s="1"/>
  <c r="AX1608" i="1" s="1"/>
  <c r="AX1612" i="1" s="1"/>
  <c r="AX1620" i="1" s="1"/>
  <c r="AZ1608" i="1" s="1"/>
  <c r="AZ1612" i="1" s="1"/>
  <c r="AZ1620" i="1" s="1"/>
  <c r="AJ159" i="1"/>
  <c r="AL159" i="1" s="1"/>
  <c r="AL168" i="1" s="1"/>
  <c r="AH168" i="1"/>
  <c r="AE49" i="1"/>
  <c r="K556" i="1"/>
  <c r="W556" i="1"/>
  <c r="E556" i="1"/>
  <c r="AD556" i="1"/>
  <c r="F557" i="1"/>
  <c r="AF1309" i="1"/>
  <c r="K1398" i="1"/>
  <c r="W1398" i="1"/>
  <c r="AW338" i="4"/>
  <c r="AW359" i="4" s="1"/>
  <c r="AU359" i="4"/>
  <c r="AU17" i="4"/>
  <c r="AU19" i="4" s="1"/>
  <c r="AU23" i="4" s="1"/>
  <c r="AW10" i="4" s="1"/>
  <c r="BA121" i="4"/>
  <c r="AY122" i="4"/>
  <c r="AY125" i="4" s="1"/>
  <c r="BA667" i="4"/>
  <c r="AW781" i="4"/>
  <c r="AW836" i="4" s="1"/>
  <c r="AW17" i="4" s="1"/>
  <c r="AW19" i="4" s="1"/>
  <c r="BE1157" i="4"/>
  <c r="BE1158" i="4" s="1"/>
  <c r="BC1158" i="4"/>
  <c r="AH1363" i="4"/>
  <c r="AM1352" i="4"/>
  <c r="BC549" i="4"/>
  <c r="BA553" i="4"/>
  <c r="BA600" i="4" s="1"/>
  <c r="AY1478" i="4"/>
  <c r="AY1358" i="4"/>
  <c r="AY1360" i="4" s="1"/>
  <c r="BE430" i="4"/>
  <c r="BE460" i="4" s="1"/>
  <c r="BE461" i="4" s="1"/>
  <c r="BC460" i="4"/>
  <c r="BC461" i="4" s="1"/>
  <c r="AW1362" i="4"/>
  <c r="BC646" i="4"/>
  <c r="BE643" i="4"/>
  <c r="BE646" i="4" s="1"/>
  <c r="AY1303" i="4"/>
  <c r="AY1311" i="4" s="1"/>
  <c r="BA1300" i="4"/>
  <c r="BE496" i="4"/>
  <c r="BE503" i="4" s="1"/>
  <c r="BC503" i="4"/>
  <c r="BC539" i="4"/>
  <c r="BE524" i="4"/>
  <c r="BE539" i="4" s="1"/>
  <c r="AY1147" i="4"/>
  <c r="AY1160" i="4" s="1"/>
  <c r="BA1146" i="4"/>
  <c r="BA222" i="4"/>
  <c r="BA307" i="4"/>
  <c r="BA336" i="4" s="1"/>
  <c r="BC305" i="4"/>
  <c r="BA1143" i="4"/>
  <c r="BC1138" i="4"/>
  <c r="BC1043" i="4"/>
  <c r="BE853" i="4"/>
  <c r="BE1043" i="4" s="1"/>
  <c r="BA70" i="4"/>
  <c r="AY77" i="4"/>
  <c r="AY78" i="4" s="1"/>
  <c r="AW1232" i="4"/>
  <c r="AW1234" i="4" s="1"/>
  <c r="AW1236" i="4" s="1"/>
  <c r="AW1342" i="4"/>
  <c r="BC233" i="4"/>
  <c r="BE228" i="4"/>
  <c r="BE233" i="4" s="1"/>
  <c r="AW1077" i="4"/>
  <c r="AW1079" i="4" s="1"/>
  <c r="AW1124" i="4"/>
  <c r="BA685" i="4"/>
  <c r="AY688" i="4"/>
  <c r="BA692" i="4"/>
  <c r="BC691" i="4"/>
  <c r="BE189" i="4"/>
  <c r="BE183" i="4"/>
  <c r="BC133" i="4"/>
  <c r="BA136" i="4"/>
  <c r="BA160" i="4" s="1"/>
  <c r="BA819" i="4"/>
  <c r="BA834" i="4" s="1"/>
  <c r="BC816" i="4"/>
  <c r="BC543" i="4"/>
  <c r="BA545" i="4"/>
  <c r="BA546" i="4" s="1"/>
  <c r="BC53" i="4"/>
  <c r="BE43" i="4"/>
  <c r="BE53" i="4" s="1"/>
  <c r="BA18" i="4"/>
  <c r="AY1274" i="4"/>
  <c r="AY1228" i="4"/>
  <c r="AY1230" i="4" s="1"/>
  <c r="AU1085" i="4"/>
  <c r="AU1086" i="4" s="1"/>
  <c r="AW1075" i="4" s="1"/>
  <c r="AY1395" i="4"/>
  <c r="BA1406" i="4"/>
  <c r="BA1475" i="4" s="1"/>
  <c r="BC1404" i="4"/>
  <c r="BC1378" i="4"/>
  <c r="BA1383" i="4"/>
  <c r="AY1102" i="4"/>
  <c r="AY1117" i="4" s="1"/>
  <c r="BA1100" i="4"/>
  <c r="BC518" i="4"/>
  <c r="BE515" i="4"/>
  <c r="BE518" i="4" s="1"/>
  <c r="BC144" i="4"/>
  <c r="BE138" i="4"/>
  <c r="BE144" i="4" s="1"/>
  <c r="BE171" i="4"/>
  <c r="BE172" i="4" s="1"/>
  <c r="BC172" i="4"/>
  <c r="BE649" i="4"/>
  <c r="BE651" i="4" s="1"/>
  <c r="BC651" i="4"/>
  <c r="BA1264" i="4"/>
  <c r="BA1268" i="4" s="1"/>
  <c r="BC1254" i="4"/>
  <c r="BA118" i="4"/>
  <c r="BC112" i="4"/>
  <c r="BA679" i="4"/>
  <c r="AY683" i="4"/>
  <c r="BC1393" i="4"/>
  <c r="BA1394" i="4"/>
  <c r="BE82" i="4"/>
  <c r="BE91" i="4" s="1"/>
  <c r="BE103" i="4" s="1"/>
  <c r="BC91" i="4"/>
  <c r="BC103" i="4" s="1"/>
  <c r="BE163" i="4"/>
  <c r="BE167" i="4" s="1"/>
  <c r="BC167" i="4"/>
  <c r="BC488" i="4"/>
  <c r="BC493" i="4" s="1"/>
  <c r="BE485" i="4"/>
  <c r="BE488" i="4" s="1"/>
  <c r="BE493" i="4" s="1"/>
  <c r="BC742" i="4"/>
  <c r="BA747" i="4"/>
  <c r="AU1237" i="4"/>
  <c r="AW1226" i="4" s="1"/>
  <c r="AY677" i="4"/>
  <c r="BA674" i="4"/>
  <c r="BE1463" i="4"/>
  <c r="BE1472" i="4" s="1"/>
  <c r="BE1473" i="4" s="1"/>
  <c r="BC1472" i="4"/>
  <c r="BC1473" i="4" s="1"/>
  <c r="AW1081" i="4"/>
  <c r="AW1083" i="4" s="1"/>
  <c r="AW1204" i="4"/>
  <c r="BC221" i="4"/>
  <c r="BE209" i="4"/>
  <c r="BE221" i="4" s="1"/>
  <c r="B43" i="1"/>
  <c r="B45" i="1" s="1"/>
  <c r="B46" i="1" s="1"/>
  <c r="AD503" i="1"/>
  <c r="K564" i="1"/>
  <c r="U560" i="1"/>
  <c r="U564" i="1" s="1"/>
  <c r="AF564" i="1"/>
  <c r="P66" i="1"/>
  <c r="P131" i="1"/>
  <c r="P138" i="1" s="1"/>
  <c r="H1250" i="1"/>
  <c r="N493" i="1"/>
  <c r="Z493" i="1"/>
  <c r="W657" i="1"/>
  <c r="AH657" i="1"/>
  <c r="Z1143" i="1"/>
  <c r="AD123" i="1"/>
  <c r="BD28" i="1"/>
  <c r="BK28" i="1"/>
  <c r="AJ204" i="1"/>
  <c r="AF318" i="1"/>
  <c r="AH625" i="1"/>
  <c r="AJ625" i="1" s="1"/>
  <c r="AL625" i="1" s="1"/>
  <c r="AN625" i="1" s="1"/>
  <c r="AP625" i="1" s="1"/>
  <c r="AR625" i="1" s="1"/>
  <c r="AT625" i="1" s="1"/>
  <c r="AV625" i="1" s="1"/>
  <c r="AX625" i="1" s="1"/>
  <c r="AZ625" i="1" s="1"/>
  <c r="K634" i="1"/>
  <c r="AD699" i="1"/>
  <c r="S828" i="1"/>
  <c r="Z1155" i="1"/>
  <c r="H1239" i="1"/>
  <c r="U1303" i="1"/>
  <c r="K1309" i="1"/>
  <c r="Z1359" i="1"/>
  <c r="AF1363" i="1"/>
  <c r="Z1398" i="1"/>
  <c r="H1410" i="1"/>
  <c r="U1425" i="1"/>
  <c r="BK32" i="1"/>
  <c r="BK35" i="1" s="1"/>
  <c r="BG28" i="1"/>
  <c r="BO28" i="1"/>
  <c r="AC91" i="1"/>
  <c r="AJ234" i="1"/>
  <c r="U301" i="1"/>
  <c r="E318" i="1"/>
  <c r="AL334" i="1"/>
  <c r="AH439" i="1"/>
  <c r="E499" i="1"/>
  <c r="AF516" i="1"/>
  <c r="AJ560" i="1"/>
  <c r="E590" i="1"/>
  <c r="E595" i="1" s="1"/>
  <c r="T611" i="1"/>
  <c r="H634" i="1"/>
  <c r="AF634" i="1"/>
  <c r="S657" i="1"/>
  <c r="E675" i="1"/>
  <c r="AF688" i="1"/>
  <c r="K694" i="1"/>
  <c r="E694" i="1"/>
  <c r="AD760" i="1"/>
  <c r="AD789" i="1" s="1"/>
  <c r="AD828" i="1"/>
  <c r="H1090" i="1"/>
  <c r="U1086" i="1"/>
  <c r="AH1165" i="1"/>
  <c r="AJ1165" i="1" s="1"/>
  <c r="B1399" i="1"/>
  <c r="B1358" i="1" s="1"/>
  <c r="B1360" i="1" s="1"/>
  <c r="AE1475" i="1"/>
  <c r="AE1477" i="1" s="1"/>
  <c r="BD32" i="1"/>
  <c r="BB28" i="1"/>
  <c r="BI28" i="1"/>
  <c r="W110" i="1"/>
  <c r="U134" i="1"/>
  <c r="U135" i="1" s="1"/>
  <c r="N182" i="1"/>
  <c r="AF182" i="1"/>
  <c r="AL222" i="1"/>
  <c r="AL234" i="1" s="1"/>
  <c r="H312" i="1"/>
  <c r="H560" i="1"/>
  <c r="H564" i="1" s="1"/>
  <c r="S595" i="1"/>
  <c r="AD595" i="1"/>
  <c r="D611" i="1"/>
  <c r="W688" i="1"/>
  <c r="AF694" i="1"/>
  <c r="K726" i="1"/>
  <c r="W726" i="1"/>
  <c r="AP726" i="1"/>
  <c r="W789" i="1"/>
  <c r="AF789" i="1"/>
  <c r="S795" i="1"/>
  <c r="AD795" i="1"/>
  <c r="AR793" i="1"/>
  <c r="AR795" i="1" s="1"/>
  <c r="H1086" i="1"/>
  <c r="H1398" i="1"/>
  <c r="AF1425" i="1"/>
  <c r="N1250" i="1"/>
  <c r="AF1359" i="1"/>
  <c r="P1387" i="1"/>
  <c r="P1399" i="1" s="1"/>
  <c r="AC66" i="1"/>
  <c r="Y91" i="1"/>
  <c r="T118" i="1"/>
  <c r="AE118" i="1"/>
  <c r="W117" i="1"/>
  <c r="S182" i="1"/>
  <c r="AJ190" i="1"/>
  <c r="AJ191" i="1" s="1"/>
  <c r="AJ244" i="1"/>
  <c r="E387" i="1"/>
  <c r="AL528" i="1"/>
  <c r="AL531" i="1" s="1"/>
  <c r="AD614" i="1"/>
  <c r="AD629" i="1" s="1"/>
  <c r="H795" i="1"/>
  <c r="AJ801" i="1"/>
  <c r="AL801" i="1" s="1"/>
  <c r="AN801" i="1" s="1"/>
  <c r="AP801" i="1" s="1"/>
  <c r="AR801" i="1" s="1"/>
  <c r="AT801" i="1" s="1"/>
  <c r="AV801" i="1" s="1"/>
  <c r="AX801" i="1" s="1"/>
  <c r="AZ801" i="1" s="1"/>
  <c r="Z1086" i="1"/>
  <c r="U1101" i="1"/>
  <c r="N1086" i="1"/>
  <c r="AH1157" i="1"/>
  <c r="AJ1157" i="1" s="1"/>
  <c r="AL1157" i="1" s="1"/>
  <c r="AN1157" i="1" s="1"/>
  <c r="AP1157" i="1" s="1"/>
  <c r="AR1157" i="1" s="1"/>
  <c r="AT1157" i="1" s="1"/>
  <c r="AV1157" i="1" s="1"/>
  <c r="AX1157" i="1" s="1"/>
  <c r="AZ1157" i="1" s="1"/>
  <c r="AH1301" i="1"/>
  <c r="AJ1301" i="1" s="1"/>
  <c r="AL1301" i="1" s="1"/>
  <c r="AN1301" i="1" s="1"/>
  <c r="AP1301" i="1" s="1"/>
  <c r="AR1301" i="1" s="1"/>
  <c r="AT1301" i="1" s="1"/>
  <c r="AV1301" i="1" s="1"/>
  <c r="AX1301" i="1" s="1"/>
  <c r="AZ1301" i="1" s="1"/>
  <c r="W1316" i="1"/>
  <c r="E1316" i="1"/>
  <c r="U1359" i="1"/>
  <c r="AD1425" i="1"/>
  <c r="R28" i="2"/>
  <c r="Y28" i="2" s="1"/>
  <c r="AD28" i="2" s="1"/>
  <c r="AI28" i="2" s="1"/>
  <c r="AP28" i="2" s="1"/>
  <c r="AU28" i="2" s="1"/>
  <c r="AZ28" i="2" s="1"/>
  <c r="BG28" i="2" s="1"/>
  <c r="BL28" i="2" s="1"/>
  <c r="BQ28" i="2" s="1"/>
  <c r="P66" i="2"/>
  <c r="O67" i="2" s="1"/>
  <c r="L472" i="1"/>
  <c r="B629" i="1"/>
  <c r="B678" i="1" s="1"/>
  <c r="H616" i="1"/>
  <c r="H629" i="1" s="1"/>
  <c r="P696" i="1"/>
  <c r="AH696" i="1" s="1"/>
  <c r="AJ696" i="1" s="1"/>
  <c r="E56" i="1"/>
  <c r="AC118" i="1"/>
  <c r="S108" i="1"/>
  <c r="S110" i="1" s="1"/>
  <c r="AL121" i="1"/>
  <c r="AN121" i="1" s="1"/>
  <c r="AP121" i="1" s="1"/>
  <c r="AH134" i="1"/>
  <c r="AJ134" i="1" s="1"/>
  <c r="E182" i="1"/>
  <c r="P182" i="1"/>
  <c r="P235" i="1" s="1"/>
  <c r="AD182" i="1"/>
  <c r="J193" i="1"/>
  <c r="K193" i="1" s="1"/>
  <c r="AL239" i="1"/>
  <c r="J313" i="1"/>
  <c r="K328" i="1"/>
  <c r="W328" i="1"/>
  <c r="AJ328" i="1"/>
  <c r="AH388" i="1"/>
  <c r="J439" i="1"/>
  <c r="AC471" i="1"/>
  <c r="AH499" i="1"/>
  <c r="J532" i="1"/>
  <c r="V532" i="1"/>
  <c r="E552" i="1"/>
  <c r="AD552" i="1"/>
  <c r="S556" i="1"/>
  <c r="AF657" i="1"/>
  <c r="P703" i="1"/>
  <c r="R758" i="1"/>
  <c r="R790" i="1" s="1"/>
  <c r="S737" i="1"/>
  <c r="S758" i="1" s="1"/>
  <c r="AH118" i="1"/>
  <c r="J118" i="1"/>
  <c r="L173" i="1"/>
  <c r="H182" i="1"/>
  <c r="N244" i="1"/>
  <c r="D347" i="1"/>
  <c r="S370" i="1"/>
  <c r="Z27" i="1"/>
  <c r="B499" i="1"/>
  <c r="B504" i="1" s="1"/>
  <c r="F504" i="1"/>
  <c r="H31" i="1"/>
  <c r="U56" i="1"/>
  <c r="W84" i="1"/>
  <c r="W90" i="1" s="1"/>
  <c r="AJ102" i="1"/>
  <c r="AL102" i="1" s="1"/>
  <c r="AN102" i="1" s="1"/>
  <c r="AP102" i="1" s="1"/>
  <c r="AR102" i="1" s="1"/>
  <c r="AT102" i="1" s="1"/>
  <c r="AV102" i="1" s="1"/>
  <c r="AX102" i="1" s="1"/>
  <c r="AZ102" i="1" s="1"/>
  <c r="BP102" i="1" s="1"/>
  <c r="AD110" i="1"/>
  <c r="B118" i="1"/>
  <c r="L118" i="1"/>
  <c r="E117" i="1"/>
  <c r="U116" i="1"/>
  <c r="U117" i="1" s="1"/>
  <c r="AH131" i="1"/>
  <c r="AD143" i="1"/>
  <c r="D173" i="1"/>
  <c r="K182" i="1"/>
  <c r="W182" i="1"/>
  <c r="AJ182" i="1"/>
  <c r="K318" i="1"/>
  <c r="W387" i="1"/>
  <c r="W388" i="1" s="1"/>
  <c r="J388" i="1"/>
  <c r="AH526" i="1"/>
  <c r="L611" i="1"/>
  <c r="K629" i="1"/>
  <c r="AF629" i="1"/>
  <c r="W531" i="1"/>
  <c r="Y557" i="1"/>
  <c r="S647" i="1"/>
  <c r="N675" i="1"/>
  <c r="Z675" i="1"/>
  <c r="N699" i="1"/>
  <c r="Z699" i="1"/>
  <c r="AH726" i="1"/>
  <c r="AN726" i="1"/>
  <c r="AF828" i="1"/>
  <c r="H826" i="1"/>
  <c r="H828" i="1" s="1"/>
  <c r="N842" i="1"/>
  <c r="J843" i="1"/>
  <c r="AF1086" i="1"/>
  <c r="K1110" i="1"/>
  <c r="K1125" i="1" s="1"/>
  <c r="K1132" i="1" s="1"/>
  <c r="Z1110" i="1"/>
  <c r="Z1125" i="1" s="1"/>
  <c r="AF1131" i="1"/>
  <c r="AF1151" i="1"/>
  <c r="L1252" i="1"/>
  <c r="N1252" i="1" s="1"/>
  <c r="Y1280" i="1"/>
  <c r="S1293" i="1"/>
  <c r="AD1293" i="1"/>
  <c r="S1316" i="1"/>
  <c r="K1316" i="1"/>
  <c r="N795" i="1"/>
  <c r="Z795" i="1"/>
  <c r="H842" i="1"/>
  <c r="AF842" i="1"/>
  <c r="B1085" i="1"/>
  <c r="B1087" i="1" s="1"/>
  <c r="H1101" i="1"/>
  <c r="N1101" i="1" s="1"/>
  <c r="AZ1103" i="1"/>
  <c r="K1151" i="1"/>
  <c r="F1168" i="1"/>
  <c r="F1089" i="1" s="1"/>
  <c r="F1091" i="1" s="1"/>
  <c r="P1166" i="1"/>
  <c r="AH1209" i="1"/>
  <c r="AH1090" i="1" s="1"/>
  <c r="F1234" i="1"/>
  <c r="H1234" i="1" s="1"/>
  <c r="Z1250" i="1"/>
  <c r="Y1252" i="1"/>
  <c r="AF1252" i="1" s="1"/>
  <c r="H1270" i="1"/>
  <c r="H1274" i="1" s="1"/>
  <c r="H1280" i="1" s="1"/>
  <c r="N1235" i="1"/>
  <c r="H1309" i="1"/>
  <c r="N1239" i="1"/>
  <c r="N1359" i="1"/>
  <c r="Z1363" i="1"/>
  <c r="S1387" i="1"/>
  <c r="AE1399" i="1"/>
  <c r="AE1404" i="1" s="1"/>
  <c r="AD1410" i="1"/>
  <c r="V1317" i="1"/>
  <c r="V1346" i="1" s="1"/>
  <c r="E1398" i="1"/>
  <c r="AD1398" i="1"/>
  <c r="T1399" i="1"/>
  <c r="W493" i="1"/>
  <c r="Y504" i="1"/>
  <c r="AH516" i="1"/>
  <c r="L532" i="1"/>
  <c r="T552" i="1"/>
  <c r="T557" i="1" s="1"/>
  <c r="U548" i="1"/>
  <c r="N556" i="1"/>
  <c r="J557" i="1"/>
  <c r="U647" i="1"/>
  <c r="E657" i="1"/>
  <c r="H758" i="1"/>
  <c r="AF758" i="1"/>
  <c r="K946" i="1"/>
  <c r="K1051" i="1" s="1"/>
  <c r="AE1085" i="1"/>
  <c r="AF1085" i="1" s="1"/>
  <c r="AV1103" i="1"/>
  <c r="AD1131" i="1"/>
  <c r="B1143" i="1"/>
  <c r="B1168" i="1" s="1"/>
  <c r="B1089" i="1" s="1"/>
  <c r="B1091" i="1" s="1"/>
  <c r="Z1166" i="1"/>
  <c r="AJ1209" i="1"/>
  <c r="AJ1090" i="1" s="1"/>
  <c r="AH1253" i="1"/>
  <c r="AJ1248" i="1" s="1"/>
  <c r="AF1250" i="1"/>
  <c r="B1252" i="1"/>
  <c r="B1253" i="1" s="1"/>
  <c r="H1253" i="1" s="1"/>
  <c r="J1280" i="1"/>
  <c r="V1280" i="1"/>
  <c r="AH1300" i="1"/>
  <c r="AJ1300" i="1" s="1"/>
  <c r="AL1300" i="1" s="1"/>
  <c r="AN1300" i="1" s="1"/>
  <c r="AP1300" i="1" s="1"/>
  <c r="AR1300" i="1" s="1"/>
  <c r="AT1300" i="1" s="1"/>
  <c r="AV1300" i="1" s="1"/>
  <c r="AX1300" i="1" s="1"/>
  <c r="AZ1300" i="1" s="1"/>
  <c r="N1309" i="1"/>
  <c r="W1306" i="1"/>
  <c r="W1309" i="1" s="1"/>
  <c r="H1359" i="1"/>
  <c r="U1363" i="1"/>
  <c r="H1376" i="1"/>
  <c r="N1376" i="1" s="1"/>
  <c r="Z1377" i="1"/>
  <c r="N1387" i="1"/>
  <c r="W1410" i="1"/>
  <c r="AD1473" i="1"/>
  <c r="AD1474" i="1" s="1"/>
  <c r="K157" i="1"/>
  <c r="K168" i="1"/>
  <c r="AF168" i="1"/>
  <c r="S204" i="1"/>
  <c r="AD204" i="1"/>
  <c r="E312" i="1"/>
  <c r="AD312" i="1"/>
  <c r="S312" i="1"/>
  <c r="K312" i="1"/>
  <c r="AF77" i="1"/>
  <c r="Z312" i="1"/>
  <c r="H328" i="1"/>
  <c r="AD346" i="1"/>
  <c r="V173" i="1"/>
  <c r="AE235" i="1"/>
  <c r="AH573" i="1"/>
  <c r="AJ567" i="1"/>
  <c r="P675" i="1"/>
  <c r="U666" i="1"/>
  <c r="U675" i="1" s="1"/>
  <c r="Y1087" i="1"/>
  <c r="Z1087" i="1" s="1"/>
  <c r="Z1085" i="1"/>
  <c r="N31" i="1"/>
  <c r="B66" i="1"/>
  <c r="AJ71" i="1"/>
  <c r="AL71" i="1" s="1"/>
  <c r="AN71" i="1" s="1"/>
  <c r="AP71" i="1" s="1"/>
  <c r="AR71" i="1" s="1"/>
  <c r="AT71" i="1" s="1"/>
  <c r="AV71" i="1" s="1"/>
  <c r="AX71" i="1" s="1"/>
  <c r="AZ71" i="1" s="1"/>
  <c r="BP71" i="1" s="1"/>
  <c r="E90" i="1"/>
  <c r="P90" i="1"/>
  <c r="R91" i="1"/>
  <c r="B91" i="1"/>
  <c r="AE91" i="1"/>
  <c r="W104" i="1"/>
  <c r="AJ104" i="1"/>
  <c r="P104" i="1"/>
  <c r="K110" i="1"/>
  <c r="U107" i="1"/>
  <c r="U110" i="1" s="1"/>
  <c r="AF110" i="1"/>
  <c r="R118" i="1"/>
  <c r="D118" i="1"/>
  <c r="Y118" i="1"/>
  <c r="AL116" i="1"/>
  <c r="AN116" i="1" s="1"/>
  <c r="AP116" i="1" s="1"/>
  <c r="Z123" i="1"/>
  <c r="B138" i="1"/>
  <c r="J138" i="1"/>
  <c r="Z135" i="1"/>
  <c r="AF143" i="1"/>
  <c r="N157" i="1"/>
  <c r="J173" i="1"/>
  <c r="B173" i="1"/>
  <c r="Y173" i="1"/>
  <c r="U178" i="1"/>
  <c r="U182" i="1" s="1"/>
  <c r="E191" i="1"/>
  <c r="H204" i="1"/>
  <c r="B235" i="1"/>
  <c r="H244" i="1"/>
  <c r="K279" i="1"/>
  <c r="W279" i="1"/>
  <c r="H279" i="1"/>
  <c r="B313" i="1"/>
  <c r="L313" i="1"/>
  <c r="N318" i="1"/>
  <c r="AJ316" i="1"/>
  <c r="N328" i="1"/>
  <c r="AL322" i="1"/>
  <c r="AN322" i="1" s="1"/>
  <c r="H346" i="1"/>
  <c r="N346" i="1"/>
  <c r="AJ340" i="1"/>
  <c r="AL340" i="1" s="1"/>
  <c r="F347" i="1"/>
  <c r="T347" i="1"/>
  <c r="AE347" i="1"/>
  <c r="N370" i="1"/>
  <c r="Z370" i="1"/>
  <c r="E388" i="1"/>
  <c r="U388" i="1"/>
  <c r="AD388" i="1"/>
  <c r="N388" i="1"/>
  <c r="Z388" i="1"/>
  <c r="E439" i="1"/>
  <c r="AD439" i="1"/>
  <c r="K471" i="1"/>
  <c r="AF471" i="1"/>
  <c r="E493" i="1"/>
  <c r="P493" i="1"/>
  <c r="H499" i="1"/>
  <c r="AF499" i="1"/>
  <c r="AJ496" i="1"/>
  <c r="AL496" i="1" s="1"/>
  <c r="AN496" i="1" s="1"/>
  <c r="J504" i="1"/>
  <c r="Y532" i="1"/>
  <c r="AD531" i="1"/>
  <c r="AJ610" i="1"/>
  <c r="AL610" i="1" s="1"/>
  <c r="AN610" i="1" s="1"/>
  <c r="Z641" i="1"/>
  <c r="P641" i="1"/>
  <c r="U640" i="1"/>
  <c r="U641" i="1" s="1"/>
  <c r="T678" i="1"/>
  <c r="E699" i="1"/>
  <c r="F790" i="1"/>
  <c r="S821" i="1"/>
  <c r="B843" i="1"/>
  <c r="D1051" i="1"/>
  <c r="D31" i="1" s="1"/>
  <c r="E946" i="1"/>
  <c r="E1051" i="1" s="1"/>
  <c r="AF1090" i="1"/>
  <c r="Z1090" i="1"/>
  <c r="AH84" i="1"/>
  <c r="AJ84" i="1" s="1"/>
  <c r="AL84" i="1" s="1"/>
  <c r="AN84" i="1" s="1"/>
  <c r="AP84" i="1" s="1"/>
  <c r="AR84" i="1" s="1"/>
  <c r="AT84" i="1" s="1"/>
  <c r="AV84" i="1" s="1"/>
  <c r="AX84" i="1" s="1"/>
  <c r="AZ84" i="1" s="1"/>
  <c r="BP84" i="1" s="1"/>
  <c r="F138" i="1"/>
  <c r="T235" i="1"/>
  <c r="AC347" i="1"/>
  <c r="AH471" i="1"/>
  <c r="AE557" i="1"/>
  <c r="D821" i="1"/>
  <c r="D843" i="1" s="1"/>
  <c r="E805" i="1"/>
  <c r="E821" i="1" s="1"/>
  <c r="N27" i="1"/>
  <c r="BG32" i="1"/>
  <c r="BG35" i="1" s="1"/>
  <c r="E77" i="1"/>
  <c r="E91" i="1" s="1"/>
  <c r="P77" i="1"/>
  <c r="AD77" i="1"/>
  <c r="H90" i="1"/>
  <c r="AF90" i="1"/>
  <c r="Z90" i="1"/>
  <c r="D91" i="1"/>
  <c r="T91" i="1"/>
  <c r="V118" i="1"/>
  <c r="F118" i="1"/>
  <c r="E131" i="1"/>
  <c r="E138" i="1" s="1"/>
  <c r="S131" i="1"/>
  <c r="S138" i="1" s="1"/>
  <c r="AD131" i="1"/>
  <c r="D138" i="1"/>
  <c r="R138" i="1"/>
  <c r="AC138" i="1"/>
  <c r="F173" i="1"/>
  <c r="E157" i="1"/>
  <c r="P168" i="1"/>
  <c r="U163" i="1"/>
  <c r="R173" i="1"/>
  <c r="AC173" i="1"/>
  <c r="Z182" i="1"/>
  <c r="U186" i="1"/>
  <c r="U187" i="1" s="1"/>
  <c r="U234" i="1"/>
  <c r="H234" i="1"/>
  <c r="AF234" i="1"/>
  <c r="Y235" i="1"/>
  <c r="Z244" i="1"/>
  <c r="W244" i="1"/>
  <c r="N279" i="1"/>
  <c r="N312" i="1"/>
  <c r="D313" i="1"/>
  <c r="Z334" i="1"/>
  <c r="W346" i="1"/>
  <c r="W347" i="1" s="1"/>
  <c r="P346" i="1"/>
  <c r="J347" i="1"/>
  <c r="K370" i="1"/>
  <c r="W370" i="1"/>
  <c r="P388" i="1"/>
  <c r="F472" i="1"/>
  <c r="T472" i="1"/>
  <c r="N484" i="1"/>
  <c r="Z484" i="1"/>
  <c r="AH484" i="1"/>
  <c r="H493" i="1"/>
  <c r="S493" i="1"/>
  <c r="AD493" i="1"/>
  <c r="K499" i="1"/>
  <c r="W499" i="1"/>
  <c r="AD499" i="1"/>
  <c r="T504" i="1"/>
  <c r="AE504" i="1"/>
  <c r="N516" i="1"/>
  <c r="Z516" i="1"/>
  <c r="AJ509" i="1"/>
  <c r="AL509" i="1" s="1"/>
  <c r="AN509" i="1" s="1"/>
  <c r="H526" i="1"/>
  <c r="S526" i="1"/>
  <c r="AF526" i="1"/>
  <c r="D532" i="1"/>
  <c r="R532" i="1"/>
  <c r="AC532" i="1"/>
  <c r="K531" i="1"/>
  <c r="U528" i="1"/>
  <c r="U531" i="1" s="1"/>
  <c r="AF531" i="1"/>
  <c r="AJ605" i="1"/>
  <c r="AL605" i="1" s="1"/>
  <c r="AN605" i="1" s="1"/>
  <c r="AP605" i="1" s="1"/>
  <c r="AR605" i="1" s="1"/>
  <c r="AT605" i="1" s="1"/>
  <c r="AV605" i="1" s="1"/>
  <c r="AX605" i="1" s="1"/>
  <c r="AZ605" i="1" s="1"/>
  <c r="U605" i="1"/>
  <c r="V629" i="1"/>
  <c r="V678" i="1" s="1"/>
  <c r="W621" i="1"/>
  <c r="W629" i="1" s="1"/>
  <c r="J678" i="1"/>
  <c r="AJ842" i="1"/>
  <c r="AL830" i="1"/>
  <c r="AN830" i="1" s="1"/>
  <c r="AP830" i="1" s="1"/>
  <c r="S1051" i="1"/>
  <c r="AD1051" i="1"/>
  <c r="AF1101" i="1"/>
  <c r="Z1101" i="1"/>
  <c r="J91" i="1"/>
  <c r="V138" i="1"/>
  <c r="R504" i="1"/>
  <c r="BB32" i="1"/>
  <c r="BB35" i="1" s="1"/>
  <c r="BI32" i="1"/>
  <c r="AD66" i="1"/>
  <c r="N66" i="1"/>
  <c r="S77" i="1"/>
  <c r="V91" i="1"/>
  <c r="F91" i="1"/>
  <c r="E110" i="1"/>
  <c r="L138" i="1"/>
  <c r="T138" i="1"/>
  <c r="AE138" i="1"/>
  <c r="T173" i="1"/>
  <c r="AE173" i="1"/>
  <c r="Z187" i="1"/>
  <c r="E204" i="1"/>
  <c r="P313" i="1"/>
  <c r="U312" i="1"/>
  <c r="F313" i="1"/>
  <c r="H318" i="1"/>
  <c r="B347" i="1"/>
  <c r="L347" i="1"/>
  <c r="Y347" i="1"/>
  <c r="K388" i="1"/>
  <c r="K439" i="1"/>
  <c r="AJ439" i="1"/>
  <c r="D439" i="1"/>
  <c r="D472" i="1" s="1"/>
  <c r="W409" i="1"/>
  <c r="W439" i="1" s="1"/>
  <c r="K493" i="1"/>
  <c r="U487" i="1"/>
  <c r="AF493" i="1"/>
  <c r="N499" i="1"/>
  <c r="Z499" i="1"/>
  <c r="S499" i="1"/>
  <c r="D504" i="1"/>
  <c r="L504" i="1"/>
  <c r="V504" i="1"/>
  <c r="AF503" i="1"/>
  <c r="P516" i="1"/>
  <c r="F532" i="1"/>
  <c r="T532" i="1"/>
  <c r="AE532" i="1"/>
  <c r="N531" i="1"/>
  <c r="Z531" i="1"/>
  <c r="U554" i="1"/>
  <c r="U556" i="1" s="1"/>
  <c r="AF556" i="1"/>
  <c r="Z556" i="1"/>
  <c r="D557" i="1"/>
  <c r="R557" i="1"/>
  <c r="AC557" i="1"/>
  <c r="S564" i="1"/>
  <c r="AD564" i="1"/>
  <c r="AC611" i="1"/>
  <c r="AJ675" i="1"/>
  <c r="AL666" i="1"/>
  <c r="AL675" i="1" s="1"/>
  <c r="AF711" i="1"/>
  <c r="AD711" i="1"/>
  <c r="AD726" i="1" s="1"/>
  <c r="P842" i="1"/>
  <c r="U838" i="1"/>
  <c r="H556" i="1"/>
  <c r="B557" i="1"/>
  <c r="L557" i="1"/>
  <c r="V557" i="1"/>
  <c r="N564" i="1"/>
  <c r="W564" i="1"/>
  <c r="P573" i="1"/>
  <c r="F611" i="1"/>
  <c r="N629" i="1"/>
  <c r="Z629" i="1"/>
  <c r="U618" i="1"/>
  <c r="U619" i="1"/>
  <c r="W634" i="1"/>
  <c r="K641" i="1"/>
  <c r="H641" i="1"/>
  <c r="K647" i="1"/>
  <c r="W647" i="1"/>
  <c r="Z647" i="1"/>
  <c r="H647" i="1"/>
  <c r="AF647" i="1"/>
  <c r="P647" i="1"/>
  <c r="AD657" i="1"/>
  <c r="H657" i="1"/>
  <c r="S662" i="1"/>
  <c r="H675" i="1"/>
  <c r="S675" i="1"/>
  <c r="AD675" i="1"/>
  <c r="Y678" i="1"/>
  <c r="K688" i="1"/>
  <c r="Z688" i="1"/>
  <c r="W694" i="1"/>
  <c r="H696" i="1"/>
  <c r="H699" i="1" s="1"/>
  <c r="S699" i="1"/>
  <c r="AF699" i="1"/>
  <c r="U702" i="1"/>
  <c r="U703" i="1" s="1"/>
  <c r="E726" i="1"/>
  <c r="AR726" i="1"/>
  <c r="AV726" i="1"/>
  <c r="AL726" i="1"/>
  <c r="W758" i="1"/>
  <c r="N789" i="1"/>
  <c r="Z789" i="1"/>
  <c r="K789" i="1"/>
  <c r="T790" i="1"/>
  <c r="U795" i="1"/>
  <c r="AF795" i="1"/>
  <c r="AF821" i="1"/>
  <c r="V821" i="1"/>
  <c r="K828" i="1"/>
  <c r="W828" i="1"/>
  <c r="Z842" i="1"/>
  <c r="U1051" i="1"/>
  <c r="AF1051" i="1"/>
  <c r="AF31" i="1" s="1"/>
  <c r="N1090" i="1"/>
  <c r="P1103" i="1"/>
  <c r="P1104" i="1" s="1"/>
  <c r="AH1099" i="1" s="1"/>
  <c r="AH1104" i="1" s="1"/>
  <c r="AJ1099" i="1" s="1"/>
  <c r="AJ1104" i="1" s="1"/>
  <c r="AL1099" i="1" s="1"/>
  <c r="AL1104" i="1" s="1"/>
  <c r="AN1099" i="1" s="1"/>
  <c r="AN1104" i="1" s="1"/>
  <c r="AP1099" i="1" s="1"/>
  <c r="AP1104" i="1" s="1"/>
  <c r="AR1099" i="1" s="1"/>
  <c r="AR1103" i="1"/>
  <c r="U1102" i="1"/>
  <c r="U1110" i="1"/>
  <c r="AD1110" i="1"/>
  <c r="AD1125" i="1" s="1"/>
  <c r="W1110" i="1"/>
  <c r="W1125" i="1" s="1"/>
  <c r="R1168" i="1"/>
  <c r="R1210" i="1" s="1"/>
  <c r="L1280" i="1"/>
  <c r="L1234" i="1"/>
  <c r="L1236" i="1" s="1"/>
  <c r="AJ793" i="1"/>
  <c r="E564" i="1"/>
  <c r="Z564" i="1"/>
  <c r="H573" i="1"/>
  <c r="S573" i="1"/>
  <c r="AD573" i="1"/>
  <c r="W595" i="1"/>
  <c r="AH595" i="1"/>
  <c r="P595" i="1"/>
  <c r="R611" i="1"/>
  <c r="V611" i="1"/>
  <c r="AE611" i="1"/>
  <c r="S629" i="1"/>
  <c r="N634" i="1"/>
  <c r="Z634" i="1"/>
  <c r="N641" i="1"/>
  <c r="N647" i="1"/>
  <c r="K657" i="1"/>
  <c r="K662" i="1"/>
  <c r="K675" i="1"/>
  <c r="AF675" i="1"/>
  <c r="N688" i="1"/>
  <c r="S688" i="1"/>
  <c r="AD688" i="1"/>
  <c r="Z694" i="1"/>
  <c r="K699" i="1"/>
  <c r="W699" i="1"/>
  <c r="Z703" i="1"/>
  <c r="Z726" i="1"/>
  <c r="H726" i="1"/>
  <c r="S726" i="1"/>
  <c r="AE726" i="1"/>
  <c r="AE790" i="1" s="1"/>
  <c r="AX726" i="1"/>
  <c r="N726" i="1"/>
  <c r="N758" i="1"/>
  <c r="Z758" i="1"/>
  <c r="E789" i="1"/>
  <c r="S789" i="1"/>
  <c r="AC790" i="1"/>
  <c r="L790" i="1"/>
  <c r="K795" i="1"/>
  <c r="W795" i="1"/>
  <c r="E795" i="1"/>
  <c r="K821" i="1"/>
  <c r="W821" i="1"/>
  <c r="R821" i="1"/>
  <c r="R843" i="1" s="1"/>
  <c r="N828" i="1"/>
  <c r="Z828" i="1"/>
  <c r="V1051" i="1"/>
  <c r="H946" i="1"/>
  <c r="H1051" i="1" s="1"/>
  <c r="H1284" i="1"/>
  <c r="H1293" i="1" s="1"/>
  <c r="B1293" i="1"/>
  <c r="B1317" i="1" s="1"/>
  <c r="B1238" i="1" s="1"/>
  <c r="E1309" i="1"/>
  <c r="F1317" i="1"/>
  <c r="F1238" i="1" s="1"/>
  <c r="F1240" i="1" s="1"/>
  <c r="AH1409" i="1"/>
  <c r="AJ1409" i="1" s="1"/>
  <c r="AL1409" i="1" s="1"/>
  <c r="AN1409" i="1" s="1"/>
  <c r="AP1409" i="1" s="1"/>
  <c r="AR1409" i="1" s="1"/>
  <c r="AT1409" i="1" s="1"/>
  <c r="AV1409" i="1" s="1"/>
  <c r="AX1409" i="1" s="1"/>
  <c r="AZ1409" i="1" s="1"/>
  <c r="P1410" i="1"/>
  <c r="U1409" i="1"/>
  <c r="U1410" i="1" s="1"/>
  <c r="N1474" i="1"/>
  <c r="J611" i="1"/>
  <c r="Y611" i="1"/>
  <c r="E634" i="1"/>
  <c r="S634" i="1"/>
  <c r="AD634" i="1"/>
  <c r="E641" i="1"/>
  <c r="E647" i="1"/>
  <c r="AD647" i="1"/>
  <c r="Z657" i="1"/>
  <c r="R678" i="1"/>
  <c r="AE678" i="1"/>
  <c r="N694" i="1"/>
  <c r="S694" i="1"/>
  <c r="AD694" i="1"/>
  <c r="AZ726" i="1"/>
  <c r="AD758" i="1"/>
  <c r="H789" i="1"/>
  <c r="U789" i="1"/>
  <c r="Y790" i="1"/>
  <c r="E828" i="1"/>
  <c r="U842" i="1"/>
  <c r="N1051" i="1"/>
  <c r="Z1051" i="1"/>
  <c r="F1110" i="1"/>
  <c r="F1125" i="1" s="1"/>
  <c r="F1085" i="1" s="1"/>
  <c r="N1085" i="1" s="1"/>
  <c r="N1108" i="1"/>
  <c r="N1110" i="1" s="1"/>
  <c r="N1125" i="1" s="1"/>
  <c r="N1132" i="1" s="1"/>
  <c r="E1108" i="1"/>
  <c r="H1108" i="1"/>
  <c r="P1209" i="1"/>
  <c r="P1090" i="1" s="1"/>
  <c r="U1090" i="1" s="1"/>
  <c r="U1206" i="1"/>
  <c r="U1209" i="1" s="1"/>
  <c r="T1280" i="1"/>
  <c r="T1234" i="1"/>
  <c r="Z1234" i="1" s="1"/>
  <c r="AE1280" i="1"/>
  <c r="AE1234" i="1"/>
  <c r="AF1234" i="1" s="1"/>
  <c r="W1304" i="1"/>
  <c r="AD1387" i="1"/>
  <c r="AE1103" i="1"/>
  <c r="AE1104" i="1" s="1"/>
  <c r="AT1103" i="1"/>
  <c r="Z1102" i="1"/>
  <c r="S1110" i="1"/>
  <c r="S1125" i="1" s="1"/>
  <c r="T1132" i="1"/>
  <c r="Z1151" i="1"/>
  <c r="P1151" i="1"/>
  <c r="U1154" i="1"/>
  <c r="U1155" i="1" s="1"/>
  <c r="S1166" i="1"/>
  <c r="AD1166" i="1"/>
  <c r="Z1235" i="1"/>
  <c r="Z1239" i="1"/>
  <c r="U1252" i="1"/>
  <c r="K1270" i="1"/>
  <c r="K1274" i="1" s="1"/>
  <c r="K1280" i="1" s="1"/>
  <c r="W1270" i="1"/>
  <c r="W1274" i="1" s="1"/>
  <c r="W1280" i="1" s="1"/>
  <c r="AF1270" i="1"/>
  <c r="AF1274" i="1" s="1"/>
  <c r="AF1280" i="1" s="1"/>
  <c r="N1293" i="1"/>
  <c r="Z1309" i="1"/>
  <c r="R1317" i="1"/>
  <c r="R1346" i="1" s="1"/>
  <c r="Y1317" i="1"/>
  <c r="Y1238" i="1" s="1"/>
  <c r="Y1240" i="1" s="1"/>
  <c r="N1344" i="1"/>
  <c r="Z1344" i="1"/>
  <c r="U1344" i="1"/>
  <c r="AF1344" i="1"/>
  <c r="K1387" i="1"/>
  <c r="U1382" i="1"/>
  <c r="U1387" i="1" s="1"/>
  <c r="AF1387" i="1"/>
  <c r="S1398" i="1"/>
  <c r="V1399" i="1"/>
  <c r="V1404" i="1" s="1"/>
  <c r="E1410" i="1"/>
  <c r="Z1460" i="1"/>
  <c r="N1460" i="1"/>
  <c r="H1460" i="1"/>
  <c r="K1460" i="1"/>
  <c r="U1143" i="1"/>
  <c r="AF1143" i="1"/>
  <c r="E1151" i="1"/>
  <c r="AF1155" i="1"/>
  <c r="U1166" i="1"/>
  <c r="AF1166" i="1"/>
  <c r="W1209" i="1"/>
  <c r="AF1209" i="1"/>
  <c r="N1209" i="1"/>
  <c r="Z1209" i="1"/>
  <c r="AN1209" i="1"/>
  <c r="AN1090" i="1" s="1"/>
  <c r="N1270" i="1"/>
  <c r="N1274" i="1" s="1"/>
  <c r="N1280" i="1" s="1"/>
  <c r="D1280" i="1"/>
  <c r="AF1293" i="1"/>
  <c r="S1309" i="1"/>
  <c r="AD1309" i="1"/>
  <c r="AF1316" i="1"/>
  <c r="N1316" i="1"/>
  <c r="H1316" i="1"/>
  <c r="W1387" i="1"/>
  <c r="AF1398" i="1"/>
  <c r="N1398" i="1"/>
  <c r="N1399" i="1" s="1"/>
  <c r="N1404" i="1" s="1"/>
  <c r="Y1399" i="1"/>
  <c r="Y1404" i="1" s="1"/>
  <c r="AF1410" i="1"/>
  <c r="U1449" i="1"/>
  <c r="H1474" i="1"/>
  <c r="Y1132" i="1"/>
  <c r="K1143" i="1"/>
  <c r="H1151" i="1"/>
  <c r="S1151" i="1"/>
  <c r="AD1151" i="1"/>
  <c r="W1154" i="1"/>
  <c r="W1155" i="1" s="1"/>
  <c r="S1209" i="1"/>
  <c r="AD1270" i="1"/>
  <c r="AD1274" i="1" s="1"/>
  <c r="AD1280" i="1" s="1"/>
  <c r="Z1293" i="1"/>
  <c r="H1304" i="1"/>
  <c r="S1304" i="1"/>
  <c r="AF1304" i="1"/>
  <c r="D1304" i="1"/>
  <c r="D1317" i="1" s="1"/>
  <c r="D1346" i="1" s="1"/>
  <c r="L1317" i="1"/>
  <c r="L1238" i="1" s="1"/>
  <c r="N1363" i="1"/>
  <c r="U1377" i="1"/>
  <c r="Z1387" i="1"/>
  <c r="Z1399" i="1" s="1"/>
  <c r="Z1404" i="1" s="1"/>
  <c r="AH1397" i="1"/>
  <c r="AJ1397" i="1" s="1"/>
  <c r="R1399" i="1"/>
  <c r="R1404" i="1" s="1"/>
  <c r="S1425" i="1"/>
  <c r="K1449" i="1"/>
  <c r="N1449" i="1"/>
  <c r="H1449" i="1"/>
  <c r="E1474" i="1"/>
  <c r="S1474" i="1"/>
  <c r="Y1475" i="1"/>
  <c r="Y1477" i="1" s="1"/>
  <c r="E66" i="1"/>
  <c r="Z66" i="1"/>
  <c r="AD90" i="1"/>
  <c r="AD91" i="1" s="1"/>
  <c r="L91" i="1"/>
  <c r="N104" i="1"/>
  <c r="Z104" i="1"/>
  <c r="Z118" i="1" s="1"/>
  <c r="E104" i="1"/>
  <c r="N131" i="1"/>
  <c r="N138" i="1" s="1"/>
  <c r="Z131" i="1"/>
  <c r="W157" i="1"/>
  <c r="Z157" i="1"/>
  <c r="H168" i="1"/>
  <c r="S168" i="1"/>
  <c r="AD168" i="1"/>
  <c r="N204" i="1"/>
  <c r="AF312" i="1"/>
  <c r="Z346" i="1"/>
  <c r="AF346" i="1"/>
  <c r="U370" i="1"/>
  <c r="AF370" i="1"/>
  <c r="AF27" i="1" s="1"/>
  <c r="H77" i="1"/>
  <c r="Z279" i="1"/>
  <c r="K346" i="1"/>
  <c r="E346" i="1"/>
  <c r="S388" i="1"/>
  <c r="H439" i="1"/>
  <c r="AF439" i="1"/>
  <c r="N471" i="1"/>
  <c r="W471" i="1"/>
  <c r="K484" i="1"/>
  <c r="W484" i="1"/>
  <c r="E516" i="1"/>
  <c r="AD516" i="1"/>
  <c r="K526" i="1"/>
  <c r="W526" i="1"/>
  <c r="H552" i="1"/>
  <c r="AF552" i="1"/>
  <c r="K573" i="1"/>
  <c r="U573" i="1"/>
  <c r="AF573" i="1"/>
  <c r="H595" i="1"/>
  <c r="AF595" i="1"/>
  <c r="K66" i="1"/>
  <c r="AF66" i="1"/>
  <c r="W66" i="1"/>
  <c r="K77" i="1"/>
  <c r="K78" i="1" s="1"/>
  <c r="W77" i="1"/>
  <c r="K90" i="1"/>
  <c r="H104" i="1"/>
  <c r="H118" i="1" s="1"/>
  <c r="S104" i="1"/>
  <c r="AD104" i="1"/>
  <c r="H131" i="1"/>
  <c r="H138" i="1" s="1"/>
  <c r="U131" i="1"/>
  <c r="AF131" i="1"/>
  <c r="AF138" i="1" s="1"/>
  <c r="H157" i="1"/>
  <c r="S157" i="1"/>
  <c r="AD157" i="1"/>
  <c r="W168" i="1"/>
  <c r="W234" i="1"/>
  <c r="K234" i="1"/>
  <c r="S234" i="1"/>
  <c r="AD234" i="1"/>
  <c r="E279" i="1"/>
  <c r="E313" i="1" s="1"/>
  <c r="S279" i="1"/>
  <c r="AD279" i="1"/>
  <c r="U279" i="1"/>
  <c r="AF279" i="1"/>
  <c r="AF328" i="1"/>
  <c r="Z328" i="1"/>
  <c r="E370" i="1"/>
  <c r="S516" i="1"/>
  <c r="N526" i="1"/>
  <c r="Z526" i="1"/>
  <c r="K552" i="1"/>
  <c r="W552" i="1"/>
  <c r="W557" i="1" s="1"/>
  <c r="N573" i="1"/>
  <c r="W573" i="1"/>
  <c r="K595" i="1"/>
  <c r="N77" i="1"/>
  <c r="N78" i="1" s="1"/>
  <c r="Z77" i="1"/>
  <c r="N90" i="1"/>
  <c r="K104" i="1"/>
  <c r="K118" i="1" s="1"/>
  <c r="AF104" i="1"/>
  <c r="K131" i="1"/>
  <c r="K138" i="1" s="1"/>
  <c r="W131" i="1"/>
  <c r="W138" i="1" s="1"/>
  <c r="AF157" i="1"/>
  <c r="E168" i="1"/>
  <c r="Z168" i="1"/>
  <c r="N168" i="1"/>
  <c r="N173" i="1" s="1"/>
  <c r="K204" i="1"/>
  <c r="W204" i="1"/>
  <c r="Z234" i="1"/>
  <c r="N234" i="1"/>
  <c r="S328" i="1"/>
  <c r="AD328" i="1"/>
  <c r="S346" i="1"/>
  <c r="AD370" i="1"/>
  <c r="AJ388" i="1"/>
  <c r="AF388" i="1"/>
  <c r="N439" i="1"/>
  <c r="Z439" i="1"/>
  <c r="H471" i="1"/>
  <c r="S471" i="1"/>
  <c r="AD471" i="1"/>
  <c r="AD472" i="1" s="1"/>
  <c r="Z471" i="1"/>
  <c r="E484" i="1"/>
  <c r="S484" i="1"/>
  <c r="AD484" i="1"/>
  <c r="K516" i="1"/>
  <c r="W516" i="1"/>
  <c r="E526" i="1"/>
  <c r="AD526" i="1"/>
  <c r="N552" i="1"/>
  <c r="E573" i="1"/>
  <c r="Z573" i="1"/>
  <c r="N595" i="1"/>
  <c r="Z595" i="1"/>
  <c r="AB66" i="2"/>
  <c r="Y52" i="2"/>
  <c r="AD52" i="2" s="1"/>
  <c r="AI52" i="2" s="1"/>
  <c r="T52" i="2"/>
  <c r="J131" i="2"/>
  <c r="J67" i="2"/>
  <c r="V67" i="2"/>
  <c r="AD6" i="2"/>
  <c r="T18" i="2"/>
  <c r="Y18" i="2"/>
  <c r="AD18" i="2" s="1"/>
  <c r="AI18" i="2" s="1"/>
  <c r="AP18" i="2" s="1"/>
  <c r="AU18" i="2" s="1"/>
  <c r="AZ18" i="2" s="1"/>
  <c r="BB28" i="2"/>
  <c r="BB42" i="2"/>
  <c r="BG42" i="2"/>
  <c r="BL42" i="2" s="1"/>
  <c r="BQ42" i="2" s="1"/>
  <c r="AA67" i="2"/>
  <c r="BG12" i="2"/>
  <c r="BL12" i="2" s="1"/>
  <c r="BQ12" i="2" s="1"/>
  <c r="BB12" i="2"/>
  <c r="BB33" i="2"/>
  <c r="BG33" i="2"/>
  <c r="BL33" i="2" s="1"/>
  <c r="BQ33" i="2" s="1"/>
  <c r="AP46" i="2"/>
  <c r="AU46" i="2" s="1"/>
  <c r="AZ46" i="2" s="1"/>
  <c r="AK46" i="2"/>
  <c r="T28" i="2"/>
  <c r="T33" i="2"/>
  <c r="T36" i="2"/>
  <c r="AG36" i="2"/>
  <c r="T42" i="2"/>
  <c r="T46" i="2"/>
  <c r="M126" i="2"/>
  <c r="R49" i="2"/>
  <c r="T6" i="2"/>
  <c r="M75" i="2"/>
  <c r="B370" i="1"/>
  <c r="B27" i="1" s="1"/>
  <c r="H27" i="1" s="1"/>
  <c r="AL393" i="1"/>
  <c r="AL439" i="1" s="1"/>
  <c r="BO32" i="1"/>
  <c r="Z43" i="1"/>
  <c r="T45" i="1"/>
  <c r="Z45" i="1" s="1"/>
  <c r="U43" i="1"/>
  <c r="AL134" i="1"/>
  <c r="AJ135" i="1"/>
  <c r="AJ59" i="1"/>
  <c r="AL59" i="1" s="1"/>
  <c r="AN59" i="1" s="1"/>
  <c r="AP59" i="1" s="1"/>
  <c r="AR59" i="1" s="1"/>
  <c r="AT59" i="1" s="1"/>
  <c r="AV59" i="1" s="1"/>
  <c r="AX59" i="1" s="1"/>
  <c r="AZ59" i="1" s="1"/>
  <c r="AN186" i="1"/>
  <c r="AL187" i="1"/>
  <c r="AF46" i="1"/>
  <c r="H66" i="1"/>
  <c r="AH149" i="1"/>
  <c r="AJ146" i="1"/>
  <c r="AN172" i="1"/>
  <c r="BF32" i="1"/>
  <c r="BM32" i="1"/>
  <c r="Z31" i="1"/>
  <c r="F46" i="1"/>
  <c r="AJ46" i="1"/>
  <c r="AL41" i="1" s="1"/>
  <c r="AL46" i="1" s="1"/>
  <c r="AN41" i="1" s="1"/>
  <c r="AN46" i="1" s="1"/>
  <c r="AP41" i="1" s="1"/>
  <c r="AP46" i="1" s="1"/>
  <c r="AR41" i="1" s="1"/>
  <c r="AR46" i="1" s="1"/>
  <c r="AT41" i="1" s="1"/>
  <c r="AT46" i="1" s="1"/>
  <c r="AV41" i="1" s="1"/>
  <c r="AV46" i="1" s="1"/>
  <c r="AX41" i="1" s="1"/>
  <c r="AX46" i="1" s="1"/>
  <c r="AZ41" i="1" s="1"/>
  <c r="AZ46" i="1" s="1"/>
  <c r="BB41" i="1" s="1"/>
  <c r="BB46" i="1" s="1"/>
  <c r="BD41" i="1" s="1"/>
  <c r="BD46" i="1" s="1"/>
  <c r="BF41" i="1" s="1"/>
  <c r="BF46" i="1" s="1"/>
  <c r="BG41" i="1" s="1"/>
  <c r="BG46" i="1" s="1"/>
  <c r="BI41" i="1" s="1"/>
  <c r="BI46" i="1" s="1"/>
  <c r="BK41" i="1" s="1"/>
  <c r="BK46" i="1" s="1"/>
  <c r="BM41" i="1" s="1"/>
  <c r="BM46" i="1" s="1"/>
  <c r="BO41" i="1" s="1"/>
  <c r="BO46" i="1" s="1"/>
  <c r="AN80" i="1"/>
  <c r="AH135" i="1"/>
  <c r="AH157" i="1"/>
  <c r="AJ187" i="1"/>
  <c r="U190" i="1"/>
  <c r="U191" i="1" s="1"/>
  <c r="J235" i="1"/>
  <c r="R235" i="1"/>
  <c r="U244" i="1"/>
  <c r="AF244" i="1"/>
  <c r="W312" i="1"/>
  <c r="R313" i="1"/>
  <c r="Y313" i="1"/>
  <c r="AH347" i="1"/>
  <c r="R347" i="1"/>
  <c r="U471" i="1"/>
  <c r="S64" i="1"/>
  <c r="S66" i="1" s="1"/>
  <c r="AN70" i="1"/>
  <c r="AH83" i="1"/>
  <c r="S84" i="1"/>
  <c r="S90" i="1" s="1"/>
  <c r="AL95" i="1"/>
  <c r="AJ125" i="1"/>
  <c r="AL151" i="1"/>
  <c r="AL178" i="1"/>
  <c r="Z204" i="1"/>
  <c r="AL198" i="1"/>
  <c r="AL204" i="1" s="1"/>
  <c r="E234" i="1"/>
  <c r="D235" i="1"/>
  <c r="L235" i="1"/>
  <c r="AH235" i="1"/>
  <c r="K244" i="1"/>
  <c r="T313" i="1"/>
  <c r="AL346" i="1"/>
  <c r="AN340" i="1"/>
  <c r="AJ471" i="1"/>
  <c r="AL441" i="1"/>
  <c r="B472" i="1"/>
  <c r="R472" i="1"/>
  <c r="U59" i="1"/>
  <c r="U70" i="1"/>
  <c r="U77" i="1" s="1"/>
  <c r="U89" i="1"/>
  <c r="U90" i="1" s="1"/>
  <c r="U98" i="1"/>
  <c r="U104" i="1" s="1"/>
  <c r="AJ110" i="1"/>
  <c r="Y138" i="1"/>
  <c r="U146" i="1"/>
  <c r="U149" i="1" s="1"/>
  <c r="P149" i="1"/>
  <c r="U161" i="1"/>
  <c r="F235" i="1"/>
  <c r="AC235" i="1"/>
  <c r="AC313" i="1"/>
  <c r="V347" i="1"/>
  <c r="AN388" i="1"/>
  <c r="AP377" i="1"/>
  <c r="U439" i="1"/>
  <c r="AL56" i="1"/>
  <c r="AN107" i="1"/>
  <c r="U204" i="1"/>
  <c r="AF204" i="1"/>
  <c r="AN222" i="1"/>
  <c r="V235" i="1"/>
  <c r="E244" i="1"/>
  <c r="S244" i="1"/>
  <c r="AD244" i="1"/>
  <c r="AH313" i="1"/>
  <c r="V313" i="1"/>
  <c r="AE313" i="1"/>
  <c r="AD318" i="1"/>
  <c r="E328" i="1"/>
  <c r="P328" i="1"/>
  <c r="U322" i="1"/>
  <c r="U328" i="1" s="1"/>
  <c r="V472" i="1"/>
  <c r="AJ301" i="1"/>
  <c r="AN332" i="1"/>
  <c r="U340" i="1"/>
  <c r="U346" i="1" s="1"/>
  <c r="AJ346" i="1"/>
  <c r="H357" i="1"/>
  <c r="H370" i="1" s="1"/>
  <c r="H378" i="1"/>
  <c r="H388" i="1" s="1"/>
  <c r="S416" i="1"/>
  <c r="S439" i="1" s="1"/>
  <c r="P439" i="1"/>
  <c r="E441" i="1"/>
  <c r="E471" i="1" s="1"/>
  <c r="Y472" i="1"/>
  <c r="AE472" i="1"/>
  <c r="AJ484" i="1"/>
  <c r="AH493" i="1"/>
  <c r="AJ492" i="1"/>
  <c r="AL492" i="1" s="1"/>
  <c r="AN492" i="1" s="1"/>
  <c r="AP492" i="1" s="1"/>
  <c r="AR492" i="1" s="1"/>
  <c r="AT492" i="1" s="1"/>
  <c r="AV492" i="1" s="1"/>
  <c r="AX492" i="1" s="1"/>
  <c r="AZ492" i="1" s="1"/>
  <c r="AL537" i="1"/>
  <c r="AJ552" i="1"/>
  <c r="AJ279" i="1"/>
  <c r="P318" i="1"/>
  <c r="AL388" i="1"/>
  <c r="AC439" i="1"/>
  <c r="AC472" i="1" s="1"/>
  <c r="P471" i="1"/>
  <c r="AL484" i="1"/>
  <c r="AN475" i="1"/>
  <c r="P504" i="1"/>
  <c r="B611" i="1"/>
  <c r="Z550" i="1"/>
  <c r="S550" i="1"/>
  <c r="U550" i="1"/>
  <c r="P557" i="1"/>
  <c r="H484" i="1"/>
  <c r="U484" i="1"/>
  <c r="AF484" i="1"/>
  <c r="H516" i="1"/>
  <c r="U526" i="1"/>
  <c r="AL554" i="1"/>
  <c r="AJ556" i="1"/>
  <c r="U595" i="1"/>
  <c r="AN614" i="1"/>
  <c r="AJ499" i="1"/>
  <c r="AC504" i="1"/>
  <c r="P526" i="1"/>
  <c r="P532" i="1" s="1"/>
  <c r="U544" i="1"/>
  <c r="S548" i="1"/>
  <c r="Z548" i="1"/>
  <c r="AH552" i="1"/>
  <c r="AH556" i="1"/>
  <c r="AJ753" i="1"/>
  <c r="AL753" i="1" s="1"/>
  <c r="AN753" i="1" s="1"/>
  <c r="AP753" i="1" s="1"/>
  <c r="AR753" i="1" s="1"/>
  <c r="AT753" i="1" s="1"/>
  <c r="AV753" i="1" s="1"/>
  <c r="AX753" i="1" s="1"/>
  <c r="AZ753" i="1" s="1"/>
  <c r="AH758" i="1"/>
  <c r="V790" i="1"/>
  <c r="AR797" i="1"/>
  <c r="AL501" i="1"/>
  <c r="B516" i="1"/>
  <c r="B532" i="1" s="1"/>
  <c r="AJ520" i="1"/>
  <c r="AC678" i="1"/>
  <c r="F678" i="1"/>
  <c r="AJ702" i="1"/>
  <c r="AH703" i="1"/>
  <c r="B790" i="1"/>
  <c r="U492" i="1"/>
  <c r="U496" i="1"/>
  <c r="U499" i="1" s="1"/>
  <c r="U509" i="1"/>
  <c r="U516" i="1" s="1"/>
  <c r="S544" i="1"/>
  <c r="Z544" i="1"/>
  <c r="AJ575" i="1"/>
  <c r="E629" i="1"/>
  <c r="P629" i="1"/>
  <c r="AJ615" i="1"/>
  <c r="AL615" i="1" s="1"/>
  <c r="AN615" i="1" s="1"/>
  <c r="AP615" i="1" s="1"/>
  <c r="AR615" i="1" s="1"/>
  <c r="AT615" i="1" s="1"/>
  <c r="AV615" i="1" s="1"/>
  <c r="AX615" i="1" s="1"/>
  <c r="AZ615" i="1" s="1"/>
  <c r="AH634" i="1"/>
  <c r="AJ631" i="1"/>
  <c r="AP487" i="1"/>
  <c r="U501" i="1"/>
  <c r="U503" i="1" s="1"/>
  <c r="L678" i="1"/>
  <c r="J790" i="1"/>
  <c r="AL643" i="1"/>
  <c r="U655" i="1"/>
  <c r="U657" i="1" s="1"/>
  <c r="AL660" i="1"/>
  <c r="AN666" i="1"/>
  <c r="D675" i="1"/>
  <c r="D678" i="1" s="1"/>
  <c r="P685" i="1"/>
  <c r="P690" i="1"/>
  <c r="D703" i="1"/>
  <c r="U710" i="1"/>
  <c r="K731" i="1"/>
  <c r="K758" i="1" s="1"/>
  <c r="AN738" i="1"/>
  <c r="U755" i="1"/>
  <c r="D789" i="1"/>
  <c r="N821" i="1"/>
  <c r="Z821" i="1"/>
  <c r="K842" i="1"/>
  <c r="W842" i="1"/>
  <c r="F843" i="1"/>
  <c r="V843" i="1"/>
  <c r="AN862" i="1"/>
  <c r="AJ654" i="1"/>
  <c r="U660" i="1"/>
  <c r="U662" i="1" s="1"/>
  <c r="W666" i="1"/>
  <c r="W675" i="1" s="1"/>
  <c r="H685" i="1"/>
  <c r="H688" i="1" s="1"/>
  <c r="H690" i="1"/>
  <c r="H694" i="1" s="1"/>
  <c r="W702" i="1"/>
  <c r="W703" i="1" s="1"/>
  <c r="AF710" i="1"/>
  <c r="E732" i="1"/>
  <c r="E758" i="1" s="1"/>
  <c r="U753" i="1"/>
  <c r="U757" i="1"/>
  <c r="P758" i="1"/>
  <c r="AC821" i="1"/>
  <c r="AC843" i="1" s="1"/>
  <c r="AD797" i="1"/>
  <c r="AD821" i="1" s="1"/>
  <c r="P821" i="1"/>
  <c r="U828" i="1"/>
  <c r="Y843" i="1"/>
  <c r="U631" i="1"/>
  <c r="U634" i="1" s="1"/>
  <c r="H821" i="1"/>
  <c r="U821" i="1"/>
  <c r="AH808" i="1"/>
  <c r="AJ808" i="1" s="1"/>
  <c r="AL808" i="1" s="1"/>
  <c r="AN808" i="1" s="1"/>
  <c r="AP808" i="1" s="1"/>
  <c r="AR808" i="1" s="1"/>
  <c r="AT808" i="1" s="1"/>
  <c r="AV808" i="1" s="1"/>
  <c r="AX808" i="1" s="1"/>
  <c r="AZ808" i="1" s="1"/>
  <c r="E842" i="1"/>
  <c r="S842" i="1"/>
  <c r="AD842" i="1"/>
  <c r="AH828" i="1"/>
  <c r="AJ825" i="1"/>
  <c r="L843" i="1"/>
  <c r="T843" i="1"/>
  <c r="AE843" i="1"/>
  <c r="L1104" i="1"/>
  <c r="AH1005" i="1"/>
  <c r="AJ1005" i="1" s="1"/>
  <c r="AL1005" i="1" s="1"/>
  <c r="AN1005" i="1" s="1"/>
  <c r="AP1005" i="1" s="1"/>
  <c r="AR1005" i="1" s="1"/>
  <c r="AT1005" i="1" s="1"/>
  <c r="AV1005" i="1" s="1"/>
  <c r="AX1005" i="1" s="1"/>
  <c r="AZ1005" i="1" s="1"/>
  <c r="L1087" i="1"/>
  <c r="F1103" i="1"/>
  <c r="T1103" i="1"/>
  <c r="W1132" i="1"/>
  <c r="L1132" i="1"/>
  <c r="AC1132" i="1"/>
  <c r="AT1208" i="1"/>
  <c r="AR1209" i="1"/>
  <c r="W850" i="1"/>
  <c r="W1051" i="1" s="1"/>
  <c r="Y1103" i="1"/>
  <c r="AX1103" i="1"/>
  <c r="AH1108" i="1"/>
  <c r="H1109" i="1"/>
  <c r="P1110" i="1"/>
  <c r="P1125" i="1" s="1"/>
  <c r="P1085" i="1" s="1"/>
  <c r="P828" i="1"/>
  <c r="AH842" i="1"/>
  <c r="P1051" i="1"/>
  <c r="AF1102" i="1"/>
  <c r="AH1109" i="1"/>
  <c r="AJ1109" i="1" s="1"/>
  <c r="AL1109" i="1" s="1"/>
  <c r="AN1109" i="1" s="1"/>
  <c r="AP1109" i="1" s="1"/>
  <c r="AR1109" i="1" s="1"/>
  <c r="AT1109" i="1" s="1"/>
  <c r="AV1109" i="1" s="1"/>
  <c r="AX1109" i="1" s="1"/>
  <c r="AZ1109" i="1" s="1"/>
  <c r="V1132" i="1"/>
  <c r="E1109" i="1"/>
  <c r="W1143" i="1"/>
  <c r="AH1143" i="1"/>
  <c r="P1143" i="1"/>
  <c r="W1151" i="1"/>
  <c r="AH1151" i="1"/>
  <c r="W1166" i="1"/>
  <c r="J1168" i="1"/>
  <c r="J1210" i="1" s="1"/>
  <c r="AD1209" i="1"/>
  <c r="E1209" i="1"/>
  <c r="AP1209" i="1"/>
  <c r="U1235" i="1"/>
  <c r="AH1265" i="1"/>
  <c r="AJ1265" i="1" s="1"/>
  <c r="AL1265" i="1" s="1"/>
  <c r="AN1265" i="1" s="1"/>
  <c r="AP1265" i="1" s="1"/>
  <c r="AR1265" i="1" s="1"/>
  <c r="AT1265" i="1" s="1"/>
  <c r="AV1265" i="1" s="1"/>
  <c r="AX1265" i="1" s="1"/>
  <c r="AZ1265" i="1" s="1"/>
  <c r="U1265" i="1"/>
  <c r="U1270" i="1" s="1"/>
  <c r="U1274" i="1" s="1"/>
  <c r="U1280" i="1" s="1"/>
  <c r="D1132" i="1"/>
  <c r="J1132" i="1"/>
  <c r="AJ1143" i="1"/>
  <c r="AL1136" i="1"/>
  <c r="N1151" i="1"/>
  <c r="N1168" i="1" s="1"/>
  <c r="AJ1151" i="1"/>
  <c r="AL1146" i="1"/>
  <c r="AC1155" i="1"/>
  <c r="AC1168" i="1" s="1"/>
  <c r="AC1210" i="1" s="1"/>
  <c r="AD1154" i="1"/>
  <c r="AD1155" i="1" s="1"/>
  <c r="AL1165" i="1"/>
  <c r="AJ1166" i="1"/>
  <c r="D1168" i="1"/>
  <c r="D1210" i="1" s="1"/>
  <c r="T1168" i="1"/>
  <c r="T1089" i="1" s="1"/>
  <c r="AE1168" i="1"/>
  <c r="AE1089" i="1" s="1"/>
  <c r="L1253" i="1"/>
  <c r="N1253" i="1" s="1"/>
  <c r="AH1299" i="1"/>
  <c r="AJ1299" i="1" s="1"/>
  <c r="AL1299" i="1" s="1"/>
  <c r="AN1299" i="1" s="1"/>
  <c r="AP1299" i="1" s="1"/>
  <c r="AR1299" i="1" s="1"/>
  <c r="AT1299" i="1" s="1"/>
  <c r="AV1299" i="1" s="1"/>
  <c r="AX1299" i="1" s="1"/>
  <c r="AZ1299" i="1" s="1"/>
  <c r="U1299" i="1"/>
  <c r="U1304" i="1" s="1"/>
  <c r="P1239" i="1"/>
  <c r="U1239" i="1" s="1"/>
  <c r="E1143" i="1"/>
  <c r="S1143" i="1"/>
  <c r="AD1143" i="1"/>
  <c r="L1168" i="1"/>
  <c r="L1089" i="1" s="1"/>
  <c r="AH1166" i="1"/>
  <c r="K1209" i="1"/>
  <c r="AL1209" i="1"/>
  <c r="AE1236" i="1"/>
  <c r="AF1235" i="1"/>
  <c r="AF1239" i="1"/>
  <c r="E1270" i="1"/>
  <c r="E1274" i="1" s="1"/>
  <c r="E1280" i="1" s="1"/>
  <c r="P1304" i="1"/>
  <c r="AV1239" i="1"/>
  <c r="H1136" i="1"/>
  <c r="H1143" i="1" s="1"/>
  <c r="AJ1154" i="1"/>
  <c r="Y1168" i="1"/>
  <c r="Y1089" i="1" s="1"/>
  <c r="U1286" i="1"/>
  <c r="U1293" i="1" s="1"/>
  <c r="P1293" i="1"/>
  <c r="U1149" i="1"/>
  <c r="U1151" i="1" s="1"/>
  <c r="V1151" i="1"/>
  <c r="V1168" i="1" s="1"/>
  <c r="V1210" i="1" s="1"/>
  <c r="T1253" i="1"/>
  <c r="U1253" i="1" s="1"/>
  <c r="S1270" i="1"/>
  <c r="S1274" i="1" s="1"/>
  <c r="S1280" i="1" s="1"/>
  <c r="AL1296" i="1"/>
  <c r="T1317" i="1"/>
  <c r="E1344" i="1"/>
  <c r="W1344" i="1"/>
  <c r="Y1346" i="1"/>
  <c r="P1155" i="1"/>
  <c r="AJ1260" i="1"/>
  <c r="E1293" i="1"/>
  <c r="N1304" i="1"/>
  <c r="K1304" i="1"/>
  <c r="Z1316" i="1"/>
  <c r="U1316" i="1"/>
  <c r="AE1317" i="1"/>
  <c r="AE1238" i="1" s="1"/>
  <c r="H1344" i="1"/>
  <c r="S1344" i="1"/>
  <c r="AD1344" i="1"/>
  <c r="U1250" i="1"/>
  <c r="Z1270" i="1"/>
  <c r="Z1274" i="1" s="1"/>
  <c r="Z1280" i="1" s="1"/>
  <c r="K1293" i="1"/>
  <c r="W1293" i="1"/>
  <c r="AH1293" i="1"/>
  <c r="AJ1284" i="1"/>
  <c r="E1304" i="1"/>
  <c r="AD1304" i="1"/>
  <c r="U1306" i="1"/>
  <c r="U1309" i="1" s="1"/>
  <c r="P1309" i="1"/>
  <c r="AH1306" i="1"/>
  <c r="K1344" i="1"/>
  <c r="P1270" i="1"/>
  <c r="P1274" i="1" s="1"/>
  <c r="AC1304" i="1"/>
  <c r="J1309" i="1"/>
  <c r="J1317" i="1" s="1"/>
  <c r="J1346" i="1" s="1"/>
  <c r="U1465" i="1"/>
  <c r="U1474" i="1" s="1"/>
  <c r="U1475" i="1" s="1"/>
  <c r="P1474" i="1"/>
  <c r="P1475" i="1" s="1"/>
  <c r="AC1309" i="1"/>
  <c r="L1346" i="1"/>
  <c r="T1404" i="1"/>
  <c r="T1358" i="1"/>
  <c r="AD1313" i="1"/>
  <c r="AD1316" i="1" s="1"/>
  <c r="B1364" i="1"/>
  <c r="H1363" i="1"/>
  <c r="AJ1377" i="1"/>
  <c r="AL1372" i="1" s="1"/>
  <c r="AL1377" i="1" s="1"/>
  <c r="AN1372" i="1" s="1"/>
  <c r="AN1377" i="1" s="1"/>
  <c r="AP1372" i="1" s="1"/>
  <c r="AP1377" i="1" s="1"/>
  <c r="AR1372" i="1" s="1"/>
  <c r="AR1377" i="1" s="1"/>
  <c r="AT1372" i="1" s="1"/>
  <c r="AT1377" i="1" s="1"/>
  <c r="AV1372" i="1" s="1"/>
  <c r="AV1377" i="1" s="1"/>
  <c r="AX1372" i="1" s="1"/>
  <c r="AX1377" i="1" s="1"/>
  <c r="AZ1372" i="1" s="1"/>
  <c r="AZ1377" i="1" s="1"/>
  <c r="L1377" i="1"/>
  <c r="AF1377" i="1"/>
  <c r="H1387" i="1"/>
  <c r="F1399" i="1"/>
  <c r="K1410" i="1"/>
  <c r="AJ1408" i="1"/>
  <c r="AF1449" i="1"/>
  <c r="AJ1474" i="1"/>
  <c r="AJ1475" i="1" s="1"/>
  <c r="AL1465" i="1"/>
  <c r="AH1387" i="1"/>
  <c r="AJ1382" i="1"/>
  <c r="J1399" i="1"/>
  <c r="J1404" i="1" s="1"/>
  <c r="Z1449" i="1"/>
  <c r="AD1460" i="1"/>
  <c r="AF1376" i="1"/>
  <c r="F1377" i="1"/>
  <c r="H1377" i="1" s="1"/>
  <c r="E1387" i="1"/>
  <c r="D1399" i="1"/>
  <c r="D1404" i="1" s="1"/>
  <c r="L1399" i="1"/>
  <c r="Z1425" i="1"/>
  <c r="AD1449" i="1"/>
  <c r="E1449" i="1"/>
  <c r="S1449" i="1"/>
  <c r="AF1460" i="1"/>
  <c r="E1460" i="1"/>
  <c r="K1474" i="1"/>
  <c r="B1475" i="1"/>
  <c r="B1477" i="1" s="1"/>
  <c r="B1480" i="1" s="1"/>
  <c r="T1475" i="1"/>
  <c r="T1477" i="1" s="1"/>
  <c r="U1397" i="1"/>
  <c r="U1398" i="1" s="1"/>
  <c r="AF1474" i="1"/>
  <c r="D1475" i="1"/>
  <c r="D1477" i="1" s="1"/>
  <c r="D1480" i="1" s="1"/>
  <c r="J1475" i="1"/>
  <c r="J1477" i="1" s="1"/>
  <c r="J1480" i="1" s="1"/>
  <c r="AC1398" i="1"/>
  <c r="AC1399" i="1" s="1"/>
  <c r="AC1404" i="1" s="1"/>
  <c r="AH1398" i="1"/>
  <c r="W1474" i="1"/>
  <c r="W1475" i="1" s="1"/>
  <c r="R1475" i="1"/>
  <c r="R1477" i="1" s="1"/>
  <c r="R1480" i="1" s="1"/>
  <c r="V1475" i="1"/>
  <c r="V1477" i="1" s="1"/>
  <c r="V1480" i="1" s="1"/>
  <c r="Z1474" i="1"/>
  <c r="AH1474" i="1"/>
  <c r="AH1475" i="1" s="1"/>
  <c r="AC1475" i="1"/>
  <c r="AC1477" i="1" s="1"/>
  <c r="AC1480" i="1" s="1"/>
  <c r="F1475" i="1"/>
  <c r="F1477" i="1" s="1"/>
  <c r="L1475" i="1"/>
  <c r="L1477" i="1" s="1"/>
  <c r="BE221" i="6" l="1"/>
  <c r="BE228" i="6" s="1"/>
  <c r="BE243" i="6" s="1"/>
  <c r="BE250" i="6" s="1"/>
  <c r="BE217" i="6"/>
  <c r="T1210" i="1"/>
  <c r="BC198" i="8"/>
  <c r="BC199" i="8" s="1"/>
  <c r="BC213" i="8" s="1"/>
  <c r="BC218" i="8" s="1"/>
  <c r="BA218" i="8"/>
  <c r="N1475" i="1"/>
  <c r="BC667" i="4"/>
  <c r="BE200" i="6"/>
  <c r="BE201" i="6" s="1"/>
  <c r="AF1132" i="1"/>
  <c r="Y1358" i="1"/>
  <c r="B1093" i="1"/>
  <c r="B1094" i="1" s="1"/>
  <c r="Z91" i="1"/>
  <c r="N532" i="1"/>
  <c r="H557" i="1"/>
  <c r="N118" i="1"/>
  <c r="AH611" i="1"/>
  <c r="AF726" i="1"/>
  <c r="AL123" i="1"/>
  <c r="AN842" i="1"/>
  <c r="U726" i="1"/>
  <c r="K557" i="1"/>
  <c r="S118" i="1"/>
  <c r="AD611" i="1"/>
  <c r="F1210" i="1"/>
  <c r="E790" i="1"/>
  <c r="AH699" i="1"/>
  <c r="BM35" i="1"/>
  <c r="U138" i="1"/>
  <c r="H1399" i="1"/>
  <c r="H1404" i="1" s="1"/>
  <c r="BF35" i="1"/>
  <c r="H1475" i="1"/>
  <c r="S1399" i="1"/>
  <c r="S1404" i="1" s="1"/>
  <c r="H313" i="1"/>
  <c r="P726" i="1"/>
  <c r="AH532" i="1"/>
  <c r="F1236" i="1"/>
  <c r="H1168" i="1"/>
  <c r="AJ235" i="1"/>
  <c r="AD1132" i="1"/>
  <c r="F1132" i="1"/>
  <c r="P678" i="1"/>
  <c r="AH138" i="1"/>
  <c r="K1168" i="1"/>
  <c r="K1210" i="1" s="1"/>
  <c r="AH1410" i="1"/>
  <c r="Z532" i="1"/>
  <c r="K504" i="1"/>
  <c r="AE1362" i="1"/>
  <c r="AE1364" i="1" s="1"/>
  <c r="AE1480" i="1"/>
  <c r="P1477" i="1"/>
  <c r="P1480" i="1" s="1"/>
  <c r="U1168" i="1"/>
  <c r="U1210" i="1" s="1"/>
  <c r="AL190" i="1"/>
  <c r="AL191" i="1" s="1"/>
  <c r="U118" i="1"/>
  <c r="AD118" i="1"/>
  <c r="BD35" i="1"/>
  <c r="H1110" i="1"/>
  <c r="H1125" i="1" s="1"/>
  <c r="H1132" i="1" s="1"/>
  <c r="Z843" i="1"/>
  <c r="AH629" i="1"/>
  <c r="AH678" i="1" s="1"/>
  <c r="AL499" i="1"/>
  <c r="W1399" i="1"/>
  <c r="W1404" i="1" s="1"/>
  <c r="S790" i="1"/>
  <c r="U1125" i="1"/>
  <c r="U1132" i="1" s="1"/>
  <c r="S678" i="1"/>
  <c r="Z678" i="1"/>
  <c r="AD557" i="1"/>
  <c r="S611" i="1"/>
  <c r="S1132" i="1"/>
  <c r="W1317" i="1"/>
  <c r="W1346" i="1" s="1"/>
  <c r="N1210" i="1"/>
  <c r="H611" i="1"/>
  <c r="Z1132" i="1"/>
  <c r="W118" i="1"/>
  <c r="S1475" i="1"/>
  <c r="N843" i="1"/>
  <c r="W843" i="1"/>
  <c r="AJ516" i="1"/>
  <c r="AN117" i="1"/>
  <c r="U1399" i="1"/>
  <c r="U1404" i="1" s="1"/>
  <c r="B1346" i="1"/>
  <c r="AL842" i="1"/>
  <c r="AJ118" i="1"/>
  <c r="N678" i="1"/>
  <c r="BI35" i="1"/>
  <c r="W1477" i="1"/>
  <c r="W1480" i="1" s="1"/>
  <c r="S1477" i="1"/>
  <c r="S1480" i="1" s="1"/>
  <c r="AE1358" i="1"/>
  <c r="Z1252" i="1"/>
  <c r="E1168" i="1"/>
  <c r="E1210" i="1" s="1"/>
  <c r="AF118" i="1"/>
  <c r="B1404" i="1"/>
  <c r="N1477" i="1"/>
  <c r="N1480" i="1" s="1"/>
  <c r="Y1253" i="1"/>
  <c r="AF1253" i="1" s="1"/>
  <c r="H1210" i="1"/>
  <c r="Z472" i="1"/>
  <c r="AT793" i="1"/>
  <c r="E1399" i="1"/>
  <c r="E1404" i="1" s="1"/>
  <c r="E1110" i="1"/>
  <c r="E1125" i="1" s="1"/>
  <c r="E1132" i="1" s="1"/>
  <c r="R845" i="1"/>
  <c r="R1053" i="1" s="1"/>
  <c r="AH504" i="1"/>
  <c r="AL117" i="1"/>
  <c r="D349" i="1"/>
  <c r="D26" i="1" s="1"/>
  <c r="D28" i="1" s="1"/>
  <c r="Z313" i="1"/>
  <c r="E118" i="1"/>
  <c r="AN528" i="1"/>
  <c r="P118" i="1"/>
  <c r="AU1125" i="5"/>
  <c r="AU1130" i="5" s="1"/>
  <c r="AU1085" i="5"/>
  <c r="P39" i="9"/>
  <c r="P40" i="9" s="1"/>
  <c r="M66" i="2"/>
  <c r="M130" i="2"/>
  <c r="AU1075" i="5"/>
  <c r="AU13" i="5"/>
  <c r="AU1118" i="5"/>
  <c r="AU1063" i="5"/>
  <c r="P18" i="9" s="1"/>
  <c r="AU833" i="5"/>
  <c r="H17" i="11"/>
  <c r="BA225" i="8"/>
  <c r="S16" i="11"/>
  <c r="AA16" i="11" s="1"/>
  <c r="N17" i="11"/>
  <c r="V17" i="11" s="1"/>
  <c r="BA201" i="8"/>
  <c r="BA197" i="7"/>
  <c r="AH1304" i="1"/>
  <c r="AJ1304" i="1"/>
  <c r="H173" i="1"/>
  <c r="K313" i="1"/>
  <c r="N313" i="1"/>
  <c r="AE1210" i="1"/>
  <c r="AF1399" i="1"/>
  <c r="AF1404" i="1" s="1"/>
  <c r="H235" i="1"/>
  <c r="AF678" i="1"/>
  <c r="B349" i="1"/>
  <c r="B26" i="1" s="1"/>
  <c r="Z1168" i="1"/>
  <c r="Z1210" i="1" s="1"/>
  <c r="N557" i="1"/>
  <c r="AD1399" i="1"/>
  <c r="AD1404" i="1" s="1"/>
  <c r="S1317" i="1"/>
  <c r="AC1317" i="1"/>
  <c r="AC1346" i="1" s="1"/>
  <c r="AD532" i="1"/>
  <c r="H1317" i="1"/>
  <c r="H1346" i="1" s="1"/>
  <c r="Z790" i="1"/>
  <c r="AD678" i="1"/>
  <c r="AD138" i="1"/>
  <c r="Z504" i="1"/>
  <c r="AD504" i="1"/>
  <c r="E557" i="1"/>
  <c r="H1477" i="1"/>
  <c r="H1480" i="1" s="1"/>
  <c r="H1252" i="1"/>
  <c r="P1168" i="1"/>
  <c r="P1210" i="1" s="1"/>
  <c r="S843" i="1"/>
  <c r="H843" i="1"/>
  <c r="K843" i="1"/>
  <c r="AE349" i="1"/>
  <c r="AE26" i="1" s="1"/>
  <c r="F349" i="1"/>
  <c r="AN123" i="1"/>
  <c r="BO35" i="1"/>
  <c r="K1475" i="1"/>
  <c r="K1477" i="1" s="1"/>
  <c r="K1480" i="1" s="1"/>
  <c r="Z1317" i="1"/>
  <c r="Z1346" i="1" s="1"/>
  <c r="N1234" i="1"/>
  <c r="P699" i="1"/>
  <c r="AF504" i="1"/>
  <c r="AN159" i="1"/>
  <c r="AP159" i="1" s="1"/>
  <c r="E611" i="1"/>
  <c r="E504" i="1"/>
  <c r="K91" i="1"/>
  <c r="Z138" i="1"/>
  <c r="K678" i="1"/>
  <c r="AJ77" i="1"/>
  <c r="B1367" i="1"/>
  <c r="AH1270" i="1"/>
  <c r="AH1274" i="1" s="1"/>
  <c r="AF790" i="1"/>
  <c r="U696" i="1"/>
  <c r="U699" i="1" s="1"/>
  <c r="AD347" i="1"/>
  <c r="U66" i="1"/>
  <c r="AJ168" i="1"/>
  <c r="AD235" i="1"/>
  <c r="K1399" i="1"/>
  <c r="K1404" i="1" s="1"/>
  <c r="AE1087" i="1"/>
  <c r="AF1087" i="1" s="1"/>
  <c r="BA1395" i="4"/>
  <c r="BA1354" i="4" s="1"/>
  <c r="BA1356" i="4" s="1"/>
  <c r="AW13" i="4"/>
  <c r="AW15" i="4" s="1"/>
  <c r="AW23" i="4" s="1"/>
  <c r="AY10" i="4" s="1"/>
  <c r="AU22" i="4"/>
  <c r="BE222" i="4"/>
  <c r="AY338" i="4"/>
  <c r="AY13" i="4" s="1"/>
  <c r="AY15" i="4" s="1"/>
  <c r="BA122" i="4"/>
  <c r="BA125" i="4" s="1"/>
  <c r="BC121" i="4"/>
  <c r="BC519" i="4"/>
  <c r="BE519" i="4"/>
  <c r="AW1045" i="4"/>
  <c r="AY781" i="4"/>
  <c r="AY836" i="4" s="1"/>
  <c r="AY17" i="4" s="1"/>
  <c r="AY19" i="4" s="1"/>
  <c r="BE549" i="4"/>
  <c r="BE553" i="4" s="1"/>
  <c r="BE600" i="4" s="1"/>
  <c r="BC553" i="4"/>
  <c r="BC600" i="4" s="1"/>
  <c r="AW1237" i="4"/>
  <c r="AY1226" i="4" s="1"/>
  <c r="BE667" i="4"/>
  <c r="AO1352" i="4"/>
  <c r="AO1363" i="4" s="1"/>
  <c r="AQ1352" i="4" s="1"/>
  <c r="AQ1363" i="4" s="1"/>
  <c r="AS1352" i="4" s="1"/>
  <c r="AS1363" i="4" s="1"/>
  <c r="AU1352" i="4" s="1"/>
  <c r="AU1363" i="4" s="1"/>
  <c r="AW1352" i="4" s="1"/>
  <c r="AW1363" i="4" s="1"/>
  <c r="AY1352" i="4" s="1"/>
  <c r="AM1363" i="4"/>
  <c r="AW22" i="4"/>
  <c r="BA1478" i="4"/>
  <c r="BA1358" i="4"/>
  <c r="BA1360" i="4" s="1"/>
  <c r="BA1400" i="4"/>
  <c r="BC1264" i="4"/>
  <c r="BC1268" i="4" s="1"/>
  <c r="BE1254" i="4"/>
  <c r="BE1264" i="4" s="1"/>
  <c r="BE1268" i="4" s="1"/>
  <c r="AY1400" i="4"/>
  <c r="AY1354" i="4"/>
  <c r="AY1356" i="4" s="1"/>
  <c r="AY1362" i="4" s="1"/>
  <c r="BC545" i="4"/>
  <c r="BC546" i="4" s="1"/>
  <c r="BE543" i="4"/>
  <c r="BE545" i="4" s="1"/>
  <c r="BE546" i="4" s="1"/>
  <c r="BE133" i="4"/>
  <c r="BE136" i="4" s="1"/>
  <c r="BE160" i="4" s="1"/>
  <c r="BC136" i="4"/>
  <c r="BC160" i="4" s="1"/>
  <c r="BE691" i="4"/>
  <c r="BE692" i="4" s="1"/>
  <c r="BC692" i="4"/>
  <c r="BC70" i="4"/>
  <c r="BA77" i="4"/>
  <c r="BA78" i="4" s="1"/>
  <c r="BC18" i="4"/>
  <c r="AY1081" i="4"/>
  <c r="AY1083" i="4" s="1"/>
  <c r="AY1204" i="4"/>
  <c r="BC222" i="4"/>
  <c r="BC1394" i="4"/>
  <c r="BE1393" i="4"/>
  <c r="BE1394" i="4" s="1"/>
  <c r="BC679" i="4"/>
  <c r="BA683" i="4"/>
  <c r="BA1274" i="4"/>
  <c r="BA1228" i="4"/>
  <c r="BA1230" i="4" s="1"/>
  <c r="BC1383" i="4"/>
  <c r="BE1378" i="4"/>
  <c r="BE1383" i="4" s="1"/>
  <c r="BE816" i="4"/>
  <c r="BE819" i="4" s="1"/>
  <c r="BE834" i="4" s="1"/>
  <c r="BC819" i="4"/>
  <c r="BC834" i="4" s="1"/>
  <c r="AW1085" i="4"/>
  <c r="AW1086" i="4" s="1"/>
  <c r="AY1075" i="4" s="1"/>
  <c r="BC1143" i="4"/>
  <c r="BE1138" i="4"/>
  <c r="BE1143" i="4" s="1"/>
  <c r="BA677" i="4"/>
  <c r="BC674" i="4"/>
  <c r="BC118" i="4"/>
  <c r="BE112" i="4"/>
  <c r="BE118" i="4" s="1"/>
  <c r="BA1102" i="4"/>
  <c r="BA1117" i="4" s="1"/>
  <c r="BC1100" i="4"/>
  <c r="BC1406" i="4"/>
  <c r="BC1475" i="4" s="1"/>
  <c r="BE1404" i="4"/>
  <c r="BE1406" i="4" s="1"/>
  <c r="BE1475" i="4" s="1"/>
  <c r="BA1303" i="4"/>
  <c r="BA1311" i="4" s="1"/>
  <c r="BC1300" i="4"/>
  <c r="BE742" i="4"/>
  <c r="BE747" i="4" s="1"/>
  <c r="BC747" i="4"/>
  <c r="AY1077" i="4"/>
  <c r="AY1079" i="4" s="1"/>
  <c r="AY1124" i="4"/>
  <c r="BA688" i="4"/>
  <c r="BC685" i="4"/>
  <c r="BE18" i="4"/>
  <c r="BE305" i="4"/>
  <c r="BE307" i="4" s="1"/>
  <c r="BE336" i="4" s="1"/>
  <c r="BC307" i="4"/>
  <c r="BC336" i="4" s="1"/>
  <c r="BC1146" i="4"/>
  <c r="BA1147" i="4"/>
  <c r="BA1160" i="4" s="1"/>
  <c r="AY1342" i="4"/>
  <c r="AX1232" i="4"/>
  <c r="AX1234" i="4" s="1"/>
  <c r="AY1232" i="4"/>
  <c r="AY1234" i="4" s="1"/>
  <c r="AY1236" i="4" s="1"/>
  <c r="AL516" i="1"/>
  <c r="K173" i="1"/>
  <c r="H46" i="1"/>
  <c r="H43" i="1"/>
  <c r="AH472" i="1"/>
  <c r="H45" i="1"/>
  <c r="U552" i="1"/>
  <c r="U557" i="1" s="1"/>
  <c r="P1317" i="1"/>
  <c r="P1238" i="1" s="1"/>
  <c r="P1240" i="1" s="1"/>
  <c r="K1317" i="1"/>
  <c r="K1346" i="1" s="1"/>
  <c r="B1366" i="1"/>
  <c r="E843" i="1"/>
  <c r="AC845" i="1"/>
  <c r="AC1053" i="1" s="1"/>
  <c r="H790" i="1"/>
  <c r="AN393" i="1"/>
  <c r="AP393" i="1" s="1"/>
  <c r="N347" i="1"/>
  <c r="J472" i="1"/>
  <c r="J845" i="1" s="1"/>
  <c r="J30" i="1" s="1"/>
  <c r="J32" i="1" s="1"/>
  <c r="E1317" i="1"/>
  <c r="E1346" i="1" s="1"/>
  <c r="B1210" i="1"/>
  <c r="AD843" i="1"/>
  <c r="U843" i="1"/>
  <c r="AL1051" i="1"/>
  <c r="AL31" i="1" s="1"/>
  <c r="AL49" i="1" s="1"/>
  <c r="N611" i="1"/>
  <c r="P91" i="1"/>
  <c r="H1091" i="1"/>
  <c r="U758" i="1"/>
  <c r="AH821" i="1"/>
  <c r="AH843" i="1" s="1"/>
  <c r="AJ758" i="1"/>
  <c r="AF1168" i="1"/>
  <c r="AF1210" i="1" s="1"/>
  <c r="N504" i="1"/>
  <c r="K347" i="1"/>
  <c r="AJ564" i="1"/>
  <c r="AL560" i="1"/>
  <c r="W472" i="1"/>
  <c r="T845" i="1"/>
  <c r="T30" i="1" s="1"/>
  <c r="T32" i="1" s="1"/>
  <c r="R66" i="2"/>
  <c r="K472" i="1"/>
  <c r="AF91" i="1"/>
  <c r="U347" i="1"/>
  <c r="E173" i="1"/>
  <c r="S313" i="1"/>
  <c r="AF611" i="1"/>
  <c r="E532" i="1"/>
  <c r="AJ1253" i="1"/>
  <c r="E347" i="1"/>
  <c r="Y349" i="1"/>
  <c r="Y26" i="1" s="1"/>
  <c r="K611" i="1"/>
  <c r="AR1104" i="1"/>
  <c r="AT1099" i="1" s="1"/>
  <c r="AF843" i="1"/>
  <c r="H678" i="1"/>
  <c r="U629" i="1"/>
  <c r="U678" i="1" s="1"/>
  <c r="P611" i="1"/>
  <c r="U493" i="1"/>
  <c r="U504" i="1" s="1"/>
  <c r="S1168" i="1"/>
  <c r="S1210" i="1" s="1"/>
  <c r="N790" i="1"/>
  <c r="W611" i="1"/>
  <c r="AD790" i="1"/>
  <c r="S235" i="1"/>
  <c r="AL244" i="1"/>
  <c r="AN239" i="1"/>
  <c r="AH1168" i="1"/>
  <c r="AH1089" i="1" s="1"/>
  <c r="AH1091" i="1" s="1"/>
  <c r="AE1346" i="1"/>
  <c r="AD1168" i="1"/>
  <c r="AD1210" i="1" s="1"/>
  <c r="AL758" i="1"/>
  <c r="Z552" i="1"/>
  <c r="Z557" i="1" s="1"/>
  <c r="Z611" i="1"/>
  <c r="S347" i="1"/>
  <c r="AF347" i="1"/>
  <c r="AF1317" i="1"/>
  <c r="AF1346" i="1" s="1"/>
  <c r="W504" i="1"/>
  <c r="H347" i="1"/>
  <c r="AF173" i="1"/>
  <c r="E472" i="1"/>
  <c r="U168" i="1"/>
  <c r="U173" i="1" s="1"/>
  <c r="S532" i="1"/>
  <c r="AN493" i="1"/>
  <c r="AL493" i="1"/>
  <c r="W313" i="1"/>
  <c r="N91" i="1"/>
  <c r="Z173" i="1"/>
  <c r="U313" i="1"/>
  <c r="W173" i="1"/>
  <c r="W91" i="1"/>
  <c r="N235" i="1"/>
  <c r="B845" i="1"/>
  <c r="B30" i="1" s="1"/>
  <c r="B32" i="1" s="1"/>
  <c r="S472" i="1"/>
  <c r="S91" i="1"/>
  <c r="W235" i="1"/>
  <c r="AD313" i="1"/>
  <c r="S504" i="1"/>
  <c r="K235" i="1"/>
  <c r="Z347" i="1"/>
  <c r="H91" i="1"/>
  <c r="AF472" i="1"/>
  <c r="N472" i="1"/>
  <c r="L349" i="1"/>
  <c r="L26" i="1" s="1"/>
  <c r="L28" i="1" s="1"/>
  <c r="U235" i="1"/>
  <c r="E1475" i="1"/>
  <c r="E1477" i="1" s="1"/>
  <c r="E1480" i="1" s="1"/>
  <c r="N1317" i="1"/>
  <c r="N1346" i="1" s="1"/>
  <c r="L845" i="1"/>
  <c r="L30" i="1" s="1"/>
  <c r="L32" i="1" s="1"/>
  <c r="Y845" i="1"/>
  <c r="Y30" i="1" s="1"/>
  <c r="F1087" i="1"/>
  <c r="N1087" i="1" s="1"/>
  <c r="K790" i="1"/>
  <c r="E678" i="1"/>
  <c r="AJ629" i="1"/>
  <c r="U611" i="1"/>
  <c r="H532" i="1"/>
  <c r="H504" i="1"/>
  <c r="H472" i="1"/>
  <c r="P347" i="1"/>
  <c r="AL328" i="1"/>
  <c r="E235" i="1"/>
  <c r="R349" i="1"/>
  <c r="R372" i="1" s="1"/>
  <c r="AH173" i="1"/>
  <c r="Y1480" i="1"/>
  <c r="Y1362" i="1"/>
  <c r="U1477" i="1"/>
  <c r="U1480" i="1" s="1"/>
  <c r="F1346" i="1"/>
  <c r="T1236" i="1"/>
  <c r="Z1236" i="1" s="1"/>
  <c r="AF1103" i="1"/>
  <c r="AL821" i="1"/>
  <c r="W678" i="1"/>
  <c r="H1085" i="1"/>
  <c r="S552" i="1"/>
  <c r="S557" i="1" s="1"/>
  <c r="P173" i="1"/>
  <c r="J349" i="1"/>
  <c r="J372" i="1" s="1"/>
  <c r="AJ66" i="1"/>
  <c r="AF557" i="1"/>
  <c r="AJ1398" i="1"/>
  <c r="AL1397" i="1"/>
  <c r="L1240" i="1"/>
  <c r="N1240" i="1" s="1"/>
  <c r="N1238" i="1"/>
  <c r="AF532" i="1"/>
  <c r="AJ318" i="1"/>
  <c r="AJ347" i="1" s="1"/>
  <c r="AL316" i="1"/>
  <c r="AJ573" i="1"/>
  <c r="AL567" i="1"/>
  <c r="P1404" i="1"/>
  <c r="P1358" i="1"/>
  <c r="P1360" i="1" s="1"/>
  <c r="AD1475" i="1"/>
  <c r="AD1477" i="1" s="1"/>
  <c r="AD1480" i="1" s="1"/>
  <c r="L1210" i="1"/>
  <c r="P843" i="1"/>
  <c r="AE845" i="1"/>
  <c r="W790" i="1"/>
  <c r="V845" i="1"/>
  <c r="V1053" i="1" s="1"/>
  <c r="V349" i="1"/>
  <c r="V372" i="1" s="1"/>
  <c r="AF235" i="1"/>
  <c r="AC349" i="1"/>
  <c r="AC372" i="1" s="1"/>
  <c r="AJ472" i="1"/>
  <c r="T349" i="1"/>
  <c r="T372" i="1" s="1"/>
  <c r="Z235" i="1"/>
  <c r="AT1104" i="1"/>
  <c r="AV1099" i="1" s="1"/>
  <c r="AV1104" i="1" s="1"/>
  <c r="AX1099" i="1" s="1"/>
  <c r="AX1104" i="1" s="1"/>
  <c r="AZ1099" i="1" s="1"/>
  <c r="AZ1104" i="1" s="1"/>
  <c r="AL77" i="1"/>
  <c r="K532" i="1"/>
  <c r="AD173" i="1"/>
  <c r="S173" i="1"/>
  <c r="U91" i="1"/>
  <c r="W532" i="1"/>
  <c r="AF313" i="1"/>
  <c r="AG41" i="2"/>
  <c r="AG66" i="2" s="1"/>
  <c r="AF67" i="2" s="1"/>
  <c r="AN36" i="2"/>
  <c r="AI6" i="2"/>
  <c r="BG46" i="2"/>
  <c r="BB46" i="2"/>
  <c r="BG18" i="2"/>
  <c r="BL18" i="2" s="1"/>
  <c r="BQ18" i="2" s="1"/>
  <c r="BB18" i="2"/>
  <c r="AP52" i="2"/>
  <c r="AU52" i="2" s="1"/>
  <c r="AZ52" i="2" s="1"/>
  <c r="AK52" i="2"/>
  <c r="Y49" i="2"/>
  <c r="AD49" i="2" s="1"/>
  <c r="AI49" i="2" s="1"/>
  <c r="T49" i="2"/>
  <c r="T66" i="2" s="1"/>
  <c r="B28" i="1"/>
  <c r="B372" i="1"/>
  <c r="P1089" i="1"/>
  <c r="P1091" i="1" s="1"/>
  <c r="F26" i="1"/>
  <c r="F372" i="1"/>
  <c r="T1238" i="1"/>
  <c r="T1346" i="1"/>
  <c r="F1480" i="1"/>
  <c r="F1362" i="1"/>
  <c r="AJ1410" i="1"/>
  <c r="AJ1477" i="1" s="1"/>
  <c r="AL1408" i="1"/>
  <c r="AD1317" i="1"/>
  <c r="AD1346" i="1" s="1"/>
  <c r="AH1280" i="1"/>
  <c r="AL1154" i="1"/>
  <c r="AJ1155" i="1"/>
  <c r="AJ1168" i="1" s="1"/>
  <c r="AF1236" i="1"/>
  <c r="P1132" i="1"/>
  <c r="P31" i="1"/>
  <c r="AR1090" i="1"/>
  <c r="F1104" i="1"/>
  <c r="H1104" i="1" s="1"/>
  <c r="N1104" i="1" s="1"/>
  <c r="H1103" i="1"/>
  <c r="N1103" i="1" s="1"/>
  <c r="AR830" i="1"/>
  <c r="AP842" i="1"/>
  <c r="F845" i="1"/>
  <c r="AN758" i="1"/>
  <c r="AP738" i="1"/>
  <c r="AL647" i="1"/>
  <c r="AN643" i="1"/>
  <c r="AL631" i="1"/>
  <c r="AJ634" i="1"/>
  <c r="AL702" i="1"/>
  <c r="AJ703" i="1"/>
  <c r="AJ526" i="1"/>
  <c r="AL520" i="1"/>
  <c r="AP821" i="1"/>
  <c r="AH557" i="1"/>
  <c r="AP509" i="1"/>
  <c r="AN516" i="1"/>
  <c r="AN484" i="1"/>
  <c r="AP475" i="1"/>
  <c r="AP186" i="1"/>
  <c r="AN187" i="1"/>
  <c r="T1480" i="1"/>
  <c r="T1362" i="1"/>
  <c r="AN1465" i="1"/>
  <c r="AL1474" i="1"/>
  <c r="AL1475" i="1" s="1"/>
  <c r="F1404" i="1"/>
  <c r="F1358" i="1"/>
  <c r="AL1304" i="1"/>
  <c r="AN1296" i="1"/>
  <c r="AP1090" i="1"/>
  <c r="P1087" i="1"/>
  <c r="U1085" i="1"/>
  <c r="AT1209" i="1"/>
  <c r="AV1208" i="1"/>
  <c r="AJ657" i="1"/>
  <c r="AL654" i="1"/>
  <c r="AP666" i="1"/>
  <c r="AN675" i="1"/>
  <c r="AN334" i="1"/>
  <c r="AP332" i="1"/>
  <c r="AN234" i="1"/>
  <c r="AP222" i="1"/>
  <c r="AN56" i="1"/>
  <c r="AL66" i="1"/>
  <c r="AN441" i="1"/>
  <c r="AL471" i="1"/>
  <c r="AL472" i="1" s="1"/>
  <c r="AN198" i="1"/>
  <c r="AN204" i="1" s="1"/>
  <c r="AL157" i="1"/>
  <c r="AN151" i="1"/>
  <c r="AH90" i="1"/>
  <c r="AH91" i="1" s="1"/>
  <c r="AJ83" i="1"/>
  <c r="AP80" i="1"/>
  <c r="AP172" i="1"/>
  <c r="AL146" i="1"/>
  <c r="AJ149" i="1"/>
  <c r="AN134" i="1"/>
  <c r="AL135" i="1"/>
  <c r="AH1477" i="1"/>
  <c r="T1360" i="1"/>
  <c r="U1358" i="1"/>
  <c r="AH1309" i="1"/>
  <c r="AJ1306" i="1"/>
  <c r="Y1360" i="1"/>
  <c r="Z1358" i="1"/>
  <c r="U1317" i="1"/>
  <c r="U1346" i="1" s="1"/>
  <c r="AE1360" i="1"/>
  <c r="H1238" i="1"/>
  <c r="B1240" i="1"/>
  <c r="N1236" i="1"/>
  <c r="AL1090" i="1"/>
  <c r="N1089" i="1"/>
  <c r="L1091" i="1"/>
  <c r="N1091" i="1" s="1"/>
  <c r="AE1091" i="1"/>
  <c r="AF1089" i="1"/>
  <c r="AN1165" i="1"/>
  <c r="AL1166" i="1"/>
  <c r="AN1136" i="1"/>
  <c r="AL1143" i="1"/>
  <c r="AJ1051" i="1"/>
  <c r="L1053" i="1"/>
  <c r="AP862" i="1"/>
  <c r="AN1051" i="1"/>
  <c r="D790" i="1"/>
  <c r="D845" i="1" s="1"/>
  <c r="AH690" i="1"/>
  <c r="P694" i="1"/>
  <c r="U690" i="1"/>
  <c r="U694" i="1" s="1"/>
  <c r="AL662" i="1"/>
  <c r="AN660" i="1"/>
  <c r="AP493" i="1"/>
  <c r="AR487" i="1"/>
  <c r="AL696" i="1"/>
  <c r="AJ699" i="1"/>
  <c r="AJ821" i="1"/>
  <c r="AN501" i="1"/>
  <c r="AL503" i="1"/>
  <c r="AN629" i="1"/>
  <c r="AP614" i="1"/>
  <c r="AJ557" i="1"/>
  <c r="AN499" i="1"/>
  <c r="AP496" i="1"/>
  <c r="P472" i="1"/>
  <c r="AL552" i="1"/>
  <c r="AN537" i="1"/>
  <c r="AJ493" i="1"/>
  <c r="AJ504" i="1" s="1"/>
  <c r="AL301" i="1"/>
  <c r="AJ312" i="1"/>
  <c r="AJ313" i="1" s="1"/>
  <c r="AN110" i="1"/>
  <c r="AP107" i="1"/>
  <c r="D372" i="1"/>
  <c r="AN346" i="1"/>
  <c r="AP340" i="1"/>
  <c r="AL125" i="1"/>
  <c r="AJ131" i="1"/>
  <c r="AJ138" i="1" s="1"/>
  <c r="AN77" i="1"/>
  <c r="AP70" i="1"/>
  <c r="P1280" i="1"/>
  <c r="P1234" i="1"/>
  <c r="F1242" i="1"/>
  <c r="H1236" i="1"/>
  <c r="Y1104" i="1"/>
  <c r="Z1103" i="1"/>
  <c r="AL825" i="1"/>
  <c r="AJ828" i="1"/>
  <c r="AL575" i="1"/>
  <c r="AJ595" i="1"/>
  <c r="AP610" i="1"/>
  <c r="AP388" i="1"/>
  <c r="AR377" i="1"/>
  <c r="L1480" i="1"/>
  <c r="L1362" i="1"/>
  <c r="Z1475" i="1"/>
  <c r="Z1477" i="1" s="1"/>
  <c r="Z1480" i="1" s="1"/>
  <c r="AH1399" i="1"/>
  <c r="AF1475" i="1"/>
  <c r="AF1477" i="1" s="1"/>
  <c r="AF1480" i="1" s="1"/>
  <c r="L1404" i="1"/>
  <c r="L1358" i="1"/>
  <c r="AL1382" i="1"/>
  <c r="AJ1387" i="1"/>
  <c r="N1377" i="1"/>
  <c r="AJ1293" i="1"/>
  <c r="AL1284" i="1"/>
  <c r="S1346" i="1"/>
  <c r="AF1238" i="1"/>
  <c r="AE1240" i="1"/>
  <c r="AF1240" i="1" s="1"/>
  <c r="AJ1270" i="1"/>
  <c r="AJ1274" i="1" s="1"/>
  <c r="AL1260" i="1"/>
  <c r="Y1242" i="1"/>
  <c r="Z1089" i="1"/>
  <c r="Y1091" i="1"/>
  <c r="Y1210" i="1"/>
  <c r="AH1210" i="1"/>
  <c r="P1346" i="1"/>
  <c r="T1091" i="1"/>
  <c r="AL1151" i="1"/>
  <c r="AN1146" i="1"/>
  <c r="W1168" i="1"/>
  <c r="W1210" i="1" s="1"/>
  <c r="AH1110" i="1"/>
  <c r="AH1125" i="1" s="1"/>
  <c r="AH1085" i="1" s="1"/>
  <c r="AJ1108" i="1"/>
  <c r="T1104" i="1"/>
  <c r="U1104" i="1" s="1"/>
  <c r="U1103" i="1"/>
  <c r="AH1051" i="1"/>
  <c r="AN821" i="1"/>
  <c r="H1089" i="1"/>
  <c r="AJ795" i="1"/>
  <c r="AL795" i="1"/>
  <c r="AH685" i="1"/>
  <c r="U685" i="1"/>
  <c r="U688" i="1" s="1"/>
  <c r="P688" i="1"/>
  <c r="AT797" i="1"/>
  <c r="AR821" i="1"/>
  <c r="AL629" i="1"/>
  <c r="AL556" i="1"/>
  <c r="AN554" i="1"/>
  <c r="U532" i="1"/>
  <c r="AN328" i="1"/>
  <c r="AP322" i="1"/>
  <c r="AL182" i="1"/>
  <c r="AN178" i="1"/>
  <c r="AL104" i="1"/>
  <c r="AN95" i="1"/>
  <c r="U472" i="1"/>
  <c r="AR116" i="1"/>
  <c r="AP117" i="1"/>
  <c r="AN168" i="1"/>
  <c r="AR121" i="1"/>
  <c r="AP123" i="1"/>
  <c r="U45" i="1"/>
  <c r="T46" i="1"/>
  <c r="BC201" i="8" l="1"/>
  <c r="BC182" i="7"/>
  <c r="BC183" i="7" s="1"/>
  <c r="BA201" i="7"/>
  <c r="AF1358" i="1"/>
  <c r="AL235" i="1"/>
  <c r="BC197" i="7"/>
  <c r="S349" i="1"/>
  <c r="S372" i="1" s="1"/>
  <c r="T1053" i="1"/>
  <c r="Z30" i="1"/>
  <c r="AN190" i="1"/>
  <c r="Z1253" i="1"/>
  <c r="P1362" i="1"/>
  <c r="P1364" i="1" s="1"/>
  <c r="AN439" i="1"/>
  <c r="Z845" i="1"/>
  <c r="Z1053" i="1" s="1"/>
  <c r="AL118" i="1"/>
  <c r="AJ532" i="1"/>
  <c r="Y32" i="1"/>
  <c r="Z32" i="1" s="1"/>
  <c r="AJ173" i="1"/>
  <c r="Y372" i="1"/>
  <c r="AV793" i="1"/>
  <c r="AT795" i="1"/>
  <c r="N349" i="1"/>
  <c r="N372" i="1" s="1"/>
  <c r="AP528" i="1"/>
  <c r="AN531" i="1"/>
  <c r="AU1132" i="5"/>
  <c r="P78" i="9"/>
  <c r="P80" i="9" s="1"/>
  <c r="AJ611" i="1"/>
  <c r="AH1317" i="1"/>
  <c r="AI36" i="2"/>
  <c r="Y66" i="2"/>
  <c r="AU1060" i="5"/>
  <c r="AU12" i="5"/>
  <c r="AU14" i="5" s="1"/>
  <c r="AU835" i="5"/>
  <c r="AU1078" i="5"/>
  <c r="P30" i="9"/>
  <c r="P33" i="9" s="1"/>
  <c r="AD845" i="1"/>
  <c r="AD1053" i="1" s="1"/>
  <c r="AH1234" i="1"/>
  <c r="AH1236" i="1" s="1"/>
  <c r="P1366" i="1"/>
  <c r="L1242" i="1"/>
  <c r="L1243" i="1" s="1"/>
  <c r="P66" i="9"/>
  <c r="P67" i="9" s="1"/>
  <c r="AU1119" i="5"/>
  <c r="AU1127" i="5"/>
  <c r="P73" i="9"/>
  <c r="P75" i="9" s="1"/>
  <c r="BA205" i="7"/>
  <c r="BA212" i="7" s="1"/>
  <c r="BA227" i="7" s="1"/>
  <c r="BA234" i="7" s="1"/>
  <c r="P17" i="11"/>
  <c r="X17" i="11" s="1"/>
  <c r="E18" i="11"/>
  <c r="F18" i="11" s="1"/>
  <c r="BE198" i="8"/>
  <c r="BE199" i="8" s="1"/>
  <c r="BC225" i="8"/>
  <c r="BC240" i="8" s="1"/>
  <c r="BC247" i="8" s="1"/>
  <c r="BA240" i="8"/>
  <c r="BA247" i="8" s="1"/>
  <c r="M18" i="11"/>
  <c r="BA184" i="7"/>
  <c r="BA185" i="7" s="1"/>
  <c r="H349" i="1"/>
  <c r="H372" i="1" s="1"/>
  <c r="AF349" i="1"/>
  <c r="AF372" i="1" s="1"/>
  <c r="AF845" i="1"/>
  <c r="AF30" i="1" s="1"/>
  <c r="AF32" i="1" s="1"/>
  <c r="H1087" i="1"/>
  <c r="Y1053" i="1"/>
  <c r="AH349" i="1"/>
  <c r="AH26" i="1" s="1"/>
  <c r="AH28" i="1" s="1"/>
  <c r="AH373" i="1" s="1"/>
  <c r="N845" i="1"/>
  <c r="N1053" i="1" s="1"/>
  <c r="T26" i="1"/>
  <c r="T28" i="1" s="1"/>
  <c r="P349" i="1"/>
  <c r="K349" i="1"/>
  <c r="K372" i="1" s="1"/>
  <c r="AE28" i="1"/>
  <c r="F1093" i="1"/>
  <c r="F1094" i="1" s="1"/>
  <c r="H1094" i="1" s="1"/>
  <c r="U31" i="1"/>
  <c r="P49" i="1"/>
  <c r="U1089" i="1"/>
  <c r="AJ1399" i="1"/>
  <c r="AJ1358" i="1" s="1"/>
  <c r="AJ1360" i="1" s="1"/>
  <c r="AE372" i="1"/>
  <c r="AY1237" i="4"/>
  <c r="BA1226" i="4" s="1"/>
  <c r="BA338" i="4"/>
  <c r="BA359" i="4" s="1"/>
  <c r="AY359" i="4"/>
  <c r="BC122" i="4"/>
  <c r="BC125" i="4" s="1"/>
  <c r="BE121" i="4"/>
  <c r="BE122" i="4" s="1"/>
  <c r="BE125" i="4" s="1"/>
  <c r="BA781" i="4"/>
  <c r="BA836" i="4" s="1"/>
  <c r="BA17" i="4" s="1"/>
  <c r="BA19" i="4" s="1"/>
  <c r="BA1362" i="4"/>
  <c r="AY1045" i="4"/>
  <c r="BC1395" i="4"/>
  <c r="BC1354" i="4" s="1"/>
  <c r="BC1356" i="4" s="1"/>
  <c r="AY22" i="4"/>
  <c r="BE1478" i="4"/>
  <c r="BE1358" i="4"/>
  <c r="BE1360" i="4" s="1"/>
  <c r="BC1478" i="4"/>
  <c r="BC1358" i="4"/>
  <c r="BC1360" i="4" s="1"/>
  <c r="BE1395" i="4"/>
  <c r="BE1274" i="4"/>
  <c r="BE1228" i="4"/>
  <c r="BE1230" i="4" s="1"/>
  <c r="AY1363" i="4"/>
  <c r="BA1352" i="4" s="1"/>
  <c r="BA1363" i="4" s="1"/>
  <c r="BC1352" i="4" s="1"/>
  <c r="BA1081" i="4"/>
  <c r="BA1083" i="4" s="1"/>
  <c r="BA1204" i="4"/>
  <c r="BE685" i="4"/>
  <c r="BE688" i="4" s="1"/>
  <c r="BC688" i="4"/>
  <c r="AY1085" i="4"/>
  <c r="AY1086" i="4" s="1"/>
  <c r="BA1075" i="4" s="1"/>
  <c r="BC1303" i="4"/>
  <c r="BC1311" i="4" s="1"/>
  <c r="BE1300" i="4"/>
  <c r="BE1303" i="4" s="1"/>
  <c r="BE1311" i="4" s="1"/>
  <c r="BE674" i="4"/>
  <c r="BE677" i="4" s="1"/>
  <c r="BC677" i="4"/>
  <c r="BC1400" i="4"/>
  <c r="BC1228" i="4"/>
  <c r="BC1230" i="4" s="1"/>
  <c r="BC1274" i="4"/>
  <c r="BE70" i="4"/>
  <c r="BE77" i="4" s="1"/>
  <c r="BE78" i="4" s="1"/>
  <c r="BC77" i="4"/>
  <c r="BC78" i="4" s="1"/>
  <c r="BC1147" i="4"/>
  <c r="BC1160" i="4" s="1"/>
  <c r="BE1146" i="4"/>
  <c r="BE1147" i="4" s="1"/>
  <c r="BE1160" i="4" s="1"/>
  <c r="BA1232" i="4"/>
  <c r="BA1234" i="4" s="1"/>
  <c r="BA1236" i="4" s="1"/>
  <c r="AZ1232" i="4"/>
  <c r="AZ1234" i="4" s="1"/>
  <c r="BA1342" i="4"/>
  <c r="BE1100" i="4"/>
  <c r="BE1102" i="4" s="1"/>
  <c r="BE1117" i="4" s="1"/>
  <c r="BC1102" i="4"/>
  <c r="BC1117" i="4" s="1"/>
  <c r="BA1077" i="4"/>
  <c r="BA1079" i="4" s="1"/>
  <c r="BA1085" i="4" s="1"/>
  <c r="BA1124" i="4"/>
  <c r="AY23" i="4"/>
  <c r="BA10" i="4" s="1"/>
  <c r="BE679" i="4"/>
  <c r="BE683" i="4" s="1"/>
  <c r="BC683" i="4"/>
  <c r="AJ678" i="1"/>
  <c r="J26" i="1"/>
  <c r="J28" i="1" s="1"/>
  <c r="J36" i="1" s="1"/>
  <c r="S845" i="1"/>
  <c r="S1053" i="1" s="1"/>
  <c r="K845" i="1"/>
  <c r="K1053" i="1" s="1"/>
  <c r="AL557" i="1"/>
  <c r="L1093" i="1"/>
  <c r="L1094" i="1" s="1"/>
  <c r="J1053" i="1"/>
  <c r="AL564" i="1"/>
  <c r="AN560" i="1"/>
  <c r="AD349" i="1"/>
  <c r="AD372" i="1" s="1"/>
  <c r="E845" i="1"/>
  <c r="E1053" i="1" s="1"/>
  <c r="E349" i="1"/>
  <c r="E372" i="1" s="1"/>
  <c r="W845" i="1"/>
  <c r="W1053" i="1" s="1"/>
  <c r="AL504" i="1"/>
  <c r="B1053" i="1"/>
  <c r="B35" i="1"/>
  <c r="Z349" i="1"/>
  <c r="Z372" i="1" s="1"/>
  <c r="AN244" i="1"/>
  <c r="AP239" i="1"/>
  <c r="AL1248" i="1"/>
  <c r="AL1253" i="1"/>
  <c r="W349" i="1"/>
  <c r="W372" i="1" s="1"/>
  <c r="H845" i="1"/>
  <c r="H1053" i="1" s="1"/>
  <c r="N26" i="1"/>
  <c r="B36" i="1"/>
  <c r="L372" i="1"/>
  <c r="U349" i="1"/>
  <c r="U372" i="1" s="1"/>
  <c r="AL318" i="1"/>
  <c r="AL347" i="1" s="1"/>
  <c r="AN316" i="1"/>
  <c r="Y1364" i="1"/>
  <c r="AF1364" i="1" s="1"/>
  <c r="AF1362" i="1"/>
  <c r="AE30" i="1"/>
  <c r="AE32" i="1" s="1"/>
  <c r="AE1053" i="1"/>
  <c r="AN1397" i="1"/>
  <c r="AL1398" i="1"/>
  <c r="AL573" i="1"/>
  <c r="AN567" i="1"/>
  <c r="U790" i="1"/>
  <c r="U845" i="1" s="1"/>
  <c r="U1053" i="1" s="1"/>
  <c r="AP6" i="2"/>
  <c r="AI66" i="2"/>
  <c r="AK6" i="2"/>
  <c r="BG52" i="2"/>
  <c r="BB52" i="2"/>
  <c r="AD66" i="2"/>
  <c r="AN41" i="2"/>
  <c r="AN66" i="2" s="1"/>
  <c r="AM67" i="2" s="1"/>
  <c r="AS36" i="2"/>
  <c r="AP49" i="2"/>
  <c r="AU49" i="2" s="1"/>
  <c r="AZ49" i="2" s="1"/>
  <c r="AK49" i="2"/>
  <c r="D30" i="1"/>
  <c r="D32" i="1" s="1"/>
  <c r="D1053" i="1"/>
  <c r="AT121" i="1"/>
  <c r="AR123" i="1"/>
  <c r="AT116" i="1"/>
  <c r="AR117" i="1"/>
  <c r="AP178" i="1"/>
  <c r="AN182" i="1"/>
  <c r="AN556" i="1"/>
  <c r="AP554" i="1"/>
  <c r="AV797" i="1"/>
  <c r="AT821" i="1"/>
  <c r="AH1087" i="1"/>
  <c r="AH1093" i="1" s="1"/>
  <c r="AI17" i="6" s="1"/>
  <c r="AI18" i="6" s="1"/>
  <c r="AH1132" i="1"/>
  <c r="Y1243" i="1"/>
  <c r="AL1387" i="1"/>
  <c r="AN1382" i="1"/>
  <c r="AN825" i="1"/>
  <c r="AL828" i="1"/>
  <c r="AL843" i="1" s="1"/>
  <c r="P1236" i="1"/>
  <c r="U1234" i="1"/>
  <c r="AP499" i="1"/>
  <c r="AR496" i="1"/>
  <c r="AL699" i="1"/>
  <c r="AN696" i="1"/>
  <c r="AN1143" i="1"/>
  <c r="AP1136" i="1"/>
  <c r="AF1091" i="1"/>
  <c r="AE1093" i="1"/>
  <c r="AL83" i="1"/>
  <c r="AJ90" i="1"/>
  <c r="AJ91" i="1" s="1"/>
  <c r="AP334" i="1"/>
  <c r="AR332" i="1"/>
  <c r="AR666" i="1"/>
  <c r="AP675" i="1"/>
  <c r="P1093" i="1"/>
  <c r="P1094" i="1" s="1"/>
  <c r="U1087" i="1"/>
  <c r="H1358" i="1"/>
  <c r="F1360" i="1"/>
  <c r="U1362" i="1"/>
  <c r="T1364" i="1"/>
  <c r="T1366" i="1" s="1"/>
  <c r="Z1362" i="1"/>
  <c r="AN631" i="1"/>
  <c r="AL634" i="1"/>
  <c r="AE1242" i="1"/>
  <c r="U1238" i="1"/>
  <c r="T1240" i="1"/>
  <c r="Z1238" i="1"/>
  <c r="Y28" i="1"/>
  <c r="L36" i="1"/>
  <c r="L35" i="1"/>
  <c r="U46" i="1"/>
  <c r="Z46" i="1"/>
  <c r="AR159" i="1"/>
  <c r="AP168" i="1"/>
  <c r="AH688" i="1"/>
  <c r="AJ685" i="1"/>
  <c r="AN1260" i="1"/>
  <c r="AL1270" i="1"/>
  <c r="AL1274" i="1" s="1"/>
  <c r="AH1404" i="1"/>
  <c r="AH1358" i="1"/>
  <c r="AH1360" i="1" s="1"/>
  <c r="AT377" i="1"/>
  <c r="AR388" i="1"/>
  <c r="AP439" i="1"/>
  <c r="AR393" i="1"/>
  <c r="AJ1089" i="1"/>
  <c r="AJ1091" i="1" s="1"/>
  <c r="AJ1210" i="1"/>
  <c r="AL131" i="1"/>
  <c r="AL138" i="1" s="1"/>
  <c r="AN125" i="1"/>
  <c r="AP110" i="1"/>
  <c r="AR107" i="1"/>
  <c r="AN552" i="1"/>
  <c r="AP537" i="1"/>
  <c r="AT487" i="1"/>
  <c r="AR493" i="1"/>
  <c r="AN31" i="1"/>
  <c r="AN49" i="1" s="1"/>
  <c r="H1240" i="1"/>
  <c r="B1242" i="1"/>
  <c r="B1243" i="1" s="1"/>
  <c r="AE1366" i="1"/>
  <c r="AE1367" i="1"/>
  <c r="AF1360" i="1"/>
  <c r="Z1360" i="1"/>
  <c r="AJ1480" i="1"/>
  <c r="AJ1362" i="1"/>
  <c r="AJ1364" i="1" s="1"/>
  <c r="AN146" i="1"/>
  <c r="AL149" i="1"/>
  <c r="AL173" i="1" s="1"/>
  <c r="AR80" i="1"/>
  <c r="AP198" i="1"/>
  <c r="AP204" i="1" s="1"/>
  <c r="AP56" i="1"/>
  <c r="AN66" i="1"/>
  <c r="AL657" i="1"/>
  <c r="AN654" i="1"/>
  <c r="AX1208" i="1"/>
  <c r="AV1209" i="1"/>
  <c r="AP1296" i="1"/>
  <c r="AN1304" i="1"/>
  <c r="AP187" i="1"/>
  <c r="AR186" i="1"/>
  <c r="AN647" i="1"/>
  <c r="AP643" i="1"/>
  <c r="F30" i="1"/>
  <c r="F1053" i="1"/>
  <c r="F1364" i="1"/>
  <c r="H1364" i="1" s="1"/>
  <c r="H1362" i="1"/>
  <c r="AN104" i="1"/>
  <c r="AN118" i="1" s="1"/>
  <c r="AP95" i="1"/>
  <c r="U1091" i="1"/>
  <c r="T1093" i="1"/>
  <c r="Z1091" i="1"/>
  <c r="Y1093" i="1"/>
  <c r="AJ1280" i="1"/>
  <c r="AJ1234" i="1"/>
  <c r="AJ1236" i="1" s="1"/>
  <c r="AN1284" i="1"/>
  <c r="AL1293" i="1"/>
  <c r="L1360" i="1"/>
  <c r="N1358" i="1"/>
  <c r="AL595" i="1"/>
  <c r="AN575" i="1"/>
  <c r="Z1104" i="1"/>
  <c r="AR70" i="1"/>
  <c r="AP77" i="1"/>
  <c r="AP346" i="1"/>
  <c r="AR340" i="1"/>
  <c r="P790" i="1"/>
  <c r="P845" i="1" s="1"/>
  <c r="AP1051" i="1"/>
  <c r="AR862" i="1"/>
  <c r="AF1104" i="1"/>
  <c r="AJ31" i="1"/>
  <c r="AJ49" i="1" s="1"/>
  <c r="AN1166" i="1"/>
  <c r="AP1165" i="1"/>
  <c r="AJ1309" i="1"/>
  <c r="AJ1317" i="1" s="1"/>
  <c r="AL1306" i="1"/>
  <c r="AH1480" i="1"/>
  <c r="AH1362" i="1"/>
  <c r="AH1364" i="1" s="1"/>
  <c r="AN135" i="1"/>
  <c r="AP134" i="1"/>
  <c r="AN157" i="1"/>
  <c r="AP151" i="1"/>
  <c r="AP234" i="1"/>
  <c r="AR222" i="1"/>
  <c r="AT1090" i="1"/>
  <c r="AP516" i="1"/>
  <c r="AR509" i="1"/>
  <c r="AL703" i="1"/>
  <c r="AN702" i="1"/>
  <c r="P26" i="1"/>
  <c r="P372" i="1"/>
  <c r="AR322" i="1"/>
  <c r="AP328" i="1"/>
  <c r="AH31" i="1"/>
  <c r="AH49" i="1" s="1"/>
  <c r="AL1108" i="1"/>
  <c r="AJ1110" i="1"/>
  <c r="AJ1125" i="1" s="1"/>
  <c r="AP1146" i="1"/>
  <c r="AN1151" i="1"/>
  <c r="L1364" i="1"/>
  <c r="N1362" i="1"/>
  <c r="AN191" i="1"/>
  <c r="AN235" i="1" s="1"/>
  <c r="AP190" i="1"/>
  <c r="AR610" i="1"/>
  <c r="AJ843" i="1"/>
  <c r="F1243" i="1"/>
  <c r="AL312" i="1"/>
  <c r="AL313" i="1" s="1"/>
  <c r="AN301" i="1"/>
  <c r="AP629" i="1"/>
  <c r="AR614" i="1"/>
  <c r="AN503" i="1"/>
  <c r="AN504" i="1" s="1"/>
  <c r="AP501" i="1"/>
  <c r="AN662" i="1"/>
  <c r="AP660" i="1"/>
  <c r="AH694" i="1"/>
  <c r="AJ690" i="1"/>
  <c r="AH1346" i="1"/>
  <c r="AH1238" i="1"/>
  <c r="AH1240" i="1" s="1"/>
  <c r="U1360" i="1"/>
  <c r="AR172" i="1"/>
  <c r="AP441" i="1"/>
  <c r="AN471" i="1"/>
  <c r="AN1474" i="1"/>
  <c r="AN1475" i="1" s="1"/>
  <c r="AP1465" i="1"/>
  <c r="AR475" i="1"/>
  <c r="AP484" i="1"/>
  <c r="AL526" i="1"/>
  <c r="AL532" i="1" s="1"/>
  <c r="AN520" i="1"/>
  <c r="AP758" i="1"/>
  <c r="AR738" i="1"/>
  <c r="AR842" i="1"/>
  <c r="AT830" i="1"/>
  <c r="AN1154" i="1"/>
  <c r="AL1155" i="1"/>
  <c r="AL1168" i="1" s="1"/>
  <c r="AL1410" i="1"/>
  <c r="AN1408" i="1"/>
  <c r="F28" i="1"/>
  <c r="N28" i="1" s="1"/>
  <c r="H26" i="1"/>
  <c r="BC184" i="7" l="1"/>
  <c r="BC185" i="7" s="1"/>
  <c r="BC201" i="7"/>
  <c r="BE182" i="7"/>
  <c r="BE183" i="7" s="1"/>
  <c r="BC205" i="7"/>
  <c r="BC212" i="7" s="1"/>
  <c r="BC227" i="7" s="1"/>
  <c r="BC234" i="7" s="1"/>
  <c r="AN472" i="1"/>
  <c r="AF26" i="1"/>
  <c r="AF28" i="1" s="1"/>
  <c r="Y1367" i="1"/>
  <c r="AF1053" i="1"/>
  <c r="AJ349" i="1"/>
  <c r="AJ372" i="1" s="1"/>
  <c r="AP531" i="1"/>
  <c r="AR528" i="1"/>
  <c r="AV795" i="1"/>
  <c r="AX793" i="1"/>
  <c r="N1242" i="1"/>
  <c r="Z26" i="1"/>
  <c r="AL1477" i="1"/>
  <c r="AL1362" i="1" s="1"/>
  <c r="AL1364" i="1" s="1"/>
  <c r="T1367" i="1"/>
  <c r="P82" i="9"/>
  <c r="AU1065" i="5"/>
  <c r="AU1087" i="5" s="1"/>
  <c r="P15" i="9"/>
  <c r="P20" i="9" s="1"/>
  <c r="P42" i="9" s="1"/>
  <c r="U1366" i="1"/>
  <c r="BA1237" i="4"/>
  <c r="BC1226" i="4" s="1"/>
  <c r="AH1242" i="1"/>
  <c r="AI17" i="7" s="1"/>
  <c r="AI18" i="7" s="1"/>
  <c r="AH1083" i="1"/>
  <c r="AH1094" i="1" s="1"/>
  <c r="AJ1083" i="1" s="1"/>
  <c r="AU1042" i="5"/>
  <c r="AU1046" i="5" s="1"/>
  <c r="AU1139" i="5"/>
  <c r="P87" i="9" s="1"/>
  <c r="AU1134" i="5"/>
  <c r="AU17" i="5"/>
  <c r="AU18" i="5"/>
  <c r="H18" i="11"/>
  <c r="P18" i="11" s="1"/>
  <c r="U18" i="11"/>
  <c r="BE213" i="8"/>
  <c r="BE218" i="8" s="1"/>
  <c r="BE201" i="8"/>
  <c r="E19" i="11"/>
  <c r="I18" i="11"/>
  <c r="N18" i="11"/>
  <c r="V18" i="11" s="1"/>
  <c r="J18" i="11"/>
  <c r="AL611" i="1"/>
  <c r="H1242" i="1"/>
  <c r="Y1366" i="1"/>
  <c r="Z1366" i="1" s="1"/>
  <c r="AH372" i="1"/>
  <c r="AH374" i="1" s="1"/>
  <c r="H1243" i="1"/>
  <c r="N1364" i="1"/>
  <c r="J35" i="1"/>
  <c r="AJ1366" i="1"/>
  <c r="AK16" i="8" s="1"/>
  <c r="AK17" i="8" s="1"/>
  <c r="AK27" i="8" s="1"/>
  <c r="AK32" i="8" s="1"/>
  <c r="N1093" i="1"/>
  <c r="AH790" i="1"/>
  <c r="AH845" i="1" s="1"/>
  <c r="AH30" i="1" s="1"/>
  <c r="AH48" i="1" s="1"/>
  <c r="AJ1404" i="1"/>
  <c r="H1093" i="1"/>
  <c r="P28" i="1"/>
  <c r="U28" i="1" s="1"/>
  <c r="AE48" i="1"/>
  <c r="BA13" i="4"/>
  <c r="BA15" i="4" s="1"/>
  <c r="BA23" i="4" s="1"/>
  <c r="BC10" i="4" s="1"/>
  <c r="BE338" i="4"/>
  <c r="BE13" i="4" s="1"/>
  <c r="BE15" i="4" s="1"/>
  <c r="BC338" i="4"/>
  <c r="BC13" i="4" s="1"/>
  <c r="BC15" i="4" s="1"/>
  <c r="BA1045" i="4"/>
  <c r="BA22" i="4"/>
  <c r="BC1363" i="4"/>
  <c r="BE1352" i="4" s="1"/>
  <c r="BE781" i="4"/>
  <c r="BE836" i="4" s="1"/>
  <c r="BE17" i="4" s="1"/>
  <c r="BE19" i="4" s="1"/>
  <c r="BC1362" i="4"/>
  <c r="BC781" i="4"/>
  <c r="BC836" i="4" s="1"/>
  <c r="BC17" i="4" s="1"/>
  <c r="BC19" i="4" s="1"/>
  <c r="BA1086" i="4"/>
  <c r="BC1075" i="4" s="1"/>
  <c r="BE1400" i="4"/>
  <c r="BE1354" i="4"/>
  <c r="BE1356" i="4" s="1"/>
  <c r="BE1362" i="4" s="1"/>
  <c r="BC1077" i="4"/>
  <c r="BC1079" i="4" s="1"/>
  <c r="BC1124" i="4"/>
  <c r="BE1077" i="4"/>
  <c r="BE1079" i="4" s="1"/>
  <c r="BE1124" i="4"/>
  <c r="BE1081" i="4"/>
  <c r="BE1083" i="4" s="1"/>
  <c r="BE1204" i="4"/>
  <c r="BE1232" i="4"/>
  <c r="BE1234" i="4" s="1"/>
  <c r="BE1236" i="4" s="1"/>
  <c r="BE1342" i="4"/>
  <c r="BC1081" i="4"/>
  <c r="BC1083" i="4" s="1"/>
  <c r="BC1204" i="4"/>
  <c r="BC1342" i="4"/>
  <c r="BC1232" i="4"/>
  <c r="BC1234" i="4" s="1"/>
  <c r="BC1236" i="4" s="1"/>
  <c r="AL678" i="1"/>
  <c r="AL1399" i="1"/>
  <c r="AL1358" i="1" s="1"/>
  <c r="AL1360" i="1" s="1"/>
  <c r="AP560" i="1"/>
  <c r="AN564" i="1"/>
  <c r="AP244" i="1"/>
  <c r="AR239" i="1"/>
  <c r="AN1248" i="1"/>
  <c r="AN1253" i="1"/>
  <c r="AP1248" i="1" s="1"/>
  <c r="AP1253" i="1" s="1"/>
  <c r="AR1248" i="1" s="1"/>
  <c r="AR1253" i="1" s="1"/>
  <c r="AT1248" i="1" s="1"/>
  <c r="AT1253" i="1" s="1"/>
  <c r="AV1248" i="1" s="1"/>
  <c r="AV1253" i="1" s="1"/>
  <c r="AX1248" i="1" s="1"/>
  <c r="AX1253" i="1" s="1"/>
  <c r="AZ1248" i="1" s="1"/>
  <c r="AZ1253" i="1" s="1"/>
  <c r="AP1397" i="1"/>
  <c r="AN1398" i="1"/>
  <c r="AF1367" i="1"/>
  <c r="AP567" i="1"/>
  <c r="AN573" i="1"/>
  <c r="AP316" i="1"/>
  <c r="AN318" i="1"/>
  <c r="AN347" i="1" s="1"/>
  <c r="U26" i="1"/>
  <c r="AE36" i="1"/>
  <c r="AH23" i="1" s="1"/>
  <c r="AE35" i="1"/>
  <c r="AP36" i="2"/>
  <c r="AP66" i="2" s="1"/>
  <c r="AK66" i="2"/>
  <c r="BG49" i="2"/>
  <c r="BL49" i="2" s="1"/>
  <c r="BQ49" i="2" s="1"/>
  <c r="BB49" i="2"/>
  <c r="AS41" i="2"/>
  <c r="AS66" i="2" s="1"/>
  <c r="AR67" i="2" s="1"/>
  <c r="AX36" i="2"/>
  <c r="AU6" i="2"/>
  <c r="AL1089" i="1"/>
  <c r="AL1091" i="1" s="1"/>
  <c r="AL1210" i="1"/>
  <c r="AL1480" i="1"/>
  <c r="AP471" i="1"/>
  <c r="AP472" i="1" s="1"/>
  <c r="AR441" i="1"/>
  <c r="AT172" i="1"/>
  <c r="AL690" i="1"/>
  <c r="AJ694" i="1"/>
  <c r="AR501" i="1"/>
  <c r="AP503" i="1"/>
  <c r="AP504" i="1" s="1"/>
  <c r="AP301" i="1"/>
  <c r="AN312" i="1"/>
  <c r="AN313" i="1" s="1"/>
  <c r="N1094" i="1"/>
  <c r="AR190" i="1"/>
  <c r="AP191" i="1"/>
  <c r="AJ1085" i="1"/>
  <c r="AJ1087" i="1" s="1"/>
  <c r="AJ1093" i="1" s="1"/>
  <c r="AJ1132" i="1"/>
  <c r="AP157" i="1"/>
  <c r="AR151" i="1"/>
  <c r="AP31" i="1"/>
  <c r="AP49" i="1" s="1"/>
  <c r="L1366" i="1"/>
  <c r="N1360" i="1"/>
  <c r="L1367" i="1"/>
  <c r="AN1293" i="1"/>
  <c r="AP1284" i="1"/>
  <c r="AF36" i="1"/>
  <c r="AF35" i="1"/>
  <c r="AN657" i="1"/>
  <c r="AP654" i="1"/>
  <c r="AR198" i="1"/>
  <c r="AR204" i="1" s="1"/>
  <c r="AR537" i="1"/>
  <c r="AP552" i="1"/>
  <c r="AP125" i="1"/>
  <c r="AN131" i="1"/>
  <c r="AN138" i="1" s="1"/>
  <c r="AR439" i="1"/>
  <c r="AT393" i="1"/>
  <c r="AH1366" i="1"/>
  <c r="AI16" i="8" s="1"/>
  <c r="AI17" i="8" s="1"/>
  <c r="AN1270" i="1"/>
  <c r="AN1274" i="1" s="1"/>
  <c r="AP1260" i="1"/>
  <c r="AE1243" i="1"/>
  <c r="AF1243" i="1" s="1"/>
  <c r="AF1242" i="1"/>
  <c r="AN83" i="1"/>
  <c r="AL90" i="1"/>
  <c r="AL91" i="1" s="1"/>
  <c r="AL349" i="1" s="1"/>
  <c r="AL26" i="1" s="1"/>
  <c r="AR499" i="1"/>
  <c r="AT496" i="1"/>
  <c r="AR758" i="1"/>
  <c r="AT738" i="1"/>
  <c r="AL1110" i="1"/>
  <c r="AL1125" i="1" s="1"/>
  <c r="AN1108" i="1"/>
  <c r="AR328" i="1"/>
  <c r="AT322" i="1"/>
  <c r="AT509" i="1"/>
  <c r="AR516" i="1"/>
  <c r="N1243" i="1"/>
  <c r="P30" i="1"/>
  <c r="P48" i="1" s="1"/>
  <c r="P1053" i="1"/>
  <c r="AN595" i="1"/>
  <c r="AP575" i="1"/>
  <c r="T1094" i="1"/>
  <c r="U1094" i="1" s="1"/>
  <c r="U1093" i="1"/>
  <c r="AP104" i="1"/>
  <c r="AP118" i="1" s="1"/>
  <c r="AR95" i="1"/>
  <c r="F32" i="1"/>
  <c r="F36" i="1" s="1"/>
  <c r="H30" i="1"/>
  <c r="N30" i="1"/>
  <c r="AR1296" i="1"/>
  <c r="AP1304" i="1"/>
  <c r="AP146" i="1"/>
  <c r="AN149" i="1"/>
  <c r="AN173" i="1" s="1"/>
  <c r="AT493" i="1"/>
  <c r="AV487" i="1"/>
  <c r="AJ688" i="1"/>
  <c r="AL685" i="1"/>
  <c r="U1240" i="1"/>
  <c r="T1242" i="1"/>
  <c r="Z1240" i="1"/>
  <c r="F1367" i="1"/>
  <c r="H1367" i="1" s="1"/>
  <c r="H1360" i="1"/>
  <c r="F1366" i="1"/>
  <c r="H1366" i="1" s="1"/>
  <c r="AE1094" i="1"/>
  <c r="AF1093" i="1"/>
  <c r="AN828" i="1"/>
  <c r="AN843" i="1" s="1"/>
  <c r="AP825" i="1"/>
  <c r="AV821" i="1"/>
  <c r="AX797" i="1"/>
  <c r="AP182" i="1"/>
  <c r="AR178" i="1"/>
  <c r="AV121" i="1"/>
  <c r="AT123" i="1"/>
  <c r="AR484" i="1"/>
  <c r="AT475" i="1"/>
  <c r="AR660" i="1"/>
  <c r="AP662" i="1"/>
  <c r="AR629" i="1"/>
  <c r="AT614" i="1"/>
  <c r="AT222" i="1"/>
  <c r="AR234" i="1"/>
  <c r="AR134" i="1"/>
  <c r="AP135" i="1"/>
  <c r="AL1309" i="1"/>
  <c r="AL1317" i="1" s="1"/>
  <c r="AN1306" i="1"/>
  <c r="AR1165" i="1"/>
  <c r="AP1166" i="1"/>
  <c r="AR77" i="1"/>
  <c r="AT70" i="1"/>
  <c r="AR643" i="1"/>
  <c r="AP647" i="1"/>
  <c r="AT186" i="1"/>
  <c r="AR187" i="1"/>
  <c r="AV1090" i="1"/>
  <c r="AT80" i="1"/>
  <c r="AF1366" i="1"/>
  <c r="AR110" i="1"/>
  <c r="AT107" i="1"/>
  <c r="AT159" i="1"/>
  <c r="AR168" i="1"/>
  <c r="AT666" i="1"/>
  <c r="AR675" i="1"/>
  <c r="AP696" i="1"/>
  <c r="AN699" i="1"/>
  <c r="AP1382" i="1"/>
  <c r="AN1387" i="1"/>
  <c r="AP556" i="1"/>
  <c r="AR554" i="1"/>
  <c r="H28" i="1"/>
  <c r="AP1154" i="1"/>
  <c r="AN1155" i="1"/>
  <c r="AN1168" i="1" s="1"/>
  <c r="AN1410" i="1"/>
  <c r="AN1477" i="1" s="1"/>
  <c r="AP1408" i="1"/>
  <c r="AV830" i="1"/>
  <c r="AT842" i="1"/>
  <c r="AP520" i="1"/>
  <c r="AN526" i="1"/>
  <c r="AN532" i="1" s="1"/>
  <c r="AP1474" i="1"/>
  <c r="AP1475" i="1" s="1"/>
  <c r="AR1465" i="1"/>
  <c r="AT610" i="1"/>
  <c r="AP1151" i="1"/>
  <c r="AR1146" i="1"/>
  <c r="T36" i="1"/>
  <c r="T35" i="1"/>
  <c r="AP702" i="1"/>
  <c r="AN703" i="1"/>
  <c r="AJ1238" i="1"/>
  <c r="AJ1240" i="1" s="1"/>
  <c r="AJ1242" i="1" s="1"/>
  <c r="AK17" i="7" s="1"/>
  <c r="AK18" i="7" s="1"/>
  <c r="AJ1346" i="1"/>
  <c r="AT862" i="1"/>
  <c r="AR1051" i="1"/>
  <c r="AT340" i="1"/>
  <c r="AR346" i="1"/>
  <c r="Y1094" i="1"/>
  <c r="Z1093" i="1"/>
  <c r="AZ1208" i="1"/>
  <c r="AZ1209" i="1" s="1"/>
  <c r="AX1209" i="1"/>
  <c r="AR56" i="1"/>
  <c r="AP66" i="1"/>
  <c r="AV377" i="1"/>
  <c r="AT388" i="1"/>
  <c r="AL1234" i="1"/>
  <c r="AL1236" i="1" s="1"/>
  <c r="AL1280" i="1"/>
  <c r="Y36" i="1"/>
  <c r="Y35" i="1"/>
  <c r="Z28" i="1"/>
  <c r="AN634" i="1"/>
  <c r="AP631" i="1"/>
  <c r="U1364" i="1"/>
  <c r="Z1364" i="1"/>
  <c r="AR334" i="1"/>
  <c r="AT332" i="1"/>
  <c r="AJ26" i="1"/>
  <c r="AP1143" i="1"/>
  <c r="AR1136" i="1"/>
  <c r="P1242" i="1"/>
  <c r="P1243" i="1" s="1"/>
  <c r="U1236" i="1"/>
  <c r="AN557" i="1"/>
  <c r="AV116" i="1"/>
  <c r="AT117" i="1"/>
  <c r="D35" i="1"/>
  <c r="D36" i="1"/>
  <c r="AP235" i="1" l="1"/>
  <c r="BE197" i="7"/>
  <c r="Z1367" i="1"/>
  <c r="AZ793" i="1"/>
  <c r="AZ795" i="1" s="1"/>
  <c r="AX795" i="1"/>
  <c r="AK28" i="7"/>
  <c r="AK33" i="7" s="1"/>
  <c r="AJ1094" i="1"/>
  <c r="AL1083" i="1" s="1"/>
  <c r="AK17" i="6"/>
  <c r="AK18" i="6" s="1"/>
  <c r="AT528" i="1"/>
  <c r="AR531" i="1"/>
  <c r="AW5" i="5"/>
  <c r="AU1095" i="5"/>
  <c r="AU1096" i="5" s="1"/>
  <c r="AU1098" i="5" s="1"/>
  <c r="R16" i="9"/>
  <c r="AW454" i="5"/>
  <c r="AW455" i="5" s="1"/>
  <c r="AL1404" i="1"/>
  <c r="BC1237" i="4"/>
  <c r="BE1226" i="4" s="1"/>
  <c r="BE1237" i="4" s="1"/>
  <c r="AW1084" i="5"/>
  <c r="AW1040" i="5"/>
  <c r="P90" i="9"/>
  <c r="AU1142" i="5"/>
  <c r="AH1243" i="1"/>
  <c r="AJ1232" i="1" s="1"/>
  <c r="AJ1243" i="1" s="1"/>
  <c r="AL1232" i="1" s="1"/>
  <c r="BE225" i="8"/>
  <c r="BE240" i="8" s="1"/>
  <c r="BE247" i="8" s="1"/>
  <c r="Q18" i="11"/>
  <c r="Y18" i="11" s="1"/>
  <c r="X18" i="11"/>
  <c r="K18" i="11"/>
  <c r="R18" i="11"/>
  <c r="Z18" i="11" s="1"/>
  <c r="F19" i="11"/>
  <c r="M19" i="11"/>
  <c r="U19" i="11" s="1"/>
  <c r="AH1053" i="1"/>
  <c r="AL1366" i="1"/>
  <c r="AM16" i="8" s="1"/>
  <c r="AM17" i="8" s="1"/>
  <c r="AM27" i="8" s="1"/>
  <c r="AM32" i="8" s="1"/>
  <c r="AH32" i="1"/>
  <c r="AJ28" i="1"/>
  <c r="Z1094" i="1"/>
  <c r="AN611" i="1"/>
  <c r="AN1399" i="1"/>
  <c r="AN1404" i="1" s="1"/>
  <c r="BE359" i="4"/>
  <c r="BC359" i="4"/>
  <c r="BE1363" i="4"/>
  <c r="BE1045" i="4"/>
  <c r="BC23" i="4"/>
  <c r="BE10" i="4" s="1"/>
  <c r="BE23" i="4" s="1"/>
  <c r="BG10" i="4" s="1"/>
  <c r="BG23" i="4" s="1"/>
  <c r="BI10" i="4" s="1"/>
  <c r="BI23" i="4" s="1"/>
  <c r="BK10" i="4" s="1"/>
  <c r="BK23" i="4" s="1"/>
  <c r="BL10" i="4" s="1"/>
  <c r="BL23" i="4" s="1"/>
  <c r="BN10" i="4" s="1"/>
  <c r="BN23" i="4" s="1"/>
  <c r="BP10" i="4" s="1"/>
  <c r="BP23" i="4" s="1"/>
  <c r="BR10" i="4" s="1"/>
  <c r="BR23" i="4" s="1"/>
  <c r="BT10" i="4" s="1"/>
  <c r="BT23" i="4" s="1"/>
  <c r="BC1045" i="4"/>
  <c r="BE1085" i="4"/>
  <c r="BC22" i="4"/>
  <c r="BE22" i="4"/>
  <c r="BC1085" i="4"/>
  <c r="BC1086" i="4" s="1"/>
  <c r="BE1075" i="4" s="1"/>
  <c r="AP557" i="1"/>
  <c r="AP564" i="1"/>
  <c r="AR560" i="1"/>
  <c r="F35" i="1"/>
  <c r="H35" i="1" s="1"/>
  <c r="H36" i="1"/>
  <c r="N36" i="1"/>
  <c r="AT239" i="1"/>
  <c r="AR244" i="1"/>
  <c r="AP318" i="1"/>
  <c r="AP347" i="1" s="1"/>
  <c r="AR316" i="1"/>
  <c r="AR1397" i="1"/>
  <c r="AP1398" i="1"/>
  <c r="AP573" i="1"/>
  <c r="AR567" i="1"/>
  <c r="AZ6" i="2"/>
  <c r="BE36" i="2"/>
  <c r="AX41" i="2"/>
  <c r="AX66" i="2" s="1"/>
  <c r="AW67" i="2" s="1"/>
  <c r="AU36" i="2"/>
  <c r="AN1480" i="1"/>
  <c r="AN1362" i="1"/>
  <c r="AN1364" i="1" s="1"/>
  <c r="AT346" i="1"/>
  <c r="AV340" i="1"/>
  <c r="AP1108" i="1"/>
  <c r="AN1110" i="1"/>
  <c r="AN1125" i="1" s="1"/>
  <c r="AN1280" i="1"/>
  <c r="AN1234" i="1"/>
  <c r="AN1236" i="1" s="1"/>
  <c r="AN678" i="1"/>
  <c r="AP312" i="1"/>
  <c r="AP313" i="1" s="1"/>
  <c r="AR301" i="1"/>
  <c r="AN690" i="1"/>
  <c r="AL694" i="1"/>
  <c r="AV117" i="1"/>
  <c r="AX116" i="1"/>
  <c r="Z35" i="1"/>
  <c r="AV388" i="1"/>
  <c r="AX377" i="1"/>
  <c r="AR66" i="1"/>
  <c r="AT56" i="1"/>
  <c r="AV862" i="1"/>
  <c r="AT1051" i="1"/>
  <c r="AR1151" i="1"/>
  <c r="AT1146" i="1"/>
  <c r="AR1474" i="1"/>
  <c r="AR1475" i="1" s="1"/>
  <c r="AT1465" i="1"/>
  <c r="AP1387" i="1"/>
  <c r="AR1382" i="1"/>
  <c r="AT675" i="1"/>
  <c r="AV666" i="1"/>
  <c r="AT110" i="1"/>
  <c r="AV107" i="1"/>
  <c r="AV186" i="1"/>
  <c r="AT187" i="1"/>
  <c r="AT77" i="1"/>
  <c r="AV70" i="1"/>
  <c r="AN1309" i="1"/>
  <c r="AN1317" i="1" s="1"/>
  <c r="AP1306" i="1"/>
  <c r="AT629" i="1"/>
  <c r="AV614" i="1"/>
  <c r="AP828" i="1"/>
  <c r="AP843" i="1" s="1"/>
  <c r="AR825" i="1"/>
  <c r="AP149" i="1"/>
  <c r="AP173" i="1" s="1"/>
  <c r="AR146" i="1"/>
  <c r="AR104" i="1"/>
  <c r="AT95" i="1"/>
  <c r="AV322" i="1"/>
  <c r="AT328" i="1"/>
  <c r="AV496" i="1"/>
  <c r="AT499" i="1"/>
  <c r="AT439" i="1"/>
  <c r="AV393" i="1"/>
  <c r="AR503" i="1"/>
  <c r="AR504" i="1" s="1"/>
  <c r="AT501" i="1"/>
  <c r="AV172" i="1"/>
  <c r="AZ1090" i="1"/>
  <c r="AP1410" i="1"/>
  <c r="AP1477" i="1" s="1"/>
  <c r="AR1408" i="1"/>
  <c r="AR696" i="1"/>
  <c r="AP699" i="1"/>
  <c r="AR647" i="1"/>
  <c r="AT643" i="1"/>
  <c r="AL28" i="1"/>
  <c r="AL372" i="1"/>
  <c r="AR1143" i="1"/>
  <c r="AT1136" i="1"/>
  <c r="AT334" i="1"/>
  <c r="AV332" i="1"/>
  <c r="AP634" i="1"/>
  <c r="AR631" i="1"/>
  <c r="Z36" i="1"/>
  <c r="AX1090" i="1"/>
  <c r="AN1089" i="1"/>
  <c r="AN1091" i="1" s="1"/>
  <c r="AN1210" i="1"/>
  <c r="AX830" i="1"/>
  <c r="AV842" i="1"/>
  <c r="AP1155" i="1"/>
  <c r="AR1154" i="1"/>
  <c r="AT554" i="1"/>
  <c r="AR556" i="1"/>
  <c r="AR118" i="1"/>
  <c r="AL1346" i="1"/>
  <c r="AL1238" i="1"/>
  <c r="AL1240" i="1" s="1"/>
  <c r="AL1242" i="1" s="1"/>
  <c r="AM17" i="7" s="1"/>
  <c r="AM18" i="7" s="1"/>
  <c r="AM28" i="7" s="1"/>
  <c r="AM33" i="7" s="1"/>
  <c r="AV222" i="1"/>
  <c r="AT234" i="1"/>
  <c r="AT484" i="1"/>
  <c r="AV475" i="1"/>
  <c r="AX821" i="1"/>
  <c r="AZ797" i="1"/>
  <c r="AZ821" i="1" s="1"/>
  <c r="T1243" i="1"/>
  <c r="U1242" i="1"/>
  <c r="Z1242" i="1"/>
  <c r="AV493" i="1"/>
  <c r="AX487" i="1"/>
  <c r="AV509" i="1"/>
  <c r="AT516" i="1"/>
  <c r="AT758" i="1"/>
  <c r="AV738" i="1"/>
  <c r="AP1270" i="1"/>
  <c r="AP1274" i="1" s="1"/>
  <c r="AR1260" i="1"/>
  <c r="AT537" i="1"/>
  <c r="AR552" i="1"/>
  <c r="AP657" i="1"/>
  <c r="AR654" i="1"/>
  <c r="AP1293" i="1"/>
  <c r="AR1284" i="1"/>
  <c r="N1366" i="1"/>
  <c r="AR157" i="1"/>
  <c r="AT151" i="1"/>
  <c r="AJ790" i="1"/>
  <c r="AJ845" i="1" s="1"/>
  <c r="AR471" i="1"/>
  <c r="AR472" i="1" s="1"/>
  <c r="AT441" i="1"/>
  <c r="AP1168" i="1"/>
  <c r="AV123" i="1"/>
  <c r="AX121" i="1"/>
  <c r="AT1296" i="1"/>
  <c r="AR1304" i="1"/>
  <c r="P32" i="1"/>
  <c r="U30" i="1"/>
  <c r="AR31" i="1"/>
  <c r="AR49" i="1" s="1"/>
  <c r="AR702" i="1"/>
  <c r="AP703" i="1"/>
  <c r="AV610" i="1"/>
  <c r="AR520" i="1"/>
  <c r="AP526" i="1"/>
  <c r="AP532" i="1" s="1"/>
  <c r="AT168" i="1"/>
  <c r="AV159" i="1"/>
  <c r="AV80" i="1"/>
  <c r="AT1165" i="1"/>
  <c r="AR1166" i="1"/>
  <c r="AT134" i="1"/>
  <c r="AR135" i="1"/>
  <c r="AR662" i="1"/>
  <c r="AT660" i="1"/>
  <c r="AR182" i="1"/>
  <c r="AT178" i="1"/>
  <c r="AF1094" i="1"/>
  <c r="AL688" i="1"/>
  <c r="AN685" i="1"/>
  <c r="H32" i="1"/>
  <c r="N32" i="1"/>
  <c r="AP595" i="1"/>
  <c r="AR575" i="1"/>
  <c r="AL1085" i="1"/>
  <c r="AL1087" i="1" s="1"/>
  <c r="AL1093" i="1" s="1"/>
  <c r="AL1132" i="1"/>
  <c r="AP83" i="1"/>
  <c r="AN90" i="1"/>
  <c r="AN91" i="1" s="1"/>
  <c r="AN349" i="1" s="1"/>
  <c r="AR125" i="1"/>
  <c r="AP131" i="1"/>
  <c r="AP138" i="1" s="1"/>
  <c r="AT198" i="1"/>
  <c r="AT204" i="1" s="1"/>
  <c r="N1367" i="1"/>
  <c r="P1356" i="1"/>
  <c r="AR191" i="1"/>
  <c r="AT190" i="1"/>
  <c r="BE205" i="7" l="1"/>
  <c r="BE212" i="7" s="1"/>
  <c r="BE227" i="7" s="1"/>
  <c r="BE234" i="7" s="1"/>
  <c r="BE201" i="7"/>
  <c r="AZ36" i="2"/>
  <c r="AR235" i="1"/>
  <c r="BE184" i="7"/>
  <c r="BE185" i="7" s="1"/>
  <c r="AP611" i="1"/>
  <c r="AP678" i="1"/>
  <c r="AT531" i="1"/>
  <c r="AV528" i="1"/>
  <c r="AK28" i="6"/>
  <c r="AK33" i="6" s="1"/>
  <c r="AL1094" i="1"/>
  <c r="AN1083" i="1" s="1"/>
  <c r="AM17" i="6"/>
  <c r="AM18" i="6" s="1"/>
  <c r="AM28" i="6" s="1"/>
  <c r="AM33" i="6" s="1"/>
  <c r="AW1125" i="5"/>
  <c r="AW1130" i="5" s="1"/>
  <c r="AW1085" i="5"/>
  <c r="R39" i="9"/>
  <c r="R40" i="9" s="1"/>
  <c r="AN1358" i="1"/>
  <c r="AN1360" i="1" s="1"/>
  <c r="AN1366" i="1" s="1"/>
  <c r="AO16" i="8" s="1"/>
  <c r="AO17" i="8" s="1"/>
  <c r="AO27" i="8" s="1"/>
  <c r="AO32" i="8" s="1"/>
  <c r="AL1243" i="1"/>
  <c r="AN1232" i="1" s="1"/>
  <c r="AW1075" i="5"/>
  <c r="AW13" i="5"/>
  <c r="AW1118" i="5"/>
  <c r="AW1063" i="5"/>
  <c r="R18" i="9" s="1"/>
  <c r="AW833" i="5"/>
  <c r="N19" i="11"/>
  <c r="V19" i="11" s="1"/>
  <c r="H19" i="11"/>
  <c r="S18" i="11"/>
  <c r="AA18" i="11" s="1"/>
  <c r="AH1054" i="1"/>
  <c r="AH1055" i="1" s="1"/>
  <c r="AH35" i="1"/>
  <c r="AI19" i="5" s="1"/>
  <c r="AI20" i="5" s="1"/>
  <c r="AH36" i="1"/>
  <c r="AJ23" i="1" s="1"/>
  <c r="AP1399" i="1"/>
  <c r="AP1404" i="1" s="1"/>
  <c r="BE1086" i="4"/>
  <c r="AT560" i="1"/>
  <c r="AR564" i="1"/>
  <c r="N35" i="1"/>
  <c r="AT244" i="1"/>
  <c r="AV239" i="1"/>
  <c r="AR1398" i="1"/>
  <c r="AT1397" i="1"/>
  <c r="AR573" i="1"/>
  <c r="AT567" i="1"/>
  <c r="AR318" i="1"/>
  <c r="AR347" i="1" s="1"/>
  <c r="AT316" i="1"/>
  <c r="AL790" i="1"/>
  <c r="AL845" i="1" s="1"/>
  <c r="AL1053" i="1" s="1"/>
  <c r="BJ36" i="2"/>
  <c r="BE41" i="2"/>
  <c r="BE66" i="2" s="1"/>
  <c r="BD67" i="2" s="1"/>
  <c r="BG6" i="2"/>
  <c r="BB6" i="2"/>
  <c r="AZ66" i="2"/>
  <c r="BB36" i="2"/>
  <c r="AU66" i="2"/>
  <c r="AV198" i="1"/>
  <c r="AV204" i="1" s="1"/>
  <c r="AR1270" i="1"/>
  <c r="AR1274" i="1" s="1"/>
  <c r="AT1260" i="1"/>
  <c r="AT631" i="1"/>
  <c r="AR634" i="1"/>
  <c r="AT31" i="1"/>
  <c r="AT49" i="1" s="1"/>
  <c r="AR131" i="1"/>
  <c r="AR138" i="1" s="1"/>
  <c r="AT125" i="1"/>
  <c r="AT662" i="1"/>
  <c r="AV660" i="1"/>
  <c r="AR526" i="1"/>
  <c r="AR532" i="1" s="1"/>
  <c r="AT520" i="1"/>
  <c r="AT702" i="1"/>
  <c r="AR703" i="1"/>
  <c r="U32" i="1"/>
  <c r="P36" i="1"/>
  <c r="U36" i="1" s="1"/>
  <c r="P35" i="1"/>
  <c r="U35" i="1" s="1"/>
  <c r="AT157" i="1"/>
  <c r="AV151" i="1"/>
  <c r="AT552" i="1"/>
  <c r="AV537" i="1"/>
  <c r="AZ487" i="1"/>
  <c r="AZ493" i="1" s="1"/>
  <c r="AX493" i="1"/>
  <c r="U1243" i="1"/>
  <c r="Z1243" i="1"/>
  <c r="AX475" i="1"/>
  <c r="AV484" i="1"/>
  <c r="AT556" i="1"/>
  <c r="AV554" i="1"/>
  <c r="AZ830" i="1"/>
  <c r="AZ842" i="1" s="1"/>
  <c r="AX842" i="1"/>
  <c r="AT696" i="1"/>
  <c r="AR699" i="1"/>
  <c r="AX496" i="1"/>
  <c r="AV499" i="1"/>
  <c r="AP1309" i="1"/>
  <c r="AP1317" i="1" s="1"/>
  <c r="AR1306" i="1"/>
  <c r="AX666" i="1"/>
  <c r="AV675" i="1"/>
  <c r="AT191" i="1"/>
  <c r="AV190" i="1"/>
  <c r="AT575" i="1"/>
  <c r="AR595" i="1"/>
  <c r="AV1165" i="1"/>
  <c r="AT1166" i="1"/>
  <c r="AV441" i="1"/>
  <c r="AT471" i="1"/>
  <c r="AT472" i="1" s="1"/>
  <c r="AT1154" i="1"/>
  <c r="AR1155" i="1"/>
  <c r="AR1168" i="1" s="1"/>
  <c r="AT1143" i="1"/>
  <c r="AV1136" i="1"/>
  <c r="AR1410" i="1"/>
  <c r="AR1477" i="1" s="1"/>
  <c r="AT1408" i="1"/>
  <c r="AX172" i="1"/>
  <c r="AV439" i="1"/>
  <c r="AX393" i="1"/>
  <c r="AT146" i="1"/>
  <c r="AR149" i="1"/>
  <c r="AR173" i="1" s="1"/>
  <c r="AV629" i="1"/>
  <c r="AX614" i="1"/>
  <c r="AR83" i="1"/>
  <c r="AP90" i="1"/>
  <c r="AP91" i="1" s="1"/>
  <c r="AP349" i="1" s="1"/>
  <c r="AT182" i="1"/>
  <c r="AV178" i="1"/>
  <c r="AV168" i="1"/>
  <c r="AX159" i="1"/>
  <c r="AX610" i="1"/>
  <c r="AT1304" i="1"/>
  <c r="AV1296" i="1"/>
  <c r="AP1280" i="1"/>
  <c r="AP1234" i="1"/>
  <c r="AP1236" i="1" s="1"/>
  <c r="AX509" i="1"/>
  <c r="AV516" i="1"/>
  <c r="AV328" i="1"/>
  <c r="AX322" i="1"/>
  <c r="AV77" i="1"/>
  <c r="AX70" i="1"/>
  <c r="AV110" i="1"/>
  <c r="AX107" i="1"/>
  <c r="AR1387" i="1"/>
  <c r="AR1399" i="1" s="1"/>
  <c r="AT1382" i="1"/>
  <c r="AX862" i="1"/>
  <c r="AV1051" i="1"/>
  <c r="AP690" i="1"/>
  <c r="AN694" i="1"/>
  <c r="AR1108" i="1"/>
  <c r="AP1110" i="1"/>
  <c r="AP1125" i="1" s="1"/>
  <c r="AN26" i="1"/>
  <c r="AN372" i="1"/>
  <c r="AR657" i="1"/>
  <c r="AT654" i="1"/>
  <c r="AP1480" i="1"/>
  <c r="AP1362" i="1"/>
  <c r="AP1364" i="1" s="1"/>
  <c r="AT647" i="1"/>
  <c r="AV643" i="1"/>
  <c r="AN1238" i="1"/>
  <c r="AN1240" i="1" s="1"/>
  <c r="AN1242" i="1" s="1"/>
  <c r="AO17" i="7" s="1"/>
  <c r="AO18" i="7" s="1"/>
  <c r="AO28" i="7" s="1"/>
  <c r="AO33" i="7" s="1"/>
  <c r="AN1346" i="1"/>
  <c r="AX186" i="1"/>
  <c r="AV187" i="1"/>
  <c r="AT1474" i="1"/>
  <c r="AT1475" i="1" s="1"/>
  <c r="AV1465" i="1"/>
  <c r="AX388" i="1"/>
  <c r="AZ377" i="1"/>
  <c r="AN1085" i="1"/>
  <c r="AN1087" i="1" s="1"/>
  <c r="AN1093" i="1" s="1"/>
  <c r="AN1132" i="1"/>
  <c r="P1367" i="1"/>
  <c r="U1356" i="1"/>
  <c r="AP685" i="1"/>
  <c r="AN688" i="1"/>
  <c r="AV134" i="1"/>
  <c r="AT135" i="1"/>
  <c r="AX80" i="1"/>
  <c r="AZ121" i="1"/>
  <c r="AX123" i="1"/>
  <c r="AP1089" i="1"/>
  <c r="AP1091" i="1" s="1"/>
  <c r="AP1210" i="1"/>
  <c r="AJ30" i="1"/>
  <c r="AJ1053" i="1"/>
  <c r="AR1293" i="1"/>
  <c r="AT1284" i="1"/>
  <c r="AV758" i="1"/>
  <c r="AX738" i="1"/>
  <c r="AV234" i="1"/>
  <c r="AX222" i="1"/>
  <c r="AR557" i="1"/>
  <c r="AV334" i="1"/>
  <c r="AX332" i="1"/>
  <c r="AT503" i="1"/>
  <c r="AT504" i="1" s="1"/>
  <c r="AV501" i="1"/>
  <c r="AT104" i="1"/>
  <c r="AT118" i="1" s="1"/>
  <c r="AV95" i="1"/>
  <c r="AT825" i="1"/>
  <c r="AR828" i="1"/>
  <c r="AR843" i="1" s="1"/>
  <c r="AT1151" i="1"/>
  <c r="AV1146" i="1"/>
  <c r="AV56" i="1"/>
  <c r="AT66" i="1"/>
  <c r="AZ116" i="1"/>
  <c r="AX117" i="1"/>
  <c r="AT301" i="1"/>
  <c r="AR312" i="1"/>
  <c r="AR313" i="1" s="1"/>
  <c r="AV346" i="1"/>
  <c r="AX340" i="1"/>
  <c r="BG36" i="2" l="1"/>
  <c r="AT235" i="1"/>
  <c r="AZ388" i="1"/>
  <c r="BP388" i="1" s="1"/>
  <c r="BP377" i="1"/>
  <c r="AZ123" i="1"/>
  <c r="BP123" i="1" s="1"/>
  <c r="BP121" i="1"/>
  <c r="AZ117" i="1"/>
  <c r="BP117" i="1" s="1"/>
  <c r="BP116" i="1"/>
  <c r="AP1358" i="1"/>
  <c r="AP1360" i="1" s="1"/>
  <c r="AP1366" i="1" s="1"/>
  <c r="AQ16" i="8" s="1"/>
  <c r="AQ17" i="8" s="1"/>
  <c r="AQ27" i="8" s="1"/>
  <c r="AQ32" i="8" s="1"/>
  <c r="AN1094" i="1"/>
  <c r="AP1083" i="1" s="1"/>
  <c r="AO17" i="6"/>
  <c r="AO18" i="6" s="1"/>
  <c r="AO28" i="6" s="1"/>
  <c r="AO33" i="6" s="1"/>
  <c r="AX528" i="1"/>
  <c r="AV531" i="1"/>
  <c r="AW1060" i="5"/>
  <c r="AW12" i="5"/>
  <c r="AW14" i="5" s="1"/>
  <c r="AW835" i="5"/>
  <c r="AN1243" i="1"/>
  <c r="AP1232" i="1" s="1"/>
  <c r="R78" i="9"/>
  <c r="R80" i="9" s="1"/>
  <c r="AW1132" i="5"/>
  <c r="R66" i="9"/>
  <c r="R67" i="9" s="1"/>
  <c r="AW1119" i="5"/>
  <c r="AW1078" i="5"/>
  <c r="R30" i="9"/>
  <c r="R33" i="9" s="1"/>
  <c r="R73" i="9"/>
  <c r="R75" i="9" s="1"/>
  <c r="AW1127" i="5"/>
  <c r="E20" i="11"/>
  <c r="P19" i="11"/>
  <c r="X19" i="11" s="1"/>
  <c r="AR678" i="1"/>
  <c r="AR611" i="1"/>
  <c r="AJ32" i="1"/>
  <c r="AJ36" i="1" s="1"/>
  <c r="AL23" i="1" s="1"/>
  <c r="AJ48" i="1"/>
  <c r="AN28" i="1"/>
  <c r="AT564" i="1"/>
  <c r="AV560" i="1"/>
  <c r="AV244" i="1"/>
  <c r="AX239" i="1"/>
  <c r="AL30" i="1"/>
  <c r="AT573" i="1"/>
  <c r="AV567" i="1"/>
  <c r="AV316" i="1"/>
  <c r="AT318" i="1"/>
  <c r="AT347" i="1" s="1"/>
  <c r="AV1397" i="1"/>
  <c r="AT1398" i="1"/>
  <c r="BB66" i="2"/>
  <c r="BG66" i="2"/>
  <c r="BL6" i="2"/>
  <c r="BO36" i="2"/>
  <c r="BO41" i="2" s="1"/>
  <c r="BO66" i="2" s="1"/>
  <c r="BN67" i="2" s="1"/>
  <c r="BJ41" i="2"/>
  <c r="BJ66" i="2" s="1"/>
  <c r="BI67" i="2" s="1"/>
  <c r="AR1089" i="1"/>
  <c r="AR1091" i="1" s="1"/>
  <c r="AR1210" i="1"/>
  <c r="AR1480" i="1"/>
  <c r="AR1362" i="1"/>
  <c r="AR1364" i="1" s="1"/>
  <c r="AT312" i="1"/>
  <c r="AT313" i="1" s="1"/>
  <c r="AV301" i="1"/>
  <c r="AP1085" i="1"/>
  <c r="AP1087" i="1" s="1"/>
  <c r="AP1093" i="1" s="1"/>
  <c r="AP1132" i="1"/>
  <c r="AX1296" i="1"/>
  <c r="AV1304" i="1"/>
  <c r="AT83" i="1"/>
  <c r="AR90" i="1"/>
  <c r="AR91" i="1" s="1"/>
  <c r="AR349" i="1" s="1"/>
  <c r="AV157" i="1"/>
  <c r="AX151" i="1"/>
  <c r="AV662" i="1"/>
  <c r="AX660" i="1"/>
  <c r="AV825" i="1"/>
  <c r="AT828" i="1"/>
  <c r="AT843" i="1" s="1"/>
  <c r="AT1108" i="1"/>
  <c r="AR1110" i="1"/>
  <c r="AR1125" i="1" s="1"/>
  <c r="AX1051" i="1"/>
  <c r="AZ862" i="1"/>
  <c r="AZ1051" i="1" s="1"/>
  <c r="AX110" i="1"/>
  <c r="AZ107" i="1"/>
  <c r="AZ322" i="1"/>
  <c r="AX328" i="1"/>
  <c r="AX516" i="1"/>
  <c r="AZ509" i="1"/>
  <c r="AZ516" i="1" s="1"/>
  <c r="AV1143" i="1"/>
  <c r="AX1136" i="1"/>
  <c r="AT699" i="1"/>
  <c r="AV696" i="1"/>
  <c r="AV556" i="1"/>
  <c r="AX554" i="1"/>
  <c r="AR1280" i="1"/>
  <c r="AR1234" i="1"/>
  <c r="AR1236" i="1" s="1"/>
  <c r="AX758" i="1"/>
  <c r="AZ738" i="1"/>
  <c r="AZ758" i="1" s="1"/>
  <c r="AP688" i="1"/>
  <c r="AR685" i="1"/>
  <c r="AV31" i="1"/>
  <c r="AV49" i="1" s="1"/>
  <c r="AZ159" i="1"/>
  <c r="AX168" i="1"/>
  <c r="AP1238" i="1"/>
  <c r="AP1240" i="1" s="1"/>
  <c r="AP1242" i="1" s="1"/>
  <c r="AQ17" i="7" s="1"/>
  <c r="AQ18" i="7" s="1"/>
  <c r="AQ28" i="7" s="1"/>
  <c r="AQ33" i="7" s="1"/>
  <c r="AP1346" i="1"/>
  <c r="AV66" i="1"/>
  <c r="AX56" i="1"/>
  <c r="AV104" i="1"/>
  <c r="AV118" i="1" s="1"/>
  <c r="AX95" i="1"/>
  <c r="AX334" i="1"/>
  <c r="AZ332" i="1"/>
  <c r="AX234" i="1"/>
  <c r="AZ222" i="1"/>
  <c r="AV1284" i="1"/>
  <c r="AT1293" i="1"/>
  <c r="AV135" i="1"/>
  <c r="AX134" i="1"/>
  <c r="AH1356" i="1"/>
  <c r="AH1367" i="1" s="1"/>
  <c r="AJ1356" i="1" s="1"/>
  <c r="AJ1367" i="1" s="1"/>
  <c r="AL1356" i="1" s="1"/>
  <c r="AL1367" i="1" s="1"/>
  <c r="AN1356" i="1" s="1"/>
  <c r="AN1367" i="1" s="1"/>
  <c r="AP1356" i="1" s="1"/>
  <c r="U1367" i="1"/>
  <c r="AV647" i="1"/>
  <c r="AX643" i="1"/>
  <c r="AT657" i="1"/>
  <c r="AV654" i="1"/>
  <c r="AN790" i="1"/>
  <c r="AN845" i="1" s="1"/>
  <c r="AZ610" i="1"/>
  <c r="AV146" i="1"/>
  <c r="AT149" i="1"/>
  <c r="AT173" i="1" s="1"/>
  <c r="AZ172" i="1"/>
  <c r="BP172" i="1" s="1"/>
  <c r="AX441" i="1"/>
  <c r="AV471" i="1"/>
  <c r="AV472" i="1" s="1"/>
  <c r="AT595" i="1"/>
  <c r="AV575" i="1"/>
  <c r="AZ666" i="1"/>
  <c r="AZ675" i="1" s="1"/>
  <c r="AX675" i="1"/>
  <c r="AT557" i="1"/>
  <c r="AV552" i="1"/>
  <c r="AX537" i="1"/>
  <c r="AT703" i="1"/>
  <c r="AV702" i="1"/>
  <c r="AT131" i="1"/>
  <c r="AT138" i="1" s="1"/>
  <c r="AV125" i="1"/>
  <c r="AX198" i="1"/>
  <c r="AX204" i="1" s="1"/>
  <c r="AV503" i="1"/>
  <c r="AV504" i="1" s="1"/>
  <c r="AX501" i="1"/>
  <c r="AZ80" i="1"/>
  <c r="AR1404" i="1"/>
  <c r="AR1358" i="1"/>
  <c r="AR1360" i="1" s="1"/>
  <c r="AV1154" i="1"/>
  <c r="AT1155" i="1"/>
  <c r="AT1168" i="1" s="1"/>
  <c r="AV1166" i="1"/>
  <c r="AX1165" i="1"/>
  <c r="AX484" i="1"/>
  <c r="AZ475" i="1"/>
  <c r="AZ484" i="1" s="1"/>
  <c r="AV1260" i="1"/>
  <c r="AT1270" i="1"/>
  <c r="AT1274" i="1" s="1"/>
  <c r="AX346" i="1"/>
  <c r="AZ340" i="1"/>
  <c r="AX1146" i="1"/>
  <c r="AV1151" i="1"/>
  <c r="AV1474" i="1"/>
  <c r="AV1475" i="1" s="1"/>
  <c r="AX1465" i="1"/>
  <c r="AX187" i="1"/>
  <c r="AZ186" i="1"/>
  <c r="AP694" i="1"/>
  <c r="AR690" i="1"/>
  <c r="AT1387" i="1"/>
  <c r="AV1382" i="1"/>
  <c r="AZ70" i="1"/>
  <c r="AZ77" i="1" s="1"/>
  <c r="AX77" i="1"/>
  <c r="AX178" i="1"/>
  <c r="AV182" i="1"/>
  <c r="AP26" i="1"/>
  <c r="AP372" i="1"/>
  <c r="AX629" i="1"/>
  <c r="AZ614" i="1"/>
  <c r="AZ629" i="1" s="1"/>
  <c r="AX439" i="1"/>
  <c r="AZ393" i="1"/>
  <c r="AT1410" i="1"/>
  <c r="AT1477" i="1" s="1"/>
  <c r="AV1408" i="1"/>
  <c r="AV191" i="1"/>
  <c r="AV235" i="1" s="1"/>
  <c r="AX190" i="1"/>
  <c r="AR1309" i="1"/>
  <c r="AR1317" i="1" s="1"/>
  <c r="AT1306" i="1"/>
  <c r="AX499" i="1"/>
  <c r="AZ496" i="1"/>
  <c r="AZ499" i="1" s="1"/>
  <c r="AT526" i="1"/>
  <c r="AT532" i="1" s="1"/>
  <c r="AV520" i="1"/>
  <c r="AV631" i="1"/>
  <c r="AT634" i="1"/>
  <c r="AZ439" i="1" l="1"/>
  <c r="BP439" i="1" s="1"/>
  <c r="BP393" i="1"/>
  <c r="AZ346" i="1"/>
  <c r="BP346" i="1" s="1"/>
  <c r="BP340" i="1"/>
  <c r="BP80" i="1"/>
  <c r="AZ234" i="1"/>
  <c r="BP222" i="1"/>
  <c r="AZ328" i="1"/>
  <c r="BP328" i="1" s="1"/>
  <c r="BP322" i="1"/>
  <c r="AZ334" i="1"/>
  <c r="BP334" i="1" s="1"/>
  <c r="BP332" i="1"/>
  <c r="AZ187" i="1"/>
  <c r="BP187" i="1" s="1"/>
  <c r="BP186" i="1"/>
  <c r="AZ168" i="1"/>
  <c r="BP168" i="1" s="1"/>
  <c r="BP159" i="1"/>
  <c r="AP1367" i="1"/>
  <c r="AR1356" i="1" s="1"/>
  <c r="AR1367" i="1" s="1"/>
  <c r="AT1356" i="1" s="1"/>
  <c r="AZ528" i="1"/>
  <c r="AZ531" i="1" s="1"/>
  <c r="AX531" i="1"/>
  <c r="BP77" i="1"/>
  <c r="BP70" i="1"/>
  <c r="AZ110" i="1"/>
  <c r="BP110" i="1" s="1"/>
  <c r="BP107" i="1"/>
  <c r="AP1094" i="1"/>
  <c r="AR1083" i="1" s="1"/>
  <c r="AQ17" i="6"/>
  <c r="AQ18" i="6" s="1"/>
  <c r="AQ28" i="6" s="1"/>
  <c r="AQ33" i="6" s="1"/>
  <c r="AP1243" i="1"/>
  <c r="AR1232" i="1" s="1"/>
  <c r="AW1134" i="5"/>
  <c r="R82" i="9"/>
  <c r="AW17" i="5"/>
  <c r="AW18" i="5"/>
  <c r="AW1042" i="5"/>
  <c r="AW1046" i="5" s="1"/>
  <c r="AW1139" i="5"/>
  <c r="R87" i="9" s="1"/>
  <c r="AR1366" i="1"/>
  <c r="AS16" i="8" s="1"/>
  <c r="AS17" i="8" s="1"/>
  <c r="AS27" i="8" s="1"/>
  <c r="AS32" i="8" s="1"/>
  <c r="AW1065" i="5"/>
  <c r="AW1087" i="5" s="1"/>
  <c r="R15" i="9"/>
  <c r="R20" i="9" s="1"/>
  <c r="R42" i="9" s="1"/>
  <c r="F20" i="11"/>
  <c r="M20" i="11"/>
  <c r="U20" i="11" s="1"/>
  <c r="AJ35" i="1"/>
  <c r="AK19" i="5" s="1"/>
  <c r="AK20" i="5" s="1"/>
  <c r="AK29" i="5" s="1"/>
  <c r="AK35" i="5" s="1"/>
  <c r="AT1399" i="1"/>
  <c r="AT1404" i="1" s="1"/>
  <c r="AP790" i="1"/>
  <c r="AP845" i="1" s="1"/>
  <c r="AP1053" i="1" s="1"/>
  <c r="AP28" i="1"/>
  <c r="AT611" i="1"/>
  <c r="AL32" i="1"/>
  <c r="AL35" i="1" s="1"/>
  <c r="AM19" i="5" s="1"/>
  <c r="AM20" i="5" s="1"/>
  <c r="AM29" i="5" s="1"/>
  <c r="AM35" i="5" s="1"/>
  <c r="AL48" i="1"/>
  <c r="AX560" i="1"/>
  <c r="AV564" i="1"/>
  <c r="AZ239" i="1"/>
  <c r="AX244" i="1"/>
  <c r="AX1397" i="1"/>
  <c r="AV1398" i="1"/>
  <c r="AX567" i="1"/>
  <c r="AV573" i="1"/>
  <c r="AV318" i="1"/>
  <c r="AV347" i="1" s="1"/>
  <c r="AX316" i="1"/>
  <c r="BL36" i="2"/>
  <c r="BQ36" i="2" s="1"/>
  <c r="BQ6" i="2"/>
  <c r="AT1480" i="1"/>
  <c r="AT1362" i="1"/>
  <c r="AT1364" i="1" s="1"/>
  <c r="AX520" i="1"/>
  <c r="AV526" i="1"/>
  <c r="AV532" i="1" s="1"/>
  <c r="AZ190" i="1"/>
  <c r="AX191" i="1"/>
  <c r="AX235" i="1" s="1"/>
  <c r="AX182" i="1"/>
  <c r="AZ178" i="1"/>
  <c r="BP178" i="1" s="1"/>
  <c r="AX1154" i="1"/>
  <c r="AV1155" i="1"/>
  <c r="AV1168" i="1" s="1"/>
  <c r="AV657" i="1"/>
  <c r="AX654" i="1"/>
  <c r="AX66" i="1"/>
  <c r="AZ56" i="1"/>
  <c r="AV557" i="1"/>
  <c r="AX1143" i="1"/>
  <c r="AZ1136" i="1"/>
  <c r="AZ1143" i="1" s="1"/>
  <c r="AR1132" i="1"/>
  <c r="AR1085" i="1"/>
  <c r="AR1087" i="1" s="1"/>
  <c r="AR1093" i="1" s="1"/>
  <c r="AR26" i="1"/>
  <c r="AR372" i="1"/>
  <c r="AV1306" i="1"/>
  <c r="AT1309" i="1"/>
  <c r="AT1317" i="1" s="1"/>
  <c r="AT690" i="1"/>
  <c r="AR694" i="1"/>
  <c r="AT1280" i="1"/>
  <c r="AT1234" i="1"/>
  <c r="AT1236" i="1" s="1"/>
  <c r="AZ1165" i="1"/>
  <c r="AZ1166" i="1" s="1"/>
  <c r="AX1166" i="1"/>
  <c r="AZ501" i="1"/>
  <c r="AZ503" i="1" s="1"/>
  <c r="AZ504" i="1" s="1"/>
  <c r="AX503" i="1"/>
  <c r="AX504" i="1" s="1"/>
  <c r="AZ198" i="1"/>
  <c r="AZ537" i="1"/>
  <c r="AZ552" i="1" s="1"/>
  <c r="AX552" i="1"/>
  <c r="AT678" i="1"/>
  <c r="AV1293" i="1"/>
  <c r="AX1284" i="1"/>
  <c r="AX696" i="1"/>
  <c r="AV699" i="1"/>
  <c r="AT1110" i="1"/>
  <c r="AT1125" i="1" s="1"/>
  <c r="AV1108" i="1"/>
  <c r="AV828" i="1"/>
  <c r="AV843" i="1" s="1"/>
  <c r="AX825" i="1"/>
  <c r="AX157" i="1"/>
  <c r="AZ151" i="1"/>
  <c r="BP151" i="1" s="1"/>
  <c r="AV83" i="1"/>
  <c r="AT90" i="1"/>
  <c r="AT91" i="1" s="1"/>
  <c r="AT349" i="1" s="1"/>
  <c r="AR1238" i="1"/>
  <c r="AR1240" i="1" s="1"/>
  <c r="AR1242" i="1" s="1"/>
  <c r="AS17" i="7" s="1"/>
  <c r="AS18" i="7" s="1"/>
  <c r="AS28" i="7" s="1"/>
  <c r="AS33" i="7" s="1"/>
  <c r="AR1346" i="1"/>
  <c r="AT1089" i="1"/>
  <c r="AT1091" i="1" s="1"/>
  <c r="AT1210" i="1"/>
  <c r="AX1474" i="1"/>
  <c r="AX1475" i="1" s="1"/>
  <c r="AZ1465" i="1"/>
  <c r="AZ1474" i="1" s="1"/>
  <c r="AZ1475" i="1" s="1"/>
  <c r="AX1151" i="1"/>
  <c r="AZ1146" i="1"/>
  <c r="AZ1151" i="1" s="1"/>
  <c r="AV1270" i="1"/>
  <c r="AV1274" i="1" s="1"/>
  <c r="AX1260" i="1"/>
  <c r="AX471" i="1"/>
  <c r="AX472" i="1" s="1"/>
  <c r="AZ441" i="1"/>
  <c r="AX146" i="1"/>
  <c r="AV149" i="1"/>
  <c r="AV173" i="1" s="1"/>
  <c r="AZ643" i="1"/>
  <c r="AZ647" i="1" s="1"/>
  <c r="AX647" i="1"/>
  <c r="AZ134" i="1"/>
  <c r="AX135" i="1"/>
  <c r="AX104" i="1"/>
  <c r="AX118" i="1" s="1"/>
  <c r="AZ95" i="1"/>
  <c r="AZ31" i="1"/>
  <c r="AZ49" i="1" s="1"/>
  <c r="AV634" i="1"/>
  <c r="AX631" i="1"/>
  <c r="AX1408" i="1"/>
  <c r="AV1410" i="1"/>
  <c r="AV1477" i="1" s="1"/>
  <c r="AX1382" i="1"/>
  <c r="AV1387" i="1"/>
  <c r="AV1399" i="1" s="1"/>
  <c r="AV131" i="1"/>
  <c r="AV138" i="1" s="1"/>
  <c r="AX125" i="1"/>
  <c r="AX702" i="1"/>
  <c r="AV703" i="1"/>
  <c r="AV595" i="1"/>
  <c r="AX575" i="1"/>
  <c r="AN30" i="1"/>
  <c r="AN1053" i="1"/>
  <c r="AR688" i="1"/>
  <c r="AT685" i="1"/>
  <c r="AZ554" i="1"/>
  <c r="AZ556" i="1" s="1"/>
  <c r="AX556" i="1"/>
  <c r="AX31" i="1"/>
  <c r="AX49" i="1" s="1"/>
  <c r="AZ660" i="1"/>
  <c r="AZ662" i="1" s="1"/>
  <c r="AX662" i="1"/>
  <c r="AZ1296" i="1"/>
  <c r="AZ1304" i="1" s="1"/>
  <c r="AX1304" i="1"/>
  <c r="AX301" i="1"/>
  <c r="AV312" i="1"/>
  <c r="AV313" i="1" s="1"/>
  <c r="AZ471" i="1" l="1"/>
  <c r="AZ472" i="1" s="1"/>
  <c r="BP441" i="1"/>
  <c r="AZ244" i="1"/>
  <c r="BP244" i="1" s="1"/>
  <c r="BP239" i="1"/>
  <c r="AZ66" i="1"/>
  <c r="BP66" i="1" s="1"/>
  <c r="BP234" i="1"/>
  <c r="AZ204" i="1"/>
  <c r="BP204" i="1" s="1"/>
  <c r="BP198" i="1"/>
  <c r="AZ191" i="1"/>
  <c r="BP191" i="1" s="1"/>
  <c r="BP190" i="1"/>
  <c r="AZ182" i="1"/>
  <c r="BP182" i="1" s="1"/>
  <c r="AZ135" i="1"/>
  <c r="BP135" i="1" s="1"/>
  <c r="BP134" i="1"/>
  <c r="AZ157" i="1"/>
  <c r="BP157" i="1" s="1"/>
  <c r="AZ104" i="1"/>
  <c r="BP95" i="1"/>
  <c r="AP30" i="1"/>
  <c r="AP32" i="1" s="1"/>
  <c r="AP35" i="1" s="1"/>
  <c r="AQ19" i="5" s="1"/>
  <c r="AQ20" i="5" s="1"/>
  <c r="AQ29" i="5" s="1"/>
  <c r="AQ35" i="5" s="1"/>
  <c r="AV611" i="1"/>
  <c r="AR1094" i="1"/>
  <c r="AT1083" i="1" s="1"/>
  <c r="AS17" i="6"/>
  <c r="AS18" i="6" s="1"/>
  <c r="AS28" i="6" s="1"/>
  <c r="AS33" i="6" s="1"/>
  <c r="AY5" i="5"/>
  <c r="AR1243" i="1"/>
  <c r="AT1232" i="1" s="1"/>
  <c r="R90" i="9"/>
  <c r="AW1142" i="5"/>
  <c r="AT1358" i="1"/>
  <c r="AT1360" i="1" s="1"/>
  <c r="AT1366" i="1" s="1"/>
  <c r="AU16" i="8" s="1"/>
  <c r="AU17" i="8" s="1"/>
  <c r="AU27" i="8" s="1"/>
  <c r="AU32" i="8" s="1"/>
  <c r="AW1095" i="5"/>
  <c r="AW1096" i="5" s="1"/>
  <c r="AW1098" i="5" s="1"/>
  <c r="H20" i="11"/>
  <c r="N20" i="11"/>
  <c r="V20" i="11" s="1"/>
  <c r="I20" i="11"/>
  <c r="J20" i="11"/>
  <c r="AL36" i="1"/>
  <c r="AN23" i="1" s="1"/>
  <c r="AN32" i="1"/>
  <c r="AN35" i="1" s="1"/>
  <c r="AO19" i="5" s="1"/>
  <c r="AO20" i="5" s="1"/>
  <c r="AO29" i="5" s="1"/>
  <c r="AO35" i="5" s="1"/>
  <c r="AN48" i="1"/>
  <c r="AR28" i="1"/>
  <c r="AZ557" i="1"/>
  <c r="AX564" i="1"/>
  <c r="AZ560" i="1"/>
  <c r="AZ564" i="1" s="1"/>
  <c r="BL66" i="2"/>
  <c r="BQ66" i="2"/>
  <c r="AZ567" i="1"/>
  <c r="AZ573" i="1" s="1"/>
  <c r="AX573" i="1"/>
  <c r="AZ1397" i="1"/>
  <c r="AZ1398" i="1" s="1"/>
  <c r="AX1398" i="1"/>
  <c r="AZ316" i="1"/>
  <c r="AX318" i="1"/>
  <c r="AX347" i="1" s="1"/>
  <c r="AV1089" i="1"/>
  <c r="AV1091" i="1" s="1"/>
  <c r="AV1210" i="1"/>
  <c r="AX312" i="1"/>
  <c r="AX313" i="1" s="1"/>
  <c r="AZ301" i="1"/>
  <c r="AX557" i="1"/>
  <c r="AX595" i="1"/>
  <c r="AZ575" i="1"/>
  <c r="AZ595" i="1" s="1"/>
  <c r="AX131" i="1"/>
  <c r="AX138" i="1" s="1"/>
  <c r="AZ125" i="1"/>
  <c r="AV1404" i="1"/>
  <c r="AV1358" i="1"/>
  <c r="AV1360" i="1" s="1"/>
  <c r="AX634" i="1"/>
  <c r="AZ631" i="1"/>
  <c r="AZ634" i="1" s="1"/>
  <c r="AV1280" i="1"/>
  <c r="AV1234" i="1"/>
  <c r="AV1236" i="1" s="1"/>
  <c r="AX83" i="1"/>
  <c r="AV90" i="1"/>
  <c r="AV91" i="1" s="1"/>
  <c r="AV349" i="1" s="1"/>
  <c r="AX1293" i="1"/>
  <c r="AZ1284" i="1"/>
  <c r="AZ1293" i="1" s="1"/>
  <c r="AV690" i="1"/>
  <c r="AT694" i="1"/>
  <c r="AV678" i="1"/>
  <c r="AZ696" i="1"/>
  <c r="AZ699" i="1" s="1"/>
  <c r="AX699" i="1"/>
  <c r="AT688" i="1"/>
  <c r="AV685" i="1"/>
  <c r="AT1085" i="1"/>
  <c r="AT1087" i="1" s="1"/>
  <c r="AT1093" i="1" s="1"/>
  <c r="AT1132" i="1"/>
  <c r="AV1309" i="1"/>
  <c r="AV1317" i="1" s="1"/>
  <c r="AX1306" i="1"/>
  <c r="AX1155" i="1"/>
  <c r="AX1168" i="1" s="1"/>
  <c r="AZ1154" i="1"/>
  <c r="AZ1155" i="1" s="1"/>
  <c r="AZ1168" i="1" s="1"/>
  <c r="AZ520" i="1"/>
  <c r="AZ526" i="1" s="1"/>
  <c r="AZ532" i="1" s="1"/>
  <c r="AX526" i="1"/>
  <c r="AX532" i="1" s="1"/>
  <c r="AX1387" i="1"/>
  <c r="AZ1382" i="1"/>
  <c r="AZ1387" i="1" s="1"/>
  <c r="AV1110" i="1"/>
  <c r="AV1125" i="1" s="1"/>
  <c r="AX1108" i="1"/>
  <c r="AT1238" i="1"/>
  <c r="AT1240" i="1" s="1"/>
  <c r="AT1242" i="1" s="1"/>
  <c r="AU17" i="7" s="1"/>
  <c r="AU18" i="7" s="1"/>
  <c r="AU28" i="7" s="1"/>
  <c r="AU33" i="7" s="1"/>
  <c r="AS1238" i="1"/>
  <c r="AS1240" i="1" s="1"/>
  <c r="AT1346" i="1"/>
  <c r="AZ702" i="1"/>
  <c r="AZ703" i="1" s="1"/>
  <c r="AX703" i="1"/>
  <c r="AV1480" i="1"/>
  <c r="AV1362" i="1"/>
  <c r="AV1364" i="1" s="1"/>
  <c r="AX1410" i="1"/>
  <c r="AX1477" i="1" s="1"/>
  <c r="AZ1408" i="1"/>
  <c r="AZ1410" i="1" s="1"/>
  <c r="AZ1477" i="1" s="1"/>
  <c r="AX149" i="1"/>
  <c r="AX173" i="1" s="1"/>
  <c r="AZ146" i="1"/>
  <c r="BP146" i="1" s="1"/>
  <c r="AX1270" i="1"/>
  <c r="AX1274" i="1" s="1"/>
  <c r="AZ1260" i="1"/>
  <c r="AZ1270" i="1" s="1"/>
  <c r="AZ1274" i="1" s="1"/>
  <c r="AT26" i="1"/>
  <c r="AT372" i="1"/>
  <c r="AX828" i="1"/>
  <c r="AX843" i="1" s="1"/>
  <c r="AZ825" i="1"/>
  <c r="AZ828" i="1" s="1"/>
  <c r="AZ843" i="1" s="1"/>
  <c r="AR790" i="1"/>
  <c r="AR845" i="1" s="1"/>
  <c r="AX657" i="1"/>
  <c r="AZ654" i="1"/>
  <c r="AZ657" i="1" s="1"/>
  <c r="AZ312" i="1" l="1"/>
  <c r="BP301" i="1"/>
  <c r="AZ318" i="1"/>
  <c r="BP316" i="1"/>
  <c r="AZ235" i="1"/>
  <c r="BP235" i="1" s="1"/>
  <c r="AZ1399" i="1"/>
  <c r="AZ1358" i="1" s="1"/>
  <c r="AZ1360" i="1" s="1"/>
  <c r="AT1367" i="1"/>
  <c r="AV1356" i="1" s="1"/>
  <c r="AZ149" i="1"/>
  <c r="BP149" i="1" s="1"/>
  <c r="AZ131" i="1"/>
  <c r="BP125" i="1"/>
  <c r="AP48" i="1"/>
  <c r="AT1094" i="1"/>
  <c r="AV1083" i="1" s="1"/>
  <c r="AU17" i="6"/>
  <c r="AU18" i="6" s="1"/>
  <c r="AU28" i="6" s="1"/>
  <c r="AU33" i="6" s="1"/>
  <c r="AZ118" i="1"/>
  <c r="BP118" i="1" s="1"/>
  <c r="BP104" i="1"/>
  <c r="AT1243" i="1"/>
  <c r="AV1232" i="1" s="1"/>
  <c r="AY1084" i="5"/>
  <c r="AY1040" i="5"/>
  <c r="T16" i="9"/>
  <c r="AY454" i="5"/>
  <c r="AY455" i="5" s="1"/>
  <c r="R20" i="11"/>
  <c r="Z20" i="11" s="1"/>
  <c r="Q20" i="11"/>
  <c r="Y20" i="11" s="1"/>
  <c r="K20" i="11"/>
  <c r="E21" i="11"/>
  <c r="P20" i="11"/>
  <c r="X20" i="11" s="1"/>
  <c r="AZ611" i="1"/>
  <c r="AX611" i="1"/>
  <c r="AN36" i="1"/>
  <c r="AP23" i="1" s="1"/>
  <c r="AP36" i="1" s="1"/>
  <c r="AR23" i="1" s="1"/>
  <c r="AT28" i="1"/>
  <c r="AX1399" i="1"/>
  <c r="AX1358" i="1" s="1"/>
  <c r="AX1360" i="1" s="1"/>
  <c r="AT790" i="1"/>
  <c r="AT845" i="1" s="1"/>
  <c r="AT1053" i="1" s="1"/>
  <c r="AZ678" i="1"/>
  <c r="AX678" i="1"/>
  <c r="AZ1480" i="1"/>
  <c r="AZ1362" i="1"/>
  <c r="AZ1364" i="1" s="1"/>
  <c r="AZ1089" i="1"/>
  <c r="AZ1091" i="1" s="1"/>
  <c r="AZ1210" i="1"/>
  <c r="AV1238" i="1"/>
  <c r="AV1240" i="1" s="1"/>
  <c r="AV1242" i="1" s="1"/>
  <c r="AW17" i="7" s="1"/>
  <c r="AW18" i="7" s="1"/>
  <c r="AW28" i="7" s="1"/>
  <c r="AW33" i="7" s="1"/>
  <c r="AU1238" i="1"/>
  <c r="AU1240" i="1" s="1"/>
  <c r="AV1346" i="1"/>
  <c r="AX685" i="1"/>
  <c r="AV688" i="1"/>
  <c r="AR30" i="1"/>
  <c r="AR1053" i="1"/>
  <c r="AX1280" i="1"/>
  <c r="AX1234" i="1"/>
  <c r="AX1236" i="1" s="1"/>
  <c r="AV1367" i="1"/>
  <c r="AX1356" i="1" s="1"/>
  <c r="AX690" i="1"/>
  <c r="AV694" i="1"/>
  <c r="AV1366" i="1"/>
  <c r="AW16" i="8" s="1"/>
  <c r="AW17" i="8" s="1"/>
  <c r="AW27" i="8" s="1"/>
  <c r="AW32" i="8" s="1"/>
  <c r="AX1089" i="1"/>
  <c r="AX1091" i="1" s="1"/>
  <c r="AX1210" i="1"/>
  <c r="AX1110" i="1"/>
  <c r="AX1125" i="1" s="1"/>
  <c r="AZ1108" i="1"/>
  <c r="AZ1110" i="1" s="1"/>
  <c r="AZ1125" i="1" s="1"/>
  <c r="AV26" i="1"/>
  <c r="AV372" i="1"/>
  <c r="AZ1280" i="1"/>
  <c r="AZ1234" i="1"/>
  <c r="AZ1236" i="1" s="1"/>
  <c r="AZ1404" i="1"/>
  <c r="AX1480" i="1"/>
  <c r="AX1362" i="1"/>
  <c r="AX1364" i="1" s="1"/>
  <c r="AV1085" i="1"/>
  <c r="AV1087" i="1" s="1"/>
  <c r="AV1093" i="1" s="1"/>
  <c r="AV1132" i="1"/>
  <c r="AX1309" i="1"/>
  <c r="AX1317" i="1" s="1"/>
  <c r="AZ1306" i="1"/>
  <c r="AZ1309" i="1" s="1"/>
  <c r="AZ1317" i="1" s="1"/>
  <c r="AZ83" i="1"/>
  <c r="AZ90" i="1" s="1"/>
  <c r="AX90" i="1"/>
  <c r="AX91" i="1" s="1"/>
  <c r="AX349" i="1" s="1"/>
  <c r="AZ347" i="1" l="1"/>
  <c r="BP347" i="1" s="1"/>
  <c r="BP318" i="1"/>
  <c r="AZ313" i="1"/>
  <c r="BP313" i="1" s="1"/>
  <c r="BP312" i="1"/>
  <c r="AZ138" i="1"/>
  <c r="BP138" i="1" s="1"/>
  <c r="BP131" i="1"/>
  <c r="AZ173" i="1"/>
  <c r="BP173" i="1" s="1"/>
  <c r="BP83" i="1"/>
  <c r="AV1094" i="1"/>
  <c r="AX1083" i="1" s="1"/>
  <c r="AW17" i="6"/>
  <c r="AW18" i="6" s="1"/>
  <c r="AW28" i="6" s="1"/>
  <c r="AW33" i="6" s="1"/>
  <c r="AY1125" i="5"/>
  <c r="AY1130" i="5" s="1"/>
  <c r="AY1085" i="5"/>
  <c r="T39" i="9"/>
  <c r="T40" i="9" s="1"/>
  <c r="AV1243" i="1"/>
  <c r="AX1232" i="1" s="1"/>
  <c r="AY1075" i="5"/>
  <c r="AY13" i="5"/>
  <c r="AY1118" i="5"/>
  <c r="AY1063" i="5"/>
  <c r="T18" i="9" s="1"/>
  <c r="AY833" i="5"/>
  <c r="S20" i="11"/>
  <c r="AA20" i="11" s="1"/>
  <c r="M21" i="11"/>
  <c r="U21" i="11" s="1"/>
  <c r="F21" i="11"/>
  <c r="AX1404" i="1"/>
  <c r="AZ1366" i="1"/>
  <c r="BA16" i="8" s="1"/>
  <c r="BA17" i="8" s="1"/>
  <c r="BA27" i="8" s="1"/>
  <c r="BA32" i="8" s="1"/>
  <c r="AV28" i="1"/>
  <c r="AR32" i="1"/>
  <c r="AR35" i="1" s="1"/>
  <c r="AS19" i="5" s="1"/>
  <c r="AS20" i="5" s="1"/>
  <c r="AS29" i="5" s="1"/>
  <c r="AS35" i="5" s="1"/>
  <c r="AR48" i="1"/>
  <c r="AT30" i="1"/>
  <c r="AV790" i="1"/>
  <c r="AV845" i="1" s="1"/>
  <c r="AV30" i="1" s="1"/>
  <c r="AV32" i="1" s="1"/>
  <c r="AV35" i="1" s="1"/>
  <c r="AW19" i="5" s="1"/>
  <c r="AW20" i="5" s="1"/>
  <c r="AW29" i="5" s="1"/>
  <c r="AW35" i="5" s="1"/>
  <c r="AX26" i="1"/>
  <c r="AX372" i="1"/>
  <c r="AX1367" i="1"/>
  <c r="AZ1356" i="1" s="1"/>
  <c r="AZ1367" i="1" s="1"/>
  <c r="AZ1238" i="1"/>
  <c r="AZ1240" i="1" s="1"/>
  <c r="AZ1242" i="1" s="1"/>
  <c r="BA17" i="7" s="1"/>
  <c r="BA18" i="7" s="1"/>
  <c r="BA28" i="7" s="1"/>
  <c r="BA33" i="7" s="1"/>
  <c r="AZ1346" i="1"/>
  <c r="AZ1085" i="1"/>
  <c r="AZ1087" i="1" s="1"/>
  <c r="AZ1093" i="1" s="1"/>
  <c r="BA17" i="6" s="1"/>
  <c r="BA18" i="6" s="1"/>
  <c r="BA28" i="6" s="1"/>
  <c r="BA33" i="6" s="1"/>
  <c r="AZ1132" i="1"/>
  <c r="AX688" i="1"/>
  <c r="AZ685" i="1"/>
  <c r="AZ688" i="1" s="1"/>
  <c r="AX1085" i="1"/>
  <c r="AX1087" i="1" s="1"/>
  <c r="AX1093" i="1" s="1"/>
  <c r="AX1132" i="1"/>
  <c r="AX1366" i="1"/>
  <c r="AY16" i="8" s="1"/>
  <c r="AY17" i="8" s="1"/>
  <c r="AY27" i="8" s="1"/>
  <c r="AY32" i="8" s="1"/>
  <c r="AX1238" i="1"/>
  <c r="AX1240" i="1" s="1"/>
  <c r="AX1242" i="1" s="1"/>
  <c r="AY17" i="7" s="1"/>
  <c r="AY18" i="7" s="1"/>
  <c r="AY28" i="7" s="1"/>
  <c r="AY33" i="7" s="1"/>
  <c r="AX1346" i="1"/>
  <c r="AX694" i="1"/>
  <c r="AZ690" i="1"/>
  <c r="AZ694" i="1" s="1"/>
  <c r="AZ91" i="1" l="1"/>
  <c r="BP90" i="1"/>
  <c r="AX1094" i="1"/>
  <c r="AZ1083" i="1" s="1"/>
  <c r="AZ1094" i="1" s="1"/>
  <c r="AY17" i="6"/>
  <c r="AY18" i="6" s="1"/>
  <c r="AY28" i="6" s="1"/>
  <c r="AY33" i="6" s="1"/>
  <c r="AY1132" i="5"/>
  <c r="T78" i="9"/>
  <c r="T80" i="9" s="1"/>
  <c r="AX1243" i="1"/>
  <c r="AZ1232" i="1" s="1"/>
  <c r="AZ1243" i="1" s="1"/>
  <c r="AY1060" i="5"/>
  <c r="AY835" i="5"/>
  <c r="AY12" i="5"/>
  <c r="AY14" i="5" s="1"/>
  <c r="T30" i="9"/>
  <c r="T33" i="9" s="1"/>
  <c r="AY1078" i="5"/>
  <c r="T66" i="9"/>
  <c r="T67" i="9" s="1"/>
  <c r="AY1119" i="5"/>
  <c r="T73" i="9"/>
  <c r="T75" i="9" s="1"/>
  <c r="AY1127" i="5"/>
  <c r="N21" i="11"/>
  <c r="V21" i="11" s="1"/>
  <c r="H21" i="11"/>
  <c r="AR36" i="1"/>
  <c r="AT23" i="1" s="1"/>
  <c r="AX790" i="1"/>
  <c r="AX845" i="1" s="1"/>
  <c r="AX30" i="1" s="1"/>
  <c r="AX32" i="1" s="1"/>
  <c r="AV48" i="1"/>
  <c r="AT32" i="1"/>
  <c r="AT35" i="1" s="1"/>
  <c r="AU19" i="5" s="1"/>
  <c r="AU20" i="5" s="1"/>
  <c r="AU29" i="5" s="1"/>
  <c r="AU35" i="5" s="1"/>
  <c r="AT48" i="1"/>
  <c r="AX28" i="1"/>
  <c r="AZ790" i="1"/>
  <c r="AZ845" i="1" s="1"/>
  <c r="AZ30" i="1" s="1"/>
  <c r="AZ32" i="1" s="1"/>
  <c r="AV1053" i="1"/>
  <c r="AZ349" i="1" l="1"/>
  <c r="BP349" i="1" s="1"/>
  <c r="BP91" i="1"/>
  <c r="AY17" i="5"/>
  <c r="AY18" i="5"/>
  <c r="BA5" i="5" s="1"/>
  <c r="AY1042" i="5"/>
  <c r="AY1046" i="5" s="1"/>
  <c r="AY1139" i="5"/>
  <c r="T82" i="9"/>
  <c r="AY1065" i="5"/>
  <c r="AY1087" i="5" s="1"/>
  <c r="T15" i="9"/>
  <c r="T20" i="9" s="1"/>
  <c r="T42" i="9" s="1"/>
  <c r="AY1134" i="5"/>
  <c r="E22" i="11"/>
  <c r="P21" i="11"/>
  <c r="X21" i="11" s="1"/>
  <c r="AX1053" i="1"/>
  <c r="AX35" i="1"/>
  <c r="AY19" i="5" s="1"/>
  <c r="AX48" i="1"/>
  <c r="AT36" i="1"/>
  <c r="AV23" i="1" s="1"/>
  <c r="AV36" i="1" s="1"/>
  <c r="AX23" i="1" s="1"/>
  <c r="AX36" i="1" s="1"/>
  <c r="AZ23" i="1" s="1"/>
  <c r="AZ1053" i="1"/>
  <c r="T87" i="9" l="1"/>
  <c r="T90" i="9" s="1"/>
  <c r="AY20" i="5"/>
  <c r="AY29" i="5" s="1"/>
  <c r="AY35" i="5" s="1"/>
  <c r="AZ372" i="1"/>
  <c r="BP372" i="1" s="1"/>
  <c r="AZ26" i="1"/>
  <c r="AY1142" i="5"/>
  <c r="AY1095" i="5"/>
  <c r="AY1096" i="5" s="1"/>
  <c r="AY1098" i="5" s="1"/>
  <c r="F22" i="11"/>
  <c r="M22" i="11"/>
  <c r="U22" i="11" s="1"/>
  <c r="AZ28" i="1" l="1"/>
  <c r="AZ48" i="1"/>
  <c r="H22" i="11"/>
  <c r="N22" i="11"/>
  <c r="V22" i="11" s="1"/>
  <c r="I22" i="11"/>
  <c r="J22" i="11"/>
  <c r="BQ28" i="1" l="1"/>
  <c r="AZ35" i="1"/>
  <c r="BA19" i="5" s="1"/>
  <c r="AZ36" i="1"/>
  <c r="BB23" i="1" s="1"/>
  <c r="BB36" i="1" s="1"/>
  <c r="BD23" i="1" s="1"/>
  <c r="BD36" i="1" s="1"/>
  <c r="BF23" i="1" s="1"/>
  <c r="BF36" i="1" s="1"/>
  <c r="BG23" i="1" s="1"/>
  <c r="BG36" i="1" s="1"/>
  <c r="BI23" i="1" s="1"/>
  <c r="BI36" i="1" s="1"/>
  <c r="BK23" i="1" s="1"/>
  <c r="BK36" i="1" s="1"/>
  <c r="BM23" i="1" s="1"/>
  <c r="BM36" i="1" s="1"/>
  <c r="BO23" i="1" s="1"/>
  <c r="BO36" i="1" s="1"/>
  <c r="BA1084" i="5"/>
  <c r="BA1125" i="5" s="1"/>
  <c r="BA1040" i="5"/>
  <c r="BA1118" i="5" s="1"/>
  <c r="BA1119" i="5" s="1"/>
  <c r="V16" i="9"/>
  <c r="BA454" i="5"/>
  <c r="BA455" i="5" s="1"/>
  <c r="R22" i="11"/>
  <c r="Z22" i="11" s="1"/>
  <c r="Q22" i="11"/>
  <c r="Y22" i="11" s="1"/>
  <c r="K22" i="11"/>
  <c r="E23" i="11"/>
  <c r="P22" i="11"/>
  <c r="X22" i="11" s="1"/>
  <c r="BA1130" i="5" l="1"/>
  <c r="BA1132" i="5" s="1"/>
  <c r="BA1127" i="5"/>
  <c r="BA1085" i="5"/>
  <c r="V39" i="9"/>
  <c r="V40" i="9" s="1"/>
  <c r="BA1063" i="5"/>
  <c r="V18" i="9" s="1"/>
  <c r="BA833" i="5"/>
  <c r="BA1075" i="5"/>
  <c r="BA13" i="5"/>
  <c r="S22" i="11"/>
  <c r="AA22" i="11" s="1"/>
  <c r="M23" i="11"/>
  <c r="U23" i="11" s="1"/>
  <c r="F23" i="11"/>
  <c r="BA1134" i="5" l="1"/>
  <c r="V66" i="9"/>
  <c r="V67" i="9" s="1"/>
  <c r="V78" i="9"/>
  <c r="V80" i="9" s="1"/>
  <c r="BA1078" i="5"/>
  <c r="V30" i="9"/>
  <c r="V33" i="9" s="1"/>
  <c r="BA12" i="5"/>
  <c r="BA14" i="5" s="1"/>
  <c r="BA1060" i="5"/>
  <c r="BA835" i="5"/>
  <c r="BA1139" i="5" s="1"/>
  <c r="BA1142" i="5" s="1"/>
  <c r="V73" i="9"/>
  <c r="V75" i="9" s="1"/>
  <c r="N23" i="11"/>
  <c r="V23" i="11" s="1"/>
  <c r="H23" i="11"/>
  <c r="V82" i="9" l="1"/>
  <c r="BA1065" i="5"/>
  <c r="BA1087" i="5" s="1"/>
  <c r="V15" i="9"/>
  <c r="V20" i="9" s="1"/>
  <c r="V42" i="9" s="1"/>
  <c r="BA17" i="5"/>
  <c r="BA20" i="5" s="1"/>
  <c r="BA29" i="5" s="1"/>
  <c r="BA35" i="5" s="1"/>
  <c r="BA18" i="5"/>
  <c r="BA1042" i="5"/>
  <c r="BA1046" i="5" s="1"/>
  <c r="V87" i="9"/>
  <c r="E24" i="11"/>
  <c r="P23" i="11"/>
  <c r="X23" i="11" s="1"/>
  <c r="V90" i="9" l="1"/>
  <c r="BA1095" i="5"/>
  <c r="BA1096" i="5" s="1"/>
  <c r="BA1098" i="5" s="1"/>
  <c r="F24" i="11"/>
  <c r="H24" i="11" s="1"/>
  <c r="M24" i="11"/>
  <c r="U24" i="11" s="1"/>
  <c r="P24" i="11" l="1"/>
  <c r="X24" i="11" s="1"/>
  <c r="N24" i="11"/>
  <c r="V24" i="11" s="1"/>
  <c r="F26" i="11"/>
  <c r="J24" i="11"/>
  <c r="I24" i="11"/>
  <c r="X16" i="9" l="1"/>
  <c r="BC454" i="5"/>
  <c r="BC455" i="5" s="1"/>
  <c r="BC1084" i="5"/>
  <c r="BC1040" i="5"/>
  <c r="I26" i="11"/>
  <c r="Q24" i="11"/>
  <c r="Q26" i="11" s="1"/>
  <c r="K24" i="11"/>
  <c r="R24" i="11"/>
  <c r="R26" i="11" s="1"/>
  <c r="J26" i="11"/>
  <c r="X39" i="9" l="1"/>
  <c r="X40" i="9" s="1"/>
  <c r="BC1085" i="5"/>
  <c r="BC1130" i="5"/>
  <c r="BC1063" i="5"/>
  <c r="X18" i="9" s="1"/>
  <c r="BC833" i="5"/>
  <c r="BC1075" i="5"/>
  <c r="BC1118" i="5"/>
  <c r="Z24" i="11"/>
  <c r="Z26" i="11" s="1"/>
  <c r="K26" i="11"/>
  <c r="Y24" i="11"/>
  <c r="Y26" i="11" s="1"/>
  <c r="S24" i="11"/>
  <c r="S26" i="11" s="1"/>
  <c r="F15" i="9"/>
  <c r="F20" i="9" s="1"/>
  <c r="F42" i="9" s="1"/>
  <c r="F45" i="9" s="1"/>
  <c r="AK1087" i="5"/>
  <c r="AK1096" i="5" s="1"/>
  <c r="AK1098" i="5" s="1"/>
  <c r="BC1119" i="5" l="1"/>
  <c r="BE1118" i="5"/>
  <c r="X66" i="9"/>
  <c r="X67" i="9" s="1"/>
  <c r="X78" i="9"/>
  <c r="X80" i="9" s="1"/>
  <c r="X82" i="9" s="1"/>
  <c r="BC1132" i="5"/>
  <c r="BC1134" i="5" s="1"/>
  <c r="X30" i="9"/>
  <c r="X33" i="9" s="1"/>
  <c r="BC1078" i="5"/>
  <c r="AA24" i="11"/>
  <c r="AA26" i="11" s="1"/>
  <c r="BC1060" i="5"/>
  <c r="BC835" i="5"/>
  <c r="AK1090" i="5"/>
  <c r="AK1105" i="5" s="1"/>
  <c r="F53" i="9" l="1"/>
  <c r="AK1109" i="5"/>
  <c r="AM1089" i="5"/>
  <c r="AM1090" i="5" s="1"/>
  <c r="AK1091" i="5"/>
  <c r="AK1114" i="5"/>
  <c r="AK1121" i="5" s="1"/>
  <c r="AK1136" i="5" s="1"/>
  <c r="AK1143" i="5" s="1"/>
  <c r="BC1042" i="5"/>
  <c r="BC1046" i="5" s="1"/>
  <c r="BC1139" i="5"/>
  <c r="X87" i="9" s="1"/>
  <c r="X15" i="9"/>
  <c r="X20" i="9" s="1"/>
  <c r="X42" i="9" s="1"/>
  <c r="BC1065" i="5"/>
  <c r="BC1087" i="5" s="1"/>
  <c r="BC1096" i="5" s="1"/>
  <c r="BC1098" i="5" s="1"/>
  <c r="Z66" i="9"/>
  <c r="Z67" i="9" s="1"/>
  <c r="BE1119" i="5"/>
  <c r="AM1105" i="5" l="1"/>
  <c r="AK1092" i="5"/>
  <c r="F46" i="9"/>
  <c r="F47" i="9" s="1"/>
  <c r="BE1139" i="5"/>
  <c r="Z87" i="9" s="1"/>
  <c r="X90" i="9"/>
  <c r="BC1142" i="5"/>
  <c r="H53" i="9" l="1"/>
  <c r="H57" i="9" s="1"/>
  <c r="AM1109" i="5"/>
  <c r="H44" i="9"/>
  <c r="H45" i="9" s="1"/>
  <c r="F51" i="9"/>
  <c r="AO1089" i="5"/>
  <c r="AO1090" i="5" s="1"/>
  <c r="AO1105" i="5" s="1"/>
  <c r="AM1091" i="5"/>
  <c r="F57" i="9"/>
  <c r="F62" i="9"/>
  <c r="F69" i="9" s="1"/>
  <c r="F84" i="9" s="1"/>
  <c r="F91" i="9" s="1"/>
  <c r="AM1114" i="5"/>
  <c r="AM1121" i="5" s="1"/>
  <c r="AM1136" i="5" s="1"/>
  <c r="AM1143" i="5" s="1"/>
  <c r="BE1142" i="5"/>
  <c r="Z90" i="9"/>
  <c r="H62" i="9"/>
  <c r="H69" i="9" s="1"/>
  <c r="H84" i="9" s="1"/>
  <c r="H91" i="9" s="1"/>
  <c r="J53" i="9" l="1"/>
  <c r="J57" i="9" s="1"/>
  <c r="AO1109" i="5"/>
  <c r="AO1091" i="5"/>
  <c r="H46" i="9"/>
  <c r="H47" i="9" s="1"/>
  <c r="AM1092" i="5"/>
  <c r="AQ1089" i="5"/>
  <c r="AQ1090" i="5" s="1"/>
  <c r="AQ1105" i="5" s="1"/>
  <c r="AO1114" i="5"/>
  <c r="AO1121" i="5" s="1"/>
  <c r="AO1136" i="5" s="1"/>
  <c r="AO1143" i="5" s="1"/>
  <c r="J62" i="9" l="1"/>
  <c r="J69" i="9" s="1"/>
  <c r="J84" i="9" s="1"/>
  <c r="J91" i="9" s="1"/>
  <c r="L53" i="9"/>
  <c r="AQ1109" i="5"/>
  <c r="J44" i="9"/>
  <c r="J45" i="9" s="1"/>
  <c r="H51" i="9"/>
  <c r="AO1092" i="5"/>
  <c r="J46" i="9"/>
  <c r="AQ1091" i="5"/>
  <c r="J47" i="9" l="1"/>
  <c r="L44" i="9" s="1"/>
  <c r="L45" i="9" s="1"/>
  <c r="AQ1092" i="5"/>
  <c r="L46" i="9"/>
  <c r="AQ1114" i="5"/>
  <c r="AQ1121" i="5" s="1"/>
  <c r="AQ1136" i="5" s="1"/>
  <c r="AQ1143" i="5" s="1"/>
  <c r="AS1089" i="5"/>
  <c r="AS1090" i="5" s="1"/>
  <c r="AS1105" i="5" s="1"/>
  <c r="J51" i="9" l="1"/>
  <c r="N53" i="9"/>
  <c r="AS1109" i="5"/>
  <c r="L47" i="9"/>
  <c r="N44" i="9" s="1"/>
  <c r="N45" i="9" s="1"/>
  <c r="AS1091" i="5"/>
  <c r="L57" i="9"/>
  <c r="L62" i="9"/>
  <c r="L69" i="9" s="1"/>
  <c r="L84" i="9" s="1"/>
  <c r="L91" i="9" s="1"/>
  <c r="L51" i="9" l="1"/>
  <c r="AS1092" i="5"/>
  <c r="N46" i="9"/>
  <c r="N47" i="9" s="1"/>
  <c r="AS1114" i="5"/>
  <c r="AS1121" i="5" s="1"/>
  <c r="AS1136" i="5" s="1"/>
  <c r="AS1143" i="5" s="1"/>
  <c r="AU1089" i="5"/>
  <c r="AU1090" i="5" s="1"/>
  <c r="AU1105" i="5" s="1"/>
  <c r="P53" i="9" l="1"/>
  <c r="AU1109" i="5"/>
  <c r="P44" i="9"/>
  <c r="P45" i="9" s="1"/>
  <c r="N51" i="9"/>
  <c r="N57" i="9"/>
  <c r="N62" i="9"/>
  <c r="N69" i="9" s="1"/>
  <c r="N84" i="9" s="1"/>
  <c r="N91" i="9" s="1"/>
  <c r="AU1091" i="5"/>
  <c r="AU1092" i="5" l="1"/>
  <c r="P46" i="9"/>
  <c r="P47" i="9" s="1"/>
  <c r="AU1114" i="5"/>
  <c r="AU1121" i="5" s="1"/>
  <c r="AU1136" i="5" s="1"/>
  <c r="AU1143" i="5" s="1"/>
  <c r="AW1089" i="5"/>
  <c r="AW1090" i="5" s="1"/>
  <c r="AW1105" i="5" s="1"/>
  <c r="R53" i="9" l="1"/>
  <c r="AW1109" i="5"/>
  <c r="R44" i="9"/>
  <c r="R45" i="9" s="1"/>
  <c r="P51" i="9"/>
  <c r="P57" i="9"/>
  <c r="P62" i="9"/>
  <c r="P69" i="9" s="1"/>
  <c r="P84" i="9" s="1"/>
  <c r="P91" i="9" s="1"/>
  <c r="AW1091" i="5"/>
  <c r="AW1092" i="5" l="1"/>
  <c r="R46" i="9"/>
  <c r="R47" i="9" s="1"/>
  <c r="AW1114" i="5"/>
  <c r="AW1121" i="5" s="1"/>
  <c r="AW1136" i="5" s="1"/>
  <c r="AW1143" i="5" s="1"/>
  <c r="AY1089" i="5"/>
  <c r="AY1090" i="5" s="1"/>
  <c r="AY1105" i="5" s="1"/>
  <c r="T53" i="9" l="1"/>
  <c r="AY1109" i="5"/>
  <c r="T44" i="9"/>
  <c r="T45" i="9" s="1"/>
  <c r="R51" i="9"/>
  <c r="AY1091" i="5"/>
  <c r="R57" i="9"/>
  <c r="R62" i="9"/>
  <c r="R69" i="9" s="1"/>
  <c r="R84" i="9" s="1"/>
  <c r="R91" i="9" s="1"/>
  <c r="AY1092" i="5" l="1"/>
  <c r="T46" i="9"/>
  <c r="T47" i="9" s="1"/>
  <c r="AY1114" i="5"/>
  <c r="AY1121" i="5" s="1"/>
  <c r="AY1136" i="5" s="1"/>
  <c r="AY1143" i="5" s="1"/>
  <c r="BA1089" i="5"/>
  <c r="BA1090" i="5" s="1"/>
  <c r="BA1105" i="5" s="1"/>
  <c r="BA1114" i="5" l="1"/>
  <c r="BA1121" i="5" s="1"/>
  <c r="BA1136" i="5" s="1"/>
  <c r="BA1143" i="5" s="1"/>
  <c r="BA1109" i="5"/>
  <c r="V44" i="9"/>
  <c r="V45" i="9" s="1"/>
  <c r="T51" i="9"/>
  <c r="T57" i="9"/>
  <c r="T62" i="9"/>
  <c r="T69" i="9" s="1"/>
  <c r="T84" i="9" s="1"/>
  <c r="T91" i="9" s="1"/>
  <c r="BA1091" i="5" l="1"/>
  <c r="V46" i="9" s="1"/>
  <c r="V47" i="9" s="1"/>
  <c r="X44" i="9" s="1"/>
  <c r="X45" i="9" s="1"/>
  <c r="V53" i="9"/>
  <c r="BC1089" i="5"/>
  <c r="BC1090" i="5" s="1"/>
  <c r="BA1092" i="5" l="1"/>
  <c r="V51" i="9"/>
  <c r="BC1105" i="5"/>
  <c r="BC1109" i="5" s="1"/>
  <c r="V57" i="9"/>
  <c r="V62" i="9"/>
  <c r="V69" i="9" s="1"/>
  <c r="V84" i="9" s="1"/>
  <c r="V91" i="9" s="1"/>
  <c r="BC1091" i="5" l="1"/>
  <c r="BC1092" i="5" s="1"/>
  <c r="X53" i="9"/>
  <c r="BC1114" i="5"/>
  <c r="BC1121" i="5" s="1"/>
  <c r="BC1136" i="5" s="1"/>
  <c r="BC1143" i="5" s="1"/>
  <c r="BE1089" i="5"/>
  <c r="BE1090" i="5" s="1"/>
  <c r="BE1105" i="5" s="1"/>
  <c r="Z53" i="9" l="1"/>
  <c r="BE1109" i="5"/>
  <c r="X46" i="9"/>
  <c r="X47" i="9" s="1"/>
  <c r="Z44" i="9" s="1"/>
  <c r="Z45" i="9" s="1"/>
  <c r="X57" i="9"/>
  <c r="BE1114" i="5"/>
  <c r="BE1121" i="5" s="1"/>
  <c r="BE1136" i="5" s="1"/>
  <c r="BE1143" i="5" s="1"/>
  <c r="X62" i="9"/>
  <c r="X69" i="9" s="1"/>
  <c r="X84" i="9" s="1"/>
  <c r="X91" i="9" s="1"/>
  <c r="BE1091" i="5"/>
  <c r="X51" i="9" l="1"/>
  <c r="BE1092" i="5"/>
  <c r="Z46" i="9"/>
  <c r="Z47" i="9" s="1"/>
  <c r="Z51" i="9" s="1"/>
  <c r="Z57" i="9"/>
  <c r="Z62" i="9"/>
  <c r="Z69" i="9" s="1"/>
  <c r="Z84" i="9" s="1"/>
  <c r="Z91" i="9" s="1"/>
</calcChain>
</file>

<file path=xl/comments1.xml><?xml version="1.0" encoding="utf-8"?>
<comments xmlns="http://schemas.openxmlformats.org/spreadsheetml/2006/main">
  <authors>
    <author>Paul</author>
    <author>Rebecca Martin</author>
    <author>Paul Luff</author>
  </authors>
  <commentList>
    <comment ref="B56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2.8
%
</t>
        </r>
      </text>
    </comment>
    <comment ref="B64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guess only, reduced to fund B Est
</t>
        </r>
      </text>
    </comment>
    <comment ref="P64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guess only
</t>
        </r>
      </text>
    </comment>
    <comment ref="AH64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guess only
</t>
        </r>
      </text>
    </comment>
    <comment ref="AJ64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guess only
</t>
        </r>
      </text>
    </comment>
    <comment ref="AL64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guess only
</t>
        </r>
      </text>
    </comment>
    <comment ref="AN64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guess only
</t>
        </r>
      </text>
    </comment>
    <comment ref="AP64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guess only
</t>
        </r>
      </text>
    </comment>
    <comment ref="AR64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guess only
</t>
        </r>
      </text>
    </comment>
    <comment ref="AT64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guess only
</t>
        </r>
      </text>
    </comment>
    <comment ref="AV64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guess only
</t>
        </r>
      </text>
    </comment>
    <comment ref="AX64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guess only
</t>
        </r>
      </text>
    </comment>
    <comment ref="AZ64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guess only
</t>
        </r>
      </text>
    </comment>
    <comment ref="AH99" authorId="1" shapeId="0">
      <text>
        <r>
          <rPr>
            <b/>
            <sz val="8"/>
            <color indexed="81"/>
            <rFont val="Tahoma"/>
            <family val="2"/>
          </rPr>
          <t>Rebecca Martin:</t>
        </r>
        <r>
          <rPr>
            <sz val="8"/>
            <color indexed="81"/>
            <rFont val="Tahoma"/>
            <family val="2"/>
          </rPr>
          <t xml:space="preserve">
Adj. shed</t>
        </r>
      </text>
    </comment>
    <comment ref="B125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application amount 
</t>
        </r>
      </text>
    </comment>
    <comment ref="F125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application amount 
</t>
        </r>
      </text>
    </comment>
    <comment ref="B159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+7.5%
</t>
        </r>
      </text>
    </comment>
    <comment ref="P159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+7.5%</t>
        </r>
      </text>
    </comment>
    <comment ref="B160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reduced to 3% b/c charge increase reduced to 5%</t>
        </r>
      </text>
    </comment>
    <comment ref="B190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+2%</t>
        </r>
      </text>
    </comment>
    <comment ref="F200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c'over 10/11</t>
        </r>
      </text>
    </comment>
    <comment ref="F202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expend offset</t>
        </r>
      </text>
    </comment>
    <comment ref="D231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Reserve or road extra
</t>
        </r>
      </text>
    </comment>
    <comment ref="F311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offset applies</t>
        </r>
      </text>
    </comment>
    <comment ref="F359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c'over 10/11
</t>
        </r>
      </text>
    </comment>
    <comment ref="E369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follow-up</t>
        </r>
      </text>
    </comment>
    <comment ref="Y387" authorId="2" shapeId="0">
      <text>
        <r>
          <rPr>
            <b/>
            <sz val="9"/>
            <color indexed="81"/>
            <rFont val="Tahoma"/>
            <family val="2"/>
          </rPr>
          <t>Paul Luff:</t>
        </r>
        <r>
          <rPr>
            <sz val="9"/>
            <color indexed="81"/>
            <rFont val="Tahoma"/>
            <family val="2"/>
          </rPr>
          <t xml:space="preserve">
McArthur - GM appoint 
$3600  - $10500
</t>
        </r>
      </text>
    </comment>
    <comment ref="AF387" authorId="2" shapeId="0">
      <text>
        <r>
          <rPr>
            <b/>
            <sz val="9"/>
            <color indexed="81"/>
            <rFont val="Tahoma"/>
            <family val="2"/>
          </rPr>
          <t>Paul Luff:</t>
        </r>
        <r>
          <rPr>
            <sz val="9"/>
            <color indexed="81"/>
            <rFont val="Tahoma"/>
            <family val="2"/>
          </rPr>
          <t xml:space="preserve">
GM  appointment
</t>
        </r>
      </text>
    </comment>
    <comment ref="B398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appx $180K but extra o,time for flood works</t>
        </r>
      </text>
    </comment>
    <comment ref="F399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possiblly more savings</t>
        </r>
      </text>
    </comment>
    <comment ref="A409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casual hirers, fidelity guarantee </t>
        </r>
      </text>
    </comment>
    <comment ref="F463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Council $5,143
Grant  $30,857
</t>
        </r>
      </text>
    </comment>
    <comment ref="B496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est 10/11 $12,315
@ 1.03 = $12,684</t>
        </r>
      </text>
    </comment>
    <comment ref="P511" authorId="2" shapeId="0">
      <text>
        <r>
          <rPr>
            <b/>
            <sz val="9"/>
            <color indexed="81"/>
            <rFont val="Tahoma"/>
            <family val="2"/>
          </rPr>
          <t>Paul Luff:</t>
        </r>
        <r>
          <rPr>
            <sz val="9"/>
            <color indexed="81"/>
            <rFont val="Tahoma"/>
            <family val="2"/>
          </rPr>
          <t xml:space="preserve">
Glen $75K
Other $7.5K
</t>
        </r>
      </text>
    </comment>
    <comment ref="AH511" authorId="2" shapeId="0">
      <text>
        <r>
          <rPr>
            <b/>
            <sz val="9"/>
            <color indexed="81"/>
            <rFont val="Tahoma"/>
            <family val="2"/>
          </rPr>
          <t>Paul Luff:</t>
        </r>
        <r>
          <rPr>
            <sz val="9"/>
            <color indexed="81"/>
            <rFont val="Tahoma"/>
            <family val="2"/>
          </rPr>
          <t xml:space="preserve">
Glen $55K
Other $47K</t>
        </r>
      </text>
    </comment>
    <comment ref="AJ511" authorId="2" shapeId="0">
      <text>
        <r>
          <rPr>
            <b/>
            <sz val="9"/>
            <color indexed="81"/>
            <rFont val="Tahoma"/>
            <family val="2"/>
          </rPr>
          <t>Paul Luff:</t>
        </r>
        <r>
          <rPr>
            <sz val="9"/>
            <color indexed="81"/>
            <rFont val="Tahoma"/>
            <family val="2"/>
          </rPr>
          <t xml:space="preserve">
Glen $30
Other $23
</t>
        </r>
      </text>
    </comment>
    <comment ref="D547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club - insurance &amp; electricity</t>
        </r>
      </text>
    </comment>
    <comment ref="F656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offset by contribution FOGG</t>
        </r>
      </text>
    </comment>
    <comment ref="F740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ooffset applies</t>
        </r>
      </text>
    </comment>
    <comment ref="P1108" authorId="2" shapeId="0">
      <text>
        <r>
          <rPr>
            <b/>
            <sz val="9"/>
            <color indexed="81"/>
            <rFont val="Tahoma"/>
            <family val="2"/>
          </rPr>
          <t>Paul Luff:</t>
        </r>
        <r>
          <rPr>
            <sz val="9"/>
            <color indexed="81"/>
            <rFont val="Tahoma"/>
            <family val="2"/>
          </rPr>
          <t xml:space="preserve">
+10%</t>
        </r>
      </text>
    </comment>
    <comment ref="AP1108" authorId="2" shapeId="0">
      <text>
        <r>
          <rPr>
            <b/>
            <sz val="9"/>
            <color indexed="81"/>
            <rFont val="Tahoma"/>
            <family val="2"/>
          </rPr>
          <t>Paul Luff:</t>
        </r>
        <r>
          <rPr>
            <sz val="9"/>
            <color indexed="81"/>
            <rFont val="Tahoma"/>
            <family val="2"/>
          </rPr>
          <t xml:space="preserve">
+7.5%
</t>
        </r>
      </text>
    </comment>
    <comment ref="AL1260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revert to a 10
% increase</t>
        </r>
      </text>
    </comment>
    <comment ref="AP1260" authorId="2" shapeId="0">
      <text>
        <r>
          <rPr>
            <b/>
            <sz val="9"/>
            <color indexed="81"/>
            <rFont val="Tahoma"/>
            <family val="2"/>
          </rPr>
          <t>Paul Luff:</t>
        </r>
        <r>
          <rPr>
            <sz val="9"/>
            <color indexed="81"/>
            <rFont val="Tahoma"/>
            <family val="2"/>
          </rPr>
          <t xml:space="preserve">
7.5% +</t>
        </r>
      </text>
    </comment>
    <comment ref="P1327" authorId="2" shapeId="0">
      <text>
        <r>
          <rPr>
            <b/>
            <sz val="9"/>
            <color indexed="81"/>
            <rFont val="Tahoma"/>
            <family val="2"/>
          </rPr>
          <t>Paul Luff:</t>
        </r>
        <r>
          <rPr>
            <sz val="9"/>
            <color indexed="81"/>
            <rFont val="Tahoma"/>
            <family val="2"/>
          </rPr>
          <t xml:space="preserve">
Wil
liam St pump station</t>
        </r>
      </text>
    </comment>
    <comment ref="T1409" authorId="2" shapeId="0">
      <text>
        <r>
          <rPr>
            <b/>
            <sz val="9"/>
            <color indexed="81"/>
            <rFont val="Tahoma"/>
            <family val="2"/>
          </rPr>
          <t>Paul Luff:</t>
        </r>
        <r>
          <rPr>
            <sz val="9"/>
            <color indexed="81"/>
            <rFont val="Tahoma"/>
            <family val="2"/>
          </rPr>
          <t xml:space="preserve">
web design</t>
        </r>
      </text>
    </comment>
    <comment ref="T1422" authorId="2" shapeId="0">
      <text>
        <r>
          <rPr>
            <b/>
            <sz val="9"/>
            <color indexed="81"/>
            <rFont val="Tahoma"/>
            <family val="2"/>
          </rPr>
          <t>Paul Luff:</t>
        </r>
        <r>
          <rPr>
            <sz val="9"/>
            <color indexed="81"/>
            <rFont val="Tahoma"/>
            <family val="2"/>
          </rPr>
          <t xml:space="preserve">
check with Glen and  reflect in General Fund</t>
        </r>
      </text>
    </comment>
    <comment ref="T1463" authorId="2" shapeId="0">
      <text>
        <r>
          <rPr>
            <b/>
            <sz val="9"/>
            <color indexed="81"/>
            <rFont val="Tahoma"/>
            <family val="2"/>
          </rPr>
          <t>Paul Luff:</t>
        </r>
        <r>
          <rPr>
            <sz val="9"/>
            <color indexed="81"/>
            <rFont val="Tahoma"/>
            <family val="2"/>
          </rPr>
          <t xml:space="preserve">
a general fund offset applies</t>
        </r>
      </text>
    </comment>
    <comment ref="T1465" authorId="2" shapeId="0">
      <text>
        <r>
          <rPr>
            <b/>
            <sz val="9"/>
            <color indexed="81"/>
            <rFont val="Tahoma"/>
            <family val="2"/>
          </rPr>
          <t>Paul Luff:</t>
        </r>
        <r>
          <rPr>
            <sz val="9"/>
            <color indexed="81"/>
            <rFont val="Tahoma"/>
            <family val="2"/>
          </rPr>
          <t xml:space="preserve">
a G Fund offset applies
</t>
        </r>
      </text>
    </comment>
    <comment ref="T1470" authorId="2" shapeId="0">
      <text>
        <r>
          <rPr>
            <b/>
            <sz val="9"/>
            <color indexed="81"/>
            <rFont val="Tahoma"/>
            <family val="2"/>
          </rPr>
          <t>Paul Luff:</t>
        </r>
        <r>
          <rPr>
            <sz val="9"/>
            <color indexed="81"/>
            <rFont val="Tahoma"/>
            <family val="2"/>
          </rPr>
          <t xml:space="preserve">
reflects c'over to 12/13</t>
        </r>
      </text>
    </comment>
  </commentList>
</comments>
</file>

<file path=xl/comments2.xml><?xml version="1.0" encoding="utf-8"?>
<comments xmlns="http://schemas.openxmlformats.org/spreadsheetml/2006/main">
  <authors>
    <author>Paul</author>
  </authors>
  <commentList>
    <comment ref="K6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Glen $175K</t>
        </r>
      </text>
    </comment>
    <comment ref="K75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Glen  , Graeme' Terrie</t>
        </r>
      </text>
    </comment>
  </commentList>
</comments>
</file>

<file path=xl/comments3.xml><?xml version="1.0" encoding="utf-8"?>
<comments xmlns="http://schemas.openxmlformats.org/spreadsheetml/2006/main">
  <authors>
    <author>Paul</author>
    <author>Rebecca Martin</author>
    <author>Paul Luff</author>
  </authors>
  <commentList>
    <comment ref="B43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2.8
%
</t>
        </r>
      </text>
    </comment>
    <comment ref="B51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guess only, reduced to fund B Est
</t>
        </r>
      </text>
    </comment>
    <comment ref="P51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guess only
</t>
        </r>
      </text>
    </comment>
    <comment ref="AH51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guess only
</t>
        </r>
      </text>
    </comment>
    <comment ref="AO51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guess only
</t>
        </r>
      </text>
    </comment>
    <comment ref="AQ51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guess only
</t>
        </r>
      </text>
    </comment>
    <comment ref="AS51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guess only
</t>
        </r>
      </text>
    </comment>
    <comment ref="AU51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guess only
</t>
        </r>
      </text>
    </comment>
    <comment ref="AW51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guess only
</t>
        </r>
      </text>
    </comment>
    <comment ref="AY51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guess only
</t>
        </r>
      </text>
    </comment>
    <comment ref="BA51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guess only
</t>
        </r>
      </text>
    </comment>
    <comment ref="BC51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guess only
</t>
        </r>
      </text>
    </comment>
    <comment ref="BE51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guess only
</t>
        </r>
      </text>
    </comment>
    <comment ref="AH86" authorId="1" shapeId="0">
      <text>
        <r>
          <rPr>
            <b/>
            <sz val="8"/>
            <color indexed="81"/>
            <rFont val="Tahoma"/>
            <family val="2"/>
          </rPr>
          <t>Rebecca Martin:</t>
        </r>
        <r>
          <rPr>
            <sz val="8"/>
            <color indexed="81"/>
            <rFont val="Tahoma"/>
            <family val="2"/>
          </rPr>
          <t xml:space="preserve">
Adj. shed</t>
        </r>
      </text>
    </comment>
    <comment ref="B112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application amount 
</t>
        </r>
      </text>
    </comment>
    <comment ref="F112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application amount 
</t>
        </r>
      </text>
    </comment>
    <comment ref="B146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+7.5%
</t>
        </r>
      </text>
    </comment>
    <comment ref="P146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+7.5%</t>
        </r>
      </text>
    </comment>
    <comment ref="B147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reduced to 3% b/c charge increase reduced to 5%</t>
        </r>
      </text>
    </comment>
    <comment ref="B175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+2%</t>
        </r>
      </text>
    </comment>
    <comment ref="F185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c'over 10/11</t>
        </r>
      </text>
    </comment>
    <comment ref="F187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expend offset</t>
        </r>
      </text>
    </comment>
    <comment ref="D218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Reserve or road extra
</t>
        </r>
      </text>
    </comment>
    <comment ref="F300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offset applies</t>
        </r>
      </text>
    </comment>
    <comment ref="F346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c'over 10/11
</t>
        </r>
      </text>
    </comment>
    <comment ref="E356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follow-up</t>
        </r>
      </text>
    </comment>
    <comment ref="Y374" authorId="2" shapeId="0">
      <text>
        <r>
          <rPr>
            <b/>
            <sz val="9"/>
            <color indexed="81"/>
            <rFont val="Tahoma"/>
            <family val="2"/>
          </rPr>
          <t>Paul Luff:</t>
        </r>
        <r>
          <rPr>
            <sz val="9"/>
            <color indexed="81"/>
            <rFont val="Tahoma"/>
            <family val="2"/>
          </rPr>
          <t xml:space="preserve">
McArthur - GM appoint 
$3600  - $10500
</t>
        </r>
      </text>
    </comment>
    <comment ref="AF374" authorId="2" shapeId="0">
      <text>
        <r>
          <rPr>
            <b/>
            <sz val="9"/>
            <color indexed="81"/>
            <rFont val="Tahoma"/>
            <family val="2"/>
          </rPr>
          <t>Paul Luff:</t>
        </r>
        <r>
          <rPr>
            <sz val="9"/>
            <color indexed="81"/>
            <rFont val="Tahoma"/>
            <family val="2"/>
          </rPr>
          <t xml:space="preserve">
GM  appointment
</t>
        </r>
      </text>
    </comment>
    <comment ref="B385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appx $180K but extra o,time for flood works</t>
        </r>
      </text>
    </comment>
    <comment ref="F386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possiblly more savings</t>
        </r>
      </text>
    </comment>
    <comment ref="A396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casual hirers, fidelity guarantee </t>
        </r>
      </text>
    </comment>
    <comment ref="F452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Council $5,143
Grant  $30,857
</t>
        </r>
      </text>
    </comment>
    <comment ref="B485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est 10/11 $12,315
@ 1.03 = $12,684</t>
        </r>
      </text>
    </comment>
    <comment ref="P498" authorId="2" shapeId="0">
      <text>
        <r>
          <rPr>
            <b/>
            <sz val="9"/>
            <color indexed="81"/>
            <rFont val="Tahoma"/>
            <family val="2"/>
          </rPr>
          <t>Paul Luff:</t>
        </r>
        <r>
          <rPr>
            <sz val="9"/>
            <color indexed="81"/>
            <rFont val="Tahoma"/>
            <family val="2"/>
          </rPr>
          <t xml:space="preserve">
Glen $75K
Other $7.5K
</t>
        </r>
      </text>
    </comment>
    <comment ref="AH498" authorId="2" shapeId="0">
      <text>
        <r>
          <rPr>
            <b/>
            <sz val="9"/>
            <color indexed="81"/>
            <rFont val="Tahoma"/>
            <family val="2"/>
          </rPr>
          <t>Paul Luff:</t>
        </r>
        <r>
          <rPr>
            <sz val="9"/>
            <color indexed="81"/>
            <rFont val="Tahoma"/>
            <family val="2"/>
          </rPr>
          <t xml:space="preserve">
Glen $55K
Other $47K</t>
        </r>
      </text>
    </comment>
    <comment ref="AO498" authorId="2" shapeId="0">
      <text>
        <r>
          <rPr>
            <b/>
            <sz val="9"/>
            <color indexed="81"/>
            <rFont val="Tahoma"/>
            <family val="2"/>
          </rPr>
          <t>Paul Luff:</t>
        </r>
        <r>
          <rPr>
            <sz val="9"/>
            <color indexed="81"/>
            <rFont val="Tahoma"/>
            <family val="2"/>
          </rPr>
          <t xml:space="preserve">
Glen $30
Other $23
</t>
        </r>
      </text>
    </comment>
    <comment ref="D534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club - insurance &amp; electricity</t>
        </r>
      </text>
    </comment>
    <comment ref="F645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offset by contribution FOGG</t>
        </r>
      </text>
    </comment>
    <comment ref="F729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ooffset applies</t>
        </r>
      </text>
    </comment>
    <comment ref="P1100" authorId="2" shapeId="0">
      <text>
        <r>
          <rPr>
            <b/>
            <sz val="9"/>
            <color indexed="81"/>
            <rFont val="Tahoma"/>
            <family val="2"/>
          </rPr>
          <t>Paul Luff:</t>
        </r>
        <r>
          <rPr>
            <sz val="9"/>
            <color indexed="81"/>
            <rFont val="Tahoma"/>
            <family val="2"/>
          </rPr>
          <t xml:space="preserve">
+10%</t>
        </r>
      </text>
    </comment>
    <comment ref="AU1100" authorId="2" shapeId="0">
      <text>
        <r>
          <rPr>
            <b/>
            <sz val="9"/>
            <color indexed="81"/>
            <rFont val="Tahoma"/>
            <family val="2"/>
          </rPr>
          <t>Paul Luff:</t>
        </r>
        <r>
          <rPr>
            <sz val="9"/>
            <color indexed="81"/>
            <rFont val="Tahoma"/>
            <family val="2"/>
          </rPr>
          <t xml:space="preserve">
+7.5%
</t>
        </r>
      </text>
    </comment>
    <comment ref="AQ1254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revert to a 10
% increase</t>
        </r>
      </text>
    </comment>
    <comment ref="AU1254" authorId="2" shapeId="0">
      <text>
        <r>
          <rPr>
            <b/>
            <sz val="9"/>
            <color indexed="81"/>
            <rFont val="Tahoma"/>
            <family val="2"/>
          </rPr>
          <t>Paul Luff:</t>
        </r>
        <r>
          <rPr>
            <sz val="9"/>
            <color indexed="81"/>
            <rFont val="Tahoma"/>
            <family val="2"/>
          </rPr>
          <t xml:space="preserve">
7.5% +</t>
        </r>
      </text>
    </comment>
    <comment ref="P1323" authorId="2" shapeId="0">
      <text>
        <r>
          <rPr>
            <b/>
            <sz val="9"/>
            <color indexed="81"/>
            <rFont val="Tahoma"/>
            <family val="2"/>
          </rPr>
          <t>Paul Luff:</t>
        </r>
        <r>
          <rPr>
            <sz val="9"/>
            <color indexed="81"/>
            <rFont val="Tahoma"/>
            <family val="2"/>
          </rPr>
          <t xml:space="preserve">
Wil
liam St pump station</t>
        </r>
      </text>
    </comment>
    <comment ref="T1405" authorId="2" shapeId="0">
      <text>
        <r>
          <rPr>
            <b/>
            <sz val="9"/>
            <color indexed="81"/>
            <rFont val="Tahoma"/>
            <family val="2"/>
          </rPr>
          <t>Paul Luff:</t>
        </r>
        <r>
          <rPr>
            <sz val="9"/>
            <color indexed="81"/>
            <rFont val="Tahoma"/>
            <family val="2"/>
          </rPr>
          <t xml:space="preserve">
web design</t>
        </r>
      </text>
    </comment>
    <comment ref="T1418" authorId="2" shapeId="0">
      <text>
        <r>
          <rPr>
            <b/>
            <sz val="9"/>
            <color indexed="81"/>
            <rFont val="Tahoma"/>
            <family val="2"/>
          </rPr>
          <t>Paul Luff:</t>
        </r>
        <r>
          <rPr>
            <sz val="9"/>
            <color indexed="81"/>
            <rFont val="Tahoma"/>
            <family val="2"/>
          </rPr>
          <t xml:space="preserve">
check with Glen and  reflect in General Fund</t>
        </r>
      </text>
    </comment>
    <comment ref="T1461" authorId="2" shapeId="0">
      <text>
        <r>
          <rPr>
            <b/>
            <sz val="9"/>
            <color indexed="81"/>
            <rFont val="Tahoma"/>
            <family val="2"/>
          </rPr>
          <t>Paul Luff:</t>
        </r>
        <r>
          <rPr>
            <sz val="9"/>
            <color indexed="81"/>
            <rFont val="Tahoma"/>
            <family val="2"/>
          </rPr>
          <t xml:space="preserve">
a general fund offset applies</t>
        </r>
      </text>
    </comment>
    <comment ref="T1463" authorId="2" shapeId="0">
      <text>
        <r>
          <rPr>
            <b/>
            <sz val="9"/>
            <color indexed="81"/>
            <rFont val="Tahoma"/>
            <family val="2"/>
          </rPr>
          <t>Paul Luff:</t>
        </r>
        <r>
          <rPr>
            <sz val="9"/>
            <color indexed="81"/>
            <rFont val="Tahoma"/>
            <family val="2"/>
          </rPr>
          <t xml:space="preserve">
a G Fund offset applies
</t>
        </r>
      </text>
    </comment>
    <comment ref="T1468" authorId="2" shapeId="0">
      <text>
        <r>
          <rPr>
            <b/>
            <sz val="9"/>
            <color indexed="81"/>
            <rFont val="Tahoma"/>
            <family val="2"/>
          </rPr>
          <t>Paul Luff:</t>
        </r>
        <r>
          <rPr>
            <sz val="9"/>
            <color indexed="81"/>
            <rFont val="Tahoma"/>
            <family val="2"/>
          </rPr>
          <t xml:space="preserve">
reflects c'over to 12/13</t>
        </r>
      </text>
    </comment>
  </commentList>
</comments>
</file>

<file path=xl/comments4.xml><?xml version="1.0" encoding="utf-8"?>
<comments xmlns="http://schemas.openxmlformats.org/spreadsheetml/2006/main">
  <authors>
    <author>Paul</author>
    <author>Rebecca Martin</author>
    <author>Paul Luff</author>
  </authors>
  <commentList>
    <comment ref="B39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2.8
%
</t>
        </r>
      </text>
    </comment>
    <comment ref="B47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guess only, reduced to fund B Est
</t>
        </r>
      </text>
    </comment>
    <comment ref="P47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guess only
</t>
        </r>
      </text>
    </comment>
    <comment ref="AI47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guess only
</t>
        </r>
      </text>
    </comment>
    <comment ref="AK47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guess only
</t>
        </r>
      </text>
    </comment>
    <comment ref="AM47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guess only
</t>
        </r>
      </text>
    </comment>
    <comment ref="AO47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guess only
</t>
        </r>
      </text>
    </comment>
    <comment ref="AQ47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guess only
</t>
        </r>
      </text>
    </comment>
    <comment ref="AS47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guess only
</t>
        </r>
      </text>
    </comment>
    <comment ref="AU47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guess only
</t>
        </r>
      </text>
    </comment>
    <comment ref="AW47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guess only
</t>
        </r>
      </text>
    </comment>
    <comment ref="AY47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guess only
</t>
        </r>
      </text>
    </comment>
    <comment ref="BA47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guess only
</t>
        </r>
      </text>
    </comment>
    <comment ref="BC47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guess only
</t>
        </r>
      </text>
    </comment>
    <comment ref="BE47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guess only
</t>
        </r>
      </text>
    </comment>
    <comment ref="AI82" authorId="1" shapeId="0">
      <text>
        <r>
          <rPr>
            <b/>
            <sz val="8"/>
            <color indexed="81"/>
            <rFont val="Tahoma"/>
            <family val="2"/>
          </rPr>
          <t>Rebecca Martin:</t>
        </r>
        <r>
          <rPr>
            <sz val="8"/>
            <color indexed="81"/>
            <rFont val="Tahoma"/>
            <family val="2"/>
          </rPr>
          <t xml:space="preserve">
Adj. shed</t>
        </r>
      </text>
    </comment>
    <comment ref="B108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application amount 
</t>
        </r>
      </text>
    </comment>
    <comment ref="F108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application amount 
</t>
        </r>
      </text>
    </comment>
    <comment ref="B144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+7.5%
</t>
        </r>
      </text>
    </comment>
    <comment ref="P144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+7.5%</t>
        </r>
      </text>
    </comment>
    <comment ref="B145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reduced to 3% b/c charge increase reduced to 5%</t>
        </r>
      </text>
    </comment>
    <comment ref="B174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+2%</t>
        </r>
      </text>
    </comment>
    <comment ref="F185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c'over 10/11</t>
        </r>
      </text>
    </comment>
    <comment ref="F187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expend offset</t>
        </r>
      </text>
    </comment>
    <comment ref="D216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Reserve or road extra
</t>
        </r>
      </text>
    </comment>
    <comment ref="F297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offset applies</t>
        </r>
      </text>
    </comment>
    <comment ref="F342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c'over 10/11
</t>
        </r>
      </text>
    </comment>
    <comment ref="E352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follow-up</t>
        </r>
      </text>
    </comment>
    <comment ref="Y372" authorId="2" shapeId="0">
      <text>
        <r>
          <rPr>
            <b/>
            <sz val="9"/>
            <color indexed="81"/>
            <rFont val="Tahoma"/>
            <family val="2"/>
          </rPr>
          <t>Paul Luff:</t>
        </r>
        <r>
          <rPr>
            <sz val="9"/>
            <color indexed="81"/>
            <rFont val="Tahoma"/>
            <family val="2"/>
          </rPr>
          <t xml:space="preserve">
McArthur - GM appoint 
$3600  - $10500
</t>
        </r>
      </text>
    </comment>
    <comment ref="AF372" authorId="2" shapeId="0">
      <text>
        <r>
          <rPr>
            <b/>
            <sz val="9"/>
            <color indexed="81"/>
            <rFont val="Tahoma"/>
            <family val="2"/>
          </rPr>
          <t>Paul Luff:</t>
        </r>
        <r>
          <rPr>
            <sz val="9"/>
            <color indexed="81"/>
            <rFont val="Tahoma"/>
            <family val="2"/>
          </rPr>
          <t xml:space="preserve">
GM  appointment
</t>
        </r>
      </text>
    </comment>
    <comment ref="B381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appx $180K but extra o,time for flood works</t>
        </r>
      </text>
    </comment>
    <comment ref="F382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possiblly more savings</t>
        </r>
      </text>
    </comment>
    <comment ref="A392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casual hirers, fidelity guarantee </t>
        </r>
      </text>
    </comment>
    <comment ref="F446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Council $5,143
Grant  $30,857
</t>
        </r>
      </text>
    </comment>
    <comment ref="B480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est 10/11 $12,315
@ 1.03 = $12,684</t>
        </r>
      </text>
    </comment>
    <comment ref="P494" authorId="2" shapeId="0">
      <text>
        <r>
          <rPr>
            <b/>
            <sz val="9"/>
            <color indexed="81"/>
            <rFont val="Tahoma"/>
            <family val="2"/>
          </rPr>
          <t>Paul Luff:</t>
        </r>
        <r>
          <rPr>
            <sz val="9"/>
            <color indexed="81"/>
            <rFont val="Tahoma"/>
            <family val="2"/>
          </rPr>
          <t xml:space="preserve">
Glen $75K
Other $7.5K
</t>
        </r>
      </text>
    </comment>
    <comment ref="AI494" authorId="2" shapeId="0">
      <text>
        <r>
          <rPr>
            <b/>
            <sz val="9"/>
            <color indexed="81"/>
            <rFont val="Tahoma"/>
            <family val="2"/>
          </rPr>
          <t>Paul Luff:</t>
        </r>
        <r>
          <rPr>
            <sz val="9"/>
            <color indexed="81"/>
            <rFont val="Tahoma"/>
            <family val="2"/>
          </rPr>
          <t xml:space="preserve">
Glen $55K
Other $47K</t>
        </r>
      </text>
    </comment>
    <comment ref="AK494" authorId="2" shapeId="0">
      <text>
        <r>
          <rPr>
            <b/>
            <sz val="9"/>
            <color indexed="81"/>
            <rFont val="Tahoma"/>
            <family val="2"/>
          </rPr>
          <t>Paul Luff:</t>
        </r>
        <r>
          <rPr>
            <sz val="9"/>
            <color indexed="81"/>
            <rFont val="Tahoma"/>
            <family val="2"/>
          </rPr>
          <t xml:space="preserve">
Glen $30
Other $23
</t>
        </r>
      </text>
    </comment>
    <comment ref="D531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club - insurance &amp; electricity</t>
        </r>
      </text>
    </comment>
    <comment ref="F642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offset by contribution FOGG</t>
        </r>
      </text>
    </comment>
    <comment ref="F727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ooffset applies</t>
        </r>
      </text>
    </comment>
  </commentList>
</comments>
</file>

<file path=xl/comments5.xml><?xml version="1.0" encoding="utf-8"?>
<comments xmlns="http://schemas.openxmlformats.org/spreadsheetml/2006/main">
  <authors>
    <author>Paul Luff</author>
  </authors>
  <commentList>
    <comment ref="T72" authorId="0" shapeId="0">
      <text>
        <r>
          <rPr>
            <b/>
            <sz val="9"/>
            <color indexed="81"/>
            <rFont val="Tahoma"/>
            <family val="2"/>
          </rPr>
          <t>Paul Luff:</t>
        </r>
        <r>
          <rPr>
            <sz val="9"/>
            <color indexed="81"/>
            <rFont val="Tahoma"/>
            <family val="2"/>
          </rPr>
          <t xml:space="preserve">
web design</t>
        </r>
      </text>
    </comment>
    <comment ref="T86" authorId="0" shapeId="0">
      <text>
        <r>
          <rPr>
            <b/>
            <sz val="9"/>
            <color indexed="81"/>
            <rFont val="Tahoma"/>
            <family val="2"/>
          </rPr>
          <t>Paul Luff:</t>
        </r>
        <r>
          <rPr>
            <sz val="9"/>
            <color indexed="81"/>
            <rFont val="Tahoma"/>
            <family val="2"/>
          </rPr>
          <t xml:space="preserve">
check with Glen and  reflect in General Fund</t>
        </r>
      </text>
    </comment>
    <comment ref="T130" authorId="0" shapeId="0">
      <text>
        <r>
          <rPr>
            <b/>
            <sz val="9"/>
            <color indexed="81"/>
            <rFont val="Tahoma"/>
            <family val="2"/>
          </rPr>
          <t>Paul Luff:</t>
        </r>
        <r>
          <rPr>
            <sz val="9"/>
            <color indexed="81"/>
            <rFont val="Tahoma"/>
            <family val="2"/>
          </rPr>
          <t xml:space="preserve">
a general fund offset applies</t>
        </r>
      </text>
    </comment>
    <comment ref="T132" authorId="0" shapeId="0">
      <text>
        <r>
          <rPr>
            <b/>
            <sz val="9"/>
            <color indexed="81"/>
            <rFont val="Tahoma"/>
            <family val="2"/>
          </rPr>
          <t>Paul Luff:</t>
        </r>
        <r>
          <rPr>
            <sz val="9"/>
            <color indexed="81"/>
            <rFont val="Tahoma"/>
            <family val="2"/>
          </rPr>
          <t xml:space="preserve">
a G Fund offset applies
</t>
        </r>
      </text>
    </comment>
    <comment ref="T137" authorId="0" shapeId="0">
      <text>
        <r>
          <rPr>
            <b/>
            <sz val="9"/>
            <color indexed="81"/>
            <rFont val="Tahoma"/>
            <family val="2"/>
          </rPr>
          <t>Paul Luff:</t>
        </r>
        <r>
          <rPr>
            <sz val="9"/>
            <color indexed="81"/>
            <rFont val="Tahoma"/>
            <family val="2"/>
          </rPr>
          <t xml:space="preserve">
reflects c'over to 12/13</t>
        </r>
      </text>
    </comment>
  </commentList>
</comments>
</file>

<file path=xl/comments6.xml><?xml version="1.0" encoding="utf-8"?>
<comments xmlns="http://schemas.openxmlformats.org/spreadsheetml/2006/main">
  <authors>
    <author>Paul Luff</author>
  </authors>
  <commentList>
    <comment ref="P37" authorId="0" shapeId="0">
      <text>
        <r>
          <rPr>
            <b/>
            <sz val="9"/>
            <color indexed="81"/>
            <rFont val="Tahoma"/>
            <family val="2"/>
          </rPr>
          <t>Paul Luff:</t>
        </r>
        <r>
          <rPr>
            <sz val="9"/>
            <color indexed="81"/>
            <rFont val="Tahoma"/>
            <family val="2"/>
          </rPr>
          <t xml:space="preserve">
+10%</t>
        </r>
      </text>
    </comment>
    <comment ref="AQ37" authorId="0" shapeId="0">
      <text>
        <r>
          <rPr>
            <b/>
            <sz val="9"/>
            <color indexed="81"/>
            <rFont val="Tahoma"/>
            <family val="2"/>
          </rPr>
          <t>Paul Luff:</t>
        </r>
        <r>
          <rPr>
            <sz val="9"/>
            <color indexed="81"/>
            <rFont val="Tahoma"/>
            <family val="2"/>
          </rPr>
          <t xml:space="preserve">
+7.5%
</t>
        </r>
      </text>
    </comment>
  </commentList>
</comments>
</file>

<file path=xl/comments7.xml><?xml version="1.0" encoding="utf-8"?>
<comments xmlns="http://schemas.openxmlformats.org/spreadsheetml/2006/main">
  <authors>
    <author>Paul</author>
    <author>Paul Luff</author>
  </authors>
  <commentList>
    <comment ref="AM39" authorId="0" shapeId="0">
      <text>
        <r>
          <rPr>
            <b/>
            <sz val="8"/>
            <color indexed="81"/>
            <rFont val="Tahoma"/>
            <family val="2"/>
          </rPr>
          <t>Paul:</t>
        </r>
        <r>
          <rPr>
            <sz val="8"/>
            <color indexed="81"/>
            <rFont val="Tahoma"/>
            <family val="2"/>
          </rPr>
          <t xml:space="preserve">
revert to a 10
% increase</t>
        </r>
      </text>
    </comment>
    <comment ref="AQ39" authorId="1" shapeId="0">
      <text>
        <r>
          <rPr>
            <b/>
            <sz val="9"/>
            <color indexed="81"/>
            <rFont val="Tahoma"/>
            <family val="2"/>
          </rPr>
          <t>Paul Luff:</t>
        </r>
        <r>
          <rPr>
            <sz val="9"/>
            <color indexed="81"/>
            <rFont val="Tahoma"/>
            <family val="2"/>
          </rPr>
          <t xml:space="preserve">
7.5% +</t>
        </r>
      </text>
    </comment>
    <comment ref="P115" authorId="1" shapeId="0">
      <text>
        <r>
          <rPr>
            <b/>
            <sz val="9"/>
            <color indexed="81"/>
            <rFont val="Tahoma"/>
            <family val="2"/>
          </rPr>
          <t>Paul Luff:</t>
        </r>
        <r>
          <rPr>
            <sz val="9"/>
            <color indexed="81"/>
            <rFont val="Tahoma"/>
            <family val="2"/>
          </rPr>
          <t xml:space="preserve">
Wil
liam St pump station</t>
        </r>
      </text>
    </comment>
  </commentList>
</comments>
</file>

<file path=xl/sharedStrings.xml><?xml version="1.0" encoding="utf-8"?>
<sst xmlns="http://schemas.openxmlformats.org/spreadsheetml/2006/main" count="7047" uniqueCount="1385">
  <si>
    <t>GENERAL FUND SUMMARY</t>
  </si>
  <si>
    <t>Working Funds</t>
  </si>
  <si>
    <t>Balance 1.7.03</t>
  </si>
  <si>
    <t>Result 2003/4</t>
  </si>
  <si>
    <t>Balance 30.6.04</t>
  </si>
  <si>
    <t>Result 2004/5</t>
  </si>
  <si>
    <t>Balance 30.6.05</t>
  </si>
  <si>
    <t>Reserve Funds</t>
  </si>
  <si>
    <t>Estimate</t>
  </si>
  <si>
    <t>Actual</t>
  </si>
  <si>
    <t>Balance</t>
  </si>
  <si>
    <t>Revised</t>
  </si>
  <si>
    <t>Variance</t>
  </si>
  <si>
    <t>Variation</t>
  </si>
  <si>
    <t>2011-12</t>
  </si>
  <si>
    <t>:30 Sept 11</t>
  </si>
  <si>
    <t>:11/12</t>
  </si>
  <si>
    <t>:31 Dec 11</t>
  </si>
  <si>
    <t>2012-13</t>
  </si>
  <si>
    <t>30.9.12</t>
  </si>
  <si>
    <t>30.09.12</t>
  </si>
  <si>
    <t>31.12.12</t>
  </si>
  <si>
    <t>01.01.13</t>
  </si>
  <si>
    <t>31.03.13</t>
  </si>
  <si>
    <t>2013-14</t>
  </si>
  <si>
    <t>2014-15</t>
  </si>
  <si>
    <t>2015-16</t>
  </si>
  <si>
    <t>2016-17</t>
  </si>
  <si>
    <t>2017-18</t>
  </si>
  <si>
    <t>2018-19</t>
  </si>
  <si>
    <t>2019-20</t>
  </si>
  <si>
    <t>2020-21</t>
  </si>
  <si>
    <t>2021-22</t>
  </si>
  <si>
    <t>2022-23</t>
  </si>
  <si>
    <t xml:space="preserve">Opening Balance  </t>
  </si>
  <si>
    <t xml:space="preserve">   Revenue : Operating</t>
  </si>
  <si>
    <t xml:space="preserve">                     Capital</t>
  </si>
  <si>
    <t xml:space="preserve">   Expend  : Operating</t>
  </si>
  <si>
    <t xml:space="preserve">                   Capital</t>
  </si>
  <si>
    <t xml:space="preserve">  Adjustment - revenue</t>
  </si>
  <si>
    <t xml:space="preserve">  Adjustment - other</t>
  </si>
  <si>
    <t xml:space="preserve">   Result  </t>
  </si>
  <si>
    <t xml:space="preserve">Closing Balance  </t>
  </si>
  <si>
    <t xml:space="preserve">"TO" </t>
  </si>
  <si>
    <t>"FROM"</t>
  </si>
  <si>
    <t>ESTIMATES - GENERAL FUND 2011/2012</t>
  </si>
  <si>
    <t>REVENUE</t>
  </si>
  <si>
    <t>General Purpose</t>
  </si>
  <si>
    <t xml:space="preserve">Rates  </t>
  </si>
  <si>
    <t>Emissions Trading Scheme</t>
  </si>
  <si>
    <t xml:space="preserve">FAG - General  </t>
  </si>
  <si>
    <t xml:space="preserve">            - Roads</t>
  </si>
  <si>
    <t>Roads to Recovery ( A )</t>
  </si>
  <si>
    <t>Roads to Recovery ( B )</t>
  </si>
  <si>
    <t>Extra Roads to Recovery</t>
  </si>
  <si>
    <t>Pensioner Subsidy</t>
  </si>
  <si>
    <t>Interest/ X Charges</t>
  </si>
  <si>
    <t>Other</t>
  </si>
  <si>
    <t>Administration</t>
  </si>
  <si>
    <t>Corporate Support</t>
  </si>
  <si>
    <t>S.603/S.735A</t>
  </si>
  <si>
    <t>C/Card Surcharge</t>
  </si>
  <si>
    <t>Phone/ I'net rebate</t>
  </si>
  <si>
    <t>Rebates/Incentives</t>
  </si>
  <si>
    <t xml:space="preserve">Contrib  </t>
  </si>
  <si>
    <t>Energy Efficiency Grant</t>
  </si>
  <si>
    <t xml:space="preserve">Sundry  </t>
  </si>
  <si>
    <t>Engineering &amp; Works</t>
  </si>
  <si>
    <t>Sale Old Material</t>
  </si>
  <si>
    <t>Works Contrib - Engineer</t>
  </si>
  <si>
    <t>Profit on Sale of Asset</t>
  </si>
  <si>
    <t xml:space="preserve">Plant Expend  </t>
  </si>
  <si>
    <t>Plant Income</t>
  </si>
  <si>
    <t>Training Contrib</t>
  </si>
  <si>
    <t xml:space="preserve">Other  </t>
  </si>
  <si>
    <t>Flood Manag Plan Grant</t>
  </si>
  <si>
    <t xml:space="preserve"> Diesel rebate</t>
  </si>
  <si>
    <t>Public Order &amp; Safety</t>
  </si>
  <si>
    <t>Fire Protection</t>
  </si>
  <si>
    <t>Grants - zone reimb</t>
  </si>
  <si>
    <t>Grants - bal shed/ other</t>
  </si>
  <si>
    <t>Grants - North - equip</t>
  </si>
  <si>
    <t xml:space="preserve">M &amp; R Contribution RFS  </t>
  </si>
  <si>
    <t>Contribution RFS  addit</t>
  </si>
  <si>
    <t>Contribution - other</t>
  </si>
  <si>
    <t>Appliances/ Sheds</t>
  </si>
  <si>
    <t>HRS</t>
  </si>
  <si>
    <t>Sundry - IMX / Tanksetc</t>
  </si>
  <si>
    <t>Animal Control</t>
  </si>
  <si>
    <t>Fees &amp; Fines</t>
  </si>
  <si>
    <t>Sundry</t>
  </si>
  <si>
    <t xml:space="preserve">                                                                                                                                                                                </t>
  </si>
  <si>
    <t>Emergency Services</t>
  </si>
  <si>
    <t>Grants</t>
  </si>
  <si>
    <t xml:space="preserve">Contribution </t>
  </si>
  <si>
    <t>Contribution - operational</t>
  </si>
  <si>
    <t>Health</t>
  </si>
  <si>
    <t>Fees; Health &amp; Registration</t>
  </si>
  <si>
    <t>Grant - "Safecom"</t>
  </si>
  <si>
    <t>Noxious Weeds &amp; Pest Control</t>
  </si>
  <si>
    <t>Grant - ERNWAG</t>
  </si>
  <si>
    <t>Fines/ Fees</t>
  </si>
  <si>
    <t>Pest Conrtol</t>
  </si>
  <si>
    <t>Contributions- RIA</t>
  </si>
  <si>
    <t>Medical Centre</t>
  </si>
  <si>
    <t>Other - insurance fund</t>
  </si>
  <si>
    <t>Rent</t>
  </si>
  <si>
    <t>Healthy Shires</t>
  </si>
  <si>
    <t>Grant: Driver Fatigue</t>
  </si>
  <si>
    <t>Community Services &amp; Education</t>
  </si>
  <si>
    <t>Youth Services</t>
  </si>
  <si>
    <t>Small Chambers Commerce</t>
  </si>
  <si>
    <t>Womens Day</t>
  </si>
  <si>
    <t>Housing &amp; Community Amenities</t>
  </si>
  <si>
    <t>Housing</t>
  </si>
  <si>
    <t xml:space="preserve">Rents  </t>
  </si>
  <si>
    <t>Profit on sale</t>
  </si>
  <si>
    <t>Town  Planning</t>
  </si>
  <si>
    <t>Sub - Div &amp; DA Fees</t>
  </si>
  <si>
    <t>S94A Contrib Plan</t>
  </si>
  <si>
    <t>Special Planning Grant</t>
  </si>
  <si>
    <t>Addit  Planning Grant</t>
  </si>
  <si>
    <t>S149 Fees/ S121ZP Cert</t>
  </si>
  <si>
    <t>Garbage</t>
  </si>
  <si>
    <t xml:space="preserve">DWM Charge  </t>
  </si>
  <si>
    <t>Grant - Pensioner Sub</t>
  </si>
  <si>
    <t>Sale MGB</t>
  </si>
  <si>
    <t>Landfill Charges</t>
  </si>
  <si>
    <t>Contrib - General Fund</t>
  </si>
  <si>
    <t>Clister Compost Trial</t>
  </si>
  <si>
    <t>Contribution/ Sundry</t>
  </si>
  <si>
    <t>Country Tips: contrib</t>
  </si>
  <si>
    <t>Sundry- ScrapMetal Sales</t>
  </si>
  <si>
    <t>Stormwater Drains</t>
  </si>
  <si>
    <t>Grant/Contribution</t>
  </si>
  <si>
    <t>Cemetries</t>
  </si>
  <si>
    <t>Fees</t>
  </si>
  <si>
    <t>Recreation &amp; Culture</t>
  </si>
  <si>
    <t>Public Libraries</t>
  </si>
  <si>
    <t>Grant - per capita</t>
  </si>
  <si>
    <t>Other Grant - incl c/over</t>
  </si>
  <si>
    <t>User fees</t>
  </si>
  <si>
    <t>Museum</t>
  </si>
  <si>
    <t>Grant - Advisory Officer</t>
  </si>
  <si>
    <t>Contribution- Develop</t>
  </si>
  <si>
    <t xml:space="preserve">Fees </t>
  </si>
  <si>
    <t>Community Centre</t>
  </si>
  <si>
    <t>Rents</t>
  </si>
  <si>
    <t xml:space="preserve">Contribution etc </t>
  </si>
  <si>
    <t>Public Halls</t>
  </si>
  <si>
    <t>Rental Fee</t>
  </si>
  <si>
    <t>Other Cultural</t>
  </si>
  <si>
    <t xml:space="preserve">Heritage Grant  </t>
  </si>
  <si>
    <t>Heritage Study</t>
  </si>
  <si>
    <t>T,box Walking Trail Grant</t>
  </si>
  <si>
    <t>CMA Grant/ Other ( Audio )</t>
  </si>
  <si>
    <t>Old G'gai Gaol Grant</t>
  </si>
  <si>
    <t>Old G'gai Gaol Grant: CE</t>
  </si>
  <si>
    <t>Old G'gai Gaol - contrib</t>
  </si>
  <si>
    <t>Old G'gai Gaol Grant- equip</t>
  </si>
  <si>
    <t>Swimming Pool</t>
  </si>
  <si>
    <t xml:space="preserve">Entry Fee </t>
  </si>
  <si>
    <t>Upgrade grant</t>
  </si>
  <si>
    <t>Insurance - storm damage</t>
  </si>
  <si>
    <t>Parks &amp; Gardens</t>
  </si>
  <si>
    <t>Contrib: Anzac Park</t>
  </si>
  <si>
    <t>Skate Park - S &amp; R Grant</t>
  </si>
  <si>
    <t>Boat Ramp Grant</t>
  </si>
  <si>
    <t>Irrig'n Grant</t>
  </si>
  <si>
    <t>Irrig'n Contrib c'over</t>
  </si>
  <si>
    <t>Contrib: TID -C'berry Park</t>
  </si>
  <si>
    <t xml:space="preserve">State Project </t>
  </si>
  <si>
    <t>C'wealth Project</t>
  </si>
  <si>
    <t>C'wealth Project - TID</t>
  </si>
  <si>
    <t>Usage fees</t>
  </si>
  <si>
    <t>Donation F'ship Park</t>
  </si>
  <si>
    <t>Contrib: TID - water system</t>
  </si>
  <si>
    <t>Flood Damage: 10*10</t>
  </si>
  <si>
    <t>Flood Damage: 12*10</t>
  </si>
  <si>
    <t>Netball Courts; cont/grants</t>
  </si>
  <si>
    <t>L'Care Contribution</t>
  </si>
  <si>
    <t>TID Cont - tennis courts</t>
  </si>
  <si>
    <t>Coolac Upgrade</t>
  </si>
  <si>
    <t>Yarri Park Grant</t>
  </si>
  <si>
    <t>Mining , Manufacturing &amp; Construction</t>
  </si>
  <si>
    <t>Building Control</t>
  </si>
  <si>
    <t xml:space="preserve">Permits/Construction Cert </t>
  </si>
  <si>
    <t>Inspections</t>
  </si>
  <si>
    <t>Advertising Signs</t>
  </si>
  <si>
    <t xml:space="preserve">S.172 Certificates  </t>
  </si>
  <si>
    <t>Transport &amp; Communications</t>
  </si>
  <si>
    <t>Urban</t>
  </si>
  <si>
    <t>Contribution/ Fees</t>
  </si>
  <si>
    <t>Rural - Sealed</t>
  </si>
  <si>
    <t>Timber Haulage</t>
  </si>
  <si>
    <t>Coolac Bypass</t>
  </si>
  <si>
    <t>Royalty</t>
  </si>
  <si>
    <t>Rural - Unsealed</t>
  </si>
  <si>
    <t xml:space="preserve">  Maint</t>
  </si>
  <si>
    <t xml:space="preserve">  3 x 3</t>
  </si>
  <si>
    <t>Flood/ Storm Grant</t>
  </si>
  <si>
    <t>Bridges</t>
  </si>
  <si>
    <t>Heavy Vehicle Grant</t>
  </si>
  <si>
    <t>Flood Grant</t>
  </si>
  <si>
    <t>RTA Works</t>
  </si>
  <si>
    <t>Block Grant</t>
  </si>
  <si>
    <t xml:space="preserve">          : C'over</t>
  </si>
  <si>
    <t>School Car Park</t>
  </si>
  <si>
    <t>Black Spot - MR279 Appch</t>
  </si>
  <si>
    <t>Const : Stony Ck Bridge</t>
  </si>
  <si>
    <t>Const  : MR 279</t>
  </si>
  <si>
    <t xml:space="preserve">            : MR279 extra</t>
  </si>
  <si>
    <t xml:space="preserve">           : Repair</t>
  </si>
  <si>
    <t xml:space="preserve">            : Extra Repair</t>
  </si>
  <si>
    <t>Bus Bays</t>
  </si>
  <si>
    <t>Traffic Isaland -50:50</t>
  </si>
  <si>
    <t>Cycleway Grant - additional</t>
  </si>
  <si>
    <t>Cycleway Grant</t>
  </si>
  <si>
    <t>Gobarralong Bridge</t>
  </si>
  <si>
    <t>Main St - grant</t>
  </si>
  <si>
    <t xml:space="preserve">Main St - Reg Sol'n Grant </t>
  </si>
  <si>
    <t xml:space="preserve">Main St - Loan </t>
  </si>
  <si>
    <t>Main St - TID contrib</t>
  </si>
  <si>
    <t>Storm Damage  3*10</t>
  </si>
  <si>
    <t>Storm Damage  9*10</t>
  </si>
  <si>
    <t>Storm Damage  10*10</t>
  </si>
  <si>
    <t>Storm Damage  12*10</t>
  </si>
  <si>
    <t>Storm Damage RR: 10*10</t>
  </si>
  <si>
    <t>Storm Damage RR: 12*10</t>
  </si>
  <si>
    <t>Storm Damage SR: 12*10</t>
  </si>
  <si>
    <t>TID Contrib - Main St</t>
  </si>
  <si>
    <t>Auslink - Tumorrama bridge</t>
  </si>
  <si>
    <t>PAMP 04/5 ( 60:40 )</t>
  </si>
  <si>
    <t>PAMP 05/6 ( 50:50 )</t>
  </si>
  <si>
    <t>PAMP 50:50  $10K</t>
  </si>
  <si>
    <t>PAMP 08/9 ( 45:55 )</t>
  </si>
  <si>
    <t>PAMP 09/10 (73:27)</t>
  </si>
  <si>
    <t>PAMP   ($2.5k:$2.5k)</t>
  </si>
  <si>
    <t>TID Contrib - general</t>
  </si>
  <si>
    <t>TID Contrib - specific works</t>
  </si>
  <si>
    <t>TID Contrib - car park</t>
  </si>
  <si>
    <t>TID Contrib - cul de sacs</t>
  </si>
  <si>
    <t>RSO</t>
  </si>
  <si>
    <t>F'path License</t>
  </si>
  <si>
    <t>Sheahan Bdg - commerative</t>
  </si>
  <si>
    <t>Skate Park - TID Contrib</t>
  </si>
  <si>
    <t>Skate Park - grant</t>
  </si>
  <si>
    <t>Riv. Div. General Pract</t>
  </si>
  <si>
    <t>Gravel Pit Restoration</t>
  </si>
  <si>
    <t>TOTAL</t>
  </si>
  <si>
    <t>Economic Services</t>
  </si>
  <si>
    <t>Caravan Parks</t>
  </si>
  <si>
    <t xml:space="preserve">River Park </t>
  </si>
  <si>
    <t>Tourism</t>
  </si>
  <si>
    <t>Grant: C'over</t>
  </si>
  <si>
    <t xml:space="preserve">        : Sail</t>
  </si>
  <si>
    <t xml:space="preserve">Masterpiece  </t>
  </si>
  <si>
    <t>Souvenirs / Kiosk</t>
  </si>
  <si>
    <t xml:space="preserve">Commission  </t>
  </si>
  <si>
    <t>Contribution RH Build</t>
  </si>
  <si>
    <t>Brochure</t>
  </si>
  <si>
    <t>Saleyards</t>
  </si>
  <si>
    <t>Contribution- Agents</t>
  </si>
  <si>
    <t>Upgrade Grant</t>
  </si>
  <si>
    <t>Truckwash</t>
  </si>
  <si>
    <t xml:space="preserve">Fees  </t>
  </si>
  <si>
    <t>Economic Devel Officer</t>
  </si>
  <si>
    <t>Bourke Est - contrib</t>
  </si>
  <si>
    <t xml:space="preserve">                   - Other - sales </t>
  </si>
  <si>
    <t>Rents T'box etc</t>
  </si>
  <si>
    <t>TRE Building Lease</t>
  </si>
  <si>
    <t>TRE Building Reserve alloc</t>
  </si>
  <si>
    <t>Gocup Rd - SWS</t>
  </si>
  <si>
    <t>Private Works</t>
  </si>
  <si>
    <t>Sundry Rentals</t>
  </si>
  <si>
    <t>CAPITAL INCOME</t>
  </si>
  <si>
    <t>T'fer (T0)/ FROM Reserve</t>
  </si>
  <si>
    <t>Deferred Debt- Repay</t>
  </si>
  <si>
    <t>Loan Internal  ( Saleyards )</t>
  </si>
  <si>
    <t>Loan ( Gaol )</t>
  </si>
  <si>
    <t>Loan ( Main St )</t>
  </si>
  <si>
    <t>Inc ELE Provision</t>
  </si>
  <si>
    <t>Sale of Residence ( net )</t>
  </si>
  <si>
    <t>Sale Sheepyards</t>
  </si>
  <si>
    <t xml:space="preserve">   - selling costs</t>
  </si>
  <si>
    <t>Sale Land</t>
  </si>
  <si>
    <t>Sale Medical Centre</t>
  </si>
  <si>
    <t>Sale Riv H'lands Bld'ing</t>
  </si>
  <si>
    <t>Inc other provisions</t>
  </si>
  <si>
    <t>Depreciation</t>
  </si>
  <si>
    <t>TOTAL INCOME</t>
  </si>
  <si>
    <t>EXPENDITURE</t>
  </si>
  <si>
    <t>Governance</t>
  </si>
  <si>
    <t>Audit Fees</t>
  </si>
  <si>
    <t>Election Expenses</t>
  </si>
  <si>
    <t>Councillor  Expenses</t>
  </si>
  <si>
    <t>Elected Members Fees</t>
  </si>
  <si>
    <t>Mayoral Fees</t>
  </si>
  <si>
    <t>Salaries/ ELE</t>
  </si>
  <si>
    <t>Training</t>
  </si>
  <si>
    <t>IP&amp;R - phase 3</t>
  </si>
  <si>
    <t>L Gov - costitutional recog</t>
  </si>
  <si>
    <t>Subscription LG&amp;SA</t>
  </si>
  <si>
    <t>Administration cont</t>
  </si>
  <si>
    <t>Salaries</t>
  </si>
  <si>
    <t>ELE</t>
  </si>
  <si>
    <t>Travelling</t>
  </si>
  <si>
    <t xml:space="preserve">Workers Comp </t>
  </si>
  <si>
    <t xml:space="preserve">   Workers Comp adj</t>
  </si>
  <si>
    <t>Superann - Accumulation</t>
  </si>
  <si>
    <t xml:space="preserve">Superann - Defined Benefit </t>
  </si>
  <si>
    <t>LGMA - econnect</t>
  </si>
  <si>
    <t>LGSA HR Advance Licence</t>
  </si>
  <si>
    <t>FBT</t>
  </si>
  <si>
    <t>Asset Valuation</t>
  </si>
  <si>
    <t>Loss on Sale</t>
  </si>
  <si>
    <t>Bad Debts/ Recovery</t>
  </si>
  <si>
    <t>Legal Expenses</t>
  </si>
  <si>
    <t>Stat Liab &amp; Officer Liab</t>
  </si>
  <si>
    <t>Insurances</t>
  </si>
  <si>
    <t>Insurance Liability</t>
  </si>
  <si>
    <t>Public Risk Insur</t>
  </si>
  <si>
    <t xml:space="preserve">Freight </t>
  </si>
  <si>
    <t>Advertising</t>
  </si>
  <si>
    <t>Bank Charges</t>
  </si>
  <si>
    <t>Outsourcing Staff</t>
  </si>
  <si>
    <t>Write Downs</t>
  </si>
  <si>
    <t>Cleaning</t>
  </si>
  <si>
    <t>Power</t>
  </si>
  <si>
    <t>Postage</t>
  </si>
  <si>
    <t>Printing &amp; Stationery</t>
  </si>
  <si>
    <t>Rates &amp; Charges</t>
  </si>
  <si>
    <t>Building M&amp;R</t>
  </si>
  <si>
    <t>Building Deprec</t>
  </si>
  <si>
    <t>Furn &amp; Equip : M&amp;R</t>
  </si>
  <si>
    <t>Furn &amp; Equip : IT Facilities</t>
  </si>
  <si>
    <t xml:space="preserve">                     : Deprec</t>
  </si>
  <si>
    <t xml:space="preserve">Subscriptions/ M'ship  </t>
  </si>
  <si>
    <t>REROC - Extra contrib</t>
  </si>
  <si>
    <t>Telephones</t>
  </si>
  <si>
    <t>Valuation - VG's</t>
  </si>
  <si>
    <t>Contrib/ Donations</t>
  </si>
  <si>
    <t>Timber T'force M'ship</t>
  </si>
  <si>
    <t>Internal Audit</t>
  </si>
  <si>
    <t>LESS  Gov  Oncost</t>
  </si>
  <si>
    <t>LESS Cont Other Funds</t>
  </si>
  <si>
    <t xml:space="preserve">Salaries </t>
  </si>
  <si>
    <t>AL</t>
  </si>
  <si>
    <t>SL</t>
  </si>
  <si>
    <t>LSL</t>
  </si>
  <si>
    <t>Public Holidays</t>
  </si>
  <si>
    <t>Accident Pay</t>
  </si>
  <si>
    <t>Other Insurances/ Excess</t>
  </si>
  <si>
    <t>Procurement Package</t>
  </si>
  <si>
    <t>OH&amp;S &amp; Indirect</t>
  </si>
  <si>
    <t xml:space="preserve">   - special programs</t>
  </si>
  <si>
    <t xml:space="preserve">   - drug &amp; alcohol policy</t>
  </si>
  <si>
    <t>Safety Clothing</t>
  </si>
  <si>
    <t>Dep,n : building</t>
  </si>
  <si>
    <t>Sundry Office</t>
  </si>
  <si>
    <t>Loss on sale</t>
  </si>
  <si>
    <t>M'ship - Softwoods Working</t>
  </si>
  <si>
    <t>LESS : Oncost</t>
  </si>
  <si>
    <t>Depot Expenses</t>
  </si>
  <si>
    <t>Flood Management Plan</t>
  </si>
  <si>
    <t>Engin. Instruments</t>
  </si>
  <si>
    <t xml:space="preserve">            : Depreciation</t>
  </si>
  <si>
    <t>Radios - M&amp;R</t>
  </si>
  <si>
    <t xml:space="preserve">                 - Deprec</t>
  </si>
  <si>
    <t>Stocktake Adjustment</t>
  </si>
  <si>
    <t>Rural Addressing</t>
  </si>
  <si>
    <t xml:space="preserve">Contrib to Dept  </t>
  </si>
  <si>
    <t>Hazard Reduction</t>
  </si>
  <si>
    <t>Reimb Program Charges</t>
  </si>
  <si>
    <t xml:space="preserve"> </t>
  </si>
  <si>
    <t>Zone expenses</t>
  </si>
  <si>
    <t>Miscellaneous</t>
  </si>
  <si>
    <t xml:space="preserve">Reimb Tanker/ Pump Cost </t>
  </si>
  <si>
    <t>Fire Fighting</t>
  </si>
  <si>
    <t>Dog Rego &amp; Impound</t>
  </si>
  <si>
    <t>Ranger Wages/ELE</t>
  </si>
  <si>
    <t>Plant etc</t>
  </si>
  <si>
    <t>Animal Impounding</t>
  </si>
  <si>
    <t>Disposal Dead Animals</t>
  </si>
  <si>
    <t>Contribution</t>
  </si>
  <si>
    <t>Contribution - truck</t>
  </si>
  <si>
    <t>Clean up Aust contribution</t>
  </si>
  <si>
    <t>Admin &amp; Inspection</t>
  </si>
  <si>
    <t>Salary</t>
  </si>
  <si>
    <t>New Health/Build Surveyor</t>
  </si>
  <si>
    <t xml:space="preserve">Travelling </t>
  </si>
  <si>
    <t>LESS Salary Reimb</t>
  </si>
  <si>
    <t>Insect Control</t>
  </si>
  <si>
    <t>Noxious Weeds</t>
  </si>
  <si>
    <t>ERNWAG Co-ordinator</t>
  </si>
  <si>
    <t>Wages/ELE</t>
  </si>
  <si>
    <t>Plant</t>
  </si>
  <si>
    <t>Contrib - H Surveyor</t>
  </si>
  <si>
    <t>Contractors</t>
  </si>
  <si>
    <t>Sundry: chemical etc</t>
  </si>
  <si>
    <t>Health Centres</t>
  </si>
  <si>
    <t>Medical Centre (dep'n)</t>
  </si>
  <si>
    <t xml:space="preserve">       :R &amp; M</t>
  </si>
  <si>
    <t>Comm Services &amp; Education</t>
  </si>
  <si>
    <t>Community Services</t>
  </si>
  <si>
    <t>Internat Womens Day</t>
  </si>
  <si>
    <t>Mens Shed</t>
  </si>
  <si>
    <t>Plaza Night</t>
  </si>
  <si>
    <t xml:space="preserve">Youth Officer/ </t>
  </si>
  <si>
    <t>REROC Community Profile</t>
  </si>
  <si>
    <t>SouthCare</t>
  </si>
  <si>
    <t>Seniors week</t>
  </si>
  <si>
    <t>Other - Car Rally</t>
  </si>
  <si>
    <t>Boys Club / Lions/ Bridges</t>
  </si>
  <si>
    <t>Community Bus</t>
  </si>
  <si>
    <t>Youth Council</t>
  </si>
  <si>
    <t>DWM Contribution - tips</t>
  </si>
  <si>
    <t>CSO  - T Wave Fest !!!</t>
  </si>
  <si>
    <t>CSO - Snake Gully</t>
  </si>
  <si>
    <t>NERCS</t>
  </si>
  <si>
    <t>Education</t>
  </si>
  <si>
    <t>Pre School - Misc</t>
  </si>
  <si>
    <t>Dwelling- M&amp;R</t>
  </si>
  <si>
    <t xml:space="preserve">              - relocation expenses</t>
  </si>
  <si>
    <t xml:space="preserve">              - rental assistance</t>
  </si>
  <si>
    <t xml:space="preserve">              - Deprec</t>
  </si>
  <si>
    <t>Town Planning</t>
  </si>
  <si>
    <t>Town Planner</t>
  </si>
  <si>
    <t>Contrib H &amp; B S</t>
  </si>
  <si>
    <t>DA - general expenses</t>
  </si>
  <si>
    <t>DA - legal expenses</t>
  </si>
  <si>
    <t>Plan First - consultant</t>
  </si>
  <si>
    <t xml:space="preserve">               - LEP/ Mapping</t>
  </si>
  <si>
    <t>Domestic Waste Management</t>
  </si>
  <si>
    <t>Prop Admin</t>
  </si>
  <si>
    <t>Prop Health Surv Sal</t>
  </si>
  <si>
    <t>Carters Wages- collect</t>
  </si>
  <si>
    <t>Vehicle Running Exp - collect</t>
  </si>
  <si>
    <t xml:space="preserve">   - recycling</t>
  </si>
  <si>
    <t xml:space="preserve">   - haulage</t>
  </si>
  <si>
    <t>Recycling - collection</t>
  </si>
  <si>
    <t>Sundry Collection Exp</t>
  </si>
  <si>
    <t>Disposal:- Town Tip</t>
  </si>
  <si>
    <t xml:space="preserve">              - Bald Hill</t>
  </si>
  <si>
    <t xml:space="preserve">              - Coota  Recycling</t>
  </si>
  <si>
    <t xml:space="preserve">              - Country Tip</t>
  </si>
  <si>
    <t xml:space="preserve">              - Sundry</t>
  </si>
  <si>
    <t>Tip Rehab Works</t>
  </si>
  <si>
    <t>MGB's</t>
  </si>
  <si>
    <t>Cluster Compost trial</t>
  </si>
  <si>
    <t>Carbon Pricing Scheme</t>
  </si>
  <si>
    <t>Country collections</t>
  </si>
  <si>
    <t>Loss on sale of asset</t>
  </si>
  <si>
    <t>Street Cleaning</t>
  </si>
  <si>
    <t>Stormwater Plan/ Valuat</t>
  </si>
  <si>
    <t>Sundry &amp; Depreciation</t>
  </si>
  <si>
    <t>Environment Protection</t>
  </si>
  <si>
    <t>State of Enviro. Report</t>
  </si>
  <si>
    <t>Public Conveniences</t>
  </si>
  <si>
    <t>Property Maintenance</t>
  </si>
  <si>
    <t>Street Furniture</t>
  </si>
  <si>
    <t>Libraries</t>
  </si>
  <si>
    <t>Contribution  RRL</t>
  </si>
  <si>
    <t xml:space="preserve">Salaries &amp; ELE  </t>
  </si>
  <si>
    <t>Electricity</t>
  </si>
  <si>
    <t>Furn &amp; Equip M&amp;R</t>
  </si>
  <si>
    <t>Subscriptions</t>
  </si>
  <si>
    <t>Telephone</t>
  </si>
  <si>
    <t>Admin Contribution</t>
  </si>
  <si>
    <t>RFID maintenance</t>
  </si>
  <si>
    <t>RTC - N'Hood Centre</t>
  </si>
  <si>
    <t>Sundry - incl Library</t>
  </si>
  <si>
    <t>Museum Advisor</t>
  </si>
  <si>
    <t>Community Centre/ Youth Council</t>
  </si>
  <si>
    <t>Public Halls etc</t>
  </si>
  <si>
    <t>Loss on Disposal</t>
  </si>
  <si>
    <t>Main Street - upgrade</t>
  </si>
  <si>
    <t>CMA Morleys Ck Works</t>
  </si>
  <si>
    <t xml:space="preserve">Heritage  </t>
  </si>
  <si>
    <t>Local Heritage Program</t>
  </si>
  <si>
    <t>Heritage Officer</t>
  </si>
  <si>
    <t>Heritage Officer - P/T</t>
  </si>
  <si>
    <t>Gaol M &amp; R</t>
  </si>
  <si>
    <t>Swimming Pools</t>
  </si>
  <si>
    <t>Lessee</t>
  </si>
  <si>
    <t>Operating Exp</t>
  </si>
  <si>
    <t>P&amp; G/ Sport Fields</t>
  </si>
  <si>
    <t>Running Expenses</t>
  </si>
  <si>
    <t>Relocate Dad, Dave etc</t>
  </si>
  <si>
    <t>Coolac Rec Ground</t>
  </si>
  <si>
    <t>Tennis Courts Upgrade</t>
  </si>
  <si>
    <t>Boat Ramp Enhancement</t>
  </si>
  <si>
    <t>Flood Damage: 3*12</t>
  </si>
  <si>
    <t>Sundry Expenses</t>
  </si>
  <si>
    <t>MAINTENANCE &amp; RTA CONSTRUCTION</t>
  </si>
  <si>
    <t>Urban Roads</t>
  </si>
  <si>
    <t>Sealed &amp; Unsealed</t>
  </si>
  <si>
    <t>FAG Reseals - extra</t>
  </si>
  <si>
    <t>FAG Reseals</t>
  </si>
  <si>
    <t>Sealed Rural</t>
  </si>
  <si>
    <t>Sealed Routine</t>
  </si>
  <si>
    <t>Unsealed Rural</t>
  </si>
  <si>
    <t>Unsealed Routine</t>
  </si>
  <si>
    <t>Smarts Road</t>
  </si>
  <si>
    <t>FAG Maint- resheet</t>
  </si>
  <si>
    <t>Bus Shelters</t>
  </si>
  <si>
    <t>School Car Park - RTA</t>
  </si>
  <si>
    <t>M&amp;I</t>
  </si>
  <si>
    <t>M&amp;I Block Grant</t>
  </si>
  <si>
    <t>M&amp;I Block Grant - c'over</t>
  </si>
  <si>
    <t xml:space="preserve">      Adjungbilly Ck Bdge</t>
  </si>
  <si>
    <t xml:space="preserve">      Contrib Repair</t>
  </si>
  <si>
    <t xml:space="preserve">      Excess Block Grant</t>
  </si>
  <si>
    <t xml:space="preserve">      Excess Repair</t>
  </si>
  <si>
    <t>RTA  Repair contrib</t>
  </si>
  <si>
    <t>Roads Reserve Contrib.</t>
  </si>
  <si>
    <t>RTA Contrib Repair</t>
  </si>
  <si>
    <t>Gocup Road</t>
  </si>
  <si>
    <t>Special  RR279</t>
  </si>
  <si>
    <t>Stoney Ck Bridge</t>
  </si>
  <si>
    <t xml:space="preserve">Black Spot - MR279 </t>
  </si>
  <si>
    <t>Ancillary</t>
  </si>
  <si>
    <t>Storm Damage : 3*10</t>
  </si>
  <si>
    <t>Storm Damage :LR  9*10</t>
  </si>
  <si>
    <t>Storm Damage :LR 10*10</t>
  </si>
  <si>
    <t>Storm Damage : LR 12*10</t>
  </si>
  <si>
    <t>Flood Damage 3*12</t>
  </si>
  <si>
    <t>Footpaths - maint</t>
  </si>
  <si>
    <t>Nicholson Contrib</t>
  </si>
  <si>
    <t>Gravel Pit Provision</t>
  </si>
  <si>
    <t>Truckstop Path</t>
  </si>
  <si>
    <t>PAMP 50:50 06/7</t>
  </si>
  <si>
    <t>PAMP 42:28 Council</t>
  </si>
  <si>
    <t>PAMP 42:28 RTA</t>
  </si>
  <si>
    <t>PAMP 05/6 Council</t>
  </si>
  <si>
    <t>PAMP 08/9</t>
  </si>
  <si>
    <t>PAMP 09/10 RTA 73:27</t>
  </si>
  <si>
    <t>Streetlights</t>
  </si>
  <si>
    <t>CEDE M'ship</t>
  </si>
  <si>
    <t>Road Safety Review</t>
  </si>
  <si>
    <t>Road Safety Campaign</t>
  </si>
  <si>
    <t>Street Tree Plan</t>
  </si>
  <si>
    <t>SHIRE CONSTRUCTION</t>
  </si>
  <si>
    <t>FAG - Local Roads ( Capital )</t>
  </si>
  <si>
    <t xml:space="preserve">        : extra repair contrib</t>
  </si>
  <si>
    <t xml:space="preserve">        :  cycleway</t>
  </si>
  <si>
    <t xml:space="preserve">        :  cycleway additional</t>
  </si>
  <si>
    <t xml:space="preserve">        : bus bays</t>
  </si>
  <si>
    <t xml:space="preserve">        : bus shelter</t>
  </si>
  <si>
    <t xml:space="preserve">        : footpaths  </t>
  </si>
  <si>
    <t xml:space="preserve">        : PAMP 09/10</t>
  </si>
  <si>
    <t xml:space="preserve">        : PAMP  </t>
  </si>
  <si>
    <t xml:space="preserve">        : MR 87 Signs</t>
  </si>
  <si>
    <t>RTA : cycleway</t>
  </si>
  <si>
    <t>RTA : PAMP</t>
  </si>
  <si>
    <t>RTA : MR 87 Signs</t>
  </si>
  <si>
    <t xml:space="preserve"> RTA : Bus Bays</t>
  </si>
  <si>
    <t xml:space="preserve">Cycleway - additional </t>
  </si>
  <si>
    <t>Cycleway ( FAG )</t>
  </si>
  <si>
    <t>Spring Ck Bridge</t>
  </si>
  <si>
    <t>Burra Rd Bridge const</t>
  </si>
  <si>
    <t>Backstation Ck Bridge</t>
  </si>
  <si>
    <t>Auslink - Tumorrama</t>
  </si>
  <si>
    <t>Auslink - Long Tunnel</t>
  </si>
  <si>
    <t>Bus Bays - RTA $3.5K</t>
  </si>
  <si>
    <t>Roads to Recovery (R2R)</t>
  </si>
  <si>
    <t>Roads to Recovery Adj Ck</t>
  </si>
  <si>
    <t>Addit Roads to Recovery</t>
  </si>
  <si>
    <t>Sheahan Bdg - commerat</t>
  </si>
  <si>
    <t>4.6m Stockcrate Ass</t>
  </si>
  <si>
    <t>Economic Affairs</t>
  </si>
  <si>
    <t>Economic Develop Officer</t>
  </si>
  <si>
    <t xml:space="preserve">Advertising  </t>
  </si>
  <si>
    <t>Building &amp; F/E M&amp;R</t>
  </si>
  <si>
    <t>Sundry Admin</t>
  </si>
  <si>
    <t>Souvenirs/Kiosk</t>
  </si>
  <si>
    <t>Contrib RRT</t>
  </si>
  <si>
    <t>Contrib to G Fund Adm</t>
  </si>
  <si>
    <t>M'ship Snowy V Way</t>
  </si>
  <si>
    <t>M'ship Southern Harvest</t>
  </si>
  <si>
    <t>M'ship East Riv Arts Council</t>
  </si>
  <si>
    <t>Promo Flags</t>
  </si>
  <si>
    <t>Rail Trail Feasibility Study</t>
  </si>
  <si>
    <t>Dog Future Advertising</t>
  </si>
  <si>
    <t>Accreditation: AVIC</t>
  </si>
  <si>
    <t>RV Facilities Upgrade</t>
  </si>
  <si>
    <t>Wages</t>
  </si>
  <si>
    <t>Interest on Loans</t>
  </si>
  <si>
    <t>M&amp;R</t>
  </si>
  <si>
    <t>Admin Fee</t>
  </si>
  <si>
    <t>Private Works - Gocup Rd</t>
  </si>
  <si>
    <t>Bourke Est : Expense</t>
  </si>
  <si>
    <t xml:space="preserve">                   : Depn</t>
  </si>
  <si>
    <t xml:space="preserve"> Tuckerbox   -Deprec</t>
  </si>
  <si>
    <t xml:space="preserve"> Tuckerbox     </t>
  </si>
  <si>
    <t xml:space="preserve"> T'box  Dev Feasibility Study</t>
  </si>
  <si>
    <t>Other land ( inc RHB)</t>
  </si>
  <si>
    <t xml:space="preserve">               - Dep'n RHB</t>
  </si>
  <si>
    <t>Natural Disaster</t>
  </si>
  <si>
    <t xml:space="preserve"> Scholarship</t>
  </si>
  <si>
    <t>REVENUE EXPEND</t>
  </si>
  <si>
    <t>CAPITAL EXPEND</t>
  </si>
  <si>
    <t>Traffic Lights</t>
  </si>
  <si>
    <t>Linemarker</t>
  </si>
  <si>
    <t>SES vehicle</t>
  </si>
  <si>
    <t>Building Surveyor Ute</t>
  </si>
  <si>
    <t>P &amp; G Tipper</t>
  </si>
  <si>
    <t>Weeds Spray Unit</t>
  </si>
  <si>
    <t>Outfront Mower</t>
  </si>
  <si>
    <t>Mower Trailer</t>
  </si>
  <si>
    <t>Sewer Ute</t>
  </si>
  <si>
    <t>Rangers Ute</t>
  </si>
  <si>
    <t>Truck Covers x 4</t>
  </si>
  <si>
    <t>Other Plant</t>
  </si>
  <si>
    <t>Garbage Truck</t>
  </si>
  <si>
    <t>Showground Upgrade</t>
  </si>
  <si>
    <t xml:space="preserve"> SPool - tiling</t>
  </si>
  <si>
    <t>SPool - leak plugging</t>
  </si>
  <si>
    <t>SPool - diving board</t>
  </si>
  <si>
    <t>SPool - upgrade pump house</t>
  </si>
  <si>
    <t>SPool - upgrade return lines</t>
  </si>
  <si>
    <t>SPool - upgrade entry</t>
  </si>
  <si>
    <t>SPool - upgrade shade</t>
  </si>
  <si>
    <t>SPool - automatic cleaner</t>
  </si>
  <si>
    <t>SPool - upgrade tiolet/ kiosk</t>
  </si>
  <si>
    <t>SPool - reline pools &amp; provide</t>
  </si>
  <si>
    <t xml:space="preserve">             wet deck</t>
  </si>
  <si>
    <t>SPool - Upgrade fence</t>
  </si>
  <si>
    <t>SPool - other</t>
  </si>
  <si>
    <t>C Chambers Upgrade</t>
  </si>
  <si>
    <t>CC - carpet</t>
  </si>
  <si>
    <t>CC - new curtains</t>
  </si>
  <si>
    <t>CC - new A/C unit</t>
  </si>
  <si>
    <t>CC - sundry</t>
  </si>
  <si>
    <t>CC - projector</t>
  </si>
  <si>
    <t>CC - solar upgrade</t>
  </si>
  <si>
    <t>CC - rock wall</t>
  </si>
  <si>
    <t>Land Under Roads</t>
  </si>
  <si>
    <t xml:space="preserve"> Storage Facility</t>
  </si>
  <si>
    <t xml:space="preserve">Old Gaol </t>
  </si>
  <si>
    <t>Old Gaol - Lands Upgrade</t>
  </si>
  <si>
    <t>Old Gaol: CE</t>
  </si>
  <si>
    <t>Old Gaol - equip grant</t>
  </si>
  <si>
    <t>N Weeds - GIS ID System</t>
  </si>
  <si>
    <t>S'yards: sheep yards</t>
  </si>
  <si>
    <t>S'yards: cattle</t>
  </si>
  <si>
    <t>S'yards: truckwash</t>
  </si>
  <si>
    <t xml:space="preserve">S'yards: avdata </t>
  </si>
  <si>
    <t>S'yards: Major Upgrade</t>
  </si>
  <si>
    <t>S'yards: feas. Study</t>
  </si>
  <si>
    <t>S,yards: upgrade signage</t>
  </si>
  <si>
    <t>S'yards: refence holding yds</t>
  </si>
  <si>
    <t>S'yards: new delivery pens</t>
  </si>
  <si>
    <t>S'yards: new row selling pens</t>
  </si>
  <si>
    <t>S'yards: seal carpark &amp;</t>
  </si>
  <si>
    <t xml:space="preserve">   upgrade kiosk</t>
  </si>
  <si>
    <t>Museum Upgrade: Grant</t>
  </si>
  <si>
    <t xml:space="preserve">                         : Council</t>
  </si>
  <si>
    <t>Carberry Pk Watering</t>
  </si>
  <si>
    <t>C Pk - C'wealth Project</t>
  </si>
  <si>
    <t>C Pk - TIC F'path</t>
  </si>
  <si>
    <t>C Pk - l'scape plan</t>
  </si>
  <si>
    <t>C Pk - irrig'n/ paving</t>
  </si>
  <si>
    <t>C Pk - remove b'stand etc</t>
  </si>
  <si>
    <t>C Pk - Otway St retain wall</t>
  </si>
  <si>
    <t>C Pk - performance area</t>
  </si>
  <si>
    <t>C Pk - Sheridan St fence</t>
  </si>
  <si>
    <t xml:space="preserve">C Pk - State Project </t>
  </si>
  <si>
    <t>C Pk - western precinct</t>
  </si>
  <si>
    <t>C Pk - linking</t>
  </si>
  <si>
    <t>C Pk - fencing/ screening</t>
  </si>
  <si>
    <t>C Pk - C'wealth Grant</t>
  </si>
  <si>
    <t>C Pk - retain wall</t>
  </si>
  <si>
    <t>C Pk - playground</t>
  </si>
  <si>
    <t>C Pk - X'mas lighting</t>
  </si>
  <si>
    <t>Sports - planning</t>
  </si>
  <si>
    <t>Sports - Irrigation Ovals</t>
  </si>
  <si>
    <t>Parks Upgrade</t>
  </si>
  <si>
    <t>Netball Courts</t>
  </si>
  <si>
    <t>Sports - signage</t>
  </si>
  <si>
    <t>Sports - relocate crickrt nets</t>
  </si>
  <si>
    <t xml:space="preserve">                  &amp; seal carpark</t>
  </si>
  <si>
    <t>Sports - upgrade old sheds</t>
  </si>
  <si>
    <t>Sports - shelter,storage</t>
  </si>
  <si>
    <t xml:space="preserve">Youth Centre - ( tennis ct) </t>
  </si>
  <si>
    <t>Tuckerbox</t>
  </si>
  <si>
    <t>Tumblong RFS - land</t>
  </si>
  <si>
    <t>Coolac RFS - land</t>
  </si>
  <si>
    <t>Nangus/Mutt RFS - sheds</t>
  </si>
  <si>
    <t>Coolac Upgrade: Rec Gnd</t>
  </si>
  <si>
    <t>Bus Shelter</t>
  </si>
  <si>
    <t>Muttama Hall - upgrade</t>
  </si>
  <si>
    <t>TIC  - benches</t>
  </si>
  <si>
    <t>TIC  - carpet</t>
  </si>
  <si>
    <t>TIC  - equipment</t>
  </si>
  <si>
    <t>TIC  - building upgrade( roof)</t>
  </si>
  <si>
    <t>Office Equipment/ Internet</t>
  </si>
  <si>
    <t>Software Upgrade- Civica</t>
  </si>
  <si>
    <t>Wireless Equip - radio</t>
  </si>
  <si>
    <t xml:space="preserve">Computer Security </t>
  </si>
  <si>
    <t>Library/RTC- building</t>
  </si>
  <si>
    <t xml:space="preserve">                       - car park</t>
  </si>
  <si>
    <t>Trim Doc Manag System</t>
  </si>
  <si>
    <t>Asset Management S'ware</t>
  </si>
  <si>
    <t>Mirrabooka - minor capital</t>
  </si>
  <si>
    <t>Mirrabooka - major capital</t>
  </si>
  <si>
    <t>Library Equip - pilot sheme</t>
  </si>
  <si>
    <t>Library Equip</t>
  </si>
  <si>
    <t>Library Equip - disability</t>
  </si>
  <si>
    <t>Lawn Cemetery</t>
  </si>
  <si>
    <t>Lawn Cemetery - planning</t>
  </si>
  <si>
    <t>Cemetery - ashes wall</t>
  </si>
  <si>
    <t>Cemetery - slate wall</t>
  </si>
  <si>
    <t>Cemetery - access upgrade</t>
  </si>
  <si>
    <t>L Cemetery - trees, irrig'n</t>
  </si>
  <si>
    <t>Medical Centre ( MC )</t>
  </si>
  <si>
    <t>Med C - ambulance shelter</t>
  </si>
  <si>
    <t>Med C - rear car park</t>
  </si>
  <si>
    <t>Main Street</t>
  </si>
  <si>
    <t>PC's - Yarri Pk Block upgrade</t>
  </si>
  <si>
    <t>P'ground Equip - slide</t>
  </si>
  <si>
    <t>P'ground Equip - F'ship Pk</t>
  </si>
  <si>
    <t>P'ground Equip - Yarri Pk</t>
  </si>
  <si>
    <t>Yarri Pk Walking Path</t>
  </si>
  <si>
    <t>Engineers I'ments/Furnit</t>
  </si>
  <si>
    <t>Civil Design S'ware</t>
  </si>
  <si>
    <t>Cable/pipe locator</t>
  </si>
  <si>
    <t xml:space="preserve">Speed traiter </t>
  </si>
  <si>
    <t>Autocad Upgrade</t>
  </si>
  <si>
    <t>Robotic Total Station</t>
  </si>
  <si>
    <t>Plotter</t>
  </si>
  <si>
    <t>Bush Fire Equip</t>
  </si>
  <si>
    <t xml:space="preserve">             - shed Tumblong</t>
  </si>
  <si>
    <t xml:space="preserve">             - entrance Tumblong</t>
  </si>
  <si>
    <t xml:space="preserve">             - Nangus driveway</t>
  </si>
  <si>
    <t xml:space="preserve">             - shed Adjungbilly</t>
  </si>
  <si>
    <t xml:space="preserve">             - shed Mundarlo</t>
  </si>
  <si>
    <t xml:space="preserve">             - shed Coolac</t>
  </si>
  <si>
    <t xml:space="preserve">             - shed Nangus</t>
  </si>
  <si>
    <t xml:space="preserve">             - tanks</t>
  </si>
  <si>
    <t>Coolac RFS - land/ survey</t>
  </si>
  <si>
    <t>Council Residence</t>
  </si>
  <si>
    <t>Depot Equip/ Tools</t>
  </si>
  <si>
    <t>Depot - staff lockers</t>
  </si>
  <si>
    <t>Depot - 4 in 1 Workstation</t>
  </si>
  <si>
    <t>Depot - jacks</t>
  </si>
  <si>
    <t>Depot - construct cattery</t>
  </si>
  <si>
    <t>Depot - shelving</t>
  </si>
  <si>
    <t>Depot Works</t>
  </si>
  <si>
    <t>Depot - Small Plant Shed</t>
  </si>
  <si>
    <t>Depot - pressure washer</t>
  </si>
  <si>
    <t>Depot- emulsion facility</t>
  </si>
  <si>
    <t>Depot - W'shop air cond</t>
  </si>
  <si>
    <t>Workshop Equip</t>
  </si>
  <si>
    <t>Cable Locator</t>
  </si>
  <si>
    <t>Message Sign</t>
  </si>
  <si>
    <t>Pole saw/ Chain saws</t>
  </si>
  <si>
    <t>Concrete Saw</t>
  </si>
  <si>
    <t>Mess Hut Cooling</t>
  </si>
  <si>
    <t>Radios</t>
  </si>
  <si>
    <t>Gang Tools</t>
  </si>
  <si>
    <t>Workshop Computer</t>
  </si>
  <si>
    <t>Depot PC's</t>
  </si>
  <si>
    <t>Tip Transfer Station/ Tank</t>
  </si>
  <si>
    <t>Tip Loader</t>
  </si>
  <si>
    <t>DWM - rural tip feasibility</t>
  </si>
  <si>
    <t>DWM - rural tip system</t>
  </si>
  <si>
    <t>DWM - Storage Container</t>
  </si>
  <si>
    <t>DWM - e waste recycling</t>
  </si>
  <si>
    <t>DWM - upgrade office</t>
  </si>
  <si>
    <t>DWM - tree planting</t>
  </si>
  <si>
    <t>DWM - Landfill office</t>
  </si>
  <si>
    <t>DWM - recycle outlet facility</t>
  </si>
  <si>
    <t>DWM - new truck contrib</t>
  </si>
  <si>
    <t>Dog on T'box</t>
  </si>
  <si>
    <t>Muttama Hall</t>
  </si>
  <si>
    <t>Entrance Signs</t>
  </si>
  <si>
    <t>Transfer to Reserves</t>
  </si>
  <si>
    <t>Loan Principal- S'yards</t>
  </si>
  <si>
    <t>DWM - new transfer station</t>
  </si>
  <si>
    <t>Bourke Estate - land</t>
  </si>
  <si>
    <t xml:space="preserve">                   : construction</t>
  </si>
  <si>
    <t>Caravan Park - u'gnd elect</t>
  </si>
  <si>
    <t xml:space="preserve">                             - new sites</t>
  </si>
  <si>
    <t xml:space="preserve">                             - reseal roads</t>
  </si>
  <si>
    <t>Advance - Pre School</t>
  </si>
  <si>
    <t xml:space="preserve">               - Henery</t>
  </si>
  <si>
    <t>CC - gas conversion</t>
  </si>
  <si>
    <t>OH&amp;S - safety switches</t>
  </si>
  <si>
    <t>Dump Point</t>
  </si>
  <si>
    <t>RV Parking Area</t>
  </si>
  <si>
    <t>Skate Park</t>
  </si>
  <si>
    <t>Land Upgrade</t>
  </si>
  <si>
    <t>Advance - Jones</t>
  </si>
  <si>
    <t>Boat Ramp</t>
  </si>
  <si>
    <t>Old Gaol Loan Instalment</t>
  </si>
  <si>
    <t>Vacuum</t>
  </si>
  <si>
    <t>Loan Repay - Main St</t>
  </si>
  <si>
    <t>Decrease in ELE</t>
  </si>
  <si>
    <t>SUMMARY - GENERAL FUND</t>
  </si>
  <si>
    <t>Function</t>
  </si>
  <si>
    <t>Housing &amp; Comm Amenities</t>
  </si>
  <si>
    <t>Recreation &amp; Cultural</t>
  </si>
  <si>
    <t>Construction</t>
  </si>
  <si>
    <t>Capital</t>
  </si>
  <si>
    <t>WATER FUND SUMMARY</t>
  </si>
  <si>
    <t xml:space="preserve">   WATER FUND</t>
  </si>
  <si>
    <t>Rates : Access</t>
  </si>
  <si>
    <t>Rates: User</t>
  </si>
  <si>
    <t>User Charges</t>
  </si>
  <si>
    <t>Connection Fees</t>
  </si>
  <si>
    <t>Extra Charges</t>
  </si>
  <si>
    <t xml:space="preserve">              -Non Resid</t>
  </si>
  <si>
    <t>Sale Non- RateProp</t>
  </si>
  <si>
    <t>Standpipe</t>
  </si>
  <si>
    <t>Interest</t>
  </si>
  <si>
    <t>Other Revenue</t>
  </si>
  <si>
    <t>Flood Scoping</t>
  </si>
  <si>
    <t>Contributions</t>
  </si>
  <si>
    <t>Other - Bourke Est</t>
  </si>
  <si>
    <t>ELE Increase</t>
  </si>
  <si>
    <t>Advance Repayment</t>
  </si>
  <si>
    <t>T'fer from Reserve</t>
  </si>
  <si>
    <t>EXPENSES</t>
  </si>
  <si>
    <t>Management</t>
  </si>
  <si>
    <t>Prop. Pay. to, G Fund</t>
  </si>
  <si>
    <t>Asset Survey - Salary</t>
  </si>
  <si>
    <t>Superannuation</t>
  </si>
  <si>
    <t xml:space="preserve">Rates &amp; Charges </t>
  </si>
  <si>
    <t xml:space="preserve">Insurance </t>
  </si>
  <si>
    <t>Operations</t>
  </si>
  <si>
    <t>Working &amp; Maintenance Expenses</t>
  </si>
  <si>
    <t>Reservoir</t>
  </si>
  <si>
    <t xml:space="preserve">Mains  </t>
  </si>
  <si>
    <t>Meters</t>
  </si>
  <si>
    <t>Treatment - Other</t>
  </si>
  <si>
    <t>Energy Costs</t>
  </si>
  <si>
    <t>Pump Station</t>
  </si>
  <si>
    <t>Treatment Works</t>
  </si>
  <si>
    <t>Chemical Costs</t>
  </si>
  <si>
    <t>Chemicals</t>
  </si>
  <si>
    <t>Best Practice consult</t>
  </si>
  <si>
    <t>Valuation</t>
  </si>
  <si>
    <t>Vehicle</t>
  </si>
  <si>
    <t>TOTAL REV EXP</t>
  </si>
  <si>
    <t>CAPITAL</t>
  </si>
  <si>
    <t>Loan Principal</t>
  </si>
  <si>
    <t>Asset Manag - Data Coll</t>
  </si>
  <si>
    <t>Plant Control System</t>
  </si>
  <si>
    <t>Treatment Works - general</t>
  </si>
  <si>
    <t>T'ment Wks - Filter Upgd</t>
  </si>
  <si>
    <t>Chemical Shed</t>
  </si>
  <si>
    <t>Mains Replacement</t>
  </si>
  <si>
    <t>Mains Extensions</t>
  </si>
  <si>
    <t>Mains Ext: Sheridan Ln</t>
  </si>
  <si>
    <t>Mains Repl: William St</t>
  </si>
  <si>
    <t>Water Meters</t>
  </si>
  <si>
    <t>Backwash Water Hydraulics</t>
  </si>
  <si>
    <t>Backwash Water Recycle</t>
  </si>
  <si>
    <t>Business Plan</t>
  </si>
  <si>
    <t>Standpipe Upgrade</t>
  </si>
  <si>
    <t>Treatment Plant - instrum"ts</t>
  </si>
  <si>
    <t>Reservoir - cover</t>
  </si>
  <si>
    <t xml:space="preserve">Reservoirs  </t>
  </si>
  <si>
    <t>Reservoir: Inlet/Outlet</t>
  </si>
  <si>
    <t>Chlorine Plant Upgrade</t>
  </si>
  <si>
    <t>Lime Feeders - upgrade</t>
  </si>
  <si>
    <t>Electrical Control Board</t>
  </si>
  <si>
    <t>Metering Pumps/ Feeder</t>
  </si>
  <si>
    <t>Main Street Upgrade</t>
  </si>
  <si>
    <t xml:space="preserve"> Pumps</t>
  </si>
  <si>
    <t>Clearwater Pump Motor Protector</t>
  </si>
  <si>
    <t>Clearwater Pump Refurbishment</t>
  </si>
  <si>
    <t>Clearwater Tank Upgrade</t>
  </si>
  <si>
    <t>Rising Main B'flow Valve</t>
  </si>
  <si>
    <t>Upgrade: Sheridan St</t>
  </si>
  <si>
    <t xml:space="preserve">Pumping Station Upgrade </t>
  </si>
  <si>
    <t xml:space="preserve">Upgrade </t>
  </si>
  <si>
    <t>Clarifier Upgrade</t>
  </si>
  <si>
    <t>Bourke Estate</t>
  </si>
  <si>
    <t>Pump - Dog on T'box</t>
  </si>
  <si>
    <t>Reserves - t'fer to</t>
  </si>
  <si>
    <t xml:space="preserve">Adjust  - general  </t>
  </si>
  <si>
    <t>TOTAL EXPENSES</t>
  </si>
  <si>
    <t>SEWERAGE FUND SUMMARY</t>
  </si>
  <si>
    <t xml:space="preserve">   SEWERAGE FUND</t>
  </si>
  <si>
    <t>Rates</t>
  </si>
  <si>
    <t>New Billing System</t>
  </si>
  <si>
    <t>Ex Gratia Payments</t>
  </si>
  <si>
    <t>Effluent Reuse Upgrade</t>
  </si>
  <si>
    <t>Subsidy</t>
  </si>
  <si>
    <t>Mains Extension</t>
  </si>
  <si>
    <t>Other: Bourke Est</t>
  </si>
  <si>
    <t>T'fer from Reserves</t>
  </si>
  <si>
    <t>Inc ELE</t>
  </si>
  <si>
    <t>Asset Survey- Salary etc</t>
  </si>
  <si>
    <t>Rates / Charges</t>
  </si>
  <si>
    <t>Consultancy</t>
  </si>
  <si>
    <t>Valuation Fees</t>
  </si>
  <si>
    <t xml:space="preserve">Insurance : PL </t>
  </si>
  <si>
    <t>Treatment Wks- Other</t>
  </si>
  <si>
    <t>New Assistant</t>
  </si>
  <si>
    <t>Mains</t>
  </si>
  <si>
    <t>Pumping Station- Other</t>
  </si>
  <si>
    <t>Effluent Reuse</t>
  </si>
  <si>
    <t>Phosphoros Control</t>
  </si>
  <si>
    <t>Irrigation</t>
  </si>
  <si>
    <t>Other - Sundry</t>
  </si>
  <si>
    <t xml:space="preserve">            - Vehicle</t>
  </si>
  <si>
    <t>CAPITAL EXPENSES</t>
  </si>
  <si>
    <t>Loan Repayments</t>
  </si>
  <si>
    <t>Mains Rehab</t>
  </si>
  <si>
    <t>Sheridan St - Feasability</t>
  </si>
  <si>
    <t>Sheridan St - Lateral Wk</t>
  </si>
  <si>
    <t>OH&amp;S Safety Upgrade</t>
  </si>
  <si>
    <t>System Upgrade</t>
  </si>
  <si>
    <t>Replace pumps</t>
  </si>
  <si>
    <t>Well Rehab</t>
  </si>
  <si>
    <t>Chlorination Equip</t>
  </si>
  <si>
    <t>Effluent retention Upgrade</t>
  </si>
  <si>
    <t>Flow Meter Upgrade</t>
  </si>
  <si>
    <t>Electric Eel &amp; trailer unit</t>
  </si>
  <si>
    <t>High Pressure Cleaner</t>
  </si>
  <si>
    <t>Metering System - T Works</t>
  </si>
  <si>
    <t>Phosphoros Removal</t>
  </si>
  <si>
    <t>C'van Pk - disposal system</t>
  </si>
  <si>
    <t>Chemical Usage Upgrade</t>
  </si>
  <si>
    <t xml:space="preserve"> Decrease in ELE</t>
  </si>
  <si>
    <t>Sheridan Street Upgrade</t>
  </si>
  <si>
    <t>Other Capital</t>
  </si>
  <si>
    <t>T'fer to Reserves</t>
  </si>
  <si>
    <t>TID FUND SUMMARY</t>
  </si>
  <si>
    <t xml:space="preserve">   Adjustment</t>
  </si>
  <si>
    <t xml:space="preserve">   TOWN IMPROVEMENT DISTRICT FUND</t>
  </si>
  <si>
    <t>General Purpose Revenue</t>
  </si>
  <si>
    <t>Storm Water Levy</t>
  </si>
  <si>
    <t>Interest on Invest</t>
  </si>
  <si>
    <t>X'ra charges</t>
  </si>
  <si>
    <t>Transport &amp; Communication</t>
  </si>
  <si>
    <t xml:space="preserve">Urban Roads </t>
  </si>
  <si>
    <t>Contribution (K&amp;G)</t>
  </si>
  <si>
    <t>S'Water Drainage Grant</t>
  </si>
  <si>
    <t xml:space="preserve">Streetlights  </t>
  </si>
  <si>
    <t>SBS Grant</t>
  </si>
  <si>
    <t>Grant S/light</t>
  </si>
  <si>
    <t>Contribution  from G Fund</t>
  </si>
  <si>
    <t>Main Street Loan</t>
  </si>
  <si>
    <t>Contrib to G Fund</t>
  </si>
  <si>
    <t>Council Website/Logo</t>
  </si>
  <si>
    <t>TV Translator</t>
  </si>
  <si>
    <t>Contrib Carberry Pk Upgrade</t>
  </si>
  <si>
    <t>Contrib Tennis Ct Upgrade</t>
  </si>
  <si>
    <t>Contrib Carberry Pk water</t>
  </si>
  <si>
    <r>
      <t>Roads</t>
    </r>
    <r>
      <rPr>
        <sz val="11.5"/>
        <rFont val="Calibri"/>
        <family val="2"/>
      </rPr>
      <t>- Const- Bridge</t>
    </r>
  </si>
  <si>
    <t xml:space="preserve">               - Maint</t>
  </si>
  <si>
    <t xml:space="preserve">               -Deprec</t>
  </si>
  <si>
    <r>
      <t>K&amp;G</t>
    </r>
    <r>
      <rPr>
        <sz val="11.5"/>
        <rFont val="Calibri"/>
        <family val="2"/>
      </rPr>
      <t xml:space="preserve"> - Const </t>
    </r>
  </si>
  <si>
    <t xml:space="preserve">    - Francis Av</t>
  </si>
  <si>
    <t xml:space="preserve">    - Jack Moses St</t>
  </si>
  <si>
    <t xml:space="preserve">    - Mount St</t>
  </si>
  <si>
    <t xml:space="preserve">     - William St</t>
  </si>
  <si>
    <t xml:space="preserve">    - Middle St</t>
  </si>
  <si>
    <t xml:space="preserve">    - Tom St</t>
  </si>
  <si>
    <t xml:space="preserve">    - O'Hagan &amp; Tor St</t>
  </si>
  <si>
    <t xml:space="preserve">           - Maint</t>
  </si>
  <si>
    <t xml:space="preserve">            -Deprec</t>
  </si>
  <si>
    <r>
      <t>Drainage</t>
    </r>
    <r>
      <rPr>
        <sz val="11.5"/>
        <rFont val="Calibri"/>
        <family val="2"/>
      </rPr>
      <t xml:space="preserve"> - Const</t>
    </r>
  </si>
  <si>
    <t xml:space="preserve">  _ S'water S'ware</t>
  </si>
  <si>
    <t xml:space="preserve">    - Nicholsons</t>
  </si>
  <si>
    <t xml:space="preserve">    - Punch St (to First Av )</t>
  </si>
  <si>
    <t xml:space="preserve">    - First Av</t>
  </si>
  <si>
    <t xml:space="preserve">    - Tor St to  O"Hagan St</t>
  </si>
  <si>
    <t xml:space="preserve">    - Teleph X to Sheridan Ln</t>
  </si>
  <si>
    <t>Footpaths</t>
  </si>
  <si>
    <t>Maintenance</t>
  </si>
  <si>
    <t>Reconstruction</t>
  </si>
  <si>
    <t xml:space="preserve">   - C'over TIC 08/9</t>
  </si>
  <si>
    <t xml:space="preserve">   - Punch St</t>
  </si>
  <si>
    <t xml:space="preserve">   - Sheridan St  ( south )</t>
  </si>
  <si>
    <t xml:space="preserve">   - Sheridan St  ( north )</t>
  </si>
  <si>
    <t xml:space="preserve">   - Homer St</t>
  </si>
  <si>
    <t xml:space="preserve">   - Byron St</t>
  </si>
  <si>
    <t>New Streetlighting - Sth G'gai</t>
  </si>
  <si>
    <t>Main St - contrib to GF</t>
  </si>
  <si>
    <t>Main St - loan repay</t>
  </si>
  <si>
    <t>Contrib G Fund works</t>
  </si>
  <si>
    <t>TID Contrib - Sheridan lane</t>
  </si>
  <si>
    <t>Round- About: Sheridan/West</t>
  </si>
  <si>
    <t>Skate Park contrib</t>
  </si>
  <si>
    <t>Contrib - wall</t>
  </si>
  <si>
    <t>Seat - West Street</t>
  </si>
  <si>
    <t>T'fer TO Reserves</t>
  </si>
  <si>
    <t>TOTAL EXPENSE</t>
  </si>
  <si>
    <t>SCENARIO 1</t>
  </si>
  <si>
    <t>GENERAL FUND</t>
  </si>
  <si>
    <t>Op Bal</t>
  </si>
  <si>
    <t xml:space="preserve">Result </t>
  </si>
  <si>
    <t>C Bal</t>
  </si>
  <si>
    <t>Loan</t>
  </si>
  <si>
    <t>K Expend</t>
  </si>
  <si>
    <t>Repay instal</t>
  </si>
  <si>
    <t>Rev Cl Bal</t>
  </si>
  <si>
    <t>WATER FUND</t>
  </si>
  <si>
    <t>SEWER FUND</t>
  </si>
  <si>
    <t>TID FUND</t>
  </si>
  <si>
    <t>SCENARIO 2</t>
  </si>
  <si>
    <t>RESERVES</t>
  </si>
  <si>
    <t>Reserve Name</t>
  </si>
  <si>
    <t>TO</t>
  </si>
  <si>
    <t>FROM</t>
  </si>
  <si>
    <t>1.7.11</t>
  </si>
  <si>
    <t>1.7.12</t>
  </si>
  <si>
    <t>1.7.13</t>
  </si>
  <si>
    <t>1.7.14</t>
  </si>
  <si>
    <t>1.7.15</t>
  </si>
  <si>
    <t>1.7.16</t>
  </si>
  <si>
    <t>1.7.17</t>
  </si>
  <si>
    <t>1.7.18</t>
  </si>
  <si>
    <t>1.7.19</t>
  </si>
  <si>
    <t>1.7.20</t>
  </si>
  <si>
    <t>1.7.21</t>
  </si>
  <si>
    <t>1.7.22</t>
  </si>
  <si>
    <t>1. ELE</t>
  </si>
  <si>
    <t>Sale RH Building</t>
  </si>
  <si>
    <t>Payout contrib</t>
  </si>
  <si>
    <t>Budget Alloc</t>
  </si>
  <si>
    <t>Budget alloc'n</t>
  </si>
  <si>
    <t>Mirrabooka - loan</t>
  </si>
  <si>
    <t>S'Yards loan</t>
  </si>
  <si>
    <t>New Staff t'fer</t>
  </si>
  <si>
    <t>2. Property</t>
  </si>
  <si>
    <t>Housing advances</t>
  </si>
  <si>
    <t>Hall  Upgrade</t>
  </si>
  <si>
    <t>PC Yarri Pk upgrade</t>
  </si>
  <si>
    <t>Mirrabooka</t>
  </si>
  <si>
    <t>Sale of residence</t>
  </si>
  <si>
    <t>Depot Upgrade</t>
  </si>
  <si>
    <t>Safety Switches</t>
  </si>
  <si>
    <t>Solar Panels</t>
  </si>
  <si>
    <t>Energy Audit</t>
  </si>
  <si>
    <t>TIC Roof</t>
  </si>
  <si>
    <t>IT Upgrade</t>
  </si>
  <si>
    <t>3. Plant</t>
  </si>
  <si>
    <t>Plant hire</t>
  </si>
  <si>
    <t>Vehicle c'over</t>
  </si>
  <si>
    <t>Diesel Rebate</t>
  </si>
  <si>
    <t>Mower &amp; trailer c'over</t>
  </si>
  <si>
    <t>Plant expense</t>
  </si>
  <si>
    <t>Garbage truck 50% c'over</t>
  </si>
  <si>
    <t>Workshop equip</t>
  </si>
  <si>
    <t>Dep'n write back</t>
  </si>
  <si>
    <t>P&amp;G Tipper</t>
  </si>
  <si>
    <t>N Weeds - GIS</t>
  </si>
  <si>
    <t>Build Surveyor</t>
  </si>
  <si>
    <t>Spring Creek Bridge</t>
  </si>
  <si>
    <t>IT develop</t>
  </si>
  <si>
    <t>Out Front Mower</t>
  </si>
  <si>
    <t>Gobarralong</t>
  </si>
  <si>
    <t>Pole Saw</t>
  </si>
  <si>
    <t>Message Board</t>
  </si>
  <si>
    <t>Mower</t>
  </si>
  <si>
    <t>4. DWM</t>
  </si>
  <si>
    <t>Revenue</t>
  </si>
  <si>
    <t>restoration &amp;tree planting</t>
  </si>
  <si>
    <t>Transfer Station</t>
  </si>
  <si>
    <t>recycle outlet facility</t>
  </si>
  <si>
    <t>Expend</t>
  </si>
  <si>
    <t>Rural T'fers</t>
  </si>
  <si>
    <t>Trees</t>
  </si>
  <si>
    <t>Country Collection Scheme</t>
  </si>
  <si>
    <t>5. Saleyards</t>
  </si>
  <si>
    <t>See s'yards worksheet</t>
  </si>
  <si>
    <t>6. Bridges &amp; Roads Improv</t>
  </si>
  <si>
    <t>FAG</t>
  </si>
  <si>
    <t>Safety clothing</t>
  </si>
  <si>
    <t xml:space="preserve">FAG - operating exp </t>
  </si>
  <si>
    <t>Asset Manag S'ware</t>
  </si>
  <si>
    <t>FAG - capital exp</t>
  </si>
  <si>
    <t>7. Bourke Estate</t>
  </si>
  <si>
    <t>Sale proceeds</t>
  </si>
  <si>
    <t>Holding costs</t>
  </si>
  <si>
    <t>Development Costs</t>
  </si>
  <si>
    <t>8. Tourism - general</t>
  </si>
  <si>
    <t xml:space="preserve">. </t>
  </si>
  <si>
    <t>9. Computer Replacement</t>
  </si>
  <si>
    <t>10. Main Street</t>
  </si>
  <si>
    <t>11. Workers Comp</t>
  </si>
  <si>
    <t>12. Old Gaol</t>
  </si>
  <si>
    <t>13. Coolac Bypass</t>
  </si>
  <si>
    <t>R &amp; M</t>
  </si>
  <si>
    <t>14. Coolac Rec Ground</t>
  </si>
  <si>
    <t>15. Gravel Pit</t>
  </si>
  <si>
    <t>Tennis Ct Contrib</t>
  </si>
  <si>
    <t>Development</t>
  </si>
  <si>
    <t>Energy audit</t>
  </si>
  <si>
    <t>Tree Plan</t>
  </si>
  <si>
    <t>Salary System Review</t>
  </si>
  <si>
    <t>Salary System review</t>
  </si>
  <si>
    <t>Review of Salaries/Wages/ELE</t>
  </si>
  <si>
    <t>Draft Budget</t>
  </si>
  <si>
    <t>Detailed review</t>
  </si>
  <si>
    <t>Revised Budget</t>
  </si>
  <si>
    <t>Adjust.</t>
  </si>
  <si>
    <t>Admin.</t>
  </si>
  <si>
    <t>Engineering</t>
  </si>
  <si>
    <t>Animal Ctrl</t>
  </si>
  <si>
    <t>Nox. Weeds</t>
  </si>
  <si>
    <t>Library</t>
  </si>
  <si>
    <t>TIC</t>
  </si>
  <si>
    <t>Admin</t>
  </si>
  <si>
    <t>Engin.</t>
  </si>
  <si>
    <t>Super</t>
  </si>
  <si>
    <t>Admin - IT facilities</t>
  </si>
  <si>
    <t>WH&amp;S</t>
  </si>
  <si>
    <t>N'hood Centre</t>
  </si>
  <si>
    <t>Gaol</t>
  </si>
  <si>
    <t>P&amp;G</t>
  </si>
  <si>
    <t>Running exp</t>
  </si>
  <si>
    <t>Dep'n</t>
  </si>
  <si>
    <t>Other Property</t>
  </si>
  <si>
    <t>Pool</t>
  </si>
  <si>
    <t>Tourism - East.Riv Arts</t>
  </si>
  <si>
    <t>Fire Protection - Adj. Shed contribution</t>
  </si>
  <si>
    <t>DRAFT BUDGET RESULT</t>
  </si>
  <si>
    <t>Adjusted result</t>
  </si>
  <si>
    <t xml:space="preserve">ELE payout </t>
  </si>
  <si>
    <t>ELE - saleyards loan</t>
  </si>
  <si>
    <t>Salary system review</t>
  </si>
  <si>
    <t>DWM - trees</t>
  </si>
  <si>
    <t>*(now funded from reserve)</t>
  </si>
  <si>
    <t>*(now decreased and funded from reserve)</t>
  </si>
  <si>
    <t>CAPITAL EXPENDITURE</t>
  </si>
  <si>
    <t>Old Gaol - general</t>
  </si>
  <si>
    <t>Civica - upgrade</t>
  </si>
  <si>
    <t>Admin - Energy Audit</t>
  </si>
  <si>
    <t>Admin - Salary review</t>
  </si>
  <si>
    <t>OPERATING INCOME</t>
  </si>
  <si>
    <t>OPERATING EXPENDITURE</t>
  </si>
  <si>
    <t>Transfer from Reserve</t>
  </si>
  <si>
    <t>Adjustments</t>
  </si>
  <si>
    <t>South care contribution</t>
  </si>
  <si>
    <t>Sundy in Gundy contrib.</t>
  </si>
  <si>
    <t>Sundy in Gundy</t>
  </si>
  <si>
    <t>Adjustments recommended to Council from PAABAC meeting, for final adoption.</t>
  </si>
  <si>
    <t>30.9.13</t>
  </si>
  <si>
    <t>Sundy In Gundy</t>
  </si>
  <si>
    <t>Youth Council/ Space</t>
  </si>
  <si>
    <t>Pest Control</t>
  </si>
  <si>
    <t xml:space="preserve">                             - lighting upgrade</t>
  </si>
  <si>
    <t>Skate Park - Youth Contrib</t>
  </si>
  <si>
    <t>TID Contrib - Sheridan Lane</t>
  </si>
  <si>
    <t>ESTIMATES - GENERAL FUND 2013/2014</t>
  </si>
  <si>
    <t>CSO  - River  Fest etc</t>
  </si>
  <si>
    <t>ELE contributions</t>
  </si>
  <si>
    <t>IT develop TRIM</t>
  </si>
  <si>
    <t>Grant</t>
  </si>
  <si>
    <t>Upgrade</t>
  </si>
  <si>
    <t>AH32</t>
  </si>
  <si>
    <t>AH28</t>
  </si>
  <si>
    <t>Administration Totals</t>
  </si>
  <si>
    <t>General Purpose Totals</t>
  </si>
  <si>
    <t>Public Order &amp; Safety Totals</t>
  </si>
  <si>
    <t>Health &amp; Pest Control</t>
  </si>
  <si>
    <t>Health &amp; Pest Control Totals</t>
  </si>
  <si>
    <t>Community Services &amp; Education Totals</t>
  </si>
  <si>
    <t>Housing &amp; Community Amenities Totals</t>
  </si>
  <si>
    <t>Recreation &amp; Culture Totals</t>
  </si>
  <si>
    <t>Transport &amp; Communications Totals</t>
  </si>
  <si>
    <t>Mining , Manufacturing &amp; Construction Totals</t>
  </si>
  <si>
    <t>Economic Services Totals</t>
  </si>
  <si>
    <t>TOTAL REVENUE</t>
  </si>
  <si>
    <t>CAPITAL REVENUE</t>
  </si>
  <si>
    <t>OPERATING REVENUE</t>
  </si>
  <si>
    <t>Administration Total</t>
  </si>
  <si>
    <t>Health Totals</t>
  </si>
  <si>
    <t>Comm Services &amp; Education Totals</t>
  </si>
  <si>
    <t>Economic Affairs Totals</t>
  </si>
  <si>
    <t>CAPITAL EXPENDITURE TOTALS</t>
  </si>
  <si>
    <t>Provisions</t>
  </si>
  <si>
    <t>CASH FLOW FROM OPERATING ACTIVITIES</t>
  </si>
  <si>
    <t>Receipts</t>
  </si>
  <si>
    <t>Rates and Annual Charges</t>
  </si>
  <si>
    <t>Grants and Contributions (including Capital Grants)</t>
  </si>
  <si>
    <t>Other Operating receipts</t>
  </si>
  <si>
    <t>Payments</t>
  </si>
  <si>
    <t>CASH FLOW FROM INVESTING ACTIVITIES</t>
  </si>
  <si>
    <t>Interest on Investments</t>
  </si>
  <si>
    <t>Proceeds from Property, Plant and Equipment</t>
  </si>
  <si>
    <t>CASH FLOW FROM FINANCING ACTIVITIES</t>
  </si>
  <si>
    <t>Loans</t>
  </si>
  <si>
    <t>Loan repayments</t>
  </si>
  <si>
    <t>Net Increase (Decrease) in cash held</t>
  </si>
  <si>
    <t>CURRENT ASSETS</t>
  </si>
  <si>
    <t xml:space="preserve">Cash Assets </t>
  </si>
  <si>
    <t>Cash &amp; Cash Equivilants</t>
  </si>
  <si>
    <t>Investment Securities</t>
  </si>
  <si>
    <t>Receivables</t>
  </si>
  <si>
    <t>Inventories</t>
  </si>
  <si>
    <t>Other Current Assets</t>
  </si>
  <si>
    <t>Total Current Assets</t>
  </si>
  <si>
    <t>NON-CURRENT ASSETS</t>
  </si>
  <si>
    <t>Infrastructure, Property, Plant &amp; Equipment</t>
  </si>
  <si>
    <t>Total Non-Current Assets</t>
  </si>
  <si>
    <t>Total Assets</t>
  </si>
  <si>
    <t>CURRENT LIABILITIES</t>
  </si>
  <si>
    <t>Payables</t>
  </si>
  <si>
    <t>Total current liabilities</t>
  </si>
  <si>
    <t>NON-CURRENT LIABILITIES</t>
  </si>
  <si>
    <t>Total Non-Current Liabilities</t>
  </si>
  <si>
    <t>Total Liabilities</t>
  </si>
  <si>
    <t>NET ASSETS</t>
  </si>
  <si>
    <t>EQUITY</t>
  </si>
  <si>
    <t>Retained Earnings</t>
  </si>
  <si>
    <t>Revaluation Reserves</t>
  </si>
  <si>
    <t>Other Reserves</t>
  </si>
  <si>
    <t>TOTAL EQUITY</t>
  </si>
  <si>
    <t>Borrowings</t>
  </si>
  <si>
    <t>User Charges &amp; Fees</t>
  </si>
  <si>
    <t>Investment &amp; Interest</t>
  </si>
  <si>
    <t>Employee Benefits &amp; On-Costs</t>
  </si>
  <si>
    <t>Materials &amp; Contracts</t>
  </si>
  <si>
    <t>Borrowing Costs</t>
  </si>
  <si>
    <t>Bonds, Depostits &amp; Retention amounts refunded</t>
  </si>
  <si>
    <t>Other Operating payments</t>
  </si>
  <si>
    <t>Sale of Investment Securities</t>
  </si>
  <si>
    <t>Deferred Debtors Receipts</t>
  </si>
  <si>
    <t xml:space="preserve">          Purchase of Investment Securities</t>
  </si>
  <si>
    <t xml:space="preserve"> Purchase of Property, Plant and Equipment</t>
  </si>
  <si>
    <t xml:space="preserve"> Purchase of Real Estate Assets</t>
  </si>
  <si>
    <t>Plus Cash &amp; Cash Equivalents - beginning of year</t>
  </si>
  <si>
    <t>Cash &amp; Cash Equivilants per Balance Sheet</t>
  </si>
  <si>
    <t>OPERATIONAL REVENUE</t>
  </si>
  <si>
    <t>OPERATIONAL EXPENSES</t>
  </si>
  <si>
    <t>OPERATIONAL REVENUE TOTAL</t>
  </si>
  <si>
    <t>CAPITAL REVENUE TOTAL</t>
  </si>
  <si>
    <t>OPERATIONAL EXPENSES TOTAL</t>
  </si>
  <si>
    <t>Depreciation Adjustment</t>
  </si>
  <si>
    <t>Notes:</t>
  </si>
  <si>
    <t>Employee Benefits &amp; Oncosts based on super at 9.25%</t>
  </si>
  <si>
    <t xml:space="preserve">grossed up 100% + Super…. </t>
  </si>
  <si>
    <t>Reconciliation to Budget</t>
  </si>
  <si>
    <t>Budget Cash Flow Result</t>
  </si>
  <si>
    <t>Difference</t>
  </si>
  <si>
    <t xml:space="preserve">   Reserve Transfers shown in Balance Sheet for this exercise</t>
  </si>
  <si>
    <t>Add Back Depreciation</t>
  </si>
  <si>
    <t>PROFIT &amp; LOSS</t>
  </si>
  <si>
    <t>Net Profit / ( Loss) After Depreciation / Before Capital Exp</t>
  </si>
  <si>
    <t>Net Profit / ( Loss) After Depreciation &amp; Capital Expenditure</t>
  </si>
  <si>
    <t>Net Profit / ( Loss) Before Depreciation &amp; After CAPEx (Original Budget)</t>
  </si>
  <si>
    <t>CASH FLOW</t>
  </si>
  <si>
    <t xml:space="preserve">Cash &amp; Cash Equivilants </t>
  </si>
  <si>
    <t>Transfer to Investments</t>
  </si>
  <si>
    <t>Cash &amp; Cash Equivilants Per Balance Sheet</t>
  </si>
  <si>
    <t>BALANCE SHEET</t>
  </si>
  <si>
    <t>Transport &amp; Communication Revenue</t>
  </si>
  <si>
    <t>CAPITAL EXPENSE</t>
  </si>
  <si>
    <t>Transfer to (from) Reserves</t>
  </si>
  <si>
    <t>Transfer to/from Investments</t>
  </si>
  <si>
    <t>Purchase of Property, Plant and Equipment</t>
  </si>
  <si>
    <t>Purchase of Real Estate Assets</t>
  </si>
  <si>
    <t>LOAN INTEREST CALCULATIONS</t>
  </si>
  <si>
    <t>DOLLARS</t>
  </si>
  <si>
    <t>Years</t>
  </si>
  <si>
    <t>Period</t>
  </si>
  <si>
    <t>Loan opening balance</t>
  </si>
  <si>
    <t>Loan closing balance</t>
  </si>
  <si>
    <t>Yearly Interest</t>
  </si>
  <si>
    <t>Loan principle</t>
  </si>
  <si>
    <t>Interest rate</t>
  </si>
  <si>
    <t>Repayment</t>
  </si>
  <si>
    <r>
      <t xml:space="preserve">Repayment </t>
    </r>
    <r>
      <rPr>
        <i/>
        <sz val="10"/>
        <color theme="1"/>
        <rFont val="Calibri"/>
        <family val="2"/>
        <scheme val="minor"/>
      </rPr>
      <t>(incl. interest)</t>
    </r>
  </si>
  <si>
    <t>General Fund</t>
  </si>
  <si>
    <t>TID</t>
  </si>
  <si>
    <t>Rates &amp; Annual Chg</t>
  </si>
  <si>
    <t>Special Rate Variation</t>
  </si>
  <si>
    <t>Yearly repayments</t>
  </si>
  <si>
    <t>2023-24</t>
  </si>
  <si>
    <t>2024-25</t>
  </si>
  <si>
    <t>Yearly Principle</t>
  </si>
  <si>
    <t>Farmland</t>
  </si>
  <si>
    <t>Residential</t>
  </si>
  <si>
    <t>Business</t>
  </si>
  <si>
    <t>Break-up</t>
  </si>
  <si>
    <t>Total</t>
  </si>
  <si>
    <t>Rate Diff</t>
  </si>
  <si>
    <t>Description</t>
  </si>
  <si>
    <t>No Assess</t>
  </si>
  <si>
    <t>2013
Ad Valorum</t>
  </si>
  <si>
    <t>2013 Base</t>
  </si>
  <si>
    <t>2013 Total</t>
  </si>
  <si>
    <t>2013      Base %</t>
  </si>
  <si>
    <t>Valuations</t>
  </si>
  <si>
    <t>Notional Ad Valorum</t>
  </si>
  <si>
    <t>Notional Base</t>
  </si>
  <si>
    <t>Notional Yield</t>
  </si>
  <si>
    <t>Notional Base %</t>
  </si>
  <si>
    <t>2014 Ad Valorum</t>
  </si>
  <si>
    <t>2014 Base</t>
  </si>
  <si>
    <t>2014 Total</t>
  </si>
  <si>
    <t>2014 Base %</t>
  </si>
  <si>
    <t>Avg Per Assess</t>
  </si>
  <si>
    <t>Notional # Minimum</t>
  </si>
  <si>
    <t>Notional LV on Minimum</t>
  </si>
  <si>
    <t>2014 # Minimum</t>
  </si>
  <si>
    <t>2014 LV on Minimum</t>
  </si>
  <si>
    <t>2014 % on Minumum</t>
  </si>
  <si>
    <t>Prop Avg</t>
  </si>
  <si>
    <t>Prop Avg Total</t>
  </si>
  <si>
    <t>2013 Notion Avg</t>
  </si>
  <si>
    <t>Diff</t>
  </si>
  <si>
    <t>2015 Ad Valorum</t>
  </si>
  <si>
    <t>2015 Base</t>
  </si>
  <si>
    <t>2015 Total</t>
  </si>
  <si>
    <t>2015 Base %</t>
  </si>
  <si>
    <t>Avg Per Ass</t>
  </si>
  <si>
    <t>1-1</t>
  </si>
  <si>
    <t>1-2</t>
  </si>
  <si>
    <t>1-3</t>
  </si>
  <si>
    <t>4-1</t>
  </si>
  <si>
    <t>Town Improvement</t>
  </si>
  <si>
    <t>Diff to allowable</t>
  </si>
  <si>
    <t>Negative = Over</t>
  </si>
  <si>
    <t>2013Rate in $</t>
  </si>
  <si>
    <t>2013 Base Amount</t>
  </si>
  <si>
    <t>2013 Minimum</t>
  </si>
  <si>
    <t>2014Rate in $</t>
  </si>
  <si>
    <t>2014 Base Amount</t>
  </si>
  <si>
    <t>2014 Minimum</t>
  </si>
  <si>
    <t>Possible rate in $ - 3.4% Increase</t>
  </si>
  <si>
    <t>Possible Minimum - 3.4% Increase</t>
  </si>
  <si>
    <t>2015 Rate in $</t>
  </si>
  <si>
    <t>2015 Min</t>
  </si>
  <si>
    <t>Percentage Increase</t>
  </si>
  <si>
    <t>2014 Percentage Increase</t>
  </si>
  <si>
    <t>Increase</t>
  </si>
  <si>
    <t>Under(Over)rated in 2012</t>
  </si>
  <si>
    <t>Allowable Yield</t>
  </si>
  <si>
    <t>Under (Over) rated in 2013</t>
  </si>
  <si>
    <t>Increase per Avg Per Assess</t>
  </si>
  <si>
    <t>Increase per Avg  Per Assess</t>
  </si>
  <si>
    <t>Difference betweem Estimates &amp; Actual 2013-14</t>
  </si>
  <si>
    <t>Note: Change highlighted cells only for continual flowthrough</t>
  </si>
  <si>
    <t>Total SRV</t>
  </si>
  <si>
    <t>Rates - New Billing System</t>
  </si>
  <si>
    <t>Expenses</t>
  </si>
  <si>
    <t>General Fund Loan</t>
  </si>
  <si>
    <t>Water Fund Contribution</t>
  </si>
  <si>
    <t>Sewer Fund Contribution</t>
  </si>
  <si>
    <t>TID Fund Contribution</t>
  </si>
  <si>
    <t>All $4M expenses in General Fund</t>
  </si>
  <si>
    <t>Revenue Transfer from Water Fund</t>
  </si>
  <si>
    <t>Funding</t>
  </si>
  <si>
    <t>Revenue Transfer from Sewer Fund</t>
  </si>
  <si>
    <t>Revenue Transfer from TID Fund</t>
  </si>
  <si>
    <t>Balance of General Fund</t>
  </si>
  <si>
    <t>All interest on loan shown in General Fund</t>
  </si>
  <si>
    <t>All revenue derived from SRV shown in General Fund</t>
  </si>
  <si>
    <t xml:space="preserve">Total Loan </t>
  </si>
  <si>
    <t xml:space="preserve">SRV V Loan </t>
  </si>
  <si>
    <t>Note: Restricted Cash @ 30/06/13    $361 K</t>
  </si>
  <si>
    <t>Restricted Cash Movement</t>
  </si>
  <si>
    <t xml:space="preserve">Investment Securities </t>
  </si>
  <si>
    <t xml:space="preserve">Investment </t>
  </si>
  <si>
    <t>Note: Restricted Cash @ 30/06/13    $1,277 M</t>
  </si>
  <si>
    <t>Total Expenses</t>
  </si>
  <si>
    <t>Total Funding</t>
  </si>
  <si>
    <t>Note: Restricted Cash @ 30/06/13    $3,691 M</t>
  </si>
  <si>
    <t>Paul's Balance</t>
  </si>
  <si>
    <t>Difference between Paul v This Version</t>
  </si>
  <si>
    <t>TID Contribution to Main Street</t>
  </si>
  <si>
    <t>Main Street Loan Repayment</t>
  </si>
  <si>
    <t>Pauls Balance</t>
  </si>
  <si>
    <t>Main Street Expenditure</t>
  </si>
  <si>
    <t>Superann - Defined Benefit Not in Pauls - In this version to calculate salaries</t>
  </si>
  <si>
    <t>With uplift for SRV</t>
  </si>
  <si>
    <t>SRV - (included in calculated Rates</t>
  </si>
  <si>
    <t>GENERAL &amp; TID FUNDS -  SUMMARY</t>
  </si>
  <si>
    <t xml:space="preserve">NOTE: THE BALANCE SHEET FOR THIS EXERCISE DOES NOT INCLUDE B/FWD BALANCES </t>
  </si>
  <si>
    <t xml:space="preserve">                                    SEE SEPARATE COMBINED CASH FLOW / BALANCE SHEET FOR GF &amp; TID</t>
  </si>
  <si>
    <t>TID FUND - SUMMARY</t>
  </si>
  <si>
    <t>WATER FUND - SUMMARY</t>
  </si>
  <si>
    <t xml:space="preserve">CONTRIBUTIONS </t>
  </si>
  <si>
    <t>SEWERAGE FUND - SUMMARY</t>
  </si>
  <si>
    <t>SRV</t>
  </si>
  <si>
    <t>SCENARIO 1 - BAU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</si>
</sst>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&quot;$&quot;#,##0;[Red]\-&quot;$&quot;#,##0"/>
    <numFmt numFmtId="165" formatCode="&quot;$&quot;#,##0.00;[Red]\-&quot;$&quot;#,##0.00"/>
    <numFmt numFmtId="166" formatCode="_-* #,##0_-;\-* #,##0_-;_-* &quot;-&quot;_-;_-@_-"/>
    <numFmt numFmtId="167" formatCode="_-&quot;$&quot;* #,##0.00_-;\-&quot;$&quot;* #,##0.00_-;_-&quot;$&quot;* &quot;-&quot;??_-;_-@_-"/>
    <numFmt numFmtId="168" formatCode="_-* #,##0.00_-;\-* #,##0.00_-;_-* &quot;-&quot;??_-;_-@_-"/>
    <numFmt numFmtId="169" formatCode="#,##0;[Red]\(#,##0\)"/>
    <numFmt numFmtId="170" formatCode="_-* #,##0_-;\-* #,##0_-;_-* &quot;-&quot;??_-;_-@_-"/>
    <numFmt numFmtId="171" formatCode="0_);[Red]\(0\)"/>
    <numFmt numFmtId="172" formatCode="&quot;$&quot;#,##0;[Red]\(&quot;$&quot;#,##0\)"/>
    <numFmt numFmtId="173" formatCode="#,##0.00;[Red]\(#,##0\)"/>
    <numFmt numFmtId="174" formatCode="_-&quot;$&quot;* #,##0_-;\-&quot;$&quot;* #,##0_-;_-&quot;$&quot;* &quot;-&quot;??_-;_-@_-"/>
    <numFmt numFmtId="175" formatCode="\+&quot;$&quot;#,##0.00;[Red]\(&quot;$&quot;#,##0.00\)"/>
    <numFmt numFmtId="176" formatCode="&quot;$&quot;#,##0.00;[Red]\(&quot;$&quot;#,##0.00\)"/>
    <numFmt numFmtId="177" formatCode="0.0%"/>
    <numFmt numFmtId="178" formatCode="#,##0.000_ ;[Red]\-#,##0.000\ "/>
  </numFmts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.5"/>
      <name val="Calibri"/>
      <family val="2"/>
    </font>
    <font>
      <sz val="11.5"/>
      <name val="Calibri"/>
      <family val="2"/>
    </font>
    <font>
      <i/>
      <sz val="11.5"/>
      <name val="Calibri"/>
      <family val="2"/>
    </font>
    <font>
      <sz val="11.5"/>
      <color indexed="10"/>
      <name val="Calibri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u/>
      <sz val="13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10"/>
      <color indexed="8"/>
      <name val="Calibri"/>
      <family val="2"/>
    </font>
    <font>
      <i/>
      <sz val="10"/>
      <name val="Calibri"/>
      <family val="2"/>
    </font>
    <font>
      <b/>
      <i/>
      <sz val="11.5"/>
      <name val="Calibri"/>
      <family val="2"/>
    </font>
    <font>
      <sz val="9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rgb="FF00B0F0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rgb="FF00B0F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0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.5"/>
      <color theme="1"/>
      <name val="Calibri"/>
      <family val="2"/>
      <scheme val="minor"/>
    </font>
    <font>
      <sz val="11.5"/>
      <color indexed="8"/>
      <name val="Calibri"/>
      <family val="2"/>
    </font>
    <font>
      <b/>
      <sz val="11.5"/>
      <color theme="1"/>
      <name val="Calibri"/>
      <family val="2"/>
      <scheme val="minor"/>
    </font>
    <font>
      <sz val="11.5"/>
      <color theme="0"/>
      <name val="Calibri"/>
      <family val="2"/>
    </font>
    <font>
      <b/>
      <i/>
      <sz val="10"/>
      <color indexed="8"/>
      <name val="Calibri"/>
      <family val="2"/>
    </font>
    <font>
      <b/>
      <i/>
      <sz val="11.5"/>
      <color indexed="8"/>
      <name val="Calibri"/>
      <family val="2"/>
    </font>
    <font>
      <b/>
      <sz val="11.5"/>
      <color indexed="8"/>
      <name val="Calibri"/>
      <family val="2"/>
    </font>
  </fonts>
  <fills count="28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1" fillId="0" borderId="0"/>
    <xf numFmtId="168" fontId="21" fillId="0" borderId="0" applyFont="0" applyFill="0" applyBorder="0" applyAlignment="0" applyProtection="0"/>
  </cellStyleXfs>
  <cellXfs count="464">
    <xf numFmtId="0" fontId="0" fillId="0" borderId="0" xfId="0"/>
    <xf numFmtId="169" fontId="2" fillId="2" borderId="0" xfId="0" applyNumberFormat="1" applyFont="1" applyFill="1"/>
    <xf numFmtId="169" fontId="3" fillId="2" borderId="0" xfId="0" applyNumberFormat="1" applyFont="1" applyFill="1"/>
    <xf numFmtId="169" fontId="3" fillId="0" borderId="0" xfId="0" applyNumberFormat="1" applyFont="1" applyFill="1"/>
    <xf numFmtId="169" fontId="3" fillId="0" borderId="0" xfId="0" applyNumberFormat="1" applyFont="1" applyFill="1" applyBorder="1"/>
    <xf numFmtId="169" fontId="3" fillId="0" borderId="0" xfId="0" applyNumberFormat="1" applyFont="1"/>
    <xf numFmtId="0" fontId="3" fillId="0" borderId="0" xfId="0" applyFont="1"/>
    <xf numFmtId="169" fontId="2" fillId="0" borderId="0" xfId="0" applyNumberFormat="1" applyFont="1" applyFill="1"/>
    <xf numFmtId="169" fontId="2" fillId="3" borderId="1" xfId="0" applyNumberFormat="1" applyFont="1" applyFill="1" applyBorder="1" applyAlignment="1">
      <alignment horizontal="center"/>
    </xf>
    <xf numFmtId="169" fontId="2" fillId="0" borderId="0" xfId="0" applyNumberFormat="1" applyFont="1" applyFill="1" applyBorder="1" applyAlignment="1">
      <alignment horizontal="center"/>
    </xf>
    <xf numFmtId="169" fontId="2" fillId="3" borderId="2" xfId="0" applyNumberFormat="1" applyFont="1" applyFill="1" applyBorder="1" applyAlignment="1">
      <alignment horizontal="center"/>
    </xf>
    <xf numFmtId="169" fontId="2" fillId="3" borderId="3" xfId="0" applyNumberFormat="1" applyFont="1" applyFill="1" applyBorder="1" applyAlignment="1">
      <alignment horizontal="center"/>
    </xf>
    <xf numFmtId="169" fontId="2" fillId="3" borderId="4" xfId="0" applyNumberFormat="1" applyFont="1" applyFill="1" applyBorder="1" applyAlignment="1">
      <alignment horizontal="center"/>
    </xf>
    <xf numFmtId="169" fontId="2" fillId="3" borderId="0" xfId="0" applyNumberFormat="1" applyFont="1" applyFill="1" applyBorder="1" applyAlignment="1">
      <alignment horizontal="center"/>
    </xf>
    <xf numFmtId="169" fontId="2" fillId="0" borderId="2" xfId="0" applyNumberFormat="1" applyFont="1" applyBorder="1" applyAlignment="1">
      <alignment horizontal="center"/>
    </xf>
    <xf numFmtId="169" fontId="2" fillId="0" borderId="3" xfId="0" applyNumberFormat="1" applyFont="1" applyBorder="1" applyAlignment="1">
      <alignment horizontal="center"/>
    </xf>
    <xf numFmtId="169" fontId="2" fillId="0" borderId="3" xfId="0" applyNumberFormat="1" applyFont="1" applyBorder="1" applyAlignment="1">
      <alignment horizontal="center" vertical="center"/>
    </xf>
    <xf numFmtId="169" fontId="2" fillId="0" borderId="4" xfId="0" applyNumberFormat="1" applyFont="1" applyBorder="1" applyAlignment="1">
      <alignment horizontal="center"/>
    </xf>
    <xf numFmtId="169" fontId="2" fillId="0" borderId="5" xfId="0" applyNumberFormat="1" applyFont="1" applyBorder="1" applyAlignment="1">
      <alignment horizontal="center"/>
    </xf>
    <xf numFmtId="169" fontId="2" fillId="3" borderId="6" xfId="0" applyNumberFormat="1" applyFont="1" applyFill="1" applyBorder="1" applyAlignment="1">
      <alignment horizontal="center"/>
    </xf>
    <xf numFmtId="169" fontId="2" fillId="3" borderId="7" xfId="0" applyNumberFormat="1" applyFont="1" applyFill="1" applyBorder="1" applyAlignment="1">
      <alignment horizontal="center"/>
    </xf>
    <xf numFmtId="169" fontId="2" fillId="3" borderId="8" xfId="0" applyNumberFormat="1" applyFont="1" applyFill="1" applyBorder="1" applyAlignment="1">
      <alignment horizontal="center"/>
    </xf>
    <xf numFmtId="169" fontId="2" fillId="3" borderId="9" xfId="0" applyNumberFormat="1" applyFont="1" applyFill="1" applyBorder="1" applyAlignment="1">
      <alignment horizontal="center"/>
    </xf>
    <xf numFmtId="169" fontId="2" fillId="0" borderId="7" xfId="0" applyNumberFormat="1" applyFont="1" applyBorder="1" applyAlignment="1">
      <alignment horizontal="center"/>
    </xf>
    <xf numFmtId="169" fontId="2" fillId="0" borderId="8" xfId="0" applyNumberFormat="1" applyFont="1" applyBorder="1"/>
    <xf numFmtId="169" fontId="2" fillId="0" borderId="8" xfId="0" applyNumberFormat="1" applyFont="1" applyBorder="1" applyAlignment="1">
      <alignment horizontal="center" vertical="center"/>
    </xf>
    <xf numFmtId="169" fontId="2" fillId="0" borderId="9" xfId="0" applyNumberFormat="1" applyFont="1" applyBorder="1"/>
    <xf numFmtId="169" fontId="2" fillId="0" borderId="5" xfId="0" applyNumberFormat="1" applyFont="1" applyBorder="1"/>
    <xf numFmtId="169" fontId="2" fillId="4" borderId="0" xfId="0" applyNumberFormat="1" applyFont="1" applyFill="1"/>
    <xf numFmtId="169" fontId="3" fillId="3" borderId="0" xfId="0" applyNumberFormat="1" applyFont="1" applyFill="1"/>
    <xf numFmtId="169" fontId="3" fillId="5" borderId="0" xfId="0" applyNumberFormat="1" applyFont="1" applyFill="1"/>
    <xf numFmtId="169" fontId="2" fillId="3" borderId="0" xfId="0" applyNumberFormat="1" applyFont="1" applyFill="1"/>
    <xf numFmtId="169" fontId="2" fillId="0" borderId="0" xfId="0" applyNumberFormat="1" applyFont="1" applyFill="1" applyBorder="1"/>
    <xf numFmtId="169" fontId="2" fillId="5" borderId="0" xfId="0" applyNumberFormat="1" applyFont="1" applyFill="1"/>
    <xf numFmtId="0" fontId="2" fillId="0" borderId="0" xfId="0" applyFont="1"/>
    <xf numFmtId="169" fontId="2" fillId="3" borderId="10" xfId="0" applyNumberFormat="1" applyFont="1" applyFill="1" applyBorder="1"/>
    <xf numFmtId="169" fontId="2" fillId="3" borderId="0" xfId="0" applyNumberFormat="1" applyFont="1" applyFill="1" applyBorder="1"/>
    <xf numFmtId="169" fontId="2" fillId="0" borderId="10" xfId="0" applyNumberFormat="1" applyFont="1" applyFill="1" applyBorder="1"/>
    <xf numFmtId="169" fontId="2" fillId="0" borderId="0" xfId="0" applyNumberFormat="1" applyFont="1"/>
    <xf numFmtId="169" fontId="2" fillId="2" borderId="0" xfId="0" applyNumberFormat="1" applyFont="1" applyFill="1" applyBorder="1"/>
    <xf numFmtId="169" fontId="2" fillId="0" borderId="11" xfId="0" applyNumberFormat="1" applyFont="1" applyFill="1" applyBorder="1" applyAlignment="1">
      <alignment horizontal="center"/>
    </xf>
    <xf numFmtId="169" fontId="2" fillId="0" borderId="12" xfId="0" applyNumberFormat="1" applyFont="1" applyFill="1" applyBorder="1" applyAlignment="1">
      <alignment horizontal="center"/>
    </xf>
    <xf numFmtId="0" fontId="3" fillId="0" borderId="0" xfId="0" applyFont="1" applyFill="1"/>
    <xf numFmtId="169" fontId="2" fillId="3" borderId="13" xfId="0" applyNumberFormat="1" applyFont="1" applyFill="1" applyBorder="1"/>
    <xf numFmtId="169" fontId="2" fillId="0" borderId="13" xfId="0" applyNumberFormat="1" applyFont="1" applyFill="1" applyBorder="1"/>
    <xf numFmtId="166" fontId="3" fillId="0" borderId="0" xfId="0" applyNumberFormat="1" applyFont="1" applyFill="1"/>
    <xf numFmtId="166" fontId="3" fillId="0" borderId="0" xfId="0" applyNumberFormat="1" applyFont="1" applyFill="1" applyAlignment="1">
      <alignment horizontal="left"/>
    </xf>
    <xf numFmtId="166" fontId="3" fillId="0" borderId="0" xfId="0" applyNumberFormat="1" applyFont="1" applyFill="1" applyAlignment="1"/>
    <xf numFmtId="169" fontId="2" fillId="3" borderId="14" xfId="0" applyNumberFormat="1" applyFont="1" applyFill="1" applyBorder="1"/>
    <xf numFmtId="169" fontId="2" fillId="3" borderId="15" xfId="0" applyNumberFormat="1" applyFont="1" applyFill="1" applyBorder="1"/>
    <xf numFmtId="169" fontId="2" fillId="5" borderId="14" xfId="0" applyNumberFormat="1" applyFont="1" applyFill="1" applyBorder="1"/>
    <xf numFmtId="0" fontId="3" fillId="0" borderId="0" xfId="0" applyFont="1" applyFill="1" applyBorder="1"/>
    <xf numFmtId="169" fontId="3" fillId="0" borderId="10" xfId="0" applyNumberFormat="1" applyFont="1" applyFill="1" applyBorder="1"/>
    <xf numFmtId="0" fontId="3" fillId="0" borderId="10" xfId="0" applyFont="1" applyFill="1" applyBorder="1"/>
    <xf numFmtId="169" fontId="2" fillId="3" borderId="13" xfId="0" applyNumberFormat="1" applyFont="1" applyFill="1" applyBorder="1" applyAlignment="1">
      <alignment horizontal="right"/>
    </xf>
    <xf numFmtId="169" fontId="2" fillId="0" borderId="0" xfId="0" applyNumberFormat="1" applyFont="1" applyFill="1" applyBorder="1" applyAlignment="1">
      <alignment horizontal="right"/>
    </xf>
    <xf numFmtId="169" fontId="2" fillId="3" borderId="0" xfId="0" applyNumberFormat="1" applyFont="1" applyFill="1" applyBorder="1" applyAlignment="1">
      <alignment horizontal="right"/>
    </xf>
    <xf numFmtId="169" fontId="2" fillId="3" borderId="15" xfId="0" applyNumberFormat="1" applyFont="1" applyFill="1" applyBorder="1" applyAlignment="1">
      <alignment horizontal="right"/>
    </xf>
    <xf numFmtId="169" fontId="3" fillId="0" borderId="0" xfId="0" applyNumberFormat="1" applyFont="1" applyBorder="1"/>
    <xf numFmtId="0" fontId="3" fillId="0" borderId="0" xfId="0" applyFont="1" applyBorder="1"/>
    <xf numFmtId="169" fontId="3" fillId="0" borderId="16" xfId="0" applyNumberFormat="1" applyFont="1" applyBorder="1"/>
    <xf numFmtId="169" fontId="3" fillId="0" borderId="10" xfId="0" applyNumberFormat="1" applyFont="1" applyBorder="1"/>
    <xf numFmtId="169" fontId="2" fillId="0" borderId="14" xfId="0" applyNumberFormat="1" applyFont="1" applyFill="1" applyBorder="1"/>
    <xf numFmtId="169" fontId="3" fillId="6" borderId="0" xfId="0" applyNumberFormat="1" applyFont="1" applyFill="1"/>
    <xf numFmtId="169" fontId="4" fillId="0" borderId="0" xfId="0" applyNumberFormat="1" applyFont="1" applyFill="1"/>
    <xf numFmtId="169" fontId="2" fillId="3" borderId="17" xfId="0" applyNumberFormat="1" applyFont="1" applyFill="1" applyBorder="1"/>
    <xf numFmtId="169" fontId="3" fillId="0" borderId="0" xfId="0" applyNumberFormat="1" applyFont="1" applyFill="1" applyAlignment="1">
      <alignment horizontal="left"/>
    </xf>
    <xf numFmtId="169" fontId="2" fillId="3" borderId="18" xfId="0" applyNumberFormat="1" applyFont="1" applyFill="1" applyBorder="1"/>
    <xf numFmtId="169" fontId="2" fillId="3" borderId="14" xfId="0" applyNumberFormat="1" applyFont="1" applyFill="1" applyBorder="1" applyAlignment="1">
      <alignment horizontal="right"/>
    </xf>
    <xf numFmtId="169" fontId="3" fillId="7" borderId="0" xfId="0" applyNumberFormat="1" applyFont="1" applyFill="1"/>
    <xf numFmtId="169" fontId="3" fillId="5" borderId="10" xfId="0" applyNumberFormat="1" applyFont="1" applyFill="1" applyBorder="1"/>
    <xf numFmtId="169" fontId="2" fillId="5" borderId="10" xfId="0" applyNumberFormat="1" applyFont="1" applyFill="1" applyBorder="1"/>
    <xf numFmtId="169" fontId="2" fillId="3" borderId="16" xfId="0" applyNumberFormat="1" applyFont="1" applyFill="1" applyBorder="1"/>
    <xf numFmtId="169" fontId="2" fillId="7" borderId="10" xfId="0" applyNumberFormat="1" applyFont="1" applyFill="1" applyBorder="1"/>
    <xf numFmtId="169" fontId="2" fillId="5" borderId="13" xfId="0" applyNumberFormat="1" applyFont="1" applyFill="1" applyBorder="1"/>
    <xf numFmtId="169" fontId="5" fillId="0" borderId="0" xfId="0" applyNumberFormat="1" applyFont="1" applyFill="1"/>
    <xf numFmtId="169" fontId="3" fillId="8" borderId="19" xfId="0" applyNumberFormat="1" applyFont="1" applyFill="1" applyBorder="1"/>
    <xf numFmtId="0" fontId="3" fillId="3" borderId="0" xfId="0" applyFont="1" applyFill="1"/>
    <xf numFmtId="169" fontId="3" fillId="0" borderId="0" xfId="0" applyNumberFormat="1" applyFont="1" applyFill="1" applyAlignment="1"/>
    <xf numFmtId="169" fontId="2" fillId="0" borderId="20" xfId="0" applyNumberFormat="1" applyFont="1" applyFill="1" applyBorder="1"/>
    <xf numFmtId="169" fontId="2" fillId="0" borderId="21" xfId="0" applyNumberFormat="1" applyFont="1" applyFill="1" applyBorder="1"/>
    <xf numFmtId="169" fontId="2" fillId="0" borderId="7" xfId="0" applyNumberFormat="1" applyFont="1" applyFill="1" applyBorder="1"/>
    <xf numFmtId="169" fontId="2" fillId="5" borderId="0" xfId="0" applyNumberFormat="1" applyFont="1" applyFill="1" applyBorder="1"/>
    <xf numFmtId="169" fontId="2" fillId="0" borderId="17" xfId="0" applyNumberFormat="1" applyFont="1" applyFill="1" applyBorder="1"/>
    <xf numFmtId="169" fontId="2" fillId="0" borderId="15" xfId="0" applyNumberFormat="1" applyFont="1" applyFill="1" applyBorder="1"/>
    <xf numFmtId="169" fontId="3" fillId="3" borderId="0" xfId="0" applyNumberFormat="1" applyFont="1" applyFill="1" applyBorder="1"/>
    <xf numFmtId="0" fontId="3" fillId="3" borderId="0" xfId="0" applyFont="1" applyFill="1" applyBorder="1"/>
    <xf numFmtId="169" fontId="3" fillId="5" borderId="0" xfId="0" applyNumberFormat="1" applyFont="1" applyFill="1" applyBorder="1"/>
    <xf numFmtId="169" fontId="3" fillId="9" borderId="0" xfId="0" applyNumberFormat="1" applyFont="1" applyFill="1"/>
    <xf numFmtId="169" fontId="3" fillId="3" borderId="10" xfId="0" applyNumberFormat="1" applyFont="1" applyFill="1" applyBorder="1"/>
    <xf numFmtId="0" fontId="2" fillId="0" borderId="0" xfId="0" applyFont="1" applyBorder="1"/>
    <xf numFmtId="169" fontId="2" fillId="0" borderId="0" xfId="0" applyNumberFormat="1" applyFont="1" applyBorder="1"/>
    <xf numFmtId="0" fontId="10" fillId="0" borderId="22" xfId="0" applyFont="1" applyBorder="1"/>
    <xf numFmtId="170" fontId="10" fillId="0" borderId="0" xfId="1" applyNumberFormat="1" applyFont="1" applyBorder="1" applyAlignment="1">
      <alignment horizontal="right"/>
    </xf>
    <xf numFmtId="169" fontId="11" fillId="0" borderId="0" xfId="0" applyNumberFormat="1" applyFont="1"/>
    <xf numFmtId="169" fontId="10" fillId="0" borderId="0" xfId="0" applyNumberFormat="1" applyFont="1"/>
    <xf numFmtId="3" fontId="10" fillId="0" borderId="0" xfId="0" applyNumberFormat="1" applyFont="1" applyBorder="1" applyAlignment="1">
      <alignment horizontal="right"/>
    </xf>
    <xf numFmtId="170" fontId="10" fillId="0" borderId="0" xfId="1" applyNumberFormat="1" applyFont="1" applyBorder="1"/>
    <xf numFmtId="0" fontId="11" fillId="0" borderId="0" xfId="0" applyFont="1"/>
    <xf numFmtId="170" fontId="11" fillId="0" borderId="0" xfId="1" applyNumberFormat="1" applyFont="1" applyAlignment="1">
      <alignment horizontal="right"/>
    </xf>
    <xf numFmtId="3" fontId="11" fillId="0" borderId="0" xfId="0" applyNumberFormat="1" applyFont="1" applyAlignment="1">
      <alignment horizontal="right"/>
    </xf>
    <xf numFmtId="170" fontId="11" fillId="0" borderId="0" xfId="1" applyNumberFormat="1" applyFont="1"/>
    <xf numFmtId="0" fontId="10" fillId="0" borderId="1" xfId="0" applyFont="1" applyBorder="1" applyAlignment="1">
      <alignment horizontal="center"/>
    </xf>
    <xf numFmtId="170" fontId="10" fillId="0" borderId="2" xfId="1" applyNumberFormat="1" applyFont="1" applyBorder="1" applyAlignment="1">
      <alignment horizontal="right"/>
    </xf>
    <xf numFmtId="169" fontId="10" fillId="0" borderId="23" xfId="0" applyNumberFormat="1" applyFont="1" applyBorder="1" applyAlignment="1">
      <alignment horizontal="center"/>
    </xf>
    <xf numFmtId="169" fontId="10" fillId="0" borderId="3" xfId="0" applyNumberFormat="1" applyFont="1" applyBorder="1"/>
    <xf numFmtId="169" fontId="10" fillId="0" borderId="24" xfId="0" applyNumberFormat="1" applyFont="1" applyBorder="1" applyAlignment="1">
      <alignment horizontal="center"/>
    </xf>
    <xf numFmtId="169" fontId="10" fillId="0" borderId="1" xfId="0" applyNumberFormat="1" applyFont="1" applyBorder="1" applyAlignment="1">
      <alignment horizontal="center"/>
    </xf>
    <xf numFmtId="3" fontId="10" fillId="0" borderId="2" xfId="0" applyNumberFormat="1" applyFont="1" applyBorder="1" applyAlignment="1">
      <alignment horizontal="right"/>
    </xf>
    <xf numFmtId="170" fontId="10" fillId="0" borderId="2" xfId="1" applyNumberFormat="1" applyFont="1" applyBorder="1" applyAlignment="1">
      <alignment horizontal="center"/>
    </xf>
    <xf numFmtId="0" fontId="10" fillId="0" borderId="0" xfId="0" applyFont="1"/>
    <xf numFmtId="0" fontId="10" fillId="0" borderId="6" xfId="0" applyFont="1" applyBorder="1"/>
    <xf numFmtId="170" fontId="10" fillId="0" borderId="7" xfId="1" applyNumberFormat="1" applyFont="1" applyBorder="1" applyAlignment="1">
      <alignment horizontal="right"/>
    </xf>
    <xf numFmtId="169" fontId="10" fillId="0" borderId="12" xfId="0" applyNumberFormat="1" applyFont="1" applyBorder="1" applyAlignment="1">
      <alignment horizontal="center"/>
    </xf>
    <xf numFmtId="169" fontId="10" fillId="0" borderId="8" xfId="0" applyNumberFormat="1" applyFont="1" applyBorder="1" applyAlignment="1">
      <alignment horizontal="center"/>
    </xf>
    <xf numFmtId="169" fontId="10" fillId="0" borderId="25" xfId="0" applyNumberFormat="1" applyFont="1" applyBorder="1" applyAlignment="1">
      <alignment horizontal="center"/>
    </xf>
    <xf numFmtId="169" fontId="10" fillId="0" borderId="6" xfId="0" applyNumberFormat="1" applyFont="1" applyBorder="1" applyAlignment="1">
      <alignment horizontal="center"/>
    </xf>
    <xf numFmtId="3" fontId="10" fillId="0" borderId="7" xfId="0" applyNumberFormat="1" applyFont="1" applyBorder="1" applyAlignment="1">
      <alignment horizontal="right"/>
    </xf>
    <xf numFmtId="170" fontId="10" fillId="0" borderId="7" xfId="1" applyNumberFormat="1" applyFont="1" applyBorder="1"/>
    <xf numFmtId="170" fontId="10" fillId="0" borderId="7" xfId="1" applyNumberFormat="1" applyFont="1" applyBorder="1" applyAlignment="1">
      <alignment horizontal="center"/>
    </xf>
    <xf numFmtId="0" fontId="11" fillId="0" borderId="1" xfId="0" applyFont="1" applyFill="1" applyBorder="1"/>
    <xf numFmtId="170" fontId="11" fillId="0" borderId="21" xfId="1" applyNumberFormat="1" applyFont="1" applyFill="1" applyBorder="1" applyAlignment="1">
      <alignment horizontal="right"/>
    </xf>
    <xf numFmtId="169" fontId="11" fillId="10" borderId="26" xfId="0" applyNumberFormat="1" applyFont="1" applyFill="1" applyBorder="1"/>
    <xf numFmtId="169" fontId="11" fillId="10" borderId="0" xfId="0" applyNumberFormat="1" applyFont="1" applyFill="1"/>
    <xf numFmtId="169" fontId="11" fillId="10" borderId="27" xfId="0" applyNumberFormat="1" applyFont="1" applyFill="1" applyBorder="1"/>
    <xf numFmtId="169" fontId="10" fillId="4" borderId="5" xfId="0" applyNumberFormat="1" applyFont="1" applyFill="1" applyBorder="1"/>
    <xf numFmtId="169" fontId="11" fillId="0" borderId="26" xfId="0" applyNumberFormat="1" applyFont="1" applyFill="1" applyBorder="1"/>
    <xf numFmtId="169" fontId="11" fillId="0" borderId="0" xfId="0" applyNumberFormat="1" applyFont="1" applyFill="1"/>
    <xf numFmtId="169" fontId="11" fillId="0" borderId="27" xfId="0" applyNumberFormat="1" applyFont="1" applyFill="1" applyBorder="1"/>
    <xf numFmtId="3" fontId="11" fillId="0" borderId="21" xfId="0" applyNumberFormat="1" applyFont="1" applyFill="1" applyBorder="1" applyAlignment="1">
      <alignment horizontal="right"/>
    </xf>
    <xf numFmtId="170" fontId="11" fillId="0" borderId="21" xfId="1" applyNumberFormat="1" applyFont="1" applyFill="1" applyBorder="1"/>
    <xf numFmtId="0" fontId="11" fillId="0" borderId="0" xfId="0" applyFont="1" applyFill="1"/>
    <xf numFmtId="171" fontId="10" fillId="0" borderId="5" xfId="0" applyNumberFormat="1" applyFont="1" applyFill="1" applyBorder="1"/>
    <xf numFmtId="170" fontId="10" fillId="0" borderId="21" xfId="1" applyNumberFormat="1" applyFont="1" applyFill="1" applyBorder="1" applyAlignment="1">
      <alignment horizontal="right"/>
    </xf>
    <xf numFmtId="169" fontId="11" fillId="11" borderId="26" xfId="0" applyNumberFormat="1" applyFont="1" applyFill="1" applyBorder="1"/>
    <xf numFmtId="169" fontId="11" fillId="11" borderId="0" xfId="0" applyNumberFormat="1" applyFont="1" applyFill="1"/>
    <xf numFmtId="169" fontId="11" fillId="12" borderId="27" xfId="0" applyNumberFormat="1" applyFont="1" applyFill="1" applyBorder="1"/>
    <xf numFmtId="169" fontId="11" fillId="12" borderId="0" xfId="0" applyNumberFormat="1" applyFont="1" applyFill="1"/>
    <xf numFmtId="3" fontId="10" fillId="0" borderId="21" xfId="0" applyNumberFormat="1" applyFont="1" applyFill="1" applyBorder="1" applyAlignment="1">
      <alignment horizontal="right"/>
    </xf>
    <xf numFmtId="172" fontId="10" fillId="0" borderId="21" xfId="1" applyNumberFormat="1" applyFont="1" applyFill="1" applyBorder="1"/>
    <xf numFmtId="170" fontId="10" fillId="0" borderId="21" xfId="1" applyNumberFormat="1" applyFont="1" applyFill="1" applyBorder="1"/>
    <xf numFmtId="169" fontId="11" fillId="9" borderId="27" xfId="0" applyNumberFormat="1" applyFont="1" applyFill="1" applyBorder="1"/>
    <xf numFmtId="169" fontId="11" fillId="11" borderId="27" xfId="0" applyNumberFormat="1" applyFont="1" applyFill="1" applyBorder="1"/>
    <xf numFmtId="169" fontId="11" fillId="10" borderId="28" xfId="0" applyNumberFormat="1" applyFont="1" applyFill="1" applyBorder="1"/>
    <xf numFmtId="169" fontId="11" fillId="10" borderId="14" xfId="0" applyNumberFormat="1" applyFont="1" applyFill="1" applyBorder="1"/>
    <xf numFmtId="169" fontId="11" fillId="10" borderId="29" xfId="0" applyNumberFormat="1" applyFont="1" applyFill="1" applyBorder="1"/>
    <xf numFmtId="169" fontId="10" fillId="4" borderId="30" xfId="0" applyNumberFormat="1" applyFont="1" applyFill="1" applyBorder="1"/>
    <xf numFmtId="169" fontId="11" fillId="0" borderId="28" xfId="0" applyNumberFormat="1" applyFont="1" applyFill="1" applyBorder="1"/>
    <xf numFmtId="169" fontId="11" fillId="0" borderId="14" xfId="0" applyNumberFormat="1" applyFont="1" applyFill="1" applyBorder="1"/>
    <xf numFmtId="169" fontId="11" fillId="0" borderId="29" xfId="0" applyNumberFormat="1" applyFont="1" applyFill="1" applyBorder="1"/>
    <xf numFmtId="171" fontId="10" fillId="0" borderId="5" xfId="0" applyNumberFormat="1" applyFont="1" applyFill="1" applyBorder="1" applyAlignment="1">
      <alignment horizontal="left"/>
    </xf>
    <xf numFmtId="169" fontId="11" fillId="12" borderId="26" xfId="0" applyNumberFormat="1" applyFont="1" applyFill="1" applyBorder="1"/>
    <xf numFmtId="169" fontId="11" fillId="12" borderId="31" xfId="0" applyNumberFormat="1" applyFont="1" applyFill="1" applyBorder="1"/>
    <xf numFmtId="172" fontId="10" fillId="0" borderId="21" xfId="1" applyNumberFormat="1" applyFont="1" applyFill="1" applyBorder="1" applyAlignment="1">
      <alignment horizontal="right"/>
    </xf>
    <xf numFmtId="172" fontId="10" fillId="0" borderId="21" xfId="1" applyNumberFormat="1" applyFont="1" applyFill="1" applyBorder="1" applyAlignment="1">
      <alignment horizontal="left"/>
    </xf>
    <xf numFmtId="170" fontId="10" fillId="0" borderId="21" xfId="1" applyNumberFormat="1" applyFont="1" applyFill="1" applyBorder="1" applyAlignment="1">
      <alignment horizontal="left"/>
    </xf>
    <xf numFmtId="169" fontId="11" fillId="12" borderId="19" xfId="0" applyNumberFormat="1" applyFont="1" applyFill="1" applyBorder="1"/>
    <xf numFmtId="169" fontId="10" fillId="0" borderId="21" xfId="0" applyNumberFormat="1" applyFont="1" applyFill="1" applyBorder="1" applyAlignment="1">
      <alignment horizontal="right"/>
    </xf>
    <xf numFmtId="169" fontId="11" fillId="12" borderId="32" xfId="0" applyNumberFormat="1" applyFont="1" applyFill="1" applyBorder="1"/>
    <xf numFmtId="169" fontId="10" fillId="0" borderId="21" xfId="1" applyNumberFormat="1" applyFont="1" applyFill="1" applyBorder="1" applyAlignment="1">
      <alignment horizontal="right"/>
    </xf>
    <xf numFmtId="169" fontId="11" fillId="13" borderId="0" xfId="0" applyNumberFormat="1" applyFont="1" applyFill="1"/>
    <xf numFmtId="169" fontId="11" fillId="10" borderId="0" xfId="0" applyNumberFormat="1" applyFont="1" applyFill="1" applyBorder="1"/>
    <xf numFmtId="169" fontId="11" fillId="0" borderId="0" xfId="0" applyNumberFormat="1" applyFont="1" applyFill="1" applyBorder="1"/>
    <xf numFmtId="169" fontId="11" fillId="12" borderId="0" xfId="0" applyNumberFormat="1" applyFont="1" applyFill="1" applyBorder="1"/>
    <xf numFmtId="0" fontId="11" fillId="0" borderId="0" xfId="0" applyFont="1" applyFill="1" applyBorder="1"/>
    <xf numFmtId="171" fontId="10" fillId="0" borderId="6" xfId="0" applyNumberFormat="1" applyFont="1" applyFill="1" applyBorder="1"/>
    <xf numFmtId="169" fontId="11" fillId="10" borderId="33" xfId="0" applyNumberFormat="1" applyFont="1" applyFill="1" applyBorder="1"/>
    <xf numFmtId="169" fontId="11" fillId="10" borderId="10" xfId="0" applyNumberFormat="1" applyFont="1" applyFill="1" applyBorder="1"/>
    <xf numFmtId="169" fontId="11" fillId="10" borderId="34" xfId="0" applyNumberFormat="1" applyFont="1" applyFill="1" applyBorder="1"/>
    <xf numFmtId="169" fontId="10" fillId="4" borderId="35" xfId="0" applyNumberFormat="1" applyFont="1" applyFill="1" applyBorder="1"/>
    <xf numFmtId="169" fontId="11" fillId="0" borderId="33" xfId="0" applyNumberFormat="1" applyFont="1" applyFill="1" applyBorder="1"/>
    <xf numFmtId="169" fontId="11" fillId="0" borderId="10" xfId="0" applyNumberFormat="1" applyFont="1" applyFill="1" applyBorder="1"/>
    <xf numFmtId="169" fontId="11" fillId="0" borderId="34" xfId="0" applyNumberFormat="1" applyFont="1" applyFill="1" applyBorder="1"/>
    <xf numFmtId="171" fontId="11" fillId="0" borderId="0" xfId="0" applyNumberFormat="1" applyFont="1" applyFill="1"/>
    <xf numFmtId="170" fontId="10" fillId="0" borderId="1" xfId="1" applyNumberFormat="1" applyFont="1" applyFill="1" applyBorder="1" applyAlignment="1">
      <alignment horizontal="right"/>
    </xf>
    <xf numFmtId="169" fontId="11" fillId="0" borderId="23" xfId="0" applyNumberFormat="1" applyFont="1" applyFill="1" applyBorder="1"/>
    <xf numFmtId="169" fontId="11" fillId="0" borderId="3" xfId="0" applyNumberFormat="1" applyFont="1" applyFill="1" applyBorder="1"/>
    <xf numFmtId="169" fontId="11" fillId="0" borderId="24" xfId="0" applyNumberFormat="1" applyFont="1" applyFill="1" applyBorder="1"/>
    <xf numFmtId="169" fontId="10" fillId="0" borderId="1" xfId="0" applyNumberFormat="1" applyFont="1" applyFill="1" applyBorder="1"/>
    <xf numFmtId="172" fontId="10" fillId="0" borderId="1" xfId="0" applyNumberFormat="1" applyFont="1" applyFill="1" applyBorder="1"/>
    <xf numFmtId="170" fontId="10" fillId="0" borderId="6" xfId="1" applyNumberFormat="1" applyFont="1" applyFill="1" applyBorder="1" applyAlignment="1">
      <alignment horizontal="right"/>
    </xf>
    <xf numFmtId="169" fontId="11" fillId="0" borderId="12" xfId="0" applyNumberFormat="1" applyFont="1" applyFill="1" applyBorder="1"/>
    <xf numFmtId="169" fontId="11" fillId="0" borderId="8" xfId="0" applyNumberFormat="1" applyFont="1" applyFill="1" applyBorder="1"/>
    <xf numFmtId="169" fontId="11" fillId="0" borderId="25" xfId="0" applyNumberFormat="1" applyFont="1" applyFill="1" applyBorder="1"/>
    <xf numFmtId="169" fontId="10" fillId="0" borderId="6" xfId="0" applyNumberFormat="1" applyFont="1" applyFill="1" applyBorder="1"/>
    <xf numFmtId="173" fontId="10" fillId="0" borderId="6" xfId="1" applyNumberFormat="1" applyFont="1" applyFill="1" applyBorder="1"/>
    <xf numFmtId="170" fontId="11" fillId="0" borderId="6" xfId="1" applyNumberFormat="1" applyFont="1" applyFill="1" applyBorder="1"/>
    <xf numFmtId="170" fontId="11" fillId="0" borderId="0" xfId="1" applyNumberFormat="1" applyFont="1" applyFill="1" applyAlignment="1">
      <alignment horizontal="right"/>
    </xf>
    <xf numFmtId="169" fontId="10" fillId="0" borderId="0" xfId="0" applyNumberFormat="1" applyFont="1" applyFill="1"/>
    <xf numFmtId="3" fontId="11" fillId="0" borderId="0" xfId="0" applyNumberFormat="1" applyFont="1" applyFill="1" applyAlignment="1">
      <alignment horizontal="right"/>
    </xf>
    <xf numFmtId="170" fontId="11" fillId="0" borderId="0" xfId="1" applyNumberFormat="1" applyFont="1" applyFill="1"/>
    <xf numFmtId="0" fontId="11" fillId="0" borderId="0" xfId="0" applyFont="1" applyBorder="1"/>
    <xf numFmtId="170" fontId="11" fillId="0" borderId="0" xfId="1" applyNumberFormat="1" applyFont="1" applyBorder="1" applyAlignment="1">
      <alignment horizontal="right"/>
    </xf>
    <xf numFmtId="169" fontId="11" fillId="0" borderId="0" xfId="0" applyNumberFormat="1" applyFont="1" applyBorder="1"/>
    <xf numFmtId="169" fontId="11" fillId="14" borderId="26" xfId="0" applyNumberFormat="1" applyFont="1" applyFill="1" applyBorder="1"/>
    <xf numFmtId="169" fontId="11" fillId="14" borderId="0" xfId="0" applyNumberFormat="1" applyFont="1" applyFill="1"/>
    <xf numFmtId="169" fontId="11" fillId="14" borderId="27" xfId="0" applyNumberFormat="1" applyFont="1" applyFill="1" applyBorder="1"/>
    <xf numFmtId="169" fontId="10" fillId="0" borderId="0" xfId="0" applyNumberFormat="1" applyFont="1" applyBorder="1"/>
    <xf numFmtId="3" fontId="11" fillId="0" borderId="0" xfId="0" applyNumberFormat="1" applyFont="1" applyBorder="1" applyAlignment="1">
      <alignment horizontal="right"/>
    </xf>
    <xf numFmtId="170" fontId="11" fillId="0" borderId="0" xfId="1" applyNumberFormat="1" applyFont="1" applyBorder="1"/>
    <xf numFmtId="169" fontId="11" fillId="14" borderId="28" xfId="0" applyNumberFormat="1" applyFont="1" applyFill="1" applyBorder="1"/>
    <xf numFmtId="169" fontId="11" fillId="14" borderId="14" xfId="0" applyNumberFormat="1" applyFont="1" applyFill="1" applyBorder="1"/>
    <xf numFmtId="169" fontId="11" fillId="14" borderId="29" xfId="0" applyNumberFormat="1" applyFont="1" applyFill="1" applyBorder="1"/>
    <xf numFmtId="169" fontId="11" fillId="14" borderId="0" xfId="0" applyNumberFormat="1" applyFont="1" applyFill="1" applyBorder="1"/>
    <xf numFmtId="169" fontId="11" fillId="14" borderId="33" xfId="0" applyNumberFormat="1" applyFont="1" applyFill="1" applyBorder="1"/>
    <xf numFmtId="169" fontId="11" fillId="14" borderId="10" xfId="0" applyNumberFormat="1" applyFont="1" applyFill="1" applyBorder="1"/>
    <xf numFmtId="169" fontId="11" fillId="14" borderId="34" xfId="0" applyNumberFormat="1" applyFont="1" applyFill="1" applyBorder="1"/>
    <xf numFmtId="174" fontId="0" fillId="0" borderId="0" xfId="2" applyNumberFormat="1" applyFont="1"/>
    <xf numFmtId="175" fontId="0" fillId="0" borderId="0" xfId="2" applyNumberFormat="1" applyFont="1"/>
    <xf numFmtId="0" fontId="13" fillId="0" borderId="0" xfId="0" applyFont="1"/>
    <xf numFmtId="174" fontId="12" fillId="0" borderId="0" xfId="2" applyNumberFormat="1" applyFont="1" applyAlignment="1">
      <alignment horizontal="center"/>
    </xf>
    <xf numFmtId="175" fontId="0" fillId="0" borderId="10" xfId="2" applyNumberFormat="1" applyFont="1" applyBorder="1"/>
    <xf numFmtId="175" fontId="0" fillId="0" borderId="0" xfId="0" applyNumberFormat="1"/>
    <xf numFmtId="175" fontId="0" fillId="0" borderId="0" xfId="2" applyNumberFormat="1" applyFont="1" applyBorder="1"/>
    <xf numFmtId="0" fontId="0" fillId="0" borderId="0" xfId="0" applyFont="1"/>
    <xf numFmtId="174" fontId="0" fillId="0" borderId="14" xfId="2" applyNumberFormat="1" applyFont="1" applyBorder="1"/>
    <xf numFmtId="0" fontId="12" fillId="0" borderId="0" xfId="0" applyFont="1"/>
    <xf numFmtId="175" fontId="12" fillId="0" borderId="22" xfId="0" applyNumberFormat="1" applyFont="1" applyBorder="1"/>
    <xf numFmtId="169" fontId="2" fillId="15" borderId="10" xfId="0" applyNumberFormat="1" applyFont="1" applyFill="1" applyBorder="1"/>
    <xf numFmtId="0" fontId="14" fillId="0" borderId="0" xfId="0" applyFont="1"/>
    <xf numFmtId="169" fontId="11" fillId="6" borderId="27" xfId="0" applyNumberFormat="1" applyFont="1" applyFill="1" applyBorder="1"/>
    <xf numFmtId="174" fontId="0" fillId="0" borderId="0" xfId="2" applyNumberFormat="1" applyFont="1" applyFill="1"/>
    <xf numFmtId="172" fontId="0" fillId="0" borderId="0" xfId="2" applyNumberFormat="1" applyFont="1"/>
    <xf numFmtId="174" fontId="12" fillId="0" borderId="0" xfId="2" applyNumberFormat="1" applyFont="1" applyFill="1" applyAlignment="1">
      <alignment horizontal="center"/>
    </xf>
    <xf numFmtId="172" fontId="0" fillId="0" borderId="0" xfId="2" applyNumberFormat="1" applyFont="1" applyFill="1"/>
    <xf numFmtId="175" fontId="13" fillId="0" borderId="0" xfId="2" applyNumberFormat="1" applyFont="1" applyFill="1" applyAlignment="1">
      <alignment horizontal="right"/>
    </xf>
    <xf numFmtId="174" fontId="15" fillId="0" borderId="0" xfId="2" applyNumberFormat="1" applyFont="1" applyFill="1" applyAlignment="1">
      <alignment horizontal="right"/>
    </xf>
    <xf numFmtId="176" fontId="12" fillId="0" borderId="0" xfId="2" applyNumberFormat="1" applyFont="1"/>
    <xf numFmtId="175" fontId="12" fillId="0" borderId="0" xfId="2" applyNumberFormat="1" applyFont="1" applyBorder="1" applyAlignment="1">
      <alignment horizontal="center"/>
    </xf>
    <xf numFmtId="175" fontId="12" fillId="0" borderId="14" xfId="0" applyNumberFormat="1" applyFont="1" applyBorder="1"/>
    <xf numFmtId="0" fontId="15" fillId="0" borderId="0" xfId="0" applyFont="1"/>
    <xf numFmtId="169" fontId="3" fillId="6" borderId="0" xfId="0" applyNumberFormat="1" applyFont="1" applyFill="1" applyBorder="1"/>
    <xf numFmtId="169" fontId="2" fillId="15" borderId="0" xfId="0" applyNumberFormat="1" applyFont="1" applyFill="1" applyBorder="1"/>
    <xf numFmtId="169" fontId="2" fillId="0" borderId="0" xfId="0" applyNumberFormat="1" applyFont="1" applyBorder="1" applyAlignment="1">
      <alignment horizontal="center"/>
    </xf>
    <xf numFmtId="169" fontId="3" fillId="16" borderId="0" xfId="0" applyNumberFormat="1" applyFont="1" applyFill="1"/>
    <xf numFmtId="169" fontId="2" fillId="16" borderId="0" xfId="0" applyNumberFormat="1" applyFont="1" applyFill="1"/>
    <xf numFmtId="169" fontId="2" fillId="8" borderId="0" xfId="0" applyNumberFormat="1" applyFont="1" applyFill="1"/>
    <xf numFmtId="169" fontId="2" fillId="0" borderId="1" xfId="0" applyNumberFormat="1" applyFont="1" applyFill="1" applyBorder="1" applyAlignment="1">
      <alignment horizontal="center"/>
    </xf>
    <xf numFmtId="169" fontId="2" fillId="0" borderId="2" xfId="0" applyNumberFormat="1" applyFont="1" applyFill="1" applyBorder="1" applyAlignment="1">
      <alignment horizontal="center"/>
    </xf>
    <xf numFmtId="169" fontId="2" fillId="0" borderId="3" xfId="0" applyNumberFormat="1" applyFont="1" applyFill="1" applyBorder="1" applyAlignment="1">
      <alignment horizontal="center"/>
    </xf>
    <xf numFmtId="169" fontId="2" fillId="0" borderId="4" xfId="0" applyNumberFormat="1" applyFont="1" applyFill="1" applyBorder="1" applyAlignment="1">
      <alignment horizontal="center"/>
    </xf>
    <xf numFmtId="169" fontId="2" fillId="0" borderId="6" xfId="0" applyNumberFormat="1" applyFont="1" applyFill="1" applyBorder="1" applyAlignment="1">
      <alignment horizontal="center"/>
    </xf>
    <xf numFmtId="169" fontId="2" fillId="0" borderId="7" xfId="0" applyNumberFormat="1" applyFont="1" applyFill="1" applyBorder="1" applyAlignment="1">
      <alignment horizontal="center"/>
    </xf>
    <xf numFmtId="169" fontId="2" fillId="0" borderId="8" xfId="0" applyNumberFormat="1" applyFont="1" applyFill="1" applyBorder="1" applyAlignment="1">
      <alignment horizontal="center"/>
    </xf>
    <xf numFmtId="169" fontId="2" fillId="0" borderId="9" xfId="0" applyNumberFormat="1" applyFont="1" applyFill="1" applyBorder="1" applyAlignment="1">
      <alignment horizontal="center"/>
    </xf>
    <xf numFmtId="169" fontId="3" fillId="0" borderId="16" xfId="0" applyNumberFormat="1" applyFont="1" applyFill="1" applyBorder="1"/>
    <xf numFmtId="169" fontId="2" fillId="0" borderId="14" xfId="0" applyNumberFormat="1" applyFont="1" applyFill="1" applyBorder="1" applyAlignment="1">
      <alignment horizontal="right"/>
    </xf>
    <xf numFmtId="169" fontId="2" fillId="0" borderId="16" xfId="0" applyNumberFormat="1" applyFont="1" applyFill="1" applyBorder="1"/>
    <xf numFmtId="169" fontId="3" fillId="0" borderId="19" xfId="0" applyNumberFormat="1" applyFont="1" applyFill="1" applyBorder="1"/>
    <xf numFmtId="169" fontId="2" fillId="0" borderId="3" xfId="0" applyNumberFormat="1" applyFont="1" applyFill="1" applyBorder="1" applyAlignment="1">
      <alignment horizontal="center" vertical="center"/>
    </xf>
    <xf numFmtId="169" fontId="2" fillId="0" borderId="5" xfId="0" applyNumberFormat="1" applyFont="1" applyFill="1" applyBorder="1" applyAlignment="1">
      <alignment horizontal="center"/>
    </xf>
    <xf numFmtId="169" fontId="2" fillId="0" borderId="8" xfId="0" applyNumberFormat="1" applyFont="1" applyFill="1" applyBorder="1"/>
    <xf numFmtId="169" fontId="2" fillId="0" borderId="8" xfId="0" applyNumberFormat="1" applyFont="1" applyFill="1" applyBorder="1" applyAlignment="1">
      <alignment horizontal="center" vertical="center"/>
    </xf>
    <xf numFmtId="169" fontId="2" fillId="0" borderId="9" xfId="0" applyNumberFormat="1" applyFont="1" applyFill="1" applyBorder="1"/>
    <xf numFmtId="0" fontId="2" fillId="0" borderId="0" xfId="0" applyFont="1" applyFill="1"/>
    <xf numFmtId="169" fontId="2" fillId="0" borderId="36" xfId="0" applyNumberFormat="1" applyFont="1" applyFill="1" applyBorder="1" applyAlignment="1">
      <alignment horizontal="center"/>
    </xf>
    <xf numFmtId="169" fontId="2" fillId="0" borderId="36" xfId="0" applyNumberFormat="1" applyFont="1" applyFill="1" applyBorder="1"/>
    <xf numFmtId="169" fontId="2" fillId="0" borderId="26" xfId="0" applyNumberFormat="1" applyFont="1" applyFill="1" applyBorder="1" applyAlignment="1">
      <alignment horizontal="center"/>
    </xf>
    <xf numFmtId="169" fontId="2" fillId="0" borderId="0" xfId="0" applyNumberFormat="1" applyFont="1" applyFill="1" applyBorder="1" applyAlignment="1">
      <alignment horizontal="center" vertical="center"/>
    </xf>
    <xf numFmtId="169" fontId="2" fillId="17" borderId="0" xfId="0" applyNumberFormat="1" applyFont="1" applyFill="1"/>
    <xf numFmtId="169" fontId="2" fillId="17" borderId="17" xfId="0" applyNumberFormat="1" applyFont="1" applyFill="1" applyBorder="1"/>
    <xf numFmtId="169" fontId="2" fillId="17" borderId="0" xfId="0" applyNumberFormat="1" applyFont="1" applyFill="1" applyBorder="1"/>
    <xf numFmtId="169" fontId="3" fillId="17" borderId="0" xfId="0" applyNumberFormat="1" applyFont="1" applyFill="1"/>
    <xf numFmtId="0" fontId="3" fillId="17" borderId="0" xfId="0" applyFont="1" applyFill="1"/>
    <xf numFmtId="169" fontId="2" fillId="17" borderId="13" xfId="0" applyNumberFormat="1" applyFont="1" applyFill="1" applyBorder="1"/>
    <xf numFmtId="169" fontId="2" fillId="17" borderId="18" xfId="0" applyNumberFormat="1" applyFont="1" applyFill="1" applyBorder="1"/>
    <xf numFmtId="169" fontId="2" fillId="18" borderId="0" xfId="0" applyNumberFormat="1" applyFont="1" applyFill="1"/>
    <xf numFmtId="169" fontId="3" fillId="19" borderId="0" xfId="0" applyNumberFormat="1" applyFont="1" applyFill="1"/>
    <xf numFmtId="0" fontId="3" fillId="19" borderId="0" xfId="0" applyFont="1" applyFill="1"/>
    <xf numFmtId="169" fontId="2" fillId="18" borderId="17" xfId="0" applyNumberFormat="1" applyFont="1" applyFill="1" applyBorder="1"/>
    <xf numFmtId="169" fontId="2" fillId="18" borderId="0" xfId="0" applyNumberFormat="1" applyFont="1" applyFill="1" applyBorder="1"/>
    <xf numFmtId="169" fontId="3" fillId="18" borderId="0" xfId="0" applyNumberFormat="1" applyFont="1" applyFill="1"/>
    <xf numFmtId="0" fontId="3" fillId="18" borderId="0" xfId="0" applyFont="1" applyFill="1"/>
    <xf numFmtId="169" fontId="2" fillId="18" borderId="13" xfId="0" applyNumberFormat="1" applyFont="1" applyFill="1" applyBorder="1"/>
    <xf numFmtId="0" fontId="16" fillId="0" borderId="0" xfId="0" applyFont="1" applyBorder="1"/>
    <xf numFmtId="0" fontId="17" fillId="0" borderId="0" xfId="0" applyFont="1" applyBorder="1"/>
    <xf numFmtId="0" fontId="18" fillId="0" borderId="0" xfId="0" applyFont="1" applyBorder="1" applyAlignment="1">
      <alignment horizontal="left" indent="3"/>
    </xf>
    <xf numFmtId="0" fontId="17" fillId="0" borderId="0" xfId="0" applyFont="1" applyFill="1" applyBorder="1"/>
    <xf numFmtId="0" fontId="17" fillId="0" borderId="0" xfId="0" applyFont="1" applyBorder="1" applyAlignment="1">
      <alignment horizontal="left" indent="3"/>
    </xf>
    <xf numFmtId="0" fontId="18" fillId="0" borderId="0" xfId="0" applyFont="1" applyFill="1" applyBorder="1" applyAlignment="1">
      <alignment horizontal="left" indent="3"/>
    </xf>
    <xf numFmtId="0" fontId="18" fillId="0" borderId="0" xfId="0" applyFont="1" applyBorder="1"/>
    <xf numFmtId="0" fontId="18" fillId="0" borderId="0" xfId="0" applyFont="1" applyFill="1" applyBorder="1"/>
    <xf numFmtId="0" fontId="16" fillId="0" borderId="0" xfId="0" applyFont="1" applyFill="1" applyBorder="1"/>
    <xf numFmtId="0" fontId="18" fillId="0" borderId="0" xfId="0" applyFont="1" applyBorder="1" applyAlignment="1">
      <alignment horizontal="left" indent="1"/>
    </xf>
    <xf numFmtId="0" fontId="19" fillId="0" borderId="0" xfId="0" applyFont="1" applyFill="1" applyBorder="1" applyAlignment="1">
      <alignment horizontal="left" indent="1"/>
    </xf>
    <xf numFmtId="0" fontId="18" fillId="0" borderId="0" xfId="0" applyFont="1" applyFill="1" applyBorder="1" applyAlignment="1">
      <alignment horizontal="left" indent="1"/>
    </xf>
    <xf numFmtId="169" fontId="2" fillId="6" borderId="0" xfId="0" applyNumberFormat="1" applyFont="1" applyFill="1"/>
    <xf numFmtId="169" fontId="2" fillId="20" borderId="2" xfId="0" applyNumberFormat="1" applyFont="1" applyFill="1" applyBorder="1"/>
    <xf numFmtId="169" fontId="2" fillId="20" borderId="3" xfId="0" applyNumberFormat="1" applyFont="1" applyFill="1" applyBorder="1"/>
    <xf numFmtId="169" fontId="3" fillId="20" borderId="3" xfId="0" applyNumberFormat="1" applyFont="1" applyFill="1" applyBorder="1"/>
    <xf numFmtId="0" fontId="3" fillId="20" borderId="3" xfId="0" applyFont="1" applyFill="1" applyBorder="1"/>
    <xf numFmtId="169" fontId="2" fillId="20" borderId="4" xfId="0" applyNumberFormat="1" applyFont="1" applyFill="1" applyBorder="1"/>
    <xf numFmtId="169" fontId="3" fillId="20" borderId="21" xfId="0" applyNumberFormat="1" applyFont="1" applyFill="1" applyBorder="1"/>
    <xf numFmtId="169" fontId="2" fillId="20" borderId="0" xfId="0" applyNumberFormat="1" applyFont="1" applyFill="1" applyBorder="1"/>
    <xf numFmtId="169" fontId="3" fillId="20" borderId="0" xfId="0" applyNumberFormat="1" applyFont="1" applyFill="1" applyBorder="1"/>
    <xf numFmtId="0" fontId="3" fillId="20" borderId="0" xfId="0" applyFont="1" applyFill="1" applyBorder="1"/>
    <xf numFmtId="169" fontId="2" fillId="20" borderId="36" xfId="0" applyNumberFormat="1" applyFont="1" applyFill="1" applyBorder="1"/>
    <xf numFmtId="169" fontId="2" fillId="20" borderId="21" xfId="0" applyNumberFormat="1" applyFont="1" applyFill="1" applyBorder="1"/>
    <xf numFmtId="169" fontId="2" fillId="20" borderId="10" xfId="0" applyNumberFormat="1" applyFont="1" applyFill="1" applyBorder="1"/>
    <xf numFmtId="169" fontId="2" fillId="20" borderId="37" xfId="0" applyNumberFormat="1" applyFont="1" applyFill="1" applyBorder="1"/>
    <xf numFmtId="169" fontId="3" fillId="20" borderId="10" xfId="0" applyNumberFormat="1" applyFont="1" applyFill="1" applyBorder="1"/>
    <xf numFmtId="169" fontId="2" fillId="20" borderId="7" xfId="0" applyNumberFormat="1" applyFont="1" applyFill="1" applyBorder="1"/>
    <xf numFmtId="169" fontId="2" fillId="20" borderId="8" xfId="0" applyNumberFormat="1" applyFont="1" applyFill="1" applyBorder="1"/>
    <xf numFmtId="169" fontId="3" fillId="20" borderId="8" xfId="0" applyNumberFormat="1" applyFont="1" applyFill="1" applyBorder="1"/>
    <xf numFmtId="0" fontId="3" fillId="20" borderId="8" xfId="0" applyFont="1" applyFill="1" applyBorder="1"/>
    <xf numFmtId="169" fontId="2" fillId="20" borderId="9" xfId="0" applyNumberFormat="1" applyFont="1" applyFill="1" applyBorder="1"/>
    <xf numFmtId="0" fontId="20" fillId="0" borderId="2" xfId="0" applyFont="1" applyFill="1" applyBorder="1"/>
    <xf numFmtId="169" fontId="3" fillId="0" borderId="3" xfId="0" applyNumberFormat="1" applyFont="1" applyFill="1" applyBorder="1"/>
    <xf numFmtId="0" fontId="3" fillId="0" borderId="3" xfId="0" applyFont="1" applyFill="1" applyBorder="1"/>
    <xf numFmtId="169" fontId="3" fillId="0" borderId="4" xfId="0" applyNumberFormat="1" applyFont="1" applyFill="1" applyBorder="1"/>
    <xf numFmtId="0" fontId="3" fillId="0" borderId="21" xfId="0" applyFont="1" applyFill="1" applyBorder="1"/>
    <xf numFmtId="169" fontId="3" fillId="0" borderId="36" xfId="0" applyNumberFormat="1" applyFont="1" applyFill="1" applyBorder="1"/>
    <xf numFmtId="0" fontId="3" fillId="0" borderId="7" xfId="0" applyFont="1" applyFill="1" applyBorder="1"/>
    <xf numFmtId="169" fontId="3" fillId="0" borderId="8" xfId="0" applyNumberFormat="1" applyFont="1" applyFill="1" applyBorder="1"/>
    <xf numFmtId="0" fontId="3" fillId="0" borderId="8" xfId="0" applyFont="1" applyFill="1" applyBorder="1"/>
    <xf numFmtId="169" fontId="3" fillId="0" borderId="9" xfId="0" applyNumberFormat="1" applyFont="1" applyFill="1" applyBorder="1"/>
    <xf numFmtId="169" fontId="2" fillId="0" borderId="0" xfId="0" applyNumberFormat="1" applyFont="1" applyFill="1" applyAlignment="1">
      <alignment horizontal="left" vertical="center"/>
    </xf>
    <xf numFmtId="169" fontId="2" fillId="0" borderId="0" xfId="0" applyNumberFormat="1" applyFont="1" applyFill="1" applyAlignment="1">
      <alignment horizontal="center"/>
    </xf>
    <xf numFmtId="169" fontId="2" fillId="0" borderId="0" xfId="0" applyNumberFormat="1" applyFont="1" applyFill="1" applyAlignment="1">
      <alignment horizontal="center" vertical="center" wrapText="1"/>
    </xf>
    <xf numFmtId="169" fontId="2" fillId="0" borderId="18" xfId="0" applyNumberFormat="1" applyFont="1" applyFill="1" applyBorder="1"/>
    <xf numFmtId="169" fontId="3" fillId="22" borderId="0" xfId="0" applyNumberFormat="1" applyFont="1" applyFill="1"/>
    <xf numFmtId="169" fontId="3" fillId="23" borderId="0" xfId="0" applyNumberFormat="1" applyFont="1" applyFill="1"/>
    <xf numFmtId="169" fontId="3" fillId="23" borderId="0" xfId="0" applyNumberFormat="1" applyFont="1" applyFill="1" applyBorder="1"/>
    <xf numFmtId="169" fontId="3" fillId="23" borderId="10" xfId="0" applyNumberFormat="1" applyFont="1" applyFill="1" applyBorder="1"/>
    <xf numFmtId="169" fontId="3" fillId="24" borderId="0" xfId="0" applyNumberFormat="1" applyFont="1" applyFill="1"/>
    <xf numFmtId="169" fontId="3" fillId="25" borderId="0" xfId="0" applyNumberFormat="1" applyFont="1" applyFill="1"/>
    <xf numFmtId="169" fontId="3" fillId="26" borderId="0" xfId="0" applyNumberFormat="1" applyFont="1" applyFill="1"/>
    <xf numFmtId="169" fontId="2" fillId="25" borderId="10" xfId="0" applyNumberFormat="1" applyFont="1" applyFill="1" applyBorder="1"/>
    <xf numFmtId="10" fontId="3" fillId="0" borderId="0" xfId="0" applyNumberFormat="1" applyFont="1" applyFill="1" applyBorder="1"/>
    <xf numFmtId="169" fontId="3" fillId="12" borderId="0" xfId="0" applyNumberFormat="1" applyFont="1" applyFill="1"/>
    <xf numFmtId="169" fontId="3" fillId="9" borderId="0" xfId="0" applyNumberFormat="1" applyFont="1" applyFill="1" applyBorder="1"/>
    <xf numFmtId="169" fontId="2" fillId="9" borderId="18" xfId="0" applyNumberFormat="1" applyFont="1" applyFill="1" applyBorder="1"/>
    <xf numFmtId="164" fontId="22" fillId="0" borderId="0" xfId="0" applyNumberFormat="1" applyFont="1"/>
    <xf numFmtId="168" fontId="22" fillId="0" borderId="0" xfId="4" applyFont="1"/>
    <xf numFmtId="0" fontId="22" fillId="0" borderId="0" xfId="0" applyFont="1"/>
    <xf numFmtId="0" fontId="23" fillId="0" borderId="0" xfId="0" applyFont="1"/>
    <xf numFmtId="168" fontId="22" fillId="0" borderId="0" xfId="4" applyNumberFormat="1" applyFont="1" applyAlignment="1">
      <alignment horizontal="center" vertical="center" wrapText="1"/>
    </xf>
    <xf numFmtId="170" fontId="22" fillId="0" borderId="0" xfId="4" applyNumberFormat="1" applyFont="1"/>
    <xf numFmtId="165" fontId="22" fillId="0" borderId="0" xfId="4" applyNumberFormat="1" applyFont="1"/>
    <xf numFmtId="0" fontId="25" fillId="0" borderId="0" xfId="0" applyFont="1"/>
    <xf numFmtId="38" fontId="22" fillId="0" borderId="0" xfId="4" applyNumberFormat="1" applyFont="1"/>
    <xf numFmtId="0" fontId="22" fillId="0" borderId="0" xfId="0" applyFont="1" applyAlignment="1">
      <alignment horizontal="right"/>
    </xf>
    <xf numFmtId="38" fontId="22" fillId="0" borderId="0" xfId="0" applyNumberFormat="1" applyFont="1"/>
    <xf numFmtId="38" fontId="26" fillId="0" borderId="0" xfId="4" applyNumberFormat="1" applyFont="1"/>
    <xf numFmtId="38" fontId="27" fillId="0" borderId="0" xfId="4" applyNumberFormat="1" applyFont="1"/>
    <xf numFmtId="2" fontId="28" fillId="6" borderId="0" xfId="0" applyNumberFormat="1" applyFont="1" applyFill="1"/>
    <xf numFmtId="0" fontId="29" fillId="0" borderId="0" xfId="0" applyFont="1" applyAlignment="1">
      <alignment horizontal="right" wrapText="1"/>
    </xf>
    <xf numFmtId="0" fontId="29" fillId="0" borderId="0" xfId="0" applyFont="1" applyAlignment="1">
      <alignment horizontal="left"/>
    </xf>
    <xf numFmtId="4" fontId="29" fillId="0" borderId="0" xfId="0" applyNumberFormat="1" applyFont="1" applyAlignment="1">
      <alignment horizontal="right" wrapText="1"/>
    </xf>
    <xf numFmtId="0" fontId="29" fillId="0" borderId="0" xfId="0" applyFont="1" applyAlignment="1">
      <alignment horizontal="right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wrapText="1"/>
    </xf>
    <xf numFmtId="2" fontId="29" fillId="0" borderId="0" xfId="0" applyNumberFormat="1" applyFont="1" applyAlignment="1">
      <alignment horizontal="right" wrapText="1"/>
    </xf>
    <xf numFmtId="2" fontId="29" fillId="6" borderId="0" xfId="0" applyNumberFormat="1" applyFont="1" applyFill="1" applyAlignment="1">
      <alignment horizontal="right" wrapText="1"/>
    </xf>
    <xf numFmtId="4" fontId="29" fillId="0" borderId="0" xfId="0" applyNumberFormat="1" applyFont="1" applyAlignment="1">
      <alignment wrapText="1"/>
    </xf>
    <xf numFmtId="2" fontId="29" fillId="0" borderId="0" xfId="0" applyNumberFormat="1" applyFont="1"/>
    <xf numFmtId="4" fontId="29" fillId="0" borderId="0" xfId="0" applyNumberFormat="1" applyFont="1"/>
    <xf numFmtId="10" fontId="29" fillId="0" borderId="0" xfId="0" applyNumberFormat="1" applyFont="1"/>
    <xf numFmtId="0" fontId="29" fillId="0" borderId="0" xfId="0" applyFont="1"/>
    <xf numFmtId="49" fontId="30" fillId="0" borderId="0" xfId="0" applyNumberFormat="1" applyFont="1"/>
    <xf numFmtId="4" fontId="30" fillId="0" borderId="0" xfId="0" applyNumberFormat="1" applyFont="1"/>
    <xf numFmtId="0" fontId="30" fillId="0" borderId="0" xfId="0" applyFont="1"/>
    <xf numFmtId="0" fontId="31" fillId="0" borderId="0" xfId="0" applyFont="1"/>
    <xf numFmtId="2" fontId="30" fillId="0" borderId="0" xfId="0" applyNumberFormat="1" applyFont="1"/>
    <xf numFmtId="0" fontId="29" fillId="6" borderId="0" xfId="0" applyFont="1" applyFill="1" applyAlignment="1">
      <alignment horizontal="right" wrapText="1"/>
    </xf>
    <xf numFmtId="4" fontId="29" fillId="6" borderId="0" xfId="0" applyNumberFormat="1" applyFont="1" applyFill="1" applyAlignment="1">
      <alignment horizontal="right" wrapText="1"/>
    </xf>
    <xf numFmtId="4" fontId="22" fillId="0" borderId="0" xfId="0" applyNumberFormat="1" applyFont="1"/>
    <xf numFmtId="10" fontId="22" fillId="0" borderId="0" xfId="0" applyNumberFormat="1" applyFont="1"/>
    <xf numFmtId="3" fontId="22" fillId="0" borderId="0" xfId="0" applyNumberFormat="1" applyFont="1"/>
    <xf numFmtId="2" fontId="22" fillId="0" borderId="0" xfId="0" applyNumberFormat="1" applyFont="1"/>
    <xf numFmtId="9" fontId="22" fillId="0" borderId="0" xfId="0" applyNumberFormat="1" applyFont="1"/>
    <xf numFmtId="0" fontId="22" fillId="6" borderId="0" xfId="0" applyFont="1" applyFill="1"/>
    <xf numFmtId="2" fontId="22" fillId="6" borderId="0" xfId="0" applyNumberFormat="1" applyFont="1" applyFill="1"/>
    <xf numFmtId="0" fontId="22" fillId="0" borderId="0" xfId="0" applyFont="1" applyFill="1"/>
    <xf numFmtId="2" fontId="22" fillId="0" borderId="0" xfId="0" applyNumberFormat="1" applyFont="1" applyFill="1"/>
    <xf numFmtId="1" fontId="22" fillId="0" borderId="0" xfId="0" applyNumberFormat="1" applyFont="1"/>
    <xf numFmtId="38" fontId="30" fillId="0" borderId="0" xfId="0" applyNumberFormat="1" applyFont="1"/>
    <xf numFmtId="38" fontId="22" fillId="6" borderId="0" xfId="0" applyNumberFormat="1" applyFont="1" applyFill="1"/>
    <xf numFmtId="0" fontId="26" fillId="0" borderId="0" xfId="0" applyFont="1"/>
    <xf numFmtId="38" fontId="26" fillId="0" borderId="0" xfId="0" applyNumberFormat="1" applyFont="1"/>
    <xf numFmtId="4" fontId="26" fillId="0" borderId="0" xfId="0" applyNumberFormat="1" applyFont="1"/>
    <xf numFmtId="10" fontId="26" fillId="0" borderId="0" xfId="0" applyNumberFormat="1" applyFont="1"/>
    <xf numFmtId="38" fontId="26" fillId="6" borderId="0" xfId="0" applyNumberFormat="1" applyFont="1" applyFill="1"/>
    <xf numFmtId="164" fontId="22" fillId="6" borderId="0" xfId="4" applyNumberFormat="1" applyFont="1" applyFill="1"/>
    <xf numFmtId="10" fontId="22" fillId="6" borderId="0" xfId="4" applyNumberFormat="1" applyFont="1" applyFill="1"/>
    <xf numFmtId="0" fontId="33" fillId="0" borderId="0" xfId="0" applyFont="1"/>
    <xf numFmtId="0" fontId="34" fillId="0" borderId="0" xfId="0" applyFont="1" applyBorder="1" applyAlignment="1">
      <alignment horizontal="left" indent="3"/>
    </xf>
    <xf numFmtId="0" fontId="34" fillId="0" borderId="0" xfId="0" applyFont="1" applyFill="1" applyBorder="1" applyAlignment="1">
      <alignment horizontal="left" indent="3"/>
    </xf>
    <xf numFmtId="0" fontId="3" fillId="0" borderId="0" xfId="0" applyFont="1" applyBorder="1" applyAlignment="1">
      <alignment horizontal="left" indent="3"/>
    </xf>
    <xf numFmtId="0" fontId="34" fillId="0" borderId="0" xfId="0" applyFont="1" applyBorder="1"/>
    <xf numFmtId="0" fontId="34" fillId="0" borderId="0" xfId="0" applyFont="1" applyFill="1" applyBorder="1"/>
    <xf numFmtId="0" fontId="2" fillId="0" borderId="0" xfId="0" applyFont="1" applyFill="1" applyBorder="1"/>
    <xf numFmtId="169" fontId="33" fillId="0" borderId="0" xfId="0" applyNumberFormat="1" applyFont="1"/>
    <xf numFmtId="0" fontId="34" fillId="0" borderId="0" xfId="0" applyFont="1" applyBorder="1" applyAlignment="1">
      <alignment horizontal="left" indent="1"/>
    </xf>
    <xf numFmtId="0" fontId="35" fillId="0" borderId="0" xfId="0" applyFont="1"/>
    <xf numFmtId="0" fontId="4" fillId="0" borderId="0" xfId="0" applyFont="1" applyFill="1" applyBorder="1" applyAlignment="1">
      <alignment horizontal="left" indent="1"/>
    </xf>
    <xf numFmtId="169" fontId="35" fillId="0" borderId="0" xfId="0" applyNumberFormat="1" applyFont="1"/>
    <xf numFmtId="169" fontId="2" fillId="0" borderId="0" xfId="0" applyNumberFormat="1" applyFont="1" applyFill="1" applyAlignment="1"/>
    <xf numFmtId="0" fontId="29" fillId="0" borderId="2" xfId="0" applyFont="1" applyBorder="1" applyAlignment="1">
      <alignment horizontal="left" vertical="center" wrapText="1"/>
    </xf>
    <xf numFmtId="0" fontId="29" fillId="0" borderId="3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38" fontId="22" fillId="0" borderId="21" xfId="4" applyNumberFormat="1" applyFont="1" applyBorder="1"/>
    <xf numFmtId="38" fontId="22" fillId="0" borderId="0" xfId="4" applyNumberFormat="1" applyFont="1" applyBorder="1"/>
    <xf numFmtId="0" fontId="22" fillId="0" borderId="0" xfId="0" applyFont="1" applyBorder="1"/>
    <xf numFmtId="38" fontId="22" fillId="0" borderId="36" xfId="4" applyNumberFormat="1" applyFont="1" applyBorder="1"/>
    <xf numFmtId="0" fontId="22" fillId="0" borderId="21" xfId="0" applyFont="1" applyBorder="1"/>
    <xf numFmtId="0" fontId="29" fillId="0" borderId="21" xfId="0" applyFont="1" applyBorder="1" applyAlignment="1">
      <alignment horizontal="left" vertical="center" wrapText="1"/>
    </xf>
    <xf numFmtId="0" fontId="29" fillId="0" borderId="0" xfId="0" applyFont="1" applyBorder="1" applyAlignment="1">
      <alignment horizontal="center" vertical="center" wrapText="1"/>
    </xf>
    <xf numFmtId="0" fontId="29" fillId="0" borderId="36" xfId="0" applyFont="1" applyBorder="1" applyAlignment="1">
      <alignment horizontal="center" vertical="center" wrapText="1"/>
    </xf>
    <xf numFmtId="38" fontId="22" fillId="0" borderId="0" xfId="0" applyNumberFormat="1" applyFont="1" applyBorder="1"/>
    <xf numFmtId="38" fontId="22" fillId="0" borderId="36" xfId="0" applyNumberFormat="1" applyFont="1" applyBorder="1"/>
    <xf numFmtId="0" fontId="22" fillId="0" borderId="7" xfId="0" applyFont="1" applyBorder="1"/>
    <xf numFmtId="0" fontId="22" fillId="0" borderId="8" xfId="0" applyFont="1" applyBorder="1"/>
    <xf numFmtId="0" fontId="22" fillId="0" borderId="9" xfId="0" applyFont="1" applyBorder="1"/>
    <xf numFmtId="0" fontId="22" fillId="0" borderId="2" xfId="0" applyFont="1" applyBorder="1" applyAlignment="1">
      <alignment horizontal="right"/>
    </xf>
    <xf numFmtId="0" fontId="22" fillId="0" borderId="3" xfId="0" applyFont="1" applyBorder="1" applyAlignment="1">
      <alignment horizontal="right"/>
    </xf>
    <xf numFmtId="0" fontId="26" fillId="0" borderId="3" xfId="0" applyFont="1" applyBorder="1" applyAlignment="1">
      <alignment horizontal="right"/>
    </xf>
    <xf numFmtId="0" fontId="26" fillId="0" borderId="4" xfId="0" applyFont="1" applyBorder="1" applyAlignment="1">
      <alignment horizontal="right"/>
    </xf>
    <xf numFmtId="0" fontId="22" fillId="0" borderId="21" xfId="0" applyFont="1" applyBorder="1" applyAlignment="1">
      <alignment horizontal="right"/>
    </xf>
    <xf numFmtId="0" fontId="22" fillId="0" borderId="0" xfId="0" applyFont="1" applyBorder="1" applyAlignment="1">
      <alignment horizontal="right"/>
    </xf>
    <xf numFmtId="0" fontId="26" fillId="0" borderId="0" xfId="0" applyFont="1" applyBorder="1" applyAlignment="1">
      <alignment horizontal="right"/>
    </xf>
    <xf numFmtId="0" fontId="26" fillId="0" borderId="36" xfId="0" applyFont="1" applyBorder="1" applyAlignment="1">
      <alignment horizontal="right"/>
    </xf>
    <xf numFmtId="38" fontId="26" fillId="0" borderId="21" xfId="4" applyNumberFormat="1" applyFont="1" applyBorder="1"/>
    <xf numFmtId="38" fontId="26" fillId="0" borderId="0" xfId="4" applyNumberFormat="1" applyFont="1" applyBorder="1"/>
    <xf numFmtId="38" fontId="26" fillId="0" borderId="0" xfId="4" applyNumberFormat="1" applyFont="1" applyBorder="1" applyAlignment="1">
      <alignment horizontal="right"/>
    </xf>
    <xf numFmtId="38" fontId="26" fillId="0" borderId="36" xfId="4" applyNumberFormat="1" applyFont="1" applyBorder="1" applyAlignment="1">
      <alignment horizontal="right"/>
    </xf>
    <xf numFmtId="38" fontId="26" fillId="0" borderId="36" xfId="4" applyNumberFormat="1" applyFont="1" applyBorder="1"/>
    <xf numFmtId="38" fontId="27" fillId="0" borderId="21" xfId="4" applyNumberFormat="1" applyFont="1" applyBorder="1"/>
    <xf numFmtId="38" fontId="27" fillId="0" borderId="0" xfId="4" applyNumberFormat="1" applyFont="1" applyBorder="1"/>
    <xf numFmtId="38" fontId="27" fillId="0" borderId="36" xfId="4" applyNumberFormat="1" applyFont="1" applyBorder="1"/>
    <xf numFmtId="0" fontId="22" fillId="0" borderId="36" xfId="0" applyFont="1" applyBorder="1"/>
    <xf numFmtId="38" fontId="22" fillId="0" borderId="8" xfId="0" applyNumberFormat="1" applyFont="1" applyBorder="1"/>
    <xf numFmtId="38" fontId="22" fillId="0" borderId="9" xfId="0" applyNumberFormat="1" applyFont="1" applyBorder="1"/>
    <xf numFmtId="38" fontId="22" fillId="0" borderId="3" xfId="4" applyNumberFormat="1" applyFont="1" applyBorder="1"/>
    <xf numFmtId="0" fontId="22" fillId="0" borderId="4" xfId="0" applyFont="1" applyBorder="1"/>
    <xf numFmtId="38" fontId="22" fillId="0" borderId="7" xfId="4" applyNumberFormat="1" applyFont="1" applyBorder="1"/>
    <xf numFmtId="38" fontId="22" fillId="0" borderId="2" xfId="0" applyNumberFormat="1" applyFont="1" applyBorder="1"/>
    <xf numFmtId="38" fontId="22" fillId="0" borderId="3" xfId="0" applyNumberFormat="1" applyFont="1" applyBorder="1"/>
    <xf numFmtId="0" fontId="22" fillId="0" borderId="2" xfId="0" applyFont="1" applyBorder="1"/>
    <xf numFmtId="177" fontId="22" fillId="6" borderId="3" xfId="0" applyNumberFormat="1" applyFont="1" applyFill="1" applyBorder="1"/>
    <xf numFmtId="38" fontId="22" fillId="0" borderId="4" xfId="4" applyNumberFormat="1" applyFont="1" applyBorder="1"/>
    <xf numFmtId="9" fontId="3" fillId="0" borderId="0" xfId="0" applyNumberFormat="1" applyFont="1" applyFill="1"/>
    <xf numFmtId="3" fontId="22" fillId="0" borderId="0" xfId="4" applyNumberFormat="1" applyFont="1"/>
    <xf numFmtId="0" fontId="0" fillId="0" borderId="0" xfId="0" applyFill="1"/>
    <xf numFmtId="164" fontId="26" fillId="0" borderId="0" xfId="0" applyNumberFormat="1" applyFont="1"/>
    <xf numFmtId="0" fontId="22" fillId="13" borderId="0" xfId="0" applyFont="1" applyFill="1"/>
    <xf numFmtId="168" fontId="22" fillId="13" borderId="0" xfId="4" applyNumberFormat="1" applyFont="1" applyFill="1" applyAlignment="1">
      <alignment horizontal="center" vertical="center" wrapText="1"/>
    </xf>
    <xf numFmtId="3" fontId="22" fillId="13" borderId="0" xfId="4" applyNumberFormat="1" applyFont="1" applyFill="1"/>
    <xf numFmtId="169" fontId="36" fillId="0" borderId="0" xfId="0" applyNumberFormat="1" applyFont="1" applyFill="1"/>
    <xf numFmtId="0" fontId="37" fillId="0" borderId="0" xfId="0" applyFont="1" applyBorder="1" applyAlignment="1">
      <alignment horizontal="left" indent="3"/>
    </xf>
    <xf numFmtId="0" fontId="38" fillId="0" borderId="0" xfId="0" applyFont="1" applyBorder="1" applyAlignment="1">
      <alignment horizontal="left" indent="3"/>
    </xf>
    <xf numFmtId="38" fontId="0" fillId="0" borderId="0" xfId="0" applyNumberFormat="1"/>
    <xf numFmtId="178" fontId="0" fillId="0" borderId="0" xfId="0" applyNumberFormat="1"/>
    <xf numFmtId="38" fontId="0" fillId="0" borderId="0" xfId="0" applyNumberFormat="1" applyFill="1" applyAlignment="1">
      <alignment horizontal="center"/>
    </xf>
    <xf numFmtId="0" fontId="33" fillId="0" borderId="0" xfId="0" applyFont="1" applyFill="1"/>
    <xf numFmtId="169" fontId="2" fillId="0" borderId="0" xfId="0" applyNumberFormat="1" applyFont="1" applyFill="1" applyAlignment="1">
      <alignment horizontal="left"/>
    </xf>
    <xf numFmtId="0" fontId="39" fillId="0" borderId="0" xfId="0" applyFont="1" applyBorder="1" applyAlignment="1">
      <alignment horizontal="left" indent="1"/>
    </xf>
    <xf numFmtId="0" fontId="3" fillId="0" borderId="0" xfId="0" applyFont="1" applyFill="1" applyBorder="1" applyAlignment="1">
      <alignment horizontal="left" indent="3"/>
    </xf>
    <xf numFmtId="0" fontId="34" fillId="0" borderId="0" xfId="0" applyFont="1" applyFill="1" applyBorder="1" applyAlignment="1">
      <alignment horizontal="left" indent="1"/>
    </xf>
    <xf numFmtId="169" fontId="2" fillId="0" borderId="3" xfId="0" applyNumberFormat="1" applyFont="1" applyFill="1" applyBorder="1"/>
    <xf numFmtId="169" fontId="33" fillId="0" borderId="0" xfId="0" applyNumberFormat="1" applyFont="1" applyFill="1"/>
    <xf numFmtId="169" fontId="2" fillId="21" borderId="0" xfId="0" applyNumberFormat="1" applyFont="1" applyFill="1" applyAlignment="1">
      <alignment horizontal="center"/>
    </xf>
    <xf numFmtId="168" fontId="32" fillId="6" borderId="0" xfId="4" applyFont="1" applyFill="1" applyAlignment="1">
      <alignment horizontal="left"/>
    </xf>
    <xf numFmtId="168" fontId="22" fillId="27" borderId="0" xfId="4" applyNumberFormat="1" applyFont="1" applyFill="1" applyAlignment="1">
      <alignment horizontal="center" vertical="center" wrapText="1"/>
    </xf>
  </cellXfs>
  <cellStyles count="5">
    <cellStyle name="Comma" xfId="1" builtinId="3"/>
    <cellStyle name="Comma 2" xfId="4"/>
    <cellStyle name="Currency" xfId="2" builtinId="4"/>
    <cellStyle name="Normal" xfId="0" builtinId="0"/>
    <cellStyle name="Normal 2" xfId="3"/>
  </cellStyles>
  <dxfs count="4"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b/>
        <i val="0"/>
        <color rgb="FF00B05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406400</xdr:colOff>
      <xdr:row>43</xdr:row>
      <xdr:rowOff>88900</xdr:rowOff>
    </xdr:from>
    <xdr:to>
      <xdr:col>3</xdr:col>
      <xdr:colOff>190500</xdr:colOff>
      <xdr:row>51</xdr:row>
      <xdr:rowOff>139700</xdr:rowOff>
    </xdr:to>
    <xdr:cxnSp macro="">
      <xdr:nvCxnSpPr>
        <xdr:cNvPr id="3" name="Straight Arrow Connector 2"/>
        <xdr:cNvCxnSpPr/>
      </xdr:nvCxnSpPr>
      <xdr:spPr>
        <a:xfrm flipV="1">
          <a:off x="4445000" y="8305800"/>
          <a:ext cx="495300" cy="157480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361950</xdr:colOff>
      <xdr:row>198</xdr:row>
      <xdr:rowOff>57150</xdr:rowOff>
    </xdr:from>
    <xdr:to>
      <xdr:col>34</xdr:col>
      <xdr:colOff>9525</xdr:colOff>
      <xdr:row>212</xdr:row>
      <xdr:rowOff>19050</xdr:rowOff>
    </xdr:to>
    <xdr:cxnSp macro="">
      <xdr:nvCxnSpPr>
        <xdr:cNvPr id="3" name="Straight Arrow Connector 2"/>
        <xdr:cNvCxnSpPr/>
      </xdr:nvCxnSpPr>
      <xdr:spPr>
        <a:xfrm flipH="1">
          <a:off x="4676775" y="36823650"/>
          <a:ext cx="638175" cy="283845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495300</xdr:colOff>
      <xdr:row>181</xdr:row>
      <xdr:rowOff>161925</xdr:rowOff>
    </xdr:from>
    <xdr:to>
      <xdr:col>34</xdr:col>
      <xdr:colOff>476250</xdr:colOff>
      <xdr:row>196</xdr:row>
      <xdr:rowOff>0</xdr:rowOff>
    </xdr:to>
    <xdr:cxnSp macro="">
      <xdr:nvCxnSpPr>
        <xdr:cNvPr id="2" name="Straight Arrow Connector 1"/>
        <xdr:cNvCxnSpPr/>
      </xdr:nvCxnSpPr>
      <xdr:spPr>
        <a:xfrm flipV="1">
          <a:off x="4743450" y="33175575"/>
          <a:ext cx="752475" cy="286702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01.admin\finance\budgets\reservesfin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01.admin\finance\budgets\est2008-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 "/>
      <sheetName val="Shee6"/>
    </sheetNames>
    <sheetDataSet>
      <sheetData sheetId="0"/>
      <sheetData sheetId="1"/>
      <sheetData sheetId="2">
        <row r="67">
          <cell r="AH67">
            <v>-66957</v>
          </cell>
        </row>
      </sheetData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ratios"/>
      <sheetName val="P &amp; L"/>
      <sheetName val="p&amp;l'ooo"/>
      <sheetName val="Sheet4"/>
      <sheetName val="13%'000"/>
      <sheetName val="13.0changes"/>
      <sheetName val="3.5+"/>
      <sheetName val="functions"/>
      <sheetName val="calcularion"/>
      <sheetName val="3.2peg"/>
    </sheetNames>
    <sheetDataSet>
      <sheetData sheetId="0">
        <row r="454">
          <cell r="B454">
            <v>272096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Q1631"/>
  <sheetViews>
    <sheetView zoomScale="60" zoomScaleNormal="60" workbookViewId="0">
      <pane ySplit="17" topLeftCell="A218" activePane="bottomLeft" state="frozen"/>
      <selection pane="bottomLeft" activeCell="BU224" sqref="BU224"/>
    </sheetView>
  </sheetViews>
  <sheetFormatPr defaultRowHeight="15" x14ac:dyDescent="0.25"/>
  <cols>
    <col min="1" max="1" width="26.5703125" style="42" customWidth="1"/>
    <col min="2" max="2" width="17.7109375" style="5" hidden="1" customWidth="1"/>
    <col min="3" max="3" width="2.85546875" style="3" hidden="1" customWidth="1"/>
    <col min="4" max="6" width="15.5703125" style="5" hidden="1" customWidth="1"/>
    <col min="7" max="7" width="3" style="3" hidden="1" customWidth="1"/>
    <col min="8" max="8" width="15.5703125" style="5" hidden="1" customWidth="1"/>
    <col min="9" max="9" width="3" style="5" hidden="1" customWidth="1"/>
    <col min="10" max="12" width="15.5703125" style="5" hidden="1" customWidth="1"/>
    <col min="13" max="13" width="3" style="4" hidden="1" customWidth="1"/>
    <col min="14" max="14" width="15.5703125" style="5" hidden="1" customWidth="1"/>
    <col min="15" max="15" width="1.7109375" style="3" hidden="1" customWidth="1"/>
    <col min="16" max="16" width="17.42578125" style="5" hidden="1" customWidth="1"/>
    <col min="17" max="17" width="1.140625" style="5" hidden="1" customWidth="1"/>
    <col min="18" max="19" width="15.28515625" style="5" hidden="1" customWidth="1"/>
    <col min="20" max="20" width="15.5703125" style="5" hidden="1" customWidth="1"/>
    <col min="21" max="21" width="15.28515625" style="5" hidden="1" customWidth="1"/>
    <col min="22" max="22" width="15.140625" style="5" hidden="1" customWidth="1"/>
    <col min="23" max="23" width="14.42578125" style="5" hidden="1" customWidth="1"/>
    <col min="24" max="24" width="1.7109375" style="5" hidden="1" customWidth="1"/>
    <col min="25" max="25" width="16.85546875" style="5" hidden="1" customWidth="1"/>
    <col min="26" max="26" width="17.140625" style="5" hidden="1" customWidth="1"/>
    <col min="27" max="27" width="2.140625" style="5" hidden="1" customWidth="1"/>
    <col min="28" max="28" width="2.7109375" style="5" hidden="1" customWidth="1"/>
    <col min="29" max="29" width="15.5703125" style="5" hidden="1" customWidth="1"/>
    <col min="30" max="30" width="16.42578125" style="5" hidden="1" customWidth="1"/>
    <col min="31" max="31" width="19.85546875" style="5" hidden="1" customWidth="1"/>
    <col min="32" max="32" width="18" style="5" hidden="1" customWidth="1"/>
    <col min="33" max="33" width="8.28515625" style="5" customWidth="1"/>
    <col min="34" max="34" width="15.5703125" style="5" customWidth="1"/>
    <col min="35" max="35" width="2" style="5" customWidth="1"/>
    <col min="36" max="36" width="15.5703125" style="5" customWidth="1"/>
    <col min="37" max="37" width="1.7109375" style="5" customWidth="1"/>
    <col min="38" max="38" width="15.5703125" style="5" customWidth="1"/>
    <col min="39" max="39" width="1.5703125" style="5" customWidth="1"/>
    <col min="40" max="40" width="15.5703125" style="5" customWidth="1"/>
    <col min="41" max="41" width="1.42578125" style="5" customWidth="1"/>
    <col min="42" max="42" width="15.5703125" style="5" customWidth="1"/>
    <col min="43" max="43" width="1.85546875" style="6" customWidth="1"/>
    <col min="44" max="44" width="15.5703125" style="5" customWidth="1"/>
    <col min="45" max="45" width="1.28515625" style="6" customWidth="1"/>
    <col min="46" max="46" width="15.85546875" style="5" customWidth="1"/>
    <col min="47" max="47" width="1.5703125" style="6" customWidth="1"/>
    <col min="48" max="48" width="15.5703125" style="5" customWidth="1"/>
    <col min="49" max="49" width="1.85546875" style="6" customWidth="1"/>
    <col min="50" max="50" width="15.5703125" style="5" customWidth="1"/>
    <col min="51" max="51" width="1.5703125" style="6" customWidth="1"/>
    <col min="52" max="52" width="15.5703125" style="5" customWidth="1"/>
    <col min="53" max="53" width="12.28515625" style="6" bestFit="1" customWidth="1"/>
    <col min="54" max="54" width="15.140625" style="6" hidden="1" customWidth="1"/>
    <col min="55" max="55" width="0" style="6" hidden="1" customWidth="1"/>
    <col min="56" max="56" width="13.42578125" style="6" hidden="1" customWidth="1"/>
    <col min="57" max="57" width="0" style="6" hidden="1" customWidth="1"/>
    <col min="58" max="59" width="13.42578125" style="6" hidden="1" customWidth="1"/>
    <col min="60" max="60" width="0" style="6" hidden="1" customWidth="1"/>
    <col min="61" max="61" width="13.42578125" style="6" hidden="1" customWidth="1"/>
    <col min="62" max="62" width="0" style="6" hidden="1" customWidth="1"/>
    <col min="63" max="63" width="13.42578125" style="6" hidden="1" customWidth="1"/>
    <col min="64" max="64" width="0" style="6" hidden="1" customWidth="1"/>
    <col min="65" max="65" width="13.42578125" style="6" hidden="1" customWidth="1"/>
    <col min="66" max="66" width="0" style="6" hidden="1" customWidth="1"/>
    <col min="67" max="67" width="13.42578125" style="6" hidden="1" customWidth="1"/>
    <col min="68" max="68" width="12.28515625" style="6" bestFit="1" customWidth="1"/>
    <col min="69" max="69" width="10.140625" style="6" bestFit="1" customWidth="1"/>
    <col min="70" max="256" width="9.140625" style="6"/>
    <col min="257" max="257" width="26.5703125" style="6" customWidth="1"/>
    <col min="258" max="270" width="0" style="6" hidden="1" customWidth="1"/>
    <col min="271" max="271" width="1.7109375" style="6" customWidth="1"/>
    <col min="272" max="272" width="17.42578125" style="6" customWidth="1"/>
    <col min="273" max="273" width="1.140625" style="6" customWidth="1"/>
    <col min="274" max="286" width="0" style="6" hidden="1" customWidth="1"/>
    <col min="287" max="287" width="19.85546875" style="6" customWidth="1"/>
    <col min="288" max="288" width="0" style="6" hidden="1" customWidth="1"/>
    <col min="289" max="289" width="2.85546875" style="6" customWidth="1"/>
    <col min="290" max="290" width="15.5703125" style="6" customWidth="1"/>
    <col min="291" max="291" width="2" style="6" customWidth="1"/>
    <col min="292" max="292" width="15.5703125" style="6" customWidth="1"/>
    <col min="293" max="293" width="1.7109375" style="6" customWidth="1"/>
    <col min="294" max="294" width="15.5703125" style="6" customWidth="1"/>
    <col min="295" max="295" width="1.5703125" style="6" customWidth="1"/>
    <col min="296" max="296" width="15.5703125" style="6" customWidth="1"/>
    <col min="297" max="297" width="1.42578125" style="6" customWidth="1"/>
    <col min="298" max="298" width="15.5703125" style="6" customWidth="1"/>
    <col min="299" max="299" width="1.85546875" style="6" customWidth="1"/>
    <col min="300" max="300" width="15.5703125" style="6" customWidth="1"/>
    <col min="301" max="301" width="1.28515625" style="6" customWidth="1"/>
    <col min="302" max="302" width="15.85546875" style="6" customWidth="1"/>
    <col min="303" max="303" width="1.5703125" style="6" customWidth="1"/>
    <col min="304" max="304" width="15.5703125" style="6" customWidth="1"/>
    <col min="305" max="305" width="1.85546875" style="6" customWidth="1"/>
    <col min="306" max="306" width="15.5703125" style="6" customWidth="1"/>
    <col min="307" max="307" width="1.5703125" style="6" customWidth="1"/>
    <col min="308" max="308" width="15.5703125" style="6" customWidth="1"/>
    <col min="309" max="309" width="9.140625" style="6"/>
    <col min="310" max="310" width="15.140625" style="6" customWidth="1"/>
    <col min="311" max="512" width="9.140625" style="6"/>
    <col min="513" max="513" width="26.5703125" style="6" customWidth="1"/>
    <col min="514" max="526" width="0" style="6" hidden="1" customWidth="1"/>
    <col min="527" max="527" width="1.7109375" style="6" customWidth="1"/>
    <col min="528" max="528" width="17.42578125" style="6" customWidth="1"/>
    <col min="529" max="529" width="1.140625" style="6" customWidth="1"/>
    <col min="530" max="542" width="0" style="6" hidden="1" customWidth="1"/>
    <col min="543" max="543" width="19.85546875" style="6" customWidth="1"/>
    <col min="544" max="544" width="0" style="6" hidden="1" customWidth="1"/>
    <col min="545" max="545" width="2.85546875" style="6" customWidth="1"/>
    <col min="546" max="546" width="15.5703125" style="6" customWidth="1"/>
    <col min="547" max="547" width="2" style="6" customWidth="1"/>
    <col min="548" max="548" width="15.5703125" style="6" customWidth="1"/>
    <col min="549" max="549" width="1.7109375" style="6" customWidth="1"/>
    <col min="550" max="550" width="15.5703125" style="6" customWidth="1"/>
    <col min="551" max="551" width="1.5703125" style="6" customWidth="1"/>
    <col min="552" max="552" width="15.5703125" style="6" customWidth="1"/>
    <col min="553" max="553" width="1.42578125" style="6" customWidth="1"/>
    <col min="554" max="554" width="15.5703125" style="6" customWidth="1"/>
    <col min="555" max="555" width="1.85546875" style="6" customWidth="1"/>
    <col min="556" max="556" width="15.5703125" style="6" customWidth="1"/>
    <col min="557" max="557" width="1.28515625" style="6" customWidth="1"/>
    <col min="558" max="558" width="15.85546875" style="6" customWidth="1"/>
    <col min="559" max="559" width="1.5703125" style="6" customWidth="1"/>
    <col min="560" max="560" width="15.5703125" style="6" customWidth="1"/>
    <col min="561" max="561" width="1.85546875" style="6" customWidth="1"/>
    <col min="562" max="562" width="15.5703125" style="6" customWidth="1"/>
    <col min="563" max="563" width="1.5703125" style="6" customWidth="1"/>
    <col min="564" max="564" width="15.5703125" style="6" customWidth="1"/>
    <col min="565" max="565" width="9.140625" style="6"/>
    <col min="566" max="566" width="15.140625" style="6" customWidth="1"/>
    <col min="567" max="768" width="9.140625" style="6"/>
    <col min="769" max="769" width="26.5703125" style="6" customWidth="1"/>
    <col min="770" max="782" width="0" style="6" hidden="1" customWidth="1"/>
    <col min="783" max="783" width="1.7109375" style="6" customWidth="1"/>
    <col min="784" max="784" width="17.42578125" style="6" customWidth="1"/>
    <col min="785" max="785" width="1.140625" style="6" customWidth="1"/>
    <col min="786" max="798" width="0" style="6" hidden="1" customWidth="1"/>
    <col min="799" max="799" width="19.85546875" style="6" customWidth="1"/>
    <col min="800" max="800" width="0" style="6" hidden="1" customWidth="1"/>
    <col min="801" max="801" width="2.85546875" style="6" customWidth="1"/>
    <col min="802" max="802" width="15.5703125" style="6" customWidth="1"/>
    <col min="803" max="803" width="2" style="6" customWidth="1"/>
    <col min="804" max="804" width="15.5703125" style="6" customWidth="1"/>
    <col min="805" max="805" width="1.7109375" style="6" customWidth="1"/>
    <col min="806" max="806" width="15.5703125" style="6" customWidth="1"/>
    <col min="807" max="807" width="1.5703125" style="6" customWidth="1"/>
    <col min="808" max="808" width="15.5703125" style="6" customWidth="1"/>
    <col min="809" max="809" width="1.42578125" style="6" customWidth="1"/>
    <col min="810" max="810" width="15.5703125" style="6" customWidth="1"/>
    <col min="811" max="811" width="1.85546875" style="6" customWidth="1"/>
    <col min="812" max="812" width="15.5703125" style="6" customWidth="1"/>
    <col min="813" max="813" width="1.28515625" style="6" customWidth="1"/>
    <col min="814" max="814" width="15.85546875" style="6" customWidth="1"/>
    <col min="815" max="815" width="1.5703125" style="6" customWidth="1"/>
    <col min="816" max="816" width="15.5703125" style="6" customWidth="1"/>
    <col min="817" max="817" width="1.85546875" style="6" customWidth="1"/>
    <col min="818" max="818" width="15.5703125" style="6" customWidth="1"/>
    <col min="819" max="819" width="1.5703125" style="6" customWidth="1"/>
    <col min="820" max="820" width="15.5703125" style="6" customWidth="1"/>
    <col min="821" max="821" width="9.140625" style="6"/>
    <col min="822" max="822" width="15.140625" style="6" customWidth="1"/>
    <col min="823" max="1024" width="9.140625" style="6"/>
    <col min="1025" max="1025" width="26.5703125" style="6" customWidth="1"/>
    <col min="1026" max="1038" width="0" style="6" hidden="1" customWidth="1"/>
    <col min="1039" max="1039" width="1.7109375" style="6" customWidth="1"/>
    <col min="1040" max="1040" width="17.42578125" style="6" customWidth="1"/>
    <col min="1041" max="1041" width="1.140625" style="6" customWidth="1"/>
    <col min="1042" max="1054" width="0" style="6" hidden="1" customWidth="1"/>
    <col min="1055" max="1055" width="19.85546875" style="6" customWidth="1"/>
    <col min="1056" max="1056" width="0" style="6" hidden="1" customWidth="1"/>
    <col min="1057" max="1057" width="2.85546875" style="6" customWidth="1"/>
    <col min="1058" max="1058" width="15.5703125" style="6" customWidth="1"/>
    <col min="1059" max="1059" width="2" style="6" customWidth="1"/>
    <col min="1060" max="1060" width="15.5703125" style="6" customWidth="1"/>
    <col min="1061" max="1061" width="1.7109375" style="6" customWidth="1"/>
    <col min="1062" max="1062" width="15.5703125" style="6" customWidth="1"/>
    <col min="1063" max="1063" width="1.5703125" style="6" customWidth="1"/>
    <col min="1064" max="1064" width="15.5703125" style="6" customWidth="1"/>
    <col min="1065" max="1065" width="1.42578125" style="6" customWidth="1"/>
    <col min="1066" max="1066" width="15.5703125" style="6" customWidth="1"/>
    <col min="1067" max="1067" width="1.85546875" style="6" customWidth="1"/>
    <col min="1068" max="1068" width="15.5703125" style="6" customWidth="1"/>
    <col min="1069" max="1069" width="1.28515625" style="6" customWidth="1"/>
    <col min="1070" max="1070" width="15.85546875" style="6" customWidth="1"/>
    <col min="1071" max="1071" width="1.5703125" style="6" customWidth="1"/>
    <col min="1072" max="1072" width="15.5703125" style="6" customWidth="1"/>
    <col min="1073" max="1073" width="1.85546875" style="6" customWidth="1"/>
    <col min="1074" max="1074" width="15.5703125" style="6" customWidth="1"/>
    <col min="1075" max="1075" width="1.5703125" style="6" customWidth="1"/>
    <col min="1076" max="1076" width="15.5703125" style="6" customWidth="1"/>
    <col min="1077" max="1077" width="9.140625" style="6"/>
    <col min="1078" max="1078" width="15.140625" style="6" customWidth="1"/>
    <col min="1079" max="1280" width="9.140625" style="6"/>
    <col min="1281" max="1281" width="26.5703125" style="6" customWidth="1"/>
    <col min="1282" max="1294" width="0" style="6" hidden="1" customWidth="1"/>
    <col min="1295" max="1295" width="1.7109375" style="6" customWidth="1"/>
    <col min="1296" max="1296" width="17.42578125" style="6" customWidth="1"/>
    <col min="1297" max="1297" width="1.140625" style="6" customWidth="1"/>
    <col min="1298" max="1310" width="0" style="6" hidden="1" customWidth="1"/>
    <col min="1311" max="1311" width="19.85546875" style="6" customWidth="1"/>
    <col min="1312" max="1312" width="0" style="6" hidden="1" customWidth="1"/>
    <col min="1313" max="1313" width="2.85546875" style="6" customWidth="1"/>
    <col min="1314" max="1314" width="15.5703125" style="6" customWidth="1"/>
    <col min="1315" max="1315" width="2" style="6" customWidth="1"/>
    <col min="1316" max="1316" width="15.5703125" style="6" customWidth="1"/>
    <col min="1317" max="1317" width="1.7109375" style="6" customWidth="1"/>
    <col min="1318" max="1318" width="15.5703125" style="6" customWidth="1"/>
    <col min="1319" max="1319" width="1.5703125" style="6" customWidth="1"/>
    <col min="1320" max="1320" width="15.5703125" style="6" customWidth="1"/>
    <col min="1321" max="1321" width="1.42578125" style="6" customWidth="1"/>
    <col min="1322" max="1322" width="15.5703125" style="6" customWidth="1"/>
    <col min="1323" max="1323" width="1.85546875" style="6" customWidth="1"/>
    <col min="1324" max="1324" width="15.5703125" style="6" customWidth="1"/>
    <col min="1325" max="1325" width="1.28515625" style="6" customWidth="1"/>
    <col min="1326" max="1326" width="15.85546875" style="6" customWidth="1"/>
    <col min="1327" max="1327" width="1.5703125" style="6" customWidth="1"/>
    <col min="1328" max="1328" width="15.5703125" style="6" customWidth="1"/>
    <col min="1329" max="1329" width="1.85546875" style="6" customWidth="1"/>
    <col min="1330" max="1330" width="15.5703125" style="6" customWidth="1"/>
    <col min="1331" max="1331" width="1.5703125" style="6" customWidth="1"/>
    <col min="1332" max="1332" width="15.5703125" style="6" customWidth="1"/>
    <col min="1333" max="1333" width="9.140625" style="6"/>
    <col min="1334" max="1334" width="15.140625" style="6" customWidth="1"/>
    <col min="1335" max="1536" width="9.140625" style="6"/>
    <col min="1537" max="1537" width="26.5703125" style="6" customWidth="1"/>
    <col min="1538" max="1550" width="0" style="6" hidden="1" customWidth="1"/>
    <col min="1551" max="1551" width="1.7109375" style="6" customWidth="1"/>
    <col min="1552" max="1552" width="17.42578125" style="6" customWidth="1"/>
    <col min="1553" max="1553" width="1.140625" style="6" customWidth="1"/>
    <col min="1554" max="1566" width="0" style="6" hidden="1" customWidth="1"/>
    <col min="1567" max="1567" width="19.85546875" style="6" customWidth="1"/>
    <col min="1568" max="1568" width="0" style="6" hidden="1" customWidth="1"/>
    <col min="1569" max="1569" width="2.85546875" style="6" customWidth="1"/>
    <col min="1570" max="1570" width="15.5703125" style="6" customWidth="1"/>
    <col min="1571" max="1571" width="2" style="6" customWidth="1"/>
    <col min="1572" max="1572" width="15.5703125" style="6" customWidth="1"/>
    <col min="1573" max="1573" width="1.7109375" style="6" customWidth="1"/>
    <col min="1574" max="1574" width="15.5703125" style="6" customWidth="1"/>
    <col min="1575" max="1575" width="1.5703125" style="6" customWidth="1"/>
    <col min="1576" max="1576" width="15.5703125" style="6" customWidth="1"/>
    <col min="1577" max="1577" width="1.42578125" style="6" customWidth="1"/>
    <col min="1578" max="1578" width="15.5703125" style="6" customWidth="1"/>
    <col min="1579" max="1579" width="1.85546875" style="6" customWidth="1"/>
    <col min="1580" max="1580" width="15.5703125" style="6" customWidth="1"/>
    <col min="1581" max="1581" width="1.28515625" style="6" customWidth="1"/>
    <col min="1582" max="1582" width="15.85546875" style="6" customWidth="1"/>
    <col min="1583" max="1583" width="1.5703125" style="6" customWidth="1"/>
    <col min="1584" max="1584" width="15.5703125" style="6" customWidth="1"/>
    <col min="1585" max="1585" width="1.85546875" style="6" customWidth="1"/>
    <col min="1586" max="1586" width="15.5703125" style="6" customWidth="1"/>
    <col min="1587" max="1587" width="1.5703125" style="6" customWidth="1"/>
    <col min="1588" max="1588" width="15.5703125" style="6" customWidth="1"/>
    <col min="1589" max="1589" width="9.140625" style="6"/>
    <col min="1590" max="1590" width="15.140625" style="6" customWidth="1"/>
    <col min="1591" max="1792" width="9.140625" style="6"/>
    <col min="1793" max="1793" width="26.5703125" style="6" customWidth="1"/>
    <col min="1794" max="1806" width="0" style="6" hidden="1" customWidth="1"/>
    <col min="1807" max="1807" width="1.7109375" style="6" customWidth="1"/>
    <col min="1808" max="1808" width="17.42578125" style="6" customWidth="1"/>
    <col min="1809" max="1809" width="1.140625" style="6" customWidth="1"/>
    <col min="1810" max="1822" width="0" style="6" hidden="1" customWidth="1"/>
    <col min="1823" max="1823" width="19.85546875" style="6" customWidth="1"/>
    <col min="1824" max="1824" width="0" style="6" hidden="1" customWidth="1"/>
    <col min="1825" max="1825" width="2.85546875" style="6" customWidth="1"/>
    <col min="1826" max="1826" width="15.5703125" style="6" customWidth="1"/>
    <col min="1827" max="1827" width="2" style="6" customWidth="1"/>
    <col min="1828" max="1828" width="15.5703125" style="6" customWidth="1"/>
    <col min="1829" max="1829" width="1.7109375" style="6" customWidth="1"/>
    <col min="1830" max="1830" width="15.5703125" style="6" customWidth="1"/>
    <col min="1831" max="1831" width="1.5703125" style="6" customWidth="1"/>
    <col min="1832" max="1832" width="15.5703125" style="6" customWidth="1"/>
    <col min="1833" max="1833" width="1.42578125" style="6" customWidth="1"/>
    <col min="1834" max="1834" width="15.5703125" style="6" customWidth="1"/>
    <col min="1835" max="1835" width="1.85546875" style="6" customWidth="1"/>
    <col min="1836" max="1836" width="15.5703125" style="6" customWidth="1"/>
    <col min="1837" max="1837" width="1.28515625" style="6" customWidth="1"/>
    <col min="1838" max="1838" width="15.85546875" style="6" customWidth="1"/>
    <col min="1839" max="1839" width="1.5703125" style="6" customWidth="1"/>
    <col min="1840" max="1840" width="15.5703125" style="6" customWidth="1"/>
    <col min="1841" max="1841" width="1.85546875" style="6" customWidth="1"/>
    <col min="1842" max="1842" width="15.5703125" style="6" customWidth="1"/>
    <col min="1843" max="1843" width="1.5703125" style="6" customWidth="1"/>
    <col min="1844" max="1844" width="15.5703125" style="6" customWidth="1"/>
    <col min="1845" max="1845" width="9.140625" style="6"/>
    <col min="1846" max="1846" width="15.140625" style="6" customWidth="1"/>
    <col min="1847" max="2048" width="9.140625" style="6"/>
    <col min="2049" max="2049" width="26.5703125" style="6" customWidth="1"/>
    <col min="2050" max="2062" width="0" style="6" hidden="1" customWidth="1"/>
    <col min="2063" max="2063" width="1.7109375" style="6" customWidth="1"/>
    <col min="2064" max="2064" width="17.42578125" style="6" customWidth="1"/>
    <col min="2065" max="2065" width="1.140625" style="6" customWidth="1"/>
    <col min="2066" max="2078" width="0" style="6" hidden="1" customWidth="1"/>
    <col min="2079" max="2079" width="19.85546875" style="6" customWidth="1"/>
    <col min="2080" max="2080" width="0" style="6" hidden="1" customWidth="1"/>
    <col min="2081" max="2081" width="2.85546875" style="6" customWidth="1"/>
    <col min="2082" max="2082" width="15.5703125" style="6" customWidth="1"/>
    <col min="2083" max="2083" width="2" style="6" customWidth="1"/>
    <col min="2084" max="2084" width="15.5703125" style="6" customWidth="1"/>
    <col min="2085" max="2085" width="1.7109375" style="6" customWidth="1"/>
    <col min="2086" max="2086" width="15.5703125" style="6" customWidth="1"/>
    <col min="2087" max="2087" width="1.5703125" style="6" customWidth="1"/>
    <col min="2088" max="2088" width="15.5703125" style="6" customWidth="1"/>
    <col min="2089" max="2089" width="1.42578125" style="6" customWidth="1"/>
    <col min="2090" max="2090" width="15.5703125" style="6" customWidth="1"/>
    <col min="2091" max="2091" width="1.85546875" style="6" customWidth="1"/>
    <col min="2092" max="2092" width="15.5703125" style="6" customWidth="1"/>
    <col min="2093" max="2093" width="1.28515625" style="6" customWidth="1"/>
    <col min="2094" max="2094" width="15.85546875" style="6" customWidth="1"/>
    <col min="2095" max="2095" width="1.5703125" style="6" customWidth="1"/>
    <col min="2096" max="2096" width="15.5703125" style="6" customWidth="1"/>
    <col min="2097" max="2097" width="1.85546875" style="6" customWidth="1"/>
    <col min="2098" max="2098" width="15.5703125" style="6" customWidth="1"/>
    <col min="2099" max="2099" width="1.5703125" style="6" customWidth="1"/>
    <col min="2100" max="2100" width="15.5703125" style="6" customWidth="1"/>
    <col min="2101" max="2101" width="9.140625" style="6"/>
    <col min="2102" max="2102" width="15.140625" style="6" customWidth="1"/>
    <col min="2103" max="2304" width="9.140625" style="6"/>
    <col min="2305" max="2305" width="26.5703125" style="6" customWidth="1"/>
    <col min="2306" max="2318" width="0" style="6" hidden="1" customWidth="1"/>
    <col min="2319" max="2319" width="1.7109375" style="6" customWidth="1"/>
    <col min="2320" max="2320" width="17.42578125" style="6" customWidth="1"/>
    <col min="2321" max="2321" width="1.140625" style="6" customWidth="1"/>
    <col min="2322" max="2334" width="0" style="6" hidden="1" customWidth="1"/>
    <col min="2335" max="2335" width="19.85546875" style="6" customWidth="1"/>
    <col min="2336" max="2336" width="0" style="6" hidden="1" customWidth="1"/>
    <col min="2337" max="2337" width="2.85546875" style="6" customWidth="1"/>
    <col min="2338" max="2338" width="15.5703125" style="6" customWidth="1"/>
    <col min="2339" max="2339" width="2" style="6" customWidth="1"/>
    <col min="2340" max="2340" width="15.5703125" style="6" customWidth="1"/>
    <col min="2341" max="2341" width="1.7109375" style="6" customWidth="1"/>
    <col min="2342" max="2342" width="15.5703125" style="6" customWidth="1"/>
    <col min="2343" max="2343" width="1.5703125" style="6" customWidth="1"/>
    <col min="2344" max="2344" width="15.5703125" style="6" customWidth="1"/>
    <col min="2345" max="2345" width="1.42578125" style="6" customWidth="1"/>
    <col min="2346" max="2346" width="15.5703125" style="6" customWidth="1"/>
    <col min="2347" max="2347" width="1.85546875" style="6" customWidth="1"/>
    <col min="2348" max="2348" width="15.5703125" style="6" customWidth="1"/>
    <col min="2349" max="2349" width="1.28515625" style="6" customWidth="1"/>
    <col min="2350" max="2350" width="15.85546875" style="6" customWidth="1"/>
    <col min="2351" max="2351" width="1.5703125" style="6" customWidth="1"/>
    <col min="2352" max="2352" width="15.5703125" style="6" customWidth="1"/>
    <col min="2353" max="2353" width="1.85546875" style="6" customWidth="1"/>
    <col min="2354" max="2354" width="15.5703125" style="6" customWidth="1"/>
    <col min="2355" max="2355" width="1.5703125" style="6" customWidth="1"/>
    <col min="2356" max="2356" width="15.5703125" style="6" customWidth="1"/>
    <col min="2357" max="2357" width="9.140625" style="6"/>
    <col min="2358" max="2358" width="15.140625" style="6" customWidth="1"/>
    <col min="2359" max="2560" width="9.140625" style="6"/>
    <col min="2561" max="2561" width="26.5703125" style="6" customWidth="1"/>
    <col min="2562" max="2574" width="0" style="6" hidden="1" customWidth="1"/>
    <col min="2575" max="2575" width="1.7109375" style="6" customWidth="1"/>
    <col min="2576" max="2576" width="17.42578125" style="6" customWidth="1"/>
    <col min="2577" max="2577" width="1.140625" style="6" customWidth="1"/>
    <col min="2578" max="2590" width="0" style="6" hidden="1" customWidth="1"/>
    <col min="2591" max="2591" width="19.85546875" style="6" customWidth="1"/>
    <col min="2592" max="2592" width="0" style="6" hidden="1" customWidth="1"/>
    <col min="2593" max="2593" width="2.85546875" style="6" customWidth="1"/>
    <col min="2594" max="2594" width="15.5703125" style="6" customWidth="1"/>
    <col min="2595" max="2595" width="2" style="6" customWidth="1"/>
    <col min="2596" max="2596" width="15.5703125" style="6" customWidth="1"/>
    <col min="2597" max="2597" width="1.7109375" style="6" customWidth="1"/>
    <col min="2598" max="2598" width="15.5703125" style="6" customWidth="1"/>
    <col min="2599" max="2599" width="1.5703125" style="6" customWidth="1"/>
    <col min="2600" max="2600" width="15.5703125" style="6" customWidth="1"/>
    <col min="2601" max="2601" width="1.42578125" style="6" customWidth="1"/>
    <col min="2602" max="2602" width="15.5703125" style="6" customWidth="1"/>
    <col min="2603" max="2603" width="1.85546875" style="6" customWidth="1"/>
    <col min="2604" max="2604" width="15.5703125" style="6" customWidth="1"/>
    <col min="2605" max="2605" width="1.28515625" style="6" customWidth="1"/>
    <col min="2606" max="2606" width="15.85546875" style="6" customWidth="1"/>
    <col min="2607" max="2607" width="1.5703125" style="6" customWidth="1"/>
    <col min="2608" max="2608" width="15.5703125" style="6" customWidth="1"/>
    <col min="2609" max="2609" width="1.85546875" style="6" customWidth="1"/>
    <col min="2610" max="2610" width="15.5703125" style="6" customWidth="1"/>
    <col min="2611" max="2611" width="1.5703125" style="6" customWidth="1"/>
    <col min="2612" max="2612" width="15.5703125" style="6" customWidth="1"/>
    <col min="2613" max="2613" width="9.140625" style="6"/>
    <col min="2614" max="2614" width="15.140625" style="6" customWidth="1"/>
    <col min="2615" max="2816" width="9.140625" style="6"/>
    <col min="2817" max="2817" width="26.5703125" style="6" customWidth="1"/>
    <col min="2818" max="2830" width="0" style="6" hidden="1" customWidth="1"/>
    <col min="2831" max="2831" width="1.7109375" style="6" customWidth="1"/>
    <col min="2832" max="2832" width="17.42578125" style="6" customWidth="1"/>
    <col min="2833" max="2833" width="1.140625" style="6" customWidth="1"/>
    <col min="2834" max="2846" width="0" style="6" hidden="1" customWidth="1"/>
    <col min="2847" max="2847" width="19.85546875" style="6" customWidth="1"/>
    <col min="2848" max="2848" width="0" style="6" hidden="1" customWidth="1"/>
    <col min="2849" max="2849" width="2.85546875" style="6" customWidth="1"/>
    <col min="2850" max="2850" width="15.5703125" style="6" customWidth="1"/>
    <col min="2851" max="2851" width="2" style="6" customWidth="1"/>
    <col min="2852" max="2852" width="15.5703125" style="6" customWidth="1"/>
    <col min="2853" max="2853" width="1.7109375" style="6" customWidth="1"/>
    <col min="2854" max="2854" width="15.5703125" style="6" customWidth="1"/>
    <col min="2855" max="2855" width="1.5703125" style="6" customWidth="1"/>
    <col min="2856" max="2856" width="15.5703125" style="6" customWidth="1"/>
    <col min="2857" max="2857" width="1.42578125" style="6" customWidth="1"/>
    <col min="2858" max="2858" width="15.5703125" style="6" customWidth="1"/>
    <col min="2859" max="2859" width="1.85546875" style="6" customWidth="1"/>
    <col min="2860" max="2860" width="15.5703125" style="6" customWidth="1"/>
    <col min="2861" max="2861" width="1.28515625" style="6" customWidth="1"/>
    <col min="2862" max="2862" width="15.85546875" style="6" customWidth="1"/>
    <col min="2863" max="2863" width="1.5703125" style="6" customWidth="1"/>
    <col min="2864" max="2864" width="15.5703125" style="6" customWidth="1"/>
    <col min="2865" max="2865" width="1.85546875" style="6" customWidth="1"/>
    <col min="2866" max="2866" width="15.5703125" style="6" customWidth="1"/>
    <col min="2867" max="2867" width="1.5703125" style="6" customWidth="1"/>
    <col min="2868" max="2868" width="15.5703125" style="6" customWidth="1"/>
    <col min="2869" max="2869" width="9.140625" style="6"/>
    <col min="2870" max="2870" width="15.140625" style="6" customWidth="1"/>
    <col min="2871" max="3072" width="9.140625" style="6"/>
    <col min="3073" max="3073" width="26.5703125" style="6" customWidth="1"/>
    <col min="3074" max="3086" width="0" style="6" hidden="1" customWidth="1"/>
    <col min="3087" max="3087" width="1.7109375" style="6" customWidth="1"/>
    <col min="3088" max="3088" width="17.42578125" style="6" customWidth="1"/>
    <col min="3089" max="3089" width="1.140625" style="6" customWidth="1"/>
    <col min="3090" max="3102" width="0" style="6" hidden="1" customWidth="1"/>
    <col min="3103" max="3103" width="19.85546875" style="6" customWidth="1"/>
    <col min="3104" max="3104" width="0" style="6" hidden="1" customWidth="1"/>
    <col min="3105" max="3105" width="2.85546875" style="6" customWidth="1"/>
    <col min="3106" max="3106" width="15.5703125" style="6" customWidth="1"/>
    <col min="3107" max="3107" width="2" style="6" customWidth="1"/>
    <col min="3108" max="3108" width="15.5703125" style="6" customWidth="1"/>
    <col min="3109" max="3109" width="1.7109375" style="6" customWidth="1"/>
    <col min="3110" max="3110" width="15.5703125" style="6" customWidth="1"/>
    <col min="3111" max="3111" width="1.5703125" style="6" customWidth="1"/>
    <col min="3112" max="3112" width="15.5703125" style="6" customWidth="1"/>
    <col min="3113" max="3113" width="1.42578125" style="6" customWidth="1"/>
    <col min="3114" max="3114" width="15.5703125" style="6" customWidth="1"/>
    <col min="3115" max="3115" width="1.85546875" style="6" customWidth="1"/>
    <col min="3116" max="3116" width="15.5703125" style="6" customWidth="1"/>
    <col min="3117" max="3117" width="1.28515625" style="6" customWidth="1"/>
    <col min="3118" max="3118" width="15.85546875" style="6" customWidth="1"/>
    <col min="3119" max="3119" width="1.5703125" style="6" customWidth="1"/>
    <col min="3120" max="3120" width="15.5703125" style="6" customWidth="1"/>
    <col min="3121" max="3121" width="1.85546875" style="6" customWidth="1"/>
    <col min="3122" max="3122" width="15.5703125" style="6" customWidth="1"/>
    <col min="3123" max="3123" width="1.5703125" style="6" customWidth="1"/>
    <col min="3124" max="3124" width="15.5703125" style="6" customWidth="1"/>
    <col min="3125" max="3125" width="9.140625" style="6"/>
    <col min="3126" max="3126" width="15.140625" style="6" customWidth="1"/>
    <col min="3127" max="3328" width="9.140625" style="6"/>
    <col min="3329" max="3329" width="26.5703125" style="6" customWidth="1"/>
    <col min="3330" max="3342" width="0" style="6" hidden="1" customWidth="1"/>
    <col min="3343" max="3343" width="1.7109375" style="6" customWidth="1"/>
    <col min="3344" max="3344" width="17.42578125" style="6" customWidth="1"/>
    <col min="3345" max="3345" width="1.140625" style="6" customWidth="1"/>
    <col min="3346" max="3358" width="0" style="6" hidden="1" customWidth="1"/>
    <col min="3359" max="3359" width="19.85546875" style="6" customWidth="1"/>
    <col min="3360" max="3360" width="0" style="6" hidden="1" customWidth="1"/>
    <col min="3361" max="3361" width="2.85546875" style="6" customWidth="1"/>
    <col min="3362" max="3362" width="15.5703125" style="6" customWidth="1"/>
    <col min="3363" max="3363" width="2" style="6" customWidth="1"/>
    <col min="3364" max="3364" width="15.5703125" style="6" customWidth="1"/>
    <col min="3365" max="3365" width="1.7109375" style="6" customWidth="1"/>
    <col min="3366" max="3366" width="15.5703125" style="6" customWidth="1"/>
    <col min="3367" max="3367" width="1.5703125" style="6" customWidth="1"/>
    <col min="3368" max="3368" width="15.5703125" style="6" customWidth="1"/>
    <col min="3369" max="3369" width="1.42578125" style="6" customWidth="1"/>
    <col min="3370" max="3370" width="15.5703125" style="6" customWidth="1"/>
    <col min="3371" max="3371" width="1.85546875" style="6" customWidth="1"/>
    <col min="3372" max="3372" width="15.5703125" style="6" customWidth="1"/>
    <col min="3373" max="3373" width="1.28515625" style="6" customWidth="1"/>
    <col min="3374" max="3374" width="15.85546875" style="6" customWidth="1"/>
    <col min="3375" max="3375" width="1.5703125" style="6" customWidth="1"/>
    <col min="3376" max="3376" width="15.5703125" style="6" customWidth="1"/>
    <col min="3377" max="3377" width="1.85546875" style="6" customWidth="1"/>
    <col min="3378" max="3378" width="15.5703125" style="6" customWidth="1"/>
    <col min="3379" max="3379" width="1.5703125" style="6" customWidth="1"/>
    <col min="3380" max="3380" width="15.5703125" style="6" customWidth="1"/>
    <col min="3381" max="3381" width="9.140625" style="6"/>
    <col min="3382" max="3382" width="15.140625" style="6" customWidth="1"/>
    <col min="3383" max="3584" width="9.140625" style="6"/>
    <col min="3585" max="3585" width="26.5703125" style="6" customWidth="1"/>
    <col min="3586" max="3598" width="0" style="6" hidden="1" customWidth="1"/>
    <col min="3599" max="3599" width="1.7109375" style="6" customWidth="1"/>
    <col min="3600" max="3600" width="17.42578125" style="6" customWidth="1"/>
    <col min="3601" max="3601" width="1.140625" style="6" customWidth="1"/>
    <col min="3602" max="3614" width="0" style="6" hidden="1" customWidth="1"/>
    <col min="3615" max="3615" width="19.85546875" style="6" customWidth="1"/>
    <col min="3616" max="3616" width="0" style="6" hidden="1" customWidth="1"/>
    <col min="3617" max="3617" width="2.85546875" style="6" customWidth="1"/>
    <col min="3618" max="3618" width="15.5703125" style="6" customWidth="1"/>
    <col min="3619" max="3619" width="2" style="6" customWidth="1"/>
    <col min="3620" max="3620" width="15.5703125" style="6" customWidth="1"/>
    <col min="3621" max="3621" width="1.7109375" style="6" customWidth="1"/>
    <col min="3622" max="3622" width="15.5703125" style="6" customWidth="1"/>
    <col min="3623" max="3623" width="1.5703125" style="6" customWidth="1"/>
    <col min="3624" max="3624" width="15.5703125" style="6" customWidth="1"/>
    <col min="3625" max="3625" width="1.42578125" style="6" customWidth="1"/>
    <col min="3626" max="3626" width="15.5703125" style="6" customWidth="1"/>
    <col min="3627" max="3627" width="1.85546875" style="6" customWidth="1"/>
    <col min="3628" max="3628" width="15.5703125" style="6" customWidth="1"/>
    <col min="3629" max="3629" width="1.28515625" style="6" customWidth="1"/>
    <col min="3630" max="3630" width="15.85546875" style="6" customWidth="1"/>
    <col min="3631" max="3631" width="1.5703125" style="6" customWidth="1"/>
    <col min="3632" max="3632" width="15.5703125" style="6" customWidth="1"/>
    <col min="3633" max="3633" width="1.85546875" style="6" customWidth="1"/>
    <col min="3634" max="3634" width="15.5703125" style="6" customWidth="1"/>
    <col min="3635" max="3635" width="1.5703125" style="6" customWidth="1"/>
    <col min="3636" max="3636" width="15.5703125" style="6" customWidth="1"/>
    <col min="3637" max="3637" width="9.140625" style="6"/>
    <col min="3638" max="3638" width="15.140625" style="6" customWidth="1"/>
    <col min="3639" max="3840" width="9.140625" style="6"/>
    <col min="3841" max="3841" width="26.5703125" style="6" customWidth="1"/>
    <col min="3842" max="3854" width="0" style="6" hidden="1" customWidth="1"/>
    <col min="3855" max="3855" width="1.7109375" style="6" customWidth="1"/>
    <col min="3856" max="3856" width="17.42578125" style="6" customWidth="1"/>
    <col min="3857" max="3857" width="1.140625" style="6" customWidth="1"/>
    <col min="3858" max="3870" width="0" style="6" hidden="1" customWidth="1"/>
    <col min="3871" max="3871" width="19.85546875" style="6" customWidth="1"/>
    <col min="3872" max="3872" width="0" style="6" hidden="1" customWidth="1"/>
    <col min="3873" max="3873" width="2.85546875" style="6" customWidth="1"/>
    <col min="3874" max="3874" width="15.5703125" style="6" customWidth="1"/>
    <col min="3875" max="3875" width="2" style="6" customWidth="1"/>
    <col min="3876" max="3876" width="15.5703125" style="6" customWidth="1"/>
    <col min="3877" max="3877" width="1.7109375" style="6" customWidth="1"/>
    <col min="3878" max="3878" width="15.5703125" style="6" customWidth="1"/>
    <col min="3879" max="3879" width="1.5703125" style="6" customWidth="1"/>
    <col min="3880" max="3880" width="15.5703125" style="6" customWidth="1"/>
    <col min="3881" max="3881" width="1.42578125" style="6" customWidth="1"/>
    <col min="3882" max="3882" width="15.5703125" style="6" customWidth="1"/>
    <col min="3883" max="3883" width="1.85546875" style="6" customWidth="1"/>
    <col min="3884" max="3884" width="15.5703125" style="6" customWidth="1"/>
    <col min="3885" max="3885" width="1.28515625" style="6" customWidth="1"/>
    <col min="3886" max="3886" width="15.85546875" style="6" customWidth="1"/>
    <col min="3887" max="3887" width="1.5703125" style="6" customWidth="1"/>
    <col min="3888" max="3888" width="15.5703125" style="6" customWidth="1"/>
    <col min="3889" max="3889" width="1.85546875" style="6" customWidth="1"/>
    <col min="3890" max="3890" width="15.5703125" style="6" customWidth="1"/>
    <col min="3891" max="3891" width="1.5703125" style="6" customWidth="1"/>
    <col min="3892" max="3892" width="15.5703125" style="6" customWidth="1"/>
    <col min="3893" max="3893" width="9.140625" style="6"/>
    <col min="3894" max="3894" width="15.140625" style="6" customWidth="1"/>
    <col min="3895" max="4096" width="9.140625" style="6"/>
    <col min="4097" max="4097" width="26.5703125" style="6" customWidth="1"/>
    <col min="4098" max="4110" width="0" style="6" hidden="1" customWidth="1"/>
    <col min="4111" max="4111" width="1.7109375" style="6" customWidth="1"/>
    <col min="4112" max="4112" width="17.42578125" style="6" customWidth="1"/>
    <col min="4113" max="4113" width="1.140625" style="6" customWidth="1"/>
    <col min="4114" max="4126" width="0" style="6" hidden="1" customWidth="1"/>
    <col min="4127" max="4127" width="19.85546875" style="6" customWidth="1"/>
    <col min="4128" max="4128" width="0" style="6" hidden="1" customWidth="1"/>
    <col min="4129" max="4129" width="2.85546875" style="6" customWidth="1"/>
    <col min="4130" max="4130" width="15.5703125" style="6" customWidth="1"/>
    <col min="4131" max="4131" width="2" style="6" customWidth="1"/>
    <col min="4132" max="4132" width="15.5703125" style="6" customWidth="1"/>
    <col min="4133" max="4133" width="1.7109375" style="6" customWidth="1"/>
    <col min="4134" max="4134" width="15.5703125" style="6" customWidth="1"/>
    <col min="4135" max="4135" width="1.5703125" style="6" customWidth="1"/>
    <col min="4136" max="4136" width="15.5703125" style="6" customWidth="1"/>
    <col min="4137" max="4137" width="1.42578125" style="6" customWidth="1"/>
    <col min="4138" max="4138" width="15.5703125" style="6" customWidth="1"/>
    <col min="4139" max="4139" width="1.85546875" style="6" customWidth="1"/>
    <col min="4140" max="4140" width="15.5703125" style="6" customWidth="1"/>
    <col min="4141" max="4141" width="1.28515625" style="6" customWidth="1"/>
    <col min="4142" max="4142" width="15.85546875" style="6" customWidth="1"/>
    <col min="4143" max="4143" width="1.5703125" style="6" customWidth="1"/>
    <col min="4144" max="4144" width="15.5703125" style="6" customWidth="1"/>
    <col min="4145" max="4145" width="1.85546875" style="6" customWidth="1"/>
    <col min="4146" max="4146" width="15.5703125" style="6" customWidth="1"/>
    <col min="4147" max="4147" width="1.5703125" style="6" customWidth="1"/>
    <col min="4148" max="4148" width="15.5703125" style="6" customWidth="1"/>
    <col min="4149" max="4149" width="9.140625" style="6"/>
    <col min="4150" max="4150" width="15.140625" style="6" customWidth="1"/>
    <col min="4151" max="4352" width="9.140625" style="6"/>
    <col min="4353" max="4353" width="26.5703125" style="6" customWidth="1"/>
    <col min="4354" max="4366" width="0" style="6" hidden="1" customWidth="1"/>
    <col min="4367" max="4367" width="1.7109375" style="6" customWidth="1"/>
    <col min="4368" max="4368" width="17.42578125" style="6" customWidth="1"/>
    <col min="4369" max="4369" width="1.140625" style="6" customWidth="1"/>
    <col min="4370" max="4382" width="0" style="6" hidden="1" customWidth="1"/>
    <col min="4383" max="4383" width="19.85546875" style="6" customWidth="1"/>
    <col min="4384" max="4384" width="0" style="6" hidden="1" customWidth="1"/>
    <col min="4385" max="4385" width="2.85546875" style="6" customWidth="1"/>
    <col min="4386" max="4386" width="15.5703125" style="6" customWidth="1"/>
    <col min="4387" max="4387" width="2" style="6" customWidth="1"/>
    <col min="4388" max="4388" width="15.5703125" style="6" customWidth="1"/>
    <col min="4389" max="4389" width="1.7109375" style="6" customWidth="1"/>
    <col min="4390" max="4390" width="15.5703125" style="6" customWidth="1"/>
    <col min="4391" max="4391" width="1.5703125" style="6" customWidth="1"/>
    <col min="4392" max="4392" width="15.5703125" style="6" customWidth="1"/>
    <col min="4393" max="4393" width="1.42578125" style="6" customWidth="1"/>
    <col min="4394" max="4394" width="15.5703125" style="6" customWidth="1"/>
    <col min="4395" max="4395" width="1.85546875" style="6" customWidth="1"/>
    <col min="4396" max="4396" width="15.5703125" style="6" customWidth="1"/>
    <col min="4397" max="4397" width="1.28515625" style="6" customWidth="1"/>
    <col min="4398" max="4398" width="15.85546875" style="6" customWidth="1"/>
    <col min="4399" max="4399" width="1.5703125" style="6" customWidth="1"/>
    <col min="4400" max="4400" width="15.5703125" style="6" customWidth="1"/>
    <col min="4401" max="4401" width="1.85546875" style="6" customWidth="1"/>
    <col min="4402" max="4402" width="15.5703125" style="6" customWidth="1"/>
    <col min="4403" max="4403" width="1.5703125" style="6" customWidth="1"/>
    <col min="4404" max="4404" width="15.5703125" style="6" customWidth="1"/>
    <col min="4405" max="4405" width="9.140625" style="6"/>
    <col min="4406" max="4406" width="15.140625" style="6" customWidth="1"/>
    <col min="4407" max="4608" width="9.140625" style="6"/>
    <col min="4609" max="4609" width="26.5703125" style="6" customWidth="1"/>
    <col min="4610" max="4622" width="0" style="6" hidden="1" customWidth="1"/>
    <col min="4623" max="4623" width="1.7109375" style="6" customWidth="1"/>
    <col min="4624" max="4624" width="17.42578125" style="6" customWidth="1"/>
    <col min="4625" max="4625" width="1.140625" style="6" customWidth="1"/>
    <col min="4626" max="4638" width="0" style="6" hidden="1" customWidth="1"/>
    <col min="4639" max="4639" width="19.85546875" style="6" customWidth="1"/>
    <col min="4640" max="4640" width="0" style="6" hidden="1" customWidth="1"/>
    <col min="4641" max="4641" width="2.85546875" style="6" customWidth="1"/>
    <col min="4642" max="4642" width="15.5703125" style="6" customWidth="1"/>
    <col min="4643" max="4643" width="2" style="6" customWidth="1"/>
    <col min="4644" max="4644" width="15.5703125" style="6" customWidth="1"/>
    <col min="4645" max="4645" width="1.7109375" style="6" customWidth="1"/>
    <col min="4646" max="4646" width="15.5703125" style="6" customWidth="1"/>
    <col min="4647" max="4647" width="1.5703125" style="6" customWidth="1"/>
    <col min="4648" max="4648" width="15.5703125" style="6" customWidth="1"/>
    <col min="4649" max="4649" width="1.42578125" style="6" customWidth="1"/>
    <col min="4650" max="4650" width="15.5703125" style="6" customWidth="1"/>
    <col min="4651" max="4651" width="1.85546875" style="6" customWidth="1"/>
    <col min="4652" max="4652" width="15.5703125" style="6" customWidth="1"/>
    <col min="4653" max="4653" width="1.28515625" style="6" customWidth="1"/>
    <col min="4654" max="4654" width="15.85546875" style="6" customWidth="1"/>
    <col min="4655" max="4655" width="1.5703125" style="6" customWidth="1"/>
    <col min="4656" max="4656" width="15.5703125" style="6" customWidth="1"/>
    <col min="4657" max="4657" width="1.85546875" style="6" customWidth="1"/>
    <col min="4658" max="4658" width="15.5703125" style="6" customWidth="1"/>
    <col min="4659" max="4659" width="1.5703125" style="6" customWidth="1"/>
    <col min="4660" max="4660" width="15.5703125" style="6" customWidth="1"/>
    <col min="4661" max="4661" width="9.140625" style="6"/>
    <col min="4662" max="4662" width="15.140625" style="6" customWidth="1"/>
    <col min="4663" max="4864" width="9.140625" style="6"/>
    <col min="4865" max="4865" width="26.5703125" style="6" customWidth="1"/>
    <col min="4866" max="4878" width="0" style="6" hidden="1" customWidth="1"/>
    <col min="4879" max="4879" width="1.7109375" style="6" customWidth="1"/>
    <col min="4880" max="4880" width="17.42578125" style="6" customWidth="1"/>
    <col min="4881" max="4881" width="1.140625" style="6" customWidth="1"/>
    <col min="4882" max="4894" width="0" style="6" hidden="1" customWidth="1"/>
    <col min="4895" max="4895" width="19.85546875" style="6" customWidth="1"/>
    <col min="4896" max="4896" width="0" style="6" hidden="1" customWidth="1"/>
    <col min="4897" max="4897" width="2.85546875" style="6" customWidth="1"/>
    <col min="4898" max="4898" width="15.5703125" style="6" customWidth="1"/>
    <col min="4899" max="4899" width="2" style="6" customWidth="1"/>
    <col min="4900" max="4900" width="15.5703125" style="6" customWidth="1"/>
    <col min="4901" max="4901" width="1.7109375" style="6" customWidth="1"/>
    <col min="4902" max="4902" width="15.5703125" style="6" customWidth="1"/>
    <col min="4903" max="4903" width="1.5703125" style="6" customWidth="1"/>
    <col min="4904" max="4904" width="15.5703125" style="6" customWidth="1"/>
    <col min="4905" max="4905" width="1.42578125" style="6" customWidth="1"/>
    <col min="4906" max="4906" width="15.5703125" style="6" customWidth="1"/>
    <col min="4907" max="4907" width="1.85546875" style="6" customWidth="1"/>
    <col min="4908" max="4908" width="15.5703125" style="6" customWidth="1"/>
    <col min="4909" max="4909" width="1.28515625" style="6" customWidth="1"/>
    <col min="4910" max="4910" width="15.85546875" style="6" customWidth="1"/>
    <col min="4911" max="4911" width="1.5703125" style="6" customWidth="1"/>
    <col min="4912" max="4912" width="15.5703125" style="6" customWidth="1"/>
    <col min="4913" max="4913" width="1.85546875" style="6" customWidth="1"/>
    <col min="4914" max="4914" width="15.5703125" style="6" customWidth="1"/>
    <col min="4915" max="4915" width="1.5703125" style="6" customWidth="1"/>
    <col min="4916" max="4916" width="15.5703125" style="6" customWidth="1"/>
    <col min="4917" max="4917" width="9.140625" style="6"/>
    <col min="4918" max="4918" width="15.140625" style="6" customWidth="1"/>
    <col min="4919" max="5120" width="9.140625" style="6"/>
    <col min="5121" max="5121" width="26.5703125" style="6" customWidth="1"/>
    <col min="5122" max="5134" width="0" style="6" hidden="1" customWidth="1"/>
    <col min="5135" max="5135" width="1.7109375" style="6" customWidth="1"/>
    <col min="5136" max="5136" width="17.42578125" style="6" customWidth="1"/>
    <col min="5137" max="5137" width="1.140625" style="6" customWidth="1"/>
    <col min="5138" max="5150" width="0" style="6" hidden="1" customWidth="1"/>
    <col min="5151" max="5151" width="19.85546875" style="6" customWidth="1"/>
    <col min="5152" max="5152" width="0" style="6" hidden="1" customWidth="1"/>
    <col min="5153" max="5153" width="2.85546875" style="6" customWidth="1"/>
    <col min="5154" max="5154" width="15.5703125" style="6" customWidth="1"/>
    <col min="5155" max="5155" width="2" style="6" customWidth="1"/>
    <col min="5156" max="5156" width="15.5703125" style="6" customWidth="1"/>
    <col min="5157" max="5157" width="1.7109375" style="6" customWidth="1"/>
    <col min="5158" max="5158" width="15.5703125" style="6" customWidth="1"/>
    <col min="5159" max="5159" width="1.5703125" style="6" customWidth="1"/>
    <col min="5160" max="5160" width="15.5703125" style="6" customWidth="1"/>
    <col min="5161" max="5161" width="1.42578125" style="6" customWidth="1"/>
    <col min="5162" max="5162" width="15.5703125" style="6" customWidth="1"/>
    <col min="5163" max="5163" width="1.85546875" style="6" customWidth="1"/>
    <col min="5164" max="5164" width="15.5703125" style="6" customWidth="1"/>
    <col min="5165" max="5165" width="1.28515625" style="6" customWidth="1"/>
    <col min="5166" max="5166" width="15.85546875" style="6" customWidth="1"/>
    <col min="5167" max="5167" width="1.5703125" style="6" customWidth="1"/>
    <col min="5168" max="5168" width="15.5703125" style="6" customWidth="1"/>
    <col min="5169" max="5169" width="1.85546875" style="6" customWidth="1"/>
    <col min="5170" max="5170" width="15.5703125" style="6" customWidth="1"/>
    <col min="5171" max="5171" width="1.5703125" style="6" customWidth="1"/>
    <col min="5172" max="5172" width="15.5703125" style="6" customWidth="1"/>
    <col min="5173" max="5173" width="9.140625" style="6"/>
    <col min="5174" max="5174" width="15.140625" style="6" customWidth="1"/>
    <col min="5175" max="5376" width="9.140625" style="6"/>
    <col min="5377" max="5377" width="26.5703125" style="6" customWidth="1"/>
    <col min="5378" max="5390" width="0" style="6" hidden="1" customWidth="1"/>
    <col min="5391" max="5391" width="1.7109375" style="6" customWidth="1"/>
    <col min="5392" max="5392" width="17.42578125" style="6" customWidth="1"/>
    <col min="5393" max="5393" width="1.140625" style="6" customWidth="1"/>
    <col min="5394" max="5406" width="0" style="6" hidden="1" customWidth="1"/>
    <col min="5407" max="5407" width="19.85546875" style="6" customWidth="1"/>
    <col min="5408" max="5408" width="0" style="6" hidden="1" customWidth="1"/>
    <col min="5409" max="5409" width="2.85546875" style="6" customWidth="1"/>
    <col min="5410" max="5410" width="15.5703125" style="6" customWidth="1"/>
    <col min="5411" max="5411" width="2" style="6" customWidth="1"/>
    <col min="5412" max="5412" width="15.5703125" style="6" customWidth="1"/>
    <col min="5413" max="5413" width="1.7109375" style="6" customWidth="1"/>
    <col min="5414" max="5414" width="15.5703125" style="6" customWidth="1"/>
    <col min="5415" max="5415" width="1.5703125" style="6" customWidth="1"/>
    <col min="5416" max="5416" width="15.5703125" style="6" customWidth="1"/>
    <col min="5417" max="5417" width="1.42578125" style="6" customWidth="1"/>
    <col min="5418" max="5418" width="15.5703125" style="6" customWidth="1"/>
    <col min="5419" max="5419" width="1.85546875" style="6" customWidth="1"/>
    <col min="5420" max="5420" width="15.5703125" style="6" customWidth="1"/>
    <col min="5421" max="5421" width="1.28515625" style="6" customWidth="1"/>
    <col min="5422" max="5422" width="15.85546875" style="6" customWidth="1"/>
    <col min="5423" max="5423" width="1.5703125" style="6" customWidth="1"/>
    <col min="5424" max="5424" width="15.5703125" style="6" customWidth="1"/>
    <col min="5425" max="5425" width="1.85546875" style="6" customWidth="1"/>
    <col min="5426" max="5426" width="15.5703125" style="6" customWidth="1"/>
    <col min="5427" max="5427" width="1.5703125" style="6" customWidth="1"/>
    <col min="5428" max="5428" width="15.5703125" style="6" customWidth="1"/>
    <col min="5429" max="5429" width="9.140625" style="6"/>
    <col min="5430" max="5430" width="15.140625" style="6" customWidth="1"/>
    <col min="5431" max="5632" width="9.140625" style="6"/>
    <col min="5633" max="5633" width="26.5703125" style="6" customWidth="1"/>
    <col min="5634" max="5646" width="0" style="6" hidden="1" customWidth="1"/>
    <col min="5647" max="5647" width="1.7109375" style="6" customWidth="1"/>
    <col min="5648" max="5648" width="17.42578125" style="6" customWidth="1"/>
    <col min="5649" max="5649" width="1.140625" style="6" customWidth="1"/>
    <col min="5650" max="5662" width="0" style="6" hidden="1" customWidth="1"/>
    <col min="5663" max="5663" width="19.85546875" style="6" customWidth="1"/>
    <col min="5664" max="5664" width="0" style="6" hidden="1" customWidth="1"/>
    <col min="5665" max="5665" width="2.85546875" style="6" customWidth="1"/>
    <col min="5666" max="5666" width="15.5703125" style="6" customWidth="1"/>
    <col min="5667" max="5667" width="2" style="6" customWidth="1"/>
    <col min="5668" max="5668" width="15.5703125" style="6" customWidth="1"/>
    <col min="5669" max="5669" width="1.7109375" style="6" customWidth="1"/>
    <col min="5670" max="5670" width="15.5703125" style="6" customWidth="1"/>
    <col min="5671" max="5671" width="1.5703125" style="6" customWidth="1"/>
    <col min="5672" max="5672" width="15.5703125" style="6" customWidth="1"/>
    <col min="5673" max="5673" width="1.42578125" style="6" customWidth="1"/>
    <col min="5674" max="5674" width="15.5703125" style="6" customWidth="1"/>
    <col min="5675" max="5675" width="1.85546875" style="6" customWidth="1"/>
    <col min="5676" max="5676" width="15.5703125" style="6" customWidth="1"/>
    <col min="5677" max="5677" width="1.28515625" style="6" customWidth="1"/>
    <col min="5678" max="5678" width="15.85546875" style="6" customWidth="1"/>
    <col min="5679" max="5679" width="1.5703125" style="6" customWidth="1"/>
    <col min="5680" max="5680" width="15.5703125" style="6" customWidth="1"/>
    <col min="5681" max="5681" width="1.85546875" style="6" customWidth="1"/>
    <col min="5682" max="5682" width="15.5703125" style="6" customWidth="1"/>
    <col min="5683" max="5683" width="1.5703125" style="6" customWidth="1"/>
    <col min="5684" max="5684" width="15.5703125" style="6" customWidth="1"/>
    <col min="5685" max="5685" width="9.140625" style="6"/>
    <col min="5686" max="5686" width="15.140625" style="6" customWidth="1"/>
    <col min="5687" max="5888" width="9.140625" style="6"/>
    <col min="5889" max="5889" width="26.5703125" style="6" customWidth="1"/>
    <col min="5890" max="5902" width="0" style="6" hidden="1" customWidth="1"/>
    <col min="5903" max="5903" width="1.7109375" style="6" customWidth="1"/>
    <col min="5904" max="5904" width="17.42578125" style="6" customWidth="1"/>
    <col min="5905" max="5905" width="1.140625" style="6" customWidth="1"/>
    <col min="5906" max="5918" width="0" style="6" hidden="1" customWidth="1"/>
    <col min="5919" max="5919" width="19.85546875" style="6" customWidth="1"/>
    <col min="5920" max="5920" width="0" style="6" hidden="1" customWidth="1"/>
    <col min="5921" max="5921" width="2.85546875" style="6" customWidth="1"/>
    <col min="5922" max="5922" width="15.5703125" style="6" customWidth="1"/>
    <col min="5923" max="5923" width="2" style="6" customWidth="1"/>
    <col min="5924" max="5924" width="15.5703125" style="6" customWidth="1"/>
    <col min="5925" max="5925" width="1.7109375" style="6" customWidth="1"/>
    <col min="5926" max="5926" width="15.5703125" style="6" customWidth="1"/>
    <col min="5927" max="5927" width="1.5703125" style="6" customWidth="1"/>
    <col min="5928" max="5928" width="15.5703125" style="6" customWidth="1"/>
    <col min="5929" max="5929" width="1.42578125" style="6" customWidth="1"/>
    <col min="5930" max="5930" width="15.5703125" style="6" customWidth="1"/>
    <col min="5931" max="5931" width="1.85546875" style="6" customWidth="1"/>
    <col min="5932" max="5932" width="15.5703125" style="6" customWidth="1"/>
    <col min="5933" max="5933" width="1.28515625" style="6" customWidth="1"/>
    <col min="5934" max="5934" width="15.85546875" style="6" customWidth="1"/>
    <col min="5935" max="5935" width="1.5703125" style="6" customWidth="1"/>
    <col min="5936" max="5936" width="15.5703125" style="6" customWidth="1"/>
    <col min="5937" max="5937" width="1.85546875" style="6" customWidth="1"/>
    <col min="5938" max="5938" width="15.5703125" style="6" customWidth="1"/>
    <col min="5939" max="5939" width="1.5703125" style="6" customWidth="1"/>
    <col min="5940" max="5940" width="15.5703125" style="6" customWidth="1"/>
    <col min="5941" max="5941" width="9.140625" style="6"/>
    <col min="5942" max="5942" width="15.140625" style="6" customWidth="1"/>
    <col min="5943" max="6144" width="9.140625" style="6"/>
    <col min="6145" max="6145" width="26.5703125" style="6" customWidth="1"/>
    <col min="6146" max="6158" width="0" style="6" hidden="1" customWidth="1"/>
    <col min="6159" max="6159" width="1.7109375" style="6" customWidth="1"/>
    <col min="6160" max="6160" width="17.42578125" style="6" customWidth="1"/>
    <col min="6161" max="6161" width="1.140625" style="6" customWidth="1"/>
    <col min="6162" max="6174" width="0" style="6" hidden="1" customWidth="1"/>
    <col min="6175" max="6175" width="19.85546875" style="6" customWidth="1"/>
    <col min="6176" max="6176" width="0" style="6" hidden="1" customWidth="1"/>
    <col min="6177" max="6177" width="2.85546875" style="6" customWidth="1"/>
    <col min="6178" max="6178" width="15.5703125" style="6" customWidth="1"/>
    <col min="6179" max="6179" width="2" style="6" customWidth="1"/>
    <col min="6180" max="6180" width="15.5703125" style="6" customWidth="1"/>
    <col min="6181" max="6181" width="1.7109375" style="6" customWidth="1"/>
    <col min="6182" max="6182" width="15.5703125" style="6" customWidth="1"/>
    <col min="6183" max="6183" width="1.5703125" style="6" customWidth="1"/>
    <col min="6184" max="6184" width="15.5703125" style="6" customWidth="1"/>
    <col min="6185" max="6185" width="1.42578125" style="6" customWidth="1"/>
    <col min="6186" max="6186" width="15.5703125" style="6" customWidth="1"/>
    <col min="6187" max="6187" width="1.85546875" style="6" customWidth="1"/>
    <col min="6188" max="6188" width="15.5703125" style="6" customWidth="1"/>
    <col min="6189" max="6189" width="1.28515625" style="6" customWidth="1"/>
    <col min="6190" max="6190" width="15.85546875" style="6" customWidth="1"/>
    <col min="6191" max="6191" width="1.5703125" style="6" customWidth="1"/>
    <col min="6192" max="6192" width="15.5703125" style="6" customWidth="1"/>
    <col min="6193" max="6193" width="1.85546875" style="6" customWidth="1"/>
    <col min="6194" max="6194" width="15.5703125" style="6" customWidth="1"/>
    <col min="6195" max="6195" width="1.5703125" style="6" customWidth="1"/>
    <col min="6196" max="6196" width="15.5703125" style="6" customWidth="1"/>
    <col min="6197" max="6197" width="9.140625" style="6"/>
    <col min="6198" max="6198" width="15.140625" style="6" customWidth="1"/>
    <col min="6199" max="6400" width="9.140625" style="6"/>
    <col min="6401" max="6401" width="26.5703125" style="6" customWidth="1"/>
    <col min="6402" max="6414" width="0" style="6" hidden="1" customWidth="1"/>
    <col min="6415" max="6415" width="1.7109375" style="6" customWidth="1"/>
    <col min="6416" max="6416" width="17.42578125" style="6" customWidth="1"/>
    <col min="6417" max="6417" width="1.140625" style="6" customWidth="1"/>
    <col min="6418" max="6430" width="0" style="6" hidden="1" customWidth="1"/>
    <col min="6431" max="6431" width="19.85546875" style="6" customWidth="1"/>
    <col min="6432" max="6432" width="0" style="6" hidden="1" customWidth="1"/>
    <col min="6433" max="6433" width="2.85546875" style="6" customWidth="1"/>
    <col min="6434" max="6434" width="15.5703125" style="6" customWidth="1"/>
    <col min="6435" max="6435" width="2" style="6" customWidth="1"/>
    <col min="6436" max="6436" width="15.5703125" style="6" customWidth="1"/>
    <col min="6437" max="6437" width="1.7109375" style="6" customWidth="1"/>
    <col min="6438" max="6438" width="15.5703125" style="6" customWidth="1"/>
    <col min="6439" max="6439" width="1.5703125" style="6" customWidth="1"/>
    <col min="6440" max="6440" width="15.5703125" style="6" customWidth="1"/>
    <col min="6441" max="6441" width="1.42578125" style="6" customWidth="1"/>
    <col min="6442" max="6442" width="15.5703125" style="6" customWidth="1"/>
    <col min="6443" max="6443" width="1.85546875" style="6" customWidth="1"/>
    <col min="6444" max="6444" width="15.5703125" style="6" customWidth="1"/>
    <col min="6445" max="6445" width="1.28515625" style="6" customWidth="1"/>
    <col min="6446" max="6446" width="15.85546875" style="6" customWidth="1"/>
    <col min="6447" max="6447" width="1.5703125" style="6" customWidth="1"/>
    <col min="6448" max="6448" width="15.5703125" style="6" customWidth="1"/>
    <col min="6449" max="6449" width="1.85546875" style="6" customWidth="1"/>
    <col min="6450" max="6450" width="15.5703125" style="6" customWidth="1"/>
    <col min="6451" max="6451" width="1.5703125" style="6" customWidth="1"/>
    <col min="6452" max="6452" width="15.5703125" style="6" customWidth="1"/>
    <col min="6453" max="6453" width="9.140625" style="6"/>
    <col min="6454" max="6454" width="15.140625" style="6" customWidth="1"/>
    <col min="6455" max="6656" width="9.140625" style="6"/>
    <col min="6657" max="6657" width="26.5703125" style="6" customWidth="1"/>
    <col min="6658" max="6670" width="0" style="6" hidden="1" customWidth="1"/>
    <col min="6671" max="6671" width="1.7109375" style="6" customWidth="1"/>
    <col min="6672" max="6672" width="17.42578125" style="6" customWidth="1"/>
    <col min="6673" max="6673" width="1.140625" style="6" customWidth="1"/>
    <col min="6674" max="6686" width="0" style="6" hidden="1" customWidth="1"/>
    <col min="6687" max="6687" width="19.85546875" style="6" customWidth="1"/>
    <col min="6688" max="6688" width="0" style="6" hidden="1" customWidth="1"/>
    <col min="6689" max="6689" width="2.85546875" style="6" customWidth="1"/>
    <col min="6690" max="6690" width="15.5703125" style="6" customWidth="1"/>
    <col min="6691" max="6691" width="2" style="6" customWidth="1"/>
    <col min="6692" max="6692" width="15.5703125" style="6" customWidth="1"/>
    <col min="6693" max="6693" width="1.7109375" style="6" customWidth="1"/>
    <col min="6694" max="6694" width="15.5703125" style="6" customWidth="1"/>
    <col min="6695" max="6695" width="1.5703125" style="6" customWidth="1"/>
    <col min="6696" max="6696" width="15.5703125" style="6" customWidth="1"/>
    <col min="6697" max="6697" width="1.42578125" style="6" customWidth="1"/>
    <col min="6698" max="6698" width="15.5703125" style="6" customWidth="1"/>
    <col min="6699" max="6699" width="1.85546875" style="6" customWidth="1"/>
    <col min="6700" max="6700" width="15.5703125" style="6" customWidth="1"/>
    <col min="6701" max="6701" width="1.28515625" style="6" customWidth="1"/>
    <col min="6702" max="6702" width="15.85546875" style="6" customWidth="1"/>
    <col min="6703" max="6703" width="1.5703125" style="6" customWidth="1"/>
    <col min="6704" max="6704" width="15.5703125" style="6" customWidth="1"/>
    <col min="6705" max="6705" width="1.85546875" style="6" customWidth="1"/>
    <col min="6706" max="6706" width="15.5703125" style="6" customWidth="1"/>
    <col min="6707" max="6707" width="1.5703125" style="6" customWidth="1"/>
    <col min="6708" max="6708" width="15.5703125" style="6" customWidth="1"/>
    <col min="6709" max="6709" width="9.140625" style="6"/>
    <col min="6710" max="6710" width="15.140625" style="6" customWidth="1"/>
    <col min="6711" max="6912" width="9.140625" style="6"/>
    <col min="6913" max="6913" width="26.5703125" style="6" customWidth="1"/>
    <col min="6914" max="6926" width="0" style="6" hidden="1" customWidth="1"/>
    <col min="6927" max="6927" width="1.7109375" style="6" customWidth="1"/>
    <col min="6928" max="6928" width="17.42578125" style="6" customWidth="1"/>
    <col min="6929" max="6929" width="1.140625" style="6" customWidth="1"/>
    <col min="6930" max="6942" width="0" style="6" hidden="1" customWidth="1"/>
    <col min="6943" max="6943" width="19.85546875" style="6" customWidth="1"/>
    <col min="6944" max="6944" width="0" style="6" hidden="1" customWidth="1"/>
    <col min="6945" max="6945" width="2.85546875" style="6" customWidth="1"/>
    <col min="6946" max="6946" width="15.5703125" style="6" customWidth="1"/>
    <col min="6947" max="6947" width="2" style="6" customWidth="1"/>
    <col min="6948" max="6948" width="15.5703125" style="6" customWidth="1"/>
    <col min="6949" max="6949" width="1.7109375" style="6" customWidth="1"/>
    <col min="6950" max="6950" width="15.5703125" style="6" customWidth="1"/>
    <col min="6951" max="6951" width="1.5703125" style="6" customWidth="1"/>
    <col min="6952" max="6952" width="15.5703125" style="6" customWidth="1"/>
    <col min="6953" max="6953" width="1.42578125" style="6" customWidth="1"/>
    <col min="6954" max="6954" width="15.5703125" style="6" customWidth="1"/>
    <col min="6955" max="6955" width="1.85546875" style="6" customWidth="1"/>
    <col min="6956" max="6956" width="15.5703125" style="6" customWidth="1"/>
    <col min="6957" max="6957" width="1.28515625" style="6" customWidth="1"/>
    <col min="6958" max="6958" width="15.85546875" style="6" customWidth="1"/>
    <col min="6959" max="6959" width="1.5703125" style="6" customWidth="1"/>
    <col min="6960" max="6960" width="15.5703125" style="6" customWidth="1"/>
    <col min="6961" max="6961" width="1.85546875" style="6" customWidth="1"/>
    <col min="6962" max="6962" width="15.5703125" style="6" customWidth="1"/>
    <col min="6963" max="6963" width="1.5703125" style="6" customWidth="1"/>
    <col min="6964" max="6964" width="15.5703125" style="6" customWidth="1"/>
    <col min="6965" max="6965" width="9.140625" style="6"/>
    <col min="6966" max="6966" width="15.140625" style="6" customWidth="1"/>
    <col min="6967" max="7168" width="9.140625" style="6"/>
    <col min="7169" max="7169" width="26.5703125" style="6" customWidth="1"/>
    <col min="7170" max="7182" width="0" style="6" hidden="1" customWidth="1"/>
    <col min="7183" max="7183" width="1.7109375" style="6" customWidth="1"/>
    <col min="7184" max="7184" width="17.42578125" style="6" customWidth="1"/>
    <col min="7185" max="7185" width="1.140625" style="6" customWidth="1"/>
    <col min="7186" max="7198" width="0" style="6" hidden="1" customWidth="1"/>
    <col min="7199" max="7199" width="19.85546875" style="6" customWidth="1"/>
    <col min="7200" max="7200" width="0" style="6" hidden="1" customWidth="1"/>
    <col min="7201" max="7201" width="2.85546875" style="6" customWidth="1"/>
    <col min="7202" max="7202" width="15.5703125" style="6" customWidth="1"/>
    <col min="7203" max="7203" width="2" style="6" customWidth="1"/>
    <col min="7204" max="7204" width="15.5703125" style="6" customWidth="1"/>
    <col min="7205" max="7205" width="1.7109375" style="6" customWidth="1"/>
    <col min="7206" max="7206" width="15.5703125" style="6" customWidth="1"/>
    <col min="7207" max="7207" width="1.5703125" style="6" customWidth="1"/>
    <col min="7208" max="7208" width="15.5703125" style="6" customWidth="1"/>
    <col min="7209" max="7209" width="1.42578125" style="6" customWidth="1"/>
    <col min="7210" max="7210" width="15.5703125" style="6" customWidth="1"/>
    <col min="7211" max="7211" width="1.85546875" style="6" customWidth="1"/>
    <col min="7212" max="7212" width="15.5703125" style="6" customWidth="1"/>
    <col min="7213" max="7213" width="1.28515625" style="6" customWidth="1"/>
    <col min="7214" max="7214" width="15.85546875" style="6" customWidth="1"/>
    <col min="7215" max="7215" width="1.5703125" style="6" customWidth="1"/>
    <col min="7216" max="7216" width="15.5703125" style="6" customWidth="1"/>
    <col min="7217" max="7217" width="1.85546875" style="6" customWidth="1"/>
    <col min="7218" max="7218" width="15.5703125" style="6" customWidth="1"/>
    <col min="7219" max="7219" width="1.5703125" style="6" customWidth="1"/>
    <col min="7220" max="7220" width="15.5703125" style="6" customWidth="1"/>
    <col min="7221" max="7221" width="9.140625" style="6"/>
    <col min="7222" max="7222" width="15.140625" style="6" customWidth="1"/>
    <col min="7223" max="7424" width="9.140625" style="6"/>
    <col min="7425" max="7425" width="26.5703125" style="6" customWidth="1"/>
    <col min="7426" max="7438" width="0" style="6" hidden="1" customWidth="1"/>
    <col min="7439" max="7439" width="1.7109375" style="6" customWidth="1"/>
    <col min="7440" max="7440" width="17.42578125" style="6" customWidth="1"/>
    <col min="7441" max="7441" width="1.140625" style="6" customWidth="1"/>
    <col min="7442" max="7454" width="0" style="6" hidden="1" customWidth="1"/>
    <col min="7455" max="7455" width="19.85546875" style="6" customWidth="1"/>
    <col min="7456" max="7456" width="0" style="6" hidden="1" customWidth="1"/>
    <col min="7457" max="7457" width="2.85546875" style="6" customWidth="1"/>
    <col min="7458" max="7458" width="15.5703125" style="6" customWidth="1"/>
    <col min="7459" max="7459" width="2" style="6" customWidth="1"/>
    <col min="7460" max="7460" width="15.5703125" style="6" customWidth="1"/>
    <col min="7461" max="7461" width="1.7109375" style="6" customWidth="1"/>
    <col min="7462" max="7462" width="15.5703125" style="6" customWidth="1"/>
    <col min="7463" max="7463" width="1.5703125" style="6" customWidth="1"/>
    <col min="7464" max="7464" width="15.5703125" style="6" customWidth="1"/>
    <col min="7465" max="7465" width="1.42578125" style="6" customWidth="1"/>
    <col min="7466" max="7466" width="15.5703125" style="6" customWidth="1"/>
    <col min="7467" max="7467" width="1.85546875" style="6" customWidth="1"/>
    <col min="7468" max="7468" width="15.5703125" style="6" customWidth="1"/>
    <col min="7469" max="7469" width="1.28515625" style="6" customWidth="1"/>
    <col min="7470" max="7470" width="15.85546875" style="6" customWidth="1"/>
    <col min="7471" max="7471" width="1.5703125" style="6" customWidth="1"/>
    <col min="7472" max="7472" width="15.5703125" style="6" customWidth="1"/>
    <col min="7473" max="7473" width="1.85546875" style="6" customWidth="1"/>
    <col min="7474" max="7474" width="15.5703125" style="6" customWidth="1"/>
    <col min="7475" max="7475" width="1.5703125" style="6" customWidth="1"/>
    <col min="7476" max="7476" width="15.5703125" style="6" customWidth="1"/>
    <col min="7477" max="7477" width="9.140625" style="6"/>
    <col min="7478" max="7478" width="15.140625" style="6" customWidth="1"/>
    <col min="7479" max="7680" width="9.140625" style="6"/>
    <col min="7681" max="7681" width="26.5703125" style="6" customWidth="1"/>
    <col min="7682" max="7694" width="0" style="6" hidden="1" customWidth="1"/>
    <col min="7695" max="7695" width="1.7109375" style="6" customWidth="1"/>
    <col min="7696" max="7696" width="17.42578125" style="6" customWidth="1"/>
    <col min="7697" max="7697" width="1.140625" style="6" customWidth="1"/>
    <col min="7698" max="7710" width="0" style="6" hidden="1" customWidth="1"/>
    <col min="7711" max="7711" width="19.85546875" style="6" customWidth="1"/>
    <col min="7712" max="7712" width="0" style="6" hidden="1" customWidth="1"/>
    <col min="7713" max="7713" width="2.85546875" style="6" customWidth="1"/>
    <col min="7714" max="7714" width="15.5703125" style="6" customWidth="1"/>
    <col min="7715" max="7715" width="2" style="6" customWidth="1"/>
    <col min="7716" max="7716" width="15.5703125" style="6" customWidth="1"/>
    <col min="7717" max="7717" width="1.7109375" style="6" customWidth="1"/>
    <col min="7718" max="7718" width="15.5703125" style="6" customWidth="1"/>
    <col min="7719" max="7719" width="1.5703125" style="6" customWidth="1"/>
    <col min="7720" max="7720" width="15.5703125" style="6" customWidth="1"/>
    <col min="7721" max="7721" width="1.42578125" style="6" customWidth="1"/>
    <col min="7722" max="7722" width="15.5703125" style="6" customWidth="1"/>
    <col min="7723" max="7723" width="1.85546875" style="6" customWidth="1"/>
    <col min="7724" max="7724" width="15.5703125" style="6" customWidth="1"/>
    <col min="7725" max="7725" width="1.28515625" style="6" customWidth="1"/>
    <col min="7726" max="7726" width="15.85546875" style="6" customWidth="1"/>
    <col min="7727" max="7727" width="1.5703125" style="6" customWidth="1"/>
    <col min="7728" max="7728" width="15.5703125" style="6" customWidth="1"/>
    <col min="7729" max="7729" width="1.85546875" style="6" customWidth="1"/>
    <col min="7730" max="7730" width="15.5703125" style="6" customWidth="1"/>
    <col min="7731" max="7731" width="1.5703125" style="6" customWidth="1"/>
    <col min="7732" max="7732" width="15.5703125" style="6" customWidth="1"/>
    <col min="7733" max="7733" width="9.140625" style="6"/>
    <col min="7734" max="7734" width="15.140625" style="6" customWidth="1"/>
    <col min="7735" max="7936" width="9.140625" style="6"/>
    <col min="7937" max="7937" width="26.5703125" style="6" customWidth="1"/>
    <col min="7938" max="7950" width="0" style="6" hidden="1" customWidth="1"/>
    <col min="7951" max="7951" width="1.7109375" style="6" customWidth="1"/>
    <col min="7952" max="7952" width="17.42578125" style="6" customWidth="1"/>
    <col min="7953" max="7953" width="1.140625" style="6" customWidth="1"/>
    <col min="7954" max="7966" width="0" style="6" hidden="1" customWidth="1"/>
    <col min="7967" max="7967" width="19.85546875" style="6" customWidth="1"/>
    <col min="7968" max="7968" width="0" style="6" hidden="1" customWidth="1"/>
    <col min="7969" max="7969" width="2.85546875" style="6" customWidth="1"/>
    <col min="7970" max="7970" width="15.5703125" style="6" customWidth="1"/>
    <col min="7971" max="7971" width="2" style="6" customWidth="1"/>
    <col min="7972" max="7972" width="15.5703125" style="6" customWidth="1"/>
    <col min="7973" max="7973" width="1.7109375" style="6" customWidth="1"/>
    <col min="7974" max="7974" width="15.5703125" style="6" customWidth="1"/>
    <col min="7975" max="7975" width="1.5703125" style="6" customWidth="1"/>
    <col min="7976" max="7976" width="15.5703125" style="6" customWidth="1"/>
    <col min="7977" max="7977" width="1.42578125" style="6" customWidth="1"/>
    <col min="7978" max="7978" width="15.5703125" style="6" customWidth="1"/>
    <col min="7979" max="7979" width="1.85546875" style="6" customWidth="1"/>
    <col min="7980" max="7980" width="15.5703125" style="6" customWidth="1"/>
    <col min="7981" max="7981" width="1.28515625" style="6" customWidth="1"/>
    <col min="7982" max="7982" width="15.85546875" style="6" customWidth="1"/>
    <col min="7983" max="7983" width="1.5703125" style="6" customWidth="1"/>
    <col min="7984" max="7984" width="15.5703125" style="6" customWidth="1"/>
    <col min="7985" max="7985" width="1.85546875" style="6" customWidth="1"/>
    <col min="7986" max="7986" width="15.5703125" style="6" customWidth="1"/>
    <col min="7987" max="7987" width="1.5703125" style="6" customWidth="1"/>
    <col min="7988" max="7988" width="15.5703125" style="6" customWidth="1"/>
    <col min="7989" max="7989" width="9.140625" style="6"/>
    <col min="7990" max="7990" width="15.140625" style="6" customWidth="1"/>
    <col min="7991" max="8192" width="9.140625" style="6"/>
    <col min="8193" max="8193" width="26.5703125" style="6" customWidth="1"/>
    <col min="8194" max="8206" width="0" style="6" hidden="1" customWidth="1"/>
    <col min="8207" max="8207" width="1.7109375" style="6" customWidth="1"/>
    <col min="8208" max="8208" width="17.42578125" style="6" customWidth="1"/>
    <col min="8209" max="8209" width="1.140625" style="6" customWidth="1"/>
    <col min="8210" max="8222" width="0" style="6" hidden="1" customWidth="1"/>
    <col min="8223" max="8223" width="19.85546875" style="6" customWidth="1"/>
    <col min="8224" max="8224" width="0" style="6" hidden="1" customWidth="1"/>
    <col min="8225" max="8225" width="2.85546875" style="6" customWidth="1"/>
    <col min="8226" max="8226" width="15.5703125" style="6" customWidth="1"/>
    <col min="8227" max="8227" width="2" style="6" customWidth="1"/>
    <col min="8228" max="8228" width="15.5703125" style="6" customWidth="1"/>
    <col min="8229" max="8229" width="1.7109375" style="6" customWidth="1"/>
    <col min="8230" max="8230" width="15.5703125" style="6" customWidth="1"/>
    <col min="8231" max="8231" width="1.5703125" style="6" customWidth="1"/>
    <col min="8232" max="8232" width="15.5703125" style="6" customWidth="1"/>
    <col min="8233" max="8233" width="1.42578125" style="6" customWidth="1"/>
    <col min="8234" max="8234" width="15.5703125" style="6" customWidth="1"/>
    <col min="8235" max="8235" width="1.85546875" style="6" customWidth="1"/>
    <col min="8236" max="8236" width="15.5703125" style="6" customWidth="1"/>
    <col min="8237" max="8237" width="1.28515625" style="6" customWidth="1"/>
    <col min="8238" max="8238" width="15.85546875" style="6" customWidth="1"/>
    <col min="8239" max="8239" width="1.5703125" style="6" customWidth="1"/>
    <col min="8240" max="8240" width="15.5703125" style="6" customWidth="1"/>
    <col min="8241" max="8241" width="1.85546875" style="6" customWidth="1"/>
    <col min="8242" max="8242" width="15.5703125" style="6" customWidth="1"/>
    <col min="8243" max="8243" width="1.5703125" style="6" customWidth="1"/>
    <col min="8244" max="8244" width="15.5703125" style="6" customWidth="1"/>
    <col min="8245" max="8245" width="9.140625" style="6"/>
    <col min="8246" max="8246" width="15.140625" style="6" customWidth="1"/>
    <col min="8247" max="8448" width="9.140625" style="6"/>
    <col min="8449" max="8449" width="26.5703125" style="6" customWidth="1"/>
    <col min="8450" max="8462" width="0" style="6" hidden="1" customWidth="1"/>
    <col min="8463" max="8463" width="1.7109375" style="6" customWidth="1"/>
    <col min="8464" max="8464" width="17.42578125" style="6" customWidth="1"/>
    <col min="8465" max="8465" width="1.140625" style="6" customWidth="1"/>
    <col min="8466" max="8478" width="0" style="6" hidden="1" customWidth="1"/>
    <col min="8479" max="8479" width="19.85546875" style="6" customWidth="1"/>
    <col min="8480" max="8480" width="0" style="6" hidden="1" customWidth="1"/>
    <col min="8481" max="8481" width="2.85546875" style="6" customWidth="1"/>
    <col min="8482" max="8482" width="15.5703125" style="6" customWidth="1"/>
    <col min="8483" max="8483" width="2" style="6" customWidth="1"/>
    <col min="8484" max="8484" width="15.5703125" style="6" customWidth="1"/>
    <col min="8485" max="8485" width="1.7109375" style="6" customWidth="1"/>
    <col min="8486" max="8486" width="15.5703125" style="6" customWidth="1"/>
    <col min="8487" max="8487" width="1.5703125" style="6" customWidth="1"/>
    <col min="8488" max="8488" width="15.5703125" style="6" customWidth="1"/>
    <col min="8489" max="8489" width="1.42578125" style="6" customWidth="1"/>
    <col min="8490" max="8490" width="15.5703125" style="6" customWidth="1"/>
    <col min="8491" max="8491" width="1.85546875" style="6" customWidth="1"/>
    <col min="8492" max="8492" width="15.5703125" style="6" customWidth="1"/>
    <col min="8493" max="8493" width="1.28515625" style="6" customWidth="1"/>
    <col min="8494" max="8494" width="15.85546875" style="6" customWidth="1"/>
    <col min="8495" max="8495" width="1.5703125" style="6" customWidth="1"/>
    <col min="8496" max="8496" width="15.5703125" style="6" customWidth="1"/>
    <col min="8497" max="8497" width="1.85546875" style="6" customWidth="1"/>
    <col min="8498" max="8498" width="15.5703125" style="6" customWidth="1"/>
    <col min="8499" max="8499" width="1.5703125" style="6" customWidth="1"/>
    <col min="8500" max="8500" width="15.5703125" style="6" customWidth="1"/>
    <col min="8501" max="8501" width="9.140625" style="6"/>
    <col min="8502" max="8502" width="15.140625" style="6" customWidth="1"/>
    <col min="8503" max="8704" width="9.140625" style="6"/>
    <col min="8705" max="8705" width="26.5703125" style="6" customWidth="1"/>
    <col min="8706" max="8718" width="0" style="6" hidden="1" customWidth="1"/>
    <col min="8719" max="8719" width="1.7109375" style="6" customWidth="1"/>
    <col min="8720" max="8720" width="17.42578125" style="6" customWidth="1"/>
    <col min="8721" max="8721" width="1.140625" style="6" customWidth="1"/>
    <col min="8722" max="8734" width="0" style="6" hidden="1" customWidth="1"/>
    <col min="8735" max="8735" width="19.85546875" style="6" customWidth="1"/>
    <col min="8736" max="8736" width="0" style="6" hidden="1" customWidth="1"/>
    <col min="8737" max="8737" width="2.85546875" style="6" customWidth="1"/>
    <col min="8738" max="8738" width="15.5703125" style="6" customWidth="1"/>
    <col min="8739" max="8739" width="2" style="6" customWidth="1"/>
    <col min="8740" max="8740" width="15.5703125" style="6" customWidth="1"/>
    <col min="8741" max="8741" width="1.7109375" style="6" customWidth="1"/>
    <col min="8742" max="8742" width="15.5703125" style="6" customWidth="1"/>
    <col min="8743" max="8743" width="1.5703125" style="6" customWidth="1"/>
    <col min="8744" max="8744" width="15.5703125" style="6" customWidth="1"/>
    <col min="8745" max="8745" width="1.42578125" style="6" customWidth="1"/>
    <col min="8746" max="8746" width="15.5703125" style="6" customWidth="1"/>
    <col min="8747" max="8747" width="1.85546875" style="6" customWidth="1"/>
    <col min="8748" max="8748" width="15.5703125" style="6" customWidth="1"/>
    <col min="8749" max="8749" width="1.28515625" style="6" customWidth="1"/>
    <col min="8750" max="8750" width="15.85546875" style="6" customWidth="1"/>
    <col min="8751" max="8751" width="1.5703125" style="6" customWidth="1"/>
    <col min="8752" max="8752" width="15.5703125" style="6" customWidth="1"/>
    <col min="8753" max="8753" width="1.85546875" style="6" customWidth="1"/>
    <col min="8754" max="8754" width="15.5703125" style="6" customWidth="1"/>
    <col min="8755" max="8755" width="1.5703125" style="6" customWidth="1"/>
    <col min="8756" max="8756" width="15.5703125" style="6" customWidth="1"/>
    <col min="8757" max="8757" width="9.140625" style="6"/>
    <col min="8758" max="8758" width="15.140625" style="6" customWidth="1"/>
    <col min="8759" max="8960" width="9.140625" style="6"/>
    <col min="8961" max="8961" width="26.5703125" style="6" customWidth="1"/>
    <col min="8962" max="8974" width="0" style="6" hidden="1" customWidth="1"/>
    <col min="8975" max="8975" width="1.7109375" style="6" customWidth="1"/>
    <col min="8976" max="8976" width="17.42578125" style="6" customWidth="1"/>
    <col min="8977" max="8977" width="1.140625" style="6" customWidth="1"/>
    <col min="8978" max="8990" width="0" style="6" hidden="1" customWidth="1"/>
    <col min="8991" max="8991" width="19.85546875" style="6" customWidth="1"/>
    <col min="8992" max="8992" width="0" style="6" hidden="1" customWidth="1"/>
    <col min="8993" max="8993" width="2.85546875" style="6" customWidth="1"/>
    <col min="8994" max="8994" width="15.5703125" style="6" customWidth="1"/>
    <col min="8995" max="8995" width="2" style="6" customWidth="1"/>
    <col min="8996" max="8996" width="15.5703125" style="6" customWidth="1"/>
    <col min="8997" max="8997" width="1.7109375" style="6" customWidth="1"/>
    <col min="8998" max="8998" width="15.5703125" style="6" customWidth="1"/>
    <col min="8999" max="8999" width="1.5703125" style="6" customWidth="1"/>
    <col min="9000" max="9000" width="15.5703125" style="6" customWidth="1"/>
    <col min="9001" max="9001" width="1.42578125" style="6" customWidth="1"/>
    <col min="9002" max="9002" width="15.5703125" style="6" customWidth="1"/>
    <col min="9003" max="9003" width="1.85546875" style="6" customWidth="1"/>
    <col min="9004" max="9004" width="15.5703125" style="6" customWidth="1"/>
    <col min="9005" max="9005" width="1.28515625" style="6" customWidth="1"/>
    <col min="9006" max="9006" width="15.85546875" style="6" customWidth="1"/>
    <col min="9007" max="9007" width="1.5703125" style="6" customWidth="1"/>
    <col min="9008" max="9008" width="15.5703125" style="6" customWidth="1"/>
    <col min="9009" max="9009" width="1.85546875" style="6" customWidth="1"/>
    <col min="9010" max="9010" width="15.5703125" style="6" customWidth="1"/>
    <col min="9011" max="9011" width="1.5703125" style="6" customWidth="1"/>
    <col min="9012" max="9012" width="15.5703125" style="6" customWidth="1"/>
    <col min="9013" max="9013" width="9.140625" style="6"/>
    <col min="9014" max="9014" width="15.140625" style="6" customWidth="1"/>
    <col min="9015" max="9216" width="9.140625" style="6"/>
    <col min="9217" max="9217" width="26.5703125" style="6" customWidth="1"/>
    <col min="9218" max="9230" width="0" style="6" hidden="1" customWidth="1"/>
    <col min="9231" max="9231" width="1.7109375" style="6" customWidth="1"/>
    <col min="9232" max="9232" width="17.42578125" style="6" customWidth="1"/>
    <col min="9233" max="9233" width="1.140625" style="6" customWidth="1"/>
    <col min="9234" max="9246" width="0" style="6" hidden="1" customWidth="1"/>
    <col min="9247" max="9247" width="19.85546875" style="6" customWidth="1"/>
    <col min="9248" max="9248" width="0" style="6" hidden="1" customWidth="1"/>
    <col min="9249" max="9249" width="2.85546875" style="6" customWidth="1"/>
    <col min="9250" max="9250" width="15.5703125" style="6" customWidth="1"/>
    <col min="9251" max="9251" width="2" style="6" customWidth="1"/>
    <col min="9252" max="9252" width="15.5703125" style="6" customWidth="1"/>
    <col min="9253" max="9253" width="1.7109375" style="6" customWidth="1"/>
    <col min="9254" max="9254" width="15.5703125" style="6" customWidth="1"/>
    <col min="9255" max="9255" width="1.5703125" style="6" customWidth="1"/>
    <col min="9256" max="9256" width="15.5703125" style="6" customWidth="1"/>
    <col min="9257" max="9257" width="1.42578125" style="6" customWidth="1"/>
    <col min="9258" max="9258" width="15.5703125" style="6" customWidth="1"/>
    <col min="9259" max="9259" width="1.85546875" style="6" customWidth="1"/>
    <col min="9260" max="9260" width="15.5703125" style="6" customWidth="1"/>
    <col min="9261" max="9261" width="1.28515625" style="6" customWidth="1"/>
    <col min="9262" max="9262" width="15.85546875" style="6" customWidth="1"/>
    <col min="9263" max="9263" width="1.5703125" style="6" customWidth="1"/>
    <col min="9264" max="9264" width="15.5703125" style="6" customWidth="1"/>
    <col min="9265" max="9265" width="1.85546875" style="6" customWidth="1"/>
    <col min="9266" max="9266" width="15.5703125" style="6" customWidth="1"/>
    <col min="9267" max="9267" width="1.5703125" style="6" customWidth="1"/>
    <col min="9268" max="9268" width="15.5703125" style="6" customWidth="1"/>
    <col min="9269" max="9269" width="9.140625" style="6"/>
    <col min="9270" max="9270" width="15.140625" style="6" customWidth="1"/>
    <col min="9271" max="9472" width="9.140625" style="6"/>
    <col min="9473" max="9473" width="26.5703125" style="6" customWidth="1"/>
    <col min="9474" max="9486" width="0" style="6" hidden="1" customWidth="1"/>
    <col min="9487" max="9487" width="1.7109375" style="6" customWidth="1"/>
    <col min="9488" max="9488" width="17.42578125" style="6" customWidth="1"/>
    <col min="9489" max="9489" width="1.140625" style="6" customWidth="1"/>
    <col min="9490" max="9502" width="0" style="6" hidden="1" customWidth="1"/>
    <col min="9503" max="9503" width="19.85546875" style="6" customWidth="1"/>
    <col min="9504" max="9504" width="0" style="6" hidden="1" customWidth="1"/>
    <col min="9505" max="9505" width="2.85546875" style="6" customWidth="1"/>
    <col min="9506" max="9506" width="15.5703125" style="6" customWidth="1"/>
    <col min="9507" max="9507" width="2" style="6" customWidth="1"/>
    <col min="9508" max="9508" width="15.5703125" style="6" customWidth="1"/>
    <col min="9509" max="9509" width="1.7109375" style="6" customWidth="1"/>
    <col min="9510" max="9510" width="15.5703125" style="6" customWidth="1"/>
    <col min="9511" max="9511" width="1.5703125" style="6" customWidth="1"/>
    <col min="9512" max="9512" width="15.5703125" style="6" customWidth="1"/>
    <col min="9513" max="9513" width="1.42578125" style="6" customWidth="1"/>
    <col min="9514" max="9514" width="15.5703125" style="6" customWidth="1"/>
    <col min="9515" max="9515" width="1.85546875" style="6" customWidth="1"/>
    <col min="9516" max="9516" width="15.5703125" style="6" customWidth="1"/>
    <col min="9517" max="9517" width="1.28515625" style="6" customWidth="1"/>
    <col min="9518" max="9518" width="15.85546875" style="6" customWidth="1"/>
    <col min="9519" max="9519" width="1.5703125" style="6" customWidth="1"/>
    <col min="9520" max="9520" width="15.5703125" style="6" customWidth="1"/>
    <col min="9521" max="9521" width="1.85546875" style="6" customWidth="1"/>
    <col min="9522" max="9522" width="15.5703125" style="6" customWidth="1"/>
    <col min="9523" max="9523" width="1.5703125" style="6" customWidth="1"/>
    <col min="9524" max="9524" width="15.5703125" style="6" customWidth="1"/>
    <col min="9525" max="9525" width="9.140625" style="6"/>
    <col min="9526" max="9526" width="15.140625" style="6" customWidth="1"/>
    <col min="9527" max="9728" width="9.140625" style="6"/>
    <col min="9729" max="9729" width="26.5703125" style="6" customWidth="1"/>
    <col min="9730" max="9742" width="0" style="6" hidden="1" customWidth="1"/>
    <col min="9743" max="9743" width="1.7109375" style="6" customWidth="1"/>
    <col min="9744" max="9744" width="17.42578125" style="6" customWidth="1"/>
    <col min="9745" max="9745" width="1.140625" style="6" customWidth="1"/>
    <col min="9746" max="9758" width="0" style="6" hidden="1" customWidth="1"/>
    <col min="9759" max="9759" width="19.85546875" style="6" customWidth="1"/>
    <col min="9760" max="9760" width="0" style="6" hidden="1" customWidth="1"/>
    <col min="9761" max="9761" width="2.85546875" style="6" customWidth="1"/>
    <col min="9762" max="9762" width="15.5703125" style="6" customWidth="1"/>
    <col min="9763" max="9763" width="2" style="6" customWidth="1"/>
    <col min="9764" max="9764" width="15.5703125" style="6" customWidth="1"/>
    <col min="9765" max="9765" width="1.7109375" style="6" customWidth="1"/>
    <col min="9766" max="9766" width="15.5703125" style="6" customWidth="1"/>
    <col min="9767" max="9767" width="1.5703125" style="6" customWidth="1"/>
    <col min="9768" max="9768" width="15.5703125" style="6" customWidth="1"/>
    <col min="9769" max="9769" width="1.42578125" style="6" customWidth="1"/>
    <col min="9770" max="9770" width="15.5703125" style="6" customWidth="1"/>
    <col min="9771" max="9771" width="1.85546875" style="6" customWidth="1"/>
    <col min="9772" max="9772" width="15.5703125" style="6" customWidth="1"/>
    <col min="9773" max="9773" width="1.28515625" style="6" customWidth="1"/>
    <col min="9774" max="9774" width="15.85546875" style="6" customWidth="1"/>
    <col min="9775" max="9775" width="1.5703125" style="6" customWidth="1"/>
    <col min="9776" max="9776" width="15.5703125" style="6" customWidth="1"/>
    <col min="9777" max="9777" width="1.85546875" style="6" customWidth="1"/>
    <col min="9778" max="9778" width="15.5703125" style="6" customWidth="1"/>
    <col min="9779" max="9779" width="1.5703125" style="6" customWidth="1"/>
    <col min="9780" max="9780" width="15.5703125" style="6" customWidth="1"/>
    <col min="9781" max="9781" width="9.140625" style="6"/>
    <col min="9782" max="9782" width="15.140625" style="6" customWidth="1"/>
    <col min="9783" max="9984" width="9.140625" style="6"/>
    <col min="9985" max="9985" width="26.5703125" style="6" customWidth="1"/>
    <col min="9986" max="9998" width="0" style="6" hidden="1" customWidth="1"/>
    <col min="9999" max="9999" width="1.7109375" style="6" customWidth="1"/>
    <col min="10000" max="10000" width="17.42578125" style="6" customWidth="1"/>
    <col min="10001" max="10001" width="1.140625" style="6" customWidth="1"/>
    <col min="10002" max="10014" width="0" style="6" hidden="1" customWidth="1"/>
    <col min="10015" max="10015" width="19.85546875" style="6" customWidth="1"/>
    <col min="10016" max="10016" width="0" style="6" hidden="1" customWidth="1"/>
    <col min="10017" max="10017" width="2.85546875" style="6" customWidth="1"/>
    <col min="10018" max="10018" width="15.5703125" style="6" customWidth="1"/>
    <col min="10019" max="10019" width="2" style="6" customWidth="1"/>
    <col min="10020" max="10020" width="15.5703125" style="6" customWidth="1"/>
    <col min="10021" max="10021" width="1.7109375" style="6" customWidth="1"/>
    <col min="10022" max="10022" width="15.5703125" style="6" customWidth="1"/>
    <col min="10023" max="10023" width="1.5703125" style="6" customWidth="1"/>
    <col min="10024" max="10024" width="15.5703125" style="6" customWidth="1"/>
    <col min="10025" max="10025" width="1.42578125" style="6" customWidth="1"/>
    <col min="10026" max="10026" width="15.5703125" style="6" customWidth="1"/>
    <col min="10027" max="10027" width="1.85546875" style="6" customWidth="1"/>
    <col min="10028" max="10028" width="15.5703125" style="6" customWidth="1"/>
    <col min="10029" max="10029" width="1.28515625" style="6" customWidth="1"/>
    <col min="10030" max="10030" width="15.85546875" style="6" customWidth="1"/>
    <col min="10031" max="10031" width="1.5703125" style="6" customWidth="1"/>
    <col min="10032" max="10032" width="15.5703125" style="6" customWidth="1"/>
    <col min="10033" max="10033" width="1.85546875" style="6" customWidth="1"/>
    <col min="10034" max="10034" width="15.5703125" style="6" customWidth="1"/>
    <col min="10035" max="10035" width="1.5703125" style="6" customWidth="1"/>
    <col min="10036" max="10036" width="15.5703125" style="6" customWidth="1"/>
    <col min="10037" max="10037" width="9.140625" style="6"/>
    <col min="10038" max="10038" width="15.140625" style="6" customWidth="1"/>
    <col min="10039" max="10240" width="9.140625" style="6"/>
    <col min="10241" max="10241" width="26.5703125" style="6" customWidth="1"/>
    <col min="10242" max="10254" width="0" style="6" hidden="1" customWidth="1"/>
    <col min="10255" max="10255" width="1.7109375" style="6" customWidth="1"/>
    <col min="10256" max="10256" width="17.42578125" style="6" customWidth="1"/>
    <col min="10257" max="10257" width="1.140625" style="6" customWidth="1"/>
    <col min="10258" max="10270" width="0" style="6" hidden="1" customWidth="1"/>
    <col min="10271" max="10271" width="19.85546875" style="6" customWidth="1"/>
    <col min="10272" max="10272" width="0" style="6" hidden="1" customWidth="1"/>
    <col min="10273" max="10273" width="2.85546875" style="6" customWidth="1"/>
    <col min="10274" max="10274" width="15.5703125" style="6" customWidth="1"/>
    <col min="10275" max="10275" width="2" style="6" customWidth="1"/>
    <col min="10276" max="10276" width="15.5703125" style="6" customWidth="1"/>
    <col min="10277" max="10277" width="1.7109375" style="6" customWidth="1"/>
    <col min="10278" max="10278" width="15.5703125" style="6" customWidth="1"/>
    <col min="10279" max="10279" width="1.5703125" style="6" customWidth="1"/>
    <col min="10280" max="10280" width="15.5703125" style="6" customWidth="1"/>
    <col min="10281" max="10281" width="1.42578125" style="6" customWidth="1"/>
    <col min="10282" max="10282" width="15.5703125" style="6" customWidth="1"/>
    <col min="10283" max="10283" width="1.85546875" style="6" customWidth="1"/>
    <col min="10284" max="10284" width="15.5703125" style="6" customWidth="1"/>
    <col min="10285" max="10285" width="1.28515625" style="6" customWidth="1"/>
    <col min="10286" max="10286" width="15.85546875" style="6" customWidth="1"/>
    <col min="10287" max="10287" width="1.5703125" style="6" customWidth="1"/>
    <col min="10288" max="10288" width="15.5703125" style="6" customWidth="1"/>
    <col min="10289" max="10289" width="1.85546875" style="6" customWidth="1"/>
    <col min="10290" max="10290" width="15.5703125" style="6" customWidth="1"/>
    <col min="10291" max="10291" width="1.5703125" style="6" customWidth="1"/>
    <col min="10292" max="10292" width="15.5703125" style="6" customWidth="1"/>
    <col min="10293" max="10293" width="9.140625" style="6"/>
    <col min="10294" max="10294" width="15.140625" style="6" customWidth="1"/>
    <col min="10295" max="10496" width="9.140625" style="6"/>
    <col min="10497" max="10497" width="26.5703125" style="6" customWidth="1"/>
    <col min="10498" max="10510" width="0" style="6" hidden="1" customWidth="1"/>
    <col min="10511" max="10511" width="1.7109375" style="6" customWidth="1"/>
    <col min="10512" max="10512" width="17.42578125" style="6" customWidth="1"/>
    <col min="10513" max="10513" width="1.140625" style="6" customWidth="1"/>
    <col min="10514" max="10526" width="0" style="6" hidden="1" customWidth="1"/>
    <col min="10527" max="10527" width="19.85546875" style="6" customWidth="1"/>
    <col min="10528" max="10528" width="0" style="6" hidden="1" customWidth="1"/>
    <col min="10529" max="10529" width="2.85546875" style="6" customWidth="1"/>
    <col min="10530" max="10530" width="15.5703125" style="6" customWidth="1"/>
    <col min="10531" max="10531" width="2" style="6" customWidth="1"/>
    <col min="10532" max="10532" width="15.5703125" style="6" customWidth="1"/>
    <col min="10533" max="10533" width="1.7109375" style="6" customWidth="1"/>
    <col min="10534" max="10534" width="15.5703125" style="6" customWidth="1"/>
    <col min="10535" max="10535" width="1.5703125" style="6" customWidth="1"/>
    <col min="10536" max="10536" width="15.5703125" style="6" customWidth="1"/>
    <col min="10537" max="10537" width="1.42578125" style="6" customWidth="1"/>
    <col min="10538" max="10538" width="15.5703125" style="6" customWidth="1"/>
    <col min="10539" max="10539" width="1.85546875" style="6" customWidth="1"/>
    <col min="10540" max="10540" width="15.5703125" style="6" customWidth="1"/>
    <col min="10541" max="10541" width="1.28515625" style="6" customWidth="1"/>
    <col min="10542" max="10542" width="15.85546875" style="6" customWidth="1"/>
    <col min="10543" max="10543" width="1.5703125" style="6" customWidth="1"/>
    <col min="10544" max="10544" width="15.5703125" style="6" customWidth="1"/>
    <col min="10545" max="10545" width="1.85546875" style="6" customWidth="1"/>
    <col min="10546" max="10546" width="15.5703125" style="6" customWidth="1"/>
    <col min="10547" max="10547" width="1.5703125" style="6" customWidth="1"/>
    <col min="10548" max="10548" width="15.5703125" style="6" customWidth="1"/>
    <col min="10549" max="10549" width="9.140625" style="6"/>
    <col min="10550" max="10550" width="15.140625" style="6" customWidth="1"/>
    <col min="10551" max="10752" width="9.140625" style="6"/>
    <col min="10753" max="10753" width="26.5703125" style="6" customWidth="1"/>
    <col min="10754" max="10766" width="0" style="6" hidden="1" customWidth="1"/>
    <col min="10767" max="10767" width="1.7109375" style="6" customWidth="1"/>
    <col min="10768" max="10768" width="17.42578125" style="6" customWidth="1"/>
    <col min="10769" max="10769" width="1.140625" style="6" customWidth="1"/>
    <col min="10770" max="10782" width="0" style="6" hidden="1" customWidth="1"/>
    <col min="10783" max="10783" width="19.85546875" style="6" customWidth="1"/>
    <col min="10784" max="10784" width="0" style="6" hidden="1" customWidth="1"/>
    <col min="10785" max="10785" width="2.85546875" style="6" customWidth="1"/>
    <col min="10786" max="10786" width="15.5703125" style="6" customWidth="1"/>
    <col min="10787" max="10787" width="2" style="6" customWidth="1"/>
    <col min="10788" max="10788" width="15.5703125" style="6" customWidth="1"/>
    <col min="10789" max="10789" width="1.7109375" style="6" customWidth="1"/>
    <col min="10790" max="10790" width="15.5703125" style="6" customWidth="1"/>
    <col min="10791" max="10791" width="1.5703125" style="6" customWidth="1"/>
    <col min="10792" max="10792" width="15.5703125" style="6" customWidth="1"/>
    <col min="10793" max="10793" width="1.42578125" style="6" customWidth="1"/>
    <col min="10794" max="10794" width="15.5703125" style="6" customWidth="1"/>
    <col min="10795" max="10795" width="1.85546875" style="6" customWidth="1"/>
    <col min="10796" max="10796" width="15.5703125" style="6" customWidth="1"/>
    <col min="10797" max="10797" width="1.28515625" style="6" customWidth="1"/>
    <col min="10798" max="10798" width="15.85546875" style="6" customWidth="1"/>
    <col min="10799" max="10799" width="1.5703125" style="6" customWidth="1"/>
    <col min="10800" max="10800" width="15.5703125" style="6" customWidth="1"/>
    <col min="10801" max="10801" width="1.85546875" style="6" customWidth="1"/>
    <col min="10802" max="10802" width="15.5703125" style="6" customWidth="1"/>
    <col min="10803" max="10803" width="1.5703125" style="6" customWidth="1"/>
    <col min="10804" max="10804" width="15.5703125" style="6" customWidth="1"/>
    <col min="10805" max="10805" width="9.140625" style="6"/>
    <col min="10806" max="10806" width="15.140625" style="6" customWidth="1"/>
    <col min="10807" max="11008" width="9.140625" style="6"/>
    <col min="11009" max="11009" width="26.5703125" style="6" customWidth="1"/>
    <col min="11010" max="11022" width="0" style="6" hidden="1" customWidth="1"/>
    <col min="11023" max="11023" width="1.7109375" style="6" customWidth="1"/>
    <col min="11024" max="11024" width="17.42578125" style="6" customWidth="1"/>
    <col min="11025" max="11025" width="1.140625" style="6" customWidth="1"/>
    <col min="11026" max="11038" width="0" style="6" hidden="1" customWidth="1"/>
    <col min="11039" max="11039" width="19.85546875" style="6" customWidth="1"/>
    <col min="11040" max="11040" width="0" style="6" hidden="1" customWidth="1"/>
    <col min="11041" max="11041" width="2.85546875" style="6" customWidth="1"/>
    <col min="11042" max="11042" width="15.5703125" style="6" customWidth="1"/>
    <col min="11043" max="11043" width="2" style="6" customWidth="1"/>
    <col min="11044" max="11044" width="15.5703125" style="6" customWidth="1"/>
    <col min="11045" max="11045" width="1.7109375" style="6" customWidth="1"/>
    <col min="11046" max="11046" width="15.5703125" style="6" customWidth="1"/>
    <col min="11047" max="11047" width="1.5703125" style="6" customWidth="1"/>
    <col min="11048" max="11048" width="15.5703125" style="6" customWidth="1"/>
    <col min="11049" max="11049" width="1.42578125" style="6" customWidth="1"/>
    <col min="11050" max="11050" width="15.5703125" style="6" customWidth="1"/>
    <col min="11051" max="11051" width="1.85546875" style="6" customWidth="1"/>
    <col min="11052" max="11052" width="15.5703125" style="6" customWidth="1"/>
    <col min="11053" max="11053" width="1.28515625" style="6" customWidth="1"/>
    <col min="11054" max="11054" width="15.85546875" style="6" customWidth="1"/>
    <col min="11055" max="11055" width="1.5703125" style="6" customWidth="1"/>
    <col min="11056" max="11056" width="15.5703125" style="6" customWidth="1"/>
    <col min="11057" max="11057" width="1.85546875" style="6" customWidth="1"/>
    <col min="11058" max="11058" width="15.5703125" style="6" customWidth="1"/>
    <col min="11059" max="11059" width="1.5703125" style="6" customWidth="1"/>
    <col min="11060" max="11060" width="15.5703125" style="6" customWidth="1"/>
    <col min="11061" max="11061" width="9.140625" style="6"/>
    <col min="11062" max="11062" width="15.140625" style="6" customWidth="1"/>
    <col min="11063" max="11264" width="9.140625" style="6"/>
    <col min="11265" max="11265" width="26.5703125" style="6" customWidth="1"/>
    <col min="11266" max="11278" width="0" style="6" hidden="1" customWidth="1"/>
    <col min="11279" max="11279" width="1.7109375" style="6" customWidth="1"/>
    <col min="11280" max="11280" width="17.42578125" style="6" customWidth="1"/>
    <col min="11281" max="11281" width="1.140625" style="6" customWidth="1"/>
    <col min="11282" max="11294" width="0" style="6" hidden="1" customWidth="1"/>
    <col min="11295" max="11295" width="19.85546875" style="6" customWidth="1"/>
    <col min="11296" max="11296" width="0" style="6" hidden="1" customWidth="1"/>
    <col min="11297" max="11297" width="2.85546875" style="6" customWidth="1"/>
    <col min="11298" max="11298" width="15.5703125" style="6" customWidth="1"/>
    <col min="11299" max="11299" width="2" style="6" customWidth="1"/>
    <col min="11300" max="11300" width="15.5703125" style="6" customWidth="1"/>
    <col min="11301" max="11301" width="1.7109375" style="6" customWidth="1"/>
    <col min="11302" max="11302" width="15.5703125" style="6" customWidth="1"/>
    <col min="11303" max="11303" width="1.5703125" style="6" customWidth="1"/>
    <col min="11304" max="11304" width="15.5703125" style="6" customWidth="1"/>
    <col min="11305" max="11305" width="1.42578125" style="6" customWidth="1"/>
    <col min="11306" max="11306" width="15.5703125" style="6" customWidth="1"/>
    <col min="11307" max="11307" width="1.85546875" style="6" customWidth="1"/>
    <col min="11308" max="11308" width="15.5703125" style="6" customWidth="1"/>
    <col min="11309" max="11309" width="1.28515625" style="6" customWidth="1"/>
    <col min="11310" max="11310" width="15.85546875" style="6" customWidth="1"/>
    <col min="11311" max="11311" width="1.5703125" style="6" customWidth="1"/>
    <col min="11312" max="11312" width="15.5703125" style="6" customWidth="1"/>
    <col min="11313" max="11313" width="1.85546875" style="6" customWidth="1"/>
    <col min="11314" max="11314" width="15.5703125" style="6" customWidth="1"/>
    <col min="11315" max="11315" width="1.5703125" style="6" customWidth="1"/>
    <col min="11316" max="11316" width="15.5703125" style="6" customWidth="1"/>
    <col min="11317" max="11317" width="9.140625" style="6"/>
    <col min="11318" max="11318" width="15.140625" style="6" customWidth="1"/>
    <col min="11319" max="11520" width="9.140625" style="6"/>
    <col min="11521" max="11521" width="26.5703125" style="6" customWidth="1"/>
    <col min="11522" max="11534" width="0" style="6" hidden="1" customWidth="1"/>
    <col min="11535" max="11535" width="1.7109375" style="6" customWidth="1"/>
    <col min="11536" max="11536" width="17.42578125" style="6" customWidth="1"/>
    <col min="11537" max="11537" width="1.140625" style="6" customWidth="1"/>
    <col min="11538" max="11550" width="0" style="6" hidden="1" customWidth="1"/>
    <col min="11551" max="11551" width="19.85546875" style="6" customWidth="1"/>
    <col min="11552" max="11552" width="0" style="6" hidden="1" customWidth="1"/>
    <col min="11553" max="11553" width="2.85546875" style="6" customWidth="1"/>
    <col min="11554" max="11554" width="15.5703125" style="6" customWidth="1"/>
    <col min="11555" max="11555" width="2" style="6" customWidth="1"/>
    <col min="11556" max="11556" width="15.5703125" style="6" customWidth="1"/>
    <col min="11557" max="11557" width="1.7109375" style="6" customWidth="1"/>
    <col min="11558" max="11558" width="15.5703125" style="6" customWidth="1"/>
    <col min="11559" max="11559" width="1.5703125" style="6" customWidth="1"/>
    <col min="11560" max="11560" width="15.5703125" style="6" customWidth="1"/>
    <col min="11561" max="11561" width="1.42578125" style="6" customWidth="1"/>
    <col min="11562" max="11562" width="15.5703125" style="6" customWidth="1"/>
    <col min="11563" max="11563" width="1.85546875" style="6" customWidth="1"/>
    <col min="11564" max="11564" width="15.5703125" style="6" customWidth="1"/>
    <col min="11565" max="11565" width="1.28515625" style="6" customWidth="1"/>
    <col min="11566" max="11566" width="15.85546875" style="6" customWidth="1"/>
    <col min="11567" max="11567" width="1.5703125" style="6" customWidth="1"/>
    <col min="11568" max="11568" width="15.5703125" style="6" customWidth="1"/>
    <col min="11569" max="11569" width="1.85546875" style="6" customWidth="1"/>
    <col min="11570" max="11570" width="15.5703125" style="6" customWidth="1"/>
    <col min="11571" max="11571" width="1.5703125" style="6" customWidth="1"/>
    <col min="11572" max="11572" width="15.5703125" style="6" customWidth="1"/>
    <col min="11573" max="11573" width="9.140625" style="6"/>
    <col min="11574" max="11574" width="15.140625" style="6" customWidth="1"/>
    <col min="11575" max="11776" width="9.140625" style="6"/>
    <col min="11777" max="11777" width="26.5703125" style="6" customWidth="1"/>
    <col min="11778" max="11790" width="0" style="6" hidden="1" customWidth="1"/>
    <col min="11791" max="11791" width="1.7109375" style="6" customWidth="1"/>
    <col min="11792" max="11792" width="17.42578125" style="6" customWidth="1"/>
    <col min="11793" max="11793" width="1.140625" style="6" customWidth="1"/>
    <col min="11794" max="11806" width="0" style="6" hidden="1" customWidth="1"/>
    <col min="11807" max="11807" width="19.85546875" style="6" customWidth="1"/>
    <col min="11808" max="11808" width="0" style="6" hidden="1" customWidth="1"/>
    <col min="11809" max="11809" width="2.85546875" style="6" customWidth="1"/>
    <col min="11810" max="11810" width="15.5703125" style="6" customWidth="1"/>
    <col min="11811" max="11811" width="2" style="6" customWidth="1"/>
    <col min="11812" max="11812" width="15.5703125" style="6" customWidth="1"/>
    <col min="11813" max="11813" width="1.7109375" style="6" customWidth="1"/>
    <col min="11814" max="11814" width="15.5703125" style="6" customWidth="1"/>
    <col min="11815" max="11815" width="1.5703125" style="6" customWidth="1"/>
    <col min="11816" max="11816" width="15.5703125" style="6" customWidth="1"/>
    <col min="11817" max="11817" width="1.42578125" style="6" customWidth="1"/>
    <col min="11818" max="11818" width="15.5703125" style="6" customWidth="1"/>
    <col min="11819" max="11819" width="1.85546875" style="6" customWidth="1"/>
    <col min="11820" max="11820" width="15.5703125" style="6" customWidth="1"/>
    <col min="11821" max="11821" width="1.28515625" style="6" customWidth="1"/>
    <col min="11822" max="11822" width="15.85546875" style="6" customWidth="1"/>
    <col min="11823" max="11823" width="1.5703125" style="6" customWidth="1"/>
    <col min="11824" max="11824" width="15.5703125" style="6" customWidth="1"/>
    <col min="11825" max="11825" width="1.85546875" style="6" customWidth="1"/>
    <col min="11826" max="11826" width="15.5703125" style="6" customWidth="1"/>
    <col min="11827" max="11827" width="1.5703125" style="6" customWidth="1"/>
    <col min="11828" max="11828" width="15.5703125" style="6" customWidth="1"/>
    <col min="11829" max="11829" width="9.140625" style="6"/>
    <col min="11830" max="11830" width="15.140625" style="6" customWidth="1"/>
    <col min="11831" max="12032" width="9.140625" style="6"/>
    <col min="12033" max="12033" width="26.5703125" style="6" customWidth="1"/>
    <col min="12034" max="12046" width="0" style="6" hidden="1" customWidth="1"/>
    <col min="12047" max="12047" width="1.7109375" style="6" customWidth="1"/>
    <col min="12048" max="12048" width="17.42578125" style="6" customWidth="1"/>
    <col min="12049" max="12049" width="1.140625" style="6" customWidth="1"/>
    <col min="12050" max="12062" width="0" style="6" hidden="1" customWidth="1"/>
    <col min="12063" max="12063" width="19.85546875" style="6" customWidth="1"/>
    <col min="12064" max="12064" width="0" style="6" hidden="1" customWidth="1"/>
    <col min="12065" max="12065" width="2.85546875" style="6" customWidth="1"/>
    <col min="12066" max="12066" width="15.5703125" style="6" customWidth="1"/>
    <col min="12067" max="12067" width="2" style="6" customWidth="1"/>
    <col min="12068" max="12068" width="15.5703125" style="6" customWidth="1"/>
    <col min="12069" max="12069" width="1.7109375" style="6" customWidth="1"/>
    <col min="12070" max="12070" width="15.5703125" style="6" customWidth="1"/>
    <col min="12071" max="12071" width="1.5703125" style="6" customWidth="1"/>
    <col min="12072" max="12072" width="15.5703125" style="6" customWidth="1"/>
    <col min="12073" max="12073" width="1.42578125" style="6" customWidth="1"/>
    <col min="12074" max="12074" width="15.5703125" style="6" customWidth="1"/>
    <col min="12075" max="12075" width="1.85546875" style="6" customWidth="1"/>
    <col min="12076" max="12076" width="15.5703125" style="6" customWidth="1"/>
    <col min="12077" max="12077" width="1.28515625" style="6" customWidth="1"/>
    <col min="12078" max="12078" width="15.85546875" style="6" customWidth="1"/>
    <col min="12079" max="12079" width="1.5703125" style="6" customWidth="1"/>
    <col min="12080" max="12080" width="15.5703125" style="6" customWidth="1"/>
    <col min="12081" max="12081" width="1.85546875" style="6" customWidth="1"/>
    <col min="12082" max="12082" width="15.5703125" style="6" customWidth="1"/>
    <col min="12083" max="12083" width="1.5703125" style="6" customWidth="1"/>
    <col min="12084" max="12084" width="15.5703125" style="6" customWidth="1"/>
    <col min="12085" max="12085" width="9.140625" style="6"/>
    <col min="12086" max="12086" width="15.140625" style="6" customWidth="1"/>
    <col min="12087" max="12288" width="9.140625" style="6"/>
    <col min="12289" max="12289" width="26.5703125" style="6" customWidth="1"/>
    <col min="12290" max="12302" width="0" style="6" hidden="1" customWidth="1"/>
    <col min="12303" max="12303" width="1.7109375" style="6" customWidth="1"/>
    <col min="12304" max="12304" width="17.42578125" style="6" customWidth="1"/>
    <col min="12305" max="12305" width="1.140625" style="6" customWidth="1"/>
    <col min="12306" max="12318" width="0" style="6" hidden="1" customWidth="1"/>
    <col min="12319" max="12319" width="19.85546875" style="6" customWidth="1"/>
    <col min="12320" max="12320" width="0" style="6" hidden="1" customWidth="1"/>
    <col min="12321" max="12321" width="2.85546875" style="6" customWidth="1"/>
    <col min="12322" max="12322" width="15.5703125" style="6" customWidth="1"/>
    <col min="12323" max="12323" width="2" style="6" customWidth="1"/>
    <col min="12324" max="12324" width="15.5703125" style="6" customWidth="1"/>
    <col min="12325" max="12325" width="1.7109375" style="6" customWidth="1"/>
    <col min="12326" max="12326" width="15.5703125" style="6" customWidth="1"/>
    <col min="12327" max="12327" width="1.5703125" style="6" customWidth="1"/>
    <col min="12328" max="12328" width="15.5703125" style="6" customWidth="1"/>
    <col min="12329" max="12329" width="1.42578125" style="6" customWidth="1"/>
    <col min="12330" max="12330" width="15.5703125" style="6" customWidth="1"/>
    <col min="12331" max="12331" width="1.85546875" style="6" customWidth="1"/>
    <col min="12332" max="12332" width="15.5703125" style="6" customWidth="1"/>
    <col min="12333" max="12333" width="1.28515625" style="6" customWidth="1"/>
    <col min="12334" max="12334" width="15.85546875" style="6" customWidth="1"/>
    <col min="12335" max="12335" width="1.5703125" style="6" customWidth="1"/>
    <col min="12336" max="12336" width="15.5703125" style="6" customWidth="1"/>
    <col min="12337" max="12337" width="1.85546875" style="6" customWidth="1"/>
    <col min="12338" max="12338" width="15.5703125" style="6" customWidth="1"/>
    <col min="12339" max="12339" width="1.5703125" style="6" customWidth="1"/>
    <col min="12340" max="12340" width="15.5703125" style="6" customWidth="1"/>
    <col min="12341" max="12341" width="9.140625" style="6"/>
    <col min="12342" max="12342" width="15.140625" style="6" customWidth="1"/>
    <col min="12343" max="12544" width="9.140625" style="6"/>
    <col min="12545" max="12545" width="26.5703125" style="6" customWidth="1"/>
    <col min="12546" max="12558" width="0" style="6" hidden="1" customWidth="1"/>
    <col min="12559" max="12559" width="1.7109375" style="6" customWidth="1"/>
    <col min="12560" max="12560" width="17.42578125" style="6" customWidth="1"/>
    <col min="12561" max="12561" width="1.140625" style="6" customWidth="1"/>
    <col min="12562" max="12574" width="0" style="6" hidden="1" customWidth="1"/>
    <col min="12575" max="12575" width="19.85546875" style="6" customWidth="1"/>
    <col min="12576" max="12576" width="0" style="6" hidden="1" customWidth="1"/>
    <col min="12577" max="12577" width="2.85546875" style="6" customWidth="1"/>
    <col min="12578" max="12578" width="15.5703125" style="6" customWidth="1"/>
    <col min="12579" max="12579" width="2" style="6" customWidth="1"/>
    <col min="12580" max="12580" width="15.5703125" style="6" customWidth="1"/>
    <col min="12581" max="12581" width="1.7109375" style="6" customWidth="1"/>
    <col min="12582" max="12582" width="15.5703125" style="6" customWidth="1"/>
    <col min="12583" max="12583" width="1.5703125" style="6" customWidth="1"/>
    <col min="12584" max="12584" width="15.5703125" style="6" customWidth="1"/>
    <col min="12585" max="12585" width="1.42578125" style="6" customWidth="1"/>
    <col min="12586" max="12586" width="15.5703125" style="6" customWidth="1"/>
    <col min="12587" max="12587" width="1.85546875" style="6" customWidth="1"/>
    <col min="12588" max="12588" width="15.5703125" style="6" customWidth="1"/>
    <col min="12589" max="12589" width="1.28515625" style="6" customWidth="1"/>
    <col min="12590" max="12590" width="15.85546875" style="6" customWidth="1"/>
    <col min="12591" max="12591" width="1.5703125" style="6" customWidth="1"/>
    <col min="12592" max="12592" width="15.5703125" style="6" customWidth="1"/>
    <col min="12593" max="12593" width="1.85546875" style="6" customWidth="1"/>
    <col min="12594" max="12594" width="15.5703125" style="6" customWidth="1"/>
    <col min="12595" max="12595" width="1.5703125" style="6" customWidth="1"/>
    <col min="12596" max="12596" width="15.5703125" style="6" customWidth="1"/>
    <col min="12597" max="12597" width="9.140625" style="6"/>
    <col min="12598" max="12598" width="15.140625" style="6" customWidth="1"/>
    <col min="12599" max="12800" width="9.140625" style="6"/>
    <col min="12801" max="12801" width="26.5703125" style="6" customWidth="1"/>
    <col min="12802" max="12814" width="0" style="6" hidden="1" customWidth="1"/>
    <col min="12815" max="12815" width="1.7109375" style="6" customWidth="1"/>
    <col min="12816" max="12816" width="17.42578125" style="6" customWidth="1"/>
    <col min="12817" max="12817" width="1.140625" style="6" customWidth="1"/>
    <col min="12818" max="12830" width="0" style="6" hidden="1" customWidth="1"/>
    <col min="12831" max="12831" width="19.85546875" style="6" customWidth="1"/>
    <col min="12832" max="12832" width="0" style="6" hidden="1" customWidth="1"/>
    <col min="12833" max="12833" width="2.85546875" style="6" customWidth="1"/>
    <col min="12834" max="12834" width="15.5703125" style="6" customWidth="1"/>
    <col min="12835" max="12835" width="2" style="6" customWidth="1"/>
    <col min="12836" max="12836" width="15.5703125" style="6" customWidth="1"/>
    <col min="12837" max="12837" width="1.7109375" style="6" customWidth="1"/>
    <col min="12838" max="12838" width="15.5703125" style="6" customWidth="1"/>
    <col min="12839" max="12839" width="1.5703125" style="6" customWidth="1"/>
    <col min="12840" max="12840" width="15.5703125" style="6" customWidth="1"/>
    <col min="12841" max="12841" width="1.42578125" style="6" customWidth="1"/>
    <col min="12842" max="12842" width="15.5703125" style="6" customWidth="1"/>
    <col min="12843" max="12843" width="1.85546875" style="6" customWidth="1"/>
    <col min="12844" max="12844" width="15.5703125" style="6" customWidth="1"/>
    <col min="12845" max="12845" width="1.28515625" style="6" customWidth="1"/>
    <col min="12846" max="12846" width="15.85546875" style="6" customWidth="1"/>
    <col min="12847" max="12847" width="1.5703125" style="6" customWidth="1"/>
    <col min="12848" max="12848" width="15.5703125" style="6" customWidth="1"/>
    <col min="12849" max="12849" width="1.85546875" style="6" customWidth="1"/>
    <col min="12850" max="12850" width="15.5703125" style="6" customWidth="1"/>
    <col min="12851" max="12851" width="1.5703125" style="6" customWidth="1"/>
    <col min="12852" max="12852" width="15.5703125" style="6" customWidth="1"/>
    <col min="12853" max="12853" width="9.140625" style="6"/>
    <col min="12854" max="12854" width="15.140625" style="6" customWidth="1"/>
    <col min="12855" max="13056" width="9.140625" style="6"/>
    <col min="13057" max="13057" width="26.5703125" style="6" customWidth="1"/>
    <col min="13058" max="13070" width="0" style="6" hidden="1" customWidth="1"/>
    <col min="13071" max="13071" width="1.7109375" style="6" customWidth="1"/>
    <col min="13072" max="13072" width="17.42578125" style="6" customWidth="1"/>
    <col min="13073" max="13073" width="1.140625" style="6" customWidth="1"/>
    <col min="13074" max="13086" width="0" style="6" hidden="1" customWidth="1"/>
    <col min="13087" max="13087" width="19.85546875" style="6" customWidth="1"/>
    <col min="13088" max="13088" width="0" style="6" hidden="1" customWidth="1"/>
    <col min="13089" max="13089" width="2.85546875" style="6" customWidth="1"/>
    <col min="13090" max="13090" width="15.5703125" style="6" customWidth="1"/>
    <col min="13091" max="13091" width="2" style="6" customWidth="1"/>
    <col min="13092" max="13092" width="15.5703125" style="6" customWidth="1"/>
    <col min="13093" max="13093" width="1.7109375" style="6" customWidth="1"/>
    <col min="13094" max="13094" width="15.5703125" style="6" customWidth="1"/>
    <col min="13095" max="13095" width="1.5703125" style="6" customWidth="1"/>
    <col min="13096" max="13096" width="15.5703125" style="6" customWidth="1"/>
    <col min="13097" max="13097" width="1.42578125" style="6" customWidth="1"/>
    <col min="13098" max="13098" width="15.5703125" style="6" customWidth="1"/>
    <col min="13099" max="13099" width="1.85546875" style="6" customWidth="1"/>
    <col min="13100" max="13100" width="15.5703125" style="6" customWidth="1"/>
    <col min="13101" max="13101" width="1.28515625" style="6" customWidth="1"/>
    <col min="13102" max="13102" width="15.85546875" style="6" customWidth="1"/>
    <col min="13103" max="13103" width="1.5703125" style="6" customWidth="1"/>
    <col min="13104" max="13104" width="15.5703125" style="6" customWidth="1"/>
    <col min="13105" max="13105" width="1.85546875" style="6" customWidth="1"/>
    <col min="13106" max="13106" width="15.5703125" style="6" customWidth="1"/>
    <col min="13107" max="13107" width="1.5703125" style="6" customWidth="1"/>
    <col min="13108" max="13108" width="15.5703125" style="6" customWidth="1"/>
    <col min="13109" max="13109" width="9.140625" style="6"/>
    <col min="13110" max="13110" width="15.140625" style="6" customWidth="1"/>
    <col min="13111" max="13312" width="9.140625" style="6"/>
    <col min="13313" max="13313" width="26.5703125" style="6" customWidth="1"/>
    <col min="13314" max="13326" width="0" style="6" hidden="1" customWidth="1"/>
    <col min="13327" max="13327" width="1.7109375" style="6" customWidth="1"/>
    <col min="13328" max="13328" width="17.42578125" style="6" customWidth="1"/>
    <col min="13329" max="13329" width="1.140625" style="6" customWidth="1"/>
    <col min="13330" max="13342" width="0" style="6" hidden="1" customWidth="1"/>
    <col min="13343" max="13343" width="19.85546875" style="6" customWidth="1"/>
    <col min="13344" max="13344" width="0" style="6" hidden="1" customWidth="1"/>
    <col min="13345" max="13345" width="2.85546875" style="6" customWidth="1"/>
    <col min="13346" max="13346" width="15.5703125" style="6" customWidth="1"/>
    <col min="13347" max="13347" width="2" style="6" customWidth="1"/>
    <col min="13348" max="13348" width="15.5703125" style="6" customWidth="1"/>
    <col min="13349" max="13349" width="1.7109375" style="6" customWidth="1"/>
    <col min="13350" max="13350" width="15.5703125" style="6" customWidth="1"/>
    <col min="13351" max="13351" width="1.5703125" style="6" customWidth="1"/>
    <col min="13352" max="13352" width="15.5703125" style="6" customWidth="1"/>
    <col min="13353" max="13353" width="1.42578125" style="6" customWidth="1"/>
    <col min="13354" max="13354" width="15.5703125" style="6" customWidth="1"/>
    <col min="13355" max="13355" width="1.85546875" style="6" customWidth="1"/>
    <col min="13356" max="13356" width="15.5703125" style="6" customWidth="1"/>
    <col min="13357" max="13357" width="1.28515625" style="6" customWidth="1"/>
    <col min="13358" max="13358" width="15.85546875" style="6" customWidth="1"/>
    <col min="13359" max="13359" width="1.5703125" style="6" customWidth="1"/>
    <col min="13360" max="13360" width="15.5703125" style="6" customWidth="1"/>
    <col min="13361" max="13361" width="1.85546875" style="6" customWidth="1"/>
    <col min="13362" max="13362" width="15.5703125" style="6" customWidth="1"/>
    <col min="13363" max="13363" width="1.5703125" style="6" customWidth="1"/>
    <col min="13364" max="13364" width="15.5703125" style="6" customWidth="1"/>
    <col min="13365" max="13365" width="9.140625" style="6"/>
    <col min="13366" max="13366" width="15.140625" style="6" customWidth="1"/>
    <col min="13367" max="13568" width="9.140625" style="6"/>
    <col min="13569" max="13569" width="26.5703125" style="6" customWidth="1"/>
    <col min="13570" max="13582" width="0" style="6" hidden="1" customWidth="1"/>
    <col min="13583" max="13583" width="1.7109375" style="6" customWidth="1"/>
    <col min="13584" max="13584" width="17.42578125" style="6" customWidth="1"/>
    <col min="13585" max="13585" width="1.140625" style="6" customWidth="1"/>
    <col min="13586" max="13598" width="0" style="6" hidden="1" customWidth="1"/>
    <col min="13599" max="13599" width="19.85546875" style="6" customWidth="1"/>
    <col min="13600" max="13600" width="0" style="6" hidden="1" customWidth="1"/>
    <col min="13601" max="13601" width="2.85546875" style="6" customWidth="1"/>
    <col min="13602" max="13602" width="15.5703125" style="6" customWidth="1"/>
    <col min="13603" max="13603" width="2" style="6" customWidth="1"/>
    <col min="13604" max="13604" width="15.5703125" style="6" customWidth="1"/>
    <col min="13605" max="13605" width="1.7109375" style="6" customWidth="1"/>
    <col min="13606" max="13606" width="15.5703125" style="6" customWidth="1"/>
    <col min="13607" max="13607" width="1.5703125" style="6" customWidth="1"/>
    <col min="13608" max="13608" width="15.5703125" style="6" customWidth="1"/>
    <col min="13609" max="13609" width="1.42578125" style="6" customWidth="1"/>
    <col min="13610" max="13610" width="15.5703125" style="6" customWidth="1"/>
    <col min="13611" max="13611" width="1.85546875" style="6" customWidth="1"/>
    <col min="13612" max="13612" width="15.5703125" style="6" customWidth="1"/>
    <col min="13613" max="13613" width="1.28515625" style="6" customWidth="1"/>
    <col min="13614" max="13614" width="15.85546875" style="6" customWidth="1"/>
    <col min="13615" max="13615" width="1.5703125" style="6" customWidth="1"/>
    <col min="13616" max="13616" width="15.5703125" style="6" customWidth="1"/>
    <col min="13617" max="13617" width="1.85546875" style="6" customWidth="1"/>
    <col min="13618" max="13618" width="15.5703125" style="6" customWidth="1"/>
    <col min="13619" max="13619" width="1.5703125" style="6" customWidth="1"/>
    <col min="13620" max="13620" width="15.5703125" style="6" customWidth="1"/>
    <col min="13621" max="13621" width="9.140625" style="6"/>
    <col min="13622" max="13622" width="15.140625" style="6" customWidth="1"/>
    <col min="13623" max="13824" width="9.140625" style="6"/>
    <col min="13825" max="13825" width="26.5703125" style="6" customWidth="1"/>
    <col min="13826" max="13838" width="0" style="6" hidden="1" customWidth="1"/>
    <col min="13839" max="13839" width="1.7109375" style="6" customWidth="1"/>
    <col min="13840" max="13840" width="17.42578125" style="6" customWidth="1"/>
    <col min="13841" max="13841" width="1.140625" style="6" customWidth="1"/>
    <col min="13842" max="13854" width="0" style="6" hidden="1" customWidth="1"/>
    <col min="13855" max="13855" width="19.85546875" style="6" customWidth="1"/>
    <col min="13856" max="13856" width="0" style="6" hidden="1" customWidth="1"/>
    <col min="13857" max="13857" width="2.85546875" style="6" customWidth="1"/>
    <col min="13858" max="13858" width="15.5703125" style="6" customWidth="1"/>
    <col min="13859" max="13859" width="2" style="6" customWidth="1"/>
    <col min="13860" max="13860" width="15.5703125" style="6" customWidth="1"/>
    <col min="13861" max="13861" width="1.7109375" style="6" customWidth="1"/>
    <col min="13862" max="13862" width="15.5703125" style="6" customWidth="1"/>
    <col min="13863" max="13863" width="1.5703125" style="6" customWidth="1"/>
    <col min="13864" max="13864" width="15.5703125" style="6" customWidth="1"/>
    <col min="13865" max="13865" width="1.42578125" style="6" customWidth="1"/>
    <col min="13866" max="13866" width="15.5703125" style="6" customWidth="1"/>
    <col min="13867" max="13867" width="1.85546875" style="6" customWidth="1"/>
    <col min="13868" max="13868" width="15.5703125" style="6" customWidth="1"/>
    <col min="13869" max="13869" width="1.28515625" style="6" customWidth="1"/>
    <col min="13870" max="13870" width="15.85546875" style="6" customWidth="1"/>
    <col min="13871" max="13871" width="1.5703125" style="6" customWidth="1"/>
    <col min="13872" max="13872" width="15.5703125" style="6" customWidth="1"/>
    <col min="13873" max="13873" width="1.85546875" style="6" customWidth="1"/>
    <col min="13874" max="13874" width="15.5703125" style="6" customWidth="1"/>
    <col min="13875" max="13875" width="1.5703125" style="6" customWidth="1"/>
    <col min="13876" max="13876" width="15.5703125" style="6" customWidth="1"/>
    <col min="13877" max="13877" width="9.140625" style="6"/>
    <col min="13878" max="13878" width="15.140625" style="6" customWidth="1"/>
    <col min="13879" max="14080" width="9.140625" style="6"/>
    <col min="14081" max="14081" width="26.5703125" style="6" customWidth="1"/>
    <col min="14082" max="14094" width="0" style="6" hidden="1" customWidth="1"/>
    <col min="14095" max="14095" width="1.7109375" style="6" customWidth="1"/>
    <col min="14096" max="14096" width="17.42578125" style="6" customWidth="1"/>
    <col min="14097" max="14097" width="1.140625" style="6" customWidth="1"/>
    <col min="14098" max="14110" width="0" style="6" hidden="1" customWidth="1"/>
    <col min="14111" max="14111" width="19.85546875" style="6" customWidth="1"/>
    <col min="14112" max="14112" width="0" style="6" hidden="1" customWidth="1"/>
    <col min="14113" max="14113" width="2.85546875" style="6" customWidth="1"/>
    <col min="14114" max="14114" width="15.5703125" style="6" customWidth="1"/>
    <col min="14115" max="14115" width="2" style="6" customWidth="1"/>
    <col min="14116" max="14116" width="15.5703125" style="6" customWidth="1"/>
    <col min="14117" max="14117" width="1.7109375" style="6" customWidth="1"/>
    <col min="14118" max="14118" width="15.5703125" style="6" customWidth="1"/>
    <col min="14119" max="14119" width="1.5703125" style="6" customWidth="1"/>
    <col min="14120" max="14120" width="15.5703125" style="6" customWidth="1"/>
    <col min="14121" max="14121" width="1.42578125" style="6" customWidth="1"/>
    <col min="14122" max="14122" width="15.5703125" style="6" customWidth="1"/>
    <col min="14123" max="14123" width="1.85546875" style="6" customWidth="1"/>
    <col min="14124" max="14124" width="15.5703125" style="6" customWidth="1"/>
    <col min="14125" max="14125" width="1.28515625" style="6" customWidth="1"/>
    <col min="14126" max="14126" width="15.85546875" style="6" customWidth="1"/>
    <col min="14127" max="14127" width="1.5703125" style="6" customWidth="1"/>
    <col min="14128" max="14128" width="15.5703125" style="6" customWidth="1"/>
    <col min="14129" max="14129" width="1.85546875" style="6" customWidth="1"/>
    <col min="14130" max="14130" width="15.5703125" style="6" customWidth="1"/>
    <col min="14131" max="14131" width="1.5703125" style="6" customWidth="1"/>
    <col min="14132" max="14132" width="15.5703125" style="6" customWidth="1"/>
    <col min="14133" max="14133" width="9.140625" style="6"/>
    <col min="14134" max="14134" width="15.140625" style="6" customWidth="1"/>
    <col min="14135" max="14336" width="9.140625" style="6"/>
    <col min="14337" max="14337" width="26.5703125" style="6" customWidth="1"/>
    <col min="14338" max="14350" width="0" style="6" hidden="1" customWidth="1"/>
    <col min="14351" max="14351" width="1.7109375" style="6" customWidth="1"/>
    <col min="14352" max="14352" width="17.42578125" style="6" customWidth="1"/>
    <col min="14353" max="14353" width="1.140625" style="6" customWidth="1"/>
    <col min="14354" max="14366" width="0" style="6" hidden="1" customWidth="1"/>
    <col min="14367" max="14367" width="19.85546875" style="6" customWidth="1"/>
    <col min="14368" max="14368" width="0" style="6" hidden="1" customWidth="1"/>
    <col min="14369" max="14369" width="2.85546875" style="6" customWidth="1"/>
    <col min="14370" max="14370" width="15.5703125" style="6" customWidth="1"/>
    <col min="14371" max="14371" width="2" style="6" customWidth="1"/>
    <col min="14372" max="14372" width="15.5703125" style="6" customWidth="1"/>
    <col min="14373" max="14373" width="1.7109375" style="6" customWidth="1"/>
    <col min="14374" max="14374" width="15.5703125" style="6" customWidth="1"/>
    <col min="14375" max="14375" width="1.5703125" style="6" customWidth="1"/>
    <col min="14376" max="14376" width="15.5703125" style="6" customWidth="1"/>
    <col min="14377" max="14377" width="1.42578125" style="6" customWidth="1"/>
    <col min="14378" max="14378" width="15.5703125" style="6" customWidth="1"/>
    <col min="14379" max="14379" width="1.85546875" style="6" customWidth="1"/>
    <col min="14380" max="14380" width="15.5703125" style="6" customWidth="1"/>
    <col min="14381" max="14381" width="1.28515625" style="6" customWidth="1"/>
    <col min="14382" max="14382" width="15.85546875" style="6" customWidth="1"/>
    <col min="14383" max="14383" width="1.5703125" style="6" customWidth="1"/>
    <col min="14384" max="14384" width="15.5703125" style="6" customWidth="1"/>
    <col min="14385" max="14385" width="1.85546875" style="6" customWidth="1"/>
    <col min="14386" max="14386" width="15.5703125" style="6" customWidth="1"/>
    <col min="14387" max="14387" width="1.5703125" style="6" customWidth="1"/>
    <col min="14388" max="14388" width="15.5703125" style="6" customWidth="1"/>
    <col min="14389" max="14389" width="9.140625" style="6"/>
    <col min="14390" max="14390" width="15.140625" style="6" customWidth="1"/>
    <col min="14391" max="14592" width="9.140625" style="6"/>
    <col min="14593" max="14593" width="26.5703125" style="6" customWidth="1"/>
    <col min="14594" max="14606" width="0" style="6" hidden="1" customWidth="1"/>
    <col min="14607" max="14607" width="1.7109375" style="6" customWidth="1"/>
    <col min="14608" max="14608" width="17.42578125" style="6" customWidth="1"/>
    <col min="14609" max="14609" width="1.140625" style="6" customWidth="1"/>
    <col min="14610" max="14622" width="0" style="6" hidden="1" customWidth="1"/>
    <col min="14623" max="14623" width="19.85546875" style="6" customWidth="1"/>
    <col min="14624" max="14624" width="0" style="6" hidden="1" customWidth="1"/>
    <col min="14625" max="14625" width="2.85546875" style="6" customWidth="1"/>
    <col min="14626" max="14626" width="15.5703125" style="6" customWidth="1"/>
    <col min="14627" max="14627" width="2" style="6" customWidth="1"/>
    <col min="14628" max="14628" width="15.5703125" style="6" customWidth="1"/>
    <col min="14629" max="14629" width="1.7109375" style="6" customWidth="1"/>
    <col min="14630" max="14630" width="15.5703125" style="6" customWidth="1"/>
    <col min="14631" max="14631" width="1.5703125" style="6" customWidth="1"/>
    <col min="14632" max="14632" width="15.5703125" style="6" customWidth="1"/>
    <col min="14633" max="14633" width="1.42578125" style="6" customWidth="1"/>
    <col min="14634" max="14634" width="15.5703125" style="6" customWidth="1"/>
    <col min="14635" max="14635" width="1.85546875" style="6" customWidth="1"/>
    <col min="14636" max="14636" width="15.5703125" style="6" customWidth="1"/>
    <col min="14637" max="14637" width="1.28515625" style="6" customWidth="1"/>
    <col min="14638" max="14638" width="15.85546875" style="6" customWidth="1"/>
    <col min="14639" max="14639" width="1.5703125" style="6" customWidth="1"/>
    <col min="14640" max="14640" width="15.5703125" style="6" customWidth="1"/>
    <col min="14641" max="14641" width="1.85546875" style="6" customWidth="1"/>
    <col min="14642" max="14642" width="15.5703125" style="6" customWidth="1"/>
    <col min="14643" max="14643" width="1.5703125" style="6" customWidth="1"/>
    <col min="14644" max="14644" width="15.5703125" style="6" customWidth="1"/>
    <col min="14645" max="14645" width="9.140625" style="6"/>
    <col min="14646" max="14646" width="15.140625" style="6" customWidth="1"/>
    <col min="14647" max="14848" width="9.140625" style="6"/>
    <col min="14849" max="14849" width="26.5703125" style="6" customWidth="1"/>
    <col min="14850" max="14862" width="0" style="6" hidden="1" customWidth="1"/>
    <col min="14863" max="14863" width="1.7109375" style="6" customWidth="1"/>
    <col min="14864" max="14864" width="17.42578125" style="6" customWidth="1"/>
    <col min="14865" max="14865" width="1.140625" style="6" customWidth="1"/>
    <col min="14866" max="14878" width="0" style="6" hidden="1" customWidth="1"/>
    <col min="14879" max="14879" width="19.85546875" style="6" customWidth="1"/>
    <col min="14880" max="14880" width="0" style="6" hidden="1" customWidth="1"/>
    <col min="14881" max="14881" width="2.85546875" style="6" customWidth="1"/>
    <col min="14882" max="14882" width="15.5703125" style="6" customWidth="1"/>
    <col min="14883" max="14883" width="2" style="6" customWidth="1"/>
    <col min="14884" max="14884" width="15.5703125" style="6" customWidth="1"/>
    <col min="14885" max="14885" width="1.7109375" style="6" customWidth="1"/>
    <col min="14886" max="14886" width="15.5703125" style="6" customWidth="1"/>
    <col min="14887" max="14887" width="1.5703125" style="6" customWidth="1"/>
    <col min="14888" max="14888" width="15.5703125" style="6" customWidth="1"/>
    <col min="14889" max="14889" width="1.42578125" style="6" customWidth="1"/>
    <col min="14890" max="14890" width="15.5703125" style="6" customWidth="1"/>
    <col min="14891" max="14891" width="1.85546875" style="6" customWidth="1"/>
    <col min="14892" max="14892" width="15.5703125" style="6" customWidth="1"/>
    <col min="14893" max="14893" width="1.28515625" style="6" customWidth="1"/>
    <col min="14894" max="14894" width="15.85546875" style="6" customWidth="1"/>
    <col min="14895" max="14895" width="1.5703125" style="6" customWidth="1"/>
    <col min="14896" max="14896" width="15.5703125" style="6" customWidth="1"/>
    <col min="14897" max="14897" width="1.85546875" style="6" customWidth="1"/>
    <col min="14898" max="14898" width="15.5703125" style="6" customWidth="1"/>
    <col min="14899" max="14899" width="1.5703125" style="6" customWidth="1"/>
    <col min="14900" max="14900" width="15.5703125" style="6" customWidth="1"/>
    <col min="14901" max="14901" width="9.140625" style="6"/>
    <col min="14902" max="14902" width="15.140625" style="6" customWidth="1"/>
    <col min="14903" max="15104" width="9.140625" style="6"/>
    <col min="15105" max="15105" width="26.5703125" style="6" customWidth="1"/>
    <col min="15106" max="15118" width="0" style="6" hidden="1" customWidth="1"/>
    <col min="15119" max="15119" width="1.7109375" style="6" customWidth="1"/>
    <col min="15120" max="15120" width="17.42578125" style="6" customWidth="1"/>
    <col min="15121" max="15121" width="1.140625" style="6" customWidth="1"/>
    <col min="15122" max="15134" width="0" style="6" hidden="1" customWidth="1"/>
    <col min="15135" max="15135" width="19.85546875" style="6" customWidth="1"/>
    <col min="15136" max="15136" width="0" style="6" hidden="1" customWidth="1"/>
    <col min="15137" max="15137" width="2.85546875" style="6" customWidth="1"/>
    <col min="15138" max="15138" width="15.5703125" style="6" customWidth="1"/>
    <col min="15139" max="15139" width="2" style="6" customWidth="1"/>
    <col min="15140" max="15140" width="15.5703125" style="6" customWidth="1"/>
    <col min="15141" max="15141" width="1.7109375" style="6" customWidth="1"/>
    <col min="15142" max="15142" width="15.5703125" style="6" customWidth="1"/>
    <col min="15143" max="15143" width="1.5703125" style="6" customWidth="1"/>
    <col min="15144" max="15144" width="15.5703125" style="6" customWidth="1"/>
    <col min="15145" max="15145" width="1.42578125" style="6" customWidth="1"/>
    <col min="15146" max="15146" width="15.5703125" style="6" customWidth="1"/>
    <col min="15147" max="15147" width="1.85546875" style="6" customWidth="1"/>
    <col min="15148" max="15148" width="15.5703125" style="6" customWidth="1"/>
    <col min="15149" max="15149" width="1.28515625" style="6" customWidth="1"/>
    <col min="15150" max="15150" width="15.85546875" style="6" customWidth="1"/>
    <col min="15151" max="15151" width="1.5703125" style="6" customWidth="1"/>
    <col min="15152" max="15152" width="15.5703125" style="6" customWidth="1"/>
    <col min="15153" max="15153" width="1.85546875" style="6" customWidth="1"/>
    <col min="15154" max="15154" width="15.5703125" style="6" customWidth="1"/>
    <col min="15155" max="15155" width="1.5703125" style="6" customWidth="1"/>
    <col min="15156" max="15156" width="15.5703125" style="6" customWidth="1"/>
    <col min="15157" max="15157" width="9.140625" style="6"/>
    <col min="15158" max="15158" width="15.140625" style="6" customWidth="1"/>
    <col min="15159" max="15360" width="9.140625" style="6"/>
    <col min="15361" max="15361" width="26.5703125" style="6" customWidth="1"/>
    <col min="15362" max="15374" width="0" style="6" hidden="1" customWidth="1"/>
    <col min="15375" max="15375" width="1.7109375" style="6" customWidth="1"/>
    <col min="15376" max="15376" width="17.42578125" style="6" customWidth="1"/>
    <col min="15377" max="15377" width="1.140625" style="6" customWidth="1"/>
    <col min="15378" max="15390" width="0" style="6" hidden="1" customWidth="1"/>
    <col min="15391" max="15391" width="19.85546875" style="6" customWidth="1"/>
    <col min="15392" max="15392" width="0" style="6" hidden="1" customWidth="1"/>
    <col min="15393" max="15393" width="2.85546875" style="6" customWidth="1"/>
    <col min="15394" max="15394" width="15.5703125" style="6" customWidth="1"/>
    <col min="15395" max="15395" width="2" style="6" customWidth="1"/>
    <col min="15396" max="15396" width="15.5703125" style="6" customWidth="1"/>
    <col min="15397" max="15397" width="1.7109375" style="6" customWidth="1"/>
    <col min="15398" max="15398" width="15.5703125" style="6" customWidth="1"/>
    <col min="15399" max="15399" width="1.5703125" style="6" customWidth="1"/>
    <col min="15400" max="15400" width="15.5703125" style="6" customWidth="1"/>
    <col min="15401" max="15401" width="1.42578125" style="6" customWidth="1"/>
    <col min="15402" max="15402" width="15.5703125" style="6" customWidth="1"/>
    <col min="15403" max="15403" width="1.85546875" style="6" customWidth="1"/>
    <col min="15404" max="15404" width="15.5703125" style="6" customWidth="1"/>
    <col min="15405" max="15405" width="1.28515625" style="6" customWidth="1"/>
    <col min="15406" max="15406" width="15.85546875" style="6" customWidth="1"/>
    <col min="15407" max="15407" width="1.5703125" style="6" customWidth="1"/>
    <col min="15408" max="15408" width="15.5703125" style="6" customWidth="1"/>
    <col min="15409" max="15409" width="1.85546875" style="6" customWidth="1"/>
    <col min="15410" max="15410" width="15.5703125" style="6" customWidth="1"/>
    <col min="15411" max="15411" width="1.5703125" style="6" customWidth="1"/>
    <col min="15412" max="15412" width="15.5703125" style="6" customWidth="1"/>
    <col min="15413" max="15413" width="9.140625" style="6"/>
    <col min="15414" max="15414" width="15.140625" style="6" customWidth="1"/>
    <col min="15415" max="15616" width="9.140625" style="6"/>
    <col min="15617" max="15617" width="26.5703125" style="6" customWidth="1"/>
    <col min="15618" max="15630" width="0" style="6" hidden="1" customWidth="1"/>
    <col min="15631" max="15631" width="1.7109375" style="6" customWidth="1"/>
    <col min="15632" max="15632" width="17.42578125" style="6" customWidth="1"/>
    <col min="15633" max="15633" width="1.140625" style="6" customWidth="1"/>
    <col min="15634" max="15646" width="0" style="6" hidden="1" customWidth="1"/>
    <col min="15647" max="15647" width="19.85546875" style="6" customWidth="1"/>
    <col min="15648" max="15648" width="0" style="6" hidden="1" customWidth="1"/>
    <col min="15649" max="15649" width="2.85546875" style="6" customWidth="1"/>
    <col min="15650" max="15650" width="15.5703125" style="6" customWidth="1"/>
    <col min="15651" max="15651" width="2" style="6" customWidth="1"/>
    <col min="15652" max="15652" width="15.5703125" style="6" customWidth="1"/>
    <col min="15653" max="15653" width="1.7109375" style="6" customWidth="1"/>
    <col min="15654" max="15654" width="15.5703125" style="6" customWidth="1"/>
    <col min="15655" max="15655" width="1.5703125" style="6" customWidth="1"/>
    <col min="15656" max="15656" width="15.5703125" style="6" customWidth="1"/>
    <col min="15657" max="15657" width="1.42578125" style="6" customWidth="1"/>
    <col min="15658" max="15658" width="15.5703125" style="6" customWidth="1"/>
    <col min="15659" max="15659" width="1.85546875" style="6" customWidth="1"/>
    <col min="15660" max="15660" width="15.5703125" style="6" customWidth="1"/>
    <col min="15661" max="15661" width="1.28515625" style="6" customWidth="1"/>
    <col min="15662" max="15662" width="15.85546875" style="6" customWidth="1"/>
    <col min="15663" max="15663" width="1.5703125" style="6" customWidth="1"/>
    <col min="15664" max="15664" width="15.5703125" style="6" customWidth="1"/>
    <col min="15665" max="15665" width="1.85546875" style="6" customWidth="1"/>
    <col min="15666" max="15666" width="15.5703125" style="6" customWidth="1"/>
    <col min="15667" max="15667" width="1.5703125" style="6" customWidth="1"/>
    <col min="15668" max="15668" width="15.5703125" style="6" customWidth="1"/>
    <col min="15669" max="15669" width="9.140625" style="6"/>
    <col min="15670" max="15670" width="15.140625" style="6" customWidth="1"/>
    <col min="15671" max="15872" width="9.140625" style="6"/>
    <col min="15873" max="15873" width="26.5703125" style="6" customWidth="1"/>
    <col min="15874" max="15886" width="0" style="6" hidden="1" customWidth="1"/>
    <col min="15887" max="15887" width="1.7109375" style="6" customWidth="1"/>
    <col min="15888" max="15888" width="17.42578125" style="6" customWidth="1"/>
    <col min="15889" max="15889" width="1.140625" style="6" customWidth="1"/>
    <col min="15890" max="15902" width="0" style="6" hidden="1" customWidth="1"/>
    <col min="15903" max="15903" width="19.85546875" style="6" customWidth="1"/>
    <col min="15904" max="15904" width="0" style="6" hidden="1" customWidth="1"/>
    <col min="15905" max="15905" width="2.85546875" style="6" customWidth="1"/>
    <col min="15906" max="15906" width="15.5703125" style="6" customWidth="1"/>
    <col min="15907" max="15907" width="2" style="6" customWidth="1"/>
    <col min="15908" max="15908" width="15.5703125" style="6" customWidth="1"/>
    <col min="15909" max="15909" width="1.7109375" style="6" customWidth="1"/>
    <col min="15910" max="15910" width="15.5703125" style="6" customWidth="1"/>
    <col min="15911" max="15911" width="1.5703125" style="6" customWidth="1"/>
    <col min="15912" max="15912" width="15.5703125" style="6" customWidth="1"/>
    <col min="15913" max="15913" width="1.42578125" style="6" customWidth="1"/>
    <col min="15914" max="15914" width="15.5703125" style="6" customWidth="1"/>
    <col min="15915" max="15915" width="1.85546875" style="6" customWidth="1"/>
    <col min="15916" max="15916" width="15.5703125" style="6" customWidth="1"/>
    <col min="15917" max="15917" width="1.28515625" style="6" customWidth="1"/>
    <col min="15918" max="15918" width="15.85546875" style="6" customWidth="1"/>
    <col min="15919" max="15919" width="1.5703125" style="6" customWidth="1"/>
    <col min="15920" max="15920" width="15.5703125" style="6" customWidth="1"/>
    <col min="15921" max="15921" width="1.85546875" style="6" customWidth="1"/>
    <col min="15922" max="15922" width="15.5703125" style="6" customWidth="1"/>
    <col min="15923" max="15923" width="1.5703125" style="6" customWidth="1"/>
    <col min="15924" max="15924" width="15.5703125" style="6" customWidth="1"/>
    <col min="15925" max="15925" width="9.140625" style="6"/>
    <col min="15926" max="15926" width="15.140625" style="6" customWidth="1"/>
    <col min="15927" max="16128" width="9.140625" style="6"/>
    <col min="16129" max="16129" width="26.5703125" style="6" customWidth="1"/>
    <col min="16130" max="16142" width="0" style="6" hidden="1" customWidth="1"/>
    <col min="16143" max="16143" width="1.7109375" style="6" customWidth="1"/>
    <col min="16144" max="16144" width="17.42578125" style="6" customWidth="1"/>
    <col min="16145" max="16145" width="1.140625" style="6" customWidth="1"/>
    <col min="16146" max="16158" width="0" style="6" hidden="1" customWidth="1"/>
    <col min="16159" max="16159" width="19.85546875" style="6" customWidth="1"/>
    <col min="16160" max="16160" width="0" style="6" hidden="1" customWidth="1"/>
    <col min="16161" max="16161" width="2.85546875" style="6" customWidth="1"/>
    <col min="16162" max="16162" width="15.5703125" style="6" customWidth="1"/>
    <col min="16163" max="16163" width="2" style="6" customWidth="1"/>
    <col min="16164" max="16164" width="15.5703125" style="6" customWidth="1"/>
    <col min="16165" max="16165" width="1.7109375" style="6" customWidth="1"/>
    <col min="16166" max="16166" width="15.5703125" style="6" customWidth="1"/>
    <col min="16167" max="16167" width="1.5703125" style="6" customWidth="1"/>
    <col min="16168" max="16168" width="15.5703125" style="6" customWidth="1"/>
    <col min="16169" max="16169" width="1.42578125" style="6" customWidth="1"/>
    <col min="16170" max="16170" width="15.5703125" style="6" customWidth="1"/>
    <col min="16171" max="16171" width="1.85546875" style="6" customWidth="1"/>
    <col min="16172" max="16172" width="15.5703125" style="6" customWidth="1"/>
    <col min="16173" max="16173" width="1.28515625" style="6" customWidth="1"/>
    <col min="16174" max="16174" width="15.85546875" style="6" customWidth="1"/>
    <col min="16175" max="16175" width="1.5703125" style="6" customWidth="1"/>
    <col min="16176" max="16176" width="15.5703125" style="6" customWidth="1"/>
    <col min="16177" max="16177" width="1.85546875" style="6" customWidth="1"/>
    <col min="16178" max="16178" width="15.5703125" style="6" customWidth="1"/>
    <col min="16179" max="16179" width="1.5703125" style="6" customWidth="1"/>
    <col min="16180" max="16180" width="15.5703125" style="6" customWidth="1"/>
    <col min="16181" max="16181" width="9.140625" style="6"/>
    <col min="16182" max="16182" width="15.140625" style="6" customWidth="1"/>
    <col min="16183" max="16384" width="9.140625" style="6"/>
  </cols>
  <sheetData>
    <row r="1" spans="1:67" x14ac:dyDescent="0.25">
      <c r="A1" s="1" t="s">
        <v>0</v>
      </c>
      <c r="B1" s="2"/>
      <c r="D1" s="2"/>
      <c r="E1" s="2"/>
      <c r="F1" s="2"/>
      <c r="H1" s="2"/>
      <c r="I1" s="2"/>
      <c r="J1" s="2"/>
      <c r="K1" s="2"/>
      <c r="L1" s="2"/>
      <c r="N1" s="2"/>
    </row>
    <row r="2" spans="1:67" x14ac:dyDescent="0.25">
      <c r="A2" s="7" t="s">
        <v>1</v>
      </c>
    </row>
    <row r="3" spans="1:67" x14ac:dyDescent="0.25">
      <c r="A3" s="3" t="s">
        <v>2</v>
      </c>
    </row>
    <row r="4" spans="1:67" x14ac:dyDescent="0.25">
      <c r="A4" s="3" t="s">
        <v>3</v>
      </c>
    </row>
    <row r="5" spans="1:67" x14ac:dyDescent="0.25">
      <c r="A5" s="3" t="s">
        <v>4</v>
      </c>
    </row>
    <row r="6" spans="1:67" x14ac:dyDescent="0.25">
      <c r="A6" s="3" t="s">
        <v>5</v>
      </c>
    </row>
    <row r="7" spans="1:67" x14ac:dyDescent="0.25">
      <c r="A7" s="3" t="s">
        <v>6</v>
      </c>
    </row>
    <row r="8" spans="1:67" x14ac:dyDescent="0.25">
      <c r="A8" s="3"/>
    </row>
    <row r="9" spans="1:67" x14ac:dyDescent="0.25">
      <c r="A9" s="7" t="s">
        <v>7</v>
      </c>
    </row>
    <row r="10" spans="1:67" x14ac:dyDescent="0.25">
      <c r="A10" s="3" t="s">
        <v>2</v>
      </c>
    </row>
    <row r="11" spans="1:67" x14ac:dyDescent="0.25">
      <c r="A11" s="3" t="s">
        <v>3</v>
      </c>
    </row>
    <row r="12" spans="1:67" x14ac:dyDescent="0.25">
      <c r="A12" s="3" t="s">
        <v>4</v>
      </c>
    </row>
    <row r="13" spans="1:67" x14ac:dyDescent="0.25">
      <c r="A13" s="3" t="s">
        <v>5</v>
      </c>
    </row>
    <row r="14" spans="1:67" x14ac:dyDescent="0.25">
      <c r="A14" s="3" t="s">
        <v>6</v>
      </c>
    </row>
    <row r="15" spans="1:67" ht="15.75" thickBot="1" x14ac:dyDescent="0.3">
      <c r="A15" s="3"/>
    </row>
    <row r="16" spans="1:67" x14ac:dyDescent="0.25">
      <c r="A16" s="3"/>
      <c r="B16" s="8" t="s">
        <v>8</v>
      </c>
      <c r="C16" s="9"/>
      <c r="D16" s="10" t="s">
        <v>9</v>
      </c>
      <c r="E16" s="11" t="s">
        <v>10</v>
      </c>
      <c r="F16" s="12" t="s">
        <v>11</v>
      </c>
      <c r="G16" s="9"/>
      <c r="H16" s="8" t="s">
        <v>12</v>
      </c>
      <c r="I16" s="13"/>
      <c r="J16" s="10" t="s">
        <v>9</v>
      </c>
      <c r="K16" s="11" t="s">
        <v>10</v>
      </c>
      <c r="L16" s="11" t="s">
        <v>11</v>
      </c>
      <c r="M16" s="9"/>
      <c r="N16" s="12" t="s">
        <v>12</v>
      </c>
      <c r="P16" s="8" t="s">
        <v>8</v>
      </c>
      <c r="R16" s="14" t="s">
        <v>9</v>
      </c>
      <c r="S16" s="15" t="s">
        <v>10</v>
      </c>
      <c r="T16" s="16" t="s">
        <v>11</v>
      </c>
      <c r="U16" s="17" t="s">
        <v>13</v>
      </c>
      <c r="V16" s="14" t="s">
        <v>9</v>
      </c>
      <c r="W16" s="15" t="s">
        <v>10</v>
      </c>
      <c r="X16" s="15"/>
      <c r="Y16" s="16" t="s">
        <v>11</v>
      </c>
      <c r="Z16" s="17" t="s">
        <v>13</v>
      </c>
      <c r="AC16" s="14" t="s">
        <v>9</v>
      </c>
      <c r="AD16" s="15" t="s">
        <v>10</v>
      </c>
      <c r="AE16" s="16" t="s">
        <v>11</v>
      </c>
      <c r="AF16" s="17" t="s">
        <v>13</v>
      </c>
      <c r="AG16" s="18"/>
      <c r="AH16" s="8" t="s">
        <v>8</v>
      </c>
      <c r="AJ16" s="8" t="s">
        <v>8</v>
      </c>
      <c r="AL16" s="8" t="s">
        <v>8</v>
      </c>
      <c r="AN16" s="8" t="s">
        <v>8</v>
      </c>
      <c r="AO16" s="8"/>
      <c r="AP16" s="8" t="s">
        <v>8</v>
      </c>
      <c r="AR16" s="8" t="s">
        <v>8</v>
      </c>
      <c r="AT16" s="8" t="s">
        <v>8</v>
      </c>
      <c r="AV16" s="8" t="s">
        <v>8</v>
      </c>
      <c r="AX16" s="8" t="s">
        <v>8</v>
      </c>
      <c r="AZ16" s="8" t="s">
        <v>8</v>
      </c>
      <c r="BA16" s="5"/>
      <c r="BB16" s="8" t="s">
        <v>8</v>
      </c>
      <c r="BC16" s="5"/>
      <c r="BD16" s="8" t="s">
        <v>8</v>
      </c>
      <c r="BE16" s="5"/>
      <c r="BF16" s="8" t="s">
        <v>8</v>
      </c>
      <c r="BG16" s="8" t="s">
        <v>8</v>
      </c>
      <c r="BI16" s="8" t="s">
        <v>8</v>
      </c>
      <c r="BK16" s="8" t="s">
        <v>8</v>
      </c>
      <c r="BM16" s="8" t="s">
        <v>8</v>
      </c>
      <c r="BO16" s="8" t="s">
        <v>8</v>
      </c>
    </row>
    <row r="17" spans="1:69" ht="15.75" thickBot="1" x14ac:dyDescent="0.3">
      <c r="A17" s="3"/>
      <c r="B17" s="19" t="s">
        <v>14</v>
      </c>
      <c r="C17" s="9"/>
      <c r="D17" s="20" t="s">
        <v>15</v>
      </c>
      <c r="E17" s="21"/>
      <c r="F17" s="22" t="s">
        <v>16</v>
      </c>
      <c r="G17" s="9"/>
      <c r="H17" s="19"/>
      <c r="I17" s="13"/>
      <c r="J17" s="20" t="s">
        <v>17</v>
      </c>
      <c r="K17" s="21"/>
      <c r="L17" s="21" t="s">
        <v>16</v>
      </c>
      <c r="M17" s="9"/>
      <c r="N17" s="22"/>
      <c r="P17" s="19" t="s">
        <v>18</v>
      </c>
      <c r="R17" s="23" t="s">
        <v>19</v>
      </c>
      <c r="S17" s="24"/>
      <c r="T17" s="25" t="s">
        <v>20</v>
      </c>
      <c r="U17" s="26"/>
      <c r="V17" s="23" t="s">
        <v>21</v>
      </c>
      <c r="W17" s="24"/>
      <c r="X17" s="24"/>
      <c r="Y17" s="25" t="s">
        <v>21</v>
      </c>
      <c r="Z17" s="26"/>
      <c r="AC17" s="23" t="s">
        <v>22</v>
      </c>
      <c r="AD17" s="24"/>
      <c r="AE17" s="25" t="s">
        <v>23</v>
      </c>
      <c r="AF17" s="26"/>
      <c r="AG17" s="27"/>
      <c r="AH17" s="19" t="s">
        <v>24</v>
      </c>
      <c r="AJ17" s="19" t="s">
        <v>25</v>
      </c>
      <c r="AL17" s="19" t="s">
        <v>26</v>
      </c>
      <c r="AN17" s="19" t="s">
        <v>27</v>
      </c>
      <c r="AO17" s="19"/>
      <c r="AP17" s="19" t="s">
        <v>28</v>
      </c>
      <c r="AR17" s="19" t="s">
        <v>29</v>
      </c>
      <c r="AT17" s="19" t="s">
        <v>30</v>
      </c>
      <c r="AV17" s="19" t="s">
        <v>31</v>
      </c>
      <c r="AX17" s="19" t="s">
        <v>32</v>
      </c>
      <c r="AZ17" s="19" t="s">
        <v>33</v>
      </c>
      <c r="BA17" s="5"/>
      <c r="BB17" s="19" t="s">
        <v>25</v>
      </c>
      <c r="BC17" s="5"/>
      <c r="BD17" s="19" t="s">
        <v>26</v>
      </c>
      <c r="BE17" s="5"/>
      <c r="BF17" s="19" t="s">
        <v>27</v>
      </c>
      <c r="BG17" s="19" t="s">
        <v>28</v>
      </c>
      <c r="BI17" s="19" t="s">
        <v>29</v>
      </c>
      <c r="BK17" s="19" t="s">
        <v>30</v>
      </c>
      <c r="BM17" s="19" t="s">
        <v>31</v>
      </c>
      <c r="BO17" s="19" t="s">
        <v>32</v>
      </c>
    </row>
    <row r="18" spans="1:69" x14ac:dyDescent="0.25">
      <c r="A18" s="3"/>
      <c r="BA18" s="5"/>
      <c r="BB18" s="5"/>
      <c r="BC18" s="5"/>
      <c r="BD18" s="5"/>
      <c r="BE18" s="5"/>
      <c r="BF18" s="5"/>
      <c r="BG18" s="5"/>
      <c r="BI18" s="5"/>
      <c r="BK18" s="5"/>
      <c r="BM18" s="5"/>
      <c r="BO18" s="5"/>
    </row>
    <row r="19" spans="1:69" x14ac:dyDescent="0.25">
      <c r="A19" s="28" t="s">
        <v>1</v>
      </c>
      <c r="BA19" s="5"/>
      <c r="BB19" s="5"/>
      <c r="BC19" s="5"/>
      <c r="BD19" s="5"/>
      <c r="BE19" s="5"/>
      <c r="BF19" s="5"/>
      <c r="BG19" s="5"/>
      <c r="BI19" s="5"/>
      <c r="BK19" s="5"/>
      <c r="BM19" s="5"/>
      <c r="BO19" s="5"/>
    </row>
    <row r="20" spans="1:69" x14ac:dyDescent="0.25">
      <c r="A20" s="3"/>
      <c r="BA20" s="5"/>
      <c r="BB20" s="5"/>
      <c r="BC20" s="5"/>
      <c r="BD20" s="5"/>
      <c r="BE20" s="5"/>
      <c r="BF20" s="5"/>
      <c r="BG20" s="5"/>
      <c r="BI20" s="5"/>
      <c r="BK20" s="5"/>
      <c r="BM20" s="5"/>
      <c r="BO20" s="5"/>
    </row>
    <row r="21" spans="1:69" x14ac:dyDescent="0.25">
      <c r="A21" s="7"/>
      <c r="B21" s="29"/>
      <c r="D21" s="29"/>
      <c r="E21" s="29"/>
      <c r="F21" s="29"/>
      <c r="H21" s="29"/>
      <c r="I21" s="29"/>
      <c r="J21" s="29"/>
      <c r="K21" s="29"/>
      <c r="L21" s="29"/>
      <c r="N21" s="29"/>
      <c r="P21" s="29"/>
      <c r="Q21" s="3"/>
      <c r="R21" s="3"/>
      <c r="S21" s="3"/>
      <c r="T21" s="29"/>
      <c r="U21" s="3"/>
      <c r="V21" s="3"/>
      <c r="W21" s="3"/>
      <c r="X21" s="3"/>
      <c r="Y21" s="29"/>
      <c r="Z21" s="3"/>
      <c r="AA21" s="3"/>
      <c r="AB21" s="3"/>
      <c r="AC21" s="3"/>
      <c r="AD21" s="3"/>
      <c r="AE21" s="30"/>
      <c r="AF21" s="30"/>
      <c r="AG21" s="3"/>
      <c r="AH21" s="29"/>
      <c r="AI21" s="3"/>
      <c r="AJ21" s="29"/>
      <c r="AK21" s="3"/>
      <c r="AL21" s="29"/>
      <c r="AM21" s="3"/>
      <c r="AN21" s="29"/>
      <c r="AO21" s="29"/>
      <c r="AP21" s="29"/>
      <c r="AR21" s="29"/>
      <c r="AT21" s="29"/>
      <c r="AV21" s="29"/>
      <c r="AX21" s="29"/>
      <c r="AZ21" s="29"/>
      <c r="BA21" s="3"/>
      <c r="BB21" s="29"/>
      <c r="BC21" s="3"/>
      <c r="BD21" s="29"/>
      <c r="BE21" s="3"/>
      <c r="BF21" s="29"/>
      <c r="BG21" s="29"/>
      <c r="BI21" s="29"/>
      <c r="BK21" s="29"/>
      <c r="BM21" s="29"/>
      <c r="BO21" s="29"/>
    </row>
    <row r="22" spans="1:69" x14ac:dyDescent="0.25">
      <c r="A22" s="7"/>
      <c r="B22" s="29"/>
      <c r="D22" s="29"/>
      <c r="E22" s="29"/>
      <c r="F22" s="29"/>
      <c r="H22" s="29"/>
      <c r="I22" s="29"/>
      <c r="J22" s="29"/>
      <c r="K22" s="29"/>
      <c r="L22" s="29"/>
      <c r="N22" s="29"/>
      <c r="P22" s="29"/>
      <c r="Q22" s="3"/>
      <c r="R22" s="3"/>
      <c r="S22" s="3"/>
      <c r="T22" s="29"/>
      <c r="U22" s="3"/>
      <c r="V22" s="3"/>
      <c r="W22" s="3"/>
      <c r="X22" s="3"/>
      <c r="Y22" s="29"/>
      <c r="Z22" s="3"/>
      <c r="AA22" s="3"/>
      <c r="AB22" s="3"/>
      <c r="AC22" s="3"/>
      <c r="AD22" s="3"/>
      <c r="AE22" s="30"/>
      <c r="AF22" s="30"/>
      <c r="AG22" s="3"/>
      <c r="AH22" s="29"/>
      <c r="AI22" s="3"/>
      <c r="AJ22" s="29"/>
      <c r="AK22" s="3"/>
      <c r="AL22" s="29"/>
      <c r="AM22" s="3"/>
      <c r="AN22" s="29"/>
      <c r="AO22" s="29"/>
      <c r="AP22" s="29"/>
      <c r="AR22" s="29"/>
      <c r="AT22" s="29"/>
      <c r="AV22" s="29"/>
      <c r="AX22" s="29"/>
      <c r="AZ22" s="29"/>
      <c r="BA22" s="3"/>
      <c r="BB22" s="29"/>
      <c r="BC22" s="3"/>
      <c r="BD22" s="29"/>
      <c r="BE22" s="3"/>
      <c r="BF22" s="29"/>
      <c r="BG22" s="29"/>
      <c r="BI22" s="29"/>
      <c r="BK22" s="29"/>
      <c r="BM22" s="29"/>
      <c r="BO22" s="29"/>
    </row>
    <row r="23" spans="1:69" s="34" customFormat="1" x14ac:dyDescent="0.25">
      <c r="A23" s="7" t="s">
        <v>34</v>
      </c>
      <c r="B23" s="31">
        <v>878940</v>
      </c>
      <c r="C23" s="7"/>
      <c r="D23" s="31">
        <v>878940</v>
      </c>
      <c r="E23" s="31"/>
      <c r="F23" s="31">
        <v>878940</v>
      </c>
      <c r="G23" s="7"/>
      <c r="H23" s="31"/>
      <c r="I23" s="31"/>
      <c r="J23" s="31">
        <v>528972</v>
      </c>
      <c r="K23" s="31"/>
      <c r="L23" s="31">
        <v>878940</v>
      </c>
      <c r="M23" s="32"/>
      <c r="N23" s="31">
        <f>L23-F23</f>
        <v>0</v>
      </c>
      <c r="O23" s="7"/>
      <c r="P23" s="31">
        <v>867968</v>
      </c>
      <c r="Q23" s="7"/>
      <c r="R23" s="7"/>
      <c r="S23" s="7"/>
      <c r="T23" s="31">
        <v>854113</v>
      </c>
      <c r="U23" s="7">
        <f>T23-P23</f>
        <v>-13855</v>
      </c>
      <c r="V23" s="7"/>
      <c r="W23" s="7"/>
      <c r="X23" s="7"/>
      <c r="Y23" s="31">
        <v>854113</v>
      </c>
      <c r="Z23" s="7">
        <f>Y23-T23</f>
        <v>0</v>
      </c>
      <c r="AA23" s="7"/>
      <c r="AB23" s="7"/>
      <c r="AC23" s="7"/>
      <c r="AD23" s="7"/>
      <c r="AE23" s="33">
        <v>854113</v>
      </c>
      <c r="AF23" s="33"/>
      <c r="AG23" s="7"/>
      <c r="AH23" s="31">
        <f>AE36</f>
        <v>726186</v>
      </c>
      <c r="AI23" s="7"/>
      <c r="AJ23" s="31">
        <f>AH36</f>
        <v>731657.83697499707</v>
      </c>
      <c r="AK23" s="7"/>
      <c r="AL23" s="31">
        <f>AJ36</f>
        <v>1625413.4260998722</v>
      </c>
      <c r="AM23" s="7"/>
      <c r="AN23" s="31">
        <f>AL36</f>
        <v>586329.29167577624</v>
      </c>
      <c r="AO23" s="31"/>
      <c r="AP23" s="31">
        <f>AN36</f>
        <v>419736.5699761007</v>
      </c>
      <c r="AR23" s="31">
        <f>AP36</f>
        <v>353403.26451812126</v>
      </c>
      <c r="AT23" s="31">
        <f>AR36</f>
        <v>291997.80706338026</v>
      </c>
      <c r="AV23" s="31">
        <f>AT36</f>
        <v>410717.11932287924</v>
      </c>
      <c r="AX23" s="31">
        <f>AV36</f>
        <v>489291.8992448952</v>
      </c>
      <c r="AZ23" s="31">
        <f>AX36</f>
        <v>635508.81232701987</v>
      </c>
      <c r="BA23" s="7"/>
      <c r="BB23" s="31">
        <f>AZ36</f>
        <v>989486.61978348158</v>
      </c>
      <c r="BC23" s="7"/>
      <c r="BD23" s="31">
        <f>BB36</f>
        <v>989486.61978348158</v>
      </c>
      <c r="BE23" s="7"/>
      <c r="BF23" s="31">
        <f>BD36</f>
        <v>989486.61978348158</v>
      </c>
      <c r="BG23" s="31">
        <f>BF36</f>
        <v>989486.61978348158</v>
      </c>
      <c r="BI23" s="31">
        <f>BG36</f>
        <v>989486.61978348158</v>
      </c>
      <c r="BK23" s="31">
        <f>BI36</f>
        <v>989486.61978348158</v>
      </c>
      <c r="BM23" s="31">
        <f>BK36</f>
        <v>989486.61978348158</v>
      </c>
      <c r="BO23" s="31">
        <f>BM36</f>
        <v>989486.61978348158</v>
      </c>
    </row>
    <row r="24" spans="1:69" x14ac:dyDescent="0.25">
      <c r="A24" s="3"/>
      <c r="B24" s="29"/>
      <c r="D24" s="29"/>
      <c r="E24" s="29"/>
      <c r="F24" s="31">
        <v>779800</v>
      </c>
      <c r="H24" s="31"/>
      <c r="I24" s="31"/>
      <c r="J24" s="31">
        <v>779800</v>
      </c>
      <c r="K24" s="29"/>
      <c r="L24" s="31">
        <v>779800</v>
      </c>
      <c r="M24" s="32"/>
      <c r="N24" s="31">
        <f>L24-F24</f>
        <v>0</v>
      </c>
      <c r="P24" s="29"/>
      <c r="Q24" s="3"/>
      <c r="R24" s="3"/>
      <c r="S24" s="3"/>
      <c r="T24" s="29"/>
      <c r="U24" s="3"/>
      <c r="V24" s="3"/>
      <c r="W24" s="3"/>
      <c r="X24" s="3"/>
      <c r="Y24" s="29"/>
      <c r="Z24" s="3"/>
      <c r="AA24" s="3"/>
      <c r="AB24" s="3"/>
      <c r="AC24" s="3"/>
      <c r="AD24" s="3"/>
      <c r="AE24" s="30"/>
      <c r="AF24" s="30"/>
      <c r="AG24" s="3"/>
      <c r="AH24" s="29"/>
      <c r="AI24" s="3"/>
      <c r="AJ24" s="29"/>
      <c r="AK24" s="3"/>
      <c r="AL24" s="29"/>
      <c r="AM24" s="3"/>
      <c r="AN24" s="29"/>
      <c r="AO24" s="29"/>
      <c r="AP24" s="29"/>
      <c r="AR24" s="29"/>
      <c r="AT24" s="29"/>
      <c r="AV24" s="29"/>
      <c r="AX24" s="29"/>
      <c r="AZ24" s="29"/>
      <c r="BA24" s="3"/>
      <c r="BB24" s="29"/>
      <c r="BC24" s="3"/>
      <c r="BD24" s="29"/>
      <c r="BE24" s="3"/>
      <c r="BF24" s="29"/>
      <c r="BG24" s="29"/>
      <c r="BI24" s="29"/>
      <c r="BK24" s="29"/>
      <c r="BM24" s="29"/>
      <c r="BO24" s="29"/>
    </row>
    <row r="25" spans="1:69" x14ac:dyDescent="0.25">
      <c r="A25" s="3"/>
      <c r="B25" s="29"/>
      <c r="D25" s="29"/>
      <c r="E25" s="29"/>
      <c r="F25" s="31">
        <v>-350000</v>
      </c>
      <c r="H25" s="31"/>
      <c r="I25" s="31"/>
      <c r="J25" s="29"/>
      <c r="K25" s="29"/>
      <c r="L25" s="31">
        <v>-350000</v>
      </c>
      <c r="M25" s="32"/>
      <c r="N25" s="31"/>
      <c r="P25" s="29"/>
      <c r="Q25" s="3"/>
      <c r="R25" s="3"/>
      <c r="S25" s="3"/>
      <c r="T25" s="29"/>
      <c r="U25" s="3"/>
      <c r="V25" s="3"/>
      <c r="W25" s="3"/>
      <c r="X25" s="3"/>
      <c r="Y25" s="29"/>
      <c r="Z25" s="3"/>
      <c r="AA25" s="3"/>
      <c r="AB25" s="3"/>
      <c r="AC25" s="3"/>
      <c r="AD25" s="3"/>
      <c r="AE25" s="30"/>
      <c r="AF25" s="30"/>
      <c r="AG25" s="3"/>
      <c r="AH25" s="29"/>
      <c r="AI25" s="3"/>
      <c r="AJ25" s="29"/>
      <c r="AK25" s="3"/>
      <c r="AL25" s="29"/>
      <c r="AM25" s="3"/>
      <c r="AN25" s="29"/>
      <c r="AO25" s="29"/>
      <c r="AP25" s="29"/>
      <c r="AR25" s="29"/>
      <c r="AT25" s="29"/>
      <c r="AV25" s="29"/>
      <c r="AX25" s="29"/>
      <c r="AZ25" s="29"/>
      <c r="BA25" s="3"/>
      <c r="BB25" s="29"/>
      <c r="BC25" s="3"/>
      <c r="BD25" s="29"/>
      <c r="BE25" s="3"/>
      <c r="BF25" s="29"/>
      <c r="BG25" s="29"/>
      <c r="BI25" s="29"/>
      <c r="BK25" s="29"/>
      <c r="BM25" s="29"/>
      <c r="BO25" s="29"/>
    </row>
    <row r="26" spans="1:69" x14ac:dyDescent="0.25">
      <c r="A26" s="7" t="s">
        <v>35</v>
      </c>
      <c r="B26" s="31">
        <f>B349</f>
        <v>9838063.125</v>
      </c>
      <c r="C26" s="7"/>
      <c r="D26" s="31">
        <f>D349</f>
        <v>3732615</v>
      </c>
      <c r="E26" s="31"/>
      <c r="F26" s="31">
        <f>F349</f>
        <v>10962265</v>
      </c>
      <c r="G26" s="7"/>
      <c r="H26" s="31">
        <f>F26-B26</f>
        <v>1124201.875</v>
      </c>
      <c r="I26" s="31"/>
      <c r="J26" s="31">
        <f>J349</f>
        <v>5221067</v>
      </c>
      <c r="K26" s="31"/>
      <c r="L26" s="31">
        <f>L349</f>
        <v>10903336</v>
      </c>
      <c r="M26" s="32"/>
      <c r="N26" s="31">
        <f t="shared" ref="N26:N36" si="0">L26-F26</f>
        <v>-58929</v>
      </c>
      <c r="P26" s="31">
        <f>P349</f>
        <v>9601849.4000000004</v>
      </c>
      <c r="Q26" s="3"/>
      <c r="R26" s="3"/>
      <c r="S26" s="3"/>
      <c r="T26" s="31">
        <f>T349</f>
        <v>9733727</v>
      </c>
      <c r="U26" s="7">
        <f t="shared" ref="U26:U32" si="1">T26-P26</f>
        <v>131877.59999999963</v>
      </c>
      <c r="V26" s="3"/>
      <c r="W26" s="3"/>
      <c r="X26" s="3"/>
      <c r="Y26" s="31">
        <f>Y349</f>
        <v>10002842</v>
      </c>
      <c r="Z26" s="7">
        <f t="shared" ref="Z26:Z32" si="2">Y26-T26</f>
        <v>269115</v>
      </c>
      <c r="AA26" s="3"/>
      <c r="AB26" s="3"/>
      <c r="AC26" s="3"/>
      <c r="AD26" s="3"/>
      <c r="AE26" s="33">
        <f>AE349</f>
        <v>9971437</v>
      </c>
      <c r="AF26" s="33">
        <f>AF349</f>
        <v>-31404</v>
      </c>
      <c r="AG26" s="3"/>
      <c r="AH26" s="31">
        <f>AH349</f>
        <v>11013638.974374998</v>
      </c>
      <c r="AI26" s="3"/>
      <c r="AJ26" s="31">
        <f>AJ349</f>
        <v>7730411.8219218757</v>
      </c>
      <c r="AK26" s="3"/>
      <c r="AL26" s="31">
        <f>AL349</f>
        <v>8094778.5004703896</v>
      </c>
      <c r="AM26" s="3"/>
      <c r="AN26" s="31">
        <f>AN349</f>
        <v>8327207.1174495379</v>
      </c>
      <c r="AO26" s="31"/>
      <c r="AP26" s="31">
        <f>AP349</f>
        <v>8569695.1133911535</v>
      </c>
      <c r="AR26" s="31">
        <f>AR349</f>
        <v>8806315.1869936828</v>
      </c>
      <c r="AT26" s="31">
        <f>AT349</f>
        <v>8999294.1695435345</v>
      </c>
      <c r="AV26" s="31">
        <f>AV349</f>
        <v>9208539.5013023391</v>
      </c>
      <c r="AX26" s="31">
        <f>AX349</f>
        <v>9298718.3369608894</v>
      </c>
      <c r="AZ26" s="31">
        <f>AZ349</f>
        <v>9548386.8855974078</v>
      </c>
      <c r="BA26" s="3"/>
      <c r="BB26" s="31">
        <f>BB349</f>
        <v>0</v>
      </c>
      <c r="BC26" s="3"/>
      <c r="BD26" s="31">
        <f>BD349</f>
        <v>0</v>
      </c>
      <c r="BE26" s="3"/>
      <c r="BF26" s="31">
        <f>BF349</f>
        <v>0</v>
      </c>
      <c r="BG26" s="31">
        <f>BG349</f>
        <v>0</v>
      </c>
      <c r="BI26" s="31">
        <f>BI349</f>
        <v>0</v>
      </c>
      <c r="BK26" s="31">
        <f>BK349</f>
        <v>0</v>
      </c>
      <c r="BM26" s="31">
        <f>BM349</f>
        <v>0</v>
      </c>
      <c r="BO26" s="31">
        <f>BO349</f>
        <v>0</v>
      </c>
    </row>
    <row r="27" spans="1:69" x14ac:dyDescent="0.25">
      <c r="A27" s="7" t="s">
        <v>36</v>
      </c>
      <c r="B27" s="35">
        <f>B370</f>
        <v>1130307</v>
      </c>
      <c r="C27" s="32"/>
      <c r="D27" s="35">
        <f>D370</f>
        <v>1945</v>
      </c>
      <c r="E27" s="36"/>
      <c r="F27" s="35">
        <f>F370</f>
        <v>617273</v>
      </c>
      <c r="G27" s="32"/>
      <c r="H27" s="35">
        <f>F27-B27</f>
        <v>-513034</v>
      </c>
      <c r="I27" s="36"/>
      <c r="J27" s="35">
        <f>J370</f>
        <v>12142</v>
      </c>
      <c r="K27" s="36"/>
      <c r="L27" s="35">
        <f>L370</f>
        <v>459965</v>
      </c>
      <c r="M27" s="32"/>
      <c r="N27" s="35">
        <f t="shared" si="0"/>
        <v>-157308</v>
      </c>
      <c r="P27" s="35">
        <f>P370</f>
        <v>1089089</v>
      </c>
      <c r="Q27" s="3"/>
      <c r="R27" s="3"/>
      <c r="S27" s="3"/>
      <c r="T27" s="35">
        <f>T370</f>
        <v>1281605</v>
      </c>
      <c r="U27" s="37">
        <f t="shared" si="1"/>
        <v>192516</v>
      </c>
      <c r="V27" s="3"/>
      <c r="W27" s="3"/>
      <c r="X27" s="3"/>
      <c r="Y27" s="35">
        <f>Y370</f>
        <v>1248750</v>
      </c>
      <c r="Z27" s="37">
        <f t="shared" si="2"/>
        <v>-32855</v>
      </c>
      <c r="AA27" s="3"/>
      <c r="AB27" s="3"/>
      <c r="AC27" s="3"/>
      <c r="AD27" s="3"/>
      <c r="AE27" s="35">
        <f>AE370</f>
        <v>1270055</v>
      </c>
      <c r="AF27" s="35">
        <f>AF370</f>
        <v>21305</v>
      </c>
      <c r="AG27" s="3"/>
      <c r="AH27" s="35">
        <f>AH370</f>
        <v>1459552</v>
      </c>
      <c r="AI27" s="3"/>
      <c r="AJ27" s="35">
        <f>AJ370</f>
        <v>2447494</v>
      </c>
      <c r="AK27" s="3"/>
      <c r="AL27" s="35">
        <f>AL370</f>
        <v>125827</v>
      </c>
      <c r="AM27" s="3"/>
      <c r="AN27" s="35">
        <f>AN370</f>
        <v>61823</v>
      </c>
      <c r="AO27" s="35"/>
      <c r="AP27" s="35">
        <f>AP370</f>
        <v>391035</v>
      </c>
      <c r="AR27" s="35">
        <f>AR370</f>
        <v>200948</v>
      </c>
      <c r="AT27" s="35">
        <f>AT370</f>
        <v>-13908</v>
      </c>
      <c r="AV27" s="35">
        <f>AV370</f>
        <v>248906</v>
      </c>
      <c r="AX27" s="35">
        <f>AX370</f>
        <v>146513</v>
      </c>
      <c r="AZ27" s="35">
        <f>AZ370</f>
        <v>441303</v>
      </c>
      <c r="BA27" s="3"/>
      <c r="BB27" s="35">
        <f>BB370</f>
        <v>0</v>
      </c>
      <c r="BC27" s="3"/>
      <c r="BD27" s="35">
        <f>BD370</f>
        <v>0</v>
      </c>
      <c r="BE27" s="3"/>
      <c r="BF27" s="35">
        <f>BF370</f>
        <v>0</v>
      </c>
      <c r="BG27" s="35">
        <f>BG370</f>
        <v>0</v>
      </c>
      <c r="BI27" s="35">
        <f>BI370</f>
        <v>0</v>
      </c>
      <c r="BK27" s="35">
        <f>BK370</f>
        <v>0</v>
      </c>
      <c r="BM27" s="35">
        <f>BM370</f>
        <v>0</v>
      </c>
      <c r="BO27" s="35">
        <f>BO370</f>
        <v>0</v>
      </c>
    </row>
    <row r="28" spans="1:69" x14ac:dyDescent="0.25">
      <c r="A28" s="3"/>
      <c r="B28" s="36">
        <f>B26+B27</f>
        <v>10968370.125</v>
      </c>
      <c r="C28" s="32"/>
      <c r="D28" s="36">
        <f>D26+D27</f>
        <v>3734560</v>
      </c>
      <c r="E28" s="36"/>
      <c r="F28" s="36">
        <f>F26+F27</f>
        <v>11579538</v>
      </c>
      <c r="G28" s="32"/>
      <c r="H28" s="31">
        <f>F28-B28</f>
        <v>611167.875</v>
      </c>
      <c r="I28" s="31"/>
      <c r="J28" s="36">
        <f>J26+J27</f>
        <v>5233209</v>
      </c>
      <c r="K28" s="36"/>
      <c r="L28" s="36">
        <f>L26+L27</f>
        <v>11363301</v>
      </c>
      <c r="M28" s="32"/>
      <c r="N28" s="31">
        <f t="shared" si="0"/>
        <v>-216237</v>
      </c>
      <c r="P28" s="36">
        <f>P26+P27</f>
        <v>10690938.4</v>
      </c>
      <c r="T28" s="36">
        <f>T26+T27</f>
        <v>11015332</v>
      </c>
      <c r="U28" s="7">
        <f t="shared" si="1"/>
        <v>324393.59999999963</v>
      </c>
      <c r="Y28" s="36">
        <f>Y26+Y27</f>
        <v>11251592</v>
      </c>
      <c r="Z28" s="7">
        <f t="shared" si="2"/>
        <v>236260</v>
      </c>
      <c r="AE28" s="36">
        <f>AE26+AE27</f>
        <v>11241492</v>
      </c>
      <c r="AF28" s="36">
        <f>AF26+AF27</f>
        <v>-10099</v>
      </c>
      <c r="AH28" s="36">
        <f>AH26+AH27</f>
        <v>12473190.974374998</v>
      </c>
      <c r="AJ28" s="36">
        <f>AJ26+AJ27</f>
        <v>10177905.821921876</v>
      </c>
      <c r="AL28" s="36">
        <f>AL26+AL27</f>
        <v>8220605.5004703896</v>
      </c>
      <c r="AN28" s="36">
        <f>AN26+AN27</f>
        <v>8389030.1174495369</v>
      </c>
      <c r="AO28" s="36"/>
      <c r="AP28" s="36">
        <f>AP26+AP27</f>
        <v>8960730.1133911535</v>
      </c>
      <c r="AR28" s="36">
        <f>AR26+AR27</f>
        <v>9007263.1869936828</v>
      </c>
      <c r="AT28" s="36">
        <f>AT26+AT27</f>
        <v>8985386.1695435345</v>
      </c>
      <c r="AV28" s="36">
        <f>AV26+AV27</f>
        <v>9457445.5013023391</v>
      </c>
      <c r="AX28" s="36">
        <f>AX26+AX27</f>
        <v>9445231.3369608894</v>
      </c>
      <c r="AZ28" s="36">
        <f>AZ26+AZ27</f>
        <v>9989689.8855974078</v>
      </c>
      <c r="BA28" s="5"/>
      <c r="BB28" s="36">
        <f>BB26+BB27</f>
        <v>0</v>
      </c>
      <c r="BC28" s="5"/>
      <c r="BD28" s="36">
        <f>BD26+BD27</f>
        <v>0</v>
      </c>
      <c r="BE28" s="5"/>
      <c r="BF28" s="36">
        <f>BF26+BF27</f>
        <v>0</v>
      </c>
      <c r="BG28" s="36">
        <f>BG26+BG27</f>
        <v>0</v>
      </c>
      <c r="BI28" s="36">
        <f>BI26+BI27</f>
        <v>0</v>
      </c>
      <c r="BK28" s="36">
        <f>BK26+BK27</f>
        <v>0</v>
      </c>
      <c r="BM28" s="36">
        <f>BM26+BM27</f>
        <v>0</v>
      </c>
      <c r="BO28" s="36">
        <f>BO26+BO27</f>
        <v>0</v>
      </c>
      <c r="BP28" s="3">
        <f>+General!BA10</f>
        <v>9571542.295832701</v>
      </c>
      <c r="BQ28" s="3">
        <f>+BP28-AZ28</f>
        <v>-418147.58976470679</v>
      </c>
    </row>
    <row r="29" spans="1:69" x14ac:dyDescent="0.25">
      <c r="A29" s="7"/>
      <c r="B29" s="31"/>
      <c r="C29" s="7"/>
      <c r="D29" s="31"/>
      <c r="E29" s="31"/>
      <c r="F29" s="31"/>
      <c r="G29" s="7"/>
      <c r="H29" s="31"/>
      <c r="I29" s="31"/>
      <c r="J29" s="31"/>
      <c r="K29" s="31"/>
      <c r="L29" s="31"/>
      <c r="M29" s="32"/>
      <c r="N29" s="31">
        <f t="shared" si="0"/>
        <v>0</v>
      </c>
      <c r="P29" s="31"/>
      <c r="T29" s="31"/>
      <c r="U29" s="7">
        <f t="shared" si="1"/>
        <v>0</v>
      </c>
      <c r="Y29" s="31"/>
      <c r="Z29" s="7">
        <f t="shared" si="2"/>
        <v>0</v>
      </c>
      <c r="AE29" s="31"/>
      <c r="AF29" s="31"/>
      <c r="AH29" s="31"/>
      <c r="AJ29" s="31"/>
      <c r="AL29" s="31"/>
      <c r="AN29" s="31"/>
      <c r="AO29" s="31"/>
      <c r="AP29" s="31"/>
      <c r="AR29" s="31"/>
      <c r="AT29" s="31"/>
      <c r="AV29" s="31"/>
      <c r="AX29" s="31"/>
      <c r="AZ29" s="31"/>
      <c r="BA29" s="5"/>
      <c r="BB29" s="31"/>
      <c r="BC29" s="5"/>
      <c r="BD29" s="31"/>
      <c r="BE29" s="5"/>
      <c r="BF29" s="31"/>
      <c r="BG29" s="31"/>
      <c r="BI29" s="31"/>
      <c r="BK29" s="31"/>
      <c r="BM29" s="31"/>
      <c r="BO29" s="31"/>
    </row>
    <row r="30" spans="1:69" x14ac:dyDescent="0.25">
      <c r="A30" s="7" t="s">
        <v>37</v>
      </c>
      <c r="B30" s="31">
        <f>B845</f>
        <v>9432799</v>
      </c>
      <c r="C30" s="7"/>
      <c r="D30" s="31">
        <f>D845</f>
        <v>2149817</v>
      </c>
      <c r="E30" s="31"/>
      <c r="F30" s="31">
        <f>F845</f>
        <v>10336946</v>
      </c>
      <c r="G30" s="7"/>
      <c r="H30" s="31">
        <f>F30-B30</f>
        <v>904147</v>
      </c>
      <c r="I30" s="31"/>
      <c r="J30" s="31">
        <f>J845</f>
        <v>4922292</v>
      </c>
      <c r="K30" s="31"/>
      <c r="L30" s="31">
        <f>L845</f>
        <v>10112378</v>
      </c>
      <c r="M30" s="32"/>
      <c r="N30" s="31">
        <f t="shared" si="0"/>
        <v>-224568</v>
      </c>
      <c r="P30" s="31">
        <f>P845</f>
        <v>9583693.9279999994</v>
      </c>
      <c r="T30" s="31">
        <f>T845</f>
        <v>9769648.5571075007</v>
      </c>
      <c r="U30" s="7">
        <f t="shared" si="1"/>
        <v>185954.62910750136</v>
      </c>
      <c r="Y30" s="31">
        <f>Y845</f>
        <v>10106764</v>
      </c>
      <c r="Z30" s="7">
        <f t="shared" si="2"/>
        <v>337115.44289249927</v>
      </c>
      <c r="AE30" s="31">
        <f>AE845</f>
        <v>10127014</v>
      </c>
      <c r="AF30" s="31">
        <f>AF845</f>
        <v>20249</v>
      </c>
      <c r="AH30" s="31">
        <f>AH845</f>
        <v>11179806.910800001</v>
      </c>
      <c r="AJ30" s="31">
        <f>AJ845</f>
        <v>7398326.5693990011</v>
      </c>
      <c r="AL30" s="31">
        <f>AL845</f>
        <v>7649554.2615115466</v>
      </c>
      <c r="AN30" s="31">
        <f>AN845</f>
        <v>7814214.0318514518</v>
      </c>
      <c r="AO30" s="31"/>
      <c r="AP30" s="31">
        <f>AP845</f>
        <v>7937934.9903156627</v>
      </c>
      <c r="AR30" s="31">
        <f>AR845</f>
        <v>8213432.9309608378</v>
      </c>
      <c r="AT30" s="31">
        <f>AT845</f>
        <v>8211534.7053512242</v>
      </c>
      <c r="AV30" s="31">
        <f>AV845</f>
        <v>8490950.4739840925</v>
      </c>
      <c r="AX30" s="31">
        <f>AX845</f>
        <v>8567610.906329412</v>
      </c>
      <c r="AZ30" s="31">
        <f>AZ845</f>
        <v>8796567.5835316647</v>
      </c>
      <c r="BA30" s="5"/>
      <c r="BB30" s="31">
        <f>BB845</f>
        <v>0</v>
      </c>
      <c r="BC30" s="5"/>
      <c r="BD30" s="31">
        <f>BD845</f>
        <v>0</v>
      </c>
      <c r="BE30" s="5"/>
      <c r="BF30" s="31">
        <f>BF845</f>
        <v>0</v>
      </c>
      <c r="BG30" s="31">
        <f>BG845</f>
        <v>0</v>
      </c>
      <c r="BI30" s="31">
        <f>BI845</f>
        <v>0</v>
      </c>
      <c r="BK30" s="31">
        <f>BK845</f>
        <v>0</v>
      </c>
      <c r="BM30" s="31">
        <f>BM845</f>
        <v>0</v>
      </c>
      <c r="BO30" s="31">
        <f>BO845</f>
        <v>0</v>
      </c>
    </row>
    <row r="31" spans="1:69" x14ac:dyDescent="0.25">
      <c r="A31" s="7" t="s">
        <v>38</v>
      </c>
      <c r="B31" s="35">
        <f>B1051</f>
        <v>1605150</v>
      </c>
      <c r="C31" s="32"/>
      <c r="D31" s="35">
        <f>D1051</f>
        <v>490318</v>
      </c>
      <c r="E31" s="36"/>
      <c r="F31" s="35">
        <f>F1051</f>
        <v>1707150</v>
      </c>
      <c r="G31" s="32"/>
      <c r="H31" s="35">
        <f>F31-B31</f>
        <v>102000</v>
      </c>
      <c r="I31" s="36"/>
      <c r="J31" s="35">
        <f>J1051</f>
        <v>732042</v>
      </c>
      <c r="K31" s="36"/>
      <c r="L31" s="35">
        <f>L1051</f>
        <v>1711695</v>
      </c>
      <c r="M31" s="32"/>
      <c r="N31" s="35">
        <f t="shared" si="0"/>
        <v>4545</v>
      </c>
      <c r="P31" s="35">
        <f>P1051</f>
        <v>1168600.22</v>
      </c>
      <c r="T31" s="35">
        <f>T1051</f>
        <v>1334200</v>
      </c>
      <c r="U31" s="37">
        <f t="shared" si="1"/>
        <v>165599.78000000003</v>
      </c>
      <c r="Y31" s="35">
        <f>Y1051</f>
        <v>1251180</v>
      </c>
      <c r="Z31" s="37">
        <f t="shared" si="2"/>
        <v>-83020</v>
      </c>
      <c r="AE31" s="35">
        <f>AE1051</f>
        <v>1242405</v>
      </c>
      <c r="AF31" s="35">
        <f>AF1051</f>
        <v>-8775</v>
      </c>
      <c r="AH31" s="35">
        <f>AH1051</f>
        <v>1287912.2265999999</v>
      </c>
      <c r="AJ31" s="35">
        <f>AJ1051</f>
        <v>1885823.6633979999</v>
      </c>
      <c r="AL31" s="35">
        <f>AL1051</f>
        <v>1610135.3733829402</v>
      </c>
      <c r="AN31" s="35">
        <f>AN1051</f>
        <v>741408.8072977605</v>
      </c>
      <c r="AO31" s="35"/>
      <c r="AP31" s="35">
        <f>AP1051</f>
        <v>1089128.4285334703</v>
      </c>
      <c r="AR31" s="35">
        <f>AR1051</f>
        <v>855235.71348758682</v>
      </c>
      <c r="AT31" s="35">
        <f>AT1051</f>
        <v>655132.1519328109</v>
      </c>
      <c r="AV31" s="35">
        <f>AV1051</f>
        <v>887920.24739623035</v>
      </c>
      <c r="AX31" s="35">
        <f>AX1051</f>
        <v>731403.51754935307</v>
      </c>
      <c r="AZ31" s="35">
        <f>AZ1051</f>
        <v>839144.494609282</v>
      </c>
      <c r="BA31" s="5"/>
      <c r="BB31" s="35">
        <f>BB1051</f>
        <v>0</v>
      </c>
      <c r="BC31" s="5"/>
      <c r="BD31" s="35">
        <f>BD1051</f>
        <v>0</v>
      </c>
      <c r="BE31" s="5"/>
      <c r="BF31" s="35">
        <f>BF1051</f>
        <v>0</v>
      </c>
      <c r="BG31" s="35">
        <f>BG1051</f>
        <v>0</v>
      </c>
      <c r="BI31" s="35">
        <f>BI1051</f>
        <v>0</v>
      </c>
      <c r="BK31" s="35">
        <f>BK1051</f>
        <v>0</v>
      </c>
      <c r="BM31" s="35">
        <f>BM1051</f>
        <v>0</v>
      </c>
      <c r="BO31" s="35">
        <f>BO1051</f>
        <v>0</v>
      </c>
    </row>
    <row r="32" spans="1:69" x14ac:dyDescent="0.25">
      <c r="A32" s="3"/>
      <c r="B32" s="36">
        <f>B30+B31</f>
        <v>11037949</v>
      </c>
      <c r="C32" s="32"/>
      <c r="D32" s="36">
        <f>D30+D31</f>
        <v>2640135</v>
      </c>
      <c r="E32" s="36"/>
      <c r="F32" s="36">
        <f>F30+F31</f>
        <v>12044096</v>
      </c>
      <c r="G32" s="32"/>
      <c r="H32" s="31">
        <f>F32-B32</f>
        <v>1006147</v>
      </c>
      <c r="I32" s="31"/>
      <c r="J32" s="36">
        <f>J30+J31</f>
        <v>5654334</v>
      </c>
      <c r="K32" s="36"/>
      <c r="L32" s="36">
        <f>L30+L31</f>
        <v>11824073</v>
      </c>
      <c r="M32" s="32"/>
      <c r="N32" s="31">
        <f t="shared" si="0"/>
        <v>-220023</v>
      </c>
      <c r="P32" s="36">
        <f>P30+P31</f>
        <v>10752294.148</v>
      </c>
      <c r="T32" s="36">
        <f>T30+T31</f>
        <v>11103848.557107501</v>
      </c>
      <c r="U32" s="7">
        <f t="shared" si="1"/>
        <v>351554.40910750069</v>
      </c>
      <c r="Y32" s="36">
        <f>Y30+Y31</f>
        <v>11357944</v>
      </c>
      <c r="Z32" s="7">
        <f t="shared" si="2"/>
        <v>254095.44289249927</v>
      </c>
      <c r="AE32" s="36">
        <f>AE30+AE31</f>
        <v>11369419</v>
      </c>
      <c r="AF32" s="36">
        <f>AF30+AF31</f>
        <v>11474</v>
      </c>
      <c r="AH32" s="36">
        <f>AH30+AH31</f>
        <v>12467719.137400001</v>
      </c>
      <c r="AJ32" s="36">
        <f>AJ30+AJ31</f>
        <v>9284150.2327970006</v>
      </c>
      <c r="AL32" s="36">
        <f>AL30+AL31</f>
        <v>9259689.6348944865</v>
      </c>
      <c r="AN32" s="36">
        <f>AN30+AN31</f>
        <v>8555622.8391492125</v>
      </c>
      <c r="AO32" s="36"/>
      <c r="AP32" s="36">
        <f>AP30+AP31</f>
        <v>9027063.418849133</v>
      </c>
      <c r="AR32" s="36">
        <f>AR30+AR31</f>
        <v>9068668.6444484238</v>
      </c>
      <c r="AT32" s="36">
        <f>AT30+AT31</f>
        <v>8866666.8572840355</v>
      </c>
      <c r="AV32" s="36">
        <f>AV30+AV31</f>
        <v>9378870.7213803232</v>
      </c>
      <c r="AX32" s="36">
        <f>AX30+AX31</f>
        <v>9299014.4238787647</v>
      </c>
      <c r="AZ32" s="36">
        <f>AZ30+AZ31</f>
        <v>9635712.0781409461</v>
      </c>
      <c r="BA32" s="5"/>
      <c r="BB32" s="36">
        <f>BB30+BB31</f>
        <v>0</v>
      </c>
      <c r="BC32" s="5"/>
      <c r="BD32" s="36">
        <f>BD30+BD31</f>
        <v>0</v>
      </c>
      <c r="BE32" s="5"/>
      <c r="BF32" s="36">
        <f>BF30+BF31</f>
        <v>0</v>
      </c>
      <c r="BG32" s="36">
        <f>BG30+BG31</f>
        <v>0</v>
      </c>
      <c r="BI32" s="36">
        <f>BI30+BI31</f>
        <v>0</v>
      </c>
      <c r="BK32" s="36">
        <f>BK30+BK31</f>
        <v>0</v>
      </c>
      <c r="BM32" s="36">
        <f>BM30+BM31</f>
        <v>0</v>
      </c>
      <c r="BO32" s="36">
        <f>BO30+BO31</f>
        <v>0</v>
      </c>
      <c r="BQ32" s="5"/>
    </row>
    <row r="33" spans="1:67" x14ac:dyDescent="0.25">
      <c r="A33" s="7" t="s">
        <v>39</v>
      </c>
      <c r="B33" s="31"/>
      <c r="C33" s="7"/>
      <c r="D33" s="31"/>
      <c r="E33" s="31"/>
      <c r="F33" s="31"/>
      <c r="G33" s="7"/>
      <c r="H33" s="31"/>
      <c r="I33" s="31"/>
      <c r="J33" s="31"/>
      <c r="K33" s="31"/>
      <c r="L33" s="31"/>
      <c r="M33" s="32"/>
      <c r="N33" s="31">
        <f t="shared" si="0"/>
        <v>0</v>
      </c>
      <c r="P33" s="31"/>
      <c r="T33" s="31"/>
      <c r="Y33" s="31"/>
      <c r="AE33" s="31"/>
      <c r="AF33" s="31"/>
      <c r="AH33" s="31"/>
      <c r="AJ33" s="31"/>
      <c r="AL33" s="31"/>
      <c r="AN33" s="31"/>
      <c r="AO33" s="31"/>
      <c r="AP33" s="31"/>
      <c r="AR33" s="31"/>
      <c r="AT33" s="31"/>
      <c r="AV33" s="31"/>
      <c r="AX33" s="31"/>
      <c r="AZ33" s="31"/>
      <c r="BA33" s="5"/>
      <c r="BB33" s="31"/>
      <c r="BC33" s="5"/>
      <c r="BD33" s="31"/>
      <c r="BE33" s="5"/>
      <c r="BF33" s="31"/>
      <c r="BG33" s="31"/>
      <c r="BI33" s="31"/>
      <c r="BK33" s="31"/>
      <c r="BM33" s="31"/>
      <c r="BO33" s="31"/>
    </row>
    <row r="34" spans="1:67" x14ac:dyDescent="0.25">
      <c r="A34" s="7" t="s">
        <v>40</v>
      </c>
      <c r="B34" s="31"/>
      <c r="C34" s="7"/>
      <c r="D34" s="31"/>
      <c r="E34" s="31"/>
      <c r="F34" s="31"/>
      <c r="G34" s="7"/>
      <c r="H34" s="31"/>
      <c r="I34" s="31"/>
      <c r="J34" s="31"/>
      <c r="K34" s="31"/>
      <c r="L34" s="31"/>
      <c r="M34" s="32"/>
      <c r="N34" s="31">
        <f t="shared" si="0"/>
        <v>0</v>
      </c>
      <c r="P34" s="31"/>
      <c r="T34" s="31"/>
      <c r="Y34" s="31"/>
      <c r="AE34" s="31"/>
      <c r="AF34" s="31"/>
      <c r="AH34" s="31"/>
      <c r="AJ34" s="31"/>
      <c r="AL34" s="31"/>
      <c r="AN34" s="31"/>
      <c r="AO34" s="31"/>
      <c r="AP34" s="31"/>
      <c r="AR34" s="31"/>
      <c r="AT34" s="31"/>
      <c r="AV34" s="31"/>
      <c r="AX34" s="31"/>
      <c r="AZ34" s="31"/>
      <c r="BA34" s="5"/>
      <c r="BB34" s="31"/>
      <c r="BC34" s="5"/>
      <c r="BD34" s="31"/>
      <c r="BE34" s="5"/>
      <c r="BF34" s="31"/>
      <c r="BG34" s="31"/>
      <c r="BI34" s="31"/>
      <c r="BK34" s="31"/>
      <c r="BM34" s="31"/>
      <c r="BO34" s="31"/>
    </row>
    <row r="35" spans="1:67" x14ac:dyDescent="0.25">
      <c r="A35" s="7" t="s">
        <v>41</v>
      </c>
      <c r="B35" s="35">
        <f>B28-B32</f>
        <v>-69578.875</v>
      </c>
      <c r="C35" s="32"/>
      <c r="D35" s="35">
        <f>D28-D32</f>
        <v>1094425</v>
      </c>
      <c r="E35" s="36"/>
      <c r="F35" s="35">
        <f>F28-F32</f>
        <v>-464558</v>
      </c>
      <c r="G35" s="32"/>
      <c r="H35" s="35">
        <f>F35-B35</f>
        <v>-394979.125</v>
      </c>
      <c r="I35" s="36"/>
      <c r="J35" s="35">
        <f>J28-J32</f>
        <v>-421125</v>
      </c>
      <c r="K35" s="36"/>
      <c r="L35" s="35">
        <f>L28-L32</f>
        <v>-460772</v>
      </c>
      <c r="M35" s="32"/>
      <c r="N35" s="35">
        <f t="shared" si="0"/>
        <v>3786</v>
      </c>
      <c r="P35" s="35">
        <f>P28-P32</f>
        <v>-61355.747999999672</v>
      </c>
      <c r="T35" s="35">
        <f>T28-T32</f>
        <v>-88516.557107500732</v>
      </c>
      <c r="U35" s="37">
        <f>T35-P35</f>
        <v>-27160.80910750106</v>
      </c>
      <c r="Y35" s="35">
        <f>Y28-Y32</f>
        <v>-106352</v>
      </c>
      <c r="Z35" s="37">
        <f>Y35-T35</f>
        <v>-17835.442892499268</v>
      </c>
      <c r="AE35" s="35">
        <f>AE28-AE32</f>
        <v>-127927</v>
      </c>
      <c r="AF35" s="35">
        <f>AF28-AF32</f>
        <v>-21573</v>
      </c>
      <c r="AH35" s="35">
        <f>AH28-AH32</f>
        <v>5471.8369749970734</v>
      </c>
      <c r="AJ35" s="35">
        <f>AJ28-AJ32</f>
        <v>893755.58912487514</v>
      </c>
      <c r="AL35" s="35">
        <f>AL28-AL32</f>
        <v>-1039084.1344240969</v>
      </c>
      <c r="AN35" s="35">
        <f>AN28-AN32</f>
        <v>-166592.72169967555</v>
      </c>
      <c r="AO35" s="35"/>
      <c r="AP35" s="35">
        <f>AP28-AP32</f>
        <v>-66333.305457979441</v>
      </c>
      <c r="AR35" s="35">
        <f>AR28-AR32</f>
        <v>-61405.457454741001</v>
      </c>
      <c r="AT35" s="35">
        <f>AT28-AT32</f>
        <v>118719.31225949898</v>
      </c>
      <c r="AV35" s="35">
        <f>AV28-AV32</f>
        <v>78574.779922015965</v>
      </c>
      <c r="AX35" s="35">
        <f>AX28-AX32</f>
        <v>146216.91308212467</v>
      </c>
      <c r="AZ35" s="35">
        <f>AZ28-AZ32</f>
        <v>353977.80745646171</v>
      </c>
      <c r="BA35" s="5"/>
      <c r="BB35" s="35">
        <f>BB28-BB32</f>
        <v>0</v>
      </c>
      <c r="BC35" s="5"/>
      <c r="BD35" s="35">
        <f>BD28-BD32</f>
        <v>0</v>
      </c>
      <c r="BE35" s="5"/>
      <c r="BF35" s="35">
        <f>BF28-BF32</f>
        <v>0</v>
      </c>
      <c r="BG35" s="35">
        <f>BG28-BG32</f>
        <v>0</v>
      </c>
      <c r="BI35" s="35">
        <f>BI28-BI32</f>
        <v>0</v>
      </c>
      <c r="BK35" s="35">
        <f>BK28-BK32</f>
        <v>0</v>
      </c>
      <c r="BM35" s="35">
        <f>BM28-BM32</f>
        <v>0</v>
      </c>
      <c r="BO35" s="35">
        <f>BO28-BO32</f>
        <v>0</v>
      </c>
    </row>
    <row r="36" spans="1:67" x14ac:dyDescent="0.25">
      <c r="A36" s="7" t="s">
        <v>42</v>
      </c>
      <c r="B36" s="36">
        <f>B23+B24+B28-B32+B34</f>
        <v>809361.125</v>
      </c>
      <c r="C36" s="32"/>
      <c r="D36" s="36">
        <f>D23+D24+D28-D32+D34</f>
        <v>1973365</v>
      </c>
      <c r="E36" s="36"/>
      <c r="F36" s="36">
        <f>F23+F24+F28-F32+F34+F25</f>
        <v>844182</v>
      </c>
      <c r="G36" s="32"/>
      <c r="H36" s="31">
        <f>F36-B36</f>
        <v>34820.875</v>
      </c>
      <c r="I36" s="31"/>
      <c r="J36" s="36">
        <f>J23+J24+J28-J32+J34</f>
        <v>887647</v>
      </c>
      <c r="K36" s="36"/>
      <c r="L36" s="36">
        <f>L23+L24+L28-L32+L34+L25</f>
        <v>847968</v>
      </c>
      <c r="M36" s="32"/>
      <c r="N36" s="31">
        <f t="shared" si="0"/>
        <v>3786</v>
      </c>
      <c r="P36" s="36">
        <f>P23+P28-P32+P34</f>
        <v>806612.25200000033</v>
      </c>
      <c r="T36" s="36">
        <f>T23+T28-T32+T34</f>
        <v>765596.44289249927</v>
      </c>
      <c r="U36" s="7">
        <f>T36-P36</f>
        <v>-41015.80910750106</v>
      </c>
      <c r="Y36" s="36">
        <f>Y23+Y28-Y32+Y34</f>
        <v>747761</v>
      </c>
      <c r="Z36" s="7">
        <f>Y36-T36</f>
        <v>-17835.442892499268</v>
      </c>
      <c r="AE36" s="36">
        <f>AE23+AE28-AE32+AE34</f>
        <v>726186</v>
      </c>
      <c r="AF36" s="36">
        <f>AF23+AF28-AF32+AF34</f>
        <v>-21573</v>
      </c>
      <c r="AH36" s="36">
        <f>AH23+AH28-AH32+AH34</f>
        <v>731657.83697499707</v>
      </c>
      <c r="AJ36" s="36">
        <f>AJ23+AJ28-AJ32+AJ34</f>
        <v>1625413.4260998722</v>
      </c>
      <c r="AL36" s="36">
        <f>AL23+AL28-AL32+AL34</f>
        <v>586329.29167577624</v>
      </c>
      <c r="AN36" s="36">
        <f>AN23+AN28-AN32+AN34</f>
        <v>419736.5699761007</v>
      </c>
      <c r="AO36" s="36"/>
      <c r="AP36" s="36">
        <f>AP23+AP28-AP32+AP34</f>
        <v>353403.26451812126</v>
      </c>
      <c r="AR36" s="36">
        <f>AR23+AR28-AR32+AR34</f>
        <v>291997.80706338026</v>
      </c>
      <c r="AT36" s="36">
        <f>AT23+AT28-AT32+AT34</f>
        <v>410717.11932287924</v>
      </c>
      <c r="AV36" s="36">
        <f>AV23+AV28-AV32+AV34</f>
        <v>489291.8992448952</v>
      </c>
      <c r="AX36" s="36">
        <f>AX23+AX28-AX32+AX34</f>
        <v>635508.81232701987</v>
      </c>
      <c r="AZ36" s="36">
        <f>AZ23+AZ28-AZ32+AZ34</f>
        <v>989486.61978348158</v>
      </c>
      <c r="BA36" s="5"/>
      <c r="BB36" s="36">
        <f>BB23+BB28-BB32+BB34</f>
        <v>989486.61978348158</v>
      </c>
      <c r="BC36" s="5"/>
      <c r="BD36" s="36">
        <f>BD23+BD28-BD32+BD34</f>
        <v>989486.61978348158</v>
      </c>
      <c r="BE36" s="5"/>
      <c r="BF36" s="36">
        <f>BF23+BF28-BF32+BF34</f>
        <v>989486.61978348158</v>
      </c>
      <c r="BG36" s="36">
        <f>BG23+BG28-BG32+BG34</f>
        <v>989486.61978348158</v>
      </c>
      <c r="BI36" s="36">
        <f>BI23+BI28-BI32+BI34</f>
        <v>989486.61978348158</v>
      </c>
      <c r="BK36" s="36">
        <f>BK23+BK28-BK32+BK34</f>
        <v>989486.61978348158</v>
      </c>
      <c r="BM36" s="36">
        <f>BM23+BM28-BM32+BM34</f>
        <v>989486.61978348158</v>
      </c>
      <c r="BO36" s="36">
        <f>BO23+BO28-BO32+BO34</f>
        <v>989486.61978348158</v>
      </c>
    </row>
    <row r="37" spans="1:67" x14ac:dyDescent="0.25">
      <c r="A37" s="3"/>
      <c r="B37" s="29"/>
      <c r="D37" s="29"/>
      <c r="E37" s="29"/>
      <c r="F37" s="29"/>
      <c r="H37" s="29"/>
      <c r="I37" s="29"/>
      <c r="J37" s="29"/>
      <c r="K37" s="29"/>
      <c r="L37" s="29"/>
      <c r="N37" s="29"/>
      <c r="P37" s="29"/>
      <c r="T37" s="29"/>
      <c r="Y37" s="29"/>
      <c r="AE37" s="29"/>
      <c r="AF37" s="29"/>
      <c r="AH37" s="29"/>
      <c r="AJ37" s="29"/>
      <c r="AL37" s="29"/>
      <c r="AN37" s="29"/>
      <c r="AO37" s="29"/>
      <c r="AP37" s="29"/>
      <c r="AR37" s="29"/>
      <c r="AT37" s="29"/>
      <c r="AV37" s="29"/>
      <c r="AX37" s="29"/>
      <c r="AZ37" s="29"/>
      <c r="BA37" s="5"/>
      <c r="BB37" s="29"/>
      <c r="BC37" s="5"/>
      <c r="BD37" s="29"/>
      <c r="BE37" s="5"/>
      <c r="BF37" s="29"/>
      <c r="BG37" s="29"/>
      <c r="BI37" s="29"/>
      <c r="BK37" s="29"/>
      <c r="BM37" s="29"/>
      <c r="BO37" s="29"/>
    </row>
    <row r="38" spans="1:67" x14ac:dyDescent="0.25">
      <c r="A38" s="28" t="s">
        <v>7</v>
      </c>
      <c r="B38" s="29"/>
      <c r="D38" s="29"/>
      <c r="E38" s="29"/>
      <c r="F38" s="29"/>
      <c r="H38" s="29"/>
      <c r="I38" s="29"/>
      <c r="J38" s="29"/>
      <c r="K38" s="29"/>
      <c r="L38" s="29"/>
      <c r="N38" s="29"/>
      <c r="P38" s="29"/>
      <c r="T38" s="29"/>
      <c r="Y38" s="29"/>
      <c r="AE38" s="29"/>
      <c r="AF38" s="29"/>
      <c r="AH38" s="29"/>
      <c r="AJ38" s="29"/>
      <c r="AL38" s="29"/>
      <c r="AN38" s="29"/>
      <c r="AO38" s="29"/>
      <c r="AP38" s="29"/>
      <c r="AR38" s="29"/>
      <c r="AT38" s="29"/>
      <c r="AV38" s="29"/>
      <c r="AX38" s="29"/>
      <c r="AZ38" s="29"/>
      <c r="BA38" s="5"/>
      <c r="BB38" s="29"/>
      <c r="BC38" s="5"/>
      <c r="BD38" s="29"/>
      <c r="BE38" s="5"/>
      <c r="BF38" s="29"/>
      <c r="BG38" s="29"/>
      <c r="BI38" s="29"/>
      <c r="BK38" s="29"/>
      <c r="BM38" s="29"/>
      <c r="BO38" s="29"/>
    </row>
    <row r="39" spans="1:67" x14ac:dyDescent="0.25">
      <c r="A39" s="7"/>
      <c r="B39" s="29"/>
      <c r="D39" s="29"/>
      <c r="E39" s="29"/>
      <c r="F39" s="29"/>
      <c r="H39" s="29"/>
      <c r="I39" s="29"/>
      <c r="J39" s="29"/>
      <c r="K39" s="29"/>
      <c r="L39" s="29"/>
      <c r="N39" s="29"/>
      <c r="P39" s="29"/>
      <c r="T39" s="29"/>
      <c r="Y39" s="29"/>
      <c r="AE39" s="29"/>
      <c r="AF39" s="29"/>
      <c r="AH39" s="29"/>
      <c r="AJ39" s="29"/>
      <c r="AL39" s="29"/>
      <c r="AN39" s="29"/>
      <c r="AO39" s="29"/>
      <c r="AP39" s="29"/>
      <c r="AR39" s="29"/>
      <c r="AT39" s="29"/>
      <c r="AV39" s="29"/>
      <c r="AX39" s="29"/>
      <c r="AZ39" s="29"/>
      <c r="BA39" s="5"/>
      <c r="BB39" s="29"/>
      <c r="BC39" s="5"/>
      <c r="BD39" s="29"/>
      <c r="BE39" s="5"/>
      <c r="BF39" s="29"/>
      <c r="BG39" s="29"/>
      <c r="BI39" s="29"/>
      <c r="BK39" s="29"/>
      <c r="BM39" s="29"/>
      <c r="BO39" s="29"/>
    </row>
    <row r="40" spans="1:67" x14ac:dyDescent="0.25">
      <c r="A40" s="7"/>
      <c r="B40" s="29"/>
      <c r="D40" s="29"/>
      <c r="E40" s="29"/>
      <c r="F40" s="29"/>
      <c r="H40" s="29"/>
      <c r="I40" s="29"/>
      <c r="J40" s="29"/>
      <c r="K40" s="29"/>
      <c r="L40" s="29"/>
      <c r="N40" s="29"/>
      <c r="P40" s="29"/>
      <c r="T40" s="29"/>
      <c r="Y40" s="29"/>
      <c r="AE40" s="29"/>
      <c r="AF40" s="29"/>
      <c r="AH40" s="29"/>
      <c r="AJ40" s="29"/>
      <c r="AL40" s="29"/>
      <c r="AN40" s="29"/>
      <c r="AO40" s="29"/>
      <c r="AP40" s="29"/>
      <c r="AR40" s="29"/>
      <c r="AT40" s="29"/>
      <c r="AV40" s="29"/>
      <c r="AX40" s="29"/>
      <c r="AZ40" s="29"/>
      <c r="BA40" s="5"/>
      <c r="BB40" s="29"/>
      <c r="BC40" s="5"/>
      <c r="BD40" s="29"/>
      <c r="BE40" s="5"/>
      <c r="BF40" s="29"/>
      <c r="BG40" s="29"/>
      <c r="BI40" s="29"/>
      <c r="BK40" s="29"/>
      <c r="BM40" s="29"/>
      <c r="BO40" s="29"/>
    </row>
    <row r="41" spans="1:67" s="34" customFormat="1" x14ac:dyDescent="0.25">
      <c r="A41" s="7" t="s">
        <v>34</v>
      </c>
      <c r="B41" s="31">
        <v>2434680</v>
      </c>
      <c r="C41" s="7"/>
      <c r="D41" s="31">
        <v>2434680</v>
      </c>
      <c r="E41" s="31"/>
      <c r="F41" s="31">
        <v>2434680</v>
      </c>
      <c r="G41" s="7"/>
      <c r="H41" s="31">
        <f t="shared" ref="H41:H46" si="3">F41-B41</f>
        <v>0</v>
      </c>
      <c r="I41" s="31"/>
      <c r="J41" s="31">
        <v>2434680</v>
      </c>
      <c r="K41" s="31"/>
      <c r="L41" s="31">
        <v>2434680</v>
      </c>
      <c r="M41" s="32"/>
      <c r="N41" s="31"/>
      <c r="O41" s="7"/>
      <c r="P41" s="31">
        <v>3411165</v>
      </c>
      <c r="Q41" s="38"/>
      <c r="R41" s="38"/>
      <c r="S41" s="38"/>
      <c r="T41" s="31">
        <v>3411165</v>
      </c>
      <c r="U41" s="7">
        <f t="shared" ref="U41:U46" si="4">T41-P41</f>
        <v>0</v>
      </c>
      <c r="V41" s="38"/>
      <c r="W41" s="38"/>
      <c r="X41" s="38"/>
      <c r="Y41" s="31">
        <v>3411165</v>
      </c>
      <c r="Z41" s="7">
        <f t="shared" ref="Z41:Z46" si="5">Y41-T41</f>
        <v>0</v>
      </c>
      <c r="AA41" s="38"/>
      <c r="AB41" s="38"/>
      <c r="AC41" s="38"/>
      <c r="AD41" s="38"/>
      <c r="AE41" s="31">
        <v>3411165</v>
      </c>
      <c r="AF41" s="31">
        <v>3411165</v>
      </c>
      <c r="AG41" s="38"/>
      <c r="AH41" s="31">
        <v>2872260</v>
      </c>
      <c r="AI41" s="38"/>
      <c r="AJ41" s="31">
        <f>AH46</f>
        <v>2144108</v>
      </c>
      <c r="AK41" s="38"/>
      <c r="AL41" s="31">
        <f>AJ46</f>
        <v>2428264</v>
      </c>
      <c r="AM41" s="38"/>
      <c r="AN41" s="31">
        <f>AL46</f>
        <v>3034337</v>
      </c>
      <c r="AO41" s="31"/>
      <c r="AP41" s="31">
        <f>AN46</f>
        <v>3704664</v>
      </c>
      <c r="AR41" s="31">
        <f>AP46</f>
        <v>4046029</v>
      </c>
      <c r="AT41" s="31">
        <f>AR46</f>
        <v>4572921</v>
      </c>
      <c r="AV41" s="31">
        <f>AT46</f>
        <v>5314789</v>
      </c>
      <c r="AX41" s="31">
        <f>AV46</f>
        <v>5793983</v>
      </c>
      <c r="AZ41" s="31">
        <f>AX46</f>
        <v>6375820</v>
      </c>
      <c r="BA41" s="38"/>
      <c r="BB41" s="31">
        <f>AZ46</f>
        <v>6662867</v>
      </c>
      <c r="BC41" s="38"/>
      <c r="BD41" s="31">
        <f>BB46</f>
        <v>6662867</v>
      </c>
      <c r="BE41" s="38"/>
      <c r="BF41" s="31">
        <f>BD46</f>
        <v>6662867</v>
      </c>
      <c r="BG41" s="31">
        <f>BF46</f>
        <v>6662867</v>
      </c>
      <c r="BI41" s="31">
        <f>BG46</f>
        <v>6662867</v>
      </c>
      <c r="BK41" s="31">
        <f>BI46</f>
        <v>6662867</v>
      </c>
      <c r="BM41" s="31">
        <f>BK46</f>
        <v>6662867</v>
      </c>
      <c r="BO41" s="31">
        <f>BM46</f>
        <v>6662867</v>
      </c>
    </row>
    <row r="42" spans="1:67" x14ac:dyDescent="0.25">
      <c r="A42" s="3"/>
      <c r="B42" s="31"/>
      <c r="C42" s="7"/>
      <c r="D42" s="31"/>
      <c r="E42" s="31"/>
      <c r="F42" s="31"/>
      <c r="G42" s="7"/>
      <c r="H42" s="31">
        <f t="shared" si="3"/>
        <v>0</v>
      </c>
      <c r="I42" s="31"/>
      <c r="J42" s="31"/>
      <c r="K42" s="31"/>
      <c r="L42" s="31"/>
      <c r="M42" s="32"/>
      <c r="N42" s="31"/>
      <c r="P42" s="31"/>
      <c r="T42" s="31"/>
      <c r="U42" s="7">
        <f t="shared" si="4"/>
        <v>0</v>
      </c>
      <c r="Y42" s="31"/>
      <c r="Z42" s="7">
        <f t="shared" si="5"/>
        <v>0</v>
      </c>
      <c r="AE42" s="31"/>
      <c r="AF42" s="31"/>
      <c r="AH42" s="31"/>
      <c r="AJ42" s="31"/>
      <c r="AL42" s="31"/>
      <c r="AN42" s="31"/>
      <c r="AO42" s="31"/>
      <c r="AP42" s="31"/>
      <c r="AR42" s="31"/>
      <c r="AT42" s="31"/>
      <c r="AV42" s="31"/>
      <c r="AX42" s="31"/>
      <c r="AZ42" s="31"/>
      <c r="BA42" s="5"/>
      <c r="BB42" s="31"/>
      <c r="BC42" s="5"/>
      <c r="BD42" s="31"/>
      <c r="BE42" s="5"/>
      <c r="BF42" s="31"/>
      <c r="BG42" s="31"/>
      <c r="BI42" s="31"/>
      <c r="BK42" s="31"/>
      <c r="BM42" s="31"/>
      <c r="BO42" s="31"/>
    </row>
    <row r="43" spans="1:67" x14ac:dyDescent="0.25">
      <c r="A43" s="7" t="s">
        <v>43</v>
      </c>
      <c r="B43" s="36">
        <f>-B356</f>
        <v>-66957</v>
      </c>
      <c r="C43" s="32"/>
      <c r="D43" s="36">
        <f>-D356</f>
        <v>0</v>
      </c>
      <c r="E43" s="36"/>
      <c r="F43" s="36">
        <f>-F356</f>
        <v>455167</v>
      </c>
      <c r="G43" s="32"/>
      <c r="H43" s="31">
        <f t="shared" si="3"/>
        <v>522124</v>
      </c>
      <c r="I43" s="31"/>
      <c r="J43" s="36">
        <f>-J356</f>
        <v>0</v>
      </c>
      <c r="K43" s="36"/>
      <c r="L43" s="36">
        <f>-L356</f>
        <v>612625</v>
      </c>
      <c r="M43" s="32"/>
      <c r="N43" s="31"/>
      <c r="P43" s="36">
        <f>-P356</f>
        <v>-382939</v>
      </c>
      <c r="T43" s="36">
        <f>-T356</f>
        <v>-575455</v>
      </c>
      <c r="U43" s="7">
        <f t="shared" si="4"/>
        <v>-192516</v>
      </c>
      <c r="Y43" s="36">
        <f>-Y356</f>
        <v>-517600</v>
      </c>
      <c r="Z43" s="7">
        <f t="shared" si="5"/>
        <v>57855</v>
      </c>
      <c r="AE43" s="36">
        <f>-AE356</f>
        <v>-538905</v>
      </c>
      <c r="AF43" s="36">
        <f>-AF356</f>
        <v>-21305</v>
      </c>
      <c r="AH43" s="36">
        <f>-AH356</f>
        <v>-728152</v>
      </c>
      <c r="AJ43" s="36">
        <f>-AJ356</f>
        <v>284156</v>
      </c>
      <c r="AL43" s="36">
        <f>-AL356</f>
        <v>606073</v>
      </c>
      <c r="AN43" s="36">
        <f>-AN356</f>
        <v>670327</v>
      </c>
      <c r="AO43" s="36"/>
      <c r="AP43" s="36">
        <f>-AP356</f>
        <v>341365</v>
      </c>
      <c r="AR43" s="36">
        <f>-AR356</f>
        <v>526892</v>
      </c>
      <c r="AT43" s="36">
        <f>-AT356</f>
        <v>741868</v>
      </c>
      <c r="AV43" s="36">
        <f>-AV356</f>
        <v>479194</v>
      </c>
      <c r="AX43" s="36">
        <f>-AX356</f>
        <v>581837</v>
      </c>
      <c r="AZ43" s="36">
        <f>-AZ356</f>
        <v>287047</v>
      </c>
      <c r="BA43" s="5"/>
      <c r="BB43" s="36">
        <f>-BB356</f>
        <v>0</v>
      </c>
      <c r="BC43" s="5"/>
      <c r="BD43" s="36">
        <f>-BD356</f>
        <v>0</v>
      </c>
      <c r="BE43" s="5"/>
      <c r="BF43" s="36">
        <f>-BF356</f>
        <v>0</v>
      </c>
      <c r="BG43" s="36">
        <f>-BG356</f>
        <v>0</v>
      </c>
      <c r="BI43" s="36">
        <f>-BI356</f>
        <v>0</v>
      </c>
      <c r="BK43" s="36">
        <f>-BK356</f>
        <v>0</v>
      </c>
      <c r="BM43" s="36">
        <f>-BM356</f>
        <v>0</v>
      </c>
      <c r="BO43" s="36">
        <f>-BO356</f>
        <v>0</v>
      </c>
    </row>
    <row r="44" spans="1:67" x14ac:dyDescent="0.25">
      <c r="A44" s="7" t="s">
        <v>44</v>
      </c>
      <c r="B44" s="35"/>
      <c r="C44" s="32"/>
      <c r="D44" s="35"/>
      <c r="E44" s="36"/>
      <c r="F44" s="35"/>
      <c r="G44" s="32"/>
      <c r="H44" s="35">
        <f t="shared" si="3"/>
        <v>0</v>
      </c>
      <c r="I44" s="36"/>
      <c r="J44" s="35"/>
      <c r="K44" s="36"/>
      <c r="L44" s="35">
        <v>-193323</v>
      </c>
      <c r="M44" s="32"/>
      <c r="N44" s="35"/>
      <c r="P44" s="35"/>
      <c r="T44" s="35"/>
      <c r="U44" s="37">
        <f t="shared" si="4"/>
        <v>0</v>
      </c>
      <c r="Y44" s="35"/>
      <c r="Z44" s="37">
        <f t="shared" si="5"/>
        <v>0</v>
      </c>
      <c r="AE44" s="35"/>
      <c r="AF44" s="35"/>
      <c r="AH44" s="35"/>
      <c r="AJ44" s="35"/>
      <c r="AL44" s="35"/>
      <c r="AN44" s="35"/>
      <c r="AO44" s="35"/>
      <c r="AP44" s="35"/>
      <c r="AR44" s="35"/>
      <c r="AT44" s="35"/>
      <c r="AV44" s="35"/>
      <c r="AX44" s="35"/>
      <c r="AZ44" s="35"/>
      <c r="BA44" s="5"/>
      <c r="BB44" s="35"/>
      <c r="BC44" s="5"/>
      <c r="BD44" s="35"/>
      <c r="BE44" s="5"/>
      <c r="BF44" s="35"/>
      <c r="BG44" s="35"/>
      <c r="BI44" s="35"/>
      <c r="BK44" s="35"/>
      <c r="BM44" s="35"/>
      <c r="BO44" s="35"/>
    </row>
    <row r="45" spans="1:67" x14ac:dyDescent="0.25">
      <c r="A45" s="7" t="s">
        <v>41</v>
      </c>
      <c r="B45" s="36">
        <f>B43+B44</f>
        <v>-66957</v>
      </c>
      <c r="C45" s="32"/>
      <c r="D45" s="36">
        <f>D43+D44</f>
        <v>0</v>
      </c>
      <c r="E45" s="36"/>
      <c r="F45" s="36">
        <f>F43+F44</f>
        <v>455167</v>
      </c>
      <c r="G45" s="32"/>
      <c r="H45" s="31">
        <f t="shared" si="3"/>
        <v>522124</v>
      </c>
      <c r="I45" s="31"/>
      <c r="J45" s="36">
        <f>J43+J44</f>
        <v>0</v>
      </c>
      <c r="K45" s="36"/>
      <c r="L45" s="36">
        <f>L43+L44</f>
        <v>419302</v>
      </c>
      <c r="M45" s="32"/>
      <c r="N45" s="31"/>
      <c r="P45" s="36">
        <f>P43+P44</f>
        <v>-382939</v>
      </c>
      <c r="T45" s="36">
        <f>T43+T44</f>
        <v>-575455</v>
      </c>
      <c r="U45" s="7">
        <f t="shared" si="4"/>
        <v>-192516</v>
      </c>
      <c r="Y45" s="36">
        <f>Y43+Y44</f>
        <v>-517600</v>
      </c>
      <c r="Z45" s="7">
        <f t="shared" si="5"/>
        <v>57855</v>
      </c>
      <c r="AE45" s="36">
        <f>AE43+AE44</f>
        <v>-538905</v>
      </c>
      <c r="AF45" s="36">
        <f>AF43+AF44</f>
        <v>-21305</v>
      </c>
      <c r="AH45" s="36">
        <f>AH43+AH44</f>
        <v>-728152</v>
      </c>
      <c r="AJ45" s="36">
        <f>AJ43+AJ44</f>
        <v>284156</v>
      </c>
      <c r="AL45" s="36">
        <f>AL43+AL44</f>
        <v>606073</v>
      </c>
      <c r="AN45" s="36">
        <f>AN43+AN44</f>
        <v>670327</v>
      </c>
      <c r="AO45" s="36"/>
      <c r="AP45" s="36">
        <f>AP43+AP44</f>
        <v>341365</v>
      </c>
      <c r="AR45" s="36">
        <f>AR43+AR44</f>
        <v>526892</v>
      </c>
      <c r="AT45" s="36">
        <f>AT43+AT44</f>
        <v>741868</v>
      </c>
      <c r="AV45" s="36">
        <f>AV43+AV44</f>
        <v>479194</v>
      </c>
      <c r="AX45" s="36">
        <f>AX43+AX44</f>
        <v>581837</v>
      </c>
      <c r="AZ45" s="36">
        <f>AZ43+AZ44</f>
        <v>287047</v>
      </c>
      <c r="BA45" s="5"/>
      <c r="BB45" s="36">
        <f>BB43+BB44</f>
        <v>0</v>
      </c>
      <c r="BC45" s="5"/>
      <c r="BD45" s="36">
        <f>BD43+BD44</f>
        <v>0</v>
      </c>
      <c r="BE45" s="5"/>
      <c r="BF45" s="36">
        <f>BF43+BF44</f>
        <v>0</v>
      </c>
      <c r="BG45" s="36">
        <f>BG43+BG44</f>
        <v>0</v>
      </c>
      <c r="BI45" s="36">
        <f>BI43+BI44</f>
        <v>0</v>
      </c>
      <c r="BK45" s="36">
        <f>BK43+BK44</f>
        <v>0</v>
      </c>
      <c r="BM45" s="36">
        <f>BM43+BM44</f>
        <v>0</v>
      </c>
      <c r="BO45" s="36">
        <f>BO43+BO44</f>
        <v>0</v>
      </c>
    </row>
    <row r="46" spans="1:67" x14ac:dyDescent="0.25">
      <c r="A46" s="7" t="s">
        <v>42</v>
      </c>
      <c r="B46" s="36">
        <f>B41+B45</f>
        <v>2367723</v>
      </c>
      <c r="C46" s="32"/>
      <c r="D46" s="36">
        <f>D41+D45</f>
        <v>2434680</v>
      </c>
      <c r="E46" s="36"/>
      <c r="F46" s="36">
        <f>F41+F45</f>
        <v>2889847</v>
      </c>
      <c r="G46" s="32"/>
      <c r="H46" s="31">
        <f t="shared" si="3"/>
        <v>522124</v>
      </c>
      <c r="I46" s="31"/>
      <c r="J46" s="36">
        <f>J41+J45</f>
        <v>2434680</v>
      </c>
      <c r="K46" s="36"/>
      <c r="L46" s="36">
        <f>L41+L45</f>
        <v>2853982</v>
      </c>
      <c r="M46" s="32"/>
      <c r="N46" s="31"/>
      <c r="P46" s="36">
        <f>P41+P45</f>
        <v>3028226</v>
      </c>
      <c r="T46" s="36">
        <f>T41+T45</f>
        <v>2835710</v>
      </c>
      <c r="U46" s="7">
        <f t="shared" si="4"/>
        <v>-192516</v>
      </c>
      <c r="Y46" s="36">
        <f>Y41+Y45</f>
        <v>2893565</v>
      </c>
      <c r="Z46" s="7">
        <f t="shared" si="5"/>
        <v>57855</v>
      </c>
      <c r="AE46" s="36">
        <f>AE41+AE45</f>
        <v>2872260</v>
      </c>
      <c r="AF46" s="31">
        <f>AE46-Y46</f>
        <v>-21305</v>
      </c>
      <c r="AH46" s="36">
        <f>AH41+AH45</f>
        <v>2144108</v>
      </c>
      <c r="AJ46" s="36">
        <f>AJ41+AJ45</f>
        <v>2428264</v>
      </c>
      <c r="AL46" s="36">
        <f>AL41+AL45</f>
        <v>3034337</v>
      </c>
      <c r="AN46" s="36">
        <f>AN41+AN45</f>
        <v>3704664</v>
      </c>
      <c r="AO46" s="36"/>
      <c r="AP46" s="36">
        <f>AP41+AP45</f>
        <v>4046029</v>
      </c>
      <c r="AR46" s="36">
        <f>AR41+AR45</f>
        <v>4572921</v>
      </c>
      <c r="AT46" s="36">
        <f>AT41+AT45</f>
        <v>5314789</v>
      </c>
      <c r="AV46" s="36">
        <f>AV41+AV45</f>
        <v>5793983</v>
      </c>
      <c r="AX46" s="36">
        <f>AX41+AX45</f>
        <v>6375820</v>
      </c>
      <c r="AZ46" s="36">
        <f>AZ41+AZ45</f>
        <v>6662867</v>
      </c>
      <c r="BA46" s="5"/>
      <c r="BB46" s="36">
        <f>BB41+BB45</f>
        <v>6662867</v>
      </c>
      <c r="BC46" s="5"/>
      <c r="BD46" s="36">
        <f>BD41+BD45</f>
        <v>6662867</v>
      </c>
      <c r="BE46" s="5"/>
      <c r="BF46" s="36">
        <f>BF41+BF45</f>
        <v>6662867</v>
      </c>
      <c r="BG46" s="36">
        <f>BG41+BG45</f>
        <v>6662867</v>
      </c>
      <c r="BI46" s="36">
        <f>BI41+BI45</f>
        <v>6662867</v>
      </c>
      <c r="BK46" s="36">
        <f>BK41+BK45</f>
        <v>6662867</v>
      </c>
      <c r="BM46" s="36">
        <f>BM41+BM45</f>
        <v>6662867</v>
      </c>
      <c r="BO46" s="36">
        <f>BO41+BO45</f>
        <v>6662867</v>
      </c>
    </row>
    <row r="47" spans="1:67" x14ac:dyDescent="0.25">
      <c r="A47" s="7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P47" s="32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>
        <v>6</v>
      </c>
      <c r="AG47" s="3"/>
      <c r="AH47" s="32"/>
      <c r="AI47" s="3"/>
      <c r="AJ47" s="32"/>
      <c r="AK47" s="3"/>
      <c r="AL47" s="32"/>
      <c r="AM47" s="3"/>
      <c r="AN47" s="32"/>
      <c r="AO47" s="32"/>
      <c r="AP47" s="32"/>
      <c r="AR47" s="32"/>
      <c r="AT47" s="32"/>
      <c r="AV47" s="32"/>
      <c r="AX47" s="32"/>
      <c r="AZ47" s="32"/>
    </row>
    <row r="48" spans="1:67" x14ac:dyDescent="0.25">
      <c r="A48" s="7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P48" s="32">
        <f>+P26-P30</f>
        <v>18155.472000000998</v>
      </c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2">
        <f>+AE26-AE30</f>
        <v>-155577</v>
      </c>
      <c r="AF48" s="3"/>
      <c r="AG48" s="3"/>
      <c r="AH48" s="32">
        <f>+AH26-AH30</f>
        <v>-166167.93642500229</v>
      </c>
      <c r="AI48" s="3"/>
      <c r="AJ48" s="32">
        <f>+AJ26-AJ30</f>
        <v>332085.25252287462</v>
      </c>
      <c r="AK48" s="3"/>
      <c r="AL48" s="32">
        <f>+AL26-AL30</f>
        <v>445224.23895884305</v>
      </c>
      <c r="AM48" s="3"/>
      <c r="AN48" s="32">
        <f>+AN26-AN30</f>
        <v>512993.08559808601</v>
      </c>
      <c r="AO48" s="32"/>
      <c r="AP48" s="32">
        <f>+AP26-AP30</f>
        <v>631760.12307549082</v>
      </c>
      <c r="AR48" s="32">
        <f>+AR26-AR30</f>
        <v>592882.25603284501</v>
      </c>
      <c r="AT48" s="32">
        <f>+AT26-AT30</f>
        <v>787759.46419231035</v>
      </c>
      <c r="AV48" s="32">
        <f>+AV26-AV30</f>
        <v>717589.02731824666</v>
      </c>
      <c r="AX48" s="32">
        <f>+AX26-AX30</f>
        <v>731107.43063147739</v>
      </c>
      <c r="AZ48" s="32">
        <f>+AZ26-AZ30</f>
        <v>751819.30206574313</v>
      </c>
    </row>
    <row r="49" spans="1:52" x14ac:dyDescent="0.25">
      <c r="A49" s="7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P49" s="32">
        <f>+P27-P31</f>
        <v>-79511.219999999972</v>
      </c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2">
        <f>+AE27-AE31</f>
        <v>27650</v>
      </c>
      <c r="AF49" s="3"/>
      <c r="AG49" s="3"/>
      <c r="AH49" s="32">
        <f>+AH27-AH31</f>
        <v>171639.77340000006</v>
      </c>
      <c r="AI49" s="3"/>
      <c r="AJ49" s="32">
        <f>+AJ27-AJ31</f>
        <v>561670.33660200005</v>
      </c>
      <c r="AK49" s="3"/>
      <c r="AL49" s="32">
        <f>+AL27-AL31</f>
        <v>-1484308.3733829402</v>
      </c>
      <c r="AM49" s="3"/>
      <c r="AN49" s="32">
        <f>+AN27-AN31</f>
        <v>-679585.8072977605</v>
      </c>
      <c r="AO49" s="32"/>
      <c r="AP49" s="32">
        <f>+AP27-AP31</f>
        <v>-698093.42853347026</v>
      </c>
      <c r="AR49" s="32">
        <f>+AR27-AR31</f>
        <v>-654287.71348758682</v>
      </c>
      <c r="AT49" s="32">
        <f>+AT27-AT31</f>
        <v>-669040.1519328109</v>
      </c>
      <c r="AV49" s="32">
        <f>+AV27-AV31</f>
        <v>-639014.24739623035</v>
      </c>
      <c r="AX49" s="32">
        <f>+AX27-AX31</f>
        <v>-584890.51754935307</v>
      </c>
      <c r="AZ49" s="32">
        <f>+AZ27-AZ31</f>
        <v>-397841.494609282</v>
      </c>
    </row>
    <row r="50" spans="1:52" ht="22.5" customHeight="1" x14ac:dyDescent="0.25">
      <c r="A50" s="39" t="s">
        <v>45</v>
      </c>
      <c r="B50" s="3"/>
      <c r="D50" s="3"/>
      <c r="E50" s="3"/>
      <c r="F50" s="3"/>
      <c r="H50" s="3"/>
      <c r="I50" s="3"/>
      <c r="J50" s="3"/>
      <c r="K50" s="3"/>
      <c r="L50" s="3"/>
      <c r="N50" s="3"/>
      <c r="P50" s="3"/>
    </row>
    <row r="51" spans="1:52" ht="7.5" customHeight="1" thickBot="1" x14ac:dyDescent="0.3">
      <c r="A51" s="32"/>
    </row>
    <row r="52" spans="1:52" x14ac:dyDescent="0.25">
      <c r="A52" s="3"/>
      <c r="B52" s="8" t="s">
        <v>8</v>
      </c>
      <c r="C52" s="9"/>
      <c r="D52" s="10" t="s">
        <v>9</v>
      </c>
      <c r="E52" s="11" t="s">
        <v>10</v>
      </c>
      <c r="F52" s="12" t="s">
        <v>11</v>
      </c>
      <c r="G52" s="9"/>
      <c r="H52" s="8" t="s">
        <v>12</v>
      </c>
      <c r="I52" s="13"/>
      <c r="J52" s="10" t="s">
        <v>9</v>
      </c>
      <c r="K52" s="11" t="s">
        <v>10</v>
      </c>
      <c r="L52" s="11" t="s">
        <v>11</v>
      </c>
      <c r="M52" s="9"/>
      <c r="N52" s="12" t="s">
        <v>12</v>
      </c>
      <c r="P52" s="8" t="s">
        <v>8</v>
      </c>
      <c r="R52" s="14" t="s">
        <v>9</v>
      </c>
      <c r="S52" s="15" t="s">
        <v>10</v>
      </c>
      <c r="T52" s="16" t="s">
        <v>11</v>
      </c>
      <c r="U52" s="17" t="s">
        <v>13</v>
      </c>
      <c r="V52" s="14" t="s">
        <v>9</v>
      </c>
      <c r="W52" s="15" t="s">
        <v>10</v>
      </c>
      <c r="X52" s="15"/>
      <c r="Y52" s="16" t="s">
        <v>11</v>
      </c>
      <c r="Z52" s="17" t="s">
        <v>13</v>
      </c>
      <c r="AC52" s="14" t="s">
        <v>9</v>
      </c>
      <c r="AD52" s="15" t="s">
        <v>10</v>
      </c>
      <c r="AE52" s="16" t="s">
        <v>11</v>
      </c>
      <c r="AF52" s="17" t="s">
        <v>13</v>
      </c>
      <c r="AH52" s="8" t="s">
        <v>8</v>
      </c>
      <c r="AJ52" s="8" t="s">
        <v>8</v>
      </c>
      <c r="AL52" s="8" t="s">
        <v>8</v>
      </c>
      <c r="AN52" s="8" t="s">
        <v>8</v>
      </c>
      <c r="AO52" s="40"/>
      <c r="AP52" s="12" t="s">
        <v>8</v>
      </c>
      <c r="AR52" s="8" t="s">
        <v>8</v>
      </c>
      <c r="AT52" s="8" t="s">
        <v>8</v>
      </c>
      <c r="AV52" s="8" t="s">
        <v>8</v>
      </c>
      <c r="AX52" s="8" t="s">
        <v>8</v>
      </c>
      <c r="AZ52" s="8" t="s">
        <v>8</v>
      </c>
    </row>
    <row r="53" spans="1:52" ht="15.75" thickBot="1" x14ac:dyDescent="0.3">
      <c r="A53" s="3"/>
      <c r="B53" s="19" t="s">
        <v>14</v>
      </c>
      <c r="C53" s="9"/>
      <c r="D53" s="20" t="s">
        <v>15</v>
      </c>
      <c r="E53" s="21"/>
      <c r="F53" s="22" t="s">
        <v>16</v>
      </c>
      <c r="G53" s="9"/>
      <c r="H53" s="19"/>
      <c r="I53" s="13"/>
      <c r="J53" s="20" t="s">
        <v>17</v>
      </c>
      <c r="K53" s="21"/>
      <c r="L53" s="21" t="s">
        <v>16</v>
      </c>
      <c r="M53" s="9"/>
      <c r="N53" s="22"/>
      <c r="P53" s="19" t="s">
        <v>18</v>
      </c>
      <c r="R53" s="23" t="s">
        <v>19</v>
      </c>
      <c r="S53" s="24"/>
      <c r="T53" s="25" t="s">
        <v>20</v>
      </c>
      <c r="U53" s="26"/>
      <c r="V53" s="23" t="s">
        <v>21</v>
      </c>
      <c r="W53" s="24"/>
      <c r="X53" s="24"/>
      <c r="Y53" s="25" t="s">
        <v>21</v>
      </c>
      <c r="Z53" s="26"/>
      <c r="AC53" s="23" t="s">
        <v>22</v>
      </c>
      <c r="AD53" s="24"/>
      <c r="AE53" s="25" t="s">
        <v>23</v>
      </c>
      <c r="AF53" s="26"/>
      <c r="AH53" s="19" t="s">
        <v>24</v>
      </c>
      <c r="AJ53" s="19" t="s">
        <v>25</v>
      </c>
      <c r="AL53" s="19" t="s">
        <v>26</v>
      </c>
      <c r="AN53" s="19" t="s">
        <v>27</v>
      </c>
      <c r="AO53" s="41"/>
      <c r="AP53" s="22" t="s">
        <v>28</v>
      </c>
      <c r="AR53" s="19" t="s">
        <v>29</v>
      </c>
      <c r="AT53" s="19" t="s">
        <v>30</v>
      </c>
      <c r="AV53" s="19" t="s">
        <v>31</v>
      </c>
      <c r="AX53" s="19" t="s">
        <v>32</v>
      </c>
      <c r="AZ53" s="19" t="s">
        <v>33</v>
      </c>
    </row>
    <row r="54" spans="1:52" x14ac:dyDescent="0.25">
      <c r="A54" s="28" t="s">
        <v>46</v>
      </c>
    </row>
    <row r="55" spans="1:52" x14ac:dyDescent="0.25">
      <c r="A55" s="7" t="s">
        <v>47</v>
      </c>
    </row>
    <row r="56" spans="1:52" s="42" customFormat="1" x14ac:dyDescent="0.25">
      <c r="A56" s="3" t="s">
        <v>48</v>
      </c>
      <c r="B56" s="3">
        <v>2178000</v>
      </c>
      <c r="C56" s="3"/>
      <c r="D56" s="3">
        <f>2188632+4614</f>
        <v>2193246</v>
      </c>
      <c r="E56" s="3">
        <f>F56-D56</f>
        <v>-3246</v>
      </c>
      <c r="F56" s="3">
        <v>2190000</v>
      </c>
      <c r="G56" s="3"/>
      <c r="H56" s="32">
        <f t="shared" ref="H56:H64" si="6">F56-B56</f>
        <v>12000</v>
      </c>
      <c r="I56" s="4"/>
      <c r="J56" s="4">
        <v>2187609</v>
      </c>
      <c r="K56" s="4">
        <f>L56-J56</f>
        <v>2391</v>
      </c>
      <c r="L56" s="4">
        <v>2190000</v>
      </c>
      <c r="M56" s="4"/>
      <c r="N56" s="4">
        <f>L56-F56</f>
        <v>0</v>
      </c>
      <c r="O56" s="3"/>
      <c r="P56" s="3">
        <f>L56*1.036+10</f>
        <v>2268850</v>
      </c>
      <c r="Q56" s="3"/>
      <c r="R56" s="3">
        <v>2276219</v>
      </c>
      <c r="S56" s="3">
        <f>T56-R56</f>
        <v>-219</v>
      </c>
      <c r="T56" s="3">
        <v>2276000</v>
      </c>
      <c r="U56" s="3">
        <f>T56-P56</f>
        <v>7150</v>
      </c>
      <c r="V56" s="3">
        <v>2276934</v>
      </c>
      <c r="W56" s="3">
        <f>Y56-V56</f>
        <v>66</v>
      </c>
      <c r="X56" s="3"/>
      <c r="Y56" s="3">
        <v>2277000</v>
      </c>
      <c r="Z56" s="3">
        <f>Y56-T56</f>
        <v>1000</v>
      </c>
      <c r="AA56" s="3"/>
      <c r="AB56" s="3"/>
      <c r="AC56" s="3">
        <v>2276600</v>
      </c>
      <c r="AD56" s="3">
        <f>AE56-AC56</f>
        <v>0</v>
      </c>
      <c r="AE56" s="3">
        <v>2276600</v>
      </c>
      <c r="AF56" s="3">
        <f>AE56-Y56</f>
        <v>-400</v>
      </c>
      <c r="AG56" s="3"/>
      <c r="AH56" s="3">
        <f>MROUND(AE56*1.034,10)</f>
        <v>2354000</v>
      </c>
      <c r="AI56" s="3"/>
      <c r="AJ56" s="3">
        <f>AH56*1.16</f>
        <v>2730640</v>
      </c>
      <c r="AK56" s="3"/>
      <c r="AL56" s="3">
        <f>AJ56*1.033</f>
        <v>2820751.1199999996</v>
      </c>
      <c r="AM56" s="3">
        <f>AK56*1.033</f>
        <v>0</v>
      </c>
      <c r="AN56" s="3">
        <f>AL56*1.033</f>
        <v>2913835.9069599994</v>
      </c>
      <c r="AO56" s="3"/>
      <c r="AP56" s="3">
        <f>AN56*1.033</f>
        <v>3009992.4918896789</v>
      </c>
      <c r="AQ56" s="3"/>
      <c r="AR56" s="3">
        <f>AP56*1.033</f>
        <v>3109322.2441220381</v>
      </c>
      <c r="AS56" s="3">
        <f>AQ56*1.033</f>
        <v>0</v>
      </c>
      <c r="AT56" s="3">
        <f>AR56*1.033</f>
        <v>3211929.8781780652</v>
      </c>
      <c r="AU56" s="3">
        <f>AS56*1.033</f>
        <v>0</v>
      </c>
      <c r="AV56" s="3">
        <f>AT56*1.033</f>
        <v>3317923.5641579409</v>
      </c>
      <c r="AW56" s="3"/>
      <c r="AX56" s="3">
        <f>AV56*1.033</f>
        <v>3427415.0417751526</v>
      </c>
      <c r="AY56" s="3">
        <f>AW56*1.033</f>
        <v>0</v>
      </c>
      <c r="AZ56" s="3">
        <f>AX56*1.033</f>
        <v>3540519.7381537324</v>
      </c>
    </row>
    <row r="57" spans="1:52" s="42" customFormat="1" x14ac:dyDescent="0.25">
      <c r="A57" s="3" t="s">
        <v>49</v>
      </c>
      <c r="B57" s="3"/>
      <c r="C57" s="3"/>
      <c r="D57" s="3"/>
      <c r="E57" s="3"/>
      <c r="F57" s="3"/>
      <c r="G57" s="3"/>
      <c r="H57" s="32"/>
      <c r="I57" s="4"/>
      <c r="J57" s="4"/>
      <c r="K57" s="4"/>
      <c r="L57" s="4"/>
      <c r="M57" s="4"/>
      <c r="N57" s="4"/>
      <c r="O57" s="3"/>
      <c r="P57" s="3">
        <v>-8000</v>
      </c>
      <c r="Q57" s="3"/>
      <c r="R57" s="3">
        <v>0</v>
      </c>
      <c r="S57" s="3">
        <f t="shared" ref="S57:S64" si="7">T57-R57</f>
        <v>-8000</v>
      </c>
      <c r="T57" s="3">
        <v>-8000</v>
      </c>
      <c r="U57" s="3">
        <f t="shared" ref="U57:U64" si="8">T57-P57</f>
        <v>0</v>
      </c>
      <c r="V57" s="3">
        <v>0</v>
      </c>
      <c r="W57" s="3">
        <f t="shared" ref="W57:W64" si="9">Y57-V57</f>
        <v>-8000</v>
      </c>
      <c r="X57" s="3"/>
      <c r="Y57" s="3">
        <v>-8000</v>
      </c>
      <c r="Z57" s="3">
        <f t="shared" ref="Z57:Z64" si="10">Y57-T57</f>
        <v>0</v>
      </c>
      <c r="AA57" s="3"/>
      <c r="AB57" s="3"/>
      <c r="AC57" s="3">
        <v>0</v>
      </c>
      <c r="AD57" s="3">
        <f t="shared" ref="AD57:AD64" si="11">AE57-AC57</f>
        <v>-8000</v>
      </c>
      <c r="AE57" s="3">
        <v>-8000</v>
      </c>
      <c r="AF57" s="3">
        <f t="shared" ref="AF57:AF64" si="12">AE57-Y57</f>
        <v>0</v>
      </c>
      <c r="AG57" s="3"/>
      <c r="AH57" s="3"/>
      <c r="AI57" s="3"/>
      <c r="AJ57" s="3"/>
      <c r="AK57" s="3"/>
      <c r="AL57" s="3"/>
      <c r="AM57" s="3"/>
      <c r="AN57" s="3"/>
      <c r="AO57" s="3"/>
      <c r="AP57" s="3"/>
      <c r="AR57" s="3"/>
      <c r="AT57" s="3"/>
      <c r="AV57" s="3"/>
      <c r="AW57" s="3"/>
      <c r="AX57" s="3"/>
      <c r="AZ57" s="3"/>
    </row>
    <row r="58" spans="1:52" s="42" customFormat="1" x14ac:dyDescent="0.25">
      <c r="A58" s="3" t="s">
        <v>50</v>
      </c>
      <c r="B58" s="3">
        <f>983260*1.025-842</f>
        <v>1006999.4999999999</v>
      </c>
      <c r="C58" s="3"/>
      <c r="D58" s="3">
        <v>452248</v>
      </c>
      <c r="E58" s="3">
        <f t="shared" ref="E58:E64" si="13">F58-D58</f>
        <v>600069</v>
      </c>
      <c r="F58" s="3">
        <v>1052317</v>
      </c>
      <c r="G58" s="3"/>
      <c r="H58" s="32">
        <f t="shared" si="6"/>
        <v>45317.500000000116</v>
      </c>
      <c r="I58" s="4"/>
      <c r="J58" s="4">
        <v>400046</v>
      </c>
      <c r="K58" s="4">
        <f t="shared" ref="K58:K64" si="14">L58-J58</f>
        <v>652271</v>
      </c>
      <c r="L58" s="4">
        <v>1052317</v>
      </c>
      <c r="M58" s="4"/>
      <c r="N58" s="4">
        <f t="shared" ref="N58:N64" si="15">L58-F58</f>
        <v>0</v>
      </c>
      <c r="O58" s="3"/>
      <c r="P58" s="3">
        <f>L58*1.025+25</f>
        <v>1078649.9249999998</v>
      </c>
      <c r="Q58" s="3"/>
      <c r="R58" s="3">
        <v>0</v>
      </c>
      <c r="S58" s="3">
        <f t="shared" si="7"/>
        <v>1090529</v>
      </c>
      <c r="T58" s="3">
        <v>1090529</v>
      </c>
      <c r="U58" s="3">
        <f t="shared" si="8"/>
        <v>11879.075000000186</v>
      </c>
      <c r="V58" s="3">
        <v>0</v>
      </c>
      <c r="W58" s="3">
        <f t="shared" si="9"/>
        <v>1090529</v>
      </c>
      <c r="X58" s="3"/>
      <c r="Y58" s="3">
        <v>1090529</v>
      </c>
      <c r="Z58" s="3">
        <f t="shared" si="10"/>
        <v>0</v>
      </c>
      <c r="AA58" s="3"/>
      <c r="AB58" s="3"/>
      <c r="AC58" s="3">
        <v>410668</v>
      </c>
      <c r="AD58" s="3">
        <f t="shared" si="11"/>
        <v>679861</v>
      </c>
      <c r="AE58" s="3">
        <v>1090529</v>
      </c>
      <c r="AF58" s="3">
        <f t="shared" si="12"/>
        <v>0</v>
      </c>
      <c r="AG58" s="3"/>
      <c r="AH58" s="3">
        <f>AE58*1.025+8</f>
        <v>1117800.2249999999</v>
      </c>
      <c r="AI58" s="3"/>
      <c r="AJ58" s="3">
        <f>AH58*1.025</f>
        <v>1145745.2306249999</v>
      </c>
      <c r="AK58" s="3"/>
      <c r="AL58" s="3">
        <f>AJ58*1.025</f>
        <v>1174388.8613906247</v>
      </c>
      <c r="AM58" s="3"/>
      <c r="AN58" s="3">
        <f>AL58*1.025</f>
        <v>1203748.5829253902</v>
      </c>
      <c r="AO58" s="3"/>
      <c r="AP58" s="3">
        <f>AN58*1.025</f>
        <v>1233842.2974985249</v>
      </c>
      <c r="AR58" s="3">
        <f>AP58*1.025</f>
        <v>1264688.3549359879</v>
      </c>
      <c r="AT58" s="3">
        <f>AR58*1.025</f>
        <v>1296305.5638093874</v>
      </c>
      <c r="AV58" s="3">
        <f>AT58*1.025</f>
        <v>1328713.2029046221</v>
      </c>
      <c r="AW58" s="3"/>
      <c r="AX58" s="3">
        <f>AV58*1.025</f>
        <v>1361931.0329772376</v>
      </c>
      <c r="AZ58" s="3">
        <f>AX58*1.025</f>
        <v>1395979.3088016685</v>
      </c>
    </row>
    <row r="59" spans="1:52" s="42" customFormat="1" x14ac:dyDescent="0.25">
      <c r="A59" s="3" t="s">
        <v>51</v>
      </c>
      <c r="B59" s="3">
        <f>701345 *1.025-879</f>
        <v>717999.62499999988</v>
      </c>
      <c r="C59" s="3"/>
      <c r="D59" s="3">
        <v>317138</v>
      </c>
      <c r="E59" s="3">
        <f t="shared" si="13"/>
        <v>409335</v>
      </c>
      <c r="F59" s="3">
        <v>726473</v>
      </c>
      <c r="G59" s="3"/>
      <c r="H59" s="32">
        <f t="shared" si="6"/>
        <v>8473.3750000001164</v>
      </c>
      <c r="I59" s="4"/>
      <c r="J59" s="4">
        <v>272890</v>
      </c>
      <c r="K59" s="4">
        <f t="shared" si="14"/>
        <v>453579</v>
      </c>
      <c r="L59" s="4">
        <v>726469</v>
      </c>
      <c r="M59" s="4"/>
      <c r="N59" s="4">
        <f t="shared" si="15"/>
        <v>-4</v>
      </c>
      <c r="O59" s="3"/>
      <c r="P59" s="3">
        <f>L59 *1.025+19</f>
        <v>744649.72499999998</v>
      </c>
      <c r="Q59" s="3"/>
      <c r="R59" s="3">
        <v>0</v>
      </c>
      <c r="S59" s="3">
        <f t="shared" si="7"/>
        <v>721822</v>
      </c>
      <c r="T59" s="3">
        <v>721822</v>
      </c>
      <c r="U59" s="3">
        <f t="shared" si="8"/>
        <v>-22827.724999999977</v>
      </c>
      <c r="V59" s="3"/>
      <c r="W59" s="3">
        <f t="shared" si="9"/>
        <v>721822</v>
      </c>
      <c r="X59" s="3"/>
      <c r="Y59" s="3">
        <v>721822</v>
      </c>
      <c r="Z59" s="3">
        <f t="shared" si="10"/>
        <v>0</v>
      </c>
      <c r="AA59" s="3"/>
      <c r="AB59" s="3"/>
      <c r="AC59" s="3">
        <v>259248</v>
      </c>
      <c r="AD59" s="3">
        <f t="shared" si="11"/>
        <v>462574</v>
      </c>
      <c r="AE59" s="3">
        <v>721822</v>
      </c>
      <c r="AF59" s="3">
        <f t="shared" si="12"/>
        <v>0</v>
      </c>
      <c r="AG59" s="3"/>
      <c r="AH59" s="3">
        <f>P59 *1.025-1266</f>
        <v>761999.9681249999</v>
      </c>
      <c r="AI59" s="3"/>
      <c r="AJ59" s="3">
        <f>AH59 *1.025</f>
        <v>781049.9673281248</v>
      </c>
      <c r="AK59" s="3"/>
      <c r="AL59" s="3">
        <f>AJ59 *1.025</f>
        <v>800576.21651132789</v>
      </c>
      <c r="AM59" s="3"/>
      <c r="AN59" s="3">
        <f>AL59 *1.025</f>
        <v>820590.62192411104</v>
      </c>
      <c r="AO59" s="3"/>
      <c r="AP59" s="3">
        <f>AN59 *1.025</f>
        <v>841105.38747221371</v>
      </c>
      <c r="AR59" s="3">
        <f>AP59 *1.025</f>
        <v>862133.02215901902</v>
      </c>
      <c r="AT59" s="3">
        <f>AR59 *1.025</f>
        <v>883686.34771299444</v>
      </c>
      <c r="AV59" s="3">
        <f>AT59 *1.025</f>
        <v>905778.50640581921</v>
      </c>
      <c r="AX59" s="3">
        <f>AV59 *1.025</f>
        <v>928422.96906596457</v>
      </c>
      <c r="AZ59" s="3">
        <f>AX59 *1.025</f>
        <v>951633.54329261358</v>
      </c>
    </row>
    <row r="60" spans="1:52" x14ac:dyDescent="0.25">
      <c r="A60" s="3" t="s">
        <v>52</v>
      </c>
      <c r="B60" s="3">
        <v>366000</v>
      </c>
      <c r="D60" s="3"/>
      <c r="E60" s="3">
        <f t="shared" si="13"/>
        <v>366000</v>
      </c>
      <c r="F60" s="3">
        <v>366000</v>
      </c>
      <c r="H60" s="32">
        <f t="shared" si="6"/>
        <v>0</v>
      </c>
      <c r="I60" s="4"/>
      <c r="J60" s="4">
        <v>20020</v>
      </c>
      <c r="K60" s="4">
        <f t="shared" si="14"/>
        <v>345980</v>
      </c>
      <c r="L60" s="4">
        <v>366000</v>
      </c>
      <c r="N60" s="4">
        <f t="shared" si="15"/>
        <v>0</v>
      </c>
      <c r="P60" s="3">
        <v>372000</v>
      </c>
      <c r="Q60" s="3"/>
      <c r="R60" s="3">
        <v>0</v>
      </c>
      <c r="S60" s="3">
        <f t="shared" si="7"/>
        <v>372000</v>
      </c>
      <c r="T60" s="3">
        <v>372000</v>
      </c>
      <c r="U60" s="3">
        <f t="shared" si="8"/>
        <v>0</v>
      </c>
      <c r="V60" s="3"/>
      <c r="W60" s="3">
        <f t="shared" si="9"/>
        <v>430520</v>
      </c>
      <c r="X60" s="3"/>
      <c r="Y60" s="3">
        <v>430520</v>
      </c>
      <c r="Z60" s="3">
        <f t="shared" si="10"/>
        <v>58520</v>
      </c>
      <c r="AA60" s="3"/>
      <c r="AB60" s="3"/>
      <c r="AC60" s="3">
        <v>199765</v>
      </c>
      <c r="AD60" s="3">
        <f t="shared" si="11"/>
        <v>290235</v>
      </c>
      <c r="AE60" s="3">
        <v>490000</v>
      </c>
      <c r="AF60" s="3">
        <f t="shared" si="12"/>
        <v>59480</v>
      </c>
      <c r="AG60" s="3"/>
      <c r="AH60" s="3">
        <v>319000</v>
      </c>
      <c r="AI60" s="3"/>
      <c r="AJ60" s="3">
        <v>370000</v>
      </c>
      <c r="AK60" s="3"/>
      <c r="AL60" s="3">
        <v>476000</v>
      </c>
      <c r="AM60" s="3"/>
      <c r="AN60" s="3">
        <v>476000</v>
      </c>
      <c r="AO60" s="3"/>
      <c r="AP60" s="3">
        <v>476000</v>
      </c>
      <c r="AQ60" s="42"/>
      <c r="AR60" s="3">
        <v>450000</v>
      </c>
      <c r="AS60" s="42"/>
      <c r="AT60" s="3">
        <v>450000</v>
      </c>
      <c r="AU60" s="42"/>
      <c r="AV60" s="3">
        <v>450000</v>
      </c>
      <c r="AW60" s="42"/>
      <c r="AX60" s="3">
        <v>450000</v>
      </c>
      <c r="AY60" s="42"/>
      <c r="AZ60" s="3">
        <v>450000</v>
      </c>
    </row>
    <row r="61" spans="1:52" x14ac:dyDescent="0.25">
      <c r="A61" s="3" t="s">
        <v>53</v>
      </c>
      <c r="B61" s="3"/>
      <c r="D61" s="3"/>
      <c r="E61" s="3">
        <f t="shared" si="13"/>
        <v>0</v>
      </c>
      <c r="F61" s="3"/>
      <c r="H61" s="32">
        <f t="shared" si="6"/>
        <v>0</v>
      </c>
      <c r="I61" s="4"/>
      <c r="J61" s="4"/>
      <c r="K61" s="4">
        <f t="shared" si="14"/>
        <v>0</v>
      </c>
      <c r="L61" s="4"/>
      <c r="N61" s="4">
        <f t="shared" si="15"/>
        <v>0</v>
      </c>
      <c r="P61" s="3"/>
      <c r="Q61" s="3"/>
      <c r="R61" s="3"/>
      <c r="S61" s="3">
        <f t="shared" si="7"/>
        <v>0</v>
      </c>
      <c r="T61" s="3"/>
      <c r="U61" s="3">
        <f t="shared" si="8"/>
        <v>0</v>
      </c>
      <c r="V61" s="3"/>
      <c r="W61" s="3">
        <f t="shared" si="9"/>
        <v>0</v>
      </c>
      <c r="X61" s="3"/>
      <c r="Y61" s="3"/>
      <c r="Z61" s="3">
        <f t="shared" si="10"/>
        <v>0</v>
      </c>
      <c r="AA61" s="3"/>
      <c r="AB61" s="3"/>
      <c r="AC61" s="3"/>
      <c r="AD61" s="3">
        <f t="shared" si="11"/>
        <v>0</v>
      </c>
      <c r="AE61" s="3"/>
      <c r="AF61" s="3">
        <f t="shared" si="12"/>
        <v>0</v>
      </c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42"/>
      <c r="AR61" s="3"/>
      <c r="AS61" s="42"/>
      <c r="AT61" s="3"/>
      <c r="AU61" s="42"/>
      <c r="AV61" s="3"/>
      <c r="AW61" s="42"/>
      <c r="AX61" s="3"/>
      <c r="AY61" s="42"/>
      <c r="AZ61" s="3"/>
    </row>
    <row r="62" spans="1:52" x14ac:dyDescent="0.25">
      <c r="A62" s="3" t="s">
        <v>54</v>
      </c>
      <c r="B62" s="3"/>
      <c r="D62" s="3"/>
      <c r="E62" s="3">
        <f t="shared" si="13"/>
        <v>0</v>
      </c>
      <c r="F62" s="3"/>
      <c r="H62" s="32">
        <f t="shared" si="6"/>
        <v>0</v>
      </c>
      <c r="I62" s="4"/>
      <c r="J62" s="4"/>
      <c r="K62" s="4">
        <f t="shared" si="14"/>
        <v>0</v>
      </c>
      <c r="L62" s="4"/>
      <c r="N62" s="4">
        <f t="shared" si="15"/>
        <v>0</v>
      </c>
      <c r="P62" s="3"/>
      <c r="Q62" s="3"/>
      <c r="R62" s="3"/>
      <c r="S62" s="3">
        <f t="shared" si="7"/>
        <v>0</v>
      </c>
      <c r="T62" s="3"/>
      <c r="U62" s="3">
        <f t="shared" si="8"/>
        <v>0</v>
      </c>
      <c r="V62" s="3"/>
      <c r="W62" s="3">
        <f t="shared" si="9"/>
        <v>0</v>
      </c>
      <c r="X62" s="3"/>
      <c r="Y62" s="3"/>
      <c r="Z62" s="3">
        <f t="shared" si="10"/>
        <v>0</v>
      </c>
      <c r="AA62" s="3"/>
      <c r="AB62" s="3"/>
      <c r="AC62" s="3"/>
      <c r="AD62" s="3">
        <f t="shared" si="11"/>
        <v>0</v>
      </c>
      <c r="AE62" s="3"/>
      <c r="AF62" s="3">
        <f t="shared" si="12"/>
        <v>0</v>
      </c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42"/>
      <c r="AR62" s="3"/>
      <c r="AS62" s="42"/>
      <c r="AT62" s="3"/>
      <c r="AU62" s="42"/>
      <c r="AV62" s="3"/>
      <c r="AW62" s="42"/>
      <c r="AX62" s="3"/>
      <c r="AY62" s="42"/>
      <c r="AZ62" s="3"/>
    </row>
    <row r="63" spans="1:52" x14ac:dyDescent="0.25">
      <c r="A63" s="3" t="s">
        <v>55</v>
      </c>
      <c r="B63" s="3">
        <v>18500</v>
      </c>
      <c r="D63" s="3"/>
      <c r="E63" s="3">
        <f t="shared" si="13"/>
        <v>18500</v>
      </c>
      <c r="F63" s="3">
        <v>18500</v>
      </c>
      <c r="H63" s="32">
        <f t="shared" si="6"/>
        <v>0</v>
      </c>
      <c r="I63" s="4"/>
      <c r="J63" s="4">
        <v>0</v>
      </c>
      <c r="K63" s="4">
        <f t="shared" si="14"/>
        <v>18500</v>
      </c>
      <c r="L63" s="4">
        <v>18500</v>
      </c>
      <c r="N63" s="4">
        <f t="shared" si="15"/>
        <v>0</v>
      </c>
      <c r="P63" s="3">
        <f>L63*1.02-20</f>
        <v>18850</v>
      </c>
      <c r="Q63" s="3"/>
      <c r="R63" s="3">
        <v>0</v>
      </c>
      <c r="S63" s="3">
        <f t="shared" si="7"/>
        <v>18850</v>
      </c>
      <c r="T63" s="3">
        <v>18850</v>
      </c>
      <c r="U63" s="3">
        <f t="shared" si="8"/>
        <v>0</v>
      </c>
      <c r="V63" s="3"/>
      <c r="W63" s="3">
        <f t="shared" si="9"/>
        <v>18850</v>
      </c>
      <c r="X63" s="3"/>
      <c r="Y63" s="3">
        <v>18850</v>
      </c>
      <c r="Z63" s="3">
        <f t="shared" si="10"/>
        <v>0</v>
      </c>
      <c r="AA63" s="3"/>
      <c r="AB63" s="3"/>
      <c r="AC63" s="3">
        <v>19525</v>
      </c>
      <c r="AD63" s="3">
        <f t="shared" si="11"/>
        <v>0</v>
      </c>
      <c r="AE63" s="3">
        <v>19525</v>
      </c>
      <c r="AF63" s="3">
        <f t="shared" si="12"/>
        <v>675</v>
      </c>
      <c r="AG63" s="3"/>
      <c r="AH63" s="3">
        <v>19850</v>
      </c>
      <c r="AI63" s="3"/>
      <c r="AJ63" s="3">
        <f>AH63*1.02</f>
        <v>20247</v>
      </c>
      <c r="AK63" s="3"/>
      <c r="AL63" s="3">
        <f>AJ63*1.02</f>
        <v>20651.939999999999</v>
      </c>
      <c r="AM63" s="3"/>
      <c r="AN63" s="3">
        <f>AL63*1.02</f>
        <v>21064.978800000001</v>
      </c>
      <c r="AO63" s="3"/>
      <c r="AP63" s="3">
        <f>AN63*1.02</f>
        <v>21486.278376000002</v>
      </c>
      <c r="AQ63" s="42"/>
      <c r="AR63" s="3">
        <f>AP63*1.02</f>
        <v>21916.003943520001</v>
      </c>
      <c r="AS63" s="42"/>
      <c r="AT63" s="3">
        <f>AR63*1.02</f>
        <v>22354.324022390403</v>
      </c>
      <c r="AU63" s="42"/>
      <c r="AV63" s="3">
        <f>AT63*1.02</f>
        <v>22801.410502838211</v>
      </c>
      <c r="AW63" s="42"/>
      <c r="AX63" s="3">
        <f>AV63*1.02</f>
        <v>23257.438712894975</v>
      </c>
      <c r="AY63" s="42"/>
      <c r="AZ63" s="3">
        <f>AX63*1.02</f>
        <v>23722.587487152876</v>
      </c>
    </row>
    <row r="64" spans="1:52" x14ac:dyDescent="0.25">
      <c r="A64" s="234" t="s">
        <v>56</v>
      </c>
      <c r="B64" s="3">
        <f>130000+20000</f>
        <v>150000</v>
      </c>
      <c r="D64" s="3">
        <v>87329</v>
      </c>
      <c r="E64" s="3">
        <f t="shared" si="13"/>
        <v>72671</v>
      </c>
      <c r="F64" s="3">
        <v>160000</v>
      </c>
      <c r="H64" s="32">
        <f t="shared" si="6"/>
        <v>10000</v>
      </c>
      <c r="I64" s="4"/>
      <c r="J64" s="4">
        <v>102747</v>
      </c>
      <c r="K64" s="4">
        <f t="shared" si="14"/>
        <v>57253</v>
      </c>
      <c r="L64" s="4">
        <v>160000</v>
      </c>
      <c r="N64" s="4">
        <f t="shared" si="15"/>
        <v>0</v>
      </c>
      <c r="P64" s="3">
        <v>160000</v>
      </c>
      <c r="Q64" s="3"/>
      <c r="R64" s="3">
        <f>9641+73375</f>
        <v>83016</v>
      </c>
      <c r="S64" s="3">
        <f t="shared" si="7"/>
        <v>91984</v>
      </c>
      <c r="T64" s="3">
        <v>175000</v>
      </c>
      <c r="U64" s="3">
        <f t="shared" si="8"/>
        <v>15000</v>
      </c>
      <c r="V64" s="3">
        <v>72865</v>
      </c>
      <c r="W64" s="3">
        <f t="shared" si="9"/>
        <v>102135</v>
      </c>
      <c r="X64" s="3"/>
      <c r="Y64" s="3">
        <v>175000</v>
      </c>
      <c r="Z64" s="3">
        <f t="shared" si="10"/>
        <v>0</v>
      </c>
      <c r="AA64" s="3"/>
      <c r="AB64" s="3"/>
      <c r="AC64" s="3">
        <f>22455+154751</f>
        <v>177206</v>
      </c>
      <c r="AD64" s="3">
        <f t="shared" si="11"/>
        <v>-2206</v>
      </c>
      <c r="AE64" s="3">
        <v>175000</v>
      </c>
      <c r="AF64" s="3">
        <f t="shared" si="12"/>
        <v>0</v>
      </c>
      <c r="AG64" s="3"/>
      <c r="AH64" s="234">
        <v>160000</v>
      </c>
      <c r="AI64" s="3"/>
      <c r="AJ64" s="3">
        <v>160000</v>
      </c>
      <c r="AK64" s="3"/>
      <c r="AL64" s="3">
        <f>AJ64+5000</f>
        <v>165000</v>
      </c>
      <c r="AM64" s="3"/>
      <c r="AN64" s="3">
        <f>AL64+5000</f>
        <v>170000</v>
      </c>
      <c r="AO64" s="3"/>
      <c r="AP64" s="3">
        <f>AN64+5000</f>
        <v>175000</v>
      </c>
      <c r="AQ64" s="42"/>
      <c r="AR64" s="3">
        <f>AP64+5000</f>
        <v>180000</v>
      </c>
      <c r="AS64" s="42"/>
      <c r="AT64" s="3">
        <f>AR64+5000</f>
        <v>185000</v>
      </c>
      <c r="AU64" s="42"/>
      <c r="AV64" s="3">
        <f>AT64+5000</f>
        <v>190000</v>
      </c>
      <c r="AW64" s="42"/>
      <c r="AX64" s="3">
        <f>AV64+5000</f>
        <v>195000</v>
      </c>
      <c r="AY64" s="42"/>
      <c r="AZ64" s="3">
        <f>AX64+5000</f>
        <v>200000</v>
      </c>
    </row>
    <row r="65" spans="1:68" x14ac:dyDescent="0.25">
      <c r="A65" s="3" t="s">
        <v>57</v>
      </c>
    </row>
    <row r="66" spans="1:68" ht="15.75" thickBot="1" x14ac:dyDescent="0.3">
      <c r="A66" s="3"/>
      <c r="B66" s="43">
        <f>SUM(B56:B65)</f>
        <v>4437499.125</v>
      </c>
      <c r="C66" s="32"/>
      <c r="D66" s="43">
        <f>SUM(D56:D65)</f>
        <v>3049961</v>
      </c>
      <c r="E66" s="43">
        <f>SUM(E56:E65)</f>
        <v>1463329</v>
      </c>
      <c r="F66" s="43">
        <f>SUM(F56:F65)</f>
        <v>4513290</v>
      </c>
      <c r="G66" s="32"/>
      <c r="H66" s="43">
        <f>SUM(H56:H65)</f>
        <v>75790.875000000233</v>
      </c>
      <c r="I66" s="36"/>
      <c r="J66" s="43">
        <f>SUM(J56:J65)</f>
        <v>2983312</v>
      </c>
      <c r="K66" s="43">
        <f>SUM(K56:K65)</f>
        <v>1529974</v>
      </c>
      <c r="L66" s="43">
        <f>SUM(L56:L65)</f>
        <v>4513286</v>
      </c>
      <c r="M66" s="32"/>
      <c r="N66" s="43">
        <f>SUM(N56:N65)</f>
        <v>-4</v>
      </c>
      <c r="O66" s="44"/>
      <c r="P66" s="43">
        <f>SUM(P56:P65)</f>
        <v>4634999.6500000004</v>
      </c>
      <c r="R66" s="43">
        <f t="shared" ref="R66:Z66" si="16">SUM(R56:R65)</f>
        <v>2359235</v>
      </c>
      <c r="S66" s="43">
        <f t="shared" si="16"/>
        <v>2286966</v>
      </c>
      <c r="T66" s="43">
        <f t="shared" si="16"/>
        <v>4646201</v>
      </c>
      <c r="U66" s="43">
        <f t="shared" si="16"/>
        <v>11201.35000000021</v>
      </c>
      <c r="V66" s="43">
        <f t="shared" si="16"/>
        <v>2349799</v>
      </c>
      <c r="W66" s="43">
        <f t="shared" si="16"/>
        <v>2355922</v>
      </c>
      <c r="X66" s="43"/>
      <c r="Y66" s="43">
        <f t="shared" si="16"/>
        <v>4705721</v>
      </c>
      <c r="Z66" s="43">
        <f t="shared" si="16"/>
        <v>59520</v>
      </c>
      <c r="AC66" s="43">
        <f>SUM(AC56:AC65)</f>
        <v>3343012</v>
      </c>
      <c r="AD66" s="43">
        <f>SUM(AD56:AD65)</f>
        <v>1422464</v>
      </c>
      <c r="AE66" s="43">
        <f>SUM(AE56:AE65)</f>
        <v>4765476</v>
      </c>
      <c r="AF66" s="43">
        <f>SUM(AF56:AF65)</f>
        <v>59755</v>
      </c>
      <c r="AH66" s="43">
        <f>SUM(AH56:AH65)</f>
        <v>4732650.1931249993</v>
      </c>
      <c r="AJ66" s="43">
        <f>SUM(AJ56:AJ65)</f>
        <v>5207682.1979531245</v>
      </c>
      <c r="AL66" s="43">
        <f>SUM(AL56:AL65)+1</f>
        <v>5457369.1379019525</v>
      </c>
      <c r="AN66" s="43">
        <f>SUM(AN56:AN65)</f>
        <v>5605240.0906095002</v>
      </c>
      <c r="AO66" s="43"/>
      <c r="AP66" s="43">
        <f>SUM(AP56:AP65)</f>
        <v>5757426.4552364182</v>
      </c>
      <c r="AR66" s="43">
        <f>SUM(AR56:AR65)</f>
        <v>5888059.6251605656</v>
      </c>
      <c r="AT66" s="43">
        <f>SUM(AT56:AT65)</f>
        <v>6049276.1137228375</v>
      </c>
      <c r="AV66" s="43">
        <f>SUM(AV56:AV65)</f>
        <v>6215216.6839712206</v>
      </c>
      <c r="AX66" s="43">
        <f>SUM(AX56:AX65)</f>
        <v>6386026.4825312495</v>
      </c>
      <c r="AZ66" s="43">
        <f>SUM(AZ56:AZ65)</f>
        <v>6561855.1777351676</v>
      </c>
      <c r="BA66" s="6">
        <f>+General!BA49</f>
        <v>6143707.5879704608</v>
      </c>
      <c r="BP66" s="5">
        <f>+BA66-AZ66</f>
        <v>-418147.58976470679</v>
      </c>
    </row>
    <row r="67" spans="1:68" s="42" customFormat="1" ht="4.5" customHeight="1" thickTop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4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R67" s="3"/>
      <c r="AT67" s="3"/>
      <c r="AV67" s="3"/>
      <c r="AX67" s="3"/>
      <c r="AZ67" s="3"/>
      <c r="BA67" s="6">
        <f>+General!BA50</f>
        <v>0</v>
      </c>
      <c r="BP67" s="5">
        <f t="shared" ref="BP67:BP132" si="17">+BA67-AZ67</f>
        <v>0</v>
      </c>
    </row>
    <row r="68" spans="1:68" x14ac:dyDescent="0.25">
      <c r="A68" s="7" t="s">
        <v>58</v>
      </c>
      <c r="BA68" s="6">
        <f>+General!BA51</f>
        <v>0</v>
      </c>
      <c r="BP68" s="5">
        <f t="shared" si="17"/>
        <v>0</v>
      </c>
    </row>
    <row r="69" spans="1:68" x14ac:dyDescent="0.25">
      <c r="A69" s="7" t="s">
        <v>59</v>
      </c>
      <c r="BA69" s="6">
        <f>+General!BA52</f>
        <v>0</v>
      </c>
      <c r="BP69" s="5">
        <f t="shared" si="17"/>
        <v>0</v>
      </c>
    </row>
    <row r="70" spans="1:68" x14ac:dyDescent="0.25">
      <c r="A70" s="45" t="s">
        <v>60</v>
      </c>
      <c r="B70" s="3">
        <v>5700</v>
      </c>
      <c r="D70" s="3">
        <v>845</v>
      </c>
      <c r="E70" s="3">
        <f t="shared" ref="E70:E76" si="18">F70-D70</f>
        <v>4855</v>
      </c>
      <c r="F70" s="3">
        <v>5700</v>
      </c>
      <c r="H70" s="32">
        <f t="shared" ref="H70:H76" si="19">F70-B70</f>
        <v>0</v>
      </c>
      <c r="I70" s="32"/>
      <c r="J70" s="4">
        <v>3100</v>
      </c>
      <c r="K70" s="4">
        <f t="shared" ref="K70:K76" si="20">L70-J70</f>
        <v>2600</v>
      </c>
      <c r="L70" s="4">
        <v>5700</v>
      </c>
      <c r="N70" s="4">
        <f t="shared" ref="N70:N76" si="21">L70-F70</f>
        <v>0</v>
      </c>
      <c r="P70" s="3">
        <f>L70*1.025+7</f>
        <v>5849.4999999999991</v>
      </c>
      <c r="Q70" s="3"/>
      <c r="R70" s="3">
        <v>2985</v>
      </c>
      <c r="S70" s="3">
        <f>T70-R70</f>
        <v>3265</v>
      </c>
      <c r="T70" s="3">
        <v>6250</v>
      </c>
      <c r="U70" s="3">
        <f>T70-P70</f>
        <v>400.50000000000091</v>
      </c>
      <c r="V70" s="3">
        <v>5325</v>
      </c>
      <c r="W70" s="3">
        <f t="shared" ref="W70:W76" si="22">Y70-V70</f>
        <v>1675</v>
      </c>
      <c r="X70" s="3"/>
      <c r="Y70" s="3">
        <v>7000</v>
      </c>
      <c r="Z70" s="3">
        <f>Y70-T70</f>
        <v>750</v>
      </c>
      <c r="AA70" s="3"/>
      <c r="AB70" s="3"/>
      <c r="AC70" s="3">
        <v>7315</v>
      </c>
      <c r="AD70" s="3">
        <f t="shared" ref="AD70:AD76" si="23">AE70-AC70</f>
        <v>935</v>
      </c>
      <c r="AE70" s="3">
        <v>8250</v>
      </c>
      <c r="AF70" s="3">
        <f t="shared" ref="AF70:AF76" si="24">AE70-Y70</f>
        <v>1250</v>
      </c>
      <c r="AG70" s="3"/>
      <c r="AH70" s="3">
        <v>8250</v>
      </c>
      <c r="AI70" s="3"/>
      <c r="AJ70" s="3">
        <f>AH70*1.025</f>
        <v>8456.25</v>
      </c>
      <c r="AK70" s="3"/>
      <c r="AL70" s="3">
        <f>AJ70*1.025</f>
        <v>8667.65625</v>
      </c>
      <c r="AM70" s="3"/>
      <c r="AN70" s="3">
        <f>AL70*1.025</f>
        <v>8884.34765625</v>
      </c>
      <c r="AO70" s="3"/>
      <c r="AP70" s="3">
        <f>AN70*1.025</f>
        <v>9106.4563476562489</v>
      </c>
      <c r="AQ70" s="42"/>
      <c r="AR70" s="3">
        <f>AP70*1.025</f>
        <v>9334.117756347654</v>
      </c>
      <c r="AS70" s="42"/>
      <c r="AT70" s="3">
        <f>AR70*1.025</f>
        <v>9567.4707002563446</v>
      </c>
      <c r="AU70" s="42"/>
      <c r="AV70" s="3">
        <f>AT70*1.025</f>
        <v>9806.6574677627523</v>
      </c>
      <c r="AW70" s="42"/>
      <c r="AX70" s="3">
        <f>AV70*1.025</f>
        <v>10051.82390445682</v>
      </c>
      <c r="AZ70" s="3">
        <f>AX70*1.025</f>
        <v>10303.119502068239</v>
      </c>
      <c r="BA70" s="6">
        <f>+General!BA53</f>
        <v>10303.119502068239</v>
      </c>
      <c r="BP70" s="5">
        <f t="shared" si="17"/>
        <v>0</v>
      </c>
    </row>
    <row r="71" spans="1:68" x14ac:dyDescent="0.25">
      <c r="A71" s="45" t="s">
        <v>61</v>
      </c>
      <c r="B71" s="3">
        <v>2250</v>
      </c>
      <c r="D71" s="3">
        <v>750</v>
      </c>
      <c r="E71" s="3">
        <f t="shared" si="18"/>
        <v>1500</v>
      </c>
      <c r="F71" s="3">
        <v>2250</v>
      </c>
      <c r="H71" s="32">
        <f t="shared" si="19"/>
        <v>0</v>
      </c>
      <c r="I71" s="32"/>
      <c r="J71" s="4">
        <v>1045</v>
      </c>
      <c r="K71" s="4">
        <f t="shared" si="20"/>
        <v>1205</v>
      </c>
      <c r="L71" s="4">
        <v>2250</v>
      </c>
      <c r="N71" s="4">
        <f t="shared" si="21"/>
        <v>0</v>
      </c>
      <c r="P71" s="3">
        <f>L71*1.025-6</f>
        <v>2300.25</v>
      </c>
      <c r="Q71" s="3"/>
      <c r="R71" s="3">
        <v>633</v>
      </c>
      <c r="S71" s="3">
        <f t="shared" ref="S71:S76" si="25">T71-R71</f>
        <v>1667</v>
      </c>
      <c r="T71" s="3">
        <v>2300</v>
      </c>
      <c r="U71" s="3">
        <f t="shared" ref="U71:U76" si="26">T71-P71</f>
        <v>-0.25</v>
      </c>
      <c r="V71" s="3">
        <v>915</v>
      </c>
      <c r="W71" s="3">
        <f t="shared" si="22"/>
        <v>1085</v>
      </c>
      <c r="X71" s="3"/>
      <c r="Y71" s="3">
        <v>2000</v>
      </c>
      <c r="Z71" s="3">
        <f t="shared" ref="Z71:Z76" si="27">Y71-T71</f>
        <v>-300</v>
      </c>
      <c r="AA71" s="3"/>
      <c r="AB71" s="3"/>
      <c r="AC71" s="3">
        <v>1420</v>
      </c>
      <c r="AD71" s="3">
        <f t="shared" si="23"/>
        <v>480</v>
      </c>
      <c r="AE71" s="3">
        <v>1900</v>
      </c>
      <c r="AF71" s="3">
        <f t="shared" si="24"/>
        <v>-100</v>
      </c>
      <c r="AG71" s="3"/>
      <c r="AH71" s="3">
        <f>AE71+100</f>
        <v>2000</v>
      </c>
      <c r="AI71" s="3"/>
      <c r="AJ71" s="3">
        <f>AH71*1.025</f>
        <v>2050</v>
      </c>
      <c r="AK71" s="3"/>
      <c r="AL71" s="3">
        <f>AJ71*1.025</f>
        <v>2101.25</v>
      </c>
      <c r="AM71" s="3"/>
      <c r="AN71" s="3">
        <f>AL71*1.025</f>
        <v>2153.78125</v>
      </c>
      <c r="AO71" s="3"/>
      <c r="AP71" s="3">
        <f>AN71*1.025</f>
        <v>2207.6257812499998</v>
      </c>
      <c r="AQ71" s="42"/>
      <c r="AR71" s="3">
        <f>AP71*1.025</f>
        <v>2262.8164257812496</v>
      </c>
      <c r="AS71" s="42"/>
      <c r="AT71" s="3">
        <f>AR71*1.025</f>
        <v>2319.3868364257805</v>
      </c>
      <c r="AU71" s="42"/>
      <c r="AV71" s="3">
        <f>AT71*1.025</f>
        <v>2377.3715073364247</v>
      </c>
      <c r="AW71" s="42"/>
      <c r="AX71" s="3">
        <f>AV71*1.025</f>
        <v>2436.8057950198349</v>
      </c>
      <c r="AZ71" s="3">
        <f>AX71*1.025</f>
        <v>2497.7259398953306</v>
      </c>
      <c r="BA71" s="6">
        <f>+General!BA54</f>
        <v>2497.7259398953306</v>
      </c>
      <c r="BP71" s="5">
        <f t="shared" si="17"/>
        <v>0</v>
      </c>
    </row>
    <row r="72" spans="1:68" x14ac:dyDescent="0.25">
      <c r="A72" s="46" t="s">
        <v>62</v>
      </c>
      <c r="B72" s="3"/>
      <c r="D72" s="3"/>
      <c r="E72" s="3">
        <f t="shared" si="18"/>
        <v>0</v>
      </c>
      <c r="F72" s="3"/>
      <c r="H72" s="32">
        <f t="shared" si="19"/>
        <v>0</v>
      </c>
      <c r="I72" s="32"/>
      <c r="J72" s="4"/>
      <c r="K72" s="4">
        <f t="shared" si="20"/>
        <v>0</v>
      </c>
      <c r="L72" s="4"/>
      <c r="N72" s="4">
        <f t="shared" si="21"/>
        <v>0</v>
      </c>
      <c r="P72" s="3"/>
      <c r="Q72" s="3"/>
      <c r="R72" s="3"/>
      <c r="S72" s="3">
        <f t="shared" si="25"/>
        <v>0</v>
      </c>
      <c r="T72" s="3"/>
      <c r="U72" s="3">
        <f t="shared" si="26"/>
        <v>0</v>
      </c>
      <c r="V72" s="3"/>
      <c r="W72" s="3">
        <f t="shared" si="22"/>
        <v>0</v>
      </c>
      <c r="X72" s="3"/>
      <c r="Y72" s="3"/>
      <c r="Z72" s="3">
        <f t="shared" si="27"/>
        <v>0</v>
      </c>
      <c r="AA72" s="3"/>
      <c r="AB72" s="3"/>
      <c r="AC72" s="3"/>
      <c r="AD72" s="3">
        <f t="shared" si="23"/>
        <v>0</v>
      </c>
      <c r="AE72" s="3"/>
      <c r="AF72" s="3">
        <f t="shared" si="24"/>
        <v>0</v>
      </c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42"/>
      <c r="AR72" s="3"/>
      <c r="AS72" s="42"/>
      <c r="AT72" s="3"/>
      <c r="AU72" s="42"/>
      <c r="AV72" s="3"/>
      <c r="AW72" s="42"/>
      <c r="AX72" s="3"/>
      <c r="AZ72" s="3"/>
      <c r="BA72" s="6">
        <f>+General!BA55</f>
        <v>0</v>
      </c>
      <c r="BP72" s="5">
        <f t="shared" si="17"/>
        <v>0</v>
      </c>
    </row>
    <row r="73" spans="1:68" x14ac:dyDescent="0.25">
      <c r="A73" s="47" t="s">
        <v>63</v>
      </c>
      <c r="B73" s="3">
        <v>20000</v>
      </c>
      <c r="D73" s="3">
        <v>0</v>
      </c>
      <c r="E73" s="3">
        <f t="shared" si="18"/>
        <v>25000</v>
      </c>
      <c r="F73" s="3">
        <v>25000</v>
      </c>
      <c r="H73" s="32">
        <f t="shared" si="19"/>
        <v>5000</v>
      </c>
      <c r="I73" s="32"/>
      <c r="J73" s="4">
        <v>22098</v>
      </c>
      <c r="K73" s="4">
        <f t="shared" si="20"/>
        <v>2902</v>
      </c>
      <c r="L73" s="4">
        <v>25000</v>
      </c>
      <c r="N73" s="4">
        <f t="shared" si="21"/>
        <v>0</v>
      </c>
      <c r="P73" s="3">
        <v>22500</v>
      </c>
      <c r="Q73" s="3"/>
      <c r="R73" s="3">
        <v>22956</v>
      </c>
      <c r="S73" s="3">
        <f t="shared" si="25"/>
        <v>38394</v>
      </c>
      <c r="T73" s="3">
        <v>61350</v>
      </c>
      <c r="U73" s="3">
        <f t="shared" si="26"/>
        <v>38850</v>
      </c>
      <c r="V73" s="3">
        <v>76130</v>
      </c>
      <c r="W73" s="3">
        <f t="shared" si="22"/>
        <v>0</v>
      </c>
      <c r="X73" s="3"/>
      <c r="Y73" s="3">
        <v>76130</v>
      </c>
      <c r="Z73" s="3">
        <f t="shared" si="27"/>
        <v>14780</v>
      </c>
      <c r="AA73" s="3"/>
      <c r="AB73" s="3"/>
      <c r="AC73" s="3">
        <v>76580</v>
      </c>
      <c r="AD73" s="3">
        <f t="shared" si="23"/>
        <v>6420</v>
      </c>
      <c r="AE73" s="3">
        <v>83000</v>
      </c>
      <c r="AF73" s="3">
        <f t="shared" si="24"/>
        <v>6870</v>
      </c>
      <c r="AG73" s="3"/>
      <c r="AH73" s="3">
        <v>40000</v>
      </c>
      <c r="AI73" s="3"/>
      <c r="AJ73" s="3">
        <f>AH73*1.025</f>
        <v>41000</v>
      </c>
      <c r="AK73" s="3"/>
      <c r="AL73" s="3">
        <f>AJ73*1.025</f>
        <v>42024.999999999993</v>
      </c>
      <c r="AM73" s="3"/>
      <c r="AN73" s="3">
        <f>AL73*1.025</f>
        <v>43075.624999999985</v>
      </c>
      <c r="AO73" s="3"/>
      <c r="AP73" s="3">
        <f>AN73*1.025</f>
        <v>44152.515624999978</v>
      </c>
      <c r="AQ73" s="42"/>
      <c r="AR73" s="3">
        <f>AP73*1.025</f>
        <v>45256.328515624977</v>
      </c>
      <c r="AS73" s="42"/>
      <c r="AT73" s="3">
        <f>AR73*1.025</f>
        <v>46387.7367285156</v>
      </c>
      <c r="AU73" s="42"/>
      <c r="AV73" s="3">
        <f>AT73*1.025</f>
        <v>47547.430146728482</v>
      </c>
      <c r="AW73" s="42"/>
      <c r="AX73" s="3">
        <f>AV73*1.025</f>
        <v>48736.11590039669</v>
      </c>
      <c r="AZ73" s="3">
        <f>AX73*1.025</f>
        <v>49954.518797906603</v>
      </c>
      <c r="BA73" s="6">
        <f>+General!BA56</f>
        <v>49954.518797906603</v>
      </c>
      <c r="BP73" s="5">
        <f t="shared" si="17"/>
        <v>0</v>
      </c>
    </row>
    <row r="74" spans="1:68" x14ac:dyDescent="0.25">
      <c r="A74" s="45" t="s">
        <v>64</v>
      </c>
      <c r="B74" s="3"/>
      <c r="D74" s="3"/>
      <c r="E74" s="3">
        <f t="shared" si="18"/>
        <v>0</v>
      </c>
      <c r="F74" s="3"/>
      <c r="H74" s="32">
        <f t="shared" si="19"/>
        <v>0</v>
      </c>
      <c r="I74" s="32"/>
      <c r="J74" s="4"/>
      <c r="K74" s="4">
        <f t="shared" si="20"/>
        <v>0</v>
      </c>
      <c r="L74" s="4"/>
      <c r="N74" s="4">
        <f t="shared" si="21"/>
        <v>0</v>
      </c>
      <c r="P74" s="3"/>
      <c r="Q74" s="3"/>
      <c r="R74" s="3"/>
      <c r="S74" s="3">
        <f t="shared" si="25"/>
        <v>0</v>
      </c>
      <c r="T74" s="3"/>
      <c r="U74" s="3">
        <f t="shared" si="26"/>
        <v>0</v>
      </c>
      <c r="V74" s="3"/>
      <c r="W74" s="3">
        <f t="shared" si="22"/>
        <v>0</v>
      </c>
      <c r="X74" s="3"/>
      <c r="Y74" s="3"/>
      <c r="Z74" s="3">
        <f t="shared" si="27"/>
        <v>0</v>
      </c>
      <c r="AA74" s="3"/>
      <c r="AB74" s="3"/>
      <c r="AC74" s="3"/>
      <c r="AD74" s="3">
        <f t="shared" si="23"/>
        <v>0</v>
      </c>
      <c r="AE74" s="3"/>
      <c r="AF74" s="3">
        <f t="shared" si="24"/>
        <v>0</v>
      </c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42"/>
      <c r="AR74" s="3"/>
      <c r="AS74" s="42"/>
      <c r="AT74" s="3"/>
      <c r="AU74" s="42"/>
      <c r="AV74" s="3"/>
      <c r="AW74" s="42"/>
      <c r="AX74" s="3"/>
      <c r="AZ74" s="3"/>
      <c r="BA74" s="6">
        <f>+General!BA57</f>
        <v>0</v>
      </c>
      <c r="BP74" s="5">
        <f t="shared" si="17"/>
        <v>0</v>
      </c>
    </row>
    <row r="75" spans="1:68" x14ac:dyDescent="0.25">
      <c r="A75" s="45" t="s">
        <v>65</v>
      </c>
      <c r="B75" s="3"/>
      <c r="D75" s="3"/>
      <c r="E75" s="3"/>
      <c r="F75" s="3"/>
      <c r="H75" s="32"/>
      <c r="I75" s="32"/>
      <c r="J75" s="4"/>
      <c r="K75" s="4"/>
      <c r="L75" s="4"/>
      <c r="N75" s="4"/>
      <c r="P75" s="3">
        <v>12500</v>
      </c>
      <c r="Q75" s="3"/>
      <c r="R75" s="3"/>
      <c r="S75" s="3">
        <f t="shared" si="25"/>
        <v>12500</v>
      </c>
      <c r="T75" s="3">
        <v>12500</v>
      </c>
      <c r="U75" s="3">
        <f t="shared" si="26"/>
        <v>0</v>
      </c>
      <c r="V75" s="3"/>
      <c r="W75" s="3">
        <f t="shared" si="22"/>
        <v>12500</v>
      </c>
      <c r="X75" s="3"/>
      <c r="Y75" s="3">
        <v>12500</v>
      </c>
      <c r="Z75" s="3">
        <f t="shared" si="27"/>
        <v>0</v>
      </c>
      <c r="AA75" s="3"/>
      <c r="AB75" s="3"/>
      <c r="AC75" s="3">
        <v>0</v>
      </c>
      <c r="AD75" s="3">
        <f t="shared" si="23"/>
        <v>0</v>
      </c>
      <c r="AE75" s="3">
        <v>0</v>
      </c>
      <c r="AF75" s="3">
        <f t="shared" si="24"/>
        <v>-12500</v>
      </c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42"/>
      <c r="AR75" s="3"/>
      <c r="AS75" s="42"/>
      <c r="AT75" s="3"/>
      <c r="AU75" s="42"/>
      <c r="AV75" s="3"/>
      <c r="AW75" s="42"/>
      <c r="AX75" s="3"/>
      <c r="AZ75" s="3"/>
      <c r="BA75" s="6">
        <f>+General!BA58</f>
        <v>0</v>
      </c>
      <c r="BP75" s="5">
        <f t="shared" si="17"/>
        <v>0</v>
      </c>
    </row>
    <row r="76" spans="1:68" x14ac:dyDescent="0.25">
      <c r="A76" s="46" t="s">
        <v>66</v>
      </c>
      <c r="B76" s="3">
        <v>2550</v>
      </c>
      <c r="D76" s="3">
        <v>684</v>
      </c>
      <c r="E76" s="3">
        <f t="shared" si="18"/>
        <v>1866</v>
      </c>
      <c r="F76" s="3">
        <v>2550</v>
      </c>
      <c r="H76" s="32">
        <f t="shared" si="19"/>
        <v>0</v>
      </c>
      <c r="I76" s="32"/>
      <c r="J76" s="4">
        <v>465</v>
      </c>
      <c r="K76" s="4">
        <f t="shared" si="20"/>
        <v>1035</v>
      </c>
      <c r="L76" s="4">
        <v>1500</v>
      </c>
      <c r="N76" s="4">
        <f t="shared" si="21"/>
        <v>-1050</v>
      </c>
      <c r="P76" s="3">
        <f>L76*1.025+12</f>
        <v>1549.4999999999998</v>
      </c>
      <c r="Q76" s="3"/>
      <c r="R76" s="3">
        <v>1647</v>
      </c>
      <c r="S76" s="3">
        <f t="shared" si="25"/>
        <v>353</v>
      </c>
      <c r="T76" s="3">
        <v>2000</v>
      </c>
      <c r="U76" s="3">
        <f t="shared" si="26"/>
        <v>450.50000000000023</v>
      </c>
      <c r="V76" s="3">
        <v>1844</v>
      </c>
      <c r="W76" s="3">
        <f t="shared" si="22"/>
        <v>156</v>
      </c>
      <c r="X76" s="3"/>
      <c r="Y76" s="3">
        <v>2000</v>
      </c>
      <c r="Z76" s="3">
        <f t="shared" si="27"/>
        <v>0</v>
      </c>
      <c r="AA76" s="3"/>
      <c r="AB76" s="3"/>
      <c r="AC76" s="3">
        <v>5194</v>
      </c>
      <c r="AD76" s="3">
        <f t="shared" si="23"/>
        <v>806</v>
      </c>
      <c r="AE76" s="3">
        <v>6000</v>
      </c>
      <c r="AF76" s="3">
        <f t="shared" si="24"/>
        <v>4000</v>
      </c>
      <c r="AG76" s="3"/>
      <c r="AH76" s="3">
        <v>4000</v>
      </c>
      <c r="AI76" s="3"/>
      <c r="AJ76" s="3">
        <f>AH76*1.025</f>
        <v>4100</v>
      </c>
      <c r="AK76" s="3"/>
      <c r="AL76" s="3">
        <f>AJ76*1.025</f>
        <v>4202.5</v>
      </c>
      <c r="AM76" s="3"/>
      <c r="AN76" s="3">
        <f>AL76*1.025</f>
        <v>4307.5625</v>
      </c>
      <c r="AO76" s="3"/>
      <c r="AP76" s="3">
        <f>AN76*1.025</f>
        <v>4415.2515624999996</v>
      </c>
      <c r="AQ76" s="42"/>
      <c r="AR76" s="3">
        <f>AP76*1.025</f>
        <v>4525.6328515624991</v>
      </c>
      <c r="AS76" s="42"/>
      <c r="AT76" s="3">
        <f>AR76*1.025</f>
        <v>4638.7736728515611</v>
      </c>
      <c r="AU76" s="42"/>
      <c r="AV76" s="3">
        <f>AT76*1.025</f>
        <v>4754.7430146728493</v>
      </c>
      <c r="AW76" s="42"/>
      <c r="AX76" s="3">
        <f>AV76*1.025</f>
        <v>4873.6115900396699</v>
      </c>
      <c r="AZ76" s="3">
        <f>AX76*1.025</f>
        <v>4995.4518797906612</v>
      </c>
      <c r="BA76" s="6">
        <f>+General!BA59</f>
        <v>4995.4518797906612</v>
      </c>
      <c r="BP76" s="5">
        <f t="shared" si="17"/>
        <v>0</v>
      </c>
    </row>
    <row r="77" spans="1:68" x14ac:dyDescent="0.25">
      <c r="A77" s="3"/>
      <c r="B77" s="48">
        <f>SUM(B70:B76)</f>
        <v>30500</v>
      </c>
      <c r="C77" s="32"/>
      <c r="D77" s="48">
        <f>SUM(D70:D76)</f>
        <v>2279</v>
      </c>
      <c r="E77" s="48">
        <f>SUM(E70:E76)</f>
        <v>33221</v>
      </c>
      <c r="F77" s="48">
        <f>SUM(F70:F76)</f>
        <v>35500</v>
      </c>
      <c r="G77" s="32"/>
      <c r="H77" s="48">
        <f>SUM(H70:H76)</f>
        <v>5000</v>
      </c>
      <c r="I77" s="36"/>
      <c r="J77" s="48">
        <f t="shared" ref="J77:L78" si="28">SUM(J70:J76)</f>
        <v>26708</v>
      </c>
      <c r="K77" s="48">
        <f t="shared" si="28"/>
        <v>7742</v>
      </c>
      <c r="L77" s="48">
        <f t="shared" si="28"/>
        <v>34450</v>
      </c>
      <c r="M77" s="32"/>
      <c r="N77" s="48">
        <f>SUM(N70:N76)</f>
        <v>-1050</v>
      </c>
      <c r="P77" s="48">
        <f>SUM(P70:P76)+1</f>
        <v>44700.25</v>
      </c>
      <c r="R77" s="48">
        <f>SUM(R70:R76)+1</f>
        <v>28222</v>
      </c>
      <c r="S77" s="48">
        <f>SUM(S70:S76)+1</f>
        <v>56180</v>
      </c>
      <c r="T77" s="48">
        <f>SUM(T70:T76)+1</f>
        <v>84401</v>
      </c>
      <c r="U77" s="48">
        <f>SUM(U70:U76)</f>
        <v>39700.75</v>
      </c>
      <c r="V77" s="48">
        <f>SUM(V70:V76)+1</f>
        <v>84215</v>
      </c>
      <c r="W77" s="48">
        <f>SUM(W70:W76)+1</f>
        <v>15417</v>
      </c>
      <c r="X77" s="48"/>
      <c r="Y77" s="48">
        <f>SUM(Y70:Y76)+1</f>
        <v>99631</v>
      </c>
      <c r="Z77" s="48">
        <f>SUM(Z70:Z76)</f>
        <v>15230</v>
      </c>
      <c r="AC77" s="48">
        <f>SUM(AC70:AC76)+1</f>
        <v>90510</v>
      </c>
      <c r="AD77" s="48">
        <f>SUM(AD70:AD76)+1</f>
        <v>8642</v>
      </c>
      <c r="AE77" s="48">
        <f>SUM(AE70:AE76)+1</f>
        <v>99151</v>
      </c>
      <c r="AF77" s="48">
        <f>SUM(AF70:AF76)+1</f>
        <v>-479</v>
      </c>
      <c r="AH77" s="48">
        <f>SUM(AH70:AH76)</f>
        <v>54250</v>
      </c>
      <c r="AJ77" s="48">
        <f>SUM(AJ70:AJ76)+1</f>
        <v>55607.25</v>
      </c>
      <c r="AL77" s="48">
        <f>SUM(AL70:AL76)</f>
        <v>56996.406249999993</v>
      </c>
      <c r="AN77" s="48">
        <f>SUM(AN70:AN76)</f>
        <v>58421.316406249985</v>
      </c>
      <c r="AO77" s="48"/>
      <c r="AP77" s="48">
        <f>SUM(AP70:AP76)</f>
        <v>59881.849316406231</v>
      </c>
      <c r="AR77" s="48">
        <f>SUM(AR70:AR76)-1</f>
        <v>61377.895549316381</v>
      </c>
      <c r="AT77" s="48">
        <f>SUM(AT70:AT76)-1</f>
        <v>62912.367938049283</v>
      </c>
      <c r="AV77" s="48">
        <f>SUM(AV70:AV76)-1</f>
        <v>64485.202136500513</v>
      </c>
      <c r="AX77" s="48">
        <f>SUM(AX70:AX76)-1</f>
        <v>66097.357189913018</v>
      </c>
      <c r="AZ77" s="48">
        <f>SUM(AZ70:AZ76)-1</f>
        <v>67749.816119660827</v>
      </c>
      <c r="BA77" s="6">
        <f>+General!BA60</f>
        <v>67749.816119660827</v>
      </c>
      <c r="BP77" s="5">
        <f t="shared" si="17"/>
        <v>0</v>
      </c>
    </row>
    <row r="78" spans="1:68" ht="3.75" customHeight="1" x14ac:dyDescent="0.25">
      <c r="A78" s="3"/>
      <c r="J78" s="48">
        <f t="shared" si="28"/>
        <v>50316</v>
      </c>
      <c r="K78" s="48">
        <f t="shared" si="28"/>
        <v>12884</v>
      </c>
      <c r="L78" s="48">
        <f t="shared" si="28"/>
        <v>63200</v>
      </c>
      <c r="M78" s="32"/>
      <c r="N78" s="48">
        <f>SUM(N71:N77)</f>
        <v>-2100</v>
      </c>
      <c r="BA78" s="6">
        <f>+General!BA61</f>
        <v>0</v>
      </c>
      <c r="BP78" s="5">
        <f t="shared" si="17"/>
        <v>0</v>
      </c>
    </row>
    <row r="79" spans="1:68" x14ac:dyDescent="0.25">
      <c r="A79" s="7" t="s">
        <v>67</v>
      </c>
      <c r="BA79" s="6">
        <f>+General!BA62</f>
        <v>0</v>
      </c>
      <c r="BP79" s="5">
        <f t="shared" si="17"/>
        <v>0</v>
      </c>
    </row>
    <row r="80" spans="1:68" x14ac:dyDescent="0.25">
      <c r="A80" s="3" t="s">
        <v>68</v>
      </c>
      <c r="B80" s="3">
        <v>1000</v>
      </c>
      <c r="D80" s="3">
        <v>1827</v>
      </c>
      <c r="E80" s="3">
        <f t="shared" ref="E80:E89" si="29">F80-D80</f>
        <v>3</v>
      </c>
      <c r="F80" s="3">
        <v>1830</v>
      </c>
      <c r="H80" s="32">
        <f t="shared" ref="H80:H89" si="30">F80-B80</f>
        <v>830</v>
      </c>
      <c r="I80" s="32"/>
      <c r="J80" s="4">
        <v>1827</v>
      </c>
      <c r="K80" s="4">
        <f t="shared" ref="K80:K89" si="31">L80-J80</f>
        <v>3</v>
      </c>
      <c r="L80" s="4">
        <v>1830</v>
      </c>
      <c r="N80" s="4">
        <f t="shared" ref="N80:N89" si="32">L80-F80</f>
        <v>0</v>
      </c>
      <c r="P80" s="3">
        <v>1500</v>
      </c>
      <c r="Q80" s="3"/>
      <c r="R80" s="3">
        <v>3246</v>
      </c>
      <c r="S80" s="3">
        <f t="shared" ref="S80:S89" si="33">T80-R80</f>
        <v>254</v>
      </c>
      <c r="T80" s="3">
        <v>3500</v>
      </c>
      <c r="U80" s="3">
        <f>T80-P80</f>
        <v>2000</v>
      </c>
      <c r="V80" s="3">
        <v>3254</v>
      </c>
      <c r="W80" s="3">
        <f t="shared" ref="W80:W89" si="34">Y80-V80</f>
        <v>496</v>
      </c>
      <c r="X80" s="3"/>
      <c r="Y80" s="3">
        <v>3750</v>
      </c>
      <c r="Z80" s="3">
        <f>Y80-T80</f>
        <v>250</v>
      </c>
      <c r="AA80" s="3"/>
      <c r="AB80" s="3"/>
      <c r="AC80" s="3">
        <v>3441</v>
      </c>
      <c r="AD80" s="3">
        <f t="shared" ref="AD80:AD89" si="35">AE80-AC80</f>
        <v>309</v>
      </c>
      <c r="AE80" s="3">
        <v>3750</v>
      </c>
      <c r="AF80" s="3">
        <f t="shared" ref="AF80:AF89" si="36">AE80-Y80</f>
        <v>0</v>
      </c>
      <c r="AG80" s="3"/>
      <c r="AH80" s="3">
        <v>1500</v>
      </c>
      <c r="AI80" s="3"/>
      <c r="AJ80" s="3">
        <f>AH80*1.025</f>
        <v>1537.4999999999998</v>
      </c>
      <c r="AK80" s="3"/>
      <c r="AL80" s="3">
        <f>AJ80*1.025</f>
        <v>1575.9374999999995</v>
      </c>
      <c r="AM80" s="3"/>
      <c r="AN80" s="3">
        <f>AL80*1.025</f>
        <v>1615.3359374999993</v>
      </c>
      <c r="AO80" s="3"/>
      <c r="AP80" s="3">
        <f>AN80*1.025</f>
        <v>1655.7193359374992</v>
      </c>
      <c r="AQ80" s="42"/>
      <c r="AR80" s="3">
        <f>AP80*1.025</f>
        <v>1697.1123193359365</v>
      </c>
      <c r="AS80" s="42"/>
      <c r="AT80" s="3">
        <f>AR80*1.025</f>
        <v>1739.5401273193347</v>
      </c>
      <c r="AU80" s="42"/>
      <c r="AV80" s="3">
        <f>AT80*1.025</f>
        <v>1783.028630502318</v>
      </c>
      <c r="AW80" s="42"/>
      <c r="AX80" s="3">
        <f>AV80*1.025</f>
        <v>1827.6043462648759</v>
      </c>
      <c r="AZ80" s="3">
        <f>AX80*1.025</f>
        <v>1873.2944549214976</v>
      </c>
      <c r="BA80" s="6">
        <f>+General!BA63</f>
        <v>1873.2944549214976</v>
      </c>
      <c r="BP80" s="5">
        <f t="shared" si="17"/>
        <v>0</v>
      </c>
    </row>
    <row r="81" spans="1:68" x14ac:dyDescent="0.25">
      <c r="A81" s="3" t="s">
        <v>69</v>
      </c>
      <c r="B81" s="3"/>
      <c r="D81" s="3"/>
      <c r="E81" s="3">
        <f t="shared" si="29"/>
        <v>0</v>
      </c>
      <c r="F81" s="3"/>
      <c r="H81" s="32">
        <f t="shared" si="30"/>
        <v>0</v>
      </c>
      <c r="I81" s="32"/>
      <c r="J81" s="4"/>
      <c r="K81" s="4">
        <f t="shared" si="31"/>
        <v>0</v>
      </c>
      <c r="L81" s="4"/>
      <c r="N81" s="4">
        <f t="shared" si="32"/>
        <v>0</v>
      </c>
      <c r="P81" s="3"/>
      <c r="Q81" s="3"/>
      <c r="R81" s="3"/>
      <c r="S81" s="3"/>
      <c r="T81" s="3"/>
      <c r="U81" s="3"/>
      <c r="V81" s="3"/>
      <c r="W81" s="3">
        <f t="shared" si="34"/>
        <v>0</v>
      </c>
      <c r="X81" s="3"/>
      <c r="Y81" s="3"/>
      <c r="Z81" s="3"/>
      <c r="AA81" s="3"/>
      <c r="AB81" s="3"/>
      <c r="AC81" s="3"/>
      <c r="AD81" s="3">
        <f t="shared" si="35"/>
        <v>0</v>
      </c>
      <c r="AE81" s="3"/>
      <c r="AF81" s="3">
        <f t="shared" si="36"/>
        <v>0</v>
      </c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42"/>
      <c r="AR81" s="3"/>
      <c r="AS81" s="42"/>
      <c r="AT81" s="3"/>
      <c r="AU81" s="42"/>
      <c r="AV81" s="3"/>
      <c r="AW81" s="42"/>
      <c r="AX81" s="3"/>
      <c r="AZ81" s="3"/>
      <c r="BA81" s="6">
        <f>+General!BA64</f>
        <v>0</v>
      </c>
      <c r="BP81" s="5">
        <f t="shared" si="17"/>
        <v>0</v>
      </c>
    </row>
    <row r="82" spans="1:68" x14ac:dyDescent="0.25">
      <c r="A82" s="3" t="s">
        <v>70</v>
      </c>
      <c r="B82" s="3"/>
      <c r="D82" s="3"/>
      <c r="E82" s="3">
        <f t="shared" si="29"/>
        <v>0</v>
      </c>
      <c r="F82" s="3"/>
      <c r="H82" s="32">
        <f t="shared" si="30"/>
        <v>0</v>
      </c>
      <c r="I82" s="32"/>
      <c r="J82" s="4"/>
      <c r="K82" s="4">
        <f t="shared" si="31"/>
        <v>0</v>
      </c>
      <c r="L82" s="4"/>
      <c r="N82" s="4">
        <f t="shared" si="32"/>
        <v>0</v>
      </c>
      <c r="P82" s="3"/>
      <c r="Q82" s="3"/>
      <c r="R82" s="3"/>
      <c r="S82" s="3">
        <f t="shared" si="33"/>
        <v>0</v>
      </c>
      <c r="T82" s="3"/>
      <c r="U82" s="3">
        <f t="shared" ref="U82:U89" si="37">T82-P82</f>
        <v>0</v>
      </c>
      <c r="V82" s="3"/>
      <c r="W82" s="3">
        <f t="shared" si="34"/>
        <v>0</v>
      </c>
      <c r="X82" s="3"/>
      <c r="Y82" s="3"/>
      <c r="Z82" s="3">
        <f t="shared" ref="Z82:Z89" si="38">Y82-T82</f>
        <v>0</v>
      </c>
      <c r="AA82" s="3"/>
      <c r="AB82" s="3"/>
      <c r="AC82" s="3"/>
      <c r="AD82" s="3">
        <f t="shared" si="35"/>
        <v>0</v>
      </c>
      <c r="AE82" s="3"/>
      <c r="AF82" s="3">
        <f t="shared" si="36"/>
        <v>0</v>
      </c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42"/>
      <c r="AR82" s="3"/>
      <c r="AS82" s="42"/>
      <c r="AT82" s="3"/>
      <c r="AU82" s="42"/>
      <c r="AV82" s="3"/>
      <c r="AW82" s="42"/>
      <c r="AX82" s="3"/>
      <c r="AZ82" s="3"/>
      <c r="BA82" s="6">
        <f>+General!BA65</f>
        <v>0</v>
      </c>
      <c r="BP82" s="5">
        <f t="shared" si="17"/>
        <v>0</v>
      </c>
    </row>
    <row r="83" spans="1:68" x14ac:dyDescent="0.25">
      <c r="A83" s="3" t="s">
        <v>71</v>
      </c>
      <c r="B83" s="3">
        <v>-1210000</v>
      </c>
      <c r="D83" s="3">
        <v>-211115</v>
      </c>
      <c r="E83" s="3">
        <f t="shared" si="29"/>
        <v>-998885</v>
      </c>
      <c r="F83" s="3">
        <v>-1210000</v>
      </c>
      <c r="H83" s="32">
        <f t="shared" si="30"/>
        <v>0</v>
      </c>
      <c r="I83" s="32"/>
      <c r="J83" s="4">
        <v>-374532</v>
      </c>
      <c r="K83" s="4">
        <f t="shared" si="31"/>
        <v>-835468</v>
      </c>
      <c r="L83" s="4">
        <v>-1210000</v>
      </c>
      <c r="N83" s="4">
        <f t="shared" si="32"/>
        <v>0</v>
      </c>
      <c r="P83" s="3">
        <f>L83*1.0325-25</f>
        <v>-1249350</v>
      </c>
      <c r="Q83" s="3"/>
      <c r="R83" s="3">
        <v>177136</v>
      </c>
      <c r="S83" s="3">
        <f t="shared" si="33"/>
        <v>-1426486</v>
      </c>
      <c r="T83" s="3">
        <v>-1249350</v>
      </c>
      <c r="U83" s="3">
        <f t="shared" si="37"/>
        <v>0</v>
      </c>
      <c r="V83" s="3">
        <v>333462</v>
      </c>
      <c r="W83" s="3">
        <f t="shared" si="34"/>
        <v>-1583462</v>
      </c>
      <c r="X83" s="3"/>
      <c r="Y83" s="3">
        <v>-1250000</v>
      </c>
      <c r="Z83" s="3">
        <f t="shared" si="38"/>
        <v>-650</v>
      </c>
      <c r="AA83" s="3"/>
      <c r="AB83" s="3"/>
      <c r="AC83" s="3">
        <v>-490834</v>
      </c>
      <c r="AD83" s="3">
        <f t="shared" si="35"/>
        <v>-759166</v>
      </c>
      <c r="AE83" s="3">
        <v>-1250000</v>
      </c>
      <c r="AF83" s="3">
        <f t="shared" si="36"/>
        <v>0</v>
      </c>
      <c r="AG83" s="3"/>
      <c r="AH83" s="3">
        <f>P83*1.0325-46</f>
        <v>-1289999.875</v>
      </c>
      <c r="AI83" s="3"/>
      <c r="AJ83" s="3">
        <f>AH83*1.0325</f>
        <v>-1331924.8709374999</v>
      </c>
      <c r="AK83" s="3"/>
      <c r="AL83" s="3">
        <f>AJ83*1.0325</f>
        <v>-1375212.4292429686</v>
      </c>
      <c r="AM83" s="3"/>
      <c r="AN83" s="3">
        <f>AL83*1.0325</f>
        <v>-1419906.833193365</v>
      </c>
      <c r="AO83" s="3"/>
      <c r="AP83" s="3">
        <f>AN83*1.0325</f>
        <v>-1466053.8052721494</v>
      </c>
      <c r="AQ83" s="42"/>
      <c r="AR83" s="3">
        <f>AP83*1.03+3-2000+20</f>
        <v>-1512012.4194303139</v>
      </c>
      <c r="AS83" s="42"/>
      <c r="AT83" s="3">
        <f>AR83*1.03+3-2000+20</f>
        <v>-1559349.7920132233</v>
      </c>
      <c r="AU83" s="42"/>
      <c r="AV83" s="3">
        <f>AT83*1.03+3-2000+20</f>
        <v>-1608107.28577362</v>
      </c>
      <c r="AW83" s="42"/>
      <c r="AX83" s="3">
        <f>AV83*1.03+3-2000+20</f>
        <v>-1658327.5043468287</v>
      </c>
      <c r="AZ83" s="3">
        <f>AX83*1.03+3-2000+20</f>
        <v>-1710054.3294772336</v>
      </c>
      <c r="BA83" s="6">
        <f>+General!BA66</f>
        <v>-1710054.3294772336</v>
      </c>
      <c r="BP83" s="5">
        <f t="shared" si="17"/>
        <v>0</v>
      </c>
    </row>
    <row r="84" spans="1:68" x14ac:dyDescent="0.25">
      <c r="A84" s="3" t="s">
        <v>72</v>
      </c>
      <c r="B84" s="3">
        <v>1450000</v>
      </c>
      <c r="D84" s="3">
        <v>385670</v>
      </c>
      <c r="E84" s="3">
        <f t="shared" si="29"/>
        <v>1064330</v>
      </c>
      <c r="F84" s="3">
        <v>1450000</v>
      </c>
      <c r="H84" s="32">
        <f t="shared" si="30"/>
        <v>0</v>
      </c>
      <c r="I84" s="32"/>
      <c r="J84" s="4">
        <v>847686</v>
      </c>
      <c r="K84" s="4">
        <f t="shared" si="31"/>
        <v>702314</v>
      </c>
      <c r="L84" s="4">
        <v>1550000</v>
      </c>
      <c r="N84" s="4">
        <f t="shared" si="32"/>
        <v>100000</v>
      </c>
      <c r="P84" s="3">
        <f>L84*1.0325+25</f>
        <v>1600400</v>
      </c>
      <c r="Q84" s="3"/>
      <c r="R84" s="3">
        <f>408525</f>
        <v>408525</v>
      </c>
      <c r="S84" s="3">
        <f t="shared" si="33"/>
        <v>1191875</v>
      </c>
      <c r="T84" s="3">
        <v>1600400</v>
      </c>
      <c r="U84" s="3">
        <f t="shared" si="37"/>
        <v>0</v>
      </c>
      <c r="V84" s="3">
        <f>820512+3164</f>
        <v>823676</v>
      </c>
      <c r="W84" s="3">
        <f t="shared" si="34"/>
        <v>826324</v>
      </c>
      <c r="X84" s="3"/>
      <c r="Y84" s="3">
        <v>1650000</v>
      </c>
      <c r="Z84" s="3">
        <f t="shared" si="38"/>
        <v>49600</v>
      </c>
      <c r="AA84" s="3"/>
      <c r="AB84" s="3"/>
      <c r="AC84" s="3">
        <v>1164123</v>
      </c>
      <c r="AD84" s="3">
        <f t="shared" si="35"/>
        <v>460877</v>
      </c>
      <c r="AE84" s="3">
        <v>1625000</v>
      </c>
      <c r="AF84" s="3">
        <f t="shared" si="36"/>
        <v>-25000</v>
      </c>
      <c r="AG84" s="3"/>
      <c r="AH84" s="3">
        <f>P84*1.0325+7</f>
        <v>1652420</v>
      </c>
      <c r="AI84" s="3"/>
      <c r="AJ84" s="3">
        <f>AH84*1.0325</f>
        <v>1706123.65</v>
      </c>
      <c r="AK84" s="3"/>
      <c r="AL84" s="3">
        <f>AJ84*1.0325</f>
        <v>1761572.6686249999</v>
      </c>
      <c r="AM84" s="3"/>
      <c r="AN84" s="3">
        <f>AL84*1.0325</f>
        <v>1818823.7803553124</v>
      </c>
      <c r="AO84" s="3"/>
      <c r="AP84" s="3">
        <f>AN84*1.0325</f>
        <v>1877935.5532168599</v>
      </c>
      <c r="AQ84" s="42"/>
      <c r="AR84" s="3">
        <f>AP84*1.03+5</f>
        <v>1934278.6198133659</v>
      </c>
      <c r="AS84" s="42"/>
      <c r="AT84" s="3">
        <f>AR84*1.03+5</f>
        <v>1992311.9784077669</v>
      </c>
      <c r="AU84" s="42"/>
      <c r="AV84" s="3">
        <f>AT84*1.03+5</f>
        <v>2052086.33776</v>
      </c>
      <c r="AW84" s="42"/>
      <c r="AX84" s="3">
        <f>AV84*1.03+5</f>
        <v>2113653.9278928</v>
      </c>
      <c r="AZ84" s="3">
        <f>AX84*1.03+5</f>
        <v>2177068.5457295841</v>
      </c>
      <c r="BA84" s="6">
        <f>+General!BA67</f>
        <v>2177068.5457295841</v>
      </c>
      <c r="BP84" s="5">
        <f t="shared" si="17"/>
        <v>0</v>
      </c>
    </row>
    <row r="85" spans="1:68" x14ac:dyDescent="0.25">
      <c r="A85" s="3" t="s">
        <v>73</v>
      </c>
      <c r="B85" s="3"/>
      <c r="D85" s="3"/>
      <c r="E85" s="3">
        <f t="shared" si="29"/>
        <v>0</v>
      </c>
      <c r="F85" s="3"/>
      <c r="H85" s="32">
        <f t="shared" si="30"/>
        <v>0</v>
      </c>
      <c r="I85" s="32"/>
      <c r="J85" s="4"/>
      <c r="K85" s="4">
        <f t="shared" si="31"/>
        <v>0</v>
      </c>
      <c r="L85" s="4"/>
      <c r="N85" s="4">
        <f t="shared" si="32"/>
        <v>0</v>
      </c>
      <c r="P85" s="3"/>
      <c r="Q85" s="3"/>
      <c r="R85" s="3"/>
      <c r="S85" s="3">
        <f t="shared" si="33"/>
        <v>0</v>
      </c>
      <c r="T85" s="3"/>
      <c r="U85" s="3">
        <f t="shared" si="37"/>
        <v>0</v>
      </c>
      <c r="V85" s="3"/>
      <c r="W85" s="3">
        <f t="shared" si="34"/>
        <v>0</v>
      </c>
      <c r="X85" s="3"/>
      <c r="Y85" s="3"/>
      <c r="Z85" s="3">
        <f t="shared" si="38"/>
        <v>0</v>
      </c>
      <c r="AA85" s="3"/>
      <c r="AB85" s="3"/>
      <c r="AC85" s="3"/>
      <c r="AD85" s="3">
        <f t="shared" si="35"/>
        <v>0</v>
      </c>
      <c r="AE85" s="3"/>
      <c r="AF85" s="3">
        <f t="shared" si="36"/>
        <v>0</v>
      </c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42"/>
      <c r="AR85" s="3"/>
      <c r="AS85" s="42"/>
      <c r="AT85" s="3"/>
      <c r="AU85" s="42"/>
      <c r="AV85" s="3"/>
      <c r="AW85" s="42"/>
      <c r="AX85" s="3"/>
      <c r="AZ85" s="3"/>
      <c r="BA85" s="6">
        <f>+General!BA68</f>
        <v>0</v>
      </c>
      <c r="BP85" s="5">
        <f t="shared" si="17"/>
        <v>0</v>
      </c>
    </row>
    <row r="86" spans="1:68" x14ac:dyDescent="0.25">
      <c r="A86" s="3" t="s">
        <v>74</v>
      </c>
      <c r="B86" s="3"/>
      <c r="D86" s="3"/>
      <c r="E86" s="3">
        <f t="shared" si="29"/>
        <v>0</v>
      </c>
      <c r="F86" s="3"/>
      <c r="H86" s="32">
        <f t="shared" si="30"/>
        <v>0</v>
      </c>
      <c r="I86" s="32"/>
      <c r="J86" s="4"/>
      <c r="K86" s="4">
        <f t="shared" si="31"/>
        <v>0</v>
      </c>
      <c r="L86" s="4"/>
      <c r="N86" s="4">
        <f t="shared" si="32"/>
        <v>0</v>
      </c>
      <c r="P86" s="3"/>
      <c r="Q86" s="3"/>
      <c r="R86" s="3"/>
      <c r="S86" s="3">
        <f t="shared" si="33"/>
        <v>0</v>
      </c>
      <c r="T86" s="3"/>
      <c r="U86" s="3">
        <f t="shared" si="37"/>
        <v>0</v>
      </c>
      <c r="V86" s="3"/>
      <c r="W86" s="3">
        <f t="shared" si="34"/>
        <v>0</v>
      </c>
      <c r="X86" s="3"/>
      <c r="Y86" s="3"/>
      <c r="Z86" s="3">
        <f t="shared" si="38"/>
        <v>0</v>
      </c>
      <c r="AA86" s="3"/>
      <c r="AB86" s="3"/>
      <c r="AC86" s="3"/>
      <c r="AD86" s="3">
        <f t="shared" si="35"/>
        <v>0</v>
      </c>
      <c r="AE86" s="3"/>
      <c r="AF86" s="3">
        <f t="shared" si="36"/>
        <v>0</v>
      </c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42"/>
      <c r="AR86" s="3"/>
      <c r="AS86" s="42"/>
      <c r="AT86" s="3"/>
      <c r="AU86" s="42"/>
      <c r="AV86" s="3"/>
      <c r="AW86" s="42"/>
      <c r="AX86" s="3"/>
      <c r="AZ86" s="3"/>
      <c r="BA86" s="6">
        <f>+General!BA69</f>
        <v>0</v>
      </c>
      <c r="BP86" s="5">
        <f t="shared" si="17"/>
        <v>0</v>
      </c>
    </row>
    <row r="87" spans="1:68" x14ac:dyDescent="0.25">
      <c r="A87" s="3" t="s">
        <v>75</v>
      </c>
      <c r="B87" s="3">
        <v>22000</v>
      </c>
      <c r="D87" s="3"/>
      <c r="E87" s="3">
        <f t="shared" si="29"/>
        <v>30850</v>
      </c>
      <c r="F87" s="3">
        <v>30850</v>
      </c>
      <c r="H87" s="32">
        <f t="shared" si="30"/>
        <v>8850</v>
      </c>
      <c r="I87" s="32"/>
      <c r="J87" s="4"/>
      <c r="K87" s="4">
        <f t="shared" si="31"/>
        <v>30850</v>
      </c>
      <c r="L87" s="4">
        <v>30850</v>
      </c>
      <c r="N87" s="4">
        <f t="shared" si="32"/>
        <v>0</v>
      </c>
      <c r="P87" s="3">
        <v>21350</v>
      </c>
      <c r="Q87" s="3"/>
      <c r="R87" s="3"/>
      <c r="S87" s="3">
        <f t="shared" si="33"/>
        <v>30000</v>
      </c>
      <c r="T87" s="3">
        <v>30000</v>
      </c>
      <c r="U87" s="3">
        <f t="shared" si="37"/>
        <v>8650</v>
      </c>
      <c r="V87" s="3"/>
      <c r="W87" s="3">
        <f t="shared" si="34"/>
        <v>30000</v>
      </c>
      <c r="X87" s="3"/>
      <c r="Y87" s="3">
        <v>30000</v>
      </c>
      <c r="Z87" s="3">
        <f t="shared" si="38"/>
        <v>0</v>
      </c>
      <c r="AA87" s="3"/>
      <c r="AB87" s="3"/>
      <c r="AC87" s="3">
        <v>0</v>
      </c>
      <c r="AD87" s="3">
        <f t="shared" si="35"/>
        <v>30000</v>
      </c>
      <c r="AE87" s="3">
        <v>30000</v>
      </c>
      <c r="AF87" s="3">
        <f t="shared" si="36"/>
        <v>0</v>
      </c>
      <c r="AG87" s="3"/>
      <c r="AH87" s="3">
        <v>69000</v>
      </c>
      <c r="AI87" s="3"/>
      <c r="AJ87" s="3"/>
      <c r="AK87" s="3"/>
      <c r="AL87" s="3"/>
      <c r="AM87" s="3"/>
      <c r="AN87" s="3"/>
      <c r="AO87" s="3"/>
      <c r="AP87" s="3"/>
      <c r="AQ87" s="42"/>
      <c r="AR87" s="3"/>
      <c r="AS87" s="42"/>
      <c r="AT87" s="3"/>
      <c r="AU87" s="42"/>
      <c r="AV87" s="3"/>
      <c r="AW87" s="42"/>
      <c r="AX87" s="3"/>
      <c r="AZ87" s="3"/>
      <c r="BA87" s="6">
        <f>+General!BA70</f>
        <v>0</v>
      </c>
      <c r="BP87" s="5">
        <f t="shared" si="17"/>
        <v>0</v>
      </c>
    </row>
    <row r="88" spans="1:68" x14ac:dyDescent="0.25">
      <c r="A88" s="3" t="s">
        <v>66</v>
      </c>
      <c r="B88" s="3">
        <v>4600</v>
      </c>
      <c r="D88" s="3"/>
      <c r="E88" s="3">
        <f t="shared" si="29"/>
        <v>3500</v>
      </c>
      <c r="F88" s="3">
        <v>3500</v>
      </c>
      <c r="H88" s="32">
        <f t="shared" si="30"/>
        <v>-1100</v>
      </c>
      <c r="I88" s="32"/>
      <c r="J88" s="4">
        <v>100</v>
      </c>
      <c r="K88" s="4">
        <f t="shared" si="31"/>
        <v>2150</v>
      </c>
      <c r="L88" s="4">
        <v>2250</v>
      </c>
      <c r="N88" s="4">
        <f t="shared" si="32"/>
        <v>-1250</v>
      </c>
      <c r="P88" s="3">
        <f>L88*1.025-6</f>
        <v>2300.25</v>
      </c>
      <c r="Q88" s="3"/>
      <c r="R88" s="3">
        <v>1855</v>
      </c>
      <c r="S88" s="3">
        <f t="shared" si="33"/>
        <v>445</v>
      </c>
      <c r="T88" s="3">
        <v>2300</v>
      </c>
      <c r="U88" s="3">
        <f t="shared" si="37"/>
        <v>-0.25</v>
      </c>
      <c r="V88" s="3">
        <v>650</v>
      </c>
      <c r="W88" s="3">
        <f t="shared" si="34"/>
        <v>1650</v>
      </c>
      <c r="X88" s="3"/>
      <c r="Y88" s="3">
        <v>2300</v>
      </c>
      <c r="Z88" s="3">
        <f t="shared" si="38"/>
        <v>0</v>
      </c>
      <c r="AA88" s="3"/>
      <c r="AB88" s="3"/>
      <c r="AC88" s="3">
        <v>4592</v>
      </c>
      <c r="AD88" s="3">
        <f t="shared" si="35"/>
        <v>408</v>
      </c>
      <c r="AE88" s="3">
        <v>5000</v>
      </c>
      <c r="AF88" s="3">
        <f t="shared" si="36"/>
        <v>2700</v>
      </c>
      <c r="AG88" s="3"/>
      <c r="AH88" s="3">
        <v>5000</v>
      </c>
      <c r="AI88" s="3"/>
      <c r="AJ88" s="3">
        <f>AH88*1.025</f>
        <v>5125</v>
      </c>
      <c r="AK88" s="3"/>
      <c r="AL88" s="3">
        <f>AJ88*1.025</f>
        <v>5253.1249999999991</v>
      </c>
      <c r="AM88" s="3"/>
      <c r="AN88" s="3">
        <f>AL88*1.025</f>
        <v>5384.4531249999982</v>
      </c>
      <c r="AO88" s="3"/>
      <c r="AP88" s="3">
        <f>AN88*1.025</f>
        <v>5519.0644531249973</v>
      </c>
      <c r="AQ88" s="42"/>
      <c r="AR88" s="3">
        <f>AP88*1.025</f>
        <v>5657.0410644531221</v>
      </c>
      <c r="AS88" s="42"/>
      <c r="AT88" s="3">
        <f>AR88*1.025</f>
        <v>5798.46709106445</v>
      </c>
      <c r="AU88" s="42"/>
      <c r="AV88" s="3">
        <f>AT88*1.025</f>
        <v>5943.4287683410603</v>
      </c>
      <c r="AW88" s="42"/>
      <c r="AX88" s="3">
        <f>AV88*1.025</f>
        <v>6092.0144875495862</v>
      </c>
      <c r="AZ88" s="3">
        <f>AX88*1.025</f>
        <v>6244.3148497383254</v>
      </c>
      <c r="BA88" s="6">
        <f>+General!BA71</f>
        <v>6244.3148497383254</v>
      </c>
      <c r="BP88" s="5">
        <f t="shared" si="17"/>
        <v>0</v>
      </c>
    </row>
    <row r="89" spans="1:68" x14ac:dyDescent="0.25">
      <c r="A89" s="3" t="s">
        <v>76</v>
      </c>
      <c r="B89" s="3">
        <v>42500</v>
      </c>
      <c r="D89" s="3">
        <v>11797</v>
      </c>
      <c r="E89" s="3">
        <f t="shared" si="29"/>
        <v>30703</v>
      </c>
      <c r="F89" s="3">
        <v>42500</v>
      </c>
      <c r="H89" s="32">
        <f t="shared" si="30"/>
        <v>0</v>
      </c>
      <c r="I89" s="32"/>
      <c r="J89" s="4">
        <v>27519</v>
      </c>
      <c r="K89" s="4">
        <f t="shared" si="31"/>
        <v>17481</v>
      </c>
      <c r="L89" s="4">
        <v>45000</v>
      </c>
      <c r="N89" s="4">
        <f t="shared" si="32"/>
        <v>2500</v>
      </c>
      <c r="P89" s="3">
        <f>L89+3000</f>
        <v>48000</v>
      </c>
      <c r="Q89" s="3"/>
      <c r="R89" s="3">
        <v>9930</v>
      </c>
      <c r="S89" s="3">
        <f t="shared" si="33"/>
        <v>38070</v>
      </c>
      <c r="T89" s="3">
        <v>48000</v>
      </c>
      <c r="U89" s="3">
        <f t="shared" si="37"/>
        <v>0</v>
      </c>
      <c r="V89" s="3">
        <v>23622</v>
      </c>
      <c r="W89" s="3">
        <f t="shared" si="34"/>
        <v>24378</v>
      </c>
      <c r="X89" s="3"/>
      <c r="Y89" s="3">
        <v>48000</v>
      </c>
      <c r="Z89" s="3">
        <f t="shared" si="38"/>
        <v>0</v>
      </c>
      <c r="AA89" s="3"/>
      <c r="AB89" s="3"/>
      <c r="AC89" s="3">
        <v>33836</v>
      </c>
      <c r="AD89" s="3">
        <f t="shared" si="35"/>
        <v>14164</v>
      </c>
      <c r="AE89" s="3">
        <v>48000</v>
      </c>
      <c r="AF89" s="3">
        <f t="shared" si="36"/>
        <v>0</v>
      </c>
      <c r="AG89" s="3"/>
      <c r="AH89" s="3">
        <f>P89</f>
        <v>48000</v>
      </c>
      <c r="AI89" s="3"/>
      <c r="AJ89" s="3">
        <f>AH89</f>
        <v>48000</v>
      </c>
      <c r="AK89" s="3"/>
      <c r="AL89" s="3">
        <f>AJ89</f>
        <v>48000</v>
      </c>
      <c r="AM89" s="3"/>
      <c r="AN89" s="3">
        <f>AL89</f>
        <v>48000</v>
      </c>
      <c r="AO89" s="3"/>
      <c r="AP89" s="3">
        <f>AN89</f>
        <v>48000</v>
      </c>
      <c r="AQ89" s="42"/>
      <c r="AR89" s="3">
        <f>AP89</f>
        <v>48000</v>
      </c>
      <c r="AS89" s="42"/>
      <c r="AT89" s="3">
        <f>AR89</f>
        <v>48000</v>
      </c>
      <c r="AU89" s="42"/>
      <c r="AV89" s="3">
        <f>AT89</f>
        <v>48000</v>
      </c>
      <c r="AW89" s="42"/>
      <c r="AX89" s="3">
        <f>AV89</f>
        <v>48000</v>
      </c>
      <c r="AZ89" s="3">
        <f>AX89</f>
        <v>48000</v>
      </c>
      <c r="BA89" s="6">
        <f>+General!BA72</f>
        <v>48000</v>
      </c>
      <c r="BP89" s="5">
        <f t="shared" si="17"/>
        <v>0</v>
      </c>
    </row>
    <row r="90" spans="1:68" x14ac:dyDescent="0.25">
      <c r="A90" s="3"/>
      <c r="B90" s="48">
        <f>SUM(B80:B89)</f>
        <v>310100</v>
      </c>
      <c r="C90" s="32"/>
      <c r="D90" s="48">
        <f>SUM(D80:D89)</f>
        <v>188179</v>
      </c>
      <c r="E90" s="48">
        <f>SUM(E80:E89)</f>
        <v>130501</v>
      </c>
      <c r="F90" s="48">
        <f>SUM(F80:F89)</f>
        <v>318680</v>
      </c>
      <c r="G90" s="32"/>
      <c r="H90" s="48">
        <f>SUM(H80:H89)</f>
        <v>8580</v>
      </c>
      <c r="I90" s="36"/>
      <c r="J90" s="48">
        <f>SUM(J80:J89)</f>
        <v>502600</v>
      </c>
      <c r="K90" s="48">
        <f>SUM(K80:K89)</f>
        <v>-82670</v>
      </c>
      <c r="L90" s="48">
        <f>SUM(L80:L89)</f>
        <v>419930</v>
      </c>
      <c r="M90" s="32"/>
      <c r="N90" s="48">
        <f>SUM(N80:N89)</f>
        <v>101250</v>
      </c>
      <c r="P90" s="48">
        <f>SUM(P80:P89)</f>
        <v>424200.25</v>
      </c>
      <c r="R90" s="48">
        <f t="shared" ref="R90:Z90" si="39">SUM(R80:R89)</f>
        <v>600692</v>
      </c>
      <c r="S90" s="48">
        <f t="shared" si="39"/>
        <v>-165842</v>
      </c>
      <c r="T90" s="48">
        <f t="shared" si="39"/>
        <v>434850</v>
      </c>
      <c r="U90" s="48">
        <f t="shared" si="39"/>
        <v>10649.75</v>
      </c>
      <c r="V90" s="48">
        <f t="shared" si="39"/>
        <v>1184664</v>
      </c>
      <c r="W90" s="48">
        <f t="shared" si="39"/>
        <v>-700614</v>
      </c>
      <c r="X90" s="48"/>
      <c r="Y90" s="48">
        <f t="shared" si="39"/>
        <v>484050</v>
      </c>
      <c r="Z90" s="48">
        <f t="shared" si="39"/>
        <v>49200</v>
      </c>
      <c r="AC90" s="48">
        <f>SUM(AC80:AC89)</f>
        <v>715158</v>
      </c>
      <c r="AD90" s="48">
        <f>SUM(AD80:AD89)</f>
        <v>-253408</v>
      </c>
      <c r="AE90" s="48">
        <f>SUM(AE80:AE89)</f>
        <v>461750</v>
      </c>
      <c r="AF90" s="48">
        <f>SUM(AF80:AF89)</f>
        <v>-22300</v>
      </c>
      <c r="AH90" s="48">
        <f>SUM(AH80:AH89)</f>
        <v>485920.125</v>
      </c>
      <c r="AJ90" s="48">
        <f>SUM(AJ80:AJ89)+1</f>
        <v>428862.27906249999</v>
      </c>
      <c r="AL90" s="48">
        <f>SUM(AL80:AL89)-1</f>
        <v>441188.30188203137</v>
      </c>
      <c r="AN90" s="48">
        <f>SUM(AN80:AN89)</f>
        <v>453916.73622444738</v>
      </c>
      <c r="AO90" s="48"/>
      <c r="AP90" s="48">
        <f>SUM(AP80:AP89)</f>
        <v>467056.53173377295</v>
      </c>
      <c r="AR90" s="48">
        <f>SUM(AR80:AR89)</f>
        <v>477620.35376684117</v>
      </c>
      <c r="AT90" s="48">
        <f>SUM(AT80:AT89)</f>
        <v>488500.19361292734</v>
      </c>
      <c r="AV90" s="48">
        <f>SUM(AV80:AV89)</f>
        <v>499705.50938522338</v>
      </c>
      <c r="AX90" s="48">
        <f>SUM(AX80:AX89)</f>
        <v>511246.04237978574</v>
      </c>
      <c r="AZ90" s="48">
        <f>SUM(AZ80:AZ89)</f>
        <v>523131.82555701031</v>
      </c>
      <c r="BA90" s="6">
        <f>+General!BA73</f>
        <v>523131.82555701031</v>
      </c>
      <c r="BP90" s="5">
        <f t="shared" si="17"/>
        <v>0</v>
      </c>
    </row>
    <row r="91" spans="1:68" ht="15.75" thickBot="1" x14ac:dyDescent="0.3">
      <c r="A91" s="3"/>
      <c r="B91" s="49">
        <f>B90+B77-1</f>
        <v>340599</v>
      </c>
      <c r="C91" s="32"/>
      <c r="D91" s="49">
        <f>D90+D77-1</f>
        <v>190457</v>
      </c>
      <c r="E91" s="49">
        <f>E90+E77-1</f>
        <v>163721</v>
      </c>
      <c r="F91" s="49">
        <f>F90+F77-1</f>
        <v>354179</v>
      </c>
      <c r="G91" s="32"/>
      <c r="H91" s="49">
        <f>H90+H77-1</f>
        <v>13579</v>
      </c>
      <c r="I91" s="36"/>
      <c r="J91" s="49">
        <f>J90+J77-1</f>
        <v>529307</v>
      </c>
      <c r="K91" s="49">
        <f>K90+K77-1</f>
        <v>-74929</v>
      </c>
      <c r="L91" s="49">
        <f>L90+L77-1</f>
        <v>454379</v>
      </c>
      <c r="M91" s="32"/>
      <c r="N91" s="49">
        <f>N90+N77-1</f>
        <v>100199</v>
      </c>
      <c r="P91" s="49">
        <f>P90+P77</f>
        <v>468900.5</v>
      </c>
      <c r="R91" s="49">
        <f t="shared" ref="R91:Z91" si="40">R90+R77</f>
        <v>628914</v>
      </c>
      <c r="S91" s="49">
        <f t="shared" si="40"/>
        <v>-109662</v>
      </c>
      <c r="T91" s="49">
        <f t="shared" si="40"/>
        <v>519251</v>
      </c>
      <c r="U91" s="49">
        <f t="shared" si="40"/>
        <v>50350.5</v>
      </c>
      <c r="V91" s="49">
        <f t="shared" si="40"/>
        <v>1268879</v>
      </c>
      <c r="W91" s="49">
        <f t="shared" si="40"/>
        <v>-685197</v>
      </c>
      <c r="X91" s="49"/>
      <c r="Y91" s="49">
        <f t="shared" si="40"/>
        <v>583681</v>
      </c>
      <c r="Z91" s="49">
        <f t="shared" si="40"/>
        <v>64430</v>
      </c>
      <c r="AC91" s="49">
        <f>AC90+AC77</f>
        <v>805668</v>
      </c>
      <c r="AD91" s="49">
        <f>AD90+AD77</f>
        <v>-244766</v>
      </c>
      <c r="AE91" s="49">
        <f>AE90+AE77</f>
        <v>560901</v>
      </c>
      <c r="AF91" s="49">
        <f>AF90+AF77</f>
        <v>-22779</v>
      </c>
      <c r="AH91" s="49">
        <f>AH90+AH77</f>
        <v>540170.125</v>
      </c>
      <c r="AJ91" s="49">
        <f>AJ90+AJ77</f>
        <v>484469.52906249999</v>
      </c>
      <c r="AL91" s="49">
        <f>AL90+AL77</f>
        <v>498184.70813203137</v>
      </c>
      <c r="AN91" s="49">
        <f>AN90+AN77</f>
        <v>512338.05263069738</v>
      </c>
      <c r="AO91" s="49"/>
      <c r="AP91" s="49">
        <f>AP90+AP77</f>
        <v>526938.38105017913</v>
      </c>
      <c r="AR91" s="49">
        <f>AR90+AR77</f>
        <v>538998.24931615754</v>
      </c>
      <c r="AT91" s="49">
        <f>AT90+AT77</f>
        <v>551412.56155097659</v>
      </c>
      <c r="AV91" s="49">
        <f>AV90+AV77</f>
        <v>564190.71152172389</v>
      </c>
      <c r="AX91" s="49">
        <f>AX90+AX77</f>
        <v>577343.39956969873</v>
      </c>
      <c r="AZ91" s="49">
        <f>AZ90+AZ77</f>
        <v>590881.6416766711</v>
      </c>
      <c r="BA91" s="6">
        <f>+General!BA74</f>
        <v>590881.6416766711</v>
      </c>
      <c r="BP91" s="5">
        <f t="shared" si="17"/>
        <v>0</v>
      </c>
    </row>
    <row r="92" spans="1:68" s="42" customFormat="1" ht="6.75" customHeight="1" thickTop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4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R92" s="3"/>
      <c r="AT92" s="3"/>
      <c r="AV92" s="3"/>
      <c r="AX92" s="3"/>
      <c r="AZ92" s="3"/>
      <c r="BA92" s="6">
        <f>+General!BA75</f>
        <v>0</v>
      </c>
      <c r="BP92" s="5">
        <f>+BA92-AZ92</f>
        <v>0</v>
      </c>
    </row>
    <row r="93" spans="1:68" x14ac:dyDescent="0.25">
      <c r="A93" s="7" t="s">
        <v>77</v>
      </c>
      <c r="BA93" s="6">
        <f>+General!BA76</f>
        <v>0</v>
      </c>
      <c r="BP93" s="5">
        <f t="shared" si="17"/>
        <v>0</v>
      </c>
    </row>
    <row r="94" spans="1:68" x14ac:dyDescent="0.25">
      <c r="A94" s="7" t="s">
        <v>78</v>
      </c>
      <c r="BA94" s="6">
        <f>+General!BA77</f>
        <v>0</v>
      </c>
      <c r="BP94" s="5">
        <f t="shared" si="17"/>
        <v>0</v>
      </c>
    </row>
    <row r="95" spans="1:68" x14ac:dyDescent="0.25">
      <c r="A95" s="3" t="s">
        <v>79</v>
      </c>
      <c r="B95" s="3">
        <v>13090</v>
      </c>
      <c r="D95" s="3"/>
      <c r="E95" s="3">
        <f t="shared" ref="E95:E103" si="41">F95-D95</f>
        <v>13090</v>
      </c>
      <c r="F95" s="3">
        <v>13090</v>
      </c>
      <c r="H95" s="32">
        <f t="shared" ref="H95:H103" si="42">F95-B95</f>
        <v>0</v>
      </c>
      <c r="I95" s="32"/>
      <c r="J95" s="4">
        <v>0</v>
      </c>
      <c r="K95" s="4">
        <f t="shared" ref="K95:K103" si="43">L95-J95</f>
        <v>13090</v>
      </c>
      <c r="L95" s="4">
        <v>13090</v>
      </c>
      <c r="N95" s="4">
        <f t="shared" ref="N95:N103" si="44">L95-F95</f>
        <v>0</v>
      </c>
      <c r="P95" s="3">
        <f>13480-30</f>
        <v>13450</v>
      </c>
      <c r="Q95" s="3"/>
      <c r="R95" s="3">
        <v>0</v>
      </c>
      <c r="S95" s="3">
        <f t="shared" ref="S95:S103" si="45">T95-R95</f>
        <v>13450</v>
      </c>
      <c r="T95" s="3">
        <v>13450</v>
      </c>
      <c r="U95" s="3">
        <f t="shared" ref="U95:U103" si="46">T95-P95</f>
        <v>0</v>
      </c>
      <c r="V95" s="3"/>
      <c r="W95" s="3">
        <f t="shared" ref="W95:W103" si="47">Y95-V95</f>
        <v>13450</v>
      </c>
      <c r="X95" s="3"/>
      <c r="Y95" s="3">
        <v>13450</v>
      </c>
      <c r="Z95" s="3">
        <f t="shared" ref="Z95:Z103" si="48">Y95-T95</f>
        <v>0</v>
      </c>
      <c r="AA95" s="3"/>
      <c r="AB95" s="3"/>
      <c r="AC95" s="3">
        <v>13482</v>
      </c>
      <c r="AD95" s="3">
        <f t="shared" ref="AD95:AD103" si="49">AE95-AC95</f>
        <v>-2</v>
      </c>
      <c r="AE95" s="3">
        <v>13480</v>
      </c>
      <c r="AF95" s="3">
        <f t="shared" ref="AF95:AF103" si="50">AE95-Y95</f>
        <v>30</v>
      </c>
      <c r="AG95" s="3"/>
      <c r="AH95" s="3">
        <v>14800</v>
      </c>
      <c r="AI95" s="3"/>
      <c r="AJ95" s="3">
        <f>AH95*1.02</f>
        <v>15096</v>
      </c>
      <c r="AK95" s="3"/>
      <c r="AL95" s="3">
        <f>AJ95*1.02</f>
        <v>15397.92</v>
      </c>
      <c r="AM95" s="3"/>
      <c r="AN95" s="3">
        <f>AL95*1.02</f>
        <v>15705.8784</v>
      </c>
      <c r="AO95" s="3"/>
      <c r="AP95" s="3">
        <f>AN95*1.02</f>
        <v>16019.995967999999</v>
      </c>
      <c r="AQ95" s="42"/>
      <c r="AR95" s="3">
        <f>AP95*1.02</f>
        <v>16340.39588736</v>
      </c>
      <c r="AS95" s="42"/>
      <c r="AT95" s="3">
        <f>AR95*1.02</f>
        <v>16667.203805107201</v>
      </c>
      <c r="AU95" s="42"/>
      <c r="AV95" s="3">
        <f>AT95*1.02</f>
        <v>17000.547881209346</v>
      </c>
      <c r="AW95" s="42"/>
      <c r="AX95" s="3">
        <f>AV95*1.02</f>
        <v>17340.558838833535</v>
      </c>
      <c r="AZ95" s="3">
        <f>AX95*1.02</f>
        <v>17687.370015610206</v>
      </c>
      <c r="BA95" s="6">
        <f>+General!BA78</f>
        <v>17687.370015610206</v>
      </c>
      <c r="BP95" s="5">
        <f t="shared" si="17"/>
        <v>0</v>
      </c>
    </row>
    <row r="96" spans="1:68" x14ac:dyDescent="0.25">
      <c r="A96" s="3" t="s">
        <v>80</v>
      </c>
      <c r="B96" s="3">
        <v>45000</v>
      </c>
      <c r="D96" s="3"/>
      <c r="E96" s="3">
        <f t="shared" si="41"/>
        <v>45000</v>
      </c>
      <c r="F96" s="3">
        <v>45000</v>
      </c>
      <c r="H96" s="32">
        <f t="shared" si="42"/>
        <v>0</v>
      </c>
      <c r="I96" s="32"/>
      <c r="J96" s="4">
        <v>-1545</v>
      </c>
      <c r="K96" s="4">
        <f t="shared" si="43"/>
        <v>45000</v>
      </c>
      <c r="L96" s="4">
        <v>43455</v>
      </c>
      <c r="N96" s="4">
        <f t="shared" si="44"/>
        <v>-1545</v>
      </c>
      <c r="P96" s="3">
        <v>45000</v>
      </c>
      <c r="Q96" s="3"/>
      <c r="R96" s="3">
        <v>0</v>
      </c>
      <c r="S96" s="3">
        <f t="shared" si="45"/>
        <v>45000</v>
      </c>
      <c r="T96" s="3">
        <v>45000</v>
      </c>
      <c r="U96" s="3">
        <f t="shared" si="46"/>
        <v>0</v>
      </c>
      <c r="V96" s="3"/>
      <c r="W96" s="3">
        <f t="shared" si="47"/>
        <v>45000</v>
      </c>
      <c r="X96" s="3"/>
      <c r="Y96" s="3">
        <v>45000</v>
      </c>
      <c r="Z96" s="3">
        <f t="shared" si="48"/>
        <v>0</v>
      </c>
      <c r="AA96" s="3"/>
      <c r="AB96" s="3"/>
      <c r="AC96" s="3">
        <v>37896</v>
      </c>
      <c r="AD96" s="3">
        <f t="shared" si="49"/>
        <v>7104</v>
      </c>
      <c r="AE96" s="3">
        <v>45000</v>
      </c>
      <c r="AF96" s="3">
        <f t="shared" si="50"/>
        <v>0</v>
      </c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42"/>
      <c r="AR96" s="3"/>
      <c r="AS96" s="42"/>
      <c r="AT96" s="3"/>
      <c r="AU96" s="42"/>
      <c r="AV96" s="3"/>
      <c r="AW96" s="42"/>
      <c r="AX96" s="3"/>
      <c r="AZ96" s="3"/>
      <c r="BA96" s="6">
        <f>+General!BA79</f>
        <v>0</v>
      </c>
      <c r="BP96" s="5">
        <f t="shared" si="17"/>
        <v>0</v>
      </c>
    </row>
    <row r="97" spans="1:68" x14ac:dyDescent="0.25">
      <c r="A97" s="3" t="s">
        <v>81</v>
      </c>
      <c r="B97" s="3"/>
      <c r="D97" s="3"/>
      <c r="E97" s="3"/>
      <c r="F97" s="3"/>
      <c r="H97" s="32"/>
      <c r="I97" s="32"/>
      <c r="J97" s="4"/>
      <c r="K97" s="4"/>
      <c r="L97" s="4"/>
      <c r="N97" s="4"/>
      <c r="P97" s="3"/>
      <c r="Q97" s="3"/>
      <c r="R97" s="3"/>
      <c r="S97" s="3"/>
      <c r="T97" s="3"/>
      <c r="U97" s="3">
        <f>T97-P97</f>
        <v>0</v>
      </c>
      <c r="V97" s="3"/>
      <c r="W97" s="3">
        <f>Y97-V97</f>
        <v>0</v>
      </c>
      <c r="X97" s="3"/>
      <c r="Y97" s="3"/>
      <c r="Z97" s="3">
        <f>Y97-T97</f>
        <v>0</v>
      </c>
      <c r="AA97" s="3"/>
      <c r="AB97" s="3"/>
      <c r="AC97" s="3"/>
      <c r="AD97" s="3">
        <f t="shared" si="49"/>
        <v>0</v>
      </c>
      <c r="AE97" s="3"/>
      <c r="AF97" s="3">
        <f t="shared" si="50"/>
        <v>0</v>
      </c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42"/>
      <c r="AR97" s="3"/>
      <c r="AS97" s="42"/>
      <c r="AT97" s="3"/>
      <c r="AU97" s="42"/>
      <c r="AV97" s="3"/>
      <c r="AW97" s="42"/>
      <c r="AX97" s="3"/>
      <c r="AZ97" s="3"/>
      <c r="BA97" s="6">
        <f>+General!BA80</f>
        <v>0</v>
      </c>
      <c r="BP97" s="5">
        <f t="shared" si="17"/>
        <v>0</v>
      </c>
    </row>
    <row r="98" spans="1:68" x14ac:dyDescent="0.25">
      <c r="A98" s="3" t="s">
        <v>82</v>
      </c>
      <c r="B98" s="3">
        <v>70950</v>
      </c>
      <c r="D98" s="3"/>
      <c r="E98" s="3">
        <f t="shared" si="41"/>
        <v>70950</v>
      </c>
      <c r="F98" s="3">
        <v>70950</v>
      </c>
      <c r="H98" s="32">
        <f t="shared" si="42"/>
        <v>0</v>
      </c>
      <c r="I98" s="32"/>
      <c r="J98" s="4">
        <v>0</v>
      </c>
      <c r="K98" s="4">
        <f t="shared" si="43"/>
        <v>70950</v>
      </c>
      <c r="L98" s="4">
        <v>70950</v>
      </c>
      <c r="N98" s="4">
        <f t="shared" si="44"/>
        <v>0</v>
      </c>
      <c r="P98" s="3">
        <f>71035+15</f>
        <v>71050</v>
      </c>
      <c r="Q98" s="3"/>
      <c r="R98" s="3">
        <v>0</v>
      </c>
      <c r="S98" s="3">
        <f t="shared" si="45"/>
        <v>71050</v>
      </c>
      <c r="T98" s="3">
        <v>71050</v>
      </c>
      <c r="U98" s="3">
        <f t="shared" si="46"/>
        <v>0</v>
      </c>
      <c r="V98" s="3"/>
      <c r="W98" s="3">
        <f t="shared" si="47"/>
        <v>71050</v>
      </c>
      <c r="X98" s="3"/>
      <c r="Y98" s="3">
        <v>71050</v>
      </c>
      <c r="Z98" s="3">
        <f t="shared" si="48"/>
        <v>0</v>
      </c>
      <c r="AA98" s="3"/>
      <c r="AB98" s="3"/>
      <c r="AC98" s="3">
        <v>71037</v>
      </c>
      <c r="AD98" s="3">
        <f t="shared" si="49"/>
        <v>3</v>
      </c>
      <c r="AE98" s="3">
        <v>71040</v>
      </c>
      <c r="AF98" s="3">
        <f t="shared" si="50"/>
        <v>-10</v>
      </c>
      <c r="AG98" s="3"/>
      <c r="AH98" s="3">
        <v>78650</v>
      </c>
      <c r="AI98" s="3"/>
      <c r="AJ98" s="3">
        <f>AH98*1.02</f>
        <v>80223</v>
      </c>
      <c r="AK98" s="3"/>
      <c r="AL98" s="3">
        <f>AJ98*1.02</f>
        <v>81827.460000000006</v>
      </c>
      <c r="AM98" s="3"/>
      <c r="AN98" s="3">
        <f>AL98*1.02</f>
        <v>83464.009200000015</v>
      </c>
      <c r="AO98" s="3"/>
      <c r="AP98" s="3">
        <f>AN98*1.02</f>
        <v>85133.289384000018</v>
      </c>
      <c r="AQ98" s="42"/>
      <c r="AR98" s="3">
        <f>AP98*1.02</f>
        <v>86835.95517168002</v>
      </c>
      <c r="AS98" s="42"/>
      <c r="AT98" s="3">
        <f>AR98*1.02</f>
        <v>88572.674275113619</v>
      </c>
      <c r="AU98" s="42"/>
      <c r="AV98" s="3">
        <f>AT98*1.02</f>
        <v>90344.127760615898</v>
      </c>
      <c r="AW98" s="42"/>
      <c r="AX98" s="3">
        <f>AV98*1.02</f>
        <v>92151.010315828215</v>
      </c>
      <c r="AZ98" s="3">
        <f>AX98*1.02</f>
        <v>93994.030522144778</v>
      </c>
      <c r="BA98" s="6">
        <f>+General!BA81</f>
        <v>93994.030522144778</v>
      </c>
      <c r="BP98" s="5">
        <f t="shared" si="17"/>
        <v>0</v>
      </c>
    </row>
    <row r="99" spans="1:68" x14ac:dyDescent="0.25">
      <c r="A99" s="3" t="s">
        <v>83</v>
      </c>
      <c r="B99" s="3">
        <v>5250</v>
      </c>
      <c r="D99" s="3"/>
      <c r="E99" s="3">
        <f t="shared" si="41"/>
        <v>5250</v>
      </c>
      <c r="F99" s="3">
        <v>5250</v>
      </c>
      <c r="H99" s="32">
        <f t="shared" si="42"/>
        <v>0</v>
      </c>
      <c r="I99" s="32"/>
      <c r="J99" s="4">
        <v>0</v>
      </c>
      <c r="K99" s="4">
        <f t="shared" si="43"/>
        <v>5250</v>
      </c>
      <c r="L99" s="4">
        <v>5250</v>
      </c>
      <c r="N99" s="4">
        <f t="shared" si="44"/>
        <v>0</v>
      </c>
      <c r="P99" s="3">
        <f>5265-15</f>
        <v>5250</v>
      </c>
      <c r="Q99" s="3"/>
      <c r="R99" s="3">
        <v>0</v>
      </c>
      <c r="S99" s="3">
        <f t="shared" si="45"/>
        <v>5250</v>
      </c>
      <c r="T99" s="3">
        <v>5250</v>
      </c>
      <c r="U99" s="3">
        <f t="shared" si="46"/>
        <v>0</v>
      </c>
      <c r="V99" s="3">
        <v>4433</v>
      </c>
      <c r="W99" s="3">
        <f t="shared" si="47"/>
        <v>817</v>
      </c>
      <c r="X99" s="3"/>
      <c r="Y99" s="3">
        <v>5250</v>
      </c>
      <c r="Z99" s="3">
        <f t="shared" si="48"/>
        <v>0</v>
      </c>
      <c r="AA99" s="3"/>
      <c r="AB99" s="3"/>
      <c r="AC99" s="3"/>
      <c r="AD99" s="3">
        <f t="shared" si="49"/>
        <v>5250</v>
      </c>
      <c r="AE99" s="3">
        <v>5250</v>
      </c>
      <c r="AF99" s="3">
        <f t="shared" si="50"/>
        <v>0</v>
      </c>
      <c r="AG99" s="3"/>
      <c r="AH99" s="3">
        <v>5000</v>
      </c>
      <c r="AI99" s="3"/>
      <c r="AJ99" s="3"/>
      <c r="AK99" s="3"/>
      <c r="AL99" s="3"/>
      <c r="AM99" s="3"/>
      <c r="AN99" s="3"/>
      <c r="AO99" s="3"/>
      <c r="AP99" s="3"/>
      <c r="AQ99" s="42"/>
      <c r="AR99" s="3"/>
      <c r="AS99" s="42"/>
      <c r="AT99" s="3"/>
      <c r="AU99" s="42"/>
      <c r="AV99" s="3"/>
      <c r="AW99" s="42"/>
      <c r="AX99" s="3"/>
      <c r="AZ99" s="3"/>
      <c r="BA99" s="6">
        <f>+General!BA82</f>
        <v>0</v>
      </c>
      <c r="BP99" s="5">
        <f t="shared" si="17"/>
        <v>0</v>
      </c>
    </row>
    <row r="100" spans="1:68" x14ac:dyDescent="0.25">
      <c r="A100" s="3" t="s">
        <v>84</v>
      </c>
      <c r="B100" s="3"/>
      <c r="D100" s="3"/>
      <c r="E100" s="3">
        <f t="shared" si="41"/>
        <v>0</v>
      </c>
      <c r="F100" s="3"/>
      <c r="H100" s="32">
        <f t="shared" si="42"/>
        <v>0</v>
      </c>
      <c r="I100" s="32"/>
      <c r="J100" s="4"/>
      <c r="K100" s="4">
        <f t="shared" si="43"/>
        <v>0</v>
      </c>
      <c r="L100" s="4"/>
      <c r="N100" s="4">
        <f t="shared" si="44"/>
        <v>0</v>
      </c>
      <c r="P100" s="3"/>
      <c r="Q100" s="3"/>
      <c r="R100" s="3"/>
      <c r="S100" s="3">
        <f t="shared" si="45"/>
        <v>0</v>
      </c>
      <c r="T100" s="3"/>
      <c r="U100" s="3">
        <f t="shared" si="46"/>
        <v>0</v>
      </c>
      <c r="V100" s="3"/>
      <c r="W100" s="3">
        <f t="shared" si="47"/>
        <v>0</v>
      </c>
      <c r="X100" s="3"/>
      <c r="Y100" s="3"/>
      <c r="Z100" s="3">
        <f t="shared" si="48"/>
        <v>0</v>
      </c>
      <c r="AA100" s="3"/>
      <c r="AB100" s="3"/>
      <c r="AC100" s="3"/>
      <c r="AD100" s="3">
        <f t="shared" si="49"/>
        <v>0</v>
      </c>
      <c r="AE100" s="3"/>
      <c r="AF100" s="3">
        <f t="shared" si="50"/>
        <v>0</v>
      </c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42"/>
      <c r="AR100" s="3"/>
      <c r="AS100" s="42"/>
      <c r="AT100" s="3"/>
      <c r="AU100" s="42"/>
      <c r="AV100" s="3"/>
      <c r="AW100" s="42"/>
      <c r="AX100" s="3"/>
      <c r="AZ100" s="3"/>
      <c r="BA100" s="6">
        <f>+General!BA83</f>
        <v>0</v>
      </c>
      <c r="BP100" s="5">
        <f t="shared" si="17"/>
        <v>0</v>
      </c>
    </row>
    <row r="101" spans="1:68" x14ac:dyDescent="0.25">
      <c r="A101" s="3" t="s">
        <v>85</v>
      </c>
      <c r="B101" s="3">
        <v>99000</v>
      </c>
      <c r="D101" s="3"/>
      <c r="E101" s="3">
        <f t="shared" si="41"/>
        <v>99000</v>
      </c>
      <c r="F101" s="3">
        <v>99000</v>
      </c>
      <c r="H101" s="32">
        <f t="shared" si="42"/>
        <v>0</v>
      </c>
      <c r="I101" s="32"/>
      <c r="J101" s="4">
        <v>0</v>
      </c>
      <c r="K101" s="4">
        <f t="shared" si="43"/>
        <v>99000</v>
      </c>
      <c r="L101" s="4">
        <v>99000</v>
      </c>
      <c r="N101" s="4">
        <f t="shared" si="44"/>
        <v>0</v>
      </c>
      <c r="P101" s="3">
        <v>149900</v>
      </c>
      <c r="Q101" s="3"/>
      <c r="R101" s="3">
        <v>0</v>
      </c>
      <c r="S101" s="3">
        <f t="shared" si="45"/>
        <v>149900</v>
      </c>
      <c r="T101" s="3">
        <v>149900</v>
      </c>
      <c r="U101" s="3">
        <f t="shared" si="46"/>
        <v>0</v>
      </c>
      <c r="V101" s="3"/>
      <c r="W101" s="3">
        <f t="shared" si="47"/>
        <v>149900</v>
      </c>
      <c r="X101" s="3"/>
      <c r="Y101" s="3">
        <v>149900</v>
      </c>
      <c r="Z101" s="3">
        <f t="shared" si="48"/>
        <v>0</v>
      </c>
      <c r="AA101" s="3"/>
      <c r="AB101" s="3"/>
      <c r="AC101" s="3"/>
      <c r="AD101" s="3">
        <f t="shared" si="49"/>
        <v>149900</v>
      </c>
      <c r="AE101" s="3">
        <v>149900</v>
      </c>
      <c r="AF101" s="3">
        <f t="shared" si="50"/>
        <v>0</v>
      </c>
      <c r="AG101" s="3"/>
      <c r="AH101" s="3">
        <v>144000</v>
      </c>
      <c r="AI101" s="3"/>
      <c r="AJ101" s="3"/>
      <c r="AK101" s="3"/>
      <c r="AL101" s="3"/>
      <c r="AM101" s="3"/>
      <c r="AN101" s="3"/>
      <c r="AO101" s="3"/>
      <c r="AP101" s="3"/>
      <c r="AQ101" s="42"/>
      <c r="AR101" s="3"/>
      <c r="AS101" s="42"/>
      <c r="AT101" s="3"/>
      <c r="AU101" s="42"/>
      <c r="AV101" s="3"/>
      <c r="AW101" s="42"/>
      <c r="AX101" s="3"/>
      <c r="AZ101" s="3"/>
      <c r="BA101" s="6">
        <f>+General!BA84</f>
        <v>0</v>
      </c>
      <c r="BP101" s="5">
        <f t="shared" si="17"/>
        <v>0</v>
      </c>
    </row>
    <row r="102" spans="1:68" x14ac:dyDescent="0.25">
      <c r="A102" s="3" t="s">
        <v>86</v>
      </c>
      <c r="B102" s="3">
        <v>30000</v>
      </c>
      <c r="D102" s="3"/>
      <c r="E102" s="3">
        <f t="shared" si="41"/>
        <v>30000</v>
      </c>
      <c r="F102" s="3">
        <v>30000</v>
      </c>
      <c r="H102" s="32">
        <f t="shared" si="42"/>
        <v>0</v>
      </c>
      <c r="I102" s="32"/>
      <c r="J102" s="4">
        <v>0</v>
      </c>
      <c r="K102" s="4">
        <f t="shared" si="43"/>
        <v>30000</v>
      </c>
      <c r="L102" s="4">
        <v>30000</v>
      </c>
      <c r="N102" s="4">
        <f t="shared" si="44"/>
        <v>0</v>
      </c>
      <c r="P102" s="3">
        <v>30000</v>
      </c>
      <c r="Q102" s="3"/>
      <c r="R102" s="3">
        <v>0</v>
      </c>
      <c r="S102" s="3">
        <f t="shared" si="45"/>
        <v>30000</v>
      </c>
      <c r="T102" s="3">
        <v>30000</v>
      </c>
      <c r="U102" s="3">
        <f t="shared" si="46"/>
        <v>0</v>
      </c>
      <c r="V102" s="3"/>
      <c r="W102" s="3">
        <f t="shared" si="47"/>
        <v>30000</v>
      </c>
      <c r="X102" s="3"/>
      <c r="Y102" s="3">
        <v>30000</v>
      </c>
      <c r="Z102" s="3">
        <f t="shared" si="48"/>
        <v>0</v>
      </c>
      <c r="AA102" s="3"/>
      <c r="AB102" s="3"/>
      <c r="AC102" s="3"/>
      <c r="AD102" s="3">
        <f t="shared" si="49"/>
        <v>30000</v>
      </c>
      <c r="AE102" s="3">
        <v>30000</v>
      </c>
      <c r="AF102" s="3">
        <f t="shared" si="50"/>
        <v>0</v>
      </c>
      <c r="AG102" s="3"/>
      <c r="AH102" s="3">
        <f>P102</f>
        <v>30000</v>
      </c>
      <c r="AI102" s="3"/>
      <c r="AJ102" s="3">
        <f>AH102*1.025</f>
        <v>30749.999999999996</v>
      </c>
      <c r="AK102" s="3"/>
      <c r="AL102" s="3">
        <f>AJ102*1.025</f>
        <v>31518.749999999993</v>
      </c>
      <c r="AM102" s="3"/>
      <c r="AN102" s="3">
        <f>AL102*1.025</f>
        <v>32306.718749999989</v>
      </c>
      <c r="AO102" s="3"/>
      <c r="AP102" s="3">
        <f>AN102*1.025</f>
        <v>33114.386718749985</v>
      </c>
      <c r="AQ102" s="42"/>
      <c r="AR102" s="3">
        <f>AP102*1.025</f>
        <v>33942.246386718733</v>
      </c>
      <c r="AS102" s="42"/>
      <c r="AT102" s="3">
        <f>AR102*1.025</f>
        <v>34790.802546386694</v>
      </c>
      <c r="AU102" s="42"/>
      <c r="AV102" s="3">
        <f>AT102*1.025</f>
        <v>35660.572610046358</v>
      </c>
      <c r="AW102" s="42"/>
      <c r="AX102" s="3">
        <f>AV102*1.025</f>
        <v>36552.086925297517</v>
      </c>
      <c r="AZ102" s="3">
        <f>AX102*1.025</f>
        <v>37465.889098429951</v>
      </c>
      <c r="BA102" s="6">
        <f>+General!BA85</f>
        <v>37465.889098429951</v>
      </c>
      <c r="BP102" s="5">
        <f t="shared" si="17"/>
        <v>0</v>
      </c>
    </row>
    <row r="103" spans="1:68" x14ac:dyDescent="0.25">
      <c r="A103" s="3" t="s">
        <v>87</v>
      </c>
      <c r="B103" s="3">
        <v>500</v>
      </c>
      <c r="D103" s="3"/>
      <c r="E103" s="3">
        <f t="shared" si="41"/>
        <v>500</v>
      </c>
      <c r="F103" s="3">
        <v>500</v>
      </c>
      <c r="H103" s="32">
        <f t="shared" si="42"/>
        <v>0</v>
      </c>
      <c r="I103" s="32"/>
      <c r="J103" s="4">
        <v>0</v>
      </c>
      <c r="K103" s="4">
        <f t="shared" si="43"/>
        <v>500</v>
      </c>
      <c r="L103" s="4">
        <v>500</v>
      </c>
      <c r="N103" s="4">
        <f t="shared" si="44"/>
        <v>0</v>
      </c>
      <c r="P103" s="3">
        <v>500</v>
      </c>
      <c r="Q103" s="3"/>
      <c r="R103" s="3">
        <v>0</v>
      </c>
      <c r="S103" s="3">
        <f t="shared" si="45"/>
        <v>500</v>
      </c>
      <c r="T103" s="3">
        <v>500</v>
      </c>
      <c r="U103" s="3">
        <f t="shared" si="46"/>
        <v>0</v>
      </c>
      <c r="V103" s="3"/>
      <c r="W103" s="3">
        <f t="shared" si="47"/>
        <v>500</v>
      </c>
      <c r="X103" s="3"/>
      <c r="Y103" s="3">
        <v>500</v>
      </c>
      <c r="Z103" s="3">
        <f t="shared" si="48"/>
        <v>0</v>
      </c>
      <c r="AA103" s="3"/>
      <c r="AB103" s="3"/>
      <c r="AC103" s="3"/>
      <c r="AD103" s="3">
        <f t="shared" si="49"/>
        <v>0</v>
      </c>
      <c r="AE103" s="3">
        <v>0</v>
      </c>
      <c r="AF103" s="3">
        <f t="shared" si="50"/>
        <v>-500</v>
      </c>
      <c r="AG103" s="3"/>
      <c r="AH103" s="3">
        <v>500</v>
      </c>
      <c r="AI103" s="3"/>
      <c r="AJ103" s="3">
        <f>AH103*1.02</f>
        <v>510</v>
      </c>
      <c r="AK103" s="3"/>
      <c r="AL103" s="3">
        <f>AJ103*1.02</f>
        <v>520.20000000000005</v>
      </c>
      <c r="AM103" s="3"/>
      <c r="AN103" s="3">
        <f>AL103*1.02</f>
        <v>530.60400000000004</v>
      </c>
      <c r="AO103" s="3"/>
      <c r="AP103" s="3">
        <f>AN103*1.02</f>
        <v>541.21608000000003</v>
      </c>
      <c r="AQ103" s="42"/>
      <c r="AR103" s="3">
        <f>AP103*1.02</f>
        <v>552.0404016</v>
      </c>
      <c r="AS103" s="42"/>
      <c r="AT103" s="3">
        <f>AR103*1.02</f>
        <v>563.08120963199997</v>
      </c>
      <c r="AU103" s="42"/>
      <c r="AV103" s="3">
        <f>AT103*1.02</f>
        <v>574.34283382464002</v>
      </c>
      <c r="AW103" s="42"/>
      <c r="AX103" s="3">
        <f>AV103*1.02</f>
        <v>585.82969050113286</v>
      </c>
      <c r="AZ103" s="3">
        <f>AX103*1.02</f>
        <v>597.54628431115555</v>
      </c>
      <c r="BA103" s="6">
        <f>+General!BA86</f>
        <v>597.54628431115555</v>
      </c>
      <c r="BP103" s="5">
        <f t="shared" si="17"/>
        <v>0</v>
      </c>
    </row>
    <row r="104" spans="1:68" x14ac:dyDescent="0.25">
      <c r="A104" s="3"/>
      <c r="B104" s="48">
        <f>SUM(B95:B103)</f>
        <v>263790</v>
      </c>
      <c r="C104" s="32"/>
      <c r="D104" s="48">
        <f>SUM(D95:D103)</f>
        <v>0</v>
      </c>
      <c r="E104" s="48">
        <f>SUM(E95:E103)</f>
        <v>263790</v>
      </c>
      <c r="F104" s="48">
        <f>SUM(F95:F103)</f>
        <v>263790</v>
      </c>
      <c r="G104" s="32"/>
      <c r="H104" s="48">
        <f>SUM(H95:H103)</f>
        <v>0</v>
      </c>
      <c r="I104" s="36"/>
      <c r="J104" s="48">
        <f>SUM(J95:J103)</f>
        <v>-1545</v>
      </c>
      <c r="K104" s="48">
        <f>SUM(K95:K103)</f>
        <v>263790</v>
      </c>
      <c r="L104" s="48">
        <f>SUM(L95:L103)</f>
        <v>262245</v>
      </c>
      <c r="M104" s="32"/>
      <c r="N104" s="48">
        <f>SUM(N95:N103)</f>
        <v>-1545</v>
      </c>
      <c r="P104" s="48">
        <f>SUM(P95:P103)</f>
        <v>315150</v>
      </c>
      <c r="R104" s="48">
        <f t="shared" ref="R104:Z104" si="51">SUM(R95:R103)</f>
        <v>0</v>
      </c>
      <c r="S104" s="48">
        <f t="shared" si="51"/>
        <v>315150</v>
      </c>
      <c r="T104" s="48">
        <f t="shared" si="51"/>
        <v>315150</v>
      </c>
      <c r="U104" s="48">
        <f t="shared" si="51"/>
        <v>0</v>
      </c>
      <c r="V104" s="48">
        <f t="shared" si="51"/>
        <v>4433</v>
      </c>
      <c r="W104" s="48">
        <f t="shared" si="51"/>
        <v>310717</v>
      </c>
      <c r="X104" s="48"/>
      <c r="Y104" s="48">
        <f t="shared" si="51"/>
        <v>315150</v>
      </c>
      <c r="Z104" s="48">
        <f t="shared" si="51"/>
        <v>0</v>
      </c>
      <c r="AC104" s="48">
        <f>SUM(AC95:AC103)</f>
        <v>122415</v>
      </c>
      <c r="AD104" s="48">
        <f>SUM(AD95:AD103)</f>
        <v>192255</v>
      </c>
      <c r="AE104" s="48">
        <f>SUM(AE95:AE103)</f>
        <v>314670</v>
      </c>
      <c r="AF104" s="48">
        <f>SUM(AF95:AF103)</f>
        <v>-480</v>
      </c>
      <c r="AH104" s="48">
        <f>SUM(AH95:AH103)</f>
        <v>272950</v>
      </c>
      <c r="AJ104" s="48">
        <f>SUM(AJ95:AJ103)-1</f>
        <v>126578</v>
      </c>
      <c r="AL104" s="48">
        <f>SUM(AL95:AL103)-1</f>
        <v>129263.33</v>
      </c>
      <c r="AN104" s="48">
        <f>SUM(AN95:AN103)</f>
        <v>132007.21035000001</v>
      </c>
      <c r="AO104" s="48"/>
      <c r="AP104" s="48">
        <f>SUM(AP95:AP103)</f>
        <v>134808.88815075002</v>
      </c>
      <c r="AR104" s="48">
        <f>SUM(AR95:AR103)</f>
        <v>137670.63784735877</v>
      </c>
      <c r="AT104" s="48">
        <f>SUM(AT95:AT103)</f>
        <v>140593.76183623949</v>
      </c>
      <c r="AV104" s="48">
        <f>SUM(AV95:AV103)</f>
        <v>143579.59108569624</v>
      </c>
      <c r="AX104" s="48">
        <f>SUM(AX95:AX103)</f>
        <v>146629.48577046039</v>
      </c>
      <c r="AZ104" s="48">
        <f>SUM(AZ95:AZ103)</f>
        <v>149744.83592049609</v>
      </c>
      <c r="BA104" s="6">
        <f>+General!BA87</f>
        <v>149744.83592049609</v>
      </c>
      <c r="BP104" s="5">
        <f t="shared" si="17"/>
        <v>0</v>
      </c>
    </row>
    <row r="105" spans="1:68" ht="5.25" customHeight="1" x14ac:dyDescent="0.25">
      <c r="A105" s="3"/>
      <c r="BA105" s="6">
        <f>+General!BA88</f>
        <v>0</v>
      </c>
      <c r="BP105" s="5">
        <f t="shared" si="17"/>
        <v>0</v>
      </c>
    </row>
    <row r="106" spans="1:68" x14ac:dyDescent="0.25">
      <c r="A106" s="7" t="s">
        <v>88</v>
      </c>
      <c r="BA106" s="6">
        <f>+General!BA89</f>
        <v>0</v>
      </c>
      <c r="BP106" s="5">
        <f t="shared" si="17"/>
        <v>0</v>
      </c>
    </row>
    <row r="107" spans="1:68" x14ac:dyDescent="0.25">
      <c r="A107" s="3" t="s">
        <v>89</v>
      </c>
      <c r="B107" s="3">
        <v>921</v>
      </c>
      <c r="D107" s="3">
        <v>725</v>
      </c>
      <c r="E107" s="3">
        <f>F107-D107</f>
        <v>195</v>
      </c>
      <c r="F107" s="3">
        <v>920</v>
      </c>
      <c r="H107" s="32">
        <f>F107-B107</f>
        <v>-1</v>
      </c>
      <c r="I107" s="32"/>
      <c r="J107" s="4">
        <v>1300</v>
      </c>
      <c r="K107" s="4">
        <f>L107-J107</f>
        <v>200</v>
      </c>
      <c r="L107" s="4">
        <v>1500</v>
      </c>
      <c r="N107" s="4">
        <f>L107-F107</f>
        <v>580</v>
      </c>
      <c r="P107" s="3">
        <f>L107*1.025+12</f>
        <v>1549.4999999999998</v>
      </c>
      <c r="Q107" s="3"/>
      <c r="R107" s="3">
        <v>1028</v>
      </c>
      <c r="S107" s="3">
        <f>T107-R107</f>
        <v>522</v>
      </c>
      <c r="T107" s="3">
        <v>1550</v>
      </c>
      <c r="U107" s="3">
        <f>T107-P107</f>
        <v>0.50000000000022737</v>
      </c>
      <c r="V107" s="3">
        <v>625</v>
      </c>
      <c r="W107" s="3">
        <f>Y107-V107</f>
        <v>575</v>
      </c>
      <c r="X107" s="3"/>
      <c r="Y107" s="3">
        <v>1200</v>
      </c>
      <c r="Z107" s="3">
        <f>Y107-T107</f>
        <v>-350</v>
      </c>
      <c r="AA107" s="3"/>
      <c r="AB107" s="3"/>
      <c r="AC107" s="3">
        <v>830</v>
      </c>
      <c r="AD107" s="3">
        <f>AE107-AC107</f>
        <v>270</v>
      </c>
      <c r="AE107" s="3">
        <v>1100</v>
      </c>
      <c r="AF107" s="3">
        <f>AE107-Y107</f>
        <v>-100</v>
      </c>
      <c r="AG107" s="3"/>
      <c r="AH107" s="3">
        <v>1200</v>
      </c>
      <c r="AI107" s="3"/>
      <c r="AJ107" s="3">
        <f>AH107*1.025</f>
        <v>1230</v>
      </c>
      <c r="AK107" s="3"/>
      <c r="AL107" s="3">
        <f>AJ107*1.025</f>
        <v>1260.75</v>
      </c>
      <c r="AM107" s="3"/>
      <c r="AN107" s="3">
        <f>AL107*1.025</f>
        <v>1292.26875</v>
      </c>
      <c r="AO107" s="3"/>
      <c r="AP107" s="3">
        <f>AN107*1.025</f>
        <v>1324.5754687499998</v>
      </c>
      <c r="AQ107" s="42"/>
      <c r="AR107" s="3">
        <f>AP107*1.025</f>
        <v>1357.6898554687498</v>
      </c>
      <c r="AS107" s="42"/>
      <c r="AT107" s="3">
        <f>AR107*1.025</f>
        <v>1391.6321018554684</v>
      </c>
      <c r="AU107" s="42"/>
      <c r="AV107" s="3">
        <f>AT107*1.025</f>
        <v>1426.422904401855</v>
      </c>
      <c r="AW107" s="42"/>
      <c r="AX107" s="3">
        <f>AV107*1.025</f>
        <v>1462.0834770119013</v>
      </c>
      <c r="AZ107" s="3">
        <f>AX107*1.025</f>
        <v>1498.6355639371986</v>
      </c>
      <c r="BA107" s="6">
        <f>+General!BA90</f>
        <v>1498.6355639371986</v>
      </c>
      <c r="BP107" s="5">
        <f t="shared" si="17"/>
        <v>0</v>
      </c>
    </row>
    <row r="108" spans="1:68" x14ac:dyDescent="0.25">
      <c r="A108" s="3" t="s">
        <v>57</v>
      </c>
      <c r="B108" s="3">
        <v>820</v>
      </c>
      <c r="D108" s="3"/>
      <c r="E108" s="3">
        <f>F108-D108</f>
        <v>820</v>
      </c>
      <c r="F108" s="3">
        <v>820</v>
      </c>
      <c r="H108" s="32">
        <f>F108-B108</f>
        <v>0</v>
      </c>
      <c r="I108" s="32"/>
      <c r="J108" s="4">
        <v>316</v>
      </c>
      <c r="K108" s="4">
        <f>L108-J108</f>
        <v>384</v>
      </c>
      <c r="L108" s="4">
        <v>700</v>
      </c>
      <c r="N108" s="4">
        <f>L108-F108</f>
        <v>-120</v>
      </c>
      <c r="P108" s="3">
        <f>L108*1.025+32</f>
        <v>749.49999999999989</v>
      </c>
      <c r="Q108" s="3"/>
      <c r="R108" s="3">
        <f>355</f>
        <v>355</v>
      </c>
      <c r="S108" s="3">
        <f>T108-R108</f>
        <v>395</v>
      </c>
      <c r="T108" s="3">
        <v>750</v>
      </c>
      <c r="U108" s="3">
        <f>T108-P108</f>
        <v>0.50000000000011369</v>
      </c>
      <c r="V108" s="3">
        <v>1028</v>
      </c>
      <c r="W108" s="3">
        <f>Y108-V108</f>
        <v>472</v>
      </c>
      <c r="X108" s="3"/>
      <c r="Y108" s="3">
        <v>1500</v>
      </c>
      <c r="Z108" s="3">
        <f>Y108-T108</f>
        <v>750</v>
      </c>
      <c r="AA108" s="3"/>
      <c r="AB108" s="3"/>
      <c r="AC108" s="3">
        <v>1684</v>
      </c>
      <c r="AD108" s="3">
        <f>AE108-AC108</f>
        <v>116</v>
      </c>
      <c r="AE108" s="3">
        <v>1800</v>
      </c>
      <c r="AF108" s="3">
        <f>AE108-Y108</f>
        <v>300</v>
      </c>
      <c r="AG108" s="3"/>
      <c r="AH108" s="3">
        <v>1900</v>
      </c>
      <c r="AI108" s="3"/>
      <c r="AJ108" s="3">
        <f>AH108*1.025</f>
        <v>1947.4999999999998</v>
      </c>
      <c r="AK108" s="3"/>
      <c r="AL108" s="3">
        <f>AJ108*1.025</f>
        <v>1996.1874999999995</v>
      </c>
      <c r="AM108" s="3"/>
      <c r="AN108" s="3">
        <f>AL108*1.025</f>
        <v>2046.0921874999995</v>
      </c>
      <c r="AO108" s="3"/>
      <c r="AP108" s="3">
        <f>AN108*1.025</f>
        <v>2097.2444921874994</v>
      </c>
      <c r="AQ108" s="42"/>
      <c r="AR108" s="3">
        <f>AP108*1.025</f>
        <v>2149.6756044921867</v>
      </c>
      <c r="AS108" s="42"/>
      <c r="AT108" s="3">
        <f>AR108*1.025</f>
        <v>2203.4174946044914</v>
      </c>
      <c r="AU108" s="42"/>
      <c r="AV108" s="3">
        <f>AT108*1.025</f>
        <v>2258.5029319696037</v>
      </c>
      <c r="AW108" s="42"/>
      <c r="AX108" s="3">
        <f>AV108*1.025</f>
        <v>2314.9655052688436</v>
      </c>
      <c r="AZ108" s="3">
        <f>AX108*1.025</f>
        <v>2372.8396429005643</v>
      </c>
      <c r="BA108" s="6">
        <f>+General!BA91</f>
        <v>2372.8396429005643</v>
      </c>
      <c r="BP108" s="5">
        <f t="shared" si="17"/>
        <v>0</v>
      </c>
    </row>
    <row r="109" spans="1:68" x14ac:dyDescent="0.25">
      <c r="A109" s="3" t="s">
        <v>90</v>
      </c>
      <c r="B109" s="3"/>
      <c r="D109" s="3"/>
      <c r="E109" s="3"/>
      <c r="F109" s="3"/>
      <c r="H109" s="3"/>
      <c r="I109" s="3"/>
      <c r="J109" s="3"/>
      <c r="K109" s="3"/>
      <c r="L109" s="3"/>
      <c r="N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42"/>
      <c r="AR109" s="3"/>
      <c r="AT109" s="3"/>
      <c r="AV109" s="3"/>
      <c r="AX109" s="3"/>
      <c r="AZ109" s="3"/>
      <c r="BA109" s="6">
        <f>+General!BA92</f>
        <v>0</v>
      </c>
      <c r="BP109" s="5">
        <f t="shared" si="17"/>
        <v>0</v>
      </c>
    </row>
    <row r="110" spans="1:68" ht="15.75" thickBot="1" x14ac:dyDescent="0.3">
      <c r="A110" s="3"/>
      <c r="B110" s="48">
        <f>SUM(B107:B109)-1</f>
        <v>1740</v>
      </c>
      <c r="C110" s="32"/>
      <c r="D110" s="48">
        <f>SUM(D107:D109)-1</f>
        <v>724</v>
      </c>
      <c r="E110" s="48">
        <f>SUM(E107:E109)-1</f>
        <v>1014</v>
      </c>
      <c r="F110" s="48">
        <f>SUM(F107:F109)-1</f>
        <v>1739</v>
      </c>
      <c r="G110" s="32"/>
      <c r="H110" s="48">
        <f>SUM(H107:H109)-1</f>
        <v>-2</v>
      </c>
      <c r="I110" s="36"/>
      <c r="J110" s="48">
        <f>SUM(J107:J109)-1</f>
        <v>1615</v>
      </c>
      <c r="K110" s="48">
        <f>SUM(K107:K109)-1</f>
        <v>583</v>
      </c>
      <c r="L110" s="48">
        <f>SUM(L107:L109)-1</f>
        <v>2199</v>
      </c>
      <c r="M110" s="32"/>
      <c r="N110" s="48">
        <f>SUM(N107:N109)-1</f>
        <v>459</v>
      </c>
      <c r="P110" s="48">
        <f>SUM(P107:P109 )+1</f>
        <v>2299.9999999999995</v>
      </c>
      <c r="R110" s="48">
        <f t="shared" ref="R110:Z110" si="52">SUM(R107:R109 )</f>
        <v>1383</v>
      </c>
      <c r="S110" s="48">
        <f t="shared" si="52"/>
        <v>917</v>
      </c>
      <c r="T110" s="48">
        <f t="shared" si="52"/>
        <v>2300</v>
      </c>
      <c r="U110" s="48">
        <f t="shared" si="52"/>
        <v>1.0000000000003411</v>
      </c>
      <c r="V110" s="48">
        <f t="shared" si="52"/>
        <v>1653</v>
      </c>
      <c r="W110" s="48">
        <f t="shared" si="52"/>
        <v>1047</v>
      </c>
      <c r="X110" s="48"/>
      <c r="Y110" s="48">
        <f t="shared" si="52"/>
        <v>2700</v>
      </c>
      <c r="Z110" s="48">
        <f t="shared" si="52"/>
        <v>400</v>
      </c>
      <c r="AC110" s="48">
        <f>SUM(AC107:AC109 )</f>
        <v>2514</v>
      </c>
      <c r="AD110" s="48">
        <f>SUM(AD107:AD109 )</f>
        <v>386</v>
      </c>
      <c r="AE110" s="48">
        <f>SUM(AE107:AE109 )</f>
        <v>2900</v>
      </c>
      <c r="AF110" s="48">
        <f>SUM(AF107:AF109 )</f>
        <v>200</v>
      </c>
      <c r="AH110" s="48">
        <f>SUM(AH107:AH109)</f>
        <v>3100</v>
      </c>
      <c r="AJ110" s="48">
        <f>SUM(AJ107:AJ109)</f>
        <v>3177.5</v>
      </c>
      <c r="AL110" s="48">
        <f>SUM(AL107:AL109)-1</f>
        <v>3255.9374999999995</v>
      </c>
      <c r="AN110" s="48">
        <f>SUM(AN107:AN109)-1</f>
        <v>3337.3609374999996</v>
      </c>
      <c r="AO110" s="48"/>
      <c r="AP110" s="48">
        <f>SUM(AP107:AP109)</f>
        <v>3421.8199609374992</v>
      </c>
      <c r="AR110" s="48">
        <f>SUM(AR107:AR109)</f>
        <v>3507.3654599609363</v>
      </c>
      <c r="AT110" s="48">
        <f>SUM(AT107:AT109)</f>
        <v>3595.0495964599595</v>
      </c>
      <c r="AV110" s="48">
        <f>SUM(AV107:AV109)</f>
        <v>3684.9258363714589</v>
      </c>
      <c r="AX110" s="48">
        <f>SUM(AX107:AX109)</f>
        <v>3777.0489822807449</v>
      </c>
      <c r="AZ110" s="48">
        <f>SUM(AZ107:AZ109)</f>
        <v>3871.4752068377629</v>
      </c>
      <c r="BA110" s="6">
        <f>+General!BA93</f>
        <v>3871.4752068377629</v>
      </c>
      <c r="BP110" s="5">
        <f t="shared" si="17"/>
        <v>0</v>
      </c>
    </row>
    <row r="111" spans="1:68" x14ac:dyDescent="0.25">
      <c r="A111" s="3"/>
      <c r="B111" s="8" t="s">
        <v>8</v>
      </c>
      <c r="C111" s="9"/>
      <c r="D111" s="10" t="s">
        <v>9</v>
      </c>
      <c r="E111" s="11" t="s">
        <v>10</v>
      </c>
      <c r="F111" s="12" t="s">
        <v>11</v>
      </c>
      <c r="G111" s="9"/>
      <c r="H111" s="8" t="s">
        <v>12</v>
      </c>
      <c r="I111" s="13"/>
      <c r="J111" s="10" t="s">
        <v>9</v>
      </c>
      <c r="K111" s="11" t="s">
        <v>10</v>
      </c>
      <c r="L111" s="11" t="s">
        <v>11</v>
      </c>
      <c r="M111" s="9"/>
      <c r="N111" s="12" t="s">
        <v>12</v>
      </c>
      <c r="P111" s="8" t="s">
        <v>91</v>
      </c>
      <c r="AH111" s="8" t="s">
        <v>8</v>
      </c>
      <c r="AJ111" s="8" t="s">
        <v>8</v>
      </c>
      <c r="AL111" s="8" t="s">
        <v>8</v>
      </c>
      <c r="AN111" s="8" t="s">
        <v>8</v>
      </c>
      <c r="AO111" s="8"/>
      <c r="AP111" s="8" t="s">
        <v>8</v>
      </c>
      <c r="AR111" s="8" t="s">
        <v>8</v>
      </c>
      <c r="AT111" s="8" t="s">
        <v>8</v>
      </c>
      <c r="AV111" s="8" t="s">
        <v>8</v>
      </c>
      <c r="AX111" s="8" t="s">
        <v>8</v>
      </c>
      <c r="AZ111" s="8" t="s">
        <v>8</v>
      </c>
      <c r="BP111" s="5" t="e">
        <f t="shared" si="17"/>
        <v>#VALUE!</v>
      </c>
    </row>
    <row r="112" spans="1:68" ht="15.75" thickBot="1" x14ac:dyDescent="0.3">
      <c r="A112" s="3"/>
      <c r="B112" s="19" t="s">
        <v>14</v>
      </c>
      <c r="C112" s="9"/>
      <c r="D112" s="20" t="s">
        <v>15</v>
      </c>
      <c r="E112" s="21"/>
      <c r="F112" s="22" t="s">
        <v>16</v>
      </c>
      <c r="G112" s="9"/>
      <c r="H112" s="19"/>
      <c r="I112" s="13"/>
      <c r="J112" s="20" t="s">
        <v>17</v>
      </c>
      <c r="K112" s="21"/>
      <c r="L112" s="21" t="s">
        <v>16</v>
      </c>
      <c r="M112" s="9"/>
      <c r="N112" s="22"/>
      <c r="P112" s="19" t="s">
        <v>18</v>
      </c>
      <c r="AH112" s="19" t="s">
        <v>24</v>
      </c>
      <c r="AJ112" s="19" t="s">
        <v>25</v>
      </c>
      <c r="AL112" s="19" t="s">
        <v>26</v>
      </c>
      <c r="AN112" s="19" t="s">
        <v>27</v>
      </c>
      <c r="AO112" s="19"/>
      <c r="AP112" s="19" t="s">
        <v>28</v>
      </c>
      <c r="AR112" s="19" t="s">
        <v>29</v>
      </c>
      <c r="AT112" s="19" t="s">
        <v>30</v>
      </c>
      <c r="AV112" s="19" t="s">
        <v>31</v>
      </c>
      <c r="AX112" s="19" t="s">
        <v>32</v>
      </c>
      <c r="AZ112" s="19" t="s">
        <v>32</v>
      </c>
      <c r="BA112" s="6">
        <f>+General!BA94</f>
        <v>0</v>
      </c>
      <c r="BP112" s="5" t="e">
        <f t="shared" si="17"/>
        <v>#VALUE!</v>
      </c>
    </row>
    <row r="113" spans="1:68" x14ac:dyDescent="0.25">
      <c r="A113" s="7" t="s">
        <v>92</v>
      </c>
      <c r="B113" s="3"/>
      <c r="D113" s="3"/>
      <c r="E113" s="3"/>
      <c r="F113" s="3"/>
      <c r="H113" s="3"/>
      <c r="I113" s="3"/>
      <c r="J113" s="3"/>
      <c r="K113" s="3"/>
      <c r="L113" s="3"/>
      <c r="N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42"/>
      <c r="AR113" s="3"/>
      <c r="AT113" s="3"/>
      <c r="AV113" s="3"/>
      <c r="AX113" s="3"/>
      <c r="AZ113" s="3"/>
      <c r="BA113" s="6">
        <f>+General!BA95</f>
        <v>0</v>
      </c>
      <c r="BP113" s="5">
        <f t="shared" si="17"/>
        <v>0</v>
      </c>
    </row>
    <row r="114" spans="1:68" x14ac:dyDescent="0.25">
      <c r="A114" s="3" t="s">
        <v>93</v>
      </c>
      <c r="B114" s="3"/>
      <c r="D114" s="3"/>
      <c r="E114" s="3">
        <f>F114-D114</f>
        <v>0</v>
      </c>
      <c r="F114" s="3"/>
      <c r="H114" s="3"/>
      <c r="I114" s="3"/>
      <c r="J114" s="3"/>
      <c r="K114" s="3"/>
      <c r="L114" s="3"/>
      <c r="N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42"/>
      <c r="AR114" s="3"/>
      <c r="AT114" s="3"/>
      <c r="AV114" s="3"/>
      <c r="AX114" s="3"/>
      <c r="AZ114" s="3"/>
      <c r="BA114" s="6">
        <f>+General!BA96</f>
        <v>0</v>
      </c>
      <c r="BP114" s="5">
        <f t="shared" si="17"/>
        <v>0</v>
      </c>
    </row>
    <row r="115" spans="1:68" x14ac:dyDescent="0.25">
      <c r="A115" s="3" t="s">
        <v>94</v>
      </c>
      <c r="B115" s="3"/>
      <c r="D115" s="3"/>
      <c r="E115" s="3">
        <f>F115-D115</f>
        <v>0</v>
      </c>
      <c r="F115" s="3"/>
      <c r="H115" s="3"/>
      <c r="I115" s="3"/>
      <c r="J115" s="3"/>
      <c r="K115" s="3"/>
      <c r="L115" s="3"/>
      <c r="N115" s="3"/>
      <c r="P115" s="3"/>
      <c r="Q115" s="3"/>
      <c r="R115" s="3"/>
      <c r="S115" s="3"/>
      <c r="T115" s="3"/>
      <c r="U115" s="3"/>
      <c r="V115" s="3"/>
      <c r="W115" s="3">
        <f>Y115-V115</f>
        <v>0</v>
      </c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42"/>
      <c r="AR115" s="3"/>
      <c r="AT115" s="3"/>
      <c r="AV115" s="3"/>
      <c r="AX115" s="3"/>
      <c r="AZ115" s="3"/>
      <c r="BA115" s="6">
        <f>+General!BA97</f>
        <v>0</v>
      </c>
      <c r="BP115" s="5">
        <f t="shared" si="17"/>
        <v>0</v>
      </c>
    </row>
    <row r="116" spans="1:68" x14ac:dyDescent="0.25">
      <c r="A116" s="3" t="s">
        <v>95</v>
      </c>
      <c r="B116" s="3">
        <v>2000</v>
      </c>
      <c r="D116" s="3"/>
      <c r="E116" s="3">
        <f>F116-D116</f>
        <v>2000</v>
      </c>
      <c r="F116" s="3">
        <v>2000</v>
      </c>
      <c r="H116" s="32">
        <f>F116-B116</f>
        <v>0</v>
      </c>
      <c r="I116" s="32"/>
      <c r="J116" s="4">
        <v>459</v>
      </c>
      <c r="K116" s="4">
        <f>L116-J116</f>
        <v>1541</v>
      </c>
      <c r="L116" s="4">
        <v>2000</v>
      </c>
      <c r="N116" s="4">
        <f>L116-F116</f>
        <v>0</v>
      </c>
      <c r="P116" s="3">
        <f>L116*1.025</f>
        <v>2050</v>
      </c>
      <c r="Q116" s="3"/>
      <c r="R116" s="3">
        <v>0</v>
      </c>
      <c r="S116" s="3">
        <f>T116-R116</f>
        <v>1000</v>
      </c>
      <c r="T116" s="3">
        <v>1000</v>
      </c>
      <c r="U116" s="3">
        <f>T116-P116</f>
        <v>-1050</v>
      </c>
      <c r="V116" s="3"/>
      <c r="W116" s="3">
        <f>Y116-V116</f>
        <v>9000</v>
      </c>
      <c r="X116" s="3"/>
      <c r="Y116" s="3">
        <v>9000</v>
      </c>
      <c r="Z116" s="3">
        <f>Y116-T116</f>
        <v>8000</v>
      </c>
      <c r="AA116" s="3"/>
      <c r="AB116" s="3"/>
      <c r="AC116" s="3">
        <v>3003</v>
      </c>
      <c r="AD116" s="3">
        <f>AE116-AC116</f>
        <v>5997</v>
      </c>
      <c r="AE116" s="3">
        <v>9000</v>
      </c>
      <c r="AF116" s="3">
        <f>AE116-Y116</f>
        <v>0</v>
      </c>
      <c r="AG116" s="3"/>
      <c r="AH116" s="3">
        <v>9300</v>
      </c>
      <c r="AI116" s="3"/>
      <c r="AJ116" s="3">
        <f>AH116*1.025</f>
        <v>9532.5</v>
      </c>
      <c r="AK116" s="3"/>
      <c r="AL116" s="3">
        <f>AJ116*1.025</f>
        <v>9770.8125</v>
      </c>
      <c r="AM116" s="3"/>
      <c r="AN116" s="3">
        <f>AL116*1.025</f>
        <v>10015.082812499999</v>
      </c>
      <c r="AO116" s="3"/>
      <c r="AP116" s="3">
        <f>AN116*1.025</f>
        <v>10265.459882812498</v>
      </c>
      <c r="AQ116" s="42"/>
      <c r="AR116" s="3">
        <f>AP116*1.025</f>
        <v>10522.096379882809</v>
      </c>
      <c r="AS116" s="42"/>
      <c r="AT116" s="3">
        <f>AR116*1.025</f>
        <v>10785.148789379879</v>
      </c>
      <c r="AU116" s="42"/>
      <c r="AV116" s="3">
        <f>AT116*1.025</f>
        <v>11054.777509114374</v>
      </c>
      <c r="AW116" s="42"/>
      <c r="AX116" s="3">
        <f>AV116*1.025</f>
        <v>11331.146946842233</v>
      </c>
      <c r="AZ116" s="3">
        <f>AX116*1.025</f>
        <v>11614.425620513288</v>
      </c>
      <c r="BA116" s="6">
        <f>+General!BA98</f>
        <v>11614.425620513288</v>
      </c>
      <c r="BP116" s="5">
        <f t="shared" si="17"/>
        <v>0</v>
      </c>
    </row>
    <row r="117" spans="1:68" x14ac:dyDescent="0.25">
      <c r="A117" s="3"/>
      <c r="B117" s="48">
        <f>SUM(B114:B116)</f>
        <v>2000</v>
      </c>
      <c r="C117" s="32"/>
      <c r="D117" s="48">
        <f>SUM(D114:D116)</f>
        <v>0</v>
      </c>
      <c r="E117" s="48">
        <f>SUM(E114:E116)</f>
        <v>2000</v>
      </c>
      <c r="F117" s="48">
        <f>SUM(F114:F116)</f>
        <v>2000</v>
      </c>
      <c r="G117" s="32"/>
      <c r="H117" s="48">
        <f>SUM(H114:H116)</f>
        <v>0</v>
      </c>
      <c r="I117" s="36"/>
      <c r="J117" s="48">
        <f>SUM(J114:J116)</f>
        <v>459</v>
      </c>
      <c r="K117" s="48">
        <f>SUM(K114:K116)</f>
        <v>1541</v>
      </c>
      <c r="L117" s="48">
        <f>SUM(L114:L116)</f>
        <v>2000</v>
      </c>
      <c r="M117" s="32"/>
      <c r="N117" s="48">
        <f>SUM(N114:N116)</f>
        <v>0</v>
      </c>
      <c r="P117" s="50">
        <f>SUM(P114:P116)</f>
        <v>2050</v>
      </c>
      <c r="Q117" s="3"/>
      <c r="R117" s="50">
        <f t="shared" ref="R117:Z117" si="53">SUM(R114:R116)</f>
        <v>0</v>
      </c>
      <c r="S117" s="50">
        <f t="shared" si="53"/>
        <v>1000</v>
      </c>
      <c r="T117" s="50">
        <f t="shared" si="53"/>
        <v>1000</v>
      </c>
      <c r="U117" s="50">
        <f t="shared" si="53"/>
        <v>-1050</v>
      </c>
      <c r="V117" s="50">
        <f t="shared" si="53"/>
        <v>0</v>
      </c>
      <c r="W117" s="50">
        <f t="shared" si="53"/>
        <v>9000</v>
      </c>
      <c r="X117" s="50"/>
      <c r="Y117" s="50">
        <f t="shared" si="53"/>
        <v>9000</v>
      </c>
      <c r="Z117" s="50">
        <f t="shared" si="53"/>
        <v>8000</v>
      </c>
      <c r="AA117" s="3"/>
      <c r="AB117" s="3"/>
      <c r="AC117" s="50">
        <f>SUM(AC114:AC116)</f>
        <v>3003</v>
      </c>
      <c r="AD117" s="50">
        <f>SUM(AD114:AD116)</f>
        <v>5997</v>
      </c>
      <c r="AE117" s="50">
        <f>SUM(AE114:AE116)</f>
        <v>9000</v>
      </c>
      <c r="AF117" s="50">
        <f>SUM(AF114:AF116)</f>
        <v>0</v>
      </c>
      <c r="AG117" s="3"/>
      <c r="AH117" s="50">
        <f>SUM(AH114:AH116)</f>
        <v>9300</v>
      </c>
      <c r="AI117" s="3"/>
      <c r="AJ117" s="50">
        <f>SUM(AJ114:AJ116)</f>
        <v>9532.5</v>
      </c>
      <c r="AK117" s="3"/>
      <c r="AL117" s="50">
        <f>SUM(AL114:AL116)</f>
        <v>9770.8125</v>
      </c>
      <c r="AM117" s="3"/>
      <c r="AN117" s="50">
        <f>SUM(AN114:AN116)</f>
        <v>10015.082812499999</v>
      </c>
      <c r="AO117" s="50"/>
      <c r="AP117" s="50">
        <f>SUM(AP114:AP116)</f>
        <v>10265.459882812498</v>
      </c>
      <c r="AQ117" s="42"/>
      <c r="AR117" s="50">
        <f>SUM(AR114:AR116)</f>
        <v>10522.096379882809</v>
      </c>
      <c r="AS117" s="42"/>
      <c r="AT117" s="50">
        <f>SUM(AT114:AT116)</f>
        <v>10785.148789379879</v>
      </c>
      <c r="AU117" s="42"/>
      <c r="AV117" s="50">
        <f>SUM(AV114:AV116)</f>
        <v>11054.777509114374</v>
      </c>
      <c r="AW117" s="42"/>
      <c r="AX117" s="50">
        <f>SUM(AX114:AX116)</f>
        <v>11331.146946842233</v>
      </c>
      <c r="AZ117" s="50">
        <f>SUM(AZ114:AZ116)</f>
        <v>11614.425620513288</v>
      </c>
      <c r="BA117" s="6">
        <f>+General!BA99</f>
        <v>11614.425620513288</v>
      </c>
      <c r="BP117" s="5">
        <f t="shared" si="17"/>
        <v>0</v>
      </c>
    </row>
    <row r="118" spans="1:68" ht="15.75" thickBot="1" x14ac:dyDescent="0.3">
      <c r="A118" s="3"/>
      <c r="B118" s="49">
        <f>B110+B104+B117</f>
        <v>267530</v>
      </c>
      <c r="C118" s="32"/>
      <c r="D118" s="49">
        <f>D110+D104+D117</f>
        <v>724</v>
      </c>
      <c r="E118" s="49">
        <f>E110+E104+E117</f>
        <v>266804</v>
      </c>
      <c r="F118" s="49">
        <f>F110+F104+F117</f>
        <v>267529</v>
      </c>
      <c r="G118" s="32"/>
      <c r="H118" s="49">
        <f>H110+H104+H117</f>
        <v>-2</v>
      </c>
      <c r="I118" s="36"/>
      <c r="J118" s="49">
        <f>J110+J104+J117</f>
        <v>529</v>
      </c>
      <c r="K118" s="49">
        <f>K110+K104+K117</f>
        <v>265914</v>
      </c>
      <c r="L118" s="49">
        <f>L110+L104+L117</f>
        <v>266444</v>
      </c>
      <c r="M118" s="32"/>
      <c r="N118" s="49">
        <f>N110+N104+N117</f>
        <v>-1086</v>
      </c>
      <c r="P118" s="49">
        <f>P110+P104+P117</f>
        <v>319500</v>
      </c>
      <c r="R118" s="49">
        <f t="shared" ref="R118:Z118" si="54">R110+R104+R117</f>
        <v>1383</v>
      </c>
      <c r="S118" s="49">
        <f t="shared" si="54"/>
        <v>317067</v>
      </c>
      <c r="T118" s="49">
        <f t="shared" si="54"/>
        <v>318450</v>
      </c>
      <c r="U118" s="49">
        <f t="shared" si="54"/>
        <v>-1048.9999999999995</v>
      </c>
      <c r="V118" s="49">
        <f t="shared" si="54"/>
        <v>6086</v>
      </c>
      <c r="W118" s="49">
        <f t="shared" si="54"/>
        <v>320764</v>
      </c>
      <c r="X118" s="49"/>
      <c r="Y118" s="49">
        <f t="shared" si="54"/>
        <v>326850</v>
      </c>
      <c r="Z118" s="49">
        <f t="shared" si="54"/>
        <v>8400</v>
      </c>
      <c r="AC118" s="49">
        <f>AC110+AC104+AC117</f>
        <v>127932</v>
      </c>
      <c r="AD118" s="49">
        <f>AD110+AD104+AD117</f>
        <v>198638</v>
      </c>
      <c r="AE118" s="49">
        <f>AE110+AE104+AE117</f>
        <v>326570</v>
      </c>
      <c r="AF118" s="49">
        <f>AF110+AF104+AF117</f>
        <v>-280</v>
      </c>
      <c r="AH118" s="49">
        <f>AH110+AH104+AH117</f>
        <v>285350</v>
      </c>
      <c r="AJ118" s="49">
        <f>AJ110+AJ104+AJ117</f>
        <v>139288</v>
      </c>
      <c r="AL118" s="49">
        <f>AL110+AL104+AL117</f>
        <v>142290.07999999999</v>
      </c>
      <c r="AN118" s="49">
        <f>AN110+AN104+AN117</f>
        <v>145359.65410000001</v>
      </c>
      <c r="AO118" s="49"/>
      <c r="AP118" s="49">
        <f>AP110+AP104+AP117</f>
        <v>148496.16799449999</v>
      </c>
      <c r="AR118" s="49">
        <f>AR110+AR104+AR117</f>
        <v>151700.09968720251</v>
      </c>
      <c r="AT118" s="49">
        <f>AT110+AT104+AT117</f>
        <v>154973.96022207933</v>
      </c>
      <c r="AV118" s="49">
        <f>AV110+AV104+AV117</f>
        <v>158319.29443118209</v>
      </c>
      <c r="AX118" s="49">
        <f>AX110+AX104+AX117</f>
        <v>161737.68169958337</v>
      </c>
      <c r="AZ118" s="49">
        <f>AZ110+AZ104+AZ117</f>
        <v>165230.73674784714</v>
      </c>
      <c r="BA118" s="6">
        <f>+General!BA100</f>
        <v>165230.73674784714</v>
      </c>
      <c r="BP118" s="5">
        <f t="shared" si="17"/>
        <v>0</v>
      </c>
    </row>
    <row r="119" spans="1:68" s="42" customFormat="1" ht="6" customHeight="1" thickTop="1" x14ac:dyDescent="0.25">
      <c r="A119" s="3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"/>
      <c r="P119" s="32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2"/>
      <c r="AI119" s="3"/>
      <c r="AJ119" s="32"/>
      <c r="AK119" s="3"/>
      <c r="AL119" s="32"/>
      <c r="AM119" s="3"/>
      <c r="AN119" s="32"/>
      <c r="AO119" s="32"/>
      <c r="AP119" s="32"/>
      <c r="AR119" s="32"/>
      <c r="AT119" s="32"/>
      <c r="AV119" s="32"/>
      <c r="AX119" s="32"/>
      <c r="AZ119" s="32"/>
      <c r="BA119" s="6">
        <f>+General!BA102</f>
        <v>0</v>
      </c>
      <c r="BP119" s="5">
        <f t="shared" si="17"/>
        <v>0</v>
      </c>
    </row>
    <row r="120" spans="1:68" x14ac:dyDescent="0.25">
      <c r="A120" s="7" t="s">
        <v>96</v>
      </c>
      <c r="BA120" s="6">
        <f>+General!BA103</f>
        <v>0</v>
      </c>
      <c r="BP120" s="5">
        <f t="shared" si="17"/>
        <v>0</v>
      </c>
    </row>
    <row r="121" spans="1:68" x14ac:dyDescent="0.25">
      <c r="A121" s="3" t="s">
        <v>97</v>
      </c>
      <c r="B121" s="3">
        <v>300</v>
      </c>
      <c r="D121" s="3"/>
      <c r="E121" s="3">
        <f>F121-D121</f>
        <v>300</v>
      </c>
      <c r="F121" s="3">
        <v>300</v>
      </c>
      <c r="H121" s="32">
        <f>F121-B121</f>
        <v>0</v>
      </c>
      <c r="I121" s="32"/>
      <c r="J121" s="32"/>
      <c r="K121" s="4">
        <f>L121-J121</f>
        <v>0</v>
      </c>
      <c r="L121" s="32">
        <v>0</v>
      </c>
      <c r="M121" s="32"/>
      <c r="N121" s="4">
        <f>L121-F121</f>
        <v>-300</v>
      </c>
      <c r="P121" s="3">
        <v>300</v>
      </c>
      <c r="Q121" s="3"/>
      <c r="R121" s="3">
        <v>0</v>
      </c>
      <c r="S121" s="3">
        <f>T121-R121</f>
        <v>300</v>
      </c>
      <c r="T121" s="3">
        <v>300</v>
      </c>
      <c r="U121" s="3">
        <f>T121-P121</f>
        <v>0</v>
      </c>
      <c r="V121" s="3"/>
      <c r="W121" s="3">
        <f>Y121-V121</f>
        <v>0</v>
      </c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>
        <v>9150</v>
      </c>
      <c r="AI121" s="3"/>
      <c r="AJ121" s="3">
        <f>AH121*1.025</f>
        <v>9378.75</v>
      </c>
      <c r="AK121" s="3"/>
      <c r="AL121" s="3">
        <f>AJ121*1.025</f>
        <v>9613.21875</v>
      </c>
      <c r="AM121" s="3"/>
      <c r="AN121" s="3">
        <f>AL121*1.025</f>
        <v>9853.5492187499985</v>
      </c>
      <c r="AO121" s="3"/>
      <c r="AP121" s="3">
        <f>AN121*1.025</f>
        <v>10099.887949218748</v>
      </c>
      <c r="AQ121" s="42"/>
      <c r="AR121" s="3">
        <f>AP121*1.025</f>
        <v>10352.385147949215</v>
      </c>
      <c r="AS121" s="42"/>
      <c r="AT121" s="3">
        <f>AR121*1.025</f>
        <v>10611.194776647944</v>
      </c>
      <c r="AU121" s="42"/>
      <c r="AV121" s="3">
        <f>AT121*1.025</f>
        <v>10876.474646064142</v>
      </c>
      <c r="AW121" s="42"/>
      <c r="AX121" s="3">
        <f>AV121*1.025</f>
        <v>11148.386512215744</v>
      </c>
      <c r="AZ121" s="3">
        <f>AX121*1.025</f>
        <v>11427.096175021137</v>
      </c>
      <c r="BA121" s="6">
        <f>+General!BA104</f>
        <v>11427.096175021137</v>
      </c>
      <c r="BP121" s="5">
        <f t="shared" si="17"/>
        <v>0</v>
      </c>
    </row>
    <row r="122" spans="1:68" x14ac:dyDescent="0.25">
      <c r="A122" s="3" t="s">
        <v>98</v>
      </c>
      <c r="B122" s="3"/>
      <c r="D122" s="3"/>
      <c r="E122" s="3"/>
      <c r="F122" s="3"/>
      <c r="H122" s="3"/>
      <c r="I122" s="3"/>
      <c r="J122" s="3"/>
      <c r="K122" s="3"/>
      <c r="L122" s="3"/>
      <c r="N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42"/>
      <c r="AR122" s="3"/>
      <c r="AT122" s="3"/>
      <c r="AV122" s="3"/>
      <c r="AX122" s="3"/>
      <c r="AZ122" s="3"/>
      <c r="BA122" s="6">
        <f>+General!BA105</f>
        <v>0</v>
      </c>
      <c r="BP122" s="5">
        <f t="shared" si="17"/>
        <v>0</v>
      </c>
    </row>
    <row r="123" spans="1:68" x14ac:dyDescent="0.25">
      <c r="A123" s="3"/>
      <c r="B123" s="48">
        <f>SUM(B121:B122)</f>
        <v>300</v>
      </c>
      <c r="C123" s="32"/>
      <c r="D123" s="48">
        <f>SUM(D121:D122)</f>
        <v>0</v>
      </c>
      <c r="E123" s="48">
        <f>SUM(E121:E122)</f>
        <v>300</v>
      </c>
      <c r="F123" s="48">
        <f>SUM(F121:F122)</f>
        <v>300</v>
      </c>
      <c r="G123" s="32"/>
      <c r="H123" s="48">
        <f>SUM(H121:H122)</f>
        <v>0</v>
      </c>
      <c r="I123" s="36"/>
      <c r="J123" s="48">
        <f>SUM(J121:J122)</f>
        <v>0</v>
      </c>
      <c r="K123" s="48">
        <f>SUM(K121:K122)</f>
        <v>0</v>
      </c>
      <c r="L123" s="48">
        <f>SUM(L121:L122)</f>
        <v>0</v>
      </c>
      <c r="M123" s="32"/>
      <c r="N123" s="48">
        <f>SUM(N121:N122)</f>
        <v>-300</v>
      </c>
      <c r="P123" s="48">
        <f>SUM(P121:P122)</f>
        <v>300</v>
      </c>
      <c r="R123" s="48">
        <f t="shared" ref="R123:Y123" si="55">SUM(R121:R122)</f>
        <v>0</v>
      </c>
      <c r="S123" s="48">
        <f t="shared" si="55"/>
        <v>300</v>
      </c>
      <c r="T123" s="48">
        <f t="shared" si="55"/>
        <v>300</v>
      </c>
      <c r="U123" s="48">
        <f t="shared" si="55"/>
        <v>0</v>
      </c>
      <c r="V123" s="48">
        <f t="shared" si="55"/>
        <v>0</v>
      </c>
      <c r="W123" s="48">
        <f t="shared" si="55"/>
        <v>0</v>
      </c>
      <c r="X123" s="48"/>
      <c r="Y123" s="48">
        <f t="shared" si="55"/>
        <v>0</v>
      </c>
      <c r="Z123" s="48">
        <f>Y123-T123</f>
        <v>-300</v>
      </c>
      <c r="AC123" s="48">
        <f>SUM(AC121:AC122)</f>
        <v>0</v>
      </c>
      <c r="AD123" s="48">
        <f>AE123-AC123</f>
        <v>0</v>
      </c>
      <c r="AE123" s="48">
        <f>SUM(AE121:AE122)</f>
        <v>0</v>
      </c>
      <c r="AF123" s="48">
        <f>SUM(AF121:AF122)</f>
        <v>0</v>
      </c>
      <c r="AH123" s="48">
        <f>SUM(AH121:AH122)</f>
        <v>9150</v>
      </c>
      <c r="AJ123" s="48">
        <f>SUM(AJ121:AJ122)</f>
        <v>9378.75</v>
      </c>
      <c r="AL123" s="48">
        <f>SUM(AL121:AL122)</f>
        <v>9613.21875</v>
      </c>
      <c r="AN123" s="48">
        <f>SUM(AN121:AN122)</f>
        <v>9853.5492187499985</v>
      </c>
      <c r="AO123" s="48"/>
      <c r="AP123" s="48">
        <f>SUM(AP121:AP122)</f>
        <v>10099.887949218748</v>
      </c>
      <c r="AR123" s="48">
        <f>SUM(AR121:AR122)</f>
        <v>10352.385147949215</v>
      </c>
      <c r="AT123" s="48">
        <f>SUM(AT121:AT122)</f>
        <v>10611.194776647944</v>
      </c>
      <c r="AV123" s="48">
        <f>SUM(AV121:AV122)</f>
        <v>10876.474646064142</v>
      </c>
      <c r="AX123" s="48">
        <f>SUM(AX121:AX122)</f>
        <v>11148.386512215744</v>
      </c>
      <c r="AZ123" s="48">
        <f>SUM(AZ121:AZ122)</f>
        <v>11427.096175021137</v>
      </c>
      <c r="BA123" s="6">
        <f>+General!BA106</f>
        <v>11427.096175021137</v>
      </c>
      <c r="BP123" s="5">
        <f t="shared" si="17"/>
        <v>0</v>
      </c>
    </row>
    <row r="124" spans="1:68" x14ac:dyDescent="0.25">
      <c r="A124" s="7" t="s">
        <v>99</v>
      </c>
      <c r="BA124" s="6">
        <f>+General!BA107</f>
        <v>0</v>
      </c>
      <c r="BP124" s="5">
        <f t="shared" si="17"/>
        <v>0</v>
      </c>
    </row>
    <row r="125" spans="1:68" x14ac:dyDescent="0.25">
      <c r="A125" s="3" t="s">
        <v>93</v>
      </c>
      <c r="B125" s="3">
        <v>30000</v>
      </c>
      <c r="D125" s="3"/>
      <c r="E125" s="3">
        <f>F125-D125</f>
        <v>30000</v>
      </c>
      <c r="F125" s="3">
        <v>30000</v>
      </c>
      <c r="H125" s="32">
        <f t="shared" ref="H125:H130" si="56">F125-B125</f>
        <v>0</v>
      </c>
      <c r="I125" s="32"/>
      <c r="J125" s="4"/>
      <c r="K125" s="4">
        <f t="shared" ref="K125:K130" si="57">L125-J125</f>
        <v>30000</v>
      </c>
      <c r="L125" s="4">
        <v>30000</v>
      </c>
      <c r="M125" s="32"/>
      <c r="N125" s="4">
        <f t="shared" ref="N125:N130" si="58">L125-F125</f>
        <v>0</v>
      </c>
      <c r="P125" s="3">
        <v>30000</v>
      </c>
      <c r="Q125" s="3"/>
      <c r="R125" s="3">
        <v>0</v>
      </c>
      <c r="S125" s="3">
        <f t="shared" ref="S125:S130" si="59">T125-R125</f>
        <v>30900</v>
      </c>
      <c r="T125" s="3">
        <v>30900</v>
      </c>
      <c r="U125" s="3">
        <f t="shared" ref="U125:U130" si="60">T125-P125</f>
        <v>900</v>
      </c>
      <c r="V125" s="3">
        <v>30900</v>
      </c>
      <c r="W125" s="3">
        <f t="shared" ref="W125:W130" si="61">Y125-V125</f>
        <v>1600</v>
      </c>
      <c r="X125" s="3"/>
      <c r="Y125" s="3">
        <v>32500</v>
      </c>
      <c r="Z125" s="3">
        <f t="shared" ref="Z125:Z130" si="62">Y125-T125</f>
        <v>1600</v>
      </c>
      <c r="AA125" s="3"/>
      <c r="AB125" s="3"/>
      <c r="AC125" s="3">
        <v>33923</v>
      </c>
      <c r="AD125" s="3">
        <f t="shared" ref="AD125:AD130" si="63">AE125-AC125</f>
        <v>7</v>
      </c>
      <c r="AE125" s="3">
        <v>33930</v>
      </c>
      <c r="AF125" s="3">
        <f t="shared" ref="AF125:AF130" si="64">AE125-Y125</f>
        <v>1430</v>
      </c>
      <c r="AG125" s="3"/>
      <c r="AH125" s="3">
        <f>P125*1.025-50</f>
        <v>30699.999999999996</v>
      </c>
      <c r="AI125" s="3"/>
      <c r="AJ125" s="3">
        <f t="shared" ref="AJ125:AX125" si="65">AH125*1.025</f>
        <v>31467.499999999993</v>
      </c>
      <c r="AK125" s="3">
        <f t="shared" si="65"/>
        <v>0</v>
      </c>
      <c r="AL125" s="3">
        <f t="shared" si="65"/>
        <v>32254.187499999989</v>
      </c>
      <c r="AM125" s="3">
        <f t="shared" si="65"/>
        <v>0</v>
      </c>
      <c r="AN125" s="3">
        <f t="shared" si="65"/>
        <v>33060.542187499988</v>
      </c>
      <c r="AO125" s="3"/>
      <c r="AP125" s="3">
        <f>AN125*1.025</f>
        <v>33887.055742187484</v>
      </c>
      <c r="AQ125" s="3"/>
      <c r="AR125" s="3">
        <f t="shared" si="65"/>
        <v>34734.232135742168</v>
      </c>
      <c r="AS125" s="3">
        <f t="shared" si="65"/>
        <v>0</v>
      </c>
      <c r="AT125" s="3">
        <f t="shared" si="65"/>
        <v>35602.587939135716</v>
      </c>
      <c r="AU125" s="3">
        <f t="shared" si="65"/>
        <v>0</v>
      </c>
      <c r="AV125" s="3">
        <f t="shared" si="65"/>
        <v>36492.652637614105</v>
      </c>
      <c r="AW125" s="3"/>
      <c r="AX125" s="3">
        <f t="shared" si="65"/>
        <v>37404.968953554453</v>
      </c>
      <c r="AZ125" s="3">
        <f>AX125*1.025</f>
        <v>38340.093177393312</v>
      </c>
      <c r="BA125" s="6">
        <f>+General!BA108</f>
        <v>38340.093177393312</v>
      </c>
      <c r="BP125" s="5">
        <f t="shared" si="17"/>
        <v>0</v>
      </c>
    </row>
    <row r="126" spans="1:68" x14ac:dyDescent="0.25">
      <c r="A126" s="3" t="s">
        <v>100</v>
      </c>
      <c r="B126" s="3">
        <v>3000</v>
      </c>
      <c r="D126" s="3"/>
      <c r="E126" s="3">
        <f>F126-D126</f>
        <v>3000</v>
      </c>
      <c r="F126" s="3">
        <v>3000</v>
      </c>
      <c r="H126" s="32">
        <f t="shared" si="56"/>
        <v>0</v>
      </c>
      <c r="I126" s="32"/>
      <c r="J126" s="4"/>
      <c r="K126" s="4">
        <f t="shared" si="57"/>
        <v>3000</v>
      </c>
      <c r="L126" s="4">
        <v>3000</v>
      </c>
      <c r="M126" s="32"/>
      <c r="N126" s="4">
        <f t="shared" si="58"/>
        <v>0</v>
      </c>
      <c r="P126" s="3">
        <v>3000</v>
      </c>
      <c r="Q126" s="3"/>
      <c r="R126" s="3">
        <v>0</v>
      </c>
      <c r="S126" s="3">
        <f t="shared" si="59"/>
        <v>3000</v>
      </c>
      <c r="T126" s="3">
        <v>3000</v>
      </c>
      <c r="U126" s="3">
        <f t="shared" si="60"/>
        <v>0</v>
      </c>
      <c r="V126" s="3">
        <v>3023</v>
      </c>
      <c r="W126" s="3">
        <f t="shared" si="61"/>
        <v>-3</v>
      </c>
      <c r="X126" s="3"/>
      <c r="Y126" s="3">
        <v>3020</v>
      </c>
      <c r="Z126" s="3">
        <f t="shared" si="62"/>
        <v>20</v>
      </c>
      <c r="AA126" s="3"/>
      <c r="AB126" s="3"/>
      <c r="AC126" s="3"/>
      <c r="AD126" s="3">
        <f t="shared" si="63"/>
        <v>0</v>
      </c>
      <c r="AE126" s="3">
        <v>0</v>
      </c>
      <c r="AF126" s="3">
        <f t="shared" si="64"/>
        <v>-3020</v>
      </c>
      <c r="AG126" s="3"/>
      <c r="AH126" s="3">
        <v>2400</v>
      </c>
      <c r="AI126" s="3"/>
      <c r="AJ126" s="3">
        <f>AH126*1.025</f>
        <v>2460</v>
      </c>
      <c r="AK126" s="3">
        <f>AI126*1.025</f>
        <v>0</v>
      </c>
      <c r="AL126" s="3">
        <f>AJ126*1.025</f>
        <v>2521.5</v>
      </c>
      <c r="AM126" s="3">
        <f>AK126*1.025</f>
        <v>0</v>
      </c>
      <c r="AN126" s="3">
        <f>AL126*1.025</f>
        <v>2584.5374999999999</v>
      </c>
      <c r="AO126" s="3"/>
      <c r="AP126" s="3">
        <f>AN126*1.025</f>
        <v>2649.1509374999996</v>
      </c>
      <c r="AQ126" s="3"/>
      <c r="AR126" s="3">
        <f>AP126*1.025</f>
        <v>2715.3797109374996</v>
      </c>
      <c r="AS126" s="3">
        <f>AQ126*1.025</f>
        <v>0</v>
      </c>
      <c r="AT126" s="3">
        <f>AR126*1.025</f>
        <v>2783.2642037109367</v>
      </c>
      <c r="AU126" s="3">
        <f>AS126*1.025</f>
        <v>0</v>
      </c>
      <c r="AV126" s="3">
        <f>AT126*1.025</f>
        <v>2852.84580880371</v>
      </c>
      <c r="AW126" s="3"/>
      <c r="AX126" s="3">
        <f>AV126*1.025</f>
        <v>2924.1669540238026</v>
      </c>
      <c r="AZ126" s="3">
        <f>AX126*1.025</f>
        <v>2997.2711278743973</v>
      </c>
      <c r="BA126" s="6">
        <f>+General!BA109</f>
        <v>2997.2711278743973</v>
      </c>
      <c r="BP126" s="5">
        <f t="shared" si="17"/>
        <v>0</v>
      </c>
    </row>
    <row r="127" spans="1:68" x14ac:dyDescent="0.25">
      <c r="A127" s="3" t="s">
        <v>101</v>
      </c>
      <c r="B127" s="3"/>
      <c r="D127" s="3"/>
      <c r="E127" s="3">
        <f>F127-D127</f>
        <v>0</v>
      </c>
      <c r="F127" s="3"/>
      <c r="H127" s="32">
        <f t="shared" si="56"/>
        <v>0</v>
      </c>
      <c r="I127" s="32"/>
      <c r="J127" s="4"/>
      <c r="K127" s="4">
        <f t="shared" si="57"/>
        <v>0</v>
      </c>
      <c r="L127" s="4"/>
      <c r="M127" s="32"/>
      <c r="N127" s="4">
        <f t="shared" si="58"/>
        <v>0</v>
      </c>
      <c r="P127" s="3"/>
      <c r="Q127" s="3"/>
      <c r="R127" s="3"/>
      <c r="S127" s="3">
        <f t="shared" si="59"/>
        <v>0</v>
      </c>
      <c r="T127" s="3"/>
      <c r="U127" s="3">
        <f t="shared" si="60"/>
        <v>0</v>
      </c>
      <c r="V127" s="3"/>
      <c r="W127" s="3">
        <f t="shared" si="61"/>
        <v>0</v>
      </c>
      <c r="X127" s="3"/>
      <c r="Y127" s="3"/>
      <c r="Z127" s="3">
        <f t="shared" si="62"/>
        <v>0</v>
      </c>
      <c r="AA127" s="3"/>
      <c r="AB127" s="3"/>
      <c r="AC127" s="3"/>
      <c r="AD127" s="3">
        <f t="shared" si="63"/>
        <v>0</v>
      </c>
      <c r="AE127" s="3"/>
      <c r="AF127" s="3">
        <f t="shared" si="64"/>
        <v>0</v>
      </c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42"/>
      <c r="AR127" s="3"/>
      <c r="AS127" s="42"/>
      <c r="AT127" s="3"/>
      <c r="AU127" s="42"/>
      <c r="AV127" s="3"/>
      <c r="AW127" s="42"/>
      <c r="AX127" s="3"/>
      <c r="AZ127" s="3"/>
      <c r="BA127" s="6">
        <f>+General!BA110</f>
        <v>0</v>
      </c>
      <c r="BP127" s="5">
        <f t="shared" si="17"/>
        <v>0</v>
      </c>
    </row>
    <row r="128" spans="1:68" x14ac:dyDescent="0.25">
      <c r="A128" s="3" t="s">
        <v>102</v>
      </c>
      <c r="B128" s="3"/>
      <c r="D128" s="3"/>
      <c r="E128" s="3"/>
      <c r="F128" s="3"/>
      <c r="H128" s="32">
        <f t="shared" si="56"/>
        <v>0</v>
      </c>
      <c r="I128" s="32"/>
      <c r="J128" s="4">
        <v>870</v>
      </c>
      <c r="K128" s="4">
        <f t="shared" si="57"/>
        <v>230</v>
      </c>
      <c r="L128" s="4">
        <v>1100</v>
      </c>
      <c r="M128" s="32"/>
      <c r="N128" s="4">
        <f t="shared" si="58"/>
        <v>1100</v>
      </c>
      <c r="P128" s="3">
        <v>1100</v>
      </c>
      <c r="Q128" s="3"/>
      <c r="R128" s="3">
        <v>127</v>
      </c>
      <c r="S128" s="3">
        <f t="shared" si="59"/>
        <v>373</v>
      </c>
      <c r="T128" s="3">
        <v>500</v>
      </c>
      <c r="U128" s="3">
        <f t="shared" si="60"/>
        <v>-600</v>
      </c>
      <c r="V128" s="3">
        <v>604</v>
      </c>
      <c r="W128" s="3">
        <f t="shared" si="61"/>
        <v>296</v>
      </c>
      <c r="X128" s="3"/>
      <c r="Y128" s="3">
        <v>900</v>
      </c>
      <c r="Z128" s="3">
        <f t="shared" si="62"/>
        <v>400</v>
      </c>
      <c r="AA128" s="3"/>
      <c r="AB128" s="3"/>
      <c r="AC128" s="3">
        <v>618</v>
      </c>
      <c r="AD128" s="3">
        <f t="shared" si="63"/>
        <v>132</v>
      </c>
      <c r="AE128" s="3">
        <v>750</v>
      </c>
      <c r="AF128" s="3">
        <f t="shared" si="64"/>
        <v>-150</v>
      </c>
      <c r="AG128" s="3"/>
      <c r="AH128" s="3">
        <f>AE128*1.025+31</f>
        <v>799.74999999999989</v>
      </c>
      <c r="AI128" s="3"/>
      <c r="AJ128" s="3">
        <f t="shared" ref="AJ128:AZ128" si="66">AH128*1.025</f>
        <v>819.74374999999986</v>
      </c>
      <c r="AK128" s="3">
        <f t="shared" si="66"/>
        <v>0</v>
      </c>
      <c r="AL128" s="3">
        <f t="shared" si="66"/>
        <v>840.23734374999981</v>
      </c>
      <c r="AM128" s="3">
        <f t="shared" si="66"/>
        <v>0</v>
      </c>
      <c r="AN128" s="3">
        <f t="shared" si="66"/>
        <v>861.2432773437497</v>
      </c>
      <c r="AO128" s="3"/>
      <c r="AP128" s="3">
        <f>AN128*1.025</f>
        <v>882.77435927734336</v>
      </c>
      <c r="AQ128" s="3"/>
      <c r="AR128" s="3">
        <f t="shared" si="66"/>
        <v>904.8437182592769</v>
      </c>
      <c r="AS128" s="3">
        <f t="shared" si="66"/>
        <v>0</v>
      </c>
      <c r="AT128" s="3">
        <f t="shared" si="66"/>
        <v>927.46481121575869</v>
      </c>
      <c r="AU128" s="3">
        <f t="shared" si="66"/>
        <v>0</v>
      </c>
      <c r="AV128" s="3">
        <f t="shared" si="66"/>
        <v>950.65143149615255</v>
      </c>
      <c r="AW128" s="3"/>
      <c r="AX128" s="3">
        <f t="shared" si="66"/>
        <v>974.41771728355627</v>
      </c>
      <c r="AZ128" s="3">
        <f t="shared" si="66"/>
        <v>998.77816021564513</v>
      </c>
      <c r="BA128" s="6">
        <f>+General!BA111</f>
        <v>998.77816021564513</v>
      </c>
      <c r="BP128" s="5">
        <f t="shared" si="17"/>
        <v>0</v>
      </c>
    </row>
    <row r="129" spans="1:68" x14ac:dyDescent="0.25">
      <c r="A129" s="3" t="s">
        <v>103</v>
      </c>
      <c r="B129" s="3">
        <v>2000</v>
      </c>
      <c r="D129" s="3"/>
      <c r="E129" s="3">
        <f>F129-D129</f>
        <v>2000</v>
      </c>
      <c r="F129" s="3">
        <v>2000</v>
      </c>
      <c r="H129" s="32">
        <f t="shared" si="56"/>
        <v>0</v>
      </c>
      <c r="I129" s="32"/>
      <c r="J129" s="4"/>
      <c r="K129" s="4">
        <f t="shared" si="57"/>
        <v>2000</v>
      </c>
      <c r="L129" s="4">
        <v>2000</v>
      </c>
      <c r="M129" s="32"/>
      <c r="N129" s="4">
        <f t="shared" si="58"/>
        <v>0</v>
      </c>
      <c r="P129" s="3">
        <f>L129*1.025</f>
        <v>2050</v>
      </c>
      <c r="Q129" s="3"/>
      <c r="R129" s="3">
        <v>0</v>
      </c>
      <c r="S129" s="3">
        <f t="shared" si="59"/>
        <v>2000</v>
      </c>
      <c r="T129" s="3">
        <v>2000</v>
      </c>
      <c r="U129" s="3">
        <f t="shared" si="60"/>
        <v>-50</v>
      </c>
      <c r="V129" s="3"/>
      <c r="W129" s="3">
        <f t="shared" si="61"/>
        <v>2000</v>
      </c>
      <c r="X129" s="3"/>
      <c r="Y129" s="3">
        <v>2000</v>
      </c>
      <c r="Z129" s="3">
        <f t="shared" si="62"/>
        <v>0</v>
      </c>
      <c r="AA129" s="3"/>
      <c r="AB129" s="3"/>
      <c r="AC129" s="3"/>
      <c r="AD129" s="3">
        <f t="shared" si="63"/>
        <v>0</v>
      </c>
      <c r="AE129" s="3">
        <v>0</v>
      </c>
      <c r="AF129" s="3">
        <f t="shared" si="64"/>
        <v>-2000</v>
      </c>
      <c r="AG129" s="3"/>
      <c r="AH129" s="3">
        <v>1000</v>
      </c>
      <c r="AI129" s="3"/>
      <c r="AJ129" s="3">
        <f>AH129*1.025</f>
        <v>1025</v>
      </c>
      <c r="AK129" s="3"/>
      <c r="AL129" s="3">
        <f>AJ129*1.025</f>
        <v>1050.625</v>
      </c>
      <c r="AM129" s="3"/>
      <c r="AN129" s="3">
        <f>AL129*1.025</f>
        <v>1076.890625</v>
      </c>
      <c r="AO129" s="3"/>
      <c r="AP129" s="3">
        <f>AN129*1.025</f>
        <v>1103.8128906249999</v>
      </c>
      <c r="AQ129" s="42"/>
      <c r="AR129" s="3">
        <f>AP129*1.025</f>
        <v>1131.4082128906248</v>
      </c>
      <c r="AS129" s="42"/>
      <c r="AT129" s="3">
        <f>AR129*1.025</f>
        <v>1159.6934182128903</v>
      </c>
      <c r="AU129" s="42"/>
      <c r="AV129" s="3">
        <f>AT129*1.025</f>
        <v>1188.6857536682123</v>
      </c>
      <c r="AW129" s="42"/>
      <c r="AX129" s="3">
        <f>AV129*1.025</f>
        <v>1218.4028975099175</v>
      </c>
      <c r="AZ129" s="3">
        <f>AX129*1.025</f>
        <v>1248.8629699476653</v>
      </c>
      <c r="BA129" s="6">
        <f>+General!BA112</f>
        <v>1248.8629699476653</v>
      </c>
      <c r="BP129" s="5">
        <f t="shared" si="17"/>
        <v>0</v>
      </c>
    </row>
    <row r="130" spans="1:68" x14ac:dyDescent="0.25">
      <c r="A130" s="3" t="s">
        <v>90</v>
      </c>
      <c r="B130" s="3">
        <v>1250</v>
      </c>
      <c r="D130" s="3">
        <v>50</v>
      </c>
      <c r="E130" s="3">
        <f>F130-D130</f>
        <v>1200</v>
      </c>
      <c r="F130" s="3">
        <v>1250</v>
      </c>
      <c r="H130" s="32">
        <f t="shared" si="56"/>
        <v>0</v>
      </c>
      <c r="I130" s="32"/>
      <c r="J130" s="4">
        <v>90</v>
      </c>
      <c r="K130" s="4">
        <f t="shared" si="57"/>
        <v>1160</v>
      </c>
      <c r="L130" s="4">
        <v>1250</v>
      </c>
      <c r="M130" s="32"/>
      <c r="N130" s="4">
        <f t="shared" si="58"/>
        <v>0</v>
      </c>
      <c r="P130" s="3">
        <f>L130*1.025+19</f>
        <v>1300.25</v>
      </c>
      <c r="Q130" s="3"/>
      <c r="R130" s="3"/>
      <c r="S130" s="3">
        <f t="shared" si="59"/>
        <v>1300</v>
      </c>
      <c r="T130" s="3">
        <v>1300</v>
      </c>
      <c r="U130" s="3">
        <f t="shared" si="60"/>
        <v>-0.25</v>
      </c>
      <c r="V130" s="3">
        <v>474</v>
      </c>
      <c r="W130" s="3">
        <f t="shared" si="61"/>
        <v>526</v>
      </c>
      <c r="X130" s="3"/>
      <c r="Y130" s="3">
        <v>1000</v>
      </c>
      <c r="Z130" s="3">
        <f t="shared" si="62"/>
        <v>-300</v>
      </c>
      <c r="AA130" s="3"/>
      <c r="AB130" s="3"/>
      <c r="AC130" s="3">
        <v>574</v>
      </c>
      <c r="AD130" s="3">
        <f t="shared" si="63"/>
        <v>176</v>
      </c>
      <c r="AE130" s="3">
        <v>750</v>
      </c>
      <c r="AF130" s="3">
        <f t="shared" si="64"/>
        <v>-250</v>
      </c>
      <c r="AG130" s="3"/>
      <c r="AH130" s="3">
        <f>AE130*1.025+31</f>
        <v>799.74999999999989</v>
      </c>
      <c r="AI130" s="3"/>
      <c r="AJ130" s="3">
        <f>AH130*1.03+13</f>
        <v>836.74249999999995</v>
      </c>
      <c r="AK130" s="3"/>
      <c r="AL130" s="3">
        <f>AJ130*1.03+11</f>
        <v>872.84477500000003</v>
      </c>
      <c r="AM130" s="3"/>
      <c r="AN130" s="3">
        <f>AL130*1.03+9</f>
        <v>908.0301182500001</v>
      </c>
      <c r="AO130" s="3"/>
      <c r="AP130" s="3">
        <f>AN130*1.03+8</f>
        <v>943.27102179750011</v>
      </c>
      <c r="AQ130" s="42"/>
      <c r="AR130" s="3">
        <f>AP130*1.03+7</f>
        <v>978.56915245142511</v>
      </c>
      <c r="AS130" s="42"/>
      <c r="AT130" s="3">
        <f>AR130*1.03+7</f>
        <v>1014.9262270249679</v>
      </c>
      <c r="AU130" s="42"/>
      <c r="AV130" s="3">
        <f>AT130*1.03+7</f>
        <v>1052.3740138357171</v>
      </c>
      <c r="AW130" s="42"/>
      <c r="AX130" s="3">
        <f>AV130*1.03+7</f>
        <v>1090.9452342507886</v>
      </c>
      <c r="AZ130" s="3">
        <f>AX130*1.03+7</f>
        <v>1130.6735912783124</v>
      </c>
      <c r="BA130" s="6">
        <f>+General!BA113</f>
        <v>1130.6735912783124</v>
      </c>
      <c r="BP130" s="5">
        <f t="shared" si="17"/>
        <v>0</v>
      </c>
    </row>
    <row r="131" spans="1:68" x14ac:dyDescent="0.25">
      <c r="A131" s="3"/>
      <c r="B131" s="48">
        <f>SUM(B125:B130)</f>
        <v>36250</v>
      </c>
      <c r="C131" s="32"/>
      <c r="D131" s="48">
        <f>SUM(D125:D130)</f>
        <v>50</v>
      </c>
      <c r="E131" s="48">
        <f>SUM(E125:E130)</f>
        <v>36200</v>
      </c>
      <c r="F131" s="48">
        <f>SUM(F125:F130)</f>
        <v>36250</v>
      </c>
      <c r="G131" s="32"/>
      <c r="H131" s="48">
        <f>SUM(H125:H130)</f>
        <v>0</v>
      </c>
      <c r="I131" s="36"/>
      <c r="J131" s="48">
        <f>SUM(J125:J130)</f>
        <v>960</v>
      </c>
      <c r="K131" s="48">
        <f>SUM(K125:K130)</f>
        <v>36390</v>
      </c>
      <c r="L131" s="48">
        <f>SUM(L125:L130)</f>
        <v>37350</v>
      </c>
      <c r="M131" s="32"/>
      <c r="N131" s="48">
        <f>SUM(N125:N130)</f>
        <v>1100</v>
      </c>
      <c r="P131" s="48">
        <f>SUM(P125:P130)</f>
        <v>37450.25</v>
      </c>
      <c r="R131" s="48">
        <f t="shared" ref="R131:Z131" si="67">SUM(R125:R130)</f>
        <v>127</v>
      </c>
      <c r="S131" s="48">
        <f t="shared" si="67"/>
        <v>37573</v>
      </c>
      <c r="T131" s="48">
        <f t="shared" si="67"/>
        <v>37700</v>
      </c>
      <c r="U131" s="48">
        <f t="shared" si="67"/>
        <v>249.75</v>
      </c>
      <c r="V131" s="48">
        <f t="shared" si="67"/>
        <v>35001</v>
      </c>
      <c r="W131" s="48">
        <f t="shared" si="67"/>
        <v>4419</v>
      </c>
      <c r="X131" s="48"/>
      <c r="Y131" s="48">
        <f t="shared" si="67"/>
        <v>39420</v>
      </c>
      <c r="Z131" s="50">
        <f t="shared" si="67"/>
        <v>1720</v>
      </c>
      <c r="AC131" s="48">
        <f>SUM(AC125:AC130)</f>
        <v>35115</v>
      </c>
      <c r="AD131" s="48">
        <f>SUM(AD125:AD130)</f>
        <v>315</v>
      </c>
      <c r="AE131" s="48">
        <f>SUM(AE125:AE130)</f>
        <v>35430</v>
      </c>
      <c r="AF131" s="48">
        <f>SUM(AF125:AF130)</f>
        <v>-3990</v>
      </c>
      <c r="AH131" s="48">
        <f>SUM(AH125:AH130)</f>
        <v>35699.5</v>
      </c>
      <c r="AJ131" s="48">
        <f>SUM(AJ125:AJ130)-1</f>
        <v>36607.986249999994</v>
      </c>
      <c r="AL131" s="48">
        <f>SUM(AL125:AL130)</f>
        <v>37539.394618749982</v>
      </c>
      <c r="AN131" s="48">
        <f>SUM(AN125:AN130)</f>
        <v>38491.243708093731</v>
      </c>
      <c r="AO131" s="48"/>
      <c r="AP131" s="48">
        <f>SUM(AP125:AP130)</f>
        <v>39466.064951387329</v>
      </c>
      <c r="AR131" s="48">
        <f>SUM(AR125:AR130)</f>
        <v>40464.432930280993</v>
      </c>
      <c r="AT131" s="48">
        <f>SUM(AT125:AT130)</f>
        <v>41487.936599300272</v>
      </c>
      <c r="AV131" s="48">
        <f>SUM(AV125:AV130)</f>
        <v>42537.209645417897</v>
      </c>
      <c r="AX131" s="48">
        <f>SUM(AX125:AX130)</f>
        <v>43612.901756622516</v>
      </c>
      <c r="AZ131" s="48">
        <f>SUM(AZ125:AZ130)</f>
        <v>44715.679026709331</v>
      </c>
      <c r="BA131" s="6">
        <f>+General!BA114</f>
        <v>44715.679026709331</v>
      </c>
      <c r="BP131" s="5">
        <f t="shared" ref="BP131" si="68">+BA131-AZ131</f>
        <v>0</v>
      </c>
    </row>
    <row r="132" spans="1:68" x14ac:dyDescent="0.25">
      <c r="A132" s="7" t="s">
        <v>104</v>
      </c>
      <c r="BA132" s="6">
        <f>+General!BA115</f>
        <v>0</v>
      </c>
      <c r="BP132" s="5">
        <f t="shared" si="17"/>
        <v>0</v>
      </c>
    </row>
    <row r="133" spans="1:68" x14ac:dyDescent="0.25">
      <c r="A133" s="3" t="s">
        <v>105</v>
      </c>
      <c r="BA133" s="6">
        <f>+General!BA116</f>
        <v>0</v>
      </c>
      <c r="BP133" s="5">
        <f t="shared" ref="BP133:BP196" si="69">+BA133-AZ133</f>
        <v>0</v>
      </c>
    </row>
    <row r="134" spans="1:68" x14ac:dyDescent="0.25">
      <c r="A134" s="3" t="s">
        <v>106</v>
      </c>
      <c r="B134" s="3">
        <v>0</v>
      </c>
      <c r="D134" s="3"/>
      <c r="E134" s="3">
        <f>F134-D134</f>
        <v>0</v>
      </c>
      <c r="F134" s="3"/>
      <c r="H134" s="32">
        <f>F134-B134</f>
        <v>0</v>
      </c>
      <c r="I134" s="32"/>
      <c r="J134" s="32"/>
      <c r="K134" s="32"/>
      <c r="L134" s="32"/>
      <c r="M134" s="32"/>
      <c r="N134" s="32"/>
      <c r="P134" s="3">
        <f>B134*1.03</f>
        <v>0</v>
      </c>
      <c r="Q134" s="3"/>
      <c r="R134" s="3"/>
      <c r="S134" s="3">
        <f>T134-R134</f>
        <v>0</v>
      </c>
      <c r="T134" s="3"/>
      <c r="U134" s="3">
        <f>T134-P134</f>
        <v>0</v>
      </c>
      <c r="V134" s="3"/>
      <c r="W134" s="3">
        <f>Y134-V134</f>
        <v>0</v>
      </c>
      <c r="X134" s="3"/>
      <c r="Y134" s="3"/>
      <c r="Z134" s="3">
        <f>Y134-T134</f>
        <v>0</v>
      </c>
      <c r="AA134" s="3"/>
      <c r="AB134" s="3"/>
      <c r="AC134" s="3"/>
      <c r="AD134" s="3">
        <f>AE134-AC134</f>
        <v>0</v>
      </c>
      <c r="AE134" s="3"/>
      <c r="AF134" s="3">
        <f>AE134-Y134</f>
        <v>0</v>
      </c>
      <c r="AG134" s="3"/>
      <c r="AH134" s="3">
        <f>P134*1.03</f>
        <v>0</v>
      </c>
      <c r="AI134" s="3"/>
      <c r="AJ134" s="3">
        <f>AH134*1.03</f>
        <v>0</v>
      </c>
      <c r="AK134" s="3"/>
      <c r="AL134" s="3">
        <f>AJ134*1.03</f>
        <v>0</v>
      </c>
      <c r="AM134" s="3"/>
      <c r="AN134" s="3">
        <f>AL134*1.03</f>
        <v>0</v>
      </c>
      <c r="AO134" s="3"/>
      <c r="AP134" s="3">
        <f>AN134*1.03</f>
        <v>0</v>
      </c>
      <c r="AQ134" s="42"/>
      <c r="AR134" s="3">
        <f>AP134*1.03</f>
        <v>0</v>
      </c>
      <c r="AT134" s="3">
        <f>AR134*1.03</f>
        <v>0</v>
      </c>
      <c r="AV134" s="3">
        <f>AT134*1.03</f>
        <v>0</v>
      </c>
      <c r="AX134" s="3">
        <f>AV134*1.03</f>
        <v>0</v>
      </c>
      <c r="AZ134" s="3">
        <f>AX134*1.03</f>
        <v>0</v>
      </c>
      <c r="BA134" s="6">
        <f>+General!BA117</f>
        <v>0</v>
      </c>
      <c r="BP134" s="5">
        <f t="shared" si="69"/>
        <v>0</v>
      </c>
    </row>
    <row r="135" spans="1:68" x14ac:dyDescent="0.25">
      <c r="A135" s="3"/>
      <c r="B135" s="48">
        <f>B134+B133</f>
        <v>0</v>
      </c>
      <c r="C135" s="32"/>
      <c r="D135" s="48">
        <f>D134+D133</f>
        <v>0</v>
      </c>
      <c r="E135" s="48">
        <f>E134+E133</f>
        <v>0</v>
      </c>
      <c r="F135" s="48">
        <f>F134+F133</f>
        <v>0</v>
      </c>
      <c r="G135" s="32"/>
      <c r="H135" s="48">
        <f>H134+H133</f>
        <v>0</v>
      </c>
      <c r="I135" s="36"/>
      <c r="J135" s="48">
        <f>J134+J133</f>
        <v>0</v>
      </c>
      <c r="K135" s="48">
        <f>K134+K133</f>
        <v>0</v>
      </c>
      <c r="L135" s="48">
        <f>L134+L133</f>
        <v>0</v>
      </c>
      <c r="M135" s="32"/>
      <c r="N135" s="48">
        <f>N134+N133</f>
        <v>0</v>
      </c>
      <c r="P135" s="48">
        <f>P134+P133</f>
        <v>0</v>
      </c>
      <c r="R135" s="48">
        <f>R134+R133</f>
        <v>0</v>
      </c>
      <c r="S135" s="48">
        <f>S134+S133</f>
        <v>0</v>
      </c>
      <c r="T135" s="48">
        <f>T134+T133</f>
        <v>0</v>
      </c>
      <c r="U135" s="48">
        <f>U134+U133</f>
        <v>0</v>
      </c>
      <c r="V135" s="48">
        <f>SUM(V133:V134)</f>
        <v>0</v>
      </c>
      <c r="W135" s="48">
        <f>SUM(W133:W134)</f>
        <v>0</v>
      </c>
      <c r="X135" s="48"/>
      <c r="Y135" s="48">
        <f>SUM(Y133:Y134)</f>
        <v>0</v>
      </c>
      <c r="Z135" s="48">
        <f>Y135-T135</f>
        <v>0</v>
      </c>
      <c r="AC135" s="48">
        <f>SUM(AC133:AC134)</f>
        <v>0</v>
      </c>
      <c r="AD135" s="48">
        <f>SUM(AD133:AD134)</f>
        <v>0</v>
      </c>
      <c r="AE135" s="48">
        <f>SUM(AE133:AE134)</f>
        <v>0</v>
      </c>
      <c r="AF135" s="48">
        <f>SUM(AF133:AF134)</f>
        <v>0</v>
      </c>
      <c r="AH135" s="48">
        <f>AH134+AH133</f>
        <v>0</v>
      </c>
      <c r="AJ135" s="48">
        <f>AJ134+AJ133</f>
        <v>0</v>
      </c>
      <c r="AL135" s="48">
        <f>AL134+AL133</f>
        <v>0</v>
      </c>
      <c r="AN135" s="48">
        <f>AN134+AN133</f>
        <v>0</v>
      </c>
      <c r="AO135" s="48"/>
      <c r="AP135" s="48">
        <f>AP134+AP133</f>
        <v>0</v>
      </c>
      <c r="AR135" s="48">
        <f>AR134+AR133</f>
        <v>0</v>
      </c>
      <c r="AT135" s="48">
        <f>AT134+AT133</f>
        <v>0</v>
      </c>
      <c r="AV135" s="48">
        <f>AV134+AV133</f>
        <v>0</v>
      </c>
      <c r="AX135" s="48">
        <f>AX134+AX133</f>
        <v>0</v>
      </c>
      <c r="AZ135" s="48">
        <f>AZ134+AZ133</f>
        <v>0</v>
      </c>
      <c r="BA135" s="6">
        <f>+General!BA118</f>
        <v>0</v>
      </c>
      <c r="BP135" s="5">
        <f t="shared" si="69"/>
        <v>0</v>
      </c>
    </row>
    <row r="136" spans="1:68" x14ac:dyDescent="0.25">
      <c r="A136" s="7" t="s">
        <v>107</v>
      </c>
      <c r="BA136" s="6">
        <f>+General!BA119</f>
        <v>0</v>
      </c>
      <c r="BP136" s="5">
        <f t="shared" si="69"/>
        <v>0</v>
      </c>
    </row>
    <row r="137" spans="1:68" x14ac:dyDescent="0.25">
      <c r="A137" s="3" t="s">
        <v>108</v>
      </c>
      <c r="BA137" s="6">
        <f>+General!BA120</f>
        <v>0</v>
      </c>
      <c r="BP137" s="5">
        <f t="shared" si="69"/>
        <v>0</v>
      </c>
    </row>
    <row r="138" spans="1:68" s="42" customFormat="1" ht="15.75" thickBot="1" x14ac:dyDescent="0.3">
      <c r="A138" s="3"/>
      <c r="B138" s="43">
        <f>B137+B135+B131+B123</f>
        <v>36550</v>
      </c>
      <c r="C138" s="32"/>
      <c r="D138" s="43">
        <f>D137+D135+D131+D123</f>
        <v>50</v>
      </c>
      <c r="E138" s="43">
        <f>E137+E135+E131+E123</f>
        <v>36500</v>
      </c>
      <c r="F138" s="43">
        <f>F137+F135+F131+F123</f>
        <v>36550</v>
      </c>
      <c r="G138" s="32"/>
      <c r="H138" s="43">
        <f>H137+H135+H131+H123</f>
        <v>0</v>
      </c>
      <c r="I138" s="36"/>
      <c r="J138" s="43">
        <f>J137+J135+J131+J123</f>
        <v>960</v>
      </c>
      <c r="K138" s="43">
        <f>K137+K135+K131+K123</f>
        <v>36390</v>
      </c>
      <c r="L138" s="43">
        <f>L137+L135+L131+L123</f>
        <v>37350</v>
      </c>
      <c r="M138" s="32"/>
      <c r="N138" s="43">
        <f>N137+N135+N131+N123</f>
        <v>800</v>
      </c>
      <c r="O138" s="3"/>
      <c r="P138" s="43">
        <f>P137+P135+P131+P123</f>
        <v>37750.25</v>
      </c>
      <c r="Q138" s="3"/>
      <c r="R138" s="43">
        <f t="shared" ref="R138:Z138" si="70">R137+R135+R131+R123</f>
        <v>127</v>
      </c>
      <c r="S138" s="43">
        <f t="shared" si="70"/>
        <v>37873</v>
      </c>
      <c r="T138" s="43">
        <f t="shared" si="70"/>
        <v>38000</v>
      </c>
      <c r="U138" s="43">
        <f t="shared" si="70"/>
        <v>249.75</v>
      </c>
      <c r="V138" s="43">
        <f t="shared" si="70"/>
        <v>35001</v>
      </c>
      <c r="W138" s="43">
        <f t="shared" si="70"/>
        <v>4419</v>
      </c>
      <c r="X138" s="43"/>
      <c r="Y138" s="43">
        <f t="shared" si="70"/>
        <v>39420</v>
      </c>
      <c r="Z138" s="43">
        <f t="shared" si="70"/>
        <v>1420</v>
      </c>
      <c r="AA138" s="3"/>
      <c r="AB138" s="3"/>
      <c r="AC138" s="43">
        <f>AC137+AC135+AC131+AC123</f>
        <v>35115</v>
      </c>
      <c r="AD138" s="43">
        <f>AD137+AD135+AD131+AD123</f>
        <v>315</v>
      </c>
      <c r="AE138" s="43">
        <f>AE137+AE135+AE131+AE123</f>
        <v>35430</v>
      </c>
      <c r="AF138" s="43">
        <f>AF137+AF135+AF131+AF123</f>
        <v>-3990</v>
      </c>
      <c r="AG138" s="3"/>
      <c r="AH138" s="43">
        <f>AH137+AH135+AH131+AH123</f>
        <v>44849.5</v>
      </c>
      <c r="AI138" s="3"/>
      <c r="AJ138" s="43">
        <f>AJ137+AJ135+AJ131+AJ123</f>
        <v>45986.736249999994</v>
      </c>
      <c r="AK138" s="3"/>
      <c r="AL138" s="43">
        <f>AL137+AL135+AL131+AL123</f>
        <v>47152.613368749982</v>
      </c>
      <c r="AM138" s="3"/>
      <c r="AN138" s="43">
        <f>AN137+AN135+AN131+AN123</f>
        <v>48344.792926843729</v>
      </c>
      <c r="AO138" s="43"/>
      <c r="AP138" s="43">
        <f>AP137+AP135+AP131+AP123</f>
        <v>49565.952900606077</v>
      </c>
      <c r="AR138" s="43">
        <f>AR137+AR135+AR131+AR123</f>
        <v>50816.818078230208</v>
      </c>
      <c r="AT138" s="43">
        <f>AT137+AT135+AT131+AT123</f>
        <v>52099.131375948215</v>
      </c>
      <c r="AV138" s="43">
        <f>AV137+AV135+AV131+AV123</f>
        <v>53413.684291482037</v>
      </c>
      <c r="AX138" s="43">
        <f>AX137+AX135+AX131+AX123</f>
        <v>54761.28826883826</v>
      </c>
      <c r="AZ138" s="43">
        <f>AZ137+AZ135+AZ131+AZ123</f>
        <v>56142.775201730467</v>
      </c>
      <c r="BA138" s="6">
        <f>+General!BA121</f>
        <v>56142.775201730467</v>
      </c>
      <c r="BP138" s="5">
        <f t="shared" si="69"/>
        <v>0</v>
      </c>
    </row>
    <row r="139" spans="1:68" ht="15.75" thickTop="1" x14ac:dyDescent="0.25">
      <c r="A139" s="7" t="s">
        <v>109</v>
      </c>
      <c r="BA139" s="6">
        <f>+General!BA123</f>
        <v>0</v>
      </c>
      <c r="BP139" s="5">
        <f t="shared" si="69"/>
        <v>0</v>
      </c>
    </row>
    <row r="140" spans="1:68" x14ac:dyDescent="0.25">
      <c r="A140" s="3" t="s">
        <v>110</v>
      </c>
      <c r="B140" s="3">
        <v>1250</v>
      </c>
      <c r="D140" s="3"/>
      <c r="E140" s="3">
        <f>F140-D140</f>
        <v>1250</v>
      </c>
      <c r="F140" s="3">
        <v>1250</v>
      </c>
      <c r="H140" s="32">
        <f>F140-B140</f>
        <v>0</v>
      </c>
      <c r="I140" s="32"/>
      <c r="J140" s="32"/>
      <c r="K140" s="4">
        <f>L140-J140</f>
        <v>1250</v>
      </c>
      <c r="L140" s="4">
        <v>1250</v>
      </c>
      <c r="M140" s="32"/>
      <c r="N140" s="4">
        <f>L140-F140</f>
        <v>0</v>
      </c>
      <c r="P140" s="4">
        <v>1250</v>
      </c>
      <c r="Q140" s="4"/>
      <c r="R140" s="4"/>
      <c r="S140" s="3">
        <f>T140-R140</f>
        <v>1250</v>
      </c>
      <c r="T140" s="3">
        <v>1250</v>
      </c>
      <c r="U140" s="3">
        <f>T140-P140</f>
        <v>0</v>
      </c>
      <c r="V140" s="4"/>
      <c r="W140" s="3">
        <f>Y140-V140</f>
        <v>1250</v>
      </c>
      <c r="X140" s="3"/>
      <c r="Y140" s="4">
        <v>1250</v>
      </c>
      <c r="Z140" s="3">
        <f>Y140-T140</f>
        <v>0</v>
      </c>
      <c r="AA140" s="4"/>
      <c r="AB140" s="4"/>
      <c r="AC140" s="4">
        <v>1530</v>
      </c>
      <c r="AD140" s="3">
        <f>AE140-AC140</f>
        <v>0</v>
      </c>
      <c r="AE140" s="3">
        <v>1530</v>
      </c>
      <c r="AF140" s="3">
        <f>AE140-Y140</f>
        <v>280</v>
      </c>
      <c r="AG140" s="4"/>
      <c r="AH140" s="4">
        <v>1250</v>
      </c>
      <c r="AI140" s="4"/>
      <c r="AJ140" s="4">
        <v>1250</v>
      </c>
      <c r="AK140" s="4"/>
      <c r="AL140" s="4">
        <v>1250</v>
      </c>
      <c r="AM140" s="4"/>
      <c r="AN140" s="4">
        <v>1250</v>
      </c>
      <c r="AO140" s="4"/>
      <c r="AP140" s="4">
        <v>1250</v>
      </c>
      <c r="AQ140" s="51"/>
      <c r="AR140" s="4">
        <v>1250</v>
      </c>
      <c r="AS140" s="51"/>
      <c r="AT140" s="4">
        <v>1250</v>
      </c>
      <c r="AU140" s="51"/>
      <c r="AV140" s="4">
        <v>1250</v>
      </c>
      <c r="AW140" s="51"/>
      <c r="AX140" s="4">
        <v>1250</v>
      </c>
      <c r="AZ140" s="4">
        <v>1250</v>
      </c>
      <c r="BA140" s="6">
        <f>+General!BA124</f>
        <v>1250</v>
      </c>
      <c r="BP140" s="5">
        <f t="shared" si="69"/>
        <v>0</v>
      </c>
    </row>
    <row r="141" spans="1:68" x14ac:dyDescent="0.25">
      <c r="A141" s="3" t="s">
        <v>111</v>
      </c>
      <c r="B141" s="3"/>
      <c r="D141" s="3"/>
      <c r="E141" s="3"/>
      <c r="F141" s="3"/>
      <c r="H141" s="32"/>
      <c r="I141" s="32"/>
      <c r="J141" s="32"/>
      <c r="K141" s="4"/>
      <c r="L141" s="4"/>
      <c r="M141" s="32"/>
      <c r="N141" s="4"/>
      <c r="P141" s="4"/>
      <c r="Q141" s="4"/>
      <c r="R141" s="4"/>
      <c r="S141" s="3"/>
      <c r="T141" s="3"/>
      <c r="U141" s="3"/>
      <c r="V141" s="4"/>
      <c r="W141" s="3"/>
      <c r="X141" s="3"/>
      <c r="Y141" s="4"/>
      <c r="Z141" s="3"/>
      <c r="AA141" s="4"/>
      <c r="AB141" s="4"/>
      <c r="AC141" s="4">
        <v>1850</v>
      </c>
      <c r="AD141" s="3">
        <f>AE141-AC141</f>
        <v>0</v>
      </c>
      <c r="AE141" s="3">
        <v>1850</v>
      </c>
      <c r="AF141" s="3">
        <f>AE141-Y141</f>
        <v>1850</v>
      </c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51"/>
      <c r="AR141" s="4"/>
      <c r="AS141" s="51"/>
      <c r="AT141" s="4"/>
      <c r="AU141" s="51"/>
      <c r="AV141" s="4"/>
      <c r="AW141" s="51"/>
      <c r="AX141" s="4"/>
      <c r="AZ141" s="4"/>
      <c r="BA141" s="6">
        <f>+General!BA125</f>
        <v>0</v>
      </c>
      <c r="BP141" s="5">
        <f t="shared" si="69"/>
        <v>0</v>
      </c>
    </row>
    <row r="142" spans="1:68" x14ac:dyDescent="0.25">
      <c r="A142" s="3" t="s">
        <v>112</v>
      </c>
      <c r="B142" s="3">
        <v>1000</v>
      </c>
      <c r="D142" s="3"/>
      <c r="E142" s="3">
        <f>F142-D142</f>
        <v>1000</v>
      </c>
      <c r="F142" s="3">
        <v>1000</v>
      </c>
      <c r="H142" s="32">
        <f>F142-B142</f>
        <v>0</v>
      </c>
      <c r="I142" s="32"/>
      <c r="J142" s="32"/>
      <c r="K142" s="4">
        <f>L142-J142</f>
        <v>1000</v>
      </c>
      <c r="L142" s="4">
        <v>1000</v>
      </c>
      <c r="M142" s="32"/>
      <c r="N142" s="4">
        <f>L142-F142</f>
        <v>0</v>
      </c>
      <c r="P142" s="52">
        <v>1000</v>
      </c>
      <c r="Q142" s="52"/>
      <c r="R142" s="52"/>
      <c r="S142" s="52">
        <f>T142-R142</f>
        <v>1000</v>
      </c>
      <c r="T142" s="52">
        <v>1000</v>
      </c>
      <c r="U142" s="52">
        <f>T142-P142</f>
        <v>0</v>
      </c>
      <c r="V142" s="52"/>
      <c r="W142" s="52">
        <f>Y142-V142</f>
        <v>1000</v>
      </c>
      <c r="X142" s="52"/>
      <c r="Y142" s="52">
        <v>1000</v>
      </c>
      <c r="Z142" s="52">
        <f>Y142-T142</f>
        <v>0</v>
      </c>
      <c r="AA142" s="4"/>
      <c r="AB142" s="4"/>
      <c r="AC142" s="4">
        <v>1000</v>
      </c>
      <c r="AD142" s="3">
        <f>AE142-AC142</f>
        <v>0</v>
      </c>
      <c r="AE142" s="3">
        <v>1000</v>
      </c>
      <c r="AF142" s="3">
        <f>AE142-Y142</f>
        <v>0</v>
      </c>
      <c r="AG142" s="4"/>
      <c r="AH142" s="52">
        <v>1000</v>
      </c>
      <c r="AI142" s="52"/>
      <c r="AJ142" s="52">
        <v>1000</v>
      </c>
      <c r="AK142" s="52"/>
      <c r="AL142" s="52">
        <v>1000</v>
      </c>
      <c r="AM142" s="52"/>
      <c r="AN142" s="52">
        <v>1000</v>
      </c>
      <c r="AO142" s="52"/>
      <c r="AP142" s="52">
        <v>1000</v>
      </c>
      <c r="AQ142" s="53"/>
      <c r="AR142" s="52">
        <v>1000</v>
      </c>
      <c r="AS142" s="53"/>
      <c r="AT142" s="52">
        <v>1000</v>
      </c>
      <c r="AU142" s="53"/>
      <c r="AV142" s="52">
        <v>1000</v>
      </c>
      <c r="AW142" s="53"/>
      <c r="AX142" s="52">
        <v>1000</v>
      </c>
      <c r="AZ142" s="52">
        <v>1000</v>
      </c>
      <c r="BA142" s="6">
        <f>+General!BA126</f>
        <v>1000</v>
      </c>
    </row>
    <row r="143" spans="1:68" ht="15.75" thickBot="1" x14ac:dyDescent="0.3">
      <c r="A143" s="3"/>
      <c r="B143" s="54">
        <f>SUM(B140:B142)</f>
        <v>2250</v>
      </c>
      <c r="C143" s="55"/>
      <c r="D143" s="54">
        <f>SUM(D140:D142)</f>
        <v>0</v>
      </c>
      <c r="E143" s="54">
        <f>SUM(E140:E142)</f>
        <v>2250</v>
      </c>
      <c r="F143" s="54">
        <f>SUM(F140:F142)</f>
        <v>2250</v>
      </c>
      <c r="G143" s="55"/>
      <c r="H143" s="54">
        <f>SUM(H140:H142)</f>
        <v>0</v>
      </c>
      <c r="I143" s="56"/>
      <c r="J143" s="54">
        <f>SUM(J140:J142)</f>
        <v>0</v>
      </c>
      <c r="K143" s="54">
        <f>SUM(K140:K142)</f>
        <v>2250</v>
      </c>
      <c r="L143" s="54">
        <f>SUM(L140:L142)</f>
        <v>2250</v>
      </c>
      <c r="M143" s="55"/>
      <c r="N143" s="54">
        <f>SUM(N140:N142)</f>
        <v>0</v>
      </c>
      <c r="P143" s="57">
        <f>SUM(P140:P142)</f>
        <v>2250</v>
      </c>
      <c r="R143" s="57">
        <f t="shared" ref="R143:Z143" si="71">SUM(R140:R142)</f>
        <v>0</v>
      </c>
      <c r="S143" s="57">
        <f t="shared" si="71"/>
        <v>2250</v>
      </c>
      <c r="T143" s="57">
        <f t="shared" si="71"/>
        <v>2250</v>
      </c>
      <c r="U143" s="57">
        <f t="shared" si="71"/>
        <v>0</v>
      </c>
      <c r="V143" s="57">
        <f t="shared" si="71"/>
        <v>0</v>
      </c>
      <c r="W143" s="57">
        <f t="shared" si="71"/>
        <v>2250</v>
      </c>
      <c r="X143" s="57"/>
      <c r="Y143" s="57">
        <f t="shared" si="71"/>
        <v>2250</v>
      </c>
      <c r="Z143" s="57">
        <f t="shared" si="71"/>
        <v>0</v>
      </c>
      <c r="AC143" s="57">
        <f>SUM(AC140:AC142)</f>
        <v>4380</v>
      </c>
      <c r="AD143" s="57">
        <f>SUM(AD140:AD142)</f>
        <v>0</v>
      </c>
      <c r="AE143" s="57">
        <f>SUM(AE140:AE142)</f>
        <v>4380</v>
      </c>
      <c r="AF143" s="57">
        <f>SUM(AF140:AF142)</f>
        <v>2130</v>
      </c>
      <c r="AH143" s="57">
        <f>SUM(AH140:AH142)</f>
        <v>2250</v>
      </c>
      <c r="AJ143" s="57">
        <f>SUM(AJ140:AJ142)</f>
        <v>2250</v>
      </c>
      <c r="AL143" s="57">
        <f>SUM(AL140:AL142)</f>
        <v>2250</v>
      </c>
      <c r="AN143" s="57">
        <f>SUM(AN140:AN142)</f>
        <v>2250</v>
      </c>
      <c r="AO143" s="57"/>
      <c r="AP143" s="57">
        <f>SUM(AP140:AP142)</f>
        <v>2250</v>
      </c>
      <c r="AR143" s="57">
        <f>SUM(AR140:AR142)</f>
        <v>2250</v>
      </c>
      <c r="AT143" s="57">
        <f>SUM(AT140:AT142)</f>
        <v>2250</v>
      </c>
      <c r="AV143" s="57">
        <f>SUM(AV140:AV142)</f>
        <v>2250</v>
      </c>
      <c r="AX143" s="57">
        <f>SUM(AX140:AX142)</f>
        <v>2250</v>
      </c>
      <c r="AZ143" s="57">
        <f>SUM(AZ140:AZ142)</f>
        <v>2250</v>
      </c>
      <c r="BA143" s="6">
        <f>+General!BA127</f>
        <v>2250</v>
      </c>
      <c r="BP143" s="5">
        <f t="shared" si="69"/>
        <v>0</v>
      </c>
    </row>
    <row r="144" spans="1:68" ht="15.75" thickTop="1" x14ac:dyDescent="0.25">
      <c r="A144" s="7" t="s">
        <v>113</v>
      </c>
      <c r="BA144" s="6">
        <f>+General!BA129</f>
        <v>0</v>
      </c>
      <c r="BP144" s="5">
        <f t="shared" si="69"/>
        <v>0</v>
      </c>
    </row>
    <row r="145" spans="1:68" x14ac:dyDescent="0.25">
      <c r="A145" s="7" t="s">
        <v>114</v>
      </c>
      <c r="BA145" s="6">
        <f>+General!BA130</f>
        <v>0</v>
      </c>
      <c r="BP145" s="5">
        <f t="shared" si="69"/>
        <v>0</v>
      </c>
    </row>
    <row r="146" spans="1:68" x14ac:dyDescent="0.25">
      <c r="A146" s="3" t="s">
        <v>115</v>
      </c>
      <c r="B146" s="3">
        <v>7500</v>
      </c>
      <c r="D146" s="3">
        <v>2100</v>
      </c>
      <c r="E146" s="3">
        <f>F146-D146</f>
        <v>5900</v>
      </c>
      <c r="F146" s="3">
        <v>8000</v>
      </c>
      <c r="H146" s="32">
        <f>F146-B146</f>
        <v>500</v>
      </c>
      <c r="I146" s="32"/>
      <c r="J146" s="4">
        <v>3900</v>
      </c>
      <c r="K146" s="4">
        <f>L146-J146</f>
        <v>4100</v>
      </c>
      <c r="L146" s="4">
        <v>8000</v>
      </c>
      <c r="N146" s="4">
        <f>L146-F146</f>
        <v>0</v>
      </c>
      <c r="P146" s="3">
        <f>L146*1.025</f>
        <v>8200</v>
      </c>
      <c r="Q146" s="3"/>
      <c r="R146" s="3">
        <v>2100</v>
      </c>
      <c r="S146" s="3">
        <f>T146-R146</f>
        <v>6100</v>
      </c>
      <c r="T146" s="3">
        <v>8200</v>
      </c>
      <c r="U146" s="3">
        <f>T146-P146</f>
        <v>0</v>
      </c>
      <c r="V146" s="3">
        <v>4500</v>
      </c>
      <c r="W146" s="3">
        <f>Y146-V146</f>
        <v>3700</v>
      </c>
      <c r="X146" s="3"/>
      <c r="Y146" s="3">
        <v>8200</v>
      </c>
      <c r="Z146" s="3">
        <f>Y146-T146</f>
        <v>0</v>
      </c>
      <c r="AA146" s="3"/>
      <c r="AB146" s="3"/>
      <c r="AC146" s="3">
        <v>5700</v>
      </c>
      <c r="AD146" s="3">
        <f>AE146-AC146</f>
        <v>2500</v>
      </c>
      <c r="AE146" s="3">
        <v>8200</v>
      </c>
      <c r="AF146" s="3">
        <f>AE146-Y146</f>
        <v>0</v>
      </c>
      <c r="AG146" s="3"/>
      <c r="AH146" s="3">
        <f>P146*1.025-5</f>
        <v>8400</v>
      </c>
      <c r="AI146" s="3"/>
      <c r="AJ146" s="3">
        <f>AH146*1.025</f>
        <v>8610</v>
      </c>
      <c r="AK146" s="3"/>
      <c r="AL146" s="3">
        <f>AJ146*1.025</f>
        <v>8825.25</v>
      </c>
      <c r="AM146" s="3"/>
      <c r="AN146" s="3">
        <f>AL146*1.025</f>
        <v>9045.8812499999985</v>
      </c>
      <c r="AO146" s="3"/>
      <c r="AP146" s="3">
        <f>AN146*1.025</f>
        <v>9272.0282812499972</v>
      </c>
      <c r="AQ146" s="42"/>
      <c r="AR146" s="3">
        <f>AP146*1.025</f>
        <v>9503.828988281246</v>
      </c>
      <c r="AS146" s="42"/>
      <c r="AT146" s="3">
        <f>AR146*1.025</f>
        <v>9741.424712988277</v>
      </c>
      <c r="AU146" s="42"/>
      <c r="AV146" s="3">
        <f>AT146*1.025</f>
        <v>9984.9603308129826</v>
      </c>
      <c r="AW146" s="42"/>
      <c r="AX146" s="3">
        <f>AV146*1.025</f>
        <v>10234.584339083307</v>
      </c>
      <c r="AZ146" s="3">
        <f>AX146*1.025</f>
        <v>10490.44894756039</v>
      </c>
      <c r="BA146" s="6">
        <f>+General!BA131</f>
        <v>10490.44894756039</v>
      </c>
      <c r="BP146" s="5">
        <f t="shared" si="69"/>
        <v>0</v>
      </c>
    </row>
    <row r="147" spans="1:68" x14ac:dyDescent="0.25">
      <c r="A147" s="3" t="s">
        <v>116</v>
      </c>
      <c r="B147" s="3"/>
      <c r="D147" s="3"/>
      <c r="E147" s="3"/>
      <c r="F147" s="3"/>
      <c r="H147" s="3"/>
      <c r="I147" s="3"/>
      <c r="J147" s="3"/>
      <c r="K147" s="3"/>
      <c r="L147" s="3"/>
      <c r="N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42"/>
      <c r="AR147" s="3"/>
      <c r="AT147" s="3"/>
      <c r="AV147" s="3"/>
      <c r="AX147" s="3"/>
      <c r="AZ147" s="3"/>
      <c r="BA147" s="6">
        <f>+General!BA132</f>
        <v>0</v>
      </c>
      <c r="BP147" s="5">
        <f t="shared" si="69"/>
        <v>0</v>
      </c>
    </row>
    <row r="148" spans="1:68" x14ac:dyDescent="0.25">
      <c r="A148" s="3" t="s">
        <v>57</v>
      </c>
      <c r="B148" s="3"/>
      <c r="D148" s="3"/>
      <c r="E148" s="3"/>
      <c r="F148" s="3"/>
      <c r="H148" s="3"/>
      <c r="I148" s="3"/>
      <c r="J148" s="3"/>
      <c r="K148" s="3"/>
      <c r="L148" s="3"/>
      <c r="N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42"/>
      <c r="AR148" s="3"/>
      <c r="AT148" s="3"/>
      <c r="AV148" s="3"/>
      <c r="AX148" s="3"/>
      <c r="AZ148" s="3"/>
      <c r="BA148" s="6">
        <f>+General!BA133</f>
        <v>0</v>
      </c>
      <c r="BP148" s="5">
        <f t="shared" si="69"/>
        <v>0</v>
      </c>
    </row>
    <row r="149" spans="1:68" x14ac:dyDescent="0.25">
      <c r="A149" s="3"/>
      <c r="B149" s="48">
        <f>SUM(B146:B148)</f>
        <v>7500</v>
      </c>
      <c r="C149" s="32"/>
      <c r="D149" s="48">
        <f>SUM(D146:D148)</f>
        <v>2100</v>
      </c>
      <c r="E149" s="48">
        <f>SUM(E146:E148)</f>
        <v>5900</v>
      </c>
      <c r="F149" s="48">
        <f>SUM(F146:F148)</f>
        <v>8000</v>
      </c>
      <c r="G149" s="32"/>
      <c r="H149" s="48">
        <f>SUM(H146:H148)</f>
        <v>500</v>
      </c>
      <c r="I149" s="36"/>
      <c r="J149" s="48">
        <f>SUM(J146:J148)</f>
        <v>3900</v>
      </c>
      <c r="K149" s="48">
        <f>SUM(K146:K148)</f>
        <v>4100</v>
      </c>
      <c r="L149" s="48">
        <f>SUM(L146:L148)</f>
        <v>8000</v>
      </c>
      <c r="M149" s="32"/>
      <c r="N149" s="48">
        <f>SUM(N146:N148)</f>
        <v>0</v>
      </c>
      <c r="P149" s="48">
        <f>SUM(P146:P148)</f>
        <v>8200</v>
      </c>
      <c r="R149" s="48">
        <f t="shared" ref="R149:Z149" si="72">SUM(R146:R148)</f>
        <v>2100</v>
      </c>
      <c r="S149" s="48">
        <f t="shared" si="72"/>
        <v>6100</v>
      </c>
      <c r="T149" s="48">
        <f t="shared" si="72"/>
        <v>8200</v>
      </c>
      <c r="U149" s="48">
        <f t="shared" si="72"/>
        <v>0</v>
      </c>
      <c r="V149" s="48">
        <f t="shared" si="72"/>
        <v>4500</v>
      </c>
      <c r="W149" s="48">
        <f t="shared" si="72"/>
        <v>3700</v>
      </c>
      <c r="X149" s="48"/>
      <c r="Y149" s="48">
        <f t="shared" si="72"/>
        <v>8200</v>
      </c>
      <c r="Z149" s="48">
        <f t="shared" si="72"/>
        <v>0</v>
      </c>
      <c r="AC149" s="48">
        <f>SUM(AC146:AC148)</f>
        <v>5700</v>
      </c>
      <c r="AD149" s="48">
        <f>SUM(AD146:AD148)</f>
        <v>2500</v>
      </c>
      <c r="AE149" s="48">
        <f>SUM(AE146:AE148)</f>
        <v>8200</v>
      </c>
      <c r="AF149" s="48">
        <f>SUM(AF146:AF148)</f>
        <v>0</v>
      </c>
      <c r="AH149" s="48">
        <f>SUM(AH146:AH148)</f>
        <v>8400</v>
      </c>
      <c r="AJ149" s="48">
        <f>SUM(AJ146:AJ148)</f>
        <v>8610</v>
      </c>
      <c r="AL149" s="48">
        <f>SUM(AL146:AL148)</f>
        <v>8825.25</v>
      </c>
      <c r="AN149" s="48">
        <f>SUM(AN146:AN148)</f>
        <v>9045.8812499999985</v>
      </c>
      <c r="AO149" s="48"/>
      <c r="AP149" s="48">
        <f>SUM(AP146:AP148)</f>
        <v>9272.0282812499972</v>
      </c>
      <c r="AR149" s="48">
        <f>SUM(AR146:AR148)</f>
        <v>9503.828988281246</v>
      </c>
      <c r="AT149" s="48">
        <f>SUM(AT146:AT148)</f>
        <v>9741.424712988277</v>
      </c>
      <c r="AV149" s="48">
        <f>SUM(AV146:AV148)</f>
        <v>9984.9603308129826</v>
      </c>
      <c r="AX149" s="48">
        <f>SUM(AX146:AX148)</f>
        <v>10234.584339083307</v>
      </c>
      <c r="AZ149" s="48">
        <f>SUM(AZ146:AZ148)</f>
        <v>10490.44894756039</v>
      </c>
      <c r="BA149" s="6">
        <f>+General!BA134</f>
        <v>10490.44894756039</v>
      </c>
      <c r="BP149" s="5">
        <f t="shared" si="69"/>
        <v>0</v>
      </c>
    </row>
    <row r="150" spans="1:68" s="42" customFormat="1" x14ac:dyDescent="0.25">
      <c r="A150" s="7" t="s">
        <v>117</v>
      </c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4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R150" s="3"/>
      <c r="AT150" s="3"/>
      <c r="AV150" s="3"/>
      <c r="AX150" s="3"/>
      <c r="AZ150" s="3"/>
      <c r="BA150" s="6">
        <f>+General!BA135</f>
        <v>0</v>
      </c>
      <c r="BP150" s="5">
        <f t="shared" si="69"/>
        <v>0</v>
      </c>
    </row>
    <row r="151" spans="1:68" x14ac:dyDescent="0.25">
      <c r="A151" s="3" t="s">
        <v>118</v>
      </c>
      <c r="B151" s="3">
        <v>40000</v>
      </c>
      <c r="D151" s="3">
        <v>6179</v>
      </c>
      <c r="E151" s="3">
        <f t="shared" ref="E151:E156" si="73">F151-D151</f>
        <v>33821</v>
      </c>
      <c r="F151" s="3">
        <v>40000</v>
      </c>
      <c r="H151" s="32">
        <f t="shared" ref="H151:H156" si="74">F151-B151</f>
        <v>0</v>
      </c>
      <c r="I151" s="32"/>
      <c r="J151" s="4">
        <v>10843</v>
      </c>
      <c r="K151" s="4">
        <f t="shared" ref="K151:K156" si="75">L151-J151</f>
        <v>19157</v>
      </c>
      <c r="L151" s="4">
        <v>30000</v>
      </c>
      <c r="N151" s="4">
        <f t="shared" ref="N151:N156" si="76">L151-F151</f>
        <v>-10000</v>
      </c>
      <c r="P151" s="3">
        <f>L151*1.025-750</f>
        <v>29999.999999999996</v>
      </c>
      <c r="Q151" s="3"/>
      <c r="R151" s="3">
        <v>4276</v>
      </c>
      <c r="S151" s="3">
        <f t="shared" ref="S151:S156" si="77">T151-R151</f>
        <v>23224</v>
      </c>
      <c r="T151" s="3">
        <v>27500</v>
      </c>
      <c r="U151" s="3">
        <f t="shared" ref="U151:U156" si="78">T151-P151</f>
        <v>-2499.9999999999964</v>
      </c>
      <c r="V151" s="3">
        <v>11056</v>
      </c>
      <c r="W151" s="3">
        <f t="shared" ref="W151:W156" si="79">Y151-V151</f>
        <v>13944</v>
      </c>
      <c r="X151" s="3"/>
      <c r="Y151" s="3">
        <v>25000</v>
      </c>
      <c r="Z151" s="3">
        <f t="shared" ref="Z151:Z156" si="80">Y151-T151</f>
        <v>-2500</v>
      </c>
      <c r="AA151" s="3"/>
      <c r="AB151" s="3"/>
      <c r="AC151" s="3">
        <v>15003</v>
      </c>
      <c r="AD151" s="3">
        <f t="shared" ref="AD151:AD156" si="81">AE151-AC151</f>
        <v>7497</v>
      </c>
      <c r="AE151" s="3">
        <v>22500</v>
      </c>
      <c r="AF151" s="3">
        <f t="shared" ref="AF151:AF156" si="82">AE151-Y151</f>
        <v>-2500</v>
      </c>
      <c r="AG151" s="3"/>
      <c r="AH151" s="3">
        <v>40000</v>
      </c>
      <c r="AI151" s="3"/>
      <c r="AJ151" s="3">
        <f>AH151*1.025</f>
        <v>41000</v>
      </c>
      <c r="AK151" s="3"/>
      <c r="AL151" s="3">
        <f>AJ151*1.025</f>
        <v>42024.999999999993</v>
      </c>
      <c r="AM151" s="3"/>
      <c r="AN151" s="3">
        <f>AL151*1.025</f>
        <v>43075.624999999985</v>
      </c>
      <c r="AO151" s="3"/>
      <c r="AP151" s="3">
        <f>AN151*1.025</f>
        <v>44152.515624999978</v>
      </c>
      <c r="AQ151" s="42"/>
      <c r="AR151" s="3">
        <f>AP151*1.025</f>
        <v>45256.328515624977</v>
      </c>
      <c r="AS151" s="42"/>
      <c r="AT151" s="3">
        <f>AR151*1.025</f>
        <v>46387.7367285156</v>
      </c>
      <c r="AU151" s="42"/>
      <c r="AV151" s="3">
        <f>AT151*1.025</f>
        <v>47547.430146728482</v>
      </c>
      <c r="AW151" s="42"/>
      <c r="AX151" s="3">
        <f>AV151*1.025</f>
        <v>48736.11590039669</v>
      </c>
      <c r="AY151" s="42"/>
      <c r="AZ151" s="3">
        <f>AX151*1.025</f>
        <v>49954.518797906603</v>
      </c>
      <c r="BA151" s="6">
        <f>+General!BA136</f>
        <v>49954.518797906603</v>
      </c>
      <c r="BP151" s="5">
        <f t="shared" si="69"/>
        <v>0</v>
      </c>
    </row>
    <row r="152" spans="1:68" x14ac:dyDescent="0.25">
      <c r="A152" s="3" t="s">
        <v>119</v>
      </c>
      <c r="B152" s="3">
        <v>40000</v>
      </c>
      <c r="D152" s="3">
        <v>26628</v>
      </c>
      <c r="E152" s="3">
        <f t="shared" si="73"/>
        <v>13372</v>
      </c>
      <c r="F152" s="3">
        <v>40000</v>
      </c>
      <c r="H152" s="32">
        <f t="shared" si="74"/>
        <v>0</v>
      </c>
      <c r="I152" s="32"/>
      <c r="J152" s="4">
        <v>26628</v>
      </c>
      <c r="K152" s="4">
        <f t="shared" si="75"/>
        <v>13372</v>
      </c>
      <c r="L152" s="4">
        <v>40000</v>
      </c>
      <c r="N152" s="4">
        <f t="shared" si="76"/>
        <v>0</v>
      </c>
      <c r="P152" s="3">
        <f>L152*1.025</f>
        <v>41000</v>
      </c>
      <c r="Q152" s="3"/>
      <c r="R152" s="3">
        <v>600</v>
      </c>
      <c r="S152" s="3">
        <f t="shared" si="77"/>
        <v>36900</v>
      </c>
      <c r="T152" s="3">
        <v>37500</v>
      </c>
      <c r="U152" s="3">
        <f t="shared" si="78"/>
        <v>-3500</v>
      </c>
      <c r="V152" s="3">
        <v>5887</v>
      </c>
      <c r="W152" s="3">
        <f t="shared" si="79"/>
        <v>21613</v>
      </c>
      <c r="X152" s="3"/>
      <c r="Y152" s="3">
        <v>27500</v>
      </c>
      <c r="Z152" s="3">
        <f t="shared" si="80"/>
        <v>-10000</v>
      </c>
      <c r="AA152" s="3"/>
      <c r="AB152" s="3"/>
      <c r="AC152" s="3">
        <v>5887</v>
      </c>
      <c r="AD152" s="3">
        <f t="shared" si="81"/>
        <v>11613</v>
      </c>
      <c r="AE152" s="3">
        <v>17500</v>
      </c>
      <c r="AF152" s="3">
        <f t="shared" si="82"/>
        <v>-10000</v>
      </c>
      <c r="AG152" s="3"/>
      <c r="AH152" s="3">
        <v>20000</v>
      </c>
      <c r="AI152" s="3"/>
      <c r="AJ152" s="3">
        <f>AH152*1.025</f>
        <v>20500</v>
      </c>
      <c r="AK152" s="3"/>
      <c r="AL152" s="3">
        <f>AJ152*1.025</f>
        <v>21012.499999999996</v>
      </c>
      <c r="AM152" s="3"/>
      <c r="AN152" s="3">
        <f>AL152*1.025</f>
        <v>21537.812499999993</v>
      </c>
      <c r="AO152" s="3"/>
      <c r="AP152" s="3">
        <f>AN152*1.025</f>
        <v>22076.257812499989</v>
      </c>
      <c r="AQ152" s="42"/>
      <c r="AR152" s="3">
        <f>AP152*1.025</f>
        <v>22628.164257812488</v>
      </c>
      <c r="AS152" s="42"/>
      <c r="AT152" s="3">
        <f>AR152*1.025</f>
        <v>23193.8683642578</v>
      </c>
      <c r="AU152" s="42"/>
      <c r="AV152" s="3">
        <f>AT152*1.025</f>
        <v>23773.715073364241</v>
      </c>
      <c r="AW152" s="42"/>
      <c r="AX152" s="3">
        <f>AV152*1.025</f>
        <v>24368.057950198345</v>
      </c>
      <c r="AY152" s="42"/>
      <c r="AZ152" s="3">
        <f>AX152*1.025</f>
        <v>24977.259398953302</v>
      </c>
      <c r="BA152" s="6">
        <f>+General!BA137</f>
        <v>24977.259398953302</v>
      </c>
      <c r="BP152" s="5">
        <f t="shared" si="69"/>
        <v>0</v>
      </c>
    </row>
    <row r="153" spans="1:68" x14ac:dyDescent="0.25">
      <c r="A153" s="3" t="s">
        <v>90</v>
      </c>
      <c r="B153" s="3">
        <v>1000</v>
      </c>
      <c r="D153" s="3"/>
      <c r="E153" s="3">
        <f t="shared" si="73"/>
        <v>1000</v>
      </c>
      <c r="F153" s="3">
        <v>1000</v>
      </c>
      <c r="H153" s="32">
        <f t="shared" si="74"/>
        <v>0</v>
      </c>
      <c r="I153" s="32"/>
      <c r="J153" s="4"/>
      <c r="K153" s="4">
        <f t="shared" si="75"/>
        <v>1000</v>
      </c>
      <c r="L153" s="4">
        <v>1000</v>
      </c>
      <c r="N153" s="4">
        <f t="shared" si="76"/>
        <v>0</v>
      </c>
      <c r="P153" s="3">
        <f>L153*1.025+75</f>
        <v>1100</v>
      </c>
      <c r="Q153" s="3"/>
      <c r="R153" s="3"/>
      <c r="S153" s="3">
        <f t="shared" si="77"/>
        <v>1100</v>
      </c>
      <c r="T153" s="3">
        <v>1100</v>
      </c>
      <c r="U153" s="3">
        <f t="shared" si="78"/>
        <v>0</v>
      </c>
      <c r="V153" s="3"/>
      <c r="W153" s="3">
        <f t="shared" si="79"/>
        <v>1000</v>
      </c>
      <c r="X153" s="3"/>
      <c r="Y153" s="3">
        <v>1000</v>
      </c>
      <c r="Z153" s="3">
        <f t="shared" si="80"/>
        <v>-100</v>
      </c>
      <c r="AA153" s="3"/>
      <c r="AB153" s="3"/>
      <c r="AC153" s="3"/>
      <c r="AD153" s="3">
        <f t="shared" si="81"/>
        <v>1000</v>
      </c>
      <c r="AE153" s="3">
        <v>1000</v>
      </c>
      <c r="AF153" s="3">
        <f t="shared" si="82"/>
        <v>0</v>
      </c>
      <c r="AG153" s="3"/>
      <c r="AH153" s="3">
        <v>1500</v>
      </c>
      <c r="AI153" s="3"/>
      <c r="AJ153" s="3">
        <f>AH153*1.025</f>
        <v>1537.4999999999998</v>
      </c>
      <c r="AK153" s="3"/>
      <c r="AL153" s="3">
        <f>AJ153*1.025</f>
        <v>1575.9374999999995</v>
      </c>
      <c r="AM153" s="3"/>
      <c r="AN153" s="3">
        <f>AL153*1.025</f>
        <v>1615.3359374999993</v>
      </c>
      <c r="AO153" s="3"/>
      <c r="AP153" s="3">
        <f>AN153*1.025</f>
        <v>1655.7193359374992</v>
      </c>
      <c r="AQ153" s="42"/>
      <c r="AR153" s="3">
        <f>AP153*1.025</f>
        <v>1697.1123193359365</v>
      </c>
      <c r="AS153" s="42"/>
      <c r="AT153" s="3">
        <f>AR153*1.025</f>
        <v>1739.5401273193347</v>
      </c>
      <c r="AU153" s="42"/>
      <c r="AV153" s="3">
        <f>AT153*1.025</f>
        <v>1783.028630502318</v>
      </c>
      <c r="AW153" s="42"/>
      <c r="AX153" s="3">
        <f>AV153*1.025</f>
        <v>1827.6043462648759</v>
      </c>
      <c r="AY153" s="42"/>
      <c r="AZ153" s="3">
        <f>AX153*1.025</f>
        <v>1873.2944549214976</v>
      </c>
      <c r="BA153" s="6">
        <f>+General!BA138</f>
        <v>1873.2944549214976</v>
      </c>
      <c r="BP153" s="5">
        <f t="shared" si="69"/>
        <v>0</v>
      </c>
    </row>
    <row r="154" spans="1:68" x14ac:dyDescent="0.25">
      <c r="A154" s="3" t="s">
        <v>120</v>
      </c>
      <c r="B154" s="3"/>
      <c r="D154" s="3"/>
      <c r="E154" s="3">
        <f t="shared" si="73"/>
        <v>0</v>
      </c>
      <c r="F154" s="3"/>
      <c r="H154" s="32">
        <f t="shared" si="74"/>
        <v>0</v>
      </c>
      <c r="I154" s="32"/>
      <c r="J154" s="4"/>
      <c r="K154" s="4">
        <f t="shared" si="75"/>
        <v>0</v>
      </c>
      <c r="L154" s="4"/>
      <c r="N154" s="4">
        <f t="shared" si="76"/>
        <v>0</v>
      </c>
      <c r="P154" s="3"/>
      <c r="Q154" s="3"/>
      <c r="R154" s="3"/>
      <c r="S154" s="3">
        <f t="shared" si="77"/>
        <v>0</v>
      </c>
      <c r="T154" s="3"/>
      <c r="U154" s="3">
        <f t="shared" si="78"/>
        <v>0</v>
      </c>
      <c r="V154" s="3"/>
      <c r="W154" s="3">
        <f t="shared" si="79"/>
        <v>0</v>
      </c>
      <c r="X154" s="3"/>
      <c r="Y154" s="3"/>
      <c r="Z154" s="3">
        <f t="shared" si="80"/>
        <v>0</v>
      </c>
      <c r="AA154" s="3"/>
      <c r="AB154" s="3"/>
      <c r="AC154" s="3"/>
      <c r="AD154" s="3">
        <f t="shared" si="81"/>
        <v>0</v>
      </c>
      <c r="AE154" s="3"/>
      <c r="AF154" s="3">
        <f t="shared" si="82"/>
        <v>0</v>
      </c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42"/>
      <c r="AR154" s="3"/>
      <c r="AS154" s="42"/>
      <c r="AT154" s="3"/>
      <c r="AU154" s="42"/>
      <c r="AV154" s="3"/>
      <c r="AW154" s="42"/>
      <c r="AX154" s="3"/>
      <c r="AY154" s="42"/>
      <c r="AZ154" s="3"/>
      <c r="BA154" s="6">
        <f>+General!BA139</f>
        <v>0</v>
      </c>
      <c r="BP154" s="5">
        <f t="shared" si="69"/>
        <v>0</v>
      </c>
    </row>
    <row r="155" spans="1:68" x14ac:dyDescent="0.25">
      <c r="A155" s="3" t="s">
        <v>121</v>
      </c>
      <c r="B155" s="3"/>
      <c r="D155" s="3"/>
      <c r="E155" s="3">
        <f t="shared" si="73"/>
        <v>0</v>
      </c>
      <c r="F155" s="3"/>
      <c r="H155" s="32">
        <f t="shared" si="74"/>
        <v>0</v>
      </c>
      <c r="I155" s="32"/>
      <c r="J155" s="4"/>
      <c r="K155" s="4">
        <f t="shared" si="75"/>
        <v>0</v>
      </c>
      <c r="L155" s="4"/>
      <c r="N155" s="4">
        <f t="shared" si="76"/>
        <v>0</v>
      </c>
      <c r="P155" s="3"/>
      <c r="Q155" s="3"/>
      <c r="R155" s="3"/>
      <c r="S155" s="3">
        <f t="shared" si="77"/>
        <v>0</v>
      </c>
      <c r="T155" s="3"/>
      <c r="U155" s="3">
        <f t="shared" si="78"/>
        <v>0</v>
      </c>
      <c r="V155" s="3"/>
      <c r="W155" s="3">
        <f t="shared" si="79"/>
        <v>0</v>
      </c>
      <c r="X155" s="3"/>
      <c r="Y155" s="3"/>
      <c r="Z155" s="3">
        <f t="shared" si="80"/>
        <v>0</v>
      </c>
      <c r="AA155" s="3"/>
      <c r="AB155" s="3"/>
      <c r="AC155" s="3"/>
      <c r="AD155" s="3">
        <f t="shared" si="81"/>
        <v>0</v>
      </c>
      <c r="AE155" s="3"/>
      <c r="AF155" s="3">
        <f t="shared" si="82"/>
        <v>0</v>
      </c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42"/>
      <c r="AR155" s="3"/>
      <c r="AS155" s="42"/>
      <c r="AT155" s="3"/>
      <c r="AU155" s="42"/>
      <c r="AV155" s="3"/>
      <c r="AW155" s="42"/>
      <c r="AX155" s="3"/>
      <c r="AY155" s="42"/>
      <c r="AZ155" s="3"/>
      <c r="BA155" s="6">
        <f>+General!BA140</f>
        <v>0</v>
      </c>
      <c r="BP155" s="5">
        <f t="shared" si="69"/>
        <v>0</v>
      </c>
    </row>
    <row r="156" spans="1:68" x14ac:dyDescent="0.25">
      <c r="A156" s="3" t="s">
        <v>122</v>
      </c>
      <c r="B156" s="3">
        <v>6600</v>
      </c>
      <c r="D156" s="3">
        <v>2315</v>
      </c>
      <c r="E156" s="3">
        <f t="shared" si="73"/>
        <v>4685</v>
      </c>
      <c r="F156" s="3">
        <v>7000</v>
      </c>
      <c r="H156" s="32">
        <f t="shared" si="74"/>
        <v>400</v>
      </c>
      <c r="I156" s="32"/>
      <c r="J156" s="4">
        <v>5416</v>
      </c>
      <c r="K156" s="4">
        <f t="shared" si="75"/>
        <v>2084</v>
      </c>
      <c r="L156" s="4">
        <v>7500</v>
      </c>
      <c r="N156" s="4">
        <f t="shared" si="76"/>
        <v>500</v>
      </c>
      <c r="P156" s="3">
        <f>L156*1.025+12</f>
        <v>7699.4999999999991</v>
      </c>
      <c r="Q156" s="3"/>
      <c r="R156" s="3">
        <v>2985</v>
      </c>
      <c r="S156" s="3">
        <f t="shared" si="77"/>
        <v>4715</v>
      </c>
      <c r="T156" s="3">
        <v>7700</v>
      </c>
      <c r="U156" s="3">
        <f t="shared" si="78"/>
        <v>0.50000000000090949</v>
      </c>
      <c r="V156" s="3">
        <v>5946</v>
      </c>
      <c r="W156" s="3">
        <f t="shared" si="79"/>
        <v>3054</v>
      </c>
      <c r="X156" s="3"/>
      <c r="Y156" s="3">
        <v>9000</v>
      </c>
      <c r="Z156" s="3">
        <f t="shared" si="80"/>
        <v>1300</v>
      </c>
      <c r="AA156" s="3"/>
      <c r="AB156" s="3"/>
      <c r="AC156" s="3">
        <v>9081</v>
      </c>
      <c r="AD156" s="3">
        <f t="shared" si="81"/>
        <v>1919</v>
      </c>
      <c r="AE156" s="3">
        <v>11000</v>
      </c>
      <c r="AF156" s="3">
        <f t="shared" si="82"/>
        <v>2000</v>
      </c>
      <c r="AG156" s="3"/>
      <c r="AH156" s="3">
        <f>AE156*1.025+5</f>
        <v>11279.999999999998</v>
      </c>
      <c r="AI156" s="3"/>
      <c r="AJ156" s="3">
        <f>AH156*1.025</f>
        <v>11561.999999999996</v>
      </c>
      <c r="AK156" s="3"/>
      <c r="AL156" s="3">
        <f>AJ156*1.025</f>
        <v>11851.049999999996</v>
      </c>
      <c r="AM156" s="3"/>
      <c r="AN156" s="3">
        <f>AL156*1.025</f>
        <v>12147.326249999995</v>
      </c>
      <c r="AO156" s="3"/>
      <c r="AP156" s="3">
        <f>AN156*1.025</f>
        <v>12451.009406249994</v>
      </c>
      <c r="AQ156" s="42"/>
      <c r="AR156" s="3">
        <f>AP156*1.025</f>
        <v>12762.284641406242</v>
      </c>
      <c r="AS156" s="42"/>
      <c r="AT156" s="3">
        <f>AR156*1.025</f>
        <v>13081.341757441398</v>
      </c>
      <c r="AU156" s="42"/>
      <c r="AV156" s="3">
        <f>AT156*1.025</f>
        <v>13408.375301377431</v>
      </c>
      <c r="AW156" s="42"/>
      <c r="AX156" s="3">
        <f>AV156*1.025</f>
        <v>13743.584683911866</v>
      </c>
      <c r="AY156" s="42"/>
      <c r="AZ156" s="3">
        <f>AX156*1.025</f>
        <v>14087.174301009662</v>
      </c>
      <c r="BA156" s="6">
        <f>+General!BA141</f>
        <v>14087.174301009662</v>
      </c>
      <c r="BP156" s="5">
        <f t="shared" si="69"/>
        <v>0</v>
      </c>
    </row>
    <row r="157" spans="1:68" x14ac:dyDescent="0.25">
      <c r="A157" s="3"/>
      <c r="B157" s="48">
        <f>SUM(B151:B156)</f>
        <v>87600</v>
      </c>
      <c r="C157" s="32"/>
      <c r="D157" s="48">
        <f>SUM(D151:D156)</f>
        <v>35122</v>
      </c>
      <c r="E157" s="48">
        <f>SUM(E151:E156)</f>
        <v>52878</v>
      </c>
      <c r="F157" s="48">
        <f>SUM(F151:F156)</f>
        <v>88000</v>
      </c>
      <c r="G157" s="32"/>
      <c r="H157" s="48">
        <f>SUM(H151:H156)</f>
        <v>400</v>
      </c>
      <c r="I157" s="36"/>
      <c r="J157" s="48">
        <f>SUM(J151:J156)</f>
        <v>42887</v>
      </c>
      <c r="K157" s="48">
        <f>SUM(K151:K156)</f>
        <v>35613</v>
      </c>
      <c r="L157" s="48">
        <f>SUM(L151:L156)</f>
        <v>78500</v>
      </c>
      <c r="M157" s="32"/>
      <c r="N157" s="48">
        <f>SUM(N151:N156)</f>
        <v>-9500</v>
      </c>
      <c r="P157" s="48">
        <f>SUM(P151:P156)</f>
        <v>79799.5</v>
      </c>
      <c r="R157" s="48">
        <f t="shared" ref="R157:Z157" si="83">SUM(R151:R156)</f>
        <v>7861</v>
      </c>
      <c r="S157" s="48">
        <f t="shared" si="83"/>
        <v>65939</v>
      </c>
      <c r="T157" s="48">
        <f t="shared" si="83"/>
        <v>73800</v>
      </c>
      <c r="U157" s="48">
        <f t="shared" si="83"/>
        <v>-5999.4999999999955</v>
      </c>
      <c r="V157" s="48">
        <f t="shared" si="83"/>
        <v>22889</v>
      </c>
      <c r="W157" s="48">
        <f t="shared" si="83"/>
        <v>39611</v>
      </c>
      <c r="X157" s="48"/>
      <c r="Y157" s="48">
        <f t="shared" si="83"/>
        <v>62500</v>
      </c>
      <c r="Z157" s="48">
        <f t="shared" si="83"/>
        <v>-11300</v>
      </c>
      <c r="AC157" s="48">
        <f>SUM(AC151:AC156)</f>
        <v>29971</v>
      </c>
      <c r="AD157" s="48">
        <f>SUM(AD151:AD156)</f>
        <v>22029</v>
      </c>
      <c r="AE157" s="48">
        <f>SUM(AE151:AE156)</f>
        <v>52000</v>
      </c>
      <c r="AF157" s="48">
        <f>SUM(AF151:AF156)</f>
        <v>-10500</v>
      </c>
      <c r="AH157" s="48">
        <f>SUM(AH151:AH156)</f>
        <v>72780</v>
      </c>
      <c r="AJ157" s="48">
        <f>SUM(AJ151:AJ156)-1</f>
        <v>74598.5</v>
      </c>
      <c r="AL157" s="48">
        <f>SUM(AL151:AL156)</f>
        <v>76464.487499999988</v>
      </c>
      <c r="AN157" s="48">
        <f>SUM(AN151:AN156)</f>
        <v>78376.099687499969</v>
      </c>
      <c r="AO157" s="48"/>
      <c r="AP157" s="48">
        <f>SUM(AP151:AP156)</f>
        <v>80335.502179687464</v>
      </c>
      <c r="AR157" s="48">
        <f>SUM(AR151:AR156)</f>
        <v>82343.88973417964</v>
      </c>
      <c r="AT157" s="48">
        <f>SUM(AT151:AT156)</f>
        <v>84402.486977534136</v>
      </c>
      <c r="AV157" s="48">
        <f>SUM(AV151:AV156)</f>
        <v>86512.549151972475</v>
      </c>
      <c r="AX157" s="48">
        <f>SUM(AX151:AX156)</f>
        <v>88675.362880771776</v>
      </c>
      <c r="AY157" s="42"/>
      <c r="AZ157" s="48">
        <f>SUM(AZ151:AZ156)</f>
        <v>90892.246952791058</v>
      </c>
      <c r="BA157" s="6">
        <f>+General!BA142</f>
        <v>90892.246952791058</v>
      </c>
      <c r="BP157" s="5">
        <f t="shared" si="69"/>
        <v>0</v>
      </c>
    </row>
    <row r="158" spans="1:68" x14ac:dyDescent="0.25">
      <c r="A158" s="7" t="s">
        <v>123</v>
      </c>
      <c r="BA158" s="6">
        <f>+General!BA143</f>
        <v>0</v>
      </c>
      <c r="BP158" s="5">
        <f t="shared" si="69"/>
        <v>0</v>
      </c>
    </row>
    <row r="159" spans="1:68" x14ac:dyDescent="0.25">
      <c r="A159" s="3" t="s">
        <v>124</v>
      </c>
      <c r="B159" s="3">
        <v>361300</v>
      </c>
      <c r="D159" s="3">
        <v>363333</v>
      </c>
      <c r="E159" s="3">
        <f t="shared" ref="E159:E167" si="84">F159-D159</f>
        <v>-33</v>
      </c>
      <c r="F159" s="3">
        <v>363300</v>
      </c>
      <c r="H159" s="32">
        <f t="shared" ref="H159:H167" si="85">F159-B159</f>
        <v>2000</v>
      </c>
      <c r="I159" s="32"/>
      <c r="J159" s="4">
        <v>363530</v>
      </c>
      <c r="K159" s="4">
        <f t="shared" ref="K159:K167" si="86">L159-J159</f>
        <v>0</v>
      </c>
      <c r="L159" s="4">
        <v>363530</v>
      </c>
      <c r="N159" s="4">
        <f t="shared" ref="N159:N167" si="87">L159-F159</f>
        <v>230</v>
      </c>
      <c r="P159" s="3">
        <f>L159*1.075+5</f>
        <v>390799.75</v>
      </c>
      <c r="Q159" s="3"/>
      <c r="R159" s="3">
        <v>393075</v>
      </c>
      <c r="S159" s="3">
        <f t="shared" ref="S159:S167" si="88">T159-R159</f>
        <v>0</v>
      </c>
      <c r="T159" s="3">
        <v>393075</v>
      </c>
      <c r="U159" s="3">
        <f t="shared" ref="U159:U164" si="89">T159-P159</f>
        <v>2275.25</v>
      </c>
      <c r="V159" s="3">
        <v>393724</v>
      </c>
      <c r="W159" s="3">
        <f t="shared" ref="W159:W167" si="90">Y159-V159</f>
        <v>-4</v>
      </c>
      <c r="X159" s="3"/>
      <c r="Y159" s="3">
        <v>393720</v>
      </c>
      <c r="Z159" s="3">
        <f t="shared" ref="Z159:Z167" si="91">Y159-T159</f>
        <v>645</v>
      </c>
      <c r="AA159" s="3"/>
      <c r="AB159" s="3"/>
      <c r="AC159" s="3">
        <v>393585</v>
      </c>
      <c r="AD159" s="3">
        <f t="shared" ref="AD159:AD167" si="92">AE159-AC159</f>
        <v>135</v>
      </c>
      <c r="AE159" s="3">
        <v>393720</v>
      </c>
      <c r="AF159" s="3">
        <f t="shared" ref="AF159:AF167" si="93">AE159-Y159</f>
        <v>0</v>
      </c>
      <c r="AG159" s="3"/>
      <c r="AH159" s="3">
        <f>AE159*1.05-6</f>
        <v>413400</v>
      </c>
      <c r="AI159" s="3"/>
      <c r="AJ159" s="3">
        <f>AH159*1.05</f>
        <v>434070</v>
      </c>
      <c r="AK159" s="3"/>
      <c r="AL159" s="3">
        <f>AJ159*1.05</f>
        <v>455773.5</v>
      </c>
      <c r="AM159" s="3"/>
      <c r="AN159" s="3">
        <f>AL159*1.05</f>
        <v>478562.17500000005</v>
      </c>
      <c r="AO159" s="3"/>
      <c r="AP159" s="3">
        <f>AN159*1.05</f>
        <v>502490.28375000006</v>
      </c>
      <c r="AQ159" s="42"/>
      <c r="AR159" s="3">
        <f>AP159*1.05</f>
        <v>527614.79793750006</v>
      </c>
      <c r="AS159" s="42"/>
      <c r="AT159" s="3">
        <f>AR159*1.05</f>
        <v>553995.53783437505</v>
      </c>
      <c r="AU159" s="42"/>
      <c r="AV159" s="3">
        <f>AT159*1.05</f>
        <v>581695.31472609378</v>
      </c>
      <c r="AW159" s="42"/>
      <c r="AX159" s="3">
        <f>AV159*1.05</f>
        <v>610780.08046239847</v>
      </c>
      <c r="AZ159" s="3">
        <f>AX159*1.05</f>
        <v>641319.0844855184</v>
      </c>
      <c r="BA159" s="6">
        <f>+General!BA144</f>
        <v>641319.0844855184</v>
      </c>
      <c r="BP159" s="5">
        <f t="shared" si="69"/>
        <v>0</v>
      </c>
    </row>
    <row r="160" spans="1:68" x14ac:dyDescent="0.25">
      <c r="A160" s="3" t="s">
        <v>125</v>
      </c>
      <c r="B160" s="3">
        <v>13500</v>
      </c>
      <c r="D160" s="3"/>
      <c r="E160" s="3">
        <f t="shared" si="84"/>
        <v>13500</v>
      </c>
      <c r="F160" s="3">
        <v>13500</v>
      </c>
      <c r="H160" s="32">
        <f t="shared" si="85"/>
        <v>0</v>
      </c>
      <c r="I160" s="32"/>
      <c r="J160" s="4">
        <v>0</v>
      </c>
      <c r="K160" s="4">
        <f t="shared" si="86"/>
        <v>13500</v>
      </c>
      <c r="L160" s="4">
        <v>13500</v>
      </c>
      <c r="N160" s="4">
        <f t="shared" si="87"/>
        <v>0</v>
      </c>
      <c r="P160" s="3">
        <f>13600*1.02-22</f>
        <v>13850</v>
      </c>
      <c r="Q160" s="3"/>
      <c r="R160" s="3">
        <v>0</v>
      </c>
      <c r="S160" s="3">
        <f t="shared" si="88"/>
        <v>13850</v>
      </c>
      <c r="T160" s="3">
        <v>13850</v>
      </c>
      <c r="U160" s="3">
        <f t="shared" si="89"/>
        <v>0</v>
      </c>
      <c r="V160" s="3"/>
      <c r="W160" s="3">
        <f t="shared" si="90"/>
        <v>13850</v>
      </c>
      <c r="X160" s="3"/>
      <c r="Y160" s="3">
        <v>13850</v>
      </c>
      <c r="Z160" s="3">
        <f t="shared" si="91"/>
        <v>0</v>
      </c>
      <c r="AA160" s="3"/>
      <c r="AB160" s="3"/>
      <c r="AC160" s="3">
        <v>14589</v>
      </c>
      <c r="AD160" s="3">
        <f t="shared" si="92"/>
        <v>1</v>
      </c>
      <c r="AE160" s="3">
        <v>14590</v>
      </c>
      <c r="AF160" s="3">
        <f t="shared" si="93"/>
        <v>740</v>
      </c>
      <c r="AG160" s="3"/>
      <c r="AH160" s="3">
        <f>AE160*1.02-32</f>
        <v>14849.800000000001</v>
      </c>
      <c r="AI160" s="3"/>
      <c r="AJ160" s="3">
        <f>AH160*1.02</f>
        <v>15146.796000000002</v>
      </c>
      <c r="AK160" s="3"/>
      <c r="AL160" s="3">
        <f>AJ160*1.02</f>
        <v>15449.731920000002</v>
      </c>
      <c r="AM160" s="3"/>
      <c r="AN160" s="3">
        <f>AL160*1.02</f>
        <v>15758.726558400002</v>
      </c>
      <c r="AO160" s="3"/>
      <c r="AP160" s="3">
        <f>AN160*1.02</f>
        <v>16073.901089568002</v>
      </c>
      <c r="AQ160" s="42"/>
      <c r="AR160" s="3">
        <f>AP160*1.02</f>
        <v>16395.379111359362</v>
      </c>
      <c r="AS160" s="42"/>
      <c r="AT160" s="3">
        <f>AR160*1.02</f>
        <v>16723.28669358655</v>
      </c>
      <c r="AU160" s="42"/>
      <c r="AV160" s="3">
        <f>AT160*1.02</f>
        <v>17057.752427458279</v>
      </c>
      <c r="AW160" s="42"/>
      <c r="AX160" s="3">
        <f>AV160*1.02</f>
        <v>17398.907476007444</v>
      </c>
      <c r="AZ160" s="3">
        <f>AX160*1.02</f>
        <v>17746.885625527593</v>
      </c>
      <c r="BA160" s="6">
        <f>+General!BA145</f>
        <v>17746.885625527593</v>
      </c>
      <c r="BP160" s="5">
        <f t="shared" si="69"/>
        <v>0</v>
      </c>
    </row>
    <row r="161" spans="1:68" x14ac:dyDescent="0.25">
      <c r="A161" s="3" t="s">
        <v>126</v>
      </c>
      <c r="B161" s="3">
        <v>1850</v>
      </c>
      <c r="D161" s="3">
        <v>855</v>
      </c>
      <c r="E161" s="3">
        <f t="shared" si="84"/>
        <v>995</v>
      </c>
      <c r="F161" s="3">
        <v>1850</v>
      </c>
      <c r="H161" s="32">
        <f t="shared" si="85"/>
        <v>0</v>
      </c>
      <c r="I161" s="32"/>
      <c r="J161" s="4">
        <v>982</v>
      </c>
      <c r="K161" s="4">
        <f t="shared" si="86"/>
        <v>868</v>
      </c>
      <c r="L161" s="4">
        <v>1850</v>
      </c>
      <c r="N161" s="4">
        <f t="shared" si="87"/>
        <v>0</v>
      </c>
      <c r="P161" s="3">
        <f>L161*1.025+4</f>
        <v>1900.2499999999998</v>
      </c>
      <c r="Q161" s="3"/>
      <c r="R161" s="3">
        <v>855</v>
      </c>
      <c r="S161" s="3">
        <f t="shared" si="88"/>
        <v>1045</v>
      </c>
      <c r="T161" s="3">
        <v>1900</v>
      </c>
      <c r="U161" s="3">
        <f t="shared" si="89"/>
        <v>-0.24999999999977263</v>
      </c>
      <c r="V161" s="3">
        <v>1236</v>
      </c>
      <c r="W161" s="3">
        <f t="shared" si="90"/>
        <v>664</v>
      </c>
      <c r="X161" s="3"/>
      <c r="Y161" s="3">
        <v>1900</v>
      </c>
      <c r="Z161" s="3">
        <f t="shared" si="91"/>
        <v>0</v>
      </c>
      <c r="AA161" s="3"/>
      <c r="AB161" s="3"/>
      <c r="AC161" s="3">
        <v>1673</v>
      </c>
      <c r="AD161" s="3">
        <f t="shared" si="92"/>
        <v>227</v>
      </c>
      <c r="AE161" s="3">
        <v>1900</v>
      </c>
      <c r="AF161" s="3">
        <f t="shared" si="93"/>
        <v>0</v>
      </c>
      <c r="AG161" s="3"/>
      <c r="AH161" s="3">
        <f>P161*1.025+2</f>
        <v>1949.7562499999997</v>
      </c>
      <c r="AI161" s="3"/>
      <c r="AJ161" s="3">
        <f>AH161*1.025</f>
        <v>1998.5001562499995</v>
      </c>
      <c r="AK161" s="3"/>
      <c r="AL161" s="3">
        <f>AJ161*1.025</f>
        <v>2048.4626601562491</v>
      </c>
      <c r="AM161" s="3"/>
      <c r="AN161" s="3">
        <f>AL161*1.025</f>
        <v>2099.674226660155</v>
      </c>
      <c r="AO161" s="3"/>
      <c r="AP161" s="3">
        <f>AN161*1.025</f>
        <v>2152.1660823266589</v>
      </c>
      <c r="AQ161" s="42"/>
      <c r="AR161" s="3">
        <f>AP161*1.025</f>
        <v>2205.9702343848253</v>
      </c>
      <c r="AS161" s="42"/>
      <c r="AT161" s="3">
        <f>AR161*1.025</f>
        <v>2261.1194902444458</v>
      </c>
      <c r="AU161" s="42"/>
      <c r="AV161" s="3">
        <f>AT161*1.025</f>
        <v>2317.6474775005568</v>
      </c>
      <c r="AW161" s="42"/>
      <c r="AX161" s="3">
        <f>AV161*1.025</f>
        <v>2375.5886644380703</v>
      </c>
      <c r="AZ161" s="3">
        <f>AX161*1.025</f>
        <v>2434.9783810490217</v>
      </c>
      <c r="BA161" s="6">
        <f>+General!BA146</f>
        <v>2434.9783810490217</v>
      </c>
      <c r="BP161" s="5">
        <f t="shared" si="69"/>
        <v>0</v>
      </c>
    </row>
    <row r="162" spans="1:68" x14ac:dyDescent="0.25">
      <c r="A162" s="3" t="s">
        <v>127</v>
      </c>
      <c r="B162" s="3">
        <v>7400</v>
      </c>
      <c r="D162" s="3">
        <v>2440</v>
      </c>
      <c r="E162" s="3">
        <f t="shared" si="84"/>
        <v>4960</v>
      </c>
      <c r="F162" s="3">
        <v>7400</v>
      </c>
      <c r="H162" s="32">
        <f t="shared" si="85"/>
        <v>0</v>
      </c>
      <c r="I162" s="32"/>
      <c r="J162" s="4">
        <v>4428</v>
      </c>
      <c r="K162" s="4">
        <f t="shared" si="86"/>
        <v>2972</v>
      </c>
      <c r="L162" s="4">
        <v>7400</v>
      </c>
      <c r="N162" s="4">
        <f t="shared" si="87"/>
        <v>0</v>
      </c>
      <c r="P162" s="3">
        <f>L162*1.025+15</f>
        <v>7599.9999999999991</v>
      </c>
      <c r="Q162" s="3"/>
      <c r="R162" s="3">
        <v>1571</v>
      </c>
      <c r="S162" s="3">
        <f t="shared" si="88"/>
        <v>6029</v>
      </c>
      <c r="T162" s="3">
        <v>7600</v>
      </c>
      <c r="U162" s="3">
        <f t="shared" si="89"/>
        <v>0</v>
      </c>
      <c r="V162" s="3">
        <v>3655</v>
      </c>
      <c r="W162" s="3">
        <f t="shared" si="90"/>
        <v>3845</v>
      </c>
      <c r="X162" s="3"/>
      <c r="Y162" s="3">
        <v>7500</v>
      </c>
      <c r="Z162" s="3">
        <f t="shared" si="91"/>
        <v>-100</v>
      </c>
      <c r="AA162" s="3"/>
      <c r="AB162" s="3"/>
      <c r="AC162" s="3">
        <v>6387</v>
      </c>
      <c r="AD162" s="3">
        <f t="shared" si="92"/>
        <v>1113</v>
      </c>
      <c r="AE162" s="3">
        <v>7500</v>
      </c>
      <c r="AF162" s="3">
        <f t="shared" si="93"/>
        <v>0</v>
      </c>
      <c r="AG162" s="3"/>
      <c r="AH162" s="3">
        <v>9000</v>
      </c>
      <c r="AI162" s="3"/>
      <c r="AJ162" s="3">
        <f>AH162*1.025</f>
        <v>9225</v>
      </c>
      <c r="AK162" s="3"/>
      <c r="AL162" s="3">
        <f>AJ162*1.025</f>
        <v>9455.625</v>
      </c>
      <c r="AM162" s="3"/>
      <c r="AN162" s="3">
        <f>AL162*1.025</f>
        <v>9692.015625</v>
      </c>
      <c r="AO162" s="3"/>
      <c r="AP162" s="3">
        <f>AN162*1.025</f>
        <v>9934.3160156249996</v>
      </c>
      <c r="AQ162" s="42"/>
      <c r="AR162" s="3">
        <f>AP162*1.025</f>
        <v>10182.673916015623</v>
      </c>
      <c r="AS162" s="42"/>
      <c r="AT162" s="3">
        <f>AR162*1.025</f>
        <v>10437.240763916012</v>
      </c>
      <c r="AU162" s="42"/>
      <c r="AV162" s="3">
        <f>AT162*1.025</f>
        <v>10698.171783013911</v>
      </c>
      <c r="AW162" s="42"/>
      <c r="AX162" s="3">
        <f>AV162*1.025</f>
        <v>10965.626077589259</v>
      </c>
      <c r="AZ162" s="3">
        <f>AX162*1.025</f>
        <v>11239.766729528988</v>
      </c>
      <c r="BA162" s="6">
        <f>+General!BA147</f>
        <v>11239.766729528988</v>
      </c>
      <c r="BP162" s="5">
        <f t="shared" si="69"/>
        <v>0</v>
      </c>
    </row>
    <row r="163" spans="1:68" x14ac:dyDescent="0.25">
      <c r="A163" s="3" t="s">
        <v>128</v>
      </c>
      <c r="B163" s="3"/>
      <c r="D163" s="3"/>
      <c r="E163" s="3">
        <f t="shared" si="84"/>
        <v>0</v>
      </c>
      <c r="F163" s="3"/>
      <c r="H163" s="32">
        <f t="shared" si="85"/>
        <v>0</v>
      </c>
      <c r="I163" s="32"/>
      <c r="J163" s="4"/>
      <c r="K163" s="4">
        <f t="shared" si="86"/>
        <v>0</v>
      </c>
      <c r="L163" s="4"/>
      <c r="N163" s="4">
        <f t="shared" si="87"/>
        <v>0</v>
      </c>
      <c r="P163" s="3">
        <f>B163*1.03</f>
        <v>0</v>
      </c>
      <c r="Q163" s="3"/>
      <c r="R163" s="3"/>
      <c r="S163" s="3">
        <f t="shared" si="88"/>
        <v>0</v>
      </c>
      <c r="T163" s="3"/>
      <c r="U163" s="3">
        <f t="shared" si="89"/>
        <v>0</v>
      </c>
      <c r="V163" s="3"/>
      <c r="W163" s="3">
        <f t="shared" si="90"/>
        <v>0</v>
      </c>
      <c r="X163" s="3"/>
      <c r="Y163" s="3"/>
      <c r="Z163" s="3">
        <f t="shared" si="91"/>
        <v>0</v>
      </c>
      <c r="AA163" s="3"/>
      <c r="AB163" s="3"/>
      <c r="AC163" s="3"/>
      <c r="AD163" s="3">
        <f t="shared" si="92"/>
        <v>0</v>
      </c>
      <c r="AE163" s="3"/>
      <c r="AF163" s="3">
        <f t="shared" si="93"/>
        <v>0</v>
      </c>
      <c r="AG163" s="3"/>
      <c r="AH163" s="3">
        <f>P163*1.03</f>
        <v>0</v>
      </c>
      <c r="AI163" s="3"/>
      <c r="AJ163" s="3">
        <f>AH163*1.03</f>
        <v>0</v>
      </c>
      <c r="AK163" s="3"/>
      <c r="AL163" s="3">
        <f>AJ163*1.03</f>
        <v>0</v>
      </c>
      <c r="AM163" s="3"/>
      <c r="AN163" s="3">
        <f>AL163*1.03</f>
        <v>0</v>
      </c>
      <c r="AO163" s="3"/>
      <c r="AP163" s="3">
        <f>AN163*1.03</f>
        <v>0</v>
      </c>
      <c r="AQ163" s="42"/>
      <c r="AR163" s="3">
        <f>AP163*1.03</f>
        <v>0</v>
      </c>
      <c r="AS163" s="42"/>
      <c r="AT163" s="3">
        <f>AR163*1.03</f>
        <v>0</v>
      </c>
      <c r="AU163" s="42"/>
      <c r="AV163" s="3">
        <f>AT163*1.03</f>
        <v>0</v>
      </c>
      <c r="AW163" s="42"/>
      <c r="AX163" s="3">
        <f>AV163*1.03</f>
        <v>0</v>
      </c>
      <c r="AZ163" s="3">
        <f>AX163*1.03</f>
        <v>0</v>
      </c>
      <c r="BA163" s="6">
        <f>+General!BA148</f>
        <v>0</v>
      </c>
      <c r="BP163" s="5">
        <f t="shared" si="69"/>
        <v>0</v>
      </c>
    </row>
    <row r="164" spans="1:68" x14ac:dyDescent="0.25">
      <c r="A164" s="3" t="s">
        <v>129</v>
      </c>
      <c r="B164" s="3">
        <v>5800</v>
      </c>
      <c r="D164" s="3">
        <v>818</v>
      </c>
      <c r="E164" s="3">
        <f t="shared" si="84"/>
        <v>4982</v>
      </c>
      <c r="F164" s="3">
        <v>5800</v>
      </c>
      <c r="H164" s="32">
        <f t="shared" si="85"/>
        <v>0</v>
      </c>
      <c r="I164" s="32"/>
      <c r="J164" s="4">
        <v>4449</v>
      </c>
      <c r="K164" s="4">
        <f t="shared" si="86"/>
        <v>1351</v>
      </c>
      <c r="L164" s="4">
        <v>5800</v>
      </c>
      <c r="N164" s="4">
        <f t="shared" si="87"/>
        <v>0</v>
      </c>
      <c r="P164" s="3"/>
      <c r="Q164" s="3"/>
      <c r="R164" s="3">
        <v>3638</v>
      </c>
      <c r="S164" s="3">
        <f t="shared" si="88"/>
        <v>2</v>
      </c>
      <c r="T164" s="3">
        <v>3640</v>
      </c>
      <c r="U164" s="3">
        <f t="shared" si="89"/>
        <v>3640</v>
      </c>
      <c r="V164" s="3">
        <v>17459</v>
      </c>
      <c r="W164" s="3">
        <f t="shared" si="90"/>
        <v>41</v>
      </c>
      <c r="X164" s="3"/>
      <c r="Y164" s="3">
        <v>17500</v>
      </c>
      <c r="Z164" s="3">
        <f t="shared" si="91"/>
        <v>13860</v>
      </c>
      <c r="AA164" s="3"/>
      <c r="AB164" s="3"/>
      <c r="AC164" s="3">
        <v>17495</v>
      </c>
      <c r="AD164" s="3">
        <f t="shared" si="92"/>
        <v>0</v>
      </c>
      <c r="AE164" s="3">
        <v>17495</v>
      </c>
      <c r="AF164" s="3">
        <f t="shared" si="93"/>
        <v>-5</v>
      </c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42"/>
      <c r="AR164" s="3"/>
      <c r="AS164" s="42"/>
      <c r="AT164" s="3"/>
      <c r="AU164" s="42"/>
      <c r="AV164" s="3"/>
      <c r="AW164" s="42"/>
      <c r="AX164" s="3"/>
      <c r="AZ164" s="3"/>
      <c r="BA164" s="6">
        <f>+General!BA149</f>
        <v>0</v>
      </c>
      <c r="BP164" s="5">
        <f t="shared" si="69"/>
        <v>0</v>
      </c>
    </row>
    <row r="165" spans="1:68" x14ac:dyDescent="0.25">
      <c r="A165" s="3" t="s">
        <v>130</v>
      </c>
      <c r="B165" s="3">
        <v>800</v>
      </c>
      <c r="D165" s="3">
        <v>0</v>
      </c>
      <c r="E165" s="3">
        <f t="shared" si="84"/>
        <v>800</v>
      </c>
      <c r="F165" s="3">
        <v>800</v>
      </c>
      <c r="H165" s="32">
        <f t="shared" si="85"/>
        <v>0</v>
      </c>
      <c r="I165" s="32"/>
      <c r="J165" s="4"/>
      <c r="K165" s="4">
        <f t="shared" si="86"/>
        <v>800</v>
      </c>
      <c r="L165" s="4">
        <v>800</v>
      </c>
      <c r="N165" s="4">
        <f t="shared" si="87"/>
        <v>0</v>
      </c>
      <c r="P165" s="3">
        <f>L165*1.025+30</f>
        <v>849.99999999999989</v>
      </c>
      <c r="Q165" s="3"/>
      <c r="R165" s="3"/>
      <c r="S165" s="3">
        <f t="shared" si="88"/>
        <v>850</v>
      </c>
      <c r="T165" s="3">
        <v>850</v>
      </c>
      <c r="U165" s="3">
        <f>T165-P165</f>
        <v>0</v>
      </c>
      <c r="V165" s="3"/>
      <c r="W165" s="3">
        <f t="shared" si="90"/>
        <v>500</v>
      </c>
      <c r="X165" s="3"/>
      <c r="Y165" s="3">
        <v>500</v>
      </c>
      <c r="Z165" s="3">
        <f t="shared" si="91"/>
        <v>-350</v>
      </c>
      <c r="AA165" s="3"/>
      <c r="AB165" s="3"/>
      <c r="AC165" s="3"/>
      <c r="AD165" s="3">
        <f t="shared" si="92"/>
        <v>500</v>
      </c>
      <c r="AE165" s="3">
        <v>500</v>
      </c>
      <c r="AF165" s="3">
        <f t="shared" si="93"/>
        <v>0</v>
      </c>
      <c r="AG165" s="3"/>
      <c r="AH165" s="3">
        <f>AE165*1.025+37</f>
        <v>549.5</v>
      </c>
      <c r="AI165" s="3"/>
      <c r="AJ165" s="3">
        <f>AH165*1.025</f>
        <v>563.23749999999995</v>
      </c>
      <c r="AK165" s="3"/>
      <c r="AL165" s="3">
        <f>AJ165*1.025</f>
        <v>577.31843749999996</v>
      </c>
      <c r="AM165" s="3"/>
      <c r="AN165" s="3">
        <f>AL165*1.025</f>
        <v>591.75139843749992</v>
      </c>
      <c r="AO165" s="3"/>
      <c r="AP165" s="3">
        <f>AN165*1.025</f>
        <v>606.54518339843742</v>
      </c>
      <c r="AQ165" s="42"/>
      <c r="AR165" s="3">
        <f>AP165*1.025</f>
        <v>621.70881298339827</v>
      </c>
      <c r="AS165" s="42"/>
      <c r="AT165" s="3">
        <f>AR165*1.025</f>
        <v>637.25153330798321</v>
      </c>
      <c r="AU165" s="42"/>
      <c r="AV165" s="3">
        <f>AT165*1.025</f>
        <v>653.18282164068273</v>
      </c>
      <c r="AW165" s="42"/>
      <c r="AX165" s="3">
        <f>AV165*1.025</f>
        <v>669.51239218169974</v>
      </c>
      <c r="AZ165" s="3">
        <f>AX165*1.025</f>
        <v>686.25020198624213</v>
      </c>
      <c r="BA165" s="6">
        <f>+General!BA150</f>
        <v>686.25020198624213</v>
      </c>
      <c r="BP165" s="5">
        <f t="shared" si="69"/>
        <v>0</v>
      </c>
    </row>
    <row r="166" spans="1:68" x14ac:dyDescent="0.25">
      <c r="A166" s="3" t="s">
        <v>131</v>
      </c>
      <c r="B166" s="3">
        <v>30000</v>
      </c>
      <c r="D166" s="3">
        <v>0</v>
      </c>
      <c r="E166" s="3">
        <f t="shared" si="84"/>
        <v>30000</v>
      </c>
      <c r="F166" s="3">
        <v>30000</v>
      </c>
      <c r="H166" s="32">
        <f t="shared" si="85"/>
        <v>0</v>
      </c>
      <c r="I166" s="32"/>
      <c r="J166" s="4">
        <v>0</v>
      </c>
      <c r="K166" s="4">
        <f t="shared" si="86"/>
        <v>30000</v>
      </c>
      <c r="L166" s="4">
        <v>30000</v>
      </c>
      <c r="N166" s="4">
        <f t="shared" si="87"/>
        <v>0</v>
      </c>
      <c r="P166" s="3"/>
      <c r="Q166" s="3"/>
      <c r="R166" s="3"/>
      <c r="S166" s="3">
        <f t="shared" si="88"/>
        <v>0</v>
      </c>
      <c r="T166" s="3"/>
      <c r="U166" s="3">
        <f>T166-P166</f>
        <v>0</v>
      </c>
      <c r="V166" s="3"/>
      <c r="W166" s="3">
        <f t="shared" si="90"/>
        <v>0</v>
      </c>
      <c r="X166" s="3"/>
      <c r="Y166" s="3"/>
      <c r="Z166" s="3">
        <f t="shared" si="91"/>
        <v>0</v>
      </c>
      <c r="AA166" s="3"/>
      <c r="AB166" s="3"/>
      <c r="AC166" s="3"/>
      <c r="AD166" s="3">
        <f t="shared" si="92"/>
        <v>0</v>
      </c>
      <c r="AE166" s="3"/>
      <c r="AF166" s="3">
        <f t="shared" si="93"/>
        <v>0</v>
      </c>
      <c r="AG166" s="3"/>
      <c r="AH166" s="3">
        <v>5000</v>
      </c>
      <c r="AI166" s="3"/>
      <c r="AJ166" s="3">
        <v>75000</v>
      </c>
      <c r="AK166" s="3"/>
      <c r="AL166" s="3">
        <f>AJ166*1.05</f>
        <v>78750</v>
      </c>
      <c r="AM166" s="3"/>
      <c r="AN166" s="3">
        <f>AL166*1.05</f>
        <v>82687.5</v>
      </c>
      <c r="AO166" s="3"/>
      <c r="AP166" s="3">
        <f>AN166*1.05</f>
        <v>86821.875</v>
      </c>
      <c r="AQ166" s="42"/>
      <c r="AR166" s="3">
        <f>AP166*1.05</f>
        <v>91162.96875</v>
      </c>
      <c r="AS166" s="42"/>
      <c r="AT166" s="3">
        <f>AR166*1.05</f>
        <v>95721.1171875</v>
      </c>
      <c r="AU166" s="42"/>
      <c r="AV166" s="3">
        <f>AT166*1.05</f>
        <v>100507.173046875</v>
      </c>
      <c r="AW166" s="42"/>
      <c r="AX166" s="3">
        <f>AV166*1.05</f>
        <v>105532.53169921876</v>
      </c>
      <c r="AZ166" s="3">
        <f>AX166*1.05</f>
        <v>110809.15828417971</v>
      </c>
      <c r="BA166" s="6">
        <f>+General!BA151</f>
        <v>110809.15828417971</v>
      </c>
      <c r="BP166" s="5">
        <f t="shared" si="69"/>
        <v>0</v>
      </c>
    </row>
    <row r="167" spans="1:68" x14ac:dyDescent="0.25">
      <c r="A167" s="3" t="s">
        <v>132</v>
      </c>
      <c r="B167" s="3">
        <v>15000</v>
      </c>
      <c r="D167" s="3">
        <v>0</v>
      </c>
      <c r="E167" s="3">
        <f t="shared" si="84"/>
        <v>15000</v>
      </c>
      <c r="F167" s="3">
        <v>15000</v>
      </c>
      <c r="H167" s="32">
        <f t="shared" si="85"/>
        <v>0</v>
      </c>
      <c r="I167" s="32"/>
      <c r="J167" s="4">
        <v>10559</v>
      </c>
      <c r="K167" s="4">
        <f t="shared" si="86"/>
        <v>4441</v>
      </c>
      <c r="L167" s="4">
        <v>15000</v>
      </c>
      <c r="N167" s="4">
        <f t="shared" si="87"/>
        <v>0</v>
      </c>
      <c r="P167" s="3">
        <f>L167*1.025+25</f>
        <v>15399.999999999998</v>
      </c>
      <c r="Q167" s="3"/>
      <c r="R167" s="3"/>
      <c r="S167" s="3">
        <f t="shared" si="88"/>
        <v>15400</v>
      </c>
      <c r="T167" s="3">
        <v>15400</v>
      </c>
      <c r="U167" s="3">
        <f>T167-P167</f>
        <v>0</v>
      </c>
      <c r="V167" s="3"/>
      <c r="W167" s="3">
        <f t="shared" si="90"/>
        <v>15400</v>
      </c>
      <c r="X167" s="3"/>
      <c r="Y167" s="3">
        <v>15400</v>
      </c>
      <c r="Z167" s="3">
        <f t="shared" si="91"/>
        <v>0</v>
      </c>
      <c r="AA167" s="3"/>
      <c r="AB167" s="3"/>
      <c r="AC167" s="3"/>
      <c r="AD167" s="3">
        <f t="shared" si="92"/>
        <v>15400</v>
      </c>
      <c r="AE167" s="3">
        <v>15400</v>
      </c>
      <c r="AF167" s="3">
        <f t="shared" si="93"/>
        <v>0</v>
      </c>
      <c r="AG167" s="3"/>
      <c r="AH167" s="3">
        <v>50000</v>
      </c>
      <c r="AI167" s="3"/>
      <c r="AJ167" s="3">
        <v>30000</v>
      </c>
      <c r="AK167" s="3"/>
      <c r="AL167" s="3">
        <f>AJ167*1.025</f>
        <v>30749.999999999996</v>
      </c>
      <c r="AM167" s="3"/>
      <c r="AN167" s="3">
        <f>AL167*1.025</f>
        <v>31518.749999999993</v>
      </c>
      <c r="AO167" s="3"/>
      <c r="AP167" s="3">
        <f>AN167*1.025</f>
        <v>32306.718749999989</v>
      </c>
      <c r="AQ167" s="42"/>
      <c r="AR167" s="3">
        <f>AP167*1.025</f>
        <v>33114.386718749985</v>
      </c>
      <c r="AS167" s="42"/>
      <c r="AT167" s="3">
        <f>AR167*1.025</f>
        <v>33942.246386718733</v>
      </c>
      <c r="AU167" s="42"/>
      <c r="AV167" s="3">
        <f>AT167*1.025</f>
        <v>34790.802546386694</v>
      </c>
      <c r="AW167" s="42"/>
      <c r="AX167" s="3">
        <f>AV167*1.025</f>
        <v>35660.572610046358</v>
      </c>
      <c r="AZ167" s="3">
        <f>AX167*1.025</f>
        <v>36552.086925297517</v>
      </c>
      <c r="BA167" s="6">
        <f>+General!BA152</f>
        <v>36552.086925297517</v>
      </c>
      <c r="BP167" s="5">
        <f t="shared" si="69"/>
        <v>0</v>
      </c>
    </row>
    <row r="168" spans="1:68" x14ac:dyDescent="0.25">
      <c r="A168" s="3"/>
      <c r="B168" s="48">
        <f>SUM(B159:B167)</f>
        <v>435650</v>
      </c>
      <c r="C168" s="32"/>
      <c r="D168" s="48">
        <f>SUM(D159:D167)-1</f>
        <v>367445</v>
      </c>
      <c r="E168" s="48">
        <f>SUM(E159:E167)</f>
        <v>70204</v>
      </c>
      <c r="F168" s="48">
        <f>SUM(F159:F167)</f>
        <v>437650</v>
      </c>
      <c r="G168" s="32"/>
      <c r="H168" s="48">
        <f>SUM(H159:H167)</f>
        <v>2000</v>
      </c>
      <c r="I168" s="36"/>
      <c r="J168" s="48">
        <f>SUM(J159:J167)</f>
        <v>383948</v>
      </c>
      <c r="K168" s="48">
        <f>SUM(K159:K167)</f>
        <v>53932</v>
      </c>
      <c r="L168" s="48">
        <f>SUM(L159:L167)</f>
        <v>437880</v>
      </c>
      <c r="M168" s="32"/>
      <c r="N168" s="48">
        <f>SUM(N159:N167)</f>
        <v>230</v>
      </c>
      <c r="P168" s="48">
        <f>SUM(P159:P167)</f>
        <v>430400</v>
      </c>
      <c r="R168" s="48">
        <f t="shared" ref="R168:Z168" si="94">SUM(R159:R167)</f>
        <v>399139</v>
      </c>
      <c r="S168" s="48">
        <f t="shared" si="94"/>
        <v>37176</v>
      </c>
      <c r="T168" s="48">
        <f t="shared" si="94"/>
        <v>436315</v>
      </c>
      <c r="U168" s="48">
        <f t="shared" si="94"/>
        <v>5915</v>
      </c>
      <c r="V168" s="48">
        <f t="shared" si="94"/>
        <v>416074</v>
      </c>
      <c r="W168" s="48">
        <f t="shared" si="94"/>
        <v>34296</v>
      </c>
      <c r="X168" s="48"/>
      <c r="Y168" s="48">
        <f t="shared" si="94"/>
        <v>450370</v>
      </c>
      <c r="Z168" s="48">
        <f t="shared" si="94"/>
        <v>14055</v>
      </c>
      <c r="AC168" s="48">
        <f>SUM(AC159:AC167)</f>
        <v>433729</v>
      </c>
      <c r="AD168" s="48">
        <f>SUM(AD159:AD167)</f>
        <v>17376</v>
      </c>
      <c r="AE168" s="48">
        <f>SUM(AE159:AE167)</f>
        <v>451105</v>
      </c>
      <c r="AF168" s="48">
        <f>SUM(AF159:AF167)</f>
        <v>735</v>
      </c>
      <c r="AH168" s="48">
        <f>SUM(AH159:AH167)+1</f>
        <v>494750.05624999997</v>
      </c>
      <c r="AJ168" s="48">
        <f>SUM(AJ159:AJ167)</f>
        <v>566003.53365624999</v>
      </c>
      <c r="AL168" s="48">
        <f>SUM(AL159:AL167)</f>
        <v>592804.63801765628</v>
      </c>
      <c r="AN168" s="48">
        <f>SUM(AN159:AN167)</f>
        <v>620910.59280849772</v>
      </c>
      <c r="AO168" s="48"/>
      <c r="AP168" s="48">
        <f>SUM(AP159:AP167)</f>
        <v>650385.80587091809</v>
      </c>
      <c r="AR168" s="48">
        <f>SUM(AR159:AR167)</f>
        <v>681297.88548099331</v>
      </c>
      <c r="AT168" s="48">
        <f>SUM(AT159:AT167)</f>
        <v>713717.79988964868</v>
      </c>
      <c r="AV168" s="48">
        <f>SUM(AV159:AV167)</f>
        <v>747720.04482896905</v>
      </c>
      <c r="AX168" s="48">
        <f>SUM(AX159:AX167)</f>
        <v>783382.81938188011</v>
      </c>
      <c r="AZ168" s="48">
        <f>SUM(AZ159:AZ167)</f>
        <v>820788.21063308755</v>
      </c>
      <c r="BA168" s="6">
        <f>+General!BA153</f>
        <v>820788.21063308755</v>
      </c>
      <c r="BP168" s="5">
        <f t="shared" si="69"/>
        <v>0</v>
      </c>
    </row>
    <row r="169" spans="1:68" x14ac:dyDescent="0.25">
      <c r="A169" s="7" t="s">
        <v>133</v>
      </c>
      <c r="BA169" s="6">
        <f>+General!BA154</f>
        <v>0</v>
      </c>
      <c r="BP169" s="5">
        <f t="shared" si="69"/>
        <v>0</v>
      </c>
    </row>
    <row r="170" spans="1:68" x14ac:dyDescent="0.25">
      <c r="A170" s="3" t="s">
        <v>134</v>
      </c>
      <c r="B170" s="58"/>
      <c r="C170" s="4"/>
      <c r="D170" s="58"/>
      <c r="E170" s="58"/>
      <c r="F170" s="58"/>
      <c r="G170" s="4"/>
      <c r="H170" s="58"/>
      <c r="I170" s="58"/>
      <c r="J170" s="58"/>
      <c r="K170" s="58"/>
      <c r="L170" s="58"/>
      <c r="N170" s="58"/>
      <c r="O170" s="4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  <c r="AD170" s="58"/>
      <c r="AE170" s="58"/>
      <c r="AF170" s="58"/>
      <c r="AG170" s="58"/>
      <c r="AH170" s="58"/>
      <c r="AI170" s="58"/>
      <c r="AJ170" s="58"/>
      <c r="AK170" s="58"/>
      <c r="AL170" s="58"/>
      <c r="AM170" s="58"/>
      <c r="AN170" s="58"/>
      <c r="AO170" s="58"/>
      <c r="AP170" s="58"/>
      <c r="AQ170" s="59"/>
      <c r="AR170" s="58"/>
      <c r="AT170" s="58"/>
      <c r="AV170" s="58"/>
      <c r="AX170" s="58"/>
      <c r="AZ170" s="58"/>
      <c r="BA170" s="6">
        <f>+General!BA155</f>
        <v>0</v>
      </c>
      <c r="BP170" s="5">
        <f t="shared" si="69"/>
        <v>0</v>
      </c>
    </row>
    <row r="171" spans="1:68" x14ac:dyDescent="0.25">
      <c r="A171" s="7" t="s">
        <v>135</v>
      </c>
      <c r="BA171" s="6">
        <f>+General!BA156</f>
        <v>0</v>
      </c>
      <c r="BP171" s="5">
        <f t="shared" si="69"/>
        <v>0</v>
      </c>
    </row>
    <row r="172" spans="1:68" x14ac:dyDescent="0.25">
      <c r="A172" s="3" t="s">
        <v>136</v>
      </c>
      <c r="B172" s="3">
        <v>34000</v>
      </c>
      <c r="D172" s="3">
        <v>13790</v>
      </c>
      <c r="E172" s="3">
        <f>F172-D172</f>
        <v>28210</v>
      </c>
      <c r="F172" s="3">
        <v>42000</v>
      </c>
      <c r="H172" s="32">
        <f>F172-B172</f>
        <v>8000</v>
      </c>
      <c r="I172" s="32"/>
      <c r="J172" s="4">
        <v>24617</v>
      </c>
      <c r="K172" s="4">
        <f>L172-J172</f>
        <v>23383</v>
      </c>
      <c r="L172" s="4">
        <v>48000</v>
      </c>
      <c r="M172" s="32"/>
      <c r="N172" s="4">
        <f>L172-F172</f>
        <v>6000</v>
      </c>
      <c r="P172" s="3">
        <f>L172*1.025</f>
        <v>49199.999999999993</v>
      </c>
      <c r="Q172" s="3"/>
      <c r="R172" s="3">
        <v>11577</v>
      </c>
      <c r="S172" s="3">
        <f>T172-R172</f>
        <v>37623</v>
      </c>
      <c r="T172" s="3">
        <v>49200</v>
      </c>
      <c r="U172" s="3">
        <f>T172-P172</f>
        <v>0</v>
      </c>
      <c r="V172" s="3">
        <v>21813</v>
      </c>
      <c r="W172" s="3">
        <f>Y172-V172</f>
        <v>27387</v>
      </c>
      <c r="X172" s="3"/>
      <c r="Y172" s="3">
        <v>49200</v>
      </c>
      <c r="Z172" s="3">
        <f>Y172-T172</f>
        <v>0</v>
      </c>
      <c r="AA172" s="3"/>
      <c r="AB172" s="3"/>
      <c r="AC172" s="3">
        <v>30486</v>
      </c>
      <c r="AD172" s="3">
        <f>AE172-AC172</f>
        <v>18714</v>
      </c>
      <c r="AE172" s="3">
        <v>49200</v>
      </c>
      <c r="AF172" s="3">
        <f>AE172-Y172</f>
        <v>0</v>
      </c>
      <c r="AG172" s="3"/>
      <c r="AH172" s="3">
        <f>AE172*1.025+70</f>
        <v>50499.999999999993</v>
      </c>
      <c r="AI172" s="3"/>
      <c r="AJ172" s="3">
        <f>AH172*1.025</f>
        <v>51762.499999999985</v>
      </c>
      <c r="AK172" s="3"/>
      <c r="AL172" s="3">
        <f>AJ172*1.025</f>
        <v>53056.562499999978</v>
      </c>
      <c r="AM172" s="3"/>
      <c r="AN172" s="3">
        <f>AL172*1.025</f>
        <v>54382.976562499971</v>
      </c>
      <c r="AO172" s="3"/>
      <c r="AP172" s="3">
        <f>AN172*1.025</f>
        <v>55742.550976562467</v>
      </c>
      <c r="AQ172" s="42"/>
      <c r="AR172" s="3">
        <f>AP172*1.025</f>
        <v>57136.114750976521</v>
      </c>
      <c r="AT172" s="3">
        <f>AR172*1.025</f>
        <v>58564.517619750928</v>
      </c>
      <c r="AV172" s="3">
        <f>AT172*1.025</f>
        <v>60028.630560244696</v>
      </c>
      <c r="AX172" s="3">
        <f>AV172*1.025</f>
        <v>61529.346324250808</v>
      </c>
      <c r="AZ172" s="3">
        <f>AX172*1.025</f>
        <v>63067.579982357071</v>
      </c>
      <c r="BA172" s="6">
        <f>+General!BA157</f>
        <v>63067.579982357071</v>
      </c>
      <c r="BP172" s="5">
        <f t="shared" si="69"/>
        <v>0</v>
      </c>
    </row>
    <row r="173" spans="1:68" ht="15.75" thickBot="1" x14ac:dyDescent="0.3">
      <c r="A173" s="3"/>
      <c r="B173" s="43">
        <f>B172+B168+B157+B149+B170</f>
        <v>564750</v>
      </c>
      <c r="C173" s="32"/>
      <c r="D173" s="43">
        <f>D172+D168+D157+D149+D170</f>
        <v>418457</v>
      </c>
      <c r="E173" s="43">
        <f>E172+E168+E157+E149+E170</f>
        <v>157192</v>
      </c>
      <c r="F173" s="43">
        <f>F172+F168+F157+F149+F170</f>
        <v>575650</v>
      </c>
      <c r="G173" s="32"/>
      <c r="H173" s="43">
        <f>H172+H168+H157+H149+H170</f>
        <v>10900</v>
      </c>
      <c r="I173" s="36"/>
      <c r="J173" s="43">
        <f>J172+J168+J157+J149+J170</f>
        <v>455352</v>
      </c>
      <c r="K173" s="43">
        <f>K172+K168+K157+K149+K170</f>
        <v>117028</v>
      </c>
      <c r="L173" s="43">
        <f>L172+L168+L157+L149+L170</f>
        <v>572380</v>
      </c>
      <c r="M173" s="32"/>
      <c r="N173" s="43">
        <f>N172+N168+N157+N149+N170</f>
        <v>-3270</v>
      </c>
      <c r="P173" s="43">
        <f>P172+P168+P157+P149+P170</f>
        <v>567599.5</v>
      </c>
      <c r="R173" s="43">
        <f t="shared" ref="R173:Z173" si="95">R172+R168+R157+R149+R170</f>
        <v>420677</v>
      </c>
      <c r="S173" s="43">
        <f t="shared" si="95"/>
        <v>146838</v>
      </c>
      <c r="T173" s="43">
        <f t="shared" si="95"/>
        <v>567515</v>
      </c>
      <c r="U173" s="43">
        <f t="shared" si="95"/>
        <v>-84.499999999995453</v>
      </c>
      <c r="V173" s="43">
        <f t="shared" si="95"/>
        <v>465276</v>
      </c>
      <c r="W173" s="43">
        <f t="shared" si="95"/>
        <v>104994</v>
      </c>
      <c r="X173" s="43"/>
      <c r="Y173" s="43">
        <f t="shared" si="95"/>
        <v>570270</v>
      </c>
      <c r="Z173" s="43">
        <f t="shared" si="95"/>
        <v>2755</v>
      </c>
      <c r="AC173" s="43">
        <f>AC172+AC168+AC157+AC149+AC170</f>
        <v>499886</v>
      </c>
      <c r="AD173" s="43">
        <f>AD172+AD168+AD157+AD149+AD170</f>
        <v>60619</v>
      </c>
      <c r="AE173" s="43">
        <f>AE172+AE168+AE157+AE149+AE170</f>
        <v>560505</v>
      </c>
      <c r="AF173" s="43">
        <f>AF172+AF168+AF157+AF149+AF170</f>
        <v>-9765</v>
      </c>
      <c r="AH173" s="43">
        <f>AH172+AH168+AH157+AH149+AH170</f>
        <v>626430.05624999991</v>
      </c>
      <c r="AJ173" s="43">
        <f>AJ172+AJ168+AJ157+AJ149+AJ170</f>
        <v>700974.53365624999</v>
      </c>
      <c r="AL173" s="43">
        <f>AL172+AL168+AL157+AL149+AL170</f>
        <v>731150.93801765633</v>
      </c>
      <c r="AN173" s="43">
        <f>AN172+AN168+AN157+AN149+AN170</f>
        <v>762715.55030849762</v>
      </c>
      <c r="AO173" s="43"/>
      <c r="AP173" s="43">
        <f>AP172+AP168+AP157+AP149+AP170</f>
        <v>795735.88730841805</v>
      </c>
      <c r="AR173" s="43">
        <f>AR172+AR168+AR157+AR149+AR170</f>
        <v>830281.71895443066</v>
      </c>
      <c r="AT173" s="43">
        <f>AT172+AT168+AT157+AT149+AT170</f>
        <v>866426.22919992206</v>
      </c>
      <c r="AV173" s="43">
        <f>AV172+AV168+AV157+AV149+AV170</f>
        <v>904246.1848719992</v>
      </c>
      <c r="AX173" s="43">
        <f>AX172+AX168+AX157+AX149+AX170</f>
        <v>943822.11292598594</v>
      </c>
      <c r="AZ173" s="43">
        <f>AZ172+AZ168+AZ157+AZ149+AZ170</f>
        <v>985238.48651579616</v>
      </c>
      <c r="BA173" s="6">
        <f>+General!BA158</f>
        <v>985238.48651579616</v>
      </c>
      <c r="BP173" s="5">
        <f t="shared" si="69"/>
        <v>0</v>
      </c>
    </row>
    <row r="174" spans="1:68" ht="15.75" thickTop="1" x14ac:dyDescent="0.25">
      <c r="A174" s="3"/>
      <c r="B174" s="8" t="s">
        <v>8</v>
      </c>
      <c r="C174" s="9"/>
      <c r="D174" s="10" t="s">
        <v>9</v>
      </c>
      <c r="E174" s="11" t="s">
        <v>10</v>
      </c>
      <c r="F174" s="12" t="s">
        <v>11</v>
      </c>
      <c r="G174" s="9"/>
      <c r="H174" s="8" t="s">
        <v>12</v>
      </c>
      <c r="I174" s="13"/>
      <c r="J174" s="10" t="s">
        <v>9</v>
      </c>
      <c r="K174" s="11" t="s">
        <v>10</v>
      </c>
      <c r="L174" s="11" t="s">
        <v>11</v>
      </c>
      <c r="M174" s="9"/>
      <c r="N174" s="12" t="s">
        <v>12</v>
      </c>
      <c r="P174" s="8" t="s">
        <v>8</v>
      </c>
      <c r="R174" s="14" t="s">
        <v>9</v>
      </c>
      <c r="S174" s="15" t="s">
        <v>10</v>
      </c>
      <c r="T174" s="16" t="s">
        <v>11</v>
      </c>
      <c r="U174" s="17" t="s">
        <v>13</v>
      </c>
      <c r="V174" s="14" t="s">
        <v>9</v>
      </c>
      <c r="W174" s="15" t="s">
        <v>10</v>
      </c>
      <c r="X174" s="15"/>
      <c r="Y174" s="16" t="s">
        <v>11</v>
      </c>
      <c r="Z174" s="17" t="s">
        <v>13</v>
      </c>
      <c r="AC174" s="14" t="s">
        <v>9</v>
      </c>
      <c r="AD174" s="15" t="s">
        <v>10</v>
      </c>
      <c r="AE174" s="16" t="s">
        <v>11</v>
      </c>
      <c r="AF174" s="17" t="s">
        <v>13</v>
      </c>
      <c r="AH174" s="8" t="s">
        <v>8</v>
      </c>
      <c r="AJ174" s="8" t="s">
        <v>8</v>
      </c>
      <c r="AL174" s="8" t="s">
        <v>8</v>
      </c>
      <c r="AN174" s="8" t="s">
        <v>8</v>
      </c>
      <c r="AO174" s="8"/>
      <c r="AP174" s="8" t="s">
        <v>8</v>
      </c>
      <c r="AR174" s="8" t="s">
        <v>8</v>
      </c>
      <c r="AT174" s="8" t="s">
        <v>8</v>
      </c>
      <c r="AV174" s="8" t="s">
        <v>8</v>
      </c>
      <c r="AX174" s="8" t="s">
        <v>8</v>
      </c>
      <c r="AZ174" s="8" t="s">
        <v>8</v>
      </c>
      <c r="BA174" s="6">
        <f>+General!BA159</f>
        <v>0</v>
      </c>
      <c r="BP174" s="5" t="e">
        <f t="shared" si="69"/>
        <v>#VALUE!</v>
      </c>
    </row>
    <row r="175" spans="1:68" ht="15.75" thickBot="1" x14ac:dyDescent="0.3">
      <c r="A175" s="3"/>
      <c r="B175" s="19" t="s">
        <v>14</v>
      </c>
      <c r="C175" s="9"/>
      <c r="D175" s="20" t="s">
        <v>15</v>
      </c>
      <c r="E175" s="21"/>
      <c r="F175" s="22" t="s">
        <v>16</v>
      </c>
      <c r="G175" s="9"/>
      <c r="H175" s="19"/>
      <c r="I175" s="13"/>
      <c r="J175" s="20" t="s">
        <v>17</v>
      </c>
      <c r="K175" s="21"/>
      <c r="L175" s="21" t="s">
        <v>16</v>
      </c>
      <c r="M175" s="9"/>
      <c r="N175" s="22"/>
      <c r="P175" s="19" t="s">
        <v>18</v>
      </c>
      <c r="R175" s="23" t="s">
        <v>19</v>
      </c>
      <c r="S175" s="24"/>
      <c r="T175" s="25" t="s">
        <v>20</v>
      </c>
      <c r="U175" s="26"/>
      <c r="V175" s="23" t="s">
        <v>21</v>
      </c>
      <c r="W175" s="24"/>
      <c r="X175" s="24"/>
      <c r="Y175" s="25" t="s">
        <v>21</v>
      </c>
      <c r="Z175" s="26"/>
      <c r="AC175" s="23" t="s">
        <v>22</v>
      </c>
      <c r="AD175" s="24"/>
      <c r="AE175" s="25" t="s">
        <v>23</v>
      </c>
      <c r="AF175" s="26"/>
      <c r="AH175" s="19" t="s">
        <v>24</v>
      </c>
      <c r="AJ175" s="19" t="s">
        <v>25</v>
      </c>
      <c r="AL175" s="19" t="s">
        <v>26</v>
      </c>
      <c r="AN175" s="19" t="s">
        <v>27</v>
      </c>
      <c r="AO175" s="19"/>
      <c r="AP175" s="19" t="s">
        <v>28</v>
      </c>
      <c r="AR175" s="19" t="s">
        <v>29</v>
      </c>
      <c r="AT175" s="19" t="s">
        <v>30</v>
      </c>
      <c r="AV175" s="19" t="s">
        <v>31</v>
      </c>
      <c r="AX175" s="19" t="str">
        <f>AX17</f>
        <v>2021-22</v>
      </c>
      <c r="AZ175" s="19" t="str">
        <f>AZ17</f>
        <v>2022-23</v>
      </c>
      <c r="BA175" s="6">
        <f>+General!BA160</f>
        <v>0</v>
      </c>
      <c r="BP175" s="5" t="e">
        <f t="shared" si="69"/>
        <v>#VALUE!</v>
      </c>
    </row>
    <row r="176" spans="1:68" x14ac:dyDescent="0.25">
      <c r="A176" s="7" t="s">
        <v>137</v>
      </c>
      <c r="BP176" s="5">
        <f t="shared" si="69"/>
        <v>0</v>
      </c>
    </row>
    <row r="177" spans="1:68" x14ac:dyDescent="0.25">
      <c r="A177" s="7" t="s">
        <v>138</v>
      </c>
      <c r="BA177" s="6">
        <f>+General!BA161</f>
        <v>0</v>
      </c>
      <c r="BP177" s="5">
        <f t="shared" si="69"/>
        <v>0</v>
      </c>
    </row>
    <row r="178" spans="1:68" x14ac:dyDescent="0.25">
      <c r="A178" s="3" t="s">
        <v>139</v>
      </c>
      <c r="B178" s="5">
        <v>5500</v>
      </c>
      <c r="E178" s="3">
        <f>F178-D178</f>
        <v>5500</v>
      </c>
      <c r="F178" s="5">
        <v>5500</v>
      </c>
      <c r="H178" s="32">
        <f>F178-B178</f>
        <v>0</v>
      </c>
      <c r="I178" s="32"/>
      <c r="J178" s="4"/>
      <c r="K178" s="4">
        <f>L178-J178</f>
        <v>5500</v>
      </c>
      <c r="L178" s="5">
        <v>5500</v>
      </c>
      <c r="N178" s="4">
        <f>L178-F178</f>
        <v>0</v>
      </c>
      <c r="P178" s="3">
        <f>L178*1.02-10</f>
        <v>5600</v>
      </c>
      <c r="Q178" s="3"/>
      <c r="R178" s="3"/>
      <c r="S178" s="3">
        <f>T178-R178</f>
        <v>7175</v>
      </c>
      <c r="T178" s="3">
        <v>7175</v>
      </c>
      <c r="U178" s="3">
        <f>T178-P178</f>
        <v>1575</v>
      </c>
      <c r="V178" s="3">
        <v>7175</v>
      </c>
      <c r="W178" s="3">
        <f>Y178-V178</f>
        <v>0</v>
      </c>
      <c r="X178" s="3"/>
      <c r="Y178" s="3">
        <v>7175</v>
      </c>
      <c r="Z178" s="3">
        <f>Y178-T178</f>
        <v>0</v>
      </c>
      <c r="AA178" s="3"/>
      <c r="AB178" s="3"/>
      <c r="AC178" s="3">
        <v>7175</v>
      </c>
      <c r="AD178" s="3">
        <f>AE178-AC178</f>
        <v>3895</v>
      </c>
      <c r="AE178" s="3">
        <v>11070</v>
      </c>
      <c r="AF178" s="3">
        <f>AE178-Y178</f>
        <v>3895</v>
      </c>
      <c r="AG178" s="3"/>
      <c r="AH178" s="3">
        <v>5500</v>
      </c>
      <c r="AI178" s="3"/>
      <c r="AJ178" s="3">
        <f>AH178*1.02</f>
        <v>5610</v>
      </c>
      <c r="AK178" s="3"/>
      <c r="AL178" s="3">
        <f>AJ178*1.02</f>
        <v>5722.2</v>
      </c>
      <c r="AM178" s="3"/>
      <c r="AN178" s="3">
        <f>AL178*1.02</f>
        <v>5836.6440000000002</v>
      </c>
      <c r="AO178" s="3"/>
      <c r="AP178" s="3">
        <f>AN178*1.02</f>
        <v>5953.3768800000007</v>
      </c>
      <c r="AQ178" s="42"/>
      <c r="AR178" s="3">
        <f>AP178*1.02</f>
        <v>6072.4444176000006</v>
      </c>
      <c r="AS178" s="42"/>
      <c r="AT178" s="3">
        <f>AR178*1.02</f>
        <v>6193.8933059520004</v>
      </c>
      <c r="AU178" s="42"/>
      <c r="AV178" s="3">
        <f>AT178*1.02</f>
        <v>6317.7711720710404</v>
      </c>
      <c r="AW178" s="42"/>
      <c r="AX178" s="3">
        <f>AV178*1.02</f>
        <v>6444.1265955124609</v>
      </c>
      <c r="AZ178" s="3">
        <f>AX178*1.02</f>
        <v>6573.0091274227107</v>
      </c>
      <c r="BA178" s="6">
        <f>+General!BA162</f>
        <v>6573.0091274227107</v>
      </c>
      <c r="BP178" s="5">
        <f t="shared" si="69"/>
        <v>0</v>
      </c>
    </row>
    <row r="179" spans="1:68" x14ac:dyDescent="0.25">
      <c r="A179" s="3" t="s">
        <v>140</v>
      </c>
      <c r="B179" s="5">
        <v>19000</v>
      </c>
      <c r="E179" s="3">
        <f>F179-D179</f>
        <v>19000</v>
      </c>
      <c r="F179" s="5">
        <v>19000</v>
      </c>
      <c r="H179" s="32">
        <f>F179-B179</f>
        <v>0</v>
      </c>
      <c r="I179" s="32"/>
      <c r="J179" s="4"/>
      <c r="K179" s="4">
        <f>L179-J179</f>
        <v>19000</v>
      </c>
      <c r="L179" s="5">
        <v>19000</v>
      </c>
      <c r="N179" s="4">
        <f>L179-F179</f>
        <v>0</v>
      </c>
      <c r="P179" s="3">
        <f>L179*1.02+20</f>
        <v>19400</v>
      </c>
      <c r="Q179" s="3"/>
      <c r="R179" s="3"/>
      <c r="S179" s="3">
        <f>T179-R179</f>
        <v>16900</v>
      </c>
      <c r="T179" s="3">
        <v>16900</v>
      </c>
      <c r="U179" s="3">
        <f>T179-P179</f>
        <v>-2500</v>
      </c>
      <c r="V179" s="3">
        <v>16900</v>
      </c>
      <c r="W179" s="3">
        <f>Y179-V179</f>
        <v>0</v>
      </c>
      <c r="X179" s="3"/>
      <c r="Y179" s="3">
        <v>16900</v>
      </c>
      <c r="Z179" s="3">
        <f>Y179-T179</f>
        <v>0</v>
      </c>
      <c r="AA179" s="3"/>
      <c r="AB179" s="3"/>
      <c r="AC179" s="3">
        <v>16900</v>
      </c>
      <c r="AD179" s="3">
        <f>AE179-AC179</f>
        <v>0</v>
      </c>
      <c r="AE179" s="3">
        <v>16900</v>
      </c>
      <c r="AF179" s="3">
        <f>AE179-Y179</f>
        <v>0</v>
      </c>
      <c r="AG179" s="3"/>
      <c r="AH179" s="3">
        <v>19000</v>
      </c>
      <c r="AI179" s="3"/>
      <c r="AJ179" s="3">
        <f>AH179*1.02</f>
        <v>19380</v>
      </c>
      <c r="AK179" s="3"/>
      <c r="AL179" s="3">
        <f>AJ179*1.02</f>
        <v>19767.599999999999</v>
      </c>
      <c r="AM179" s="3"/>
      <c r="AN179" s="3">
        <f>AL179*1.02</f>
        <v>20162.951999999997</v>
      </c>
      <c r="AO179" s="3"/>
      <c r="AP179" s="3">
        <f>AN179*1.02</f>
        <v>20566.211039999998</v>
      </c>
      <c r="AQ179" s="42"/>
      <c r="AR179" s="3">
        <f>AP179*1.02</f>
        <v>20977.535260799999</v>
      </c>
      <c r="AS179" s="42"/>
      <c r="AT179" s="3">
        <f>AR179*1.02</f>
        <v>21397.085966015999</v>
      </c>
      <c r="AU179" s="42"/>
      <c r="AV179" s="3">
        <f>AT179*1.02</f>
        <v>21825.027685336318</v>
      </c>
      <c r="AW179" s="42"/>
      <c r="AX179" s="3">
        <f>AV179*1.02</f>
        <v>22261.528239043044</v>
      </c>
      <c r="AZ179" s="3">
        <f>AX179*1.02</f>
        <v>22706.758803823905</v>
      </c>
      <c r="BA179" s="6">
        <f>+General!BA163</f>
        <v>22706.758803823905</v>
      </c>
      <c r="BP179" s="5">
        <f t="shared" si="69"/>
        <v>0</v>
      </c>
    </row>
    <row r="180" spans="1:68" x14ac:dyDescent="0.25">
      <c r="A180" s="3" t="s">
        <v>141</v>
      </c>
      <c r="D180" s="5">
        <v>78</v>
      </c>
      <c r="E180" s="3">
        <f>F180-D180</f>
        <v>22</v>
      </c>
      <c r="F180" s="5">
        <v>100</v>
      </c>
      <c r="H180" s="32">
        <f>F180-B180</f>
        <v>100</v>
      </c>
      <c r="I180" s="32"/>
      <c r="J180" s="4">
        <v>78</v>
      </c>
      <c r="K180" s="4">
        <f>L180-J180</f>
        <v>22</v>
      </c>
      <c r="L180" s="4">
        <v>100</v>
      </c>
      <c r="N180" s="4">
        <f>L180-F180</f>
        <v>0</v>
      </c>
      <c r="S180" s="3">
        <f>T180-R180</f>
        <v>0</v>
      </c>
      <c r="T180" s="3"/>
      <c r="U180" s="3">
        <f>T180-P180</f>
        <v>0</v>
      </c>
      <c r="W180" s="3">
        <f>Y180-V180</f>
        <v>0</v>
      </c>
      <c r="X180" s="3"/>
      <c r="Z180" s="3">
        <f>Y180-T180</f>
        <v>0</v>
      </c>
      <c r="AD180" s="3">
        <f>AE180-AC180</f>
        <v>0</v>
      </c>
      <c r="AE180" s="3"/>
      <c r="AF180" s="3">
        <f>AE180-Y180</f>
        <v>0</v>
      </c>
      <c r="BA180" s="6">
        <f>+General!BA164</f>
        <v>0</v>
      </c>
      <c r="BP180" s="5">
        <f t="shared" si="69"/>
        <v>0</v>
      </c>
    </row>
    <row r="181" spans="1:68" s="42" customFormat="1" x14ac:dyDescent="0.25">
      <c r="A181" s="3" t="s">
        <v>90</v>
      </c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4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R181" s="3"/>
      <c r="AT181" s="3"/>
      <c r="AV181" s="3"/>
      <c r="AX181" s="3"/>
      <c r="AZ181" s="3"/>
      <c r="BA181" s="6">
        <f>+General!BA165</f>
        <v>0</v>
      </c>
      <c r="BP181" s="5">
        <f t="shared" si="69"/>
        <v>0</v>
      </c>
    </row>
    <row r="182" spans="1:68" x14ac:dyDescent="0.25">
      <c r="A182" s="3"/>
      <c r="B182" s="48">
        <f>SUM(B178:B181)</f>
        <v>24500</v>
      </c>
      <c r="C182" s="32"/>
      <c r="D182" s="48">
        <f>SUM(D178:D181)</f>
        <v>78</v>
      </c>
      <c r="E182" s="48">
        <f>SUM(E178:E181)</f>
        <v>24522</v>
      </c>
      <c r="F182" s="48">
        <f>SUM(F178:F181)</f>
        <v>24600</v>
      </c>
      <c r="G182" s="32"/>
      <c r="H182" s="48">
        <f>SUM(H178:H181)</f>
        <v>100</v>
      </c>
      <c r="I182" s="36"/>
      <c r="J182" s="48">
        <f>SUM(J178:J181)</f>
        <v>78</v>
      </c>
      <c r="K182" s="48">
        <f>SUM(K178:K181)</f>
        <v>24522</v>
      </c>
      <c r="L182" s="48">
        <f>SUM(L178:L181)</f>
        <v>24600</v>
      </c>
      <c r="M182" s="32"/>
      <c r="N182" s="48">
        <f>SUM(N178:N181)</f>
        <v>0</v>
      </c>
      <c r="P182" s="48">
        <f>SUM(P178:P181)</f>
        <v>25000</v>
      </c>
      <c r="R182" s="48">
        <f t="shared" ref="R182:Z182" si="96">SUM(R178:R181)</f>
        <v>0</v>
      </c>
      <c r="S182" s="48">
        <f t="shared" si="96"/>
        <v>24075</v>
      </c>
      <c r="T182" s="48">
        <f t="shared" si="96"/>
        <v>24075</v>
      </c>
      <c r="U182" s="48">
        <f t="shared" si="96"/>
        <v>-925</v>
      </c>
      <c r="V182" s="48">
        <f t="shared" si="96"/>
        <v>24075</v>
      </c>
      <c r="W182" s="48">
        <f t="shared" si="96"/>
        <v>0</v>
      </c>
      <c r="X182" s="48"/>
      <c r="Y182" s="48">
        <f t="shared" si="96"/>
        <v>24075</v>
      </c>
      <c r="Z182" s="48">
        <f t="shared" si="96"/>
        <v>0</v>
      </c>
      <c r="AC182" s="48">
        <f>SUM(AC178:AC181)</f>
        <v>24075</v>
      </c>
      <c r="AD182" s="48">
        <f>SUM(AD178:AD181)</f>
        <v>3895</v>
      </c>
      <c r="AE182" s="48">
        <f>SUM(AE178:AE181)</f>
        <v>27970</v>
      </c>
      <c r="AF182" s="48">
        <f>SUM(AF178:AF181)</f>
        <v>3895</v>
      </c>
      <c r="AH182" s="48">
        <f>SUM(AH178:AH181)</f>
        <v>24500</v>
      </c>
      <c r="AJ182" s="48">
        <f>SUM(AJ178:AJ181)</f>
        <v>24990</v>
      </c>
      <c r="AL182" s="48">
        <f>SUM(AL178:AL181)</f>
        <v>25489.8</v>
      </c>
      <c r="AN182" s="48">
        <f>SUM(AN178:AN181)</f>
        <v>25999.595999999998</v>
      </c>
      <c r="AO182" s="48"/>
      <c r="AP182" s="48">
        <f>SUM(AP178:AP181)</f>
        <v>26519.587919999998</v>
      </c>
      <c r="AR182" s="48">
        <f>SUM(AR178:AR181)</f>
        <v>27049.979678399999</v>
      </c>
      <c r="AT182" s="48">
        <f>SUM(AT178:AT181)</f>
        <v>27590.979271967997</v>
      </c>
      <c r="AV182" s="48">
        <f>SUM(AV178:AV181)</f>
        <v>28142.798857407357</v>
      </c>
      <c r="AX182" s="48">
        <f>SUM(AX178:AX181)</f>
        <v>28705.654834555506</v>
      </c>
      <c r="AZ182" s="48">
        <f>SUM(AZ178:AZ181)</f>
        <v>29279.767931246613</v>
      </c>
      <c r="BA182" s="6">
        <f>+General!BA166</f>
        <v>29279.767931246613</v>
      </c>
      <c r="BP182" s="5">
        <f t="shared" si="69"/>
        <v>0</v>
      </c>
    </row>
    <row r="183" spans="1:68" x14ac:dyDescent="0.25">
      <c r="A183" s="7" t="s">
        <v>142</v>
      </c>
      <c r="BA183" s="6">
        <f>+General!BA167</f>
        <v>0</v>
      </c>
      <c r="BP183" s="5">
        <f t="shared" si="69"/>
        <v>0</v>
      </c>
    </row>
    <row r="184" spans="1:68" x14ac:dyDescent="0.25">
      <c r="A184" s="3" t="s">
        <v>143</v>
      </c>
      <c r="Z184" s="3">
        <f>Y184-T184</f>
        <v>0</v>
      </c>
      <c r="BA184" s="6">
        <f>+General!BA168</f>
        <v>0</v>
      </c>
      <c r="BP184" s="5">
        <f t="shared" si="69"/>
        <v>0</v>
      </c>
    </row>
    <row r="185" spans="1:68" x14ac:dyDescent="0.25">
      <c r="A185" s="3" t="s">
        <v>144</v>
      </c>
      <c r="Z185" s="3">
        <f>Y185-T185</f>
        <v>0</v>
      </c>
      <c r="BA185" s="6">
        <f>+General!BA169</f>
        <v>0</v>
      </c>
      <c r="BP185" s="5">
        <f t="shared" si="69"/>
        <v>0</v>
      </c>
    </row>
    <row r="186" spans="1:68" x14ac:dyDescent="0.25">
      <c r="A186" s="3" t="s">
        <v>145</v>
      </c>
      <c r="B186" s="5">
        <v>1250</v>
      </c>
      <c r="D186" s="5">
        <v>574</v>
      </c>
      <c r="E186" s="3">
        <f>F186-D186</f>
        <v>676</v>
      </c>
      <c r="F186" s="5">
        <v>1250</v>
      </c>
      <c r="H186" s="32">
        <f>F186-B186</f>
        <v>0</v>
      </c>
      <c r="I186" s="32"/>
      <c r="J186" s="4">
        <v>730</v>
      </c>
      <c r="K186" s="4">
        <f>L186-J186</f>
        <v>520</v>
      </c>
      <c r="L186" s="4">
        <v>1250</v>
      </c>
      <c r="M186" s="32"/>
      <c r="N186" s="4">
        <f>L186-F186</f>
        <v>0</v>
      </c>
      <c r="P186" s="3">
        <f>L186*1.02+25</f>
        <v>1300</v>
      </c>
      <c r="Q186" s="3"/>
      <c r="R186" s="3">
        <v>169</v>
      </c>
      <c r="S186" s="3">
        <f>T186-R186</f>
        <v>631</v>
      </c>
      <c r="T186" s="3">
        <v>800</v>
      </c>
      <c r="U186" s="3">
        <f>T186-P186</f>
        <v>-500</v>
      </c>
      <c r="V186" s="3">
        <v>276</v>
      </c>
      <c r="W186" s="3">
        <f>Y186-V186</f>
        <v>524</v>
      </c>
      <c r="X186" s="3"/>
      <c r="Y186" s="3">
        <v>800</v>
      </c>
      <c r="Z186" s="3">
        <f>Y186-T186</f>
        <v>0</v>
      </c>
      <c r="AA186" s="3"/>
      <c r="AB186" s="3"/>
      <c r="AC186" s="3">
        <v>800</v>
      </c>
      <c r="AD186" s="3">
        <f>AE186-AC186</f>
        <v>200</v>
      </c>
      <c r="AE186" s="3">
        <v>1000</v>
      </c>
      <c r="AF186" s="3">
        <f>AE186-Y186</f>
        <v>200</v>
      </c>
      <c r="AG186" s="3"/>
      <c r="AH186" s="3">
        <v>1000</v>
      </c>
      <c r="AI186" s="3"/>
      <c r="AJ186" s="3">
        <f>AH186*1.02</f>
        <v>1020</v>
      </c>
      <c r="AK186" s="3"/>
      <c r="AL186" s="3">
        <f>AJ186*1.02</f>
        <v>1040.4000000000001</v>
      </c>
      <c r="AM186" s="3"/>
      <c r="AN186" s="3">
        <f>AL186*1.02</f>
        <v>1061.2080000000001</v>
      </c>
      <c r="AO186" s="3"/>
      <c r="AP186" s="3">
        <f>AN186*1.02</f>
        <v>1082.4321600000001</v>
      </c>
      <c r="AQ186" s="42"/>
      <c r="AR186" s="3">
        <f>AP186*1.02</f>
        <v>1104.0808032</v>
      </c>
      <c r="AS186" s="42"/>
      <c r="AT186" s="3">
        <f>AR186*1.02</f>
        <v>1126.1624192639999</v>
      </c>
      <c r="AU186" s="42"/>
      <c r="AV186" s="3">
        <f>AT186*1.02</f>
        <v>1148.68566764928</v>
      </c>
      <c r="AW186" s="42"/>
      <c r="AX186" s="3">
        <f>AV186*1.02</f>
        <v>1171.6593810022657</v>
      </c>
      <c r="AZ186" s="3">
        <f>AX186*1.02</f>
        <v>1195.0925686223111</v>
      </c>
      <c r="BA186" s="6">
        <f>+General!BA170</f>
        <v>1195.0925686223111</v>
      </c>
      <c r="BP186" s="5">
        <f t="shared" si="69"/>
        <v>0</v>
      </c>
    </row>
    <row r="187" spans="1:68" x14ac:dyDescent="0.25">
      <c r="A187" s="3"/>
      <c r="B187" s="48">
        <f>SUM(B184:B186)</f>
        <v>1250</v>
      </c>
      <c r="C187" s="32"/>
      <c r="D187" s="48">
        <f>SUM(D184:D186)</f>
        <v>574</v>
      </c>
      <c r="E187" s="48">
        <f>SUM(E184:E186)</f>
        <v>676</v>
      </c>
      <c r="F187" s="48">
        <f>SUM(F184:F186)</f>
        <v>1250</v>
      </c>
      <c r="G187" s="32"/>
      <c r="H187" s="48">
        <f>SUM(H184:H186)</f>
        <v>0</v>
      </c>
      <c r="I187" s="36"/>
      <c r="J187" s="48">
        <f>SUM(J184:J186)</f>
        <v>730</v>
      </c>
      <c r="K187" s="48">
        <f>SUM(K184:K186)</f>
        <v>520</v>
      </c>
      <c r="L187" s="48">
        <f>SUM(L184:L186)</f>
        <v>1250</v>
      </c>
      <c r="M187" s="32"/>
      <c r="N187" s="48">
        <f>SUM(N184:N186)</f>
        <v>0</v>
      </c>
      <c r="P187" s="48">
        <f>SUM(P184:P186)</f>
        <v>1300</v>
      </c>
      <c r="R187" s="48">
        <f t="shared" ref="R187:Z187" si="97">SUM(R184:R186)</f>
        <v>169</v>
      </c>
      <c r="S187" s="48">
        <f t="shared" si="97"/>
        <v>631</v>
      </c>
      <c r="T187" s="48">
        <f t="shared" si="97"/>
        <v>800</v>
      </c>
      <c r="U187" s="48">
        <f t="shared" si="97"/>
        <v>-500</v>
      </c>
      <c r="V187" s="48">
        <f t="shared" si="97"/>
        <v>276</v>
      </c>
      <c r="W187" s="48">
        <f t="shared" si="97"/>
        <v>524</v>
      </c>
      <c r="X187" s="48"/>
      <c r="Y187" s="48">
        <f t="shared" si="97"/>
        <v>800</v>
      </c>
      <c r="Z187" s="48">
        <f t="shared" si="97"/>
        <v>0</v>
      </c>
      <c r="AC187" s="48">
        <f>SUM(AC184:AC186)</f>
        <v>800</v>
      </c>
      <c r="AD187" s="48">
        <f>SUM(AD184:AD186)</f>
        <v>200</v>
      </c>
      <c r="AE187" s="48">
        <f>SUM(AE184:AE186)</f>
        <v>1000</v>
      </c>
      <c r="AF187" s="48">
        <f>SUM(AF184:AF186)</f>
        <v>200</v>
      </c>
      <c r="AH187" s="48">
        <f>SUM(AH184:AH186)</f>
        <v>1000</v>
      </c>
      <c r="AJ187" s="48">
        <f>SUM(AJ184:AJ186)</f>
        <v>1020</v>
      </c>
      <c r="AL187" s="48">
        <f>SUM(AL184:AL186)</f>
        <v>1040.4000000000001</v>
      </c>
      <c r="AN187" s="48">
        <f>SUM(AN184:AN186)</f>
        <v>1061.2080000000001</v>
      </c>
      <c r="AO187" s="48"/>
      <c r="AP187" s="48">
        <f>SUM(AP184:AP186)</f>
        <v>1082.4321600000001</v>
      </c>
      <c r="AR187" s="48">
        <f>SUM(AR184:AR186)</f>
        <v>1104.0808032</v>
      </c>
      <c r="AT187" s="48">
        <f>SUM(AT184:AT186)</f>
        <v>1126.1624192639999</v>
      </c>
      <c r="AV187" s="48">
        <f>SUM(AV184:AV186)</f>
        <v>1148.68566764928</v>
      </c>
      <c r="AX187" s="48">
        <f>SUM(AX184:AX186)</f>
        <v>1171.6593810022657</v>
      </c>
      <c r="AZ187" s="48">
        <f>SUM(AZ184:AZ186)</f>
        <v>1195.0925686223111</v>
      </c>
      <c r="BA187" s="6">
        <f>+General!BA171</f>
        <v>1195.0925686223111</v>
      </c>
      <c r="BP187" s="5">
        <f t="shared" si="69"/>
        <v>0</v>
      </c>
    </row>
    <row r="188" spans="1:68" x14ac:dyDescent="0.25">
      <c r="A188" s="7" t="s">
        <v>146</v>
      </c>
      <c r="BA188" s="6">
        <f>+General!BA172</f>
        <v>0</v>
      </c>
      <c r="BP188" s="5">
        <f t="shared" si="69"/>
        <v>0</v>
      </c>
    </row>
    <row r="189" spans="1:68" x14ac:dyDescent="0.25">
      <c r="A189" s="3" t="s">
        <v>147</v>
      </c>
      <c r="E189" s="3">
        <f>F189-D189</f>
        <v>0</v>
      </c>
      <c r="BA189" s="6">
        <f>+General!BA173</f>
        <v>0</v>
      </c>
      <c r="BP189" s="5">
        <f t="shared" si="69"/>
        <v>0</v>
      </c>
    </row>
    <row r="190" spans="1:68" x14ac:dyDescent="0.25">
      <c r="A190" s="3" t="s">
        <v>148</v>
      </c>
      <c r="B190" s="5">
        <v>10850</v>
      </c>
      <c r="D190" s="5">
        <v>4030</v>
      </c>
      <c r="E190" s="3">
        <f>F190-D190</f>
        <v>6820</v>
      </c>
      <c r="F190" s="5">
        <v>10850</v>
      </c>
      <c r="H190" s="32">
        <f>F190-B190</f>
        <v>0</v>
      </c>
      <c r="I190" s="32"/>
      <c r="J190" s="4">
        <v>6760</v>
      </c>
      <c r="K190" s="4">
        <f>L190-J190</f>
        <v>4090</v>
      </c>
      <c r="L190" s="4">
        <v>10850</v>
      </c>
      <c r="M190" s="32"/>
      <c r="N190" s="4">
        <f>L190-F190</f>
        <v>0</v>
      </c>
      <c r="P190" s="3">
        <f>L190*1.025+29</f>
        <v>11150.249999999998</v>
      </c>
      <c r="Q190" s="3"/>
      <c r="R190" s="3">
        <v>3143</v>
      </c>
      <c r="S190" s="3">
        <f>T190-R190</f>
        <v>8007</v>
      </c>
      <c r="T190" s="3">
        <v>11150</v>
      </c>
      <c r="U190" s="3">
        <f>T190-P190</f>
        <v>-0.24999999999818101</v>
      </c>
      <c r="V190" s="3">
        <v>5955</v>
      </c>
      <c r="W190" s="3">
        <f>Y190-V190</f>
        <v>5195</v>
      </c>
      <c r="X190" s="3"/>
      <c r="Y190" s="3">
        <v>11150</v>
      </c>
      <c r="Z190" s="3">
        <f>Y190-T190</f>
        <v>0</v>
      </c>
      <c r="AA190" s="3"/>
      <c r="AB190" s="3"/>
      <c r="AC190" s="3">
        <v>8768</v>
      </c>
      <c r="AD190" s="3">
        <f>AE190-AC190</f>
        <v>2382</v>
      </c>
      <c r="AE190" s="3">
        <v>11150</v>
      </c>
      <c r="AF190" s="3">
        <f>AE190-Y190</f>
        <v>0</v>
      </c>
      <c r="AG190" s="3"/>
      <c r="AH190" s="3">
        <f>AE190*1.025+71</f>
        <v>11499.749999999998</v>
      </c>
      <c r="AI190" s="3"/>
      <c r="AJ190" s="3">
        <f>AH190*1.025</f>
        <v>11787.243749999998</v>
      </c>
      <c r="AK190" s="3"/>
      <c r="AL190" s="3">
        <f>AJ190*1.025</f>
        <v>12081.924843749997</v>
      </c>
      <c r="AM190" s="3"/>
      <c r="AN190" s="3">
        <f>AL190*1.025</f>
        <v>12383.972964843746</v>
      </c>
      <c r="AO190" s="3"/>
      <c r="AP190" s="3">
        <f>AN190*1.025</f>
        <v>12693.572288964839</v>
      </c>
      <c r="AQ190" s="42"/>
      <c r="AR190" s="3">
        <f>AP190*1.025</f>
        <v>13010.911596188958</v>
      </c>
      <c r="AS190" s="42"/>
      <c r="AT190" s="3">
        <f>AR190*1.025</f>
        <v>13336.184386093681</v>
      </c>
      <c r="AU190" s="42"/>
      <c r="AV190" s="3">
        <f>AT190*1.025</f>
        <v>13669.588995746022</v>
      </c>
      <c r="AW190" s="42"/>
      <c r="AX190" s="3">
        <f>AV190*1.025</f>
        <v>14011.328720639671</v>
      </c>
      <c r="AZ190" s="3">
        <f>AX190*1.025</f>
        <v>14361.611938655662</v>
      </c>
      <c r="BA190" s="6">
        <f>+General!BA174</f>
        <v>14361.611938655662</v>
      </c>
      <c r="BP190" s="5">
        <f t="shared" si="69"/>
        <v>0</v>
      </c>
    </row>
    <row r="191" spans="1:68" x14ac:dyDescent="0.25">
      <c r="A191" s="3"/>
      <c r="B191" s="48">
        <f>B189+B190</f>
        <v>10850</v>
      </c>
      <c r="C191" s="32"/>
      <c r="D191" s="48">
        <f>D189+D190</f>
        <v>4030</v>
      </c>
      <c r="E191" s="48">
        <f>E189+E190</f>
        <v>6820</v>
      </c>
      <c r="F191" s="48">
        <f>F189+F190</f>
        <v>10850</v>
      </c>
      <c r="G191" s="32"/>
      <c r="H191" s="48">
        <f>H189+H190</f>
        <v>0</v>
      </c>
      <c r="I191" s="36"/>
      <c r="J191" s="48">
        <f>J189+J190</f>
        <v>6760</v>
      </c>
      <c r="K191" s="48">
        <f>K189+K190</f>
        <v>4090</v>
      </c>
      <c r="L191" s="48">
        <f>L189+L190</f>
        <v>10850</v>
      </c>
      <c r="M191" s="32"/>
      <c r="N191" s="48">
        <f>N189+N190</f>
        <v>0</v>
      </c>
      <c r="P191" s="48">
        <f>P189+P190</f>
        <v>11150.249999999998</v>
      </c>
      <c r="R191" s="48">
        <f t="shared" ref="R191:Z191" si="98">R189+R190</f>
        <v>3143</v>
      </c>
      <c r="S191" s="48">
        <f t="shared" si="98"/>
        <v>8007</v>
      </c>
      <c r="T191" s="48">
        <f t="shared" si="98"/>
        <v>11150</v>
      </c>
      <c r="U191" s="48">
        <f t="shared" si="98"/>
        <v>-0.24999999999818101</v>
      </c>
      <c r="V191" s="48">
        <f t="shared" si="98"/>
        <v>5955</v>
      </c>
      <c r="W191" s="48">
        <f t="shared" si="98"/>
        <v>5195</v>
      </c>
      <c r="X191" s="48"/>
      <c r="Y191" s="48">
        <f t="shared" si="98"/>
        <v>11150</v>
      </c>
      <c r="Z191" s="48">
        <f t="shared" si="98"/>
        <v>0</v>
      </c>
      <c r="AC191" s="48">
        <f>AC189+AC190</f>
        <v>8768</v>
      </c>
      <c r="AD191" s="48">
        <f>AD189+AD190</f>
        <v>2382</v>
      </c>
      <c r="AE191" s="48">
        <f>AE189+AE190</f>
        <v>11150</v>
      </c>
      <c r="AF191" s="48">
        <f>AF189+AF190</f>
        <v>0</v>
      </c>
      <c r="AH191" s="48">
        <f>AH189+AH190</f>
        <v>11499.749999999998</v>
      </c>
      <c r="AJ191" s="48">
        <f>AJ189+AJ190</f>
        <v>11787.243749999998</v>
      </c>
      <c r="AL191" s="48">
        <f>AL189+AL190</f>
        <v>12081.924843749997</v>
      </c>
      <c r="AN191" s="48">
        <f>AN189+AN190</f>
        <v>12383.972964843746</v>
      </c>
      <c r="AO191" s="48"/>
      <c r="AP191" s="48">
        <f>AP189+AP190</f>
        <v>12693.572288964839</v>
      </c>
      <c r="AR191" s="48">
        <f>AR189+AR190</f>
        <v>13010.911596188958</v>
      </c>
      <c r="AT191" s="48">
        <f>AT189+AT190</f>
        <v>13336.184386093681</v>
      </c>
      <c r="AV191" s="48">
        <f>AV189+AV190</f>
        <v>13669.588995746022</v>
      </c>
      <c r="AX191" s="48">
        <f>AX189+AX190</f>
        <v>14011.328720639671</v>
      </c>
      <c r="AZ191" s="48">
        <f>AZ189+AZ190</f>
        <v>14361.611938655662</v>
      </c>
      <c r="BA191" s="6">
        <f>+General!BA175</f>
        <v>14361.611938655662</v>
      </c>
      <c r="BP191" s="5">
        <f t="shared" si="69"/>
        <v>0</v>
      </c>
    </row>
    <row r="192" spans="1:68" x14ac:dyDescent="0.25">
      <c r="A192" s="7" t="s">
        <v>149</v>
      </c>
      <c r="H192" s="60"/>
      <c r="I192" s="58"/>
      <c r="J192" s="58"/>
      <c r="K192" s="58"/>
      <c r="L192" s="58"/>
      <c r="N192" s="58"/>
      <c r="BA192" s="6">
        <f>+General!BA176</f>
        <v>0</v>
      </c>
      <c r="BP192" s="5">
        <f t="shared" si="69"/>
        <v>0</v>
      </c>
    </row>
    <row r="193" spans="1:68" x14ac:dyDescent="0.25">
      <c r="A193" s="3" t="s">
        <v>150</v>
      </c>
      <c r="B193" s="35">
        <v>100</v>
      </c>
      <c r="C193" s="32"/>
      <c r="D193" s="35"/>
      <c r="E193" s="35">
        <f>F193-D193</f>
        <v>100</v>
      </c>
      <c r="F193" s="35">
        <v>100</v>
      </c>
      <c r="G193" s="32"/>
      <c r="H193" s="35">
        <f>F193-B193</f>
        <v>0</v>
      </c>
      <c r="I193" s="36"/>
      <c r="J193" s="35">
        <f>H193-D193</f>
        <v>0</v>
      </c>
      <c r="K193" s="35">
        <f>L193-J193</f>
        <v>0</v>
      </c>
      <c r="L193" s="35">
        <v>0</v>
      </c>
      <c r="M193" s="32"/>
      <c r="N193" s="35">
        <f>L193-H193</f>
        <v>0</v>
      </c>
      <c r="P193" s="35">
        <v>100</v>
      </c>
      <c r="R193" s="35"/>
      <c r="S193" s="35">
        <f>T193-R193</f>
        <v>0</v>
      </c>
      <c r="T193" s="35"/>
      <c r="U193" s="35">
        <f>T193-P193</f>
        <v>-100</v>
      </c>
      <c r="V193" s="35"/>
      <c r="W193" s="35">
        <f>Y193-V193</f>
        <v>0</v>
      </c>
      <c r="X193" s="35"/>
      <c r="Y193" s="35"/>
      <c r="Z193" s="35">
        <f>Y193-T193</f>
        <v>0</v>
      </c>
      <c r="AC193" s="35"/>
      <c r="AD193" s="35">
        <f>AE193-AC193</f>
        <v>0</v>
      </c>
      <c r="AE193" s="35"/>
      <c r="AF193" s="35">
        <f>AE193-Y193</f>
        <v>0</v>
      </c>
      <c r="AH193" s="35">
        <v>100</v>
      </c>
      <c r="AJ193" s="35">
        <v>110</v>
      </c>
      <c r="AL193" s="35">
        <v>120</v>
      </c>
      <c r="AN193" s="35">
        <v>130</v>
      </c>
      <c r="AO193" s="35"/>
      <c r="AP193" s="35">
        <v>140</v>
      </c>
      <c r="AR193" s="35">
        <v>140</v>
      </c>
      <c r="AT193" s="35">
        <v>140</v>
      </c>
      <c r="AV193" s="35">
        <v>140</v>
      </c>
      <c r="AX193" s="35">
        <v>140</v>
      </c>
      <c r="AZ193" s="35">
        <v>140</v>
      </c>
      <c r="BA193" s="6">
        <f>+General!BA177</f>
        <v>140</v>
      </c>
      <c r="BP193" s="5">
        <f t="shared" si="69"/>
        <v>0</v>
      </c>
    </row>
    <row r="194" spans="1:68" x14ac:dyDescent="0.25">
      <c r="A194" s="7" t="s">
        <v>151</v>
      </c>
      <c r="BA194" s="6">
        <f>+General!BA179</f>
        <v>0</v>
      </c>
      <c r="BP194" s="5">
        <f t="shared" si="69"/>
        <v>0</v>
      </c>
    </row>
    <row r="195" spans="1:68" x14ac:dyDescent="0.25">
      <c r="A195" s="3" t="s">
        <v>152</v>
      </c>
      <c r="BA195" s="6">
        <f>+General!BA180</f>
        <v>0</v>
      </c>
      <c r="BP195" s="5">
        <f t="shared" si="69"/>
        <v>0</v>
      </c>
    </row>
    <row r="196" spans="1:68" x14ac:dyDescent="0.25">
      <c r="A196" s="3" t="s">
        <v>153</v>
      </c>
      <c r="BA196" s="6">
        <f>+General!BA181</f>
        <v>0</v>
      </c>
      <c r="BP196" s="5">
        <f t="shared" si="69"/>
        <v>0</v>
      </c>
    </row>
    <row r="197" spans="1:68" x14ac:dyDescent="0.25">
      <c r="A197" s="3" t="s">
        <v>154</v>
      </c>
      <c r="BA197" s="6">
        <f>+General!BA182</f>
        <v>0</v>
      </c>
      <c r="BP197" s="5">
        <f t="shared" ref="BP197:BP260" si="99">+BA197-AZ197</f>
        <v>0</v>
      </c>
    </row>
    <row r="198" spans="1:68" x14ac:dyDescent="0.25">
      <c r="A198" s="3" t="s">
        <v>155</v>
      </c>
      <c r="B198" s="5">
        <v>5000</v>
      </c>
      <c r="D198" s="5">
        <v>722</v>
      </c>
      <c r="E198" s="3">
        <f>F198-D198</f>
        <v>4278</v>
      </c>
      <c r="F198" s="5">
        <v>5000</v>
      </c>
      <c r="H198" s="32">
        <f>F198-B198</f>
        <v>0</v>
      </c>
      <c r="I198" s="32"/>
      <c r="J198" s="4">
        <v>3252</v>
      </c>
      <c r="K198" s="4">
        <f t="shared" ref="K198:K203" si="100">L198-J198</f>
        <v>1748</v>
      </c>
      <c r="L198" s="4">
        <v>5000</v>
      </c>
      <c r="N198" s="4">
        <f t="shared" ref="N198:N203" si="101">L198-F198</f>
        <v>0</v>
      </c>
      <c r="P198" s="3">
        <v>1000</v>
      </c>
      <c r="Q198" s="3"/>
      <c r="R198" s="3">
        <v>59</v>
      </c>
      <c r="S198" s="3">
        <f t="shared" ref="S198:S203" si="102">T198-R198</f>
        <v>691</v>
      </c>
      <c r="T198" s="3">
        <v>750</v>
      </c>
      <c r="U198" s="3">
        <f t="shared" ref="U198:U203" si="103">T198-P198</f>
        <v>-250</v>
      </c>
      <c r="V198" s="3">
        <v>267</v>
      </c>
      <c r="W198" s="3">
        <f t="shared" ref="W198:W203" si="104">Y198-V198</f>
        <v>333</v>
      </c>
      <c r="X198" s="3"/>
      <c r="Y198" s="3">
        <v>600</v>
      </c>
      <c r="Z198" s="3">
        <f t="shared" ref="Z198:Z203" si="105">Y198-T198</f>
        <v>-150</v>
      </c>
      <c r="AA198" s="3"/>
      <c r="AB198" s="3"/>
      <c r="AC198" s="3">
        <v>338</v>
      </c>
      <c r="AD198" s="3">
        <f t="shared" ref="AD198:AD203" si="106">AE198-AC198</f>
        <v>162</v>
      </c>
      <c r="AE198" s="3">
        <v>500</v>
      </c>
      <c r="AF198" s="3">
        <f t="shared" ref="AF198:AF203" si="107">AE198-Y198</f>
        <v>-100</v>
      </c>
      <c r="AG198" s="3"/>
      <c r="AH198" s="3">
        <v>500</v>
      </c>
      <c r="AI198" s="3"/>
      <c r="AJ198" s="3">
        <f>AH198*1.025</f>
        <v>512.5</v>
      </c>
      <c r="AK198" s="3"/>
      <c r="AL198" s="3">
        <f>AJ198*1.025</f>
        <v>525.3125</v>
      </c>
      <c r="AM198" s="3"/>
      <c r="AN198" s="3">
        <f>AL198*1.025</f>
        <v>538.4453125</v>
      </c>
      <c r="AO198" s="3"/>
      <c r="AP198" s="3">
        <f>AN198*1.025</f>
        <v>551.90644531249995</v>
      </c>
      <c r="AQ198" s="42"/>
      <c r="AR198" s="3">
        <f>AP198*1.025</f>
        <v>565.70410644531239</v>
      </c>
      <c r="AS198" s="42"/>
      <c r="AT198" s="3">
        <f>AR198*1.025</f>
        <v>579.84670910644513</v>
      </c>
      <c r="AU198" s="42"/>
      <c r="AV198" s="3">
        <f>AT198*1.025</f>
        <v>594.34287683410616</v>
      </c>
      <c r="AW198" s="42"/>
      <c r="AX198" s="3">
        <f>AV198*1.025</f>
        <v>609.20144875495873</v>
      </c>
      <c r="AZ198" s="3">
        <f>AX198*1.025</f>
        <v>624.43148497383265</v>
      </c>
      <c r="BA198" s="6">
        <f>+General!BA183</f>
        <v>624.43148497383265</v>
      </c>
      <c r="BP198" s="5">
        <f t="shared" si="99"/>
        <v>0</v>
      </c>
    </row>
    <row r="199" spans="1:68" x14ac:dyDescent="0.25">
      <c r="A199" s="3"/>
      <c r="E199" s="3"/>
      <c r="H199" s="32"/>
      <c r="I199" s="32"/>
      <c r="J199" s="4"/>
      <c r="K199" s="4">
        <f t="shared" si="100"/>
        <v>0</v>
      </c>
      <c r="L199" s="4"/>
      <c r="N199" s="4">
        <f t="shared" si="101"/>
        <v>0</v>
      </c>
      <c r="P199" s="3"/>
      <c r="Q199" s="3"/>
      <c r="R199" s="3"/>
      <c r="S199" s="3">
        <f t="shared" si="102"/>
        <v>0</v>
      </c>
      <c r="T199" s="3"/>
      <c r="U199" s="3">
        <f t="shared" si="103"/>
        <v>0</v>
      </c>
      <c r="V199" s="3"/>
      <c r="W199" s="3">
        <f t="shared" si="104"/>
        <v>0</v>
      </c>
      <c r="X199" s="3"/>
      <c r="Y199" s="3"/>
      <c r="Z199" s="3">
        <f t="shared" si="105"/>
        <v>0</v>
      </c>
      <c r="AA199" s="3"/>
      <c r="AB199" s="3"/>
      <c r="AC199" s="3"/>
      <c r="AD199" s="3">
        <f t="shared" si="106"/>
        <v>0</v>
      </c>
      <c r="AE199" s="3"/>
      <c r="AF199" s="3">
        <f t="shared" si="107"/>
        <v>0</v>
      </c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42"/>
      <c r="AR199" s="3"/>
      <c r="AS199" s="42"/>
      <c r="AT199" s="3"/>
      <c r="AU199" s="42"/>
      <c r="AV199" s="3"/>
      <c r="AW199" s="42"/>
      <c r="AX199" s="3"/>
      <c r="AZ199" s="3"/>
      <c r="BA199" s="6">
        <f>+General!BA184</f>
        <v>0</v>
      </c>
      <c r="BP199" s="5">
        <f t="shared" si="99"/>
        <v>0</v>
      </c>
    </row>
    <row r="200" spans="1:68" x14ac:dyDescent="0.25">
      <c r="A200" s="3" t="s">
        <v>156</v>
      </c>
      <c r="B200" s="3">
        <v>7500</v>
      </c>
      <c r="D200" s="3"/>
      <c r="E200" s="3">
        <f>F200-D200</f>
        <v>7500</v>
      </c>
      <c r="F200" s="3">
        <v>7500</v>
      </c>
      <c r="H200" s="32">
        <f>F200-B200</f>
        <v>0</v>
      </c>
      <c r="I200" s="32"/>
      <c r="J200" s="4"/>
      <c r="K200" s="4">
        <f t="shared" si="100"/>
        <v>7500</v>
      </c>
      <c r="L200" s="4">
        <v>7500</v>
      </c>
      <c r="N200" s="4">
        <f t="shared" si="101"/>
        <v>0</v>
      </c>
      <c r="P200" s="3"/>
      <c r="Q200" s="3"/>
      <c r="R200" s="3"/>
      <c r="S200" s="3">
        <f t="shared" si="102"/>
        <v>0</v>
      </c>
      <c r="T200" s="3"/>
      <c r="U200" s="3">
        <f t="shared" si="103"/>
        <v>0</v>
      </c>
      <c r="V200" s="3"/>
      <c r="W200" s="3">
        <f t="shared" si="104"/>
        <v>0</v>
      </c>
      <c r="X200" s="3"/>
      <c r="Y200" s="3"/>
      <c r="Z200" s="3">
        <f t="shared" si="105"/>
        <v>0</v>
      </c>
      <c r="AA200" s="3"/>
      <c r="AB200" s="3"/>
      <c r="AC200" s="3"/>
      <c r="AD200" s="3">
        <f t="shared" si="106"/>
        <v>0</v>
      </c>
      <c r="AE200" s="3"/>
      <c r="AF200" s="3">
        <f t="shared" si="107"/>
        <v>0</v>
      </c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42"/>
      <c r="AR200" s="3"/>
      <c r="AS200" s="42"/>
      <c r="AT200" s="3"/>
      <c r="AU200" s="42"/>
      <c r="AV200" s="3"/>
      <c r="AW200" s="42"/>
      <c r="AX200" s="3"/>
      <c r="AZ200" s="3"/>
      <c r="BA200" s="6">
        <f>+General!BA185</f>
        <v>0</v>
      </c>
      <c r="BP200" s="5">
        <f t="shared" si="99"/>
        <v>0</v>
      </c>
    </row>
    <row r="201" spans="1:68" x14ac:dyDescent="0.25">
      <c r="A201" s="3" t="s">
        <v>157</v>
      </c>
      <c r="E201" s="3">
        <f>F201-D201</f>
        <v>0</v>
      </c>
      <c r="H201" s="32">
        <f>F201-B201</f>
        <v>0</v>
      </c>
      <c r="I201" s="32"/>
      <c r="J201" s="4"/>
      <c r="K201" s="4">
        <f t="shared" si="100"/>
        <v>0</v>
      </c>
      <c r="L201" s="4"/>
      <c r="N201" s="4">
        <f t="shared" si="101"/>
        <v>0</v>
      </c>
      <c r="P201" s="3"/>
      <c r="Q201" s="3"/>
      <c r="R201" s="3"/>
      <c r="S201" s="3">
        <f t="shared" si="102"/>
        <v>0</v>
      </c>
      <c r="T201" s="3"/>
      <c r="U201" s="3">
        <f t="shared" si="103"/>
        <v>0</v>
      </c>
      <c r="V201" s="3"/>
      <c r="W201" s="3">
        <f t="shared" si="104"/>
        <v>0</v>
      </c>
      <c r="X201" s="3"/>
      <c r="Y201" s="3"/>
      <c r="Z201" s="3">
        <f t="shared" si="105"/>
        <v>0</v>
      </c>
      <c r="AA201" s="3"/>
      <c r="AB201" s="3"/>
      <c r="AC201" s="3"/>
      <c r="AD201" s="3">
        <f t="shared" si="106"/>
        <v>0</v>
      </c>
      <c r="AE201" s="3"/>
      <c r="AF201" s="3">
        <f t="shared" si="107"/>
        <v>0</v>
      </c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42"/>
      <c r="AR201" s="3"/>
      <c r="AS201" s="42"/>
      <c r="AT201" s="3"/>
      <c r="AU201" s="42"/>
      <c r="AV201" s="3"/>
      <c r="AW201" s="42"/>
      <c r="AX201" s="3"/>
      <c r="AZ201" s="3"/>
      <c r="BA201" s="6">
        <f>+General!BA186</f>
        <v>0</v>
      </c>
      <c r="BP201" s="5">
        <f t="shared" si="99"/>
        <v>0</v>
      </c>
    </row>
    <row r="202" spans="1:68" x14ac:dyDescent="0.25">
      <c r="A202" s="3" t="s">
        <v>158</v>
      </c>
      <c r="E202" s="3">
        <f>F202-D202</f>
        <v>12000</v>
      </c>
      <c r="F202" s="5">
        <v>12000</v>
      </c>
      <c r="H202" s="32">
        <f>F202-B202</f>
        <v>12000</v>
      </c>
      <c r="I202" s="32"/>
      <c r="J202" s="4"/>
      <c r="K202" s="4">
        <f t="shared" si="100"/>
        <v>15000</v>
      </c>
      <c r="L202" s="4">
        <v>15000</v>
      </c>
      <c r="N202" s="4">
        <f t="shared" si="101"/>
        <v>3000</v>
      </c>
      <c r="P202" s="3">
        <v>3000</v>
      </c>
      <c r="Q202" s="3"/>
      <c r="R202" s="3"/>
      <c r="S202" s="3">
        <f t="shared" si="102"/>
        <v>3000</v>
      </c>
      <c r="T202" s="3">
        <v>3000</v>
      </c>
      <c r="U202" s="3">
        <f t="shared" si="103"/>
        <v>0</v>
      </c>
      <c r="V202" s="3">
        <v>0</v>
      </c>
      <c r="W202" s="3">
        <f t="shared" si="104"/>
        <v>7000</v>
      </c>
      <c r="X202" s="3"/>
      <c r="Y202" s="3">
        <v>7000</v>
      </c>
      <c r="Z202" s="3">
        <f t="shared" si="105"/>
        <v>4000</v>
      </c>
      <c r="AA202" s="3"/>
      <c r="AB202" s="3"/>
      <c r="AC202" s="3">
        <v>5000</v>
      </c>
      <c r="AD202" s="3">
        <f t="shared" si="106"/>
        <v>3500</v>
      </c>
      <c r="AE202" s="3">
        <v>8500</v>
      </c>
      <c r="AF202" s="3">
        <f t="shared" si="107"/>
        <v>1500</v>
      </c>
      <c r="AG202" s="3"/>
      <c r="AH202" s="3">
        <v>5000</v>
      </c>
      <c r="AI202" s="3"/>
      <c r="AJ202" s="3">
        <f>AH202*1.025</f>
        <v>5125</v>
      </c>
      <c r="AK202" s="3"/>
      <c r="AL202" s="3">
        <f>AJ202*1.025</f>
        <v>5253.1249999999991</v>
      </c>
      <c r="AM202" s="3"/>
      <c r="AN202" s="3">
        <f>AL202*1.025</f>
        <v>5384.4531249999982</v>
      </c>
      <c r="AO202" s="3"/>
      <c r="AP202" s="3">
        <f>AN202*1.025</f>
        <v>5519.0644531249973</v>
      </c>
      <c r="AQ202" s="42"/>
      <c r="AR202" s="3">
        <f>AP202*1.025</f>
        <v>5657.0410644531221</v>
      </c>
      <c r="AS202" s="42"/>
      <c r="AT202" s="3">
        <f>AR202*1.025</f>
        <v>5798.46709106445</v>
      </c>
      <c r="AU202" s="42"/>
      <c r="AV202" s="3">
        <f>AT202*1.025</f>
        <v>5943.4287683410603</v>
      </c>
      <c r="AW202" s="42"/>
      <c r="AX202" s="3">
        <f>AV202*1.025</f>
        <v>6092.0144875495862</v>
      </c>
      <c r="AZ202" s="3">
        <f>AX202*1.025</f>
        <v>6244.3148497383254</v>
      </c>
      <c r="BA202" s="6">
        <f>+General!BA187</f>
        <v>6244.3148497383254</v>
      </c>
      <c r="BP202" s="5">
        <f t="shared" si="99"/>
        <v>0</v>
      </c>
    </row>
    <row r="203" spans="1:68" x14ac:dyDescent="0.25">
      <c r="A203" s="3" t="s">
        <v>159</v>
      </c>
      <c r="H203" s="32">
        <f>F203-B203</f>
        <v>0</v>
      </c>
      <c r="I203" s="32"/>
      <c r="J203" s="4"/>
      <c r="K203" s="4">
        <f t="shared" si="100"/>
        <v>0</v>
      </c>
      <c r="L203" s="4"/>
      <c r="N203" s="4">
        <f t="shared" si="101"/>
        <v>0</v>
      </c>
      <c r="P203" s="3">
        <v>2500</v>
      </c>
      <c r="Q203" s="3"/>
      <c r="R203" s="3"/>
      <c r="S203" s="3">
        <f t="shared" si="102"/>
        <v>0</v>
      </c>
      <c r="T203" s="3">
        <v>0</v>
      </c>
      <c r="U203" s="3">
        <f t="shared" si="103"/>
        <v>-2500</v>
      </c>
      <c r="V203" s="3">
        <v>0</v>
      </c>
      <c r="W203" s="3">
        <f t="shared" si="104"/>
        <v>0</v>
      </c>
      <c r="X203" s="3"/>
      <c r="Y203" s="3">
        <v>0</v>
      </c>
      <c r="Z203" s="3">
        <f t="shared" si="105"/>
        <v>0</v>
      </c>
      <c r="AA203" s="3"/>
      <c r="AB203" s="3"/>
      <c r="AC203" s="3"/>
      <c r="AD203" s="3">
        <f t="shared" si="106"/>
        <v>0</v>
      </c>
      <c r="AE203" s="3"/>
      <c r="AF203" s="3">
        <f t="shared" si="107"/>
        <v>0</v>
      </c>
      <c r="AG203" s="3"/>
      <c r="AH203" s="3">
        <v>0</v>
      </c>
      <c r="AI203" s="3"/>
      <c r="AJ203" s="3"/>
      <c r="AK203" s="3"/>
      <c r="AL203" s="3"/>
      <c r="AM203" s="3"/>
      <c r="AN203" s="3"/>
      <c r="AO203" s="3"/>
      <c r="AP203" s="3"/>
      <c r="AQ203" s="42"/>
      <c r="AR203" s="3"/>
      <c r="AS203" s="42"/>
      <c r="AT203" s="3"/>
      <c r="AU203" s="42"/>
      <c r="AV203" s="3"/>
      <c r="AW203" s="42"/>
      <c r="AX203" s="3"/>
      <c r="AZ203" s="3"/>
      <c r="BA203" s="6">
        <f>+General!BA188</f>
        <v>0</v>
      </c>
      <c r="BP203" s="5">
        <f t="shared" si="99"/>
        <v>0</v>
      </c>
    </row>
    <row r="204" spans="1:68" x14ac:dyDescent="0.25">
      <c r="A204" s="3"/>
      <c r="B204" s="48">
        <f>SUM(B195:B203)</f>
        <v>12500</v>
      </c>
      <c r="C204" s="32"/>
      <c r="D204" s="48">
        <f>SUM(D195:D203)</f>
        <v>722</v>
      </c>
      <c r="E204" s="48">
        <f>SUM(E195:E203)</f>
        <v>23778</v>
      </c>
      <c r="F204" s="48">
        <f>SUM(F195:F203)</f>
        <v>24500</v>
      </c>
      <c r="G204" s="32"/>
      <c r="H204" s="48">
        <f>SUM(H195:H203)</f>
        <v>12000</v>
      </c>
      <c r="I204" s="36"/>
      <c r="J204" s="48">
        <f>SUM(J195:J203)</f>
        <v>3252</v>
      </c>
      <c r="K204" s="48">
        <f>SUM(K195:K203)</f>
        <v>24248</v>
      </c>
      <c r="L204" s="48">
        <f>SUM(L195:L203)</f>
        <v>27500</v>
      </c>
      <c r="M204" s="32"/>
      <c r="N204" s="48">
        <f>SUM(N195:N203)</f>
        <v>3000</v>
      </c>
      <c r="P204" s="48">
        <f>SUM(P195:P203)</f>
        <v>6500</v>
      </c>
      <c r="R204" s="48">
        <f t="shared" ref="R204:Z204" si="108">SUM(R195:R203)</f>
        <v>59</v>
      </c>
      <c r="S204" s="48">
        <f t="shared" si="108"/>
        <v>3691</v>
      </c>
      <c r="T204" s="48">
        <f t="shared" si="108"/>
        <v>3750</v>
      </c>
      <c r="U204" s="48">
        <f t="shared" si="108"/>
        <v>-2750</v>
      </c>
      <c r="V204" s="48">
        <f t="shared" si="108"/>
        <v>267</v>
      </c>
      <c r="W204" s="48">
        <f t="shared" si="108"/>
        <v>7333</v>
      </c>
      <c r="X204" s="48"/>
      <c r="Y204" s="48">
        <f t="shared" si="108"/>
        <v>7600</v>
      </c>
      <c r="Z204" s="48">
        <f t="shared" si="108"/>
        <v>3850</v>
      </c>
      <c r="AC204" s="48">
        <f>SUM(AC195:AC203)</f>
        <v>5338</v>
      </c>
      <c r="AD204" s="48">
        <f>SUM(AD195:AD203)</f>
        <v>3662</v>
      </c>
      <c r="AE204" s="48">
        <f>SUM(AE195:AE203)</f>
        <v>9000</v>
      </c>
      <c r="AF204" s="48">
        <f>SUM(AF195:AF203)</f>
        <v>1400</v>
      </c>
      <c r="AH204" s="48">
        <f>SUM(AH195:AH203)</f>
        <v>5500</v>
      </c>
      <c r="AJ204" s="48">
        <f>SUM(AJ195:AJ203)</f>
        <v>5637.5</v>
      </c>
      <c r="AL204" s="48">
        <f>SUM(AL195:AL203)</f>
        <v>5778.4374999999991</v>
      </c>
      <c r="AN204" s="48">
        <f>SUM(AN195:AN203)</f>
        <v>5922.8984374999982</v>
      </c>
      <c r="AO204" s="48"/>
      <c r="AP204" s="48">
        <f>SUM(AP195:AP203)</f>
        <v>6070.9708984374975</v>
      </c>
      <c r="AQ204" s="48">
        <f t="shared" ref="AQ204:AZ204" si="109">SUM(AQ195:AQ203)</f>
        <v>0</v>
      </c>
      <c r="AR204" s="48">
        <f t="shared" si="109"/>
        <v>6222.7451708984345</v>
      </c>
      <c r="AS204" s="48">
        <f t="shared" si="109"/>
        <v>0</v>
      </c>
      <c r="AT204" s="48">
        <f t="shared" si="109"/>
        <v>6378.3138001708949</v>
      </c>
      <c r="AU204" s="48">
        <f t="shared" si="109"/>
        <v>0</v>
      </c>
      <c r="AV204" s="48">
        <f t="shared" si="109"/>
        <v>6537.7716451751667</v>
      </c>
      <c r="AW204" s="48">
        <f t="shared" si="109"/>
        <v>0</v>
      </c>
      <c r="AX204" s="48">
        <f t="shared" si="109"/>
        <v>6701.2159363045448</v>
      </c>
      <c r="AY204" s="48">
        <f t="shared" si="109"/>
        <v>0</v>
      </c>
      <c r="AZ204" s="48">
        <f t="shared" si="109"/>
        <v>6868.7463347121584</v>
      </c>
      <c r="BA204" s="6">
        <f>+General!BA189</f>
        <v>6868.7463347121584</v>
      </c>
      <c r="BP204" s="5">
        <f t="shared" si="99"/>
        <v>0</v>
      </c>
    </row>
    <row r="205" spans="1:68" x14ac:dyDescent="0.25">
      <c r="A205" s="7" t="s">
        <v>160</v>
      </c>
      <c r="BA205" s="6">
        <f>+General!BA190</f>
        <v>0</v>
      </c>
      <c r="BP205" s="5">
        <f t="shared" si="99"/>
        <v>0</v>
      </c>
    </row>
    <row r="206" spans="1:68" x14ac:dyDescent="0.25">
      <c r="A206" s="3" t="s">
        <v>161</v>
      </c>
      <c r="BA206" s="6">
        <f>+General!BA191</f>
        <v>0</v>
      </c>
      <c r="BP206" s="5">
        <f t="shared" si="99"/>
        <v>0</v>
      </c>
    </row>
    <row r="207" spans="1:68" x14ac:dyDescent="0.25">
      <c r="A207" s="3" t="s">
        <v>90</v>
      </c>
      <c r="BA207" s="6">
        <f>+General!BA192</f>
        <v>0</v>
      </c>
      <c r="BP207" s="5">
        <f t="shared" si="99"/>
        <v>0</v>
      </c>
    </row>
    <row r="208" spans="1:68" x14ac:dyDescent="0.25">
      <c r="A208" s="3" t="s">
        <v>90</v>
      </c>
      <c r="BA208" s="6">
        <f>+General!BA193</f>
        <v>0</v>
      </c>
      <c r="BP208" s="5">
        <f t="shared" si="99"/>
        <v>0</v>
      </c>
    </row>
    <row r="209" spans="1:68" x14ac:dyDescent="0.25">
      <c r="A209" s="3" t="s">
        <v>162</v>
      </c>
      <c r="P209" s="3"/>
      <c r="Z209" s="3">
        <f>Y209-T209</f>
        <v>0</v>
      </c>
      <c r="BA209" s="6">
        <f>+General!BA194</f>
        <v>0</v>
      </c>
      <c r="BP209" s="5">
        <f t="shared" si="99"/>
        <v>0</v>
      </c>
    </row>
    <row r="210" spans="1:68" x14ac:dyDescent="0.25">
      <c r="A210" s="3" t="s">
        <v>163</v>
      </c>
      <c r="BA210" s="6">
        <f>+General!BA195</f>
        <v>0</v>
      </c>
      <c r="BP210" s="5">
        <f t="shared" si="99"/>
        <v>0</v>
      </c>
    </row>
    <row r="211" spans="1:68" x14ac:dyDescent="0.25">
      <c r="A211" s="3"/>
      <c r="B211" s="48">
        <f>SUM(B206:B210)</f>
        <v>0</v>
      </c>
      <c r="C211" s="32"/>
      <c r="D211" s="48">
        <f>SUM(D206:D210)</f>
        <v>0</v>
      </c>
      <c r="E211" s="48">
        <f>SUM(E206:E210)</f>
        <v>0</v>
      </c>
      <c r="F211" s="48">
        <f>SUM(F206:F210)</f>
        <v>0</v>
      </c>
      <c r="G211" s="32"/>
      <c r="H211" s="48">
        <f>SUM(H206:H210)</f>
        <v>0</v>
      </c>
      <c r="I211" s="36"/>
      <c r="J211" s="48">
        <f>SUM(J206:J210)</f>
        <v>0</v>
      </c>
      <c r="K211" s="48">
        <f>SUM(K206:K210)</f>
        <v>0</v>
      </c>
      <c r="L211" s="48">
        <f>SUM(L206:L210)</f>
        <v>0</v>
      </c>
      <c r="M211" s="32"/>
      <c r="N211" s="48">
        <f>SUM(N206:N210)</f>
        <v>0</v>
      </c>
      <c r="P211" s="48">
        <f>SUM(P206:P210)</f>
        <v>0</v>
      </c>
      <c r="R211" s="48">
        <f t="shared" ref="R211:Z211" si="110">SUM(R206:R210)</f>
        <v>0</v>
      </c>
      <c r="S211" s="48">
        <f t="shared" si="110"/>
        <v>0</v>
      </c>
      <c r="T211" s="48">
        <f t="shared" si="110"/>
        <v>0</v>
      </c>
      <c r="U211" s="48">
        <f t="shared" si="110"/>
        <v>0</v>
      </c>
      <c r="V211" s="48">
        <f t="shared" si="110"/>
        <v>0</v>
      </c>
      <c r="W211" s="48">
        <f t="shared" si="110"/>
        <v>0</v>
      </c>
      <c r="X211" s="48"/>
      <c r="Y211" s="48">
        <f t="shared" si="110"/>
        <v>0</v>
      </c>
      <c r="Z211" s="48">
        <f t="shared" si="110"/>
        <v>0</v>
      </c>
      <c r="AC211" s="48">
        <f>SUM(AC206:AC210)</f>
        <v>0</v>
      </c>
      <c r="AD211" s="48">
        <f>SUM(AD206:AD210)</f>
        <v>0</v>
      </c>
      <c r="AE211" s="48">
        <f>SUM(AE206:AE210)</f>
        <v>0</v>
      </c>
      <c r="AF211" s="48">
        <f>SUM(AF206:AF210)</f>
        <v>0</v>
      </c>
      <c r="AH211" s="48">
        <f>SUM(AH206:AH210)</f>
        <v>0</v>
      </c>
      <c r="AJ211" s="48">
        <f>SUM(AJ206:AJ210)</f>
        <v>0</v>
      </c>
      <c r="AL211" s="48">
        <f>SUM(AL206:AL210)</f>
        <v>0</v>
      </c>
      <c r="AN211" s="48">
        <f>SUM(AN206:AN210)</f>
        <v>0</v>
      </c>
      <c r="AO211" s="48"/>
      <c r="AP211" s="48">
        <f>SUM(AP206:AP210)</f>
        <v>0</v>
      </c>
      <c r="AR211" s="48">
        <f>SUM(AR206:AR210)</f>
        <v>0</v>
      </c>
      <c r="AT211" s="48">
        <f>SUM(AT206:AT210)</f>
        <v>0</v>
      </c>
      <c r="AV211" s="48">
        <f>SUM(AV206:AV210)</f>
        <v>0</v>
      </c>
      <c r="AX211" s="48">
        <f>SUM(AX206:AX210)</f>
        <v>0</v>
      </c>
      <c r="AZ211" s="48">
        <f>SUM(AZ206:AZ210)</f>
        <v>0</v>
      </c>
      <c r="BA211" s="6">
        <f>+General!BA196</f>
        <v>0</v>
      </c>
      <c r="BP211" s="5">
        <f t="shared" si="99"/>
        <v>0</v>
      </c>
    </row>
    <row r="212" spans="1:68" x14ac:dyDescent="0.25">
      <c r="A212" s="7" t="s">
        <v>164</v>
      </c>
      <c r="BA212" s="6">
        <f>+General!BA197</f>
        <v>0</v>
      </c>
      <c r="BP212" s="5">
        <f t="shared" si="99"/>
        <v>0</v>
      </c>
    </row>
    <row r="213" spans="1:68" x14ac:dyDescent="0.25">
      <c r="A213" s="3" t="s">
        <v>165</v>
      </c>
      <c r="S213" s="3">
        <f t="shared" ref="S213:S233" si="111">T213-R213</f>
        <v>0</v>
      </c>
      <c r="T213" s="3"/>
      <c r="U213" s="3">
        <f t="shared" ref="U213:U233" si="112">T213-P213</f>
        <v>0</v>
      </c>
      <c r="W213" s="3">
        <f t="shared" ref="W213:W233" si="113">Y213-V213</f>
        <v>0</v>
      </c>
      <c r="X213" s="3"/>
      <c r="Z213" s="3">
        <f t="shared" ref="Z213:Z233" si="114">Y213-T213</f>
        <v>0</v>
      </c>
      <c r="BA213" s="6">
        <f>+General!BA198</f>
        <v>0</v>
      </c>
      <c r="BP213" s="5">
        <f t="shared" si="99"/>
        <v>0</v>
      </c>
    </row>
    <row r="214" spans="1:68" x14ac:dyDescent="0.25">
      <c r="A214" s="3" t="s">
        <v>166</v>
      </c>
      <c r="B214" s="5">
        <v>20000</v>
      </c>
      <c r="E214" s="3">
        <f t="shared" ref="E214:E233" si="115">F214-D214</f>
        <v>20000</v>
      </c>
      <c r="F214" s="5">
        <v>20000</v>
      </c>
      <c r="H214" s="32">
        <f t="shared" ref="H214:H233" si="116">F214-B214</f>
        <v>0</v>
      </c>
      <c r="I214" s="32"/>
      <c r="J214" s="4">
        <v>0</v>
      </c>
      <c r="K214" s="4">
        <f t="shared" ref="K214:K233" si="117">L214-J214</f>
        <v>20000</v>
      </c>
      <c r="L214" s="4">
        <v>20000</v>
      </c>
      <c r="N214" s="4">
        <f t="shared" ref="N214:N233" si="118">L214-F214</f>
        <v>0</v>
      </c>
      <c r="S214" s="3">
        <f t="shared" si="111"/>
        <v>0</v>
      </c>
      <c r="T214" s="3"/>
      <c r="U214" s="3">
        <f t="shared" si="112"/>
        <v>0</v>
      </c>
      <c r="W214" s="3">
        <f t="shared" si="113"/>
        <v>0</v>
      </c>
      <c r="X214" s="3"/>
      <c r="Z214" s="3">
        <f t="shared" si="114"/>
        <v>0</v>
      </c>
      <c r="BA214" s="6">
        <f>+General!BA199</f>
        <v>0</v>
      </c>
      <c r="BP214" s="5">
        <f t="shared" si="99"/>
        <v>0</v>
      </c>
    </row>
    <row r="215" spans="1:68" x14ac:dyDescent="0.25">
      <c r="A215" s="3" t="s">
        <v>167</v>
      </c>
      <c r="E215" s="3"/>
      <c r="H215" s="32"/>
      <c r="I215" s="32"/>
      <c r="J215" s="4"/>
      <c r="K215" s="4"/>
      <c r="L215" s="4"/>
      <c r="N215" s="4"/>
      <c r="S215" s="3"/>
      <c r="T215" s="3"/>
      <c r="U215" s="3"/>
      <c r="W215" s="3"/>
      <c r="X215" s="3"/>
      <c r="Z215" s="3"/>
      <c r="AC215" s="5">
        <v>0</v>
      </c>
      <c r="AD215" s="3">
        <f>AE215-AC215</f>
        <v>6000</v>
      </c>
      <c r="AE215" s="3">
        <v>6000</v>
      </c>
      <c r="AF215" s="3">
        <f>AE215-Y215</f>
        <v>6000</v>
      </c>
      <c r="BA215" s="6">
        <f>+General!BA200</f>
        <v>0</v>
      </c>
      <c r="BP215" s="5">
        <f t="shared" si="99"/>
        <v>0</v>
      </c>
    </row>
    <row r="216" spans="1:68" x14ac:dyDescent="0.25">
      <c r="A216" s="3" t="s">
        <v>168</v>
      </c>
      <c r="B216" s="3"/>
      <c r="D216" s="3"/>
      <c r="E216" s="3">
        <f t="shared" si="115"/>
        <v>0</v>
      </c>
      <c r="F216" s="3"/>
      <c r="H216" s="32">
        <f t="shared" si="116"/>
        <v>0</v>
      </c>
      <c r="I216" s="32"/>
      <c r="J216" s="4"/>
      <c r="K216" s="4">
        <f t="shared" si="117"/>
        <v>0</v>
      </c>
      <c r="L216" s="4"/>
      <c r="N216" s="4">
        <f t="shared" si="118"/>
        <v>0</v>
      </c>
      <c r="P216" s="3"/>
      <c r="Q216" s="3"/>
      <c r="R216" s="3"/>
      <c r="S216" s="3">
        <f t="shared" si="111"/>
        <v>0</v>
      </c>
      <c r="T216" s="3"/>
      <c r="U216" s="3">
        <f t="shared" si="112"/>
        <v>0</v>
      </c>
      <c r="V216" s="3"/>
      <c r="W216" s="3">
        <f t="shared" si="113"/>
        <v>0</v>
      </c>
      <c r="X216" s="3"/>
      <c r="Y216" s="3"/>
      <c r="Z216" s="3">
        <f t="shared" si="114"/>
        <v>0</v>
      </c>
      <c r="AA216" s="3"/>
      <c r="AB216" s="3"/>
      <c r="AC216" s="3"/>
      <c r="AD216" s="3">
        <f t="shared" ref="AD216:AD233" si="119">AE216-AC216</f>
        <v>0</v>
      </c>
      <c r="AE216" s="3"/>
      <c r="AF216" s="3">
        <f t="shared" ref="AF216:AF233" si="120">AE216-Y216</f>
        <v>0</v>
      </c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42"/>
      <c r="AR216" s="3"/>
      <c r="AT216" s="3"/>
      <c r="AV216" s="3"/>
      <c r="AX216" s="3"/>
      <c r="AZ216" s="3"/>
      <c r="BA216" s="6">
        <f>+General!BA201</f>
        <v>0</v>
      </c>
      <c r="BP216" s="5">
        <f t="shared" si="99"/>
        <v>0</v>
      </c>
    </row>
    <row r="217" spans="1:68" x14ac:dyDescent="0.25">
      <c r="A217" s="3" t="s">
        <v>169</v>
      </c>
      <c r="B217" s="3"/>
      <c r="D217" s="3"/>
      <c r="E217" s="3">
        <f t="shared" si="115"/>
        <v>0</v>
      </c>
      <c r="F217" s="3"/>
      <c r="H217" s="32">
        <f t="shared" si="116"/>
        <v>0</v>
      </c>
      <c r="I217" s="32"/>
      <c r="J217" s="4"/>
      <c r="K217" s="4">
        <f t="shared" si="117"/>
        <v>0</v>
      </c>
      <c r="L217" s="4"/>
      <c r="N217" s="4">
        <f t="shared" si="118"/>
        <v>0</v>
      </c>
      <c r="P217" s="3"/>
      <c r="Q217" s="3"/>
      <c r="R217" s="3"/>
      <c r="S217" s="3">
        <f t="shared" si="111"/>
        <v>0</v>
      </c>
      <c r="T217" s="3"/>
      <c r="U217" s="3">
        <f t="shared" si="112"/>
        <v>0</v>
      </c>
      <c r="V217" s="3"/>
      <c r="W217" s="3">
        <f t="shared" si="113"/>
        <v>0</v>
      </c>
      <c r="X217" s="3"/>
      <c r="Y217" s="3"/>
      <c r="Z217" s="3">
        <f t="shared" si="114"/>
        <v>0</v>
      </c>
      <c r="AA217" s="3"/>
      <c r="AB217" s="3"/>
      <c r="AC217" s="3"/>
      <c r="AD217" s="3">
        <f t="shared" si="119"/>
        <v>0</v>
      </c>
      <c r="AE217" s="3"/>
      <c r="AF217" s="3">
        <f t="shared" si="120"/>
        <v>0</v>
      </c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42"/>
      <c r="AR217" s="3"/>
      <c r="AT217" s="3"/>
      <c r="AV217" s="3"/>
      <c r="AX217" s="3"/>
      <c r="AZ217" s="3"/>
      <c r="BA217" s="6">
        <f>+General!BA202</f>
        <v>0</v>
      </c>
      <c r="BP217" s="5">
        <f t="shared" si="99"/>
        <v>0</v>
      </c>
    </row>
    <row r="218" spans="1:68" x14ac:dyDescent="0.25">
      <c r="A218" s="3" t="s">
        <v>170</v>
      </c>
      <c r="B218" s="3">
        <v>15000</v>
      </c>
      <c r="D218" s="3"/>
      <c r="E218" s="3">
        <f t="shared" si="115"/>
        <v>15000</v>
      </c>
      <c r="F218" s="3">
        <v>15000</v>
      </c>
      <c r="H218" s="32">
        <f t="shared" si="116"/>
        <v>0</v>
      </c>
      <c r="I218" s="32"/>
      <c r="J218" s="4">
        <v>0</v>
      </c>
      <c r="K218" s="4">
        <f t="shared" si="117"/>
        <v>15000</v>
      </c>
      <c r="L218" s="4">
        <v>15000</v>
      </c>
      <c r="N218" s="4">
        <f t="shared" si="118"/>
        <v>0</v>
      </c>
      <c r="P218" s="3"/>
      <c r="Q218" s="3"/>
      <c r="R218" s="3"/>
      <c r="S218" s="3">
        <f t="shared" si="111"/>
        <v>0</v>
      </c>
      <c r="T218" s="3"/>
      <c r="U218" s="3">
        <f t="shared" si="112"/>
        <v>0</v>
      </c>
      <c r="V218" s="3"/>
      <c r="W218" s="3">
        <f t="shared" si="113"/>
        <v>0</v>
      </c>
      <c r="X218" s="3"/>
      <c r="Y218" s="3"/>
      <c r="Z218" s="3">
        <f t="shared" si="114"/>
        <v>0</v>
      </c>
      <c r="AA218" s="3"/>
      <c r="AB218" s="3"/>
      <c r="AC218" s="3"/>
      <c r="AD218" s="3">
        <f t="shared" si="119"/>
        <v>10000</v>
      </c>
      <c r="AE218" s="3">
        <v>10000</v>
      </c>
      <c r="AF218" s="3">
        <f t="shared" si="120"/>
        <v>10000</v>
      </c>
      <c r="AG218" s="3"/>
      <c r="AH218" s="3">
        <v>5000</v>
      </c>
      <c r="AI218" s="3"/>
      <c r="AJ218" s="3"/>
      <c r="AK218" s="3"/>
      <c r="AL218" s="3"/>
      <c r="AM218" s="3"/>
      <c r="AN218" s="3"/>
      <c r="AO218" s="3"/>
      <c r="AP218" s="3"/>
      <c r="AQ218" s="42"/>
      <c r="AR218" s="3"/>
      <c r="AS218" s="42"/>
      <c r="AT218" s="3"/>
      <c r="AU218" s="42"/>
      <c r="AV218" s="3"/>
      <c r="AW218" s="42"/>
      <c r="AX218" s="3"/>
      <c r="AZ218" s="3"/>
      <c r="BA218" s="6">
        <f>+General!BA203</f>
        <v>0</v>
      </c>
      <c r="BP218" s="5">
        <f t="shared" si="99"/>
        <v>0</v>
      </c>
    </row>
    <row r="219" spans="1:68" x14ac:dyDescent="0.25">
      <c r="A219" s="3" t="s">
        <v>171</v>
      </c>
      <c r="E219" s="3">
        <f t="shared" si="115"/>
        <v>20000</v>
      </c>
      <c r="F219" s="5">
        <v>20000</v>
      </c>
      <c r="H219" s="32">
        <f t="shared" si="116"/>
        <v>20000</v>
      </c>
      <c r="I219" s="32"/>
      <c r="J219" s="4">
        <v>0</v>
      </c>
      <c r="K219" s="4">
        <f t="shared" si="117"/>
        <v>20000</v>
      </c>
      <c r="L219" s="4">
        <v>20000</v>
      </c>
      <c r="N219" s="4">
        <f t="shared" si="118"/>
        <v>0</v>
      </c>
      <c r="P219" s="3"/>
      <c r="Q219" s="3"/>
      <c r="R219" s="3"/>
      <c r="S219" s="3">
        <f t="shared" si="111"/>
        <v>0</v>
      </c>
      <c r="T219" s="3"/>
      <c r="U219" s="3">
        <f t="shared" si="112"/>
        <v>0</v>
      </c>
      <c r="V219" s="3"/>
      <c r="W219" s="3">
        <f t="shared" si="113"/>
        <v>0</v>
      </c>
      <c r="X219" s="3"/>
      <c r="Y219" s="3"/>
      <c r="Z219" s="3">
        <f t="shared" si="114"/>
        <v>0</v>
      </c>
      <c r="AA219" s="3"/>
      <c r="AB219" s="3"/>
      <c r="AC219" s="3"/>
      <c r="AD219" s="3">
        <f t="shared" si="119"/>
        <v>0</v>
      </c>
      <c r="AE219" s="3"/>
      <c r="AF219" s="3">
        <f t="shared" si="120"/>
        <v>0</v>
      </c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42"/>
      <c r="AR219" s="3"/>
      <c r="AS219" s="42"/>
      <c r="AT219" s="3"/>
      <c r="AU219" s="42"/>
      <c r="AV219" s="3"/>
      <c r="AW219" s="42"/>
      <c r="AX219" s="3"/>
      <c r="AZ219" s="3"/>
      <c r="BA219" s="6">
        <f>+General!BA204</f>
        <v>0</v>
      </c>
      <c r="BP219" s="5">
        <f t="shared" si="99"/>
        <v>0</v>
      </c>
    </row>
    <row r="220" spans="1:68" x14ac:dyDescent="0.25">
      <c r="A220" s="3" t="s">
        <v>172</v>
      </c>
      <c r="E220" s="3">
        <f t="shared" si="115"/>
        <v>30000</v>
      </c>
      <c r="F220" s="5">
        <v>30000</v>
      </c>
      <c r="H220" s="32">
        <f t="shared" si="116"/>
        <v>30000</v>
      </c>
      <c r="I220" s="32"/>
      <c r="J220" s="4">
        <v>0</v>
      </c>
      <c r="K220" s="4">
        <f t="shared" si="117"/>
        <v>30000</v>
      </c>
      <c r="L220" s="4">
        <v>30000</v>
      </c>
      <c r="N220" s="4">
        <f t="shared" si="118"/>
        <v>0</v>
      </c>
      <c r="P220" s="3"/>
      <c r="Q220" s="3"/>
      <c r="R220" s="3"/>
      <c r="S220" s="3">
        <f t="shared" si="111"/>
        <v>0</v>
      </c>
      <c r="T220" s="3"/>
      <c r="U220" s="3">
        <f t="shared" si="112"/>
        <v>0</v>
      </c>
      <c r="V220" s="3"/>
      <c r="W220" s="3">
        <f t="shared" si="113"/>
        <v>0</v>
      </c>
      <c r="X220" s="3"/>
      <c r="Y220" s="3"/>
      <c r="Z220" s="3">
        <f t="shared" si="114"/>
        <v>0</v>
      </c>
      <c r="AA220" s="3"/>
      <c r="AB220" s="3"/>
      <c r="AC220" s="3"/>
      <c r="AD220" s="3">
        <f t="shared" si="119"/>
        <v>0</v>
      </c>
      <c r="AE220" s="3"/>
      <c r="AF220" s="3">
        <f t="shared" si="120"/>
        <v>0</v>
      </c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42"/>
      <c r="AR220" s="3"/>
      <c r="AS220" s="42"/>
      <c r="AT220" s="3"/>
      <c r="AU220" s="42"/>
      <c r="AV220" s="3"/>
      <c r="AW220" s="42"/>
      <c r="AX220" s="3"/>
      <c r="AZ220" s="3"/>
      <c r="BA220" s="6">
        <f>+General!BA205</f>
        <v>0</v>
      </c>
      <c r="BP220" s="5">
        <f t="shared" si="99"/>
        <v>0</v>
      </c>
    </row>
    <row r="221" spans="1:68" x14ac:dyDescent="0.25">
      <c r="A221" s="3" t="s">
        <v>173</v>
      </c>
      <c r="E221" s="3">
        <f t="shared" si="115"/>
        <v>0</v>
      </c>
      <c r="H221" s="32">
        <f t="shared" si="116"/>
        <v>0</v>
      </c>
      <c r="I221" s="32"/>
      <c r="J221" s="4"/>
      <c r="K221" s="4">
        <f t="shared" si="117"/>
        <v>0</v>
      </c>
      <c r="L221" s="4"/>
      <c r="N221" s="4">
        <f t="shared" si="118"/>
        <v>0</v>
      </c>
      <c r="P221" s="3"/>
      <c r="Q221" s="3"/>
      <c r="R221" s="3"/>
      <c r="S221" s="3">
        <f t="shared" si="111"/>
        <v>0</v>
      </c>
      <c r="T221" s="3"/>
      <c r="U221" s="3">
        <f t="shared" si="112"/>
        <v>0</v>
      </c>
      <c r="V221" s="3"/>
      <c r="W221" s="3">
        <f t="shared" si="113"/>
        <v>0</v>
      </c>
      <c r="X221" s="3"/>
      <c r="Y221" s="3"/>
      <c r="Z221" s="3">
        <f t="shared" si="114"/>
        <v>0</v>
      </c>
      <c r="AA221" s="3"/>
      <c r="AB221" s="3"/>
      <c r="AC221" s="3"/>
      <c r="AD221" s="3">
        <f t="shared" si="119"/>
        <v>0</v>
      </c>
      <c r="AE221" s="3"/>
      <c r="AF221" s="3">
        <f t="shared" si="120"/>
        <v>0</v>
      </c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42"/>
      <c r="AR221" s="3"/>
      <c r="AS221" s="42"/>
      <c r="AT221" s="3"/>
      <c r="AU221" s="42"/>
      <c r="AV221" s="3"/>
      <c r="AW221" s="42"/>
      <c r="AX221" s="3"/>
      <c r="AZ221" s="3"/>
      <c r="BA221" s="6">
        <f>+General!BA206</f>
        <v>0</v>
      </c>
      <c r="BP221" s="5">
        <f t="shared" si="99"/>
        <v>0</v>
      </c>
    </row>
    <row r="222" spans="1:68" x14ac:dyDescent="0.25">
      <c r="A222" s="3" t="s">
        <v>174</v>
      </c>
      <c r="B222" s="5">
        <v>1000</v>
      </c>
      <c r="E222" s="3">
        <f t="shared" si="115"/>
        <v>1000</v>
      </c>
      <c r="F222" s="5">
        <v>1000</v>
      </c>
      <c r="H222" s="32">
        <f t="shared" si="116"/>
        <v>0</v>
      </c>
      <c r="I222" s="32"/>
      <c r="J222" s="4">
        <v>0</v>
      </c>
      <c r="K222" s="4">
        <f t="shared" si="117"/>
        <v>1000</v>
      </c>
      <c r="L222" s="4">
        <v>1000</v>
      </c>
      <c r="N222" s="4">
        <f t="shared" si="118"/>
        <v>0</v>
      </c>
      <c r="P222" s="3">
        <v>1000</v>
      </c>
      <c r="Q222" s="3"/>
      <c r="R222" s="3"/>
      <c r="S222" s="3">
        <f t="shared" si="111"/>
        <v>500</v>
      </c>
      <c r="T222" s="3">
        <v>500</v>
      </c>
      <c r="U222" s="3">
        <f t="shared" si="112"/>
        <v>-500</v>
      </c>
      <c r="V222" s="3">
        <v>0</v>
      </c>
      <c r="W222" s="3">
        <f t="shared" si="113"/>
        <v>100</v>
      </c>
      <c r="X222" s="3"/>
      <c r="Y222" s="3">
        <v>100</v>
      </c>
      <c r="Z222" s="3">
        <f t="shared" si="114"/>
        <v>-400</v>
      </c>
      <c r="AA222" s="3"/>
      <c r="AB222" s="3"/>
      <c r="AC222" s="3">
        <v>123</v>
      </c>
      <c r="AD222" s="3">
        <f t="shared" si="119"/>
        <v>2</v>
      </c>
      <c r="AE222" s="3">
        <v>125</v>
      </c>
      <c r="AF222" s="3">
        <f t="shared" si="120"/>
        <v>25</v>
      </c>
      <c r="AG222" s="3"/>
      <c r="AH222" s="3">
        <v>1100</v>
      </c>
      <c r="AI222" s="3"/>
      <c r="AJ222" s="3">
        <f>AH222*1.025</f>
        <v>1127.5</v>
      </c>
      <c r="AK222" s="3"/>
      <c r="AL222" s="3">
        <f>AJ222*1.025</f>
        <v>1155.6875</v>
      </c>
      <c r="AM222" s="3"/>
      <c r="AN222" s="3">
        <f>AL222*1.025</f>
        <v>1184.5796874999999</v>
      </c>
      <c r="AO222" s="3"/>
      <c r="AP222" s="3">
        <f>AN222*1.025</f>
        <v>1214.1941796874999</v>
      </c>
      <c r="AQ222" s="42"/>
      <c r="AR222" s="3">
        <f>AP222*1.025</f>
        <v>1244.5490341796872</v>
      </c>
      <c r="AS222" s="42"/>
      <c r="AT222" s="3">
        <f>AR222*1.025</f>
        <v>1275.6627600341792</v>
      </c>
      <c r="AU222" s="42"/>
      <c r="AV222" s="3">
        <f>AT222*1.025</f>
        <v>1307.5543290350336</v>
      </c>
      <c r="AW222" s="42"/>
      <c r="AX222" s="3">
        <f>AV222*1.025</f>
        <v>1340.2431872609093</v>
      </c>
      <c r="AZ222" s="3">
        <f>AX222*1.025</f>
        <v>1373.7492669424319</v>
      </c>
      <c r="BA222" s="6">
        <f>+General!BA207</f>
        <v>1373.7492669424319</v>
      </c>
      <c r="BP222" s="5">
        <f t="shared" si="99"/>
        <v>0</v>
      </c>
    </row>
    <row r="223" spans="1:68" x14ac:dyDescent="0.25">
      <c r="A223" s="3" t="s">
        <v>175</v>
      </c>
      <c r="E223" s="3">
        <f t="shared" si="115"/>
        <v>0</v>
      </c>
      <c r="H223" s="32">
        <f t="shared" si="116"/>
        <v>0</v>
      </c>
      <c r="I223" s="32"/>
      <c r="J223" s="4"/>
      <c r="K223" s="4">
        <f t="shared" si="117"/>
        <v>0</v>
      </c>
      <c r="L223" s="4"/>
      <c r="N223" s="4">
        <f t="shared" si="118"/>
        <v>0</v>
      </c>
      <c r="P223" s="3"/>
      <c r="Q223" s="3"/>
      <c r="R223" s="3"/>
      <c r="S223" s="3">
        <f t="shared" si="111"/>
        <v>0</v>
      </c>
      <c r="T223" s="3"/>
      <c r="U223" s="3">
        <f t="shared" si="112"/>
        <v>0</v>
      </c>
      <c r="V223" s="3"/>
      <c r="W223" s="3">
        <f t="shared" si="113"/>
        <v>0</v>
      </c>
      <c r="X223" s="3"/>
      <c r="Y223" s="3"/>
      <c r="Z223" s="3">
        <f t="shared" si="114"/>
        <v>0</v>
      </c>
      <c r="AA223" s="3"/>
      <c r="AB223" s="3"/>
      <c r="AC223" s="3"/>
      <c r="AD223" s="3">
        <f t="shared" si="119"/>
        <v>0</v>
      </c>
      <c r="AE223" s="3"/>
      <c r="AF223" s="3">
        <f t="shared" si="120"/>
        <v>0</v>
      </c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42"/>
      <c r="AR223" s="3"/>
      <c r="AS223" s="42"/>
      <c r="AT223" s="3"/>
      <c r="AU223" s="42"/>
      <c r="AV223" s="3"/>
      <c r="AW223" s="42"/>
      <c r="AX223" s="3"/>
      <c r="AZ223" s="3"/>
      <c r="BA223" s="6">
        <f>+General!BA208</f>
        <v>0</v>
      </c>
      <c r="BP223" s="5">
        <f t="shared" si="99"/>
        <v>0</v>
      </c>
    </row>
    <row r="224" spans="1:68" x14ac:dyDescent="0.25">
      <c r="A224" s="3" t="s">
        <v>176</v>
      </c>
      <c r="E224" s="3">
        <f t="shared" si="115"/>
        <v>0</v>
      </c>
      <c r="H224" s="32">
        <f t="shared" si="116"/>
        <v>0</v>
      </c>
      <c r="I224" s="32"/>
      <c r="J224" s="4"/>
      <c r="K224" s="4">
        <f t="shared" si="117"/>
        <v>0</v>
      </c>
      <c r="L224" s="4"/>
      <c r="N224" s="4">
        <f t="shared" si="118"/>
        <v>0</v>
      </c>
      <c r="P224" s="3"/>
      <c r="Q224" s="3"/>
      <c r="R224" s="3"/>
      <c r="S224" s="3">
        <f t="shared" si="111"/>
        <v>0</v>
      </c>
      <c r="T224" s="3"/>
      <c r="U224" s="3">
        <f t="shared" si="112"/>
        <v>0</v>
      </c>
      <c r="V224" s="3"/>
      <c r="W224" s="3">
        <f t="shared" si="113"/>
        <v>0</v>
      </c>
      <c r="X224" s="3"/>
      <c r="Y224" s="3"/>
      <c r="Z224" s="3">
        <f t="shared" si="114"/>
        <v>0</v>
      </c>
      <c r="AA224" s="3"/>
      <c r="AB224" s="3"/>
      <c r="AC224" s="3"/>
      <c r="AD224" s="3">
        <f t="shared" si="119"/>
        <v>0</v>
      </c>
      <c r="AE224" s="3"/>
      <c r="AF224" s="3">
        <f t="shared" si="120"/>
        <v>0</v>
      </c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42"/>
      <c r="AR224" s="3"/>
      <c r="AS224" s="42"/>
      <c r="AT224" s="3"/>
      <c r="AU224" s="42"/>
      <c r="AV224" s="3"/>
      <c r="AW224" s="42"/>
      <c r="AX224" s="3"/>
      <c r="AZ224" s="3"/>
      <c r="BA224" s="6">
        <f>+General!BA209</f>
        <v>0</v>
      </c>
      <c r="BP224" s="5">
        <f t="shared" si="99"/>
        <v>0</v>
      </c>
    </row>
    <row r="225" spans="1:68" x14ac:dyDescent="0.25">
      <c r="A225" s="3" t="s">
        <v>176</v>
      </c>
      <c r="E225" s="3">
        <f t="shared" si="115"/>
        <v>0</v>
      </c>
      <c r="H225" s="32">
        <f t="shared" si="116"/>
        <v>0</v>
      </c>
      <c r="I225" s="32"/>
      <c r="J225" s="4"/>
      <c r="K225" s="4">
        <f t="shared" si="117"/>
        <v>0</v>
      </c>
      <c r="L225" s="4"/>
      <c r="N225" s="4">
        <f t="shared" si="118"/>
        <v>0</v>
      </c>
      <c r="P225" s="3"/>
      <c r="Q225" s="3"/>
      <c r="R225" s="3"/>
      <c r="S225" s="3">
        <f t="shared" si="111"/>
        <v>0</v>
      </c>
      <c r="T225" s="3"/>
      <c r="U225" s="3">
        <f t="shared" si="112"/>
        <v>0</v>
      </c>
      <c r="V225" s="3"/>
      <c r="W225" s="3">
        <f t="shared" si="113"/>
        <v>0</v>
      </c>
      <c r="X225" s="3"/>
      <c r="Y225" s="3"/>
      <c r="Z225" s="3">
        <f t="shared" si="114"/>
        <v>0</v>
      </c>
      <c r="AA225" s="3"/>
      <c r="AB225" s="3"/>
      <c r="AC225" s="3"/>
      <c r="AD225" s="3">
        <f t="shared" si="119"/>
        <v>0</v>
      </c>
      <c r="AE225" s="3"/>
      <c r="AF225" s="3">
        <f t="shared" si="120"/>
        <v>0</v>
      </c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42"/>
      <c r="AR225" s="3"/>
      <c r="AS225" s="42"/>
      <c r="AT225" s="3"/>
      <c r="AU225" s="42"/>
      <c r="AV225" s="3"/>
      <c r="AW225" s="42"/>
      <c r="AX225" s="3"/>
      <c r="AZ225" s="3"/>
      <c r="BA225" s="6">
        <f>+General!BA210</f>
        <v>0</v>
      </c>
      <c r="BP225" s="5">
        <f t="shared" si="99"/>
        <v>0</v>
      </c>
    </row>
    <row r="226" spans="1:68" x14ac:dyDescent="0.25">
      <c r="A226" s="3" t="s">
        <v>177</v>
      </c>
      <c r="E226" s="3">
        <f t="shared" si="115"/>
        <v>0</v>
      </c>
      <c r="H226" s="32">
        <f t="shared" si="116"/>
        <v>0</v>
      </c>
      <c r="I226" s="32"/>
      <c r="J226" s="4"/>
      <c r="K226" s="4">
        <f t="shared" si="117"/>
        <v>0</v>
      </c>
      <c r="L226" s="4"/>
      <c r="N226" s="4">
        <f t="shared" si="118"/>
        <v>0</v>
      </c>
      <c r="P226" s="3"/>
      <c r="Q226" s="3"/>
      <c r="R226" s="3"/>
      <c r="S226" s="3">
        <f t="shared" si="111"/>
        <v>0</v>
      </c>
      <c r="T226" s="3"/>
      <c r="U226" s="3">
        <f t="shared" si="112"/>
        <v>0</v>
      </c>
      <c r="V226" s="3"/>
      <c r="W226" s="3">
        <f t="shared" si="113"/>
        <v>0</v>
      </c>
      <c r="X226" s="3"/>
      <c r="Y226" s="3"/>
      <c r="Z226" s="3">
        <f t="shared" si="114"/>
        <v>0</v>
      </c>
      <c r="AA226" s="3"/>
      <c r="AB226" s="3"/>
      <c r="AC226" s="3"/>
      <c r="AD226" s="3">
        <f t="shared" si="119"/>
        <v>0</v>
      </c>
      <c r="AE226" s="3"/>
      <c r="AF226" s="3">
        <f t="shared" si="120"/>
        <v>0</v>
      </c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42"/>
      <c r="AR226" s="3"/>
      <c r="AS226" s="42"/>
      <c r="AT226" s="3"/>
      <c r="AU226" s="42"/>
      <c r="AV226" s="3"/>
      <c r="AW226" s="42"/>
      <c r="AX226" s="3"/>
      <c r="AZ226" s="3"/>
      <c r="BA226" s="6">
        <f>+General!BA211</f>
        <v>0</v>
      </c>
      <c r="BP226" s="5">
        <f t="shared" si="99"/>
        <v>0</v>
      </c>
    </row>
    <row r="227" spans="1:68" x14ac:dyDescent="0.25">
      <c r="A227" s="3" t="s">
        <v>178</v>
      </c>
      <c r="E227" s="3">
        <f t="shared" si="115"/>
        <v>0</v>
      </c>
      <c r="H227" s="32">
        <f t="shared" si="116"/>
        <v>0</v>
      </c>
      <c r="I227" s="32"/>
      <c r="J227" s="4"/>
      <c r="K227" s="4">
        <f t="shared" si="117"/>
        <v>0</v>
      </c>
      <c r="L227" s="4"/>
      <c r="N227" s="4">
        <f t="shared" si="118"/>
        <v>0</v>
      </c>
      <c r="P227" s="3"/>
      <c r="Q227" s="3"/>
      <c r="R227" s="3"/>
      <c r="S227" s="3">
        <f t="shared" si="111"/>
        <v>0</v>
      </c>
      <c r="T227" s="3"/>
      <c r="U227" s="3">
        <f t="shared" si="112"/>
        <v>0</v>
      </c>
      <c r="V227" s="3"/>
      <c r="W227" s="3">
        <f t="shared" si="113"/>
        <v>0</v>
      </c>
      <c r="X227" s="3"/>
      <c r="Y227" s="3"/>
      <c r="Z227" s="3">
        <f t="shared" si="114"/>
        <v>0</v>
      </c>
      <c r="AA227" s="3"/>
      <c r="AB227" s="3"/>
      <c r="AC227" s="3"/>
      <c r="AD227" s="3">
        <f t="shared" si="119"/>
        <v>0</v>
      </c>
      <c r="AE227" s="3"/>
      <c r="AF227" s="3">
        <f t="shared" si="120"/>
        <v>0</v>
      </c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42"/>
      <c r="AR227" s="3"/>
      <c r="AS227" s="42"/>
      <c r="AT227" s="3"/>
      <c r="AU227" s="42"/>
      <c r="AV227" s="3"/>
      <c r="AW227" s="42"/>
      <c r="AX227" s="3"/>
      <c r="AZ227" s="3"/>
      <c r="BA227" s="6">
        <f>+General!BA212</f>
        <v>0</v>
      </c>
      <c r="BP227" s="5">
        <f t="shared" si="99"/>
        <v>0</v>
      </c>
    </row>
    <row r="228" spans="1:68" x14ac:dyDescent="0.25">
      <c r="A228" s="3" t="s">
        <v>179</v>
      </c>
      <c r="E228" s="3"/>
      <c r="H228" s="32"/>
      <c r="I228" s="32"/>
      <c r="J228" s="4"/>
      <c r="K228" s="4"/>
      <c r="L228" s="4"/>
      <c r="N228" s="4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>
        <v>91500</v>
      </c>
      <c r="AI228" s="3"/>
      <c r="AJ228" s="3"/>
      <c r="AK228" s="3"/>
      <c r="AL228" s="3"/>
      <c r="AM228" s="3"/>
      <c r="AN228" s="3"/>
      <c r="AO228" s="3"/>
      <c r="AP228" s="3"/>
      <c r="AQ228" s="42"/>
      <c r="AR228" s="3"/>
      <c r="AS228" s="42"/>
      <c r="AT228" s="3"/>
      <c r="AU228" s="42"/>
      <c r="AV228" s="3"/>
      <c r="AW228" s="42"/>
      <c r="AX228" s="3"/>
      <c r="AZ228" s="3"/>
      <c r="BA228" s="6">
        <f>+General!BA213</f>
        <v>0</v>
      </c>
      <c r="BP228" s="5">
        <f t="shared" si="99"/>
        <v>0</v>
      </c>
    </row>
    <row r="229" spans="1:68" x14ac:dyDescent="0.25">
      <c r="A229" s="3" t="s">
        <v>180</v>
      </c>
      <c r="D229" s="5">
        <v>1770</v>
      </c>
      <c r="E229" s="3">
        <f>F229-D229</f>
        <v>0</v>
      </c>
      <c r="F229" s="5">
        <v>1770</v>
      </c>
      <c r="H229" s="32">
        <f>F229-B229</f>
        <v>1770</v>
      </c>
      <c r="I229" s="32"/>
      <c r="J229" s="4">
        <v>1770</v>
      </c>
      <c r="K229" s="4">
        <f t="shared" si="117"/>
        <v>0</v>
      </c>
      <c r="L229" s="4">
        <v>1770</v>
      </c>
      <c r="N229" s="4">
        <f t="shared" si="118"/>
        <v>0</v>
      </c>
      <c r="P229" s="3"/>
      <c r="Q229" s="3"/>
      <c r="R229" s="3"/>
      <c r="S229" s="3">
        <f t="shared" si="111"/>
        <v>0</v>
      </c>
      <c r="T229" s="3"/>
      <c r="U229" s="3">
        <f t="shared" si="112"/>
        <v>0</v>
      </c>
      <c r="V229" s="3"/>
      <c r="W229" s="3">
        <f t="shared" si="113"/>
        <v>0</v>
      </c>
      <c r="X229" s="3"/>
      <c r="Y229" s="3"/>
      <c r="Z229" s="3">
        <f t="shared" si="114"/>
        <v>0</v>
      </c>
      <c r="AA229" s="3"/>
      <c r="AB229" s="3"/>
      <c r="AC229" s="3"/>
      <c r="AD229" s="3">
        <f t="shared" si="119"/>
        <v>0</v>
      </c>
      <c r="AE229" s="3"/>
      <c r="AF229" s="3">
        <f t="shared" si="120"/>
        <v>0</v>
      </c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42"/>
      <c r="AR229" s="3"/>
      <c r="AS229" s="42"/>
      <c r="AT229" s="3"/>
      <c r="AU229" s="42"/>
      <c r="AV229" s="3"/>
      <c r="AW229" s="42"/>
      <c r="AX229" s="3"/>
      <c r="AZ229" s="3"/>
      <c r="BA229" s="6">
        <f>+General!BA214</f>
        <v>0</v>
      </c>
      <c r="BP229" s="5">
        <f t="shared" si="99"/>
        <v>0</v>
      </c>
    </row>
    <row r="230" spans="1:68" x14ac:dyDescent="0.25">
      <c r="A230" s="3" t="s">
        <v>181</v>
      </c>
      <c r="E230" s="3"/>
      <c r="H230" s="32"/>
      <c r="I230" s="32"/>
      <c r="J230" s="4"/>
      <c r="K230" s="4"/>
      <c r="L230" s="4"/>
      <c r="N230" s="4"/>
      <c r="P230" s="3"/>
      <c r="Q230" s="3"/>
      <c r="R230" s="3"/>
      <c r="S230" s="3">
        <f t="shared" si="111"/>
        <v>10750</v>
      </c>
      <c r="T230" s="3">
        <v>10750</v>
      </c>
      <c r="U230" s="3">
        <f>T230-P230</f>
        <v>10750</v>
      </c>
      <c r="V230" s="3">
        <v>0</v>
      </c>
      <c r="W230" s="3">
        <f t="shared" si="113"/>
        <v>10750</v>
      </c>
      <c r="X230" s="3"/>
      <c r="Y230" s="3">
        <v>10750</v>
      </c>
      <c r="Z230" s="3">
        <f t="shared" si="114"/>
        <v>0</v>
      </c>
      <c r="AA230" s="3"/>
      <c r="AB230" s="3"/>
      <c r="AC230" s="3"/>
      <c r="AD230" s="3">
        <f t="shared" si="119"/>
        <v>10750</v>
      </c>
      <c r="AE230" s="3">
        <v>10750</v>
      </c>
      <c r="AF230" s="3">
        <f t="shared" si="120"/>
        <v>0</v>
      </c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42"/>
      <c r="AR230" s="3"/>
      <c r="AS230" s="42"/>
      <c r="AT230" s="3"/>
      <c r="AU230" s="42"/>
      <c r="AV230" s="3"/>
      <c r="AW230" s="42"/>
      <c r="AX230" s="3"/>
      <c r="AZ230" s="3"/>
      <c r="BA230" s="6">
        <f>+General!BA215</f>
        <v>0</v>
      </c>
      <c r="BP230" s="5">
        <f t="shared" si="99"/>
        <v>0</v>
      </c>
    </row>
    <row r="231" spans="1:68" x14ac:dyDescent="0.25">
      <c r="A231" s="3" t="s">
        <v>182</v>
      </c>
      <c r="D231" s="3">
        <v>21173</v>
      </c>
      <c r="E231" s="3">
        <f t="shared" si="115"/>
        <v>7</v>
      </c>
      <c r="F231" s="5">
        <v>21180</v>
      </c>
      <c r="H231" s="32">
        <f t="shared" si="116"/>
        <v>21180</v>
      </c>
      <c r="I231" s="32"/>
      <c r="J231" s="4">
        <v>-9856</v>
      </c>
      <c r="K231" s="4">
        <f t="shared" si="117"/>
        <v>9856</v>
      </c>
      <c r="L231" s="4">
        <v>0</v>
      </c>
      <c r="N231" s="4">
        <f t="shared" si="118"/>
        <v>-21180</v>
      </c>
      <c r="P231" s="3"/>
      <c r="Q231" s="3"/>
      <c r="R231" s="3"/>
      <c r="S231" s="3">
        <f t="shared" si="111"/>
        <v>0</v>
      </c>
      <c r="T231" s="3"/>
      <c r="U231" s="3">
        <f t="shared" si="112"/>
        <v>0</v>
      </c>
      <c r="V231" s="3"/>
      <c r="W231" s="3">
        <f t="shared" si="113"/>
        <v>0</v>
      </c>
      <c r="X231" s="3"/>
      <c r="Y231" s="3"/>
      <c r="Z231" s="3">
        <f t="shared" si="114"/>
        <v>0</v>
      </c>
      <c r="AA231" s="3"/>
      <c r="AB231" s="3"/>
      <c r="AC231" s="3"/>
      <c r="AD231" s="3">
        <f t="shared" si="119"/>
        <v>0</v>
      </c>
      <c r="AE231" s="3"/>
      <c r="AF231" s="3">
        <f t="shared" si="120"/>
        <v>0</v>
      </c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42"/>
      <c r="AR231" s="3"/>
      <c r="AS231" s="42"/>
      <c r="AT231" s="3"/>
      <c r="AU231" s="42"/>
      <c r="AV231" s="3"/>
      <c r="AW231" s="42"/>
      <c r="AX231" s="3"/>
      <c r="AZ231" s="3"/>
      <c r="BA231" s="6">
        <f>+General!BA216</f>
        <v>0</v>
      </c>
      <c r="BP231" s="5">
        <f t="shared" si="99"/>
        <v>0</v>
      </c>
    </row>
    <row r="232" spans="1:68" x14ac:dyDescent="0.25">
      <c r="A232" s="3" t="s">
        <v>183</v>
      </c>
      <c r="E232" s="3">
        <f t="shared" si="115"/>
        <v>0</v>
      </c>
      <c r="H232" s="32">
        <f t="shared" si="116"/>
        <v>0</v>
      </c>
      <c r="I232" s="32"/>
      <c r="J232" s="4"/>
      <c r="K232" s="4">
        <f t="shared" si="117"/>
        <v>0</v>
      </c>
      <c r="L232" s="4"/>
      <c r="N232" s="4">
        <f t="shared" si="118"/>
        <v>0</v>
      </c>
      <c r="P232" s="3"/>
      <c r="Q232" s="3"/>
      <c r="R232" s="3"/>
      <c r="S232" s="3">
        <f t="shared" si="111"/>
        <v>0</v>
      </c>
      <c r="T232" s="3"/>
      <c r="U232" s="3">
        <f t="shared" si="112"/>
        <v>0</v>
      </c>
      <c r="V232" s="3"/>
      <c r="W232" s="3">
        <f t="shared" si="113"/>
        <v>0</v>
      </c>
      <c r="X232" s="3"/>
      <c r="Y232" s="3"/>
      <c r="Z232" s="3">
        <f t="shared" si="114"/>
        <v>0</v>
      </c>
      <c r="AA232" s="3"/>
      <c r="AB232" s="3"/>
      <c r="AC232" s="3"/>
      <c r="AD232" s="3">
        <f t="shared" si="119"/>
        <v>0</v>
      </c>
      <c r="AE232" s="3"/>
      <c r="AF232" s="3">
        <f t="shared" si="120"/>
        <v>0</v>
      </c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42"/>
      <c r="AR232" s="3"/>
      <c r="AS232" s="42"/>
      <c r="AT232" s="3"/>
      <c r="AU232" s="42"/>
      <c r="AV232" s="3"/>
      <c r="AW232" s="42"/>
      <c r="AX232" s="3"/>
      <c r="AZ232" s="3"/>
      <c r="BA232" s="6">
        <f>+General!BA217</f>
        <v>0</v>
      </c>
      <c r="BP232" s="5">
        <f t="shared" si="99"/>
        <v>0</v>
      </c>
    </row>
    <row r="233" spans="1:68" x14ac:dyDescent="0.25">
      <c r="A233" s="3" t="s">
        <v>90</v>
      </c>
      <c r="B233" s="5">
        <v>100</v>
      </c>
      <c r="E233" s="3">
        <f t="shared" si="115"/>
        <v>100</v>
      </c>
      <c r="F233" s="5">
        <v>100</v>
      </c>
      <c r="H233" s="32">
        <f t="shared" si="116"/>
        <v>0</v>
      </c>
      <c r="I233" s="32"/>
      <c r="J233" s="4"/>
      <c r="K233" s="4">
        <f t="shared" si="117"/>
        <v>100</v>
      </c>
      <c r="L233" s="4">
        <v>100</v>
      </c>
      <c r="N233" s="4">
        <f t="shared" si="118"/>
        <v>0</v>
      </c>
      <c r="P233" s="3">
        <v>100</v>
      </c>
      <c r="Q233" s="3"/>
      <c r="R233" s="3"/>
      <c r="S233" s="3">
        <f t="shared" si="111"/>
        <v>100</v>
      </c>
      <c r="T233" s="3">
        <v>100</v>
      </c>
      <c r="U233" s="3">
        <f t="shared" si="112"/>
        <v>0</v>
      </c>
      <c r="V233" s="3"/>
      <c r="W233" s="3">
        <f t="shared" si="113"/>
        <v>100</v>
      </c>
      <c r="X233" s="3"/>
      <c r="Y233" s="3">
        <v>100</v>
      </c>
      <c r="Z233" s="3">
        <f t="shared" si="114"/>
        <v>0</v>
      </c>
      <c r="AA233" s="3"/>
      <c r="AB233" s="3"/>
      <c r="AC233" s="3"/>
      <c r="AD233" s="3">
        <f t="shared" si="119"/>
        <v>100</v>
      </c>
      <c r="AE233" s="3">
        <v>100</v>
      </c>
      <c r="AF233" s="3">
        <f t="shared" si="120"/>
        <v>0</v>
      </c>
      <c r="AG233" s="3"/>
      <c r="AH233" s="3">
        <v>100</v>
      </c>
      <c r="AI233" s="3"/>
      <c r="AJ233" s="3">
        <f>AH233*1.025</f>
        <v>102.49999999999999</v>
      </c>
      <c r="AK233" s="3"/>
      <c r="AL233" s="3">
        <f>AJ233*1.025</f>
        <v>105.06249999999997</v>
      </c>
      <c r="AM233" s="3"/>
      <c r="AN233" s="3">
        <f>AL233*1.025</f>
        <v>107.68906249999996</v>
      </c>
      <c r="AO233" s="3"/>
      <c r="AP233" s="3">
        <f>AN233*1.025</f>
        <v>110.38128906249996</v>
      </c>
      <c r="AQ233" s="42"/>
      <c r="AR233" s="3">
        <f>AP233*1.025</f>
        <v>113.14082128906244</v>
      </c>
      <c r="AS233" s="42"/>
      <c r="AT233" s="3">
        <f>AR233*1.025</f>
        <v>115.96934182128899</v>
      </c>
      <c r="AU233" s="42"/>
      <c r="AV233" s="3">
        <f>AT233*1.025</f>
        <v>118.8685753668212</v>
      </c>
      <c r="AW233" s="42"/>
      <c r="AX233" s="3">
        <f>AV233*1.025</f>
        <v>121.84028975099173</v>
      </c>
      <c r="AZ233" s="3">
        <f>AX233*1.025</f>
        <v>124.88629699476651</v>
      </c>
      <c r="BA233" s="6">
        <f>+General!BA218</f>
        <v>124.88629699476651</v>
      </c>
      <c r="BP233" s="5">
        <f t="shared" si="99"/>
        <v>0</v>
      </c>
    </row>
    <row r="234" spans="1:68" x14ac:dyDescent="0.25">
      <c r="A234" s="3"/>
      <c r="B234" s="48">
        <f>SUM(B213:B233)</f>
        <v>36100</v>
      </c>
      <c r="C234" s="32"/>
      <c r="D234" s="48">
        <f>SUM(D213:D233)</f>
        <v>22943</v>
      </c>
      <c r="E234" s="48">
        <f>SUM(E213:E233)</f>
        <v>86107</v>
      </c>
      <c r="F234" s="48">
        <f>SUM(F213:F233)</f>
        <v>109050</v>
      </c>
      <c r="G234" s="32"/>
      <c r="H234" s="48">
        <f>SUM(H213:H233)</f>
        <v>72950</v>
      </c>
      <c r="I234" s="36"/>
      <c r="J234" s="48">
        <f>SUM(J213:J233)</f>
        <v>-8086</v>
      </c>
      <c r="K234" s="48">
        <f>SUM(K213:K233)</f>
        <v>95956</v>
      </c>
      <c r="L234" s="48">
        <f>SUM(L213:L233)</f>
        <v>87870</v>
      </c>
      <c r="M234" s="32"/>
      <c r="N234" s="48">
        <f>SUM(N213:N233)</f>
        <v>-21180</v>
      </c>
      <c r="P234" s="48">
        <f>SUM(P213:P233)</f>
        <v>1100</v>
      </c>
      <c r="R234" s="48">
        <f t="shared" ref="R234:Z234" si="121">SUM(R213:R233)</f>
        <v>0</v>
      </c>
      <c r="S234" s="48">
        <f t="shared" si="121"/>
        <v>11350</v>
      </c>
      <c r="T234" s="48">
        <f t="shared" si="121"/>
        <v>11350</v>
      </c>
      <c r="U234" s="48">
        <f t="shared" si="121"/>
        <v>10250</v>
      </c>
      <c r="V234" s="48">
        <f t="shared" si="121"/>
        <v>0</v>
      </c>
      <c r="W234" s="48">
        <f t="shared" si="121"/>
        <v>10950</v>
      </c>
      <c r="X234" s="48"/>
      <c r="Y234" s="48">
        <f t="shared" si="121"/>
        <v>10950</v>
      </c>
      <c r="Z234" s="48">
        <f t="shared" si="121"/>
        <v>-400</v>
      </c>
      <c r="AC234" s="48">
        <f>SUM(AC213:AC233)</f>
        <v>123</v>
      </c>
      <c r="AD234" s="48">
        <f>SUM(AD213:AD233)</f>
        <v>26852</v>
      </c>
      <c r="AE234" s="48">
        <f>SUM(AE213:AE233)</f>
        <v>26975</v>
      </c>
      <c r="AF234" s="48">
        <f>SUM(AF213:AF233)</f>
        <v>16025</v>
      </c>
      <c r="AH234" s="48">
        <f>SUM(AH213:AH233)</f>
        <v>97700</v>
      </c>
      <c r="AJ234" s="48">
        <f>SUM(AJ213:AJ233)</f>
        <v>1230</v>
      </c>
      <c r="AL234" s="48">
        <f>SUM(AL213:AL233)</f>
        <v>1260.75</v>
      </c>
      <c r="AN234" s="48">
        <f>SUM(AN213:AN233)</f>
        <v>1292.2687499999997</v>
      </c>
      <c r="AO234" s="48"/>
      <c r="AP234" s="48">
        <f>SUM(AP213:AP233)</f>
        <v>1324.5754687499998</v>
      </c>
      <c r="AR234" s="48">
        <f>SUM(AR213:AR233)</f>
        <v>1357.6898554687496</v>
      </c>
      <c r="AT234" s="48">
        <f>SUM(AT213:AT233)</f>
        <v>1391.6321018554681</v>
      </c>
      <c r="AV234" s="48">
        <f>SUM(AV213:AV233)</f>
        <v>1426.4229044018548</v>
      </c>
      <c r="AX234" s="48">
        <f>SUM(AX213:AX233)</f>
        <v>1462.0834770119011</v>
      </c>
      <c r="AZ234" s="48">
        <f>SUM(AZ213:AZ233)</f>
        <v>1498.6355639371984</v>
      </c>
      <c r="BA234" s="6">
        <f>+General!BA219</f>
        <v>1498.6355639371984</v>
      </c>
      <c r="BP234" s="5">
        <f t="shared" si="99"/>
        <v>0</v>
      </c>
    </row>
    <row r="235" spans="1:68" ht="15.75" thickBot="1" x14ac:dyDescent="0.3">
      <c r="A235" s="3"/>
      <c r="B235" s="49">
        <f>B234+B211+B204+B193+B191+B187+B182</f>
        <v>85300</v>
      </c>
      <c r="C235" s="32"/>
      <c r="D235" s="49">
        <f>D234+D211+D204+D193+D191+D187+D182</f>
        <v>28347</v>
      </c>
      <c r="E235" s="49">
        <f>E234+E211+E204+E193+E191+E187+E182</f>
        <v>142003</v>
      </c>
      <c r="F235" s="49">
        <f>F234+F211+F204+F193+F191+F187+F182</f>
        <v>170350</v>
      </c>
      <c r="G235" s="32"/>
      <c r="H235" s="49">
        <f>H234+H211+H204+H193+H191+H187+H182</f>
        <v>85050</v>
      </c>
      <c r="I235" s="36"/>
      <c r="J235" s="49">
        <f>J234+J211+J204+J193+J191+J187+J182</f>
        <v>2734</v>
      </c>
      <c r="K235" s="49">
        <f>K234+K211+K204+K193+K191+K187+K182</f>
        <v>149336</v>
      </c>
      <c r="L235" s="49">
        <f>L234+L211+L204+L193+L191+L187+L182</f>
        <v>152070</v>
      </c>
      <c r="M235" s="32"/>
      <c r="N235" s="49">
        <f>N234+N211+N204+N193+N191+N187+N182</f>
        <v>-18180</v>
      </c>
      <c r="P235" s="49">
        <f>P234+P211+P204+P193+P191+P187+P182</f>
        <v>45150.25</v>
      </c>
      <c r="R235" s="49">
        <f t="shared" ref="R235:Z235" si="122">R234+R211+R204+R193+R191+R187+R182</f>
        <v>3371</v>
      </c>
      <c r="S235" s="49">
        <f t="shared" si="122"/>
        <v>47754</v>
      </c>
      <c r="T235" s="49">
        <f t="shared" si="122"/>
        <v>51125</v>
      </c>
      <c r="U235" s="49">
        <f t="shared" si="122"/>
        <v>5974.7500000000018</v>
      </c>
      <c r="V235" s="49">
        <f t="shared" si="122"/>
        <v>30573</v>
      </c>
      <c r="W235" s="49">
        <f t="shared" si="122"/>
        <v>24002</v>
      </c>
      <c r="X235" s="49"/>
      <c r="Y235" s="49">
        <f t="shared" si="122"/>
        <v>54575</v>
      </c>
      <c r="Z235" s="49">
        <f t="shared" si="122"/>
        <v>3450</v>
      </c>
      <c r="AC235" s="49">
        <f>AC234+AC211+AC204+AC193+AC191+AC187+AC182</f>
        <v>39104</v>
      </c>
      <c r="AD235" s="49">
        <f>AD234+AD211+AD204+AD193+AD191+AD187+AD182</f>
        <v>36991</v>
      </c>
      <c r="AE235" s="49">
        <f>AE234+AE211+AE204+AE193+AE191+AE187+AE182</f>
        <v>76095</v>
      </c>
      <c r="AF235" s="49">
        <f>AF234+AF211+AF204+AF193+AF191+AF187+AF182</f>
        <v>21520</v>
      </c>
      <c r="AH235" s="49">
        <f>AH234+AH211+AH204+AH193+AH191+AH187+AH182</f>
        <v>140299.75</v>
      </c>
      <c r="AJ235" s="49">
        <f>AJ234+AJ211+AJ204+AJ193+AJ191+AJ187+AJ182</f>
        <v>44774.743749999994</v>
      </c>
      <c r="AL235" s="49">
        <f>AL234+AL211+AL204+AL193+AL191+AL187+AL182</f>
        <v>45771.312343749996</v>
      </c>
      <c r="AM235" s="32">
        <f t="shared" ref="AM235:AZ235" si="123">AM234+AM211+AM204+AM193+AM191+AM187+AM182</f>
        <v>0</v>
      </c>
      <c r="AN235" s="49">
        <f t="shared" si="123"/>
        <v>46789.944152343742</v>
      </c>
      <c r="AO235" s="49">
        <f t="shared" si="123"/>
        <v>0</v>
      </c>
      <c r="AP235" s="49">
        <f t="shared" si="123"/>
        <v>47831.138736152338</v>
      </c>
      <c r="AQ235" s="32">
        <f t="shared" si="123"/>
        <v>0</v>
      </c>
      <c r="AR235" s="49">
        <f t="shared" si="123"/>
        <v>48885.40710415614</v>
      </c>
      <c r="AS235" s="49">
        <f t="shared" si="123"/>
        <v>0</v>
      </c>
      <c r="AT235" s="49">
        <f t="shared" si="123"/>
        <v>49963.271979352037</v>
      </c>
      <c r="AU235" s="32">
        <f t="shared" si="123"/>
        <v>0</v>
      </c>
      <c r="AV235" s="49">
        <f t="shared" si="123"/>
        <v>51065.26807037968</v>
      </c>
      <c r="AW235" s="32">
        <f t="shared" si="123"/>
        <v>0</v>
      </c>
      <c r="AX235" s="49">
        <f t="shared" si="123"/>
        <v>52191.942349513891</v>
      </c>
      <c r="AY235" s="32">
        <f t="shared" si="123"/>
        <v>0</v>
      </c>
      <c r="AZ235" s="49">
        <f t="shared" si="123"/>
        <v>53343.854337173943</v>
      </c>
      <c r="BA235" s="6">
        <f>+General!BA220</f>
        <v>53343.854337173943</v>
      </c>
      <c r="BP235" s="5">
        <f>+BA235-AZ235</f>
        <v>0</v>
      </c>
    </row>
    <row r="236" spans="1:68" ht="15.75" thickTop="1" x14ac:dyDescent="0.25">
      <c r="A236" s="3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P236" s="32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2"/>
      <c r="AI236" s="3"/>
      <c r="AJ236" s="32"/>
      <c r="AK236" s="3"/>
      <c r="AL236" s="32"/>
      <c r="AM236" s="3"/>
      <c r="AN236" s="32"/>
      <c r="AO236" s="32"/>
      <c r="AP236" s="32"/>
      <c r="AQ236" s="42"/>
      <c r="AR236" s="32"/>
      <c r="AS236" s="42"/>
      <c r="AT236" s="32"/>
      <c r="AV236" s="32"/>
      <c r="AX236" s="32"/>
      <c r="AZ236" s="32"/>
      <c r="BA236" s="6">
        <f>+General!BA221</f>
        <v>0</v>
      </c>
      <c r="BP236" s="5">
        <f t="shared" si="99"/>
        <v>0</v>
      </c>
    </row>
    <row r="237" spans="1:68" s="42" customFormat="1" x14ac:dyDescent="0.25">
      <c r="A237" s="7" t="s">
        <v>184</v>
      </c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4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R237" s="3"/>
      <c r="AT237" s="3"/>
      <c r="AV237" s="3"/>
      <c r="AX237" s="3"/>
      <c r="AZ237" s="3"/>
      <c r="BA237" s="6">
        <f>+General!BA222</f>
        <v>0</v>
      </c>
      <c r="BP237" s="5">
        <f t="shared" si="99"/>
        <v>0</v>
      </c>
    </row>
    <row r="238" spans="1:68" x14ac:dyDescent="0.25">
      <c r="A238" s="7" t="s">
        <v>185</v>
      </c>
      <c r="BA238" s="6">
        <f>+General!BA223</f>
        <v>0</v>
      </c>
      <c r="BP238" s="5">
        <f t="shared" si="99"/>
        <v>0</v>
      </c>
    </row>
    <row r="239" spans="1:68" x14ac:dyDescent="0.25">
      <c r="A239" s="3" t="s">
        <v>186</v>
      </c>
      <c r="B239" s="5">
        <v>600</v>
      </c>
      <c r="D239" s="5">
        <v>144</v>
      </c>
      <c r="E239" s="3">
        <f>F239-D239</f>
        <v>456</v>
      </c>
      <c r="F239" s="5">
        <v>600</v>
      </c>
      <c r="H239" s="32">
        <f>F239-B239</f>
        <v>0</v>
      </c>
      <c r="I239" s="32"/>
      <c r="J239" s="4">
        <v>216</v>
      </c>
      <c r="K239" s="4">
        <f>L239-J239</f>
        <v>384</v>
      </c>
      <c r="L239" s="4">
        <v>600</v>
      </c>
      <c r="N239" s="4">
        <f>L239-F239</f>
        <v>0</v>
      </c>
      <c r="P239" s="3">
        <v>600</v>
      </c>
      <c r="Q239" s="3"/>
      <c r="R239" s="3">
        <v>286</v>
      </c>
      <c r="S239" s="3">
        <f>T239-R239</f>
        <v>314</v>
      </c>
      <c r="T239" s="3">
        <v>600</v>
      </c>
      <c r="U239" s="3">
        <f>T239-P239</f>
        <v>0</v>
      </c>
      <c r="V239" s="3">
        <v>608</v>
      </c>
      <c r="W239" s="3">
        <f>Y239-V239</f>
        <v>192</v>
      </c>
      <c r="X239" s="3"/>
      <c r="Y239" s="3">
        <v>800</v>
      </c>
      <c r="Z239" s="3">
        <f>Y239-T239</f>
        <v>200</v>
      </c>
      <c r="AA239" s="3"/>
      <c r="AB239" s="3"/>
      <c r="AC239" s="3">
        <v>580</v>
      </c>
      <c r="AD239" s="3">
        <f>AE239-AC239</f>
        <v>220</v>
      </c>
      <c r="AE239" s="3">
        <v>800</v>
      </c>
      <c r="AF239" s="3">
        <f>AE239-Y239</f>
        <v>0</v>
      </c>
      <c r="AG239" s="3"/>
      <c r="AH239" s="3">
        <v>15000</v>
      </c>
      <c r="AI239" s="3"/>
      <c r="AJ239" s="3">
        <f>AH239*1.025</f>
        <v>15374.999999999998</v>
      </c>
      <c r="AK239" s="3"/>
      <c r="AL239" s="3">
        <f>AJ239*1.025</f>
        <v>15759.374999999996</v>
      </c>
      <c r="AM239" s="3"/>
      <c r="AN239" s="3">
        <f>AL239*1.025</f>
        <v>16153.359374999995</v>
      </c>
      <c r="AO239" s="3"/>
      <c r="AP239" s="3">
        <f>AN239*1.025</f>
        <v>16557.193359374993</v>
      </c>
      <c r="AQ239" s="42"/>
      <c r="AR239" s="3">
        <f>AP239*1.025</f>
        <v>16971.123193359366</v>
      </c>
      <c r="AS239" s="42"/>
      <c r="AT239" s="3">
        <f>AR239*1.025</f>
        <v>17395.401273193347</v>
      </c>
      <c r="AU239" s="42"/>
      <c r="AV239" s="3">
        <f>AT239*1.025</f>
        <v>17830.286305023179</v>
      </c>
      <c r="AW239" s="42"/>
      <c r="AX239" s="3">
        <f>AV239*1.025</f>
        <v>18276.043462648759</v>
      </c>
      <c r="AZ239" s="3">
        <f>AX239*1.025</f>
        <v>18732.944549214975</v>
      </c>
      <c r="BA239" s="6">
        <f>+General!BA224</f>
        <v>18732.944549214975</v>
      </c>
      <c r="BP239" s="5">
        <f t="shared" si="99"/>
        <v>0</v>
      </c>
    </row>
    <row r="240" spans="1:68" x14ac:dyDescent="0.25">
      <c r="A240" s="3" t="s">
        <v>187</v>
      </c>
      <c r="E240" s="3">
        <f>F240-D240</f>
        <v>0</v>
      </c>
      <c r="H240" s="32">
        <f>F240-B240</f>
        <v>0</v>
      </c>
      <c r="I240" s="32"/>
      <c r="J240" s="4"/>
      <c r="K240" s="4">
        <f>L240-J240</f>
        <v>0</v>
      </c>
      <c r="L240" s="4"/>
      <c r="N240" s="4">
        <f>L240-F240</f>
        <v>0</v>
      </c>
      <c r="S240" s="3">
        <f>T240-R240</f>
        <v>0</v>
      </c>
      <c r="T240" s="3"/>
      <c r="U240" s="3">
        <f>T240-P240</f>
        <v>0</v>
      </c>
      <c r="W240" s="3">
        <f>Y240-V240</f>
        <v>0</v>
      </c>
      <c r="X240" s="3"/>
      <c r="Z240" s="3">
        <f>Y240-T240</f>
        <v>0</v>
      </c>
      <c r="AD240" s="3">
        <f>AE240-AC240</f>
        <v>0</v>
      </c>
      <c r="AE240" s="3"/>
      <c r="AF240" s="3">
        <f>AE240-Y240</f>
        <v>0</v>
      </c>
      <c r="AH240" s="5">
        <v>29700</v>
      </c>
      <c r="AJ240" s="3">
        <f>AH240*1.025</f>
        <v>30442.499999999996</v>
      </c>
      <c r="AK240" s="3"/>
      <c r="AL240" s="3">
        <f>AJ240*1.025</f>
        <v>31203.562499999993</v>
      </c>
      <c r="AM240" s="3"/>
      <c r="AN240" s="3">
        <f>AL240*1.025</f>
        <v>31983.651562499988</v>
      </c>
      <c r="AO240" s="3"/>
      <c r="AP240" s="3">
        <f>AN240*1.025</f>
        <v>32783.242851562485</v>
      </c>
      <c r="AQ240" s="42"/>
      <c r="AR240" s="3">
        <f>AP240*1.025</f>
        <v>33602.823922851545</v>
      </c>
      <c r="AS240" s="42"/>
      <c r="AT240" s="3">
        <f>AR240*1.025</f>
        <v>34442.894520922833</v>
      </c>
      <c r="AU240" s="42"/>
      <c r="AV240" s="3">
        <f>AT240*1.025</f>
        <v>35303.966883945905</v>
      </c>
      <c r="AW240" s="42"/>
      <c r="AX240" s="3">
        <f>AV240*1.025</f>
        <v>36186.566056044547</v>
      </c>
      <c r="AZ240" s="3">
        <f>AX240*1.025</f>
        <v>37091.23020744566</v>
      </c>
      <c r="BA240" s="6">
        <f>+General!BA225</f>
        <v>37091.23020744566</v>
      </c>
      <c r="BP240" s="5">
        <f t="shared" si="99"/>
        <v>0</v>
      </c>
    </row>
    <row r="241" spans="1:68" x14ac:dyDescent="0.25">
      <c r="A241" s="3" t="s">
        <v>188</v>
      </c>
      <c r="E241" s="3">
        <f>F241-D241</f>
        <v>0</v>
      </c>
      <c r="H241" s="32">
        <f>F241-B241</f>
        <v>0</v>
      </c>
      <c r="I241" s="32"/>
      <c r="J241" s="4"/>
      <c r="K241" s="4">
        <f>L241-J241</f>
        <v>0</v>
      </c>
      <c r="L241" s="4"/>
      <c r="N241" s="4">
        <f>L241-F241</f>
        <v>0</v>
      </c>
      <c r="S241" s="3">
        <f>T241-R241</f>
        <v>0</v>
      </c>
      <c r="T241" s="3"/>
      <c r="U241" s="3">
        <f>T241-P241</f>
        <v>0</v>
      </c>
      <c r="W241" s="3">
        <f>Y241-V241</f>
        <v>0</v>
      </c>
      <c r="X241" s="3"/>
      <c r="Z241" s="3">
        <f>Y241-T241</f>
        <v>0</v>
      </c>
      <c r="AD241" s="3">
        <f>AE241-AC241</f>
        <v>0</v>
      </c>
      <c r="AE241" s="3"/>
      <c r="AF241" s="3">
        <f>AE241-Y241</f>
        <v>0</v>
      </c>
      <c r="BA241" s="6">
        <f>+General!BA226</f>
        <v>0</v>
      </c>
      <c r="BP241" s="5">
        <f t="shared" si="99"/>
        <v>0</v>
      </c>
    </row>
    <row r="242" spans="1:68" x14ac:dyDescent="0.25">
      <c r="A242" s="3" t="s">
        <v>189</v>
      </c>
      <c r="E242" s="3">
        <f>F242-D242</f>
        <v>0</v>
      </c>
      <c r="H242" s="32">
        <f>F242-B242</f>
        <v>0</v>
      </c>
      <c r="I242" s="32"/>
      <c r="J242" s="4"/>
      <c r="K242" s="4">
        <f>L242-J242</f>
        <v>0</v>
      </c>
      <c r="L242" s="4"/>
      <c r="N242" s="4">
        <f>L242-F242</f>
        <v>0</v>
      </c>
      <c r="S242" s="3">
        <f>T242-R242</f>
        <v>0</v>
      </c>
      <c r="T242" s="3"/>
      <c r="U242" s="3">
        <f>T242-P242</f>
        <v>0</v>
      </c>
      <c r="W242" s="3">
        <f>Y242-V242</f>
        <v>0</v>
      </c>
      <c r="X242" s="3"/>
      <c r="Z242" s="3">
        <f>Y242-T242</f>
        <v>0</v>
      </c>
      <c r="AD242" s="3">
        <f>AE242-AC242</f>
        <v>0</v>
      </c>
      <c r="AE242" s="3"/>
      <c r="AF242" s="3">
        <f>AE242-Y242</f>
        <v>0</v>
      </c>
      <c r="BA242" s="6">
        <f>+General!BA227</f>
        <v>0</v>
      </c>
      <c r="BP242" s="5">
        <f t="shared" si="99"/>
        <v>0</v>
      </c>
    </row>
    <row r="243" spans="1:68" x14ac:dyDescent="0.25">
      <c r="A243" s="3" t="s">
        <v>90</v>
      </c>
      <c r="E243" s="3">
        <f>F243-D243</f>
        <v>0</v>
      </c>
      <c r="H243" s="32">
        <f>F243-B243</f>
        <v>0</v>
      </c>
      <c r="I243" s="32"/>
      <c r="J243" s="4"/>
      <c r="K243" s="4">
        <f>L243-J243</f>
        <v>0</v>
      </c>
      <c r="L243" s="4"/>
      <c r="N243" s="4">
        <f>L243-F243</f>
        <v>0</v>
      </c>
      <c r="R243" s="5">
        <v>0</v>
      </c>
      <c r="S243" s="3">
        <f>T243-R243</f>
        <v>100</v>
      </c>
      <c r="T243" s="3">
        <v>100</v>
      </c>
      <c r="U243" s="3">
        <f>T243-P243</f>
        <v>100</v>
      </c>
      <c r="W243" s="3">
        <f>Y243-V243</f>
        <v>100</v>
      </c>
      <c r="X243" s="3"/>
      <c r="Y243" s="5">
        <v>100</v>
      </c>
      <c r="Z243" s="3">
        <f>Y243-T243</f>
        <v>0</v>
      </c>
      <c r="AC243" s="5">
        <v>125</v>
      </c>
      <c r="AD243" s="3">
        <f>AE243-AC243</f>
        <v>0</v>
      </c>
      <c r="AE243" s="3">
        <v>125</v>
      </c>
      <c r="AF243" s="3">
        <f>AE243-Y243</f>
        <v>25</v>
      </c>
      <c r="BA243" s="6">
        <f>+General!BA228</f>
        <v>0</v>
      </c>
      <c r="BP243" s="5">
        <f t="shared" si="99"/>
        <v>0</v>
      </c>
    </row>
    <row r="244" spans="1:68" ht="14.25" customHeight="1" thickBot="1" x14ac:dyDescent="0.3">
      <c r="A244" s="3"/>
      <c r="B244" s="43">
        <f>SUM(B239:B243)</f>
        <v>600</v>
      </c>
      <c r="C244" s="32"/>
      <c r="D244" s="43">
        <f>SUM(D239:D243)</f>
        <v>144</v>
      </c>
      <c r="E244" s="43">
        <f>SUM(E239:E243)</f>
        <v>456</v>
      </c>
      <c r="F244" s="43">
        <f>SUM(F239:F243)</f>
        <v>600</v>
      </c>
      <c r="G244" s="32"/>
      <c r="H244" s="43">
        <f>SUM(H239:H243)</f>
        <v>0</v>
      </c>
      <c r="I244" s="36"/>
      <c r="J244" s="43">
        <f>SUM(J239:J243)</f>
        <v>216</v>
      </c>
      <c r="K244" s="43">
        <f>SUM(K239:K243)</f>
        <v>384</v>
      </c>
      <c r="L244" s="43">
        <f>SUM(L239:L243)</f>
        <v>600</v>
      </c>
      <c r="M244" s="32"/>
      <c r="N244" s="43">
        <f>SUM(N239:N243)</f>
        <v>0</v>
      </c>
      <c r="P244" s="43">
        <f>SUM(P239:P243)</f>
        <v>600</v>
      </c>
      <c r="R244" s="43">
        <f t="shared" ref="R244:Z244" si="124">SUM(R239:R243)</f>
        <v>286</v>
      </c>
      <c r="S244" s="43">
        <f t="shared" si="124"/>
        <v>414</v>
      </c>
      <c r="T244" s="43">
        <f t="shared" si="124"/>
        <v>700</v>
      </c>
      <c r="U244" s="43">
        <f t="shared" si="124"/>
        <v>100</v>
      </c>
      <c r="V244" s="43">
        <f t="shared" si="124"/>
        <v>608</v>
      </c>
      <c r="W244" s="43">
        <f t="shared" si="124"/>
        <v>292</v>
      </c>
      <c r="X244" s="43"/>
      <c r="Y244" s="43">
        <f t="shared" si="124"/>
        <v>900</v>
      </c>
      <c r="Z244" s="43">
        <f t="shared" si="124"/>
        <v>200</v>
      </c>
      <c r="AC244" s="43">
        <f>SUM(AC239:AC243)</f>
        <v>705</v>
      </c>
      <c r="AD244" s="43">
        <f>SUM(AD239:AD243)</f>
        <v>220</v>
      </c>
      <c r="AE244" s="43">
        <f>SUM(AE239:AE243)</f>
        <v>925</v>
      </c>
      <c r="AF244" s="43">
        <f>SUM(AF239:AF243)</f>
        <v>25</v>
      </c>
      <c r="AH244" s="43">
        <f>SUM(AH239:AH243)</f>
        <v>44700</v>
      </c>
      <c r="AJ244" s="43">
        <f>SUM(AJ239:AJ243)</f>
        <v>45817.499999999993</v>
      </c>
      <c r="AL244" s="43">
        <f>SUM(AL239:AL243)</f>
        <v>46962.937499999985</v>
      </c>
      <c r="AN244" s="43">
        <f>SUM(AN239:AN243)</f>
        <v>48137.010937499981</v>
      </c>
      <c r="AO244" s="43"/>
      <c r="AP244" s="43">
        <f>SUM(AP239:AP243)</f>
        <v>49340.436210937478</v>
      </c>
      <c r="AR244" s="43">
        <f>SUM(AR239:AR243)</f>
        <v>50573.947116210911</v>
      </c>
      <c r="AT244" s="43">
        <f>SUM(AT239:AT243)</f>
        <v>51838.29579411618</v>
      </c>
      <c r="AV244" s="43">
        <f>SUM(AV239:AV243)</f>
        <v>53134.253188969087</v>
      </c>
      <c r="AX244" s="43">
        <f>SUM(AX239:AX243)</f>
        <v>54462.609518693309</v>
      </c>
      <c r="AZ244" s="43">
        <f>SUM(AZ239:AZ243)</f>
        <v>55824.174756660635</v>
      </c>
      <c r="BA244" s="6">
        <f>+General!BA229</f>
        <v>55824.174756660635</v>
      </c>
      <c r="BP244" s="5">
        <f>+BA244-AZ244</f>
        <v>0</v>
      </c>
    </row>
    <row r="245" spans="1:68" ht="15.75" thickTop="1" x14ac:dyDescent="0.25">
      <c r="A245" s="7" t="s">
        <v>190</v>
      </c>
      <c r="BA245" s="6">
        <f>+General!BA230</f>
        <v>0</v>
      </c>
      <c r="BP245" s="5">
        <f t="shared" si="99"/>
        <v>0</v>
      </c>
    </row>
    <row r="246" spans="1:68" x14ac:dyDescent="0.25">
      <c r="A246" s="7" t="s">
        <v>191</v>
      </c>
      <c r="BP246" s="5">
        <f t="shared" si="99"/>
        <v>0</v>
      </c>
    </row>
    <row r="247" spans="1:68" x14ac:dyDescent="0.25">
      <c r="A247" s="3" t="s">
        <v>192</v>
      </c>
      <c r="B247" s="61"/>
      <c r="C247" s="4"/>
      <c r="D247" s="61"/>
      <c r="E247" s="52">
        <f>F247-D247</f>
        <v>0</v>
      </c>
      <c r="F247" s="61"/>
      <c r="G247" s="4"/>
      <c r="H247" s="61"/>
      <c r="I247" s="58"/>
      <c r="J247" s="61"/>
      <c r="K247" s="52">
        <f>L247-J247</f>
        <v>0</v>
      </c>
      <c r="L247" s="37"/>
      <c r="M247" s="32"/>
      <c r="N247" s="52">
        <f>L247-F247</f>
        <v>0</v>
      </c>
      <c r="P247" s="61"/>
      <c r="R247" s="61"/>
      <c r="S247" s="61"/>
      <c r="T247" s="61"/>
      <c r="U247" s="61"/>
      <c r="V247" s="61">
        <v>150</v>
      </c>
      <c r="W247" s="61"/>
      <c r="X247" s="61"/>
      <c r="Y247" s="61"/>
      <c r="Z247" s="61"/>
      <c r="AC247" s="61"/>
      <c r="AD247" s="61"/>
      <c r="AE247" s="61"/>
      <c r="AF247" s="61"/>
      <c r="AH247" s="61"/>
      <c r="AJ247" s="61"/>
      <c r="AL247" s="61"/>
      <c r="AN247" s="61"/>
      <c r="AO247" s="61"/>
      <c r="AP247" s="61"/>
      <c r="AR247" s="61"/>
      <c r="AT247" s="61"/>
      <c r="AV247" s="61"/>
      <c r="AX247" s="61"/>
      <c r="AZ247" s="61"/>
      <c r="BP247" s="5">
        <f t="shared" si="99"/>
        <v>0</v>
      </c>
    </row>
    <row r="248" spans="1:68" x14ac:dyDescent="0.25">
      <c r="A248" s="7" t="s">
        <v>193</v>
      </c>
      <c r="BP248" s="5">
        <f t="shared" si="99"/>
        <v>0</v>
      </c>
    </row>
    <row r="249" spans="1:68" x14ac:dyDescent="0.25">
      <c r="A249" s="3" t="s">
        <v>194</v>
      </c>
      <c r="BP249" s="5">
        <f t="shared" si="99"/>
        <v>0</v>
      </c>
    </row>
    <row r="250" spans="1:68" x14ac:dyDescent="0.25">
      <c r="A250" s="3" t="s">
        <v>195</v>
      </c>
      <c r="J250" s="5">
        <v>21173</v>
      </c>
      <c r="K250" s="4">
        <f>L250-J250</f>
        <v>0</v>
      </c>
      <c r="L250" s="4">
        <v>21173</v>
      </c>
      <c r="M250" s="32"/>
      <c r="N250" s="4">
        <f>L250-F250</f>
        <v>21173</v>
      </c>
      <c r="BP250" s="5">
        <f t="shared" si="99"/>
        <v>0</v>
      </c>
    </row>
    <row r="251" spans="1:68" x14ac:dyDescent="0.25">
      <c r="A251" s="3" t="s">
        <v>90</v>
      </c>
      <c r="BP251" s="5">
        <f t="shared" si="99"/>
        <v>0</v>
      </c>
    </row>
    <row r="252" spans="1:68" x14ac:dyDescent="0.25">
      <c r="A252" s="3" t="s">
        <v>196</v>
      </c>
      <c r="B252" s="5">
        <v>5000</v>
      </c>
      <c r="E252" s="5">
        <f>F252-D252</f>
        <v>5000</v>
      </c>
      <c r="F252" s="5">
        <v>5000</v>
      </c>
      <c r="H252" s="5">
        <f>F252-B252</f>
        <v>0</v>
      </c>
      <c r="J252" s="5">
        <v>9091</v>
      </c>
      <c r="K252" s="4">
        <f>L252-J252</f>
        <v>0</v>
      </c>
      <c r="L252" s="4">
        <v>9091</v>
      </c>
      <c r="M252" s="32"/>
      <c r="N252" s="4">
        <f>L252-F252</f>
        <v>4091</v>
      </c>
      <c r="P252" s="3">
        <v>2500</v>
      </c>
      <c r="Q252" s="3"/>
      <c r="R252" s="3">
        <v>0</v>
      </c>
      <c r="S252" s="3">
        <f>T252-R252</f>
        <v>2500</v>
      </c>
      <c r="T252" s="3">
        <v>2500</v>
      </c>
      <c r="U252" s="3">
        <f>T252-P252</f>
        <v>0</v>
      </c>
      <c r="V252" s="3"/>
      <c r="W252" s="3">
        <f>Y252-V252</f>
        <v>2500</v>
      </c>
      <c r="X252" s="3"/>
      <c r="Y252" s="3">
        <v>2500</v>
      </c>
      <c r="Z252" s="3">
        <f>Y252-T252</f>
        <v>0</v>
      </c>
      <c r="AA252" s="3"/>
      <c r="AB252" s="3"/>
      <c r="AC252" s="3">
        <v>0</v>
      </c>
      <c r="AD252" s="3">
        <f>AE252-AC252</f>
        <v>2500</v>
      </c>
      <c r="AE252" s="3">
        <v>2500</v>
      </c>
      <c r="AF252" s="3">
        <f>AE252-Y252</f>
        <v>0</v>
      </c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Z252" s="3"/>
      <c r="BP252" s="5">
        <f t="shared" si="99"/>
        <v>0</v>
      </c>
    </row>
    <row r="253" spans="1:68" x14ac:dyDescent="0.25">
      <c r="A253" s="7"/>
      <c r="B253" s="48">
        <f>SUM(B249:B252)</f>
        <v>5000</v>
      </c>
      <c r="C253" s="32"/>
      <c r="D253" s="48">
        <f>SUM(D249:D252)</f>
        <v>0</v>
      </c>
      <c r="E253" s="48">
        <f>SUM(E249:E252)</f>
        <v>5000</v>
      </c>
      <c r="F253" s="48">
        <f>SUM(F249:F252)</f>
        <v>5000</v>
      </c>
      <c r="G253" s="32"/>
      <c r="H253" s="48">
        <f>SUM(H249:H252)</f>
        <v>0</v>
      </c>
      <c r="I253" s="36"/>
      <c r="J253" s="48">
        <f>SUM(J249:J252)</f>
        <v>30264</v>
      </c>
      <c r="K253" s="48">
        <f>SUM(K249:K252)</f>
        <v>0</v>
      </c>
      <c r="L253" s="48">
        <f>SUM(L249:L252)</f>
        <v>30264</v>
      </c>
      <c r="M253" s="32"/>
      <c r="N253" s="48">
        <f>SUM(N249:N252)</f>
        <v>25264</v>
      </c>
      <c r="P253" s="48">
        <f>SUM(P249:P252)</f>
        <v>2500</v>
      </c>
      <c r="R253" s="48">
        <f t="shared" ref="R253:Z253" si="125">SUM(R249:R252)</f>
        <v>0</v>
      </c>
      <c r="S253" s="48">
        <f t="shared" si="125"/>
        <v>2500</v>
      </c>
      <c r="T253" s="48">
        <f t="shared" si="125"/>
        <v>2500</v>
      </c>
      <c r="U253" s="48">
        <f t="shared" si="125"/>
        <v>0</v>
      </c>
      <c r="V253" s="48">
        <f t="shared" si="125"/>
        <v>0</v>
      </c>
      <c r="W253" s="48">
        <f t="shared" si="125"/>
        <v>2500</v>
      </c>
      <c r="X253" s="48"/>
      <c r="Y253" s="48">
        <f t="shared" si="125"/>
        <v>2500</v>
      </c>
      <c r="Z253" s="48">
        <f t="shared" si="125"/>
        <v>0</v>
      </c>
      <c r="AC253" s="48">
        <f>SUM(AC249:AC252)</f>
        <v>0</v>
      </c>
      <c r="AD253" s="48">
        <f>SUM(AD249:AD252)</f>
        <v>2500</v>
      </c>
      <c r="AE253" s="48">
        <f>SUM(AE249:AE252)</f>
        <v>2500</v>
      </c>
      <c r="AF253" s="48">
        <f>SUM(AF249:AF252)</f>
        <v>0</v>
      </c>
      <c r="AH253" s="48">
        <f>SUM(AH249:AH252)</f>
        <v>0</v>
      </c>
      <c r="AJ253" s="48">
        <f>SUM(AJ249:AJ252)</f>
        <v>0</v>
      </c>
      <c r="AL253" s="48">
        <f>SUM(AL249:AL252)</f>
        <v>0</v>
      </c>
      <c r="AN253" s="48">
        <f>SUM(AN249:AN252)</f>
        <v>0</v>
      </c>
      <c r="AO253" s="48"/>
      <c r="AP253" s="48">
        <f>SUM(AP249:AP252)</f>
        <v>0</v>
      </c>
      <c r="AR253" s="48">
        <f>SUM(AR249:AR252)</f>
        <v>0</v>
      </c>
      <c r="AT253" s="48">
        <f>SUM(AT249:AT252)</f>
        <v>0</v>
      </c>
      <c r="AV253" s="48">
        <f>SUM(AV249:AV252)</f>
        <v>0</v>
      </c>
      <c r="AX253" s="48">
        <f>SUM(AX249:AX252)</f>
        <v>0</v>
      </c>
      <c r="AZ253" s="48">
        <f>SUM(AZ249:AZ252)</f>
        <v>0</v>
      </c>
      <c r="BP253" s="5">
        <f t="shared" si="99"/>
        <v>0</v>
      </c>
    </row>
    <row r="254" spans="1:68" x14ac:dyDescent="0.25">
      <c r="A254" s="7" t="s">
        <v>197</v>
      </c>
      <c r="BP254" s="5">
        <f t="shared" si="99"/>
        <v>0</v>
      </c>
    </row>
    <row r="255" spans="1:68" x14ac:dyDescent="0.25">
      <c r="A255" s="3" t="s">
        <v>198</v>
      </c>
      <c r="BP255" s="5">
        <f t="shared" si="99"/>
        <v>0</v>
      </c>
    </row>
    <row r="256" spans="1:68" x14ac:dyDescent="0.25">
      <c r="A256" s="3" t="s">
        <v>199</v>
      </c>
      <c r="BP256" s="5">
        <f t="shared" si="99"/>
        <v>0</v>
      </c>
    </row>
    <row r="257" spans="1:68" x14ac:dyDescent="0.25">
      <c r="A257" s="3" t="s">
        <v>200</v>
      </c>
      <c r="BP257" s="5">
        <f t="shared" si="99"/>
        <v>0</v>
      </c>
    </row>
    <row r="258" spans="1:68" x14ac:dyDescent="0.25">
      <c r="A258" s="3"/>
      <c r="B258" s="48">
        <f>SUM(B255:B257)</f>
        <v>0</v>
      </c>
      <c r="C258" s="32"/>
      <c r="D258" s="48">
        <f>SUM(D255:D257)</f>
        <v>0</v>
      </c>
      <c r="E258" s="48">
        <f>SUM(E255:E257)</f>
        <v>0</v>
      </c>
      <c r="F258" s="48">
        <f>SUM(F255:F257)</f>
        <v>0</v>
      </c>
      <c r="G258" s="32"/>
      <c r="H258" s="48">
        <f>SUM(H255:H257)</f>
        <v>0</v>
      </c>
      <c r="I258" s="48"/>
      <c r="J258" s="48">
        <v>0</v>
      </c>
      <c r="K258" s="48">
        <f>L258-J258</f>
        <v>0</v>
      </c>
      <c r="L258" s="48">
        <v>0</v>
      </c>
      <c r="M258" s="32"/>
      <c r="N258" s="48"/>
      <c r="O258" s="62"/>
      <c r="P258" s="48">
        <f>SUM(P255:P257)</f>
        <v>0</v>
      </c>
      <c r="R258" s="48">
        <f t="shared" ref="R258:Z258" si="126">SUM(R255:R257)</f>
        <v>0</v>
      </c>
      <c r="S258" s="48">
        <f t="shared" si="126"/>
        <v>0</v>
      </c>
      <c r="T258" s="48">
        <f t="shared" si="126"/>
        <v>0</v>
      </c>
      <c r="U258" s="48">
        <f t="shared" si="126"/>
        <v>0</v>
      </c>
      <c r="V258" s="48">
        <f t="shared" si="126"/>
        <v>0</v>
      </c>
      <c r="W258" s="48">
        <f t="shared" si="126"/>
        <v>0</v>
      </c>
      <c r="X258" s="48"/>
      <c r="Y258" s="48">
        <f t="shared" si="126"/>
        <v>0</v>
      </c>
      <c r="Z258" s="48">
        <f t="shared" si="126"/>
        <v>0</v>
      </c>
      <c r="AC258" s="48">
        <f>SUM(AC255:AC257)</f>
        <v>0</v>
      </c>
      <c r="AD258" s="48">
        <v>0</v>
      </c>
      <c r="AE258" s="48"/>
      <c r="AF258" s="48">
        <f>AE258-AC258</f>
        <v>0</v>
      </c>
      <c r="AH258" s="48">
        <f>SUM(AH255:AH257)</f>
        <v>0</v>
      </c>
      <c r="AJ258" s="48">
        <f>SUM(AJ255:AJ257)</f>
        <v>0</v>
      </c>
      <c r="AL258" s="48">
        <f>SUM(AL255:AL257)</f>
        <v>0</v>
      </c>
      <c r="AN258" s="48">
        <f>SUM(AN255:AN257)</f>
        <v>0</v>
      </c>
      <c r="AO258" s="48"/>
      <c r="AP258" s="48">
        <f>SUM(AP255:AP257)</f>
        <v>0</v>
      </c>
      <c r="AR258" s="48">
        <f>SUM(AR255:AR257)</f>
        <v>0</v>
      </c>
      <c r="AT258" s="48">
        <f>SUM(AT255:AT257)</f>
        <v>0</v>
      </c>
      <c r="AV258" s="48">
        <f>SUM(AV255:AV257)</f>
        <v>0</v>
      </c>
      <c r="AX258" s="48">
        <f>SUM(AX255:AX257)</f>
        <v>0</v>
      </c>
      <c r="AZ258" s="48">
        <f>SUM(AZ255:AZ257)</f>
        <v>0</v>
      </c>
      <c r="BP258" s="5">
        <f t="shared" si="99"/>
        <v>0</v>
      </c>
    </row>
    <row r="259" spans="1:68" x14ac:dyDescent="0.25">
      <c r="A259" s="7" t="s">
        <v>201</v>
      </c>
      <c r="BP259" s="5">
        <f t="shared" si="99"/>
        <v>0</v>
      </c>
    </row>
    <row r="260" spans="1:68" x14ac:dyDescent="0.25">
      <c r="A260" s="3" t="s">
        <v>202</v>
      </c>
      <c r="BP260" s="5">
        <f t="shared" si="99"/>
        <v>0</v>
      </c>
    </row>
    <row r="261" spans="1:68" x14ac:dyDescent="0.25">
      <c r="A261" s="3" t="s">
        <v>203</v>
      </c>
      <c r="BP261" s="5">
        <f t="shared" ref="BP261:BP324" si="127">+BA261-AZ261</f>
        <v>0</v>
      </c>
    </row>
    <row r="262" spans="1:68" x14ac:dyDescent="0.25">
      <c r="A262" s="3"/>
      <c r="B262" s="48">
        <f>SUM(B260:B261)</f>
        <v>0</v>
      </c>
      <c r="C262" s="32"/>
      <c r="D262" s="48">
        <f>SUM(D260:D261)</f>
        <v>0</v>
      </c>
      <c r="E262" s="48">
        <f>SUM(E260:E261)</f>
        <v>0</v>
      </c>
      <c r="F262" s="48">
        <f>SUM(F260:F261)</f>
        <v>0</v>
      </c>
      <c r="G262" s="32"/>
      <c r="H262" s="48">
        <f>SUM(H260:H261)</f>
        <v>0</v>
      </c>
      <c r="I262" s="36"/>
      <c r="J262" s="48">
        <f>SUM(J260:J261)</f>
        <v>0</v>
      </c>
      <c r="K262" s="48">
        <f>SUM(K260:K261)</f>
        <v>0</v>
      </c>
      <c r="L262" s="48">
        <f>SUM(L260:L261)</f>
        <v>0</v>
      </c>
      <c r="M262" s="32"/>
      <c r="N262" s="48">
        <f>SUM(N260:N261)</f>
        <v>0</v>
      </c>
      <c r="P262" s="48">
        <f>SUM(P260:P261)</f>
        <v>0</v>
      </c>
      <c r="R262" s="48">
        <f t="shared" ref="R262:Z262" si="128">SUM(R260:R261)</f>
        <v>0</v>
      </c>
      <c r="S262" s="48">
        <f t="shared" si="128"/>
        <v>0</v>
      </c>
      <c r="T262" s="48">
        <f t="shared" si="128"/>
        <v>0</v>
      </c>
      <c r="U262" s="48">
        <f t="shared" si="128"/>
        <v>0</v>
      </c>
      <c r="V262" s="48">
        <f t="shared" si="128"/>
        <v>0</v>
      </c>
      <c r="W262" s="48">
        <f t="shared" si="128"/>
        <v>0</v>
      </c>
      <c r="X262" s="48"/>
      <c r="Y262" s="48">
        <f t="shared" si="128"/>
        <v>0</v>
      </c>
      <c r="Z262" s="48">
        <f t="shared" si="128"/>
        <v>0</v>
      </c>
      <c r="AC262" s="48">
        <f>SUM(AC260:AC261)</f>
        <v>0</v>
      </c>
      <c r="AD262" s="48">
        <f>SUM(AD257:AD261)</f>
        <v>0</v>
      </c>
      <c r="AE262" s="48">
        <v>0</v>
      </c>
      <c r="AF262" s="48">
        <f>AE262-AC262</f>
        <v>0</v>
      </c>
      <c r="AH262" s="48">
        <f>SUM(AH260:AH261)</f>
        <v>0</v>
      </c>
      <c r="AJ262" s="48">
        <f>SUM(AJ260:AJ261)</f>
        <v>0</v>
      </c>
      <c r="AL262" s="48">
        <f>SUM(AL260:AL261)</f>
        <v>0</v>
      </c>
      <c r="AN262" s="48">
        <f>SUM(AN260:AN261)</f>
        <v>0</v>
      </c>
      <c r="AO262" s="48"/>
      <c r="AP262" s="48">
        <f>SUM(AP260:AP261)</f>
        <v>0</v>
      </c>
      <c r="AR262" s="48">
        <f>SUM(AR260:AR261)</f>
        <v>0</v>
      </c>
      <c r="AT262" s="48">
        <f>SUM(AT260:AT261)</f>
        <v>0</v>
      </c>
      <c r="AV262" s="48">
        <f>SUM(AV260:AV261)</f>
        <v>0</v>
      </c>
      <c r="AX262" s="48">
        <f>SUM(AX260:AX261)</f>
        <v>0</v>
      </c>
      <c r="AZ262" s="48">
        <f>SUM(AZ260:AZ261)</f>
        <v>0</v>
      </c>
      <c r="BP262" s="5">
        <f t="shared" si="127"/>
        <v>0</v>
      </c>
    </row>
    <row r="263" spans="1:68" x14ac:dyDescent="0.25">
      <c r="A263" s="7" t="s">
        <v>204</v>
      </c>
      <c r="BP263" s="5">
        <f t="shared" si="127"/>
        <v>0</v>
      </c>
    </row>
    <row r="264" spans="1:68" x14ac:dyDescent="0.25">
      <c r="A264" s="3" t="s">
        <v>205</v>
      </c>
      <c r="B264" s="3">
        <v>383000</v>
      </c>
      <c r="D264" s="3"/>
      <c r="E264" s="3">
        <f t="shared" ref="E264:E277" si="129">F264-D264</f>
        <v>270370</v>
      </c>
      <c r="F264" s="3">
        <v>270370</v>
      </c>
      <c r="H264" s="5">
        <f t="shared" ref="H264:H277" si="130">F264-B264</f>
        <v>-112630</v>
      </c>
      <c r="J264" s="5">
        <v>187500</v>
      </c>
      <c r="K264" s="4">
        <f t="shared" ref="K264:K277" si="131">L264-J264</f>
        <v>57781</v>
      </c>
      <c r="L264" s="4">
        <v>245281</v>
      </c>
      <c r="M264" s="32"/>
      <c r="N264" s="4">
        <f t="shared" ref="N264:N277" si="132">L264-F264</f>
        <v>-25089</v>
      </c>
      <c r="P264" s="3">
        <v>384350</v>
      </c>
      <c r="Q264" s="3"/>
      <c r="R264" s="3">
        <v>0</v>
      </c>
      <c r="S264" s="3">
        <f t="shared" ref="S264:S277" si="133">T264-R264</f>
        <v>384350</v>
      </c>
      <c r="T264" s="3">
        <v>384350</v>
      </c>
      <c r="U264" s="3">
        <f t="shared" ref="U264:U277" si="134">T264-P264</f>
        <v>0</v>
      </c>
      <c r="V264" s="3">
        <v>22037</v>
      </c>
      <c r="W264" s="3">
        <f t="shared" ref="W264:W277" si="135">Y264-V264</f>
        <v>372963</v>
      </c>
      <c r="X264" s="3"/>
      <c r="Y264" s="3">
        <v>395000</v>
      </c>
      <c r="Z264" s="3">
        <f t="shared" ref="Z264:Z277" si="136">Y264-T264</f>
        <v>10650</v>
      </c>
      <c r="AA264" s="3"/>
      <c r="AB264" s="3"/>
      <c r="AC264" s="3">
        <v>205133</v>
      </c>
      <c r="AD264" s="3">
        <f t="shared" ref="AD264:AD277" si="137">AE264-AC264</f>
        <v>189867</v>
      </c>
      <c r="AE264" s="3">
        <v>395000</v>
      </c>
      <c r="AF264" s="3">
        <f t="shared" ref="AF264:AF277" si="138">AE264-Y264</f>
        <v>0</v>
      </c>
      <c r="AG264" s="3"/>
      <c r="AH264" s="3">
        <v>394000</v>
      </c>
      <c r="AI264" s="3"/>
      <c r="AJ264" s="3">
        <f>AH264*1.025</f>
        <v>403849.99999999994</v>
      </c>
      <c r="AK264" s="3"/>
      <c r="AL264" s="3">
        <v>413950</v>
      </c>
      <c r="AM264" s="3"/>
      <c r="AN264" s="3">
        <v>424300</v>
      </c>
      <c r="AO264" s="3"/>
      <c r="AP264" s="3">
        <v>434900</v>
      </c>
      <c r="AQ264" s="42"/>
      <c r="AR264" s="3">
        <v>445750</v>
      </c>
      <c r="AS264" s="42"/>
      <c r="AT264" s="3">
        <v>456900</v>
      </c>
      <c r="AU264" s="42"/>
      <c r="AV264" s="3">
        <v>468300</v>
      </c>
      <c r="AW264" s="42"/>
      <c r="AX264" s="3">
        <v>480050</v>
      </c>
      <c r="AZ264" s="3">
        <v>480050</v>
      </c>
      <c r="BP264" s="5">
        <f t="shared" si="127"/>
        <v>-480050</v>
      </c>
    </row>
    <row r="265" spans="1:68" x14ac:dyDescent="0.25">
      <c r="A265" s="3" t="s">
        <v>206</v>
      </c>
      <c r="B265" s="3"/>
      <c r="D265" s="3"/>
      <c r="E265" s="3">
        <f t="shared" si="129"/>
        <v>38190</v>
      </c>
      <c r="F265" s="3">
        <v>38190</v>
      </c>
      <c r="H265" s="5">
        <f t="shared" si="130"/>
        <v>38190</v>
      </c>
      <c r="K265" s="4">
        <f t="shared" si="131"/>
        <v>16796</v>
      </c>
      <c r="L265" s="4">
        <v>16796</v>
      </c>
      <c r="N265" s="4">
        <f t="shared" si="132"/>
        <v>-21394</v>
      </c>
      <c r="P265" s="3"/>
      <c r="Q265" s="3"/>
      <c r="R265" s="3"/>
      <c r="S265" s="3">
        <f t="shared" si="133"/>
        <v>0</v>
      </c>
      <c r="T265" s="3"/>
      <c r="U265" s="3">
        <f t="shared" si="134"/>
        <v>0</v>
      </c>
      <c r="V265" s="3">
        <v>30990</v>
      </c>
      <c r="W265" s="3">
        <f t="shared" si="135"/>
        <v>0</v>
      </c>
      <c r="X265" s="3"/>
      <c r="Y265" s="3">
        <v>30990</v>
      </c>
      <c r="Z265" s="3">
        <f t="shared" si="136"/>
        <v>30990</v>
      </c>
      <c r="AA265" s="3"/>
      <c r="AB265" s="3"/>
      <c r="AC265" s="3"/>
      <c r="AD265" s="3">
        <f t="shared" si="137"/>
        <v>31990</v>
      </c>
      <c r="AE265" s="3">
        <v>31990</v>
      </c>
      <c r="AF265" s="3">
        <f t="shared" si="138"/>
        <v>1000</v>
      </c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42"/>
      <c r="AR265" s="3"/>
      <c r="AS265" s="42"/>
      <c r="AT265" s="3"/>
      <c r="AU265" s="42"/>
      <c r="AV265" s="3"/>
      <c r="AW265" s="42"/>
      <c r="AX265" s="3"/>
      <c r="AZ265" s="3"/>
      <c r="BP265" s="5">
        <f t="shared" si="127"/>
        <v>0</v>
      </c>
    </row>
    <row r="266" spans="1:68" x14ac:dyDescent="0.25">
      <c r="A266" s="3" t="s">
        <v>207</v>
      </c>
      <c r="B266" s="3"/>
      <c r="D266" s="3"/>
      <c r="E266" s="3">
        <f t="shared" si="129"/>
        <v>0</v>
      </c>
      <c r="F266" s="3"/>
      <c r="H266" s="5">
        <f t="shared" si="130"/>
        <v>0</v>
      </c>
      <c r="K266" s="4">
        <f t="shared" si="131"/>
        <v>0</v>
      </c>
      <c r="L266" s="4"/>
      <c r="N266" s="4">
        <f t="shared" si="132"/>
        <v>0</v>
      </c>
      <c r="P266" s="3"/>
      <c r="Q266" s="3"/>
      <c r="R266" s="3"/>
      <c r="S266" s="3">
        <f t="shared" si="133"/>
        <v>0</v>
      </c>
      <c r="T266" s="3"/>
      <c r="U266" s="3">
        <f t="shared" si="134"/>
        <v>0</v>
      </c>
      <c r="V266" s="3"/>
      <c r="W266" s="3">
        <f t="shared" si="135"/>
        <v>0</v>
      </c>
      <c r="X266" s="3"/>
      <c r="Y266" s="3"/>
      <c r="Z266" s="3">
        <f t="shared" si="136"/>
        <v>0</v>
      </c>
      <c r="AA266" s="3"/>
      <c r="AB266" s="3"/>
      <c r="AC266" s="3"/>
      <c r="AD266" s="3">
        <f t="shared" si="137"/>
        <v>0</v>
      </c>
      <c r="AE266" s="3"/>
      <c r="AF266" s="3">
        <f t="shared" si="138"/>
        <v>0</v>
      </c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42"/>
      <c r="AR266" s="3"/>
      <c r="AS266" s="42"/>
      <c r="AT266" s="3"/>
      <c r="AU266" s="42"/>
      <c r="AV266" s="3"/>
      <c r="AW266" s="42"/>
      <c r="AX266" s="3"/>
      <c r="AZ266" s="3"/>
      <c r="BP266" s="5">
        <f t="shared" si="127"/>
        <v>0</v>
      </c>
    </row>
    <row r="267" spans="1:68" x14ac:dyDescent="0.25">
      <c r="A267" s="3" t="s">
        <v>208</v>
      </c>
      <c r="B267" s="3"/>
      <c r="D267" s="3"/>
      <c r="E267" s="3">
        <f t="shared" si="129"/>
        <v>0</v>
      </c>
      <c r="F267" s="3"/>
      <c r="H267" s="5">
        <f t="shared" si="130"/>
        <v>0</v>
      </c>
      <c r="K267" s="4">
        <f t="shared" si="131"/>
        <v>0</v>
      </c>
      <c r="L267" s="4"/>
      <c r="N267" s="4">
        <f t="shared" si="132"/>
        <v>0</v>
      </c>
      <c r="P267" s="3"/>
      <c r="Q267" s="3"/>
      <c r="R267" s="3"/>
      <c r="S267" s="3">
        <f t="shared" si="133"/>
        <v>0</v>
      </c>
      <c r="T267" s="3"/>
      <c r="U267" s="3">
        <f t="shared" si="134"/>
        <v>0</v>
      </c>
      <c r="V267" s="3"/>
      <c r="W267" s="3">
        <f t="shared" si="135"/>
        <v>0</v>
      </c>
      <c r="X267" s="3"/>
      <c r="Y267" s="3"/>
      <c r="Z267" s="3">
        <f t="shared" si="136"/>
        <v>0</v>
      </c>
      <c r="AA267" s="3"/>
      <c r="AB267" s="3"/>
      <c r="AC267" s="3"/>
      <c r="AD267" s="3">
        <f t="shared" si="137"/>
        <v>0</v>
      </c>
      <c r="AE267" s="3"/>
      <c r="AF267" s="3">
        <f t="shared" si="138"/>
        <v>0</v>
      </c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42"/>
      <c r="AR267" s="3"/>
      <c r="AS267" s="42"/>
      <c r="AT267" s="3"/>
      <c r="AU267" s="42"/>
      <c r="AV267" s="3"/>
      <c r="AW267" s="42"/>
      <c r="AX267" s="3"/>
      <c r="AZ267" s="3"/>
      <c r="BP267" s="5">
        <f t="shared" si="127"/>
        <v>0</v>
      </c>
    </row>
    <row r="268" spans="1:68" x14ac:dyDescent="0.25">
      <c r="A268" s="3" t="s">
        <v>209</v>
      </c>
      <c r="B268" s="3"/>
      <c r="D268" s="3"/>
      <c r="E268" s="3">
        <f t="shared" si="129"/>
        <v>0</v>
      </c>
      <c r="F268" s="3"/>
      <c r="H268" s="5">
        <f t="shared" si="130"/>
        <v>0</v>
      </c>
      <c r="K268" s="4">
        <f t="shared" si="131"/>
        <v>0</v>
      </c>
      <c r="L268" s="4"/>
      <c r="N268" s="4">
        <f t="shared" si="132"/>
        <v>0</v>
      </c>
      <c r="P268" s="3"/>
      <c r="Q268" s="3"/>
      <c r="R268" s="3"/>
      <c r="S268" s="3">
        <f t="shared" si="133"/>
        <v>0</v>
      </c>
      <c r="T268" s="3"/>
      <c r="U268" s="3">
        <f t="shared" si="134"/>
        <v>0</v>
      </c>
      <c r="V268" s="3"/>
      <c r="W268" s="3">
        <f t="shared" si="135"/>
        <v>0</v>
      </c>
      <c r="X268" s="3"/>
      <c r="Y268" s="3"/>
      <c r="Z268" s="3">
        <f t="shared" si="136"/>
        <v>0</v>
      </c>
      <c r="AA268" s="3"/>
      <c r="AB268" s="3"/>
      <c r="AC268" s="3"/>
      <c r="AD268" s="3">
        <f t="shared" si="137"/>
        <v>0</v>
      </c>
      <c r="AE268" s="3"/>
      <c r="AF268" s="3">
        <f t="shared" si="138"/>
        <v>0</v>
      </c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42"/>
      <c r="AR268" s="3"/>
      <c r="AS268" s="42"/>
      <c r="AT268" s="3"/>
      <c r="AU268" s="42"/>
      <c r="AV268" s="3"/>
      <c r="AW268" s="42"/>
      <c r="AX268" s="3"/>
      <c r="AZ268" s="3"/>
      <c r="BP268" s="5">
        <f t="shared" si="127"/>
        <v>0</v>
      </c>
    </row>
    <row r="269" spans="1:68" x14ac:dyDescent="0.25">
      <c r="A269" s="3" t="s">
        <v>210</v>
      </c>
      <c r="B269" s="3"/>
      <c r="D269" s="3"/>
      <c r="E269" s="3">
        <f t="shared" si="129"/>
        <v>66440</v>
      </c>
      <c r="F269" s="3">
        <v>66440</v>
      </c>
      <c r="H269" s="5">
        <f t="shared" si="130"/>
        <v>66440</v>
      </c>
      <c r="K269" s="4">
        <f t="shared" si="131"/>
        <v>64719</v>
      </c>
      <c r="L269" s="4">
        <v>64719</v>
      </c>
      <c r="N269" s="4">
        <f t="shared" si="132"/>
        <v>-1721</v>
      </c>
      <c r="P269" s="3"/>
      <c r="Q269" s="3"/>
      <c r="R269" s="3"/>
      <c r="S269" s="3">
        <f t="shared" si="133"/>
        <v>0</v>
      </c>
      <c r="T269" s="3"/>
      <c r="U269" s="3">
        <f t="shared" si="134"/>
        <v>0</v>
      </c>
      <c r="V269" s="3"/>
      <c r="W269" s="3">
        <f t="shared" si="135"/>
        <v>0</v>
      </c>
      <c r="X269" s="3"/>
      <c r="Y269" s="3"/>
      <c r="Z269" s="3">
        <f t="shared" si="136"/>
        <v>0</v>
      </c>
      <c r="AA269" s="3"/>
      <c r="AB269" s="3"/>
      <c r="AC269" s="3"/>
      <c r="AD269" s="3">
        <f t="shared" si="137"/>
        <v>0</v>
      </c>
      <c r="AE269" s="3"/>
      <c r="AF269" s="3">
        <f t="shared" si="138"/>
        <v>0</v>
      </c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42"/>
      <c r="AR269" s="3"/>
      <c r="AS269" s="42"/>
      <c r="AT269" s="3"/>
      <c r="AU269" s="42"/>
      <c r="AV269" s="3"/>
      <c r="AW269" s="42"/>
      <c r="AX269" s="3"/>
      <c r="AZ269" s="3"/>
      <c r="BP269" s="5">
        <f t="shared" si="127"/>
        <v>0</v>
      </c>
    </row>
    <row r="270" spans="1:68" x14ac:dyDescent="0.25">
      <c r="A270" s="3" t="s">
        <v>211</v>
      </c>
      <c r="B270" s="3"/>
      <c r="D270" s="3"/>
      <c r="E270" s="3">
        <f t="shared" si="129"/>
        <v>0</v>
      </c>
      <c r="F270" s="3"/>
      <c r="H270" s="5">
        <f t="shared" si="130"/>
        <v>0</v>
      </c>
      <c r="K270" s="4">
        <f t="shared" si="131"/>
        <v>65000</v>
      </c>
      <c r="L270" s="4">
        <v>65000</v>
      </c>
      <c r="N270" s="4">
        <f t="shared" si="132"/>
        <v>65000</v>
      </c>
      <c r="P270" s="4"/>
      <c r="Q270" s="4"/>
      <c r="R270" s="4"/>
      <c r="S270" s="3">
        <f t="shared" si="133"/>
        <v>0</v>
      </c>
      <c r="T270" s="3"/>
      <c r="U270" s="3">
        <f t="shared" si="134"/>
        <v>0</v>
      </c>
      <c r="V270" s="4"/>
      <c r="W270" s="3">
        <f t="shared" si="135"/>
        <v>0</v>
      </c>
      <c r="X270" s="3"/>
      <c r="Y270" s="4"/>
      <c r="Z270" s="3">
        <f t="shared" si="136"/>
        <v>0</v>
      </c>
      <c r="AA270" s="4"/>
      <c r="AB270" s="4"/>
      <c r="AC270" s="4"/>
      <c r="AD270" s="3">
        <f t="shared" si="137"/>
        <v>0</v>
      </c>
      <c r="AE270" s="3"/>
      <c r="AF270" s="3">
        <f t="shared" si="138"/>
        <v>0</v>
      </c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51"/>
      <c r="AR270" s="4"/>
      <c r="AS270" s="51"/>
      <c r="AT270" s="4"/>
      <c r="AU270" s="51"/>
      <c r="AV270" s="4"/>
      <c r="AW270" s="51"/>
      <c r="AX270" s="4"/>
      <c r="AZ270" s="4"/>
      <c r="BP270" s="5">
        <f t="shared" si="127"/>
        <v>0</v>
      </c>
    </row>
    <row r="271" spans="1:68" x14ac:dyDescent="0.25">
      <c r="A271" s="3" t="s">
        <v>212</v>
      </c>
      <c r="B271" s="3">
        <v>80000</v>
      </c>
      <c r="D271" s="3"/>
      <c r="E271" s="3">
        <f t="shared" si="129"/>
        <v>65000</v>
      </c>
      <c r="F271" s="3">
        <v>65000</v>
      </c>
      <c r="H271" s="5">
        <f t="shared" si="130"/>
        <v>-15000</v>
      </c>
      <c r="K271" s="4">
        <f t="shared" si="131"/>
        <v>65000</v>
      </c>
      <c r="L271" s="4">
        <v>65000</v>
      </c>
      <c r="N271" s="4">
        <f t="shared" si="132"/>
        <v>0</v>
      </c>
      <c r="P271" s="4">
        <v>67350</v>
      </c>
      <c r="Q271" s="4"/>
      <c r="R271" s="4">
        <v>0</v>
      </c>
      <c r="S271" s="3">
        <f t="shared" si="133"/>
        <v>67350</v>
      </c>
      <c r="T271" s="3">
        <v>67350</v>
      </c>
      <c r="U271" s="3">
        <f t="shared" si="134"/>
        <v>0</v>
      </c>
      <c r="V271" s="4">
        <v>0</v>
      </c>
      <c r="W271" s="3">
        <f t="shared" si="135"/>
        <v>67350</v>
      </c>
      <c r="X271" s="3"/>
      <c r="Y271" s="4">
        <v>67350</v>
      </c>
      <c r="Z271" s="3">
        <f t="shared" si="136"/>
        <v>0</v>
      </c>
      <c r="AA271" s="4"/>
      <c r="AB271" s="4"/>
      <c r="AC271" s="4"/>
      <c r="AD271" s="3">
        <f t="shared" si="137"/>
        <v>67350</v>
      </c>
      <c r="AE271" s="3">
        <v>67350</v>
      </c>
      <c r="AF271" s="3">
        <f t="shared" si="138"/>
        <v>0</v>
      </c>
      <c r="AG271" s="4"/>
      <c r="AH271" s="4">
        <v>69050</v>
      </c>
      <c r="AI271" s="4"/>
      <c r="AJ271" s="4">
        <v>70800</v>
      </c>
      <c r="AK271" s="4"/>
      <c r="AL271" s="4">
        <v>72550</v>
      </c>
      <c r="AM271" s="4"/>
      <c r="AN271" s="4">
        <v>74350</v>
      </c>
      <c r="AO271" s="4"/>
      <c r="AP271" s="4">
        <v>76200</v>
      </c>
      <c r="AQ271" s="51"/>
      <c r="AR271" s="4">
        <v>78100</v>
      </c>
      <c r="AS271" s="51"/>
      <c r="AT271" s="4">
        <v>80100</v>
      </c>
      <c r="AU271" s="51"/>
      <c r="AV271" s="4">
        <v>82100</v>
      </c>
      <c r="AW271" s="51"/>
      <c r="AX271" s="4">
        <v>84100</v>
      </c>
      <c r="AZ271" s="4">
        <v>84100</v>
      </c>
      <c r="BP271" s="5">
        <f t="shared" si="127"/>
        <v>-84100</v>
      </c>
    </row>
    <row r="272" spans="1:68" x14ac:dyDescent="0.25">
      <c r="A272" s="3" t="s">
        <v>213</v>
      </c>
      <c r="B272" s="3"/>
      <c r="D272" s="3"/>
      <c r="E272" s="3">
        <f t="shared" si="129"/>
        <v>0</v>
      </c>
      <c r="F272" s="3"/>
      <c r="H272" s="5">
        <f t="shared" si="130"/>
        <v>0</v>
      </c>
      <c r="K272" s="4">
        <f t="shared" si="131"/>
        <v>0</v>
      </c>
      <c r="L272" s="4"/>
      <c r="N272" s="4">
        <f t="shared" si="132"/>
        <v>0</v>
      </c>
      <c r="P272" s="3"/>
      <c r="Q272" s="3"/>
      <c r="R272" s="3"/>
      <c r="S272" s="3">
        <f t="shared" si="133"/>
        <v>0</v>
      </c>
      <c r="T272" s="3"/>
      <c r="U272" s="3">
        <f t="shared" si="134"/>
        <v>0</v>
      </c>
      <c r="V272" s="3"/>
      <c r="W272" s="3">
        <f t="shared" si="135"/>
        <v>0</v>
      </c>
      <c r="X272" s="3"/>
      <c r="Y272" s="3"/>
      <c r="Z272" s="3">
        <f t="shared" si="136"/>
        <v>0</v>
      </c>
      <c r="AA272" s="3"/>
      <c r="AB272" s="3"/>
      <c r="AC272" s="3"/>
      <c r="AD272" s="3">
        <f t="shared" si="137"/>
        <v>0</v>
      </c>
      <c r="AE272" s="3"/>
      <c r="AF272" s="3">
        <f t="shared" si="138"/>
        <v>0</v>
      </c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42"/>
      <c r="AR272" s="3"/>
      <c r="AS272" s="42"/>
      <c r="AT272" s="3"/>
      <c r="AU272" s="42"/>
      <c r="AV272" s="3"/>
      <c r="AW272" s="42"/>
      <c r="AX272" s="3"/>
      <c r="AZ272" s="3"/>
      <c r="BP272" s="5">
        <f t="shared" si="127"/>
        <v>0</v>
      </c>
    </row>
    <row r="273" spans="1:68" x14ac:dyDescent="0.25">
      <c r="A273" s="3" t="s">
        <v>203</v>
      </c>
      <c r="B273" s="3"/>
      <c r="D273" s="3"/>
      <c r="E273" s="3">
        <f t="shared" si="129"/>
        <v>0</v>
      </c>
      <c r="F273" s="3"/>
      <c r="H273" s="5">
        <f t="shared" si="130"/>
        <v>0</v>
      </c>
      <c r="K273" s="4">
        <f t="shared" si="131"/>
        <v>0</v>
      </c>
      <c r="L273" s="4"/>
      <c r="N273" s="4">
        <f t="shared" si="132"/>
        <v>0</v>
      </c>
      <c r="P273" s="3"/>
      <c r="Q273" s="3"/>
      <c r="R273" s="3"/>
      <c r="S273" s="3">
        <f t="shared" si="133"/>
        <v>0</v>
      </c>
      <c r="T273" s="3"/>
      <c r="U273" s="3">
        <f t="shared" si="134"/>
        <v>0</v>
      </c>
      <c r="V273" s="3"/>
      <c r="W273" s="3">
        <f t="shared" si="135"/>
        <v>0</v>
      </c>
      <c r="X273" s="3"/>
      <c r="Y273" s="3"/>
      <c r="Z273" s="3">
        <f t="shared" si="136"/>
        <v>0</v>
      </c>
      <c r="AA273" s="3"/>
      <c r="AB273" s="3"/>
      <c r="AC273" s="3"/>
      <c r="AD273" s="3">
        <f t="shared" si="137"/>
        <v>0</v>
      </c>
      <c r="AE273" s="3"/>
      <c r="AF273" s="3">
        <f t="shared" si="138"/>
        <v>0</v>
      </c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42"/>
      <c r="AR273" s="3"/>
      <c r="AS273" s="42"/>
      <c r="AT273" s="3"/>
      <c r="AU273" s="42"/>
      <c r="AV273" s="3"/>
      <c r="AW273" s="42"/>
      <c r="AX273" s="3"/>
      <c r="AZ273" s="3"/>
      <c r="BP273" s="5">
        <f t="shared" si="127"/>
        <v>0</v>
      </c>
    </row>
    <row r="274" spans="1:68" x14ac:dyDescent="0.25">
      <c r="A274" s="3" t="s">
        <v>214</v>
      </c>
      <c r="B274" s="3"/>
      <c r="D274" s="3"/>
      <c r="E274" s="3">
        <f t="shared" si="129"/>
        <v>0</v>
      </c>
      <c r="F274" s="3"/>
      <c r="H274" s="5">
        <f t="shared" si="130"/>
        <v>0</v>
      </c>
      <c r="K274" s="4">
        <f t="shared" si="131"/>
        <v>0</v>
      </c>
      <c r="L274" s="4"/>
      <c r="N274" s="4">
        <f t="shared" si="132"/>
        <v>0</v>
      </c>
      <c r="P274" s="3">
        <v>7000</v>
      </c>
      <c r="Q274" s="3"/>
      <c r="R274" s="3"/>
      <c r="S274" s="3">
        <f t="shared" si="133"/>
        <v>7000</v>
      </c>
      <c r="T274" s="3">
        <v>7000</v>
      </c>
      <c r="U274" s="3">
        <f t="shared" si="134"/>
        <v>0</v>
      </c>
      <c r="V274" s="3"/>
      <c r="W274" s="3">
        <f t="shared" si="135"/>
        <v>7000</v>
      </c>
      <c r="X274" s="3"/>
      <c r="Y274" s="3">
        <v>7000</v>
      </c>
      <c r="Z274" s="3">
        <f t="shared" si="136"/>
        <v>0</v>
      </c>
      <c r="AA274" s="3"/>
      <c r="AB274" s="3"/>
      <c r="AC274" s="3">
        <v>0</v>
      </c>
      <c r="AD274" s="3">
        <f t="shared" si="137"/>
        <v>7000</v>
      </c>
      <c r="AE274" s="3">
        <v>7000</v>
      </c>
      <c r="AF274" s="3">
        <f t="shared" si="138"/>
        <v>0</v>
      </c>
      <c r="AG274" s="3"/>
      <c r="AH274" s="3">
        <v>7000</v>
      </c>
      <c r="AI274" s="3"/>
      <c r="AJ274" s="3">
        <v>7000</v>
      </c>
      <c r="AK274" s="3"/>
      <c r="AL274" s="3">
        <v>7000</v>
      </c>
      <c r="AM274" s="3"/>
      <c r="AN274" s="3">
        <v>8000</v>
      </c>
      <c r="AO274" s="3"/>
      <c r="AP274" s="3">
        <v>8000</v>
      </c>
      <c r="AQ274" s="42"/>
      <c r="AR274" s="3">
        <v>8000</v>
      </c>
      <c r="AS274" s="42"/>
      <c r="AT274" s="3">
        <v>8000</v>
      </c>
      <c r="AU274" s="42"/>
      <c r="AV274" s="3">
        <v>8000</v>
      </c>
      <c r="AW274" s="42"/>
      <c r="AX274" s="3">
        <v>10000</v>
      </c>
      <c r="AZ274" s="3">
        <v>10000</v>
      </c>
      <c r="BP274" s="5">
        <f t="shared" si="127"/>
        <v>-10000</v>
      </c>
    </row>
    <row r="275" spans="1:68" x14ac:dyDescent="0.25">
      <c r="A275" s="3" t="s">
        <v>215</v>
      </c>
      <c r="B275" s="3"/>
      <c r="D275" s="3"/>
      <c r="E275" s="3">
        <f t="shared" si="129"/>
        <v>0</v>
      </c>
      <c r="F275" s="3"/>
      <c r="H275" s="5">
        <f t="shared" si="130"/>
        <v>0</v>
      </c>
      <c r="K275" s="4">
        <f t="shared" si="131"/>
        <v>0</v>
      </c>
      <c r="L275" s="4"/>
      <c r="N275" s="4">
        <f t="shared" si="132"/>
        <v>0</v>
      </c>
      <c r="P275" s="3"/>
      <c r="Q275" s="3"/>
      <c r="R275" s="3"/>
      <c r="S275" s="3">
        <f t="shared" si="133"/>
        <v>0</v>
      </c>
      <c r="T275" s="3"/>
      <c r="U275" s="3">
        <f t="shared" si="134"/>
        <v>0</v>
      </c>
      <c r="V275" s="3"/>
      <c r="W275" s="3">
        <f t="shared" si="135"/>
        <v>0</v>
      </c>
      <c r="X275" s="3"/>
      <c r="Y275" s="3"/>
      <c r="Z275" s="3">
        <f t="shared" si="136"/>
        <v>0</v>
      </c>
      <c r="AA275" s="3"/>
      <c r="AB275" s="3"/>
      <c r="AC275" s="3"/>
      <c r="AD275" s="3">
        <f t="shared" si="137"/>
        <v>0</v>
      </c>
      <c r="AE275" s="3"/>
      <c r="AF275" s="3">
        <f t="shared" si="138"/>
        <v>0</v>
      </c>
      <c r="AG275" s="3"/>
      <c r="AH275" s="63"/>
      <c r="AI275" s="3"/>
      <c r="AJ275" s="3"/>
      <c r="AK275" s="3"/>
      <c r="AL275" s="3"/>
      <c r="AM275" s="3"/>
      <c r="AN275" s="3"/>
      <c r="AO275" s="3"/>
      <c r="AP275" s="3"/>
      <c r="AQ275" s="42"/>
      <c r="AR275" s="3"/>
      <c r="AS275" s="42"/>
      <c r="AT275" s="3"/>
      <c r="AU275" s="42"/>
      <c r="AV275" s="3"/>
      <c r="AW275" s="42"/>
      <c r="AX275" s="3"/>
      <c r="AZ275" s="3"/>
      <c r="BP275" s="5">
        <f t="shared" si="127"/>
        <v>0</v>
      </c>
    </row>
    <row r="276" spans="1:68" x14ac:dyDescent="0.25">
      <c r="A276" s="3" t="s">
        <v>216</v>
      </c>
      <c r="B276" s="3"/>
      <c r="D276" s="3"/>
      <c r="E276" s="3"/>
      <c r="F276" s="3"/>
      <c r="K276" s="4"/>
      <c r="L276" s="4"/>
      <c r="N276" s="4"/>
      <c r="P276" s="3"/>
      <c r="Q276" s="3"/>
      <c r="R276" s="3"/>
      <c r="S276" s="3"/>
      <c r="T276" s="3"/>
      <c r="U276" s="3">
        <v>0</v>
      </c>
      <c r="V276" s="3">
        <v>0</v>
      </c>
      <c r="W276" s="3">
        <f t="shared" si="135"/>
        <v>31150</v>
      </c>
      <c r="X276" s="3"/>
      <c r="Y276" s="3">
        <v>31150</v>
      </c>
      <c r="Z276" s="3">
        <f t="shared" si="136"/>
        <v>31150</v>
      </c>
      <c r="AA276" s="3"/>
      <c r="AB276" s="3"/>
      <c r="AC276" s="3"/>
      <c r="AD276" s="3">
        <f t="shared" si="137"/>
        <v>28520</v>
      </c>
      <c r="AE276" s="3">
        <v>28520</v>
      </c>
      <c r="AF276" s="3">
        <f t="shared" si="138"/>
        <v>-2630</v>
      </c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42"/>
      <c r="AR276" s="3"/>
      <c r="AS276" s="42"/>
      <c r="AT276" s="3"/>
      <c r="AU276" s="42"/>
      <c r="AV276" s="3"/>
      <c r="AW276" s="42"/>
      <c r="AX276" s="3"/>
      <c r="AZ276" s="3"/>
      <c r="BP276" s="5">
        <f t="shared" si="127"/>
        <v>0</v>
      </c>
    </row>
    <row r="277" spans="1:68" x14ac:dyDescent="0.25">
      <c r="A277" s="3" t="s">
        <v>217</v>
      </c>
      <c r="B277" s="3">
        <v>18000</v>
      </c>
      <c r="D277" s="3"/>
      <c r="E277" s="3">
        <f t="shared" si="129"/>
        <v>18000</v>
      </c>
      <c r="F277" s="3">
        <v>18000</v>
      </c>
      <c r="H277" s="5">
        <f t="shared" si="130"/>
        <v>0</v>
      </c>
      <c r="K277" s="4">
        <f t="shared" si="131"/>
        <v>18000</v>
      </c>
      <c r="L277" s="4">
        <v>18000</v>
      </c>
      <c r="N277" s="4">
        <f t="shared" si="132"/>
        <v>0</v>
      </c>
      <c r="P277" s="3">
        <v>39000</v>
      </c>
      <c r="Q277" s="3"/>
      <c r="R277" s="3"/>
      <c r="S277" s="3">
        <f t="shared" si="133"/>
        <v>39000</v>
      </c>
      <c r="T277" s="3">
        <v>39000</v>
      </c>
      <c r="U277" s="3">
        <f t="shared" si="134"/>
        <v>0</v>
      </c>
      <c r="V277" s="3">
        <v>16571</v>
      </c>
      <c r="W277" s="3">
        <f t="shared" si="135"/>
        <v>22429</v>
      </c>
      <c r="X277" s="3"/>
      <c r="Y277" s="3">
        <v>39000</v>
      </c>
      <c r="Z277" s="3">
        <f t="shared" si="136"/>
        <v>0</v>
      </c>
      <c r="AA277" s="3"/>
      <c r="AB277" s="3"/>
      <c r="AC277" s="3">
        <v>16571</v>
      </c>
      <c r="AD277" s="3">
        <f t="shared" si="137"/>
        <v>22429</v>
      </c>
      <c r="AE277" s="3">
        <v>39000</v>
      </c>
      <c r="AF277" s="3">
        <f t="shared" si="138"/>
        <v>0</v>
      </c>
      <c r="AG277" s="3"/>
      <c r="AH277" s="3">
        <v>29000</v>
      </c>
      <c r="AI277" s="3"/>
      <c r="AJ277" s="3">
        <v>23000</v>
      </c>
      <c r="AK277" s="3"/>
      <c r="AL277" s="3">
        <v>66000</v>
      </c>
      <c r="AM277" s="3"/>
      <c r="AN277" s="3">
        <v>22500</v>
      </c>
      <c r="AO277" s="3"/>
      <c r="AP277" s="3">
        <v>36000</v>
      </c>
      <c r="AQ277" s="42"/>
      <c r="AR277" s="3">
        <v>65500</v>
      </c>
      <c r="AS277" s="42"/>
      <c r="AT277" s="3">
        <v>18000</v>
      </c>
      <c r="AU277" s="42"/>
      <c r="AV277" s="3">
        <v>29500</v>
      </c>
      <c r="AW277" s="42"/>
      <c r="AX277" s="3">
        <v>12500</v>
      </c>
      <c r="AZ277" s="3">
        <v>12500</v>
      </c>
      <c r="BP277" s="5">
        <f t="shared" si="127"/>
        <v>-12500</v>
      </c>
    </row>
    <row r="278" spans="1:68" x14ac:dyDescent="0.25">
      <c r="A278" s="3" t="s">
        <v>216</v>
      </c>
      <c r="BP278" s="5">
        <f t="shared" si="127"/>
        <v>0</v>
      </c>
    </row>
    <row r="279" spans="1:68" x14ac:dyDescent="0.25">
      <c r="A279" s="3"/>
      <c r="B279" s="48">
        <f>SUM(B264:B278)</f>
        <v>481000</v>
      </c>
      <c r="C279" s="32"/>
      <c r="D279" s="48">
        <f>SUM(D264:D278)</f>
        <v>0</v>
      </c>
      <c r="E279" s="48">
        <f>SUM(E264:E278)</f>
        <v>458000</v>
      </c>
      <c r="F279" s="48">
        <f>SUM(F264:F278)</f>
        <v>458000</v>
      </c>
      <c r="G279" s="32"/>
      <c r="H279" s="48">
        <f>SUM(H264:H278)</f>
        <v>-23000</v>
      </c>
      <c r="I279" s="36"/>
      <c r="J279" s="48">
        <f>SUM(J264:J278)</f>
        <v>187500</v>
      </c>
      <c r="K279" s="48">
        <f>SUM(K264:K278)</f>
        <v>287296</v>
      </c>
      <c r="L279" s="48">
        <f>SUM(L264:L278)</f>
        <v>474796</v>
      </c>
      <c r="M279" s="32"/>
      <c r="N279" s="48">
        <f>SUM(N264:N278)</f>
        <v>16796</v>
      </c>
      <c r="P279" s="48">
        <f>SUM(P264:P278)</f>
        <v>497700</v>
      </c>
      <c r="R279" s="48">
        <f t="shared" ref="R279:Z279" si="139">SUM(R264:R278)</f>
        <v>0</v>
      </c>
      <c r="S279" s="48">
        <f t="shared" si="139"/>
        <v>497700</v>
      </c>
      <c r="T279" s="48">
        <f t="shared" si="139"/>
        <v>497700</v>
      </c>
      <c r="U279" s="48">
        <f t="shared" si="139"/>
        <v>0</v>
      </c>
      <c r="V279" s="48">
        <f t="shared" si="139"/>
        <v>69598</v>
      </c>
      <c r="W279" s="48">
        <f t="shared" si="139"/>
        <v>500892</v>
      </c>
      <c r="X279" s="48"/>
      <c r="Y279" s="48">
        <f t="shared" si="139"/>
        <v>570490</v>
      </c>
      <c r="Z279" s="48">
        <f t="shared" si="139"/>
        <v>72790</v>
      </c>
      <c r="AC279" s="48">
        <f>SUM(AC264:AC278)</f>
        <v>221704</v>
      </c>
      <c r="AD279" s="48">
        <f>SUM(AD264:AD278)</f>
        <v>347156</v>
      </c>
      <c r="AE279" s="48">
        <f>SUM(AE264:AE278)</f>
        <v>568860</v>
      </c>
      <c r="AF279" s="48">
        <f>SUM(AF264:AF278)</f>
        <v>-1630</v>
      </c>
      <c r="AH279" s="48">
        <f>SUM(AH264:AH278)</f>
        <v>499050</v>
      </c>
      <c r="AJ279" s="48">
        <f>SUM(AJ264:AJ278)</f>
        <v>504649.99999999994</v>
      </c>
      <c r="AL279" s="48">
        <f>SUM(AL264:AL278)</f>
        <v>559500</v>
      </c>
      <c r="AN279" s="48">
        <f>SUM(AN264:AN278)</f>
        <v>529150</v>
      </c>
      <c r="AO279" s="48"/>
      <c r="AP279" s="48">
        <f>SUM(AP264:AP278)</f>
        <v>555100</v>
      </c>
      <c r="AR279" s="48">
        <f>SUM(AR264:AR278)</f>
        <v>597350</v>
      </c>
      <c r="AT279" s="48">
        <f>SUM(AT264:AT278)</f>
        <v>563000</v>
      </c>
      <c r="AV279" s="48">
        <f>SUM(AV264:AV278)</f>
        <v>587900</v>
      </c>
      <c r="AX279" s="48">
        <f>SUM(AX264:AX278)</f>
        <v>586650</v>
      </c>
      <c r="AZ279" s="48">
        <f>SUM(AZ264:AZ278)</f>
        <v>586650</v>
      </c>
      <c r="BP279" s="5">
        <f t="shared" si="127"/>
        <v>-586650</v>
      </c>
    </row>
    <row r="280" spans="1:68" x14ac:dyDescent="0.25">
      <c r="A280" s="7" t="s">
        <v>57</v>
      </c>
      <c r="BP280" s="5">
        <f t="shared" si="127"/>
        <v>0</v>
      </c>
    </row>
    <row r="281" spans="1:68" x14ac:dyDescent="0.25">
      <c r="A281" s="3" t="s">
        <v>218</v>
      </c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>
        <v>2000000</v>
      </c>
      <c r="AI281" s="3"/>
      <c r="AJ281" s="3"/>
      <c r="AK281" s="3"/>
      <c r="AL281" s="3"/>
      <c r="AM281" s="3"/>
      <c r="AN281" s="3"/>
      <c r="AO281" s="3"/>
      <c r="AP281" s="3"/>
      <c r="AQ281" s="42"/>
      <c r="AR281" s="3"/>
      <c r="AS281" s="42"/>
      <c r="AT281" s="3"/>
      <c r="AU281" s="42"/>
      <c r="AV281" s="3"/>
      <c r="AW281" s="42"/>
      <c r="AX281" s="3"/>
      <c r="AZ281" s="3"/>
      <c r="BP281" s="5">
        <f t="shared" si="127"/>
        <v>0</v>
      </c>
    </row>
    <row r="282" spans="1:68" x14ac:dyDescent="0.25">
      <c r="A282" s="3" t="s">
        <v>219</v>
      </c>
      <c r="B282" s="3"/>
      <c r="D282" s="3"/>
      <c r="E282" s="3">
        <f t="shared" ref="E282:E297" si="140">F282-D282</f>
        <v>0</v>
      </c>
      <c r="F282" s="3"/>
      <c r="H282" s="5">
        <f t="shared" ref="H282:H297" si="141">F282-B282</f>
        <v>0</v>
      </c>
      <c r="K282" s="4">
        <f>L282-J282</f>
        <v>0</v>
      </c>
      <c r="L282" s="32"/>
      <c r="M282" s="32"/>
      <c r="N282" s="4">
        <f>L282-F282</f>
        <v>0</v>
      </c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42"/>
      <c r="AR282" s="3"/>
      <c r="AS282" s="42"/>
      <c r="AT282" s="3"/>
      <c r="AU282" s="42"/>
      <c r="AV282" s="3"/>
      <c r="AW282" s="42"/>
      <c r="AX282" s="3"/>
      <c r="AZ282" s="3"/>
      <c r="BP282" s="5">
        <f t="shared" si="127"/>
        <v>0</v>
      </c>
    </row>
    <row r="283" spans="1:68" x14ac:dyDescent="0.25">
      <c r="A283" s="3" t="s">
        <v>220</v>
      </c>
      <c r="B283" s="3"/>
      <c r="D283" s="3"/>
      <c r="E283" s="3">
        <f t="shared" si="140"/>
        <v>0</v>
      </c>
      <c r="F283" s="3"/>
      <c r="H283" s="5">
        <f t="shared" si="141"/>
        <v>0</v>
      </c>
      <c r="K283" s="4">
        <f>L283-J283</f>
        <v>0</v>
      </c>
      <c r="L283" s="32"/>
      <c r="M283" s="32"/>
      <c r="N283" s="4">
        <f>L283-F283</f>
        <v>0</v>
      </c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>
        <f t="shared" ref="AD283:AD311" si="142">AE283-AC283</f>
        <v>0</v>
      </c>
      <c r="AE283" s="3"/>
      <c r="AF283" s="3">
        <f t="shared" ref="AF283:AF311" si="143">AE283-Y283</f>
        <v>0</v>
      </c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42"/>
      <c r="AR283" s="3"/>
      <c r="AS283" s="42"/>
      <c r="AT283" s="3"/>
      <c r="AU283" s="42"/>
      <c r="AV283" s="3"/>
      <c r="AW283" s="42"/>
      <c r="AX283" s="3"/>
      <c r="AZ283" s="3"/>
      <c r="BP283" s="5">
        <f t="shared" si="127"/>
        <v>0</v>
      </c>
    </row>
    <row r="284" spans="1:68" x14ac:dyDescent="0.25">
      <c r="A284" s="3" t="s">
        <v>221</v>
      </c>
      <c r="B284" s="3"/>
      <c r="D284" s="3"/>
      <c r="E284" s="3"/>
      <c r="F284" s="3"/>
      <c r="K284" s="4"/>
      <c r="L284" s="32"/>
      <c r="M284" s="32"/>
      <c r="N284" s="4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>
        <f t="shared" si="142"/>
        <v>0</v>
      </c>
      <c r="AE284" s="3"/>
      <c r="AF284" s="3">
        <f t="shared" si="143"/>
        <v>0</v>
      </c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42"/>
      <c r="AR284" s="3"/>
      <c r="AS284" s="42"/>
      <c r="AT284" s="3"/>
      <c r="AU284" s="42"/>
      <c r="AV284" s="3"/>
      <c r="AW284" s="42"/>
      <c r="AX284" s="3"/>
      <c r="AZ284" s="3"/>
      <c r="BP284" s="5">
        <f t="shared" si="127"/>
        <v>0</v>
      </c>
    </row>
    <row r="285" spans="1:68" x14ac:dyDescent="0.25">
      <c r="A285" s="3" t="s">
        <v>222</v>
      </c>
      <c r="B285" s="3">
        <v>20000</v>
      </c>
      <c r="D285" s="3"/>
      <c r="E285" s="3">
        <f t="shared" si="140"/>
        <v>20000</v>
      </c>
      <c r="F285" s="3">
        <v>20000</v>
      </c>
      <c r="H285" s="5">
        <f t="shared" si="141"/>
        <v>0</v>
      </c>
      <c r="K285" s="4">
        <f>L285-J285</f>
        <v>20000</v>
      </c>
      <c r="L285" s="4">
        <v>20000</v>
      </c>
      <c r="M285" s="32"/>
      <c r="N285" s="4">
        <f>L285-F285</f>
        <v>0</v>
      </c>
      <c r="P285" s="3">
        <v>20000</v>
      </c>
      <c r="Q285" s="3"/>
      <c r="R285" s="3">
        <v>0</v>
      </c>
      <c r="S285" s="3">
        <f t="shared" ref="S285:S311" si="144">T285-R285</f>
        <v>20000</v>
      </c>
      <c r="T285" s="3">
        <v>20000</v>
      </c>
      <c r="U285" s="3">
        <f t="shared" ref="U285:U311" si="145">T285-P285</f>
        <v>0</v>
      </c>
      <c r="V285" s="3">
        <v>0</v>
      </c>
      <c r="W285" s="3">
        <f t="shared" ref="W285:W311" si="146">Y285-V285</f>
        <v>20000</v>
      </c>
      <c r="X285" s="3"/>
      <c r="Y285" s="3">
        <v>20000</v>
      </c>
      <c r="Z285" s="3">
        <f t="shared" ref="Z285:Z311" si="147">Y285-T285</f>
        <v>0</v>
      </c>
      <c r="AA285" s="3"/>
      <c r="AB285" s="3"/>
      <c r="AC285" s="3"/>
      <c r="AD285" s="3">
        <f t="shared" si="142"/>
        <v>20000</v>
      </c>
      <c r="AE285" s="3">
        <v>20000</v>
      </c>
      <c r="AF285" s="3">
        <f t="shared" si="143"/>
        <v>0</v>
      </c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42"/>
      <c r="AR285" s="3"/>
      <c r="AS285" s="42"/>
      <c r="AT285" s="3"/>
      <c r="AU285" s="42"/>
      <c r="AV285" s="3"/>
      <c r="AW285" s="42"/>
      <c r="AX285" s="3"/>
      <c r="AZ285" s="3"/>
      <c r="BP285" s="5">
        <f t="shared" si="127"/>
        <v>0</v>
      </c>
    </row>
    <row r="286" spans="1:68" x14ac:dyDescent="0.25">
      <c r="A286" s="3" t="s">
        <v>223</v>
      </c>
      <c r="B286" s="3"/>
      <c r="D286" s="3"/>
      <c r="E286" s="3">
        <f t="shared" si="140"/>
        <v>0</v>
      </c>
      <c r="F286" s="3"/>
      <c r="H286" s="5">
        <f t="shared" si="141"/>
        <v>0</v>
      </c>
      <c r="K286" s="4">
        <f t="shared" ref="K286:K311" si="148">L286-J286</f>
        <v>0</v>
      </c>
      <c r="L286" s="4"/>
      <c r="N286" s="4">
        <f t="shared" ref="N286:N311" si="149">L286-F286</f>
        <v>0</v>
      </c>
      <c r="P286" s="3"/>
      <c r="Q286" s="3"/>
      <c r="R286" s="3"/>
      <c r="S286" s="3">
        <f t="shared" si="144"/>
        <v>0</v>
      </c>
      <c r="T286" s="3"/>
      <c r="U286" s="3">
        <f t="shared" si="145"/>
        <v>0</v>
      </c>
      <c r="V286" s="3"/>
      <c r="W286" s="3">
        <f t="shared" si="146"/>
        <v>0</v>
      </c>
      <c r="X286" s="3"/>
      <c r="Y286" s="3"/>
      <c r="Z286" s="3">
        <f t="shared" si="147"/>
        <v>0</v>
      </c>
      <c r="AA286" s="3"/>
      <c r="AB286" s="3"/>
      <c r="AC286" s="3"/>
      <c r="AD286" s="3">
        <f t="shared" si="142"/>
        <v>0</v>
      </c>
      <c r="AE286" s="3"/>
      <c r="AF286" s="3">
        <f t="shared" si="143"/>
        <v>0</v>
      </c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42"/>
      <c r="AR286" s="3"/>
      <c r="AS286" s="42"/>
      <c r="AT286" s="3"/>
      <c r="AU286" s="42"/>
      <c r="AV286" s="3"/>
      <c r="AW286" s="42"/>
      <c r="AX286" s="3"/>
      <c r="AZ286" s="3"/>
      <c r="BP286" s="5">
        <f t="shared" si="127"/>
        <v>0</v>
      </c>
    </row>
    <row r="287" spans="1:68" x14ac:dyDescent="0.25">
      <c r="A287" s="3" t="s">
        <v>224</v>
      </c>
      <c r="B287" s="3"/>
      <c r="D287" s="3"/>
      <c r="E287" s="3">
        <f t="shared" si="140"/>
        <v>0</v>
      </c>
      <c r="F287" s="3"/>
      <c r="H287" s="5">
        <f t="shared" si="141"/>
        <v>0</v>
      </c>
      <c r="K287" s="4">
        <f t="shared" si="148"/>
        <v>0</v>
      </c>
      <c r="L287" s="4"/>
      <c r="N287" s="4">
        <f t="shared" si="149"/>
        <v>0</v>
      </c>
      <c r="P287" s="3"/>
      <c r="Q287" s="3"/>
      <c r="R287" s="3"/>
      <c r="S287" s="3">
        <f t="shared" si="144"/>
        <v>0</v>
      </c>
      <c r="T287" s="3"/>
      <c r="U287" s="3">
        <f t="shared" si="145"/>
        <v>0</v>
      </c>
      <c r="V287" s="3"/>
      <c r="W287" s="3">
        <f t="shared" si="146"/>
        <v>0</v>
      </c>
      <c r="X287" s="3"/>
      <c r="Y287" s="3"/>
      <c r="Z287" s="3">
        <f t="shared" si="147"/>
        <v>0</v>
      </c>
      <c r="AA287" s="3"/>
      <c r="AB287" s="3"/>
      <c r="AC287" s="3"/>
      <c r="AD287" s="3">
        <f t="shared" si="142"/>
        <v>0</v>
      </c>
      <c r="AE287" s="3"/>
      <c r="AF287" s="3">
        <f t="shared" si="143"/>
        <v>0</v>
      </c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42"/>
      <c r="AR287" s="3"/>
      <c r="AS287" s="42"/>
      <c r="AT287" s="3"/>
      <c r="AU287" s="42"/>
      <c r="AV287" s="3"/>
      <c r="AW287" s="42"/>
      <c r="AX287" s="3"/>
      <c r="AZ287" s="3"/>
      <c r="BP287" s="5">
        <f t="shared" si="127"/>
        <v>0</v>
      </c>
    </row>
    <row r="288" spans="1:68" x14ac:dyDescent="0.25">
      <c r="A288" s="3" t="s">
        <v>225</v>
      </c>
      <c r="B288" s="3"/>
      <c r="D288" s="3"/>
      <c r="E288" s="3">
        <f t="shared" si="140"/>
        <v>688502</v>
      </c>
      <c r="F288" s="3">
        <v>688502</v>
      </c>
      <c r="H288" s="5">
        <f t="shared" si="141"/>
        <v>688502</v>
      </c>
      <c r="J288" s="5">
        <v>264955</v>
      </c>
      <c r="K288" s="4">
        <f t="shared" si="148"/>
        <v>423547</v>
      </c>
      <c r="L288" s="4">
        <v>688502</v>
      </c>
      <c r="N288" s="4">
        <f t="shared" si="149"/>
        <v>0</v>
      </c>
      <c r="P288" s="3"/>
      <c r="Q288" s="3"/>
      <c r="R288" s="3"/>
      <c r="S288" s="3">
        <f t="shared" si="144"/>
        <v>0</v>
      </c>
      <c r="T288" s="3"/>
      <c r="U288" s="3">
        <f t="shared" si="145"/>
        <v>0</v>
      </c>
      <c r="V288" s="3"/>
      <c r="W288" s="3">
        <f t="shared" si="146"/>
        <v>0</v>
      </c>
      <c r="X288" s="3"/>
      <c r="Y288" s="3"/>
      <c r="Z288" s="3">
        <f t="shared" si="147"/>
        <v>0</v>
      </c>
      <c r="AA288" s="3"/>
      <c r="AB288" s="3"/>
      <c r="AC288" s="3"/>
      <c r="AD288" s="3">
        <f t="shared" si="142"/>
        <v>0</v>
      </c>
      <c r="AE288" s="3"/>
      <c r="AF288" s="3">
        <f t="shared" si="143"/>
        <v>0</v>
      </c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42"/>
      <c r="AR288" s="3"/>
      <c r="AS288" s="42"/>
      <c r="AT288" s="3"/>
      <c r="AU288" s="42"/>
      <c r="AV288" s="3"/>
      <c r="AW288" s="42"/>
      <c r="AX288" s="3"/>
      <c r="AZ288" s="3"/>
      <c r="BP288" s="5">
        <f t="shared" si="127"/>
        <v>0</v>
      </c>
    </row>
    <row r="289" spans="1:68" x14ac:dyDescent="0.25">
      <c r="A289" s="3" t="s">
        <v>226</v>
      </c>
      <c r="B289" s="3">
        <v>2750000</v>
      </c>
      <c r="D289" s="3"/>
      <c r="E289" s="3">
        <f t="shared" si="140"/>
        <v>1818053</v>
      </c>
      <c r="F289" s="3">
        <v>1818053</v>
      </c>
      <c r="H289" s="5">
        <f t="shared" si="141"/>
        <v>-931947</v>
      </c>
      <c r="J289" s="5">
        <v>430420</v>
      </c>
      <c r="K289" s="4">
        <f t="shared" si="148"/>
        <v>1387633</v>
      </c>
      <c r="L289" s="4">
        <v>1818053</v>
      </c>
      <c r="N289" s="4">
        <f t="shared" si="149"/>
        <v>0</v>
      </c>
      <c r="P289" s="3">
        <v>2500000</v>
      </c>
      <c r="Q289" s="3"/>
      <c r="R289" s="3">
        <v>0</v>
      </c>
      <c r="S289" s="3">
        <f t="shared" si="144"/>
        <v>2500000</v>
      </c>
      <c r="T289" s="3">
        <v>2500000</v>
      </c>
      <c r="U289" s="3">
        <f t="shared" si="145"/>
        <v>0</v>
      </c>
      <c r="V289" s="3">
        <v>86000</v>
      </c>
      <c r="W289" s="3">
        <f t="shared" si="146"/>
        <v>2414000</v>
      </c>
      <c r="X289" s="3"/>
      <c r="Y289" s="3">
        <v>2500000</v>
      </c>
      <c r="Z289" s="3">
        <f t="shared" si="147"/>
        <v>0</v>
      </c>
      <c r="AA289" s="3"/>
      <c r="AB289" s="3"/>
      <c r="AC289" s="3">
        <v>199152</v>
      </c>
      <c r="AD289" s="3">
        <f t="shared" si="142"/>
        <v>2300848</v>
      </c>
      <c r="AE289" s="3">
        <v>2500000</v>
      </c>
      <c r="AF289" s="3">
        <f t="shared" si="143"/>
        <v>0</v>
      </c>
      <c r="AG289" s="3"/>
      <c r="AH289" s="3">
        <v>1500000</v>
      </c>
      <c r="AI289" s="3"/>
      <c r="AJ289" s="3"/>
      <c r="AK289" s="3"/>
      <c r="AL289" s="3"/>
      <c r="AM289" s="3"/>
      <c r="AN289" s="3"/>
      <c r="AO289" s="3"/>
      <c r="AP289" s="3"/>
      <c r="AQ289" s="42"/>
      <c r="AR289" s="3"/>
      <c r="AS289" s="42"/>
      <c r="AT289" s="3"/>
      <c r="AU289" s="42"/>
      <c r="AV289" s="3"/>
      <c r="AW289" s="42"/>
      <c r="AX289" s="3"/>
      <c r="AZ289" s="3"/>
      <c r="BP289" s="5">
        <f t="shared" si="127"/>
        <v>0</v>
      </c>
    </row>
    <row r="290" spans="1:68" x14ac:dyDescent="0.25">
      <c r="A290" s="3" t="s">
        <v>227</v>
      </c>
      <c r="B290" s="3"/>
      <c r="D290" s="3"/>
      <c r="E290" s="3">
        <f t="shared" si="140"/>
        <v>0</v>
      </c>
      <c r="F290" s="3"/>
      <c r="H290" s="5">
        <f t="shared" si="141"/>
        <v>0</v>
      </c>
      <c r="K290" s="4">
        <f t="shared" si="148"/>
        <v>0</v>
      </c>
      <c r="L290" s="4"/>
      <c r="N290" s="4">
        <f t="shared" si="149"/>
        <v>0</v>
      </c>
      <c r="P290" s="3"/>
      <c r="Q290" s="3"/>
      <c r="R290" s="3"/>
      <c r="S290" s="3">
        <f t="shared" si="144"/>
        <v>0</v>
      </c>
      <c r="T290" s="3"/>
      <c r="U290" s="3">
        <f t="shared" si="145"/>
        <v>0</v>
      </c>
      <c r="V290" s="3"/>
      <c r="W290" s="3">
        <f t="shared" si="146"/>
        <v>0</v>
      </c>
      <c r="X290" s="3"/>
      <c r="Y290" s="3"/>
      <c r="Z290" s="3">
        <f t="shared" si="147"/>
        <v>0</v>
      </c>
      <c r="AA290" s="3"/>
      <c r="AB290" s="3"/>
      <c r="AC290" s="3"/>
      <c r="AD290" s="3">
        <f t="shared" si="142"/>
        <v>0</v>
      </c>
      <c r="AE290" s="3"/>
      <c r="AF290" s="3">
        <f t="shared" si="143"/>
        <v>0</v>
      </c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42"/>
      <c r="AR290" s="3"/>
      <c r="AS290" s="42"/>
      <c r="AT290" s="3"/>
      <c r="AU290" s="42"/>
      <c r="AV290" s="3"/>
      <c r="AW290" s="42"/>
      <c r="AX290" s="3"/>
      <c r="AZ290" s="3"/>
      <c r="BP290" s="5">
        <f t="shared" si="127"/>
        <v>0</v>
      </c>
    </row>
    <row r="291" spans="1:68" x14ac:dyDescent="0.25">
      <c r="A291" s="3" t="s">
        <v>228</v>
      </c>
      <c r="B291" s="3"/>
      <c r="D291" s="3"/>
      <c r="E291" s="3">
        <f t="shared" si="140"/>
        <v>1014107</v>
      </c>
      <c r="F291" s="3">
        <v>1014107</v>
      </c>
      <c r="H291" s="5">
        <f t="shared" si="141"/>
        <v>1014107</v>
      </c>
      <c r="J291" s="5">
        <v>161215</v>
      </c>
      <c r="K291" s="4">
        <f t="shared" si="148"/>
        <v>852892</v>
      </c>
      <c r="L291" s="4">
        <v>1014107</v>
      </c>
      <c r="N291" s="4">
        <f t="shared" si="149"/>
        <v>0</v>
      </c>
      <c r="P291" s="3"/>
      <c r="Q291" s="3"/>
      <c r="R291" s="3"/>
      <c r="S291" s="3">
        <f t="shared" si="144"/>
        <v>0</v>
      </c>
      <c r="T291" s="3"/>
      <c r="U291" s="3">
        <f t="shared" si="145"/>
        <v>0</v>
      </c>
      <c r="V291" s="3"/>
      <c r="W291" s="3">
        <f t="shared" si="146"/>
        <v>0</v>
      </c>
      <c r="X291" s="3"/>
      <c r="Y291" s="3"/>
      <c r="Z291" s="3">
        <f t="shared" si="147"/>
        <v>0</v>
      </c>
      <c r="AA291" s="3"/>
      <c r="AB291" s="3"/>
      <c r="AC291" s="3"/>
      <c r="AD291" s="3">
        <f t="shared" si="142"/>
        <v>0</v>
      </c>
      <c r="AE291" s="3"/>
      <c r="AF291" s="3">
        <f t="shared" si="143"/>
        <v>0</v>
      </c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42"/>
      <c r="AR291" s="3"/>
      <c r="AS291" s="42"/>
      <c r="AT291" s="3"/>
      <c r="AU291" s="42"/>
      <c r="AV291" s="3"/>
      <c r="AW291" s="42"/>
      <c r="AX291" s="3"/>
      <c r="AZ291" s="3"/>
      <c r="BP291" s="5">
        <f t="shared" si="127"/>
        <v>0</v>
      </c>
    </row>
    <row r="292" spans="1:68" x14ac:dyDescent="0.25">
      <c r="A292" s="3" t="s">
        <v>229</v>
      </c>
      <c r="B292" s="3"/>
      <c r="D292" s="3"/>
      <c r="E292" s="3">
        <f t="shared" si="140"/>
        <v>157220</v>
      </c>
      <c r="F292" s="5">
        <v>157220</v>
      </c>
      <c r="H292" s="5">
        <f t="shared" si="141"/>
        <v>157220</v>
      </c>
      <c r="K292" s="4">
        <f t="shared" si="148"/>
        <v>157220</v>
      </c>
      <c r="L292" s="4">
        <v>157220</v>
      </c>
      <c r="N292" s="4">
        <f t="shared" si="149"/>
        <v>0</v>
      </c>
      <c r="P292" s="3"/>
      <c r="Q292" s="3"/>
      <c r="R292" s="3"/>
      <c r="S292" s="3">
        <f t="shared" si="144"/>
        <v>0</v>
      </c>
      <c r="T292" s="3"/>
      <c r="U292" s="3">
        <f t="shared" si="145"/>
        <v>0</v>
      </c>
      <c r="V292" s="3"/>
      <c r="W292" s="3">
        <f t="shared" si="146"/>
        <v>0</v>
      </c>
      <c r="X292" s="3"/>
      <c r="Y292" s="3"/>
      <c r="Z292" s="3">
        <f t="shared" si="147"/>
        <v>0</v>
      </c>
      <c r="AA292" s="3"/>
      <c r="AB292" s="3"/>
      <c r="AC292" s="3"/>
      <c r="AD292" s="3">
        <f t="shared" si="142"/>
        <v>0</v>
      </c>
      <c r="AE292" s="3"/>
      <c r="AF292" s="3">
        <f t="shared" si="143"/>
        <v>0</v>
      </c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42"/>
      <c r="AR292" s="3"/>
      <c r="AS292" s="42"/>
      <c r="AT292" s="3"/>
      <c r="AU292" s="42"/>
      <c r="AV292" s="3"/>
      <c r="AW292" s="42"/>
      <c r="AX292" s="3"/>
      <c r="AZ292" s="3"/>
      <c r="BP292" s="5">
        <f t="shared" si="127"/>
        <v>0</v>
      </c>
    </row>
    <row r="293" spans="1:68" x14ac:dyDescent="0.25">
      <c r="A293" s="3" t="s">
        <v>230</v>
      </c>
      <c r="B293" s="3"/>
      <c r="D293" s="3"/>
      <c r="E293" s="3">
        <f t="shared" si="140"/>
        <v>0</v>
      </c>
      <c r="F293" s="3"/>
      <c r="H293" s="5">
        <f t="shared" si="141"/>
        <v>0</v>
      </c>
      <c r="K293" s="4">
        <f t="shared" si="148"/>
        <v>0</v>
      </c>
      <c r="L293" s="4"/>
      <c r="N293" s="4">
        <f t="shared" si="149"/>
        <v>0</v>
      </c>
      <c r="P293" s="3"/>
      <c r="Q293" s="3"/>
      <c r="R293" s="3"/>
      <c r="S293" s="3">
        <f t="shared" si="144"/>
        <v>0</v>
      </c>
      <c r="T293" s="3"/>
      <c r="U293" s="3">
        <f t="shared" si="145"/>
        <v>0</v>
      </c>
      <c r="V293" s="3"/>
      <c r="W293" s="3">
        <f t="shared" si="146"/>
        <v>0</v>
      </c>
      <c r="X293" s="3"/>
      <c r="Y293" s="3"/>
      <c r="Z293" s="3">
        <f t="shared" si="147"/>
        <v>0</v>
      </c>
      <c r="AA293" s="3"/>
      <c r="AB293" s="3"/>
      <c r="AC293" s="3"/>
      <c r="AD293" s="3">
        <f t="shared" si="142"/>
        <v>0</v>
      </c>
      <c r="AE293" s="3"/>
      <c r="AF293" s="3">
        <f t="shared" si="143"/>
        <v>0</v>
      </c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42"/>
      <c r="AR293" s="3"/>
      <c r="AS293" s="42"/>
      <c r="AT293" s="3"/>
      <c r="AU293" s="42"/>
      <c r="AV293" s="3"/>
      <c r="AW293" s="42"/>
      <c r="AX293" s="3"/>
      <c r="AZ293" s="3"/>
      <c r="BP293" s="5">
        <f t="shared" si="127"/>
        <v>0</v>
      </c>
    </row>
    <row r="294" spans="1:68" x14ac:dyDescent="0.25">
      <c r="A294" s="3" t="s">
        <v>231</v>
      </c>
      <c r="E294" s="3">
        <f t="shared" si="140"/>
        <v>0</v>
      </c>
      <c r="H294" s="5">
        <f t="shared" si="141"/>
        <v>0</v>
      </c>
      <c r="K294" s="4">
        <f t="shared" si="148"/>
        <v>0</v>
      </c>
      <c r="L294" s="4"/>
      <c r="N294" s="4">
        <f t="shared" si="149"/>
        <v>0</v>
      </c>
      <c r="P294" s="3"/>
      <c r="Q294" s="3"/>
      <c r="R294" s="3"/>
      <c r="S294" s="3">
        <f t="shared" si="144"/>
        <v>0</v>
      </c>
      <c r="T294" s="3"/>
      <c r="U294" s="3">
        <f t="shared" si="145"/>
        <v>0</v>
      </c>
      <c r="V294" s="3"/>
      <c r="W294" s="3">
        <f t="shared" si="146"/>
        <v>0</v>
      </c>
      <c r="X294" s="3"/>
      <c r="Y294" s="3"/>
      <c r="Z294" s="3">
        <f t="shared" si="147"/>
        <v>0</v>
      </c>
      <c r="AA294" s="3"/>
      <c r="AB294" s="3"/>
      <c r="AC294" s="3"/>
      <c r="AD294" s="3">
        <f t="shared" si="142"/>
        <v>0</v>
      </c>
      <c r="AE294" s="3"/>
      <c r="AF294" s="3">
        <f t="shared" si="143"/>
        <v>0</v>
      </c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42"/>
      <c r="AR294" s="3"/>
      <c r="AS294" s="42"/>
      <c r="AT294" s="3"/>
      <c r="AU294" s="42"/>
      <c r="AV294" s="3"/>
      <c r="AW294" s="42"/>
      <c r="AX294" s="3"/>
      <c r="AZ294" s="3"/>
      <c r="BP294" s="5">
        <f t="shared" si="127"/>
        <v>0</v>
      </c>
    </row>
    <row r="295" spans="1:68" x14ac:dyDescent="0.25">
      <c r="A295" s="3" t="s">
        <v>232</v>
      </c>
      <c r="E295" s="3">
        <f t="shared" si="140"/>
        <v>0</v>
      </c>
      <c r="H295" s="5">
        <f t="shared" si="141"/>
        <v>0</v>
      </c>
      <c r="K295" s="4">
        <f t="shared" si="148"/>
        <v>0</v>
      </c>
      <c r="L295" s="4"/>
      <c r="N295" s="4">
        <f t="shared" si="149"/>
        <v>0</v>
      </c>
      <c r="P295" s="3"/>
      <c r="Q295" s="3"/>
      <c r="R295" s="3"/>
      <c r="S295" s="3">
        <f t="shared" si="144"/>
        <v>0</v>
      </c>
      <c r="T295" s="3"/>
      <c r="U295" s="3">
        <f t="shared" si="145"/>
        <v>0</v>
      </c>
      <c r="V295" s="3"/>
      <c r="W295" s="3">
        <f t="shared" si="146"/>
        <v>0</v>
      </c>
      <c r="X295" s="3"/>
      <c r="Y295" s="3"/>
      <c r="Z295" s="3">
        <f t="shared" si="147"/>
        <v>0</v>
      </c>
      <c r="AA295" s="3"/>
      <c r="AB295" s="3"/>
      <c r="AC295" s="3"/>
      <c r="AD295" s="3">
        <f t="shared" si="142"/>
        <v>0</v>
      </c>
      <c r="AE295" s="3"/>
      <c r="AF295" s="3">
        <f t="shared" si="143"/>
        <v>0</v>
      </c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42"/>
      <c r="AR295" s="3"/>
      <c r="AS295" s="42"/>
      <c r="AT295" s="3"/>
      <c r="AU295" s="42"/>
      <c r="AV295" s="3"/>
      <c r="AW295" s="42"/>
      <c r="AX295" s="3"/>
      <c r="AZ295" s="3"/>
      <c r="BP295" s="5">
        <f t="shared" si="127"/>
        <v>0</v>
      </c>
    </row>
    <row r="296" spans="1:68" x14ac:dyDescent="0.25">
      <c r="A296" s="3" t="s">
        <v>233</v>
      </c>
      <c r="E296" s="3">
        <f t="shared" si="140"/>
        <v>0</v>
      </c>
      <c r="H296" s="5">
        <f t="shared" si="141"/>
        <v>0</v>
      </c>
      <c r="K296" s="4">
        <f t="shared" si="148"/>
        <v>0</v>
      </c>
      <c r="L296" s="4"/>
      <c r="N296" s="4">
        <f t="shared" si="149"/>
        <v>0</v>
      </c>
      <c r="P296" s="3"/>
      <c r="Q296" s="3"/>
      <c r="R296" s="3"/>
      <c r="S296" s="3">
        <f t="shared" si="144"/>
        <v>0</v>
      </c>
      <c r="T296" s="3"/>
      <c r="U296" s="3">
        <f t="shared" si="145"/>
        <v>0</v>
      </c>
      <c r="V296" s="3"/>
      <c r="W296" s="3">
        <f t="shared" si="146"/>
        <v>0</v>
      </c>
      <c r="X296" s="3"/>
      <c r="Y296" s="3"/>
      <c r="Z296" s="3">
        <f t="shared" si="147"/>
        <v>0</v>
      </c>
      <c r="AA296" s="3"/>
      <c r="AB296" s="3"/>
      <c r="AC296" s="3"/>
      <c r="AD296" s="3">
        <f t="shared" si="142"/>
        <v>0</v>
      </c>
      <c r="AE296" s="3"/>
      <c r="AF296" s="3">
        <f t="shared" si="143"/>
        <v>0</v>
      </c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42"/>
      <c r="AR296" s="3"/>
      <c r="AS296" s="42"/>
      <c r="AT296" s="3"/>
      <c r="AU296" s="42"/>
      <c r="AV296" s="3"/>
      <c r="AW296" s="42"/>
      <c r="AX296" s="3"/>
      <c r="AZ296" s="3"/>
      <c r="BP296" s="5">
        <f t="shared" si="127"/>
        <v>0</v>
      </c>
    </row>
    <row r="297" spans="1:68" x14ac:dyDescent="0.25">
      <c r="A297" s="3" t="s">
        <v>234</v>
      </c>
      <c r="E297" s="3">
        <f t="shared" si="140"/>
        <v>0</v>
      </c>
      <c r="H297" s="5">
        <f t="shared" si="141"/>
        <v>0</v>
      </c>
      <c r="K297" s="4">
        <f t="shared" si="148"/>
        <v>0</v>
      </c>
      <c r="L297" s="4"/>
      <c r="N297" s="4">
        <f t="shared" si="149"/>
        <v>0</v>
      </c>
      <c r="P297" s="3"/>
      <c r="Q297" s="3"/>
      <c r="R297" s="3"/>
      <c r="S297" s="3">
        <f t="shared" si="144"/>
        <v>0</v>
      </c>
      <c r="T297" s="3"/>
      <c r="U297" s="3">
        <f t="shared" si="145"/>
        <v>0</v>
      </c>
      <c r="V297" s="3"/>
      <c r="W297" s="3">
        <f t="shared" si="146"/>
        <v>0</v>
      </c>
      <c r="X297" s="3"/>
      <c r="Y297" s="3"/>
      <c r="Z297" s="3">
        <f t="shared" si="147"/>
        <v>0</v>
      </c>
      <c r="AA297" s="3"/>
      <c r="AB297" s="3"/>
      <c r="AC297" s="3"/>
      <c r="AD297" s="3">
        <f t="shared" si="142"/>
        <v>0</v>
      </c>
      <c r="AE297" s="3"/>
      <c r="AF297" s="3">
        <f t="shared" si="143"/>
        <v>0</v>
      </c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42"/>
      <c r="AR297" s="3"/>
      <c r="AS297" s="42"/>
      <c r="AT297" s="3"/>
      <c r="AU297" s="42"/>
      <c r="AV297" s="3"/>
      <c r="AW297" s="42"/>
      <c r="AX297" s="3"/>
      <c r="AZ297" s="3"/>
      <c r="BP297" s="5">
        <f t="shared" si="127"/>
        <v>0</v>
      </c>
    </row>
    <row r="298" spans="1:68" x14ac:dyDescent="0.25">
      <c r="A298" s="3" t="s">
        <v>235</v>
      </c>
      <c r="K298" s="4">
        <f t="shared" si="148"/>
        <v>0</v>
      </c>
      <c r="L298" s="4"/>
      <c r="N298" s="4">
        <f t="shared" si="149"/>
        <v>0</v>
      </c>
      <c r="P298" s="3"/>
      <c r="Q298" s="3"/>
      <c r="R298" s="3"/>
      <c r="S298" s="3">
        <f t="shared" si="144"/>
        <v>0</v>
      </c>
      <c r="T298" s="3"/>
      <c r="U298" s="3">
        <f t="shared" si="145"/>
        <v>0</v>
      </c>
      <c r="V298" s="3"/>
      <c r="W298" s="3">
        <f t="shared" si="146"/>
        <v>0</v>
      </c>
      <c r="X298" s="3"/>
      <c r="Y298" s="3"/>
      <c r="Z298" s="3">
        <f t="shared" si="147"/>
        <v>0</v>
      </c>
      <c r="AA298" s="3"/>
      <c r="AB298" s="3"/>
      <c r="AC298" s="3"/>
      <c r="AD298" s="3">
        <f t="shared" si="142"/>
        <v>0</v>
      </c>
      <c r="AE298" s="3"/>
      <c r="AF298" s="3">
        <f t="shared" si="143"/>
        <v>0</v>
      </c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42"/>
      <c r="AR298" s="3"/>
      <c r="AS298" s="42"/>
      <c r="AT298" s="3"/>
      <c r="AU298" s="42"/>
      <c r="AV298" s="3"/>
      <c r="AW298" s="42"/>
      <c r="AX298" s="3"/>
      <c r="AZ298" s="3"/>
      <c r="BP298" s="5">
        <f t="shared" si="127"/>
        <v>0</v>
      </c>
    </row>
    <row r="299" spans="1:68" x14ac:dyDescent="0.25">
      <c r="A299" s="3" t="s">
        <v>236</v>
      </c>
      <c r="K299" s="4">
        <f t="shared" si="148"/>
        <v>0</v>
      </c>
      <c r="L299" s="4"/>
      <c r="N299" s="4">
        <f t="shared" si="149"/>
        <v>0</v>
      </c>
      <c r="P299" s="3"/>
      <c r="Q299" s="3"/>
      <c r="R299" s="3"/>
      <c r="S299" s="3">
        <f t="shared" si="144"/>
        <v>0</v>
      </c>
      <c r="T299" s="3"/>
      <c r="U299" s="3">
        <f t="shared" si="145"/>
        <v>0</v>
      </c>
      <c r="V299" s="3"/>
      <c r="W299" s="3">
        <f t="shared" si="146"/>
        <v>0</v>
      </c>
      <c r="X299" s="3"/>
      <c r="Y299" s="3"/>
      <c r="Z299" s="3">
        <f t="shared" si="147"/>
        <v>0</v>
      </c>
      <c r="AA299" s="3"/>
      <c r="AB299" s="3"/>
      <c r="AC299" s="3"/>
      <c r="AD299" s="3">
        <f t="shared" si="142"/>
        <v>0</v>
      </c>
      <c r="AE299" s="3"/>
      <c r="AF299" s="3">
        <f t="shared" si="143"/>
        <v>0</v>
      </c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42"/>
      <c r="AR299" s="3"/>
      <c r="AS299" s="42"/>
      <c r="AT299" s="3"/>
      <c r="AU299" s="42"/>
      <c r="AV299" s="3"/>
      <c r="AW299" s="42"/>
      <c r="AX299" s="3"/>
      <c r="AZ299" s="3"/>
      <c r="BP299" s="5">
        <f t="shared" si="127"/>
        <v>0</v>
      </c>
    </row>
    <row r="300" spans="1:68" x14ac:dyDescent="0.25">
      <c r="A300" s="3" t="s">
        <v>237</v>
      </c>
      <c r="K300" s="4">
        <f>L300-J300</f>
        <v>0</v>
      </c>
      <c r="L300" s="4"/>
      <c r="N300" s="4">
        <f>L300-F300</f>
        <v>0</v>
      </c>
      <c r="P300" s="3"/>
      <c r="Q300" s="3"/>
      <c r="R300" s="3"/>
      <c r="S300" s="3">
        <f t="shared" si="144"/>
        <v>0</v>
      </c>
      <c r="T300" s="3"/>
      <c r="U300" s="3">
        <f t="shared" si="145"/>
        <v>0</v>
      </c>
      <c r="V300" s="3"/>
      <c r="W300" s="3">
        <f t="shared" si="146"/>
        <v>0</v>
      </c>
      <c r="X300" s="3"/>
      <c r="Y300" s="3"/>
      <c r="Z300" s="3">
        <f t="shared" si="147"/>
        <v>0</v>
      </c>
      <c r="AA300" s="3"/>
      <c r="AB300" s="3"/>
      <c r="AC300" s="3"/>
      <c r="AD300" s="3">
        <f t="shared" si="142"/>
        <v>0</v>
      </c>
      <c r="AE300" s="3"/>
      <c r="AF300" s="3">
        <f t="shared" si="143"/>
        <v>0</v>
      </c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42"/>
      <c r="AR300" s="3"/>
      <c r="AS300" s="42"/>
      <c r="AT300" s="3"/>
      <c r="AU300" s="42"/>
      <c r="AV300" s="3"/>
      <c r="AW300" s="42"/>
      <c r="AX300" s="3"/>
      <c r="AZ300" s="3"/>
      <c r="BP300" s="5">
        <f t="shared" si="127"/>
        <v>0</v>
      </c>
    </row>
    <row r="301" spans="1:68" x14ac:dyDescent="0.25">
      <c r="A301" s="3" t="s">
        <v>238</v>
      </c>
      <c r="B301" s="3">
        <v>27750</v>
      </c>
      <c r="D301" s="3"/>
      <c r="E301" s="3">
        <f t="shared" ref="E301:E311" si="150">F301-D301</f>
        <v>27750</v>
      </c>
      <c r="F301" s="3">
        <v>27750</v>
      </c>
      <c r="H301" s="5">
        <f t="shared" ref="H301:H311" si="151">F301-B301</f>
        <v>0</v>
      </c>
      <c r="K301" s="4">
        <f t="shared" si="148"/>
        <v>27750</v>
      </c>
      <c r="L301" s="4">
        <v>27750</v>
      </c>
      <c r="N301" s="4">
        <f t="shared" si="149"/>
        <v>0</v>
      </c>
      <c r="P301" s="3">
        <f>L301*1.036+1</f>
        <v>28750</v>
      </c>
      <c r="Q301" s="3"/>
      <c r="R301" s="3">
        <v>0</v>
      </c>
      <c r="S301" s="3">
        <f t="shared" si="144"/>
        <v>28750</v>
      </c>
      <c r="T301" s="3">
        <v>28750</v>
      </c>
      <c r="U301" s="3">
        <f t="shared" si="145"/>
        <v>0</v>
      </c>
      <c r="V301" s="3">
        <v>0</v>
      </c>
      <c r="W301" s="3">
        <f t="shared" si="146"/>
        <v>28750</v>
      </c>
      <c r="X301" s="3"/>
      <c r="Y301" s="3">
        <v>28750</v>
      </c>
      <c r="Z301" s="3">
        <f t="shared" si="147"/>
        <v>0</v>
      </c>
      <c r="AA301" s="3"/>
      <c r="AB301" s="3"/>
      <c r="AC301" s="3">
        <v>0</v>
      </c>
      <c r="AD301" s="3">
        <f t="shared" si="142"/>
        <v>28750</v>
      </c>
      <c r="AE301" s="3">
        <v>28750</v>
      </c>
      <c r="AF301" s="3">
        <f t="shared" si="143"/>
        <v>0</v>
      </c>
      <c r="AG301" s="3"/>
      <c r="AH301" s="3">
        <f>AE301*1.03+37</f>
        <v>29649.5</v>
      </c>
      <c r="AI301" s="3"/>
      <c r="AJ301" s="3">
        <f>AH301*1.03</f>
        <v>30538.985000000001</v>
      </c>
      <c r="AK301" s="3"/>
      <c r="AL301" s="3">
        <f>AJ301*1.03</f>
        <v>31455.154550000003</v>
      </c>
      <c r="AM301" s="3"/>
      <c r="AN301" s="3">
        <f>AL301*1.03</f>
        <v>32398.809186500002</v>
      </c>
      <c r="AO301" s="3"/>
      <c r="AP301" s="3">
        <f>AN301*1.03</f>
        <v>33370.773462095007</v>
      </c>
      <c r="AQ301" s="42"/>
      <c r="AR301" s="3">
        <f>AP301*1.03</f>
        <v>34371.896665957858</v>
      </c>
      <c r="AS301" s="42"/>
      <c r="AT301" s="3">
        <f>AR301*1.03</f>
        <v>35403.053565936592</v>
      </c>
      <c r="AU301" s="42"/>
      <c r="AV301" s="3">
        <f>AT301*1.03</f>
        <v>36465.145172914694</v>
      </c>
      <c r="AW301" s="42"/>
      <c r="AX301" s="3">
        <f>AV301*1.03</f>
        <v>37559.099528102139</v>
      </c>
      <c r="AZ301" s="3">
        <f>AX301*1.03</f>
        <v>38685.872513945207</v>
      </c>
      <c r="BP301" s="5">
        <f t="shared" si="127"/>
        <v>-38685.872513945207</v>
      </c>
    </row>
    <row r="302" spans="1:68" x14ac:dyDescent="0.25">
      <c r="A302" s="3" t="s">
        <v>239</v>
      </c>
      <c r="B302" s="3"/>
      <c r="D302" s="3"/>
      <c r="E302" s="3">
        <f t="shared" si="150"/>
        <v>0</v>
      </c>
      <c r="F302" s="3"/>
      <c r="H302" s="5">
        <f t="shared" si="151"/>
        <v>0</v>
      </c>
      <c r="K302" s="4">
        <f t="shared" si="148"/>
        <v>0</v>
      </c>
      <c r="L302" s="4"/>
      <c r="N302" s="4">
        <f t="shared" si="149"/>
        <v>0</v>
      </c>
      <c r="P302" s="3"/>
      <c r="Q302" s="3"/>
      <c r="R302" s="3"/>
      <c r="S302" s="3">
        <f t="shared" si="144"/>
        <v>0</v>
      </c>
      <c r="T302" s="3"/>
      <c r="U302" s="3">
        <f t="shared" si="145"/>
        <v>0</v>
      </c>
      <c r="V302" s="3"/>
      <c r="W302" s="3">
        <f t="shared" si="146"/>
        <v>0</v>
      </c>
      <c r="X302" s="3"/>
      <c r="Y302" s="3"/>
      <c r="Z302" s="3">
        <f t="shared" si="147"/>
        <v>0</v>
      </c>
      <c r="AA302" s="3"/>
      <c r="AB302" s="3"/>
      <c r="AC302" s="3"/>
      <c r="AD302" s="3">
        <f t="shared" si="142"/>
        <v>0</v>
      </c>
      <c r="AE302" s="3"/>
      <c r="AF302" s="3">
        <f t="shared" si="143"/>
        <v>0</v>
      </c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42"/>
      <c r="AR302" s="3"/>
      <c r="AS302" s="42"/>
      <c r="AT302" s="3"/>
      <c r="AU302" s="42"/>
      <c r="AV302" s="3"/>
      <c r="AW302" s="42"/>
      <c r="AX302" s="3"/>
      <c r="AZ302" s="3"/>
      <c r="BA302" s="42"/>
      <c r="BP302" s="5">
        <f t="shared" si="127"/>
        <v>0</v>
      </c>
    </row>
    <row r="303" spans="1:68" x14ac:dyDescent="0.25">
      <c r="A303" s="3" t="s">
        <v>240</v>
      </c>
      <c r="B303" s="3"/>
      <c r="D303" s="3"/>
      <c r="E303" s="3">
        <f t="shared" si="150"/>
        <v>0</v>
      </c>
      <c r="F303" s="3"/>
      <c r="H303" s="5">
        <f t="shared" si="151"/>
        <v>0</v>
      </c>
      <c r="K303" s="4">
        <f t="shared" si="148"/>
        <v>0</v>
      </c>
      <c r="L303" s="4"/>
      <c r="N303" s="4">
        <f t="shared" si="149"/>
        <v>0</v>
      </c>
      <c r="P303" s="3"/>
      <c r="Q303" s="3"/>
      <c r="R303" s="3"/>
      <c r="S303" s="3">
        <f t="shared" si="144"/>
        <v>0</v>
      </c>
      <c r="T303" s="3"/>
      <c r="U303" s="3">
        <f t="shared" si="145"/>
        <v>0</v>
      </c>
      <c r="V303" s="3"/>
      <c r="W303" s="3">
        <f t="shared" si="146"/>
        <v>0</v>
      </c>
      <c r="X303" s="3"/>
      <c r="Y303" s="3"/>
      <c r="Z303" s="3">
        <f t="shared" si="147"/>
        <v>0</v>
      </c>
      <c r="AA303" s="3"/>
      <c r="AB303" s="3"/>
      <c r="AC303" s="3"/>
      <c r="AD303" s="3">
        <f t="shared" si="142"/>
        <v>0</v>
      </c>
      <c r="AE303" s="3"/>
      <c r="AF303" s="3">
        <f t="shared" si="143"/>
        <v>0</v>
      </c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42"/>
      <c r="AR303" s="3"/>
      <c r="AS303" s="42"/>
      <c r="AT303" s="3"/>
      <c r="AU303" s="42"/>
      <c r="AV303" s="3"/>
      <c r="AW303" s="42"/>
      <c r="AX303" s="3"/>
      <c r="AZ303" s="3"/>
      <c r="BP303" s="5">
        <f t="shared" si="127"/>
        <v>0</v>
      </c>
    </row>
    <row r="304" spans="1:68" s="42" customFormat="1" x14ac:dyDescent="0.25">
      <c r="A304" s="3" t="s">
        <v>241</v>
      </c>
      <c r="B304" s="4">
        <v>49000</v>
      </c>
      <c r="C304" s="4"/>
      <c r="D304" s="4"/>
      <c r="E304" s="3">
        <f t="shared" si="150"/>
        <v>49000</v>
      </c>
      <c r="F304" s="4">
        <v>49000</v>
      </c>
      <c r="G304" s="4"/>
      <c r="H304" s="5">
        <f t="shared" si="151"/>
        <v>0</v>
      </c>
      <c r="I304" s="5"/>
      <c r="J304" s="5"/>
      <c r="K304" s="4">
        <f t="shared" si="148"/>
        <v>49000</v>
      </c>
      <c r="L304" s="4">
        <v>49000</v>
      </c>
      <c r="M304" s="4"/>
      <c r="N304" s="4">
        <f t="shared" si="149"/>
        <v>0</v>
      </c>
      <c r="O304" s="3"/>
      <c r="P304" s="32"/>
      <c r="Q304" s="3"/>
      <c r="R304" s="3"/>
      <c r="S304" s="3">
        <f t="shared" si="144"/>
        <v>49000</v>
      </c>
      <c r="T304" s="3">
        <v>49000</v>
      </c>
      <c r="U304" s="3">
        <f t="shared" si="145"/>
        <v>49000</v>
      </c>
      <c r="V304" s="3">
        <v>0</v>
      </c>
      <c r="W304" s="3">
        <f t="shared" si="146"/>
        <v>49000</v>
      </c>
      <c r="X304" s="3"/>
      <c r="Y304" s="3">
        <v>49000</v>
      </c>
      <c r="Z304" s="3">
        <f t="shared" si="147"/>
        <v>0</v>
      </c>
      <c r="AA304" s="3"/>
      <c r="AB304" s="3"/>
      <c r="AC304" s="3"/>
      <c r="AD304" s="3">
        <f t="shared" si="142"/>
        <v>49000</v>
      </c>
      <c r="AE304" s="3">
        <v>49000</v>
      </c>
      <c r="AF304" s="3">
        <f t="shared" si="143"/>
        <v>0</v>
      </c>
      <c r="AG304" s="3"/>
      <c r="AH304" s="32"/>
      <c r="AI304" s="32"/>
      <c r="AJ304" s="32"/>
      <c r="AK304" s="3"/>
      <c r="AL304" s="32"/>
      <c r="AM304" s="3"/>
      <c r="AN304" s="32"/>
      <c r="AO304" s="32"/>
      <c r="AP304" s="32"/>
      <c r="AR304" s="32"/>
      <c r="AT304" s="32"/>
      <c r="AV304" s="32"/>
      <c r="AX304" s="32"/>
      <c r="AZ304" s="32"/>
      <c r="BA304" s="6"/>
      <c r="BP304" s="5">
        <f t="shared" si="127"/>
        <v>0</v>
      </c>
    </row>
    <row r="305" spans="1:68" x14ac:dyDescent="0.25">
      <c r="A305" s="3" t="s">
        <v>242</v>
      </c>
      <c r="B305" s="3"/>
      <c r="D305" s="3"/>
      <c r="E305" s="3">
        <f t="shared" si="150"/>
        <v>0</v>
      </c>
      <c r="F305" s="3"/>
      <c r="H305" s="5">
        <f t="shared" si="151"/>
        <v>0</v>
      </c>
      <c r="K305" s="4">
        <f t="shared" si="148"/>
        <v>0</v>
      </c>
      <c r="L305" s="4"/>
      <c r="N305" s="4">
        <f t="shared" si="149"/>
        <v>0</v>
      </c>
      <c r="P305" s="64"/>
      <c r="Q305" s="3"/>
      <c r="R305" s="3"/>
      <c r="S305" s="3">
        <f t="shared" si="144"/>
        <v>0</v>
      </c>
      <c r="T305" s="3"/>
      <c r="U305" s="3">
        <f t="shared" si="145"/>
        <v>0</v>
      </c>
      <c r="V305" s="3"/>
      <c r="W305" s="3">
        <f t="shared" si="146"/>
        <v>0</v>
      </c>
      <c r="X305" s="3"/>
      <c r="Y305" s="3"/>
      <c r="Z305" s="3">
        <f t="shared" si="147"/>
        <v>0</v>
      </c>
      <c r="AA305" s="3"/>
      <c r="AB305" s="3"/>
      <c r="AC305" s="3"/>
      <c r="AD305" s="3">
        <f t="shared" si="142"/>
        <v>0</v>
      </c>
      <c r="AE305" s="3"/>
      <c r="AF305" s="3">
        <f t="shared" si="143"/>
        <v>0</v>
      </c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42"/>
      <c r="AR305" s="3"/>
      <c r="AS305" s="42"/>
      <c r="AT305" s="3"/>
      <c r="AU305" s="42"/>
      <c r="AV305" s="3"/>
      <c r="AW305" s="42"/>
      <c r="AX305" s="3"/>
      <c r="AZ305" s="3"/>
      <c r="BP305" s="5">
        <f t="shared" si="127"/>
        <v>0</v>
      </c>
    </row>
    <row r="306" spans="1:68" x14ac:dyDescent="0.25">
      <c r="A306" s="3" t="s">
        <v>243</v>
      </c>
      <c r="B306" s="3"/>
      <c r="D306" s="3"/>
      <c r="E306" s="3">
        <f t="shared" si="150"/>
        <v>0</v>
      </c>
      <c r="F306" s="3"/>
      <c r="H306" s="5">
        <f t="shared" si="151"/>
        <v>0</v>
      </c>
      <c r="K306" s="4">
        <f t="shared" si="148"/>
        <v>0</v>
      </c>
      <c r="L306" s="4"/>
      <c r="N306" s="4">
        <f t="shared" si="149"/>
        <v>0</v>
      </c>
      <c r="P306" s="3"/>
      <c r="Q306" s="3"/>
      <c r="R306" s="3"/>
      <c r="S306" s="3">
        <f t="shared" si="144"/>
        <v>0</v>
      </c>
      <c r="T306" s="3"/>
      <c r="U306" s="3">
        <f t="shared" si="145"/>
        <v>0</v>
      </c>
      <c r="V306" s="3">
        <v>150</v>
      </c>
      <c r="W306" s="3">
        <f t="shared" si="146"/>
        <v>0</v>
      </c>
      <c r="X306" s="3"/>
      <c r="Y306" s="3">
        <v>150</v>
      </c>
      <c r="Z306" s="3">
        <f t="shared" si="147"/>
        <v>150</v>
      </c>
      <c r="AA306" s="3"/>
      <c r="AB306" s="3"/>
      <c r="AC306" s="3">
        <v>250</v>
      </c>
      <c r="AD306" s="3">
        <f t="shared" si="142"/>
        <v>0</v>
      </c>
      <c r="AE306" s="3">
        <v>250</v>
      </c>
      <c r="AF306" s="3">
        <f t="shared" si="143"/>
        <v>100</v>
      </c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42"/>
      <c r="AR306" s="3"/>
      <c r="AS306" s="42"/>
      <c r="AT306" s="3"/>
      <c r="AU306" s="42"/>
      <c r="AV306" s="3"/>
      <c r="AW306" s="42"/>
      <c r="AX306" s="3"/>
      <c r="AZ306" s="3"/>
      <c r="BP306" s="5">
        <f t="shared" si="127"/>
        <v>0</v>
      </c>
    </row>
    <row r="307" spans="1:68" x14ac:dyDescent="0.25">
      <c r="A307" s="3" t="s">
        <v>244</v>
      </c>
      <c r="B307" s="3"/>
      <c r="D307" s="3"/>
      <c r="E307" s="3">
        <f t="shared" si="150"/>
        <v>0</v>
      </c>
      <c r="F307" s="3"/>
      <c r="H307" s="5">
        <f t="shared" si="151"/>
        <v>0</v>
      </c>
      <c r="K307" s="4">
        <f t="shared" si="148"/>
        <v>0</v>
      </c>
      <c r="L307" s="4"/>
      <c r="N307" s="4">
        <f t="shared" si="149"/>
        <v>0</v>
      </c>
      <c r="P307" s="3"/>
      <c r="Q307" s="3"/>
      <c r="R307" s="3"/>
      <c r="S307" s="3">
        <f t="shared" si="144"/>
        <v>0</v>
      </c>
      <c r="T307" s="3"/>
      <c r="U307" s="3">
        <f t="shared" si="145"/>
        <v>0</v>
      </c>
      <c r="V307" s="3"/>
      <c r="W307" s="3">
        <f t="shared" si="146"/>
        <v>0</v>
      </c>
      <c r="X307" s="3"/>
      <c r="Y307" s="3"/>
      <c r="Z307" s="3">
        <f t="shared" si="147"/>
        <v>0</v>
      </c>
      <c r="AA307" s="3"/>
      <c r="AB307" s="3"/>
      <c r="AC307" s="3"/>
      <c r="AD307" s="3">
        <f t="shared" si="142"/>
        <v>0</v>
      </c>
      <c r="AE307" s="3"/>
      <c r="AF307" s="3">
        <f t="shared" si="143"/>
        <v>0</v>
      </c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42"/>
      <c r="AR307" s="3"/>
      <c r="AS307" s="42"/>
      <c r="AT307" s="3"/>
      <c r="AU307" s="42"/>
      <c r="AV307" s="3"/>
      <c r="AW307" s="42"/>
      <c r="AX307" s="3"/>
      <c r="AZ307" s="3"/>
      <c r="BP307" s="5">
        <f t="shared" si="127"/>
        <v>0</v>
      </c>
    </row>
    <row r="308" spans="1:68" x14ac:dyDescent="0.25">
      <c r="A308" s="3" t="s">
        <v>245</v>
      </c>
      <c r="B308" s="3">
        <v>20000</v>
      </c>
      <c r="D308" s="3"/>
      <c r="E308" s="3">
        <f t="shared" si="150"/>
        <v>20000</v>
      </c>
      <c r="F308" s="3">
        <v>20000</v>
      </c>
      <c r="H308" s="5">
        <f t="shared" si="151"/>
        <v>0</v>
      </c>
      <c r="K308" s="4">
        <f t="shared" si="148"/>
        <v>20000</v>
      </c>
      <c r="L308" s="4">
        <v>20000</v>
      </c>
      <c r="N308" s="4">
        <f t="shared" si="149"/>
        <v>0</v>
      </c>
      <c r="P308" s="3"/>
      <c r="Q308" s="3"/>
      <c r="R308" s="3"/>
      <c r="S308" s="3">
        <f t="shared" si="144"/>
        <v>30000</v>
      </c>
      <c r="T308" s="3">
        <v>30000</v>
      </c>
      <c r="U308" s="3">
        <f t="shared" si="145"/>
        <v>30000</v>
      </c>
      <c r="V308" s="3">
        <v>0</v>
      </c>
      <c r="W308" s="3">
        <f t="shared" si="146"/>
        <v>30000</v>
      </c>
      <c r="X308" s="3"/>
      <c r="Y308" s="3">
        <v>30000</v>
      </c>
      <c r="Z308" s="3">
        <f t="shared" si="147"/>
        <v>0</v>
      </c>
      <c r="AA308" s="3"/>
      <c r="AB308" s="3"/>
      <c r="AC308" s="3"/>
      <c r="AD308" s="3">
        <f t="shared" si="142"/>
        <v>30000</v>
      </c>
      <c r="AE308" s="3">
        <v>30000</v>
      </c>
      <c r="AF308" s="3">
        <f t="shared" si="143"/>
        <v>0</v>
      </c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42"/>
      <c r="AR308" s="3"/>
      <c r="AS308" s="42"/>
      <c r="AT308" s="3"/>
      <c r="AU308" s="42"/>
      <c r="AV308" s="3"/>
      <c r="AW308" s="42"/>
      <c r="AX308" s="3"/>
      <c r="AZ308" s="3"/>
      <c r="BP308" s="5">
        <f t="shared" si="127"/>
        <v>0</v>
      </c>
    </row>
    <row r="309" spans="1:68" x14ac:dyDescent="0.25">
      <c r="A309" s="3" t="s">
        <v>246</v>
      </c>
      <c r="B309" s="3"/>
      <c r="D309" s="3"/>
      <c r="E309" s="3"/>
      <c r="F309" s="3"/>
      <c r="K309" s="4"/>
      <c r="L309" s="4"/>
      <c r="N309" s="4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>
        <f>AE309-AC309</f>
        <v>10000</v>
      </c>
      <c r="AE309" s="3">
        <v>10000</v>
      </c>
      <c r="AF309" s="3">
        <f>AE309-Y309</f>
        <v>10000</v>
      </c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42"/>
      <c r="AR309" s="3"/>
      <c r="AS309" s="42"/>
      <c r="AT309" s="3"/>
      <c r="AU309" s="42"/>
      <c r="AV309" s="3"/>
      <c r="AW309" s="42"/>
      <c r="AX309" s="3"/>
      <c r="AZ309" s="3"/>
      <c r="BP309" s="5">
        <f t="shared" si="127"/>
        <v>0</v>
      </c>
    </row>
    <row r="310" spans="1:68" x14ac:dyDescent="0.25">
      <c r="A310" s="3" t="s">
        <v>247</v>
      </c>
      <c r="B310" s="3"/>
      <c r="D310" s="3"/>
      <c r="E310" s="3">
        <f t="shared" si="150"/>
        <v>0</v>
      </c>
      <c r="F310" s="3"/>
      <c r="H310" s="5">
        <f t="shared" si="151"/>
        <v>0</v>
      </c>
      <c r="K310" s="4">
        <f t="shared" si="148"/>
        <v>0</v>
      </c>
      <c r="L310" s="4"/>
      <c r="N310" s="4">
        <f t="shared" si="149"/>
        <v>0</v>
      </c>
      <c r="P310" s="3"/>
      <c r="Q310" s="3"/>
      <c r="R310" s="3"/>
      <c r="S310" s="3">
        <f t="shared" si="144"/>
        <v>0</v>
      </c>
      <c r="T310" s="3"/>
      <c r="U310" s="3">
        <f t="shared" si="145"/>
        <v>0</v>
      </c>
      <c r="V310" s="3"/>
      <c r="W310" s="3">
        <f t="shared" si="146"/>
        <v>0</v>
      </c>
      <c r="X310" s="3"/>
      <c r="Y310" s="3"/>
      <c r="Z310" s="3">
        <f t="shared" si="147"/>
        <v>0</v>
      </c>
      <c r="AA310" s="3"/>
      <c r="AB310" s="3"/>
      <c r="AC310" s="3"/>
      <c r="AD310" s="3">
        <f t="shared" si="142"/>
        <v>0</v>
      </c>
      <c r="AE310" s="3"/>
      <c r="AF310" s="3">
        <f t="shared" si="143"/>
        <v>0</v>
      </c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42"/>
      <c r="AR310" s="3"/>
      <c r="AS310" s="42"/>
      <c r="AT310" s="3"/>
      <c r="AU310" s="42"/>
      <c r="AV310" s="3"/>
      <c r="AW310" s="42"/>
      <c r="AX310" s="3"/>
      <c r="AZ310" s="3"/>
      <c r="BP310" s="5">
        <f t="shared" si="127"/>
        <v>0</v>
      </c>
    </row>
    <row r="311" spans="1:68" x14ac:dyDescent="0.25">
      <c r="A311" s="3" t="s">
        <v>248</v>
      </c>
      <c r="B311" s="3">
        <v>20000</v>
      </c>
      <c r="D311" s="3">
        <v>5280</v>
      </c>
      <c r="E311" s="3">
        <f t="shared" si="150"/>
        <v>24720</v>
      </c>
      <c r="F311" s="3">
        <v>30000</v>
      </c>
      <c r="H311" s="5">
        <f t="shared" si="151"/>
        <v>10000</v>
      </c>
      <c r="J311" s="5">
        <v>19652</v>
      </c>
      <c r="K311" s="4">
        <f t="shared" si="148"/>
        <v>10348</v>
      </c>
      <c r="L311" s="4">
        <v>30000</v>
      </c>
      <c r="N311" s="4">
        <f t="shared" si="149"/>
        <v>0</v>
      </c>
      <c r="P311" s="3">
        <v>30000</v>
      </c>
      <c r="Q311" s="3"/>
      <c r="R311" s="3">
        <v>0</v>
      </c>
      <c r="S311" s="3">
        <f t="shared" si="144"/>
        <v>30000</v>
      </c>
      <c r="T311" s="3">
        <v>30000</v>
      </c>
      <c r="U311" s="3">
        <f t="shared" si="145"/>
        <v>0</v>
      </c>
      <c r="V311" s="3">
        <v>0</v>
      </c>
      <c r="W311" s="3">
        <f t="shared" si="146"/>
        <v>30000</v>
      </c>
      <c r="X311" s="3"/>
      <c r="Y311" s="3">
        <v>30000</v>
      </c>
      <c r="Z311" s="3">
        <f t="shared" si="147"/>
        <v>0</v>
      </c>
      <c r="AA311" s="3"/>
      <c r="AB311" s="3"/>
      <c r="AC311" s="3"/>
      <c r="AD311" s="3">
        <f t="shared" si="142"/>
        <v>30000</v>
      </c>
      <c r="AE311" s="3">
        <v>30000</v>
      </c>
      <c r="AF311" s="3">
        <f t="shared" si="143"/>
        <v>0</v>
      </c>
      <c r="AG311" s="3"/>
      <c r="AH311" s="3">
        <v>30000</v>
      </c>
      <c r="AI311" s="3"/>
      <c r="AJ311" s="3">
        <v>30000</v>
      </c>
      <c r="AK311" s="3"/>
      <c r="AL311" s="3">
        <v>30000</v>
      </c>
      <c r="AM311" s="3"/>
      <c r="AN311" s="3">
        <v>30000</v>
      </c>
      <c r="AO311" s="3"/>
      <c r="AP311" s="3">
        <v>30000</v>
      </c>
      <c r="AQ311" s="42"/>
      <c r="AR311" s="3">
        <v>30000</v>
      </c>
      <c r="AS311" s="42"/>
      <c r="AT311" s="3">
        <v>30000</v>
      </c>
      <c r="AU311" s="42"/>
      <c r="AV311" s="3">
        <v>30000</v>
      </c>
      <c r="AW311" s="42"/>
      <c r="AX311" s="3">
        <v>30000</v>
      </c>
      <c r="AZ311" s="3">
        <v>30000</v>
      </c>
      <c r="BP311" s="5">
        <f t="shared" si="127"/>
        <v>-30000</v>
      </c>
    </row>
    <row r="312" spans="1:68" x14ac:dyDescent="0.25">
      <c r="A312" s="3"/>
      <c r="B312" s="48">
        <f>SUM(B281:B311)</f>
        <v>2886750</v>
      </c>
      <c r="C312" s="32"/>
      <c r="D312" s="48">
        <f>SUM(D281:D311)</f>
        <v>5280</v>
      </c>
      <c r="E312" s="48">
        <f>SUM(E281:E311)</f>
        <v>3819352</v>
      </c>
      <c r="F312" s="48">
        <f>SUM(F281:F311)</f>
        <v>3824632</v>
      </c>
      <c r="G312" s="32"/>
      <c r="H312" s="48">
        <f>SUM(H281:H311)</f>
        <v>937882</v>
      </c>
      <c r="I312" s="36"/>
      <c r="J312" s="48">
        <f>SUM(J281:J311)</f>
        <v>876242</v>
      </c>
      <c r="K312" s="48">
        <f>SUM(K281:K311)</f>
        <v>2948390</v>
      </c>
      <c r="L312" s="48">
        <f>SUM(L281:L311)</f>
        <v>3824632</v>
      </c>
      <c r="M312" s="32"/>
      <c r="N312" s="48">
        <f>SUM(N281:N311)</f>
        <v>0</v>
      </c>
      <c r="P312" s="48">
        <f>SUM(P281:P311)</f>
        <v>2578750</v>
      </c>
      <c r="R312" s="48">
        <f t="shared" ref="R312:Z312" si="152">SUM(R281:R311)</f>
        <v>0</v>
      </c>
      <c r="S312" s="48">
        <f t="shared" si="152"/>
        <v>2657750</v>
      </c>
      <c r="T312" s="48">
        <f t="shared" si="152"/>
        <v>2657750</v>
      </c>
      <c r="U312" s="48">
        <f t="shared" si="152"/>
        <v>79000</v>
      </c>
      <c r="V312" s="48">
        <f t="shared" si="152"/>
        <v>86150</v>
      </c>
      <c r="W312" s="48">
        <f t="shared" si="152"/>
        <v>2571750</v>
      </c>
      <c r="X312" s="48"/>
      <c r="Y312" s="48">
        <f t="shared" si="152"/>
        <v>2657900</v>
      </c>
      <c r="Z312" s="48">
        <f t="shared" si="152"/>
        <v>150</v>
      </c>
      <c r="AC312" s="48">
        <f>SUM(AC281:AC311)</f>
        <v>199402</v>
      </c>
      <c r="AD312" s="48">
        <f>SUM(AD281:AD311)</f>
        <v>2468598</v>
      </c>
      <c r="AE312" s="48">
        <f>SUM(AE281:AE311)</f>
        <v>2668000</v>
      </c>
      <c r="AF312" s="48">
        <f>SUM(AF281:AF311)</f>
        <v>10100</v>
      </c>
      <c r="AH312" s="48">
        <f>SUM(AH281:AH311)</f>
        <v>3559649.5</v>
      </c>
      <c r="AJ312" s="48">
        <f>SUM(AJ281:AJ311)</f>
        <v>60538.985000000001</v>
      </c>
      <c r="AL312" s="48">
        <f>SUM(AL281:AL311)</f>
        <v>61455.154550000007</v>
      </c>
      <c r="AN312" s="48">
        <f>SUM(AN281:AN311)</f>
        <v>62398.809186500002</v>
      </c>
      <c r="AO312" s="48"/>
      <c r="AP312" s="48">
        <f>SUM(AP281:AP311)</f>
        <v>63370.773462095007</v>
      </c>
      <c r="AR312" s="48">
        <f>SUM(AR281:AR311)</f>
        <v>64371.896665957858</v>
      </c>
      <c r="AT312" s="48">
        <f>SUM(AT281:AT311)</f>
        <v>65403.053565936592</v>
      </c>
      <c r="AV312" s="48">
        <f>SUM(AV281:AV311)</f>
        <v>66465.145172914694</v>
      </c>
      <c r="AX312" s="48">
        <f>SUM(AX281:AX311)</f>
        <v>67559.099528102146</v>
      </c>
      <c r="AZ312" s="48">
        <f>SUM(AZ281:AZ311)</f>
        <v>68685.872513945214</v>
      </c>
      <c r="BP312" s="5">
        <f t="shared" si="127"/>
        <v>-68685.872513945214</v>
      </c>
    </row>
    <row r="313" spans="1:68" ht="15.75" thickBot="1" x14ac:dyDescent="0.3">
      <c r="A313" s="7" t="s">
        <v>249</v>
      </c>
      <c r="B313" s="43">
        <f>B312+B279 +B262+B258+B247+B253</f>
        <v>3372750</v>
      </c>
      <c r="C313" s="32"/>
      <c r="D313" s="43">
        <f>D312+D279 +D262+D258+D247+D253</f>
        <v>5280</v>
      </c>
      <c r="E313" s="43">
        <f>E312+E279 +E262+E258+E247+E253</f>
        <v>4282352</v>
      </c>
      <c r="F313" s="43">
        <f>F312+F279 +F262+F258+F247+F253</f>
        <v>4287632</v>
      </c>
      <c r="G313" s="32"/>
      <c r="H313" s="43">
        <f>H312+H279 +H262+H258+H247+H253</f>
        <v>914882</v>
      </c>
      <c r="I313" s="36"/>
      <c r="J313" s="43">
        <f>J312+J279 +J262+J258+J247+J253</f>
        <v>1094006</v>
      </c>
      <c r="K313" s="43">
        <f>K312+K279 +K262+K258+K247+K253</f>
        <v>3235686</v>
      </c>
      <c r="L313" s="43">
        <f>L312+L279 +L262+L258+L247+L253</f>
        <v>4329692</v>
      </c>
      <c r="M313" s="32"/>
      <c r="N313" s="43">
        <f>N312+N279 +N262+N258+N247+N253</f>
        <v>42060</v>
      </c>
      <c r="P313" s="43">
        <f>P312+P279 +P262+P258+P247+P253</f>
        <v>3078950</v>
      </c>
      <c r="R313" s="43">
        <f t="shared" ref="R313:Z313" si="153">R312+R279 +R262+R258+R247+R253</f>
        <v>0</v>
      </c>
      <c r="S313" s="43">
        <f t="shared" si="153"/>
        <v>3157950</v>
      </c>
      <c r="T313" s="43">
        <f t="shared" si="153"/>
        <v>3157950</v>
      </c>
      <c r="U313" s="43">
        <f t="shared" si="153"/>
        <v>79000</v>
      </c>
      <c r="V313" s="43">
        <f t="shared" si="153"/>
        <v>155898</v>
      </c>
      <c r="W313" s="43">
        <f t="shared" si="153"/>
        <v>3075142</v>
      </c>
      <c r="X313" s="43"/>
      <c r="Y313" s="43">
        <f t="shared" si="153"/>
        <v>3230890</v>
      </c>
      <c r="Z313" s="43">
        <f t="shared" si="153"/>
        <v>72940</v>
      </c>
      <c r="AC313" s="43">
        <f>AC312+AC279 +AC262+AC258+AC247+AC253</f>
        <v>421106</v>
      </c>
      <c r="AD313" s="43">
        <f>AD312+AD279 +AD262+AD258+AD247+AD253</f>
        <v>2818254</v>
      </c>
      <c r="AE313" s="43">
        <f>AE312+AE279 +AE262+AE258+AE247+AE253</f>
        <v>3239360</v>
      </c>
      <c r="AF313" s="43">
        <f>AF312+AF279 +AF262+AF258+AF247+AF253</f>
        <v>8470</v>
      </c>
      <c r="AH313" s="43">
        <f>AH312+AH279 +AH262+AH258+AH247+AH253</f>
        <v>4058699.5</v>
      </c>
      <c r="AJ313" s="43">
        <f>AJ312+AJ279 +AJ262+AJ258+AJ247+AJ253</f>
        <v>565188.98499999999</v>
      </c>
      <c r="AL313" s="43">
        <f>AL312+AL279 +AL262+AL258+AL247+AL253</f>
        <v>620955.15454999998</v>
      </c>
      <c r="AN313" s="43">
        <f>AN312+AN279 +AN262+AN258+AN247+AN253</f>
        <v>591548.80918650003</v>
      </c>
      <c r="AO313" s="43"/>
      <c r="AP313" s="43">
        <f>AP312+AP279 +AP262+AP258+AP247+AP253</f>
        <v>618470.77346209507</v>
      </c>
      <c r="AR313" s="43">
        <f>AR312+AR279 +AR262+AR258+AR247+AR253</f>
        <v>661721.89666595787</v>
      </c>
      <c r="AT313" s="43">
        <f>AT312+AT279 +AT262+AT258+AT247+AT253</f>
        <v>628403.05356593663</v>
      </c>
      <c r="AV313" s="43">
        <f>AV312+AV279 +AV262+AV258+AV247+AV253</f>
        <v>654365.14517291472</v>
      </c>
      <c r="AX313" s="43">
        <f>AX312+AX279 +AX262+AX258+AX247+AX253</f>
        <v>654209.0995281022</v>
      </c>
      <c r="AZ313" s="43">
        <f>AZ312+AZ279 +AZ262+AZ258+AZ247+AZ253</f>
        <v>655335.87251394521</v>
      </c>
      <c r="BP313" s="5">
        <f t="shared" si="127"/>
        <v>-655335.87251394521</v>
      </c>
    </row>
    <row r="314" spans="1:68" ht="15.75" thickTop="1" x14ac:dyDescent="0.25">
      <c r="A314" s="7" t="s">
        <v>250</v>
      </c>
      <c r="BA314" s="42"/>
      <c r="BP314" s="5">
        <f t="shared" si="127"/>
        <v>0</v>
      </c>
    </row>
    <row r="315" spans="1:68" x14ac:dyDescent="0.25">
      <c r="A315" s="7" t="s">
        <v>251</v>
      </c>
      <c r="BP315" s="5">
        <f t="shared" si="127"/>
        <v>0</v>
      </c>
    </row>
    <row r="316" spans="1:68" s="42" customFormat="1" x14ac:dyDescent="0.25">
      <c r="A316" s="3" t="s">
        <v>252</v>
      </c>
      <c r="B316" s="3">
        <v>8100</v>
      </c>
      <c r="C316" s="3"/>
      <c r="D316" s="3">
        <v>2012</v>
      </c>
      <c r="E316" s="3">
        <f>F316-D316</f>
        <v>6088</v>
      </c>
      <c r="F316" s="3">
        <v>8100</v>
      </c>
      <c r="G316" s="3"/>
      <c r="H316" s="5">
        <f>F316-B316</f>
        <v>0</v>
      </c>
      <c r="I316" s="5"/>
      <c r="J316" s="5">
        <v>4025</v>
      </c>
      <c r="K316" s="4">
        <f>L316-J316</f>
        <v>4075</v>
      </c>
      <c r="L316" s="4">
        <v>8100</v>
      </c>
      <c r="M316" s="4"/>
      <c r="N316" s="4">
        <f>L316-F316</f>
        <v>0</v>
      </c>
      <c r="O316" s="3"/>
      <c r="P316" s="3">
        <f>L316*1.025-3</f>
        <v>8299.5</v>
      </c>
      <c r="Q316" s="3"/>
      <c r="R316" s="3">
        <v>2045</v>
      </c>
      <c r="S316" s="3">
        <f>T316-R316</f>
        <v>6255</v>
      </c>
      <c r="T316" s="3">
        <v>8300</v>
      </c>
      <c r="U316" s="3">
        <f>T316-P316</f>
        <v>0.5</v>
      </c>
      <c r="V316" s="3">
        <v>4092</v>
      </c>
      <c r="W316" s="3">
        <f>Y316-V316</f>
        <v>4208</v>
      </c>
      <c r="X316" s="3"/>
      <c r="Y316" s="3">
        <v>8300</v>
      </c>
      <c r="Z316" s="3">
        <f>Y316-T316</f>
        <v>0</v>
      </c>
      <c r="AA316" s="3"/>
      <c r="AB316" s="3"/>
      <c r="AC316" s="3">
        <v>6134</v>
      </c>
      <c r="AD316" s="3">
        <f>AE316-AC316</f>
        <v>2166</v>
      </c>
      <c r="AE316" s="3">
        <v>8300</v>
      </c>
      <c r="AF316" s="3">
        <f>AE316-Y316</f>
        <v>0</v>
      </c>
      <c r="AG316" s="3"/>
      <c r="AH316" s="3">
        <f>AE316*1.03+1</f>
        <v>8550</v>
      </c>
      <c r="AI316" s="3"/>
      <c r="AJ316" s="3">
        <f>AH316*1.03</f>
        <v>8806.5</v>
      </c>
      <c r="AK316" s="3"/>
      <c r="AL316" s="3">
        <f>AJ316*1.03</f>
        <v>9070.6949999999997</v>
      </c>
      <c r="AM316" s="3"/>
      <c r="AN316" s="3">
        <f>AL316*1.03</f>
        <v>9342.815849999999</v>
      </c>
      <c r="AO316" s="3"/>
      <c r="AP316" s="3">
        <f>AN316*1.03</f>
        <v>9623.1003254999996</v>
      </c>
      <c r="AR316" s="3">
        <f>AP316*1.03</f>
        <v>9911.7933352649998</v>
      </c>
      <c r="AT316" s="3">
        <f>AR316*1.03</f>
        <v>10209.14713532295</v>
      </c>
      <c r="AV316" s="3">
        <f>AT316*1.03</f>
        <v>10515.42154938264</v>
      </c>
      <c r="AX316" s="3">
        <f>AV316*1.03</f>
        <v>10830.884195864119</v>
      </c>
      <c r="AZ316" s="3">
        <f>AX316*1.03</f>
        <v>11155.810721740043</v>
      </c>
      <c r="BA316" s="6"/>
      <c r="BP316" s="5">
        <f t="shared" si="127"/>
        <v>-11155.810721740043</v>
      </c>
    </row>
    <row r="317" spans="1:68" x14ac:dyDescent="0.25">
      <c r="A317" s="3" t="s">
        <v>251</v>
      </c>
      <c r="B317" s="3"/>
      <c r="D317" s="3"/>
      <c r="E317" s="3">
        <f>F317-D317</f>
        <v>0</v>
      </c>
      <c r="F317" s="3"/>
      <c r="H317" s="5">
        <f>F317-B317</f>
        <v>0</v>
      </c>
      <c r="K317" s="4">
        <f>L317-J317</f>
        <v>0</v>
      </c>
      <c r="L317" s="4"/>
      <c r="N317" s="4">
        <f>L317-F317</f>
        <v>0</v>
      </c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>
        <f>AE317-AC317</f>
        <v>0</v>
      </c>
      <c r="AE317" s="3"/>
      <c r="AF317" s="3">
        <f>AE317-Y317</f>
        <v>0</v>
      </c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42"/>
      <c r="AR317" s="3"/>
      <c r="AT317" s="3"/>
      <c r="AV317" s="3"/>
      <c r="AX317" s="3"/>
      <c r="AZ317" s="3"/>
      <c r="BP317" s="5">
        <f t="shared" si="127"/>
        <v>0</v>
      </c>
    </row>
    <row r="318" spans="1:68" x14ac:dyDescent="0.25">
      <c r="A318" s="3"/>
      <c r="B318" s="48">
        <f>SUM(B316:B317)</f>
        <v>8100</v>
      </c>
      <c r="C318" s="32"/>
      <c r="D318" s="48">
        <f>SUM(D316:D317)</f>
        <v>2012</v>
      </c>
      <c r="E318" s="48">
        <f>SUM(E316:E317)</f>
        <v>6088</v>
      </c>
      <c r="F318" s="48">
        <f>SUM(F316:F317)</f>
        <v>8100</v>
      </c>
      <c r="G318" s="32"/>
      <c r="H318" s="48">
        <f>SUM(H316:H317)</f>
        <v>0</v>
      </c>
      <c r="I318" s="36"/>
      <c r="J318" s="48">
        <f>SUM(J316:J317)</f>
        <v>4025</v>
      </c>
      <c r="K318" s="48">
        <f>SUM(K316:K317)</f>
        <v>4075</v>
      </c>
      <c r="L318" s="48">
        <f>SUM(L316:L317)</f>
        <v>8100</v>
      </c>
      <c r="M318" s="32"/>
      <c r="N318" s="48">
        <f>SUM(N316:N317)</f>
        <v>0</v>
      </c>
      <c r="P318" s="48">
        <f>SUM(P316:P317)</f>
        <v>8299.5</v>
      </c>
      <c r="R318" s="48">
        <f t="shared" ref="R318:Z318" si="154">SUM(R316:R317)</f>
        <v>2045</v>
      </c>
      <c r="S318" s="48">
        <f t="shared" si="154"/>
        <v>6255</v>
      </c>
      <c r="T318" s="48">
        <f t="shared" si="154"/>
        <v>8300</v>
      </c>
      <c r="U318" s="48">
        <f t="shared" si="154"/>
        <v>0.5</v>
      </c>
      <c r="V318" s="48">
        <f t="shared" si="154"/>
        <v>4092</v>
      </c>
      <c r="W318" s="48">
        <f t="shared" si="154"/>
        <v>4208</v>
      </c>
      <c r="X318" s="48"/>
      <c r="Y318" s="48">
        <f t="shared" si="154"/>
        <v>8300</v>
      </c>
      <c r="Z318" s="48">
        <f t="shared" si="154"/>
        <v>0</v>
      </c>
      <c r="AC318" s="48">
        <f>SUM(AC316:AC317)</f>
        <v>6134</v>
      </c>
      <c r="AD318" s="48">
        <f>SUM(AD316:AD317)</f>
        <v>2166</v>
      </c>
      <c r="AE318" s="48">
        <f>SUM(AE316:AE317)</f>
        <v>8300</v>
      </c>
      <c r="AF318" s="48">
        <f>SUM(AF316:AF317)</f>
        <v>0</v>
      </c>
      <c r="AH318" s="48">
        <f>SUM(AH316:AH317)</f>
        <v>8550</v>
      </c>
      <c r="AJ318" s="48">
        <f>SUM(AJ316:AJ317)</f>
        <v>8806.5</v>
      </c>
      <c r="AL318" s="48">
        <f>SUM(AL316:AL317)</f>
        <v>9070.6949999999997</v>
      </c>
      <c r="AN318" s="48">
        <f>SUM(AN316:AN317)</f>
        <v>9342.815849999999</v>
      </c>
      <c r="AO318" s="48"/>
      <c r="AP318" s="48">
        <f>SUM(AP316:AP317)</f>
        <v>9623.1003254999996</v>
      </c>
      <c r="AR318" s="48">
        <f>SUM(AR316:AR317)</f>
        <v>9911.7933352649998</v>
      </c>
      <c r="AT318" s="48">
        <f>SUM(AT316:AT317)</f>
        <v>10209.14713532295</v>
      </c>
      <c r="AV318" s="48">
        <f>SUM(AV316:AV317)</f>
        <v>10515.42154938264</v>
      </c>
      <c r="AX318" s="48">
        <f>SUM(AX316:AX317)</f>
        <v>10830.884195864119</v>
      </c>
      <c r="AZ318" s="48">
        <f>SUM(AZ316:AZ317)</f>
        <v>11155.810721740043</v>
      </c>
      <c r="BP318" s="5">
        <f t="shared" si="127"/>
        <v>-11155.810721740043</v>
      </c>
    </row>
    <row r="319" spans="1:68" x14ac:dyDescent="0.25">
      <c r="A319" s="7" t="s">
        <v>253</v>
      </c>
      <c r="BP319" s="5">
        <f t="shared" si="127"/>
        <v>0</v>
      </c>
    </row>
    <row r="320" spans="1:68" x14ac:dyDescent="0.25">
      <c r="A320" s="3" t="s">
        <v>254</v>
      </c>
      <c r="BP320" s="5">
        <f t="shared" si="127"/>
        <v>0</v>
      </c>
    </row>
    <row r="321" spans="1:68" x14ac:dyDescent="0.25">
      <c r="A321" s="3" t="s">
        <v>255</v>
      </c>
      <c r="AD321" s="3">
        <f t="shared" ref="AD321:AD327" si="155">AE321-AC321</f>
        <v>0</v>
      </c>
      <c r="AE321" s="3"/>
      <c r="AF321" s="3">
        <f t="shared" ref="AF321:AF327" si="156">AE321-Y321</f>
        <v>0</v>
      </c>
      <c r="BP321" s="5">
        <f t="shared" si="127"/>
        <v>0</v>
      </c>
    </row>
    <row r="322" spans="1:68" x14ac:dyDescent="0.25">
      <c r="A322" s="3" t="s">
        <v>256</v>
      </c>
      <c r="B322" s="3">
        <v>16000</v>
      </c>
      <c r="D322" s="3">
        <v>2765</v>
      </c>
      <c r="E322" s="3">
        <f t="shared" ref="E322:E327" si="157">F322-D322</f>
        <v>12235</v>
      </c>
      <c r="F322" s="3">
        <v>15000</v>
      </c>
      <c r="H322" s="5">
        <f t="shared" ref="H322:H327" si="158">F322-B322</f>
        <v>-1000</v>
      </c>
      <c r="J322" s="5">
        <v>6336</v>
      </c>
      <c r="K322" s="4">
        <f t="shared" ref="K322:K327" si="159">L322-J322</f>
        <v>8664</v>
      </c>
      <c r="L322" s="4">
        <v>15000</v>
      </c>
      <c r="N322" s="4">
        <f t="shared" ref="N322:N327" si="160">L322-F322</f>
        <v>0</v>
      </c>
      <c r="P322" s="3">
        <f>L322*1.025</f>
        <v>15374.999999999998</v>
      </c>
      <c r="Q322" s="3"/>
      <c r="R322" s="3">
        <v>2509</v>
      </c>
      <c r="S322" s="3">
        <f t="shared" ref="S322:S327" si="161">T322-R322</f>
        <v>10491</v>
      </c>
      <c r="T322" s="3">
        <v>13000</v>
      </c>
      <c r="U322" s="3">
        <f t="shared" ref="U322:U327" si="162">T322-P322</f>
        <v>-2374.9999999999982</v>
      </c>
      <c r="V322" s="3">
        <v>5645</v>
      </c>
      <c r="W322" s="3">
        <f t="shared" ref="W322:W327" si="163">Y322-V322</f>
        <v>7355</v>
      </c>
      <c r="X322" s="3"/>
      <c r="Y322" s="3">
        <v>13000</v>
      </c>
      <c r="Z322" s="3">
        <f t="shared" ref="Z322:Z327" si="164">Y322-T322</f>
        <v>0</v>
      </c>
      <c r="AA322" s="3"/>
      <c r="AB322" s="3"/>
      <c r="AC322" s="3">
        <v>8559</v>
      </c>
      <c r="AD322" s="3">
        <f t="shared" si="155"/>
        <v>3941</v>
      </c>
      <c r="AE322" s="3">
        <v>12500</v>
      </c>
      <c r="AF322" s="3">
        <f t="shared" si="156"/>
        <v>-500</v>
      </c>
      <c r="AG322" s="3"/>
      <c r="AH322" s="3">
        <v>13000</v>
      </c>
      <c r="AI322" s="3"/>
      <c r="AJ322" s="3">
        <f>AH322*1.025</f>
        <v>13324.999999999998</v>
      </c>
      <c r="AK322" s="3"/>
      <c r="AL322" s="3">
        <f>AJ322*1.025</f>
        <v>13658.124999999996</v>
      </c>
      <c r="AM322" s="3"/>
      <c r="AN322" s="3">
        <f>AL322*1.025</f>
        <v>13999.578124999995</v>
      </c>
      <c r="AO322" s="3"/>
      <c r="AP322" s="3">
        <f>AN322*1.025</f>
        <v>14349.567578124994</v>
      </c>
      <c r="AQ322" s="42"/>
      <c r="AR322" s="3">
        <f>AP322*1.025</f>
        <v>14708.306767578117</v>
      </c>
      <c r="AS322" s="42"/>
      <c r="AT322" s="3">
        <f>AR322*1.025</f>
        <v>15076.014436767568</v>
      </c>
      <c r="AU322" s="42"/>
      <c r="AV322" s="3">
        <f>AT322*1.025</f>
        <v>15452.914797686755</v>
      </c>
      <c r="AW322" s="42"/>
      <c r="AX322" s="3">
        <f>AV322*1.025</f>
        <v>15839.237667628922</v>
      </c>
      <c r="AZ322" s="3">
        <f>AX322*1.025</f>
        <v>16235.218609319643</v>
      </c>
      <c r="BP322" s="5">
        <f t="shared" si="127"/>
        <v>-16235.218609319643</v>
      </c>
    </row>
    <row r="323" spans="1:68" x14ac:dyDescent="0.25">
      <c r="A323" s="3" t="s">
        <v>257</v>
      </c>
      <c r="B323" s="3">
        <v>53000</v>
      </c>
      <c r="D323" s="3">
        <v>10308</v>
      </c>
      <c r="E323" s="3">
        <f t="shared" si="157"/>
        <v>42692</v>
      </c>
      <c r="F323" s="3">
        <v>53000</v>
      </c>
      <c r="H323" s="5">
        <f t="shared" si="158"/>
        <v>0</v>
      </c>
      <c r="J323" s="5">
        <v>22975</v>
      </c>
      <c r="K323" s="4">
        <f t="shared" si="159"/>
        <v>30025</v>
      </c>
      <c r="L323" s="4">
        <v>53000</v>
      </c>
      <c r="N323" s="4">
        <f t="shared" si="160"/>
        <v>0</v>
      </c>
      <c r="P323" s="3">
        <f>L323*1.025</f>
        <v>54324.999999999993</v>
      </c>
      <c r="Q323" s="3"/>
      <c r="R323" s="3">
        <v>9489</v>
      </c>
      <c r="S323" s="3">
        <f t="shared" si="161"/>
        <v>35511</v>
      </c>
      <c r="T323" s="3">
        <v>45000</v>
      </c>
      <c r="U323" s="3">
        <f t="shared" si="162"/>
        <v>-9324.9999999999927</v>
      </c>
      <c r="V323" s="3">
        <v>20063</v>
      </c>
      <c r="W323" s="3">
        <f t="shared" si="163"/>
        <v>24937</v>
      </c>
      <c r="X323" s="3"/>
      <c r="Y323" s="3">
        <v>45000</v>
      </c>
      <c r="Z323" s="3">
        <f t="shared" si="164"/>
        <v>0</v>
      </c>
      <c r="AA323" s="3"/>
      <c r="AB323" s="3"/>
      <c r="AC323" s="3">
        <v>32152</v>
      </c>
      <c r="AD323" s="3">
        <f t="shared" si="155"/>
        <v>12848</v>
      </c>
      <c r="AE323" s="3">
        <v>45000</v>
      </c>
      <c r="AF323" s="3">
        <f t="shared" si="156"/>
        <v>0</v>
      </c>
      <c r="AG323" s="3"/>
      <c r="AH323" s="3">
        <v>46500</v>
      </c>
      <c r="AI323" s="3"/>
      <c r="AJ323" s="3">
        <f>AH323*1.025</f>
        <v>47662.499999999993</v>
      </c>
      <c r="AK323" s="3"/>
      <c r="AL323" s="3">
        <f>AJ323*1.025</f>
        <v>48854.062499999985</v>
      </c>
      <c r="AM323" s="3"/>
      <c r="AN323" s="3">
        <f>AL323*1.025</f>
        <v>50075.414062499978</v>
      </c>
      <c r="AO323" s="3"/>
      <c r="AP323" s="3">
        <f>AN323*1.025</f>
        <v>51327.299414062472</v>
      </c>
      <c r="AQ323" s="42"/>
      <c r="AR323" s="3">
        <f>AP323*1.025</f>
        <v>52610.48189941403</v>
      </c>
      <c r="AS323" s="42"/>
      <c r="AT323" s="3">
        <f>AR323*1.025</f>
        <v>53925.743946899376</v>
      </c>
      <c r="AU323" s="42"/>
      <c r="AV323" s="3">
        <f>AT323*1.025</f>
        <v>55273.887545571859</v>
      </c>
      <c r="AW323" s="42"/>
      <c r="AX323" s="3">
        <f>AV323*1.025</f>
        <v>56655.734734211153</v>
      </c>
      <c r="AZ323" s="3">
        <f>AX323*1.025</f>
        <v>58072.128102566428</v>
      </c>
      <c r="BP323" s="5">
        <f t="shared" si="127"/>
        <v>-58072.128102566428</v>
      </c>
    </row>
    <row r="324" spans="1:68" x14ac:dyDescent="0.25">
      <c r="A324" s="3" t="s">
        <v>258</v>
      </c>
      <c r="B324" s="3">
        <v>23500</v>
      </c>
      <c r="D324" s="3">
        <v>7360</v>
      </c>
      <c r="E324" s="3">
        <f t="shared" si="157"/>
        <v>18640</v>
      </c>
      <c r="F324" s="3">
        <v>26000</v>
      </c>
      <c r="H324" s="5">
        <f t="shared" si="158"/>
        <v>2500</v>
      </c>
      <c r="J324" s="5">
        <v>11763</v>
      </c>
      <c r="K324" s="4">
        <f t="shared" si="159"/>
        <v>14237</v>
      </c>
      <c r="L324" s="4">
        <v>26000</v>
      </c>
      <c r="N324" s="4">
        <f t="shared" si="160"/>
        <v>0</v>
      </c>
      <c r="P324" s="3">
        <f>L324*1.025</f>
        <v>26649.999999999996</v>
      </c>
      <c r="Q324" s="3"/>
      <c r="R324" s="3">
        <v>4035</v>
      </c>
      <c r="S324" s="3">
        <f t="shared" si="161"/>
        <v>20465</v>
      </c>
      <c r="T324" s="3">
        <v>24500</v>
      </c>
      <c r="U324" s="3">
        <f t="shared" si="162"/>
        <v>-2149.9999999999964</v>
      </c>
      <c r="V324" s="3">
        <v>8690</v>
      </c>
      <c r="W324" s="3">
        <f t="shared" si="163"/>
        <v>13810</v>
      </c>
      <c r="X324" s="3"/>
      <c r="Y324" s="3">
        <v>22500</v>
      </c>
      <c r="Z324" s="3">
        <f t="shared" si="164"/>
        <v>-2000</v>
      </c>
      <c r="AA324" s="3"/>
      <c r="AB324" s="3"/>
      <c r="AC324" s="3">
        <v>13187</v>
      </c>
      <c r="AD324" s="3">
        <f t="shared" si="155"/>
        <v>6813</v>
      </c>
      <c r="AE324" s="3">
        <v>20000</v>
      </c>
      <c r="AF324" s="3">
        <f t="shared" si="156"/>
        <v>-2500</v>
      </c>
      <c r="AG324" s="3"/>
      <c r="AH324" s="3">
        <v>22000</v>
      </c>
      <c r="AI324" s="3"/>
      <c r="AJ324" s="3">
        <f>AH324*1.025</f>
        <v>22549.999999999996</v>
      </c>
      <c r="AK324" s="3"/>
      <c r="AL324" s="3">
        <f>AJ324*1.025</f>
        <v>23113.749999999993</v>
      </c>
      <c r="AM324" s="3"/>
      <c r="AN324" s="3">
        <f>AL324*1.025</f>
        <v>23691.593749999989</v>
      </c>
      <c r="AO324" s="3"/>
      <c r="AP324" s="3">
        <f>AN324*1.025</f>
        <v>24283.883593749986</v>
      </c>
      <c r="AQ324" s="42"/>
      <c r="AR324" s="3">
        <f>AP324*1.025</f>
        <v>24890.980683593734</v>
      </c>
      <c r="AS324" s="42"/>
      <c r="AT324" s="3">
        <f>AR324*1.025</f>
        <v>25513.255200683576</v>
      </c>
      <c r="AU324" s="42"/>
      <c r="AV324" s="3">
        <f>AT324*1.025</f>
        <v>26151.086580700663</v>
      </c>
      <c r="AW324" s="42"/>
      <c r="AX324" s="3">
        <f>AV324*1.025</f>
        <v>26804.863745218176</v>
      </c>
      <c r="AZ324" s="3">
        <f>AX324*1.025</f>
        <v>27474.985338848626</v>
      </c>
      <c r="BP324" s="5">
        <f t="shared" si="127"/>
        <v>-27474.985338848626</v>
      </c>
    </row>
    <row r="325" spans="1:68" x14ac:dyDescent="0.25">
      <c r="A325" s="3" t="s">
        <v>259</v>
      </c>
      <c r="B325" s="3"/>
      <c r="D325" s="3"/>
      <c r="E325" s="3">
        <f t="shared" si="157"/>
        <v>0</v>
      </c>
      <c r="F325" s="3"/>
      <c r="H325" s="5">
        <f t="shared" si="158"/>
        <v>0</v>
      </c>
      <c r="K325" s="4">
        <f t="shared" si="159"/>
        <v>0</v>
      </c>
      <c r="L325" s="4"/>
      <c r="N325" s="4">
        <f t="shared" si="160"/>
        <v>0</v>
      </c>
      <c r="P325" s="3"/>
      <c r="Q325" s="3"/>
      <c r="R325" s="3"/>
      <c r="S325" s="3">
        <f t="shared" si="161"/>
        <v>0</v>
      </c>
      <c r="T325" s="3"/>
      <c r="U325" s="3">
        <f t="shared" si="162"/>
        <v>0</v>
      </c>
      <c r="V325" s="3"/>
      <c r="W325" s="3">
        <f t="shared" si="163"/>
        <v>0</v>
      </c>
      <c r="X325" s="3"/>
      <c r="Y325" s="3"/>
      <c r="Z325" s="3">
        <f t="shared" si="164"/>
        <v>0</v>
      </c>
      <c r="AA325" s="3"/>
      <c r="AB325" s="3"/>
      <c r="AC325" s="3"/>
      <c r="AD325" s="3">
        <f t="shared" si="155"/>
        <v>0</v>
      </c>
      <c r="AE325" s="3"/>
      <c r="AF325" s="3">
        <f t="shared" si="156"/>
        <v>0</v>
      </c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42"/>
      <c r="AR325" s="3"/>
      <c r="AS325" s="42"/>
      <c r="AT325" s="3"/>
      <c r="AU325" s="42"/>
      <c r="AV325" s="3"/>
      <c r="AW325" s="42"/>
      <c r="AX325" s="3"/>
      <c r="AZ325" s="3"/>
      <c r="BP325" s="5">
        <f t="shared" ref="BP325:BP388" si="165">+BA325-AZ325</f>
        <v>0</v>
      </c>
    </row>
    <row r="326" spans="1:68" x14ac:dyDescent="0.25">
      <c r="A326" s="3" t="s">
        <v>260</v>
      </c>
      <c r="B326" s="3">
        <v>17500</v>
      </c>
      <c r="D326" s="3">
        <v>0</v>
      </c>
      <c r="E326" s="3">
        <f t="shared" si="157"/>
        <v>17500</v>
      </c>
      <c r="F326" s="3">
        <v>17500</v>
      </c>
      <c r="H326" s="5">
        <f t="shared" si="158"/>
        <v>0</v>
      </c>
      <c r="K326" s="4">
        <f t="shared" si="159"/>
        <v>17500</v>
      </c>
      <c r="L326" s="4">
        <v>17500</v>
      </c>
      <c r="N326" s="4">
        <f t="shared" si="160"/>
        <v>0</v>
      </c>
      <c r="P326" s="3">
        <v>17500</v>
      </c>
      <c r="Q326" s="3"/>
      <c r="R326" s="3"/>
      <c r="S326" s="3">
        <f t="shared" si="161"/>
        <v>17500</v>
      </c>
      <c r="T326" s="3">
        <v>17500</v>
      </c>
      <c r="U326" s="3">
        <f t="shared" si="162"/>
        <v>0</v>
      </c>
      <c r="V326" s="3">
        <v>0</v>
      </c>
      <c r="W326" s="3">
        <f t="shared" si="163"/>
        <v>0</v>
      </c>
      <c r="X326" s="3"/>
      <c r="Y326" s="3">
        <v>0</v>
      </c>
      <c r="Z326" s="3">
        <f t="shared" si="164"/>
        <v>-17500</v>
      </c>
      <c r="AA326" s="3"/>
      <c r="AB326" s="3"/>
      <c r="AC326" s="3"/>
      <c r="AD326" s="3">
        <f t="shared" si="155"/>
        <v>0</v>
      </c>
      <c r="AE326" s="3"/>
      <c r="AF326" s="3">
        <f t="shared" si="156"/>
        <v>0</v>
      </c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42"/>
      <c r="AR326" s="3"/>
      <c r="AS326" s="42"/>
      <c r="AT326" s="3"/>
      <c r="AU326" s="42"/>
      <c r="AV326" s="3"/>
      <c r="AW326" s="42"/>
      <c r="AX326" s="3"/>
      <c r="AZ326" s="3"/>
      <c r="BP326" s="5">
        <f t="shared" si="165"/>
        <v>0</v>
      </c>
    </row>
    <row r="327" spans="1:68" x14ac:dyDescent="0.25">
      <c r="A327" s="3" t="s">
        <v>57</v>
      </c>
      <c r="B327" s="3">
        <v>300</v>
      </c>
      <c r="D327" s="3">
        <v>204</v>
      </c>
      <c r="E327" s="3">
        <f t="shared" si="157"/>
        <v>96</v>
      </c>
      <c r="F327" s="3">
        <v>300</v>
      </c>
      <c r="H327" s="5">
        <f t="shared" si="158"/>
        <v>0</v>
      </c>
      <c r="J327" s="5">
        <v>433</v>
      </c>
      <c r="K327" s="4">
        <f t="shared" si="159"/>
        <v>67</v>
      </c>
      <c r="L327" s="4">
        <v>500</v>
      </c>
      <c r="N327" s="4">
        <f t="shared" si="160"/>
        <v>200</v>
      </c>
      <c r="P327" s="3">
        <f>L327*1.025+2</f>
        <v>514.5</v>
      </c>
      <c r="Q327" s="3"/>
      <c r="R327" s="3"/>
      <c r="S327" s="3">
        <f t="shared" si="161"/>
        <v>500</v>
      </c>
      <c r="T327" s="3">
        <v>500</v>
      </c>
      <c r="U327" s="3">
        <f t="shared" si="162"/>
        <v>-14.5</v>
      </c>
      <c r="V327" s="3">
        <v>203</v>
      </c>
      <c r="W327" s="3">
        <f t="shared" si="163"/>
        <v>297</v>
      </c>
      <c r="X327" s="3"/>
      <c r="Y327" s="3">
        <v>500</v>
      </c>
      <c r="Z327" s="3">
        <f t="shared" si="164"/>
        <v>0</v>
      </c>
      <c r="AA327" s="3"/>
      <c r="AB327" s="3"/>
      <c r="AC327" s="3"/>
      <c r="AD327" s="3">
        <f t="shared" si="155"/>
        <v>500</v>
      </c>
      <c r="AE327" s="3">
        <v>500</v>
      </c>
      <c r="AF327" s="3">
        <f t="shared" si="156"/>
        <v>0</v>
      </c>
      <c r="AG327" s="3"/>
      <c r="AH327" s="3">
        <v>550</v>
      </c>
      <c r="AI327" s="3"/>
      <c r="AJ327" s="3">
        <f>AH327*1.025</f>
        <v>563.75</v>
      </c>
      <c r="AK327" s="3"/>
      <c r="AL327" s="3">
        <f>AJ327*1.025</f>
        <v>577.84375</v>
      </c>
      <c r="AM327" s="3"/>
      <c r="AN327" s="3">
        <f>AL327*1.025</f>
        <v>592.28984374999993</v>
      </c>
      <c r="AO327" s="3"/>
      <c r="AP327" s="3">
        <f>AN327*1.025</f>
        <v>607.09708984374993</v>
      </c>
      <c r="AQ327" s="42"/>
      <c r="AR327" s="3">
        <f>AP327*1.025</f>
        <v>622.27451708984358</v>
      </c>
      <c r="AS327" s="42"/>
      <c r="AT327" s="3">
        <f>AR327*1.025</f>
        <v>637.8313800170896</v>
      </c>
      <c r="AU327" s="42"/>
      <c r="AV327" s="3">
        <f>AT327*1.025</f>
        <v>653.77716451751678</v>
      </c>
      <c r="AW327" s="42"/>
      <c r="AX327" s="3">
        <f>AV327*1.025</f>
        <v>670.12159363045464</v>
      </c>
      <c r="AZ327" s="3">
        <f>AX327*1.025</f>
        <v>686.87463347121593</v>
      </c>
      <c r="BP327" s="5">
        <f t="shared" si="165"/>
        <v>-686.87463347121593</v>
      </c>
    </row>
    <row r="328" spans="1:68" x14ac:dyDescent="0.25">
      <c r="A328" s="3"/>
      <c r="B328" s="48">
        <f>SUM(B320:B327)</f>
        <v>110300</v>
      </c>
      <c r="C328" s="32"/>
      <c r="D328" s="48">
        <f>SUM(D320:D327)</f>
        <v>20637</v>
      </c>
      <c r="E328" s="48">
        <f>SUM(E320:E327)</f>
        <v>91163</v>
      </c>
      <c r="F328" s="48">
        <f>SUM(F320:F327)</f>
        <v>111800</v>
      </c>
      <c r="G328" s="32"/>
      <c r="H328" s="48">
        <f>SUM(H320:H327)</f>
        <v>1500</v>
      </c>
      <c r="I328" s="36"/>
      <c r="J328" s="48">
        <f>SUM(J320:J327)</f>
        <v>41507</v>
      </c>
      <c r="K328" s="48">
        <f>SUM(K320:K327)</f>
        <v>70493</v>
      </c>
      <c r="L328" s="48">
        <f>SUM(L320:L327)</f>
        <v>112000</v>
      </c>
      <c r="M328" s="32"/>
      <c r="N328" s="48">
        <f>SUM(N320:N327)</f>
        <v>200</v>
      </c>
      <c r="P328" s="50">
        <f>SUM(P320:P327)</f>
        <v>114364.49999999999</v>
      </c>
      <c r="Q328" s="3"/>
      <c r="R328" s="50">
        <f t="shared" ref="R328:Z328" si="166">SUM(R320:R327)</f>
        <v>16033</v>
      </c>
      <c r="S328" s="50">
        <f t="shared" si="166"/>
        <v>84467</v>
      </c>
      <c r="T328" s="50">
        <f t="shared" si="166"/>
        <v>100500</v>
      </c>
      <c r="U328" s="50">
        <f t="shared" si="166"/>
        <v>-13864.499999999987</v>
      </c>
      <c r="V328" s="50">
        <f t="shared" si="166"/>
        <v>34601</v>
      </c>
      <c r="W328" s="50">
        <f t="shared" si="166"/>
        <v>46399</v>
      </c>
      <c r="X328" s="50"/>
      <c r="Y328" s="50">
        <f t="shared" si="166"/>
        <v>81000</v>
      </c>
      <c r="Z328" s="50">
        <f t="shared" si="166"/>
        <v>-19500</v>
      </c>
      <c r="AA328" s="3"/>
      <c r="AB328" s="3"/>
      <c r="AC328" s="50">
        <f>SUM(AC320:AC327)</f>
        <v>53898</v>
      </c>
      <c r="AD328" s="50">
        <f>SUM(AD320:AD327)</f>
        <v>24102</v>
      </c>
      <c r="AE328" s="50">
        <f>SUM(AE320:AE327)</f>
        <v>78000</v>
      </c>
      <c r="AF328" s="50">
        <f>SUM(AF320:AF327)</f>
        <v>-3000</v>
      </c>
      <c r="AG328" s="3"/>
      <c r="AH328" s="62">
        <f t="shared" ref="AH328:AX328" si="167">SUM(AH320:AH327)</f>
        <v>82050</v>
      </c>
      <c r="AI328" s="32"/>
      <c r="AJ328" s="62">
        <f t="shared" si="167"/>
        <v>84101.249999999985</v>
      </c>
      <c r="AK328" s="3"/>
      <c r="AL328" s="62">
        <f t="shared" si="167"/>
        <v>86203.781249999971</v>
      </c>
      <c r="AM328" s="3"/>
      <c r="AN328" s="62">
        <f t="shared" si="167"/>
        <v>88358.875781249953</v>
      </c>
      <c r="AO328" s="62"/>
      <c r="AP328" s="62">
        <f t="shared" si="167"/>
        <v>90567.847675781202</v>
      </c>
      <c r="AQ328" s="42"/>
      <c r="AR328" s="62">
        <f t="shared" si="167"/>
        <v>92832.043867675719</v>
      </c>
      <c r="AS328" s="42"/>
      <c r="AT328" s="62">
        <f t="shared" si="167"/>
        <v>95152.844964367614</v>
      </c>
      <c r="AU328" s="42"/>
      <c r="AV328" s="62">
        <f t="shared" si="167"/>
        <v>97531.666088476806</v>
      </c>
      <c r="AW328" s="42"/>
      <c r="AX328" s="62">
        <f t="shared" si="167"/>
        <v>99969.957740688697</v>
      </c>
      <c r="AZ328" s="62">
        <f>SUM(AZ320:AZ327)</f>
        <v>102469.20668420591</v>
      </c>
      <c r="BP328" s="5">
        <f t="shared" si="165"/>
        <v>-102469.20668420591</v>
      </c>
    </row>
    <row r="329" spans="1:68" x14ac:dyDescent="0.25">
      <c r="A329" s="7" t="s">
        <v>261</v>
      </c>
      <c r="AI329" s="4"/>
      <c r="BP329" s="5">
        <f t="shared" si="165"/>
        <v>0</v>
      </c>
    </row>
    <row r="330" spans="1:68" x14ac:dyDescent="0.25">
      <c r="A330" s="3" t="s">
        <v>262</v>
      </c>
      <c r="Z330" s="3">
        <f>Y330-T330</f>
        <v>0</v>
      </c>
      <c r="AI330" s="4"/>
      <c r="BP330" s="5">
        <f t="shared" si="165"/>
        <v>0</v>
      </c>
    </row>
    <row r="331" spans="1:68" x14ac:dyDescent="0.25">
      <c r="A331" s="3" t="s">
        <v>263</v>
      </c>
      <c r="Z331" s="3"/>
      <c r="AH331" s="5">
        <v>60000</v>
      </c>
      <c r="AI331" s="4"/>
      <c r="BP331" s="5">
        <f t="shared" si="165"/>
        <v>0</v>
      </c>
    </row>
    <row r="332" spans="1:68" x14ac:dyDescent="0.25">
      <c r="A332" s="3" t="s">
        <v>264</v>
      </c>
      <c r="Z332" s="3"/>
      <c r="AI332" s="4"/>
      <c r="AJ332" s="5">
        <v>3000</v>
      </c>
      <c r="AL332" s="5">
        <f>AJ332*1.03</f>
        <v>3090</v>
      </c>
      <c r="AN332" s="5">
        <f>AL332*1.03</f>
        <v>3182.7000000000003</v>
      </c>
      <c r="AP332" s="5">
        <f>AN332*1.03</f>
        <v>3278.1810000000005</v>
      </c>
      <c r="AR332" s="5">
        <f>AP332*1.03</f>
        <v>3376.5264300000008</v>
      </c>
      <c r="AT332" s="5">
        <f>AR332*1.03</f>
        <v>3477.8222229000007</v>
      </c>
      <c r="AV332" s="5">
        <f>AT332*1.03</f>
        <v>3582.1568895870009</v>
      </c>
      <c r="AX332" s="5">
        <f>AV332*1.03</f>
        <v>3689.621596274611</v>
      </c>
      <c r="AZ332" s="5">
        <f>AX332*1.03</f>
        <v>3800.3102441628494</v>
      </c>
      <c r="BP332" s="5">
        <f t="shared" si="165"/>
        <v>-3800.3102441628494</v>
      </c>
    </row>
    <row r="333" spans="1:68" x14ac:dyDescent="0.25">
      <c r="A333" s="3" t="s">
        <v>265</v>
      </c>
      <c r="B333" s="5">
        <v>50000</v>
      </c>
      <c r="D333" s="5">
        <v>5532</v>
      </c>
      <c r="E333" s="3">
        <f>F333-D333</f>
        <v>31968</v>
      </c>
      <c r="F333" s="3">
        <v>37500</v>
      </c>
      <c r="H333" s="5">
        <f>F333-B333</f>
        <v>-12500</v>
      </c>
      <c r="J333" s="5">
        <v>13599</v>
      </c>
      <c r="K333" s="4">
        <f>L333-J333</f>
        <v>23901</v>
      </c>
      <c r="L333" s="4">
        <v>37500</v>
      </c>
      <c r="N333" s="4">
        <f>L333-F333</f>
        <v>0</v>
      </c>
      <c r="P333" s="3">
        <v>40000</v>
      </c>
      <c r="Q333" s="3"/>
      <c r="R333" s="3">
        <v>6979</v>
      </c>
      <c r="S333" s="3">
        <f>T333-R333</f>
        <v>33021</v>
      </c>
      <c r="T333" s="3">
        <v>40000</v>
      </c>
      <c r="U333" s="3">
        <f>T333-P333</f>
        <v>0</v>
      </c>
      <c r="V333" s="3">
        <v>15118</v>
      </c>
      <c r="W333" s="3">
        <f>Y333-V333</f>
        <v>24882</v>
      </c>
      <c r="X333" s="3"/>
      <c r="Y333" s="3">
        <v>40000</v>
      </c>
      <c r="Z333" s="3">
        <f>Y333-T333</f>
        <v>0</v>
      </c>
      <c r="AA333" s="3"/>
      <c r="AB333" s="3"/>
      <c r="AC333" s="3">
        <v>23327</v>
      </c>
      <c r="AD333" s="3">
        <f>AE333-AC333</f>
        <v>16673</v>
      </c>
      <c r="AE333" s="3">
        <v>40000</v>
      </c>
      <c r="AF333" s="3">
        <f>AE333-Y333</f>
        <v>0</v>
      </c>
      <c r="AG333" s="3"/>
      <c r="AH333" s="3">
        <v>42500</v>
      </c>
      <c r="AI333" s="4"/>
      <c r="AJ333" s="3">
        <v>48000</v>
      </c>
      <c r="AK333" s="3"/>
      <c r="AL333" s="3">
        <f>AJ333*1.025</f>
        <v>49199.999999999993</v>
      </c>
      <c r="AM333" s="3"/>
      <c r="AN333" s="3">
        <f>AL333*1.025</f>
        <v>50429.999999999985</v>
      </c>
      <c r="AO333" s="3"/>
      <c r="AP333" s="3">
        <f>AN333*1.025</f>
        <v>51690.749999999978</v>
      </c>
      <c r="AQ333" s="42"/>
      <c r="AR333" s="3">
        <f>AP333*1.025</f>
        <v>52983.018749999974</v>
      </c>
      <c r="AS333" s="42"/>
      <c r="AT333" s="3">
        <f>AR333*1.025</f>
        <v>54307.594218749968</v>
      </c>
      <c r="AU333" s="42"/>
      <c r="AV333" s="3">
        <f>AT333*1.025</f>
        <v>55665.284074218711</v>
      </c>
      <c r="AW333" s="42"/>
      <c r="AX333" s="3">
        <f>AV333*1.025</f>
        <v>57056.916176074177</v>
      </c>
      <c r="AZ333" s="3">
        <f>AX333*1.025</f>
        <v>58483.339080476027</v>
      </c>
      <c r="BA333" s="42"/>
      <c r="BP333" s="5">
        <f t="shared" si="165"/>
        <v>-58483.339080476027</v>
      </c>
    </row>
    <row r="334" spans="1:68" x14ac:dyDescent="0.25">
      <c r="A334" s="3"/>
      <c r="B334" s="48">
        <f>SUM(B330:B333)</f>
        <v>50000</v>
      </c>
      <c r="C334" s="32"/>
      <c r="D334" s="48">
        <f>SUM(D330:D333)</f>
        <v>5532</v>
      </c>
      <c r="E334" s="48">
        <f>SUM(E330:E333)</f>
        <v>31968</v>
      </c>
      <c r="F334" s="48">
        <f>SUM(F330:F333)</f>
        <v>37500</v>
      </c>
      <c r="G334" s="32"/>
      <c r="H334" s="48">
        <f>SUM(H330:H333)</f>
        <v>-12500</v>
      </c>
      <c r="I334" s="36"/>
      <c r="J334" s="48">
        <f>SUM(J330:J333)</f>
        <v>13599</v>
      </c>
      <c r="K334" s="48">
        <f>SUM(K330:K333)</f>
        <v>23901</v>
      </c>
      <c r="L334" s="48">
        <v>0</v>
      </c>
      <c r="M334" s="32"/>
      <c r="N334" s="48">
        <f>SUM(N330:N333)</f>
        <v>0</v>
      </c>
      <c r="P334" s="48">
        <f>SUM(P330:P333)</f>
        <v>40000</v>
      </c>
      <c r="R334" s="48">
        <f t="shared" ref="R334:Z334" si="168">SUM(R330:R333)</f>
        <v>6979</v>
      </c>
      <c r="S334" s="48">
        <f t="shared" si="168"/>
        <v>33021</v>
      </c>
      <c r="T334" s="48">
        <f t="shared" si="168"/>
        <v>40000</v>
      </c>
      <c r="U334" s="48">
        <f t="shared" si="168"/>
        <v>0</v>
      </c>
      <c r="V334" s="48">
        <f t="shared" si="168"/>
        <v>15118</v>
      </c>
      <c r="W334" s="48">
        <f t="shared" si="168"/>
        <v>24882</v>
      </c>
      <c r="X334" s="48"/>
      <c r="Y334" s="48">
        <f t="shared" si="168"/>
        <v>40000</v>
      </c>
      <c r="Z334" s="48">
        <f t="shared" si="168"/>
        <v>0</v>
      </c>
      <c r="AC334" s="48">
        <f>SUM(AC330:AC333)</f>
        <v>23327</v>
      </c>
      <c r="AD334" s="48">
        <f>SUM(AD330:AD333)</f>
        <v>16673</v>
      </c>
      <c r="AE334" s="48">
        <f>SUM(AE330:AE333)</f>
        <v>40000</v>
      </c>
      <c r="AF334" s="48">
        <f>SUM(AF330:AF333)</f>
        <v>0</v>
      </c>
      <c r="AH334" s="48">
        <f t="shared" ref="AH334:AX334" si="169">SUM(AH330:AH333)</f>
        <v>102500</v>
      </c>
      <c r="AI334" s="32"/>
      <c r="AJ334" s="48">
        <f t="shared" si="169"/>
        <v>51000</v>
      </c>
      <c r="AL334" s="48">
        <f t="shared" si="169"/>
        <v>52289.999999999993</v>
      </c>
      <c r="AN334" s="48">
        <f t="shared" si="169"/>
        <v>53612.699999999983</v>
      </c>
      <c r="AO334" s="48"/>
      <c r="AP334" s="48">
        <f t="shared" si="169"/>
        <v>54968.930999999982</v>
      </c>
      <c r="AR334" s="48">
        <f t="shared" si="169"/>
        <v>56359.545179999972</v>
      </c>
      <c r="AT334" s="48">
        <f t="shared" si="169"/>
        <v>57785.41644164997</v>
      </c>
      <c r="AV334" s="48">
        <f t="shared" si="169"/>
        <v>59247.440963805711</v>
      </c>
      <c r="AX334" s="48">
        <f t="shared" si="169"/>
        <v>60746.537772348791</v>
      </c>
      <c r="AZ334" s="48">
        <f>SUM(AZ330:AZ333)</f>
        <v>62283.649324638878</v>
      </c>
      <c r="BP334" s="5">
        <f t="shared" si="165"/>
        <v>-62283.649324638878</v>
      </c>
    </row>
    <row r="335" spans="1:68" s="42" customFormat="1" x14ac:dyDescent="0.25">
      <c r="A335" s="3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"/>
      <c r="P335" s="32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2"/>
      <c r="AI335" s="32"/>
      <c r="AJ335" s="32"/>
      <c r="AK335" s="3"/>
      <c r="AL335" s="32"/>
      <c r="AM335" s="3"/>
      <c r="AN335" s="32"/>
      <c r="AO335" s="32"/>
      <c r="AP335" s="32"/>
      <c r="AR335" s="32"/>
      <c r="AT335" s="32"/>
      <c r="AV335" s="32"/>
      <c r="AX335" s="32"/>
      <c r="AZ335" s="32"/>
      <c r="BA335" s="6"/>
      <c r="BP335" s="5">
        <f t="shared" si="165"/>
        <v>0</v>
      </c>
    </row>
    <row r="336" spans="1:68" x14ac:dyDescent="0.25">
      <c r="A336" s="7" t="s">
        <v>57</v>
      </c>
      <c r="AI336" s="4"/>
      <c r="BA336" s="42"/>
      <c r="BP336" s="5">
        <f t="shared" si="165"/>
        <v>0</v>
      </c>
    </row>
    <row r="337" spans="1:68" x14ac:dyDescent="0.25">
      <c r="A337" s="3" t="s">
        <v>266</v>
      </c>
      <c r="B337" s="5">
        <v>70000</v>
      </c>
      <c r="D337" s="5">
        <v>0</v>
      </c>
      <c r="E337" s="3">
        <f t="shared" ref="E337:E345" si="170">F337-D337</f>
        <v>40000</v>
      </c>
      <c r="F337" s="3">
        <v>40000</v>
      </c>
      <c r="H337" s="5">
        <f t="shared" ref="H337:H345" si="171">F337-B337</f>
        <v>-30000</v>
      </c>
      <c r="J337" s="5">
        <v>0</v>
      </c>
      <c r="K337" s="4">
        <f t="shared" ref="K337:K345" si="172">L337-J337</f>
        <v>25000</v>
      </c>
      <c r="L337" s="4">
        <v>25000</v>
      </c>
      <c r="N337" s="4">
        <f t="shared" ref="N337:N345" si="173">L337-F337</f>
        <v>-15000</v>
      </c>
      <c r="P337" s="3">
        <v>0</v>
      </c>
      <c r="Q337" s="3"/>
      <c r="R337" s="3"/>
      <c r="S337" s="3">
        <f t="shared" ref="S337:S345" si="174">T337-R337</f>
        <v>0</v>
      </c>
      <c r="T337" s="3"/>
      <c r="U337" s="3">
        <f t="shared" ref="U337:U345" si="175">T337-P337</f>
        <v>0</v>
      </c>
      <c r="V337" s="3"/>
      <c r="W337" s="3">
        <f t="shared" ref="W337:W345" si="176">Y337-V337</f>
        <v>0</v>
      </c>
      <c r="X337" s="3"/>
      <c r="Y337" s="3"/>
      <c r="Z337" s="3">
        <f t="shared" ref="Z337:Z345" si="177">Y337-T337</f>
        <v>0</v>
      </c>
      <c r="AA337" s="3"/>
      <c r="AB337" s="3"/>
      <c r="AC337" s="3"/>
      <c r="AD337" s="3">
        <f t="shared" ref="AD337:AD345" si="178">AE337-AC337</f>
        <v>0</v>
      </c>
      <c r="AE337" s="3"/>
      <c r="AF337" s="3">
        <f t="shared" ref="AF337:AF345" si="179">AE337-Y337</f>
        <v>0</v>
      </c>
      <c r="AG337" s="3"/>
      <c r="AH337" s="3"/>
      <c r="AI337" s="4"/>
      <c r="AJ337" s="3"/>
      <c r="AK337" s="3"/>
      <c r="AL337" s="3"/>
      <c r="AM337" s="3"/>
      <c r="AN337" s="3"/>
      <c r="AO337" s="3"/>
      <c r="AP337" s="3"/>
      <c r="AQ337" s="42"/>
      <c r="AR337" s="3"/>
      <c r="AS337" s="42"/>
      <c r="AT337" s="3"/>
      <c r="AU337" s="42"/>
      <c r="AV337" s="3"/>
      <c r="AW337" s="42"/>
      <c r="AX337" s="3"/>
      <c r="AZ337" s="3"/>
      <c r="BP337" s="5">
        <f t="shared" si="165"/>
        <v>0</v>
      </c>
    </row>
    <row r="338" spans="1:68" s="42" customFormat="1" x14ac:dyDescent="0.25">
      <c r="A338" s="3" t="s">
        <v>267</v>
      </c>
      <c r="B338" s="3">
        <v>205585</v>
      </c>
      <c r="C338" s="3"/>
      <c r="D338" s="3">
        <v>0</v>
      </c>
      <c r="E338" s="3">
        <f t="shared" si="170"/>
        <v>205585</v>
      </c>
      <c r="F338" s="3">
        <v>205585</v>
      </c>
      <c r="G338" s="3"/>
      <c r="H338" s="5">
        <f t="shared" si="171"/>
        <v>0</v>
      </c>
      <c r="I338" s="5"/>
      <c r="J338" s="5">
        <v>0</v>
      </c>
      <c r="K338" s="4">
        <f t="shared" si="172"/>
        <v>205585</v>
      </c>
      <c r="L338" s="4">
        <v>205585</v>
      </c>
      <c r="M338" s="4"/>
      <c r="N338" s="4">
        <f t="shared" si="173"/>
        <v>0</v>
      </c>
      <c r="O338" s="3"/>
      <c r="P338" s="3">
        <v>147860</v>
      </c>
      <c r="Q338" s="3"/>
      <c r="R338" s="3">
        <v>0</v>
      </c>
      <c r="S338" s="3">
        <f t="shared" si="174"/>
        <v>147860</v>
      </c>
      <c r="T338" s="3">
        <v>147860</v>
      </c>
      <c r="U338" s="3">
        <f t="shared" si="175"/>
        <v>0</v>
      </c>
      <c r="V338" s="3">
        <v>0</v>
      </c>
      <c r="W338" s="3">
        <f t="shared" si="176"/>
        <v>147860</v>
      </c>
      <c r="X338" s="3"/>
      <c r="Y338" s="3">
        <v>147860</v>
      </c>
      <c r="Z338" s="3">
        <f t="shared" si="177"/>
        <v>0</v>
      </c>
      <c r="AA338" s="3"/>
      <c r="AB338" s="3"/>
      <c r="AC338" s="3">
        <v>0</v>
      </c>
      <c r="AD338" s="3">
        <f t="shared" si="178"/>
        <v>49300</v>
      </c>
      <c r="AE338" s="3">
        <v>49300</v>
      </c>
      <c r="AF338" s="3">
        <f t="shared" si="179"/>
        <v>-98560</v>
      </c>
      <c r="AG338" s="3"/>
      <c r="AH338" s="3">
        <v>147860</v>
      </c>
      <c r="AI338" s="4"/>
      <c r="AJ338" s="3">
        <v>147860</v>
      </c>
      <c r="AK338" s="3"/>
      <c r="AL338" s="3">
        <v>147860</v>
      </c>
      <c r="AM338" s="3"/>
      <c r="AN338" s="3">
        <v>200720</v>
      </c>
      <c r="AO338" s="3"/>
      <c r="AP338" s="3">
        <v>200720</v>
      </c>
      <c r="AR338" s="3">
        <v>200720</v>
      </c>
      <c r="AT338" s="3">
        <v>200720</v>
      </c>
      <c r="AV338" s="3">
        <v>150540</v>
      </c>
      <c r="AX338" s="3"/>
      <c r="AZ338" s="3"/>
      <c r="BA338" s="6"/>
      <c r="BP338" s="5">
        <f t="shared" si="165"/>
        <v>0</v>
      </c>
    </row>
    <row r="339" spans="1:68" x14ac:dyDescent="0.25">
      <c r="A339" s="3" t="s">
        <v>268</v>
      </c>
      <c r="B339" s="3"/>
      <c r="D339" s="3"/>
      <c r="E339" s="3">
        <f t="shared" si="170"/>
        <v>0</v>
      </c>
      <c r="F339" s="3"/>
      <c r="H339" s="5">
        <f t="shared" si="171"/>
        <v>0</v>
      </c>
      <c r="K339" s="4">
        <f t="shared" si="172"/>
        <v>0</v>
      </c>
      <c r="L339" s="4"/>
      <c r="N339" s="4">
        <f t="shared" si="173"/>
        <v>0</v>
      </c>
      <c r="P339" s="3"/>
      <c r="Q339" s="3"/>
      <c r="R339" s="3"/>
      <c r="S339" s="3">
        <f t="shared" si="174"/>
        <v>0</v>
      </c>
      <c r="T339" s="3"/>
      <c r="U339" s="3">
        <f t="shared" si="175"/>
        <v>0</v>
      </c>
      <c r="V339" s="3"/>
      <c r="W339" s="3">
        <f t="shared" si="176"/>
        <v>0</v>
      </c>
      <c r="X339" s="3"/>
      <c r="Y339" s="3"/>
      <c r="Z339" s="3">
        <f t="shared" si="177"/>
        <v>0</v>
      </c>
      <c r="AA339" s="3"/>
      <c r="AB339" s="3"/>
      <c r="AC339" s="3"/>
      <c r="AD339" s="3">
        <f t="shared" si="178"/>
        <v>0</v>
      </c>
      <c r="AE339" s="3"/>
      <c r="AF339" s="3">
        <f t="shared" si="179"/>
        <v>0</v>
      </c>
      <c r="AG339" s="3"/>
      <c r="AH339" s="3"/>
      <c r="AI339" s="4"/>
      <c r="AJ339" s="3"/>
      <c r="AK339" s="3"/>
      <c r="AL339" s="3"/>
      <c r="AM339" s="3"/>
      <c r="AN339" s="3"/>
      <c r="AO339" s="3"/>
      <c r="AP339" s="3"/>
      <c r="AQ339" s="42"/>
      <c r="AR339" s="3"/>
      <c r="AS339" s="42"/>
      <c r="AT339" s="3"/>
      <c r="AU339" s="42"/>
      <c r="AV339" s="3"/>
      <c r="AW339" s="42"/>
      <c r="AX339" s="3"/>
      <c r="AZ339" s="3"/>
      <c r="BP339" s="5">
        <f t="shared" si="165"/>
        <v>0</v>
      </c>
    </row>
    <row r="340" spans="1:68" x14ac:dyDescent="0.25">
      <c r="A340" s="3" t="s">
        <v>269</v>
      </c>
      <c r="B340" s="3">
        <v>5000</v>
      </c>
      <c r="D340" s="3">
        <v>1273</v>
      </c>
      <c r="E340" s="3">
        <f t="shared" si="170"/>
        <v>3727</v>
      </c>
      <c r="F340" s="3">
        <v>5000</v>
      </c>
      <c r="H340" s="5">
        <f t="shared" si="171"/>
        <v>0</v>
      </c>
      <c r="J340" s="5">
        <v>2364</v>
      </c>
      <c r="K340" s="4">
        <f t="shared" si="172"/>
        <v>2636</v>
      </c>
      <c r="L340" s="4">
        <v>5000</v>
      </c>
      <c r="N340" s="4">
        <f t="shared" si="173"/>
        <v>0</v>
      </c>
      <c r="P340" s="3">
        <f>L340*1.025+20000</f>
        <v>25125</v>
      </c>
      <c r="Q340" s="3"/>
      <c r="R340" s="3">
        <v>2727</v>
      </c>
      <c r="S340" s="3">
        <f t="shared" si="174"/>
        <v>22398</v>
      </c>
      <c r="T340" s="3">
        <v>25125</v>
      </c>
      <c r="U340" s="3">
        <f t="shared" si="175"/>
        <v>0</v>
      </c>
      <c r="V340" s="3">
        <v>8398</v>
      </c>
      <c r="W340" s="3">
        <f t="shared" si="176"/>
        <v>16727</v>
      </c>
      <c r="X340" s="3"/>
      <c r="Y340" s="3">
        <v>25125</v>
      </c>
      <c r="Z340" s="3">
        <f t="shared" si="177"/>
        <v>0</v>
      </c>
      <c r="AA340" s="3"/>
      <c r="AB340" s="3"/>
      <c r="AC340" s="3">
        <v>14307</v>
      </c>
      <c r="AD340" s="3">
        <f t="shared" si="178"/>
        <v>10818</v>
      </c>
      <c r="AE340" s="3">
        <v>25125</v>
      </c>
      <c r="AF340" s="3">
        <f t="shared" si="179"/>
        <v>0</v>
      </c>
      <c r="AG340" s="3"/>
      <c r="AH340" s="3">
        <f>AE340*1.03+1</f>
        <v>25879.75</v>
      </c>
      <c r="AI340" s="4"/>
      <c r="AJ340" s="3">
        <f>AH340*1.025</f>
        <v>26526.743749999998</v>
      </c>
      <c r="AK340" s="3"/>
      <c r="AL340" s="3">
        <f>AJ340*1.025</f>
        <v>27189.912343749995</v>
      </c>
      <c r="AM340" s="3"/>
      <c r="AN340" s="3">
        <f>AL340*1.025</f>
        <v>27869.660152343742</v>
      </c>
      <c r="AO340" s="3"/>
      <c r="AP340" s="3">
        <f>AN340*1.025</f>
        <v>28566.401656152335</v>
      </c>
      <c r="AQ340" s="42"/>
      <c r="AR340" s="3">
        <f>AP340*1.025</f>
        <v>29280.561697556142</v>
      </c>
      <c r="AS340" s="42"/>
      <c r="AT340" s="3">
        <f>AR340*1.025</f>
        <v>30012.575739995042</v>
      </c>
      <c r="AU340" s="42"/>
      <c r="AV340" s="3">
        <f>AT340*1.025</f>
        <v>30762.890133494915</v>
      </c>
      <c r="AW340" s="42"/>
      <c r="AX340" s="3">
        <f>AV340*1.025</f>
        <v>31531.962386832285</v>
      </c>
      <c r="AZ340" s="3">
        <f>AX340*1.025</f>
        <v>32320.261446503089</v>
      </c>
      <c r="BP340" s="5">
        <f t="shared" si="165"/>
        <v>-32320.261446503089</v>
      </c>
    </row>
    <row r="341" spans="1:68" x14ac:dyDescent="0.25">
      <c r="A341" s="3" t="s">
        <v>270</v>
      </c>
      <c r="B341" s="3"/>
      <c r="D341" s="3"/>
      <c r="E341" s="3">
        <f t="shared" si="170"/>
        <v>0</v>
      </c>
      <c r="F341" s="3"/>
      <c r="H341" s="5">
        <f t="shared" si="171"/>
        <v>0</v>
      </c>
      <c r="K341" s="4">
        <f t="shared" si="172"/>
        <v>0</v>
      </c>
      <c r="L341" s="4"/>
      <c r="N341" s="4">
        <f t="shared" si="173"/>
        <v>0</v>
      </c>
      <c r="P341" s="3"/>
      <c r="Q341" s="3"/>
      <c r="R341" s="3"/>
      <c r="S341" s="3">
        <f t="shared" si="174"/>
        <v>0</v>
      </c>
      <c r="T341" s="3"/>
      <c r="U341" s="3">
        <f t="shared" si="175"/>
        <v>0</v>
      </c>
      <c r="V341" s="3"/>
      <c r="W341" s="3">
        <f t="shared" si="176"/>
        <v>0</v>
      </c>
      <c r="X341" s="3"/>
      <c r="Y341" s="3"/>
      <c r="Z341" s="3">
        <f t="shared" si="177"/>
        <v>0</v>
      </c>
      <c r="AA341" s="3"/>
      <c r="AB341" s="3"/>
      <c r="AC341" s="3"/>
      <c r="AD341" s="3">
        <f t="shared" si="178"/>
        <v>0</v>
      </c>
      <c r="AE341" s="3"/>
      <c r="AF341" s="3">
        <f t="shared" si="179"/>
        <v>0</v>
      </c>
      <c r="AG341" s="3"/>
      <c r="AH341" s="3"/>
      <c r="AI341" s="4"/>
      <c r="AJ341" s="3"/>
      <c r="AK341" s="3"/>
      <c r="AL341" s="3"/>
      <c r="AM341" s="3"/>
      <c r="AN341" s="3"/>
      <c r="AO341" s="3"/>
      <c r="AP341" s="3"/>
      <c r="AQ341" s="42"/>
      <c r="AR341" s="3"/>
      <c r="AS341" s="42"/>
      <c r="AT341" s="3"/>
      <c r="AU341" s="42"/>
      <c r="AV341" s="3"/>
      <c r="AW341" s="42"/>
      <c r="AX341" s="3"/>
      <c r="AZ341" s="3"/>
      <c r="BP341" s="5">
        <f t="shared" si="165"/>
        <v>0</v>
      </c>
    </row>
    <row r="342" spans="1:68" x14ac:dyDescent="0.25">
      <c r="A342" s="3" t="s">
        <v>271</v>
      </c>
      <c r="B342" s="3"/>
      <c r="D342" s="3"/>
      <c r="E342" s="3">
        <f t="shared" si="170"/>
        <v>0</v>
      </c>
      <c r="F342" s="3"/>
      <c r="H342" s="5">
        <f t="shared" si="171"/>
        <v>0</v>
      </c>
      <c r="K342" s="4">
        <f t="shared" si="172"/>
        <v>0</v>
      </c>
      <c r="L342" s="4"/>
      <c r="N342" s="4">
        <f t="shared" si="173"/>
        <v>0</v>
      </c>
      <c r="P342" s="3"/>
      <c r="Q342" s="3"/>
      <c r="R342" s="3"/>
      <c r="S342" s="3">
        <f t="shared" si="174"/>
        <v>0</v>
      </c>
      <c r="T342" s="3"/>
      <c r="U342" s="3">
        <f t="shared" si="175"/>
        <v>0</v>
      </c>
      <c r="V342" s="3"/>
      <c r="W342" s="3">
        <f t="shared" si="176"/>
        <v>0</v>
      </c>
      <c r="X342" s="3"/>
      <c r="Y342" s="3"/>
      <c r="Z342" s="3">
        <f t="shared" si="177"/>
        <v>0</v>
      </c>
      <c r="AA342" s="3"/>
      <c r="AB342" s="3"/>
      <c r="AC342" s="3"/>
      <c r="AD342" s="3">
        <f t="shared" si="178"/>
        <v>0</v>
      </c>
      <c r="AE342" s="3"/>
      <c r="AF342" s="3">
        <f t="shared" si="179"/>
        <v>0</v>
      </c>
      <c r="AG342" s="3"/>
      <c r="AH342" s="3"/>
      <c r="AI342" s="4"/>
      <c r="AJ342" s="3"/>
      <c r="AK342" s="3"/>
      <c r="AL342" s="3"/>
      <c r="AM342" s="3"/>
      <c r="AN342" s="3"/>
      <c r="AO342" s="3"/>
      <c r="AP342" s="3"/>
      <c r="AQ342" s="42"/>
      <c r="AR342" s="3"/>
      <c r="AS342" s="42"/>
      <c r="AT342" s="3"/>
      <c r="AU342" s="42"/>
      <c r="AV342" s="3"/>
      <c r="AW342" s="42"/>
      <c r="AX342" s="3"/>
      <c r="AZ342" s="3"/>
      <c r="BP342" s="5">
        <f t="shared" si="165"/>
        <v>0</v>
      </c>
    </row>
    <row r="343" spans="1:68" x14ac:dyDescent="0.25">
      <c r="A343" s="3" t="s">
        <v>272</v>
      </c>
      <c r="B343" s="3">
        <v>141000</v>
      </c>
      <c r="D343" s="3"/>
      <c r="E343" s="3">
        <f t="shared" si="170"/>
        <v>141000</v>
      </c>
      <c r="F343" s="3">
        <v>141000</v>
      </c>
      <c r="H343" s="5">
        <f t="shared" si="171"/>
        <v>0</v>
      </c>
      <c r="J343" s="5">
        <v>8172</v>
      </c>
      <c r="K343" s="4">
        <f>L343-J343</f>
        <v>1828</v>
      </c>
      <c r="L343" s="4">
        <v>10000</v>
      </c>
      <c r="M343" s="32"/>
      <c r="N343" s="4">
        <f>L343-F343</f>
        <v>-131000</v>
      </c>
      <c r="P343" s="3">
        <v>0</v>
      </c>
      <c r="Q343" s="3"/>
      <c r="R343" s="3"/>
      <c r="S343" s="3">
        <f t="shared" si="174"/>
        <v>0</v>
      </c>
      <c r="T343" s="3"/>
      <c r="U343" s="3">
        <f t="shared" si="175"/>
        <v>0</v>
      </c>
      <c r="V343" s="3"/>
      <c r="W343" s="3">
        <f t="shared" si="176"/>
        <v>0</v>
      </c>
      <c r="X343" s="3"/>
      <c r="Y343" s="3"/>
      <c r="Z343" s="3">
        <f t="shared" si="177"/>
        <v>0</v>
      </c>
      <c r="AA343" s="3"/>
      <c r="AB343" s="3"/>
      <c r="AC343" s="3"/>
      <c r="AD343" s="3">
        <f t="shared" si="178"/>
        <v>0</v>
      </c>
      <c r="AE343" s="3"/>
      <c r="AF343" s="3">
        <f t="shared" si="179"/>
        <v>0</v>
      </c>
      <c r="AG343" s="3"/>
      <c r="AH343" s="3"/>
      <c r="AI343" s="4"/>
      <c r="AJ343" s="3"/>
      <c r="AK343" s="3"/>
      <c r="AL343" s="3"/>
      <c r="AM343" s="3"/>
      <c r="AN343" s="3"/>
      <c r="AO343" s="3"/>
      <c r="AP343" s="3"/>
      <c r="AQ343" s="42"/>
      <c r="AR343" s="3"/>
      <c r="AS343" s="42"/>
      <c r="AT343" s="3"/>
      <c r="AU343" s="42"/>
      <c r="AV343" s="3"/>
      <c r="AW343" s="42"/>
      <c r="AX343" s="3"/>
      <c r="AZ343" s="3"/>
      <c r="BP343" s="5">
        <f t="shared" si="165"/>
        <v>0</v>
      </c>
    </row>
    <row r="344" spans="1:68" x14ac:dyDescent="0.25">
      <c r="A344" s="3" t="s">
        <v>273</v>
      </c>
      <c r="B344" s="5">
        <v>130000</v>
      </c>
      <c r="D344" s="5">
        <v>3645</v>
      </c>
      <c r="E344" s="3">
        <f t="shared" si="170"/>
        <v>191355</v>
      </c>
      <c r="F344" s="3">
        <v>195000</v>
      </c>
      <c r="H344" s="5">
        <f t="shared" si="171"/>
        <v>65000</v>
      </c>
      <c r="J344" s="5">
        <v>71138</v>
      </c>
      <c r="K344" s="4">
        <f t="shared" si="172"/>
        <v>123862</v>
      </c>
      <c r="L344" s="4">
        <v>195000</v>
      </c>
      <c r="N344" s="4">
        <f t="shared" si="173"/>
        <v>0</v>
      </c>
      <c r="P344" s="3">
        <v>100000</v>
      </c>
      <c r="Q344" s="3"/>
      <c r="R344" s="3">
        <v>4203</v>
      </c>
      <c r="S344" s="3">
        <f t="shared" si="174"/>
        <v>95797</v>
      </c>
      <c r="T344" s="3">
        <v>100000</v>
      </c>
      <c r="U344" s="3">
        <f t="shared" si="175"/>
        <v>0</v>
      </c>
      <c r="V344" s="3">
        <v>5629</v>
      </c>
      <c r="W344" s="3">
        <f t="shared" si="176"/>
        <v>169371</v>
      </c>
      <c r="X344" s="3"/>
      <c r="Y344" s="3">
        <v>175000</v>
      </c>
      <c r="Z344" s="3">
        <f t="shared" si="177"/>
        <v>75000</v>
      </c>
      <c r="AA344" s="3"/>
      <c r="AB344" s="3"/>
      <c r="AC344" s="3">
        <v>22638</v>
      </c>
      <c r="AD344" s="3">
        <f t="shared" si="178"/>
        <v>167362</v>
      </c>
      <c r="AE344" s="3">
        <v>190000</v>
      </c>
      <c r="AF344" s="3">
        <f t="shared" si="179"/>
        <v>15000</v>
      </c>
      <c r="AG344" s="3"/>
      <c r="AH344" s="3">
        <v>160000</v>
      </c>
      <c r="AI344" s="3"/>
      <c r="AJ344" s="3">
        <f>AH344*1.025</f>
        <v>164000</v>
      </c>
      <c r="AK344" s="3"/>
      <c r="AL344" s="3">
        <f>AJ344*1.025</f>
        <v>168099.99999999997</v>
      </c>
      <c r="AM344" s="3"/>
      <c r="AN344" s="3">
        <f>AL344*1.025</f>
        <v>172302.49999999994</v>
      </c>
      <c r="AO344" s="3"/>
      <c r="AP344" s="3">
        <f>AN344*1.025</f>
        <v>176610.06249999991</v>
      </c>
      <c r="AQ344" s="42"/>
      <c r="AR344" s="3">
        <f>AP344*1.025</f>
        <v>181025.31406249991</v>
      </c>
      <c r="AS344" s="42"/>
      <c r="AT344" s="3">
        <f>AR344*1.025</f>
        <v>185550.9469140624</v>
      </c>
      <c r="AU344" s="42"/>
      <c r="AV344" s="3">
        <f>AT344*1.025</f>
        <v>190189.72058691393</v>
      </c>
      <c r="AW344" s="42"/>
      <c r="AX344" s="3">
        <f>AV344*1.025</f>
        <v>194944.46360158676</v>
      </c>
      <c r="AZ344" s="3">
        <f>AX344*1.025</f>
        <v>199818.07519162641</v>
      </c>
      <c r="BP344" s="5">
        <f t="shared" si="165"/>
        <v>-199818.07519162641</v>
      </c>
    </row>
    <row r="345" spans="1:68" x14ac:dyDescent="0.25">
      <c r="A345" s="3" t="s">
        <v>274</v>
      </c>
      <c r="B345" s="5">
        <v>10250</v>
      </c>
      <c r="D345" s="5">
        <v>6096</v>
      </c>
      <c r="E345" s="3">
        <f t="shared" si="170"/>
        <v>4154</v>
      </c>
      <c r="F345" s="3">
        <v>10250</v>
      </c>
      <c r="H345" s="5">
        <f t="shared" si="171"/>
        <v>0</v>
      </c>
      <c r="J345" s="5">
        <v>13846</v>
      </c>
      <c r="K345" s="4">
        <f t="shared" si="172"/>
        <v>354</v>
      </c>
      <c r="L345" s="4">
        <v>14200</v>
      </c>
      <c r="N345" s="4">
        <f t="shared" si="173"/>
        <v>3950</v>
      </c>
      <c r="P345" s="3">
        <f>10250*1.025-6</f>
        <v>10500.249999999998</v>
      </c>
      <c r="Q345" s="3"/>
      <c r="R345" s="3">
        <v>6548</v>
      </c>
      <c r="S345" s="3">
        <f t="shared" si="174"/>
        <v>3952</v>
      </c>
      <c r="T345" s="3">
        <v>10500</v>
      </c>
      <c r="U345" s="3">
        <f t="shared" si="175"/>
        <v>-0.24999999999818101</v>
      </c>
      <c r="V345" s="3">
        <v>9297</v>
      </c>
      <c r="W345" s="3">
        <f t="shared" si="176"/>
        <v>1703</v>
      </c>
      <c r="X345" s="3"/>
      <c r="Y345" s="3">
        <v>11000</v>
      </c>
      <c r="Z345" s="3">
        <f t="shared" si="177"/>
        <v>500</v>
      </c>
      <c r="AA345" s="3"/>
      <c r="AB345" s="3"/>
      <c r="AC345" s="3">
        <v>11071</v>
      </c>
      <c r="AD345" s="3">
        <f t="shared" si="178"/>
        <v>-1</v>
      </c>
      <c r="AE345" s="3">
        <v>11070</v>
      </c>
      <c r="AF345" s="3">
        <f t="shared" si="179"/>
        <v>70</v>
      </c>
      <c r="AG345" s="3"/>
      <c r="AH345" s="3">
        <f>AE345*1.03-2</f>
        <v>11400.1</v>
      </c>
      <c r="AI345" s="3"/>
      <c r="AJ345" s="3">
        <f>AH345*1.025</f>
        <v>11685.102499999999</v>
      </c>
      <c r="AK345" s="3"/>
      <c r="AL345" s="3">
        <f>AJ345*1.025</f>
        <v>11977.230062499999</v>
      </c>
      <c r="AM345" s="3"/>
      <c r="AN345" s="3">
        <f>AL345*1.025</f>
        <v>12276.660814062498</v>
      </c>
      <c r="AO345" s="3"/>
      <c r="AP345" s="3">
        <f>AN345*1.025</f>
        <v>12583.57733441406</v>
      </c>
      <c r="AQ345" s="42"/>
      <c r="AR345" s="3">
        <f>AP345*1.025</f>
        <v>12898.16676777441</v>
      </c>
      <c r="AS345" s="42"/>
      <c r="AT345" s="3">
        <f>AR345*1.025</f>
        <v>13220.620936968769</v>
      </c>
      <c r="AU345" s="42"/>
      <c r="AV345" s="3">
        <f>AT345*1.025</f>
        <v>13551.136460392987</v>
      </c>
      <c r="AW345" s="42"/>
      <c r="AX345" s="3">
        <f>AV345*1.025</f>
        <v>13889.914871902811</v>
      </c>
      <c r="AZ345" s="3">
        <f>AX345*1.025</f>
        <v>14237.162743700379</v>
      </c>
      <c r="BP345" s="5">
        <f t="shared" si="165"/>
        <v>-14237.162743700379</v>
      </c>
    </row>
    <row r="346" spans="1:68" x14ac:dyDescent="0.25">
      <c r="A346" s="3"/>
      <c r="B346" s="48">
        <f>SUM(B336:B345)</f>
        <v>561835</v>
      </c>
      <c r="C346" s="32"/>
      <c r="D346" s="48">
        <f>SUM(D336:D345)</f>
        <v>11014</v>
      </c>
      <c r="E346" s="48">
        <f>SUM(E336:E345)</f>
        <v>585821</v>
      </c>
      <c r="F346" s="48">
        <f>SUM(F336:F345)</f>
        <v>596835</v>
      </c>
      <c r="G346" s="32"/>
      <c r="H346" s="48">
        <f>SUM(H336:H345)</f>
        <v>35000</v>
      </c>
      <c r="I346" s="36"/>
      <c r="J346" s="48">
        <f>SUM(J336:J345)</f>
        <v>95520</v>
      </c>
      <c r="K346" s="48">
        <f>SUM(K336:K345)</f>
        <v>359265</v>
      </c>
      <c r="L346" s="48">
        <f>SUM(L336:L345)</f>
        <v>454785</v>
      </c>
      <c r="M346" s="32"/>
      <c r="N346" s="48">
        <f>SUM(N336:N345)</f>
        <v>-142050</v>
      </c>
      <c r="P346" s="48">
        <f>SUM(P336:P345)</f>
        <v>283485.25</v>
      </c>
      <c r="R346" s="48">
        <f t="shared" ref="R346:Z346" si="180">SUM(R336:R345)</f>
        <v>13478</v>
      </c>
      <c r="S346" s="48">
        <f t="shared" si="180"/>
        <v>270007</v>
      </c>
      <c r="T346" s="48">
        <f t="shared" si="180"/>
        <v>283485</v>
      </c>
      <c r="U346" s="48">
        <f t="shared" si="180"/>
        <v>-0.24999999999818101</v>
      </c>
      <c r="V346" s="48">
        <f t="shared" si="180"/>
        <v>23324</v>
      </c>
      <c r="W346" s="48">
        <f t="shared" si="180"/>
        <v>335661</v>
      </c>
      <c r="X346" s="48"/>
      <c r="Y346" s="48">
        <f t="shared" si="180"/>
        <v>358985</v>
      </c>
      <c r="Z346" s="48">
        <f t="shared" si="180"/>
        <v>75500</v>
      </c>
      <c r="AC346" s="48">
        <f>SUM(AC336:AC345)</f>
        <v>48016</v>
      </c>
      <c r="AD346" s="48">
        <f>SUM(AD336:AD345)</f>
        <v>227479</v>
      </c>
      <c r="AE346" s="48">
        <f>SUM(AE336:AE345)</f>
        <v>275495</v>
      </c>
      <c r="AF346" s="48">
        <f>SUM(AF336:AF345)</f>
        <v>-83490</v>
      </c>
      <c r="AH346" s="48">
        <f>SUM(AH336:AH345)</f>
        <v>345139.85</v>
      </c>
      <c r="AI346" s="32"/>
      <c r="AJ346" s="48">
        <f t="shared" ref="AJ346:AX346" si="181">SUM(AJ336:AJ345)</f>
        <v>350071.84625</v>
      </c>
      <c r="AL346" s="48">
        <f t="shared" si="181"/>
        <v>355127.14240625</v>
      </c>
      <c r="AN346" s="48">
        <f t="shared" si="181"/>
        <v>413168.8209664062</v>
      </c>
      <c r="AO346" s="48"/>
      <c r="AP346" s="48">
        <f t="shared" si="181"/>
        <v>418480.04149056628</v>
      </c>
      <c r="AR346" s="48">
        <f t="shared" si="181"/>
        <v>423924.04252783046</v>
      </c>
      <c r="AT346" s="48">
        <f t="shared" si="181"/>
        <v>429504.14359102625</v>
      </c>
      <c r="AV346" s="48">
        <f t="shared" si="181"/>
        <v>385043.74718080182</v>
      </c>
      <c r="AX346" s="48">
        <f t="shared" si="181"/>
        <v>240366.34086032186</v>
      </c>
      <c r="AZ346" s="48">
        <f>SUM(AZ336:AZ345)</f>
        <v>246375.49938182987</v>
      </c>
      <c r="BP346" s="5">
        <f t="shared" si="165"/>
        <v>-246375.49938182987</v>
      </c>
    </row>
    <row r="347" spans="1:68" ht="15.75" thickBot="1" x14ac:dyDescent="0.3">
      <c r="A347" s="3"/>
      <c r="B347" s="49">
        <f>B346+B334+B328+B318</f>
        <v>730235</v>
      </c>
      <c r="C347" s="32"/>
      <c r="D347" s="49">
        <f>D346+D334+D328+D318</f>
        <v>39195</v>
      </c>
      <c r="E347" s="49">
        <f>E346+E334+E328+E318</f>
        <v>715040</v>
      </c>
      <c r="F347" s="49">
        <f>F346+F334+F328+F318</f>
        <v>754235</v>
      </c>
      <c r="G347" s="32"/>
      <c r="H347" s="49">
        <f>H346+H334+H328+H318</f>
        <v>24000</v>
      </c>
      <c r="I347" s="36"/>
      <c r="J347" s="49">
        <f>J346+J334+J328+J318</f>
        <v>154651</v>
      </c>
      <c r="K347" s="49">
        <f>K346+K334+K328+K318</f>
        <v>457734</v>
      </c>
      <c r="L347" s="49">
        <f>L346+L334+L328+L318</f>
        <v>574885</v>
      </c>
      <c r="M347" s="32"/>
      <c r="N347" s="49">
        <f>N346+N334+N328+N318</f>
        <v>-141850</v>
      </c>
      <c r="P347" s="49">
        <f>P346+P334+P328+P318</f>
        <v>446149.25</v>
      </c>
      <c r="R347" s="49">
        <f t="shared" ref="R347:W347" si="182">R346+R334+R328+R318</f>
        <v>38535</v>
      </c>
      <c r="S347" s="49">
        <f t="shared" si="182"/>
        <v>393750</v>
      </c>
      <c r="T347" s="49">
        <f t="shared" si="182"/>
        <v>432285</v>
      </c>
      <c r="U347" s="49">
        <f t="shared" si="182"/>
        <v>-13864.249999999985</v>
      </c>
      <c r="V347" s="49">
        <f t="shared" si="182"/>
        <v>77135</v>
      </c>
      <c r="W347" s="49">
        <f t="shared" si="182"/>
        <v>411150</v>
      </c>
      <c r="X347" s="49"/>
      <c r="Y347" s="49">
        <f>Y346+Y334+Y328+Y318</f>
        <v>488285</v>
      </c>
      <c r="Z347" s="49">
        <f>Z346+Z334+Z328+Z318</f>
        <v>56000</v>
      </c>
      <c r="AC347" s="49">
        <f>AC346+AC334+AC328+AC318</f>
        <v>131375</v>
      </c>
      <c r="AD347" s="49">
        <f>AD346+AD334+AD328+AD318</f>
        <v>270420</v>
      </c>
      <c r="AE347" s="49">
        <f>AE346+AE334+AE328+AE318</f>
        <v>401795</v>
      </c>
      <c r="AF347" s="49">
        <f>AF346+AF334+AF328+AF318</f>
        <v>-86490</v>
      </c>
      <c r="AH347" s="49">
        <f>AH346+AH334+AH328+AH318</f>
        <v>538239.85</v>
      </c>
      <c r="AI347" s="32"/>
      <c r="AJ347" s="49">
        <f>AJ346+AJ334+AJ328+AJ318</f>
        <v>493979.59625</v>
      </c>
      <c r="AL347" s="49">
        <f>AL346+AL334+AL328+AL318</f>
        <v>502691.61865625001</v>
      </c>
      <c r="AN347" s="49">
        <f>AN346+AN334+AN328+AN318</f>
        <v>564483.21259765618</v>
      </c>
      <c r="AO347" s="49"/>
      <c r="AP347" s="49">
        <f>AP346+AP334+AP328+AP318</f>
        <v>573639.92049184744</v>
      </c>
      <c r="AR347" s="49">
        <f>AR346+AR334+AR328+AR318</f>
        <v>583027.42491077119</v>
      </c>
      <c r="AT347" s="49">
        <f>AT346+AT334+AT328+AT318</f>
        <v>592651.55213236669</v>
      </c>
      <c r="AV347" s="49">
        <f>AV346+AV334+AV328+AV318</f>
        <v>552338.27578246698</v>
      </c>
      <c r="AX347" s="49">
        <f>AX346+AX334+AX328+AX318</f>
        <v>411913.72056922346</v>
      </c>
      <c r="AZ347" s="49">
        <f>AZ346+AZ334+AZ328+AZ318</f>
        <v>422284.16611241474</v>
      </c>
      <c r="BP347" s="5">
        <f t="shared" si="165"/>
        <v>-422284.16611241474</v>
      </c>
    </row>
    <row r="348" spans="1:68" ht="16.5" thickTop="1" thickBot="1" x14ac:dyDescent="0.3">
      <c r="A348" s="3"/>
      <c r="AI348" s="4"/>
      <c r="BA348" s="42"/>
      <c r="BP348" s="5">
        <f t="shared" si="165"/>
        <v>0</v>
      </c>
    </row>
    <row r="349" spans="1:68" ht="16.5" thickTop="1" thickBot="1" x14ac:dyDescent="0.3">
      <c r="A349" s="3"/>
      <c r="B349" s="65">
        <f>B66+B91+B118+B138+B143+B173+B235+B244+B313+B347</f>
        <v>9838063.125</v>
      </c>
      <c r="C349" s="32"/>
      <c r="D349" s="65">
        <f>D66+D91+D118+D138+D143+D173+D235+D244+D313+D347</f>
        <v>3732615</v>
      </c>
      <c r="E349" s="65">
        <f>E66+E91+E118+E138+E143+E173+E235+E244+E313+E347</f>
        <v>7229647</v>
      </c>
      <c r="F349" s="65">
        <f>F66+F91+F118+F138+F143+F173+F235+F244+F313+F347</f>
        <v>10962265</v>
      </c>
      <c r="G349" s="32"/>
      <c r="H349" s="65">
        <f>H66+H91+H118+H138+H143+H173+H235+H244+H313+H347</f>
        <v>1124199.8750000002</v>
      </c>
      <c r="I349" s="36"/>
      <c r="J349" s="65">
        <f>J66+J91+J118+J138+J143+J173+J235+J244+J313+J347</f>
        <v>5221067</v>
      </c>
      <c r="K349" s="65">
        <f>K66+K91+K118+K138+K143+K173+K235+K244+K313+K347</f>
        <v>5719767</v>
      </c>
      <c r="L349" s="65">
        <f>L66+L91+L118+L138+L143+L173+L235+L244+L313+L347</f>
        <v>10903336</v>
      </c>
      <c r="M349" s="32"/>
      <c r="N349" s="65">
        <f>N66+N91+N118+N138+N143+N173+N235+N244+N313+N347</f>
        <v>-21331</v>
      </c>
      <c r="P349" s="65">
        <f>P66+P91+P118+P138+P143+P173+P235+P244+P313+P347</f>
        <v>9601849.4000000004</v>
      </c>
      <c r="R349" s="65">
        <f t="shared" ref="R349:W349" si="183">R66+R91+R118+R138+R143+R173+R235+R244+R313+R347</f>
        <v>3452528</v>
      </c>
      <c r="S349" s="65">
        <f t="shared" si="183"/>
        <v>6281200</v>
      </c>
      <c r="T349" s="65">
        <f t="shared" si="183"/>
        <v>9733727</v>
      </c>
      <c r="U349" s="65">
        <f t="shared" si="183"/>
        <v>131878.60000000021</v>
      </c>
      <c r="V349" s="65">
        <f t="shared" si="183"/>
        <v>4389255</v>
      </c>
      <c r="W349" s="65">
        <f t="shared" si="183"/>
        <v>5613738</v>
      </c>
      <c r="X349" s="65"/>
      <c r="Y349" s="65">
        <f>Y66+Y91+Y118+Y138+Y143+Y173+Y235+Y244+Y313+Y347</f>
        <v>10002842</v>
      </c>
      <c r="Z349" s="65">
        <f>Y349-T349</f>
        <v>269115</v>
      </c>
      <c r="AC349" s="65">
        <f>AC66+AC91+AC118+AC138+AC143+AC173+AC235+AC244+AC313+AC347</f>
        <v>5408283</v>
      </c>
      <c r="AD349" s="65">
        <f>AD66+AD91+AD118+AD138+AD143+AD173+AD235+AD244+AD313+AD347</f>
        <v>4563155</v>
      </c>
      <c r="AE349" s="65">
        <f>AE66+AE91+AE118+AE138+AE143+AE173+AE235+AE244+AE313+AE347</f>
        <v>9971437</v>
      </c>
      <c r="AF349" s="65">
        <f>AF66+AF91+AF118+AF138+AF143+AF173+AF235+AF244+AF313+AF347</f>
        <v>-31404</v>
      </c>
      <c r="AH349" s="65">
        <f>AH66+AH91+AH118+AH138+AH143+AH173+AH235+AH244+AH313+AH347</f>
        <v>11013638.974374998</v>
      </c>
      <c r="AI349" s="32"/>
      <c r="AJ349" s="65">
        <f>AJ66+AJ91+AJ118+AJ138+AJ143+AJ173+AJ235+AJ244+AJ313+AJ347</f>
        <v>7730411.8219218757</v>
      </c>
      <c r="AL349" s="65">
        <f>AL66+AL91+AL118+AL138+AL143+AL173+AL235+AL244+AL313+AL347</f>
        <v>8094778.5004703896</v>
      </c>
      <c r="AN349" s="65">
        <f>AN66+AN91+AN118+AN138+AN143+AN173+AN235+AN244+AN313+AN347</f>
        <v>8327207.1174495379</v>
      </c>
      <c r="AO349" s="65"/>
      <c r="AP349" s="65">
        <f>AP66+AP91+AP118+AP138+AP143+AP173+AP235+AP244+AP313+AP347</f>
        <v>8569695.1133911535</v>
      </c>
      <c r="AR349" s="65">
        <f>AR66+AR91+AR118+AR138+AR143+AR173+AR235+AR244+AR313+AR347</f>
        <v>8806315.1869936828</v>
      </c>
      <c r="AT349" s="65">
        <f>AT66+AT91+AT118+AT138+AT143+AT173+AT235+AT244+AT313+AT347</f>
        <v>8999294.1695435345</v>
      </c>
      <c r="AV349" s="65">
        <f>AV66+AV91+AV118+AV138+AV143+AV173+AV235+AV244+AV313+AV347</f>
        <v>9208539.5013023391</v>
      </c>
      <c r="AX349" s="65">
        <f>AX66+AX91+AX118+AX138+AX143+AX173+AX235+AX244+AX313+AX347</f>
        <v>9298718.3369608894</v>
      </c>
      <c r="AZ349" s="65">
        <f>AZ66+AZ91+AZ118+AZ138+AZ143+AZ173+AZ235+AZ244+AZ313+AZ347</f>
        <v>9548386.8855974078</v>
      </c>
      <c r="BA349" s="42"/>
      <c r="BP349" s="5">
        <f t="shared" si="165"/>
        <v>-9548386.8855974078</v>
      </c>
    </row>
    <row r="350" spans="1:68" s="42" customFormat="1" ht="15.75" thickTop="1" x14ac:dyDescent="0.25">
      <c r="A350" s="3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"/>
      <c r="P350" s="32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2"/>
      <c r="AI350" s="32"/>
      <c r="AJ350" s="32"/>
      <c r="AK350" s="3"/>
      <c r="AL350" s="32"/>
      <c r="AM350" s="3"/>
      <c r="AN350" s="32"/>
      <c r="AO350" s="32"/>
      <c r="AP350" s="32"/>
      <c r="AR350" s="32"/>
      <c r="AT350" s="32"/>
      <c r="AV350" s="32"/>
      <c r="AX350" s="32"/>
      <c r="AZ350" s="32"/>
      <c r="BP350" s="5">
        <f t="shared" si="165"/>
        <v>0</v>
      </c>
    </row>
    <row r="351" spans="1:68" s="42" customFormat="1" x14ac:dyDescent="0.25">
      <c r="A351" s="3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"/>
      <c r="P351" s="32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2"/>
      <c r="AI351" s="32"/>
      <c r="AJ351" s="32"/>
      <c r="AK351" s="3"/>
      <c r="AL351" s="32"/>
      <c r="AM351" s="3"/>
      <c r="AN351" s="32"/>
      <c r="AO351" s="32"/>
      <c r="AP351" s="32"/>
      <c r="AR351" s="32"/>
      <c r="AT351" s="32"/>
      <c r="AV351" s="32"/>
      <c r="AX351" s="32"/>
      <c r="AZ351" s="32"/>
      <c r="BA351" s="6"/>
      <c r="BP351" s="5">
        <f t="shared" si="165"/>
        <v>0</v>
      </c>
    </row>
    <row r="352" spans="1:68" s="42" customFormat="1" ht="15.75" thickBot="1" x14ac:dyDescent="0.3">
      <c r="A352" s="3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"/>
      <c r="P352" s="32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2"/>
      <c r="AI352" s="32"/>
      <c r="AJ352" s="32"/>
      <c r="AK352" s="3"/>
      <c r="AL352" s="32"/>
      <c r="AM352" s="3"/>
      <c r="AN352" s="32"/>
      <c r="AO352" s="32"/>
      <c r="AP352" s="32"/>
      <c r="AR352" s="32"/>
      <c r="AT352" s="32"/>
      <c r="AV352" s="32"/>
      <c r="AX352" s="32"/>
      <c r="AZ352" s="32"/>
      <c r="BA352" s="6"/>
      <c r="BP352" s="5">
        <f t="shared" si="165"/>
        <v>0</v>
      </c>
    </row>
    <row r="353" spans="1:68" x14ac:dyDescent="0.25">
      <c r="A353" s="3"/>
      <c r="B353" s="8" t="s">
        <v>8</v>
      </c>
      <c r="C353" s="9"/>
      <c r="D353" s="10" t="s">
        <v>9</v>
      </c>
      <c r="E353" s="11" t="s">
        <v>10</v>
      </c>
      <c r="F353" s="12" t="s">
        <v>11</v>
      </c>
      <c r="G353" s="9"/>
      <c r="H353" s="8" t="s">
        <v>12</v>
      </c>
      <c r="I353" s="13"/>
      <c r="J353" s="10" t="s">
        <v>9</v>
      </c>
      <c r="K353" s="11" t="s">
        <v>10</v>
      </c>
      <c r="L353" s="11" t="s">
        <v>11</v>
      </c>
      <c r="M353" s="9"/>
      <c r="N353" s="12" t="s">
        <v>12</v>
      </c>
      <c r="P353" s="8" t="s">
        <v>8</v>
      </c>
      <c r="R353" s="14" t="s">
        <v>9</v>
      </c>
      <c r="S353" s="15" t="s">
        <v>10</v>
      </c>
      <c r="T353" s="16" t="s">
        <v>11</v>
      </c>
      <c r="U353" s="17" t="s">
        <v>13</v>
      </c>
      <c r="V353" s="14" t="s">
        <v>9</v>
      </c>
      <c r="W353" s="15" t="s">
        <v>10</v>
      </c>
      <c r="X353" s="15"/>
      <c r="Y353" s="16" t="s">
        <v>11</v>
      </c>
      <c r="Z353" s="17" t="s">
        <v>13</v>
      </c>
      <c r="AC353" s="14" t="s">
        <v>9</v>
      </c>
      <c r="AD353" s="15" t="s">
        <v>10</v>
      </c>
      <c r="AE353" s="16" t="s">
        <v>11</v>
      </c>
      <c r="AF353" s="17" t="s">
        <v>13</v>
      </c>
      <c r="AH353" s="8" t="s">
        <v>8</v>
      </c>
      <c r="AJ353" s="8" t="s">
        <v>8</v>
      </c>
      <c r="AL353" s="8" t="s">
        <v>8</v>
      </c>
      <c r="AN353" s="8" t="s">
        <v>8</v>
      </c>
      <c r="AO353" s="8"/>
      <c r="AP353" s="8" t="s">
        <v>8</v>
      </c>
      <c r="AR353" s="8" t="s">
        <v>8</v>
      </c>
      <c r="AT353" s="8" t="s">
        <v>8</v>
      </c>
      <c r="AV353" s="8" t="s">
        <v>8</v>
      </c>
      <c r="AX353" s="8" t="s">
        <v>8</v>
      </c>
      <c r="AZ353" s="8" t="s">
        <v>8</v>
      </c>
      <c r="BP353" s="5" t="e">
        <f t="shared" si="165"/>
        <v>#VALUE!</v>
      </c>
    </row>
    <row r="354" spans="1:68" ht="15.75" thickBot="1" x14ac:dyDescent="0.3">
      <c r="A354" s="3"/>
      <c r="B354" s="19" t="s">
        <v>14</v>
      </c>
      <c r="C354" s="9"/>
      <c r="D354" s="20" t="s">
        <v>15</v>
      </c>
      <c r="E354" s="21"/>
      <c r="F354" s="22" t="s">
        <v>16</v>
      </c>
      <c r="G354" s="9"/>
      <c r="H354" s="19"/>
      <c r="I354" s="13"/>
      <c r="J354" s="20" t="s">
        <v>17</v>
      </c>
      <c r="K354" s="21"/>
      <c r="L354" s="21" t="s">
        <v>16</v>
      </c>
      <c r="M354" s="9"/>
      <c r="N354" s="22"/>
      <c r="P354" s="19" t="s">
        <v>18</v>
      </c>
      <c r="R354" s="23" t="s">
        <v>19</v>
      </c>
      <c r="S354" s="24"/>
      <c r="T354" s="25" t="s">
        <v>20</v>
      </c>
      <c r="U354" s="26"/>
      <c r="V354" s="23" t="s">
        <v>21</v>
      </c>
      <c r="W354" s="24"/>
      <c r="X354" s="24"/>
      <c r="Y354" s="25" t="s">
        <v>21</v>
      </c>
      <c r="Z354" s="26"/>
      <c r="AC354" s="23" t="s">
        <v>22</v>
      </c>
      <c r="AD354" s="24"/>
      <c r="AE354" s="25" t="s">
        <v>23</v>
      </c>
      <c r="AF354" s="26"/>
      <c r="AH354" s="19" t="s">
        <v>24</v>
      </c>
      <c r="AJ354" s="19" t="s">
        <v>25</v>
      </c>
      <c r="AL354" s="19" t="s">
        <v>26</v>
      </c>
      <c r="AN354" s="19" t="s">
        <v>27</v>
      </c>
      <c r="AO354" s="19"/>
      <c r="AP354" s="19" t="s">
        <v>28</v>
      </c>
      <c r="AR354" s="19" t="s">
        <v>29</v>
      </c>
      <c r="AT354" s="19" t="s">
        <v>30</v>
      </c>
      <c r="AV354" s="19" t="s">
        <v>31</v>
      </c>
      <c r="AX354" s="19" t="str">
        <f>AX17</f>
        <v>2021-22</v>
      </c>
      <c r="AZ354" s="19" t="str">
        <f>AZ17</f>
        <v>2022-23</v>
      </c>
      <c r="BP354" s="5" t="e">
        <f t="shared" si="165"/>
        <v>#VALUE!</v>
      </c>
    </row>
    <row r="355" spans="1:68" x14ac:dyDescent="0.25">
      <c r="A355" s="28" t="s">
        <v>275</v>
      </c>
      <c r="AI355" s="4"/>
      <c r="BP355" s="5">
        <f t="shared" si="165"/>
        <v>0</v>
      </c>
    </row>
    <row r="356" spans="1:68" x14ac:dyDescent="0.25">
      <c r="A356" s="3" t="s">
        <v>276</v>
      </c>
      <c r="B356" s="3">
        <f>-[1]Sheet3!$AH$67</f>
        <v>66957</v>
      </c>
      <c r="D356" s="3"/>
      <c r="E356" s="3">
        <f t="shared" ref="E356:E369" si="184">F356-D356</f>
        <v>-455167</v>
      </c>
      <c r="F356" s="3">
        <v>-455167</v>
      </c>
      <c r="H356" s="5">
        <f t="shared" ref="H356:H369" si="185">F356-B356</f>
        <v>-522124</v>
      </c>
      <c r="K356" s="4">
        <f t="shared" ref="K356:K369" si="186">L356-J356</f>
        <v>-612625</v>
      </c>
      <c r="L356" s="4">
        <v>-612625</v>
      </c>
      <c r="N356" s="4">
        <f t="shared" ref="N356:N369" si="187">L356-F356</f>
        <v>-157458</v>
      </c>
      <c r="P356" s="3">
        <v>382939</v>
      </c>
      <c r="Q356" s="3"/>
      <c r="R356" s="3">
        <v>0</v>
      </c>
      <c r="S356" s="3">
        <f t="shared" ref="S356:S369" si="188">T356-R356</f>
        <v>575455</v>
      </c>
      <c r="T356" s="3">
        <v>575455</v>
      </c>
      <c r="U356" s="3">
        <f t="shared" ref="U356:U369" si="189">T356-P356</f>
        <v>192516</v>
      </c>
      <c r="V356" s="3"/>
      <c r="W356" s="3">
        <f t="shared" ref="W356:W369" si="190">Y356-V356</f>
        <v>517600</v>
      </c>
      <c r="X356" s="3"/>
      <c r="Y356" s="3">
        <v>517600</v>
      </c>
      <c r="Z356" s="3">
        <f t="shared" ref="Z356:Z369" si="191">Y356-T356</f>
        <v>-57855</v>
      </c>
      <c r="AA356" s="3"/>
      <c r="AB356" s="3"/>
      <c r="AC356" s="3"/>
      <c r="AD356" s="3">
        <f t="shared" ref="AD356:AD369" si="192">AE356-AC356</f>
        <v>538905</v>
      </c>
      <c r="AE356" s="3">
        <v>538905</v>
      </c>
      <c r="AF356" s="3">
        <f t="shared" ref="AF356:AF369" si="193">AE356-Y356</f>
        <v>21305</v>
      </c>
      <c r="AG356" s="3"/>
      <c r="AH356" s="3">
        <v>728152</v>
      </c>
      <c r="AI356" s="4"/>
      <c r="AJ356" s="3">
        <v>-284156</v>
      </c>
      <c r="AK356" s="3"/>
      <c r="AL356" s="3">
        <v>-606073</v>
      </c>
      <c r="AM356" s="3"/>
      <c r="AN356" s="3">
        <v>-670327</v>
      </c>
      <c r="AO356" s="3"/>
      <c r="AP356" s="3">
        <v>-341365</v>
      </c>
      <c r="AR356" s="3">
        <v>-526892</v>
      </c>
      <c r="AT356" s="3">
        <v>-741868</v>
      </c>
      <c r="AV356" s="3">
        <v>-479194</v>
      </c>
      <c r="AX356" s="3">
        <v>-581837</v>
      </c>
      <c r="AZ356" s="3">
        <v>-287047</v>
      </c>
      <c r="BP356" s="5">
        <f t="shared" si="165"/>
        <v>287047</v>
      </c>
    </row>
    <row r="357" spans="1:68" x14ac:dyDescent="0.25">
      <c r="A357" s="3" t="s">
        <v>277</v>
      </c>
      <c r="B357" s="3">
        <f>5825+25</f>
        <v>5850</v>
      </c>
      <c r="D357" s="3">
        <v>1945</v>
      </c>
      <c r="E357" s="3">
        <f t="shared" si="184"/>
        <v>3905</v>
      </c>
      <c r="F357" s="3">
        <v>5850</v>
      </c>
      <c r="H357" s="5">
        <f t="shared" si="185"/>
        <v>0</v>
      </c>
      <c r="J357" s="5">
        <v>3052</v>
      </c>
      <c r="K357" s="4">
        <f t="shared" si="186"/>
        <v>2948</v>
      </c>
      <c r="L357" s="4">
        <v>6000</v>
      </c>
      <c r="N357" s="4">
        <f t="shared" si="187"/>
        <v>150</v>
      </c>
      <c r="P357" s="3">
        <v>6150</v>
      </c>
      <c r="Q357" s="3"/>
      <c r="R357" s="3">
        <v>1201</v>
      </c>
      <c r="S357" s="3">
        <f t="shared" si="188"/>
        <v>4949</v>
      </c>
      <c r="T357" s="3">
        <v>6150</v>
      </c>
      <c r="U357" s="3">
        <f t="shared" si="189"/>
        <v>0</v>
      </c>
      <c r="V357" s="3">
        <v>2929</v>
      </c>
      <c r="W357" s="3">
        <f t="shared" si="190"/>
        <v>3221</v>
      </c>
      <c r="X357" s="3"/>
      <c r="Y357" s="3">
        <v>6150</v>
      </c>
      <c r="Z357" s="3">
        <f t="shared" si="191"/>
        <v>0</v>
      </c>
      <c r="AA357" s="3"/>
      <c r="AB357" s="3"/>
      <c r="AC357" s="3">
        <v>4986</v>
      </c>
      <c r="AD357" s="3">
        <f t="shared" si="192"/>
        <v>1164</v>
      </c>
      <c r="AE357" s="3">
        <v>6150</v>
      </c>
      <c r="AF357" s="3">
        <f t="shared" si="193"/>
        <v>0</v>
      </c>
      <c r="AG357" s="3"/>
      <c r="AH357" s="3">
        <v>6400</v>
      </c>
      <c r="AI357" s="4"/>
      <c r="AJ357" s="3">
        <v>6650</v>
      </c>
      <c r="AK357" s="3"/>
      <c r="AL357" s="3">
        <v>6900</v>
      </c>
      <c r="AM357" s="3"/>
      <c r="AN357" s="3">
        <v>7150</v>
      </c>
      <c r="AO357" s="3"/>
      <c r="AP357" s="3">
        <v>7400</v>
      </c>
      <c r="AQ357" s="42"/>
      <c r="AR357" s="3">
        <v>2840</v>
      </c>
      <c r="AS357" s="42"/>
      <c r="AT357" s="3">
        <v>2960</v>
      </c>
      <c r="AU357" s="42"/>
      <c r="AV357" s="3">
        <v>3100</v>
      </c>
      <c r="AW357" s="42"/>
      <c r="AX357" s="3">
        <v>3350</v>
      </c>
      <c r="AZ357" s="3">
        <v>3350</v>
      </c>
      <c r="BP357" s="5">
        <f t="shared" si="165"/>
        <v>-3350</v>
      </c>
    </row>
    <row r="358" spans="1:68" x14ac:dyDescent="0.25">
      <c r="A358" s="3" t="s">
        <v>278</v>
      </c>
      <c r="B358" s="3"/>
      <c r="D358" s="3"/>
      <c r="E358" s="3"/>
      <c r="F358" s="3"/>
      <c r="K358" s="4"/>
      <c r="L358" s="4"/>
      <c r="N358" s="4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4"/>
      <c r="AJ358" s="3"/>
      <c r="AK358" s="3"/>
      <c r="AL358" s="3"/>
      <c r="AM358" s="3"/>
      <c r="AN358" s="3"/>
      <c r="AO358" s="3"/>
      <c r="AP358" s="3"/>
      <c r="AQ358" s="42"/>
      <c r="AR358" s="3"/>
      <c r="AS358" s="42"/>
      <c r="AT358" s="3"/>
      <c r="AU358" s="42"/>
      <c r="AV358" s="3"/>
      <c r="AW358" s="42"/>
      <c r="AX358" s="3"/>
      <c r="AZ358" s="3"/>
      <c r="BP358" s="5">
        <f t="shared" si="165"/>
        <v>0</v>
      </c>
    </row>
    <row r="359" spans="1:68" x14ac:dyDescent="0.25">
      <c r="A359" s="3" t="s">
        <v>279</v>
      </c>
      <c r="B359" s="3">
        <v>7500</v>
      </c>
      <c r="D359" s="3"/>
      <c r="E359" s="3">
        <f t="shared" si="184"/>
        <v>7500</v>
      </c>
      <c r="F359" s="3">
        <v>7500</v>
      </c>
      <c r="H359" s="5">
        <f t="shared" si="185"/>
        <v>0</v>
      </c>
      <c r="J359" s="38"/>
      <c r="K359" s="4">
        <f t="shared" si="186"/>
        <v>7500</v>
      </c>
      <c r="L359" s="4">
        <v>7500</v>
      </c>
      <c r="N359" s="4">
        <f t="shared" si="187"/>
        <v>0</v>
      </c>
      <c r="P359" s="3"/>
      <c r="Q359" s="3"/>
      <c r="R359" s="3"/>
      <c r="S359" s="3">
        <f t="shared" si="188"/>
        <v>0</v>
      </c>
      <c r="T359" s="3"/>
      <c r="U359" s="3">
        <f t="shared" si="189"/>
        <v>0</v>
      </c>
      <c r="V359" s="3"/>
      <c r="W359" s="3">
        <f t="shared" si="190"/>
        <v>0</v>
      </c>
      <c r="X359" s="3"/>
      <c r="Y359" s="3"/>
      <c r="Z359" s="3">
        <f t="shared" si="191"/>
        <v>0</v>
      </c>
      <c r="AA359" s="3"/>
      <c r="AB359" s="3"/>
      <c r="AC359" s="3"/>
      <c r="AD359" s="3">
        <f t="shared" si="192"/>
        <v>0</v>
      </c>
      <c r="AE359" s="3"/>
      <c r="AF359" s="3">
        <f t="shared" si="193"/>
        <v>0</v>
      </c>
      <c r="AG359" s="3"/>
      <c r="AH359" s="3"/>
      <c r="AI359" s="4"/>
      <c r="AJ359" s="3"/>
      <c r="AK359" s="3"/>
      <c r="AL359" s="3"/>
      <c r="AM359" s="3"/>
      <c r="AN359" s="3"/>
      <c r="AO359" s="3"/>
      <c r="AP359" s="3"/>
      <c r="AQ359" s="42"/>
      <c r="AR359" s="3"/>
      <c r="AS359" s="42"/>
      <c r="AT359" s="3"/>
      <c r="AU359" s="42"/>
      <c r="AV359" s="3"/>
      <c r="AW359" s="42"/>
      <c r="AX359" s="3"/>
      <c r="AZ359" s="3"/>
      <c r="BP359" s="5">
        <f t="shared" si="165"/>
        <v>0</v>
      </c>
    </row>
    <row r="360" spans="1:68" x14ac:dyDescent="0.25">
      <c r="A360" s="3" t="s">
        <v>280</v>
      </c>
      <c r="B360" s="3"/>
      <c r="D360" s="3"/>
      <c r="E360" s="3"/>
      <c r="F360" s="3"/>
      <c r="J360" s="38"/>
      <c r="K360" s="4"/>
      <c r="L360" s="4"/>
      <c r="N360" s="4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4"/>
      <c r="AJ360" s="3">
        <v>2000000</v>
      </c>
      <c r="AK360" s="3"/>
      <c r="AL360" s="3"/>
      <c r="AM360" s="3"/>
      <c r="AN360" s="3"/>
      <c r="AO360" s="3"/>
      <c r="AP360" s="3"/>
      <c r="AQ360" s="42"/>
      <c r="AR360" s="3"/>
      <c r="AS360" s="42"/>
      <c r="AT360" s="3"/>
      <c r="AU360" s="42"/>
      <c r="AV360" s="3"/>
      <c r="AW360" s="42"/>
      <c r="AX360" s="3"/>
      <c r="AZ360" s="3"/>
      <c r="BP360" s="5">
        <f t="shared" si="165"/>
        <v>0</v>
      </c>
    </row>
    <row r="361" spans="1:68" x14ac:dyDescent="0.25">
      <c r="A361" s="66" t="s">
        <v>281</v>
      </c>
      <c r="B361" s="3"/>
      <c r="D361" s="3"/>
      <c r="E361" s="3">
        <f t="shared" si="184"/>
        <v>0</v>
      </c>
      <c r="F361" s="3"/>
      <c r="H361" s="5">
        <f t="shared" si="185"/>
        <v>0</v>
      </c>
      <c r="J361" s="38"/>
      <c r="K361" s="4">
        <f t="shared" si="186"/>
        <v>0</v>
      </c>
      <c r="L361" s="4"/>
      <c r="N361" s="4">
        <f t="shared" si="187"/>
        <v>0</v>
      </c>
      <c r="S361" s="3">
        <f t="shared" si="188"/>
        <v>0</v>
      </c>
      <c r="T361" s="3"/>
      <c r="U361" s="3">
        <f t="shared" si="189"/>
        <v>0</v>
      </c>
      <c r="W361" s="3">
        <f t="shared" si="190"/>
        <v>0</v>
      </c>
      <c r="X361" s="3"/>
      <c r="Z361" s="3">
        <f t="shared" si="191"/>
        <v>0</v>
      </c>
      <c r="AD361" s="3">
        <f t="shared" si="192"/>
        <v>0</v>
      </c>
      <c r="AE361" s="3"/>
      <c r="AF361" s="3">
        <f t="shared" si="193"/>
        <v>0</v>
      </c>
      <c r="AI361" s="4"/>
      <c r="BP361" s="5">
        <f t="shared" si="165"/>
        <v>0</v>
      </c>
    </row>
    <row r="362" spans="1:68" x14ac:dyDescent="0.25">
      <c r="A362" s="3" t="s">
        <v>282</v>
      </c>
      <c r="B362" s="3"/>
      <c r="D362" s="3"/>
      <c r="E362" s="3">
        <f t="shared" si="184"/>
        <v>0</v>
      </c>
      <c r="F362" s="3"/>
      <c r="H362" s="5">
        <f t="shared" si="185"/>
        <v>0</v>
      </c>
      <c r="J362" s="38"/>
      <c r="K362" s="4">
        <f t="shared" si="186"/>
        <v>0</v>
      </c>
      <c r="L362" s="4"/>
      <c r="N362" s="4">
        <f t="shared" si="187"/>
        <v>0</v>
      </c>
      <c r="S362" s="3">
        <f t="shared" si="188"/>
        <v>0</v>
      </c>
      <c r="T362" s="3"/>
      <c r="U362" s="3">
        <f t="shared" si="189"/>
        <v>0</v>
      </c>
      <c r="W362" s="3">
        <f t="shared" si="190"/>
        <v>0</v>
      </c>
      <c r="X362" s="3"/>
      <c r="Z362" s="3">
        <f t="shared" si="191"/>
        <v>0</v>
      </c>
      <c r="AD362" s="3">
        <f t="shared" si="192"/>
        <v>0</v>
      </c>
      <c r="AE362" s="3"/>
      <c r="AF362" s="3">
        <f t="shared" si="193"/>
        <v>0</v>
      </c>
      <c r="AI362" s="4"/>
      <c r="AJ362" s="3"/>
      <c r="BP362" s="5">
        <f t="shared" si="165"/>
        <v>0</v>
      </c>
    </row>
    <row r="363" spans="1:68" x14ac:dyDescent="0.25">
      <c r="A363" s="3" t="s">
        <v>283</v>
      </c>
      <c r="B363" s="3"/>
      <c r="D363" s="3"/>
      <c r="E363" s="3">
        <f t="shared" si="184"/>
        <v>0</v>
      </c>
      <c r="F363" s="3"/>
      <c r="H363" s="5">
        <f t="shared" si="185"/>
        <v>0</v>
      </c>
      <c r="J363" s="38"/>
      <c r="K363" s="4">
        <f t="shared" si="186"/>
        <v>0</v>
      </c>
      <c r="L363" s="4"/>
      <c r="N363" s="4">
        <f t="shared" si="187"/>
        <v>0</v>
      </c>
      <c r="S363" s="3">
        <f t="shared" si="188"/>
        <v>0</v>
      </c>
      <c r="T363" s="3"/>
      <c r="U363" s="3">
        <f t="shared" si="189"/>
        <v>0</v>
      </c>
      <c r="W363" s="3">
        <f t="shared" si="190"/>
        <v>0</v>
      </c>
      <c r="X363" s="3"/>
      <c r="Z363" s="3">
        <f t="shared" si="191"/>
        <v>0</v>
      </c>
      <c r="AD363" s="3">
        <f t="shared" si="192"/>
        <v>0</v>
      </c>
      <c r="AE363" s="3"/>
      <c r="AF363" s="3">
        <f t="shared" si="193"/>
        <v>0</v>
      </c>
      <c r="AI363" s="4"/>
      <c r="BP363" s="5">
        <f t="shared" si="165"/>
        <v>0</v>
      </c>
    </row>
    <row r="364" spans="1:68" x14ac:dyDescent="0.25">
      <c r="A364" s="3" t="s">
        <v>284</v>
      </c>
      <c r="B364" s="3"/>
      <c r="D364" s="3"/>
      <c r="E364" s="3">
        <f t="shared" si="184"/>
        <v>0</v>
      </c>
      <c r="F364" s="3"/>
      <c r="H364" s="5">
        <f t="shared" si="185"/>
        <v>0</v>
      </c>
      <c r="J364" s="38"/>
      <c r="K364" s="4">
        <f t="shared" si="186"/>
        <v>0</v>
      </c>
      <c r="L364" s="4"/>
      <c r="N364" s="4">
        <f t="shared" si="187"/>
        <v>0</v>
      </c>
      <c r="S364" s="3">
        <f t="shared" si="188"/>
        <v>0</v>
      </c>
      <c r="T364" s="3"/>
      <c r="U364" s="3">
        <f t="shared" si="189"/>
        <v>0</v>
      </c>
      <c r="W364" s="3">
        <f t="shared" si="190"/>
        <v>0</v>
      </c>
      <c r="X364" s="3"/>
      <c r="Z364" s="3">
        <f t="shared" si="191"/>
        <v>0</v>
      </c>
      <c r="AD364" s="3">
        <f t="shared" si="192"/>
        <v>0</v>
      </c>
      <c r="AE364" s="3"/>
      <c r="AF364" s="3">
        <f t="shared" si="193"/>
        <v>0</v>
      </c>
      <c r="AI364" s="4"/>
      <c r="BP364" s="5">
        <f t="shared" si="165"/>
        <v>0</v>
      </c>
    </row>
    <row r="365" spans="1:68" x14ac:dyDescent="0.25">
      <c r="A365" s="3" t="s">
        <v>285</v>
      </c>
      <c r="B365" s="3"/>
      <c r="D365" s="3">
        <v>0</v>
      </c>
      <c r="E365" s="3">
        <f t="shared" si="184"/>
        <v>9090</v>
      </c>
      <c r="F365" s="3">
        <v>9090</v>
      </c>
      <c r="H365" s="5">
        <f t="shared" si="185"/>
        <v>9090</v>
      </c>
      <c r="J365" s="5">
        <v>9090</v>
      </c>
      <c r="K365" s="4">
        <f t="shared" si="186"/>
        <v>0</v>
      </c>
      <c r="L365" s="4">
        <v>9090</v>
      </c>
      <c r="N365" s="4">
        <f t="shared" si="187"/>
        <v>0</v>
      </c>
      <c r="S365" s="3">
        <f t="shared" si="188"/>
        <v>0</v>
      </c>
      <c r="T365" s="3"/>
      <c r="U365" s="3">
        <f t="shared" si="189"/>
        <v>0</v>
      </c>
      <c r="W365" s="3">
        <f t="shared" si="190"/>
        <v>0</v>
      </c>
      <c r="X365" s="3"/>
      <c r="Z365" s="3">
        <f t="shared" si="191"/>
        <v>0</v>
      </c>
      <c r="AD365" s="3">
        <f t="shared" si="192"/>
        <v>0</v>
      </c>
      <c r="AE365" s="3"/>
      <c r="AF365" s="3">
        <f t="shared" si="193"/>
        <v>0</v>
      </c>
      <c r="AI365" s="4"/>
      <c r="BP365" s="5">
        <f t="shared" si="165"/>
        <v>0</v>
      </c>
    </row>
    <row r="366" spans="1:68" x14ac:dyDescent="0.25">
      <c r="A366" s="3" t="s">
        <v>286</v>
      </c>
      <c r="B366" s="3"/>
      <c r="D366" s="3"/>
      <c r="E366" s="3">
        <f t="shared" si="184"/>
        <v>0</v>
      </c>
      <c r="F366" s="3"/>
      <c r="H366" s="5">
        <f t="shared" si="185"/>
        <v>0</v>
      </c>
      <c r="J366" s="38"/>
      <c r="K366" s="4">
        <f t="shared" si="186"/>
        <v>0</v>
      </c>
      <c r="L366" s="4"/>
      <c r="N366" s="4">
        <f t="shared" si="187"/>
        <v>0</v>
      </c>
      <c r="S366" s="3">
        <f t="shared" si="188"/>
        <v>0</v>
      </c>
      <c r="T366" s="3"/>
      <c r="U366" s="3">
        <f t="shared" si="189"/>
        <v>0</v>
      </c>
      <c r="W366" s="3">
        <f t="shared" si="190"/>
        <v>0</v>
      </c>
      <c r="X366" s="3"/>
      <c r="Z366" s="3">
        <f t="shared" si="191"/>
        <v>0</v>
      </c>
      <c r="AD366" s="3">
        <f t="shared" si="192"/>
        <v>0</v>
      </c>
      <c r="AE366" s="3"/>
      <c r="AF366" s="3">
        <f t="shared" si="193"/>
        <v>0</v>
      </c>
      <c r="AI366" s="4"/>
      <c r="BP366" s="5">
        <f t="shared" si="165"/>
        <v>0</v>
      </c>
    </row>
    <row r="367" spans="1:68" x14ac:dyDescent="0.25">
      <c r="A367" s="3" t="s">
        <v>287</v>
      </c>
      <c r="B367" s="3">
        <v>350000</v>
      </c>
      <c r="D367" s="3"/>
      <c r="E367" s="3">
        <f t="shared" si="184"/>
        <v>350000</v>
      </c>
      <c r="F367" s="3">
        <v>350000</v>
      </c>
      <c r="H367" s="5">
        <f t="shared" si="185"/>
        <v>0</v>
      </c>
      <c r="J367" s="38"/>
      <c r="K367" s="4">
        <f t="shared" si="186"/>
        <v>350000</v>
      </c>
      <c r="L367" s="4">
        <v>350000</v>
      </c>
      <c r="N367" s="4">
        <f t="shared" si="187"/>
        <v>0</v>
      </c>
      <c r="S367" s="3">
        <f t="shared" si="188"/>
        <v>0</v>
      </c>
      <c r="T367" s="3"/>
      <c r="U367" s="3">
        <f t="shared" si="189"/>
        <v>0</v>
      </c>
      <c r="W367" s="3">
        <f t="shared" si="190"/>
        <v>0</v>
      </c>
      <c r="X367" s="3"/>
      <c r="Z367" s="3">
        <f t="shared" si="191"/>
        <v>0</v>
      </c>
      <c r="AD367" s="3">
        <f t="shared" si="192"/>
        <v>0</v>
      </c>
      <c r="AE367" s="3"/>
      <c r="AF367" s="3">
        <f t="shared" si="193"/>
        <v>0</v>
      </c>
      <c r="AI367" s="4"/>
      <c r="BP367" s="5">
        <f t="shared" si="165"/>
        <v>0</v>
      </c>
    </row>
    <row r="368" spans="1:68" x14ac:dyDescent="0.25">
      <c r="A368" s="3" t="s">
        <v>288</v>
      </c>
      <c r="B368" s="3"/>
      <c r="D368" s="3"/>
      <c r="E368" s="3">
        <f t="shared" si="184"/>
        <v>0</v>
      </c>
      <c r="F368" s="3"/>
      <c r="H368" s="5">
        <f t="shared" si="185"/>
        <v>0</v>
      </c>
      <c r="J368" s="38"/>
      <c r="K368" s="4">
        <f t="shared" si="186"/>
        <v>0</v>
      </c>
      <c r="L368" s="4"/>
      <c r="N368" s="4">
        <f t="shared" si="187"/>
        <v>0</v>
      </c>
      <c r="S368" s="3">
        <f t="shared" si="188"/>
        <v>0</v>
      </c>
      <c r="T368" s="3"/>
      <c r="U368" s="3">
        <f t="shared" si="189"/>
        <v>0</v>
      </c>
      <c r="W368" s="3">
        <f t="shared" si="190"/>
        <v>0</v>
      </c>
      <c r="X368" s="3"/>
      <c r="Z368" s="3">
        <f t="shared" si="191"/>
        <v>0</v>
      </c>
      <c r="AD368" s="3">
        <f t="shared" si="192"/>
        <v>0</v>
      </c>
      <c r="AE368" s="3"/>
      <c r="AF368" s="3">
        <f t="shared" si="193"/>
        <v>0</v>
      </c>
      <c r="AI368" s="4"/>
      <c r="BP368" s="5">
        <f t="shared" si="165"/>
        <v>0</v>
      </c>
    </row>
    <row r="369" spans="1:68" x14ac:dyDescent="0.25">
      <c r="A369" s="88" t="s">
        <v>289</v>
      </c>
      <c r="B369" s="3">
        <v>700000</v>
      </c>
      <c r="D369" s="3"/>
      <c r="E369" s="3">
        <f t="shared" si="184"/>
        <v>700000</v>
      </c>
      <c r="F369" s="3">
        <v>700000</v>
      </c>
      <c r="H369" s="5">
        <f t="shared" si="185"/>
        <v>0</v>
      </c>
      <c r="J369" s="38"/>
      <c r="K369" s="4">
        <f t="shared" si="186"/>
        <v>700000</v>
      </c>
      <c r="L369" s="4">
        <v>700000</v>
      </c>
      <c r="N369" s="4">
        <f t="shared" si="187"/>
        <v>0</v>
      </c>
      <c r="P369" s="3">
        <v>700000</v>
      </c>
      <c r="Q369" s="3"/>
      <c r="R369" s="3">
        <v>0</v>
      </c>
      <c r="S369" s="3">
        <f t="shared" si="188"/>
        <v>700000</v>
      </c>
      <c r="T369" s="3">
        <v>700000</v>
      </c>
      <c r="U369" s="3">
        <f t="shared" si="189"/>
        <v>0</v>
      </c>
      <c r="V369" s="3">
        <v>0</v>
      </c>
      <c r="W369" s="3">
        <f t="shared" si="190"/>
        <v>725000</v>
      </c>
      <c r="X369" s="3"/>
      <c r="Y369" s="3">
        <v>725000</v>
      </c>
      <c r="Z369" s="3">
        <f t="shared" si="191"/>
        <v>25000</v>
      </c>
      <c r="AA369" s="3"/>
      <c r="AB369" s="3"/>
      <c r="AC369" s="3"/>
      <c r="AD369" s="3">
        <f t="shared" si="192"/>
        <v>725000</v>
      </c>
      <c r="AE369" s="3">
        <v>725000</v>
      </c>
      <c r="AF369" s="3">
        <f t="shared" si="193"/>
        <v>0</v>
      </c>
      <c r="AG369" s="3"/>
      <c r="AH369" s="88">
        <v>725000</v>
      </c>
      <c r="AI369" s="4"/>
      <c r="AJ369" s="3">
        <v>725000</v>
      </c>
      <c r="AK369" s="3"/>
      <c r="AL369" s="3">
        <v>725000</v>
      </c>
      <c r="AM369" s="3"/>
      <c r="AN369" s="3">
        <v>725000</v>
      </c>
      <c r="AO369" s="3"/>
      <c r="AP369" s="3">
        <v>725000</v>
      </c>
      <c r="AQ369" s="42"/>
      <c r="AR369" s="3">
        <v>725000</v>
      </c>
      <c r="AS369" s="42"/>
      <c r="AT369" s="3">
        <v>725000</v>
      </c>
      <c r="AU369" s="42"/>
      <c r="AV369" s="3">
        <v>725000</v>
      </c>
      <c r="AW369" s="42"/>
      <c r="AX369" s="3">
        <v>725000</v>
      </c>
      <c r="AZ369" s="3">
        <v>725000</v>
      </c>
      <c r="BP369" s="5">
        <f t="shared" si="165"/>
        <v>-725000</v>
      </c>
    </row>
    <row r="370" spans="1:68" ht="15.75" thickBot="1" x14ac:dyDescent="0.3">
      <c r="A370" s="3"/>
      <c r="B370" s="43">
        <f>SUM(B356:B369)</f>
        <v>1130307</v>
      </c>
      <c r="C370" s="32"/>
      <c r="D370" s="43">
        <f>SUM(D356:D369)</f>
        <v>1945</v>
      </c>
      <c r="E370" s="43">
        <f>SUM(E356:E369)</f>
        <v>615328</v>
      </c>
      <c r="F370" s="43">
        <f>SUM(F356:F369)</f>
        <v>617273</v>
      </c>
      <c r="G370" s="32"/>
      <c r="H370" s="43">
        <f>SUM(H356:H369)</f>
        <v>-513034</v>
      </c>
      <c r="I370" s="36"/>
      <c r="J370" s="43">
        <f>SUM(J356:J369)</f>
        <v>12142</v>
      </c>
      <c r="K370" s="43">
        <f>SUM(K356:K369)</f>
        <v>447823</v>
      </c>
      <c r="L370" s="43">
        <f>SUM(L356:L369)</f>
        <v>459965</v>
      </c>
      <c r="M370" s="32"/>
      <c r="N370" s="43">
        <f>SUM(N356:N369)</f>
        <v>-157308</v>
      </c>
      <c r="P370" s="43">
        <f>SUM(P356:P369)</f>
        <v>1089089</v>
      </c>
      <c r="R370" s="43">
        <f t="shared" ref="R370:Z370" si="194">SUM(R356:R369)</f>
        <v>1201</v>
      </c>
      <c r="S370" s="43">
        <f t="shared" si="194"/>
        <v>1280404</v>
      </c>
      <c r="T370" s="43">
        <f t="shared" si="194"/>
        <v>1281605</v>
      </c>
      <c r="U370" s="43">
        <f t="shared" si="194"/>
        <v>192516</v>
      </c>
      <c r="V370" s="43">
        <f t="shared" si="194"/>
        <v>2929</v>
      </c>
      <c r="W370" s="43">
        <f t="shared" si="194"/>
        <v>1245821</v>
      </c>
      <c r="X370" s="43"/>
      <c r="Y370" s="43">
        <f t="shared" si="194"/>
        <v>1248750</v>
      </c>
      <c r="Z370" s="43">
        <f t="shared" si="194"/>
        <v>-32855</v>
      </c>
      <c r="AC370" s="43">
        <f>SUM(AC356:AC369)</f>
        <v>4986</v>
      </c>
      <c r="AD370" s="43">
        <f>SUM(AD356:AD369)</f>
        <v>1265069</v>
      </c>
      <c r="AE370" s="43">
        <f>SUM(AE356:AE369)</f>
        <v>1270055</v>
      </c>
      <c r="AF370" s="43">
        <f>SUM(AF356:AF369)</f>
        <v>21305</v>
      </c>
      <c r="AH370" s="43">
        <f t="shared" ref="AH370:AX370" si="195">SUM(AH356:AH369)</f>
        <v>1459552</v>
      </c>
      <c r="AI370" s="32"/>
      <c r="AJ370" s="43">
        <f t="shared" si="195"/>
        <v>2447494</v>
      </c>
      <c r="AL370" s="43">
        <f t="shared" si="195"/>
        <v>125827</v>
      </c>
      <c r="AN370" s="43">
        <f t="shared" si="195"/>
        <v>61823</v>
      </c>
      <c r="AO370" s="43"/>
      <c r="AP370" s="43">
        <f t="shared" si="195"/>
        <v>391035</v>
      </c>
      <c r="AR370" s="43">
        <f t="shared" si="195"/>
        <v>200948</v>
      </c>
      <c r="AT370" s="43">
        <f t="shared" si="195"/>
        <v>-13908</v>
      </c>
      <c r="AV370" s="43">
        <f t="shared" si="195"/>
        <v>248906</v>
      </c>
      <c r="AX370" s="43">
        <f t="shared" si="195"/>
        <v>146513</v>
      </c>
      <c r="AZ370" s="43">
        <f>SUM(AZ356:AZ369)</f>
        <v>441303</v>
      </c>
      <c r="BP370" s="5">
        <f t="shared" si="165"/>
        <v>-441303</v>
      </c>
    </row>
    <row r="371" spans="1:68" ht="16.5" thickTop="1" thickBot="1" x14ac:dyDescent="0.3">
      <c r="A371" s="3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32"/>
      <c r="N371" s="7"/>
      <c r="P371" s="7"/>
      <c r="R371" s="7"/>
      <c r="S371" s="7"/>
      <c r="T371" s="7"/>
      <c r="U371" s="7"/>
      <c r="V371" s="7"/>
      <c r="W371" s="7"/>
      <c r="X371" s="7"/>
      <c r="Y371" s="7"/>
      <c r="Z371" s="7"/>
      <c r="AC371" s="7"/>
      <c r="AD371" s="7"/>
      <c r="AE371" s="7"/>
      <c r="AF371" s="7"/>
      <c r="AH371" s="7"/>
      <c r="AI371" s="32"/>
      <c r="AJ371" s="7"/>
      <c r="AL371" s="7"/>
      <c r="AN371" s="7"/>
      <c r="AO371" s="7"/>
      <c r="AP371" s="7"/>
      <c r="AR371" s="7"/>
      <c r="AT371" s="7"/>
      <c r="AV371" s="7"/>
      <c r="AX371" s="7"/>
      <c r="AZ371" s="7"/>
      <c r="BA371" s="51"/>
      <c r="BP371" s="5">
        <f t="shared" si="165"/>
        <v>0</v>
      </c>
    </row>
    <row r="372" spans="1:68" ht="15.75" thickBot="1" x14ac:dyDescent="0.3">
      <c r="A372" s="236" t="s">
        <v>290</v>
      </c>
      <c r="B372" s="67">
        <f>B370+B349</f>
        <v>10968370.125</v>
      </c>
      <c r="C372" s="32"/>
      <c r="D372" s="67">
        <f>D370+D349</f>
        <v>3734560</v>
      </c>
      <c r="E372" s="67">
        <f>E370+E349</f>
        <v>7844975</v>
      </c>
      <c r="F372" s="67">
        <f>F370+F349</f>
        <v>11579538</v>
      </c>
      <c r="G372" s="32"/>
      <c r="H372" s="67">
        <f>H370+H349</f>
        <v>611165.87500000023</v>
      </c>
      <c r="I372" s="36"/>
      <c r="J372" s="67">
        <f>J370+J349</f>
        <v>5233209</v>
      </c>
      <c r="K372" s="67">
        <f>K370+K349</f>
        <v>6167590</v>
      </c>
      <c r="L372" s="67">
        <f>L370+L349</f>
        <v>11363301</v>
      </c>
      <c r="M372" s="32"/>
      <c r="N372" s="67">
        <f>N370+N349</f>
        <v>-178639</v>
      </c>
      <c r="P372" s="67">
        <f>P370+P349</f>
        <v>10690938.4</v>
      </c>
      <c r="R372" s="67">
        <f t="shared" ref="R372:Z372" si="196">R370+R349</f>
        <v>3453729</v>
      </c>
      <c r="S372" s="67">
        <f t="shared" si="196"/>
        <v>7561604</v>
      </c>
      <c r="T372" s="67">
        <f t="shared" si="196"/>
        <v>11015332</v>
      </c>
      <c r="U372" s="67">
        <f t="shared" si="196"/>
        <v>324394.60000000021</v>
      </c>
      <c r="V372" s="67">
        <f t="shared" si="196"/>
        <v>4392184</v>
      </c>
      <c r="W372" s="67">
        <f t="shared" si="196"/>
        <v>6859559</v>
      </c>
      <c r="X372" s="67"/>
      <c r="Y372" s="67">
        <f t="shared" si="196"/>
        <v>11251592</v>
      </c>
      <c r="Z372" s="67">
        <f t="shared" si="196"/>
        <v>236260</v>
      </c>
      <c r="AC372" s="67">
        <f>AC370+AC349</f>
        <v>5413269</v>
      </c>
      <c r="AD372" s="67">
        <f>AD370+AD349</f>
        <v>5828224</v>
      </c>
      <c r="AE372" s="67">
        <f>AE370+AE349</f>
        <v>11241492</v>
      </c>
      <c r="AF372" s="67">
        <f>AF370+AF349</f>
        <v>-10099</v>
      </c>
      <c r="AH372" s="67">
        <f>AH370+AH349</f>
        <v>12473190.974374998</v>
      </c>
      <c r="AI372" s="32"/>
      <c r="AJ372" s="67">
        <f>AJ370+AJ349</f>
        <v>10177905.821921876</v>
      </c>
      <c r="AL372" s="67">
        <f>AL370+AL349</f>
        <v>8220605.5004703896</v>
      </c>
      <c r="AN372" s="67">
        <f>AN370+AN349</f>
        <v>8389030.1174495369</v>
      </c>
      <c r="AO372" s="67"/>
      <c r="AP372" s="67">
        <f>AP370+AP349</f>
        <v>8960730.1133911535</v>
      </c>
      <c r="AR372" s="67">
        <f>AR370+AR349</f>
        <v>9007263.1869936828</v>
      </c>
      <c r="AT372" s="67">
        <f>AT370+AT349</f>
        <v>8985386.1695435345</v>
      </c>
      <c r="AV372" s="67">
        <f>AV370+AV349</f>
        <v>9457445.5013023391</v>
      </c>
      <c r="AX372" s="67">
        <f>AX370+AX349</f>
        <v>9445231.3369608894</v>
      </c>
      <c r="AZ372" s="67">
        <f>AZ370+AZ349</f>
        <v>9989689.8855974078</v>
      </c>
      <c r="BP372" s="5">
        <f t="shared" si="165"/>
        <v>-9989689.8855974078</v>
      </c>
    </row>
    <row r="373" spans="1:68" s="51" customFormat="1" x14ac:dyDescent="0.25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4"/>
      <c r="P373" s="32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 t="s">
        <v>1158</v>
      </c>
      <c r="AH373" s="32">
        <f>+AH28</f>
        <v>12473190.974374998</v>
      </c>
      <c r="AI373" s="32"/>
      <c r="AJ373" s="32"/>
      <c r="AK373" s="4"/>
      <c r="AL373" s="32"/>
      <c r="AM373" s="4"/>
      <c r="AN373" s="32"/>
      <c r="AO373" s="32"/>
      <c r="AP373" s="32"/>
      <c r="AR373" s="32"/>
      <c r="AT373" s="32"/>
      <c r="AV373" s="32"/>
      <c r="AX373" s="32"/>
      <c r="AZ373" s="32"/>
      <c r="BA373" s="6"/>
      <c r="BP373" s="5">
        <f t="shared" si="165"/>
        <v>0</v>
      </c>
    </row>
    <row r="374" spans="1:68" x14ac:dyDescent="0.25">
      <c r="A374" s="28" t="s">
        <v>291</v>
      </c>
      <c r="AG374" s="3"/>
      <c r="AH374" s="5">
        <f>+AH372-AH373</f>
        <v>0</v>
      </c>
      <c r="BP374" s="5">
        <f t="shared" si="165"/>
        <v>0</v>
      </c>
    </row>
    <row r="375" spans="1:68" x14ac:dyDescent="0.25">
      <c r="A375" s="7" t="s">
        <v>58</v>
      </c>
      <c r="AG375" s="3"/>
      <c r="BP375" s="5">
        <f t="shared" si="165"/>
        <v>0</v>
      </c>
    </row>
    <row r="376" spans="1:68" x14ac:dyDescent="0.25">
      <c r="A376" s="7" t="s">
        <v>292</v>
      </c>
      <c r="AG376" s="3"/>
      <c r="BP376" s="5">
        <f t="shared" si="165"/>
        <v>0</v>
      </c>
    </row>
    <row r="377" spans="1:68" x14ac:dyDescent="0.25">
      <c r="A377" s="3" t="s">
        <v>293</v>
      </c>
      <c r="B377" s="5">
        <v>14900</v>
      </c>
      <c r="D377" s="5">
        <v>0</v>
      </c>
      <c r="E377" s="3">
        <f>F377-D377</f>
        <v>14900</v>
      </c>
      <c r="F377" s="5">
        <v>14900</v>
      </c>
      <c r="H377" s="5">
        <f>F377-B377</f>
        <v>0</v>
      </c>
      <c r="J377" s="5">
        <v>9648</v>
      </c>
      <c r="K377" s="4">
        <f t="shared" ref="K377:K387" si="197">L377-J377</f>
        <v>5252</v>
      </c>
      <c r="L377" s="4">
        <v>14900</v>
      </c>
      <c r="N377" s="4">
        <f t="shared" ref="N377:N387" si="198">L377-F377</f>
        <v>0</v>
      </c>
      <c r="P377" s="3">
        <f>L377*1.0281+31</f>
        <v>15349.69</v>
      </c>
      <c r="Q377" s="3"/>
      <c r="R377" s="3">
        <v>0</v>
      </c>
      <c r="S377" s="3">
        <f t="shared" ref="S377:S387" si="199">T377-R377</f>
        <v>15350</v>
      </c>
      <c r="T377" s="3">
        <v>15350</v>
      </c>
      <c r="U377" s="3">
        <f t="shared" ref="U377:U387" si="200">T377-P377</f>
        <v>0.30999999999949068</v>
      </c>
      <c r="V377" s="3">
        <v>11362</v>
      </c>
      <c r="W377" s="3">
        <f t="shared" ref="W377:W387" si="201">Y377-V377</f>
        <v>3988</v>
      </c>
      <c r="X377" s="3"/>
      <c r="Y377" s="3">
        <v>15350</v>
      </c>
      <c r="Z377" s="3">
        <f t="shared" ref="Z377:Z387" si="202">Y377-T377</f>
        <v>0</v>
      </c>
      <c r="AA377" s="3"/>
      <c r="AB377" s="3"/>
      <c r="AC377" s="3">
        <v>11362</v>
      </c>
      <c r="AD377" s="3">
        <f t="shared" ref="AD377:AD387" si="203">AE377-AC377</f>
        <v>3988</v>
      </c>
      <c r="AE377" s="3">
        <v>15350</v>
      </c>
      <c r="AF377" s="3">
        <f t="shared" ref="AF377:AF387" si="204">AE377-Y377</f>
        <v>0</v>
      </c>
      <c r="AG377" s="3"/>
      <c r="AH377" s="3">
        <f>AE377*1.03-11</f>
        <v>15799.5</v>
      </c>
      <c r="AI377" s="3"/>
      <c r="AJ377" s="3">
        <f>AH377*1.03</f>
        <v>16273.485000000001</v>
      </c>
      <c r="AK377" s="3"/>
      <c r="AL377" s="3">
        <f>AJ377*1.03</f>
        <v>16761.689550000003</v>
      </c>
      <c r="AM377" s="3"/>
      <c r="AN377" s="3">
        <f>AL377*1.03</f>
        <v>17264.540236500005</v>
      </c>
      <c r="AO377" s="3"/>
      <c r="AP377" s="3">
        <f>AN377*1.03</f>
        <v>17782.476443595006</v>
      </c>
      <c r="AQ377" s="3"/>
      <c r="AR377" s="3">
        <f>AP377*1.03</f>
        <v>18315.950736902858</v>
      </c>
      <c r="AS377" s="3"/>
      <c r="AT377" s="3">
        <f>AR377*1.03</f>
        <v>18865.429259009943</v>
      </c>
      <c r="AU377" s="3"/>
      <c r="AV377" s="3">
        <f>AT377*1.03</f>
        <v>19431.392136780243</v>
      </c>
      <c r="AW377" s="3"/>
      <c r="AX377" s="3">
        <f>AV377*1.03</f>
        <v>20014.333900883652</v>
      </c>
      <c r="AZ377" s="3">
        <f>AX377*1.03</f>
        <v>20614.763917910161</v>
      </c>
      <c r="BP377" s="5">
        <f t="shared" si="165"/>
        <v>-20614.763917910161</v>
      </c>
    </row>
    <row r="378" spans="1:68" x14ac:dyDescent="0.25">
      <c r="A378" s="3" t="s">
        <v>294</v>
      </c>
      <c r="B378" s="5">
        <f>FLOOR([2]Sheet1!AQ258,10)</f>
        <v>0</v>
      </c>
      <c r="E378" s="3">
        <f t="shared" ref="E378:E387" si="205">F378-D378</f>
        <v>0</v>
      </c>
      <c r="H378" s="5">
        <f t="shared" ref="H378:H387" si="206">F378-B378</f>
        <v>0</v>
      </c>
      <c r="K378" s="4">
        <f t="shared" si="197"/>
        <v>0</v>
      </c>
      <c r="L378" s="4"/>
      <c r="N378" s="4">
        <f t="shared" si="198"/>
        <v>0</v>
      </c>
      <c r="P378" s="3">
        <v>33000</v>
      </c>
      <c r="Q378" s="3"/>
      <c r="R378" s="3">
        <v>2895</v>
      </c>
      <c r="S378" s="3">
        <f t="shared" si="199"/>
        <v>28105</v>
      </c>
      <c r="T378" s="3">
        <v>31000</v>
      </c>
      <c r="U378" s="3">
        <f t="shared" si="200"/>
        <v>-2000</v>
      </c>
      <c r="V378" s="3">
        <v>3160</v>
      </c>
      <c r="W378" s="3">
        <f t="shared" si="201"/>
        <v>22340</v>
      </c>
      <c r="X378" s="3"/>
      <c r="Y378" s="3">
        <v>25500</v>
      </c>
      <c r="Z378" s="3">
        <f t="shared" si="202"/>
        <v>-5500</v>
      </c>
      <c r="AA378" s="3"/>
      <c r="AB378" s="3"/>
      <c r="AC378" s="3">
        <v>25357</v>
      </c>
      <c r="AD378" s="3">
        <f t="shared" si="203"/>
        <v>143</v>
      </c>
      <c r="AE378" s="3">
        <v>25500</v>
      </c>
      <c r="AF378" s="3">
        <f t="shared" si="204"/>
        <v>0</v>
      </c>
      <c r="AG378" s="3"/>
      <c r="AH378" s="3">
        <f>FLOOR([2]Sheet1!AU258,10)</f>
        <v>0</v>
      </c>
      <c r="AI378" s="3"/>
      <c r="AJ378" s="3">
        <f>FLOOR([2]Sheet1!AW258,10)</f>
        <v>0</v>
      </c>
      <c r="AK378" s="3"/>
      <c r="AL378" s="3">
        <f>FLOOR([2]Sheet1!AY258,10)</f>
        <v>0</v>
      </c>
      <c r="AM378" s="3"/>
      <c r="AN378" s="3">
        <f>P378*1.03 *1.03 *1.03 *1.03</f>
        <v>37141.790730000001</v>
      </c>
      <c r="AO378" s="3"/>
      <c r="AP378" s="3">
        <f>FLOOR([2]Sheet1!BC258,10)</f>
        <v>0</v>
      </c>
      <c r="AQ378" s="42"/>
      <c r="AR378" s="3">
        <f>FLOOR([2]Sheet1!BE258,10)</f>
        <v>0</v>
      </c>
      <c r="AS378" s="42"/>
      <c r="AT378" s="3">
        <f>FLOOR([2]Sheet1!BG258,10)</f>
        <v>0</v>
      </c>
      <c r="AU378" s="42"/>
      <c r="AV378" s="3">
        <f>AN378*1.03 *1.03 *1.03 *1.03</f>
        <v>41803.412685791336</v>
      </c>
      <c r="AW378" s="42"/>
      <c r="AX378" s="3"/>
      <c r="AZ378" s="3"/>
      <c r="BP378" s="5">
        <f t="shared" si="165"/>
        <v>0</v>
      </c>
    </row>
    <row r="379" spans="1:68" x14ac:dyDescent="0.25">
      <c r="A379" s="3" t="s">
        <v>295</v>
      </c>
      <c r="E379" s="3">
        <f t="shared" si="205"/>
        <v>0</v>
      </c>
      <c r="H379" s="5">
        <f t="shared" si="206"/>
        <v>0</v>
      </c>
      <c r="J379" s="5">
        <v>192</v>
      </c>
      <c r="K379" s="4">
        <f t="shared" si="197"/>
        <v>-192</v>
      </c>
      <c r="L379" s="4">
        <v>0</v>
      </c>
      <c r="N379" s="4">
        <f t="shared" si="198"/>
        <v>0</v>
      </c>
      <c r="P379" s="3"/>
      <c r="Q379" s="3"/>
      <c r="R379" s="3">
        <v>1417</v>
      </c>
      <c r="S379" s="3">
        <f t="shared" si="199"/>
        <v>-1417</v>
      </c>
      <c r="T379" s="3">
        <v>0</v>
      </c>
      <c r="U379" s="3">
        <f t="shared" si="200"/>
        <v>0</v>
      </c>
      <c r="V379" s="3"/>
      <c r="W379" s="3">
        <f t="shared" si="201"/>
        <v>0</v>
      </c>
      <c r="X379" s="3"/>
      <c r="Y379" s="3"/>
      <c r="Z379" s="3">
        <f t="shared" si="202"/>
        <v>0</v>
      </c>
      <c r="AA379" s="3"/>
      <c r="AB379" s="3"/>
      <c r="AC379" s="3"/>
      <c r="AD379" s="3">
        <f t="shared" si="203"/>
        <v>0</v>
      </c>
      <c r="AE379" s="3"/>
      <c r="AF379" s="3">
        <f t="shared" si="204"/>
        <v>0</v>
      </c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42"/>
      <c r="AR379" s="3"/>
      <c r="AS379" s="42"/>
      <c r="AT379" s="3"/>
      <c r="AU379" s="42"/>
      <c r="AV379" s="3"/>
      <c r="AW379" s="42"/>
      <c r="AX379" s="3"/>
      <c r="AZ379" s="3"/>
      <c r="BP379" s="5">
        <f t="shared" si="165"/>
        <v>0</v>
      </c>
    </row>
    <row r="380" spans="1:68" x14ac:dyDescent="0.25">
      <c r="A380" s="3" t="s">
        <v>296</v>
      </c>
      <c r="B380" s="5">
        <v>60400</v>
      </c>
      <c r="D380" s="5">
        <v>15043</v>
      </c>
      <c r="E380" s="3">
        <f t="shared" si="205"/>
        <v>46757</v>
      </c>
      <c r="F380" s="5">
        <v>61800</v>
      </c>
      <c r="H380" s="5">
        <f t="shared" si="206"/>
        <v>1400</v>
      </c>
      <c r="J380" s="5">
        <v>25110</v>
      </c>
      <c r="K380" s="4">
        <f t="shared" si="197"/>
        <v>36690</v>
      </c>
      <c r="L380" s="4">
        <v>61800</v>
      </c>
      <c r="N380" s="4">
        <f t="shared" si="198"/>
        <v>0</v>
      </c>
      <c r="P380" s="3">
        <v>61000</v>
      </c>
      <c r="Q380" s="3"/>
      <c r="R380" s="3">
        <v>9030</v>
      </c>
      <c r="S380" s="3">
        <f t="shared" si="199"/>
        <v>51970</v>
      </c>
      <c r="T380" s="3">
        <v>61000</v>
      </c>
      <c r="U380" s="3">
        <f t="shared" si="200"/>
        <v>0</v>
      </c>
      <c r="V380" s="3">
        <v>24615</v>
      </c>
      <c r="W380" s="3">
        <f t="shared" si="201"/>
        <v>36385</v>
      </c>
      <c r="X380" s="3"/>
      <c r="Y380" s="3">
        <v>61000</v>
      </c>
      <c r="Z380" s="3">
        <f t="shared" si="202"/>
        <v>0</v>
      </c>
      <c r="AA380" s="3"/>
      <c r="AB380" s="3"/>
      <c r="AC380" s="3">
        <v>38805</v>
      </c>
      <c r="AD380" s="3">
        <f t="shared" si="203"/>
        <v>22195</v>
      </c>
      <c r="AE380" s="3">
        <v>61000</v>
      </c>
      <c r="AF380" s="3">
        <f t="shared" si="204"/>
        <v>0</v>
      </c>
      <c r="AG380" s="3"/>
      <c r="AH380" s="3">
        <v>63800</v>
      </c>
      <c r="AI380" s="3"/>
      <c r="AJ380" s="3">
        <f>AH380*1.03</f>
        <v>65714</v>
      </c>
      <c r="AK380" s="3"/>
      <c r="AL380" s="3">
        <f>AJ380*1.03</f>
        <v>67685.42</v>
      </c>
      <c r="AM380" s="3"/>
      <c r="AN380" s="3">
        <f>AL380*1.03</f>
        <v>69715.982600000003</v>
      </c>
      <c r="AO380" s="3"/>
      <c r="AP380" s="3">
        <f>AN380*1.03</f>
        <v>71807.462078000011</v>
      </c>
      <c r="AQ380" s="3"/>
      <c r="AR380" s="3">
        <f>AP380*1.03</f>
        <v>73961.685940340016</v>
      </c>
      <c r="AS380" s="3"/>
      <c r="AT380" s="3">
        <f>AR380*1.03</f>
        <v>76180.536518550216</v>
      </c>
      <c r="AU380" s="3"/>
      <c r="AV380" s="3">
        <f>AT380*1.03</f>
        <v>78465.952614106718</v>
      </c>
      <c r="AW380" s="3"/>
      <c r="AX380" s="3">
        <f>AV380*1.03</f>
        <v>80819.931192529926</v>
      </c>
      <c r="AZ380" s="3">
        <f>AX380*1.03</f>
        <v>83244.529128305832</v>
      </c>
      <c r="BP380" s="5">
        <f t="shared" si="165"/>
        <v>-83244.529128305832</v>
      </c>
    </row>
    <row r="381" spans="1:68" x14ac:dyDescent="0.25">
      <c r="A381" s="3" t="s">
        <v>297</v>
      </c>
      <c r="B381" s="5">
        <v>8000</v>
      </c>
      <c r="D381" s="5">
        <v>2004</v>
      </c>
      <c r="E381" s="3">
        <f t="shared" si="205"/>
        <v>6146</v>
      </c>
      <c r="F381" s="5">
        <v>8150</v>
      </c>
      <c r="H381" s="5">
        <f t="shared" si="206"/>
        <v>150</v>
      </c>
      <c r="J381" s="5">
        <v>3342</v>
      </c>
      <c r="K381" s="4">
        <f t="shared" si="197"/>
        <v>4808</v>
      </c>
      <c r="L381" s="4">
        <v>8150</v>
      </c>
      <c r="N381" s="4">
        <f t="shared" si="198"/>
        <v>0</v>
      </c>
      <c r="P381" s="3">
        <v>8250</v>
      </c>
      <c r="Q381" s="3"/>
      <c r="R381" s="3">
        <v>1370</v>
      </c>
      <c r="S381" s="3">
        <f t="shared" si="199"/>
        <v>6880</v>
      </c>
      <c r="T381" s="3">
        <v>8250</v>
      </c>
      <c r="U381" s="3">
        <f t="shared" si="200"/>
        <v>0</v>
      </c>
      <c r="V381" s="3">
        <v>3426</v>
      </c>
      <c r="W381" s="3">
        <f t="shared" si="201"/>
        <v>4824</v>
      </c>
      <c r="X381" s="3"/>
      <c r="Y381" s="3">
        <v>8250</v>
      </c>
      <c r="Z381" s="3">
        <f t="shared" si="202"/>
        <v>0</v>
      </c>
      <c r="AA381" s="3"/>
      <c r="AB381" s="3"/>
      <c r="AC381" s="3">
        <v>5481</v>
      </c>
      <c r="AD381" s="3">
        <f t="shared" si="203"/>
        <v>2769</v>
      </c>
      <c r="AE381" s="3">
        <v>8250</v>
      </c>
      <c r="AF381" s="3">
        <f t="shared" si="204"/>
        <v>0</v>
      </c>
      <c r="AG381" s="3"/>
      <c r="AH381" s="3">
        <v>8500</v>
      </c>
      <c r="AI381" s="3"/>
      <c r="AJ381" s="3">
        <f>AH381*1.03</f>
        <v>8755</v>
      </c>
      <c r="AK381" s="3"/>
      <c r="AL381" s="3">
        <f>AJ381*1.03</f>
        <v>9017.65</v>
      </c>
      <c r="AM381" s="3"/>
      <c r="AN381" s="3">
        <f>AL381*1.03</f>
        <v>9288.1795000000002</v>
      </c>
      <c r="AO381" s="3"/>
      <c r="AP381" s="3">
        <f>AN381*1.03</f>
        <v>9566.824885</v>
      </c>
      <c r="AQ381" s="3"/>
      <c r="AR381" s="3">
        <f>AP381*1.03</f>
        <v>9853.8296315500011</v>
      </c>
      <c r="AS381" s="3"/>
      <c r="AT381" s="3">
        <f>AR381*1.03</f>
        <v>10149.444520496501</v>
      </c>
      <c r="AU381" s="3"/>
      <c r="AV381" s="3">
        <f>AT381*1.03</f>
        <v>10453.927856111397</v>
      </c>
      <c r="AW381" s="3"/>
      <c r="AX381" s="3">
        <f>AV381*1.03</f>
        <v>10767.545691794739</v>
      </c>
      <c r="AZ381" s="3">
        <f>AX381*1.03</f>
        <v>11090.572062548583</v>
      </c>
      <c r="BP381" s="5">
        <f t="shared" si="165"/>
        <v>-11090.572062548583</v>
      </c>
    </row>
    <row r="382" spans="1:68" x14ac:dyDescent="0.25">
      <c r="A382" s="3" t="s">
        <v>298</v>
      </c>
      <c r="B382" s="5">
        <v>240000</v>
      </c>
      <c r="D382" s="5">
        <v>55635</v>
      </c>
      <c r="E382" s="3">
        <f t="shared" si="205"/>
        <v>184365</v>
      </c>
      <c r="F382" s="5">
        <v>240000</v>
      </c>
      <c r="H382" s="5">
        <f t="shared" si="206"/>
        <v>0</v>
      </c>
      <c r="J382" s="5">
        <v>104120</v>
      </c>
      <c r="K382" s="4">
        <f t="shared" si="197"/>
        <v>135880</v>
      </c>
      <c r="L382" s="4">
        <v>240000</v>
      </c>
      <c r="N382" s="4">
        <f t="shared" si="198"/>
        <v>0</v>
      </c>
      <c r="P382" s="3">
        <v>250000</v>
      </c>
      <c r="Q382" s="3"/>
      <c r="R382" s="3">
        <v>62004</v>
      </c>
      <c r="S382" s="3">
        <f t="shared" si="199"/>
        <v>232996</v>
      </c>
      <c r="T382" s="3">
        <v>295000</v>
      </c>
      <c r="U382" s="3">
        <f t="shared" si="200"/>
        <v>45000</v>
      </c>
      <c r="V382" s="3">
        <v>114823</v>
      </c>
      <c r="W382" s="3">
        <f t="shared" si="201"/>
        <v>175177</v>
      </c>
      <c r="X382" s="3"/>
      <c r="Y382" s="3">
        <v>290000</v>
      </c>
      <c r="Z382" s="3">
        <f t="shared" si="202"/>
        <v>-5000</v>
      </c>
      <c r="AA382" s="3"/>
      <c r="AB382" s="3"/>
      <c r="AC382" s="3">
        <v>201915</v>
      </c>
      <c r="AD382" s="3">
        <f t="shared" si="203"/>
        <v>88085</v>
      </c>
      <c r="AE382" s="3">
        <v>290000</v>
      </c>
      <c r="AF382" s="3">
        <f t="shared" si="204"/>
        <v>0</v>
      </c>
      <c r="AG382" s="3"/>
      <c r="AH382" s="3">
        <v>320000</v>
      </c>
      <c r="AI382" s="3"/>
      <c r="AJ382" s="3">
        <f>AH382*1.0275+450</f>
        <v>329250</v>
      </c>
      <c r="AK382" s="3"/>
      <c r="AL382" s="3">
        <v>325000</v>
      </c>
      <c r="AM382" s="3"/>
      <c r="AN382" s="3">
        <f>AL382*1.0275</f>
        <v>333937.5</v>
      </c>
      <c r="AO382" s="3"/>
      <c r="AP382" s="3">
        <f>AN382*1.0275</f>
        <v>343120.78125</v>
      </c>
      <c r="AQ382" s="3"/>
      <c r="AR382" s="3">
        <f t="shared" ref="AR382:AZ382" si="207">AP382*1.0275</f>
        <v>352556.60273437505</v>
      </c>
      <c r="AS382" s="3"/>
      <c r="AT382" s="3">
        <f t="shared" si="207"/>
        <v>362251.90930957039</v>
      </c>
      <c r="AU382" s="3"/>
      <c r="AV382" s="3">
        <f t="shared" si="207"/>
        <v>372213.83681558358</v>
      </c>
      <c r="AW382" s="3"/>
      <c r="AX382" s="3">
        <f t="shared" si="207"/>
        <v>382449.71732801216</v>
      </c>
      <c r="AZ382" s="3">
        <f t="shared" si="207"/>
        <v>392967.08455453254</v>
      </c>
      <c r="BP382" s="5">
        <f t="shared" si="165"/>
        <v>-392967.08455453254</v>
      </c>
    </row>
    <row r="383" spans="1:68" x14ac:dyDescent="0.25">
      <c r="A383" s="3" t="s">
        <v>299</v>
      </c>
      <c r="B383" s="5">
        <v>0</v>
      </c>
      <c r="D383" s="5">
        <v>2718</v>
      </c>
      <c r="E383" s="3">
        <f t="shared" si="205"/>
        <v>532</v>
      </c>
      <c r="F383" s="5">
        <v>3250</v>
      </c>
      <c r="H383" s="5">
        <f t="shared" si="206"/>
        <v>3250</v>
      </c>
      <c r="J383" s="5">
        <v>2967</v>
      </c>
      <c r="K383" s="4">
        <f t="shared" si="197"/>
        <v>1283</v>
      </c>
      <c r="L383" s="4">
        <v>4250</v>
      </c>
      <c r="N383" s="4">
        <f t="shared" si="198"/>
        <v>1000</v>
      </c>
      <c r="P383" s="3">
        <f>L383*1.0281+31</f>
        <v>4400.4250000000002</v>
      </c>
      <c r="Q383" s="3"/>
      <c r="R383" s="3">
        <v>0</v>
      </c>
      <c r="S383" s="3">
        <f t="shared" si="199"/>
        <v>4400</v>
      </c>
      <c r="T383" s="3">
        <v>4400</v>
      </c>
      <c r="U383" s="3">
        <f t="shared" si="200"/>
        <v>-0.4250000000001819</v>
      </c>
      <c r="V383" s="3">
        <v>2165</v>
      </c>
      <c r="W383" s="3">
        <f t="shared" si="201"/>
        <v>2235</v>
      </c>
      <c r="X383" s="3"/>
      <c r="Y383" s="3">
        <v>4400</v>
      </c>
      <c r="Z383" s="3">
        <f t="shared" si="202"/>
        <v>0</v>
      </c>
      <c r="AA383" s="3"/>
      <c r="AB383" s="3"/>
      <c r="AC383" s="3">
        <v>2165</v>
      </c>
      <c r="AD383" s="3">
        <f t="shared" si="203"/>
        <v>2235</v>
      </c>
      <c r="AE383" s="3">
        <v>4400</v>
      </c>
      <c r="AF383" s="3">
        <f t="shared" si="204"/>
        <v>0</v>
      </c>
      <c r="AG383" s="3"/>
      <c r="AH383" s="3">
        <v>2000</v>
      </c>
      <c r="AI383" s="3"/>
      <c r="AJ383" s="3">
        <f>AH383*1.03</f>
        <v>2060</v>
      </c>
      <c r="AK383" s="3"/>
      <c r="AL383" s="3">
        <f>AJ383*1.03</f>
        <v>2121.8000000000002</v>
      </c>
      <c r="AM383" s="3"/>
      <c r="AN383" s="3">
        <f>AL383*1.03</f>
        <v>2185.4540000000002</v>
      </c>
      <c r="AO383" s="3"/>
      <c r="AP383" s="3">
        <f>AN383*1.03</f>
        <v>2251.0176200000001</v>
      </c>
      <c r="AQ383" s="3"/>
      <c r="AR383" s="3">
        <f>AP383*1.03</f>
        <v>2318.5481486000003</v>
      </c>
      <c r="AS383" s="3"/>
      <c r="AT383" s="3">
        <f>AR383*1.03</f>
        <v>2388.1045930580003</v>
      </c>
      <c r="AU383" s="3"/>
      <c r="AV383" s="3">
        <f>AT383*1.03</f>
        <v>2459.7477308497405</v>
      </c>
      <c r="AW383" s="3"/>
      <c r="AX383" s="3">
        <f>AV383*1.03</f>
        <v>2533.5401627752326</v>
      </c>
      <c r="AZ383" s="3">
        <f>AX383*1.03</f>
        <v>2609.5463676584895</v>
      </c>
      <c r="BP383" s="5">
        <f t="shared" si="165"/>
        <v>-2609.5463676584895</v>
      </c>
    </row>
    <row r="384" spans="1:68" x14ac:dyDescent="0.25">
      <c r="A384" s="3" t="s">
        <v>300</v>
      </c>
      <c r="B384" s="5">
        <v>25000</v>
      </c>
      <c r="E384" s="3">
        <f t="shared" si="205"/>
        <v>25000</v>
      </c>
      <c r="F384" s="5">
        <v>25000</v>
      </c>
      <c r="H384" s="5">
        <f t="shared" si="206"/>
        <v>0</v>
      </c>
      <c r="K384" s="4">
        <f t="shared" si="197"/>
        <v>25000</v>
      </c>
      <c r="L384" s="4">
        <v>25000</v>
      </c>
      <c r="N384" s="4">
        <f t="shared" si="198"/>
        <v>0</v>
      </c>
      <c r="P384" s="3">
        <v>2700</v>
      </c>
      <c r="Q384" s="3"/>
      <c r="R384" s="3">
        <v>0</v>
      </c>
      <c r="S384" s="3">
        <f t="shared" si="199"/>
        <v>2700</v>
      </c>
      <c r="T384" s="3">
        <v>2700</v>
      </c>
      <c r="U384" s="3">
        <f t="shared" si="200"/>
        <v>0</v>
      </c>
      <c r="V384" s="3"/>
      <c r="W384" s="3">
        <f t="shared" si="201"/>
        <v>2700</v>
      </c>
      <c r="X384" s="3"/>
      <c r="Y384" s="3">
        <v>2700</v>
      </c>
      <c r="Z384" s="3">
        <f t="shared" si="202"/>
        <v>0</v>
      </c>
      <c r="AA384" s="3"/>
      <c r="AB384" s="3"/>
      <c r="AC384" s="3">
        <v>0</v>
      </c>
      <c r="AD384" s="3">
        <f t="shared" si="203"/>
        <v>7500</v>
      </c>
      <c r="AE384" s="3">
        <v>7500</v>
      </c>
      <c r="AF384" s="3">
        <f t="shared" si="204"/>
        <v>4800</v>
      </c>
      <c r="AG384" s="3"/>
      <c r="AH384" s="3"/>
      <c r="AI384" s="3"/>
      <c r="AJ384" s="3">
        <f>AH384*1.03</f>
        <v>0</v>
      </c>
      <c r="AK384" s="3"/>
      <c r="AL384" s="3">
        <f>AJ384*1.03</f>
        <v>0</v>
      </c>
      <c r="AM384" s="3"/>
      <c r="AN384" s="3">
        <v>5000</v>
      </c>
      <c r="AO384" s="3"/>
      <c r="AP384" s="3"/>
      <c r="AQ384" s="3"/>
      <c r="AR384" s="3"/>
      <c r="AS384" s="3"/>
      <c r="AT384" s="3"/>
      <c r="AU384" s="3"/>
      <c r="AV384" s="3">
        <f>AT384*1.03</f>
        <v>0</v>
      </c>
      <c r="AW384" s="3"/>
      <c r="AX384" s="3">
        <f>AV384*1.03</f>
        <v>0</v>
      </c>
      <c r="AZ384" s="3">
        <f>AX384*1.03</f>
        <v>0</v>
      </c>
      <c r="BP384" s="5">
        <f t="shared" si="165"/>
        <v>0</v>
      </c>
    </row>
    <row r="385" spans="1:68" x14ac:dyDescent="0.25">
      <c r="A385" s="3" t="s">
        <v>301</v>
      </c>
      <c r="E385" s="3"/>
      <c r="K385" s="4"/>
      <c r="L385" s="4"/>
      <c r="N385" s="4"/>
      <c r="P385" s="3"/>
      <c r="Q385" s="3"/>
      <c r="R385" s="3"/>
      <c r="S385" s="3">
        <f t="shared" si="199"/>
        <v>2700</v>
      </c>
      <c r="T385" s="3">
        <v>2700</v>
      </c>
      <c r="U385" s="3">
        <f t="shared" si="200"/>
        <v>2700</v>
      </c>
      <c r="V385" s="3">
        <v>0</v>
      </c>
      <c r="W385" s="3">
        <f t="shared" si="201"/>
        <v>2000</v>
      </c>
      <c r="X385" s="3"/>
      <c r="Y385" s="3">
        <v>2000</v>
      </c>
      <c r="Z385" s="3">
        <f t="shared" si="202"/>
        <v>-700</v>
      </c>
      <c r="AA385" s="3"/>
      <c r="AB385" s="3"/>
      <c r="AC385" s="3">
        <v>0</v>
      </c>
      <c r="AD385" s="3">
        <f t="shared" si="203"/>
        <v>2700</v>
      </c>
      <c r="AE385" s="3">
        <v>2700</v>
      </c>
      <c r="AF385" s="3">
        <f t="shared" si="204"/>
        <v>700</v>
      </c>
      <c r="AG385" s="3"/>
      <c r="AH385" s="3">
        <f>P385*1.0281</f>
        <v>0</v>
      </c>
      <c r="AI385" s="3"/>
      <c r="AJ385" s="3">
        <f>AH385*1.03</f>
        <v>0</v>
      </c>
      <c r="AK385" s="3"/>
      <c r="AL385" s="3">
        <f>AJ385*1.03</f>
        <v>0</v>
      </c>
      <c r="AM385" s="3"/>
      <c r="AN385" s="3">
        <f>AL385*1.03</f>
        <v>0</v>
      </c>
      <c r="AO385" s="3"/>
      <c r="AP385" s="3">
        <f>AN385*1.03</f>
        <v>0</v>
      </c>
      <c r="AQ385" s="3"/>
      <c r="AR385" s="3">
        <f>AP385*1.03</f>
        <v>0</v>
      </c>
      <c r="AS385" s="3"/>
      <c r="AT385" s="3">
        <f>AR385*1.03</f>
        <v>0</v>
      </c>
      <c r="AU385" s="3"/>
      <c r="AV385" s="3">
        <f>AT385*1.03</f>
        <v>0</v>
      </c>
      <c r="AW385" s="3"/>
      <c r="AX385" s="3">
        <f>AV385*1.03</f>
        <v>0</v>
      </c>
      <c r="AZ385" s="3">
        <f>AX385*1.03</f>
        <v>0</v>
      </c>
      <c r="BP385" s="5">
        <f t="shared" si="165"/>
        <v>0</v>
      </c>
    </row>
    <row r="386" spans="1:68" x14ac:dyDescent="0.25">
      <c r="A386" s="3" t="s">
        <v>302</v>
      </c>
      <c r="B386" s="5">
        <v>13150</v>
      </c>
      <c r="D386" s="5">
        <v>13378</v>
      </c>
      <c r="E386" s="3">
        <f t="shared" si="205"/>
        <v>22</v>
      </c>
      <c r="F386" s="5">
        <v>13400</v>
      </c>
      <c r="H386" s="5">
        <f t="shared" si="206"/>
        <v>250</v>
      </c>
      <c r="J386" s="5">
        <v>13378</v>
      </c>
      <c r="K386" s="4">
        <f t="shared" si="197"/>
        <v>22</v>
      </c>
      <c r="L386" s="4">
        <v>13400</v>
      </c>
      <c r="N386" s="4">
        <f t="shared" si="198"/>
        <v>0</v>
      </c>
      <c r="P386" s="3">
        <f>L386*1.0281+23</f>
        <v>13799.54</v>
      </c>
      <c r="Q386" s="3"/>
      <c r="R386" s="3">
        <v>14446</v>
      </c>
      <c r="S386" s="3">
        <f t="shared" si="199"/>
        <v>4</v>
      </c>
      <c r="T386" s="3">
        <v>14450</v>
      </c>
      <c r="U386" s="3">
        <f t="shared" si="200"/>
        <v>650.45999999999913</v>
      </c>
      <c r="V386" s="3">
        <v>14445</v>
      </c>
      <c r="W386" s="3">
        <f t="shared" si="201"/>
        <v>5</v>
      </c>
      <c r="X386" s="3"/>
      <c r="Y386" s="3">
        <v>14450</v>
      </c>
      <c r="Z386" s="3">
        <f t="shared" si="202"/>
        <v>0</v>
      </c>
      <c r="AA386" s="3"/>
      <c r="AB386" s="3"/>
      <c r="AC386" s="3">
        <v>14446</v>
      </c>
      <c r="AD386" s="3">
        <f t="shared" si="203"/>
        <v>4</v>
      </c>
      <c r="AE386" s="3">
        <v>14450</v>
      </c>
      <c r="AF386" s="3">
        <f t="shared" si="204"/>
        <v>0</v>
      </c>
      <c r="AG386" s="3"/>
      <c r="AH386" s="3">
        <f>AE386*1.03+16</f>
        <v>14899.5</v>
      </c>
      <c r="AI386" s="3"/>
      <c r="AJ386" s="3">
        <f>AH386*1.03</f>
        <v>15346.485000000001</v>
      </c>
      <c r="AK386" s="3"/>
      <c r="AL386" s="3">
        <f>AJ386*1.03</f>
        <v>15806.879550000001</v>
      </c>
      <c r="AM386" s="3"/>
      <c r="AN386" s="3">
        <f>AL386*1.03</f>
        <v>16281.085936500001</v>
      </c>
      <c r="AO386" s="3"/>
      <c r="AP386" s="3">
        <f>AN386*1.03</f>
        <v>16769.518514595002</v>
      </c>
      <c r="AQ386" s="3"/>
      <c r="AR386" s="3">
        <f>AP386*1.03</f>
        <v>17272.604070032852</v>
      </c>
      <c r="AS386" s="3"/>
      <c r="AT386" s="3">
        <f>AR386*1.03</f>
        <v>17790.78219213384</v>
      </c>
      <c r="AU386" s="3"/>
      <c r="AV386" s="3">
        <f>AT386*1.03</f>
        <v>18324.505657897855</v>
      </c>
      <c r="AW386" s="3"/>
      <c r="AX386" s="3">
        <f>AV386*1.03</f>
        <v>18874.240827634792</v>
      </c>
      <c r="AZ386" s="3">
        <f>AX386*1.03</f>
        <v>19440.468052463835</v>
      </c>
      <c r="BP386" s="5">
        <f t="shared" si="165"/>
        <v>-19440.468052463835</v>
      </c>
    </row>
    <row r="387" spans="1:68" x14ac:dyDescent="0.25">
      <c r="A387" s="3" t="s">
        <v>57</v>
      </c>
      <c r="B387" s="5">
        <v>1500</v>
      </c>
      <c r="D387" s="5">
        <f>92+1628</f>
        <v>1720</v>
      </c>
      <c r="E387" s="3">
        <f t="shared" si="205"/>
        <v>280</v>
      </c>
      <c r="F387" s="5">
        <v>2000</v>
      </c>
      <c r="H387" s="5">
        <f t="shared" si="206"/>
        <v>500</v>
      </c>
      <c r="J387" s="5">
        <f>3539+5000</f>
        <v>8539</v>
      </c>
      <c r="K387" s="4">
        <f t="shared" si="197"/>
        <v>461</v>
      </c>
      <c r="L387" s="4">
        <v>9000</v>
      </c>
      <c r="N387" s="4">
        <f t="shared" si="198"/>
        <v>7000</v>
      </c>
      <c r="P387" s="3">
        <v>5000</v>
      </c>
      <c r="Q387" s="3"/>
      <c r="R387" s="3">
        <v>61</v>
      </c>
      <c r="S387" s="3">
        <f t="shared" si="199"/>
        <v>4939</v>
      </c>
      <c r="T387" s="3">
        <v>5000</v>
      </c>
      <c r="U387" s="3">
        <f t="shared" si="200"/>
        <v>0</v>
      </c>
      <c r="V387" s="3">
        <f>3600+2092</f>
        <v>5692</v>
      </c>
      <c r="W387" s="3">
        <f t="shared" si="201"/>
        <v>6308</v>
      </c>
      <c r="X387" s="3"/>
      <c r="Y387" s="3">
        <v>12000</v>
      </c>
      <c r="Z387" s="3">
        <f t="shared" si="202"/>
        <v>7000</v>
      </c>
      <c r="AA387" s="3"/>
      <c r="AB387" s="3"/>
      <c r="AC387" s="3">
        <v>24112</v>
      </c>
      <c r="AD387" s="3">
        <f t="shared" si="203"/>
        <v>4888</v>
      </c>
      <c r="AE387" s="3">
        <v>29000</v>
      </c>
      <c r="AF387" s="3">
        <f t="shared" si="204"/>
        <v>17000</v>
      </c>
      <c r="AG387" s="3"/>
      <c r="AH387" s="3">
        <f>P387*1.03-150</f>
        <v>5000</v>
      </c>
      <c r="AI387" s="3"/>
      <c r="AJ387" s="3">
        <f>AH387*1.03</f>
        <v>5150</v>
      </c>
      <c r="AK387" s="3">
        <f>AI387*1.0281</f>
        <v>0</v>
      </c>
      <c r="AL387" s="3">
        <f>AJ387*1.03</f>
        <v>5304.5</v>
      </c>
      <c r="AM387" s="3">
        <f>AK387*1.0281</f>
        <v>0</v>
      </c>
      <c r="AN387" s="3">
        <f>AL387*1.03</f>
        <v>5463.6350000000002</v>
      </c>
      <c r="AO387" s="3"/>
      <c r="AP387" s="3">
        <f>AN387*1.03</f>
        <v>5627.5440500000004</v>
      </c>
      <c r="AQ387" s="3"/>
      <c r="AR387" s="3">
        <f>AP387*1.03</f>
        <v>5796.3703715000001</v>
      </c>
      <c r="AS387" s="3"/>
      <c r="AT387" s="3">
        <f>AR387*1.03</f>
        <v>5970.2614826449999</v>
      </c>
      <c r="AU387" s="3"/>
      <c r="AV387" s="3">
        <f>AT387*1.03</f>
        <v>6149.3693271243501</v>
      </c>
      <c r="AW387" s="3"/>
      <c r="AX387" s="3">
        <f>AV387*1.03</f>
        <v>6333.8504069380806</v>
      </c>
      <c r="AZ387" s="3">
        <f>AX387*1.03</f>
        <v>6523.865919146223</v>
      </c>
      <c r="BP387" s="5">
        <f t="shared" si="165"/>
        <v>-6523.865919146223</v>
      </c>
    </row>
    <row r="388" spans="1:68" ht="17.25" customHeight="1" x14ac:dyDescent="0.25">
      <c r="A388" s="3"/>
      <c r="B388" s="68">
        <f>SUM(B377:B387)</f>
        <v>362950</v>
      </c>
      <c r="C388" s="55"/>
      <c r="D388" s="68">
        <f>SUM(D377:D387)+1</f>
        <v>90499</v>
      </c>
      <c r="E388" s="68">
        <f>SUM(E377:E387)+1</f>
        <v>278003</v>
      </c>
      <c r="F388" s="68">
        <f>SUM(F377:F387)</f>
        <v>368500</v>
      </c>
      <c r="G388" s="55"/>
      <c r="H388" s="68">
        <f>SUM(H377:H387)+1</f>
        <v>5551</v>
      </c>
      <c r="I388" s="56"/>
      <c r="J388" s="68">
        <f>SUM(J377:J387)+1</f>
        <v>167297</v>
      </c>
      <c r="K388" s="68">
        <f>SUM(K377:K387)+1</f>
        <v>209205</v>
      </c>
      <c r="L388" s="68">
        <f>SUM(L377:L387)</f>
        <v>376500</v>
      </c>
      <c r="M388" s="55"/>
      <c r="N388" s="68">
        <f>SUM(N377:N387)+1</f>
        <v>8001</v>
      </c>
      <c r="P388" s="68">
        <f>SUM(P377:P387)</f>
        <v>393499.65499999997</v>
      </c>
      <c r="R388" s="68">
        <f t="shared" ref="R388:Z388" si="208">SUM(R377:R387)</f>
        <v>91223</v>
      </c>
      <c r="S388" s="68">
        <f t="shared" si="208"/>
        <v>348627</v>
      </c>
      <c r="T388" s="68">
        <f t="shared" si="208"/>
        <v>439850</v>
      </c>
      <c r="U388" s="68">
        <f t="shared" si="208"/>
        <v>46350.344999999994</v>
      </c>
      <c r="V388" s="68">
        <f t="shared" si="208"/>
        <v>179688</v>
      </c>
      <c r="W388" s="68">
        <f t="shared" si="208"/>
        <v>255962</v>
      </c>
      <c r="X388" s="68"/>
      <c r="Y388" s="68">
        <f t="shared" si="208"/>
        <v>435650</v>
      </c>
      <c r="Z388" s="68">
        <f t="shared" si="208"/>
        <v>-4200</v>
      </c>
      <c r="AC388" s="68">
        <f>SUM(AC377:AC387)</f>
        <v>323643</v>
      </c>
      <c r="AD388" s="68">
        <f>SUM(AD377:AD387)</f>
        <v>134507</v>
      </c>
      <c r="AE388" s="68">
        <f>SUM(AE377:AE387)</f>
        <v>458150</v>
      </c>
      <c r="AF388" s="68">
        <f>SUM(AF377:AF387)</f>
        <v>22500</v>
      </c>
      <c r="AG388" s="3"/>
      <c r="AH388" s="68">
        <f>SUM(AH377:AH387)</f>
        <v>429999</v>
      </c>
      <c r="AJ388" s="68">
        <f>SUM(AJ377:AJ387)</f>
        <v>442548.97</v>
      </c>
      <c r="AL388" s="68">
        <f>SUM(AL377:AL387)</f>
        <v>441697.93909999996</v>
      </c>
      <c r="AN388" s="68">
        <f>SUM(AN377:AN387)</f>
        <v>496278.16800300003</v>
      </c>
      <c r="AO388" s="68"/>
      <c r="AP388" s="68">
        <f>SUM(AP377:AP387)</f>
        <v>466925.62484119</v>
      </c>
      <c r="AR388" s="68">
        <f>SUM(AR377:AR387)</f>
        <v>480075.5916333007</v>
      </c>
      <c r="AT388" s="68">
        <f>SUM(AT377:AT387)</f>
        <v>493596.46787546389</v>
      </c>
      <c r="AV388" s="68">
        <f>SUM(AV377:AV387)</f>
        <v>549302.14482424513</v>
      </c>
      <c r="AX388" s="68">
        <f>SUM(AX377:AX387)</f>
        <v>521793.1595105686</v>
      </c>
      <c r="AZ388" s="68">
        <f>SUM(AZ377:AZ387)</f>
        <v>536490.83000256564</v>
      </c>
      <c r="BP388" s="5">
        <f t="shared" si="165"/>
        <v>-536490.83000256564</v>
      </c>
    </row>
    <row r="389" spans="1:68" x14ac:dyDescent="0.25">
      <c r="A389" s="3"/>
      <c r="B389" s="56"/>
      <c r="C389" s="55"/>
      <c r="D389" s="56"/>
      <c r="E389" s="56"/>
      <c r="F389" s="56"/>
      <c r="G389" s="55"/>
      <c r="H389" s="56"/>
      <c r="I389" s="56"/>
      <c r="J389" s="56"/>
      <c r="K389" s="56"/>
      <c r="L389" s="56"/>
      <c r="M389" s="55"/>
      <c r="N389" s="56"/>
      <c r="P389" s="56"/>
      <c r="AG389" s="3"/>
      <c r="AH389" s="56"/>
      <c r="AJ389" s="56"/>
      <c r="AL389" s="56"/>
      <c r="AN389" s="56"/>
      <c r="AO389" s="56"/>
      <c r="AP389" s="56"/>
      <c r="AR389" s="56"/>
      <c r="AT389" s="56"/>
      <c r="AV389" s="56"/>
      <c r="AX389" s="56"/>
      <c r="AZ389" s="56"/>
      <c r="BP389" s="5">
        <f t="shared" ref="BP389:BP452" si="209">+BA389-AZ389</f>
        <v>0</v>
      </c>
    </row>
    <row r="390" spans="1:68" x14ac:dyDescent="0.25">
      <c r="A390" s="3"/>
      <c r="AG390" s="3"/>
      <c r="BP390" s="5">
        <f t="shared" si="209"/>
        <v>0</v>
      </c>
    </row>
    <row r="391" spans="1:68" x14ac:dyDescent="0.25">
      <c r="A391" s="7" t="s">
        <v>303</v>
      </c>
      <c r="AG391" s="3"/>
      <c r="BP391" s="5">
        <f t="shared" si="209"/>
        <v>0</v>
      </c>
    </row>
    <row r="392" spans="1:68" x14ac:dyDescent="0.25">
      <c r="A392" s="7" t="s">
        <v>59</v>
      </c>
      <c r="AD392" s="3"/>
      <c r="AE392" s="3"/>
      <c r="AF392" s="3"/>
      <c r="AG392" s="3"/>
      <c r="BP392" s="5">
        <f t="shared" si="209"/>
        <v>0</v>
      </c>
    </row>
    <row r="393" spans="1:68" x14ac:dyDescent="0.25">
      <c r="A393" s="69" t="s">
        <v>304</v>
      </c>
      <c r="B393" s="5">
        <v>340000</v>
      </c>
      <c r="D393" s="5">
        <v>86517</v>
      </c>
      <c r="E393" s="3">
        <f t="shared" ref="E393:E407" si="210">F393-D393</f>
        <v>253483</v>
      </c>
      <c r="F393" s="5">
        <v>340000</v>
      </c>
      <c r="H393" s="5">
        <f t="shared" ref="H393:H407" si="211">F393-B393</f>
        <v>0</v>
      </c>
      <c r="J393" s="5">
        <v>171706</v>
      </c>
      <c r="K393" s="4">
        <f t="shared" ref="K393:K407" si="212">L393-J393</f>
        <v>168294</v>
      </c>
      <c r="L393" s="4">
        <v>340000</v>
      </c>
      <c r="N393" s="4">
        <f t="shared" ref="N393:N407" si="213">L393-F393</f>
        <v>0</v>
      </c>
      <c r="P393" s="3">
        <f>L393*1.0275+2650-47500</f>
        <v>304500</v>
      </c>
      <c r="Q393" s="3"/>
      <c r="R393" s="3">
        <v>78191</v>
      </c>
      <c r="S393" s="3">
        <f t="shared" ref="S393:S438" si="214">T393-R393</f>
        <v>226309</v>
      </c>
      <c r="T393" s="3">
        <v>304500</v>
      </c>
      <c r="U393" s="3">
        <f t="shared" ref="U393:U438" si="215">T393-P393</f>
        <v>0</v>
      </c>
      <c r="V393" s="3">
        <v>150093</v>
      </c>
      <c r="W393" s="3">
        <f t="shared" ref="W393:W438" si="216">Y393-V393</f>
        <v>162407</v>
      </c>
      <c r="X393" s="3"/>
      <c r="Y393" s="3">
        <v>312500</v>
      </c>
      <c r="Z393" s="3">
        <f t="shared" ref="Z393:Z438" si="217">Y393-T393</f>
        <v>8000</v>
      </c>
      <c r="AA393" s="3"/>
      <c r="AB393" s="3"/>
      <c r="AC393" s="3">
        <v>212223</v>
      </c>
      <c r="AD393" s="3">
        <f>AE393-AC393</f>
        <v>100277</v>
      </c>
      <c r="AE393" s="3">
        <v>312500</v>
      </c>
      <c r="AF393" s="3">
        <f t="shared" ref="AF393:AF438" si="218">AE393-Y393</f>
        <v>0</v>
      </c>
      <c r="AG393" s="3"/>
      <c r="AH393" s="3">
        <v>328000</v>
      </c>
      <c r="AI393" s="3"/>
      <c r="AJ393" s="3">
        <f>AH393*1.03</f>
        <v>337840</v>
      </c>
      <c r="AK393" s="3"/>
      <c r="AL393" s="3">
        <f>AJ393*1.03</f>
        <v>347975.2</v>
      </c>
      <c r="AM393" s="3"/>
      <c r="AN393" s="3">
        <f>AL393*1.03</f>
        <v>358414.45600000001</v>
      </c>
      <c r="AO393" s="3"/>
      <c r="AP393" s="3">
        <f>AN393*1.03</f>
        <v>369166.88968000002</v>
      </c>
      <c r="AQ393" s="3"/>
      <c r="AR393" s="3">
        <f>AP393*1.03</f>
        <v>380241.89637040003</v>
      </c>
      <c r="AS393" s="3"/>
      <c r="AT393" s="3">
        <f>AR393*1.03</f>
        <v>391649.15326151205</v>
      </c>
      <c r="AU393" s="3"/>
      <c r="AV393" s="3">
        <f>AT393*1.03</f>
        <v>403398.6278593574</v>
      </c>
      <c r="AW393" s="3"/>
      <c r="AX393" s="3">
        <f>AV393*1.03</f>
        <v>415500.58669513813</v>
      </c>
      <c r="AZ393" s="3">
        <f>AX393*1.03</f>
        <v>427965.60429599229</v>
      </c>
      <c r="BP393" s="5">
        <f t="shared" si="209"/>
        <v>-427965.60429599229</v>
      </c>
    </row>
    <row r="394" spans="1:68" x14ac:dyDescent="0.25">
      <c r="A394" s="3" t="s">
        <v>305</v>
      </c>
      <c r="B394" s="3">
        <v>51000</v>
      </c>
      <c r="D394" s="3">
        <v>11949</v>
      </c>
      <c r="E394" s="3">
        <f t="shared" si="210"/>
        <v>38051</v>
      </c>
      <c r="F394" s="3">
        <v>50000</v>
      </c>
      <c r="H394" s="5">
        <f t="shared" si="211"/>
        <v>-1000</v>
      </c>
      <c r="J394" s="5">
        <v>31722</v>
      </c>
      <c r="K394" s="4">
        <f t="shared" si="212"/>
        <v>38278</v>
      </c>
      <c r="L394" s="4">
        <v>70000</v>
      </c>
      <c r="N394" s="4">
        <f t="shared" si="213"/>
        <v>20000</v>
      </c>
      <c r="P394" s="3">
        <v>62500</v>
      </c>
      <c r="Q394" s="3"/>
      <c r="R394" s="3">
        <v>4333</v>
      </c>
      <c r="S394" s="3">
        <f t="shared" si="214"/>
        <v>58167</v>
      </c>
      <c r="T394" s="3">
        <v>62500</v>
      </c>
      <c r="U394" s="3">
        <f t="shared" si="215"/>
        <v>0</v>
      </c>
      <c r="V394" s="3">
        <v>12903</v>
      </c>
      <c r="W394" s="3">
        <f t="shared" si="216"/>
        <v>49597</v>
      </c>
      <c r="X394" s="3"/>
      <c r="Y394" s="3">
        <v>62500</v>
      </c>
      <c r="Z394" s="3">
        <f t="shared" si="217"/>
        <v>0</v>
      </c>
      <c r="AA394" s="3"/>
      <c r="AB394" s="3"/>
      <c r="AC394" s="3">
        <v>16951</v>
      </c>
      <c r="AD394" s="3">
        <f>AE394-AC394</f>
        <v>46049</v>
      </c>
      <c r="AE394" s="3">
        <v>63000</v>
      </c>
      <c r="AF394" s="3">
        <f t="shared" si="218"/>
        <v>500</v>
      </c>
      <c r="AG394" s="3"/>
      <c r="AH394" s="3">
        <v>65000</v>
      </c>
      <c r="AI394" s="3"/>
      <c r="AJ394" s="3">
        <f>AH394*1.03+35000</f>
        <v>101950</v>
      </c>
      <c r="AK394" s="3"/>
      <c r="AL394" s="3">
        <f>AJ394*1.03</f>
        <v>105008.5</v>
      </c>
      <c r="AM394" s="3"/>
      <c r="AN394" s="3">
        <f>AL394*1.03-50000</f>
        <v>58158.755000000005</v>
      </c>
      <c r="AO394" s="3"/>
      <c r="AP394" s="3">
        <f>AN394*1.03</f>
        <v>59903.517650000009</v>
      </c>
      <c r="AQ394" s="3"/>
      <c r="AR394" s="3">
        <f>AP394*1.03</f>
        <v>61700.623179500013</v>
      </c>
      <c r="AS394" s="3"/>
      <c r="AT394" s="3">
        <f>AR394*1.03</f>
        <v>63551.641874885012</v>
      </c>
      <c r="AU394" s="3"/>
      <c r="AV394" s="3">
        <f>AT394*1.03</f>
        <v>65458.191131131563</v>
      </c>
      <c r="AW394" s="3"/>
      <c r="AX394" s="3">
        <f>AV394*1.03</f>
        <v>67421.936865065509</v>
      </c>
      <c r="AZ394" s="3">
        <f>AX394*1.03</f>
        <v>69444.594971017475</v>
      </c>
      <c r="BP394" s="5">
        <f t="shared" si="209"/>
        <v>-69444.594971017475</v>
      </c>
    </row>
    <row r="395" spans="1:68" x14ac:dyDescent="0.25">
      <c r="A395" s="3" t="s">
        <v>306</v>
      </c>
      <c r="B395" s="5">
        <v>18500</v>
      </c>
      <c r="D395" s="5">
        <v>1134</v>
      </c>
      <c r="E395" s="3">
        <f t="shared" si="210"/>
        <v>15366</v>
      </c>
      <c r="F395" s="5">
        <v>16500</v>
      </c>
      <c r="H395" s="5">
        <f t="shared" si="211"/>
        <v>-2000</v>
      </c>
      <c r="J395" s="5">
        <v>3116</v>
      </c>
      <c r="K395" s="4">
        <f t="shared" si="212"/>
        <v>13384</v>
      </c>
      <c r="L395" s="4">
        <v>16500</v>
      </c>
      <c r="N395" s="4">
        <f t="shared" si="213"/>
        <v>0</v>
      </c>
      <c r="P395" s="3">
        <v>18000</v>
      </c>
      <c r="Q395" s="3"/>
      <c r="R395" s="3">
        <v>0</v>
      </c>
      <c r="S395" s="3">
        <f t="shared" si="214"/>
        <v>18000</v>
      </c>
      <c r="T395" s="3">
        <v>18000</v>
      </c>
      <c r="U395" s="3">
        <f t="shared" si="215"/>
        <v>0</v>
      </c>
      <c r="V395" s="3">
        <v>3063</v>
      </c>
      <c r="W395" s="3">
        <f t="shared" si="216"/>
        <v>14937</v>
      </c>
      <c r="X395" s="3"/>
      <c r="Y395" s="3">
        <v>18000</v>
      </c>
      <c r="Z395" s="3">
        <f t="shared" si="217"/>
        <v>0</v>
      </c>
      <c r="AA395" s="3"/>
      <c r="AB395" s="3"/>
      <c r="AC395" s="3">
        <v>5592</v>
      </c>
      <c r="AD395" s="3">
        <f>AE395-AC395</f>
        <v>9408</v>
      </c>
      <c r="AE395" s="3">
        <v>15000</v>
      </c>
      <c r="AF395" s="3">
        <f t="shared" si="218"/>
        <v>-3000</v>
      </c>
      <c r="AG395" s="3"/>
      <c r="AH395" s="3">
        <v>12000</v>
      </c>
      <c r="AI395" s="3"/>
      <c r="AJ395" s="3">
        <f t="shared" ref="AJ395:AZ395" si="219">AH395*1.0325</f>
        <v>12390</v>
      </c>
      <c r="AK395" s="3"/>
      <c r="AL395" s="3">
        <f t="shared" si="219"/>
        <v>12792.674999999999</v>
      </c>
      <c r="AM395" s="3"/>
      <c r="AN395" s="3">
        <f t="shared" si="219"/>
        <v>13208.436937499999</v>
      </c>
      <c r="AO395" s="3"/>
      <c r="AP395" s="3">
        <f>AN395*1.0325</f>
        <v>13637.711137968749</v>
      </c>
      <c r="AQ395" s="3"/>
      <c r="AR395" s="3">
        <f t="shared" si="219"/>
        <v>14080.936749952732</v>
      </c>
      <c r="AS395" s="3"/>
      <c r="AT395" s="3">
        <f t="shared" si="219"/>
        <v>14538.567194326195</v>
      </c>
      <c r="AU395" s="3"/>
      <c r="AV395" s="3">
        <f t="shared" si="219"/>
        <v>15011.070628141795</v>
      </c>
      <c r="AW395" s="3"/>
      <c r="AX395" s="3">
        <f t="shared" si="219"/>
        <v>15498.930423556403</v>
      </c>
      <c r="AZ395" s="3">
        <f t="shared" si="219"/>
        <v>16002.645662321986</v>
      </c>
      <c r="BP395" s="5">
        <f t="shared" si="209"/>
        <v>-16002.645662321986</v>
      </c>
    </row>
    <row r="396" spans="1:68" x14ac:dyDescent="0.25">
      <c r="A396" s="3" t="s">
        <v>307</v>
      </c>
      <c r="B396" s="5">
        <v>140000</v>
      </c>
      <c r="D396" s="5">
        <v>27847</v>
      </c>
      <c r="E396" s="3">
        <f t="shared" si="210"/>
        <v>112153</v>
      </c>
      <c r="F396" s="5">
        <v>140000</v>
      </c>
      <c r="H396" s="5">
        <f t="shared" si="211"/>
        <v>0</v>
      </c>
      <c r="J396" s="5">
        <v>74568</v>
      </c>
      <c r="K396" s="4">
        <f t="shared" si="212"/>
        <v>65432</v>
      </c>
      <c r="L396" s="4">
        <v>140000</v>
      </c>
      <c r="N396" s="4">
        <f t="shared" si="213"/>
        <v>0</v>
      </c>
      <c r="P396" s="3">
        <f>L396*1.0281+16</f>
        <v>143950</v>
      </c>
      <c r="Q396" s="3"/>
      <c r="R396" s="3">
        <v>33640</v>
      </c>
      <c r="S396" s="3">
        <f t="shared" si="214"/>
        <v>107360</v>
      </c>
      <c r="T396" s="3">
        <v>141000</v>
      </c>
      <c r="U396" s="3">
        <f t="shared" si="215"/>
        <v>-2950</v>
      </c>
      <c r="V396" s="3">
        <v>63783</v>
      </c>
      <c r="W396" s="3">
        <f t="shared" si="216"/>
        <v>68717</v>
      </c>
      <c r="X396" s="3"/>
      <c r="Y396" s="3">
        <v>132500</v>
      </c>
      <c r="Z396" s="3">
        <f t="shared" si="217"/>
        <v>-8500</v>
      </c>
      <c r="AA396" s="3"/>
      <c r="AB396" s="3"/>
      <c r="AC396" s="3">
        <v>91985</v>
      </c>
      <c r="AD396" s="3">
        <f t="shared" ref="AD396:AD459" si="220">AE396-AC396</f>
        <v>40515</v>
      </c>
      <c r="AE396" s="3">
        <v>132500</v>
      </c>
      <c r="AF396" s="3">
        <f t="shared" si="218"/>
        <v>0</v>
      </c>
      <c r="AG396" s="3"/>
      <c r="AH396" s="3">
        <f>AE396*1.03-75</f>
        <v>136400</v>
      </c>
      <c r="AI396" s="3"/>
      <c r="AJ396" s="3">
        <f>AH396*1.03</f>
        <v>140492</v>
      </c>
      <c r="AK396" s="3"/>
      <c r="AL396" s="3">
        <f>AJ396*1.03</f>
        <v>144706.76</v>
      </c>
      <c r="AM396" s="3"/>
      <c r="AN396" s="3">
        <f>AL396*1.03</f>
        <v>149047.96280000001</v>
      </c>
      <c r="AO396" s="3"/>
      <c r="AP396" s="3">
        <f>AN396*1.03</f>
        <v>153519.40168400001</v>
      </c>
      <c r="AQ396" s="3"/>
      <c r="AR396" s="3">
        <f>AP396*1.03</f>
        <v>158124.98373452001</v>
      </c>
      <c r="AS396" s="3"/>
      <c r="AT396" s="3">
        <f>AR396*1.03</f>
        <v>162868.73324655561</v>
      </c>
      <c r="AU396" s="3"/>
      <c r="AV396" s="3">
        <f>AT396*1.03</f>
        <v>167754.79524395228</v>
      </c>
      <c r="AW396" s="3"/>
      <c r="AX396" s="3">
        <f>AV396*1.03</f>
        <v>172787.43910127084</v>
      </c>
      <c r="AZ396" s="3">
        <f>AX396*1.03</f>
        <v>177971.06227430896</v>
      </c>
      <c r="BP396" s="5">
        <f t="shared" si="209"/>
        <v>-177971.06227430896</v>
      </c>
    </row>
    <row r="397" spans="1:68" ht="13.5" customHeight="1" x14ac:dyDescent="0.25">
      <c r="A397" s="3" t="s">
        <v>308</v>
      </c>
      <c r="E397" s="3">
        <f t="shared" si="210"/>
        <v>0</v>
      </c>
      <c r="H397" s="5">
        <f t="shared" si="211"/>
        <v>0</v>
      </c>
      <c r="K397" s="4">
        <f t="shared" si="212"/>
        <v>0</v>
      </c>
      <c r="L397" s="4"/>
      <c r="N397" s="4">
        <f t="shared" si="213"/>
        <v>0</v>
      </c>
      <c r="P397" s="3"/>
      <c r="Q397" s="3"/>
      <c r="R397" s="3"/>
      <c r="S397" s="3">
        <f t="shared" si="214"/>
        <v>0</v>
      </c>
      <c r="T397" s="3"/>
      <c r="U397" s="3">
        <f t="shared" si="215"/>
        <v>0</v>
      </c>
      <c r="V397" s="3"/>
      <c r="W397" s="3">
        <f t="shared" si="216"/>
        <v>0</v>
      </c>
      <c r="X397" s="3"/>
      <c r="Y397" s="3"/>
      <c r="Z397" s="3">
        <f t="shared" si="217"/>
        <v>0</v>
      </c>
      <c r="AA397" s="3"/>
      <c r="AB397" s="3"/>
      <c r="AC397" s="3"/>
      <c r="AD397" s="3">
        <f t="shared" si="220"/>
        <v>0</v>
      </c>
      <c r="AE397" s="3"/>
      <c r="AF397" s="3">
        <f t="shared" si="218"/>
        <v>0</v>
      </c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42"/>
      <c r="AR397" s="3"/>
      <c r="AS397" s="42"/>
      <c r="AT397" s="3"/>
      <c r="AU397" s="42"/>
      <c r="AV397" s="3"/>
      <c r="AW397" s="42"/>
      <c r="AX397" s="3"/>
      <c r="AZ397" s="3"/>
      <c r="BP397" s="5">
        <f t="shared" si="209"/>
        <v>0</v>
      </c>
    </row>
    <row r="398" spans="1:68" x14ac:dyDescent="0.25">
      <c r="A398" s="3" t="s">
        <v>309</v>
      </c>
      <c r="B398" s="3">
        <v>205000</v>
      </c>
      <c r="D398" s="3">
        <v>44297</v>
      </c>
      <c r="E398" s="3">
        <f t="shared" si="210"/>
        <v>155703</v>
      </c>
      <c r="F398" s="3">
        <v>200000</v>
      </c>
      <c r="H398" s="3">
        <f t="shared" si="211"/>
        <v>-5000</v>
      </c>
      <c r="I398" s="3"/>
      <c r="J398" s="3">
        <v>76262</v>
      </c>
      <c r="K398" s="4">
        <f t="shared" si="212"/>
        <v>123738</v>
      </c>
      <c r="L398" s="4">
        <v>200000</v>
      </c>
      <c r="N398" s="4">
        <f t="shared" si="213"/>
        <v>0</v>
      </c>
      <c r="P398" s="3">
        <v>210000</v>
      </c>
      <c r="Q398" s="3"/>
      <c r="R398" s="3">
        <v>44989</v>
      </c>
      <c r="S398" s="3">
        <f t="shared" si="214"/>
        <v>165011</v>
      </c>
      <c r="T398" s="3">
        <v>210000</v>
      </c>
      <c r="U398" s="3">
        <f t="shared" si="215"/>
        <v>0</v>
      </c>
      <c r="V398" s="3">
        <v>77000</v>
      </c>
      <c r="W398" s="3">
        <f t="shared" si="216"/>
        <v>133000</v>
      </c>
      <c r="X398" s="3"/>
      <c r="Y398" s="3">
        <v>210000</v>
      </c>
      <c r="Z398" s="3">
        <f t="shared" si="217"/>
        <v>0</v>
      </c>
      <c r="AA398" s="3"/>
      <c r="AB398" s="3"/>
      <c r="AC398" s="3">
        <v>117050</v>
      </c>
      <c r="AD398" s="3">
        <f t="shared" si="220"/>
        <v>87950</v>
      </c>
      <c r="AE398" s="3">
        <v>205000</v>
      </c>
      <c r="AF398" s="3">
        <f t="shared" si="218"/>
        <v>-5000</v>
      </c>
      <c r="AG398" s="3"/>
      <c r="AH398" s="3">
        <v>211750</v>
      </c>
      <c r="AI398" s="3"/>
      <c r="AJ398" s="3">
        <f>AH398*1.03</f>
        <v>218102.5</v>
      </c>
      <c r="AK398" s="3"/>
      <c r="AL398" s="3">
        <f>AJ398*1.0353</f>
        <v>225801.51825000002</v>
      </c>
      <c r="AM398" s="3"/>
      <c r="AN398" s="3">
        <f>AL398*1.035</f>
        <v>233704.57138875002</v>
      </c>
      <c r="AO398" s="3"/>
      <c r="AP398" s="3">
        <f>AN398*1.0345</f>
        <v>241767.37910166188</v>
      </c>
      <c r="AQ398" s="42"/>
      <c r="AR398" s="3">
        <f>AP398*1.0345</f>
        <v>250108.35368066921</v>
      </c>
      <c r="AS398" s="42"/>
      <c r="AT398" s="3">
        <f>AR398*1.03</f>
        <v>257611.60429108929</v>
      </c>
      <c r="AU398" s="42"/>
      <c r="AV398" s="3">
        <f>AT398*1.03</f>
        <v>265339.95241982199</v>
      </c>
      <c r="AW398" s="42"/>
      <c r="AX398" s="3">
        <f>AV398*1.03</f>
        <v>273300.15099241666</v>
      </c>
      <c r="AZ398" s="3">
        <f>AX398*1.03</f>
        <v>281499.15552218916</v>
      </c>
      <c r="BP398" s="5">
        <f t="shared" si="209"/>
        <v>-281499.15552218916</v>
      </c>
    </row>
    <row r="399" spans="1:68" x14ac:dyDescent="0.25">
      <c r="A399" s="3" t="s">
        <v>310</v>
      </c>
      <c r="B399" s="3">
        <v>180000</v>
      </c>
      <c r="D399" s="3">
        <v>35914</v>
      </c>
      <c r="E399" s="3">
        <f t="shared" si="210"/>
        <v>136586</v>
      </c>
      <c r="F399" s="3">
        <v>172500</v>
      </c>
      <c r="H399" s="3">
        <f t="shared" si="211"/>
        <v>-7500</v>
      </c>
      <c r="I399" s="3"/>
      <c r="J399" s="3">
        <v>65000</v>
      </c>
      <c r="K399" s="4">
        <f t="shared" si="212"/>
        <v>105000</v>
      </c>
      <c r="L399" s="4">
        <v>170000</v>
      </c>
      <c r="N399" s="4">
        <f t="shared" si="213"/>
        <v>-2500</v>
      </c>
      <c r="P399" s="3">
        <v>150000</v>
      </c>
      <c r="Q399" s="3"/>
      <c r="R399" s="3">
        <v>32405</v>
      </c>
      <c r="S399" s="3">
        <f t="shared" si="214"/>
        <v>117595</v>
      </c>
      <c r="T399" s="3">
        <v>150000</v>
      </c>
      <c r="U399" s="3">
        <f t="shared" si="215"/>
        <v>0</v>
      </c>
      <c r="V399" s="3">
        <v>54757</v>
      </c>
      <c r="W399" s="3">
        <f t="shared" si="216"/>
        <v>95243</v>
      </c>
      <c r="X399" s="3"/>
      <c r="Y399" s="3">
        <v>150000</v>
      </c>
      <c r="Z399" s="3">
        <f t="shared" si="217"/>
        <v>0</v>
      </c>
      <c r="AA399" s="3"/>
      <c r="AB399" s="3"/>
      <c r="AC399" s="3">
        <v>86305</v>
      </c>
      <c r="AD399" s="3">
        <f t="shared" si="220"/>
        <v>61195</v>
      </c>
      <c r="AE399" s="3">
        <v>147500</v>
      </c>
      <c r="AF399" s="3">
        <f t="shared" si="218"/>
        <v>-2500</v>
      </c>
      <c r="AG399" s="3"/>
      <c r="AH399" s="3">
        <v>120750</v>
      </c>
      <c r="AI399" s="3"/>
      <c r="AJ399" s="3">
        <f>AH399*1.0327</f>
        <v>124698.52499999999</v>
      </c>
      <c r="AK399" s="3"/>
      <c r="AL399" s="3">
        <f>AJ399*1.0353</f>
        <v>129100.38293250001</v>
      </c>
      <c r="AM399" s="3"/>
      <c r="AN399" s="3">
        <f>AL399*1.035</f>
        <v>133618.89633513751</v>
      </c>
      <c r="AO399" s="3"/>
      <c r="AP399" s="3">
        <f>AN399*1.0345</f>
        <v>138228.74825869975</v>
      </c>
      <c r="AQ399" s="42"/>
      <c r="AR399" s="3">
        <f>AP399*1.0345</f>
        <v>142997.64007362488</v>
      </c>
      <c r="AS399" s="42"/>
      <c r="AT399" s="3"/>
      <c r="AU399" s="42"/>
      <c r="AV399" s="3"/>
      <c r="AW399" s="42"/>
      <c r="AX399" s="3"/>
      <c r="AZ399" s="3"/>
      <c r="BP399" s="5">
        <f t="shared" si="209"/>
        <v>0</v>
      </c>
    </row>
    <row r="400" spans="1:68" x14ac:dyDescent="0.25">
      <c r="A400" s="3" t="s">
        <v>311</v>
      </c>
      <c r="B400" s="3">
        <v>2500</v>
      </c>
      <c r="D400" s="3"/>
      <c r="E400" s="3">
        <f t="shared" si="210"/>
        <v>2500</v>
      </c>
      <c r="F400" s="3">
        <v>2500</v>
      </c>
      <c r="H400" s="5">
        <f t="shared" si="211"/>
        <v>0</v>
      </c>
      <c r="K400" s="4">
        <f t="shared" si="212"/>
        <v>2500</v>
      </c>
      <c r="L400" s="4">
        <v>2500</v>
      </c>
      <c r="N400" s="4">
        <f t="shared" si="213"/>
        <v>0</v>
      </c>
      <c r="P400" s="3">
        <v>1650</v>
      </c>
      <c r="Q400" s="3"/>
      <c r="R400" s="3">
        <v>0</v>
      </c>
      <c r="S400" s="3">
        <f t="shared" si="214"/>
        <v>1650</v>
      </c>
      <c r="T400" s="3">
        <v>1650</v>
      </c>
      <c r="U400" s="3">
        <f t="shared" si="215"/>
        <v>0</v>
      </c>
      <c r="V400" s="3">
        <v>0</v>
      </c>
      <c r="W400" s="3">
        <f t="shared" si="216"/>
        <v>1650</v>
      </c>
      <c r="X400" s="3"/>
      <c r="Y400" s="3">
        <v>1650</v>
      </c>
      <c r="Z400" s="3">
        <f t="shared" si="217"/>
        <v>0</v>
      </c>
      <c r="AA400" s="3"/>
      <c r="AB400" s="3"/>
      <c r="AC400" s="3">
        <v>0</v>
      </c>
      <c r="AD400" s="3">
        <f t="shared" si="220"/>
        <v>1500</v>
      </c>
      <c r="AE400" s="3">
        <v>1500</v>
      </c>
      <c r="AF400" s="3">
        <f t="shared" si="218"/>
        <v>-150</v>
      </c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Z400" s="3"/>
      <c r="BP400" s="5">
        <f t="shared" si="209"/>
        <v>0</v>
      </c>
    </row>
    <row r="401" spans="1:68" x14ac:dyDescent="0.25">
      <c r="A401" s="3" t="s">
        <v>312</v>
      </c>
      <c r="B401" s="5">
        <v>2500</v>
      </c>
      <c r="E401" s="3">
        <f t="shared" si="210"/>
        <v>2500</v>
      </c>
      <c r="F401" s="5">
        <v>2500</v>
      </c>
      <c r="H401" s="5">
        <f t="shared" si="211"/>
        <v>0</v>
      </c>
      <c r="K401" s="4">
        <f t="shared" si="212"/>
        <v>2500</v>
      </c>
      <c r="L401" s="4">
        <v>2500</v>
      </c>
      <c r="N401" s="4">
        <f t="shared" si="213"/>
        <v>0</v>
      </c>
      <c r="P401" s="3">
        <v>1800</v>
      </c>
      <c r="Q401" s="3"/>
      <c r="R401" s="3">
        <v>0</v>
      </c>
      <c r="S401" s="3">
        <f t="shared" si="214"/>
        <v>1800</v>
      </c>
      <c r="T401" s="3">
        <v>1800</v>
      </c>
      <c r="U401" s="3">
        <f t="shared" si="215"/>
        <v>0</v>
      </c>
      <c r="V401" s="3">
        <v>0</v>
      </c>
      <c r="W401" s="3">
        <f t="shared" si="216"/>
        <v>1800</v>
      </c>
      <c r="X401" s="3"/>
      <c r="Y401" s="3">
        <v>1800</v>
      </c>
      <c r="Z401" s="3">
        <f t="shared" si="217"/>
        <v>0</v>
      </c>
      <c r="AA401" s="3"/>
      <c r="AB401" s="3"/>
      <c r="AC401" s="3">
        <v>0</v>
      </c>
      <c r="AD401" s="3">
        <f t="shared" si="220"/>
        <v>1500</v>
      </c>
      <c r="AE401" s="3">
        <v>1500</v>
      </c>
      <c r="AF401" s="3">
        <f t="shared" si="218"/>
        <v>-300</v>
      </c>
      <c r="AG401" s="3"/>
      <c r="AH401" s="3">
        <v>2500</v>
      </c>
      <c r="AI401" s="3"/>
      <c r="AJ401" s="3">
        <f>AH401*1.03</f>
        <v>2575</v>
      </c>
      <c r="AK401" s="3"/>
      <c r="AL401" s="3">
        <f>AJ401*1.03</f>
        <v>2652.25</v>
      </c>
      <c r="AM401" s="3"/>
      <c r="AN401" s="3">
        <f>AL401*1.03</f>
        <v>2731.8175000000001</v>
      </c>
      <c r="AO401" s="3"/>
      <c r="AP401" s="3">
        <f>AN401*1.03</f>
        <v>2813.7720250000002</v>
      </c>
      <c r="AQ401" s="3"/>
      <c r="AR401" s="3">
        <f>AP401*1.03</f>
        <v>2898.1851857500001</v>
      </c>
      <c r="AS401" s="3"/>
      <c r="AT401" s="3">
        <f>AR401*1.03</f>
        <v>2985.1307413224999</v>
      </c>
      <c r="AU401" s="3"/>
      <c r="AV401" s="3">
        <f>AT401*1.03</f>
        <v>3074.684663562175</v>
      </c>
      <c r="AW401" s="3"/>
      <c r="AX401" s="3">
        <f>AV401*1.03</f>
        <v>3166.9252034690403</v>
      </c>
      <c r="AZ401" s="3">
        <f>AX401*1.03</f>
        <v>3261.9329595731115</v>
      </c>
      <c r="BA401" s="42"/>
      <c r="BP401" s="5">
        <f t="shared" si="209"/>
        <v>-3261.9329595731115</v>
      </c>
    </row>
    <row r="402" spans="1:68" x14ac:dyDescent="0.25">
      <c r="A402" s="3" t="s">
        <v>313</v>
      </c>
      <c r="B402" s="5">
        <v>16000</v>
      </c>
      <c r="D402" s="5">
        <v>3747</v>
      </c>
      <c r="E402" s="3">
        <f t="shared" si="210"/>
        <v>12253</v>
      </c>
      <c r="F402" s="5">
        <v>16000</v>
      </c>
      <c r="H402" s="5">
        <f t="shared" si="211"/>
        <v>0</v>
      </c>
      <c r="J402" s="5">
        <v>7154</v>
      </c>
      <c r="K402" s="4">
        <f t="shared" si="212"/>
        <v>8846</v>
      </c>
      <c r="L402" s="4">
        <v>16000</v>
      </c>
      <c r="N402" s="4">
        <f t="shared" si="213"/>
        <v>0</v>
      </c>
      <c r="P402" s="3">
        <f>L402*1.02815+50</f>
        <v>16500.399999999998</v>
      </c>
      <c r="Q402" s="3"/>
      <c r="R402" s="3">
        <v>0</v>
      </c>
      <c r="S402" s="3">
        <f t="shared" si="214"/>
        <v>19500</v>
      </c>
      <c r="T402" s="3">
        <v>19500</v>
      </c>
      <c r="U402" s="3">
        <f t="shared" si="215"/>
        <v>2999.6000000000022</v>
      </c>
      <c r="V402" s="3">
        <v>4453</v>
      </c>
      <c r="W402" s="3">
        <f t="shared" si="216"/>
        <v>15047</v>
      </c>
      <c r="X402" s="3"/>
      <c r="Y402" s="3">
        <v>19500</v>
      </c>
      <c r="Z402" s="3">
        <f t="shared" si="217"/>
        <v>0</v>
      </c>
      <c r="AA402" s="3"/>
      <c r="AB402" s="3"/>
      <c r="AC402" s="3">
        <v>13359</v>
      </c>
      <c r="AD402" s="3">
        <f t="shared" si="220"/>
        <v>6141</v>
      </c>
      <c r="AE402" s="3">
        <v>19500</v>
      </c>
      <c r="AF402" s="3">
        <f t="shared" si="218"/>
        <v>0</v>
      </c>
      <c r="AG402" s="3"/>
      <c r="AH402" s="3">
        <v>27000</v>
      </c>
      <c r="AI402" s="3"/>
      <c r="AJ402" s="3">
        <f>AH402*1.03</f>
        <v>27810</v>
      </c>
      <c r="AK402" s="3"/>
      <c r="AL402" s="3">
        <f>AJ402*1.03</f>
        <v>28644.3</v>
      </c>
      <c r="AM402" s="3"/>
      <c r="AN402" s="3">
        <f>AL402*1.03</f>
        <v>29503.629000000001</v>
      </c>
      <c r="AO402" s="3"/>
      <c r="AP402" s="3">
        <f>AN402*1.03</f>
        <v>30388.737870000001</v>
      </c>
      <c r="AQ402" s="3"/>
      <c r="AR402" s="3">
        <f>AP402*1.03</f>
        <v>31300.400006100001</v>
      </c>
      <c r="AS402" s="3"/>
      <c r="AT402" s="3">
        <f>AR402*1.03</f>
        <v>32239.412006283001</v>
      </c>
      <c r="AU402" s="3"/>
      <c r="AV402" s="3">
        <f>AT402*1.03</f>
        <v>33206.594366471494</v>
      </c>
      <c r="AW402" s="3"/>
      <c r="AX402" s="3">
        <f>AV402*1.03</f>
        <v>34202.792197465642</v>
      </c>
      <c r="AZ402" s="3">
        <f>AX402*1.03</f>
        <v>35228.875963389612</v>
      </c>
      <c r="BP402" s="5">
        <f t="shared" si="209"/>
        <v>-35228.875963389612</v>
      </c>
    </row>
    <row r="403" spans="1:68" s="42" customFormat="1" x14ac:dyDescent="0.25">
      <c r="A403" s="3" t="s">
        <v>299</v>
      </c>
      <c r="B403" s="5">
        <v>8500</v>
      </c>
      <c r="C403" s="3"/>
      <c r="D403" s="5">
        <v>3443</v>
      </c>
      <c r="E403" s="3">
        <f t="shared" si="210"/>
        <v>5057</v>
      </c>
      <c r="F403" s="5">
        <v>8500</v>
      </c>
      <c r="G403" s="3"/>
      <c r="H403" s="5">
        <f t="shared" si="211"/>
        <v>0</v>
      </c>
      <c r="I403" s="5"/>
      <c r="J403" s="5">
        <v>4308</v>
      </c>
      <c r="K403" s="4">
        <f t="shared" si="212"/>
        <v>4192</v>
      </c>
      <c r="L403" s="4">
        <v>8500</v>
      </c>
      <c r="M403" s="4"/>
      <c r="N403" s="4">
        <f t="shared" si="213"/>
        <v>0</v>
      </c>
      <c r="O403" s="3"/>
      <c r="P403" s="3">
        <f>B403*1.0281+261</f>
        <v>8999.85</v>
      </c>
      <c r="Q403" s="3"/>
      <c r="R403" s="3">
        <v>487</v>
      </c>
      <c r="S403" s="3">
        <f t="shared" si="214"/>
        <v>8513</v>
      </c>
      <c r="T403" s="3">
        <v>9000</v>
      </c>
      <c r="U403" s="3">
        <f t="shared" si="215"/>
        <v>0.1499999999996362</v>
      </c>
      <c r="V403" s="3">
        <v>2155</v>
      </c>
      <c r="W403" s="3">
        <f t="shared" si="216"/>
        <v>6845</v>
      </c>
      <c r="X403" s="3"/>
      <c r="Y403" s="3">
        <v>9000</v>
      </c>
      <c r="Z403" s="3">
        <f t="shared" si="217"/>
        <v>0</v>
      </c>
      <c r="AA403" s="3"/>
      <c r="AB403" s="3"/>
      <c r="AC403" s="3">
        <v>3587</v>
      </c>
      <c r="AD403" s="3">
        <f t="shared" si="220"/>
        <v>4413</v>
      </c>
      <c r="AE403" s="3">
        <v>8000</v>
      </c>
      <c r="AF403" s="3">
        <f t="shared" si="218"/>
        <v>-1000</v>
      </c>
      <c r="AG403" s="3"/>
      <c r="AH403" s="3">
        <v>9000</v>
      </c>
      <c r="AI403" s="3"/>
      <c r="AJ403" s="3">
        <f>AH403*1.03</f>
        <v>9270</v>
      </c>
      <c r="AK403" s="3">
        <f>AI403*1.0281</f>
        <v>0</v>
      </c>
      <c r="AL403" s="3">
        <f>AJ403*1.03</f>
        <v>9548.1</v>
      </c>
      <c r="AM403" s="3">
        <f>AK403*1.0281</f>
        <v>0</v>
      </c>
      <c r="AN403" s="3">
        <f>AL403*1.03</f>
        <v>9834.5430000000015</v>
      </c>
      <c r="AO403" s="3"/>
      <c r="AP403" s="3">
        <f>AN403*1.03</f>
        <v>10129.579290000001</v>
      </c>
      <c r="AQ403" s="3"/>
      <c r="AR403" s="3">
        <f>AP403*1.03</f>
        <v>10433.466668700003</v>
      </c>
      <c r="AS403" s="3"/>
      <c r="AT403" s="3">
        <f>AR403*1.03</f>
        <v>10746.470668761003</v>
      </c>
      <c r="AU403" s="3"/>
      <c r="AV403" s="3">
        <f>AT403*1.03</f>
        <v>11068.864788823834</v>
      </c>
      <c r="AW403" s="3"/>
      <c r="AX403" s="3">
        <f>AV403*1.03</f>
        <v>11400.930732488549</v>
      </c>
      <c r="AY403" s="6"/>
      <c r="AZ403" s="3">
        <f>AX403*1.03</f>
        <v>11742.958654463206</v>
      </c>
      <c r="BA403" s="6"/>
      <c r="BP403" s="5">
        <f t="shared" si="209"/>
        <v>-11742.958654463206</v>
      </c>
    </row>
    <row r="404" spans="1:68" x14ac:dyDescent="0.25">
      <c r="A404" s="3" t="s">
        <v>314</v>
      </c>
      <c r="E404" s="3">
        <f t="shared" si="210"/>
        <v>0</v>
      </c>
      <c r="H404" s="5">
        <f t="shared" si="211"/>
        <v>0</v>
      </c>
      <c r="K404" s="4">
        <f t="shared" si="212"/>
        <v>0</v>
      </c>
      <c r="L404" s="4"/>
      <c r="N404" s="4">
        <f t="shared" si="213"/>
        <v>0</v>
      </c>
      <c r="P404" s="3"/>
      <c r="Q404" s="3"/>
      <c r="R404" s="3"/>
      <c r="S404" s="3">
        <f t="shared" si="214"/>
        <v>0</v>
      </c>
      <c r="T404" s="3"/>
      <c r="U404" s="3">
        <f t="shared" si="215"/>
        <v>0</v>
      </c>
      <c r="V404" s="3"/>
      <c r="W404" s="3">
        <f t="shared" si="216"/>
        <v>0</v>
      </c>
      <c r="X404" s="3"/>
      <c r="Y404" s="3"/>
      <c r="Z404" s="3">
        <f t="shared" si="217"/>
        <v>0</v>
      </c>
      <c r="AA404" s="3"/>
      <c r="AB404" s="3"/>
      <c r="AC404" s="3"/>
      <c r="AD404" s="3">
        <f t="shared" si="220"/>
        <v>0</v>
      </c>
      <c r="AE404" s="3"/>
      <c r="AF404" s="3">
        <f t="shared" si="218"/>
        <v>0</v>
      </c>
      <c r="AG404" s="3"/>
      <c r="AH404" s="3">
        <v>7500</v>
      </c>
      <c r="AI404" s="3"/>
      <c r="AJ404" s="3"/>
      <c r="AK404" s="3"/>
      <c r="AL404" s="3"/>
      <c r="AM404" s="3"/>
      <c r="AN404" s="3">
        <v>8000</v>
      </c>
      <c r="AO404" s="3"/>
      <c r="AP404" s="3"/>
      <c r="AQ404" s="42"/>
      <c r="AR404" s="3"/>
      <c r="AS404" s="42"/>
      <c r="AT404" s="3">
        <v>8500</v>
      </c>
      <c r="AU404" s="42"/>
      <c r="AV404" s="3"/>
      <c r="AW404" s="42"/>
      <c r="AX404" s="3"/>
      <c r="AZ404" s="3"/>
      <c r="BP404" s="5">
        <f t="shared" si="209"/>
        <v>0</v>
      </c>
    </row>
    <row r="405" spans="1:68" x14ac:dyDescent="0.25">
      <c r="A405" s="3" t="s">
        <v>315</v>
      </c>
      <c r="E405" s="3">
        <f t="shared" si="210"/>
        <v>0</v>
      </c>
      <c r="H405" s="5">
        <f t="shared" si="211"/>
        <v>0</v>
      </c>
      <c r="K405" s="4">
        <f t="shared" si="212"/>
        <v>0</v>
      </c>
      <c r="L405" s="4"/>
      <c r="N405" s="4">
        <f t="shared" si="213"/>
        <v>0</v>
      </c>
      <c r="P405" s="3"/>
      <c r="Q405" s="3"/>
      <c r="R405" s="3"/>
      <c r="S405" s="3">
        <f t="shared" si="214"/>
        <v>0</v>
      </c>
      <c r="T405" s="3"/>
      <c r="U405" s="3">
        <f t="shared" si="215"/>
        <v>0</v>
      </c>
      <c r="V405" s="3"/>
      <c r="W405" s="3">
        <f t="shared" si="216"/>
        <v>0</v>
      </c>
      <c r="X405" s="3"/>
      <c r="Y405" s="3"/>
      <c r="Z405" s="3">
        <f t="shared" si="217"/>
        <v>0</v>
      </c>
      <c r="AA405" s="3"/>
      <c r="AB405" s="3"/>
      <c r="AC405" s="3"/>
      <c r="AD405" s="3">
        <f t="shared" si="220"/>
        <v>0</v>
      </c>
      <c r="AE405" s="3"/>
      <c r="AF405" s="3">
        <f t="shared" si="218"/>
        <v>0</v>
      </c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42"/>
      <c r="AR405" s="3"/>
      <c r="AS405" s="42"/>
      <c r="AT405" s="3"/>
      <c r="AU405" s="42"/>
      <c r="AV405" s="3"/>
      <c r="AW405" s="42"/>
      <c r="AX405" s="3"/>
      <c r="AZ405" s="3"/>
      <c r="BP405" s="5">
        <f t="shared" si="209"/>
        <v>0</v>
      </c>
    </row>
    <row r="406" spans="1:68" x14ac:dyDescent="0.25">
      <c r="A406" s="3" t="s">
        <v>316</v>
      </c>
      <c r="B406" s="5">
        <v>2500</v>
      </c>
      <c r="E406" s="3">
        <f t="shared" si="210"/>
        <v>3000</v>
      </c>
      <c r="F406" s="5">
        <v>3000</v>
      </c>
      <c r="H406" s="5">
        <f t="shared" si="211"/>
        <v>500</v>
      </c>
      <c r="J406" s="5">
        <v>0</v>
      </c>
      <c r="K406" s="4">
        <f t="shared" si="212"/>
        <v>3000</v>
      </c>
      <c r="L406" s="4">
        <v>3000</v>
      </c>
      <c r="N406" s="4">
        <f t="shared" si="213"/>
        <v>0</v>
      </c>
      <c r="P406" s="3">
        <v>2500</v>
      </c>
      <c r="Q406" s="3"/>
      <c r="R406" s="3">
        <v>4917</v>
      </c>
      <c r="S406" s="3">
        <f t="shared" si="214"/>
        <v>1083</v>
      </c>
      <c r="T406" s="3">
        <v>6000</v>
      </c>
      <c r="U406" s="3">
        <f t="shared" si="215"/>
        <v>3500</v>
      </c>
      <c r="V406" s="3">
        <v>1813</v>
      </c>
      <c r="W406" s="3">
        <f t="shared" si="216"/>
        <v>4187</v>
      </c>
      <c r="X406" s="3"/>
      <c r="Y406" s="3">
        <v>6000</v>
      </c>
      <c r="Z406" s="3">
        <f t="shared" si="217"/>
        <v>0</v>
      </c>
      <c r="AA406" s="3"/>
      <c r="AB406" s="3"/>
      <c r="AC406" s="3">
        <v>5320</v>
      </c>
      <c r="AD406" s="3">
        <f t="shared" si="220"/>
        <v>680</v>
      </c>
      <c r="AE406" s="3">
        <v>6000</v>
      </c>
      <c r="AF406" s="3">
        <f t="shared" si="218"/>
        <v>0</v>
      </c>
      <c r="AG406" s="3"/>
      <c r="AH406" s="3">
        <f>P406*1.03+25</f>
        <v>2600</v>
      </c>
      <c r="AI406" s="3"/>
      <c r="AJ406" s="3">
        <f t="shared" ref="AJ406:AX406" si="221">AH406*1.0281</f>
        <v>2673.06</v>
      </c>
      <c r="AK406" s="3">
        <f t="shared" si="221"/>
        <v>0</v>
      </c>
      <c r="AL406" s="3">
        <f t="shared" si="221"/>
        <v>2748.172986</v>
      </c>
      <c r="AM406" s="3">
        <f t="shared" si="221"/>
        <v>0</v>
      </c>
      <c r="AN406" s="3">
        <f t="shared" si="221"/>
        <v>2825.3966469065999</v>
      </c>
      <c r="AO406" s="3"/>
      <c r="AP406" s="3">
        <f>AN406*1.0281</f>
        <v>2904.7902926846755</v>
      </c>
      <c r="AQ406" s="3"/>
      <c r="AR406" s="3">
        <f t="shared" si="221"/>
        <v>2986.4148999091149</v>
      </c>
      <c r="AS406" s="3">
        <f t="shared" si="221"/>
        <v>0</v>
      </c>
      <c r="AT406" s="3">
        <f t="shared" si="221"/>
        <v>3070.3331585965611</v>
      </c>
      <c r="AU406" s="3"/>
      <c r="AV406" s="3">
        <f t="shared" si="221"/>
        <v>3156.6095203531245</v>
      </c>
      <c r="AW406" s="3"/>
      <c r="AX406" s="3">
        <f t="shared" si="221"/>
        <v>3245.3102478750475</v>
      </c>
      <c r="AZ406" s="3">
        <f>AX406*1.0281</f>
        <v>3336.5034658403365</v>
      </c>
      <c r="BP406" s="5">
        <f t="shared" si="209"/>
        <v>-3336.5034658403365</v>
      </c>
    </row>
    <row r="407" spans="1:68" x14ac:dyDescent="0.25">
      <c r="A407" s="3" t="s">
        <v>317</v>
      </c>
      <c r="B407" s="5">
        <v>1000</v>
      </c>
      <c r="D407" s="5">
        <v>464</v>
      </c>
      <c r="E407" s="3">
        <f t="shared" si="210"/>
        <v>536</v>
      </c>
      <c r="F407" s="5">
        <v>1000</v>
      </c>
      <c r="H407" s="5">
        <f t="shared" si="211"/>
        <v>0</v>
      </c>
      <c r="J407" s="5">
        <v>464</v>
      </c>
      <c r="K407" s="4">
        <f t="shared" si="212"/>
        <v>536</v>
      </c>
      <c r="L407" s="4">
        <v>1000</v>
      </c>
      <c r="N407" s="4">
        <f t="shared" si="213"/>
        <v>0</v>
      </c>
      <c r="P407" s="3">
        <f>L407*1.0281+22</f>
        <v>1050.0999999999999</v>
      </c>
      <c r="Q407" s="3"/>
      <c r="R407" s="3">
        <v>0</v>
      </c>
      <c r="S407" s="3">
        <f t="shared" si="214"/>
        <v>1050</v>
      </c>
      <c r="T407" s="3">
        <v>1050</v>
      </c>
      <c r="U407" s="3">
        <f t="shared" si="215"/>
        <v>-9.9999999999909051E-2</v>
      </c>
      <c r="V407" s="3">
        <v>1813</v>
      </c>
      <c r="W407" s="3">
        <f t="shared" si="216"/>
        <v>437</v>
      </c>
      <c r="X407" s="3"/>
      <c r="Y407" s="3">
        <v>2250</v>
      </c>
      <c r="Z407" s="3">
        <f t="shared" si="217"/>
        <v>1200</v>
      </c>
      <c r="AA407" s="3"/>
      <c r="AB407" s="3"/>
      <c r="AC407" s="3">
        <v>0</v>
      </c>
      <c r="AD407" s="3">
        <f t="shared" si="220"/>
        <v>2250</v>
      </c>
      <c r="AE407" s="3">
        <v>2250</v>
      </c>
      <c r="AF407" s="3">
        <f t="shared" si="218"/>
        <v>0</v>
      </c>
      <c r="AG407" s="3"/>
      <c r="AH407" s="3">
        <f>AE407*1.03-18+700</f>
        <v>2999.5</v>
      </c>
      <c r="AI407" s="3"/>
      <c r="AJ407" s="3">
        <f>AH407*1.0281</f>
        <v>3083.78595</v>
      </c>
      <c r="AK407" s="3">
        <f>AI407*1.0281</f>
        <v>0</v>
      </c>
      <c r="AL407" s="3">
        <f>AJ407*1.0281</f>
        <v>3170.440335195</v>
      </c>
      <c r="AM407" s="3">
        <f>AK407*1.0281</f>
        <v>0</v>
      </c>
      <c r="AN407" s="3">
        <f>AL407*1.0281</f>
        <v>3259.5297086139794</v>
      </c>
      <c r="AO407" s="3"/>
      <c r="AP407" s="3">
        <f>AN407*1.0281</f>
        <v>3351.1224934260322</v>
      </c>
      <c r="AQ407" s="3"/>
      <c r="AR407" s="3">
        <f>AP407*1.0281</f>
        <v>3445.2890354913038</v>
      </c>
      <c r="AS407" s="3">
        <f>AQ407*1.0281</f>
        <v>0</v>
      </c>
      <c r="AT407" s="3">
        <f>AR407*1.0281</f>
        <v>3542.1016573886095</v>
      </c>
      <c r="AU407" s="3"/>
      <c r="AV407" s="3">
        <f>AT407*1.0281</f>
        <v>3641.6347139612294</v>
      </c>
      <c r="AW407" s="3"/>
      <c r="AX407" s="3">
        <f>AV407*1.0281</f>
        <v>3743.9646494235399</v>
      </c>
      <c r="AZ407" s="3">
        <f>AX407*1.0281</f>
        <v>3849.1700560723416</v>
      </c>
      <c r="BP407" s="5">
        <f t="shared" si="209"/>
        <v>-3849.1700560723416</v>
      </c>
    </row>
    <row r="408" spans="1:68" x14ac:dyDescent="0.25">
      <c r="A408" s="3" t="s">
        <v>318</v>
      </c>
      <c r="P408" s="3"/>
      <c r="Q408" s="3"/>
      <c r="R408" s="3"/>
      <c r="S408" s="3">
        <f t="shared" si="214"/>
        <v>0</v>
      </c>
      <c r="T408" s="3"/>
      <c r="U408" s="3">
        <f t="shared" si="215"/>
        <v>0</v>
      </c>
      <c r="V408" s="3"/>
      <c r="W408" s="3">
        <f t="shared" si="216"/>
        <v>0</v>
      </c>
      <c r="X408" s="3"/>
      <c r="Y408" s="3"/>
      <c r="Z408" s="3">
        <f t="shared" si="217"/>
        <v>0</v>
      </c>
      <c r="AA408" s="3"/>
      <c r="AB408" s="3"/>
      <c r="AC408" s="3"/>
      <c r="AD408" s="3">
        <f t="shared" si="220"/>
        <v>0</v>
      </c>
      <c r="AE408" s="3"/>
      <c r="AF408" s="3">
        <f t="shared" si="218"/>
        <v>0</v>
      </c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42"/>
      <c r="AR408" s="3"/>
      <c r="AS408" s="42"/>
      <c r="AT408" s="3"/>
      <c r="AU408" s="42"/>
      <c r="AV408" s="3"/>
      <c r="AW408" s="42"/>
      <c r="AX408" s="3"/>
      <c r="AZ408" s="3"/>
      <c r="BP408" s="5">
        <f t="shared" si="209"/>
        <v>0</v>
      </c>
    </row>
    <row r="409" spans="1:68" x14ac:dyDescent="0.25">
      <c r="A409" s="3" t="s">
        <v>319</v>
      </c>
      <c r="B409" s="5">
        <v>34500</v>
      </c>
      <c r="D409" s="5">
        <f>30949+1156+2680</f>
        <v>34785</v>
      </c>
      <c r="E409" s="3">
        <f t="shared" ref="E409:E438" si="222">F409-D409</f>
        <v>15</v>
      </c>
      <c r="F409" s="5">
        <v>34800</v>
      </c>
      <c r="H409" s="5">
        <f t="shared" ref="H409:H438" si="223">F409-B409</f>
        <v>300</v>
      </c>
      <c r="J409" s="5">
        <v>34905</v>
      </c>
      <c r="K409" s="4">
        <f t="shared" ref="K409:K438" si="224">L409-J409</f>
        <v>0</v>
      </c>
      <c r="L409" s="4">
        <v>34905</v>
      </c>
      <c r="N409" s="4">
        <f t="shared" ref="N409:N438" si="225">L409-F409</f>
        <v>105</v>
      </c>
      <c r="P409" s="3">
        <f>L409*1.0281+14</f>
        <v>35899.830500000004</v>
      </c>
      <c r="Q409" s="3"/>
      <c r="R409" s="3">
        <v>34003</v>
      </c>
      <c r="S409" s="3">
        <f t="shared" si="214"/>
        <v>1897</v>
      </c>
      <c r="T409" s="3">
        <v>35900</v>
      </c>
      <c r="U409" s="3">
        <f t="shared" si="215"/>
        <v>0.16949999999633292</v>
      </c>
      <c r="V409" s="3">
        <f>34003+8144</f>
        <v>42147</v>
      </c>
      <c r="W409" s="3">
        <f t="shared" si="216"/>
        <v>3</v>
      </c>
      <c r="X409" s="3"/>
      <c r="Y409" s="3">
        <v>42150</v>
      </c>
      <c r="Z409" s="3">
        <f t="shared" si="217"/>
        <v>6250</v>
      </c>
      <c r="AA409" s="3"/>
      <c r="AB409" s="3"/>
      <c r="AC409" s="3">
        <v>34003</v>
      </c>
      <c r="AD409" s="3">
        <f t="shared" si="220"/>
        <v>2997</v>
      </c>
      <c r="AE409" s="3">
        <v>37000</v>
      </c>
      <c r="AF409" s="3">
        <f t="shared" si="218"/>
        <v>-5150</v>
      </c>
      <c r="AG409" s="3"/>
      <c r="AH409" s="3">
        <f>AE409*1.03-10</f>
        <v>38100</v>
      </c>
      <c r="AI409" s="3"/>
      <c r="AJ409" s="3">
        <f t="shared" ref="AJ409:AJ424" si="226">AH409*1.03</f>
        <v>39243</v>
      </c>
      <c r="AK409" s="3"/>
      <c r="AL409" s="3">
        <f t="shared" ref="AL409:AL424" si="227">AJ409*1.03</f>
        <v>40420.29</v>
      </c>
      <c r="AM409" s="3"/>
      <c r="AN409" s="3">
        <f t="shared" ref="AN409:AN424" si="228">AL409*1.03</f>
        <v>41632.898700000005</v>
      </c>
      <c r="AO409" s="3"/>
      <c r="AP409" s="3">
        <f t="shared" ref="AP409:AP424" si="229">AN409*1.03</f>
        <v>42881.885661000008</v>
      </c>
      <c r="AQ409" s="3"/>
      <c r="AR409" s="3">
        <f t="shared" ref="AR409:AR424" si="230">AP409*1.03</f>
        <v>44168.342230830007</v>
      </c>
      <c r="AS409" s="3"/>
      <c r="AT409" s="3">
        <f t="shared" ref="AT409:AT424" si="231">AR409*1.03</f>
        <v>45493.39249775491</v>
      </c>
      <c r="AU409" s="3"/>
      <c r="AV409" s="3">
        <f t="shared" ref="AV409:AV424" si="232">AT409*1.03</f>
        <v>46858.194272687557</v>
      </c>
      <c r="AW409" s="3"/>
      <c r="AX409" s="3">
        <f t="shared" ref="AX409:AX424" si="233">AV409*1.03</f>
        <v>48263.940100868182</v>
      </c>
      <c r="AZ409" s="3">
        <f t="shared" ref="AZ409:AZ424" si="234">AX409*1.03</f>
        <v>49711.858303894231</v>
      </c>
      <c r="BP409" s="5">
        <f t="shared" si="209"/>
        <v>-49711.858303894231</v>
      </c>
    </row>
    <row r="410" spans="1:68" x14ac:dyDescent="0.25">
      <c r="A410" s="3" t="s">
        <v>320</v>
      </c>
      <c r="E410" s="3">
        <f t="shared" si="222"/>
        <v>0</v>
      </c>
      <c r="H410" s="5">
        <f t="shared" si="223"/>
        <v>0</v>
      </c>
      <c r="K410" s="4">
        <f t="shared" si="224"/>
        <v>0</v>
      </c>
      <c r="L410" s="4"/>
      <c r="N410" s="4">
        <f t="shared" si="225"/>
        <v>0</v>
      </c>
      <c r="P410" s="3"/>
      <c r="Q410" s="3"/>
      <c r="R410" s="3"/>
      <c r="S410" s="3">
        <f t="shared" si="214"/>
        <v>0</v>
      </c>
      <c r="T410" s="3"/>
      <c r="U410" s="3">
        <f t="shared" si="215"/>
        <v>0</v>
      </c>
      <c r="V410" s="3"/>
      <c r="W410" s="3">
        <f t="shared" si="216"/>
        <v>0</v>
      </c>
      <c r="X410" s="3"/>
      <c r="Y410" s="3"/>
      <c r="Z410" s="3">
        <f t="shared" si="217"/>
        <v>0</v>
      </c>
      <c r="AA410" s="3"/>
      <c r="AB410" s="3"/>
      <c r="AC410" s="3"/>
      <c r="AD410" s="3">
        <f t="shared" si="220"/>
        <v>0</v>
      </c>
      <c r="AE410" s="3"/>
      <c r="AF410" s="3">
        <f t="shared" si="218"/>
        <v>0</v>
      </c>
      <c r="AG410" s="3"/>
      <c r="AH410" s="3"/>
      <c r="AI410" s="3"/>
      <c r="AJ410" s="3">
        <f t="shared" si="226"/>
        <v>0</v>
      </c>
      <c r="AK410" s="3"/>
      <c r="AL410" s="3">
        <f t="shared" si="227"/>
        <v>0</v>
      </c>
      <c r="AM410" s="3"/>
      <c r="AN410" s="3">
        <f t="shared" si="228"/>
        <v>0</v>
      </c>
      <c r="AO410" s="3"/>
      <c r="AP410" s="3">
        <f t="shared" si="229"/>
        <v>0</v>
      </c>
      <c r="AQ410" s="3"/>
      <c r="AR410" s="3">
        <f t="shared" si="230"/>
        <v>0</v>
      </c>
      <c r="AS410" s="3"/>
      <c r="AT410" s="3">
        <f t="shared" si="231"/>
        <v>0</v>
      </c>
      <c r="AU410" s="3"/>
      <c r="AV410" s="3">
        <f t="shared" si="232"/>
        <v>0</v>
      </c>
      <c r="AW410" s="3"/>
      <c r="AX410" s="3">
        <f t="shared" si="233"/>
        <v>0</v>
      </c>
      <c r="AZ410" s="3">
        <f t="shared" si="234"/>
        <v>0</v>
      </c>
      <c r="BP410" s="5">
        <f t="shared" si="209"/>
        <v>0</v>
      </c>
    </row>
    <row r="411" spans="1:68" x14ac:dyDescent="0.25">
      <c r="A411" s="3" t="s">
        <v>321</v>
      </c>
      <c r="B411" s="5">
        <v>40545</v>
      </c>
      <c r="D411" s="5">
        <v>40565</v>
      </c>
      <c r="E411" s="3">
        <f t="shared" si="222"/>
        <v>0</v>
      </c>
      <c r="F411" s="5">
        <v>40565</v>
      </c>
      <c r="H411" s="5">
        <f t="shared" si="223"/>
        <v>20</v>
      </c>
      <c r="J411" s="5">
        <v>40565</v>
      </c>
      <c r="K411" s="4">
        <f t="shared" si="224"/>
        <v>0</v>
      </c>
      <c r="L411" s="4">
        <v>40565</v>
      </c>
      <c r="N411" s="4">
        <f t="shared" si="225"/>
        <v>0</v>
      </c>
      <c r="P411" s="3">
        <f>L411*1.035+15</f>
        <v>41999.774999999994</v>
      </c>
      <c r="Q411" s="3"/>
      <c r="R411" s="3">
        <v>41985</v>
      </c>
      <c r="S411" s="3">
        <f t="shared" si="214"/>
        <v>0</v>
      </c>
      <c r="T411" s="3">
        <v>41985</v>
      </c>
      <c r="U411" s="3">
        <f t="shared" si="215"/>
        <v>-14.774999999994179</v>
      </c>
      <c r="V411" s="3">
        <v>41985</v>
      </c>
      <c r="W411" s="3">
        <f t="shared" si="216"/>
        <v>0</v>
      </c>
      <c r="X411" s="3"/>
      <c r="Y411" s="3">
        <v>41985</v>
      </c>
      <c r="Z411" s="3">
        <f t="shared" si="217"/>
        <v>0</v>
      </c>
      <c r="AA411" s="3"/>
      <c r="AB411" s="3"/>
      <c r="AC411" s="3">
        <v>41985</v>
      </c>
      <c r="AD411" s="3">
        <f t="shared" si="220"/>
        <v>0</v>
      </c>
      <c r="AE411" s="3">
        <v>41985</v>
      </c>
      <c r="AF411" s="3">
        <f t="shared" si="218"/>
        <v>0</v>
      </c>
      <c r="AG411" s="3"/>
      <c r="AH411" s="3">
        <f>AE411*1.03+5</f>
        <v>43249.55</v>
      </c>
      <c r="AI411" s="3"/>
      <c r="AJ411" s="3">
        <f t="shared" si="226"/>
        <v>44547.036500000002</v>
      </c>
      <c r="AK411" s="3"/>
      <c r="AL411" s="3">
        <f t="shared" si="227"/>
        <v>45883.447595000005</v>
      </c>
      <c r="AM411" s="3"/>
      <c r="AN411" s="3">
        <f t="shared" si="228"/>
        <v>47259.951022850008</v>
      </c>
      <c r="AO411" s="3"/>
      <c r="AP411" s="3">
        <f t="shared" si="229"/>
        <v>48677.749553535512</v>
      </c>
      <c r="AQ411" s="3"/>
      <c r="AR411" s="3">
        <f t="shared" si="230"/>
        <v>50138.082040141577</v>
      </c>
      <c r="AS411" s="3"/>
      <c r="AT411" s="3">
        <f t="shared" si="231"/>
        <v>51642.224501345823</v>
      </c>
      <c r="AU411" s="3"/>
      <c r="AV411" s="3">
        <f t="shared" si="232"/>
        <v>53191.491236386202</v>
      </c>
      <c r="AW411" s="3"/>
      <c r="AX411" s="3">
        <f t="shared" si="233"/>
        <v>54787.235973477793</v>
      </c>
      <c r="AZ411" s="3">
        <f t="shared" si="234"/>
        <v>56430.853052682127</v>
      </c>
      <c r="BP411" s="5">
        <f t="shared" si="209"/>
        <v>-56430.853052682127</v>
      </c>
    </row>
    <row r="412" spans="1:68" x14ac:dyDescent="0.25">
      <c r="A412" s="3" t="s">
        <v>1094</v>
      </c>
      <c r="E412" s="3"/>
      <c r="K412" s="4"/>
      <c r="L412" s="4"/>
      <c r="N412" s="4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>
        <v>15000</v>
      </c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Z412" s="3"/>
      <c r="BP412" s="5">
        <f t="shared" si="209"/>
        <v>0</v>
      </c>
    </row>
    <row r="413" spans="1:68" x14ac:dyDescent="0.25">
      <c r="A413" s="3" t="s">
        <v>1097</v>
      </c>
      <c r="E413" s="3"/>
      <c r="K413" s="4"/>
      <c r="L413" s="4"/>
      <c r="N413" s="4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>
        <v>30000</v>
      </c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Z413" s="3"/>
      <c r="BP413" s="5">
        <f t="shared" si="209"/>
        <v>0</v>
      </c>
    </row>
    <row r="414" spans="1:68" x14ac:dyDescent="0.25">
      <c r="A414" s="3" t="s">
        <v>322</v>
      </c>
      <c r="B414" s="5">
        <v>250</v>
      </c>
      <c r="D414" s="5">
        <v>393</v>
      </c>
      <c r="E414" s="3">
        <f t="shared" si="222"/>
        <v>307</v>
      </c>
      <c r="F414" s="5">
        <v>700</v>
      </c>
      <c r="H414" s="5">
        <f t="shared" si="223"/>
        <v>450</v>
      </c>
      <c r="J414" s="5">
        <v>109</v>
      </c>
      <c r="K414" s="4">
        <f t="shared" si="224"/>
        <v>591</v>
      </c>
      <c r="L414" s="4">
        <v>700</v>
      </c>
      <c r="N414" s="4">
        <f t="shared" si="225"/>
        <v>0</v>
      </c>
      <c r="P414" s="3">
        <f>L414*1.0281+30</f>
        <v>749.67</v>
      </c>
      <c r="Q414" s="3"/>
      <c r="R414" s="3">
        <v>58</v>
      </c>
      <c r="S414" s="3">
        <f t="shared" si="214"/>
        <v>692</v>
      </c>
      <c r="T414" s="3">
        <v>750</v>
      </c>
      <c r="U414" s="3">
        <f t="shared" si="215"/>
        <v>0.33000000000004093</v>
      </c>
      <c r="V414" s="3">
        <v>299</v>
      </c>
      <c r="W414" s="3">
        <f t="shared" si="216"/>
        <v>401</v>
      </c>
      <c r="X414" s="3"/>
      <c r="Y414" s="3">
        <v>700</v>
      </c>
      <c r="Z414" s="3">
        <f t="shared" si="217"/>
        <v>-50</v>
      </c>
      <c r="AA414" s="3"/>
      <c r="AB414" s="3"/>
      <c r="AC414" s="3">
        <v>322</v>
      </c>
      <c r="AD414" s="3">
        <f t="shared" si="220"/>
        <v>378</v>
      </c>
      <c r="AE414" s="3">
        <v>700</v>
      </c>
      <c r="AF414" s="3">
        <f t="shared" si="218"/>
        <v>0</v>
      </c>
      <c r="AG414" s="3"/>
      <c r="AH414" s="3">
        <v>744</v>
      </c>
      <c r="AI414" s="3"/>
      <c r="AJ414" s="3">
        <f t="shared" si="226"/>
        <v>766.32</v>
      </c>
      <c r="AK414" s="3"/>
      <c r="AL414" s="3">
        <f t="shared" si="227"/>
        <v>789.30960000000005</v>
      </c>
      <c r="AM414" s="3"/>
      <c r="AN414" s="3">
        <f t="shared" si="228"/>
        <v>812.98888800000009</v>
      </c>
      <c r="AO414" s="3"/>
      <c r="AP414" s="3">
        <f t="shared" si="229"/>
        <v>837.37855464000006</v>
      </c>
      <c r="AQ414" s="3"/>
      <c r="AR414" s="3">
        <f t="shared" si="230"/>
        <v>862.49991127920009</v>
      </c>
      <c r="AS414" s="3"/>
      <c r="AT414" s="3">
        <f t="shared" si="231"/>
        <v>888.37490861757612</v>
      </c>
      <c r="AU414" s="3"/>
      <c r="AV414" s="3">
        <f t="shared" si="232"/>
        <v>915.02615587610342</v>
      </c>
      <c r="AW414" s="3"/>
      <c r="AX414" s="3">
        <f t="shared" si="233"/>
        <v>942.47694055238651</v>
      </c>
      <c r="AZ414" s="3">
        <f t="shared" si="234"/>
        <v>970.75124876895813</v>
      </c>
      <c r="BP414" s="5">
        <f t="shared" si="209"/>
        <v>-970.75124876895813</v>
      </c>
    </row>
    <row r="415" spans="1:68" x14ac:dyDescent="0.25">
      <c r="A415" s="3" t="s">
        <v>323</v>
      </c>
      <c r="B415" s="5">
        <v>3000</v>
      </c>
      <c r="D415" s="5">
        <v>1312</v>
      </c>
      <c r="E415" s="3">
        <f t="shared" si="222"/>
        <v>1688</v>
      </c>
      <c r="F415" s="5">
        <v>3000</v>
      </c>
      <c r="H415" s="5">
        <f t="shared" si="223"/>
        <v>0</v>
      </c>
      <c r="J415" s="5">
        <v>3759</v>
      </c>
      <c r="K415" s="4">
        <f t="shared" si="224"/>
        <v>1991</v>
      </c>
      <c r="L415" s="4">
        <v>5750</v>
      </c>
      <c r="N415" s="4">
        <f t="shared" si="225"/>
        <v>2750</v>
      </c>
      <c r="P415" s="3">
        <f>L415*1.0281+38</f>
        <v>5949.5749999999998</v>
      </c>
      <c r="Q415" s="3"/>
      <c r="R415" s="3">
        <v>228</v>
      </c>
      <c r="S415" s="3">
        <f t="shared" si="214"/>
        <v>5272</v>
      </c>
      <c r="T415" s="3">
        <v>5500</v>
      </c>
      <c r="U415" s="3">
        <f t="shared" si="215"/>
        <v>-449.57499999999982</v>
      </c>
      <c r="V415" s="3">
        <v>2174</v>
      </c>
      <c r="W415" s="3">
        <f t="shared" si="216"/>
        <v>3326</v>
      </c>
      <c r="X415" s="3"/>
      <c r="Y415" s="3">
        <v>5500</v>
      </c>
      <c r="Z415" s="3">
        <f t="shared" si="217"/>
        <v>0</v>
      </c>
      <c r="AA415" s="3"/>
      <c r="AB415" s="3"/>
      <c r="AC415" s="3">
        <v>2943</v>
      </c>
      <c r="AD415" s="3">
        <f t="shared" si="220"/>
        <v>2557</v>
      </c>
      <c r="AE415" s="3">
        <v>5500</v>
      </c>
      <c r="AF415" s="3">
        <f t="shared" si="218"/>
        <v>0</v>
      </c>
      <c r="AG415" s="3"/>
      <c r="AH415" s="3">
        <f>AE415*1.03-15</f>
        <v>5650</v>
      </c>
      <c r="AI415" s="3"/>
      <c r="AJ415" s="3">
        <f t="shared" si="226"/>
        <v>5819.5</v>
      </c>
      <c r="AK415" s="3"/>
      <c r="AL415" s="3">
        <f t="shared" si="227"/>
        <v>5994.085</v>
      </c>
      <c r="AM415" s="3"/>
      <c r="AN415" s="3">
        <f t="shared" si="228"/>
        <v>6173.9075499999999</v>
      </c>
      <c r="AO415" s="3"/>
      <c r="AP415" s="3">
        <f t="shared" si="229"/>
        <v>6359.1247764999998</v>
      </c>
      <c r="AQ415" s="3"/>
      <c r="AR415" s="3">
        <f t="shared" si="230"/>
        <v>6549.8985197949996</v>
      </c>
      <c r="AS415" s="3"/>
      <c r="AT415" s="3">
        <f t="shared" si="231"/>
        <v>6746.3954753888502</v>
      </c>
      <c r="AU415" s="3"/>
      <c r="AV415" s="3">
        <f t="shared" si="232"/>
        <v>6948.7873396505156</v>
      </c>
      <c r="AW415" s="3"/>
      <c r="AX415" s="3">
        <f t="shared" si="233"/>
        <v>7157.2509598400311</v>
      </c>
      <c r="AZ415" s="3">
        <f t="shared" si="234"/>
        <v>7371.9684886352325</v>
      </c>
      <c r="BP415" s="5">
        <f t="shared" si="209"/>
        <v>-7371.9684886352325</v>
      </c>
    </row>
    <row r="416" spans="1:68" x14ac:dyDescent="0.25">
      <c r="A416" s="3" t="s">
        <v>324</v>
      </c>
      <c r="B416" s="5">
        <v>8000</v>
      </c>
      <c r="D416" s="5">
        <v>2044</v>
      </c>
      <c r="E416" s="3">
        <f t="shared" si="222"/>
        <v>5956</v>
      </c>
      <c r="F416" s="5">
        <v>8000</v>
      </c>
      <c r="H416" s="5">
        <f t="shared" si="223"/>
        <v>0</v>
      </c>
      <c r="J416" s="5">
        <v>3751</v>
      </c>
      <c r="K416" s="4">
        <f t="shared" si="224"/>
        <v>4249</v>
      </c>
      <c r="L416" s="4">
        <v>8000</v>
      </c>
      <c r="N416" s="4">
        <f t="shared" si="225"/>
        <v>0</v>
      </c>
      <c r="P416" s="3">
        <f>L416*1.0281+25</f>
        <v>8249.7999999999993</v>
      </c>
      <c r="Q416" s="3"/>
      <c r="R416" s="3">
        <f>31+2038</f>
        <v>2069</v>
      </c>
      <c r="S416" s="3">
        <f t="shared" si="214"/>
        <v>6181</v>
      </c>
      <c r="T416" s="3">
        <v>8250</v>
      </c>
      <c r="U416" s="3">
        <f t="shared" si="215"/>
        <v>0.2000000000007276</v>
      </c>
      <c r="V416" s="3">
        <v>3731</v>
      </c>
      <c r="W416" s="3">
        <f t="shared" si="216"/>
        <v>4269</v>
      </c>
      <c r="X416" s="3"/>
      <c r="Y416" s="3">
        <v>8000</v>
      </c>
      <c r="Z416" s="3">
        <f t="shared" si="217"/>
        <v>-250</v>
      </c>
      <c r="AA416" s="3"/>
      <c r="AB416" s="3"/>
      <c r="AC416" s="3">
        <v>5773</v>
      </c>
      <c r="AD416" s="3">
        <f t="shared" si="220"/>
        <v>2227</v>
      </c>
      <c r="AE416" s="3">
        <v>8000</v>
      </c>
      <c r="AF416" s="3">
        <f t="shared" si="218"/>
        <v>0</v>
      </c>
      <c r="AG416" s="3"/>
      <c r="AH416" s="3">
        <f>AE416*1.03+10</f>
        <v>8250</v>
      </c>
      <c r="AI416" s="3"/>
      <c r="AJ416" s="3">
        <f t="shared" si="226"/>
        <v>8497.5</v>
      </c>
      <c r="AK416" s="3"/>
      <c r="AL416" s="3">
        <f t="shared" si="227"/>
        <v>8752.4250000000011</v>
      </c>
      <c r="AM416" s="3"/>
      <c r="AN416" s="3">
        <f t="shared" si="228"/>
        <v>9014.9977500000005</v>
      </c>
      <c r="AO416" s="3"/>
      <c r="AP416" s="3">
        <f t="shared" si="229"/>
        <v>9285.4476825000002</v>
      </c>
      <c r="AQ416" s="3"/>
      <c r="AR416" s="3">
        <f t="shared" si="230"/>
        <v>9564.0111129750003</v>
      </c>
      <c r="AS416" s="3"/>
      <c r="AT416" s="3">
        <f t="shared" si="231"/>
        <v>9850.9314463642513</v>
      </c>
      <c r="AU416" s="3"/>
      <c r="AV416" s="3">
        <f t="shared" si="232"/>
        <v>10146.459389755179</v>
      </c>
      <c r="AW416" s="3"/>
      <c r="AX416" s="3">
        <f t="shared" si="233"/>
        <v>10450.853171447834</v>
      </c>
      <c r="AZ416" s="3">
        <f t="shared" si="234"/>
        <v>10764.37876659127</v>
      </c>
      <c r="BP416" s="5">
        <f t="shared" si="209"/>
        <v>-10764.37876659127</v>
      </c>
    </row>
    <row r="417" spans="1:68" x14ac:dyDescent="0.25">
      <c r="A417" s="3" t="s">
        <v>325</v>
      </c>
      <c r="B417" s="3"/>
      <c r="D417" s="3">
        <v>7707</v>
      </c>
      <c r="E417" s="3">
        <f t="shared" si="222"/>
        <v>793</v>
      </c>
      <c r="F417" s="5">
        <v>8500</v>
      </c>
      <c r="H417" s="5">
        <f t="shared" si="223"/>
        <v>8500</v>
      </c>
      <c r="J417" s="5">
        <v>9570</v>
      </c>
      <c r="K417" s="4">
        <f t="shared" si="224"/>
        <v>0</v>
      </c>
      <c r="L417" s="4">
        <v>9570</v>
      </c>
      <c r="N417" s="4">
        <f t="shared" si="225"/>
        <v>1070</v>
      </c>
      <c r="P417" s="3"/>
      <c r="Q417" s="3"/>
      <c r="R417" s="3"/>
      <c r="S417" s="3">
        <f t="shared" si="214"/>
        <v>0</v>
      </c>
      <c r="T417" s="3"/>
      <c r="U417" s="3">
        <f t="shared" si="215"/>
        <v>0</v>
      </c>
      <c r="V417" s="3"/>
      <c r="W417" s="3">
        <f t="shared" si="216"/>
        <v>0</v>
      </c>
      <c r="X417" s="3"/>
      <c r="Y417" s="3"/>
      <c r="Z417" s="3">
        <f t="shared" si="217"/>
        <v>0</v>
      </c>
      <c r="AA417" s="3"/>
      <c r="AB417" s="3"/>
      <c r="AC417" s="3"/>
      <c r="AD417" s="3">
        <f t="shared" si="220"/>
        <v>0</v>
      </c>
      <c r="AE417" s="3"/>
      <c r="AF417" s="3">
        <f t="shared" si="218"/>
        <v>0</v>
      </c>
      <c r="AG417" s="3"/>
      <c r="AH417" s="3"/>
      <c r="AI417" s="3"/>
      <c r="AJ417" s="3">
        <f t="shared" si="226"/>
        <v>0</v>
      </c>
      <c r="AK417" s="3"/>
      <c r="AL417" s="3">
        <f t="shared" si="227"/>
        <v>0</v>
      </c>
      <c r="AM417" s="3"/>
      <c r="AN417" s="3">
        <f t="shared" si="228"/>
        <v>0</v>
      </c>
      <c r="AO417" s="3"/>
      <c r="AP417" s="3">
        <f t="shared" si="229"/>
        <v>0</v>
      </c>
      <c r="AQ417" s="3"/>
      <c r="AR417" s="3">
        <f t="shared" si="230"/>
        <v>0</v>
      </c>
      <c r="AS417" s="3"/>
      <c r="AT417" s="3">
        <f t="shared" si="231"/>
        <v>0</v>
      </c>
      <c r="AU417" s="3"/>
      <c r="AV417" s="3">
        <f t="shared" si="232"/>
        <v>0</v>
      </c>
      <c r="AW417" s="3"/>
      <c r="AX417" s="3">
        <f t="shared" si="233"/>
        <v>0</v>
      </c>
      <c r="AZ417" s="3">
        <f t="shared" si="234"/>
        <v>0</v>
      </c>
      <c r="BP417" s="5">
        <f t="shared" si="209"/>
        <v>0</v>
      </c>
    </row>
    <row r="418" spans="1:68" x14ac:dyDescent="0.25">
      <c r="A418" s="3" t="s">
        <v>326</v>
      </c>
      <c r="E418" s="3">
        <f t="shared" si="222"/>
        <v>0</v>
      </c>
      <c r="H418" s="5">
        <f t="shared" si="223"/>
        <v>0</v>
      </c>
      <c r="K418" s="4">
        <f t="shared" si="224"/>
        <v>0</v>
      </c>
      <c r="L418" s="4"/>
      <c r="N418" s="4">
        <f t="shared" si="225"/>
        <v>0</v>
      </c>
      <c r="P418" s="3"/>
      <c r="Q418" s="3"/>
      <c r="R418" s="3"/>
      <c r="S418" s="3">
        <f t="shared" si="214"/>
        <v>0</v>
      </c>
      <c r="T418" s="3"/>
      <c r="U418" s="3">
        <f t="shared" si="215"/>
        <v>0</v>
      </c>
      <c r="V418" s="3"/>
      <c r="W418" s="3">
        <f t="shared" si="216"/>
        <v>0</v>
      </c>
      <c r="X418" s="3"/>
      <c r="Y418" s="3"/>
      <c r="Z418" s="3">
        <f t="shared" si="217"/>
        <v>0</v>
      </c>
      <c r="AA418" s="3"/>
      <c r="AB418" s="3"/>
      <c r="AC418" s="3"/>
      <c r="AD418" s="3">
        <f t="shared" si="220"/>
        <v>0</v>
      </c>
      <c r="AE418" s="3"/>
      <c r="AF418" s="3">
        <f t="shared" si="218"/>
        <v>0</v>
      </c>
      <c r="AG418" s="3"/>
      <c r="AH418" s="3"/>
      <c r="AI418" s="3"/>
      <c r="AJ418" s="3">
        <f t="shared" si="226"/>
        <v>0</v>
      </c>
      <c r="AK418" s="3"/>
      <c r="AL418" s="3">
        <f t="shared" si="227"/>
        <v>0</v>
      </c>
      <c r="AM418" s="3"/>
      <c r="AN418" s="3">
        <f t="shared" si="228"/>
        <v>0</v>
      </c>
      <c r="AO418" s="3"/>
      <c r="AP418" s="3">
        <f t="shared" si="229"/>
        <v>0</v>
      </c>
      <c r="AQ418" s="3"/>
      <c r="AR418" s="3">
        <f t="shared" si="230"/>
        <v>0</v>
      </c>
      <c r="AS418" s="3"/>
      <c r="AT418" s="3">
        <f t="shared" si="231"/>
        <v>0</v>
      </c>
      <c r="AU418" s="3"/>
      <c r="AV418" s="3">
        <f t="shared" si="232"/>
        <v>0</v>
      </c>
      <c r="AW418" s="3"/>
      <c r="AX418" s="3">
        <f t="shared" si="233"/>
        <v>0</v>
      </c>
      <c r="AZ418" s="3">
        <f t="shared" si="234"/>
        <v>0</v>
      </c>
      <c r="BP418" s="5">
        <f t="shared" si="209"/>
        <v>0</v>
      </c>
    </row>
    <row r="419" spans="1:68" x14ac:dyDescent="0.25">
      <c r="A419" s="3" t="s">
        <v>327</v>
      </c>
      <c r="B419" s="5">
        <v>13350</v>
      </c>
      <c r="D419" s="5">
        <v>3171</v>
      </c>
      <c r="E419" s="3">
        <f t="shared" si="222"/>
        <v>10179</v>
      </c>
      <c r="F419" s="5">
        <v>13350</v>
      </c>
      <c r="H419" s="5">
        <f t="shared" si="223"/>
        <v>0</v>
      </c>
      <c r="J419" s="5">
        <v>5331</v>
      </c>
      <c r="K419" s="4">
        <f t="shared" si="224"/>
        <v>8019</v>
      </c>
      <c r="L419" s="4">
        <v>13350</v>
      </c>
      <c r="N419" s="4">
        <f t="shared" si="225"/>
        <v>0</v>
      </c>
      <c r="P419" s="3">
        <f>L419*1.0281+25</f>
        <v>13750.135</v>
      </c>
      <c r="Q419" s="3"/>
      <c r="R419" s="3">
        <v>2145</v>
      </c>
      <c r="S419" s="3">
        <f t="shared" si="214"/>
        <v>11605</v>
      </c>
      <c r="T419" s="3">
        <v>13750</v>
      </c>
      <c r="U419" s="3">
        <f t="shared" si="215"/>
        <v>-0.13500000000021828</v>
      </c>
      <c r="V419" s="3">
        <v>5485</v>
      </c>
      <c r="W419" s="3">
        <f t="shared" si="216"/>
        <v>8265</v>
      </c>
      <c r="X419" s="3"/>
      <c r="Y419" s="3">
        <v>13750</v>
      </c>
      <c r="Z419" s="3">
        <f t="shared" si="217"/>
        <v>0</v>
      </c>
      <c r="AA419" s="3"/>
      <c r="AB419" s="3"/>
      <c r="AC419" s="3">
        <v>8947</v>
      </c>
      <c r="AD419" s="3">
        <f t="shared" si="220"/>
        <v>4803</v>
      </c>
      <c r="AE419" s="3">
        <v>13750</v>
      </c>
      <c r="AF419" s="3">
        <f t="shared" si="218"/>
        <v>0</v>
      </c>
      <c r="AG419" s="3"/>
      <c r="AH419" s="3">
        <f>AE419*1.03+37</f>
        <v>14199.5</v>
      </c>
      <c r="AI419" s="3"/>
      <c r="AJ419" s="3">
        <f t="shared" si="226"/>
        <v>14625.485000000001</v>
      </c>
      <c r="AK419" s="3"/>
      <c r="AL419" s="3">
        <f t="shared" si="227"/>
        <v>15064.24955</v>
      </c>
      <c r="AM419" s="3"/>
      <c r="AN419" s="3">
        <f t="shared" si="228"/>
        <v>15516.177036500001</v>
      </c>
      <c r="AO419" s="3"/>
      <c r="AP419" s="3">
        <f t="shared" si="229"/>
        <v>15981.662347595002</v>
      </c>
      <c r="AQ419" s="3"/>
      <c r="AR419" s="3">
        <f t="shared" si="230"/>
        <v>16461.112218022852</v>
      </c>
      <c r="AS419" s="3"/>
      <c r="AT419" s="3">
        <f t="shared" si="231"/>
        <v>16954.945584563538</v>
      </c>
      <c r="AU419" s="3"/>
      <c r="AV419" s="3">
        <f t="shared" si="232"/>
        <v>17463.593952100444</v>
      </c>
      <c r="AW419" s="3"/>
      <c r="AX419" s="3">
        <f t="shared" si="233"/>
        <v>17987.501770663457</v>
      </c>
      <c r="AZ419" s="3">
        <f t="shared" si="234"/>
        <v>18527.126823783361</v>
      </c>
      <c r="BP419" s="5">
        <f t="shared" si="209"/>
        <v>-18527.126823783361</v>
      </c>
    </row>
    <row r="420" spans="1:68" x14ac:dyDescent="0.25">
      <c r="A420" s="3" t="s">
        <v>328</v>
      </c>
      <c r="B420" s="3">
        <v>19400</v>
      </c>
      <c r="D420" s="5">
        <v>1305</v>
      </c>
      <c r="E420" s="3">
        <f>F420-D420</f>
        <v>17695</v>
      </c>
      <c r="F420" s="5">
        <v>19000</v>
      </c>
      <c r="H420" s="5">
        <f t="shared" si="223"/>
        <v>-400</v>
      </c>
      <c r="J420" s="5">
        <v>6428</v>
      </c>
      <c r="K420" s="4">
        <f t="shared" si="224"/>
        <v>12572</v>
      </c>
      <c r="L420" s="4">
        <v>19000</v>
      </c>
      <c r="N420" s="4">
        <f t="shared" si="225"/>
        <v>0</v>
      </c>
      <c r="P420" s="3">
        <f>L420*1.17+20</f>
        <v>22250</v>
      </c>
      <c r="Q420" s="3"/>
      <c r="R420" s="3">
        <v>3999</v>
      </c>
      <c r="S420" s="3">
        <f t="shared" si="214"/>
        <v>18251</v>
      </c>
      <c r="T420" s="3">
        <v>22250</v>
      </c>
      <c r="U420" s="3">
        <f t="shared" si="215"/>
        <v>0</v>
      </c>
      <c r="V420" s="3">
        <v>5127</v>
      </c>
      <c r="W420" s="3">
        <f t="shared" si="216"/>
        <v>15873</v>
      </c>
      <c r="X420" s="3"/>
      <c r="Y420" s="3">
        <v>21000</v>
      </c>
      <c r="Z420" s="3">
        <f t="shared" si="217"/>
        <v>-1250</v>
      </c>
      <c r="AA420" s="3"/>
      <c r="AB420" s="3"/>
      <c r="AC420" s="3">
        <v>5732</v>
      </c>
      <c r="AD420" s="3">
        <f t="shared" si="220"/>
        <v>14268</v>
      </c>
      <c r="AE420" s="3">
        <v>20000</v>
      </c>
      <c r="AF420" s="3">
        <f t="shared" si="218"/>
        <v>-1000</v>
      </c>
      <c r="AG420" s="3"/>
      <c r="AH420" s="3">
        <f>AE420*1.075</f>
        <v>21500</v>
      </c>
      <c r="AI420" s="3"/>
      <c r="AJ420" s="3">
        <f>AH420*1.05</f>
        <v>22575</v>
      </c>
      <c r="AK420" s="3"/>
      <c r="AL420" s="3">
        <f t="shared" si="227"/>
        <v>23252.25</v>
      </c>
      <c r="AM420" s="3"/>
      <c r="AN420" s="3">
        <f t="shared" si="228"/>
        <v>23949.817500000001</v>
      </c>
      <c r="AO420" s="3"/>
      <c r="AP420" s="3">
        <f t="shared" si="229"/>
        <v>24668.312025000003</v>
      </c>
      <c r="AQ420" s="3"/>
      <c r="AR420" s="3">
        <f t="shared" si="230"/>
        <v>25408.361385750002</v>
      </c>
      <c r="AS420" s="3"/>
      <c r="AT420" s="3">
        <f t="shared" si="231"/>
        <v>26170.612227322505</v>
      </c>
      <c r="AU420" s="3"/>
      <c r="AV420" s="3">
        <f t="shared" si="232"/>
        <v>26955.73059414218</v>
      </c>
      <c r="AW420" s="3"/>
      <c r="AX420" s="3">
        <f t="shared" si="233"/>
        <v>27764.402511966447</v>
      </c>
      <c r="AZ420" s="3">
        <f t="shared" si="234"/>
        <v>28597.33458732544</v>
      </c>
      <c r="BP420" s="5">
        <f t="shared" si="209"/>
        <v>-28597.33458732544</v>
      </c>
    </row>
    <row r="421" spans="1:68" x14ac:dyDescent="0.25">
      <c r="A421" s="3" t="s">
        <v>329</v>
      </c>
      <c r="B421" s="5">
        <v>6500</v>
      </c>
      <c r="D421" s="5">
        <v>1278</v>
      </c>
      <c r="E421" s="3">
        <f t="shared" si="222"/>
        <v>5222</v>
      </c>
      <c r="F421" s="5">
        <v>6500</v>
      </c>
      <c r="H421" s="5">
        <f t="shared" si="223"/>
        <v>0</v>
      </c>
      <c r="J421" s="5">
        <v>2719</v>
      </c>
      <c r="K421" s="4">
        <f t="shared" si="224"/>
        <v>3781</v>
      </c>
      <c r="L421" s="4">
        <v>6500</v>
      </c>
      <c r="N421" s="4">
        <f t="shared" si="225"/>
        <v>0</v>
      </c>
      <c r="P421" s="3">
        <f>L421*1.0281+17</f>
        <v>6699.65</v>
      </c>
      <c r="Q421" s="3"/>
      <c r="R421" s="3">
        <v>1474</v>
      </c>
      <c r="S421" s="3">
        <f t="shared" si="214"/>
        <v>5226</v>
      </c>
      <c r="T421" s="3">
        <v>6700</v>
      </c>
      <c r="U421" s="3">
        <f t="shared" si="215"/>
        <v>0.3500000000003638</v>
      </c>
      <c r="V421" s="3">
        <v>2828</v>
      </c>
      <c r="W421" s="3">
        <f t="shared" si="216"/>
        <v>3872</v>
      </c>
      <c r="X421" s="3"/>
      <c r="Y421" s="3">
        <v>6700</v>
      </c>
      <c r="Z421" s="3">
        <f t="shared" si="217"/>
        <v>0</v>
      </c>
      <c r="AA421" s="3"/>
      <c r="AB421" s="3"/>
      <c r="AC421" s="3">
        <v>4061</v>
      </c>
      <c r="AD421" s="3">
        <f t="shared" si="220"/>
        <v>2639</v>
      </c>
      <c r="AE421" s="3">
        <v>6700</v>
      </c>
      <c r="AF421" s="3">
        <f t="shared" si="218"/>
        <v>0</v>
      </c>
      <c r="AG421" s="3"/>
      <c r="AH421" s="3">
        <f>AE421*1.03-1</f>
        <v>6900</v>
      </c>
      <c r="AI421" s="3"/>
      <c r="AJ421" s="3">
        <f t="shared" si="226"/>
        <v>7107</v>
      </c>
      <c r="AK421" s="3"/>
      <c r="AL421" s="3">
        <f t="shared" si="227"/>
        <v>7320.21</v>
      </c>
      <c r="AM421" s="3"/>
      <c r="AN421" s="3">
        <f t="shared" si="228"/>
        <v>7539.8163000000004</v>
      </c>
      <c r="AO421" s="3"/>
      <c r="AP421" s="3">
        <f t="shared" si="229"/>
        <v>7766.0107890000008</v>
      </c>
      <c r="AQ421" s="3"/>
      <c r="AR421" s="3">
        <f t="shared" si="230"/>
        <v>7998.9911126700008</v>
      </c>
      <c r="AS421" s="3"/>
      <c r="AT421" s="3">
        <f t="shared" si="231"/>
        <v>8238.9608460501004</v>
      </c>
      <c r="AU421" s="3"/>
      <c r="AV421" s="3">
        <f t="shared" si="232"/>
        <v>8486.1296714316031</v>
      </c>
      <c r="AW421" s="3"/>
      <c r="AX421" s="3">
        <f t="shared" si="233"/>
        <v>8740.7135615745519</v>
      </c>
      <c r="AZ421" s="3">
        <f t="shared" si="234"/>
        <v>9002.9349684217887</v>
      </c>
      <c r="BP421" s="5">
        <f t="shared" si="209"/>
        <v>-9002.9349684217887</v>
      </c>
    </row>
    <row r="422" spans="1:68" x14ac:dyDescent="0.25">
      <c r="A422" s="3" t="s">
        <v>330</v>
      </c>
      <c r="B422" s="5">
        <v>17500</v>
      </c>
      <c r="D422" s="5">
        <v>6221</v>
      </c>
      <c r="E422" s="3">
        <f t="shared" si="222"/>
        <v>11279</v>
      </c>
      <c r="F422" s="5">
        <v>17500</v>
      </c>
      <c r="H422" s="5">
        <f t="shared" si="223"/>
        <v>0</v>
      </c>
      <c r="J422" s="5">
        <v>7930</v>
      </c>
      <c r="K422" s="4">
        <f t="shared" si="224"/>
        <v>9570</v>
      </c>
      <c r="L422" s="4">
        <v>17500</v>
      </c>
      <c r="N422" s="4">
        <f t="shared" si="225"/>
        <v>0</v>
      </c>
      <c r="P422" s="3">
        <f>L422*1.0281+8</f>
        <v>17999.75</v>
      </c>
      <c r="Q422" s="3"/>
      <c r="R422" s="3">
        <v>3703</v>
      </c>
      <c r="S422" s="3">
        <f t="shared" si="214"/>
        <v>14297</v>
      </c>
      <c r="T422" s="3">
        <v>18000</v>
      </c>
      <c r="U422" s="3">
        <f t="shared" si="215"/>
        <v>0.25</v>
      </c>
      <c r="V422" s="3">
        <v>8724</v>
      </c>
      <c r="W422" s="3">
        <f t="shared" si="216"/>
        <v>8776</v>
      </c>
      <c r="X422" s="3"/>
      <c r="Y422" s="3">
        <v>17500</v>
      </c>
      <c r="Z422" s="3">
        <f t="shared" si="217"/>
        <v>-500</v>
      </c>
      <c r="AA422" s="3"/>
      <c r="AB422" s="3"/>
      <c r="AC422" s="3">
        <v>10358</v>
      </c>
      <c r="AD422" s="3">
        <f t="shared" si="220"/>
        <v>6642</v>
      </c>
      <c r="AE422" s="3">
        <v>17000</v>
      </c>
      <c r="AF422" s="3">
        <f t="shared" si="218"/>
        <v>-500</v>
      </c>
      <c r="AG422" s="3"/>
      <c r="AH422" s="3">
        <f>AE422*1.03-10</f>
        <v>17500</v>
      </c>
      <c r="AI422" s="3"/>
      <c r="AJ422" s="3">
        <f t="shared" si="226"/>
        <v>18025</v>
      </c>
      <c r="AK422" s="3"/>
      <c r="AL422" s="3">
        <f t="shared" si="227"/>
        <v>18565.75</v>
      </c>
      <c r="AM422" s="3"/>
      <c r="AN422" s="3">
        <f t="shared" si="228"/>
        <v>19122.7225</v>
      </c>
      <c r="AO422" s="3"/>
      <c r="AP422" s="3">
        <f t="shared" si="229"/>
        <v>19696.404175</v>
      </c>
      <c r="AQ422" s="3"/>
      <c r="AR422" s="3">
        <f t="shared" si="230"/>
        <v>20287.29630025</v>
      </c>
      <c r="AS422" s="3"/>
      <c r="AT422" s="3">
        <f t="shared" si="231"/>
        <v>20895.915189257499</v>
      </c>
      <c r="AU422" s="3"/>
      <c r="AV422" s="3">
        <f t="shared" si="232"/>
        <v>21522.792644935224</v>
      </c>
      <c r="AW422" s="3"/>
      <c r="AX422" s="3">
        <f t="shared" si="233"/>
        <v>22168.476424283283</v>
      </c>
      <c r="AZ422" s="3">
        <f t="shared" si="234"/>
        <v>22833.530717011781</v>
      </c>
      <c r="BP422" s="5">
        <f t="shared" si="209"/>
        <v>-22833.530717011781</v>
      </c>
    </row>
    <row r="423" spans="1:68" x14ac:dyDescent="0.25">
      <c r="A423" s="3" t="s">
        <v>331</v>
      </c>
      <c r="B423" s="5">
        <v>2500</v>
      </c>
      <c r="D423" s="5">
        <v>1335</v>
      </c>
      <c r="E423" s="3">
        <f t="shared" si="222"/>
        <v>1165</v>
      </c>
      <c r="F423" s="5">
        <v>2500</v>
      </c>
      <c r="H423" s="5">
        <f t="shared" si="223"/>
        <v>0</v>
      </c>
      <c r="J423" s="5">
        <v>1336</v>
      </c>
      <c r="K423" s="4">
        <f t="shared" si="224"/>
        <v>1164</v>
      </c>
      <c r="L423" s="4">
        <v>2500</v>
      </c>
      <c r="N423" s="4">
        <f t="shared" si="225"/>
        <v>0</v>
      </c>
      <c r="P423" s="3">
        <f>L423*1.07+25</f>
        <v>2700</v>
      </c>
      <c r="Q423" s="3"/>
      <c r="R423" s="3">
        <v>2056</v>
      </c>
      <c r="S423" s="3">
        <f t="shared" si="214"/>
        <v>644</v>
      </c>
      <c r="T423" s="3">
        <v>2700</v>
      </c>
      <c r="U423" s="3">
        <f t="shared" si="215"/>
        <v>0</v>
      </c>
      <c r="V423" s="3">
        <v>2056</v>
      </c>
      <c r="W423" s="3">
        <f t="shared" si="216"/>
        <v>644</v>
      </c>
      <c r="X423" s="3"/>
      <c r="Y423" s="3">
        <v>2700</v>
      </c>
      <c r="Z423" s="3">
        <f t="shared" si="217"/>
        <v>0</v>
      </c>
      <c r="AA423" s="3"/>
      <c r="AB423" s="3"/>
      <c r="AC423" s="3">
        <v>3332</v>
      </c>
      <c r="AD423" s="3">
        <f t="shared" si="220"/>
        <v>668</v>
      </c>
      <c r="AE423" s="3">
        <v>4000</v>
      </c>
      <c r="AF423" s="3">
        <f t="shared" si="218"/>
        <v>1300</v>
      </c>
      <c r="AG423" s="3"/>
      <c r="AH423" s="3">
        <f>AE423*1.07+20</f>
        <v>4300</v>
      </c>
      <c r="AI423" s="3"/>
      <c r="AJ423" s="3">
        <f t="shared" si="226"/>
        <v>4429</v>
      </c>
      <c r="AK423" s="3"/>
      <c r="AL423" s="3">
        <f t="shared" si="227"/>
        <v>4561.87</v>
      </c>
      <c r="AM423" s="3"/>
      <c r="AN423" s="3">
        <f t="shared" si="228"/>
        <v>4698.7260999999999</v>
      </c>
      <c r="AO423" s="3"/>
      <c r="AP423" s="3">
        <f t="shared" si="229"/>
        <v>4839.6878829999996</v>
      </c>
      <c r="AQ423" s="3"/>
      <c r="AR423" s="3">
        <f t="shared" si="230"/>
        <v>4984.8785194900001</v>
      </c>
      <c r="AS423" s="3"/>
      <c r="AT423" s="3">
        <f t="shared" si="231"/>
        <v>5134.4248750747001</v>
      </c>
      <c r="AU423" s="3"/>
      <c r="AV423" s="3">
        <f t="shared" si="232"/>
        <v>5288.4576213269411</v>
      </c>
      <c r="AW423" s="3"/>
      <c r="AX423" s="3">
        <f t="shared" si="233"/>
        <v>5447.111349966749</v>
      </c>
      <c r="AZ423" s="3">
        <f t="shared" si="234"/>
        <v>5610.5246904657515</v>
      </c>
      <c r="BP423" s="5">
        <f t="shared" si="209"/>
        <v>-5610.5246904657515</v>
      </c>
    </row>
    <row r="424" spans="1:68" x14ac:dyDescent="0.25">
      <c r="A424" s="3" t="s">
        <v>332</v>
      </c>
      <c r="B424" s="5">
        <v>8500</v>
      </c>
      <c r="D424" s="5">
        <v>973</v>
      </c>
      <c r="E424" s="3">
        <f t="shared" si="222"/>
        <v>7527</v>
      </c>
      <c r="F424" s="5">
        <v>8500</v>
      </c>
      <c r="H424" s="5">
        <f t="shared" si="223"/>
        <v>0</v>
      </c>
      <c r="J424" s="5">
        <f>1494+2442</f>
        <v>3936</v>
      </c>
      <c r="K424" s="4">
        <f t="shared" si="224"/>
        <v>4564</v>
      </c>
      <c r="L424" s="4">
        <v>8500</v>
      </c>
      <c r="N424" s="4">
        <f t="shared" si="225"/>
        <v>0</v>
      </c>
      <c r="P424" s="3">
        <v>2500</v>
      </c>
      <c r="Q424" s="3"/>
      <c r="R424" s="3">
        <v>1027</v>
      </c>
      <c r="S424" s="3">
        <f t="shared" si="214"/>
        <v>1473</v>
      </c>
      <c r="T424" s="3">
        <v>2500</v>
      </c>
      <c r="U424" s="3">
        <f t="shared" si="215"/>
        <v>0</v>
      </c>
      <c r="V424" s="3">
        <v>1417</v>
      </c>
      <c r="W424" s="3">
        <f t="shared" si="216"/>
        <v>1583</v>
      </c>
      <c r="X424" s="3"/>
      <c r="Y424" s="3">
        <v>3000</v>
      </c>
      <c r="Z424" s="3">
        <f t="shared" si="217"/>
        <v>500</v>
      </c>
      <c r="AA424" s="3"/>
      <c r="AB424" s="3"/>
      <c r="AC424" s="3">
        <v>3151</v>
      </c>
      <c r="AD424" s="3">
        <f t="shared" si="220"/>
        <v>849</v>
      </c>
      <c r="AE424" s="3">
        <v>4000</v>
      </c>
      <c r="AF424" s="3">
        <f t="shared" si="218"/>
        <v>1000</v>
      </c>
      <c r="AG424" s="3"/>
      <c r="AH424" s="3">
        <f>AE424*1.03+130</f>
        <v>4250</v>
      </c>
      <c r="AI424" s="3"/>
      <c r="AJ424" s="3">
        <f t="shared" si="226"/>
        <v>4377.5</v>
      </c>
      <c r="AK424" s="3"/>
      <c r="AL424" s="3">
        <f t="shared" si="227"/>
        <v>4508.8249999999998</v>
      </c>
      <c r="AM424" s="3"/>
      <c r="AN424" s="3">
        <f t="shared" si="228"/>
        <v>4644.0897500000001</v>
      </c>
      <c r="AO424" s="3"/>
      <c r="AP424" s="3">
        <f t="shared" si="229"/>
        <v>4783.4124425</v>
      </c>
      <c r="AQ424" s="3"/>
      <c r="AR424" s="3">
        <f t="shared" si="230"/>
        <v>4926.9148157750005</v>
      </c>
      <c r="AS424" s="3"/>
      <c r="AT424" s="3">
        <f t="shared" si="231"/>
        <v>5074.7222602482507</v>
      </c>
      <c r="AU424" s="3"/>
      <c r="AV424" s="3">
        <f t="shared" si="232"/>
        <v>5226.9639280556985</v>
      </c>
      <c r="AW424" s="3"/>
      <c r="AX424" s="3">
        <f t="shared" si="233"/>
        <v>5383.7728458973697</v>
      </c>
      <c r="AZ424" s="3">
        <f t="shared" si="234"/>
        <v>5545.2860312742914</v>
      </c>
      <c r="BP424" s="5">
        <f t="shared" si="209"/>
        <v>-5545.2860312742914</v>
      </c>
    </row>
    <row r="425" spans="1:68" x14ac:dyDescent="0.25">
      <c r="A425" s="3" t="s">
        <v>333</v>
      </c>
      <c r="B425" s="5">
        <v>39000</v>
      </c>
      <c r="D425" s="5">
        <v>0</v>
      </c>
      <c r="E425" s="3">
        <f t="shared" si="222"/>
        <v>39000</v>
      </c>
      <c r="F425" s="5">
        <v>39000</v>
      </c>
      <c r="H425" s="5">
        <f t="shared" si="223"/>
        <v>0</v>
      </c>
      <c r="J425" s="5">
        <v>0</v>
      </c>
      <c r="K425" s="4">
        <f t="shared" si="224"/>
        <v>39000</v>
      </c>
      <c r="L425" s="4">
        <v>39000</v>
      </c>
      <c r="N425" s="4">
        <f t="shared" si="225"/>
        <v>0</v>
      </c>
      <c r="P425" s="3">
        <v>39000</v>
      </c>
      <c r="Q425" s="3"/>
      <c r="R425" s="3">
        <v>0</v>
      </c>
      <c r="S425" s="3">
        <f t="shared" si="214"/>
        <v>39000</v>
      </c>
      <c r="T425" s="3">
        <v>39000</v>
      </c>
      <c r="U425" s="3">
        <f t="shared" si="215"/>
        <v>0</v>
      </c>
      <c r="V425" s="3">
        <v>0</v>
      </c>
      <c r="W425" s="3">
        <f t="shared" si="216"/>
        <v>39000</v>
      </c>
      <c r="X425" s="3"/>
      <c r="Y425" s="3">
        <v>39000</v>
      </c>
      <c r="Z425" s="3">
        <f t="shared" si="217"/>
        <v>0</v>
      </c>
      <c r="AA425" s="3"/>
      <c r="AB425" s="3"/>
      <c r="AC425" s="3">
        <v>0</v>
      </c>
      <c r="AD425" s="3">
        <f t="shared" si="220"/>
        <v>39000</v>
      </c>
      <c r="AE425" s="3">
        <v>39000</v>
      </c>
      <c r="AF425" s="3">
        <f t="shared" si="218"/>
        <v>0</v>
      </c>
      <c r="AG425" s="3"/>
      <c r="AH425" s="3">
        <v>39000</v>
      </c>
      <c r="AI425" s="3"/>
      <c r="AJ425" s="3">
        <v>39000</v>
      </c>
      <c r="AK425" s="3">
        <f>AI425*1.0281</f>
        <v>0</v>
      </c>
      <c r="AL425" s="3">
        <v>39000</v>
      </c>
      <c r="AM425" s="3">
        <f>AK425*1.0281</f>
        <v>0</v>
      </c>
      <c r="AN425" s="3">
        <v>39000</v>
      </c>
      <c r="AO425" s="3"/>
      <c r="AP425" s="3">
        <v>39000</v>
      </c>
      <c r="AQ425" s="3"/>
      <c r="AR425" s="3">
        <v>39000</v>
      </c>
      <c r="AS425" s="3"/>
      <c r="AT425" s="3">
        <v>39000</v>
      </c>
      <c r="AU425" s="3"/>
      <c r="AV425" s="3">
        <v>39000</v>
      </c>
      <c r="AW425" s="3"/>
      <c r="AX425" s="3">
        <v>39000</v>
      </c>
      <c r="AZ425" s="3">
        <v>39000</v>
      </c>
      <c r="BP425" s="5">
        <f t="shared" si="209"/>
        <v>-39000</v>
      </c>
    </row>
    <row r="426" spans="1:68" x14ac:dyDescent="0.25">
      <c r="A426" s="3" t="s">
        <v>334</v>
      </c>
      <c r="B426" s="5">
        <v>16500</v>
      </c>
      <c r="D426" s="5">
        <v>142</v>
      </c>
      <c r="E426" s="3">
        <f t="shared" si="222"/>
        <v>16358</v>
      </c>
      <c r="F426" s="5">
        <v>16500</v>
      </c>
      <c r="H426" s="5">
        <f t="shared" si="223"/>
        <v>0</v>
      </c>
      <c r="J426" s="5">
        <f>142</f>
        <v>142</v>
      </c>
      <c r="K426" s="4">
        <f t="shared" si="224"/>
        <v>8858</v>
      </c>
      <c r="L426" s="4">
        <v>9000</v>
      </c>
      <c r="N426" s="4">
        <f t="shared" si="225"/>
        <v>-7500</v>
      </c>
      <c r="P426" s="3">
        <f>L426*1.0281+47</f>
        <v>9299.9</v>
      </c>
      <c r="Q426" s="3"/>
      <c r="R426" s="3">
        <v>2117</v>
      </c>
      <c r="S426" s="3">
        <f t="shared" si="214"/>
        <v>6883</v>
      </c>
      <c r="T426" s="3">
        <v>9000</v>
      </c>
      <c r="U426" s="3">
        <f t="shared" si="215"/>
        <v>-299.89999999999964</v>
      </c>
      <c r="V426" s="3">
        <v>3551</v>
      </c>
      <c r="W426" s="3">
        <f t="shared" si="216"/>
        <v>4449</v>
      </c>
      <c r="X426" s="3"/>
      <c r="Y426" s="3">
        <v>8000</v>
      </c>
      <c r="Z426" s="3">
        <f t="shared" si="217"/>
        <v>-1000</v>
      </c>
      <c r="AA426" s="3"/>
      <c r="AB426" s="3"/>
      <c r="AC426" s="3">
        <f>3427+1522</f>
        <v>4949</v>
      </c>
      <c r="AD426" s="3">
        <f t="shared" si="220"/>
        <v>3051</v>
      </c>
      <c r="AE426" s="3">
        <v>8000</v>
      </c>
      <c r="AF426" s="3">
        <f t="shared" si="218"/>
        <v>0</v>
      </c>
      <c r="AG426" s="3"/>
      <c r="AH426" s="3">
        <f>AE426*1.03+260</f>
        <v>8500</v>
      </c>
      <c r="AI426" s="3"/>
      <c r="AJ426" s="3">
        <f>AH426*1.03</f>
        <v>8755</v>
      </c>
      <c r="AK426" s="3"/>
      <c r="AL426" s="3">
        <f>AJ426*1.03</f>
        <v>9017.65</v>
      </c>
      <c r="AM426" s="3"/>
      <c r="AN426" s="3">
        <f>AL426*1.03</f>
        <v>9288.1795000000002</v>
      </c>
      <c r="AO426" s="3"/>
      <c r="AP426" s="3">
        <f>AN426*1.03</f>
        <v>9566.824885</v>
      </c>
      <c r="AQ426" s="3"/>
      <c r="AR426" s="3">
        <f>AP426*1.03</f>
        <v>9853.8296315500011</v>
      </c>
      <c r="AS426" s="3"/>
      <c r="AT426" s="3">
        <f>AR426*1.03</f>
        <v>10149.444520496501</v>
      </c>
      <c r="AU426" s="3"/>
      <c r="AV426" s="3">
        <f>AT426*1.03</f>
        <v>10453.927856111397</v>
      </c>
      <c r="AW426" s="3"/>
      <c r="AX426" s="3">
        <f>AV426*1.03</f>
        <v>10767.545691794739</v>
      </c>
      <c r="AZ426" s="3">
        <f>AX426*1.03</f>
        <v>11090.572062548583</v>
      </c>
      <c r="BP426" s="5">
        <f t="shared" si="209"/>
        <v>-11090.572062548583</v>
      </c>
    </row>
    <row r="427" spans="1:68" x14ac:dyDescent="0.25">
      <c r="A427" s="3" t="s">
        <v>335</v>
      </c>
      <c r="B427" s="5">
        <v>45000</v>
      </c>
      <c r="D427" s="5">
        <f>21066+7757</f>
        <v>28823</v>
      </c>
      <c r="E427" s="3">
        <f t="shared" si="222"/>
        <v>16177</v>
      </c>
      <c r="F427" s="5">
        <v>45000</v>
      </c>
      <c r="H427" s="5">
        <f t="shared" si="223"/>
        <v>0</v>
      </c>
      <c r="J427" s="5">
        <f>45089+7756</f>
        <v>52845</v>
      </c>
      <c r="K427" s="4">
        <f t="shared" si="224"/>
        <v>1155</v>
      </c>
      <c r="L427" s="4">
        <v>54000</v>
      </c>
      <c r="N427" s="4">
        <f t="shared" si="225"/>
        <v>9000</v>
      </c>
      <c r="P427" s="3">
        <v>90000</v>
      </c>
      <c r="Q427" s="3"/>
      <c r="R427" s="3">
        <v>26274</v>
      </c>
      <c r="S427" s="3">
        <f t="shared" si="214"/>
        <v>63726</v>
      </c>
      <c r="T427" s="3">
        <v>90000</v>
      </c>
      <c r="U427" s="3">
        <f t="shared" si="215"/>
        <v>0</v>
      </c>
      <c r="V427" s="3">
        <v>38517</v>
      </c>
      <c r="W427" s="3">
        <f t="shared" si="216"/>
        <v>51483</v>
      </c>
      <c r="X427" s="3"/>
      <c r="Y427" s="3">
        <v>90000</v>
      </c>
      <c r="Z427" s="3">
        <f t="shared" si="217"/>
        <v>0</v>
      </c>
      <c r="AA427" s="3"/>
      <c r="AB427" s="3"/>
      <c r="AC427" s="3">
        <f>56751+817</f>
        <v>57568</v>
      </c>
      <c r="AD427" s="3">
        <f t="shared" si="220"/>
        <v>32432</v>
      </c>
      <c r="AE427" s="3">
        <v>90000</v>
      </c>
      <c r="AF427" s="3">
        <f t="shared" si="218"/>
        <v>0</v>
      </c>
      <c r="AG427" s="3"/>
      <c r="AH427" s="3">
        <f>100000-5000</f>
        <v>95000</v>
      </c>
      <c r="AI427" s="3"/>
      <c r="AJ427" s="3">
        <f>AH427*1.03</f>
        <v>97850</v>
      </c>
      <c r="AK427" s="3"/>
      <c r="AL427" s="3">
        <f>AJ427*1.03</f>
        <v>100785.5</v>
      </c>
      <c r="AM427" s="3"/>
      <c r="AN427" s="3">
        <f>AL427*1.03</f>
        <v>103809.065</v>
      </c>
      <c r="AO427" s="3"/>
      <c r="AP427" s="3">
        <f>AN427*1.03</f>
        <v>106923.33695000001</v>
      </c>
      <c r="AQ427" s="3"/>
      <c r="AR427" s="3">
        <f>AP427*1.03</f>
        <v>110131.03705850002</v>
      </c>
      <c r="AS427" s="3"/>
      <c r="AT427" s="3">
        <f>AR427*1.03</f>
        <v>113434.96817025503</v>
      </c>
      <c r="AU427" s="3"/>
      <c r="AV427" s="3">
        <f>AT427*1.03</f>
        <v>116838.01721536268</v>
      </c>
      <c r="AW427" s="3"/>
      <c r="AX427" s="3">
        <f>AV427*1.03</f>
        <v>120343.15773182356</v>
      </c>
      <c r="AZ427" s="3">
        <f>AX427*1.03</f>
        <v>123953.45246377827</v>
      </c>
      <c r="BP427" s="5">
        <f t="shared" si="209"/>
        <v>-123953.45246377827</v>
      </c>
    </row>
    <row r="428" spans="1:68" x14ac:dyDescent="0.25">
      <c r="A428" s="3" t="s">
        <v>336</v>
      </c>
      <c r="B428" s="5">
        <v>17500</v>
      </c>
      <c r="D428" s="5">
        <v>0</v>
      </c>
      <c r="E428" s="3">
        <f t="shared" si="222"/>
        <v>17500</v>
      </c>
      <c r="F428" s="5">
        <v>17500</v>
      </c>
      <c r="H428" s="5">
        <f t="shared" si="223"/>
        <v>0</v>
      </c>
      <c r="J428" s="5">
        <v>0</v>
      </c>
      <c r="K428" s="4">
        <f t="shared" si="224"/>
        <v>17500</v>
      </c>
      <c r="L428" s="4">
        <v>17500</v>
      </c>
      <c r="N428" s="4">
        <f t="shared" si="225"/>
        <v>0</v>
      </c>
      <c r="P428" s="3">
        <v>17500</v>
      </c>
      <c r="Q428" s="3"/>
      <c r="R428" s="3">
        <v>0</v>
      </c>
      <c r="S428" s="3">
        <f t="shared" si="214"/>
        <v>17500</v>
      </c>
      <c r="T428" s="3">
        <v>17500</v>
      </c>
      <c r="U428" s="3">
        <f t="shared" si="215"/>
        <v>0</v>
      </c>
      <c r="V428" s="3">
        <v>0</v>
      </c>
      <c r="W428" s="3">
        <f t="shared" si="216"/>
        <v>17500</v>
      </c>
      <c r="X428" s="3"/>
      <c r="Y428" s="3">
        <v>17500</v>
      </c>
      <c r="Z428" s="3">
        <f t="shared" si="217"/>
        <v>0</v>
      </c>
      <c r="AA428" s="3"/>
      <c r="AB428" s="3"/>
      <c r="AC428" s="3">
        <v>0</v>
      </c>
      <c r="AD428" s="3">
        <f t="shared" si="220"/>
        <v>17500</v>
      </c>
      <c r="AE428" s="3">
        <v>17500</v>
      </c>
      <c r="AF428" s="3">
        <f t="shared" si="218"/>
        <v>0</v>
      </c>
      <c r="AG428" s="3"/>
      <c r="AH428" s="3">
        <v>17500</v>
      </c>
      <c r="AI428" s="3"/>
      <c r="AJ428" s="3">
        <v>17500</v>
      </c>
      <c r="AK428" s="3"/>
      <c r="AL428" s="3">
        <v>17500</v>
      </c>
      <c r="AM428" s="3"/>
      <c r="AN428" s="3">
        <v>17500</v>
      </c>
      <c r="AO428" s="3"/>
      <c r="AP428" s="3">
        <v>17500</v>
      </c>
      <c r="AQ428" s="42"/>
      <c r="AR428" s="3">
        <v>17500</v>
      </c>
      <c r="AS428" s="42"/>
      <c r="AT428" s="3">
        <v>17500</v>
      </c>
      <c r="AU428" s="42"/>
      <c r="AV428" s="3">
        <v>17500</v>
      </c>
      <c r="AW428" s="42"/>
      <c r="AX428" s="3">
        <v>17500</v>
      </c>
      <c r="AZ428" s="3">
        <v>17500</v>
      </c>
      <c r="BP428" s="5">
        <f t="shared" si="209"/>
        <v>-17500</v>
      </c>
    </row>
    <row r="429" spans="1:68" x14ac:dyDescent="0.25">
      <c r="A429" s="3" t="s">
        <v>337</v>
      </c>
      <c r="B429" s="5">
        <v>16000</v>
      </c>
      <c r="D429" s="5">
        <v>21980</v>
      </c>
      <c r="E429" s="3">
        <f t="shared" si="222"/>
        <v>1020</v>
      </c>
      <c r="F429" s="5">
        <v>23000</v>
      </c>
      <c r="H429" s="5">
        <f t="shared" si="223"/>
        <v>7000</v>
      </c>
      <c r="J429" s="5">
        <v>29534</v>
      </c>
      <c r="K429" s="4">
        <f t="shared" si="224"/>
        <v>966</v>
      </c>
      <c r="L429" s="4">
        <v>30500</v>
      </c>
      <c r="N429" s="4">
        <f t="shared" si="225"/>
        <v>7500</v>
      </c>
      <c r="P429" s="3">
        <v>36500</v>
      </c>
      <c r="Q429" s="3"/>
      <c r="R429" s="3">
        <v>33724</v>
      </c>
      <c r="S429" s="3">
        <f t="shared" si="214"/>
        <v>2776</v>
      </c>
      <c r="T429" s="3">
        <v>36500</v>
      </c>
      <c r="U429" s="3">
        <f t="shared" si="215"/>
        <v>0</v>
      </c>
      <c r="V429" s="3">
        <v>27171</v>
      </c>
      <c r="W429" s="3">
        <f t="shared" si="216"/>
        <v>7829</v>
      </c>
      <c r="X429" s="3"/>
      <c r="Y429" s="3">
        <v>35000</v>
      </c>
      <c r="Z429" s="3">
        <f t="shared" si="217"/>
        <v>-1500</v>
      </c>
      <c r="AA429" s="3"/>
      <c r="AB429" s="3"/>
      <c r="AC429" s="3">
        <v>29984</v>
      </c>
      <c r="AD429" s="3">
        <f t="shared" si="220"/>
        <v>5016</v>
      </c>
      <c r="AE429" s="3">
        <v>35000</v>
      </c>
      <c r="AF429" s="3">
        <f t="shared" si="218"/>
        <v>0</v>
      </c>
      <c r="AG429" s="3"/>
      <c r="AH429" s="3">
        <f>AE429*1.03-50</f>
        <v>36000</v>
      </c>
      <c r="AI429" s="3"/>
      <c r="AJ429" s="3">
        <f t="shared" ref="AJ429:AJ436" si="235">AH429*1.03</f>
        <v>37080</v>
      </c>
      <c r="AK429" s="3"/>
      <c r="AL429" s="3">
        <f t="shared" ref="AL429:AL436" si="236">AJ429*1.03</f>
        <v>38192.400000000001</v>
      </c>
      <c r="AM429" s="3"/>
      <c r="AN429" s="3">
        <f t="shared" ref="AN429:AN436" si="237">AL429*1.03</f>
        <v>39338.172000000006</v>
      </c>
      <c r="AO429" s="3"/>
      <c r="AP429" s="3">
        <f t="shared" ref="AP429:AP436" si="238">AN429*1.03</f>
        <v>40518.317160000006</v>
      </c>
      <c r="AQ429" s="3"/>
      <c r="AR429" s="3">
        <f t="shared" ref="AR429:AR436" si="239">AP429*1.03</f>
        <v>41733.866674800011</v>
      </c>
      <c r="AS429" s="3"/>
      <c r="AT429" s="3">
        <f t="shared" ref="AT429:AT436" si="240">AR429*1.03</f>
        <v>42985.882675044013</v>
      </c>
      <c r="AU429" s="3"/>
      <c r="AV429" s="3">
        <f t="shared" ref="AV429:AV436" si="241">AT429*1.03</f>
        <v>44275.459155295335</v>
      </c>
      <c r="AW429" s="3"/>
      <c r="AX429" s="3">
        <f t="shared" ref="AX429:AX436" si="242">AV429*1.03</f>
        <v>45603.722929954194</v>
      </c>
      <c r="AZ429" s="3">
        <f t="shared" ref="AZ429:AZ436" si="243">AX429*1.03</f>
        <v>46971.834617852823</v>
      </c>
      <c r="BP429" s="5">
        <f t="shared" si="209"/>
        <v>-46971.834617852823</v>
      </c>
    </row>
    <row r="430" spans="1:68" x14ac:dyDescent="0.25">
      <c r="A430" s="3" t="s">
        <v>338</v>
      </c>
      <c r="B430" s="5">
        <v>3000</v>
      </c>
      <c r="D430" s="5">
        <v>0</v>
      </c>
      <c r="E430" s="3">
        <f t="shared" si="222"/>
        <v>3000</v>
      </c>
      <c r="F430" s="5">
        <v>3000</v>
      </c>
      <c r="H430" s="5">
        <f t="shared" si="223"/>
        <v>0</v>
      </c>
      <c r="J430" s="5">
        <v>0</v>
      </c>
      <c r="K430" s="4">
        <f t="shared" si="224"/>
        <v>0</v>
      </c>
      <c r="L430" s="4">
        <v>0</v>
      </c>
      <c r="N430" s="4">
        <f t="shared" si="225"/>
        <v>-3000</v>
      </c>
      <c r="P430" s="3"/>
      <c r="Q430" s="3"/>
      <c r="R430" s="3"/>
      <c r="S430" s="3">
        <f t="shared" si="214"/>
        <v>0</v>
      </c>
      <c r="T430" s="3"/>
      <c r="U430" s="3">
        <f t="shared" si="215"/>
        <v>0</v>
      </c>
      <c r="V430" s="3"/>
      <c r="W430" s="3">
        <f t="shared" si="216"/>
        <v>0</v>
      </c>
      <c r="X430" s="3"/>
      <c r="Y430" s="3"/>
      <c r="Z430" s="3">
        <f t="shared" si="217"/>
        <v>0</v>
      </c>
      <c r="AA430" s="3"/>
      <c r="AB430" s="3"/>
      <c r="AC430" s="3"/>
      <c r="AD430" s="3">
        <f t="shared" si="220"/>
        <v>0</v>
      </c>
      <c r="AE430" s="3"/>
      <c r="AF430" s="3">
        <f t="shared" si="218"/>
        <v>0</v>
      </c>
      <c r="AG430" s="3"/>
      <c r="AH430" s="3"/>
      <c r="AI430" s="3"/>
      <c r="AJ430" s="3">
        <f t="shared" si="235"/>
        <v>0</v>
      </c>
      <c r="AK430" s="3"/>
      <c r="AL430" s="3">
        <f t="shared" si="236"/>
        <v>0</v>
      </c>
      <c r="AM430" s="3"/>
      <c r="AN430" s="3">
        <f t="shared" si="237"/>
        <v>0</v>
      </c>
      <c r="AO430" s="3"/>
      <c r="AP430" s="3">
        <f t="shared" si="238"/>
        <v>0</v>
      </c>
      <c r="AQ430" s="3"/>
      <c r="AR430" s="3">
        <f t="shared" si="239"/>
        <v>0</v>
      </c>
      <c r="AS430" s="3"/>
      <c r="AT430" s="3">
        <f t="shared" si="240"/>
        <v>0</v>
      </c>
      <c r="AU430" s="3"/>
      <c r="AV430" s="3">
        <f t="shared" si="241"/>
        <v>0</v>
      </c>
      <c r="AW430" s="3"/>
      <c r="AX430" s="3">
        <f t="shared" si="242"/>
        <v>0</v>
      </c>
      <c r="AZ430" s="3">
        <f t="shared" si="243"/>
        <v>0</v>
      </c>
      <c r="BP430" s="5">
        <f t="shared" si="209"/>
        <v>0</v>
      </c>
    </row>
    <row r="431" spans="1:68" x14ac:dyDescent="0.25">
      <c r="A431" s="3" t="s">
        <v>339</v>
      </c>
      <c r="B431" s="5">
        <v>24750</v>
      </c>
      <c r="D431" s="5">
        <v>4601</v>
      </c>
      <c r="E431" s="3">
        <f t="shared" si="222"/>
        <v>19149</v>
      </c>
      <c r="F431" s="5">
        <v>23750</v>
      </c>
      <c r="H431" s="5">
        <f t="shared" si="223"/>
        <v>-1000</v>
      </c>
      <c r="J431" s="5">
        <v>7714</v>
      </c>
      <c r="K431" s="4">
        <f t="shared" si="224"/>
        <v>15786</v>
      </c>
      <c r="L431" s="4">
        <v>23500</v>
      </c>
      <c r="N431" s="4">
        <f t="shared" si="225"/>
        <v>-250</v>
      </c>
      <c r="P431" s="3">
        <f>23500*1.0281+40</f>
        <v>24200.35</v>
      </c>
      <c r="Q431" s="3"/>
      <c r="R431" s="3">
        <v>4230</v>
      </c>
      <c r="S431" s="3">
        <f t="shared" si="214"/>
        <v>19970</v>
      </c>
      <c r="T431" s="3">
        <v>24200</v>
      </c>
      <c r="U431" s="3">
        <f t="shared" si="215"/>
        <v>-0.34999999999854481</v>
      </c>
      <c r="V431" s="3">
        <v>8226</v>
      </c>
      <c r="W431" s="3">
        <f t="shared" si="216"/>
        <v>14974</v>
      </c>
      <c r="X431" s="3"/>
      <c r="Y431" s="3">
        <v>23200</v>
      </c>
      <c r="Z431" s="3">
        <f t="shared" si="217"/>
        <v>-1000</v>
      </c>
      <c r="AA431" s="3"/>
      <c r="AB431" s="3"/>
      <c r="AC431" s="3">
        <v>11892</v>
      </c>
      <c r="AD431" s="3">
        <f t="shared" si="220"/>
        <v>11308</v>
      </c>
      <c r="AE431" s="3">
        <v>23200</v>
      </c>
      <c r="AF431" s="3">
        <f t="shared" si="218"/>
        <v>0</v>
      </c>
      <c r="AG431" s="3"/>
      <c r="AH431" s="3">
        <f>AE431*1.03+4-200</f>
        <v>23700</v>
      </c>
      <c r="AI431" s="3"/>
      <c r="AJ431" s="3">
        <f t="shared" si="235"/>
        <v>24411</v>
      </c>
      <c r="AK431" s="3"/>
      <c r="AL431" s="3">
        <f t="shared" si="236"/>
        <v>25143.33</v>
      </c>
      <c r="AM431" s="3"/>
      <c r="AN431" s="3">
        <f t="shared" si="237"/>
        <v>25897.629900000004</v>
      </c>
      <c r="AO431" s="3"/>
      <c r="AP431" s="3">
        <f t="shared" si="238"/>
        <v>26674.558797000005</v>
      </c>
      <c r="AQ431" s="3"/>
      <c r="AR431" s="3">
        <f t="shared" si="239"/>
        <v>27474.795560910006</v>
      </c>
      <c r="AS431" s="3"/>
      <c r="AT431" s="3">
        <f t="shared" si="240"/>
        <v>28299.039427737309</v>
      </c>
      <c r="AU431" s="3"/>
      <c r="AV431" s="3">
        <f t="shared" si="241"/>
        <v>29148.010610569429</v>
      </c>
      <c r="AW431" s="3"/>
      <c r="AX431" s="3">
        <f t="shared" si="242"/>
        <v>30022.450928886512</v>
      </c>
      <c r="AZ431" s="3">
        <f t="shared" si="243"/>
        <v>30923.124456753107</v>
      </c>
      <c r="BP431" s="5">
        <f t="shared" si="209"/>
        <v>-30923.124456753107</v>
      </c>
    </row>
    <row r="432" spans="1:68" x14ac:dyDescent="0.25">
      <c r="A432" s="3" t="s">
        <v>340</v>
      </c>
      <c r="B432" s="5">
        <v>16300</v>
      </c>
      <c r="D432" s="5">
        <v>15274</v>
      </c>
      <c r="E432" s="3">
        <f t="shared" si="222"/>
        <v>1</v>
      </c>
      <c r="F432" s="5">
        <v>15275</v>
      </c>
      <c r="H432" s="5">
        <f t="shared" si="223"/>
        <v>-1025</v>
      </c>
      <c r="J432" s="5">
        <v>15274</v>
      </c>
      <c r="K432" s="4">
        <f t="shared" si="224"/>
        <v>1</v>
      </c>
      <c r="L432" s="4">
        <v>15275</v>
      </c>
      <c r="N432" s="4">
        <f t="shared" si="225"/>
        <v>0</v>
      </c>
      <c r="P432" s="3">
        <f>L432*1.0281-4</f>
        <v>15700.227500000001</v>
      </c>
      <c r="Q432" s="3"/>
      <c r="R432" s="3">
        <v>20467</v>
      </c>
      <c r="S432" s="3">
        <f t="shared" si="214"/>
        <v>3</v>
      </c>
      <c r="T432" s="3">
        <v>20470</v>
      </c>
      <c r="U432" s="3">
        <f t="shared" si="215"/>
        <v>4769.7724999999991</v>
      </c>
      <c r="V432" s="3">
        <v>20467</v>
      </c>
      <c r="W432" s="3">
        <f t="shared" si="216"/>
        <v>3</v>
      </c>
      <c r="X432" s="3"/>
      <c r="Y432" s="3">
        <v>20470</v>
      </c>
      <c r="Z432" s="3">
        <f t="shared" si="217"/>
        <v>0</v>
      </c>
      <c r="AA432" s="3"/>
      <c r="AB432" s="3"/>
      <c r="AC432" s="3">
        <v>20467</v>
      </c>
      <c r="AD432" s="3">
        <f t="shared" si="220"/>
        <v>3</v>
      </c>
      <c r="AE432" s="3">
        <v>20470</v>
      </c>
      <c r="AF432" s="3">
        <f t="shared" si="218"/>
        <v>0</v>
      </c>
      <c r="AG432" s="3"/>
      <c r="AH432" s="3">
        <f>AE432*1.03+16</f>
        <v>21100.100000000002</v>
      </c>
      <c r="AI432" s="3"/>
      <c r="AJ432" s="3">
        <f t="shared" si="235"/>
        <v>21733.103000000003</v>
      </c>
      <c r="AK432" s="3"/>
      <c r="AL432" s="3">
        <f t="shared" si="236"/>
        <v>22385.096090000003</v>
      </c>
      <c r="AM432" s="3"/>
      <c r="AN432" s="3">
        <f t="shared" si="237"/>
        <v>23056.648972700004</v>
      </c>
      <c r="AO432" s="3"/>
      <c r="AP432" s="3">
        <f t="shared" si="238"/>
        <v>23748.348441881004</v>
      </c>
      <c r="AQ432" s="3"/>
      <c r="AR432" s="3">
        <f t="shared" si="239"/>
        <v>24460.798895137435</v>
      </c>
      <c r="AS432" s="3"/>
      <c r="AT432" s="3">
        <f t="shared" si="240"/>
        <v>25194.62286199156</v>
      </c>
      <c r="AU432" s="3"/>
      <c r="AV432" s="3">
        <f t="shared" si="241"/>
        <v>25950.461547851308</v>
      </c>
      <c r="AW432" s="3"/>
      <c r="AX432" s="3">
        <f t="shared" si="242"/>
        <v>26728.975394286848</v>
      </c>
      <c r="AZ432" s="3">
        <f t="shared" si="243"/>
        <v>27530.844656115456</v>
      </c>
      <c r="BP432" s="5">
        <f t="shared" si="209"/>
        <v>-27530.844656115456</v>
      </c>
    </row>
    <row r="433" spans="1:68" x14ac:dyDescent="0.25">
      <c r="A433" s="3" t="s">
        <v>341</v>
      </c>
      <c r="B433" s="5">
        <v>5300</v>
      </c>
      <c r="D433" s="5">
        <v>950</v>
      </c>
      <c r="E433" s="3">
        <f t="shared" si="222"/>
        <v>4350</v>
      </c>
      <c r="F433" s="5">
        <v>5300</v>
      </c>
      <c r="H433" s="5">
        <f t="shared" si="223"/>
        <v>0</v>
      </c>
      <c r="J433" s="5">
        <v>950</v>
      </c>
      <c r="K433" s="4">
        <f t="shared" si="224"/>
        <v>4050</v>
      </c>
      <c r="L433" s="4">
        <v>5000</v>
      </c>
      <c r="N433" s="4">
        <f t="shared" si="225"/>
        <v>-300</v>
      </c>
      <c r="P433" s="3">
        <f>L433*1.0281+459</f>
        <v>5599.5</v>
      </c>
      <c r="Q433" s="3"/>
      <c r="R433" s="3">
        <v>995</v>
      </c>
      <c r="S433" s="3">
        <f t="shared" si="214"/>
        <v>4605</v>
      </c>
      <c r="T433" s="3">
        <v>5600</v>
      </c>
      <c r="U433" s="3">
        <f t="shared" si="215"/>
        <v>0.5</v>
      </c>
      <c r="V433" s="3">
        <v>996</v>
      </c>
      <c r="W433" s="3">
        <f t="shared" si="216"/>
        <v>4604</v>
      </c>
      <c r="X433" s="3"/>
      <c r="Y433" s="3">
        <v>5600</v>
      </c>
      <c r="Z433" s="3">
        <f t="shared" si="217"/>
        <v>0</v>
      </c>
      <c r="AA433" s="3"/>
      <c r="AB433" s="3"/>
      <c r="AC433" s="3">
        <v>3103</v>
      </c>
      <c r="AD433" s="3">
        <f t="shared" si="220"/>
        <v>2497</v>
      </c>
      <c r="AE433" s="3">
        <v>5600</v>
      </c>
      <c r="AF433" s="3">
        <f t="shared" si="218"/>
        <v>0</v>
      </c>
      <c r="AG433" s="3"/>
      <c r="AH433" s="3">
        <f>AE433*1.03+32</f>
        <v>5800</v>
      </c>
      <c r="AI433" s="3"/>
      <c r="AJ433" s="3">
        <f t="shared" si="235"/>
        <v>5974</v>
      </c>
      <c r="AK433" s="3"/>
      <c r="AL433" s="3">
        <f t="shared" si="236"/>
        <v>6153.22</v>
      </c>
      <c r="AM433" s="3"/>
      <c r="AN433" s="3">
        <f t="shared" si="237"/>
        <v>6337.8166000000001</v>
      </c>
      <c r="AO433" s="3"/>
      <c r="AP433" s="3">
        <f t="shared" si="238"/>
        <v>6527.9510980000005</v>
      </c>
      <c r="AQ433" s="3"/>
      <c r="AR433" s="3">
        <f t="shared" si="239"/>
        <v>6723.7896309400003</v>
      </c>
      <c r="AS433" s="3"/>
      <c r="AT433" s="3">
        <f t="shared" si="240"/>
        <v>6925.5033198682004</v>
      </c>
      <c r="AU433" s="3"/>
      <c r="AV433" s="3">
        <f t="shared" si="241"/>
        <v>7133.268419464247</v>
      </c>
      <c r="AW433" s="3"/>
      <c r="AX433" s="3">
        <f t="shared" si="242"/>
        <v>7347.2664720481744</v>
      </c>
      <c r="AZ433" s="3">
        <f t="shared" si="243"/>
        <v>7567.68446620962</v>
      </c>
      <c r="BP433" s="5">
        <f t="shared" si="209"/>
        <v>-7567.68446620962</v>
      </c>
    </row>
    <row r="434" spans="1:68" x14ac:dyDescent="0.25">
      <c r="A434" s="3" t="s">
        <v>342</v>
      </c>
      <c r="B434" s="5">
        <v>0</v>
      </c>
      <c r="E434" s="3">
        <f t="shared" si="222"/>
        <v>0</v>
      </c>
      <c r="H434" s="5">
        <f t="shared" si="223"/>
        <v>0</v>
      </c>
      <c r="K434" s="4">
        <f t="shared" si="224"/>
        <v>0</v>
      </c>
      <c r="L434" s="4">
        <v>0</v>
      </c>
      <c r="N434" s="4">
        <f t="shared" si="225"/>
        <v>0</v>
      </c>
      <c r="P434" s="3">
        <v>0</v>
      </c>
      <c r="Q434" s="3"/>
      <c r="R434" s="3"/>
      <c r="S434" s="3">
        <f t="shared" si="214"/>
        <v>0</v>
      </c>
      <c r="T434" s="3"/>
      <c r="U434" s="3">
        <f t="shared" si="215"/>
        <v>0</v>
      </c>
      <c r="V434" s="3"/>
      <c r="W434" s="3">
        <f t="shared" si="216"/>
        <v>0</v>
      </c>
      <c r="X434" s="3"/>
      <c r="Y434" s="3"/>
      <c r="Z434" s="3">
        <f t="shared" si="217"/>
        <v>0</v>
      </c>
      <c r="AA434" s="3"/>
      <c r="AB434" s="3"/>
      <c r="AC434" s="3"/>
      <c r="AD434" s="3">
        <f t="shared" si="220"/>
        <v>0</v>
      </c>
      <c r="AE434" s="3"/>
      <c r="AF434" s="3">
        <f t="shared" si="218"/>
        <v>0</v>
      </c>
      <c r="AG434" s="3"/>
      <c r="AH434" s="3">
        <f>AE434*1.03</f>
        <v>0</v>
      </c>
      <c r="AI434" s="3"/>
      <c r="AJ434" s="3">
        <f t="shared" si="235"/>
        <v>0</v>
      </c>
      <c r="AK434" s="3"/>
      <c r="AL434" s="3">
        <f t="shared" si="236"/>
        <v>0</v>
      </c>
      <c r="AM434" s="3"/>
      <c r="AN434" s="3">
        <f t="shared" si="237"/>
        <v>0</v>
      </c>
      <c r="AO434" s="3"/>
      <c r="AP434" s="3">
        <f t="shared" si="238"/>
        <v>0</v>
      </c>
      <c r="AQ434" s="3"/>
      <c r="AR434" s="3">
        <f t="shared" si="239"/>
        <v>0</v>
      </c>
      <c r="AS434" s="3"/>
      <c r="AT434" s="3">
        <f t="shared" si="240"/>
        <v>0</v>
      </c>
      <c r="AU434" s="3"/>
      <c r="AV434" s="3">
        <f t="shared" si="241"/>
        <v>0</v>
      </c>
      <c r="AW434" s="3"/>
      <c r="AX434" s="3">
        <f t="shared" si="242"/>
        <v>0</v>
      </c>
      <c r="AZ434" s="3">
        <f t="shared" si="243"/>
        <v>0</v>
      </c>
      <c r="BP434" s="5">
        <f t="shared" si="209"/>
        <v>0</v>
      </c>
    </row>
    <row r="435" spans="1:68" x14ac:dyDescent="0.25">
      <c r="A435" s="3" t="s">
        <v>343</v>
      </c>
      <c r="B435" s="5">
        <v>5000</v>
      </c>
      <c r="D435" s="5">
        <f>3919+2543</f>
        <v>6462</v>
      </c>
      <c r="E435" s="3">
        <f t="shared" si="222"/>
        <v>1038</v>
      </c>
      <c r="F435" s="5">
        <v>7500</v>
      </c>
      <c r="H435" s="5">
        <f t="shared" si="223"/>
        <v>2500</v>
      </c>
      <c r="J435" s="5">
        <v>7340</v>
      </c>
      <c r="K435" s="4">
        <f t="shared" si="224"/>
        <v>3160</v>
      </c>
      <c r="L435" s="4">
        <v>10500</v>
      </c>
      <c r="N435" s="4">
        <f t="shared" si="225"/>
        <v>3000</v>
      </c>
      <c r="P435" s="3">
        <v>11750</v>
      </c>
      <c r="Q435" s="3"/>
      <c r="R435" s="3">
        <v>1186</v>
      </c>
      <c r="S435" s="3">
        <f t="shared" si="214"/>
        <v>10564</v>
      </c>
      <c r="T435" s="3">
        <v>11750</v>
      </c>
      <c r="U435" s="3">
        <f t="shared" si="215"/>
        <v>0</v>
      </c>
      <c r="V435" s="3">
        <v>7421</v>
      </c>
      <c r="W435" s="3">
        <f t="shared" si="216"/>
        <v>4329</v>
      </c>
      <c r="X435" s="3"/>
      <c r="Y435" s="3">
        <v>11750</v>
      </c>
      <c r="Z435" s="3">
        <f t="shared" si="217"/>
        <v>0</v>
      </c>
      <c r="AA435" s="3"/>
      <c r="AB435" s="3"/>
      <c r="AC435" s="3">
        <v>9794</v>
      </c>
      <c r="AD435" s="3">
        <f t="shared" si="220"/>
        <v>1956</v>
      </c>
      <c r="AE435" s="3">
        <v>11750</v>
      </c>
      <c r="AF435" s="3">
        <f t="shared" si="218"/>
        <v>0</v>
      </c>
      <c r="AG435" s="3"/>
      <c r="AH435" s="3">
        <f>AE435*1.03+97</f>
        <v>12199.5</v>
      </c>
      <c r="AI435" s="3"/>
      <c r="AJ435" s="3">
        <f t="shared" si="235"/>
        <v>12565.485000000001</v>
      </c>
      <c r="AK435" s="3"/>
      <c r="AL435" s="3">
        <f t="shared" si="236"/>
        <v>12942.449550000001</v>
      </c>
      <c r="AM435" s="3"/>
      <c r="AN435" s="3">
        <f t="shared" si="237"/>
        <v>13330.723036500001</v>
      </c>
      <c r="AO435" s="3"/>
      <c r="AP435" s="3">
        <f t="shared" si="238"/>
        <v>13730.644727595001</v>
      </c>
      <c r="AQ435" s="3"/>
      <c r="AR435" s="3">
        <f t="shared" si="239"/>
        <v>14142.564069422851</v>
      </c>
      <c r="AS435" s="3"/>
      <c r="AT435" s="3">
        <f t="shared" si="240"/>
        <v>14566.840991505538</v>
      </c>
      <c r="AU435" s="3"/>
      <c r="AV435" s="3">
        <f t="shared" si="241"/>
        <v>15003.846221250704</v>
      </c>
      <c r="AW435" s="3"/>
      <c r="AX435" s="3">
        <f t="shared" si="242"/>
        <v>15453.961607888225</v>
      </c>
      <c r="AZ435" s="3">
        <f t="shared" si="243"/>
        <v>15917.580456124871</v>
      </c>
      <c r="BP435" s="5">
        <f t="shared" si="209"/>
        <v>-15917.580456124871</v>
      </c>
    </row>
    <row r="436" spans="1:68" x14ac:dyDescent="0.25">
      <c r="A436" s="3" t="s">
        <v>90</v>
      </c>
      <c r="B436" s="5">
        <v>12500</v>
      </c>
      <c r="E436" s="3">
        <f t="shared" si="222"/>
        <v>12500</v>
      </c>
      <c r="F436" s="5">
        <v>12500</v>
      </c>
      <c r="H436" s="5">
        <f t="shared" si="223"/>
        <v>0</v>
      </c>
      <c r="J436" s="5">
        <v>6563</v>
      </c>
      <c r="K436" s="4">
        <f t="shared" si="224"/>
        <v>5937</v>
      </c>
      <c r="L436" s="4">
        <v>12500</v>
      </c>
      <c r="N436" s="4">
        <f t="shared" si="225"/>
        <v>0</v>
      </c>
      <c r="P436" s="3">
        <f>L436*1.0281-1</f>
        <v>12850.25</v>
      </c>
      <c r="Q436" s="3"/>
      <c r="R436" s="3">
        <v>2614</v>
      </c>
      <c r="S436" s="3">
        <f t="shared" si="214"/>
        <v>9386</v>
      </c>
      <c r="T436" s="3">
        <v>12000</v>
      </c>
      <c r="U436" s="3">
        <f t="shared" si="215"/>
        <v>-850.25</v>
      </c>
      <c r="V436" s="3">
        <v>8791</v>
      </c>
      <c r="W436" s="3">
        <f t="shared" si="216"/>
        <v>3209</v>
      </c>
      <c r="X436" s="3"/>
      <c r="Y436" s="3">
        <v>12000</v>
      </c>
      <c r="Z436" s="3">
        <f t="shared" si="217"/>
        <v>0</v>
      </c>
      <c r="AA436" s="3"/>
      <c r="AB436" s="3"/>
      <c r="AC436" s="3">
        <v>16140</v>
      </c>
      <c r="AD436" s="3">
        <f t="shared" si="220"/>
        <v>2860</v>
      </c>
      <c r="AE436" s="3">
        <v>19000</v>
      </c>
      <c r="AF436" s="3">
        <f t="shared" si="218"/>
        <v>7000</v>
      </c>
      <c r="AG436" s="3"/>
      <c r="AH436" s="3">
        <f>AE436*1.03+30-600</f>
        <v>19000</v>
      </c>
      <c r="AI436" s="3"/>
      <c r="AJ436" s="3">
        <f t="shared" si="235"/>
        <v>19570</v>
      </c>
      <c r="AK436" s="3"/>
      <c r="AL436" s="3">
        <f t="shared" si="236"/>
        <v>20157.100000000002</v>
      </c>
      <c r="AM436" s="3"/>
      <c r="AN436" s="3">
        <f t="shared" si="237"/>
        <v>20761.813000000002</v>
      </c>
      <c r="AO436" s="3"/>
      <c r="AP436" s="3">
        <f t="shared" si="238"/>
        <v>21384.667390000002</v>
      </c>
      <c r="AQ436" s="3"/>
      <c r="AR436" s="3">
        <f t="shared" si="239"/>
        <v>22026.207411700005</v>
      </c>
      <c r="AS436" s="3"/>
      <c r="AT436" s="3">
        <f t="shared" si="240"/>
        <v>22686.993634051007</v>
      </c>
      <c r="AU436" s="3"/>
      <c r="AV436" s="3">
        <f t="shared" si="241"/>
        <v>23367.603443072538</v>
      </c>
      <c r="AW436" s="3"/>
      <c r="AX436" s="3">
        <f t="shared" si="242"/>
        <v>24068.631546364715</v>
      </c>
      <c r="AZ436" s="3">
        <f t="shared" si="243"/>
        <v>24790.690492755657</v>
      </c>
      <c r="BP436" s="5">
        <f t="shared" si="209"/>
        <v>-24790.690492755657</v>
      </c>
    </row>
    <row r="437" spans="1:68" x14ac:dyDescent="0.25">
      <c r="A437" s="3" t="s">
        <v>344</v>
      </c>
      <c r="E437" s="3">
        <f t="shared" si="222"/>
        <v>0</v>
      </c>
      <c r="H437" s="5">
        <f t="shared" si="223"/>
        <v>0</v>
      </c>
      <c r="K437" s="4">
        <f t="shared" si="224"/>
        <v>0</v>
      </c>
      <c r="L437" s="4"/>
      <c r="N437" s="4">
        <f t="shared" si="225"/>
        <v>0</v>
      </c>
      <c r="P437" s="3">
        <v>0</v>
      </c>
      <c r="Q437" s="3"/>
      <c r="R437" s="3"/>
      <c r="S437" s="3">
        <f t="shared" si="214"/>
        <v>0</v>
      </c>
      <c r="T437" s="3"/>
      <c r="U437" s="3">
        <f t="shared" si="215"/>
        <v>0</v>
      </c>
      <c r="V437" s="3"/>
      <c r="W437" s="3">
        <f t="shared" si="216"/>
        <v>0</v>
      </c>
      <c r="X437" s="3"/>
      <c r="Y437" s="3"/>
      <c r="Z437" s="3">
        <f t="shared" si="217"/>
        <v>0</v>
      </c>
      <c r="AA437" s="3"/>
      <c r="AB437" s="3"/>
      <c r="AC437" s="3"/>
      <c r="AD437" s="3">
        <f t="shared" si="220"/>
        <v>0</v>
      </c>
      <c r="AE437" s="3"/>
      <c r="AF437" s="3">
        <f t="shared" si="218"/>
        <v>0</v>
      </c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Z437" s="3"/>
      <c r="BP437" s="5">
        <f t="shared" si="209"/>
        <v>0</v>
      </c>
    </row>
    <row r="438" spans="1:68" x14ac:dyDescent="0.25">
      <c r="A438" s="3" t="s">
        <v>345</v>
      </c>
      <c r="B438" s="5">
        <v>-234150</v>
      </c>
      <c r="D438" s="5">
        <v>0</v>
      </c>
      <c r="E438" s="3">
        <f t="shared" si="222"/>
        <v>-234150</v>
      </c>
      <c r="F438" s="5">
        <v>-234150</v>
      </c>
      <c r="H438" s="5">
        <f t="shared" si="223"/>
        <v>0</v>
      </c>
      <c r="J438" s="5">
        <v>0</v>
      </c>
      <c r="K438" s="4">
        <f t="shared" si="224"/>
        <v>-234150</v>
      </c>
      <c r="L438" s="4">
        <v>-234150</v>
      </c>
      <c r="N438" s="4">
        <f t="shared" si="225"/>
        <v>0</v>
      </c>
      <c r="P438" s="3">
        <v>-241190</v>
      </c>
      <c r="Q438" s="3"/>
      <c r="R438" s="3">
        <v>0</v>
      </c>
      <c r="S438" s="3">
        <f t="shared" si="214"/>
        <v>-241190</v>
      </c>
      <c r="T438" s="3">
        <v>-241190</v>
      </c>
      <c r="U438" s="3">
        <f t="shared" si="215"/>
        <v>0</v>
      </c>
      <c r="V438" s="3">
        <v>0</v>
      </c>
      <c r="W438" s="3">
        <f t="shared" si="216"/>
        <v>-241190</v>
      </c>
      <c r="X438" s="3"/>
      <c r="Y438" s="3">
        <v>-241190</v>
      </c>
      <c r="Z438" s="3">
        <f t="shared" si="217"/>
        <v>0</v>
      </c>
      <c r="AA438" s="3"/>
      <c r="AB438" s="3"/>
      <c r="AC438" s="3">
        <v>-184390</v>
      </c>
      <c r="AD438" s="3">
        <f t="shared" si="220"/>
        <v>-56800</v>
      </c>
      <c r="AE438" s="3">
        <v>-241190</v>
      </c>
      <c r="AF438" s="3">
        <f t="shared" si="218"/>
        <v>0</v>
      </c>
      <c r="AG438" s="3"/>
      <c r="AH438" s="3">
        <v>-253400</v>
      </c>
      <c r="AI438" s="3"/>
      <c r="AJ438" s="3">
        <f>AH438*1.03</f>
        <v>-261002</v>
      </c>
      <c r="AK438" s="3"/>
      <c r="AL438" s="3">
        <f>AJ438*1.03</f>
        <v>-268832.06</v>
      </c>
      <c r="AM438" s="3"/>
      <c r="AN438" s="3">
        <f>AL438*1.03</f>
        <v>-276897.02179999999</v>
      </c>
      <c r="AO438" s="3"/>
      <c r="AP438" s="3">
        <f>AN438*1.03</f>
        <v>-285203.93245399999</v>
      </c>
      <c r="AQ438" s="3"/>
      <c r="AR438" s="3">
        <f>AP438*1.03</f>
        <v>-293760.05042762001</v>
      </c>
      <c r="AS438" s="3"/>
      <c r="AT438" s="3">
        <f>AR438*1.03</f>
        <v>-302572.85194044863</v>
      </c>
      <c r="AU438" s="3"/>
      <c r="AV438" s="3">
        <f>AT438*1.03</f>
        <v>-311650.03749866207</v>
      </c>
      <c r="AW438" s="3"/>
      <c r="AX438" s="3">
        <f>AV438*1.03</f>
        <v>-320999.53862362192</v>
      </c>
      <c r="AZ438" s="3">
        <f>AX438*1.03</f>
        <v>-330629.52478233061</v>
      </c>
      <c r="BP438" s="5">
        <f t="shared" si="209"/>
        <v>330629.52478233061</v>
      </c>
    </row>
    <row r="439" spans="1:68" x14ac:dyDescent="0.25">
      <c r="A439" s="3"/>
      <c r="B439" s="48">
        <f>SUM(B393:B438)</f>
        <v>1088245</v>
      </c>
      <c r="C439" s="32"/>
      <c r="D439" s="48">
        <f>SUM(D393:D438)+1</f>
        <v>394634</v>
      </c>
      <c r="E439" s="48">
        <f>SUM(E393:E438)+1</f>
        <v>694958</v>
      </c>
      <c r="F439" s="48">
        <f>SUM(F393:F438)+1</f>
        <v>1089591</v>
      </c>
      <c r="G439" s="32"/>
      <c r="H439" s="48">
        <f>SUM(H393:H438)+1</f>
        <v>1346</v>
      </c>
      <c r="I439" s="36"/>
      <c r="J439" s="48">
        <f>SUM(J393:J438)+1</f>
        <v>675002</v>
      </c>
      <c r="K439" s="48">
        <f>SUM(K393:K438)+1</f>
        <v>444465</v>
      </c>
      <c r="L439" s="48">
        <f>SUM(L393:L438)+1</f>
        <v>1119466</v>
      </c>
      <c r="M439" s="32"/>
      <c r="N439" s="48">
        <f>SUM(N393:N438)+1</f>
        <v>29876</v>
      </c>
      <c r="P439" s="48">
        <f>SUM(P393:P438)+1</f>
        <v>1101409.763</v>
      </c>
      <c r="R439" s="48">
        <f t="shared" ref="R439:W439" si="244">SUM(R393:R438)</f>
        <v>383316</v>
      </c>
      <c r="S439" s="48">
        <f t="shared" si="244"/>
        <v>724799</v>
      </c>
      <c r="T439" s="48">
        <f t="shared" si="244"/>
        <v>1108115</v>
      </c>
      <c r="U439" s="48">
        <f t="shared" si="244"/>
        <v>6706.2370000000064</v>
      </c>
      <c r="V439" s="48">
        <f t="shared" si="244"/>
        <v>602946</v>
      </c>
      <c r="W439" s="48">
        <f t="shared" si="244"/>
        <v>507069</v>
      </c>
      <c r="X439" s="48"/>
      <c r="Y439" s="48">
        <f>SUM(Y393:Y438)</f>
        <v>1110015</v>
      </c>
      <c r="Z439" s="48">
        <f>SUM(Z393:Z438)</f>
        <v>1900</v>
      </c>
      <c r="AC439" s="48">
        <f>SUM(AC393:AC438)</f>
        <v>642486</v>
      </c>
      <c r="AD439" s="48">
        <f>SUM(AD393:AD438)</f>
        <v>458729</v>
      </c>
      <c r="AE439" s="48">
        <f>SUM(AE393:AE438)</f>
        <v>1101215</v>
      </c>
      <c r="AF439" s="48">
        <f>SUM(AF393:AF438)</f>
        <v>-8800</v>
      </c>
      <c r="AH439" s="48">
        <f>SUM(AH393:AH438)</f>
        <v>1159542.1500000001</v>
      </c>
      <c r="AJ439" s="48">
        <f>SUM(AJ393:AJ438)</f>
        <v>1174333.8004500002</v>
      </c>
      <c r="AL439" s="48">
        <f>SUM(AL393:AL438)</f>
        <v>1209705.696888695</v>
      </c>
      <c r="AN439" s="48">
        <f>SUM(AN393:AN438)</f>
        <v>1204097.1136234584</v>
      </c>
      <c r="AO439" s="48"/>
      <c r="AP439" s="48">
        <f>SUM(AP393:AP438)</f>
        <v>1231959.4423691875</v>
      </c>
      <c r="AR439" s="48">
        <f>SUM(AR393:AR438)</f>
        <v>1268955.4162569358</v>
      </c>
      <c r="AT439" s="48">
        <f>SUM(AT393:AT438)</f>
        <v>1166564.491573208</v>
      </c>
      <c r="AV439" s="48">
        <f>SUM(AV393:AV438)</f>
        <v>1191135.2091122407</v>
      </c>
      <c r="AX439" s="48">
        <f>SUM(AX393:AX438)</f>
        <v>1225198.8763981324</v>
      </c>
      <c r="AZ439" s="48">
        <f>SUM(AZ393:AZ438)</f>
        <v>1260285.3103938303</v>
      </c>
      <c r="BP439" s="5">
        <f t="shared" si="209"/>
        <v>-1260285.3103938303</v>
      </c>
    </row>
    <row r="440" spans="1:68" x14ac:dyDescent="0.25">
      <c r="A440" s="7" t="s">
        <v>67</v>
      </c>
      <c r="AH440" s="3"/>
      <c r="BP440" s="5">
        <f t="shared" si="209"/>
        <v>0</v>
      </c>
    </row>
    <row r="441" spans="1:68" x14ac:dyDescent="0.25">
      <c r="A441" s="3" t="s">
        <v>346</v>
      </c>
      <c r="B441" s="3">
        <v>282500</v>
      </c>
      <c r="D441" s="3">
        <f>81656</f>
        <v>81656</v>
      </c>
      <c r="E441" s="3">
        <f t="shared" ref="E441:E459" si="245">F441-D441</f>
        <v>204344</v>
      </c>
      <c r="F441" s="5">
        <v>286000</v>
      </c>
      <c r="H441" s="5">
        <f t="shared" ref="H441:H459" si="246">F441-B441</f>
        <v>3500</v>
      </c>
      <c r="J441" s="5">
        <v>159795</v>
      </c>
      <c r="K441" s="4">
        <f t="shared" ref="K441:K470" si="247">L441-J441</f>
        <v>128205</v>
      </c>
      <c r="L441" s="4">
        <v>288000</v>
      </c>
      <c r="N441" s="4">
        <f t="shared" ref="N441:N470" si="248">L441-F441</f>
        <v>2000</v>
      </c>
      <c r="P441" s="3">
        <f>L441*1.0275-20+2100</f>
        <v>298000</v>
      </c>
      <c r="Q441" s="3"/>
      <c r="R441" s="3">
        <v>70874</v>
      </c>
      <c r="S441" s="3">
        <f t="shared" ref="S441:S470" si="249">T441-R441</f>
        <v>227126</v>
      </c>
      <c r="T441" s="3">
        <v>298000</v>
      </c>
      <c r="U441" s="3">
        <f t="shared" ref="U441:U470" si="250">T441-P441</f>
        <v>0</v>
      </c>
      <c r="V441" s="3">
        <v>146107</v>
      </c>
      <c r="W441" s="3">
        <f t="shared" ref="W441:W470" si="251">Y441-V441</f>
        <v>153893</v>
      </c>
      <c r="X441" s="3"/>
      <c r="Y441" s="3">
        <v>300000</v>
      </c>
      <c r="Z441" s="3">
        <f t="shared" ref="Z441:Z470" si="252">Y441-T441</f>
        <v>2000</v>
      </c>
      <c r="AA441" s="3"/>
      <c r="AB441" s="3"/>
      <c r="AC441" s="3">
        <v>252539</v>
      </c>
      <c r="AD441" s="3">
        <f t="shared" si="220"/>
        <v>72461</v>
      </c>
      <c r="AE441" s="3">
        <v>325000</v>
      </c>
      <c r="AF441" s="3">
        <f t="shared" ref="AF441:AF469" si="253">AE441-Y441</f>
        <v>25000</v>
      </c>
      <c r="AG441" s="3"/>
      <c r="AH441" s="3">
        <v>329100</v>
      </c>
      <c r="AI441" s="3"/>
      <c r="AJ441" s="3">
        <f t="shared" ref="AJ441:AJ458" si="254">AH441*1.03</f>
        <v>338973</v>
      </c>
      <c r="AK441" s="3"/>
      <c r="AL441" s="3">
        <f t="shared" ref="AL441:AL458" si="255">AJ441*1.03</f>
        <v>349142.19</v>
      </c>
      <c r="AM441" s="3"/>
      <c r="AN441" s="3">
        <f t="shared" ref="AN441:AN458" si="256">AL441*1.03</f>
        <v>359616.45569999999</v>
      </c>
      <c r="AO441" s="3"/>
      <c r="AP441" s="3">
        <f t="shared" ref="AP441:AP458" si="257">AN441*1.03</f>
        <v>370404.949371</v>
      </c>
      <c r="AQ441" s="3"/>
      <c r="AR441" s="3">
        <f t="shared" ref="AR441:AR458" si="258">AP441*1.03</f>
        <v>381517.09785213001</v>
      </c>
      <c r="AS441" s="3"/>
      <c r="AT441" s="3">
        <f t="shared" ref="AT441:AT458" si="259">AR441*1.03</f>
        <v>392962.61078769393</v>
      </c>
      <c r="AU441" s="3"/>
      <c r="AV441" s="3">
        <f t="shared" ref="AV441:AV458" si="260">AT441*1.03</f>
        <v>404751.48911132477</v>
      </c>
      <c r="AW441" s="3"/>
      <c r="AX441" s="3">
        <f t="shared" ref="AX441:AX458" si="261">AV441*1.03</f>
        <v>416894.03378466453</v>
      </c>
      <c r="AZ441" s="3">
        <f t="shared" ref="AZ441:AZ458" si="262">AX441*1.03</f>
        <v>429400.8547982045</v>
      </c>
      <c r="BP441" s="5">
        <f t="shared" si="209"/>
        <v>-429400.8547982045</v>
      </c>
    </row>
    <row r="442" spans="1:68" x14ac:dyDescent="0.25">
      <c r="A442" s="3" t="s">
        <v>347</v>
      </c>
      <c r="B442" s="3">
        <v>109000</v>
      </c>
      <c r="D442" s="3">
        <v>17288</v>
      </c>
      <c r="E442" s="3">
        <f t="shared" si="245"/>
        <v>91712</v>
      </c>
      <c r="F442" s="5">
        <v>109000</v>
      </c>
      <c r="H442" s="5">
        <f t="shared" si="246"/>
        <v>0</v>
      </c>
      <c r="J442" s="5">
        <v>30074</v>
      </c>
      <c r="K442" s="4">
        <f t="shared" si="247"/>
        <v>78926</v>
      </c>
      <c r="L442" s="4">
        <v>109000</v>
      </c>
      <c r="N442" s="4">
        <f t="shared" si="248"/>
        <v>0</v>
      </c>
      <c r="P442" s="3">
        <v>114000</v>
      </c>
      <c r="Q442" s="3"/>
      <c r="R442" s="3">
        <v>31270</v>
      </c>
      <c r="S442" s="3">
        <f t="shared" si="249"/>
        <v>82730</v>
      </c>
      <c r="T442" s="3">
        <v>114000</v>
      </c>
      <c r="U442" s="3">
        <f t="shared" si="250"/>
        <v>0</v>
      </c>
      <c r="V442" s="3">
        <v>40410</v>
      </c>
      <c r="W442" s="3">
        <f t="shared" si="251"/>
        <v>73590</v>
      </c>
      <c r="X442" s="3"/>
      <c r="Y442" s="3">
        <v>114000</v>
      </c>
      <c r="Z442" s="3">
        <f t="shared" si="252"/>
        <v>0</v>
      </c>
      <c r="AA442" s="3"/>
      <c r="AB442" s="3"/>
      <c r="AC442" s="3">
        <v>69260</v>
      </c>
      <c r="AD442" s="3">
        <f t="shared" si="220"/>
        <v>44740</v>
      </c>
      <c r="AE442" s="3">
        <v>114000</v>
      </c>
      <c r="AF442" s="3">
        <f t="shared" si="253"/>
        <v>0</v>
      </c>
      <c r="AG442" s="3"/>
      <c r="AH442" s="3">
        <v>117700</v>
      </c>
      <c r="AI442" s="3"/>
      <c r="AJ442" s="3">
        <f t="shared" si="254"/>
        <v>121231</v>
      </c>
      <c r="AK442" s="3"/>
      <c r="AL442" s="3">
        <f t="shared" si="255"/>
        <v>124867.93000000001</v>
      </c>
      <c r="AM442" s="3"/>
      <c r="AN442" s="3">
        <f t="shared" si="256"/>
        <v>128613.96790000002</v>
      </c>
      <c r="AO442" s="3"/>
      <c r="AP442" s="3">
        <f t="shared" si="257"/>
        <v>132472.38693700003</v>
      </c>
      <c r="AQ442" s="3"/>
      <c r="AR442" s="3">
        <f t="shared" si="258"/>
        <v>136446.55854511005</v>
      </c>
      <c r="AS442" s="3"/>
      <c r="AT442" s="3">
        <f t="shared" si="259"/>
        <v>140539.95530146334</v>
      </c>
      <c r="AU442" s="3"/>
      <c r="AV442" s="3">
        <f t="shared" si="260"/>
        <v>144756.15396050725</v>
      </c>
      <c r="AW442" s="3"/>
      <c r="AX442" s="3">
        <f t="shared" si="261"/>
        <v>149098.83857932247</v>
      </c>
      <c r="AZ442" s="3">
        <f t="shared" si="262"/>
        <v>153571.80373670216</v>
      </c>
      <c r="BP442" s="5">
        <f t="shared" si="209"/>
        <v>-153571.80373670216</v>
      </c>
    </row>
    <row r="443" spans="1:68" x14ac:dyDescent="0.25">
      <c r="A443" s="3" t="s">
        <v>348</v>
      </c>
      <c r="B443" s="3">
        <v>42500</v>
      </c>
      <c r="D443" s="3">
        <v>14920</v>
      </c>
      <c r="E443" s="3">
        <f t="shared" si="245"/>
        <v>27580</v>
      </c>
      <c r="F443" s="5">
        <v>42500</v>
      </c>
      <c r="H443" s="5">
        <f t="shared" si="246"/>
        <v>0</v>
      </c>
      <c r="J443" s="5">
        <v>19137</v>
      </c>
      <c r="K443" s="4">
        <f t="shared" si="247"/>
        <v>23363</v>
      </c>
      <c r="L443" s="4">
        <v>42500</v>
      </c>
      <c r="N443" s="4">
        <f t="shared" si="248"/>
        <v>0</v>
      </c>
      <c r="P443" s="3">
        <v>45000</v>
      </c>
      <c r="Q443" s="3"/>
      <c r="R443" s="3">
        <v>21738</v>
      </c>
      <c r="S443" s="3">
        <f t="shared" si="249"/>
        <v>23262</v>
      </c>
      <c r="T443" s="3">
        <v>45000</v>
      </c>
      <c r="U443" s="3">
        <f t="shared" si="250"/>
        <v>0</v>
      </c>
      <c r="V443" s="3">
        <v>27340</v>
      </c>
      <c r="W443" s="3">
        <f t="shared" si="251"/>
        <v>17660</v>
      </c>
      <c r="X443" s="3"/>
      <c r="Y443" s="3">
        <v>45000</v>
      </c>
      <c r="Z443" s="3">
        <f t="shared" si="252"/>
        <v>0</v>
      </c>
      <c r="AA443" s="3"/>
      <c r="AB443" s="3"/>
      <c r="AC443" s="3">
        <v>36232</v>
      </c>
      <c r="AD443" s="3">
        <f t="shared" si="220"/>
        <v>8768</v>
      </c>
      <c r="AE443" s="3">
        <v>45000</v>
      </c>
      <c r="AF443" s="3">
        <f t="shared" si="253"/>
        <v>0</v>
      </c>
      <c r="AG443" s="3"/>
      <c r="AH443" s="3">
        <v>46500</v>
      </c>
      <c r="AI443" s="3"/>
      <c r="AJ443" s="3">
        <f t="shared" si="254"/>
        <v>47895</v>
      </c>
      <c r="AK443" s="3"/>
      <c r="AL443" s="3">
        <f t="shared" si="255"/>
        <v>49331.85</v>
      </c>
      <c r="AM443" s="3"/>
      <c r="AN443" s="3">
        <f t="shared" si="256"/>
        <v>50811.805500000002</v>
      </c>
      <c r="AO443" s="3"/>
      <c r="AP443" s="3">
        <f t="shared" si="257"/>
        <v>52336.159665000006</v>
      </c>
      <c r="AQ443" s="3"/>
      <c r="AR443" s="3">
        <f t="shared" si="258"/>
        <v>53906.244454950007</v>
      </c>
      <c r="AS443" s="3"/>
      <c r="AT443" s="3">
        <f t="shared" si="259"/>
        <v>55523.431788598507</v>
      </c>
      <c r="AU443" s="3"/>
      <c r="AV443" s="3">
        <f t="shared" si="260"/>
        <v>57189.134742256465</v>
      </c>
      <c r="AW443" s="3"/>
      <c r="AX443" s="3">
        <f t="shared" si="261"/>
        <v>58904.808784524161</v>
      </c>
      <c r="AZ443" s="3">
        <f t="shared" si="262"/>
        <v>60671.953048059884</v>
      </c>
      <c r="BP443" s="5">
        <f t="shared" si="209"/>
        <v>-60671.953048059884</v>
      </c>
    </row>
    <row r="444" spans="1:68" x14ac:dyDescent="0.25">
      <c r="A444" s="3" t="s">
        <v>349</v>
      </c>
      <c r="B444" s="3">
        <v>40000</v>
      </c>
      <c r="D444" s="3">
        <v>31559</v>
      </c>
      <c r="E444" s="3">
        <f t="shared" si="245"/>
        <v>17441</v>
      </c>
      <c r="F444" s="5">
        <v>49000</v>
      </c>
      <c r="H444" s="5">
        <f t="shared" si="246"/>
        <v>9000</v>
      </c>
      <c r="J444" s="5">
        <v>42490</v>
      </c>
      <c r="K444" s="4">
        <f t="shared" si="247"/>
        <v>12510</v>
      </c>
      <c r="L444" s="4">
        <v>55000</v>
      </c>
      <c r="N444" s="4">
        <f t="shared" si="248"/>
        <v>6000</v>
      </c>
      <c r="P444" s="3">
        <f>L444*1.0275-13</f>
        <v>56499.500000000007</v>
      </c>
      <c r="Q444" s="3"/>
      <c r="R444" s="3">
        <v>41801</v>
      </c>
      <c r="S444" s="3">
        <f t="shared" si="249"/>
        <v>53199</v>
      </c>
      <c r="T444" s="3">
        <v>95000</v>
      </c>
      <c r="U444" s="3">
        <f t="shared" si="250"/>
        <v>38500.499999999993</v>
      </c>
      <c r="V444" s="3">
        <v>42528</v>
      </c>
      <c r="W444" s="3">
        <f t="shared" si="251"/>
        <v>52472</v>
      </c>
      <c r="X444" s="3"/>
      <c r="Y444" s="3">
        <v>95000</v>
      </c>
      <c r="Z444" s="3">
        <f t="shared" si="252"/>
        <v>0</v>
      </c>
      <c r="AA444" s="3"/>
      <c r="AB444" s="3"/>
      <c r="AC444" s="3">
        <v>43387</v>
      </c>
      <c r="AD444" s="3">
        <f t="shared" si="220"/>
        <v>51613</v>
      </c>
      <c r="AE444" s="3">
        <v>95000</v>
      </c>
      <c r="AF444" s="3">
        <f t="shared" si="253"/>
        <v>0</v>
      </c>
      <c r="AG444" s="3"/>
      <c r="AH444" s="3">
        <v>68000</v>
      </c>
      <c r="AI444" s="3"/>
      <c r="AJ444" s="3">
        <f t="shared" si="254"/>
        <v>70040</v>
      </c>
      <c r="AK444" s="3"/>
      <c r="AL444" s="3">
        <f t="shared" si="255"/>
        <v>72141.2</v>
      </c>
      <c r="AM444" s="3"/>
      <c r="AN444" s="3">
        <f t="shared" si="256"/>
        <v>74305.436000000002</v>
      </c>
      <c r="AO444" s="3"/>
      <c r="AP444" s="3">
        <f t="shared" si="257"/>
        <v>76534.59908</v>
      </c>
      <c r="AQ444" s="3"/>
      <c r="AR444" s="3">
        <f t="shared" si="258"/>
        <v>78830.637052400009</v>
      </c>
      <c r="AS444" s="3"/>
      <c r="AT444" s="3">
        <f t="shared" si="259"/>
        <v>81195.556163972011</v>
      </c>
      <c r="AU444" s="3"/>
      <c r="AV444" s="3">
        <f t="shared" si="260"/>
        <v>83631.422848891176</v>
      </c>
      <c r="AW444" s="3"/>
      <c r="AX444" s="3">
        <f t="shared" si="261"/>
        <v>86140.365534357916</v>
      </c>
      <c r="AZ444" s="3">
        <f t="shared" si="262"/>
        <v>88724.576500388663</v>
      </c>
      <c r="BP444" s="5">
        <f t="shared" si="209"/>
        <v>-88724.576500388663</v>
      </c>
    </row>
    <row r="445" spans="1:68" x14ac:dyDescent="0.25">
      <c r="A445" s="3" t="s">
        <v>350</v>
      </c>
      <c r="B445" s="3">
        <v>39800</v>
      </c>
      <c r="D445" s="3">
        <v>0</v>
      </c>
      <c r="E445" s="3">
        <f t="shared" si="245"/>
        <v>41000</v>
      </c>
      <c r="F445" s="5">
        <v>41000</v>
      </c>
      <c r="H445" s="5">
        <f t="shared" si="246"/>
        <v>1200</v>
      </c>
      <c r="J445" s="5">
        <v>6504</v>
      </c>
      <c r="K445" s="4">
        <f t="shared" si="247"/>
        <v>36496</v>
      </c>
      <c r="L445" s="4">
        <v>43000</v>
      </c>
      <c r="N445" s="4">
        <f t="shared" si="248"/>
        <v>2000</v>
      </c>
      <c r="P445" s="3">
        <f>L445*1.0275+17</f>
        <v>44199.5</v>
      </c>
      <c r="Q445" s="3"/>
      <c r="R445" s="3">
        <v>2435</v>
      </c>
      <c r="S445" s="3">
        <f t="shared" si="249"/>
        <v>41765</v>
      </c>
      <c r="T445" s="3">
        <v>44200</v>
      </c>
      <c r="U445" s="3">
        <f t="shared" si="250"/>
        <v>0.5</v>
      </c>
      <c r="V445" s="3">
        <v>6379</v>
      </c>
      <c r="W445" s="3">
        <f t="shared" si="251"/>
        <v>37821</v>
      </c>
      <c r="X445" s="3"/>
      <c r="Y445" s="3">
        <v>44200</v>
      </c>
      <c r="Z445" s="3">
        <f t="shared" si="252"/>
        <v>0</v>
      </c>
      <c r="AA445" s="3"/>
      <c r="AB445" s="3"/>
      <c r="AC445" s="3">
        <v>24624</v>
      </c>
      <c r="AD445" s="3">
        <f t="shared" si="220"/>
        <v>19576</v>
      </c>
      <c r="AE445" s="3">
        <v>44200</v>
      </c>
      <c r="AF445" s="3">
        <f t="shared" si="253"/>
        <v>0</v>
      </c>
      <c r="AG445" s="3"/>
      <c r="AH445" s="3">
        <v>45700</v>
      </c>
      <c r="AI445" s="3"/>
      <c r="AJ445" s="3">
        <f t="shared" si="254"/>
        <v>47071</v>
      </c>
      <c r="AK445" s="3"/>
      <c r="AL445" s="3">
        <f t="shared" si="255"/>
        <v>48483.130000000005</v>
      </c>
      <c r="AM445" s="3"/>
      <c r="AN445" s="3">
        <f t="shared" si="256"/>
        <v>49937.623900000006</v>
      </c>
      <c r="AO445" s="3"/>
      <c r="AP445" s="3">
        <f t="shared" si="257"/>
        <v>51435.752617000006</v>
      </c>
      <c r="AQ445" s="3"/>
      <c r="AR445" s="3">
        <f t="shared" si="258"/>
        <v>52978.825195510006</v>
      </c>
      <c r="AS445" s="3"/>
      <c r="AT445" s="3">
        <f t="shared" si="259"/>
        <v>54568.189951375309</v>
      </c>
      <c r="AU445" s="3"/>
      <c r="AV445" s="3">
        <f t="shared" si="260"/>
        <v>56205.235649916569</v>
      </c>
      <c r="AW445" s="3"/>
      <c r="AX445" s="3">
        <f t="shared" si="261"/>
        <v>57891.392719414071</v>
      </c>
      <c r="AZ445" s="3">
        <f t="shared" si="262"/>
        <v>59628.134500996493</v>
      </c>
      <c r="BP445" s="5">
        <f t="shared" si="209"/>
        <v>-59628.134500996493</v>
      </c>
    </row>
    <row r="446" spans="1:68" x14ac:dyDescent="0.25">
      <c r="A446" s="3" t="s">
        <v>351</v>
      </c>
      <c r="B446" s="3">
        <v>5000</v>
      </c>
      <c r="D446" s="3">
        <v>-2292</v>
      </c>
      <c r="E446" s="3">
        <f t="shared" si="245"/>
        <v>6292</v>
      </c>
      <c r="F446" s="5">
        <v>4000</v>
      </c>
      <c r="H446" s="5">
        <f t="shared" si="246"/>
        <v>-1000</v>
      </c>
      <c r="J446" s="5">
        <v>-1270</v>
      </c>
      <c r="K446" s="4">
        <f t="shared" si="247"/>
        <v>4270</v>
      </c>
      <c r="L446" s="4">
        <v>3000</v>
      </c>
      <c r="N446" s="4">
        <f t="shared" si="248"/>
        <v>-1000</v>
      </c>
      <c r="P446" s="3">
        <f>L446*1.0275+17</f>
        <v>3099.5000000000005</v>
      </c>
      <c r="Q446" s="3"/>
      <c r="R446" s="3">
        <v>276</v>
      </c>
      <c r="S446" s="3">
        <f t="shared" si="249"/>
        <v>2724</v>
      </c>
      <c r="T446" s="3">
        <v>3000</v>
      </c>
      <c r="U446" s="3">
        <f t="shared" si="250"/>
        <v>-99.500000000000455</v>
      </c>
      <c r="V446" s="3">
        <v>3762</v>
      </c>
      <c r="W446" s="3">
        <f t="shared" si="251"/>
        <v>-762</v>
      </c>
      <c r="X446" s="3"/>
      <c r="Y446" s="3">
        <v>3000</v>
      </c>
      <c r="Z446" s="3">
        <f t="shared" si="252"/>
        <v>0</v>
      </c>
      <c r="AA446" s="3"/>
      <c r="AB446" s="3"/>
      <c r="AC446" s="3">
        <v>7402</v>
      </c>
      <c r="AD446" s="3">
        <f t="shared" si="220"/>
        <v>-4402</v>
      </c>
      <c r="AE446" s="3">
        <v>3000</v>
      </c>
      <c r="AF446" s="3">
        <f t="shared" si="253"/>
        <v>0</v>
      </c>
      <c r="AG446" s="3"/>
      <c r="AH446" s="3">
        <v>3000</v>
      </c>
      <c r="AI446" s="3"/>
      <c r="AJ446" s="3">
        <f>AH446*1.03</f>
        <v>3090</v>
      </c>
      <c r="AK446" s="3"/>
      <c r="AL446" s="3">
        <f>AJ446*1.03</f>
        <v>3182.7000000000003</v>
      </c>
      <c r="AM446" s="3"/>
      <c r="AN446" s="3">
        <f>AL446*1.03</f>
        <v>3278.1810000000005</v>
      </c>
      <c r="AO446" s="3"/>
      <c r="AP446" s="3">
        <f>AN446*1.03</f>
        <v>3376.5264300000008</v>
      </c>
      <c r="AQ446" s="3"/>
      <c r="AR446" s="3">
        <f>AP446*1.03</f>
        <v>3477.8222229000007</v>
      </c>
      <c r="AS446" s="3"/>
      <c r="AT446" s="3">
        <f>AR446*1.03</f>
        <v>3582.1568895870009</v>
      </c>
      <c r="AU446" s="3"/>
      <c r="AV446" s="3">
        <f>AT446*1.03</f>
        <v>3689.621596274611</v>
      </c>
      <c r="AW446" s="3"/>
      <c r="AX446" s="3">
        <f>AV446*1.03</f>
        <v>3800.3102441628494</v>
      </c>
      <c r="AZ446" s="3">
        <f>AX446*1.03</f>
        <v>3914.3195514877348</v>
      </c>
      <c r="BP446" s="5">
        <f t="shared" si="209"/>
        <v>-3914.3195514877348</v>
      </c>
    </row>
    <row r="447" spans="1:68" x14ac:dyDescent="0.25">
      <c r="A447" s="3" t="s">
        <v>321</v>
      </c>
      <c r="B447" s="3">
        <v>40545</v>
      </c>
      <c r="D447" s="3">
        <v>40565</v>
      </c>
      <c r="E447" s="3">
        <f t="shared" si="245"/>
        <v>0</v>
      </c>
      <c r="F447" s="5">
        <v>40565</v>
      </c>
      <c r="H447" s="5">
        <f t="shared" si="246"/>
        <v>20</v>
      </c>
      <c r="J447" s="5">
        <v>40565</v>
      </c>
      <c r="K447" s="4">
        <f t="shared" si="247"/>
        <v>0</v>
      </c>
      <c r="L447" s="4">
        <v>40565</v>
      </c>
      <c r="N447" s="4">
        <f t="shared" si="248"/>
        <v>0</v>
      </c>
      <c r="P447" s="3">
        <f>L447*1.035+15</f>
        <v>41999.774999999994</v>
      </c>
      <c r="Q447" s="3"/>
      <c r="R447" s="3">
        <v>41985</v>
      </c>
      <c r="S447" s="3">
        <f t="shared" si="249"/>
        <v>0</v>
      </c>
      <c r="T447" s="3">
        <v>41985</v>
      </c>
      <c r="U447" s="3">
        <f t="shared" si="250"/>
        <v>-14.774999999994179</v>
      </c>
      <c r="V447" s="3">
        <v>41985</v>
      </c>
      <c r="W447" s="3">
        <f>Y447-V447</f>
        <v>0</v>
      </c>
      <c r="X447" s="3"/>
      <c r="Y447" s="3">
        <v>41985</v>
      </c>
      <c r="Z447" s="3">
        <f t="shared" si="252"/>
        <v>0</v>
      </c>
      <c r="AA447" s="3"/>
      <c r="AB447" s="3"/>
      <c r="AC447" s="3">
        <v>41985</v>
      </c>
      <c r="AD447" s="3">
        <f t="shared" si="220"/>
        <v>0</v>
      </c>
      <c r="AE447" s="3">
        <v>41985</v>
      </c>
      <c r="AF447" s="3">
        <f t="shared" si="253"/>
        <v>0</v>
      </c>
      <c r="AG447" s="3"/>
      <c r="AH447" s="3">
        <f>AE447*1.0325</f>
        <v>43349.512499999997</v>
      </c>
      <c r="AI447" s="3"/>
      <c r="AJ447" s="3">
        <f t="shared" si="254"/>
        <v>44649.997875000001</v>
      </c>
      <c r="AK447" s="3"/>
      <c r="AL447" s="3">
        <f t="shared" si="255"/>
        <v>45989.497811250003</v>
      </c>
      <c r="AM447" s="3"/>
      <c r="AN447" s="3">
        <f t="shared" si="256"/>
        <v>47369.182745587503</v>
      </c>
      <c r="AO447" s="3"/>
      <c r="AP447" s="3">
        <f t="shared" si="257"/>
        <v>48790.258227955128</v>
      </c>
      <c r="AQ447" s="3"/>
      <c r="AR447" s="3">
        <f t="shared" si="258"/>
        <v>50253.965974793784</v>
      </c>
      <c r="AS447" s="3"/>
      <c r="AT447" s="3">
        <f t="shared" si="259"/>
        <v>51761.5849540376</v>
      </c>
      <c r="AU447" s="3"/>
      <c r="AV447" s="3">
        <f t="shared" si="260"/>
        <v>53314.432502658732</v>
      </c>
      <c r="AW447" s="3"/>
      <c r="AX447" s="3">
        <f t="shared" si="261"/>
        <v>54913.865477738495</v>
      </c>
      <c r="AZ447" s="3">
        <f t="shared" si="262"/>
        <v>56561.281442070649</v>
      </c>
      <c r="BP447" s="5">
        <f t="shared" si="209"/>
        <v>-56561.281442070649</v>
      </c>
    </row>
    <row r="448" spans="1:68" x14ac:dyDescent="0.25">
      <c r="A448" s="3" t="s">
        <v>352</v>
      </c>
      <c r="B448" s="3">
        <v>2000</v>
      </c>
      <c r="D448" s="3">
        <v>0</v>
      </c>
      <c r="E448" s="3">
        <f t="shared" si="245"/>
        <v>2000</v>
      </c>
      <c r="F448" s="5">
        <v>2000</v>
      </c>
      <c r="H448" s="5">
        <f t="shared" si="246"/>
        <v>0</v>
      </c>
      <c r="J448" s="5">
        <v>0</v>
      </c>
      <c r="K448" s="4">
        <f t="shared" si="247"/>
        <v>2000</v>
      </c>
      <c r="L448" s="4">
        <v>2000</v>
      </c>
      <c r="N448" s="4">
        <f t="shared" si="248"/>
        <v>0</v>
      </c>
      <c r="P448" s="3">
        <f>L448*1.0281+44</f>
        <v>2100.1999999999998</v>
      </c>
      <c r="Q448" s="3"/>
      <c r="R448" s="3">
        <v>0</v>
      </c>
      <c r="S448" s="3">
        <f t="shared" si="249"/>
        <v>2100</v>
      </c>
      <c r="T448" s="3">
        <v>2100</v>
      </c>
      <c r="U448" s="3">
        <f t="shared" si="250"/>
        <v>-0.1999999999998181</v>
      </c>
      <c r="V448" s="3">
        <v>39</v>
      </c>
      <c r="W448" s="3">
        <f t="shared" si="251"/>
        <v>3961</v>
      </c>
      <c r="X448" s="3"/>
      <c r="Y448" s="3">
        <v>4000</v>
      </c>
      <c r="Z448" s="3">
        <f t="shared" si="252"/>
        <v>1900</v>
      </c>
      <c r="AA448" s="3"/>
      <c r="AB448" s="3"/>
      <c r="AC448" s="3">
        <v>4045</v>
      </c>
      <c r="AD448" s="3">
        <f t="shared" si="220"/>
        <v>5</v>
      </c>
      <c r="AE448" s="3">
        <v>4050</v>
      </c>
      <c r="AF448" s="3">
        <f t="shared" si="253"/>
        <v>50</v>
      </c>
      <c r="AG448" s="3"/>
      <c r="AH448" s="3">
        <f>AE448*1.03-72-100</f>
        <v>3999.5</v>
      </c>
      <c r="AI448" s="3"/>
      <c r="AJ448" s="3">
        <f t="shared" si="254"/>
        <v>4119.4849999999997</v>
      </c>
      <c r="AK448" s="3"/>
      <c r="AL448" s="3">
        <f t="shared" si="255"/>
        <v>4243.0695500000002</v>
      </c>
      <c r="AM448" s="3"/>
      <c r="AN448" s="3">
        <f t="shared" si="256"/>
        <v>4370.3616365000007</v>
      </c>
      <c r="AO448" s="3"/>
      <c r="AP448" s="3">
        <f t="shared" si="257"/>
        <v>4501.4724855950008</v>
      </c>
      <c r="AQ448" s="3"/>
      <c r="AR448" s="3">
        <f t="shared" si="258"/>
        <v>4636.5166601628507</v>
      </c>
      <c r="AS448" s="3"/>
      <c r="AT448" s="3">
        <f t="shared" si="259"/>
        <v>4775.6121599677363</v>
      </c>
      <c r="AU448" s="3"/>
      <c r="AV448" s="3">
        <f t="shared" si="260"/>
        <v>4918.8805247667688</v>
      </c>
      <c r="AW448" s="3"/>
      <c r="AX448" s="3">
        <f t="shared" si="261"/>
        <v>5066.4469405097716</v>
      </c>
      <c r="AZ448" s="3">
        <f t="shared" si="262"/>
        <v>5218.4403487250647</v>
      </c>
      <c r="BP448" s="5">
        <f t="shared" si="209"/>
        <v>-5218.4403487250647</v>
      </c>
    </row>
    <row r="449" spans="1:68" x14ac:dyDescent="0.25">
      <c r="A449" s="3" t="s">
        <v>299</v>
      </c>
      <c r="B449" s="3">
        <v>21000</v>
      </c>
      <c r="D449" s="3">
        <v>4159</v>
      </c>
      <c r="E449" s="3">
        <f t="shared" si="245"/>
        <v>15841</v>
      </c>
      <c r="F449" s="5">
        <v>20000</v>
      </c>
      <c r="H449" s="5">
        <f t="shared" si="246"/>
        <v>-1000</v>
      </c>
      <c r="J449" s="5">
        <v>8553</v>
      </c>
      <c r="K449" s="4">
        <f t="shared" si="247"/>
        <v>11447</v>
      </c>
      <c r="L449" s="4">
        <v>20000</v>
      </c>
      <c r="N449" s="4">
        <f t="shared" si="248"/>
        <v>0</v>
      </c>
      <c r="P449" s="3">
        <f>L449*1.0281+1438</f>
        <v>22000</v>
      </c>
      <c r="Q449" s="3"/>
      <c r="R449" s="3">
        <v>3254</v>
      </c>
      <c r="S449" s="3">
        <f t="shared" si="249"/>
        <v>18746</v>
      </c>
      <c r="T449" s="3">
        <v>22000</v>
      </c>
      <c r="U449" s="3">
        <f t="shared" si="250"/>
        <v>0</v>
      </c>
      <c r="V449" s="3">
        <v>4616</v>
      </c>
      <c r="W449" s="3">
        <f t="shared" si="251"/>
        <v>17384</v>
      </c>
      <c r="X449" s="3"/>
      <c r="Y449" s="3">
        <v>22000</v>
      </c>
      <c r="Z449" s="3">
        <f t="shared" si="252"/>
        <v>0</v>
      </c>
      <c r="AA449" s="3"/>
      <c r="AB449" s="3"/>
      <c r="AC449" s="3">
        <v>16204</v>
      </c>
      <c r="AD449" s="3">
        <f t="shared" si="220"/>
        <v>5796</v>
      </c>
      <c r="AE449" s="3">
        <v>22000</v>
      </c>
      <c r="AF449" s="3">
        <f t="shared" si="253"/>
        <v>0</v>
      </c>
      <c r="AG449" s="3"/>
      <c r="AH449" s="3">
        <f>AE449*1.03+40-200</f>
        <v>22500</v>
      </c>
      <c r="AI449" s="3"/>
      <c r="AJ449" s="3">
        <f t="shared" si="254"/>
        <v>23175</v>
      </c>
      <c r="AK449" s="3"/>
      <c r="AL449" s="3">
        <f t="shared" si="255"/>
        <v>23870.25</v>
      </c>
      <c r="AM449" s="3"/>
      <c r="AN449" s="3">
        <f t="shared" si="256"/>
        <v>24586.357500000002</v>
      </c>
      <c r="AO449" s="3"/>
      <c r="AP449" s="3">
        <f t="shared" si="257"/>
        <v>25323.948225000004</v>
      </c>
      <c r="AQ449" s="3"/>
      <c r="AR449" s="3">
        <f t="shared" si="258"/>
        <v>26083.666671750005</v>
      </c>
      <c r="AS449" s="3"/>
      <c r="AT449" s="3">
        <f t="shared" si="259"/>
        <v>26866.176671902507</v>
      </c>
      <c r="AU449" s="3"/>
      <c r="AV449" s="3">
        <f t="shared" si="260"/>
        <v>27672.161972059585</v>
      </c>
      <c r="AW449" s="3"/>
      <c r="AX449" s="3">
        <f t="shared" si="261"/>
        <v>28502.326831221373</v>
      </c>
      <c r="AZ449" s="3">
        <f t="shared" si="262"/>
        <v>29357.396636158013</v>
      </c>
      <c r="BP449" s="5">
        <f t="shared" si="209"/>
        <v>-29357.396636158013</v>
      </c>
    </row>
    <row r="450" spans="1:68" x14ac:dyDescent="0.25">
      <c r="A450" s="3" t="s">
        <v>353</v>
      </c>
      <c r="B450" s="3">
        <v>2000</v>
      </c>
      <c r="D450" s="3">
        <v>0</v>
      </c>
      <c r="E450" s="3">
        <f t="shared" si="245"/>
        <v>2000</v>
      </c>
      <c r="F450" s="5">
        <v>2000</v>
      </c>
      <c r="H450" s="5">
        <f t="shared" si="246"/>
        <v>0</v>
      </c>
      <c r="K450" s="4">
        <f t="shared" si="247"/>
        <v>2000</v>
      </c>
      <c r="L450" s="4">
        <v>2000</v>
      </c>
      <c r="N450" s="4">
        <f t="shared" si="248"/>
        <v>0</v>
      </c>
      <c r="P450" s="3">
        <f>L450*1.0281+44</f>
        <v>2100.1999999999998</v>
      </c>
      <c r="Q450" s="3"/>
      <c r="R450" s="3">
        <v>0</v>
      </c>
      <c r="S450" s="3">
        <f t="shared" si="249"/>
        <v>2100</v>
      </c>
      <c r="T450" s="3">
        <v>2100</v>
      </c>
      <c r="U450" s="3">
        <f t="shared" si="250"/>
        <v>-0.1999999999998181</v>
      </c>
      <c r="V450" s="3"/>
      <c r="W450" s="3">
        <f t="shared" si="251"/>
        <v>2100</v>
      </c>
      <c r="X450" s="3"/>
      <c r="Y450" s="3">
        <v>2100</v>
      </c>
      <c r="Z450" s="3">
        <f t="shared" si="252"/>
        <v>0</v>
      </c>
      <c r="AA450" s="3"/>
      <c r="AB450" s="3"/>
      <c r="AC450" s="3">
        <v>0</v>
      </c>
      <c r="AD450" s="3">
        <f t="shared" si="220"/>
        <v>2000</v>
      </c>
      <c r="AE450" s="3">
        <v>2000</v>
      </c>
      <c r="AF450" s="3">
        <f t="shared" si="253"/>
        <v>-100</v>
      </c>
      <c r="AG450" s="3"/>
      <c r="AH450" s="3">
        <f>AE450*1.03+40</f>
        <v>2100</v>
      </c>
      <c r="AI450" s="3"/>
      <c r="AJ450" s="3">
        <v>1000</v>
      </c>
      <c r="AK450" s="3"/>
      <c r="AL450" s="3">
        <f t="shared" si="255"/>
        <v>1030</v>
      </c>
      <c r="AM450" s="3"/>
      <c r="AN450" s="3">
        <f t="shared" si="256"/>
        <v>1060.9000000000001</v>
      </c>
      <c r="AO450" s="3"/>
      <c r="AP450" s="3">
        <f t="shared" si="257"/>
        <v>1092.7270000000001</v>
      </c>
      <c r="AQ450" s="3"/>
      <c r="AR450" s="3">
        <f t="shared" si="258"/>
        <v>1125.50881</v>
      </c>
      <c r="AS450" s="3"/>
      <c r="AT450" s="3">
        <f t="shared" si="259"/>
        <v>1159.2740743000002</v>
      </c>
      <c r="AU450" s="3"/>
      <c r="AV450" s="3">
        <f t="shared" si="260"/>
        <v>1194.0522965290002</v>
      </c>
      <c r="AW450" s="3"/>
      <c r="AX450" s="3">
        <f t="shared" si="261"/>
        <v>1229.8738654248702</v>
      </c>
      <c r="AZ450" s="3">
        <f t="shared" si="262"/>
        <v>1266.7700813876163</v>
      </c>
      <c r="BP450" s="5">
        <f t="shared" si="209"/>
        <v>-1266.7700813876163</v>
      </c>
    </row>
    <row r="451" spans="1:68" x14ac:dyDescent="0.25">
      <c r="A451" s="3" t="s">
        <v>306</v>
      </c>
      <c r="B451" s="3">
        <v>15000</v>
      </c>
      <c r="D451" s="3">
        <v>6915</v>
      </c>
      <c r="E451" s="3">
        <f t="shared" si="245"/>
        <v>13085</v>
      </c>
      <c r="F451" s="5">
        <v>20000</v>
      </c>
      <c r="H451" s="5">
        <f t="shared" si="246"/>
        <v>5000</v>
      </c>
      <c r="J451" s="5">
        <v>12990</v>
      </c>
      <c r="K451" s="4">
        <f t="shared" si="247"/>
        <v>9010</v>
      </c>
      <c r="L451" s="4">
        <v>22000</v>
      </c>
      <c r="N451" s="4">
        <f t="shared" si="248"/>
        <v>2000</v>
      </c>
      <c r="P451" s="3">
        <f>L451*1.0335+13</f>
        <v>22750.000000000004</v>
      </c>
      <c r="Q451" s="3"/>
      <c r="R451" s="3">
        <v>5515</v>
      </c>
      <c r="S451" s="3">
        <f t="shared" si="249"/>
        <v>17235</v>
      </c>
      <c r="T451" s="3">
        <v>22750</v>
      </c>
      <c r="U451" s="3">
        <f t="shared" si="250"/>
        <v>0</v>
      </c>
      <c r="V451" s="3">
        <v>11730</v>
      </c>
      <c r="W451" s="3">
        <f t="shared" si="251"/>
        <v>11270</v>
      </c>
      <c r="X451" s="3"/>
      <c r="Y451" s="3">
        <v>23000</v>
      </c>
      <c r="Z451" s="3">
        <f t="shared" si="252"/>
        <v>250</v>
      </c>
      <c r="AA451" s="3"/>
      <c r="AB451" s="3"/>
      <c r="AC451" s="3">
        <v>21332</v>
      </c>
      <c r="AD451" s="3">
        <f t="shared" si="220"/>
        <v>6668</v>
      </c>
      <c r="AE451" s="3">
        <v>28000</v>
      </c>
      <c r="AF451" s="3">
        <f t="shared" si="253"/>
        <v>5000</v>
      </c>
      <c r="AG451" s="3"/>
      <c r="AH451" s="3">
        <v>27750</v>
      </c>
      <c r="AI451" s="3"/>
      <c r="AJ451" s="3">
        <f t="shared" si="254"/>
        <v>28582.5</v>
      </c>
      <c r="AK451" s="3"/>
      <c r="AL451" s="3">
        <f t="shared" si="255"/>
        <v>29439.975000000002</v>
      </c>
      <c r="AM451" s="3"/>
      <c r="AN451" s="3">
        <f t="shared" si="256"/>
        <v>30323.174250000004</v>
      </c>
      <c r="AO451" s="3"/>
      <c r="AP451" s="3">
        <f t="shared" si="257"/>
        <v>31232.869477500004</v>
      </c>
      <c r="AQ451" s="3"/>
      <c r="AR451" s="3">
        <f t="shared" si="258"/>
        <v>32169.855561825007</v>
      </c>
      <c r="AS451" s="3"/>
      <c r="AT451" s="3">
        <f t="shared" si="259"/>
        <v>33134.951228679754</v>
      </c>
      <c r="AU451" s="3"/>
      <c r="AV451" s="3">
        <f t="shared" si="260"/>
        <v>34128.999765540146</v>
      </c>
      <c r="AW451" s="3"/>
      <c r="AX451" s="3">
        <f t="shared" si="261"/>
        <v>35152.869758506349</v>
      </c>
      <c r="AZ451" s="3">
        <f t="shared" si="262"/>
        <v>36207.45585126154</v>
      </c>
      <c r="BP451" s="5">
        <f t="shared" si="209"/>
        <v>-36207.45585126154</v>
      </c>
    </row>
    <row r="452" spans="1:68" x14ac:dyDescent="0.25">
      <c r="A452" s="3" t="s">
        <v>317</v>
      </c>
      <c r="B452" s="3">
        <v>1000</v>
      </c>
      <c r="D452" s="3">
        <v>0</v>
      </c>
      <c r="E452" s="3">
        <f t="shared" si="245"/>
        <v>1000</v>
      </c>
      <c r="F452" s="5">
        <v>1000</v>
      </c>
      <c r="H452" s="5">
        <f t="shared" si="246"/>
        <v>0</v>
      </c>
      <c r="K452" s="4">
        <f t="shared" si="247"/>
        <v>0</v>
      </c>
      <c r="L452" s="4">
        <v>0</v>
      </c>
      <c r="N452" s="4">
        <f t="shared" si="248"/>
        <v>-1000</v>
      </c>
      <c r="P452" s="3">
        <v>1000</v>
      </c>
      <c r="Q452" s="3"/>
      <c r="R452" s="3"/>
      <c r="S452" s="3">
        <f t="shared" si="249"/>
        <v>1000</v>
      </c>
      <c r="T452" s="3">
        <v>1000</v>
      </c>
      <c r="U452" s="3">
        <f t="shared" si="250"/>
        <v>0</v>
      </c>
      <c r="V452" s="3"/>
      <c r="W452" s="3">
        <f t="shared" si="251"/>
        <v>1000</v>
      </c>
      <c r="X452" s="3"/>
      <c r="Y452" s="3">
        <v>1000</v>
      </c>
      <c r="Z452" s="3">
        <f t="shared" si="252"/>
        <v>0</v>
      </c>
      <c r="AA452" s="3"/>
      <c r="AB452" s="3"/>
      <c r="AC452" s="3">
        <v>0</v>
      </c>
      <c r="AD452" s="3">
        <f t="shared" si="220"/>
        <v>1000</v>
      </c>
      <c r="AE452" s="3">
        <v>1000</v>
      </c>
      <c r="AF452" s="3">
        <f t="shared" si="253"/>
        <v>0</v>
      </c>
      <c r="AG452" s="3"/>
      <c r="AH452" s="3">
        <f>AE452*1.03-30</f>
        <v>1000</v>
      </c>
      <c r="AI452" s="3"/>
      <c r="AJ452" s="3">
        <f t="shared" si="254"/>
        <v>1030</v>
      </c>
      <c r="AK452" s="3"/>
      <c r="AL452" s="3">
        <f t="shared" si="255"/>
        <v>1060.9000000000001</v>
      </c>
      <c r="AM452" s="3"/>
      <c r="AN452" s="3">
        <f t="shared" si="256"/>
        <v>1092.7270000000001</v>
      </c>
      <c r="AO452" s="3"/>
      <c r="AP452" s="3">
        <f t="shared" si="257"/>
        <v>1125.50881</v>
      </c>
      <c r="AQ452" s="3"/>
      <c r="AR452" s="3">
        <f t="shared" si="258"/>
        <v>1159.2740743000002</v>
      </c>
      <c r="AS452" s="3"/>
      <c r="AT452" s="3">
        <f t="shared" si="259"/>
        <v>1194.0522965290002</v>
      </c>
      <c r="AU452" s="3"/>
      <c r="AV452" s="3">
        <f t="shared" si="260"/>
        <v>1229.8738654248702</v>
      </c>
      <c r="AW452" s="3"/>
      <c r="AX452" s="3">
        <f t="shared" si="261"/>
        <v>1266.7700813876163</v>
      </c>
      <c r="AZ452" s="3">
        <f t="shared" si="262"/>
        <v>1304.7731838292448</v>
      </c>
      <c r="BP452" s="5">
        <f t="shared" si="209"/>
        <v>-1304.7731838292448</v>
      </c>
    </row>
    <row r="453" spans="1:68" x14ac:dyDescent="0.25">
      <c r="A453" s="3" t="s">
        <v>354</v>
      </c>
      <c r="B453" s="3">
        <v>77500</v>
      </c>
      <c r="D453" s="3">
        <v>7514</v>
      </c>
      <c r="E453" s="3">
        <f t="shared" si="245"/>
        <v>44986</v>
      </c>
      <c r="F453" s="5">
        <v>52500</v>
      </c>
      <c r="H453" s="5">
        <f t="shared" si="246"/>
        <v>-25000</v>
      </c>
      <c r="J453" s="5">
        <v>15451</v>
      </c>
      <c r="K453" s="4">
        <f t="shared" si="247"/>
        <v>37049</v>
      </c>
      <c r="L453" s="4">
        <v>52500</v>
      </c>
      <c r="N453" s="4">
        <f t="shared" si="248"/>
        <v>0</v>
      </c>
      <c r="P453" s="3">
        <v>80000</v>
      </c>
      <c r="Q453" s="3"/>
      <c r="R453" s="3">
        <v>13142</v>
      </c>
      <c r="S453" s="3">
        <f t="shared" si="249"/>
        <v>66858</v>
      </c>
      <c r="T453" s="3">
        <v>80000</v>
      </c>
      <c r="U453" s="3">
        <f t="shared" si="250"/>
        <v>0</v>
      </c>
      <c r="V453" s="3">
        <v>25460</v>
      </c>
      <c r="W453" s="3">
        <f t="shared" si="251"/>
        <v>44540</v>
      </c>
      <c r="X453" s="3"/>
      <c r="Y453" s="3">
        <v>70000</v>
      </c>
      <c r="Z453" s="3">
        <f t="shared" si="252"/>
        <v>-10000</v>
      </c>
      <c r="AA453" s="3"/>
      <c r="AB453" s="3"/>
      <c r="AC453" s="3">
        <f>40105+2200</f>
        <v>42305</v>
      </c>
      <c r="AD453" s="3">
        <f t="shared" si="220"/>
        <v>15695</v>
      </c>
      <c r="AE453" s="3">
        <v>58000</v>
      </c>
      <c r="AF453" s="3">
        <f t="shared" si="253"/>
        <v>-12000</v>
      </c>
      <c r="AG453" s="3"/>
      <c r="AH453" s="3">
        <v>54000</v>
      </c>
      <c r="AI453" s="3"/>
      <c r="AJ453" s="3">
        <f t="shared" si="254"/>
        <v>55620</v>
      </c>
      <c r="AK453" s="3"/>
      <c r="AL453" s="3">
        <f t="shared" si="255"/>
        <v>57288.6</v>
      </c>
      <c r="AM453" s="3"/>
      <c r="AN453" s="3">
        <f t="shared" si="256"/>
        <v>59007.258000000002</v>
      </c>
      <c r="AO453" s="3"/>
      <c r="AP453" s="3">
        <f t="shared" si="257"/>
        <v>60777.475740000002</v>
      </c>
      <c r="AQ453" s="3"/>
      <c r="AR453" s="3">
        <f t="shared" si="258"/>
        <v>62600.800012200001</v>
      </c>
      <c r="AS453" s="3"/>
      <c r="AT453" s="3">
        <f t="shared" si="259"/>
        <v>64478.824012566001</v>
      </c>
      <c r="AU453" s="3"/>
      <c r="AV453" s="3">
        <f t="shared" si="260"/>
        <v>66413.188732942988</v>
      </c>
      <c r="AW453" s="3"/>
      <c r="AX453" s="3">
        <f t="shared" si="261"/>
        <v>68405.584394931284</v>
      </c>
      <c r="AZ453" s="3">
        <f t="shared" si="262"/>
        <v>70457.751926779223</v>
      </c>
      <c r="BP453" s="5">
        <f t="shared" ref="BP453:BP459" si="263">+BA453-AZ453</f>
        <v>-70457.751926779223</v>
      </c>
    </row>
    <row r="454" spans="1:68" x14ac:dyDescent="0.25">
      <c r="A454" s="3" t="s">
        <v>355</v>
      </c>
      <c r="B454" s="3">
        <v>4000</v>
      </c>
      <c r="D454" s="3">
        <v>0</v>
      </c>
      <c r="E454" s="3">
        <f t="shared" si="245"/>
        <v>4000</v>
      </c>
      <c r="F454" s="5">
        <v>4000</v>
      </c>
      <c r="H454" s="5">
        <f t="shared" si="246"/>
        <v>0</v>
      </c>
      <c r="J454" s="5">
        <v>0</v>
      </c>
      <c r="K454" s="4">
        <f t="shared" si="247"/>
        <v>4000</v>
      </c>
      <c r="L454" s="4">
        <v>4000</v>
      </c>
      <c r="N454" s="4">
        <f t="shared" si="248"/>
        <v>0</v>
      </c>
      <c r="P454" s="3">
        <f>L454*1.0281+38</f>
        <v>4150.3999999999996</v>
      </c>
      <c r="Q454" s="3"/>
      <c r="R454" s="3">
        <v>0</v>
      </c>
      <c r="S454" s="3">
        <f t="shared" si="249"/>
        <v>4150</v>
      </c>
      <c r="T454" s="3">
        <v>4150</v>
      </c>
      <c r="U454" s="3">
        <f t="shared" si="250"/>
        <v>-0.3999999999996362</v>
      </c>
      <c r="V454" s="3"/>
      <c r="W454" s="3">
        <f t="shared" si="251"/>
        <v>4150</v>
      </c>
      <c r="X454" s="3"/>
      <c r="Y454" s="3">
        <v>4150</v>
      </c>
      <c r="Z454" s="3">
        <f t="shared" si="252"/>
        <v>0</v>
      </c>
      <c r="AA454" s="3"/>
      <c r="AB454" s="3"/>
      <c r="AC454" s="3">
        <v>0</v>
      </c>
      <c r="AD454" s="3">
        <f t="shared" si="220"/>
        <v>4000</v>
      </c>
      <c r="AE454" s="3">
        <v>4000</v>
      </c>
      <c r="AF454" s="3">
        <f t="shared" si="253"/>
        <v>-150</v>
      </c>
      <c r="AG454" s="3"/>
      <c r="AH454" s="3">
        <v>4000</v>
      </c>
      <c r="AI454" s="3"/>
      <c r="AJ454" s="3">
        <f t="shared" si="254"/>
        <v>4120</v>
      </c>
      <c r="AK454" s="3"/>
      <c r="AL454" s="3">
        <f t="shared" si="255"/>
        <v>4243.6000000000004</v>
      </c>
      <c r="AM454" s="3"/>
      <c r="AN454" s="3">
        <f t="shared" si="256"/>
        <v>4370.9080000000004</v>
      </c>
      <c r="AO454" s="3"/>
      <c r="AP454" s="3">
        <f t="shared" si="257"/>
        <v>4502.0352400000002</v>
      </c>
      <c r="AQ454" s="3"/>
      <c r="AR454" s="3">
        <f t="shared" si="258"/>
        <v>4637.0962972000007</v>
      </c>
      <c r="AS454" s="3"/>
      <c r="AT454" s="3">
        <f t="shared" si="259"/>
        <v>4776.2091861160006</v>
      </c>
      <c r="AU454" s="3"/>
      <c r="AV454" s="3">
        <f t="shared" si="260"/>
        <v>4919.495461699481</v>
      </c>
      <c r="AW454" s="3"/>
      <c r="AX454" s="3">
        <f t="shared" si="261"/>
        <v>5067.0803255504652</v>
      </c>
      <c r="AZ454" s="3">
        <f t="shared" si="262"/>
        <v>5219.0927353169791</v>
      </c>
      <c r="BP454" s="5">
        <f t="shared" si="263"/>
        <v>-5219.0927353169791</v>
      </c>
    </row>
    <row r="455" spans="1:68" x14ac:dyDescent="0.25">
      <c r="A455" s="3" t="s">
        <v>356</v>
      </c>
      <c r="B455" s="3">
        <v>2000</v>
      </c>
      <c r="D455" s="3">
        <v>0</v>
      </c>
      <c r="E455" s="3">
        <f t="shared" si="245"/>
        <v>2000</v>
      </c>
      <c r="F455" s="5">
        <v>2000</v>
      </c>
      <c r="H455" s="5">
        <f t="shared" si="246"/>
        <v>0</v>
      </c>
      <c r="J455" s="5">
        <v>0</v>
      </c>
      <c r="K455" s="4">
        <f t="shared" si="247"/>
        <v>2000</v>
      </c>
      <c r="L455" s="4">
        <v>2000</v>
      </c>
      <c r="N455" s="4">
        <f t="shared" si="248"/>
        <v>0</v>
      </c>
      <c r="P455" s="3">
        <f>L455*1.0281+44</f>
        <v>2100.1999999999998</v>
      </c>
      <c r="Q455" s="3"/>
      <c r="R455" s="3">
        <v>0</v>
      </c>
      <c r="S455" s="3">
        <f t="shared" si="249"/>
        <v>2100</v>
      </c>
      <c r="T455" s="3">
        <v>2100</v>
      </c>
      <c r="U455" s="3">
        <f t="shared" si="250"/>
        <v>-0.1999999999998181</v>
      </c>
      <c r="V455" s="3"/>
      <c r="W455" s="3">
        <f t="shared" si="251"/>
        <v>2100</v>
      </c>
      <c r="X455" s="3"/>
      <c r="Y455" s="3">
        <v>2100</v>
      </c>
      <c r="Z455" s="3">
        <f t="shared" si="252"/>
        <v>0</v>
      </c>
      <c r="AA455" s="3"/>
      <c r="AB455" s="3"/>
      <c r="AC455" s="3">
        <v>0</v>
      </c>
      <c r="AD455" s="3">
        <f t="shared" si="220"/>
        <v>2000</v>
      </c>
      <c r="AE455" s="3">
        <v>2000</v>
      </c>
      <c r="AF455" s="3">
        <f t="shared" si="253"/>
        <v>-100</v>
      </c>
      <c r="AG455" s="3"/>
      <c r="AH455" s="3">
        <v>2100</v>
      </c>
      <c r="AI455" s="3"/>
      <c r="AJ455" s="3">
        <f t="shared" si="254"/>
        <v>2163</v>
      </c>
      <c r="AK455" s="3"/>
      <c r="AL455" s="3">
        <f t="shared" si="255"/>
        <v>2227.89</v>
      </c>
      <c r="AM455" s="3"/>
      <c r="AN455" s="3">
        <f t="shared" si="256"/>
        <v>2294.7266999999997</v>
      </c>
      <c r="AO455" s="3"/>
      <c r="AP455" s="3">
        <f t="shared" si="257"/>
        <v>2363.5685009999997</v>
      </c>
      <c r="AQ455" s="3"/>
      <c r="AR455" s="3">
        <f t="shared" si="258"/>
        <v>2434.47555603</v>
      </c>
      <c r="AS455" s="3"/>
      <c r="AT455" s="3">
        <f t="shared" si="259"/>
        <v>2507.5098227109002</v>
      </c>
      <c r="AU455" s="3"/>
      <c r="AV455" s="3">
        <f t="shared" si="260"/>
        <v>2582.735117392227</v>
      </c>
      <c r="AW455" s="3"/>
      <c r="AX455" s="3">
        <f t="shared" si="261"/>
        <v>2660.2171709139939</v>
      </c>
      <c r="AZ455" s="3">
        <f t="shared" si="262"/>
        <v>2740.0236860414138</v>
      </c>
      <c r="BP455" s="5">
        <f t="shared" si="263"/>
        <v>-2740.0236860414138</v>
      </c>
    </row>
    <row r="456" spans="1:68" x14ac:dyDescent="0.25">
      <c r="A456" s="3" t="s">
        <v>357</v>
      </c>
      <c r="B456" s="3">
        <v>18500</v>
      </c>
      <c r="D456" s="3">
        <v>0</v>
      </c>
      <c r="E456" s="3">
        <f t="shared" si="245"/>
        <v>18500</v>
      </c>
      <c r="F456" s="5">
        <v>18500</v>
      </c>
      <c r="H456" s="5">
        <f t="shared" si="246"/>
        <v>0</v>
      </c>
      <c r="J456" s="5">
        <v>6255</v>
      </c>
      <c r="K456" s="4">
        <f t="shared" si="247"/>
        <v>12245</v>
      </c>
      <c r="L456" s="4">
        <v>18500</v>
      </c>
      <c r="N456" s="4">
        <f t="shared" si="248"/>
        <v>0</v>
      </c>
      <c r="P456" s="3">
        <f>L456*1.0281+30</f>
        <v>19049.849999999999</v>
      </c>
      <c r="Q456" s="3"/>
      <c r="R456" s="3">
        <v>0</v>
      </c>
      <c r="S456" s="3">
        <f t="shared" si="249"/>
        <v>18000</v>
      </c>
      <c r="T456" s="3">
        <v>18000</v>
      </c>
      <c r="U456" s="3">
        <f t="shared" si="250"/>
        <v>-1049.8499999999985</v>
      </c>
      <c r="V456" s="3">
        <v>8623</v>
      </c>
      <c r="W456" s="3">
        <f t="shared" si="251"/>
        <v>9377</v>
      </c>
      <c r="X456" s="3"/>
      <c r="Y456" s="3">
        <v>18000</v>
      </c>
      <c r="Z456" s="3">
        <f t="shared" si="252"/>
        <v>0</v>
      </c>
      <c r="AA456" s="3"/>
      <c r="AB456" s="3"/>
      <c r="AC456" s="3">
        <v>10488</v>
      </c>
      <c r="AD456" s="3">
        <f t="shared" si="220"/>
        <v>7512</v>
      </c>
      <c r="AE456" s="3">
        <v>18000</v>
      </c>
      <c r="AF456" s="3">
        <f t="shared" si="253"/>
        <v>0</v>
      </c>
      <c r="AG456" s="3"/>
      <c r="AH456" s="3">
        <f>AE456*1.03+10</f>
        <v>18550</v>
      </c>
      <c r="AI456" s="3"/>
      <c r="AJ456" s="3">
        <f t="shared" si="254"/>
        <v>19106.5</v>
      </c>
      <c r="AK456" s="3"/>
      <c r="AL456" s="3">
        <f t="shared" si="255"/>
        <v>19679.695</v>
      </c>
      <c r="AM456" s="3"/>
      <c r="AN456" s="3">
        <f t="shared" si="256"/>
        <v>20270.085849999999</v>
      </c>
      <c r="AO456" s="3"/>
      <c r="AP456" s="3">
        <f t="shared" si="257"/>
        <v>20878.1884255</v>
      </c>
      <c r="AQ456" s="3"/>
      <c r="AR456" s="3">
        <f t="shared" si="258"/>
        <v>21504.534078265002</v>
      </c>
      <c r="AS456" s="3"/>
      <c r="AT456" s="3">
        <f t="shared" si="259"/>
        <v>22149.670100612952</v>
      </c>
      <c r="AU456" s="3"/>
      <c r="AV456" s="3">
        <f t="shared" si="260"/>
        <v>22814.160203631342</v>
      </c>
      <c r="AW456" s="3"/>
      <c r="AX456" s="3">
        <f t="shared" si="261"/>
        <v>23498.585009740284</v>
      </c>
      <c r="AZ456" s="3">
        <f t="shared" si="262"/>
        <v>24203.542560032492</v>
      </c>
      <c r="BP456" s="5">
        <f t="shared" si="263"/>
        <v>-24203.542560032492</v>
      </c>
    </row>
    <row r="457" spans="1:68" x14ac:dyDescent="0.25">
      <c r="A457" s="3" t="s">
        <v>358</v>
      </c>
      <c r="B457" s="3"/>
      <c r="D457" s="3"/>
      <c r="E457" s="3">
        <f t="shared" si="245"/>
        <v>0</v>
      </c>
      <c r="H457" s="5">
        <f t="shared" si="246"/>
        <v>0</v>
      </c>
      <c r="K457" s="4">
        <f t="shared" si="247"/>
        <v>0</v>
      </c>
      <c r="L457" s="4"/>
      <c r="N457" s="4">
        <f t="shared" si="248"/>
        <v>0</v>
      </c>
      <c r="P457" s="3">
        <f>L457*1.0281</f>
        <v>0</v>
      </c>
      <c r="Q457" s="3"/>
      <c r="R457" s="3"/>
      <c r="S457" s="3">
        <f t="shared" si="249"/>
        <v>0</v>
      </c>
      <c r="T457" s="3"/>
      <c r="U457" s="3">
        <f t="shared" si="250"/>
        <v>0</v>
      </c>
      <c r="V457" s="3"/>
      <c r="W457" s="3">
        <f t="shared" si="251"/>
        <v>0</v>
      </c>
      <c r="X457" s="3"/>
      <c r="Y457" s="3"/>
      <c r="Z457" s="3">
        <f t="shared" si="252"/>
        <v>0</v>
      </c>
      <c r="AA457" s="3"/>
      <c r="AB457" s="3"/>
      <c r="AC457" s="3"/>
      <c r="AD457" s="3">
        <f t="shared" si="220"/>
        <v>0</v>
      </c>
      <c r="AE457" s="3"/>
      <c r="AF457" s="3">
        <f t="shared" si="253"/>
        <v>0</v>
      </c>
      <c r="AG457" s="3"/>
      <c r="AH457" s="3">
        <f>AE457*1.03</f>
        <v>0</v>
      </c>
      <c r="AI457" s="3"/>
      <c r="AJ457" s="3">
        <f t="shared" si="254"/>
        <v>0</v>
      </c>
      <c r="AK457" s="3"/>
      <c r="AL457" s="3">
        <f t="shared" si="255"/>
        <v>0</v>
      </c>
      <c r="AM457" s="3"/>
      <c r="AN457" s="3">
        <f t="shared" si="256"/>
        <v>0</v>
      </c>
      <c r="AO457" s="3"/>
      <c r="AP457" s="3">
        <f t="shared" si="257"/>
        <v>0</v>
      </c>
      <c r="AQ457" s="3"/>
      <c r="AR457" s="3">
        <f t="shared" si="258"/>
        <v>0</v>
      </c>
      <c r="AS457" s="3"/>
      <c r="AT457" s="3">
        <f t="shared" si="259"/>
        <v>0</v>
      </c>
      <c r="AU457" s="3"/>
      <c r="AV457" s="3">
        <f t="shared" si="260"/>
        <v>0</v>
      </c>
      <c r="AW457" s="3"/>
      <c r="AX457" s="3">
        <f t="shared" si="261"/>
        <v>0</v>
      </c>
      <c r="AZ457" s="3">
        <f t="shared" si="262"/>
        <v>0</v>
      </c>
      <c r="BP457" s="5">
        <f t="shared" si="263"/>
        <v>0</v>
      </c>
    </row>
    <row r="458" spans="1:68" x14ac:dyDescent="0.25">
      <c r="A458" s="3" t="s">
        <v>359</v>
      </c>
      <c r="B458" s="3">
        <v>20500</v>
      </c>
      <c r="D458" s="3">
        <v>4691</v>
      </c>
      <c r="E458" s="3">
        <f t="shared" si="245"/>
        <v>15309</v>
      </c>
      <c r="F458" s="5">
        <v>20000</v>
      </c>
      <c r="H458" s="5">
        <f t="shared" si="246"/>
        <v>-500</v>
      </c>
      <c r="J458" s="5">
        <v>10947</v>
      </c>
      <c r="K458" s="4">
        <f t="shared" si="247"/>
        <v>9053</v>
      </c>
      <c r="L458" s="4">
        <v>20000</v>
      </c>
      <c r="N458" s="4">
        <f t="shared" si="248"/>
        <v>0</v>
      </c>
      <c r="P458" s="3">
        <f>L458*1.0281+38</f>
        <v>20600</v>
      </c>
      <c r="Q458" s="3"/>
      <c r="R458" s="3">
        <v>2651</v>
      </c>
      <c r="S458" s="3">
        <f t="shared" si="249"/>
        <v>16349</v>
      </c>
      <c r="T458" s="3">
        <v>19000</v>
      </c>
      <c r="U458" s="3">
        <f t="shared" si="250"/>
        <v>-1600</v>
      </c>
      <c r="V458" s="3">
        <v>13286</v>
      </c>
      <c r="W458" s="3">
        <f t="shared" si="251"/>
        <v>5714</v>
      </c>
      <c r="X458" s="3"/>
      <c r="Y458" s="3">
        <v>19000</v>
      </c>
      <c r="Z458" s="3">
        <f t="shared" si="252"/>
        <v>0</v>
      </c>
      <c r="AA458" s="3"/>
      <c r="AB458" s="3"/>
      <c r="AC458" s="3">
        <v>19387</v>
      </c>
      <c r="AD458" s="3">
        <f t="shared" si="220"/>
        <v>3613</v>
      </c>
      <c r="AE458" s="3">
        <v>23000</v>
      </c>
      <c r="AF458" s="3">
        <f t="shared" si="253"/>
        <v>4000</v>
      </c>
      <c r="AG458" s="3"/>
      <c r="AH458" s="3">
        <f>AE458*1.03+10-700</f>
        <v>23000</v>
      </c>
      <c r="AI458" s="3"/>
      <c r="AJ458" s="3">
        <f t="shared" si="254"/>
        <v>23690</v>
      </c>
      <c r="AK458" s="3"/>
      <c r="AL458" s="3">
        <f t="shared" si="255"/>
        <v>24400.7</v>
      </c>
      <c r="AM458" s="3"/>
      <c r="AN458" s="3">
        <f t="shared" si="256"/>
        <v>25132.721000000001</v>
      </c>
      <c r="AO458" s="3"/>
      <c r="AP458" s="3">
        <f t="shared" si="257"/>
        <v>25886.702630000003</v>
      </c>
      <c r="AQ458" s="3"/>
      <c r="AR458" s="3">
        <f t="shared" si="258"/>
        <v>26663.303708900003</v>
      </c>
      <c r="AS458" s="3"/>
      <c r="AT458" s="3">
        <f t="shared" si="259"/>
        <v>27463.202820167004</v>
      </c>
      <c r="AU458" s="3"/>
      <c r="AV458" s="3">
        <f t="shared" si="260"/>
        <v>28287.098904772014</v>
      </c>
      <c r="AW458" s="3"/>
      <c r="AX458" s="3">
        <f t="shared" si="261"/>
        <v>29135.711871915177</v>
      </c>
      <c r="AZ458" s="3">
        <f t="shared" si="262"/>
        <v>30009.783228072632</v>
      </c>
      <c r="BP458" s="5">
        <f t="shared" si="263"/>
        <v>-30009.783228072632</v>
      </c>
    </row>
    <row r="459" spans="1:68" x14ac:dyDescent="0.25">
      <c r="A459" s="3" t="s">
        <v>360</v>
      </c>
      <c r="B459" s="3">
        <v>0</v>
      </c>
      <c r="D459" s="3"/>
      <c r="E459" s="3">
        <f t="shared" si="245"/>
        <v>0</v>
      </c>
      <c r="H459" s="5">
        <f t="shared" si="246"/>
        <v>0</v>
      </c>
      <c r="K459" s="4">
        <f t="shared" si="247"/>
        <v>0</v>
      </c>
      <c r="L459" s="4"/>
      <c r="N459" s="4">
        <f t="shared" si="248"/>
        <v>0</v>
      </c>
      <c r="P459" s="3"/>
      <c r="Q459" s="3"/>
      <c r="R459" s="3"/>
      <c r="S459" s="3">
        <f t="shared" si="249"/>
        <v>2000</v>
      </c>
      <c r="T459" s="3">
        <v>2000</v>
      </c>
      <c r="U459" s="3">
        <f t="shared" si="250"/>
        <v>2000</v>
      </c>
      <c r="V459" s="3">
        <v>286</v>
      </c>
      <c r="W459" s="3">
        <f t="shared" si="251"/>
        <v>1714</v>
      </c>
      <c r="X459" s="3"/>
      <c r="Y459" s="3">
        <v>2000</v>
      </c>
      <c r="Z459" s="3">
        <f t="shared" si="252"/>
        <v>0</v>
      </c>
      <c r="AA459" s="3"/>
      <c r="AB459" s="3"/>
      <c r="AC459" s="3"/>
      <c r="AD459" s="3">
        <f t="shared" si="220"/>
        <v>0</v>
      </c>
      <c r="AE459" s="3">
        <v>0</v>
      </c>
      <c r="AF459" s="3">
        <f t="shared" si="253"/>
        <v>-2000</v>
      </c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42"/>
      <c r="AR459" s="3"/>
      <c r="AS459" s="42"/>
      <c r="AT459" s="3"/>
      <c r="AU459" s="42"/>
      <c r="AV459" s="3"/>
      <c r="AW459" s="42"/>
      <c r="AX459" s="3"/>
      <c r="AZ459" s="3"/>
      <c r="BA459" s="42"/>
      <c r="BP459" s="5">
        <f t="shared" si="263"/>
        <v>0</v>
      </c>
    </row>
    <row r="460" spans="1:68" x14ac:dyDescent="0.25">
      <c r="A460" s="3" t="s">
        <v>361</v>
      </c>
      <c r="B460" s="3"/>
      <c r="D460" s="3"/>
      <c r="E460" s="3"/>
      <c r="K460" s="4"/>
      <c r="L460" s="4"/>
      <c r="N460" s="4"/>
      <c r="P460" s="3"/>
      <c r="Q460" s="3"/>
      <c r="R460" s="3"/>
      <c r="S460" s="3">
        <f>T460-R460</f>
        <v>0</v>
      </c>
      <c r="T460" s="3"/>
      <c r="U460" s="3">
        <f>T460-P460</f>
        <v>0</v>
      </c>
      <c r="V460" s="3"/>
      <c r="W460" s="3">
        <f t="shared" si="251"/>
        <v>0</v>
      </c>
      <c r="X460" s="3"/>
      <c r="Y460" s="3"/>
      <c r="Z460" s="3">
        <f t="shared" si="252"/>
        <v>0</v>
      </c>
      <c r="AA460" s="3"/>
      <c r="AB460" s="3"/>
      <c r="AC460" s="3"/>
      <c r="AD460" s="3">
        <f t="shared" ref="AD460:AD470" si="264">AE460-AC460</f>
        <v>0</v>
      </c>
      <c r="AE460" s="3"/>
      <c r="AF460" s="3">
        <f t="shared" si="253"/>
        <v>0</v>
      </c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42"/>
      <c r="AR460" s="3"/>
      <c r="AS460" s="42"/>
      <c r="AT460" s="3"/>
      <c r="AU460" s="42"/>
      <c r="AV460" s="3"/>
      <c r="AW460" s="42"/>
      <c r="AX460" s="3"/>
      <c r="AZ460" s="3"/>
    </row>
    <row r="461" spans="1:68" s="42" customFormat="1" x14ac:dyDescent="0.25">
      <c r="A461" s="3" t="s">
        <v>362</v>
      </c>
      <c r="B461" s="3">
        <v>-240000</v>
      </c>
      <c r="C461" s="3"/>
      <c r="D461" s="3">
        <v>-75950</v>
      </c>
      <c r="E461" s="3">
        <f t="shared" ref="E461:E470" si="265">F461-D461</f>
        <v>-224050</v>
      </c>
      <c r="F461" s="5">
        <v>-300000</v>
      </c>
      <c r="G461" s="3"/>
      <c r="H461" s="5">
        <f t="shared" ref="H461:H470" si="266">F461-B461</f>
        <v>-60000</v>
      </c>
      <c r="I461" s="5"/>
      <c r="J461" s="5">
        <v>-151039</v>
      </c>
      <c r="K461" s="4">
        <f t="shared" si="247"/>
        <v>-148961</v>
      </c>
      <c r="L461" s="4">
        <v>-300000</v>
      </c>
      <c r="M461" s="4"/>
      <c r="N461" s="4">
        <f t="shared" si="248"/>
        <v>0</v>
      </c>
      <c r="O461" s="3"/>
      <c r="P461" s="3">
        <v>-300000</v>
      </c>
      <c r="Q461" s="3"/>
      <c r="R461" s="3">
        <v>-61752</v>
      </c>
      <c r="S461" s="3">
        <f t="shared" si="249"/>
        <v>-238248</v>
      </c>
      <c r="T461" s="3">
        <v>-300000</v>
      </c>
      <c r="U461" s="3">
        <f t="shared" si="250"/>
        <v>0</v>
      </c>
      <c r="V461" s="3">
        <v>-130010</v>
      </c>
      <c r="W461" s="3">
        <f t="shared" si="251"/>
        <v>-159990</v>
      </c>
      <c r="X461" s="3"/>
      <c r="Y461" s="3">
        <v>-290000</v>
      </c>
      <c r="Z461" s="3">
        <f t="shared" si="252"/>
        <v>10000</v>
      </c>
      <c r="AA461" s="3"/>
      <c r="AB461" s="3"/>
      <c r="AC461" s="3">
        <v>-184309</v>
      </c>
      <c r="AD461" s="3">
        <f t="shared" si="264"/>
        <v>-95691</v>
      </c>
      <c r="AE461" s="3">
        <v>-280000</v>
      </c>
      <c r="AF461" s="3">
        <f t="shared" si="253"/>
        <v>10000</v>
      </c>
      <c r="AG461" s="3"/>
      <c r="AH461" s="3">
        <v>-265000</v>
      </c>
      <c r="AI461" s="3"/>
      <c r="AJ461" s="3">
        <v>-185000</v>
      </c>
      <c r="AK461" s="3"/>
      <c r="AL461" s="3">
        <f>AJ461*1.0275</f>
        <v>-190087.50000000003</v>
      </c>
      <c r="AM461" s="3"/>
      <c r="AN461" s="3">
        <f>AL461*1.0275</f>
        <v>-195314.90625000006</v>
      </c>
      <c r="AO461" s="3"/>
      <c r="AP461" s="3">
        <f>AN461*1.0275</f>
        <v>-200686.06617187508</v>
      </c>
      <c r="AR461" s="3">
        <f>AP461*1.0275</f>
        <v>-206204.93299160167</v>
      </c>
      <c r="AT461" s="3">
        <f>AR461*1.0275</f>
        <v>-211875.56864887074</v>
      </c>
      <c r="AV461" s="3">
        <f>AT461*1.0275</f>
        <v>-217702.1467867147</v>
      </c>
      <c r="AX461" s="3">
        <f>AV461*1.0275</f>
        <v>-223688.95582334936</v>
      </c>
      <c r="AZ461" s="3">
        <f>AX461*1.0275</f>
        <v>-229840.40210849149</v>
      </c>
      <c r="BA461" s="6"/>
    </row>
    <row r="462" spans="1:68" x14ac:dyDescent="0.25">
      <c r="A462" s="3" t="s">
        <v>363</v>
      </c>
      <c r="B462" s="3">
        <v>114000</v>
      </c>
      <c r="D462" s="3">
        <v>33216</v>
      </c>
      <c r="E462" s="3">
        <f t="shared" si="265"/>
        <v>82784</v>
      </c>
      <c r="F462" s="5">
        <v>116000</v>
      </c>
      <c r="H462" s="5">
        <f t="shared" si="266"/>
        <v>2000</v>
      </c>
      <c r="J462" s="5">
        <v>67332</v>
      </c>
      <c r="K462" s="4">
        <f t="shared" si="247"/>
        <v>50668</v>
      </c>
      <c r="L462" s="4">
        <v>118000</v>
      </c>
      <c r="N462" s="4">
        <f t="shared" si="248"/>
        <v>2000</v>
      </c>
      <c r="P462" s="3">
        <f>L462*1.0281+34</f>
        <v>121349.8</v>
      </c>
      <c r="Q462" s="3"/>
      <c r="R462" s="3">
        <v>40612</v>
      </c>
      <c r="S462" s="3">
        <f t="shared" si="249"/>
        <v>84388</v>
      </c>
      <c r="T462" s="3">
        <v>125000</v>
      </c>
      <c r="U462" s="3">
        <f t="shared" si="250"/>
        <v>3650.1999999999971</v>
      </c>
      <c r="V462" s="3">
        <v>57071</v>
      </c>
      <c r="W462" s="3">
        <f t="shared" si="251"/>
        <v>67929</v>
      </c>
      <c r="X462" s="3"/>
      <c r="Y462" s="3">
        <v>125000</v>
      </c>
      <c r="Z462" s="3">
        <f t="shared" si="252"/>
        <v>0</v>
      </c>
      <c r="AA462" s="3"/>
      <c r="AB462" s="3"/>
      <c r="AC462" s="3">
        <v>85501</v>
      </c>
      <c r="AD462" s="3">
        <f t="shared" si="264"/>
        <v>35499</v>
      </c>
      <c r="AE462" s="3">
        <v>121000</v>
      </c>
      <c r="AF462" s="3">
        <f t="shared" si="253"/>
        <v>-4000</v>
      </c>
      <c r="AG462" s="3"/>
      <c r="AH462" s="3">
        <f>AE462*1.03+20</f>
        <v>124650</v>
      </c>
      <c r="AI462" s="3"/>
      <c r="AJ462" s="3">
        <f>AH462*1.03</f>
        <v>128389.5</v>
      </c>
      <c r="AK462" s="3"/>
      <c r="AL462" s="3">
        <f t="shared" ref="AL462:AZ462" si="267">AJ462*1.03</f>
        <v>132241.185</v>
      </c>
      <c r="AM462" s="3">
        <f t="shared" si="267"/>
        <v>0</v>
      </c>
      <c r="AN462" s="3">
        <f t="shared" si="267"/>
        <v>136208.42055000001</v>
      </c>
      <c r="AO462" s="3">
        <f t="shared" si="267"/>
        <v>0</v>
      </c>
      <c r="AP462" s="3">
        <f t="shared" si="267"/>
        <v>140294.67316650003</v>
      </c>
      <c r="AQ462" s="3"/>
      <c r="AR462" s="3">
        <f t="shared" si="267"/>
        <v>144503.51336149502</v>
      </c>
      <c r="AS462" s="3">
        <f t="shared" si="267"/>
        <v>0</v>
      </c>
      <c r="AT462" s="3">
        <f t="shared" si="267"/>
        <v>148838.61876233987</v>
      </c>
      <c r="AU462" s="3">
        <f t="shared" si="267"/>
        <v>0</v>
      </c>
      <c r="AV462" s="3">
        <f t="shared" si="267"/>
        <v>153303.77732521007</v>
      </c>
      <c r="AW462" s="3"/>
      <c r="AX462" s="3">
        <f t="shared" si="267"/>
        <v>157902.89064496639</v>
      </c>
      <c r="AY462" s="3">
        <f t="shared" si="267"/>
        <v>0</v>
      </c>
      <c r="AZ462" s="3">
        <f t="shared" si="267"/>
        <v>162639.97736431539</v>
      </c>
    </row>
    <row r="463" spans="1:68" x14ac:dyDescent="0.25">
      <c r="A463" s="3" t="s">
        <v>364</v>
      </c>
      <c r="B463" s="3">
        <v>33000</v>
      </c>
      <c r="D463" s="3"/>
      <c r="E463" s="3">
        <f t="shared" si="265"/>
        <v>36000</v>
      </c>
      <c r="F463" s="5">
        <v>36000</v>
      </c>
      <c r="H463" s="5">
        <f t="shared" si="266"/>
        <v>3000</v>
      </c>
      <c r="J463" s="5">
        <v>0</v>
      </c>
      <c r="K463" s="4">
        <f t="shared" si="247"/>
        <v>36000</v>
      </c>
      <c r="L463" s="4">
        <v>36000</v>
      </c>
      <c r="N463" s="4">
        <f t="shared" si="248"/>
        <v>0</v>
      </c>
      <c r="P463" s="3">
        <v>32000</v>
      </c>
      <c r="Q463" s="3"/>
      <c r="R463" s="3">
        <v>0</v>
      </c>
      <c r="S463" s="3">
        <f t="shared" si="249"/>
        <v>36000</v>
      </c>
      <c r="T463" s="3">
        <v>36000</v>
      </c>
      <c r="U463" s="3">
        <f t="shared" si="250"/>
        <v>4000</v>
      </c>
      <c r="V463" s="3">
        <v>0</v>
      </c>
      <c r="W463" s="3">
        <f t="shared" si="251"/>
        <v>36000</v>
      </c>
      <c r="X463" s="3"/>
      <c r="Y463" s="3">
        <v>36000</v>
      </c>
      <c r="Z463" s="3">
        <f t="shared" si="252"/>
        <v>0</v>
      </c>
      <c r="AA463" s="3"/>
      <c r="AB463" s="3"/>
      <c r="AC463" s="3">
        <v>38200</v>
      </c>
      <c r="AD463" s="3">
        <f t="shared" si="264"/>
        <v>0</v>
      </c>
      <c r="AE463" s="3">
        <v>38200</v>
      </c>
      <c r="AF463" s="3">
        <f t="shared" si="253"/>
        <v>2200</v>
      </c>
      <c r="AG463" s="3"/>
      <c r="AH463" s="3">
        <v>83000</v>
      </c>
      <c r="AI463" s="3"/>
      <c r="AJ463" s="3"/>
      <c r="AK463" s="3"/>
      <c r="AL463" s="3"/>
      <c r="AM463" s="3"/>
      <c r="AN463" s="3"/>
      <c r="AO463" s="3"/>
      <c r="AP463" s="3"/>
      <c r="AQ463" s="42"/>
      <c r="AR463" s="3"/>
      <c r="AS463" s="42"/>
      <c r="AT463" s="3"/>
      <c r="AU463" s="42"/>
      <c r="AV463" s="3"/>
      <c r="AW463" s="42"/>
      <c r="AX463" s="3"/>
      <c r="AZ463" s="3"/>
    </row>
    <row r="464" spans="1:68" x14ac:dyDescent="0.25">
      <c r="A464" s="88" t="s">
        <v>289</v>
      </c>
      <c r="B464" s="3">
        <v>5000</v>
      </c>
      <c r="D464" s="3">
        <v>0</v>
      </c>
      <c r="E464" s="3">
        <f t="shared" si="265"/>
        <v>5000</v>
      </c>
      <c r="F464" s="5">
        <v>5000</v>
      </c>
      <c r="H464" s="5">
        <f t="shared" si="266"/>
        <v>0</v>
      </c>
      <c r="J464" s="5">
        <v>0</v>
      </c>
      <c r="K464" s="4">
        <f t="shared" si="247"/>
        <v>5000</v>
      </c>
      <c r="L464" s="4">
        <v>5000</v>
      </c>
      <c r="N464" s="4">
        <f t="shared" si="248"/>
        <v>0</v>
      </c>
      <c r="P464" s="3">
        <v>5000</v>
      </c>
      <c r="Q464" s="3"/>
      <c r="R464" s="3">
        <v>0</v>
      </c>
      <c r="S464" s="3">
        <f t="shared" si="249"/>
        <v>5000</v>
      </c>
      <c r="T464" s="3">
        <v>5000</v>
      </c>
      <c r="U464" s="3">
        <f t="shared" si="250"/>
        <v>0</v>
      </c>
      <c r="V464" s="3">
        <v>0</v>
      </c>
      <c r="W464" s="3">
        <f t="shared" si="251"/>
        <v>5000</v>
      </c>
      <c r="X464" s="3"/>
      <c r="Y464" s="3">
        <v>5000</v>
      </c>
      <c r="Z464" s="3">
        <f t="shared" si="252"/>
        <v>0</v>
      </c>
      <c r="AA464" s="3"/>
      <c r="AB464" s="3"/>
      <c r="AC464" s="3">
        <v>0</v>
      </c>
      <c r="AD464" s="3">
        <f t="shared" si="264"/>
        <v>5000</v>
      </c>
      <c r="AE464" s="3">
        <v>5000</v>
      </c>
      <c r="AF464" s="3">
        <f t="shared" si="253"/>
        <v>0</v>
      </c>
      <c r="AG464" s="3"/>
      <c r="AH464" s="88">
        <v>5000</v>
      </c>
      <c r="AI464" s="3"/>
      <c r="AJ464" s="3">
        <v>5000</v>
      </c>
      <c r="AK464" s="3"/>
      <c r="AL464" s="3">
        <v>5000</v>
      </c>
      <c r="AM464" s="3"/>
      <c r="AN464" s="3">
        <v>5000</v>
      </c>
      <c r="AO464" s="3"/>
      <c r="AP464" s="3">
        <v>5000</v>
      </c>
      <c r="AQ464" s="42"/>
      <c r="AR464" s="3">
        <v>5000</v>
      </c>
      <c r="AS464" s="42"/>
      <c r="AT464" s="3">
        <v>5000</v>
      </c>
      <c r="AU464" s="42"/>
      <c r="AV464" s="3">
        <v>5000</v>
      </c>
      <c r="AW464" s="42"/>
      <c r="AX464" s="3">
        <v>5000</v>
      </c>
      <c r="AZ464" s="3">
        <v>5000</v>
      </c>
    </row>
    <row r="465" spans="1:53" x14ac:dyDescent="0.25">
      <c r="A465" s="3" t="s">
        <v>365</v>
      </c>
      <c r="B465" s="3">
        <v>1200</v>
      </c>
      <c r="D465" s="3"/>
      <c r="E465" s="3">
        <f t="shared" si="265"/>
        <v>1200</v>
      </c>
      <c r="F465" s="5">
        <v>1200</v>
      </c>
      <c r="H465" s="5">
        <f t="shared" si="266"/>
        <v>0</v>
      </c>
      <c r="J465" s="5">
        <v>0</v>
      </c>
      <c r="K465" s="4">
        <f t="shared" si="247"/>
        <v>1000</v>
      </c>
      <c r="L465" s="4">
        <v>1000</v>
      </c>
      <c r="N465" s="4">
        <f t="shared" si="248"/>
        <v>-200</v>
      </c>
      <c r="P465" s="3">
        <f>L465*1.0281+22</f>
        <v>1050.0999999999999</v>
      </c>
      <c r="Q465" s="3"/>
      <c r="R465" s="3">
        <v>0</v>
      </c>
      <c r="S465" s="3">
        <f t="shared" si="249"/>
        <v>1050</v>
      </c>
      <c r="T465" s="3">
        <v>1050</v>
      </c>
      <c r="U465" s="3">
        <f t="shared" si="250"/>
        <v>-9.9999999999909051E-2</v>
      </c>
      <c r="V465" s="3">
        <v>0</v>
      </c>
      <c r="W465" s="3">
        <f t="shared" si="251"/>
        <v>1050</v>
      </c>
      <c r="X465" s="3"/>
      <c r="Y465" s="3">
        <v>1050</v>
      </c>
      <c r="Z465" s="3">
        <f t="shared" si="252"/>
        <v>0</v>
      </c>
      <c r="AA465" s="3"/>
      <c r="AB465" s="3"/>
      <c r="AC465" s="3">
        <v>0</v>
      </c>
      <c r="AD465" s="3">
        <f t="shared" si="264"/>
        <v>550</v>
      </c>
      <c r="AE465" s="3">
        <v>550</v>
      </c>
      <c r="AF465" s="3">
        <f t="shared" si="253"/>
        <v>-500</v>
      </c>
      <c r="AG465" s="3"/>
      <c r="AH465" s="3">
        <f>AE465*1.03+33</f>
        <v>599.5</v>
      </c>
      <c r="AI465" s="3"/>
      <c r="AJ465" s="3">
        <f>AH465*1.03</f>
        <v>617.48500000000001</v>
      </c>
      <c r="AK465" s="3"/>
      <c r="AL465" s="3">
        <f>AJ465*1.03</f>
        <v>636.00954999999999</v>
      </c>
      <c r="AM465" s="3">
        <f>AK465*1.03</f>
        <v>0</v>
      </c>
      <c r="AN465" s="3">
        <f>AL465*1.03</f>
        <v>655.08983650000005</v>
      </c>
      <c r="AO465" s="3">
        <f>AM465*1.03</f>
        <v>0</v>
      </c>
      <c r="AP465" s="3">
        <f>AN465*1.03</f>
        <v>674.74253159500006</v>
      </c>
      <c r="AQ465" s="3"/>
      <c r="AR465" s="3">
        <f>AP465*1.03</f>
        <v>694.98480754285004</v>
      </c>
      <c r="AS465" s="3">
        <f>AQ465*1.03</f>
        <v>0</v>
      </c>
      <c r="AT465" s="3">
        <f>AR465*1.03</f>
        <v>715.83435176913554</v>
      </c>
      <c r="AU465" s="3">
        <f>AS465*1.03</f>
        <v>0</v>
      </c>
      <c r="AV465" s="3">
        <f>AT465*1.03</f>
        <v>737.30938232220967</v>
      </c>
      <c r="AW465" s="3"/>
      <c r="AX465" s="3">
        <f>AV465*1.03</f>
        <v>759.42866379187603</v>
      </c>
      <c r="AY465" s="3">
        <f>AW465*1.03</f>
        <v>0</v>
      </c>
      <c r="AZ465" s="3">
        <f>AX465*1.03</f>
        <v>782.21152370563232</v>
      </c>
    </row>
    <row r="466" spans="1:53" x14ac:dyDescent="0.25">
      <c r="A466" s="88" t="s">
        <v>366</v>
      </c>
      <c r="B466" s="3">
        <v>6000</v>
      </c>
      <c r="D466" s="3">
        <v>0</v>
      </c>
      <c r="E466" s="3">
        <f t="shared" si="265"/>
        <v>6000</v>
      </c>
      <c r="F466" s="5">
        <v>6000</v>
      </c>
      <c r="H466" s="5">
        <f t="shared" si="266"/>
        <v>0</v>
      </c>
      <c r="J466" s="5">
        <v>0</v>
      </c>
      <c r="K466" s="4">
        <f t="shared" si="247"/>
        <v>6000</v>
      </c>
      <c r="L466" s="4">
        <v>6000</v>
      </c>
      <c r="N466" s="4">
        <f t="shared" si="248"/>
        <v>0</v>
      </c>
      <c r="P466" s="3">
        <v>6000</v>
      </c>
      <c r="Q466" s="3"/>
      <c r="R466" s="3">
        <v>0</v>
      </c>
      <c r="S466" s="3">
        <f t="shared" si="249"/>
        <v>6000</v>
      </c>
      <c r="T466" s="3">
        <v>6000</v>
      </c>
      <c r="U466" s="3">
        <f t="shared" si="250"/>
        <v>0</v>
      </c>
      <c r="V466" s="3">
        <v>0</v>
      </c>
      <c r="W466" s="3">
        <f t="shared" si="251"/>
        <v>6000</v>
      </c>
      <c r="X466" s="3"/>
      <c r="Y466" s="3">
        <v>6000</v>
      </c>
      <c r="Z466" s="3">
        <f t="shared" si="252"/>
        <v>0</v>
      </c>
      <c r="AA466" s="3"/>
      <c r="AB466" s="3"/>
      <c r="AC466" s="3">
        <v>0</v>
      </c>
      <c r="AD466" s="3">
        <f t="shared" si="264"/>
        <v>6000</v>
      </c>
      <c r="AE466" s="3">
        <v>6000</v>
      </c>
      <c r="AF466" s="3">
        <f t="shared" si="253"/>
        <v>0</v>
      </c>
      <c r="AG466" s="3"/>
      <c r="AH466" s="88">
        <v>6000</v>
      </c>
      <c r="AI466" s="3"/>
      <c r="AJ466" s="3">
        <v>6000</v>
      </c>
      <c r="AK466" s="3"/>
      <c r="AL466" s="3">
        <v>6000</v>
      </c>
      <c r="AM466" s="3"/>
      <c r="AN466" s="3">
        <v>6000</v>
      </c>
      <c r="AO466" s="3"/>
      <c r="AP466" s="3">
        <v>6000</v>
      </c>
      <c r="AQ466" s="42"/>
      <c r="AR466" s="3">
        <v>6000</v>
      </c>
      <c r="AS466" s="42"/>
      <c r="AT466" s="3">
        <v>6000</v>
      </c>
      <c r="AU466" s="42"/>
      <c r="AV466" s="3">
        <v>6000</v>
      </c>
      <c r="AW466" s="42"/>
      <c r="AX466" s="3">
        <v>6000</v>
      </c>
      <c r="AZ466" s="3">
        <v>6000</v>
      </c>
    </row>
    <row r="467" spans="1:53" x14ac:dyDescent="0.25">
      <c r="A467" s="3" t="s">
        <v>367</v>
      </c>
      <c r="B467" s="3">
        <v>600</v>
      </c>
      <c r="D467" s="3">
        <v>397</v>
      </c>
      <c r="E467" s="3">
        <f t="shared" si="265"/>
        <v>203</v>
      </c>
      <c r="F467" s="5">
        <v>600</v>
      </c>
      <c r="H467" s="5">
        <f t="shared" si="266"/>
        <v>0</v>
      </c>
      <c r="J467" s="5">
        <v>397</v>
      </c>
      <c r="K467" s="4">
        <f t="shared" si="247"/>
        <v>203</v>
      </c>
      <c r="L467" s="4">
        <v>600</v>
      </c>
      <c r="N467" s="4">
        <f t="shared" si="248"/>
        <v>0</v>
      </c>
      <c r="P467" s="3">
        <f>L467*1.0281+33</f>
        <v>649.86</v>
      </c>
      <c r="Q467" s="3"/>
      <c r="R467" s="3">
        <v>286</v>
      </c>
      <c r="S467" s="3">
        <f t="shared" si="249"/>
        <v>364</v>
      </c>
      <c r="T467" s="3">
        <v>650</v>
      </c>
      <c r="U467" s="3">
        <f t="shared" si="250"/>
        <v>0.13999999999998636</v>
      </c>
      <c r="V467" s="3">
        <v>286</v>
      </c>
      <c r="W467" s="3">
        <f t="shared" si="251"/>
        <v>364</v>
      </c>
      <c r="X467" s="3"/>
      <c r="Y467" s="3">
        <v>650</v>
      </c>
      <c r="Z467" s="3">
        <f t="shared" si="252"/>
        <v>0</v>
      </c>
      <c r="AA467" s="3"/>
      <c r="AB467" s="3"/>
      <c r="AC467" s="3">
        <v>286</v>
      </c>
      <c r="AD467" s="3">
        <f t="shared" si="264"/>
        <v>364</v>
      </c>
      <c r="AE467" s="3">
        <v>650</v>
      </c>
      <c r="AF467" s="3">
        <f t="shared" si="253"/>
        <v>0</v>
      </c>
      <c r="AG467" s="3"/>
      <c r="AH467" s="3">
        <f>AE467*1.03+30</f>
        <v>699.5</v>
      </c>
      <c r="AI467" s="3"/>
      <c r="AJ467" s="3">
        <f t="shared" ref="AJ467:AZ467" si="268">AH467*1.0281</f>
        <v>719.15594999999996</v>
      </c>
      <c r="AK467" s="3"/>
      <c r="AL467" s="3">
        <f t="shared" si="268"/>
        <v>739.364232195</v>
      </c>
      <c r="AM467" s="3">
        <f t="shared" si="268"/>
        <v>0</v>
      </c>
      <c r="AN467" s="3">
        <f t="shared" si="268"/>
        <v>760.14036711967947</v>
      </c>
      <c r="AO467" s="3"/>
      <c r="AP467" s="3">
        <f>AN467*1.0281</f>
        <v>781.50031143574245</v>
      </c>
      <c r="AQ467" s="3"/>
      <c r="AR467" s="3">
        <f t="shared" si="268"/>
        <v>803.4604701870868</v>
      </c>
      <c r="AS467" s="3">
        <f t="shared" si="268"/>
        <v>0</v>
      </c>
      <c r="AT467" s="3">
        <f t="shared" si="268"/>
        <v>826.03770939934395</v>
      </c>
      <c r="AU467" s="3">
        <f t="shared" si="268"/>
        <v>0</v>
      </c>
      <c r="AV467" s="3">
        <f t="shared" si="268"/>
        <v>849.24936903346554</v>
      </c>
      <c r="AW467" s="3"/>
      <c r="AX467" s="3">
        <f t="shared" si="268"/>
        <v>873.11327630330595</v>
      </c>
      <c r="AZ467" s="3">
        <f t="shared" si="268"/>
        <v>897.64775936742888</v>
      </c>
    </row>
    <row r="468" spans="1:53" x14ac:dyDescent="0.25">
      <c r="A468" s="3" t="s">
        <v>368</v>
      </c>
      <c r="B468" s="3">
        <v>2700</v>
      </c>
      <c r="D468" s="3">
        <v>0</v>
      </c>
      <c r="E468" s="3">
        <f t="shared" si="265"/>
        <v>2700</v>
      </c>
      <c r="F468" s="5">
        <v>2700</v>
      </c>
      <c r="H468" s="5">
        <f t="shared" si="266"/>
        <v>0</v>
      </c>
      <c r="J468" s="5">
        <v>0</v>
      </c>
      <c r="K468" s="4">
        <f t="shared" si="247"/>
        <v>2700</v>
      </c>
      <c r="L468" s="4">
        <v>2700</v>
      </c>
      <c r="N468" s="4">
        <f t="shared" si="248"/>
        <v>0</v>
      </c>
      <c r="P468" s="3">
        <v>2700</v>
      </c>
      <c r="Q468" s="3"/>
      <c r="R468" s="3">
        <v>0</v>
      </c>
      <c r="S468" s="3">
        <f t="shared" si="249"/>
        <v>2700</v>
      </c>
      <c r="T468" s="3">
        <v>2700</v>
      </c>
      <c r="U468" s="3">
        <f t="shared" si="250"/>
        <v>0</v>
      </c>
      <c r="V468" s="3">
        <v>0</v>
      </c>
      <c r="W468" s="3">
        <f t="shared" si="251"/>
        <v>2700</v>
      </c>
      <c r="X468" s="3"/>
      <c r="Y468" s="3">
        <v>2700</v>
      </c>
      <c r="Z468" s="3">
        <f t="shared" si="252"/>
        <v>0</v>
      </c>
      <c r="AA468" s="3"/>
      <c r="AB468" s="3"/>
      <c r="AC468" s="3">
        <v>0</v>
      </c>
      <c r="AD468" s="3">
        <f t="shared" si="264"/>
        <v>2700</v>
      </c>
      <c r="AE468" s="3">
        <v>2700</v>
      </c>
      <c r="AF468" s="3">
        <f t="shared" si="253"/>
        <v>0</v>
      </c>
      <c r="AG468" s="3"/>
      <c r="AH468" s="3">
        <v>2700</v>
      </c>
      <c r="AI468" s="3"/>
      <c r="AJ468" s="3">
        <v>2700</v>
      </c>
      <c r="AK468" s="3"/>
      <c r="AL468" s="3">
        <v>2700</v>
      </c>
      <c r="AM468" s="3"/>
      <c r="AN468" s="3">
        <v>2700</v>
      </c>
      <c r="AO468" s="3"/>
      <c r="AP468" s="3">
        <v>2700</v>
      </c>
      <c r="AQ468" s="42"/>
      <c r="AR468" s="3">
        <v>2700</v>
      </c>
      <c r="AS468" s="42"/>
      <c r="AT468" s="3">
        <v>2700</v>
      </c>
      <c r="AU468" s="42"/>
      <c r="AV468" s="3">
        <v>2700</v>
      </c>
      <c r="AW468" s="42"/>
      <c r="AX468" s="3">
        <v>2700</v>
      </c>
      <c r="AZ468" s="3">
        <v>2700</v>
      </c>
    </row>
    <row r="469" spans="1:53" x14ac:dyDescent="0.25">
      <c r="A469" s="3" t="s">
        <v>369</v>
      </c>
      <c r="B469" s="3">
        <v>2000</v>
      </c>
      <c r="D469" s="3">
        <v>0</v>
      </c>
      <c r="E469" s="3">
        <f t="shared" si="265"/>
        <v>2000</v>
      </c>
      <c r="F469" s="5">
        <v>2000</v>
      </c>
      <c r="H469" s="5">
        <f t="shared" si="266"/>
        <v>0</v>
      </c>
      <c r="J469" s="5">
        <v>0</v>
      </c>
      <c r="K469" s="4">
        <f t="shared" si="247"/>
        <v>2000</v>
      </c>
      <c r="L469" s="4">
        <v>2000</v>
      </c>
      <c r="N469" s="4">
        <f t="shared" si="248"/>
        <v>0</v>
      </c>
      <c r="P469" s="3">
        <f>L469*1.0281+44</f>
        <v>2100.1999999999998</v>
      </c>
      <c r="Q469" s="3"/>
      <c r="R469" s="3">
        <v>0</v>
      </c>
      <c r="S469" s="3">
        <f t="shared" si="249"/>
        <v>2100</v>
      </c>
      <c r="T469" s="3">
        <v>2100</v>
      </c>
      <c r="U469" s="3">
        <f t="shared" si="250"/>
        <v>-0.1999999999998181</v>
      </c>
      <c r="V469" s="3">
        <v>1549</v>
      </c>
      <c r="W469" s="3">
        <f t="shared" si="251"/>
        <v>551</v>
      </c>
      <c r="X469" s="3"/>
      <c r="Y469" s="3">
        <v>2100</v>
      </c>
      <c r="Z469" s="3">
        <f t="shared" si="252"/>
        <v>0</v>
      </c>
      <c r="AA469" s="3"/>
      <c r="AB469" s="3"/>
      <c r="AC469" s="3">
        <v>1549</v>
      </c>
      <c r="AD469" s="3">
        <f t="shared" si="264"/>
        <v>551</v>
      </c>
      <c r="AE469" s="3">
        <v>2100</v>
      </c>
      <c r="AF469" s="3">
        <f t="shared" si="253"/>
        <v>0</v>
      </c>
      <c r="AG469" s="3"/>
      <c r="AH469" s="3">
        <f>AE469*1.03+37+50</f>
        <v>2250</v>
      </c>
      <c r="AI469" s="3"/>
      <c r="AJ469" s="3">
        <f>AH469*1.03</f>
        <v>2317.5</v>
      </c>
      <c r="AK469" s="3"/>
      <c r="AL469" s="3">
        <f t="shared" ref="AL469:AP470" si="269">AJ469*1.03</f>
        <v>2387.0250000000001</v>
      </c>
      <c r="AM469" s="3">
        <f t="shared" si="269"/>
        <v>0</v>
      </c>
      <c r="AN469" s="3">
        <f t="shared" si="269"/>
        <v>2458.6357500000004</v>
      </c>
      <c r="AO469" s="3">
        <f t="shared" si="269"/>
        <v>0</v>
      </c>
      <c r="AP469" s="3">
        <f t="shared" si="269"/>
        <v>2532.3948225000004</v>
      </c>
      <c r="AQ469" s="3"/>
      <c r="AR469" s="3">
        <f t="shared" ref="AR469:AV470" si="270">AP469*1.03</f>
        <v>2608.3666671750007</v>
      </c>
      <c r="AS469" s="3">
        <f t="shared" si="270"/>
        <v>0</v>
      </c>
      <c r="AT469" s="3">
        <f t="shared" si="270"/>
        <v>2686.6176671902508</v>
      </c>
      <c r="AU469" s="3">
        <f t="shared" si="270"/>
        <v>0</v>
      </c>
      <c r="AV469" s="3">
        <f t="shared" si="270"/>
        <v>2767.2161972059585</v>
      </c>
      <c r="AW469" s="3"/>
      <c r="AX469" s="3">
        <f t="shared" ref="AX469:AZ470" si="271">AV469*1.03</f>
        <v>2850.2326831221371</v>
      </c>
      <c r="AY469" s="3">
        <f t="shared" si="271"/>
        <v>0</v>
      </c>
      <c r="AZ469" s="3">
        <f t="shared" si="271"/>
        <v>2935.7396636158014</v>
      </c>
    </row>
    <row r="470" spans="1:53" x14ac:dyDescent="0.25">
      <c r="A470" s="3" t="s">
        <v>370</v>
      </c>
      <c r="B470" s="3">
        <v>200</v>
      </c>
      <c r="D470" s="3"/>
      <c r="E470" s="3">
        <f t="shared" si="265"/>
        <v>200</v>
      </c>
      <c r="F470" s="5">
        <v>200</v>
      </c>
      <c r="H470" s="5">
        <f t="shared" si="266"/>
        <v>0</v>
      </c>
      <c r="J470" s="5">
        <v>0</v>
      </c>
      <c r="K470" s="4">
        <f t="shared" si="247"/>
        <v>200</v>
      </c>
      <c r="L470" s="4">
        <v>200</v>
      </c>
      <c r="N470" s="4">
        <f t="shared" si="248"/>
        <v>0</v>
      </c>
      <c r="P470" s="3">
        <f>L470*1.0281+44</f>
        <v>249.62</v>
      </c>
      <c r="Q470" s="3"/>
      <c r="R470" s="3"/>
      <c r="S470" s="3">
        <f t="shared" si="249"/>
        <v>250</v>
      </c>
      <c r="T470" s="3">
        <v>250</v>
      </c>
      <c r="U470" s="3">
        <f t="shared" si="250"/>
        <v>0.37999999999999545</v>
      </c>
      <c r="V470" s="3"/>
      <c r="W470" s="3">
        <f t="shared" si="251"/>
        <v>250</v>
      </c>
      <c r="X470" s="3"/>
      <c r="Y470" s="3">
        <v>250</v>
      </c>
      <c r="Z470" s="3">
        <f t="shared" si="252"/>
        <v>0</v>
      </c>
      <c r="AA470" s="3"/>
      <c r="AB470" s="3"/>
      <c r="AC470" s="3"/>
      <c r="AD470" s="3">
        <f t="shared" si="264"/>
        <v>250</v>
      </c>
      <c r="AE470" s="3">
        <v>250</v>
      </c>
      <c r="AF470" s="3">
        <f>AE470-Y470</f>
        <v>0</v>
      </c>
      <c r="AG470" s="3"/>
      <c r="AH470" s="3">
        <f>AE470*1.03+42</f>
        <v>299.5</v>
      </c>
      <c r="AI470" s="3"/>
      <c r="AJ470" s="3">
        <f>AH470*1.03</f>
        <v>308.48500000000001</v>
      </c>
      <c r="AK470" s="3">
        <f>AI470*1.0281</f>
        <v>0</v>
      </c>
      <c r="AL470" s="3">
        <f t="shared" si="269"/>
        <v>317.73955000000001</v>
      </c>
      <c r="AM470" s="3">
        <f t="shared" si="269"/>
        <v>0</v>
      </c>
      <c r="AN470" s="3">
        <f t="shared" si="269"/>
        <v>327.27173650000003</v>
      </c>
      <c r="AO470" s="3">
        <f t="shared" si="269"/>
        <v>0</v>
      </c>
      <c r="AP470" s="3">
        <f t="shared" si="269"/>
        <v>337.08988859500005</v>
      </c>
      <c r="AQ470" s="3"/>
      <c r="AR470" s="3">
        <f t="shared" si="270"/>
        <v>347.20258525285004</v>
      </c>
      <c r="AS470" s="3">
        <f t="shared" si="270"/>
        <v>0</v>
      </c>
      <c r="AT470" s="3">
        <f t="shared" si="270"/>
        <v>357.61866281043558</v>
      </c>
      <c r="AU470" s="3">
        <f t="shared" si="270"/>
        <v>0</v>
      </c>
      <c r="AV470" s="3">
        <f t="shared" si="270"/>
        <v>368.34722269474867</v>
      </c>
      <c r="AW470" s="3"/>
      <c r="AX470" s="3">
        <f t="shared" si="271"/>
        <v>379.39763937559115</v>
      </c>
      <c r="AY470" s="3">
        <f t="shared" si="271"/>
        <v>0</v>
      </c>
      <c r="AZ470" s="3">
        <f t="shared" si="271"/>
        <v>390.77956855685892</v>
      </c>
    </row>
    <row r="471" spans="1:53" x14ac:dyDescent="0.25">
      <c r="A471" s="3"/>
      <c r="B471" s="48">
        <f>SUM(B441:B470)+1</f>
        <v>647546</v>
      </c>
      <c r="C471" s="32"/>
      <c r="D471" s="48">
        <f>SUM(D441:D470)+1</f>
        <v>164639</v>
      </c>
      <c r="E471" s="48">
        <f>SUM(E441:E470)+1</f>
        <v>419128</v>
      </c>
      <c r="F471" s="48">
        <f>SUM(F441:F470)+1</f>
        <v>583766</v>
      </c>
      <c r="G471" s="32"/>
      <c r="H471" s="48">
        <f>SUM(H441:H470)+1</f>
        <v>-63779</v>
      </c>
      <c r="I471" s="36"/>
      <c r="J471" s="48">
        <f>SUM(J441:J470)+1</f>
        <v>268182</v>
      </c>
      <c r="K471" s="48">
        <f>SUM(K441:K470)+1</f>
        <v>327385</v>
      </c>
      <c r="L471" s="48">
        <f>SUM(L441:L470)+1</f>
        <v>595566</v>
      </c>
      <c r="M471" s="32"/>
      <c r="N471" s="48">
        <f>SUM(N441:N470)+1</f>
        <v>11801</v>
      </c>
      <c r="P471" s="48">
        <f>SUM(P441:P470)</f>
        <v>649748.70499999984</v>
      </c>
      <c r="R471" s="48">
        <f t="shared" ref="R471:W471" si="272">SUM(R441:R470)</f>
        <v>214087</v>
      </c>
      <c r="S471" s="48">
        <f t="shared" si="272"/>
        <v>481048</v>
      </c>
      <c r="T471" s="48">
        <f t="shared" si="272"/>
        <v>695135</v>
      </c>
      <c r="U471" s="48">
        <f t="shared" si="272"/>
        <v>45386.295000000006</v>
      </c>
      <c r="V471" s="48">
        <f t="shared" si="272"/>
        <v>301447</v>
      </c>
      <c r="W471" s="48">
        <f t="shared" si="272"/>
        <v>397838</v>
      </c>
      <c r="X471" s="48"/>
      <c r="Y471" s="48">
        <f>SUM(Y441:Y470)</f>
        <v>699285</v>
      </c>
      <c r="Z471" s="48">
        <f>SUM(Z441:Z470)</f>
        <v>4150</v>
      </c>
      <c r="AC471" s="48">
        <f>SUM(AC441:AC470)</f>
        <v>530417</v>
      </c>
      <c r="AD471" s="48">
        <f>SUM(AD441:AD470)</f>
        <v>196268</v>
      </c>
      <c r="AE471" s="48">
        <f>SUM(AE441:AE470)</f>
        <v>726685</v>
      </c>
      <c r="AF471" s="48">
        <f>SUM(AF441:AF470)</f>
        <v>27400</v>
      </c>
      <c r="AH471" s="48">
        <f>SUM(AH441:AH470)</f>
        <v>772547.51249999995</v>
      </c>
      <c r="AJ471" s="48">
        <f>SUM(AJ441:AJ470)</f>
        <v>796608.608825</v>
      </c>
      <c r="AL471" s="48">
        <f>SUM(AL441:AL470)</f>
        <v>820557.00069344474</v>
      </c>
      <c r="AN471" s="48">
        <f>SUM(AN441:AN470)</f>
        <v>845236.52467220731</v>
      </c>
      <c r="AO471" s="48"/>
      <c r="AP471" s="48">
        <f>SUM(AP441:AP470)</f>
        <v>870669.46341130079</v>
      </c>
      <c r="AR471" s="48">
        <f>SUM(AR441:AR470)</f>
        <v>896878.7776284779</v>
      </c>
      <c r="AT471" s="48">
        <f>SUM(AT441:AT470)</f>
        <v>923888.12671491783</v>
      </c>
      <c r="AV471" s="48">
        <f>SUM(AV441:AV470)</f>
        <v>951721.88996633992</v>
      </c>
      <c r="AX471" s="48">
        <f>SUM(AX441:AX470)</f>
        <v>980405.18845849577</v>
      </c>
      <c r="AZ471" s="48">
        <f>SUM(AZ441:AZ470)</f>
        <v>1009963.9075865836</v>
      </c>
      <c r="BA471" s="42"/>
    </row>
    <row r="472" spans="1:53" ht="15.75" thickBot="1" x14ac:dyDescent="0.3">
      <c r="A472" s="7" t="s">
        <v>249</v>
      </c>
      <c r="B472" s="43">
        <f>B471+B439+B388-1</f>
        <v>2098740</v>
      </c>
      <c r="C472" s="32"/>
      <c r="D472" s="43">
        <f>D471+D439+D388-1</f>
        <v>649771</v>
      </c>
      <c r="E472" s="43">
        <f>E471+E439+E388-1</f>
        <v>1392088</v>
      </c>
      <c r="F472" s="43">
        <f>F471+F439+F388-1</f>
        <v>2041856</v>
      </c>
      <c r="G472" s="32"/>
      <c r="H472" s="43">
        <f>H471+H439+H388-1</f>
        <v>-56883</v>
      </c>
      <c r="I472" s="36"/>
      <c r="J472" s="43">
        <f>J471+J439+J388-1</f>
        <v>1110480</v>
      </c>
      <c r="K472" s="43">
        <f>K471+K439+K388-1</f>
        <v>981054</v>
      </c>
      <c r="L472" s="43">
        <f>L471+L439+L388-1</f>
        <v>2091531</v>
      </c>
      <c r="M472" s="32"/>
      <c r="N472" s="43">
        <f>N471+N439+N388-1</f>
        <v>49677</v>
      </c>
      <c r="P472" s="43">
        <f>P471+P439+P388</f>
        <v>2144658.1229999997</v>
      </c>
      <c r="R472" s="43">
        <f t="shared" ref="R472:W472" si="273">R471+R439+R388</f>
        <v>688626</v>
      </c>
      <c r="S472" s="43">
        <f t="shared" si="273"/>
        <v>1554474</v>
      </c>
      <c r="T472" s="43">
        <f t="shared" si="273"/>
        <v>2243100</v>
      </c>
      <c r="U472" s="43">
        <f t="shared" si="273"/>
        <v>98442.877000000008</v>
      </c>
      <c r="V472" s="43">
        <f t="shared" si="273"/>
        <v>1084081</v>
      </c>
      <c r="W472" s="43">
        <f t="shared" si="273"/>
        <v>1160869</v>
      </c>
      <c r="X472" s="43"/>
      <c r="Y472" s="43">
        <f>Y471+Y439+Y388</f>
        <v>2244950</v>
      </c>
      <c r="Z472" s="43">
        <f>Z471+Z439+Z388</f>
        <v>1850</v>
      </c>
      <c r="AC472" s="43">
        <f>AC471+AC439+AC388</f>
        <v>1496546</v>
      </c>
      <c r="AD472" s="43">
        <f>AD471+AD439+AD388</f>
        <v>789504</v>
      </c>
      <c r="AE472" s="43">
        <f>AE471+AE439+AE388</f>
        <v>2286050</v>
      </c>
      <c r="AF472" s="43">
        <f>AF471+AF439+AF388</f>
        <v>41100</v>
      </c>
      <c r="AH472" s="43">
        <f>AH471+AH439+AH388</f>
        <v>2362088.6625000001</v>
      </c>
      <c r="AJ472" s="43">
        <f>AJ471+AJ439+AJ388</f>
        <v>2413491.3792750002</v>
      </c>
      <c r="AL472" s="43">
        <f>AL471+AL439+AL388</f>
        <v>2471960.6366821397</v>
      </c>
      <c r="AN472" s="43">
        <f>AN471+AN439+AN388</f>
        <v>2545611.8062986657</v>
      </c>
      <c r="AO472" s="43"/>
      <c r="AP472" s="43">
        <f>AP471+AP439+AP388</f>
        <v>2569554.5306216781</v>
      </c>
      <c r="AR472" s="43">
        <f>AR471+AR439+AR388</f>
        <v>2645909.7855187147</v>
      </c>
      <c r="AT472" s="43">
        <f>AT471+AT439+AT388</f>
        <v>2584049.0861635897</v>
      </c>
      <c r="AV472" s="43">
        <f>AV471+AV439+AV388</f>
        <v>2692159.2439028258</v>
      </c>
      <c r="AX472" s="43">
        <f>AX471+AX439+AX388</f>
        <v>2727397.2243671967</v>
      </c>
      <c r="AZ472" s="43">
        <f>AZ471+AZ439+AZ388</f>
        <v>2806740.0479829796</v>
      </c>
      <c r="BA472" s="42"/>
    </row>
    <row r="473" spans="1:53" s="42" customFormat="1" ht="15.75" thickTop="1" x14ac:dyDescent="0.25">
      <c r="A473" s="7" t="s">
        <v>77</v>
      </c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4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R473" s="3"/>
      <c r="AT473" s="3"/>
      <c r="AV473" s="3"/>
      <c r="AX473" s="3"/>
      <c r="AZ473" s="3"/>
      <c r="BA473" s="6"/>
    </row>
    <row r="474" spans="1:53" s="42" customFormat="1" x14ac:dyDescent="0.25">
      <c r="A474" s="7" t="s">
        <v>78</v>
      </c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4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R474" s="3"/>
      <c r="AT474" s="3"/>
      <c r="AV474" s="3"/>
      <c r="AX474" s="3"/>
      <c r="AZ474" s="3"/>
      <c r="BA474" s="6"/>
    </row>
    <row r="475" spans="1:53" x14ac:dyDescent="0.25">
      <c r="A475" s="3" t="s">
        <v>371</v>
      </c>
      <c r="B475" s="3">
        <v>116540</v>
      </c>
      <c r="D475" s="3">
        <v>0</v>
      </c>
      <c r="E475" s="3">
        <f t="shared" ref="E475:E483" si="274">F475-D475</f>
        <v>116540</v>
      </c>
      <c r="F475" s="5">
        <v>116540</v>
      </c>
      <c r="H475" s="5">
        <f t="shared" ref="H475:H483" si="275">F475-B475</f>
        <v>0</v>
      </c>
      <c r="J475" s="5">
        <v>138933</v>
      </c>
      <c r="K475" s="4">
        <f t="shared" ref="K475:K483" si="276">L475-J475</f>
        <v>2</v>
      </c>
      <c r="L475" s="4">
        <v>138935</v>
      </c>
      <c r="N475" s="4">
        <f t="shared" ref="N475:N483" si="277">L475-F475</f>
        <v>22395</v>
      </c>
      <c r="P475" s="3">
        <v>155250</v>
      </c>
      <c r="Q475" s="3"/>
      <c r="R475" s="3">
        <v>35255</v>
      </c>
      <c r="S475" s="3">
        <f t="shared" ref="S475:S483" si="278">T475-R475</f>
        <v>119995</v>
      </c>
      <c r="T475" s="3">
        <v>155250</v>
      </c>
      <c r="U475" s="3">
        <f t="shared" ref="U475:U483" si="279">T475-P475</f>
        <v>0</v>
      </c>
      <c r="V475" s="3">
        <v>35255</v>
      </c>
      <c r="W475" s="3">
        <f t="shared" ref="W475:W483" si="280">Y475-V475</f>
        <v>119995</v>
      </c>
      <c r="X475" s="3"/>
      <c r="Y475" s="3">
        <v>155250</v>
      </c>
      <c r="Z475" s="3">
        <f t="shared" ref="Z475:Z483" si="281">Y475-T475</f>
        <v>0</v>
      </c>
      <c r="AA475" s="3"/>
      <c r="AB475" s="3"/>
      <c r="AC475" s="3">
        <v>35256</v>
      </c>
      <c r="AD475" s="3">
        <f t="shared" ref="AD475:AD483" si="282">AE475-AC475</f>
        <v>119994</v>
      </c>
      <c r="AE475" s="3">
        <v>155250</v>
      </c>
      <c r="AF475" s="3">
        <f t="shared" ref="AF475:AF483" si="283">AE475-Y475</f>
        <v>0</v>
      </c>
      <c r="AG475" s="3"/>
      <c r="AH475" s="3">
        <v>140000</v>
      </c>
      <c r="AI475" s="3"/>
      <c r="AJ475" s="3">
        <f t="shared" ref="AJ475:AJ480" si="284">AH475*1.03</f>
        <v>144200</v>
      </c>
      <c r="AK475" s="3"/>
      <c r="AL475" s="3">
        <f t="shared" ref="AL475:AP480" si="285">AJ475*1.03</f>
        <v>148526</v>
      </c>
      <c r="AM475" s="3">
        <f t="shared" si="285"/>
        <v>0</v>
      </c>
      <c r="AN475" s="3">
        <f t="shared" si="285"/>
        <v>152981.78</v>
      </c>
      <c r="AO475" s="3">
        <f t="shared" si="285"/>
        <v>0</v>
      </c>
      <c r="AP475" s="3">
        <f t="shared" si="285"/>
        <v>157571.2334</v>
      </c>
      <c r="AQ475" s="3"/>
      <c r="AR475" s="3">
        <f t="shared" ref="AR475:AV480" si="286">AP475*1.03</f>
        <v>162298.370402</v>
      </c>
      <c r="AS475" s="3">
        <f t="shared" si="286"/>
        <v>0</v>
      </c>
      <c r="AT475" s="3">
        <f t="shared" si="286"/>
        <v>167167.32151405999</v>
      </c>
      <c r="AU475" s="3">
        <f t="shared" si="286"/>
        <v>0</v>
      </c>
      <c r="AV475" s="3">
        <f t="shared" si="286"/>
        <v>172182.34115948179</v>
      </c>
      <c r="AW475" s="3"/>
      <c r="AX475" s="3">
        <f t="shared" ref="AX475:AZ480" si="287">AV475*1.03</f>
        <v>177347.81139426626</v>
      </c>
      <c r="AY475" s="3">
        <f t="shared" si="287"/>
        <v>0</v>
      </c>
      <c r="AZ475" s="3">
        <f t="shared" si="287"/>
        <v>182668.24573609425</v>
      </c>
    </row>
    <row r="476" spans="1:53" x14ac:dyDescent="0.25">
      <c r="A476" s="3" t="s">
        <v>372</v>
      </c>
      <c r="B476" s="3"/>
      <c r="D476" s="3"/>
      <c r="E476" s="3">
        <f t="shared" si="274"/>
        <v>0</v>
      </c>
      <c r="H476" s="5">
        <f t="shared" si="275"/>
        <v>0</v>
      </c>
      <c r="K476" s="4">
        <f t="shared" si="276"/>
        <v>0</v>
      </c>
      <c r="L476" s="4"/>
      <c r="N476" s="4">
        <f t="shared" si="277"/>
        <v>0</v>
      </c>
      <c r="P476" s="3"/>
      <c r="Q476" s="3"/>
      <c r="R476" s="3"/>
      <c r="S476" s="3">
        <f t="shared" si="278"/>
        <v>0</v>
      </c>
      <c r="T476" s="3"/>
      <c r="U476" s="3">
        <f t="shared" si="279"/>
        <v>0</v>
      </c>
      <c r="V476" s="3"/>
      <c r="W476" s="3">
        <f t="shared" si="280"/>
        <v>0</v>
      </c>
      <c r="X476" s="3"/>
      <c r="Y476" s="3"/>
      <c r="Z476" s="3">
        <f t="shared" si="281"/>
        <v>0</v>
      </c>
      <c r="AA476" s="3"/>
      <c r="AB476" s="3"/>
      <c r="AC476" s="3"/>
      <c r="AD476" s="3">
        <f t="shared" si="282"/>
        <v>0</v>
      </c>
      <c r="AE476" s="3"/>
      <c r="AF476" s="3">
        <f t="shared" si="283"/>
        <v>0</v>
      </c>
      <c r="AG476" s="3"/>
      <c r="AH476" s="3">
        <f>P476*1.0281</f>
        <v>0</v>
      </c>
      <c r="AI476" s="3"/>
      <c r="AJ476" s="3">
        <f t="shared" si="284"/>
        <v>0</v>
      </c>
      <c r="AK476" s="3"/>
      <c r="AL476" s="3">
        <f t="shared" si="285"/>
        <v>0</v>
      </c>
      <c r="AM476" s="3">
        <f t="shared" si="285"/>
        <v>0</v>
      </c>
      <c r="AN476" s="3">
        <f t="shared" si="285"/>
        <v>0</v>
      </c>
      <c r="AO476" s="3">
        <f t="shared" si="285"/>
        <v>0</v>
      </c>
      <c r="AP476" s="3">
        <f t="shared" si="285"/>
        <v>0</v>
      </c>
      <c r="AQ476" s="3"/>
      <c r="AR476" s="3">
        <f t="shared" si="286"/>
        <v>0</v>
      </c>
      <c r="AS476" s="3">
        <f t="shared" si="286"/>
        <v>0</v>
      </c>
      <c r="AT476" s="3">
        <f t="shared" si="286"/>
        <v>0</v>
      </c>
      <c r="AU476" s="3">
        <f t="shared" si="286"/>
        <v>0</v>
      </c>
      <c r="AV476" s="3">
        <f t="shared" si="286"/>
        <v>0</v>
      </c>
      <c r="AW476" s="3"/>
      <c r="AX476" s="3">
        <f t="shared" si="287"/>
        <v>0</v>
      </c>
      <c r="AY476" s="3">
        <f t="shared" si="287"/>
        <v>0</v>
      </c>
      <c r="AZ476" s="3">
        <f t="shared" si="287"/>
        <v>0</v>
      </c>
      <c r="BA476" s="42"/>
    </row>
    <row r="477" spans="1:53" x14ac:dyDescent="0.25">
      <c r="A477" s="3" t="s">
        <v>373</v>
      </c>
      <c r="B477" s="3">
        <v>-43740</v>
      </c>
      <c r="D477" s="3">
        <v>0</v>
      </c>
      <c r="E477" s="3">
        <f t="shared" si="274"/>
        <v>-43740</v>
      </c>
      <c r="F477" s="5">
        <v>-43740</v>
      </c>
      <c r="H477" s="5">
        <f t="shared" si="275"/>
        <v>0</v>
      </c>
      <c r="J477" s="5">
        <v>-43736</v>
      </c>
      <c r="K477" s="4">
        <f t="shared" si="276"/>
        <v>-4</v>
      </c>
      <c r="L477" s="4">
        <v>-43740</v>
      </c>
      <c r="N477" s="4">
        <f t="shared" si="277"/>
        <v>0</v>
      </c>
      <c r="P477" s="3" t="s">
        <v>374</v>
      </c>
      <c r="Q477" s="3"/>
      <c r="R477" s="3">
        <v>0</v>
      </c>
      <c r="S477" s="3">
        <f t="shared" si="278"/>
        <v>-60040</v>
      </c>
      <c r="T477" s="3">
        <v>-60040</v>
      </c>
      <c r="U477" s="3" t="e">
        <f t="shared" si="279"/>
        <v>#VALUE!</v>
      </c>
      <c r="V477" s="3"/>
      <c r="W477" s="3">
        <f t="shared" si="280"/>
        <v>-60040</v>
      </c>
      <c r="X477" s="3"/>
      <c r="Y477" s="3">
        <v>-60040</v>
      </c>
      <c r="Z477" s="3">
        <f t="shared" si="281"/>
        <v>0</v>
      </c>
      <c r="AA477" s="3"/>
      <c r="AB477" s="3"/>
      <c r="AC477" s="3">
        <v>0</v>
      </c>
      <c r="AD477" s="3">
        <f t="shared" si="282"/>
        <v>-60040</v>
      </c>
      <c r="AE477" s="3">
        <v>-60040</v>
      </c>
      <c r="AF477" s="3">
        <f t="shared" si="283"/>
        <v>0</v>
      </c>
      <c r="AG477" s="3"/>
      <c r="AH477" s="3">
        <f>-52180-20</f>
        <v>-52200</v>
      </c>
      <c r="AI477" s="3"/>
      <c r="AJ477" s="3">
        <f t="shared" si="284"/>
        <v>-53766</v>
      </c>
      <c r="AK477" s="3"/>
      <c r="AL477" s="3">
        <f t="shared" si="285"/>
        <v>-55378.98</v>
      </c>
      <c r="AM477" s="3">
        <f t="shared" si="285"/>
        <v>0</v>
      </c>
      <c r="AN477" s="3">
        <f t="shared" si="285"/>
        <v>-57040.349400000006</v>
      </c>
      <c r="AO477" s="3">
        <f t="shared" si="285"/>
        <v>0</v>
      </c>
      <c r="AP477" s="3">
        <f t="shared" si="285"/>
        <v>-58751.559882000009</v>
      </c>
      <c r="AQ477" s="3"/>
      <c r="AR477" s="3">
        <f t="shared" si="286"/>
        <v>-60514.106678460012</v>
      </c>
      <c r="AS477" s="3">
        <f t="shared" si="286"/>
        <v>0</v>
      </c>
      <c r="AT477" s="3">
        <f t="shared" si="286"/>
        <v>-62329.529878813817</v>
      </c>
      <c r="AU477" s="3">
        <f t="shared" si="286"/>
        <v>0</v>
      </c>
      <c r="AV477" s="3">
        <f t="shared" si="286"/>
        <v>-64199.415775178233</v>
      </c>
      <c r="AW477" s="3"/>
      <c r="AX477" s="3">
        <f t="shared" si="287"/>
        <v>-66125.398248433587</v>
      </c>
      <c r="AY477" s="3">
        <f t="shared" si="287"/>
        <v>0</v>
      </c>
      <c r="AZ477" s="3">
        <f t="shared" si="287"/>
        <v>-68109.160195886594</v>
      </c>
      <c r="BA477" s="42"/>
    </row>
    <row r="478" spans="1:53" s="42" customFormat="1" x14ac:dyDescent="0.25">
      <c r="A478" s="3" t="s">
        <v>90</v>
      </c>
      <c r="B478" s="3">
        <v>4000</v>
      </c>
      <c r="C478" s="3"/>
      <c r="D478" s="3"/>
      <c r="E478" s="3">
        <f t="shared" si="274"/>
        <v>4000</v>
      </c>
      <c r="F478" s="5">
        <v>4000</v>
      </c>
      <c r="G478" s="3"/>
      <c r="H478" s="5">
        <f t="shared" si="275"/>
        <v>0</v>
      </c>
      <c r="I478" s="5"/>
      <c r="J478" s="5">
        <v>0</v>
      </c>
      <c r="K478" s="4">
        <f t="shared" si="276"/>
        <v>2000</v>
      </c>
      <c r="L478" s="4">
        <v>2000</v>
      </c>
      <c r="M478" s="4"/>
      <c r="N478" s="4">
        <f t="shared" si="277"/>
        <v>-2000</v>
      </c>
      <c r="O478" s="3"/>
      <c r="P478" s="3">
        <v>3000</v>
      </c>
      <c r="Q478" s="3"/>
      <c r="R478" s="3">
        <v>0</v>
      </c>
      <c r="S478" s="3">
        <f t="shared" si="278"/>
        <v>3000</v>
      </c>
      <c r="T478" s="3">
        <v>3000</v>
      </c>
      <c r="U478" s="3">
        <f t="shared" si="279"/>
        <v>0</v>
      </c>
      <c r="V478" s="3"/>
      <c r="W478" s="3">
        <f t="shared" si="280"/>
        <v>3000</v>
      </c>
      <c r="X478" s="3"/>
      <c r="Y478" s="3">
        <v>3000</v>
      </c>
      <c r="Z478" s="3">
        <f t="shared" si="281"/>
        <v>0</v>
      </c>
      <c r="AA478" s="3"/>
      <c r="AB478" s="3"/>
      <c r="AC478" s="3">
        <v>0</v>
      </c>
      <c r="AD478" s="3">
        <f t="shared" si="282"/>
        <v>3000</v>
      </c>
      <c r="AE478" s="3">
        <v>3000</v>
      </c>
      <c r="AF478" s="3">
        <f t="shared" si="283"/>
        <v>0</v>
      </c>
      <c r="AG478" s="3"/>
      <c r="AH478" s="3">
        <f>AE478*1.03+10</f>
        <v>3100</v>
      </c>
      <c r="AI478" s="3"/>
      <c r="AJ478" s="3">
        <f t="shared" si="284"/>
        <v>3193</v>
      </c>
      <c r="AK478" s="3"/>
      <c r="AL478" s="3">
        <f t="shared" si="285"/>
        <v>3288.79</v>
      </c>
      <c r="AM478" s="3">
        <f t="shared" si="285"/>
        <v>0</v>
      </c>
      <c r="AN478" s="3">
        <f t="shared" si="285"/>
        <v>3387.4537</v>
      </c>
      <c r="AO478" s="3">
        <f t="shared" si="285"/>
        <v>0</v>
      </c>
      <c r="AP478" s="3">
        <f t="shared" si="285"/>
        <v>3489.077311</v>
      </c>
      <c r="AQ478" s="3"/>
      <c r="AR478" s="3">
        <f t="shared" si="286"/>
        <v>3593.7496303299999</v>
      </c>
      <c r="AS478" s="3">
        <f t="shared" si="286"/>
        <v>0</v>
      </c>
      <c r="AT478" s="3">
        <f t="shared" si="286"/>
        <v>3701.5621192398999</v>
      </c>
      <c r="AU478" s="3">
        <f t="shared" si="286"/>
        <v>0</v>
      </c>
      <c r="AV478" s="3">
        <f t="shared" si="286"/>
        <v>3812.6089828170971</v>
      </c>
      <c r="AW478" s="3"/>
      <c r="AX478" s="3">
        <f t="shared" si="287"/>
        <v>3926.9872523016102</v>
      </c>
      <c r="AY478" s="3">
        <f t="shared" si="287"/>
        <v>0</v>
      </c>
      <c r="AZ478" s="3">
        <f t="shared" si="287"/>
        <v>4044.7968698706586</v>
      </c>
      <c r="BA478" s="6"/>
    </row>
    <row r="479" spans="1:53" s="42" customFormat="1" x14ac:dyDescent="0.25">
      <c r="A479" s="3" t="s">
        <v>375</v>
      </c>
      <c r="B479" s="3"/>
      <c r="C479" s="3"/>
      <c r="D479" s="3"/>
      <c r="E479" s="3"/>
      <c r="F479" s="5"/>
      <c r="G479" s="3"/>
      <c r="H479" s="5"/>
      <c r="I479" s="5"/>
      <c r="J479" s="5"/>
      <c r="K479" s="4"/>
      <c r="L479" s="4"/>
      <c r="M479" s="4"/>
      <c r="N479" s="4"/>
      <c r="O479" s="3"/>
      <c r="P479" s="3">
        <v>13480</v>
      </c>
      <c r="Q479" s="3"/>
      <c r="R479" s="3">
        <v>0</v>
      </c>
      <c r="S479" s="3">
        <f t="shared" si="278"/>
        <v>13480</v>
      </c>
      <c r="T479" s="3">
        <v>13480</v>
      </c>
      <c r="U479" s="3">
        <f t="shared" si="279"/>
        <v>0</v>
      </c>
      <c r="V479" s="3"/>
      <c r="W479" s="3">
        <f t="shared" si="280"/>
        <v>13480</v>
      </c>
      <c r="X479" s="3"/>
      <c r="Y479" s="3">
        <v>13480</v>
      </c>
      <c r="Z479" s="3">
        <f t="shared" si="281"/>
        <v>0</v>
      </c>
      <c r="AA479" s="3"/>
      <c r="AB479" s="3"/>
      <c r="AC479" s="3">
        <v>0</v>
      </c>
      <c r="AD479" s="3">
        <f t="shared" si="282"/>
        <v>13480</v>
      </c>
      <c r="AE479" s="3">
        <v>13480</v>
      </c>
      <c r="AF479" s="3">
        <f t="shared" si="283"/>
        <v>0</v>
      </c>
      <c r="AG479" s="3"/>
      <c r="AH479" s="3">
        <v>14800</v>
      </c>
      <c r="AI479" s="3"/>
      <c r="AJ479" s="3">
        <f t="shared" si="284"/>
        <v>15244</v>
      </c>
      <c r="AK479" s="3"/>
      <c r="AL479" s="3">
        <f t="shared" si="285"/>
        <v>15701.32</v>
      </c>
      <c r="AM479" s="3">
        <f t="shared" si="285"/>
        <v>0</v>
      </c>
      <c r="AN479" s="3">
        <f t="shared" si="285"/>
        <v>16172.3596</v>
      </c>
      <c r="AO479" s="3">
        <f t="shared" si="285"/>
        <v>0</v>
      </c>
      <c r="AP479" s="3">
        <f t="shared" si="285"/>
        <v>16657.530387999999</v>
      </c>
      <c r="AQ479" s="3"/>
      <c r="AR479" s="3">
        <f t="shared" si="286"/>
        <v>17157.256299640001</v>
      </c>
      <c r="AS479" s="3">
        <f t="shared" si="286"/>
        <v>0</v>
      </c>
      <c r="AT479" s="3">
        <f t="shared" si="286"/>
        <v>17671.973988629201</v>
      </c>
      <c r="AU479" s="3">
        <f t="shared" si="286"/>
        <v>0</v>
      </c>
      <c r="AV479" s="3">
        <f t="shared" si="286"/>
        <v>18202.133208288076</v>
      </c>
      <c r="AW479" s="3"/>
      <c r="AX479" s="3">
        <f t="shared" si="287"/>
        <v>18748.197204536718</v>
      </c>
      <c r="AY479" s="3">
        <f t="shared" si="287"/>
        <v>0</v>
      </c>
      <c r="AZ479" s="3">
        <f t="shared" si="287"/>
        <v>19310.643120672819</v>
      </c>
      <c r="BA479" s="6"/>
    </row>
    <row r="480" spans="1:53" x14ac:dyDescent="0.25">
      <c r="A480" s="3" t="s">
        <v>376</v>
      </c>
      <c r="B480" s="3">
        <v>75500</v>
      </c>
      <c r="D480" s="3">
        <v>13522</v>
      </c>
      <c r="E480" s="3">
        <f t="shared" si="274"/>
        <v>61978</v>
      </c>
      <c r="F480" s="5">
        <v>75500</v>
      </c>
      <c r="H480" s="5">
        <f t="shared" si="275"/>
        <v>0</v>
      </c>
      <c r="J480" s="5">
        <v>24415</v>
      </c>
      <c r="K480" s="4">
        <f t="shared" si="276"/>
        <v>51085</v>
      </c>
      <c r="L480" s="4">
        <v>75500</v>
      </c>
      <c r="N480" s="4">
        <f t="shared" si="277"/>
        <v>0</v>
      </c>
      <c r="P480" s="3">
        <v>71050</v>
      </c>
      <c r="Q480" s="3"/>
      <c r="R480" s="3">
        <v>7574</v>
      </c>
      <c r="S480" s="3">
        <f t="shared" si="278"/>
        <v>63476</v>
      </c>
      <c r="T480" s="3">
        <v>71050</v>
      </c>
      <c r="U480" s="3">
        <f t="shared" si="279"/>
        <v>0</v>
      </c>
      <c r="V480" s="3">
        <v>24408</v>
      </c>
      <c r="W480" s="3">
        <f t="shared" si="280"/>
        <v>46642</v>
      </c>
      <c r="X480" s="3"/>
      <c r="Y480" s="3">
        <v>71050</v>
      </c>
      <c r="Z480" s="3">
        <f t="shared" si="281"/>
        <v>0</v>
      </c>
      <c r="AA480" s="3"/>
      <c r="AB480" s="3"/>
      <c r="AC480" s="3">
        <v>43235</v>
      </c>
      <c r="AD480" s="3">
        <f t="shared" si="282"/>
        <v>27815</v>
      </c>
      <c r="AE480" s="3">
        <v>71050</v>
      </c>
      <c r="AF480" s="3">
        <f t="shared" si="283"/>
        <v>0</v>
      </c>
      <c r="AG480" s="3"/>
      <c r="AH480" s="3">
        <v>78650</v>
      </c>
      <c r="AI480" s="3"/>
      <c r="AJ480" s="3">
        <f t="shared" si="284"/>
        <v>81009.5</v>
      </c>
      <c r="AK480" s="3"/>
      <c r="AL480" s="3">
        <f t="shared" si="285"/>
        <v>83439.785000000003</v>
      </c>
      <c r="AM480" s="3">
        <f t="shared" si="285"/>
        <v>0</v>
      </c>
      <c r="AN480" s="3">
        <f t="shared" si="285"/>
        <v>85942.97855</v>
      </c>
      <c r="AO480" s="3">
        <f t="shared" si="285"/>
        <v>0</v>
      </c>
      <c r="AP480" s="3">
        <f t="shared" si="285"/>
        <v>88521.267906499997</v>
      </c>
      <c r="AQ480" s="3"/>
      <c r="AR480" s="3">
        <f t="shared" si="286"/>
        <v>91176.905943695005</v>
      </c>
      <c r="AS480" s="3">
        <f t="shared" si="286"/>
        <v>0</v>
      </c>
      <c r="AT480" s="3">
        <f t="shared" si="286"/>
        <v>93912.213122005851</v>
      </c>
      <c r="AU480" s="3">
        <f t="shared" si="286"/>
        <v>0</v>
      </c>
      <c r="AV480" s="3">
        <f t="shared" si="286"/>
        <v>96729.579515666032</v>
      </c>
      <c r="AW480" s="3"/>
      <c r="AX480" s="3">
        <f t="shared" si="287"/>
        <v>99631.466901136009</v>
      </c>
      <c r="AY480" s="3">
        <f t="shared" si="287"/>
        <v>0</v>
      </c>
      <c r="AZ480" s="3">
        <f t="shared" si="287"/>
        <v>102620.41090817009</v>
      </c>
    </row>
    <row r="481" spans="1:53" x14ac:dyDescent="0.25">
      <c r="A481" s="3" t="s">
        <v>377</v>
      </c>
      <c r="B481" s="3"/>
      <c r="D481" s="3"/>
      <c r="E481" s="3">
        <f t="shared" si="274"/>
        <v>0</v>
      </c>
      <c r="H481" s="5">
        <f t="shared" si="275"/>
        <v>0</v>
      </c>
      <c r="K481" s="4">
        <f t="shared" si="276"/>
        <v>0</v>
      </c>
      <c r="L481" s="4"/>
      <c r="N481" s="4">
        <f t="shared" si="277"/>
        <v>0</v>
      </c>
      <c r="P481" s="3"/>
      <c r="Q481" s="3"/>
      <c r="R481" s="3"/>
      <c r="S481" s="3">
        <f t="shared" si="278"/>
        <v>0</v>
      </c>
      <c r="T481" s="3"/>
      <c r="U481" s="3">
        <f t="shared" si="279"/>
        <v>0</v>
      </c>
      <c r="V481" s="3"/>
      <c r="W481" s="3">
        <f t="shared" si="280"/>
        <v>0</v>
      </c>
      <c r="X481" s="3"/>
      <c r="Y481" s="3"/>
      <c r="Z481" s="3">
        <f t="shared" si="281"/>
        <v>0</v>
      </c>
      <c r="AA481" s="3"/>
      <c r="AB481" s="3"/>
      <c r="AC481" s="3"/>
      <c r="AD481" s="3">
        <f t="shared" si="282"/>
        <v>0</v>
      </c>
      <c r="AE481" s="3"/>
      <c r="AF481" s="3">
        <f t="shared" si="283"/>
        <v>0</v>
      </c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42"/>
      <c r="AR481" s="3"/>
      <c r="AS481" s="42"/>
      <c r="AT481" s="3"/>
      <c r="AU481" s="42"/>
      <c r="AV481" s="3"/>
      <c r="AW481" s="42"/>
      <c r="AX481" s="3"/>
      <c r="AZ481" s="3"/>
    </row>
    <row r="482" spans="1:53" x14ac:dyDescent="0.25">
      <c r="A482" s="3" t="s">
        <v>378</v>
      </c>
      <c r="B482" s="3">
        <v>8000</v>
      </c>
      <c r="D482" s="3">
        <v>0</v>
      </c>
      <c r="E482" s="3">
        <f t="shared" si="274"/>
        <v>8000</v>
      </c>
      <c r="F482" s="5">
        <v>8000</v>
      </c>
      <c r="H482" s="5">
        <f t="shared" si="275"/>
        <v>0</v>
      </c>
      <c r="J482" s="5">
        <v>0</v>
      </c>
      <c r="K482" s="4">
        <f t="shared" si="276"/>
        <v>8000</v>
      </c>
      <c r="L482" s="4">
        <v>8000</v>
      </c>
      <c r="N482" s="4">
        <f t="shared" si="277"/>
        <v>0</v>
      </c>
      <c r="P482" s="3">
        <v>9000</v>
      </c>
      <c r="Q482" s="3"/>
      <c r="R482" s="3">
        <v>0</v>
      </c>
      <c r="S482" s="3">
        <f t="shared" si="278"/>
        <v>9000</v>
      </c>
      <c r="T482" s="3">
        <v>9000</v>
      </c>
      <c r="U482" s="3">
        <f t="shared" si="279"/>
        <v>0</v>
      </c>
      <c r="V482" s="3">
        <v>0</v>
      </c>
      <c r="W482" s="3">
        <f t="shared" si="280"/>
        <v>8000</v>
      </c>
      <c r="X482" s="3"/>
      <c r="Y482" s="3">
        <v>8000</v>
      </c>
      <c r="Z482" s="3">
        <f t="shared" si="281"/>
        <v>-1000</v>
      </c>
      <c r="AA482" s="3"/>
      <c r="AB482" s="3"/>
      <c r="AC482" s="3">
        <v>383</v>
      </c>
      <c r="AD482" s="3">
        <f t="shared" si="282"/>
        <v>2617</v>
      </c>
      <c r="AE482" s="3">
        <v>3000</v>
      </c>
      <c r="AF482" s="3">
        <f t="shared" si="283"/>
        <v>-5000</v>
      </c>
      <c r="AG482" s="3"/>
      <c r="AH482" s="3">
        <v>9000</v>
      </c>
      <c r="AI482" s="3"/>
      <c r="AJ482" s="3">
        <v>9000</v>
      </c>
      <c r="AK482" s="3"/>
      <c r="AL482" s="3">
        <v>9000</v>
      </c>
      <c r="AM482" s="3"/>
      <c r="AN482" s="3">
        <v>9000</v>
      </c>
      <c r="AO482" s="3"/>
      <c r="AP482" s="3">
        <v>10000</v>
      </c>
      <c r="AQ482" s="42"/>
      <c r="AR482" s="3">
        <v>10000</v>
      </c>
      <c r="AS482" s="42"/>
      <c r="AT482" s="3">
        <v>10000</v>
      </c>
      <c r="AU482" s="42"/>
      <c r="AV482" s="3">
        <v>10000</v>
      </c>
      <c r="AW482" s="42"/>
      <c r="AX482" s="3">
        <v>10000</v>
      </c>
      <c r="AZ482" s="3">
        <v>10000</v>
      </c>
    </row>
    <row r="483" spans="1:53" x14ac:dyDescent="0.25">
      <c r="A483" s="88" t="s">
        <v>289</v>
      </c>
      <c r="B483" s="3">
        <v>7500</v>
      </c>
      <c r="D483" s="3">
        <v>0</v>
      </c>
      <c r="E483" s="3">
        <f t="shared" si="274"/>
        <v>7500</v>
      </c>
      <c r="F483" s="5">
        <v>7500</v>
      </c>
      <c r="H483" s="5">
        <f t="shared" si="275"/>
        <v>0</v>
      </c>
      <c r="J483" s="5">
        <v>0</v>
      </c>
      <c r="K483" s="4">
        <f t="shared" si="276"/>
        <v>7500</v>
      </c>
      <c r="L483" s="4">
        <v>7500</v>
      </c>
      <c r="N483" s="4">
        <f t="shared" si="277"/>
        <v>0</v>
      </c>
      <c r="P483" s="3">
        <v>7500</v>
      </c>
      <c r="Q483" s="3"/>
      <c r="R483" s="3">
        <v>0</v>
      </c>
      <c r="S483" s="3">
        <f t="shared" si="278"/>
        <v>7500</v>
      </c>
      <c r="T483" s="3">
        <v>7500</v>
      </c>
      <c r="U483" s="3">
        <f t="shared" si="279"/>
        <v>0</v>
      </c>
      <c r="V483" s="3"/>
      <c r="W483" s="3">
        <f t="shared" si="280"/>
        <v>7500</v>
      </c>
      <c r="X483" s="3"/>
      <c r="Y483" s="3">
        <v>7500</v>
      </c>
      <c r="Z483" s="3">
        <f t="shared" si="281"/>
        <v>0</v>
      </c>
      <c r="AA483" s="3"/>
      <c r="AB483" s="3"/>
      <c r="AC483" s="3">
        <v>0</v>
      </c>
      <c r="AD483" s="3">
        <f t="shared" si="282"/>
        <v>7500</v>
      </c>
      <c r="AE483" s="3">
        <v>7500</v>
      </c>
      <c r="AF483" s="3">
        <f t="shared" si="283"/>
        <v>0</v>
      </c>
      <c r="AG483" s="3"/>
      <c r="AH483" s="88">
        <v>7500</v>
      </c>
      <c r="AI483" s="3"/>
      <c r="AJ483" s="3">
        <v>7500</v>
      </c>
      <c r="AK483" s="3"/>
      <c r="AL483" s="3">
        <v>7500</v>
      </c>
      <c r="AM483" s="3"/>
      <c r="AN483" s="3">
        <v>7500</v>
      </c>
      <c r="AO483" s="3"/>
      <c r="AP483" s="3">
        <v>7500</v>
      </c>
      <c r="AQ483" s="42"/>
      <c r="AR483" s="3">
        <v>7500</v>
      </c>
      <c r="AS483" s="42"/>
      <c r="AT483" s="3">
        <v>7500</v>
      </c>
      <c r="AU483" s="42"/>
      <c r="AV483" s="3">
        <v>7500</v>
      </c>
      <c r="AW483" s="42"/>
      <c r="AX483" s="3">
        <v>7500</v>
      </c>
      <c r="AZ483" s="3">
        <v>7500</v>
      </c>
      <c r="BA483" s="42"/>
    </row>
    <row r="484" spans="1:53" x14ac:dyDescent="0.25">
      <c r="A484" s="3"/>
      <c r="B484" s="48">
        <f>SUM(B475:B483)</f>
        <v>167800</v>
      </c>
      <c r="C484" s="32"/>
      <c r="D484" s="48">
        <f>SUM(D475:D483)</f>
        <v>13522</v>
      </c>
      <c r="E484" s="48">
        <f>SUM(E475:E483)</f>
        <v>154278</v>
      </c>
      <c r="F484" s="48">
        <f>SUM(F475:F483)</f>
        <v>167800</v>
      </c>
      <c r="G484" s="32"/>
      <c r="H484" s="48">
        <f>SUM(H475:H483)</f>
        <v>0</v>
      </c>
      <c r="I484" s="36"/>
      <c r="J484" s="48">
        <f>SUM(J475:J483)</f>
        <v>119612</v>
      </c>
      <c r="K484" s="48">
        <f>SUM(K475:K483)</f>
        <v>68583</v>
      </c>
      <c r="L484" s="48">
        <f>SUM(L475:L483)</f>
        <v>188195</v>
      </c>
      <c r="M484" s="32"/>
      <c r="N484" s="48">
        <f>SUM(N475:N483)</f>
        <v>20395</v>
      </c>
      <c r="P484" s="48">
        <f>SUM(P475:P483)</f>
        <v>259280</v>
      </c>
      <c r="R484" s="48">
        <f t="shared" ref="R484:Z484" si="288">SUM(R475:R483)</f>
        <v>42829</v>
      </c>
      <c r="S484" s="48">
        <f t="shared" si="288"/>
        <v>156411</v>
      </c>
      <c r="T484" s="48">
        <f t="shared" si="288"/>
        <v>199240</v>
      </c>
      <c r="U484" s="48" t="e">
        <f t="shared" si="288"/>
        <v>#VALUE!</v>
      </c>
      <c r="V484" s="48">
        <f t="shared" si="288"/>
        <v>59663</v>
      </c>
      <c r="W484" s="48">
        <f t="shared" si="288"/>
        <v>138577</v>
      </c>
      <c r="X484" s="48"/>
      <c r="Y484" s="48">
        <f t="shared" si="288"/>
        <v>198240</v>
      </c>
      <c r="Z484" s="48">
        <f t="shared" si="288"/>
        <v>-1000</v>
      </c>
      <c r="AC484" s="48">
        <f>SUM(AC475:AC483)</f>
        <v>78874</v>
      </c>
      <c r="AD484" s="48">
        <f>SUM(AD475:AD483)</f>
        <v>114366</v>
      </c>
      <c r="AE484" s="48">
        <f>SUM(AE475:AE483)</f>
        <v>193240</v>
      </c>
      <c r="AF484" s="48">
        <f>SUM(AF475:AF483)</f>
        <v>-5000</v>
      </c>
      <c r="AH484" s="48">
        <f>SUM(AH475:AH483)</f>
        <v>200850</v>
      </c>
      <c r="AJ484" s="48">
        <f>SUM(AJ475:AJ483)</f>
        <v>206380.5</v>
      </c>
      <c r="AL484" s="48">
        <f>SUM(AL475:AL483)</f>
        <v>212076.91499999998</v>
      </c>
      <c r="AN484" s="48">
        <f>SUM(AN475:AN483)</f>
        <v>217944.22245</v>
      </c>
      <c r="AO484" s="48"/>
      <c r="AP484" s="48">
        <f>SUM(AP475:AP483)</f>
        <v>224987.54912350001</v>
      </c>
      <c r="AR484" s="48">
        <f>SUM(AR475:AR483)</f>
        <v>231212.175597205</v>
      </c>
      <c r="AT484" s="48">
        <f>SUM(AT475:AT483)</f>
        <v>237623.54086512112</v>
      </c>
      <c r="AV484" s="48">
        <f>SUM(AV475:AV483)</f>
        <v>244227.24709107477</v>
      </c>
      <c r="AX484" s="48">
        <f>SUM(AX475:AX483)</f>
        <v>251029.06450380702</v>
      </c>
      <c r="AZ484" s="48">
        <f>SUM(AZ475:AZ483)</f>
        <v>258034.9364389212</v>
      </c>
    </row>
    <row r="485" spans="1:53" s="42" customFormat="1" x14ac:dyDescent="0.25">
      <c r="A485" s="7" t="s">
        <v>88</v>
      </c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4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R485" s="3"/>
      <c r="AT485" s="3"/>
      <c r="AV485" s="3"/>
      <c r="AX485" s="3"/>
      <c r="AZ485" s="3"/>
      <c r="BA485" s="6"/>
    </row>
    <row r="486" spans="1:53" x14ac:dyDescent="0.25">
      <c r="A486" s="3" t="s">
        <v>379</v>
      </c>
      <c r="AH486" s="3"/>
    </row>
    <row r="487" spans="1:53" x14ac:dyDescent="0.25">
      <c r="A487" s="3" t="s">
        <v>380</v>
      </c>
      <c r="B487" s="3">
        <v>56000</v>
      </c>
      <c r="D487" s="3">
        <v>14405</v>
      </c>
      <c r="E487" s="3">
        <f>F487-D487</f>
        <v>43095</v>
      </c>
      <c r="F487" s="5">
        <v>57500</v>
      </c>
      <c r="H487" s="5">
        <f>F487-B487</f>
        <v>1500</v>
      </c>
      <c r="J487" s="5">
        <v>20851</v>
      </c>
      <c r="K487" s="4">
        <f>L487-J487</f>
        <v>36649</v>
      </c>
      <c r="L487" s="4">
        <v>57500</v>
      </c>
      <c r="N487" s="4">
        <f>L487-F487</f>
        <v>0</v>
      </c>
      <c r="P487" s="3">
        <f>L487*1.0275+919</f>
        <v>60000.250000000007</v>
      </c>
      <c r="Q487" s="3"/>
      <c r="R487" s="3">
        <v>13867</v>
      </c>
      <c r="S487" s="3">
        <f>T487-R487</f>
        <v>46133</v>
      </c>
      <c r="T487" s="3">
        <v>60000</v>
      </c>
      <c r="U487" s="3">
        <f>T487-P487</f>
        <v>-0.25000000000727596</v>
      </c>
      <c r="V487" s="3">
        <v>25350</v>
      </c>
      <c r="W487" s="3">
        <f>Y487-V487</f>
        <v>34650</v>
      </c>
      <c r="X487" s="3"/>
      <c r="Y487" s="3">
        <v>60000</v>
      </c>
      <c r="Z487" s="3">
        <f>Y487-T487</f>
        <v>0</v>
      </c>
      <c r="AA487" s="3"/>
      <c r="AB487" s="3"/>
      <c r="AC487" s="3">
        <v>36410</v>
      </c>
      <c r="AD487" s="3">
        <f>AE487-AC487</f>
        <v>13590</v>
      </c>
      <c r="AE487" s="3">
        <v>50000</v>
      </c>
      <c r="AF487" s="3">
        <f>AE487-Y487</f>
        <v>-10000</v>
      </c>
      <c r="AG487" s="3"/>
      <c r="AH487" s="3">
        <v>74000</v>
      </c>
      <c r="AI487" s="3"/>
      <c r="AJ487" s="3">
        <f t="shared" ref="AJ487:AJ492" si="289">AH487*1.03</f>
        <v>76220</v>
      </c>
      <c r="AK487" s="3"/>
      <c r="AL487" s="3">
        <f t="shared" ref="AL487:AP492" si="290">AJ487*1.03</f>
        <v>78506.600000000006</v>
      </c>
      <c r="AM487" s="3">
        <f t="shared" si="290"/>
        <v>0</v>
      </c>
      <c r="AN487" s="3">
        <f t="shared" si="290"/>
        <v>80861.79800000001</v>
      </c>
      <c r="AO487" s="3">
        <f t="shared" si="290"/>
        <v>0</v>
      </c>
      <c r="AP487" s="3">
        <f t="shared" si="290"/>
        <v>83287.651940000011</v>
      </c>
      <c r="AQ487" s="3"/>
      <c r="AR487" s="3">
        <f t="shared" ref="AR487:AV492" si="291">AP487*1.03</f>
        <v>85786.281498200013</v>
      </c>
      <c r="AS487" s="3">
        <f t="shared" si="291"/>
        <v>0</v>
      </c>
      <c r="AT487" s="3">
        <f t="shared" si="291"/>
        <v>88359.869943146012</v>
      </c>
      <c r="AU487" s="3">
        <f t="shared" si="291"/>
        <v>0</v>
      </c>
      <c r="AV487" s="3">
        <f t="shared" si="291"/>
        <v>91010.666041440389</v>
      </c>
      <c r="AW487" s="3"/>
      <c r="AX487" s="3">
        <f t="shared" ref="AX487:AZ492" si="292">AV487*1.03</f>
        <v>93740.986022683603</v>
      </c>
      <c r="AY487" s="3">
        <f t="shared" si="292"/>
        <v>0</v>
      </c>
      <c r="AZ487" s="3">
        <f t="shared" si="292"/>
        <v>96553.215603364108</v>
      </c>
    </row>
    <row r="488" spans="1:53" x14ac:dyDescent="0.25">
      <c r="A488" s="3" t="s">
        <v>381</v>
      </c>
      <c r="B488" s="3">
        <v>23500</v>
      </c>
      <c r="D488" s="3">
        <v>6695</v>
      </c>
      <c r="E488" s="3">
        <f>F488-D488</f>
        <v>18305</v>
      </c>
      <c r="F488" s="5">
        <v>25000</v>
      </c>
      <c r="H488" s="5">
        <f>F488-B488</f>
        <v>1500</v>
      </c>
      <c r="J488" s="5">
        <v>20283</v>
      </c>
      <c r="K488" s="4">
        <f>L488-J488</f>
        <v>7217</v>
      </c>
      <c r="L488" s="4">
        <v>27500</v>
      </c>
      <c r="N488" s="4">
        <f>L488-F488</f>
        <v>2500</v>
      </c>
      <c r="P488" s="3">
        <f>L488*1.0325+6</f>
        <v>28399.75</v>
      </c>
      <c r="Q488" s="3"/>
      <c r="R488" s="3">
        <v>3874</v>
      </c>
      <c r="S488" s="3">
        <f>T488-R488</f>
        <v>24526</v>
      </c>
      <c r="T488" s="3">
        <v>28400</v>
      </c>
      <c r="U488" s="3">
        <f>T488-P488</f>
        <v>0.25</v>
      </c>
      <c r="V488" s="3">
        <v>7328</v>
      </c>
      <c r="W488" s="3">
        <f>Y488-V488</f>
        <v>20672</v>
      </c>
      <c r="X488" s="3"/>
      <c r="Y488" s="3">
        <v>28000</v>
      </c>
      <c r="Z488" s="3">
        <f>Y488-T488</f>
        <v>-400</v>
      </c>
      <c r="AA488" s="3"/>
      <c r="AB488" s="3"/>
      <c r="AC488" s="3">
        <v>9919</v>
      </c>
      <c r="AD488" s="3">
        <f>AE488-AC488</f>
        <v>10081</v>
      </c>
      <c r="AE488" s="3">
        <v>20000</v>
      </c>
      <c r="AF488" s="3">
        <f>AE488-Y488</f>
        <v>-8000</v>
      </c>
      <c r="AG488" s="3"/>
      <c r="AH488" s="3">
        <f>29000-6500</f>
        <v>22500</v>
      </c>
      <c r="AI488" s="3"/>
      <c r="AJ488" s="3">
        <f t="shared" si="289"/>
        <v>23175</v>
      </c>
      <c r="AK488" s="3"/>
      <c r="AL488" s="3">
        <f t="shared" si="290"/>
        <v>23870.25</v>
      </c>
      <c r="AM488" s="3">
        <f t="shared" si="290"/>
        <v>0</v>
      </c>
      <c r="AN488" s="3">
        <f t="shared" si="290"/>
        <v>24586.357500000002</v>
      </c>
      <c r="AO488" s="3">
        <f t="shared" si="290"/>
        <v>0</v>
      </c>
      <c r="AP488" s="3">
        <f t="shared" si="290"/>
        <v>25323.948225000004</v>
      </c>
      <c r="AQ488" s="3"/>
      <c r="AR488" s="3">
        <f t="shared" si="291"/>
        <v>26083.666671750005</v>
      </c>
      <c r="AS488" s="3">
        <f t="shared" si="291"/>
        <v>0</v>
      </c>
      <c r="AT488" s="3">
        <f t="shared" si="291"/>
        <v>26866.176671902507</v>
      </c>
      <c r="AU488" s="3">
        <f t="shared" si="291"/>
        <v>0</v>
      </c>
      <c r="AV488" s="3">
        <f t="shared" si="291"/>
        <v>27672.161972059585</v>
      </c>
      <c r="AW488" s="3"/>
      <c r="AX488" s="3">
        <f t="shared" si="292"/>
        <v>28502.326831221373</v>
      </c>
      <c r="AY488" s="3">
        <f t="shared" si="292"/>
        <v>0</v>
      </c>
      <c r="AZ488" s="3">
        <f t="shared" si="292"/>
        <v>29357.396636158013</v>
      </c>
    </row>
    <row r="489" spans="1:53" x14ac:dyDescent="0.25">
      <c r="A489" s="3" t="s">
        <v>382</v>
      </c>
      <c r="B489" s="3">
        <v>0</v>
      </c>
      <c r="D489" s="3"/>
      <c r="E489" s="3">
        <f>F489-D489</f>
        <v>0</v>
      </c>
      <c r="H489" s="5">
        <f>F489-B489</f>
        <v>0</v>
      </c>
      <c r="K489" s="4">
        <f>L489-J489</f>
        <v>0</v>
      </c>
      <c r="L489" s="4"/>
      <c r="N489" s="4">
        <f>L489-F489</f>
        <v>0</v>
      </c>
      <c r="P489" s="3">
        <f>B489*1.03</f>
        <v>0</v>
      </c>
      <c r="Q489" s="3"/>
      <c r="R489" s="3"/>
      <c r="S489" s="3">
        <f>T489-R489</f>
        <v>0</v>
      </c>
      <c r="T489" s="3"/>
      <c r="U489" s="3">
        <f>T489-P489</f>
        <v>0</v>
      </c>
      <c r="V489" s="3"/>
      <c r="W489" s="3">
        <f>Y489-V489</f>
        <v>0</v>
      </c>
      <c r="X489" s="3"/>
      <c r="Y489" s="3"/>
      <c r="Z489" s="3">
        <f>Y489-T489</f>
        <v>0</v>
      </c>
      <c r="AA489" s="3"/>
      <c r="AB489" s="3"/>
      <c r="AC489" s="3">
        <v>11322</v>
      </c>
      <c r="AD489" s="3">
        <f>AE489-AC489</f>
        <v>3678</v>
      </c>
      <c r="AE489" s="3">
        <v>15000</v>
      </c>
      <c r="AF489" s="3">
        <f>AE489-Y489</f>
        <v>15000</v>
      </c>
      <c r="AG489" s="3"/>
      <c r="AH489" s="3">
        <f>12000-4000</f>
        <v>8000</v>
      </c>
      <c r="AI489" s="3"/>
      <c r="AJ489" s="3">
        <f t="shared" si="289"/>
        <v>8240</v>
      </c>
      <c r="AK489" s="3"/>
      <c r="AL489" s="3">
        <f t="shared" si="290"/>
        <v>8487.2000000000007</v>
      </c>
      <c r="AM489" s="3">
        <f t="shared" si="290"/>
        <v>0</v>
      </c>
      <c r="AN489" s="3">
        <f t="shared" si="290"/>
        <v>8741.8160000000007</v>
      </c>
      <c r="AO489" s="3">
        <f t="shared" si="290"/>
        <v>0</v>
      </c>
      <c r="AP489" s="3">
        <f t="shared" si="290"/>
        <v>9004.0704800000003</v>
      </c>
      <c r="AQ489" s="3"/>
      <c r="AR489" s="3">
        <f t="shared" si="291"/>
        <v>9274.1925944000013</v>
      </c>
      <c r="AS489" s="3">
        <f t="shared" si="291"/>
        <v>0</v>
      </c>
      <c r="AT489" s="3">
        <f t="shared" si="291"/>
        <v>9552.4183722320013</v>
      </c>
      <c r="AU489" s="3">
        <f t="shared" si="291"/>
        <v>0</v>
      </c>
      <c r="AV489" s="3">
        <f t="shared" si="291"/>
        <v>9838.990923398962</v>
      </c>
      <c r="AW489" s="3"/>
      <c r="AX489" s="3">
        <f t="shared" si="292"/>
        <v>10134.16065110093</v>
      </c>
      <c r="AY489" s="3">
        <f t="shared" si="292"/>
        <v>0</v>
      </c>
      <c r="AZ489" s="3">
        <f t="shared" si="292"/>
        <v>10438.185470633958</v>
      </c>
    </row>
    <row r="490" spans="1:53" x14ac:dyDescent="0.25">
      <c r="A490" s="3" t="s">
        <v>57</v>
      </c>
      <c r="B490" s="3"/>
      <c r="D490" s="3"/>
      <c r="E490" s="3">
        <f>F490-D490</f>
        <v>0</v>
      </c>
      <c r="H490" s="5">
        <f>F490-B490</f>
        <v>0</v>
      </c>
      <c r="K490" s="4">
        <f>L490-J490</f>
        <v>0</v>
      </c>
      <c r="L490" s="4"/>
      <c r="N490" s="4">
        <f>L490-F490</f>
        <v>0</v>
      </c>
      <c r="P490" s="3"/>
      <c r="Q490" s="3"/>
      <c r="R490" s="3"/>
      <c r="S490" s="3">
        <f>T490-R490</f>
        <v>0</v>
      </c>
      <c r="T490" s="3"/>
      <c r="U490" s="3">
        <f>T490-P490</f>
        <v>0</v>
      </c>
      <c r="V490" s="3"/>
      <c r="W490" s="3">
        <f>Y490-V490</f>
        <v>0</v>
      </c>
      <c r="X490" s="3"/>
      <c r="Y490" s="3"/>
      <c r="Z490" s="3">
        <f>Y490-T490</f>
        <v>0</v>
      </c>
      <c r="AA490" s="3"/>
      <c r="AB490" s="3"/>
      <c r="AC490" s="3"/>
      <c r="AD490" s="3">
        <f>AE490-AC490</f>
        <v>0</v>
      </c>
      <c r="AE490" s="3"/>
      <c r="AF490" s="3">
        <f>AE490-Y490</f>
        <v>0</v>
      </c>
      <c r="AG490" s="3"/>
      <c r="AH490" s="3"/>
      <c r="AI490" s="3"/>
      <c r="AJ490" s="3">
        <f t="shared" si="289"/>
        <v>0</v>
      </c>
      <c r="AK490" s="3"/>
      <c r="AL490" s="3">
        <f t="shared" si="290"/>
        <v>0</v>
      </c>
      <c r="AM490" s="3">
        <f t="shared" si="290"/>
        <v>0</v>
      </c>
      <c r="AN490" s="3">
        <f t="shared" si="290"/>
        <v>0</v>
      </c>
      <c r="AO490" s="3">
        <f t="shared" si="290"/>
        <v>0</v>
      </c>
      <c r="AP490" s="3">
        <f t="shared" si="290"/>
        <v>0</v>
      </c>
      <c r="AQ490" s="3"/>
      <c r="AR490" s="3">
        <f t="shared" si="291"/>
        <v>0</v>
      </c>
      <c r="AS490" s="3">
        <f t="shared" si="291"/>
        <v>0</v>
      </c>
      <c r="AT490" s="3">
        <f t="shared" si="291"/>
        <v>0</v>
      </c>
      <c r="AU490" s="3">
        <f t="shared" si="291"/>
        <v>0</v>
      </c>
      <c r="AV490" s="3">
        <f t="shared" si="291"/>
        <v>0</v>
      </c>
      <c r="AW490" s="3"/>
      <c r="AX490" s="3">
        <f t="shared" si="292"/>
        <v>0</v>
      </c>
      <c r="AY490" s="3">
        <f t="shared" si="292"/>
        <v>0</v>
      </c>
      <c r="AZ490" s="3">
        <f t="shared" si="292"/>
        <v>0</v>
      </c>
    </row>
    <row r="491" spans="1:53" x14ac:dyDescent="0.25">
      <c r="A491" s="3" t="s">
        <v>299</v>
      </c>
      <c r="B491" s="3"/>
      <c r="D491" s="3"/>
      <c r="E491" s="3"/>
      <c r="K491" s="4"/>
      <c r="L491" s="4"/>
      <c r="N491" s="4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>
        <f>5000-2500</f>
        <v>2500</v>
      </c>
      <c r="AI491" s="3"/>
      <c r="AJ491" s="3">
        <f t="shared" si="289"/>
        <v>2575</v>
      </c>
      <c r="AK491" s="3"/>
      <c r="AL491" s="3">
        <f>AJ491*1.03</f>
        <v>2652.25</v>
      </c>
      <c r="AM491" s="3">
        <f>AK491*1.03</f>
        <v>0</v>
      </c>
      <c r="AN491" s="3">
        <f>AL491*1.03</f>
        <v>2731.8175000000001</v>
      </c>
      <c r="AO491" s="3">
        <f>AM491*1.03</f>
        <v>0</v>
      </c>
      <c r="AP491" s="3">
        <f>AN491*1.03</f>
        <v>2813.7720250000002</v>
      </c>
      <c r="AQ491" s="3"/>
      <c r="AR491" s="3">
        <f>AP491*1.03</f>
        <v>2898.1851857500001</v>
      </c>
      <c r="AS491" s="3">
        <f>AQ491*1.03</f>
        <v>0</v>
      </c>
      <c r="AT491" s="3">
        <f>AR491*1.03</f>
        <v>2985.1307413224999</v>
      </c>
      <c r="AU491" s="3">
        <f>AS491*1.03</f>
        <v>0</v>
      </c>
      <c r="AV491" s="3">
        <f>AT491*1.03</f>
        <v>3074.684663562175</v>
      </c>
      <c r="AW491" s="3"/>
      <c r="AX491" s="3">
        <f>AV491*1.03</f>
        <v>3166.9252034690403</v>
      </c>
      <c r="AY491" s="3">
        <f>AW491*1.03</f>
        <v>0</v>
      </c>
      <c r="AZ491" s="3">
        <f>AX491*1.03</f>
        <v>3261.9329595731115</v>
      </c>
    </row>
    <row r="492" spans="1:53" x14ac:dyDescent="0.25">
      <c r="A492" s="3" t="s">
        <v>383</v>
      </c>
      <c r="B492" s="3">
        <v>500</v>
      </c>
      <c r="D492" s="3"/>
      <c r="E492" s="3">
        <f>F492-D492</f>
        <v>500</v>
      </c>
      <c r="F492" s="5">
        <v>500</v>
      </c>
      <c r="H492" s="5">
        <f>F492-B492</f>
        <v>0</v>
      </c>
      <c r="K492" s="4">
        <f>L492-J492</f>
        <v>500</v>
      </c>
      <c r="L492" s="4">
        <v>500</v>
      </c>
      <c r="N492" s="4">
        <f>L492-F492</f>
        <v>0</v>
      </c>
      <c r="P492" s="3">
        <f>L492*1.0281+36</f>
        <v>550.04999999999995</v>
      </c>
      <c r="Q492" s="3"/>
      <c r="R492" s="3">
        <v>0</v>
      </c>
      <c r="S492" s="3">
        <f>T492-R492</f>
        <v>550</v>
      </c>
      <c r="T492" s="3">
        <v>550</v>
      </c>
      <c r="U492" s="3">
        <f>T492-P492</f>
        <v>-4.9999999999954525E-2</v>
      </c>
      <c r="V492" s="3"/>
      <c r="W492" s="3">
        <f>Y492-V492</f>
        <v>550</v>
      </c>
      <c r="X492" s="3"/>
      <c r="Y492" s="3">
        <v>550</v>
      </c>
      <c r="Z492" s="3">
        <f>Y492-T492</f>
        <v>0</v>
      </c>
      <c r="AA492" s="3"/>
      <c r="AB492" s="3"/>
      <c r="AC492" s="3"/>
      <c r="AD492" s="3">
        <f>AE492-AC492</f>
        <v>550</v>
      </c>
      <c r="AE492" s="3">
        <v>550</v>
      </c>
      <c r="AF492" s="3">
        <f>AE492-Y492</f>
        <v>0</v>
      </c>
      <c r="AG492" s="3"/>
      <c r="AH492" s="3">
        <f>P492*1.03+33</f>
        <v>599.55149999999992</v>
      </c>
      <c r="AI492" s="3"/>
      <c r="AJ492" s="3">
        <f t="shared" si="289"/>
        <v>617.5380449999999</v>
      </c>
      <c r="AK492" s="3"/>
      <c r="AL492" s="3">
        <f t="shared" si="290"/>
        <v>636.06418634999989</v>
      </c>
      <c r="AM492" s="3">
        <f t="shared" si="290"/>
        <v>0</v>
      </c>
      <c r="AN492" s="3">
        <f t="shared" si="290"/>
        <v>655.14611194049985</v>
      </c>
      <c r="AO492" s="3">
        <f t="shared" si="290"/>
        <v>0</v>
      </c>
      <c r="AP492" s="3">
        <f t="shared" si="290"/>
        <v>674.80049529871485</v>
      </c>
      <c r="AQ492" s="3"/>
      <c r="AR492" s="3">
        <f t="shared" si="291"/>
        <v>695.04451015767631</v>
      </c>
      <c r="AS492" s="3">
        <f t="shared" si="291"/>
        <v>0</v>
      </c>
      <c r="AT492" s="3">
        <f t="shared" si="291"/>
        <v>715.89584546240667</v>
      </c>
      <c r="AU492" s="3">
        <f t="shared" si="291"/>
        <v>0</v>
      </c>
      <c r="AV492" s="3">
        <f t="shared" si="291"/>
        <v>737.37272082627885</v>
      </c>
      <c r="AW492" s="3"/>
      <c r="AX492" s="3">
        <f t="shared" si="292"/>
        <v>759.49390245106724</v>
      </c>
      <c r="AY492" s="3">
        <f t="shared" si="292"/>
        <v>0</v>
      </c>
      <c r="AZ492" s="3">
        <f t="shared" si="292"/>
        <v>782.2787195245993</v>
      </c>
    </row>
    <row r="493" spans="1:53" x14ac:dyDescent="0.25">
      <c r="A493" s="3"/>
      <c r="B493" s="48">
        <f>SUM(B486:B492)</f>
        <v>80000</v>
      </c>
      <c r="C493" s="32"/>
      <c r="D493" s="48">
        <f>SUM(D486:D492)</f>
        <v>21100</v>
      </c>
      <c r="E493" s="48">
        <f>SUM(E486:E492)</f>
        <v>61900</v>
      </c>
      <c r="F493" s="48">
        <f>SUM(F486:F492)</f>
        <v>83000</v>
      </c>
      <c r="G493" s="32"/>
      <c r="H493" s="48">
        <f>SUM(H486:H492)</f>
        <v>3000</v>
      </c>
      <c r="I493" s="36"/>
      <c r="J493" s="48">
        <f>SUM(J486:J492)</f>
        <v>41134</v>
      </c>
      <c r="K493" s="48">
        <f>SUM(K486:K492)</f>
        <v>44366</v>
      </c>
      <c r="L493" s="48">
        <f>SUM(L486:L492)</f>
        <v>85500</v>
      </c>
      <c r="M493" s="32"/>
      <c r="N493" s="48">
        <f>SUM(N486:N492)</f>
        <v>2500</v>
      </c>
      <c r="P493" s="48">
        <f>SUM(P486:P492)</f>
        <v>88950.05</v>
      </c>
      <c r="R493" s="48">
        <f t="shared" ref="R493:Z493" si="293">SUM(R486:R492)</f>
        <v>17741</v>
      </c>
      <c r="S493" s="48">
        <f t="shared" si="293"/>
        <v>71209</v>
      </c>
      <c r="T493" s="48">
        <f t="shared" si="293"/>
        <v>88950</v>
      </c>
      <c r="U493" s="48">
        <f t="shared" si="293"/>
        <v>-5.0000000007230483E-2</v>
      </c>
      <c r="V493" s="48">
        <f t="shared" si="293"/>
        <v>32678</v>
      </c>
      <c r="W493" s="48">
        <f t="shared" si="293"/>
        <v>55872</v>
      </c>
      <c r="X493" s="48"/>
      <c r="Y493" s="48">
        <f t="shared" si="293"/>
        <v>88550</v>
      </c>
      <c r="Z493" s="48">
        <f t="shared" si="293"/>
        <v>-400</v>
      </c>
      <c r="AC493" s="48">
        <f>SUM(AC486:AC492)</f>
        <v>57651</v>
      </c>
      <c r="AD493" s="48">
        <f>SUM(AD486:AD492)</f>
        <v>27899</v>
      </c>
      <c r="AE493" s="48">
        <f>SUM(AE486:AE492)</f>
        <v>85550</v>
      </c>
      <c r="AF493" s="48">
        <f>SUM(AF486:AF492)</f>
        <v>-3000</v>
      </c>
      <c r="AH493" s="48">
        <f>SUM(AH486:AH492)</f>
        <v>107599.5515</v>
      </c>
      <c r="AJ493" s="48">
        <f>SUM(AJ486:AJ492)</f>
        <v>110827.53804499999</v>
      </c>
      <c r="AL493" s="48">
        <f>SUM(AL486:AL492)</f>
        <v>114152.36418635001</v>
      </c>
      <c r="AN493" s="48">
        <f>SUM(AN486:AN492)</f>
        <v>117576.93511194052</v>
      </c>
      <c r="AO493" s="48"/>
      <c r="AP493" s="48">
        <f>SUM(AP486:AP492)</f>
        <v>121104.24316529871</v>
      </c>
      <c r="AR493" s="48">
        <f>SUM(AR486:AR492)</f>
        <v>124737.37046025769</v>
      </c>
      <c r="AT493" s="48">
        <f>SUM(AT486:AT492)</f>
        <v>128479.49157406543</v>
      </c>
      <c r="AV493" s="48">
        <f>SUM(AV486:AV492)</f>
        <v>132333.87632128736</v>
      </c>
      <c r="AX493" s="48">
        <f>SUM(AX486:AX492)</f>
        <v>136303.89261092601</v>
      </c>
      <c r="AZ493" s="48">
        <f>SUM(AZ486:AZ492)</f>
        <v>140393.00938925377</v>
      </c>
    </row>
    <row r="494" spans="1:53" x14ac:dyDescent="0.25">
      <c r="A494" s="7" t="s">
        <v>92</v>
      </c>
    </row>
    <row r="495" spans="1:53" x14ac:dyDescent="0.25">
      <c r="A495" s="88" t="s">
        <v>289</v>
      </c>
      <c r="B495" s="3">
        <v>3000</v>
      </c>
      <c r="D495" s="3">
        <v>0</v>
      </c>
      <c r="E495" s="3">
        <f>F495-D495</f>
        <v>3000</v>
      </c>
      <c r="F495" s="5">
        <v>3000</v>
      </c>
      <c r="H495" s="5">
        <f>F495-B495</f>
        <v>0</v>
      </c>
      <c r="J495" s="5">
        <v>0</v>
      </c>
      <c r="K495" s="4">
        <f>L495-J495</f>
        <v>3000</v>
      </c>
      <c r="L495" s="4">
        <v>3000</v>
      </c>
      <c r="N495" s="4">
        <f>L495-F495</f>
        <v>0</v>
      </c>
      <c r="P495" s="3">
        <v>3000</v>
      </c>
      <c r="Q495" s="3"/>
      <c r="R495" s="3">
        <v>0</v>
      </c>
      <c r="S495" s="3">
        <f>T495-R495</f>
        <v>3000</v>
      </c>
      <c r="T495" s="3">
        <v>3000</v>
      </c>
      <c r="U495" s="3">
        <f>T495-P495</f>
        <v>0</v>
      </c>
      <c r="V495" s="3">
        <v>0</v>
      </c>
      <c r="W495" s="3">
        <f>Y495-V495</f>
        <v>3000</v>
      </c>
      <c r="X495" s="3"/>
      <c r="Y495" s="3">
        <v>3000</v>
      </c>
      <c r="Z495" s="3">
        <f>Y495-T495</f>
        <v>0</v>
      </c>
      <c r="AA495" s="3"/>
      <c r="AB495" s="3"/>
      <c r="AC495" s="3">
        <v>0</v>
      </c>
      <c r="AD495" s="3">
        <f>AE495-AC495</f>
        <v>3000</v>
      </c>
      <c r="AE495" s="3">
        <v>3000</v>
      </c>
      <c r="AF495" s="3">
        <f>AE495-Y495</f>
        <v>0</v>
      </c>
      <c r="AG495" s="3"/>
      <c r="AH495" s="88">
        <v>3000</v>
      </c>
      <c r="AI495" s="3"/>
      <c r="AJ495" s="3">
        <v>3000</v>
      </c>
      <c r="AK495" s="3"/>
      <c r="AL495" s="3">
        <v>3000</v>
      </c>
      <c r="AM495" s="3"/>
      <c r="AN495" s="3">
        <v>3000</v>
      </c>
      <c r="AO495" s="3"/>
      <c r="AP495" s="3">
        <v>3000</v>
      </c>
      <c r="AQ495" s="42"/>
      <c r="AR495" s="3">
        <v>3000</v>
      </c>
      <c r="AS495" s="42"/>
      <c r="AT495" s="3">
        <v>3000</v>
      </c>
      <c r="AU495" s="42"/>
      <c r="AV495" s="3">
        <v>3000</v>
      </c>
      <c r="AW495" s="42"/>
      <c r="AX495" s="3">
        <v>3000</v>
      </c>
      <c r="AZ495" s="3">
        <v>3000</v>
      </c>
    </row>
    <row r="496" spans="1:53" x14ac:dyDescent="0.25">
      <c r="A496" s="3" t="s">
        <v>384</v>
      </c>
      <c r="B496" s="3">
        <v>12750</v>
      </c>
      <c r="D496" s="3">
        <v>5551</v>
      </c>
      <c r="E496" s="3">
        <f>F496-D496</f>
        <v>5949</v>
      </c>
      <c r="F496" s="5">
        <v>11500</v>
      </c>
      <c r="H496" s="5">
        <f>F496-B496</f>
        <v>-1250</v>
      </c>
      <c r="J496" s="5">
        <v>8764</v>
      </c>
      <c r="K496" s="4">
        <f>L496-J496</f>
        <v>3236</v>
      </c>
      <c r="L496" s="4">
        <v>12000</v>
      </c>
      <c r="N496" s="4">
        <f>L496-F496</f>
        <v>500</v>
      </c>
      <c r="P496" s="3">
        <f>L496*1.0281+3+160</f>
        <v>12500.2</v>
      </c>
      <c r="Q496" s="3"/>
      <c r="R496" s="3">
        <v>5990</v>
      </c>
      <c r="S496" s="3">
        <f>T496-R496</f>
        <v>6510</v>
      </c>
      <c r="T496" s="3">
        <v>12500</v>
      </c>
      <c r="U496" s="3">
        <f>T496-P496</f>
        <v>-0.2000000000007276</v>
      </c>
      <c r="V496" s="3">
        <v>8860</v>
      </c>
      <c r="W496" s="3">
        <f>Y496-V496</f>
        <v>3640</v>
      </c>
      <c r="X496" s="3"/>
      <c r="Y496" s="3">
        <v>12500</v>
      </c>
      <c r="Z496" s="3">
        <f>Y496-T496</f>
        <v>0</v>
      </c>
      <c r="AA496" s="3"/>
      <c r="AB496" s="3"/>
      <c r="AC496" s="3">
        <v>11733</v>
      </c>
      <c r="AD496" s="3">
        <f>AE496-AC496</f>
        <v>67</v>
      </c>
      <c r="AE496" s="3">
        <v>11800</v>
      </c>
      <c r="AF496" s="3">
        <f>AE496-Y496</f>
        <v>-700</v>
      </c>
      <c r="AG496" s="3"/>
      <c r="AH496" s="3">
        <f>AE496*1.03+46</f>
        <v>12200</v>
      </c>
      <c r="AI496" s="3"/>
      <c r="AJ496" s="3">
        <f>AH496*1.03</f>
        <v>12566</v>
      </c>
      <c r="AK496" s="3"/>
      <c r="AL496" s="3">
        <f t="shared" ref="AL496:AP498" si="294">AJ496*1.03</f>
        <v>12942.98</v>
      </c>
      <c r="AM496" s="3">
        <f t="shared" si="294"/>
        <v>0</v>
      </c>
      <c r="AN496" s="3">
        <f t="shared" si="294"/>
        <v>13331.269399999999</v>
      </c>
      <c r="AO496" s="3">
        <f t="shared" si="294"/>
        <v>0</v>
      </c>
      <c r="AP496" s="3">
        <f t="shared" si="294"/>
        <v>13731.207482</v>
      </c>
      <c r="AQ496" s="3"/>
      <c r="AR496" s="3">
        <f t="shared" ref="AR496:AV498" si="295">AP496*1.03</f>
        <v>14143.14370646</v>
      </c>
      <c r="AS496" s="3">
        <f t="shared" si="295"/>
        <v>0</v>
      </c>
      <c r="AT496" s="3">
        <f t="shared" si="295"/>
        <v>14567.4380176538</v>
      </c>
      <c r="AU496" s="3">
        <f t="shared" si="295"/>
        <v>0</v>
      </c>
      <c r="AV496" s="3">
        <f t="shared" si="295"/>
        <v>15004.461158183414</v>
      </c>
      <c r="AW496" s="3"/>
      <c r="AX496" s="3">
        <f t="shared" ref="AX496:AZ498" si="296">AV496*1.03</f>
        <v>15454.594992928916</v>
      </c>
      <c r="AY496" s="3">
        <f t="shared" si="296"/>
        <v>0</v>
      </c>
      <c r="AZ496" s="3">
        <f t="shared" si="296"/>
        <v>15918.232842716785</v>
      </c>
    </row>
    <row r="497" spans="1:53" x14ac:dyDescent="0.25">
      <c r="A497" s="3" t="s">
        <v>385</v>
      </c>
      <c r="B497" s="3"/>
      <c r="D497" s="3"/>
      <c r="E497" s="3">
        <f>F497-D497</f>
        <v>0</v>
      </c>
      <c r="H497" s="5">
        <f>F497-B497</f>
        <v>0</v>
      </c>
      <c r="K497" s="4">
        <f>L497-J497</f>
        <v>0</v>
      </c>
      <c r="L497" s="4"/>
      <c r="N497" s="4">
        <f>L497-F497</f>
        <v>0</v>
      </c>
      <c r="P497" s="3"/>
      <c r="Q497" s="3"/>
      <c r="R497" s="3"/>
      <c r="S497" s="3">
        <f>T497-R497</f>
        <v>0</v>
      </c>
      <c r="T497" s="3"/>
      <c r="U497" s="3">
        <f>T497-P497</f>
        <v>0</v>
      </c>
      <c r="V497" s="3"/>
      <c r="W497" s="3">
        <f>Y497-V497</f>
        <v>0</v>
      </c>
      <c r="X497" s="3"/>
      <c r="Y497" s="3"/>
      <c r="Z497" s="3">
        <f>Y497-T497</f>
        <v>0</v>
      </c>
      <c r="AA497" s="3"/>
      <c r="AB497" s="3"/>
      <c r="AC497" s="3"/>
      <c r="AD497" s="3">
        <f>AE497-AC497</f>
        <v>0</v>
      </c>
      <c r="AE497" s="3"/>
      <c r="AF497" s="3">
        <f>AE497-Y497</f>
        <v>0</v>
      </c>
      <c r="AG497" s="3"/>
      <c r="AH497" s="3">
        <f>P497*1.0281</f>
        <v>0</v>
      </c>
      <c r="AI497" s="3"/>
      <c r="AJ497" s="3">
        <f>AH497*1.03</f>
        <v>0</v>
      </c>
      <c r="AK497" s="3"/>
      <c r="AL497" s="3">
        <f t="shared" si="294"/>
        <v>0</v>
      </c>
      <c r="AM497" s="3">
        <f t="shared" si="294"/>
        <v>0</v>
      </c>
      <c r="AN497" s="3">
        <f t="shared" si="294"/>
        <v>0</v>
      </c>
      <c r="AO497" s="3">
        <f t="shared" si="294"/>
        <v>0</v>
      </c>
      <c r="AP497" s="3">
        <f t="shared" si="294"/>
        <v>0</v>
      </c>
      <c r="AQ497" s="3"/>
      <c r="AR497" s="3">
        <f t="shared" si="295"/>
        <v>0</v>
      </c>
      <c r="AS497" s="3">
        <f t="shared" si="295"/>
        <v>0</v>
      </c>
      <c r="AT497" s="3">
        <f t="shared" si="295"/>
        <v>0</v>
      </c>
      <c r="AU497" s="3">
        <f t="shared" si="295"/>
        <v>0</v>
      </c>
      <c r="AV497" s="3">
        <f t="shared" si="295"/>
        <v>0</v>
      </c>
      <c r="AW497" s="3"/>
      <c r="AX497" s="3">
        <f t="shared" si="296"/>
        <v>0</v>
      </c>
      <c r="AY497" s="3">
        <f t="shared" si="296"/>
        <v>0</v>
      </c>
      <c r="AZ497" s="3">
        <f t="shared" si="296"/>
        <v>0</v>
      </c>
    </row>
    <row r="498" spans="1:53" x14ac:dyDescent="0.25">
      <c r="A498" s="3" t="s">
        <v>376</v>
      </c>
      <c r="B498" s="3">
        <f>10000+2000</f>
        <v>12000</v>
      </c>
      <c r="D498" s="3">
        <v>3665</v>
      </c>
      <c r="E498" s="3">
        <f>F498-D498</f>
        <v>8335</v>
      </c>
      <c r="F498" s="5">
        <v>12000</v>
      </c>
      <c r="H498" s="5">
        <f>F498-B498</f>
        <v>0</v>
      </c>
      <c r="J498" s="5">
        <v>5362</v>
      </c>
      <c r="K498" s="4">
        <f>L498-J498</f>
        <v>6638</v>
      </c>
      <c r="L498" s="4">
        <v>12000</v>
      </c>
      <c r="N498" s="4">
        <f>L498-F498</f>
        <v>0</v>
      </c>
      <c r="P498" s="3">
        <v>2000</v>
      </c>
      <c r="Q498" s="3"/>
      <c r="R498" s="3">
        <v>3806</v>
      </c>
      <c r="S498" s="3">
        <f>T498-R498</f>
        <v>2194</v>
      </c>
      <c r="T498" s="3">
        <v>6000</v>
      </c>
      <c r="U498" s="3">
        <f>T498-P498</f>
        <v>4000</v>
      </c>
      <c r="V498" s="3">
        <v>5125</v>
      </c>
      <c r="W498" s="3">
        <f>Y498-V498</f>
        <v>3875</v>
      </c>
      <c r="X498" s="3"/>
      <c r="Y498" s="3">
        <v>9000</v>
      </c>
      <c r="Z498" s="3">
        <f>Y498-T498</f>
        <v>3000</v>
      </c>
      <c r="AA498" s="3"/>
      <c r="AB498" s="3"/>
      <c r="AC498" s="3">
        <v>6434</v>
      </c>
      <c r="AD498" s="3">
        <f>AE498-AC498</f>
        <v>2566</v>
      </c>
      <c r="AE498" s="3">
        <v>9000</v>
      </c>
      <c r="AF498" s="3">
        <f>AE498-Y498</f>
        <v>0</v>
      </c>
      <c r="AG498" s="3"/>
      <c r="AH498" s="3">
        <f>AE498*1.03+30</f>
        <v>9300</v>
      </c>
      <c r="AI498" s="3"/>
      <c r="AJ498" s="3">
        <f>AH498*1.03</f>
        <v>9579</v>
      </c>
      <c r="AK498" s="3"/>
      <c r="AL498" s="3">
        <f t="shared" si="294"/>
        <v>9866.3700000000008</v>
      </c>
      <c r="AM498" s="3">
        <f t="shared" si="294"/>
        <v>0</v>
      </c>
      <c r="AN498" s="3">
        <f t="shared" si="294"/>
        <v>10162.361100000002</v>
      </c>
      <c r="AO498" s="3">
        <f t="shared" si="294"/>
        <v>0</v>
      </c>
      <c r="AP498" s="3">
        <f t="shared" si="294"/>
        <v>10467.231933000003</v>
      </c>
      <c r="AQ498" s="3"/>
      <c r="AR498" s="3">
        <f t="shared" si="295"/>
        <v>10781.248890990004</v>
      </c>
      <c r="AS498" s="3">
        <f t="shared" si="295"/>
        <v>0</v>
      </c>
      <c r="AT498" s="3">
        <f t="shared" si="295"/>
        <v>11104.686357719704</v>
      </c>
      <c r="AU498" s="3">
        <f t="shared" si="295"/>
        <v>0</v>
      </c>
      <c r="AV498" s="3">
        <f t="shared" si="295"/>
        <v>11437.826948451295</v>
      </c>
      <c r="AW498" s="3"/>
      <c r="AX498" s="3">
        <f t="shared" si="296"/>
        <v>11780.961756904833</v>
      </c>
      <c r="AY498" s="3">
        <f t="shared" si="296"/>
        <v>0</v>
      </c>
      <c r="AZ498" s="3">
        <f t="shared" si="296"/>
        <v>12134.390609611979</v>
      </c>
      <c r="BA498" s="42"/>
    </row>
    <row r="499" spans="1:53" x14ac:dyDescent="0.25">
      <c r="A499" s="3"/>
      <c r="B499" s="48">
        <f>SUM(B495:B498)</f>
        <v>27750</v>
      </c>
      <c r="C499" s="32"/>
      <c r="D499" s="48">
        <f>SUM(D495:D498)</f>
        <v>9216</v>
      </c>
      <c r="E499" s="48">
        <f>SUM(E495:E498)</f>
        <v>17284</v>
      </c>
      <c r="F499" s="48">
        <f>SUM(F495:F498)</f>
        <v>26500</v>
      </c>
      <c r="G499" s="32"/>
      <c r="H499" s="48">
        <f>SUM(H495:H498)</f>
        <v>-1250</v>
      </c>
      <c r="I499" s="36"/>
      <c r="J499" s="48">
        <f>SUM(J495:J498)</f>
        <v>14126</v>
      </c>
      <c r="K499" s="48">
        <f>SUM(K495:K498)</f>
        <v>12874</v>
      </c>
      <c r="L499" s="48">
        <f>SUM(L495:L498)</f>
        <v>27000</v>
      </c>
      <c r="M499" s="32"/>
      <c r="N499" s="48">
        <f>SUM(N495:N498)</f>
        <v>500</v>
      </c>
      <c r="P499" s="48">
        <f>SUM(P495:P498)</f>
        <v>17500.2</v>
      </c>
      <c r="R499" s="48">
        <f t="shared" ref="R499:Z499" si="297">SUM(R495:R498)</f>
        <v>9796</v>
      </c>
      <c r="S499" s="48">
        <f t="shared" si="297"/>
        <v>11704</v>
      </c>
      <c r="T499" s="48">
        <f t="shared" si="297"/>
        <v>21500</v>
      </c>
      <c r="U499" s="48">
        <f t="shared" si="297"/>
        <v>3999.7999999999993</v>
      </c>
      <c r="V499" s="48">
        <f t="shared" si="297"/>
        <v>13985</v>
      </c>
      <c r="W499" s="48">
        <f t="shared" si="297"/>
        <v>10515</v>
      </c>
      <c r="X499" s="48"/>
      <c r="Y499" s="48">
        <f t="shared" si="297"/>
        <v>24500</v>
      </c>
      <c r="Z499" s="48">
        <f t="shared" si="297"/>
        <v>3000</v>
      </c>
      <c r="AC499" s="48">
        <f>SUM(AC495:AC498)</f>
        <v>18167</v>
      </c>
      <c r="AD499" s="48">
        <f>SUM(AD495:AD498)</f>
        <v>5633</v>
      </c>
      <c r="AE499" s="48">
        <f>SUM(AE495:AE498)</f>
        <v>23800</v>
      </c>
      <c r="AF499" s="48">
        <f>SUM(AF495:AF498)</f>
        <v>-700</v>
      </c>
      <c r="AH499" s="48">
        <f>SUM(AH495:AH498)</f>
        <v>24500</v>
      </c>
      <c r="AJ499" s="48">
        <f>SUM(AJ495:AJ498)</f>
        <v>25145</v>
      </c>
      <c r="AL499" s="48">
        <f>SUM(AL495:AL498)</f>
        <v>25809.35</v>
      </c>
      <c r="AN499" s="48">
        <f>SUM(AN495:AN498)</f>
        <v>26493.630499999999</v>
      </c>
      <c r="AO499" s="48"/>
      <c r="AP499" s="48">
        <f>SUM(AP495:AP498)</f>
        <v>27198.439415000001</v>
      </c>
      <c r="AR499" s="48">
        <f>SUM(AR495:AR498)</f>
        <v>27924.392597450002</v>
      </c>
      <c r="AT499" s="48">
        <f>SUM(AT495:AT498)</f>
        <v>28672.124375373503</v>
      </c>
      <c r="AV499" s="48">
        <f>SUM(AV495:AV498)</f>
        <v>29442.288106634711</v>
      </c>
      <c r="AX499" s="48">
        <f>SUM(AX495:AX498)</f>
        <v>30235.556749833748</v>
      </c>
      <c r="AZ499" s="48">
        <f>SUM(AZ495:AZ498)</f>
        <v>31052.623452328764</v>
      </c>
    </row>
    <row r="500" spans="1:53" s="42" customFormat="1" x14ac:dyDescent="0.25">
      <c r="A500" s="7" t="s">
        <v>57</v>
      </c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4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R500" s="3"/>
      <c r="AT500" s="3"/>
      <c r="AV500" s="3"/>
      <c r="AX500" s="3"/>
      <c r="AZ500" s="3"/>
      <c r="BA500" s="6"/>
    </row>
    <row r="501" spans="1:53" x14ac:dyDescent="0.25">
      <c r="A501" s="3" t="s">
        <v>386</v>
      </c>
      <c r="B501" s="3">
        <v>600</v>
      </c>
      <c r="D501" s="3"/>
      <c r="E501" s="3">
        <f>F501-D501</f>
        <v>600</v>
      </c>
      <c r="F501" s="5">
        <v>600</v>
      </c>
      <c r="H501" s="5">
        <f>F501-B501</f>
        <v>0</v>
      </c>
      <c r="K501" s="4">
        <f>L501-J501</f>
        <v>600</v>
      </c>
      <c r="L501" s="4">
        <v>600</v>
      </c>
      <c r="N501" s="4">
        <f>L501-F501</f>
        <v>0</v>
      </c>
      <c r="P501" s="3">
        <f>L501*1.0281+3</f>
        <v>619.86</v>
      </c>
      <c r="Q501" s="3"/>
      <c r="R501" s="3"/>
      <c r="S501" s="3">
        <f>T501-R501</f>
        <v>620</v>
      </c>
      <c r="T501" s="3">
        <v>620</v>
      </c>
      <c r="U501" s="3">
        <f>T501-P501</f>
        <v>0.13999999999998636</v>
      </c>
      <c r="V501" s="3"/>
      <c r="W501" s="3">
        <f>Y501-V501</f>
        <v>0</v>
      </c>
      <c r="X501" s="3"/>
      <c r="Y501" s="3"/>
      <c r="Z501" s="3">
        <f>Y501-T501</f>
        <v>-620</v>
      </c>
      <c r="AA501" s="3"/>
      <c r="AB501" s="3"/>
      <c r="AC501" s="3"/>
      <c r="AD501" s="3">
        <f>AE501-AC501</f>
        <v>0</v>
      </c>
      <c r="AE501" s="3"/>
      <c r="AF501" s="3">
        <f>AE501-Y501</f>
        <v>0</v>
      </c>
      <c r="AG501" s="3"/>
      <c r="AH501" s="3">
        <v>600</v>
      </c>
      <c r="AI501" s="3"/>
      <c r="AJ501" s="3">
        <f>AH501*1.03</f>
        <v>618</v>
      </c>
      <c r="AK501" s="3"/>
      <c r="AL501" s="3">
        <f>AJ501*1.03</f>
        <v>636.54</v>
      </c>
      <c r="AM501" s="3">
        <f>AK501*1.03</f>
        <v>0</v>
      </c>
      <c r="AN501" s="3">
        <f>AL501*1.03</f>
        <v>655.63620000000003</v>
      </c>
      <c r="AO501" s="3">
        <f>AM501*1.03</f>
        <v>0</v>
      </c>
      <c r="AP501" s="3">
        <f>AN501*1.03</f>
        <v>675.30528600000002</v>
      </c>
      <c r="AQ501" s="3"/>
      <c r="AR501" s="3">
        <f>AP501*1.03</f>
        <v>695.56444457999999</v>
      </c>
      <c r="AS501" s="3">
        <f>AQ501*1.03</f>
        <v>0</v>
      </c>
      <c r="AT501" s="3">
        <f>AR501*1.03</f>
        <v>716.43137791740003</v>
      </c>
      <c r="AU501" s="3">
        <f>AS501*1.03</f>
        <v>0</v>
      </c>
      <c r="AV501" s="3">
        <f>AT501*1.03</f>
        <v>737.92431925492201</v>
      </c>
      <c r="AW501" s="3"/>
      <c r="AX501" s="3">
        <f>AV501*1.03</f>
        <v>760.06204883256964</v>
      </c>
      <c r="AY501" s="3">
        <f>AW501*1.03</f>
        <v>0</v>
      </c>
      <c r="AZ501" s="3">
        <f>AX501*1.03</f>
        <v>782.86391029754679</v>
      </c>
    </row>
    <row r="502" spans="1:53" x14ac:dyDescent="0.25">
      <c r="A502" s="3" t="s">
        <v>90</v>
      </c>
    </row>
    <row r="503" spans="1:53" x14ac:dyDescent="0.25">
      <c r="A503" s="3"/>
      <c r="B503" s="48">
        <f>SUM(B501:B502)</f>
        <v>600</v>
      </c>
      <c r="C503" s="32"/>
      <c r="D503" s="48">
        <f>SUM(D501:D502)</f>
        <v>0</v>
      </c>
      <c r="E503" s="48">
        <f>SUM(E501:E502)</f>
        <v>600</v>
      </c>
      <c r="F503" s="48">
        <f>SUM(F501:F502)</f>
        <v>600</v>
      </c>
      <c r="G503" s="32"/>
      <c r="H503" s="48">
        <f>SUM(H501:H502)</f>
        <v>0</v>
      </c>
      <c r="I503" s="36"/>
      <c r="J503" s="48">
        <f>SUM(J501:J502)</f>
        <v>0</v>
      </c>
      <c r="K503" s="48">
        <f>SUM(K501:K502)</f>
        <v>600</v>
      </c>
      <c r="L503" s="48">
        <f>SUM(L501:L502)</f>
        <v>600</v>
      </c>
      <c r="M503" s="32"/>
      <c r="N503" s="48">
        <f>SUM(N501:N502)</f>
        <v>0</v>
      </c>
      <c r="P503" s="48">
        <f>SUM(P501:P502)</f>
        <v>619.86</v>
      </c>
      <c r="R503" s="48">
        <f t="shared" ref="R503:Z503" si="298">SUM(R501:R502)</f>
        <v>0</v>
      </c>
      <c r="S503" s="48">
        <f t="shared" si="298"/>
        <v>620</v>
      </c>
      <c r="T503" s="48">
        <f t="shared" si="298"/>
        <v>620</v>
      </c>
      <c r="U503" s="48">
        <f t="shared" si="298"/>
        <v>0.13999999999998636</v>
      </c>
      <c r="V503" s="48">
        <f t="shared" si="298"/>
        <v>0</v>
      </c>
      <c r="W503" s="48">
        <f t="shared" si="298"/>
        <v>0</v>
      </c>
      <c r="X503" s="48"/>
      <c r="Y503" s="48">
        <f t="shared" si="298"/>
        <v>0</v>
      </c>
      <c r="Z503" s="48">
        <f t="shared" si="298"/>
        <v>-620</v>
      </c>
      <c r="AC503" s="48">
        <f>SUM(AC501:AC502)</f>
        <v>0</v>
      </c>
      <c r="AD503" s="48">
        <f>AE503-AC503</f>
        <v>0</v>
      </c>
      <c r="AE503" s="48">
        <f>SUM(AE501:AE502)</f>
        <v>0</v>
      </c>
      <c r="AF503" s="48">
        <f>AE503-Y503</f>
        <v>0</v>
      </c>
      <c r="AH503" s="48">
        <f>SUM(AH501:AH502)</f>
        <v>600</v>
      </c>
      <c r="AJ503" s="48">
        <f>SUM(AJ501:AJ502)</f>
        <v>618</v>
      </c>
      <c r="AL503" s="48">
        <f>SUM(AL501:AL502)</f>
        <v>636.54</v>
      </c>
      <c r="AN503" s="48">
        <f>SUM(AN501:AN502)</f>
        <v>655.63620000000003</v>
      </c>
      <c r="AO503" s="48"/>
      <c r="AP503" s="48">
        <f>SUM(AP501:AP502)</f>
        <v>675.30528600000002</v>
      </c>
      <c r="AR503" s="48">
        <f>SUM(AR501:AR502)</f>
        <v>695.56444457999999</v>
      </c>
      <c r="AT503" s="48">
        <f>SUM(AT501:AT502)</f>
        <v>716.43137791740003</v>
      </c>
      <c r="AV503" s="48">
        <f>SUM(AV501:AV502)</f>
        <v>737.92431925492201</v>
      </c>
      <c r="AX503" s="48">
        <f>SUM(AX501:AX502)</f>
        <v>760.06204883256964</v>
      </c>
      <c r="AZ503" s="48">
        <f>SUM(AZ501:AZ502)</f>
        <v>782.86391029754679</v>
      </c>
    </row>
    <row r="504" spans="1:53" ht="15.75" thickBot="1" x14ac:dyDescent="0.3">
      <c r="A504" s="7" t="s">
        <v>249</v>
      </c>
      <c r="B504" s="49">
        <f>B503+B499+B493+B484</f>
        <v>276150</v>
      </c>
      <c r="C504" s="32"/>
      <c r="D504" s="49">
        <f>D503+D499+D493+D484+1</f>
        <v>43839</v>
      </c>
      <c r="E504" s="49">
        <f>E503+E499+E493+E484+1</f>
        <v>234063</v>
      </c>
      <c r="F504" s="49">
        <f>F503+F499+F493+F484</f>
        <v>277900</v>
      </c>
      <c r="G504" s="32"/>
      <c r="H504" s="49">
        <f>H503+H499+H493+H484+1</f>
        <v>1751</v>
      </c>
      <c r="I504" s="36"/>
      <c r="J504" s="49">
        <f>J503+J499+J493+J484+1</f>
        <v>174873</v>
      </c>
      <c r="K504" s="49">
        <f>K503+K499+K493+K484+1</f>
        <v>126424</v>
      </c>
      <c r="L504" s="49">
        <f>L503+L499+L493+L484+1</f>
        <v>301296</v>
      </c>
      <c r="M504" s="32"/>
      <c r="N504" s="49">
        <f>N503+N499+N493+N484+1</f>
        <v>23396</v>
      </c>
      <c r="P504" s="49">
        <f>P503+P499+P493+P484</f>
        <v>366350.11</v>
      </c>
      <c r="R504" s="49">
        <f t="shared" ref="R504:Z504" si="299">R503+R499+R493+R484</f>
        <v>70366</v>
      </c>
      <c r="S504" s="49">
        <f t="shared" si="299"/>
        <v>239944</v>
      </c>
      <c r="T504" s="49">
        <f t="shared" si="299"/>
        <v>310310</v>
      </c>
      <c r="U504" s="49" t="e">
        <f t="shared" si="299"/>
        <v>#VALUE!</v>
      </c>
      <c r="V504" s="49">
        <f t="shared" si="299"/>
        <v>106326</v>
      </c>
      <c r="W504" s="49">
        <f t="shared" si="299"/>
        <v>204964</v>
      </c>
      <c r="X504" s="49"/>
      <c r="Y504" s="49">
        <f t="shared" si="299"/>
        <v>311290</v>
      </c>
      <c r="Z504" s="49">
        <f t="shared" si="299"/>
        <v>980</v>
      </c>
      <c r="AC504" s="49">
        <f>AC503+AC499+AC493+AC484</f>
        <v>154692</v>
      </c>
      <c r="AD504" s="49">
        <f>AD503+AD499+AD493+AD484</f>
        <v>147898</v>
      </c>
      <c r="AE504" s="49">
        <f>AE503+AE499+AE493+AE484</f>
        <v>302590</v>
      </c>
      <c r="AF504" s="49">
        <f>AF503+AF499+AF493+AF484</f>
        <v>-8700</v>
      </c>
      <c r="AH504" s="49">
        <f>AH503+AH499+AH493+AH484</f>
        <v>333549.5515</v>
      </c>
      <c r="AJ504" s="49">
        <f>AJ503+AJ499+AJ493+AJ484</f>
        <v>342971.03804499999</v>
      </c>
      <c r="AL504" s="49">
        <f>AL503+AL499+AL493+AL484</f>
        <v>352675.16918634996</v>
      </c>
      <c r="AN504" s="49">
        <f>AN503+AN499+AN493+AN484</f>
        <v>362670.42426194053</v>
      </c>
      <c r="AO504" s="49"/>
      <c r="AP504" s="49">
        <f>AP503+AP499+AP493+AP484</f>
        <v>373965.53698979871</v>
      </c>
      <c r="AR504" s="49">
        <f>AR503+AR499+AR493+AR484</f>
        <v>384569.50309949269</v>
      </c>
      <c r="AT504" s="49">
        <f>AT503+AT499+AT493+AT484</f>
        <v>395491.58819247747</v>
      </c>
      <c r="AV504" s="49">
        <f>AV503+AV499+AV493+AV484</f>
        <v>406741.33583825175</v>
      </c>
      <c r="AX504" s="49">
        <f>AX503+AX499+AX493+AX484</f>
        <v>418328.57591339934</v>
      </c>
      <c r="AZ504" s="49">
        <f>AZ503+AZ499+AZ493+AZ484</f>
        <v>430263.4331908013</v>
      </c>
    </row>
    <row r="505" spans="1:53" ht="15.75" thickTop="1" x14ac:dyDescent="0.25">
      <c r="A505" s="3"/>
      <c r="B505" s="8" t="s">
        <v>8</v>
      </c>
      <c r="C505" s="9"/>
      <c r="D505" s="10" t="s">
        <v>9</v>
      </c>
      <c r="E505" s="11" t="s">
        <v>10</v>
      </c>
      <c r="F505" s="12" t="s">
        <v>11</v>
      </c>
      <c r="G505" s="9"/>
      <c r="H505" s="8" t="s">
        <v>12</v>
      </c>
      <c r="I505" s="13"/>
      <c r="J505" s="10" t="s">
        <v>9</v>
      </c>
      <c r="K505" s="11" t="s">
        <v>10</v>
      </c>
      <c r="L505" s="11" t="s">
        <v>11</v>
      </c>
      <c r="M505" s="9"/>
      <c r="N505" s="12" t="s">
        <v>12</v>
      </c>
      <c r="P505" s="8" t="s">
        <v>8</v>
      </c>
      <c r="R505" s="14" t="s">
        <v>9</v>
      </c>
      <c r="S505" s="15" t="s">
        <v>10</v>
      </c>
      <c r="T505" s="16" t="s">
        <v>11</v>
      </c>
      <c r="U505" s="17" t="s">
        <v>13</v>
      </c>
      <c r="V505" s="14" t="s">
        <v>9</v>
      </c>
      <c r="W505" s="15" t="s">
        <v>10</v>
      </c>
      <c r="X505" s="15"/>
      <c r="Y505" s="16" t="s">
        <v>11</v>
      </c>
      <c r="Z505" s="17" t="s">
        <v>13</v>
      </c>
      <c r="AC505" s="14" t="s">
        <v>9</v>
      </c>
      <c r="AD505" s="15" t="s">
        <v>10</v>
      </c>
      <c r="AE505" s="16" t="s">
        <v>11</v>
      </c>
      <c r="AF505" s="17" t="s">
        <v>13</v>
      </c>
      <c r="AH505" s="8" t="s">
        <v>8</v>
      </c>
      <c r="AJ505" s="8" t="s">
        <v>8</v>
      </c>
      <c r="AL505" s="8" t="s">
        <v>8</v>
      </c>
      <c r="AN505" s="8" t="s">
        <v>8</v>
      </c>
      <c r="AO505" s="8"/>
      <c r="AP505" s="8" t="s">
        <v>8</v>
      </c>
      <c r="AR505" s="8" t="s">
        <v>8</v>
      </c>
      <c r="AT505" s="8" t="s">
        <v>8</v>
      </c>
      <c r="AV505" s="8" t="s">
        <v>8</v>
      </c>
      <c r="AX505" s="8" t="s">
        <v>8</v>
      </c>
      <c r="AZ505" s="8" t="s">
        <v>8</v>
      </c>
    </row>
    <row r="506" spans="1:53" ht="15.75" thickBot="1" x14ac:dyDescent="0.3">
      <c r="A506" s="3"/>
      <c r="B506" s="19" t="s">
        <v>14</v>
      </c>
      <c r="C506" s="9"/>
      <c r="D506" s="20" t="s">
        <v>15</v>
      </c>
      <c r="E506" s="21"/>
      <c r="F506" s="22" t="s">
        <v>16</v>
      </c>
      <c r="G506" s="9"/>
      <c r="H506" s="19"/>
      <c r="I506" s="13"/>
      <c r="J506" s="20" t="s">
        <v>17</v>
      </c>
      <c r="K506" s="21"/>
      <c r="L506" s="21" t="s">
        <v>16</v>
      </c>
      <c r="M506" s="9"/>
      <c r="N506" s="22"/>
      <c r="P506" s="19" t="s">
        <v>18</v>
      </c>
      <c r="R506" s="23" t="s">
        <v>19</v>
      </c>
      <c r="S506" s="24"/>
      <c r="T506" s="25" t="s">
        <v>20</v>
      </c>
      <c r="U506" s="26"/>
      <c r="V506" s="23" t="s">
        <v>21</v>
      </c>
      <c r="W506" s="24"/>
      <c r="X506" s="24"/>
      <c r="Y506" s="25" t="s">
        <v>21</v>
      </c>
      <c r="Z506" s="26"/>
      <c r="AC506" s="23" t="s">
        <v>22</v>
      </c>
      <c r="AD506" s="24"/>
      <c r="AE506" s="25" t="s">
        <v>23</v>
      </c>
      <c r="AF506" s="26"/>
      <c r="AH506" s="19" t="s">
        <v>24</v>
      </c>
      <c r="AJ506" s="19" t="s">
        <v>25</v>
      </c>
      <c r="AL506" s="19" t="s">
        <v>26</v>
      </c>
      <c r="AN506" s="19" t="s">
        <v>27</v>
      </c>
      <c r="AO506" s="19"/>
      <c r="AP506" s="19" t="s">
        <v>28</v>
      </c>
      <c r="AR506" s="19" t="s">
        <v>29</v>
      </c>
      <c r="AT506" s="19" t="s">
        <v>30</v>
      </c>
      <c r="AV506" s="19" t="s">
        <v>31</v>
      </c>
      <c r="AX506" s="19" t="str">
        <f>AX17</f>
        <v>2021-22</v>
      </c>
      <c r="AZ506" s="19" t="str">
        <f>AZ17</f>
        <v>2022-23</v>
      </c>
    </row>
    <row r="507" spans="1:53" x14ac:dyDescent="0.25">
      <c r="A507" s="7" t="s">
        <v>96</v>
      </c>
      <c r="BA507" s="42"/>
    </row>
    <row r="508" spans="1:53" x14ac:dyDescent="0.25">
      <c r="A508" s="7" t="s">
        <v>387</v>
      </c>
      <c r="AH508" s="3"/>
      <c r="BA508" s="42"/>
    </row>
    <row r="509" spans="1:53" s="42" customFormat="1" x14ac:dyDescent="0.25">
      <c r="A509" s="3" t="s">
        <v>388</v>
      </c>
      <c r="B509" s="3">
        <v>94500</v>
      </c>
      <c r="C509" s="3"/>
      <c r="D509" s="3">
        <v>25050</v>
      </c>
      <c r="E509" s="3">
        <f t="shared" ref="E509:E515" si="300">F509-D509</f>
        <v>69950</v>
      </c>
      <c r="F509" s="5">
        <v>95000</v>
      </c>
      <c r="G509" s="3"/>
      <c r="H509" s="5">
        <f t="shared" ref="H509:H515" si="301">F509-B509</f>
        <v>500</v>
      </c>
      <c r="I509" s="5"/>
      <c r="J509" s="5">
        <v>43949</v>
      </c>
      <c r="K509" s="4">
        <f t="shared" ref="K509:K515" si="302">L509-J509</f>
        <v>51051</v>
      </c>
      <c r="L509" s="4">
        <v>95000</v>
      </c>
      <c r="M509" s="4"/>
      <c r="N509" s="4">
        <f t="shared" ref="N509:N515" si="303">L509-F509</f>
        <v>0</v>
      </c>
      <c r="O509" s="3"/>
      <c r="P509" s="3">
        <f>L509*1.0275+37</f>
        <v>97649.500000000015</v>
      </c>
      <c r="Q509" s="3"/>
      <c r="R509" s="3">
        <v>26399</v>
      </c>
      <c r="S509" s="3">
        <f t="shared" ref="S509:S515" si="304">T509-R509</f>
        <v>71251</v>
      </c>
      <c r="T509" s="3">
        <v>97650</v>
      </c>
      <c r="U509" s="3">
        <f t="shared" ref="U509:U515" si="305">T509-P509</f>
        <v>0.49999999998544808</v>
      </c>
      <c r="V509" s="3">
        <v>48962</v>
      </c>
      <c r="W509" s="3">
        <f t="shared" ref="W509:W515" si="306">Y509-V509</f>
        <v>54038</v>
      </c>
      <c r="X509" s="3"/>
      <c r="Y509" s="3">
        <v>103000</v>
      </c>
      <c r="Z509" s="3">
        <f t="shared" ref="Z509:Z515" si="307">Y509-T509</f>
        <v>5350</v>
      </c>
      <c r="AA509" s="3"/>
      <c r="AB509" s="3"/>
      <c r="AC509" s="3">
        <v>60158</v>
      </c>
      <c r="AD509" s="3">
        <f t="shared" ref="AD509:AD515" si="308">AE509-AC509</f>
        <v>42842</v>
      </c>
      <c r="AE509" s="3">
        <v>103000</v>
      </c>
      <c r="AF509" s="3">
        <f t="shared" ref="AF509:AF515" si="309">AE509-Y509</f>
        <v>0</v>
      </c>
      <c r="AG509" s="3"/>
      <c r="AH509" s="3">
        <v>105600</v>
      </c>
      <c r="AI509" s="3"/>
      <c r="AJ509" s="3">
        <f>AH509*1.03</f>
        <v>108768</v>
      </c>
      <c r="AK509" s="3"/>
      <c r="AL509" s="3">
        <f>AJ509*1.0281</f>
        <v>111824.3808</v>
      </c>
      <c r="AM509" s="3"/>
      <c r="AN509" s="3">
        <f>AL509*1.0281</f>
        <v>114966.64590048</v>
      </c>
      <c r="AO509" s="3"/>
      <c r="AP509" s="3">
        <f>AN509*1.0281</f>
        <v>118197.20865028349</v>
      </c>
      <c r="AR509" s="3">
        <f>AP509*1.0281</f>
        <v>121518.55021335646</v>
      </c>
      <c r="AT509" s="3">
        <f>AR509*1.0281</f>
        <v>124933.22147435178</v>
      </c>
      <c r="AV509" s="3">
        <f>AT509*1.0281</f>
        <v>128443.84499778107</v>
      </c>
      <c r="AX509" s="3">
        <f>AV509*1.0281</f>
        <v>132053.11704221871</v>
      </c>
      <c r="AZ509" s="3">
        <f>AX509*1.0281</f>
        <v>135763.80963110505</v>
      </c>
      <c r="BA509" s="6"/>
    </row>
    <row r="510" spans="1:53" s="42" customFormat="1" x14ac:dyDescent="0.25">
      <c r="A510" s="3" t="s">
        <v>389</v>
      </c>
      <c r="B510" s="3"/>
      <c r="C510" s="3"/>
      <c r="D510" s="3"/>
      <c r="E510" s="3"/>
      <c r="F510" s="5"/>
      <c r="G510" s="3"/>
      <c r="H510" s="5"/>
      <c r="I510" s="5"/>
      <c r="J510" s="5"/>
      <c r="K510" s="4"/>
      <c r="L510" s="4"/>
      <c r="M510" s="4"/>
      <c r="N510" s="4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>
        <f>55000-10000</f>
        <v>45000</v>
      </c>
      <c r="AI510" s="3"/>
      <c r="AJ510" s="3">
        <f>AH510*1.03</f>
        <v>46350</v>
      </c>
      <c r="AK510" s="3"/>
      <c r="AL510" s="3">
        <f t="shared" ref="AL510:AZ510" si="310">AJ510*1.03</f>
        <v>47740.5</v>
      </c>
      <c r="AM510" s="3">
        <f t="shared" si="310"/>
        <v>0</v>
      </c>
      <c r="AN510" s="3">
        <f t="shared" si="310"/>
        <v>49172.715000000004</v>
      </c>
      <c r="AO510" s="3">
        <f t="shared" si="310"/>
        <v>0</v>
      </c>
      <c r="AP510" s="3">
        <f t="shared" si="310"/>
        <v>50647.896450000007</v>
      </c>
      <c r="AQ510" s="3"/>
      <c r="AR510" s="3">
        <f t="shared" si="310"/>
        <v>52167.33334350001</v>
      </c>
      <c r="AS510" s="3">
        <f t="shared" si="310"/>
        <v>0</v>
      </c>
      <c r="AT510" s="3">
        <f t="shared" si="310"/>
        <v>53732.353343805014</v>
      </c>
      <c r="AU510" s="3">
        <f t="shared" si="310"/>
        <v>0</v>
      </c>
      <c r="AV510" s="3">
        <f t="shared" si="310"/>
        <v>55344.323944119169</v>
      </c>
      <c r="AW510" s="3">
        <f t="shared" si="310"/>
        <v>0</v>
      </c>
      <c r="AX510" s="3">
        <f t="shared" si="310"/>
        <v>57004.653662442746</v>
      </c>
      <c r="AY510" s="3">
        <f t="shared" si="310"/>
        <v>0</v>
      </c>
      <c r="AZ510" s="3">
        <f t="shared" si="310"/>
        <v>58714.793272316027</v>
      </c>
      <c r="BA510" s="6"/>
    </row>
    <row r="511" spans="1:53" x14ac:dyDescent="0.25">
      <c r="A511" s="3" t="s">
        <v>305</v>
      </c>
      <c r="B511" s="3">
        <v>17500</v>
      </c>
      <c r="D511" s="3">
        <v>879</v>
      </c>
      <c r="E511" s="3">
        <f t="shared" si="300"/>
        <v>16621</v>
      </c>
      <c r="F511" s="5">
        <v>17500</v>
      </c>
      <c r="H511" s="5">
        <f t="shared" si="301"/>
        <v>0</v>
      </c>
      <c r="J511" s="5">
        <v>2198</v>
      </c>
      <c r="K511" s="4">
        <f t="shared" si="302"/>
        <v>15302</v>
      </c>
      <c r="L511" s="4">
        <v>17500</v>
      </c>
      <c r="N511" s="4">
        <f t="shared" si="303"/>
        <v>0</v>
      </c>
      <c r="P511" s="3">
        <f>75000+7500</f>
        <v>82500</v>
      </c>
      <c r="Q511" s="3"/>
      <c r="R511" s="3">
        <v>0</v>
      </c>
      <c r="S511" s="3">
        <f t="shared" si="304"/>
        <v>82500</v>
      </c>
      <c r="T511" s="3">
        <v>82500</v>
      </c>
      <c r="U511" s="3">
        <f t="shared" si="305"/>
        <v>0</v>
      </c>
      <c r="V511" s="3">
        <v>1805</v>
      </c>
      <c r="W511" s="3">
        <f t="shared" si="306"/>
        <v>75195</v>
      </c>
      <c r="X511" s="3"/>
      <c r="Y511" s="3">
        <v>77000</v>
      </c>
      <c r="Z511" s="3">
        <f t="shared" si="307"/>
        <v>-5500</v>
      </c>
      <c r="AA511" s="3"/>
      <c r="AB511" s="3"/>
      <c r="AC511" s="3">
        <v>20545</v>
      </c>
      <c r="AD511" s="3">
        <f t="shared" si="308"/>
        <v>57455</v>
      </c>
      <c r="AE511" s="3">
        <v>78000</v>
      </c>
      <c r="AF511" s="3">
        <f t="shared" si="309"/>
        <v>1000</v>
      </c>
      <c r="AG511" s="3"/>
      <c r="AH511" s="3">
        <v>70000</v>
      </c>
      <c r="AI511" s="3"/>
      <c r="AJ511" s="3">
        <v>53000</v>
      </c>
      <c r="AK511" s="3"/>
      <c r="AL511" s="3">
        <v>30000</v>
      </c>
      <c r="AM511" s="3"/>
      <c r="AN511" s="3">
        <v>37500</v>
      </c>
      <c r="AO511" s="3">
        <v>37500</v>
      </c>
      <c r="AP511" s="3">
        <v>37500</v>
      </c>
      <c r="AQ511" s="3"/>
      <c r="AR511" s="3">
        <v>37500</v>
      </c>
      <c r="AS511" s="3">
        <v>37500</v>
      </c>
      <c r="AT511" s="3">
        <v>37500</v>
      </c>
      <c r="AU511" s="3">
        <v>37500</v>
      </c>
      <c r="AV511" s="3">
        <v>37500</v>
      </c>
      <c r="AW511" s="3">
        <v>37500</v>
      </c>
      <c r="AX511" s="3">
        <v>37500</v>
      </c>
      <c r="AY511" s="3">
        <v>37500</v>
      </c>
      <c r="AZ511" s="3">
        <v>37500</v>
      </c>
    </row>
    <row r="512" spans="1:53" x14ac:dyDescent="0.25">
      <c r="A512" s="3" t="s">
        <v>390</v>
      </c>
      <c r="B512" s="3">
        <v>7500</v>
      </c>
      <c r="D512" s="3">
        <v>0</v>
      </c>
      <c r="E512" s="3">
        <f t="shared" si="300"/>
        <v>7500</v>
      </c>
      <c r="F512" s="5">
        <v>7500</v>
      </c>
      <c r="H512" s="5">
        <f t="shared" si="301"/>
        <v>0</v>
      </c>
      <c r="J512" s="5">
        <v>231</v>
      </c>
      <c r="K512" s="4">
        <f t="shared" si="302"/>
        <v>5769</v>
      </c>
      <c r="L512" s="4">
        <v>6000</v>
      </c>
      <c r="N512" s="4">
        <f t="shared" si="303"/>
        <v>-1500</v>
      </c>
      <c r="P512" s="3">
        <f>B512*1.0325+256</f>
        <v>7999.75</v>
      </c>
      <c r="Q512" s="3"/>
      <c r="R512" s="3">
        <v>0</v>
      </c>
      <c r="S512" s="3">
        <f t="shared" si="304"/>
        <v>8000</v>
      </c>
      <c r="T512" s="3">
        <v>8000</v>
      </c>
      <c r="U512" s="3">
        <f t="shared" si="305"/>
        <v>0.25</v>
      </c>
      <c r="V512" s="3">
        <v>1334</v>
      </c>
      <c r="W512" s="3">
        <f t="shared" si="306"/>
        <v>3666</v>
      </c>
      <c r="X512" s="3"/>
      <c r="Y512" s="3">
        <v>5000</v>
      </c>
      <c r="Z512" s="3">
        <f t="shared" si="307"/>
        <v>-3000</v>
      </c>
      <c r="AA512" s="3"/>
      <c r="AB512" s="3"/>
      <c r="AC512" s="3">
        <v>6605</v>
      </c>
      <c r="AD512" s="3">
        <f t="shared" si="308"/>
        <v>2895</v>
      </c>
      <c r="AE512" s="3">
        <v>9500</v>
      </c>
      <c r="AF512" s="3">
        <f t="shared" si="309"/>
        <v>4500</v>
      </c>
      <c r="AG512" s="3"/>
      <c r="AH512" s="3">
        <v>8800</v>
      </c>
      <c r="AI512" s="3"/>
      <c r="AJ512" s="3">
        <f>AH512*1.0325</f>
        <v>9086</v>
      </c>
      <c r="AK512" s="3"/>
      <c r="AL512" s="3">
        <f>AJ512*1.0325</f>
        <v>9381.2950000000001</v>
      </c>
      <c r="AM512" s="3"/>
      <c r="AN512" s="3">
        <f>AL512*1.0325</f>
        <v>9686.1870875000004</v>
      </c>
      <c r="AO512" s="3"/>
      <c r="AP512" s="3">
        <f>AN512*1.0325</f>
        <v>10000.98816784375</v>
      </c>
      <c r="AQ512" s="42"/>
      <c r="AR512" s="3">
        <f>AP512*1.0325</f>
        <v>10326.020283298672</v>
      </c>
      <c r="AS512" s="42"/>
      <c r="AT512" s="3">
        <f>AR512*1.0325</f>
        <v>10661.61594250588</v>
      </c>
      <c r="AU512" s="42"/>
      <c r="AV512" s="3">
        <f>AT512*1.0325</f>
        <v>11008.118460637321</v>
      </c>
      <c r="AW512" s="42"/>
      <c r="AX512" s="3">
        <f>AV512*1.0325</f>
        <v>11365.882310608033</v>
      </c>
      <c r="AZ512" s="3">
        <f>AX512*1.0325</f>
        <v>11735.273485702794</v>
      </c>
    </row>
    <row r="513" spans="1:53" x14ac:dyDescent="0.25">
      <c r="A513" s="3" t="s">
        <v>299</v>
      </c>
      <c r="B513" s="3">
        <v>1500</v>
      </c>
      <c r="D513" s="3">
        <v>0</v>
      </c>
      <c r="E513" s="3">
        <f t="shared" si="300"/>
        <v>1500</v>
      </c>
      <c r="F513" s="5">
        <v>1500</v>
      </c>
      <c r="H513" s="5">
        <f t="shared" si="301"/>
        <v>0</v>
      </c>
      <c r="J513" s="5">
        <v>0</v>
      </c>
      <c r="K513" s="4">
        <f t="shared" si="302"/>
        <v>500</v>
      </c>
      <c r="L513" s="4">
        <v>500</v>
      </c>
      <c r="N513" s="4">
        <f t="shared" si="303"/>
        <v>-1000</v>
      </c>
      <c r="P513" s="3">
        <f>L513*1.0281+86</f>
        <v>600.04999999999995</v>
      </c>
      <c r="Q513" s="3"/>
      <c r="R513" s="3">
        <v>0</v>
      </c>
      <c r="S513" s="3">
        <f t="shared" si="304"/>
        <v>600</v>
      </c>
      <c r="T513" s="3">
        <v>600</v>
      </c>
      <c r="U513" s="3">
        <f t="shared" si="305"/>
        <v>-4.9999999999954525E-2</v>
      </c>
      <c r="V513" s="3">
        <v>0</v>
      </c>
      <c r="W513" s="3">
        <f t="shared" si="306"/>
        <v>3000</v>
      </c>
      <c r="X513" s="3"/>
      <c r="Y513" s="3">
        <v>3000</v>
      </c>
      <c r="Z513" s="3">
        <f t="shared" si="307"/>
        <v>2400</v>
      </c>
      <c r="AA513" s="3"/>
      <c r="AB513" s="3"/>
      <c r="AC513" s="3"/>
      <c r="AD513" s="3">
        <f t="shared" si="308"/>
        <v>3000</v>
      </c>
      <c r="AE513" s="3">
        <v>3000</v>
      </c>
      <c r="AF513" s="3">
        <f t="shared" si="309"/>
        <v>0</v>
      </c>
      <c r="AG513" s="3"/>
      <c r="AH513" s="3">
        <f>15000-7000</f>
        <v>8000</v>
      </c>
      <c r="AI513" s="3"/>
      <c r="AJ513" s="3">
        <f>AH513*1.03</f>
        <v>8240</v>
      </c>
      <c r="AK513" s="3"/>
      <c r="AL513" s="3">
        <f>AJ513*1.03</f>
        <v>8487.2000000000007</v>
      </c>
      <c r="AM513" s="3"/>
      <c r="AN513" s="3">
        <f>AL513*1.03</f>
        <v>8741.8160000000007</v>
      </c>
      <c r="AO513" s="3"/>
      <c r="AP513" s="3">
        <f>AN513*1.03</f>
        <v>9004.0704800000003</v>
      </c>
      <c r="AQ513" s="42"/>
      <c r="AR513" s="3">
        <f>AP513*1.03</f>
        <v>9274.1925944000013</v>
      </c>
      <c r="AS513" s="42"/>
      <c r="AT513" s="3">
        <f>AR513*1.03</f>
        <v>9552.4183722320013</v>
      </c>
      <c r="AU513" s="42"/>
      <c r="AV513" s="3">
        <f>AT513*1.03</f>
        <v>9838.990923398962</v>
      </c>
      <c r="AW513" s="3"/>
      <c r="AX513" s="3">
        <f>AV513*1.03</f>
        <v>10134.16065110093</v>
      </c>
      <c r="AZ513" s="3">
        <f>AX513*1.0281</f>
        <v>10418.930565396866</v>
      </c>
    </row>
    <row r="514" spans="1:53" x14ac:dyDescent="0.25">
      <c r="A514" s="3" t="s">
        <v>90</v>
      </c>
      <c r="B514" s="3">
        <v>1500</v>
      </c>
      <c r="D514" s="3">
        <v>1054</v>
      </c>
      <c r="E514" s="3">
        <f t="shared" si="300"/>
        <v>446</v>
      </c>
      <c r="F514" s="5">
        <v>1500</v>
      </c>
      <c r="H514" s="5">
        <f t="shared" si="301"/>
        <v>0</v>
      </c>
      <c r="J514" s="5">
        <v>1214</v>
      </c>
      <c r="K514" s="4">
        <f t="shared" si="302"/>
        <v>536</v>
      </c>
      <c r="L514" s="4">
        <v>1750</v>
      </c>
      <c r="N514" s="4">
        <f t="shared" si="303"/>
        <v>250</v>
      </c>
      <c r="P514" s="3">
        <f>L514*1.0281+1</f>
        <v>1800.175</v>
      </c>
      <c r="Q514" s="3"/>
      <c r="R514" s="3">
        <v>915</v>
      </c>
      <c r="S514" s="3">
        <f t="shared" si="304"/>
        <v>885</v>
      </c>
      <c r="T514" s="3">
        <v>1800</v>
      </c>
      <c r="U514" s="3">
        <f t="shared" si="305"/>
        <v>-0.17499999999995453</v>
      </c>
      <c r="V514" s="3">
        <v>1196</v>
      </c>
      <c r="W514" s="3">
        <f t="shared" si="306"/>
        <v>604</v>
      </c>
      <c r="X514" s="3"/>
      <c r="Y514" s="3">
        <v>1800</v>
      </c>
      <c r="Z514" s="3">
        <f t="shared" si="307"/>
        <v>0</v>
      </c>
      <c r="AA514" s="3"/>
      <c r="AB514" s="3"/>
      <c r="AC514" s="3">
        <v>2138</v>
      </c>
      <c r="AD514" s="3">
        <f t="shared" si="308"/>
        <v>-138</v>
      </c>
      <c r="AE514" s="3">
        <v>2000</v>
      </c>
      <c r="AF514" s="3">
        <f t="shared" si="309"/>
        <v>200</v>
      </c>
      <c r="AG514" s="3"/>
      <c r="AH514" s="3">
        <f>AE514*1.03+40</f>
        <v>2100</v>
      </c>
      <c r="AI514" s="3"/>
      <c r="AJ514" s="3">
        <f>AH514*1.03</f>
        <v>2163</v>
      </c>
      <c r="AK514" s="3"/>
      <c r="AL514" s="3">
        <f>AJ514*1.03</f>
        <v>2227.89</v>
      </c>
      <c r="AM514" s="3"/>
      <c r="AN514" s="3">
        <f>AL514*1.03</f>
        <v>2294.7266999999997</v>
      </c>
      <c r="AO514" s="3"/>
      <c r="AP514" s="3">
        <f>AN514*1.03</f>
        <v>2363.5685009999997</v>
      </c>
      <c r="AQ514" s="42"/>
      <c r="AR514" s="3">
        <f>AP514*1.03</f>
        <v>2434.47555603</v>
      </c>
      <c r="AS514" s="42"/>
      <c r="AT514" s="3">
        <f>AR514*1.03</f>
        <v>2507.5098227109002</v>
      </c>
      <c r="AU514" s="42"/>
      <c r="AV514" s="3">
        <f>AT514*1.03</f>
        <v>2582.735117392227</v>
      </c>
      <c r="AW514" s="3"/>
      <c r="AX514" s="3">
        <f>AV514*1.03</f>
        <v>2660.2171709139939</v>
      </c>
      <c r="AZ514" s="3">
        <f>AX514*1.0281</f>
        <v>2734.969273416677</v>
      </c>
    </row>
    <row r="515" spans="1:53" x14ac:dyDescent="0.25">
      <c r="A515" s="3" t="s">
        <v>391</v>
      </c>
      <c r="B515" s="3">
        <f>-51640-10</f>
        <v>-51650</v>
      </c>
      <c r="D515" s="3">
        <v>0</v>
      </c>
      <c r="E515" s="3">
        <f t="shared" si="300"/>
        <v>-51650</v>
      </c>
      <c r="F515" s="5">
        <v>-51650</v>
      </c>
      <c r="H515" s="5">
        <f t="shared" si="301"/>
        <v>0</v>
      </c>
      <c r="J515" s="5">
        <v>0</v>
      </c>
      <c r="K515" s="4">
        <f t="shared" si="302"/>
        <v>-51650</v>
      </c>
      <c r="L515" s="4">
        <v>-51650</v>
      </c>
      <c r="N515" s="4">
        <f t="shared" si="303"/>
        <v>0</v>
      </c>
      <c r="P515" s="3">
        <v>-53190</v>
      </c>
      <c r="Q515" s="3"/>
      <c r="R515" s="3">
        <v>0</v>
      </c>
      <c r="S515" s="3">
        <f t="shared" si="304"/>
        <v>-53190</v>
      </c>
      <c r="T515" s="3">
        <v>-53190</v>
      </c>
      <c r="U515" s="3">
        <f t="shared" si="305"/>
        <v>0</v>
      </c>
      <c r="V515" s="3"/>
      <c r="W515" s="3">
        <f t="shared" si="306"/>
        <v>-53190</v>
      </c>
      <c r="X515" s="3"/>
      <c r="Y515" s="3">
        <v>-53190</v>
      </c>
      <c r="Z515" s="3">
        <f t="shared" si="307"/>
        <v>0</v>
      </c>
      <c r="AA515" s="3"/>
      <c r="AB515" s="3"/>
      <c r="AC515" s="3">
        <v>0</v>
      </c>
      <c r="AD515" s="3">
        <f t="shared" si="308"/>
        <v>-53190</v>
      </c>
      <c r="AE515" s="3">
        <v>-53190</v>
      </c>
      <c r="AF515" s="3">
        <f t="shared" si="309"/>
        <v>0</v>
      </c>
      <c r="AG515" s="3"/>
      <c r="AH515" s="3">
        <v>-56650</v>
      </c>
      <c r="AI515" s="3"/>
      <c r="AJ515" s="3">
        <f>AH515*1.03</f>
        <v>-58349.5</v>
      </c>
      <c r="AK515" s="3"/>
      <c r="AL515" s="3">
        <f>AJ515*1.03</f>
        <v>-60099.985000000001</v>
      </c>
      <c r="AM515" s="3"/>
      <c r="AN515" s="3">
        <f>AL515*1.03</f>
        <v>-61902.984550000001</v>
      </c>
      <c r="AO515" s="3"/>
      <c r="AP515" s="3">
        <f>AN515*1.03</f>
        <v>-63760.074086500004</v>
      </c>
      <c r="AQ515" s="42"/>
      <c r="AR515" s="3">
        <f>AP515*1.03</f>
        <v>-65672.876309095009</v>
      </c>
      <c r="AS515" s="42"/>
      <c r="AT515" s="3">
        <f>AR515*1.03</f>
        <v>-67643.062598367862</v>
      </c>
      <c r="AU515" s="42"/>
      <c r="AV515" s="3">
        <f>AT515*1.03</f>
        <v>-69672.354476318898</v>
      </c>
      <c r="AW515" s="3"/>
      <c r="AX515" s="3">
        <f>AV515*1.03</f>
        <v>-71762.525110608462</v>
      </c>
      <c r="AZ515" s="3">
        <f>AX515*1.0281</f>
        <v>-73779.052066216565</v>
      </c>
      <c r="BA515" s="42"/>
    </row>
    <row r="516" spans="1:53" x14ac:dyDescent="0.25">
      <c r="A516" s="3"/>
      <c r="B516" s="48">
        <f>SUM(B509:B515)</f>
        <v>70850</v>
      </c>
      <c r="C516" s="32"/>
      <c r="D516" s="48">
        <f>SUM(D509:D515)</f>
        <v>26983</v>
      </c>
      <c r="E516" s="48">
        <f>SUM(E509:E515)</f>
        <v>44367</v>
      </c>
      <c r="F516" s="48">
        <f>SUM(F509:F515)</f>
        <v>71350</v>
      </c>
      <c r="G516" s="32"/>
      <c r="H516" s="48">
        <f>SUM(H509:H515)</f>
        <v>500</v>
      </c>
      <c r="I516" s="36"/>
      <c r="J516" s="48">
        <f>SUM(J509:J515)</f>
        <v>47592</v>
      </c>
      <c r="K516" s="48">
        <f>SUM(K509:K515)</f>
        <v>21508</v>
      </c>
      <c r="L516" s="48">
        <f>SUM(L509:L515)</f>
        <v>69100</v>
      </c>
      <c r="M516" s="32"/>
      <c r="N516" s="48">
        <f>SUM(N509:N515)</f>
        <v>-2250</v>
      </c>
      <c r="P516" s="48">
        <f>SUM(P509:P515)</f>
        <v>137359.47499999998</v>
      </c>
      <c r="R516" s="48">
        <f t="shared" ref="R516:Z516" si="311">SUM(R509:R515)</f>
        <v>27314</v>
      </c>
      <c r="S516" s="48">
        <f t="shared" si="311"/>
        <v>110046</v>
      </c>
      <c r="T516" s="48">
        <f t="shared" si="311"/>
        <v>137360</v>
      </c>
      <c r="U516" s="48">
        <f t="shared" si="311"/>
        <v>0.52499999998553903</v>
      </c>
      <c r="V516" s="48">
        <f t="shared" si="311"/>
        <v>53297</v>
      </c>
      <c r="W516" s="48">
        <f t="shared" si="311"/>
        <v>83313</v>
      </c>
      <c r="X516" s="48"/>
      <c r="Y516" s="48">
        <f t="shared" si="311"/>
        <v>136610</v>
      </c>
      <c r="Z516" s="48">
        <f t="shared" si="311"/>
        <v>-750</v>
      </c>
      <c r="AC516" s="48">
        <f>SUM(AC509:AC515)</f>
        <v>89446</v>
      </c>
      <c r="AD516" s="48">
        <f>SUM(AD509:AD515)</f>
        <v>52864</v>
      </c>
      <c r="AE516" s="48">
        <f>SUM(AE509:AE515)</f>
        <v>142310</v>
      </c>
      <c r="AF516" s="48">
        <f>SUM(AF509:AF515)</f>
        <v>5700</v>
      </c>
      <c r="AH516" s="48">
        <f>SUM(AH509:AH515)</f>
        <v>182850</v>
      </c>
      <c r="AJ516" s="48">
        <f>SUM(AJ509:AJ515)</f>
        <v>169257.5</v>
      </c>
      <c r="AL516" s="48">
        <f>SUM(AL509:AL515)</f>
        <v>149561.28080000001</v>
      </c>
      <c r="AN516" s="48">
        <f>SUM(AN509:AN515)</f>
        <v>160459.10613798001</v>
      </c>
      <c r="AO516" s="48"/>
      <c r="AP516" s="48">
        <f>SUM(AP509:AP515)</f>
        <v>163953.65816262722</v>
      </c>
      <c r="AR516" s="48">
        <f>SUM(AR509:AR515)</f>
        <v>167547.69568149015</v>
      </c>
      <c r="AT516" s="48">
        <f>SUM(AT509:AT515)</f>
        <v>171244.05635723774</v>
      </c>
      <c r="AV516" s="48">
        <f>SUM(AV509:AV515)</f>
        <v>175045.65896700986</v>
      </c>
      <c r="AX516" s="48">
        <f>SUM(AX509:AX515)</f>
        <v>178955.50572667594</v>
      </c>
      <c r="AZ516" s="48">
        <f>SUM(AZ509:AZ515)</f>
        <v>183088.72416172083</v>
      </c>
    </row>
    <row r="517" spans="1:53" s="42" customFormat="1" x14ac:dyDescent="0.25">
      <c r="A517" s="7" t="s">
        <v>392</v>
      </c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4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R517" s="3"/>
      <c r="AT517" s="3"/>
      <c r="AV517" s="3"/>
      <c r="AX517" s="3"/>
      <c r="AZ517" s="3"/>
      <c r="BA517" s="6"/>
    </row>
    <row r="518" spans="1:53" x14ac:dyDescent="0.25">
      <c r="A518" s="3" t="s">
        <v>90</v>
      </c>
      <c r="B518" s="35">
        <v>1000</v>
      </c>
      <c r="C518" s="32"/>
      <c r="D518" s="35">
        <v>252</v>
      </c>
      <c r="E518" s="35">
        <f>F518-D518</f>
        <v>748</v>
      </c>
      <c r="F518" s="35">
        <v>1000</v>
      </c>
      <c r="G518" s="32"/>
      <c r="H518" s="35">
        <f>F518-B518</f>
        <v>0</v>
      </c>
      <c r="I518" s="36"/>
      <c r="J518" s="35">
        <v>252</v>
      </c>
      <c r="K518" s="35">
        <f>L518-J518</f>
        <v>748</v>
      </c>
      <c r="L518" s="35">
        <v>1000</v>
      </c>
      <c r="M518" s="32"/>
      <c r="N518" s="35">
        <f>L518-F518</f>
        <v>0</v>
      </c>
      <c r="P518" s="35">
        <v>1030</v>
      </c>
      <c r="R518" s="35">
        <v>0</v>
      </c>
      <c r="S518" s="70">
        <f>T518-R518</f>
        <v>1030</v>
      </c>
      <c r="T518" s="71">
        <v>1030</v>
      </c>
      <c r="U518" s="70">
        <f>T518-P518</f>
        <v>0</v>
      </c>
      <c r="V518" s="35">
        <v>0</v>
      </c>
      <c r="W518" s="70">
        <f>Y518-V518</f>
        <v>0</v>
      </c>
      <c r="X518" s="70"/>
      <c r="Y518" s="71">
        <v>0</v>
      </c>
      <c r="Z518" s="70">
        <f>Y518-T518</f>
        <v>-1030</v>
      </c>
      <c r="AC518" s="71">
        <v>0</v>
      </c>
      <c r="AD518" s="71">
        <f>AE518-AC518</f>
        <v>0</v>
      </c>
      <c r="AE518" s="71">
        <v>0</v>
      </c>
      <c r="AF518" s="71">
        <f>AE518-Y518</f>
        <v>0</v>
      </c>
      <c r="AH518" s="35">
        <f>R518*1.0281</f>
        <v>0</v>
      </c>
      <c r="AJ518" s="35">
        <f>AH518*1.0281</f>
        <v>0</v>
      </c>
      <c r="AL518" s="35">
        <f>AJ518*1.0281</f>
        <v>0</v>
      </c>
      <c r="AN518" s="35">
        <f>AL518*1.0281</f>
        <v>0</v>
      </c>
      <c r="AO518" s="35"/>
      <c r="AP518" s="35">
        <f>AN518*1.0281</f>
        <v>0</v>
      </c>
      <c r="AR518" s="35">
        <f>AP518*1.0281</f>
        <v>0</v>
      </c>
      <c r="AT518" s="35">
        <f>AR518*1.0281</f>
        <v>0</v>
      </c>
      <c r="AV518" s="35">
        <f>AT518*1.0281</f>
        <v>0</v>
      </c>
      <c r="AX518" s="35">
        <f>AV518*1.0281</f>
        <v>0</v>
      </c>
      <c r="AZ518" s="35">
        <f>AX518*1.0281</f>
        <v>0</v>
      </c>
    </row>
    <row r="519" spans="1:53" x14ac:dyDescent="0.25">
      <c r="A519" s="7" t="s">
        <v>393</v>
      </c>
    </row>
    <row r="520" spans="1:53" x14ac:dyDescent="0.25">
      <c r="A520" s="3" t="s">
        <v>394</v>
      </c>
      <c r="B520" s="3">
        <v>2200</v>
      </c>
      <c r="D520" s="3">
        <v>2100</v>
      </c>
      <c r="E520" s="3">
        <f t="shared" ref="E520:E525" si="312">F520-D520</f>
        <v>0</v>
      </c>
      <c r="F520" s="5">
        <v>2100</v>
      </c>
      <c r="H520" s="5">
        <f t="shared" ref="H520:H525" si="313">F520-B520</f>
        <v>-100</v>
      </c>
      <c r="J520" s="5">
        <v>2100</v>
      </c>
      <c r="K520" s="4">
        <f t="shared" ref="K520:K525" si="314">L520-J520</f>
        <v>0</v>
      </c>
      <c r="L520" s="4">
        <v>2100</v>
      </c>
      <c r="N520" s="4">
        <f t="shared" ref="N520:N525" si="315">L520-F520</f>
        <v>0</v>
      </c>
      <c r="P520" s="3">
        <f>L520*1.0281+41</f>
        <v>2200.0100000000002</v>
      </c>
      <c r="Q520" s="3"/>
      <c r="R520" s="3">
        <v>2100</v>
      </c>
      <c r="S520" s="3">
        <f t="shared" ref="S520:S525" si="316">T520-R520</f>
        <v>0</v>
      </c>
      <c r="T520" s="3">
        <v>2100</v>
      </c>
      <c r="U520" s="3">
        <f t="shared" ref="U520:U525" si="317">T520-P520</f>
        <v>-100.01000000000022</v>
      </c>
      <c r="V520" s="3">
        <v>2100</v>
      </c>
      <c r="W520" s="3">
        <f t="shared" ref="W520:W525" si="318">Y520-V520</f>
        <v>0</v>
      </c>
      <c r="X520" s="3"/>
      <c r="Y520" s="3">
        <v>2100</v>
      </c>
      <c r="Z520" s="3">
        <f t="shared" ref="Z520:Z525" si="319">Y520-T520</f>
        <v>0</v>
      </c>
      <c r="AA520" s="3"/>
      <c r="AB520" s="3"/>
      <c r="AC520" s="3">
        <v>2300</v>
      </c>
      <c r="AD520" s="3">
        <f t="shared" ref="AD520:AD525" si="320">AE520-AC520</f>
        <v>0</v>
      </c>
      <c r="AE520" s="3">
        <v>2300</v>
      </c>
      <c r="AF520" s="3">
        <f t="shared" ref="AF520:AF525" si="321">AE520-Y520</f>
        <v>200</v>
      </c>
      <c r="AG520" s="3"/>
      <c r="AH520" s="3">
        <f>AE520*1.03+31</f>
        <v>2400</v>
      </c>
      <c r="AI520" s="3"/>
      <c r="AJ520" s="3">
        <f>AH520*1.03</f>
        <v>2472</v>
      </c>
      <c r="AK520" s="3"/>
      <c r="AL520" s="3">
        <f t="shared" ref="AL520:AZ521" si="322">AJ520*1.03</f>
        <v>2546.16</v>
      </c>
      <c r="AM520" s="3">
        <f t="shared" si="322"/>
        <v>0</v>
      </c>
      <c r="AN520" s="3">
        <f t="shared" si="322"/>
        <v>2622.5448000000001</v>
      </c>
      <c r="AO520" s="3">
        <f t="shared" si="322"/>
        <v>0</v>
      </c>
      <c r="AP520" s="3">
        <f t="shared" si="322"/>
        <v>2701.2211440000001</v>
      </c>
      <c r="AQ520" s="3"/>
      <c r="AR520" s="3">
        <f t="shared" si="322"/>
        <v>2782.2577783199999</v>
      </c>
      <c r="AS520" s="3">
        <f t="shared" si="322"/>
        <v>0</v>
      </c>
      <c r="AT520" s="3">
        <f t="shared" si="322"/>
        <v>2865.7255116696001</v>
      </c>
      <c r="AU520" s="3">
        <f t="shared" si="322"/>
        <v>0</v>
      </c>
      <c r="AV520" s="3">
        <f t="shared" si="322"/>
        <v>2951.697277019688</v>
      </c>
      <c r="AW520" s="3">
        <f t="shared" si="322"/>
        <v>0</v>
      </c>
      <c r="AX520" s="3">
        <f t="shared" si="322"/>
        <v>3040.2481953302786</v>
      </c>
      <c r="AY520" s="3">
        <f t="shared" si="322"/>
        <v>0</v>
      </c>
      <c r="AZ520" s="3">
        <f t="shared" si="322"/>
        <v>3131.4556411901872</v>
      </c>
    </row>
    <row r="521" spans="1:53" x14ac:dyDescent="0.25">
      <c r="A521" s="3" t="s">
        <v>395</v>
      </c>
      <c r="B521" s="3">
        <v>70000</v>
      </c>
      <c r="D521" s="3">
        <v>12516</v>
      </c>
      <c r="E521" s="3">
        <f t="shared" si="312"/>
        <v>57484</v>
      </c>
      <c r="F521" s="5">
        <v>70000</v>
      </c>
      <c r="H521" s="5">
        <f t="shared" si="313"/>
        <v>0</v>
      </c>
      <c r="J521" s="5">
        <v>29773</v>
      </c>
      <c r="K521" s="4">
        <f t="shared" si="314"/>
        <v>40227</v>
      </c>
      <c r="L521" s="4">
        <v>70000</v>
      </c>
      <c r="N521" s="4">
        <f t="shared" si="315"/>
        <v>0</v>
      </c>
      <c r="P521" s="3">
        <f>L521*1.0275+25</f>
        <v>71950</v>
      </c>
      <c r="Q521" s="3"/>
      <c r="R521" s="3">
        <v>8656</v>
      </c>
      <c r="S521" s="3">
        <f t="shared" si="316"/>
        <v>63294</v>
      </c>
      <c r="T521" s="3">
        <v>71950</v>
      </c>
      <c r="U521" s="3">
        <f t="shared" si="317"/>
        <v>0</v>
      </c>
      <c r="V521" s="3">
        <v>24408</v>
      </c>
      <c r="W521" s="3">
        <f t="shared" si="318"/>
        <v>49542</v>
      </c>
      <c r="X521" s="3"/>
      <c r="Y521" s="3">
        <v>73950</v>
      </c>
      <c r="Z521" s="3">
        <f t="shared" si="319"/>
        <v>2000</v>
      </c>
      <c r="AA521" s="3"/>
      <c r="AB521" s="3"/>
      <c r="AC521" s="3">
        <v>43719</v>
      </c>
      <c r="AD521" s="3">
        <f t="shared" si="320"/>
        <v>28281</v>
      </c>
      <c r="AE521" s="3">
        <v>72000</v>
      </c>
      <c r="AF521" s="3">
        <f t="shared" si="321"/>
        <v>-1950</v>
      </c>
      <c r="AG521" s="3"/>
      <c r="AH521" s="3">
        <v>75000</v>
      </c>
      <c r="AI521" s="3"/>
      <c r="AJ521" s="3">
        <f>AH521*1.03</f>
        <v>77250</v>
      </c>
      <c r="AK521" s="3"/>
      <c r="AL521" s="3">
        <f t="shared" si="322"/>
        <v>79567.5</v>
      </c>
      <c r="AM521" s="3">
        <f t="shared" si="322"/>
        <v>0</v>
      </c>
      <c r="AN521" s="3">
        <f t="shared" si="322"/>
        <v>81954.525000000009</v>
      </c>
      <c r="AO521" s="3">
        <f t="shared" si="322"/>
        <v>0</v>
      </c>
      <c r="AP521" s="3">
        <f t="shared" si="322"/>
        <v>84413.16075000001</v>
      </c>
      <c r="AQ521" s="3"/>
      <c r="AR521" s="3">
        <f t="shared" si="322"/>
        <v>86945.555572500016</v>
      </c>
      <c r="AS521" s="3">
        <f t="shared" si="322"/>
        <v>0</v>
      </c>
      <c r="AT521" s="3">
        <f t="shared" si="322"/>
        <v>89553.922239675012</v>
      </c>
      <c r="AU521" s="3">
        <f t="shared" si="322"/>
        <v>0</v>
      </c>
      <c r="AV521" s="3">
        <f t="shared" si="322"/>
        <v>92240.539906865262</v>
      </c>
      <c r="AW521" s="3">
        <f t="shared" si="322"/>
        <v>0</v>
      </c>
      <c r="AX521" s="3">
        <f t="shared" si="322"/>
        <v>95007.756104071217</v>
      </c>
      <c r="AY521" s="3">
        <f t="shared" si="322"/>
        <v>0</v>
      </c>
      <c r="AZ521" s="3">
        <f t="shared" si="322"/>
        <v>97857.988787193361</v>
      </c>
    </row>
    <row r="522" spans="1:53" x14ac:dyDescent="0.25">
      <c r="A522" s="3" t="s">
        <v>396</v>
      </c>
      <c r="B522" s="3">
        <v>27000</v>
      </c>
      <c r="D522" s="3">
        <v>6324</v>
      </c>
      <c r="E522" s="3">
        <f t="shared" si="312"/>
        <v>20676</v>
      </c>
      <c r="F522" s="5">
        <v>27000</v>
      </c>
      <c r="H522" s="5">
        <f t="shared" si="313"/>
        <v>0</v>
      </c>
      <c r="J522" s="5">
        <v>17392</v>
      </c>
      <c r="K522" s="4">
        <f t="shared" si="314"/>
        <v>16608</v>
      </c>
      <c r="L522" s="4">
        <v>34000</v>
      </c>
      <c r="N522" s="4">
        <f t="shared" si="315"/>
        <v>7000</v>
      </c>
      <c r="P522" s="3">
        <f>L522*1.0325-5</f>
        <v>35100</v>
      </c>
      <c r="Q522" s="3"/>
      <c r="R522" s="3">
        <v>5774</v>
      </c>
      <c r="S522" s="3">
        <f t="shared" si="316"/>
        <v>29326</v>
      </c>
      <c r="T522" s="3">
        <v>35100</v>
      </c>
      <c r="U522" s="3">
        <f t="shared" si="317"/>
        <v>0</v>
      </c>
      <c r="V522" s="3">
        <v>10046</v>
      </c>
      <c r="W522" s="3">
        <f t="shared" si="318"/>
        <v>23054</v>
      </c>
      <c r="X522" s="3"/>
      <c r="Y522" s="3">
        <v>33100</v>
      </c>
      <c r="Z522" s="3">
        <f t="shared" si="319"/>
        <v>-2000</v>
      </c>
      <c r="AA522" s="3"/>
      <c r="AB522" s="3"/>
      <c r="AC522" s="3">
        <v>15127</v>
      </c>
      <c r="AD522" s="3">
        <f t="shared" si="320"/>
        <v>12373</v>
      </c>
      <c r="AE522" s="3">
        <v>27500</v>
      </c>
      <c r="AF522" s="3">
        <f t="shared" si="321"/>
        <v>-5600</v>
      </c>
      <c r="AG522" s="3"/>
      <c r="AH522" s="3">
        <f>AE522*1.0325+6-400</f>
        <v>27999.75</v>
      </c>
      <c r="AI522" s="3"/>
      <c r="AJ522" s="3">
        <f>AH522*1.0325</f>
        <v>28909.741875</v>
      </c>
      <c r="AK522" s="3"/>
      <c r="AL522" s="3">
        <f t="shared" ref="AL522:AZ522" si="323">AJ522*1.0325</f>
        <v>29849.308485937498</v>
      </c>
      <c r="AM522" s="3">
        <f t="shared" si="323"/>
        <v>0</v>
      </c>
      <c r="AN522" s="3">
        <f t="shared" si="323"/>
        <v>30819.411011730466</v>
      </c>
      <c r="AO522" s="3">
        <f t="shared" si="323"/>
        <v>0</v>
      </c>
      <c r="AP522" s="3">
        <f t="shared" si="323"/>
        <v>31821.041869611705</v>
      </c>
      <c r="AQ522" s="3"/>
      <c r="AR522" s="3">
        <f t="shared" si="323"/>
        <v>32855.225730374084</v>
      </c>
      <c r="AS522" s="3">
        <f t="shared" si="323"/>
        <v>0</v>
      </c>
      <c r="AT522" s="3">
        <f t="shared" si="323"/>
        <v>33923.020566611238</v>
      </c>
      <c r="AU522" s="3">
        <f t="shared" si="323"/>
        <v>0</v>
      </c>
      <c r="AV522" s="3">
        <f t="shared" si="323"/>
        <v>35025.518735026104</v>
      </c>
      <c r="AW522" s="3">
        <f t="shared" si="323"/>
        <v>0</v>
      </c>
      <c r="AX522" s="3">
        <f t="shared" si="323"/>
        <v>36163.84809391445</v>
      </c>
      <c r="AY522" s="3">
        <f t="shared" si="323"/>
        <v>0</v>
      </c>
      <c r="AZ522" s="3">
        <f t="shared" si="323"/>
        <v>37339.173156966666</v>
      </c>
    </row>
    <row r="523" spans="1:53" x14ac:dyDescent="0.25">
      <c r="A523" s="3" t="s">
        <v>397</v>
      </c>
      <c r="B523" s="3">
        <v>3050</v>
      </c>
      <c r="D523" s="3">
        <v>0</v>
      </c>
      <c r="E523" s="3">
        <f t="shared" si="312"/>
        <v>3050</v>
      </c>
      <c r="F523" s="5">
        <v>3050</v>
      </c>
      <c r="H523" s="5">
        <f t="shared" si="313"/>
        <v>0</v>
      </c>
      <c r="J523" s="5">
        <v>0</v>
      </c>
      <c r="K523" s="4">
        <f t="shared" si="314"/>
        <v>3050</v>
      </c>
      <c r="L523" s="4">
        <v>3050</v>
      </c>
      <c r="N523" s="4">
        <f t="shared" si="315"/>
        <v>0</v>
      </c>
      <c r="P523" s="3">
        <v>3140</v>
      </c>
      <c r="Q523" s="3"/>
      <c r="R523" s="3">
        <v>0</v>
      </c>
      <c r="S523" s="3">
        <f t="shared" si="316"/>
        <v>3140</v>
      </c>
      <c r="T523" s="3">
        <v>3140</v>
      </c>
      <c r="U523" s="3">
        <f t="shared" si="317"/>
        <v>0</v>
      </c>
      <c r="V523" s="3">
        <v>0</v>
      </c>
      <c r="W523" s="3">
        <f t="shared" si="318"/>
        <v>3140</v>
      </c>
      <c r="X523" s="3"/>
      <c r="Y523" s="3">
        <v>3140</v>
      </c>
      <c r="Z523" s="3">
        <f t="shared" si="319"/>
        <v>0</v>
      </c>
      <c r="AA523" s="3"/>
      <c r="AB523" s="3"/>
      <c r="AC523" s="3">
        <v>0</v>
      </c>
      <c r="AD523" s="3">
        <f t="shared" si="320"/>
        <v>3140</v>
      </c>
      <c r="AE523" s="3">
        <v>3140</v>
      </c>
      <c r="AF523" s="3">
        <f t="shared" si="321"/>
        <v>0</v>
      </c>
      <c r="AG523" s="3"/>
      <c r="AH523" s="3">
        <f>3235+15</f>
        <v>3250</v>
      </c>
      <c r="AI523" s="3"/>
      <c r="AJ523" s="3">
        <v>3332</v>
      </c>
      <c r="AK523" s="3"/>
      <c r="AL523" s="3">
        <v>3332</v>
      </c>
      <c r="AM523" s="3">
        <v>3332</v>
      </c>
      <c r="AN523" s="3">
        <v>3332</v>
      </c>
      <c r="AO523" s="3">
        <v>3332</v>
      </c>
      <c r="AP523" s="3">
        <v>3332</v>
      </c>
      <c r="AQ523" s="3"/>
      <c r="AR523" s="3">
        <v>3332</v>
      </c>
      <c r="AS523" s="3">
        <v>3332</v>
      </c>
      <c r="AT523" s="3">
        <v>3332</v>
      </c>
      <c r="AU523" s="3">
        <v>3332</v>
      </c>
      <c r="AV523" s="3">
        <v>3332</v>
      </c>
      <c r="AW523" s="3">
        <v>3332</v>
      </c>
      <c r="AX523" s="3">
        <v>3332</v>
      </c>
      <c r="AY523" s="3">
        <v>3332</v>
      </c>
      <c r="AZ523" s="3">
        <v>3332</v>
      </c>
    </row>
    <row r="524" spans="1:53" x14ac:dyDescent="0.25">
      <c r="A524" s="3" t="s">
        <v>398</v>
      </c>
      <c r="B524" s="3">
        <v>4500</v>
      </c>
      <c r="D524" s="3">
        <v>0</v>
      </c>
      <c r="E524" s="3">
        <f t="shared" si="312"/>
        <v>4500</v>
      </c>
      <c r="F524" s="5">
        <v>4500</v>
      </c>
      <c r="H524" s="5">
        <f t="shared" si="313"/>
        <v>0</v>
      </c>
      <c r="K524" s="4">
        <f t="shared" si="314"/>
        <v>5000</v>
      </c>
      <c r="L524" s="4">
        <v>5000</v>
      </c>
      <c r="N524" s="4">
        <f t="shared" si="315"/>
        <v>500</v>
      </c>
      <c r="P524" s="3">
        <f>L524*1.0281+59</f>
        <v>5199.5</v>
      </c>
      <c r="Q524" s="3"/>
      <c r="R524" s="3">
        <v>0</v>
      </c>
      <c r="S524" s="3">
        <f t="shared" si="316"/>
        <v>5200</v>
      </c>
      <c r="T524" s="3">
        <v>5200</v>
      </c>
      <c r="U524" s="3">
        <f t="shared" si="317"/>
        <v>0.5</v>
      </c>
      <c r="V524" s="3">
        <v>0</v>
      </c>
      <c r="W524" s="3">
        <f t="shared" si="318"/>
        <v>5200</v>
      </c>
      <c r="X524" s="3"/>
      <c r="Y524" s="3">
        <v>5200</v>
      </c>
      <c r="Z524" s="3">
        <f t="shared" si="319"/>
        <v>0</v>
      </c>
      <c r="AA524" s="3"/>
      <c r="AB524" s="3"/>
      <c r="AC524" s="3">
        <v>6185</v>
      </c>
      <c r="AD524" s="3">
        <f t="shared" si="320"/>
        <v>815</v>
      </c>
      <c r="AE524" s="3">
        <v>7000</v>
      </c>
      <c r="AF524" s="3">
        <f t="shared" si="321"/>
        <v>1800</v>
      </c>
      <c r="AG524" s="3"/>
      <c r="AH524" s="3">
        <f>AE524*1.03-10</f>
        <v>7200</v>
      </c>
      <c r="AI524" s="3"/>
      <c r="AJ524" s="3">
        <f>AH524*1.03</f>
        <v>7416</v>
      </c>
      <c r="AK524" s="3"/>
      <c r="AL524" s="3">
        <f t="shared" ref="AL524:AZ525" si="324">AJ524*1.03</f>
        <v>7638.4800000000005</v>
      </c>
      <c r="AM524" s="3">
        <f t="shared" si="324"/>
        <v>0</v>
      </c>
      <c r="AN524" s="3">
        <f t="shared" si="324"/>
        <v>7867.6344000000008</v>
      </c>
      <c r="AO524" s="3">
        <f t="shared" si="324"/>
        <v>0</v>
      </c>
      <c r="AP524" s="3">
        <f t="shared" si="324"/>
        <v>8103.6634320000012</v>
      </c>
      <c r="AQ524" s="3"/>
      <c r="AR524" s="3">
        <f t="shared" si="324"/>
        <v>8346.7733349600021</v>
      </c>
      <c r="AS524" s="3">
        <f t="shared" si="324"/>
        <v>0</v>
      </c>
      <c r="AT524" s="3">
        <f t="shared" si="324"/>
        <v>8597.1765350088026</v>
      </c>
      <c r="AU524" s="3">
        <f t="shared" si="324"/>
        <v>0</v>
      </c>
      <c r="AV524" s="3">
        <f t="shared" si="324"/>
        <v>8855.0918310590678</v>
      </c>
      <c r="AW524" s="3">
        <f t="shared" si="324"/>
        <v>0</v>
      </c>
      <c r="AX524" s="3">
        <f t="shared" si="324"/>
        <v>9120.7445859908403</v>
      </c>
      <c r="AY524" s="3">
        <f t="shared" si="324"/>
        <v>0</v>
      </c>
      <c r="AZ524" s="3">
        <f t="shared" si="324"/>
        <v>9394.3669235705656</v>
      </c>
    </row>
    <row r="525" spans="1:53" x14ac:dyDescent="0.25">
      <c r="A525" s="3" t="s">
        <v>399</v>
      </c>
      <c r="B525" s="3">
        <v>6000</v>
      </c>
      <c r="D525" s="3">
        <v>1525</v>
      </c>
      <c r="E525" s="3">
        <f t="shared" si="312"/>
        <v>3475</v>
      </c>
      <c r="F525" s="5">
        <v>5000</v>
      </c>
      <c r="H525" s="5">
        <f t="shared" si="313"/>
        <v>-1000</v>
      </c>
      <c r="J525" s="5">
        <v>2877</v>
      </c>
      <c r="K525" s="4">
        <f t="shared" si="314"/>
        <v>2123</v>
      </c>
      <c r="L525" s="4">
        <v>5000</v>
      </c>
      <c r="N525" s="4">
        <f t="shared" si="315"/>
        <v>0</v>
      </c>
      <c r="P525" s="3">
        <f>L525*1.0281+59</f>
        <v>5199.5</v>
      </c>
      <c r="Q525" s="3"/>
      <c r="R525" s="3">
        <v>408</v>
      </c>
      <c r="S525" s="3">
        <f t="shared" si="316"/>
        <v>4792</v>
      </c>
      <c r="T525" s="3">
        <v>5200</v>
      </c>
      <c r="U525" s="3">
        <f t="shared" si="317"/>
        <v>0.5</v>
      </c>
      <c r="V525" s="3">
        <v>1237</v>
      </c>
      <c r="W525" s="3">
        <f t="shared" si="318"/>
        <v>3963</v>
      </c>
      <c r="X525" s="3"/>
      <c r="Y525" s="3">
        <v>5200</v>
      </c>
      <c r="Z525" s="3">
        <f t="shared" si="319"/>
        <v>0</v>
      </c>
      <c r="AA525" s="3"/>
      <c r="AB525" s="3"/>
      <c r="AC525" s="3">
        <v>3685</v>
      </c>
      <c r="AD525" s="3">
        <f t="shared" si="320"/>
        <v>1815</v>
      </c>
      <c r="AE525" s="3">
        <v>5500</v>
      </c>
      <c r="AF525" s="3">
        <f t="shared" si="321"/>
        <v>300</v>
      </c>
      <c r="AG525" s="3"/>
      <c r="AH525" s="3">
        <f>AE525*1.03+35</f>
        <v>5700</v>
      </c>
      <c r="AI525" s="3"/>
      <c r="AJ525" s="3">
        <f>AH525*1.03</f>
        <v>5871</v>
      </c>
      <c r="AK525" s="3"/>
      <c r="AL525" s="3">
        <f t="shared" si="324"/>
        <v>6047.13</v>
      </c>
      <c r="AM525" s="3">
        <f t="shared" si="324"/>
        <v>0</v>
      </c>
      <c r="AN525" s="3">
        <f t="shared" si="324"/>
        <v>6228.5439000000006</v>
      </c>
      <c r="AO525" s="3">
        <f t="shared" si="324"/>
        <v>0</v>
      </c>
      <c r="AP525" s="3">
        <f t="shared" si="324"/>
        <v>6415.4002170000003</v>
      </c>
      <c r="AQ525" s="3"/>
      <c r="AR525" s="3">
        <f t="shared" si="324"/>
        <v>6607.8622235100001</v>
      </c>
      <c r="AS525" s="3">
        <f t="shared" si="324"/>
        <v>0</v>
      </c>
      <c r="AT525" s="3">
        <f t="shared" si="324"/>
        <v>6806.0980902153005</v>
      </c>
      <c r="AU525" s="3">
        <f t="shared" si="324"/>
        <v>0</v>
      </c>
      <c r="AV525" s="3">
        <f t="shared" si="324"/>
        <v>7010.28103292176</v>
      </c>
      <c r="AW525" s="3">
        <f t="shared" si="324"/>
        <v>0</v>
      </c>
      <c r="AX525" s="3">
        <f t="shared" si="324"/>
        <v>7220.5894639094131</v>
      </c>
      <c r="AY525" s="3">
        <f t="shared" si="324"/>
        <v>0</v>
      </c>
      <c r="AZ525" s="3">
        <f t="shared" si="324"/>
        <v>7437.2071478266953</v>
      </c>
    </row>
    <row r="526" spans="1:53" x14ac:dyDescent="0.25">
      <c r="A526" s="3"/>
      <c r="B526" s="48">
        <f>SUM(B520:B525)</f>
        <v>112750</v>
      </c>
      <c r="C526" s="32"/>
      <c r="D526" s="48">
        <f>SUM(D520:D525)</f>
        <v>22465</v>
      </c>
      <c r="E526" s="48">
        <f>SUM(E520:E525)</f>
        <v>89185</v>
      </c>
      <c r="F526" s="48">
        <f>SUM(F520:F525)</f>
        <v>111650</v>
      </c>
      <c r="G526" s="32"/>
      <c r="H526" s="48">
        <f>SUM(H520:H525)</f>
        <v>-1100</v>
      </c>
      <c r="I526" s="36"/>
      <c r="J526" s="48">
        <f>SUM(J520:J525)</f>
        <v>52142</v>
      </c>
      <c r="K526" s="48">
        <f>SUM(K520:K525)</f>
        <v>67008</v>
      </c>
      <c r="L526" s="48">
        <f>SUM(L520:L525)</f>
        <v>119150</v>
      </c>
      <c r="M526" s="32"/>
      <c r="N526" s="48">
        <f>SUM(N520:N525)</f>
        <v>7500</v>
      </c>
      <c r="P526" s="48">
        <f>SUM(P520:P525)</f>
        <v>122789.01</v>
      </c>
      <c r="R526" s="48">
        <f t="shared" ref="R526:Z526" si="325">SUM(R520:R525)</f>
        <v>16938</v>
      </c>
      <c r="S526" s="48">
        <f t="shared" si="325"/>
        <v>105752</v>
      </c>
      <c r="T526" s="48">
        <f t="shared" si="325"/>
        <v>122690</v>
      </c>
      <c r="U526" s="48">
        <f t="shared" si="325"/>
        <v>-99.010000000000218</v>
      </c>
      <c r="V526" s="48">
        <f t="shared" si="325"/>
        <v>37791</v>
      </c>
      <c r="W526" s="48">
        <f t="shared" si="325"/>
        <v>84899</v>
      </c>
      <c r="X526" s="48"/>
      <c r="Y526" s="48">
        <f t="shared" si="325"/>
        <v>122690</v>
      </c>
      <c r="Z526" s="48">
        <f t="shared" si="325"/>
        <v>0</v>
      </c>
      <c r="AC526" s="48">
        <f>SUM(AC520:AC525)</f>
        <v>71016</v>
      </c>
      <c r="AD526" s="48">
        <f>SUM(AD520:AD525)</f>
        <v>46424</v>
      </c>
      <c r="AE526" s="48">
        <f>SUM(AE520:AE525)</f>
        <v>117440</v>
      </c>
      <c r="AF526" s="48">
        <f>SUM(AF520:AF525)</f>
        <v>-5250</v>
      </c>
      <c r="AH526" s="48">
        <f>SUM(AH520:AH525)</f>
        <v>121549.75</v>
      </c>
      <c r="AJ526" s="48">
        <f>SUM(AJ520:AJ525)</f>
        <v>125250.74187500001</v>
      </c>
      <c r="AL526" s="48">
        <f>SUM(AL520:AL525)</f>
        <v>128980.5784859375</v>
      </c>
      <c r="AN526" s="48">
        <f>SUM(AN520:AN525)</f>
        <v>132824.65911173046</v>
      </c>
      <c r="AO526" s="48"/>
      <c r="AP526" s="48">
        <f>SUM(AP520:AP525)</f>
        <v>136786.48741261169</v>
      </c>
      <c r="AR526" s="48">
        <f>SUM(AR520:AR525)</f>
        <v>140869.67463966407</v>
      </c>
      <c r="AT526" s="48">
        <f>SUM(AT520:AT525)</f>
        <v>145077.94294317995</v>
      </c>
      <c r="AV526" s="48">
        <f>SUM(AV520:AV525)</f>
        <v>149415.12878289187</v>
      </c>
      <c r="AX526" s="48">
        <f>SUM(AX520:AX525)</f>
        <v>153885.1864432162</v>
      </c>
      <c r="AZ526" s="48">
        <f>SUM(AZ520:AZ525)</f>
        <v>158492.19165674748</v>
      </c>
    </row>
    <row r="527" spans="1:53" x14ac:dyDescent="0.25">
      <c r="A527" s="7" t="s">
        <v>400</v>
      </c>
    </row>
    <row r="528" spans="1:53" x14ac:dyDescent="0.25">
      <c r="A528" s="3" t="s">
        <v>107</v>
      </c>
      <c r="B528" s="3">
        <v>200</v>
      </c>
      <c r="D528" s="3"/>
      <c r="E528" s="3">
        <f>F528-D528</f>
        <v>200</v>
      </c>
      <c r="F528" s="5">
        <v>200</v>
      </c>
      <c r="H528" s="5">
        <f>F528-B528</f>
        <v>0</v>
      </c>
      <c r="J528" s="5">
        <v>0</v>
      </c>
      <c r="K528" s="4">
        <f>L528-J528</f>
        <v>200</v>
      </c>
      <c r="L528" s="4">
        <v>200</v>
      </c>
      <c r="N528" s="4">
        <f>L528-F528</f>
        <v>0</v>
      </c>
      <c r="P528" s="3">
        <f>L528*1.0281-6</f>
        <v>199.62</v>
      </c>
      <c r="Q528" s="3"/>
      <c r="R528" s="3">
        <v>0</v>
      </c>
      <c r="S528" s="3">
        <f>T528-R528</f>
        <v>200</v>
      </c>
      <c r="T528" s="3">
        <v>200</v>
      </c>
      <c r="U528" s="3">
        <f>T528-P528</f>
        <v>0.37999999999999545</v>
      </c>
      <c r="V528" s="3"/>
      <c r="W528" s="3">
        <f>Y528-V528</f>
        <v>0</v>
      </c>
      <c r="X528" s="3"/>
      <c r="Y528" s="3">
        <v>0</v>
      </c>
      <c r="Z528" s="3">
        <f>Y528-T528</f>
        <v>-200</v>
      </c>
      <c r="AA528" s="3"/>
      <c r="AB528" s="3"/>
      <c r="AC528" s="3"/>
      <c r="AD528" s="3">
        <f>AE528-AC528</f>
        <v>200</v>
      </c>
      <c r="AE528" s="3">
        <v>200</v>
      </c>
      <c r="AF528" s="3">
        <f>AE528-Y528</f>
        <v>200</v>
      </c>
      <c r="AG528" s="3"/>
      <c r="AH528" s="3">
        <v>100</v>
      </c>
      <c r="AI528" s="3"/>
      <c r="AJ528" s="3">
        <f>AH528*1.03</f>
        <v>103</v>
      </c>
      <c r="AK528" s="3"/>
      <c r="AL528" s="3">
        <f>AJ528*1.03</f>
        <v>106.09</v>
      </c>
      <c r="AM528" s="3"/>
      <c r="AN528" s="3">
        <f>AL528*1.03</f>
        <v>109.2727</v>
      </c>
      <c r="AO528" s="3"/>
      <c r="AP528" s="3">
        <f>AN528*1.03</f>
        <v>112.550881</v>
      </c>
      <c r="AQ528" s="42"/>
      <c r="AR528" s="3">
        <f>AP528*1.03</f>
        <v>115.92740743</v>
      </c>
      <c r="AS528" s="42"/>
      <c r="AT528" s="3">
        <f>AR528*1.03</f>
        <v>119.4052296529</v>
      </c>
      <c r="AU528" s="42"/>
      <c r="AV528" s="3">
        <f>AT528*1.03</f>
        <v>122.987386542487</v>
      </c>
      <c r="AW528" s="42"/>
      <c r="AX528" s="3">
        <f>AV528*1.03</f>
        <v>126.67700813876162</v>
      </c>
      <c r="AZ528" s="3">
        <f>AX528*1.03</f>
        <v>130.47731838292447</v>
      </c>
      <c r="BA528" s="42"/>
    </row>
    <row r="529" spans="1:53" x14ac:dyDescent="0.25">
      <c r="A529" s="3" t="s">
        <v>401</v>
      </c>
      <c r="B529" s="3"/>
      <c r="D529" s="3"/>
      <c r="E529" s="3">
        <f>F529-D529</f>
        <v>0</v>
      </c>
      <c r="H529" s="5">
        <f>F529-B529</f>
        <v>0</v>
      </c>
      <c r="K529" s="4">
        <f>L529-J529</f>
        <v>0</v>
      </c>
      <c r="L529" s="4"/>
      <c r="N529" s="4">
        <f>L529-F529</f>
        <v>0</v>
      </c>
      <c r="P529" s="3"/>
      <c r="Q529" s="3"/>
      <c r="R529" s="3"/>
      <c r="S529" s="3"/>
      <c r="T529" s="3"/>
      <c r="U529" s="3"/>
      <c r="V529" s="3"/>
      <c r="W529" s="3">
        <f>Y529-V529</f>
        <v>0</v>
      </c>
      <c r="X529" s="3"/>
      <c r="Y529" s="3"/>
      <c r="Z529" s="3">
        <f>Y529-T529</f>
        <v>0</v>
      </c>
      <c r="AA529" s="3"/>
      <c r="AB529" s="3"/>
      <c r="AC529" s="3"/>
      <c r="AD529" s="3">
        <f>AE529-AC529</f>
        <v>0</v>
      </c>
      <c r="AE529" s="3"/>
      <c r="AF529" s="3">
        <f>AE529-Y529</f>
        <v>0</v>
      </c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42"/>
      <c r="AR529" s="3"/>
      <c r="AT529" s="3"/>
      <c r="AV529" s="3"/>
      <c r="AX529" s="3"/>
      <c r="AZ529" s="3"/>
    </row>
    <row r="530" spans="1:53" s="42" customFormat="1" x14ac:dyDescent="0.25">
      <c r="A530" s="3" t="s">
        <v>402</v>
      </c>
      <c r="B530" s="3">
        <v>0</v>
      </c>
      <c r="C530" s="3"/>
      <c r="D530" s="3"/>
      <c r="E530" s="3">
        <f>F530-D530</f>
        <v>0</v>
      </c>
      <c r="F530" s="5"/>
      <c r="G530" s="3"/>
      <c r="H530" s="5">
        <f>F530-B530</f>
        <v>0</v>
      </c>
      <c r="I530" s="5"/>
      <c r="J530" s="5"/>
      <c r="K530" s="4">
        <f>L530-J530</f>
        <v>0</v>
      </c>
      <c r="L530" s="4"/>
      <c r="M530" s="4"/>
      <c r="N530" s="4">
        <f>L530-F530</f>
        <v>0</v>
      </c>
      <c r="O530" s="3"/>
      <c r="P530" s="3"/>
      <c r="Q530" s="3"/>
      <c r="R530" s="3"/>
      <c r="S530" s="3"/>
      <c r="T530" s="3"/>
      <c r="U530" s="3"/>
      <c r="V530" s="3"/>
      <c r="W530" s="3">
        <f>Y530-V530</f>
        <v>0</v>
      </c>
      <c r="X530" s="3"/>
      <c r="Y530" s="3"/>
      <c r="Z530" s="3">
        <f>Y530-T530</f>
        <v>0</v>
      </c>
      <c r="AA530" s="3"/>
      <c r="AB530" s="3"/>
      <c r="AC530" s="3"/>
      <c r="AD530" s="3">
        <f>AE530-AC530</f>
        <v>0</v>
      </c>
      <c r="AE530" s="3"/>
      <c r="AF530" s="3">
        <f>AE530-Y530</f>
        <v>0</v>
      </c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R530" s="3"/>
      <c r="AT530" s="3"/>
      <c r="AV530" s="3"/>
      <c r="AX530" s="3"/>
      <c r="AZ530" s="3"/>
    </row>
    <row r="531" spans="1:53" x14ac:dyDescent="0.25">
      <c r="A531" s="3"/>
      <c r="B531" s="48">
        <f>SUM(B528:B530)</f>
        <v>200</v>
      </c>
      <c r="C531" s="32"/>
      <c r="D531" s="48">
        <f>SUM(D528:D530)</f>
        <v>0</v>
      </c>
      <c r="E531" s="48">
        <f>SUM(E528:E530)</f>
        <v>200</v>
      </c>
      <c r="F531" s="48">
        <f>SUM(F528:F530)</f>
        <v>200</v>
      </c>
      <c r="G531" s="32"/>
      <c r="H531" s="48">
        <f>SUM(H528:H530)</f>
        <v>0</v>
      </c>
      <c r="I531" s="36"/>
      <c r="J531" s="48">
        <f>SUM(J528:J530)</f>
        <v>0</v>
      </c>
      <c r="K531" s="48">
        <f>SUM(K528:K530)</f>
        <v>200</v>
      </c>
      <c r="L531" s="48">
        <f>SUM(L528:L530)</f>
        <v>200</v>
      </c>
      <c r="M531" s="32"/>
      <c r="N531" s="48">
        <f>SUM(N528:N530)</f>
        <v>0</v>
      </c>
      <c r="P531" s="48">
        <f>SUM(P528:P530)</f>
        <v>199.62</v>
      </c>
      <c r="R531" s="48">
        <f t="shared" ref="R531:Z531" si="326">SUM(R528:R530)</f>
        <v>0</v>
      </c>
      <c r="S531" s="48">
        <f t="shared" si="326"/>
        <v>200</v>
      </c>
      <c r="T531" s="48">
        <f t="shared" si="326"/>
        <v>200</v>
      </c>
      <c r="U531" s="48">
        <f t="shared" si="326"/>
        <v>0.37999999999999545</v>
      </c>
      <c r="V531" s="48">
        <f t="shared" si="326"/>
        <v>0</v>
      </c>
      <c r="W531" s="48">
        <f t="shared" si="326"/>
        <v>0</v>
      </c>
      <c r="X531" s="48"/>
      <c r="Y531" s="48">
        <f t="shared" si="326"/>
        <v>0</v>
      </c>
      <c r="Z531" s="48">
        <f t="shared" si="326"/>
        <v>-200</v>
      </c>
      <c r="AC531" s="48">
        <f>SUM(AC528:AC530)</f>
        <v>0</v>
      </c>
      <c r="AD531" s="48">
        <f>SUM(AD528:AD530)</f>
        <v>200</v>
      </c>
      <c r="AE531" s="48">
        <f>SUM(AE528:AE530)</f>
        <v>200</v>
      </c>
      <c r="AF531" s="48">
        <f>SUM(AF528:AF530)</f>
        <v>200</v>
      </c>
      <c r="AH531" s="48">
        <f>SUM(AH528:AH530)</f>
        <v>100</v>
      </c>
      <c r="AJ531" s="48">
        <f>SUM(AJ528:AJ530)</f>
        <v>103</v>
      </c>
      <c r="AL531" s="48">
        <f>SUM(AL528:AL530)</f>
        <v>106.09</v>
      </c>
      <c r="AN531" s="48">
        <f>SUM(AN528:AN530)</f>
        <v>109.2727</v>
      </c>
      <c r="AO531" s="48"/>
      <c r="AP531" s="48">
        <f>SUM(AP528:AP530)</f>
        <v>112.550881</v>
      </c>
      <c r="AR531" s="48">
        <f>SUM(AR528:AR530)</f>
        <v>115.92740743</v>
      </c>
      <c r="AT531" s="48">
        <f>SUM(AT528:AT530)</f>
        <v>119.4052296529</v>
      </c>
      <c r="AV531" s="48">
        <f>SUM(AV528:AV530)</f>
        <v>122.987386542487</v>
      </c>
      <c r="AX531" s="48">
        <f>SUM(AX528:AX530)</f>
        <v>126.67700813876162</v>
      </c>
      <c r="AZ531" s="48">
        <f>SUM(AZ528:AZ530)</f>
        <v>130.47731838292447</v>
      </c>
    </row>
    <row r="532" spans="1:53" s="42" customFormat="1" ht="15.75" thickBot="1" x14ac:dyDescent="0.3">
      <c r="A532" s="7" t="s">
        <v>249</v>
      </c>
      <c r="B532" s="43">
        <f>B526+B518+B516+B531-1</f>
        <v>184799</v>
      </c>
      <c r="C532" s="32"/>
      <c r="D532" s="43">
        <f>D526+D518+D516+D531-1</f>
        <v>49699</v>
      </c>
      <c r="E532" s="43">
        <f>E526+E518+E516+E531-1</f>
        <v>134499</v>
      </c>
      <c r="F532" s="43">
        <f>F526+F518+F516+F531-1</f>
        <v>184199</v>
      </c>
      <c r="G532" s="32"/>
      <c r="H532" s="43">
        <f>H526+H518+H516+H531-1</f>
        <v>-601</v>
      </c>
      <c r="I532" s="36"/>
      <c r="J532" s="43">
        <f>J526+J518+J516+J531-1</f>
        <v>99985</v>
      </c>
      <c r="K532" s="43">
        <f>K526+K518+K516+K531-1</f>
        <v>89463</v>
      </c>
      <c r="L532" s="43">
        <f>L526+L518+L516+L531-1</f>
        <v>189449</v>
      </c>
      <c r="M532" s="32"/>
      <c r="N532" s="43">
        <f>N526+N518+N516+N531-1</f>
        <v>5249</v>
      </c>
      <c r="O532" s="3"/>
      <c r="P532" s="43">
        <f>P526+P518+P516+P531-1</f>
        <v>261377.10499999998</v>
      </c>
      <c r="Q532" s="3"/>
      <c r="R532" s="43">
        <f t="shared" ref="R532:Z532" si="327">R526+R518+R516+R531-1</f>
        <v>44251</v>
      </c>
      <c r="S532" s="43">
        <f t="shared" si="327"/>
        <v>217027</v>
      </c>
      <c r="T532" s="43">
        <f t="shared" si="327"/>
        <v>261279</v>
      </c>
      <c r="U532" s="43">
        <f t="shared" si="327"/>
        <v>-99.105000000014684</v>
      </c>
      <c r="V532" s="43">
        <f t="shared" si="327"/>
        <v>91087</v>
      </c>
      <c r="W532" s="43">
        <f t="shared" si="327"/>
        <v>168211</v>
      </c>
      <c r="X532" s="43"/>
      <c r="Y532" s="43">
        <f t="shared" si="327"/>
        <v>259299</v>
      </c>
      <c r="Z532" s="43">
        <f t="shared" si="327"/>
        <v>-1981</v>
      </c>
      <c r="AA532" s="3"/>
      <c r="AB532" s="3"/>
      <c r="AC532" s="43">
        <f>AC526+AC518+AC516+AC531-1</f>
        <v>160461</v>
      </c>
      <c r="AD532" s="43">
        <f>AD526+AD518+AD516+AD531-1</f>
        <v>99487</v>
      </c>
      <c r="AE532" s="43">
        <f>AE526+AE518+AE516+AE531-1</f>
        <v>259949</v>
      </c>
      <c r="AF532" s="43">
        <f>AF526+AF518+AF516+AF531-1</f>
        <v>649</v>
      </c>
      <c r="AG532" s="3"/>
      <c r="AH532" s="44">
        <f>AH526+AH518+AH516+AH531</f>
        <v>304499.75</v>
      </c>
      <c r="AI532" s="3"/>
      <c r="AJ532" s="44">
        <f>AJ526+AJ518+AJ516+AJ531</f>
        <v>294611.24187500001</v>
      </c>
      <c r="AK532" s="3"/>
      <c r="AL532" s="44">
        <f>AL526+AL518+AL516+AL531</f>
        <v>278647.94928593753</v>
      </c>
      <c r="AM532" s="3"/>
      <c r="AN532" s="44">
        <f>AN526+AN518+AN516+AN531</f>
        <v>293393.03794971044</v>
      </c>
      <c r="AO532" s="44"/>
      <c r="AP532" s="44">
        <f>AP526+AP518+AP516+AP531</f>
        <v>300852.69645623892</v>
      </c>
      <c r="AR532" s="44">
        <f>AR526+AR518+AR516+AR531</f>
        <v>308533.29772858426</v>
      </c>
      <c r="AT532" s="44">
        <f>AT526+AT518+AT516+AT531</f>
        <v>316441.40453007061</v>
      </c>
      <c r="AV532" s="44">
        <f>AV526+AV518+AV516+AV531</f>
        <v>324583.77513644425</v>
      </c>
      <c r="AX532" s="44">
        <f>AX526+AX518+AX516+AX531</f>
        <v>332967.36917803087</v>
      </c>
      <c r="AZ532" s="44">
        <f>AZ526+AZ518+AZ516+AZ531</f>
        <v>341711.39313685126</v>
      </c>
      <c r="BA532" s="6"/>
    </row>
    <row r="533" spans="1:53" ht="15.75" thickTop="1" x14ac:dyDescent="0.25">
      <c r="A533" s="7" t="s">
        <v>403</v>
      </c>
    </row>
    <row r="534" spans="1:53" x14ac:dyDescent="0.25">
      <c r="A534" s="7" t="s">
        <v>404</v>
      </c>
    </row>
    <row r="535" spans="1:53" x14ac:dyDescent="0.25">
      <c r="A535" s="3" t="s">
        <v>110</v>
      </c>
      <c r="B535" s="3">
        <v>2500</v>
      </c>
      <c r="D535" s="3">
        <v>0</v>
      </c>
      <c r="E535" s="3">
        <f t="shared" ref="E535:E551" si="328">F535-D535</f>
        <v>2500</v>
      </c>
      <c r="F535" s="5">
        <v>2500</v>
      </c>
      <c r="H535" s="5">
        <f t="shared" ref="H535:H551" si="329">F535-B535</f>
        <v>0</v>
      </c>
      <c r="J535" s="5">
        <v>0</v>
      </c>
      <c r="K535" s="4">
        <f t="shared" ref="K535:K551" si="330">L535-J535</f>
        <v>2500</v>
      </c>
      <c r="L535" s="4">
        <v>2500</v>
      </c>
      <c r="N535" s="4">
        <f t="shared" ref="N535:N551" si="331">L535-F535</f>
        <v>0</v>
      </c>
      <c r="P535" s="3">
        <v>2500</v>
      </c>
      <c r="Q535" s="3"/>
      <c r="R535" s="3"/>
      <c r="S535" s="3">
        <f t="shared" ref="S535:S551" si="332">T535-R535</f>
        <v>2500</v>
      </c>
      <c r="T535" s="3">
        <v>2500</v>
      </c>
      <c r="U535" s="3">
        <f t="shared" ref="U535:U551" si="333">T535-P535</f>
        <v>0</v>
      </c>
      <c r="V535" s="3"/>
      <c r="W535" s="3">
        <f t="shared" ref="W535:W551" si="334">Y535-V535</f>
        <v>2500</v>
      </c>
      <c r="X535" s="3"/>
      <c r="Y535" s="3">
        <v>2500</v>
      </c>
      <c r="Z535" s="3">
        <f t="shared" ref="Z535:Z551" si="335">Y535-T535</f>
        <v>0</v>
      </c>
      <c r="AA535" s="3"/>
      <c r="AB535" s="3"/>
      <c r="AC535" s="3">
        <v>7638</v>
      </c>
      <c r="AD535" s="3">
        <f t="shared" ref="AD535:AD551" si="336">AE535-AC535</f>
        <v>1362</v>
      </c>
      <c r="AE535" s="3">
        <v>9000</v>
      </c>
      <c r="AF535" s="3">
        <f t="shared" ref="AF535:AF551" si="337">AE535-Y535</f>
        <v>6500</v>
      </c>
      <c r="AG535" s="3"/>
      <c r="AH535" s="3">
        <v>2500</v>
      </c>
      <c r="AI535" s="3"/>
      <c r="AJ535" s="3">
        <v>2500</v>
      </c>
      <c r="AK535" s="3"/>
      <c r="AL535" s="3">
        <v>2500</v>
      </c>
      <c r="AM535" s="3"/>
      <c r="AN535" s="3">
        <v>2500</v>
      </c>
      <c r="AO535" s="3"/>
      <c r="AP535" s="3">
        <v>2500</v>
      </c>
      <c r="AQ535" s="42"/>
      <c r="AR535" s="3">
        <v>2500</v>
      </c>
      <c r="AS535" s="42"/>
      <c r="AT535" s="3">
        <v>2500</v>
      </c>
      <c r="AU535" s="42"/>
      <c r="AV535" s="3">
        <v>2500</v>
      </c>
      <c r="AW535" s="42"/>
      <c r="AX535" s="3">
        <v>2500</v>
      </c>
      <c r="AZ535" s="3">
        <v>2500</v>
      </c>
    </row>
    <row r="536" spans="1:53" x14ac:dyDescent="0.25">
      <c r="A536" s="3" t="s">
        <v>405</v>
      </c>
      <c r="B536" s="3">
        <v>1000</v>
      </c>
      <c r="D536" s="3">
        <v>0</v>
      </c>
      <c r="E536" s="3">
        <f t="shared" si="328"/>
        <v>1000</v>
      </c>
      <c r="F536" s="5">
        <v>1000</v>
      </c>
      <c r="H536" s="5">
        <f t="shared" si="329"/>
        <v>0</v>
      </c>
      <c r="J536" s="5">
        <v>0</v>
      </c>
      <c r="K536" s="4">
        <f t="shared" si="330"/>
        <v>1000</v>
      </c>
      <c r="L536" s="4">
        <v>1000</v>
      </c>
      <c r="N536" s="4">
        <f t="shared" si="331"/>
        <v>0</v>
      </c>
      <c r="P536" s="3">
        <v>1000</v>
      </c>
      <c r="Q536" s="3"/>
      <c r="R536" s="3"/>
      <c r="S536" s="3">
        <f t="shared" si="332"/>
        <v>1000</v>
      </c>
      <c r="T536" s="3">
        <v>1000</v>
      </c>
      <c r="U536" s="3">
        <f t="shared" si="333"/>
        <v>0</v>
      </c>
      <c r="V536" s="3"/>
      <c r="W536" s="3">
        <f t="shared" si="334"/>
        <v>1000</v>
      </c>
      <c r="X536" s="3"/>
      <c r="Y536" s="3">
        <v>1000</v>
      </c>
      <c r="Z536" s="3">
        <f t="shared" si="335"/>
        <v>0</v>
      </c>
      <c r="AA536" s="3"/>
      <c r="AB536" s="3"/>
      <c r="AC536" s="3">
        <v>0</v>
      </c>
      <c r="AD536" s="3">
        <f t="shared" si="336"/>
        <v>1000</v>
      </c>
      <c r="AE536" s="3">
        <v>1000</v>
      </c>
      <c r="AF536" s="3">
        <f t="shared" si="337"/>
        <v>0</v>
      </c>
      <c r="AG536" s="3"/>
      <c r="AH536" s="3">
        <v>1000</v>
      </c>
      <c r="AI536" s="3"/>
      <c r="AJ536" s="3">
        <v>1000</v>
      </c>
      <c r="AK536" s="3"/>
      <c r="AL536" s="3">
        <v>1000</v>
      </c>
      <c r="AM536" s="3"/>
      <c r="AN536" s="3">
        <v>1000</v>
      </c>
      <c r="AO536" s="3"/>
      <c r="AP536" s="3">
        <v>1000</v>
      </c>
      <c r="AQ536" s="42"/>
      <c r="AR536" s="3">
        <v>1000</v>
      </c>
      <c r="AS536" s="42"/>
      <c r="AT536" s="3">
        <v>1000</v>
      </c>
      <c r="AU536" s="42"/>
      <c r="AV536" s="3">
        <v>1000</v>
      </c>
      <c r="AW536" s="42"/>
      <c r="AX536" s="3">
        <v>1000</v>
      </c>
      <c r="AZ536" s="3">
        <v>1000</v>
      </c>
    </row>
    <row r="537" spans="1:53" x14ac:dyDescent="0.25">
      <c r="A537" s="3" t="s">
        <v>406</v>
      </c>
      <c r="B537" s="3">
        <v>250</v>
      </c>
      <c r="D537" s="3">
        <v>0</v>
      </c>
      <c r="E537" s="3">
        <f t="shared" si="328"/>
        <v>250</v>
      </c>
      <c r="F537" s="5">
        <v>250</v>
      </c>
      <c r="H537" s="5">
        <f t="shared" si="329"/>
        <v>0</v>
      </c>
      <c r="J537" s="5">
        <v>0</v>
      </c>
      <c r="K537" s="4">
        <f t="shared" si="330"/>
        <v>250</v>
      </c>
      <c r="L537" s="4">
        <v>250</v>
      </c>
      <c r="N537" s="4">
        <f t="shared" si="331"/>
        <v>0</v>
      </c>
      <c r="P537" s="3">
        <v>300</v>
      </c>
      <c r="Q537" s="3"/>
      <c r="R537" s="3"/>
      <c r="S537" s="3">
        <f t="shared" si="332"/>
        <v>300</v>
      </c>
      <c r="T537" s="3">
        <v>300</v>
      </c>
      <c r="U537" s="3">
        <f t="shared" si="333"/>
        <v>0</v>
      </c>
      <c r="V537" s="3"/>
      <c r="W537" s="3">
        <f t="shared" si="334"/>
        <v>300</v>
      </c>
      <c r="X537" s="3"/>
      <c r="Y537" s="3">
        <v>300</v>
      </c>
      <c r="Z537" s="3">
        <f t="shared" si="335"/>
        <v>0</v>
      </c>
      <c r="AA537" s="3"/>
      <c r="AB537" s="3"/>
      <c r="AC537" s="3">
        <v>0</v>
      </c>
      <c r="AD537" s="3">
        <f t="shared" si="336"/>
        <v>300</v>
      </c>
      <c r="AE537" s="3">
        <v>300</v>
      </c>
      <c r="AF537" s="3">
        <f t="shared" si="337"/>
        <v>0</v>
      </c>
      <c r="AG537" s="3"/>
      <c r="AH537" s="3">
        <f>AE537*1.03+41</f>
        <v>350</v>
      </c>
      <c r="AI537" s="3"/>
      <c r="AJ537" s="3">
        <f>AH537</f>
        <v>350</v>
      </c>
      <c r="AK537" s="3"/>
      <c r="AL537" s="3">
        <f>AJ537+25</f>
        <v>375</v>
      </c>
      <c r="AM537" s="3"/>
      <c r="AN537" s="3">
        <f>AL537+25</f>
        <v>400</v>
      </c>
      <c r="AO537" s="3"/>
      <c r="AP537" s="3">
        <f>AN537+25</f>
        <v>425</v>
      </c>
      <c r="AQ537" s="42"/>
      <c r="AR537" s="3">
        <f>AP537+25</f>
        <v>450</v>
      </c>
      <c r="AS537" s="42"/>
      <c r="AT537" s="3">
        <f>AR537+25</f>
        <v>475</v>
      </c>
      <c r="AU537" s="42"/>
      <c r="AV537" s="3">
        <f>AT537+25</f>
        <v>500</v>
      </c>
      <c r="AW537" s="42"/>
      <c r="AX537" s="3">
        <f>AV537+25</f>
        <v>525</v>
      </c>
      <c r="AZ537" s="3">
        <f>AX537+25</f>
        <v>550</v>
      </c>
    </row>
    <row r="538" spans="1:53" x14ac:dyDescent="0.25">
      <c r="A538" s="3" t="s">
        <v>407</v>
      </c>
      <c r="B538" s="3">
        <v>650</v>
      </c>
      <c r="D538" s="3">
        <v>0</v>
      </c>
      <c r="E538" s="3">
        <f t="shared" si="328"/>
        <v>650</v>
      </c>
      <c r="F538" s="5">
        <v>650</v>
      </c>
      <c r="H538" s="5">
        <f t="shared" si="329"/>
        <v>0</v>
      </c>
      <c r="J538" s="5">
        <v>0</v>
      </c>
      <c r="K538" s="4">
        <f t="shared" si="330"/>
        <v>0</v>
      </c>
      <c r="L538" s="4">
        <v>0</v>
      </c>
      <c r="N538" s="4">
        <f t="shared" si="331"/>
        <v>-650</v>
      </c>
      <c r="P538" s="3">
        <v>650</v>
      </c>
      <c r="Q538" s="3"/>
      <c r="R538" s="3"/>
      <c r="S538" s="3">
        <f t="shared" si="332"/>
        <v>650</v>
      </c>
      <c r="T538" s="3">
        <v>650</v>
      </c>
      <c r="U538" s="3">
        <f t="shared" si="333"/>
        <v>0</v>
      </c>
      <c r="V538" s="3"/>
      <c r="W538" s="3">
        <f t="shared" si="334"/>
        <v>650</v>
      </c>
      <c r="X538" s="3"/>
      <c r="Y538" s="3">
        <v>650</v>
      </c>
      <c r="Z538" s="3">
        <f t="shared" si="335"/>
        <v>0</v>
      </c>
      <c r="AA538" s="3"/>
      <c r="AB538" s="3"/>
      <c r="AC538" s="3">
        <v>596</v>
      </c>
      <c r="AD538" s="3">
        <f t="shared" si="336"/>
        <v>4</v>
      </c>
      <c r="AE538" s="3">
        <v>600</v>
      </c>
      <c r="AF538" s="3">
        <f t="shared" si="337"/>
        <v>-50</v>
      </c>
      <c r="AG538" s="3"/>
      <c r="AH538" s="3">
        <v>650</v>
      </c>
      <c r="AI538" s="3"/>
      <c r="AJ538" s="3">
        <v>650</v>
      </c>
      <c r="AK538" s="3"/>
      <c r="AL538" s="3">
        <v>650</v>
      </c>
      <c r="AM538" s="3"/>
      <c r="AN538" s="3">
        <v>650</v>
      </c>
      <c r="AO538" s="3"/>
      <c r="AP538" s="3">
        <v>650</v>
      </c>
      <c r="AQ538" s="42"/>
      <c r="AR538" s="3">
        <v>650</v>
      </c>
      <c r="AS538" s="42"/>
      <c r="AT538" s="3">
        <v>650</v>
      </c>
      <c r="AU538" s="42"/>
      <c r="AV538" s="3">
        <v>650</v>
      </c>
      <c r="AW538" s="42"/>
      <c r="AX538" s="3">
        <v>650</v>
      </c>
      <c r="AZ538" s="3">
        <v>650</v>
      </c>
    </row>
    <row r="539" spans="1:53" x14ac:dyDescent="0.25">
      <c r="A539" s="3" t="s">
        <v>408</v>
      </c>
      <c r="B539" s="3"/>
      <c r="D539" s="3"/>
      <c r="E539" s="3">
        <f t="shared" si="328"/>
        <v>0</v>
      </c>
      <c r="H539" s="5">
        <f t="shared" si="329"/>
        <v>0</v>
      </c>
      <c r="K539" s="4">
        <f t="shared" si="330"/>
        <v>0</v>
      </c>
      <c r="L539" s="4"/>
      <c r="N539" s="4">
        <f t="shared" si="331"/>
        <v>0</v>
      </c>
      <c r="P539" s="3"/>
      <c r="Q539" s="3"/>
      <c r="R539" s="3"/>
      <c r="S539" s="3">
        <f t="shared" si="332"/>
        <v>0</v>
      </c>
      <c r="T539" s="3"/>
      <c r="U539" s="3">
        <f t="shared" si="333"/>
        <v>0</v>
      </c>
      <c r="V539" s="3"/>
      <c r="W539" s="3">
        <f t="shared" si="334"/>
        <v>0</v>
      </c>
      <c r="X539" s="3"/>
      <c r="Y539" s="3"/>
      <c r="Z539" s="3">
        <f t="shared" si="335"/>
        <v>0</v>
      </c>
      <c r="AA539" s="3"/>
      <c r="AB539" s="3"/>
      <c r="AC539" s="3"/>
      <c r="AD539" s="3">
        <f t="shared" si="336"/>
        <v>0</v>
      </c>
      <c r="AE539" s="3"/>
      <c r="AF539" s="3">
        <f t="shared" si="337"/>
        <v>0</v>
      </c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42"/>
      <c r="AR539" s="3"/>
      <c r="AS539" s="42"/>
      <c r="AT539" s="3"/>
      <c r="AU539" s="42"/>
      <c r="AV539" s="3"/>
      <c r="AW539" s="42"/>
      <c r="AX539" s="3"/>
      <c r="AZ539" s="3"/>
    </row>
    <row r="540" spans="1:53" x14ac:dyDescent="0.25">
      <c r="A540" s="3" t="s">
        <v>409</v>
      </c>
      <c r="B540" s="3"/>
      <c r="D540" s="3"/>
      <c r="E540" s="3">
        <f t="shared" si="328"/>
        <v>0</v>
      </c>
      <c r="H540" s="5">
        <f t="shared" si="329"/>
        <v>0</v>
      </c>
      <c r="K540" s="4">
        <f t="shared" si="330"/>
        <v>0</v>
      </c>
      <c r="L540" s="4"/>
      <c r="N540" s="4">
        <f t="shared" si="331"/>
        <v>0</v>
      </c>
      <c r="P540" s="3"/>
      <c r="Q540" s="3"/>
      <c r="R540" s="3"/>
      <c r="S540" s="3">
        <f t="shared" si="332"/>
        <v>0</v>
      </c>
      <c r="T540" s="3"/>
      <c r="U540" s="3">
        <f t="shared" si="333"/>
        <v>0</v>
      </c>
      <c r="V540" s="3"/>
      <c r="W540" s="3">
        <f t="shared" si="334"/>
        <v>0</v>
      </c>
      <c r="X540" s="3"/>
      <c r="Y540" s="3"/>
      <c r="Z540" s="3">
        <f t="shared" si="335"/>
        <v>0</v>
      </c>
      <c r="AA540" s="3"/>
      <c r="AB540" s="3"/>
      <c r="AC540" s="3"/>
      <c r="AD540" s="3">
        <f t="shared" si="336"/>
        <v>0</v>
      </c>
      <c r="AE540" s="3"/>
      <c r="AF540" s="3">
        <f t="shared" si="337"/>
        <v>0</v>
      </c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42"/>
      <c r="AR540" s="3"/>
      <c r="AS540" s="42"/>
      <c r="AT540" s="3"/>
      <c r="AU540" s="42"/>
      <c r="AV540" s="3"/>
      <c r="AW540" s="42"/>
      <c r="AX540" s="3"/>
      <c r="AZ540" s="3"/>
    </row>
    <row r="541" spans="1:53" x14ac:dyDescent="0.25">
      <c r="A541" s="3" t="s">
        <v>410</v>
      </c>
      <c r="B541" s="3">
        <v>1000</v>
      </c>
      <c r="D541" s="3">
        <v>0</v>
      </c>
      <c r="E541" s="3">
        <f t="shared" si="328"/>
        <v>1000</v>
      </c>
      <c r="F541" s="5">
        <v>1000</v>
      </c>
      <c r="H541" s="5">
        <f t="shared" si="329"/>
        <v>0</v>
      </c>
      <c r="J541" s="5">
        <v>0</v>
      </c>
      <c r="K541" s="4">
        <f t="shared" si="330"/>
        <v>1000</v>
      </c>
      <c r="L541" s="4">
        <v>1000</v>
      </c>
      <c r="N541" s="4">
        <f t="shared" si="331"/>
        <v>0</v>
      </c>
      <c r="P541" s="3">
        <v>1000</v>
      </c>
      <c r="Q541" s="3"/>
      <c r="R541" s="3"/>
      <c r="S541" s="3">
        <f t="shared" si="332"/>
        <v>1000</v>
      </c>
      <c r="T541" s="3">
        <v>1000</v>
      </c>
      <c r="U541" s="3">
        <f t="shared" si="333"/>
        <v>0</v>
      </c>
      <c r="V541" s="3"/>
      <c r="W541" s="3">
        <f t="shared" si="334"/>
        <v>1000</v>
      </c>
      <c r="X541" s="3"/>
      <c r="Y541" s="3">
        <v>1000</v>
      </c>
      <c r="Z541" s="3">
        <f t="shared" si="335"/>
        <v>0</v>
      </c>
      <c r="AA541" s="3"/>
      <c r="AB541" s="3"/>
      <c r="AC541" s="3">
        <v>0</v>
      </c>
      <c r="AD541" s="3">
        <f t="shared" si="336"/>
        <v>1000</v>
      </c>
      <c r="AE541" s="3">
        <v>1000</v>
      </c>
      <c r="AF541" s="3">
        <f t="shared" si="337"/>
        <v>0</v>
      </c>
      <c r="AG541" s="3"/>
      <c r="AH541" s="3">
        <v>5000</v>
      </c>
      <c r="AI541" s="3"/>
      <c r="AJ541" s="3">
        <f>AH541+25+25</f>
        <v>5050</v>
      </c>
      <c r="AK541" s="3"/>
      <c r="AL541" s="3">
        <f>AJ541+25</f>
        <v>5075</v>
      </c>
      <c r="AM541" s="3"/>
      <c r="AN541" s="3">
        <f>AL541+25</f>
        <v>5100</v>
      </c>
      <c r="AO541" s="3"/>
      <c r="AP541" s="3">
        <f>AN541+25</f>
        <v>5125</v>
      </c>
      <c r="AQ541" s="42"/>
      <c r="AR541" s="3">
        <f>AP541+25</f>
        <v>5150</v>
      </c>
      <c r="AS541" s="42"/>
      <c r="AT541" s="3">
        <f>AR541+25</f>
        <v>5175</v>
      </c>
      <c r="AU541" s="42"/>
      <c r="AV541" s="3">
        <f>AT541+25</f>
        <v>5200</v>
      </c>
      <c r="AW541" s="42"/>
      <c r="AX541" s="3">
        <f>AV541+25</f>
        <v>5225</v>
      </c>
      <c r="AZ541" s="3">
        <f>AX541+25</f>
        <v>5250</v>
      </c>
    </row>
    <row r="542" spans="1:53" x14ac:dyDescent="0.25">
      <c r="A542" s="3" t="s">
        <v>411</v>
      </c>
      <c r="B542" s="3">
        <v>250</v>
      </c>
      <c r="D542" s="3">
        <v>0</v>
      </c>
      <c r="E542" s="3">
        <f t="shared" si="328"/>
        <v>250</v>
      </c>
      <c r="F542" s="5">
        <v>250</v>
      </c>
      <c r="H542" s="5">
        <f t="shared" si="329"/>
        <v>0</v>
      </c>
      <c r="J542" s="5">
        <v>0</v>
      </c>
      <c r="K542" s="4">
        <f t="shared" si="330"/>
        <v>250</v>
      </c>
      <c r="L542" s="4">
        <v>250</v>
      </c>
      <c r="N542" s="4">
        <f t="shared" si="331"/>
        <v>0</v>
      </c>
      <c r="P542" s="3">
        <v>500</v>
      </c>
      <c r="Q542" s="3"/>
      <c r="R542" s="3"/>
      <c r="S542" s="3">
        <f t="shared" si="332"/>
        <v>500</v>
      </c>
      <c r="T542" s="3">
        <v>500</v>
      </c>
      <c r="U542" s="3">
        <f t="shared" si="333"/>
        <v>0</v>
      </c>
      <c r="V542" s="3"/>
      <c r="W542" s="3">
        <f t="shared" si="334"/>
        <v>500</v>
      </c>
      <c r="X542" s="3"/>
      <c r="Y542" s="3">
        <v>500</v>
      </c>
      <c r="Z542" s="3">
        <f t="shared" si="335"/>
        <v>0</v>
      </c>
      <c r="AA542" s="3"/>
      <c r="AB542" s="3"/>
      <c r="AC542" s="3">
        <v>35</v>
      </c>
      <c r="AD542" s="3">
        <f t="shared" si="336"/>
        <v>465</v>
      </c>
      <c r="AE542" s="3">
        <v>500</v>
      </c>
      <c r="AF542" s="3">
        <f t="shared" si="337"/>
        <v>0</v>
      </c>
      <c r="AG542" s="3"/>
      <c r="AH542" s="3">
        <f>AE542*1.03+35</f>
        <v>550</v>
      </c>
      <c r="AI542" s="3"/>
      <c r="AJ542" s="3">
        <f>AH542+25</f>
        <v>575</v>
      </c>
      <c r="AK542" s="3"/>
      <c r="AL542" s="3">
        <f>AJ542+25</f>
        <v>600</v>
      </c>
      <c r="AM542" s="3"/>
      <c r="AN542" s="3">
        <f>AL542+25</f>
        <v>625</v>
      </c>
      <c r="AO542" s="3"/>
      <c r="AP542" s="3">
        <f>AN542+25</f>
        <v>650</v>
      </c>
      <c r="AQ542" s="42"/>
      <c r="AR542" s="3">
        <f>AP542+25</f>
        <v>675</v>
      </c>
      <c r="AS542" s="42"/>
      <c r="AT542" s="3">
        <f>AR542+25</f>
        <v>700</v>
      </c>
      <c r="AU542" s="42"/>
      <c r="AV542" s="3">
        <f>AT542+25</f>
        <v>725</v>
      </c>
      <c r="AW542" s="42"/>
      <c r="AX542" s="3">
        <f>AV542+25</f>
        <v>750</v>
      </c>
      <c r="AZ542" s="3">
        <f>AX542+25</f>
        <v>775</v>
      </c>
    </row>
    <row r="543" spans="1:53" x14ac:dyDescent="0.25">
      <c r="A543" s="3" t="s">
        <v>412</v>
      </c>
      <c r="B543" s="3"/>
      <c r="D543" s="3"/>
      <c r="E543" s="3">
        <f t="shared" si="328"/>
        <v>0</v>
      </c>
      <c r="H543" s="5">
        <f t="shared" si="329"/>
        <v>0</v>
      </c>
      <c r="K543" s="4">
        <f t="shared" si="330"/>
        <v>0</v>
      </c>
      <c r="L543" s="4"/>
      <c r="N543" s="4">
        <f t="shared" si="331"/>
        <v>0</v>
      </c>
      <c r="P543" s="3"/>
      <c r="Q543" s="3"/>
      <c r="R543" s="3"/>
      <c r="S543" s="3">
        <f t="shared" si="332"/>
        <v>0</v>
      </c>
      <c r="T543" s="3"/>
      <c r="U543" s="3">
        <f t="shared" si="333"/>
        <v>0</v>
      </c>
      <c r="V543" s="3"/>
      <c r="W543" s="3">
        <f t="shared" si="334"/>
        <v>0</v>
      </c>
      <c r="X543" s="3"/>
      <c r="Y543" s="3"/>
      <c r="Z543" s="3">
        <f t="shared" si="335"/>
        <v>0</v>
      </c>
      <c r="AA543" s="3"/>
      <c r="AB543" s="3"/>
      <c r="AC543" s="3"/>
      <c r="AD543" s="3">
        <f t="shared" si="336"/>
        <v>0</v>
      </c>
      <c r="AE543" s="3"/>
      <c r="AF543" s="3">
        <f t="shared" si="337"/>
        <v>0</v>
      </c>
      <c r="AG543" s="3"/>
      <c r="AH543" s="3">
        <f>P543*1.0281</f>
        <v>0</v>
      </c>
      <c r="AI543" s="3"/>
      <c r="AJ543" s="3">
        <f>AH543+25</f>
        <v>25</v>
      </c>
      <c r="AK543" s="3"/>
      <c r="AL543" s="3">
        <f>AJ543+25</f>
        <v>50</v>
      </c>
      <c r="AM543" s="3"/>
      <c r="AN543" s="3">
        <f>AL543+25</f>
        <v>75</v>
      </c>
      <c r="AO543" s="3"/>
      <c r="AP543" s="3">
        <f>AN543+25</f>
        <v>100</v>
      </c>
      <c r="AQ543" s="42"/>
      <c r="AR543" s="3">
        <f>AP543+25</f>
        <v>125</v>
      </c>
      <c r="AS543" s="42"/>
      <c r="AT543" s="3">
        <f>AR543+25</f>
        <v>150</v>
      </c>
      <c r="AU543" s="42"/>
      <c r="AV543" s="3">
        <f>AT543+25</f>
        <v>175</v>
      </c>
      <c r="AW543" s="42"/>
      <c r="AX543" s="3">
        <f>AV543+25</f>
        <v>200</v>
      </c>
      <c r="AZ543" s="3">
        <f>AX543+25</f>
        <v>225</v>
      </c>
    </row>
    <row r="544" spans="1:53" x14ac:dyDescent="0.25">
      <c r="A544" s="3" t="s">
        <v>413</v>
      </c>
      <c r="B544" s="3">
        <v>2900</v>
      </c>
      <c r="D544" s="3">
        <v>1617</v>
      </c>
      <c r="E544" s="3">
        <f t="shared" si="328"/>
        <v>1283</v>
      </c>
      <c r="F544" s="5">
        <v>2900</v>
      </c>
      <c r="H544" s="5">
        <f t="shared" si="329"/>
        <v>0</v>
      </c>
      <c r="J544" s="5">
        <v>611</v>
      </c>
      <c r="K544" s="4">
        <f t="shared" si="330"/>
        <v>2289</v>
      </c>
      <c r="L544" s="4">
        <v>2900</v>
      </c>
      <c r="N544" s="4">
        <f t="shared" si="331"/>
        <v>0</v>
      </c>
      <c r="P544" s="3">
        <f>B544*1.07-3</f>
        <v>3100</v>
      </c>
      <c r="Q544" s="3"/>
      <c r="R544" s="3"/>
      <c r="S544" s="3">
        <f t="shared" si="332"/>
        <v>3100</v>
      </c>
      <c r="T544" s="3">
        <f>F544*1.07-3</f>
        <v>3100</v>
      </c>
      <c r="U544" s="3">
        <f t="shared" si="333"/>
        <v>0</v>
      </c>
      <c r="V544" s="3">
        <v>1520</v>
      </c>
      <c r="W544" s="3">
        <f t="shared" si="334"/>
        <v>1580</v>
      </c>
      <c r="X544" s="3"/>
      <c r="Y544" s="3">
        <v>3100</v>
      </c>
      <c r="Z544" s="3">
        <f t="shared" si="335"/>
        <v>0</v>
      </c>
      <c r="AA544" s="3"/>
      <c r="AB544" s="3"/>
      <c r="AC544" s="3">
        <v>1520</v>
      </c>
      <c r="AD544" s="3">
        <f t="shared" si="336"/>
        <v>1580</v>
      </c>
      <c r="AE544" s="3">
        <v>3100</v>
      </c>
      <c r="AF544" s="3">
        <f t="shared" si="337"/>
        <v>0</v>
      </c>
      <c r="AG544" s="3"/>
      <c r="AH544" s="3">
        <f>AE544*1.03+7</f>
        <v>3200</v>
      </c>
      <c r="AI544" s="3"/>
      <c r="AJ544" s="3">
        <f>AH544+25</f>
        <v>3225</v>
      </c>
      <c r="AK544" s="3"/>
      <c r="AL544" s="3">
        <f>AJ544+25</f>
        <v>3250</v>
      </c>
      <c r="AM544" s="3"/>
      <c r="AN544" s="3">
        <f>AL544+25</f>
        <v>3275</v>
      </c>
      <c r="AO544" s="3"/>
      <c r="AP544" s="3">
        <f>AN544+25</f>
        <v>3300</v>
      </c>
      <c r="AQ544" s="42"/>
      <c r="AR544" s="3">
        <f>AP544+25</f>
        <v>3325</v>
      </c>
      <c r="AS544" s="42"/>
      <c r="AT544" s="3">
        <f>AR544+25</f>
        <v>3350</v>
      </c>
      <c r="AU544" s="42"/>
      <c r="AV544" s="3">
        <f>AT544+25</f>
        <v>3375</v>
      </c>
      <c r="AW544" s="42"/>
      <c r="AX544" s="3">
        <f>AV544+25</f>
        <v>3400</v>
      </c>
      <c r="AZ544" s="3">
        <f>AX544+25</f>
        <v>3425</v>
      </c>
    </row>
    <row r="545" spans="1:52" x14ac:dyDescent="0.25">
      <c r="A545" s="3" t="s">
        <v>1142</v>
      </c>
      <c r="B545" s="3"/>
      <c r="D545" s="3"/>
      <c r="E545" s="3"/>
      <c r="K545" s="4"/>
      <c r="L545" s="4"/>
      <c r="N545" s="4"/>
      <c r="P545" s="3">
        <v>0</v>
      </c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>
        <v>0</v>
      </c>
      <c r="AF545" s="3"/>
      <c r="AG545" s="3"/>
      <c r="AH545" s="3">
        <v>2400</v>
      </c>
      <c r="AI545" s="3"/>
      <c r="AJ545" s="3"/>
      <c r="AK545" s="3"/>
      <c r="AL545" s="3"/>
      <c r="AM545" s="3"/>
      <c r="AN545" s="3"/>
      <c r="AO545" s="3"/>
      <c r="AP545" s="3"/>
      <c r="AQ545" s="42"/>
      <c r="AR545" s="3"/>
      <c r="AS545" s="42"/>
      <c r="AT545" s="3"/>
      <c r="AU545" s="42"/>
      <c r="AV545" s="3"/>
      <c r="AW545" s="42"/>
      <c r="AX545" s="3"/>
      <c r="AZ545" s="3"/>
    </row>
    <row r="546" spans="1:52" x14ac:dyDescent="0.25">
      <c r="A546" s="3" t="s">
        <v>414</v>
      </c>
      <c r="B546" s="3">
        <v>500</v>
      </c>
      <c r="D546" s="3"/>
      <c r="E546" s="3">
        <f t="shared" si="328"/>
        <v>500</v>
      </c>
      <c r="F546" s="5">
        <v>500</v>
      </c>
      <c r="H546" s="5">
        <f t="shared" si="329"/>
        <v>0</v>
      </c>
      <c r="J546" s="5">
        <v>0</v>
      </c>
      <c r="K546" s="4">
        <f t="shared" si="330"/>
        <v>500</v>
      </c>
      <c r="L546" s="4">
        <v>500</v>
      </c>
      <c r="N546" s="4">
        <f t="shared" si="331"/>
        <v>0</v>
      </c>
      <c r="P546" s="3">
        <v>500</v>
      </c>
      <c r="Q546" s="3"/>
      <c r="R546" s="3"/>
      <c r="S546" s="3">
        <f t="shared" si="332"/>
        <v>500</v>
      </c>
      <c r="T546" s="3">
        <v>500</v>
      </c>
      <c r="U546" s="3">
        <f t="shared" si="333"/>
        <v>0</v>
      </c>
      <c r="V546" s="3"/>
      <c r="W546" s="3">
        <f t="shared" si="334"/>
        <v>500</v>
      </c>
      <c r="X546" s="3"/>
      <c r="Y546" s="3">
        <v>500</v>
      </c>
      <c r="Z546" s="3">
        <f t="shared" si="335"/>
        <v>0</v>
      </c>
      <c r="AA546" s="3"/>
      <c r="AB546" s="3"/>
      <c r="AC546" s="3">
        <v>0</v>
      </c>
      <c r="AD546" s="3">
        <f t="shared" si="336"/>
        <v>0</v>
      </c>
      <c r="AE546" s="3">
        <v>0</v>
      </c>
      <c r="AF546" s="3">
        <f t="shared" si="337"/>
        <v>-500</v>
      </c>
      <c r="AG546" s="3"/>
      <c r="AH546" s="3">
        <f>AE546*1.03</f>
        <v>0</v>
      </c>
      <c r="AI546" s="3"/>
      <c r="AJ546" s="3">
        <f>AH546+25</f>
        <v>25</v>
      </c>
      <c r="AK546" s="3"/>
      <c r="AL546" s="3">
        <f>AJ546+25</f>
        <v>50</v>
      </c>
      <c r="AM546" s="3"/>
      <c r="AN546" s="3">
        <f>AL546+25</f>
        <v>75</v>
      </c>
      <c r="AO546" s="3"/>
      <c r="AP546" s="3">
        <f>AN546+25</f>
        <v>100</v>
      </c>
      <c r="AQ546" s="42"/>
      <c r="AR546" s="3">
        <f>AP546+25</f>
        <v>125</v>
      </c>
      <c r="AS546" s="42"/>
      <c r="AT546" s="3">
        <f>AR546+25</f>
        <v>150</v>
      </c>
      <c r="AU546" s="42"/>
      <c r="AV546" s="3">
        <f>AT546+25</f>
        <v>175</v>
      </c>
      <c r="AW546" s="42"/>
      <c r="AX546" s="3">
        <f>AV546+25</f>
        <v>200</v>
      </c>
      <c r="AZ546" s="3">
        <f>AX546+25</f>
        <v>225</v>
      </c>
    </row>
    <row r="547" spans="1:52" x14ac:dyDescent="0.25">
      <c r="A547" s="3" t="s">
        <v>415</v>
      </c>
      <c r="B547" s="3"/>
      <c r="D547" s="3">
        <v>900</v>
      </c>
      <c r="E547" s="3">
        <f t="shared" si="328"/>
        <v>300</v>
      </c>
      <c r="F547" s="5">
        <v>1200</v>
      </c>
      <c r="H547" s="5">
        <f t="shared" si="329"/>
        <v>1200</v>
      </c>
      <c r="J547" s="5">
        <v>2775</v>
      </c>
      <c r="K547" s="4">
        <f t="shared" si="330"/>
        <v>475</v>
      </c>
      <c r="L547" s="4">
        <v>3250</v>
      </c>
      <c r="N547" s="4">
        <f t="shared" si="331"/>
        <v>2050</v>
      </c>
      <c r="P547" s="3">
        <v>2000</v>
      </c>
      <c r="Q547" s="3"/>
      <c r="R547" s="3"/>
      <c r="S547" s="3">
        <f t="shared" si="332"/>
        <v>2000</v>
      </c>
      <c r="T547" s="3">
        <v>2000</v>
      </c>
      <c r="U547" s="3">
        <f t="shared" si="333"/>
        <v>0</v>
      </c>
      <c r="V547" s="3"/>
      <c r="W547" s="3">
        <f t="shared" si="334"/>
        <v>2000</v>
      </c>
      <c r="X547" s="3"/>
      <c r="Y547" s="3">
        <v>2000</v>
      </c>
      <c r="Z547" s="3">
        <f t="shared" si="335"/>
        <v>0</v>
      </c>
      <c r="AA547" s="3"/>
      <c r="AB547" s="3"/>
      <c r="AC547" s="3">
        <v>0</v>
      </c>
      <c r="AD547" s="3">
        <f t="shared" si="336"/>
        <v>0</v>
      </c>
      <c r="AE547" s="3">
        <v>0</v>
      </c>
      <c r="AF547" s="3">
        <f t="shared" si="337"/>
        <v>-2000</v>
      </c>
      <c r="AG547" s="3"/>
      <c r="AH547" s="3">
        <f>AE547*1.03</f>
        <v>0</v>
      </c>
      <c r="AI547" s="3"/>
      <c r="AJ547" s="3">
        <f>AH547*1.0281</f>
        <v>0</v>
      </c>
      <c r="AK547" s="3"/>
      <c r="AL547" s="3">
        <f>AJ547*1.0281</f>
        <v>0</v>
      </c>
      <c r="AM547" s="3"/>
      <c r="AN547" s="3">
        <f>AL547*1.0281</f>
        <v>0</v>
      </c>
      <c r="AO547" s="3"/>
      <c r="AP547" s="3">
        <f>AN547*1.0281</f>
        <v>0</v>
      </c>
      <c r="AQ547" s="42"/>
      <c r="AR547" s="3">
        <f>AP547*1.0281</f>
        <v>0</v>
      </c>
      <c r="AS547" s="42"/>
      <c r="AT547" s="3">
        <f>AR547*1.0281</f>
        <v>0</v>
      </c>
      <c r="AU547" s="42"/>
      <c r="AV547" s="3">
        <f>AT547*1.0281</f>
        <v>0</v>
      </c>
      <c r="AW547" s="42"/>
      <c r="AX547" s="3">
        <f>AV547*1.0281</f>
        <v>0</v>
      </c>
      <c r="AZ547" s="3">
        <f>AX547*1.0281</f>
        <v>0</v>
      </c>
    </row>
    <row r="548" spans="1:52" x14ac:dyDescent="0.25">
      <c r="A548" s="3" t="s">
        <v>416</v>
      </c>
      <c r="B548" s="3">
        <v>0</v>
      </c>
      <c r="D548" s="3">
        <v>0</v>
      </c>
      <c r="E548" s="3">
        <f t="shared" si="328"/>
        <v>0</v>
      </c>
      <c r="F548" s="5">
        <v>0</v>
      </c>
      <c r="H548" s="5">
        <f t="shared" si="329"/>
        <v>0</v>
      </c>
      <c r="J548" s="5">
        <v>0</v>
      </c>
      <c r="K548" s="4">
        <f t="shared" si="330"/>
        <v>0</v>
      </c>
      <c r="L548" s="4">
        <v>0</v>
      </c>
      <c r="N548" s="4">
        <f t="shared" si="331"/>
        <v>0</v>
      </c>
      <c r="P548" s="3">
        <f>B548*1.03</f>
        <v>0</v>
      </c>
      <c r="Q548" s="3"/>
      <c r="R548" s="3"/>
      <c r="S548" s="3">
        <f t="shared" si="332"/>
        <v>0</v>
      </c>
      <c r="T548" s="3">
        <f>F548*1.03</f>
        <v>0</v>
      </c>
      <c r="U548" s="3">
        <f t="shared" si="333"/>
        <v>0</v>
      </c>
      <c r="V548" s="3"/>
      <c r="W548" s="3">
        <f t="shared" si="334"/>
        <v>0</v>
      </c>
      <c r="X548" s="3"/>
      <c r="Y548" s="3"/>
      <c r="Z548" s="3">
        <f t="shared" si="335"/>
        <v>0</v>
      </c>
      <c r="AA548" s="3"/>
      <c r="AB548" s="3"/>
      <c r="AC548" s="3"/>
      <c r="AD548" s="3">
        <f t="shared" si="336"/>
        <v>0</v>
      </c>
      <c r="AE548" s="3"/>
      <c r="AF548" s="3">
        <f t="shared" si="337"/>
        <v>0</v>
      </c>
      <c r="AG548" s="3"/>
      <c r="AH548" s="3">
        <f>P548*1.03</f>
        <v>0</v>
      </c>
      <c r="AI548" s="3"/>
      <c r="AJ548" s="3">
        <f>AH548*1.03</f>
        <v>0</v>
      </c>
      <c r="AK548" s="3"/>
      <c r="AL548" s="3">
        <f>AJ548*1.03</f>
        <v>0</v>
      </c>
      <c r="AM548" s="3"/>
      <c r="AN548" s="3">
        <f>AL548*1.03</f>
        <v>0</v>
      </c>
      <c r="AO548" s="3"/>
      <c r="AP548" s="3">
        <f>AN548*1.03</f>
        <v>0</v>
      </c>
      <c r="AQ548" s="42"/>
      <c r="AR548" s="3">
        <f>AP548*1.03</f>
        <v>0</v>
      </c>
      <c r="AS548" s="42"/>
      <c r="AT548" s="3">
        <f>AR548*1.03</f>
        <v>0</v>
      </c>
      <c r="AU548" s="42"/>
      <c r="AV548" s="3">
        <f>AT548*1.03</f>
        <v>0</v>
      </c>
      <c r="AW548" s="42"/>
      <c r="AX548" s="3">
        <f>AV548*1.03</f>
        <v>0</v>
      </c>
      <c r="AZ548" s="3">
        <f>AX548*1.03</f>
        <v>0</v>
      </c>
    </row>
    <row r="549" spans="1:52" x14ac:dyDescent="0.25">
      <c r="A549" s="3" t="s">
        <v>417</v>
      </c>
      <c r="B549" s="3">
        <v>2200</v>
      </c>
      <c r="D549" s="3">
        <v>509</v>
      </c>
      <c r="E549" s="3">
        <f t="shared" si="328"/>
        <v>491</v>
      </c>
      <c r="F549" s="5">
        <v>1000</v>
      </c>
      <c r="H549" s="5">
        <f t="shared" si="329"/>
        <v>-1200</v>
      </c>
      <c r="J549" s="5">
        <v>572</v>
      </c>
      <c r="K549" s="4">
        <f t="shared" si="330"/>
        <v>178</v>
      </c>
      <c r="L549" s="4">
        <v>750</v>
      </c>
      <c r="N549" s="4">
        <f t="shared" si="331"/>
        <v>-250</v>
      </c>
      <c r="P549" s="3">
        <v>0</v>
      </c>
      <c r="Q549" s="3"/>
      <c r="R549" s="3"/>
      <c r="S549" s="3">
        <f t="shared" si="332"/>
        <v>0</v>
      </c>
      <c r="T549" s="3">
        <v>0</v>
      </c>
      <c r="U549" s="3">
        <f t="shared" si="333"/>
        <v>0</v>
      </c>
      <c r="V549" s="3"/>
      <c r="W549" s="3">
        <f>Y549-V549</f>
        <v>0</v>
      </c>
      <c r="X549" s="3"/>
      <c r="Y549" s="3"/>
      <c r="Z549" s="3">
        <f t="shared" si="335"/>
        <v>0</v>
      </c>
      <c r="AA549" s="3"/>
      <c r="AB549" s="3"/>
      <c r="AC549" s="3"/>
      <c r="AD549" s="3">
        <f t="shared" si="336"/>
        <v>0</v>
      </c>
      <c r="AE549" s="3"/>
      <c r="AF549" s="3">
        <f t="shared" si="337"/>
        <v>0</v>
      </c>
      <c r="AG549" s="3"/>
      <c r="AH549" s="3">
        <f>P549*1.0281</f>
        <v>0</v>
      </c>
      <c r="AI549" s="3"/>
      <c r="AJ549" s="3">
        <f>AH549*1.0281</f>
        <v>0</v>
      </c>
      <c r="AK549" s="3"/>
      <c r="AL549" s="3">
        <f>AJ549*1.0281</f>
        <v>0</v>
      </c>
      <c r="AM549" s="3"/>
      <c r="AN549" s="3">
        <f>AL549*1.0281</f>
        <v>0</v>
      </c>
      <c r="AO549" s="3"/>
      <c r="AP549" s="3">
        <f>AN549*1.0281</f>
        <v>0</v>
      </c>
      <c r="AQ549" s="42"/>
      <c r="AR549" s="3">
        <f>AP549*1.0281</f>
        <v>0</v>
      </c>
      <c r="AS549" s="42"/>
      <c r="AT549" s="3">
        <f>AR549*1.0281</f>
        <v>0</v>
      </c>
      <c r="AU549" s="42"/>
      <c r="AV549" s="3">
        <f>AT549*1.0281</f>
        <v>0</v>
      </c>
      <c r="AW549" s="42"/>
      <c r="AX549" s="3">
        <f>AV549*1.0281</f>
        <v>0</v>
      </c>
      <c r="AZ549" s="3">
        <f>AX549*1.0281</f>
        <v>0</v>
      </c>
    </row>
    <row r="550" spans="1:52" x14ac:dyDescent="0.25">
      <c r="A550" s="3" t="s">
        <v>418</v>
      </c>
      <c r="B550" s="3">
        <v>900</v>
      </c>
      <c r="D550" s="3">
        <v>0</v>
      </c>
      <c r="E550" s="3">
        <f t="shared" si="328"/>
        <v>900</v>
      </c>
      <c r="F550" s="5">
        <v>900</v>
      </c>
      <c r="H550" s="5">
        <f t="shared" si="329"/>
        <v>0</v>
      </c>
      <c r="J550" s="5">
        <v>571</v>
      </c>
      <c r="K550" s="4">
        <f t="shared" si="330"/>
        <v>179</v>
      </c>
      <c r="L550" s="4">
        <v>750</v>
      </c>
      <c r="N550" s="4">
        <f t="shared" si="331"/>
        <v>-150</v>
      </c>
      <c r="P550" s="3">
        <f>L550*1.0281+29</f>
        <v>800.07500000000005</v>
      </c>
      <c r="Q550" s="3"/>
      <c r="R550" s="3"/>
      <c r="S550" s="3">
        <f t="shared" si="332"/>
        <v>799.55710750000003</v>
      </c>
      <c r="T550" s="3">
        <f>P550*1.0281-23</f>
        <v>799.55710750000003</v>
      </c>
      <c r="U550" s="3">
        <f t="shared" si="333"/>
        <v>-0.5178925000000163</v>
      </c>
      <c r="V550" s="3">
        <v>514</v>
      </c>
      <c r="W550" s="3">
        <f t="shared" si="334"/>
        <v>86</v>
      </c>
      <c r="X550" s="3"/>
      <c r="Y550" s="3">
        <v>600</v>
      </c>
      <c r="Z550" s="3">
        <f t="shared" si="335"/>
        <v>-199.55710750000003</v>
      </c>
      <c r="AA550" s="3"/>
      <c r="AB550" s="3"/>
      <c r="AC550" s="3">
        <v>580</v>
      </c>
      <c r="AD550" s="3">
        <f t="shared" si="336"/>
        <v>20</v>
      </c>
      <c r="AE550" s="3">
        <v>600</v>
      </c>
      <c r="AF550" s="3">
        <f t="shared" si="337"/>
        <v>0</v>
      </c>
      <c r="AG550" s="3"/>
      <c r="AH550" s="3">
        <f>AE550*1.03+32</f>
        <v>650</v>
      </c>
      <c r="AI550" s="3"/>
      <c r="AJ550" s="3">
        <f>AH550*1.0281</f>
        <v>668.26499999999999</v>
      </c>
      <c r="AK550" s="3"/>
      <c r="AL550" s="3">
        <f>AJ550*1.0281</f>
        <v>687.04324650000001</v>
      </c>
      <c r="AM550" s="3"/>
      <c r="AN550" s="3">
        <f>AL550*1.0281</f>
        <v>706.34916172664998</v>
      </c>
      <c r="AO550" s="3"/>
      <c r="AP550" s="3">
        <f>AN550*1.0281</f>
        <v>726.19757317116887</v>
      </c>
      <c r="AQ550" s="42"/>
      <c r="AR550" s="3">
        <f>AP550*1.0281</f>
        <v>746.60372497727872</v>
      </c>
      <c r="AS550" s="42"/>
      <c r="AT550" s="3">
        <f>AR550*1.0281</f>
        <v>767.58328964914028</v>
      </c>
      <c r="AU550" s="42"/>
      <c r="AV550" s="3">
        <f>AT550*1.0281</f>
        <v>789.15238008828112</v>
      </c>
      <c r="AW550" s="42"/>
      <c r="AX550" s="3">
        <f>AV550*1.0281</f>
        <v>811.32756196876187</v>
      </c>
      <c r="AZ550" s="3">
        <f>AX550*1.0281</f>
        <v>834.12586646008413</v>
      </c>
    </row>
    <row r="551" spans="1:52" x14ac:dyDescent="0.25">
      <c r="A551" s="3" t="s">
        <v>419</v>
      </c>
      <c r="B551" s="3">
        <v>500</v>
      </c>
      <c r="D551" s="3">
        <v>0</v>
      </c>
      <c r="E551" s="3">
        <f t="shared" si="328"/>
        <v>500</v>
      </c>
      <c r="F551" s="5">
        <v>500</v>
      </c>
      <c r="H551" s="5">
        <f t="shared" si="329"/>
        <v>0</v>
      </c>
      <c r="J551" s="5">
        <v>0</v>
      </c>
      <c r="K551" s="4">
        <f t="shared" si="330"/>
        <v>500</v>
      </c>
      <c r="L551" s="4">
        <v>500</v>
      </c>
      <c r="N551" s="4">
        <f t="shared" si="331"/>
        <v>0</v>
      </c>
      <c r="P551" s="3">
        <v>500</v>
      </c>
      <c r="Q551" s="3"/>
      <c r="R551" s="3"/>
      <c r="S551" s="3">
        <f t="shared" si="332"/>
        <v>500</v>
      </c>
      <c r="T551" s="3">
        <v>500</v>
      </c>
      <c r="U551" s="3">
        <f t="shared" si="333"/>
        <v>0</v>
      </c>
      <c r="V551" s="3"/>
      <c r="W551" s="3">
        <f t="shared" si="334"/>
        <v>500</v>
      </c>
      <c r="X551" s="3"/>
      <c r="Y551" s="3">
        <v>500</v>
      </c>
      <c r="Z551" s="3">
        <f t="shared" si="335"/>
        <v>0</v>
      </c>
      <c r="AA551" s="3"/>
      <c r="AB551" s="3"/>
      <c r="AC551" s="3">
        <v>0</v>
      </c>
      <c r="AD551" s="3">
        <f t="shared" si="336"/>
        <v>500</v>
      </c>
      <c r="AE551" s="3">
        <v>500</v>
      </c>
      <c r="AF551" s="3">
        <f t="shared" si="337"/>
        <v>0</v>
      </c>
      <c r="AG551" s="3"/>
      <c r="AH551" s="3">
        <v>1000</v>
      </c>
      <c r="AI551" s="3"/>
      <c r="AJ551" s="3">
        <f>AH551*1.0281</f>
        <v>1028.0999999999999</v>
      </c>
      <c r="AK551" s="3"/>
      <c r="AL551" s="3">
        <f>AJ551*1.0281</f>
        <v>1056.9896099999999</v>
      </c>
      <c r="AM551" s="3"/>
      <c r="AN551" s="3">
        <f>AL551*1.0281</f>
        <v>1086.6910180409998</v>
      </c>
      <c r="AO551" s="3"/>
      <c r="AP551" s="3">
        <f>AN551*1.0281</f>
        <v>1117.2270356479519</v>
      </c>
      <c r="AQ551" s="42"/>
      <c r="AR551" s="3">
        <f>AP551*1.0281</f>
        <v>1148.6211153496592</v>
      </c>
      <c r="AS551" s="42"/>
      <c r="AT551" s="3">
        <f>AR551*1.0281</f>
        <v>1180.8973686909846</v>
      </c>
      <c r="AU551" s="42"/>
      <c r="AV551" s="3">
        <f>AT551*1.0281</f>
        <v>1214.0805847512013</v>
      </c>
      <c r="AW551" s="42"/>
      <c r="AX551" s="3">
        <f>AV551*1.0281</f>
        <v>1248.1962491827101</v>
      </c>
      <c r="AZ551" s="3">
        <f>AX551*1.0281</f>
        <v>1283.2705637847441</v>
      </c>
    </row>
    <row r="552" spans="1:52" x14ac:dyDescent="0.25">
      <c r="A552" s="3"/>
      <c r="B552" s="48">
        <f>SUM(B535:B551)+1</f>
        <v>12651</v>
      </c>
      <c r="C552" s="32"/>
      <c r="D552" s="48">
        <f>SUM(D535:D551)</f>
        <v>3026</v>
      </c>
      <c r="E552" s="48">
        <f>SUM(E535:E551)</f>
        <v>9624</v>
      </c>
      <c r="F552" s="48">
        <f>SUM(F535:F551)</f>
        <v>12650</v>
      </c>
      <c r="G552" s="32"/>
      <c r="H552" s="48">
        <f>SUM(H535:H551)</f>
        <v>0</v>
      </c>
      <c r="I552" s="36"/>
      <c r="J552" s="48">
        <f>SUM(J535:J551)</f>
        <v>4529</v>
      </c>
      <c r="K552" s="48">
        <f>SUM(K535:K551)</f>
        <v>9121</v>
      </c>
      <c r="L552" s="48">
        <f>SUM(L535:L551)</f>
        <v>13650</v>
      </c>
      <c r="M552" s="32"/>
      <c r="N552" s="48">
        <f>SUM(N535:N551)</f>
        <v>1000</v>
      </c>
      <c r="P552" s="48">
        <f>SUM(P535:P551)</f>
        <v>12850.075000000001</v>
      </c>
      <c r="R552" s="48">
        <f t="shared" ref="R552:Z552" si="338">SUM(R535:R551)</f>
        <v>0</v>
      </c>
      <c r="S552" s="48">
        <f t="shared" si="338"/>
        <v>12849.557107500001</v>
      </c>
      <c r="T552" s="48">
        <f t="shared" si="338"/>
        <v>12849.557107500001</v>
      </c>
      <c r="U552" s="48">
        <f t="shared" si="338"/>
        <v>-0.5178925000000163</v>
      </c>
      <c r="V552" s="48">
        <f t="shared" si="338"/>
        <v>2034</v>
      </c>
      <c r="W552" s="48">
        <f t="shared" si="338"/>
        <v>10616</v>
      </c>
      <c r="X552" s="48"/>
      <c r="Y552" s="48">
        <f t="shared" si="338"/>
        <v>12650</v>
      </c>
      <c r="Z552" s="48">
        <f t="shared" si="338"/>
        <v>-199.55710750000003</v>
      </c>
      <c r="AC552" s="48">
        <f>SUM(AC535:AC551)</f>
        <v>10369</v>
      </c>
      <c r="AD552" s="48">
        <f>SUM(AD535:AD551)</f>
        <v>6231</v>
      </c>
      <c r="AE552" s="48">
        <f>SUM(AE535:AE551)</f>
        <v>16600</v>
      </c>
      <c r="AF552" s="48">
        <f>SUM(AF535:AF551)</f>
        <v>3950</v>
      </c>
      <c r="AH552" s="48">
        <f>SUM(AH535:AH551)</f>
        <v>17300</v>
      </c>
      <c r="AJ552" s="48">
        <f>SUM(AJ535:AJ551)</f>
        <v>15096.365</v>
      </c>
      <c r="AL552" s="48">
        <f>SUM(AL535:AL551)</f>
        <v>15294.0328565</v>
      </c>
      <c r="AN552" s="48">
        <f>SUM(AN535:AN551)</f>
        <v>15493.04017976765</v>
      </c>
      <c r="AO552" s="48"/>
      <c r="AP552" s="48">
        <f>SUM(AP535:AP551)</f>
        <v>15693.424608819119</v>
      </c>
      <c r="AR552" s="48">
        <f>SUM(AR535:AR551)</f>
        <v>15895.224840326937</v>
      </c>
      <c r="AT552" s="48">
        <f>SUM(AT535:AT551)</f>
        <v>16098.480658340126</v>
      </c>
      <c r="AV552" s="48">
        <f>SUM(AV535:AV551)</f>
        <v>16303.232964839483</v>
      </c>
      <c r="AX552" s="48">
        <f>SUM(AX535:AX551)</f>
        <v>16509.52381115147</v>
      </c>
      <c r="AZ552" s="48">
        <f>SUM(AZ535:AZ551)</f>
        <v>16717.396430244829</v>
      </c>
    </row>
    <row r="553" spans="1:52" x14ac:dyDescent="0.25">
      <c r="A553" s="7" t="s">
        <v>420</v>
      </c>
    </row>
    <row r="554" spans="1:52" x14ac:dyDescent="0.25">
      <c r="A554" s="3" t="s">
        <v>421</v>
      </c>
      <c r="B554" s="3">
        <v>2600</v>
      </c>
      <c r="D554" s="3">
        <v>1045</v>
      </c>
      <c r="E554" s="3">
        <f>F554-D554</f>
        <v>1555</v>
      </c>
      <c r="F554" s="5">
        <v>2600</v>
      </c>
      <c r="H554" s="5">
        <f>F554-B554</f>
        <v>0</v>
      </c>
      <c r="J554" s="5">
        <v>1045</v>
      </c>
      <c r="K554" s="4">
        <f>L554-J554</f>
        <v>1555</v>
      </c>
      <c r="L554" s="4">
        <v>2600</v>
      </c>
      <c r="N554" s="4">
        <f>L554-F554</f>
        <v>0</v>
      </c>
      <c r="P554" s="3">
        <f>L554*1.0281+27+1800</f>
        <v>4500.0599999999995</v>
      </c>
      <c r="Q554" s="3"/>
      <c r="R554" s="3">
        <v>2456</v>
      </c>
      <c r="S554" s="3">
        <f>T554-R554</f>
        <v>2044</v>
      </c>
      <c r="T554" s="3">
        <v>4500</v>
      </c>
      <c r="U554" s="3">
        <f>T554-P554</f>
        <v>-5.9999999999490683E-2</v>
      </c>
      <c r="V554" s="3">
        <v>2456</v>
      </c>
      <c r="W554" s="3">
        <f>Y554-V554</f>
        <v>2044</v>
      </c>
      <c r="X554" s="3"/>
      <c r="Y554" s="3">
        <v>4500</v>
      </c>
      <c r="Z554" s="3">
        <f>Y554-T554</f>
        <v>0</v>
      </c>
      <c r="AA554" s="3"/>
      <c r="AB554" s="3"/>
      <c r="AC554" s="3">
        <v>2456</v>
      </c>
      <c r="AD554" s="3">
        <f>AE554-AC554</f>
        <v>1544</v>
      </c>
      <c r="AE554" s="3">
        <v>4000</v>
      </c>
      <c r="AF554" s="3">
        <f>AE554-Y554</f>
        <v>-500</v>
      </c>
      <c r="AG554" s="3"/>
      <c r="AH554" s="3">
        <f>AE554*1.03-20</f>
        <v>4100</v>
      </c>
      <c r="AI554" s="3"/>
      <c r="AJ554" s="3">
        <f>AH554*1.03</f>
        <v>4223</v>
      </c>
      <c r="AK554" s="3"/>
      <c r="AL554" s="3">
        <f>AJ554*1.03</f>
        <v>4349.6900000000005</v>
      </c>
      <c r="AM554" s="3">
        <f>AK554*1.03</f>
        <v>0</v>
      </c>
      <c r="AN554" s="3">
        <f>AL554*1.03</f>
        <v>4480.1807000000008</v>
      </c>
      <c r="AO554" s="3">
        <f>AM554*1.03</f>
        <v>0</v>
      </c>
      <c r="AP554" s="3">
        <f>AN554*1.03</f>
        <v>4614.5861210000012</v>
      </c>
      <c r="AQ554" s="3"/>
      <c r="AR554" s="3">
        <f>AP554*1.03</f>
        <v>4753.0237046300017</v>
      </c>
      <c r="AS554" s="3">
        <f>AQ554*1.03</f>
        <v>0</v>
      </c>
      <c r="AT554" s="3">
        <f>AR554*1.03</f>
        <v>4895.6144157689023</v>
      </c>
      <c r="AU554" s="3">
        <f>AS554*1.03</f>
        <v>0</v>
      </c>
      <c r="AV554" s="3">
        <f>AT554*1.03</f>
        <v>5042.4828482419698</v>
      </c>
      <c r="AW554" s="3"/>
      <c r="AX554" s="3">
        <f>AV554*1.03</f>
        <v>5193.7573336892292</v>
      </c>
      <c r="AY554" s="3">
        <f>AW554*1.03</f>
        <v>0</v>
      </c>
      <c r="AZ554" s="3">
        <f>AX554*1.03</f>
        <v>5349.5700536999066</v>
      </c>
    </row>
    <row r="555" spans="1:52" x14ac:dyDescent="0.25">
      <c r="A555" s="3" t="s">
        <v>368</v>
      </c>
      <c r="B555" s="3">
        <v>5600</v>
      </c>
      <c r="D555" s="3">
        <v>0</v>
      </c>
      <c r="E555" s="3">
        <f>F555-D555</f>
        <v>5600</v>
      </c>
      <c r="F555" s="5">
        <v>5600</v>
      </c>
      <c r="H555" s="5">
        <f>F555-B555</f>
        <v>0</v>
      </c>
      <c r="J555" s="5">
        <v>0</v>
      </c>
      <c r="K555" s="4">
        <f>L555-J555</f>
        <v>5600</v>
      </c>
      <c r="L555" s="4">
        <v>5600</v>
      </c>
      <c r="N555" s="4">
        <f>L555-F555</f>
        <v>0</v>
      </c>
      <c r="P555" s="3">
        <v>5600</v>
      </c>
      <c r="Q555" s="3"/>
      <c r="R555" s="3">
        <v>0</v>
      </c>
      <c r="S555" s="3">
        <f>T555-R555</f>
        <v>5600</v>
      </c>
      <c r="T555" s="3">
        <v>5600</v>
      </c>
      <c r="U555" s="3">
        <f>T555-P555</f>
        <v>0</v>
      </c>
      <c r="V555" s="3"/>
      <c r="W555" s="3">
        <f>Y555-V555</f>
        <v>5600</v>
      </c>
      <c r="X555" s="3"/>
      <c r="Y555" s="3">
        <v>5600</v>
      </c>
      <c r="Z555" s="3">
        <f>Y555-T555</f>
        <v>0</v>
      </c>
      <c r="AA555" s="3"/>
      <c r="AB555" s="3"/>
      <c r="AC555" s="3">
        <v>0</v>
      </c>
      <c r="AD555" s="3">
        <f>AE555-AC555</f>
        <v>5600</v>
      </c>
      <c r="AE555" s="3">
        <v>5600</v>
      </c>
      <c r="AF555" s="3">
        <f>AE555-Y555</f>
        <v>0</v>
      </c>
      <c r="AG555" s="3"/>
      <c r="AH555" s="3">
        <v>5600</v>
      </c>
      <c r="AI555" s="3"/>
      <c r="AJ555" s="3">
        <v>5600</v>
      </c>
      <c r="AK555" s="3"/>
      <c r="AL555" s="3">
        <v>5600</v>
      </c>
      <c r="AM555" s="3"/>
      <c r="AN555" s="3">
        <v>5600</v>
      </c>
      <c r="AO555" s="3"/>
      <c r="AP555" s="3">
        <v>5600</v>
      </c>
      <c r="AQ555" s="42"/>
      <c r="AR555" s="3">
        <v>5600</v>
      </c>
      <c r="AS555" s="42"/>
      <c r="AT555" s="3">
        <v>5600</v>
      </c>
      <c r="AU555" s="42"/>
      <c r="AV555" s="3">
        <v>5600</v>
      </c>
      <c r="AW555" s="42"/>
      <c r="AX555" s="3">
        <v>5600</v>
      </c>
      <c r="AZ555" s="3">
        <v>5600</v>
      </c>
    </row>
    <row r="556" spans="1:52" x14ac:dyDescent="0.25">
      <c r="A556" s="7"/>
      <c r="B556" s="72">
        <f>SUM(B554:B555)</f>
        <v>8200</v>
      </c>
      <c r="C556" s="32"/>
      <c r="D556" s="72">
        <f>SUM(D554:D555)</f>
        <v>1045</v>
      </c>
      <c r="E556" s="72">
        <f>SUM(E554:E555)</f>
        <v>7155</v>
      </c>
      <c r="F556" s="72">
        <f>SUM(F554:F555)</f>
        <v>8200</v>
      </c>
      <c r="G556" s="32"/>
      <c r="H556" s="72">
        <f>SUM(H554:H555)</f>
        <v>0</v>
      </c>
      <c r="I556" s="36"/>
      <c r="J556" s="72">
        <f>SUM(J554:J555)</f>
        <v>1045</v>
      </c>
      <c r="K556" s="72">
        <f>SUM(K554:K555)</f>
        <v>7155</v>
      </c>
      <c r="L556" s="72">
        <f>SUM(L554:L555)</f>
        <v>8200</v>
      </c>
      <c r="M556" s="32"/>
      <c r="N556" s="72">
        <f>SUM(N554:N555)</f>
        <v>0</v>
      </c>
      <c r="P556" s="72">
        <f>SUM(P554:P555)</f>
        <v>10100.06</v>
      </c>
      <c r="R556" s="72">
        <f t="shared" ref="R556:Z556" si="339">SUM(R554:R555)</f>
        <v>2456</v>
      </c>
      <c r="S556" s="72">
        <f t="shared" si="339"/>
        <v>7644</v>
      </c>
      <c r="T556" s="72">
        <f t="shared" si="339"/>
        <v>10100</v>
      </c>
      <c r="U556" s="72">
        <f t="shared" si="339"/>
        <v>-5.9999999999490683E-2</v>
      </c>
      <c r="V556" s="72">
        <f t="shared" si="339"/>
        <v>2456</v>
      </c>
      <c r="W556" s="72">
        <f t="shared" si="339"/>
        <v>7644</v>
      </c>
      <c r="X556" s="72"/>
      <c r="Y556" s="72">
        <f t="shared" si="339"/>
        <v>10100</v>
      </c>
      <c r="Z556" s="72">
        <f t="shared" si="339"/>
        <v>0</v>
      </c>
      <c r="AC556" s="72">
        <f>SUM(AC554:AC555)</f>
        <v>2456</v>
      </c>
      <c r="AD556" s="72">
        <f>SUM(AD554:AD555)</f>
        <v>7144</v>
      </c>
      <c r="AE556" s="72">
        <f>SUM(AE554:AE555)</f>
        <v>9600</v>
      </c>
      <c r="AF556" s="72">
        <f>SUM(AF554:AF555)</f>
        <v>-500</v>
      </c>
      <c r="AH556" s="72">
        <f>SUM(AH554:AH555)</f>
        <v>9700</v>
      </c>
      <c r="AJ556" s="72">
        <f>SUM(AJ554:AJ555)</f>
        <v>9823</v>
      </c>
      <c r="AL556" s="72">
        <f>SUM(AL554:AL555)</f>
        <v>9949.69</v>
      </c>
      <c r="AN556" s="72">
        <f>SUM(AN554:AN555)</f>
        <v>10080.180700000001</v>
      </c>
      <c r="AO556" s="72"/>
      <c r="AP556" s="72">
        <f>SUM(AP554:AP555)</f>
        <v>10214.586121</v>
      </c>
      <c r="AR556" s="72">
        <f>SUM(AR554:AR555)</f>
        <v>10353.023704630003</v>
      </c>
      <c r="AT556" s="72">
        <f>SUM(AT554:AT555)</f>
        <v>10495.614415768901</v>
      </c>
      <c r="AV556" s="72">
        <f>SUM(AV554:AV555)</f>
        <v>10642.482848241969</v>
      </c>
      <c r="AX556" s="72">
        <f>SUM(AX554:AX555)</f>
        <v>10793.757333689229</v>
      </c>
      <c r="AZ556" s="72">
        <f>SUM(AZ554:AZ555)</f>
        <v>10949.570053699907</v>
      </c>
    </row>
    <row r="557" spans="1:52" ht="15.75" thickBot="1" x14ac:dyDescent="0.3">
      <c r="A557" s="7" t="s">
        <v>249</v>
      </c>
      <c r="B557" s="43">
        <f>B556+B552</f>
        <v>20851</v>
      </c>
      <c r="C557" s="32"/>
      <c r="D557" s="43">
        <f>D556+D552</f>
        <v>4071</v>
      </c>
      <c r="E557" s="43">
        <f>E556+E552</f>
        <v>16779</v>
      </c>
      <c r="F557" s="43">
        <f>F556+F552</f>
        <v>20850</v>
      </c>
      <c r="G557" s="32"/>
      <c r="H557" s="43">
        <f>H556+H552</f>
        <v>0</v>
      </c>
      <c r="I557" s="36"/>
      <c r="J557" s="43">
        <f>J556+J552</f>
        <v>5574</v>
      </c>
      <c r="K557" s="43">
        <f>K556+K552</f>
        <v>16276</v>
      </c>
      <c r="L557" s="43">
        <f>L556+L552</f>
        <v>21850</v>
      </c>
      <c r="M557" s="32"/>
      <c r="N557" s="43">
        <f>N556+N552</f>
        <v>1000</v>
      </c>
      <c r="P557" s="43">
        <f>P556+P552</f>
        <v>22950.135000000002</v>
      </c>
      <c r="R557" s="43">
        <f t="shared" ref="R557:Z557" si="340">R556+R552</f>
        <v>2456</v>
      </c>
      <c r="S557" s="43">
        <f t="shared" si="340"/>
        <v>20493.557107500001</v>
      </c>
      <c r="T557" s="43">
        <f t="shared" si="340"/>
        <v>22949.557107500001</v>
      </c>
      <c r="U557" s="43">
        <f t="shared" si="340"/>
        <v>-0.57789249999950698</v>
      </c>
      <c r="V557" s="43">
        <f t="shared" si="340"/>
        <v>4490</v>
      </c>
      <c r="W557" s="43">
        <f t="shared" si="340"/>
        <v>18260</v>
      </c>
      <c r="X557" s="43"/>
      <c r="Y557" s="43">
        <f t="shared" si="340"/>
        <v>22750</v>
      </c>
      <c r="Z557" s="43">
        <f t="shared" si="340"/>
        <v>-199.55710750000003</v>
      </c>
      <c r="AC557" s="43">
        <f>AC556+AC552</f>
        <v>12825</v>
      </c>
      <c r="AD557" s="43">
        <f>AD556+AD552</f>
        <v>13375</v>
      </c>
      <c r="AE557" s="43">
        <f>AE556+AE552</f>
        <v>26200</v>
      </c>
      <c r="AF557" s="43">
        <f>AF556+AF552</f>
        <v>3450</v>
      </c>
      <c r="AH557" s="43">
        <f>AH556+AH552</f>
        <v>27000</v>
      </c>
      <c r="AJ557" s="43">
        <f>AJ556+AJ552</f>
        <v>24919.364999999998</v>
      </c>
      <c r="AL557" s="43">
        <f>AL556+AL552</f>
        <v>25243.7228565</v>
      </c>
      <c r="AN557" s="43">
        <f>AN556+AN552</f>
        <v>25573.22087976765</v>
      </c>
      <c r="AO557" s="43"/>
      <c r="AP557" s="43">
        <f>AP556+AP552</f>
        <v>25908.010729819121</v>
      </c>
      <c r="AR557" s="43">
        <f>AR556+AR552</f>
        <v>26248.248544956939</v>
      </c>
      <c r="AT557" s="43">
        <f>AT556+AT552</f>
        <v>26594.095074109027</v>
      </c>
      <c r="AV557" s="43">
        <f>AV556+AV552</f>
        <v>26945.71581308145</v>
      </c>
      <c r="AX557" s="43">
        <f>AX556+AX552</f>
        <v>27303.281144840701</v>
      </c>
      <c r="AZ557" s="43">
        <f>AZ556+AZ552</f>
        <v>27666.966483944736</v>
      </c>
    </row>
    <row r="558" spans="1:52" ht="15.75" thickTop="1" x14ac:dyDescent="0.25">
      <c r="A558" s="7" t="s">
        <v>113</v>
      </c>
    </row>
    <row r="559" spans="1:52" x14ac:dyDescent="0.25">
      <c r="A559" s="7" t="s">
        <v>114</v>
      </c>
    </row>
    <row r="560" spans="1:52" x14ac:dyDescent="0.25">
      <c r="A560" s="3" t="s">
        <v>422</v>
      </c>
      <c r="B560" s="3">
        <f>1500+2500</f>
        <v>4000</v>
      </c>
      <c r="D560" s="3">
        <v>909</v>
      </c>
      <c r="E560" s="3">
        <f>F560-D560</f>
        <v>3091</v>
      </c>
      <c r="F560" s="5">
        <v>4000</v>
      </c>
      <c r="H560" s="5">
        <f>F560-B560</f>
        <v>0</v>
      </c>
      <c r="J560" s="5">
        <v>910</v>
      </c>
      <c r="K560" s="4">
        <f>L560-J560</f>
        <v>3090</v>
      </c>
      <c r="L560" s="4">
        <v>4000</v>
      </c>
      <c r="N560" s="4">
        <f>L560-F560</f>
        <v>0</v>
      </c>
      <c r="P560" s="3">
        <f>L560*1.0281+138</f>
        <v>4250.3999999999996</v>
      </c>
      <c r="Q560" s="3"/>
      <c r="R560" s="3">
        <v>931</v>
      </c>
      <c r="S560" s="3">
        <f>T560-R560</f>
        <v>3069</v>
      </c>
      <c r="T560" s="3">
        <v>4000</v>
      </c>
      <c r="U560" s="3">
        <f>T560-P560</f>
        <v>-250.39999999999964</v>
      </c>
      <c r="V560" s="3">
        <v>931</v>
      </c>
      <c r="W560" s="3">
        <f>Y560-V560</f>
        <v>2069</v>
      </c>
      <c r="X560" s="3"/>
      <c r="Y560" s="3">
        <v>3000</v>
      </c>
      <c r="Z560" s="3">
        <f>Y560-T560</f>
        <v>-1000</v>
      </c>
      <c r="AA560" s="3"/>
      <c r="AB560" s="3"/>
      <c r="AC560" s="3">
        <v>1241</v>
      </c>
      <c r="AD560" s="3">
        <f>AE560-AC560</f>
        <v>1759</v>
      </c>
      <c r="AE560" s="3">
        <v>3000</v>
      </c>
      <c r="AF560" s="3">
        <f>AE560-Y560</f>
        <v>0</v>
      </c>
      <c r="AG560" s="3"/>
      <c r="AH560" s="3">
        <f>AE560*1.03+10</f>
        <v>3100</v>
      </c>
      <c r="AI560" s="3"/>
      <c r="AJ560" s="3">
        <f>AH560*1.03</f>
        <v>3193</v>
      </c>
      <c r="AK560" s="3"/>
      <c r="AL560" s="3">
        <f t="shared" ref="AL560:AP562" si="341">AJ560*1.03</f>
        <v>3288.79</v>
      </c>
      <c r="AM560" s="3">
        <f t="shared" si="341"/>
        <v>0</v>
      </c>
      <c r="AN560" s="3">
        <f t="shared" si="341"/>
        <v>3387.4537</v>
      </c>
      <c r="AO560" s="3">
        <f t="shared" si="341"/>
        <v>0</v>
      </c>
      <c r="AP560" s="3">
        <f t="shared" si="341"/>
        <v>3489.077311</v>
      </c>
      <c r="AQ560" s="3"/>
      <c r="AR560" s="3">
        <f t="shared" ref="AR560:AV562" si="342">AP560*1.03</f>
        <v>3593.7496303299999</v>
      </c>
      <c r="AS560" s="3">
        <f t="shared" si="342"/>
        <v>0</v>
      </c>
      <c r="AT560" s="3">
        <f t="shared" si="342"/>
        <v>3701.5621192398999</v>
      </c>
      <c r="AU560" s="3">
        <f t="shared" si="342"/>
        <v>0</v>
      </c>
      <c r="AV560" s="3">
        <f t="shared" si="342"/>
        <v>3812.6089828170971</v>
      </c>
      <c r="AW560" s="3"/>
      <c r="AX560" s="3">
        <f t="shared" ref="AX560:AZ562" si="343">AV560*1.03</f>
        <v>3926.9872523016102</v>
      </c>
      <c r="AY560" s="3">
        <f t="shared" si="343"/>
        <v>0</v>
      </c>
      <c r="AZ560" s="3">
        <f t="shared" si="343"/>
        <v>4044.7968698706586</v>
      </c>
    </row>
    <row r="561" spans="1:52" x14ac:dyDescent="0.25">
      <c r="A561" s="3" t="s">
        <v>423</v>
      </c>
      <c r="B561" s="3"/>
      <c r="D561" s="3"/>
      <c r="E561" s="3"/>
      <c r="K561" s="4"/>
      <c r="L561" s="4"/>
      <c r="N561" s="4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>
        <v>3636</v>
      </c>
      <c r="AD561" s="3">
        <f>AE561-AC561</f>
        <v>2364</v>
      </c>
      <c r="AE561" s="3">
        <v>6000</v>
      </c>
      <c r="AF561" s="3">
        <f>AE561-Y561</f>
        <v>6000</v>
      </c>
      <c r="AG561" s="3"/>
      <c r="AH561" s="3"/>
      <c r="AI561" s="3"/>
      <c r="AJ561" s="3">
        <f>AH561*1.03</f>
        <v>0</v>
      </c>
      <c r="AK561" s="3"/>
      <c r="AL561" s="3">
        <f t="shared" si="341"/>
        <v>0</v>
      </c>
      <c r="AM561" s="3">
        <f t="shared" si="341"/>
        <v>0</v>
      </c>
      <c r="AN561" s="3">
        <f t="shared" si="341"/>
        <v>0</v>
      </c>
      <c r="AO561" s="3">
        <f t="shared" si="341"/>
        <v>0</v>
      </c>
      <c r="AP561" s="3">
        <f t="shared" si="341"/>
        <v>0</v>
      </c>
      <c r="AQ561" s="3"/>
      <c r="AR561" s="3">
        <f t="shared" si="342"/>
        <v>0</v>
      </c>
      <c r="AS561" s="3">
        <f t="shared" si="342"/>
        <v>0</v>
      </c>
      <c r="AT561" s="3">
        <f t="shared" si="342"/>
        <v>0</v>
      </c>
      <c r="AU561" s="3">
        <f t="shared" si="342"/>
        <v>0</v>
      </c>
      <c r="AV561" s="3">
        <f t="shared" si="342"/>
        <v>0</v>
      </c>
      <c r="AW561" s="3"/>
      <c r="AX561" s="3">
        <f t="shared" si="343"/>
        <v>0</v>
      </c>
      <c r="AY561" s="3">
        <f t="shared" si="343"/>
        <v>0</v>
      </c>
      <c r="AZ561" s="3">
        <f t="shared" si="343"/>
        <v>0</v>
      </c>
    </row>
    <row r="562" spans="1:52" x14ac:dyDescent="0.25">
      <c r="A562" s="3" t="s">
        <v>424</v>
      </c>
      <c r="B562" s="3">
        <v>4500</v>
      </c>
      <c r="D562" s="3">
        <v>780</v>
      </c>
      <c r="E562" s="3">
        <f>F562-D562</f>
        <v>3220</v>
      </c>
      <c r="F562" s="5">
        <v>4000</v>
      </c>
      <c r="H562" s="5">
        <f>F562-B562</f>
        <v>-500</v>
      </c>
      <c r="J562" s="5">
        <v>1320</v>
      </c>
      <c r="K562" s="4">
        <f>L562-J562</f>
        <v>1680</v>
      </c>
      <c r="L562" s="4">
        <v>3000</v>
      </c>
      <c r="N562" s="4">
        <f>L562-F562</f>
        <v>-1000</v>
      </c>
      <c r="P562" s="3">
        <v>3500</v>
      </c>
      <c r="Q562" s="3"/>
      <c r="R562" s="3">
        <v>780</v>
      </c>
      <c r="S562" s="3">
        <f>T562-R562</f>
        <v>2720</v>
      </c>
      <c r="T562" s="3">
        <v>3500</v>
      </c>
      <c r="U562" s="3">
        <f>T562-P562</f>
        <v>0</v>
      </c>
      <c r="V562" s="3">
        <v>1560</v>
      </c>
      <c r="W562" s="3">
        <f>Y562-V562</f>
        <v>6440</v>
      </c>
      <c r="X562" s="3"/>
      <c r="Y562" s="3">
        <v>8000</v>
      </c>
      <c r="Z562" s="3">
        <f>Y562-T562</f>
        <v>4500</v>
      </c>
      <c r="AA562" s="3"/>
      <c r="AB562" s="3"/>
      <c r="AC562" s="3">
        <v>4175</v>
      </c>
      <c r="AD562" s="3">
        <f>AE562-AC562</f>
        <v>2825</v>
      </c>
      <c r="AE562" s="3">
        <v>7000</v>
      </c>
      <c r="AF562" s="3">
        <f>AE562-Y562</f>
        <v>-1000</v>
      </c>
      <c r="AG562" s="3"/>
      <c r="AH562" s="3">
        <v>7020</v>
      </c>
      <c r="AI562" s="3"/>
      <c r="AJ562" s="3">
        <f>AH562*1.03</f>
        <v>7230.6</v>
      </c>
      <c r="AK562" s="3"/>
      <c r="AL562" s="3">
        <f t="shared" si="341"/>
        <v>7447.5180000000009</v>
      </c>
      <c r="AM562" s="3">
        <f t="shared" si="341"/>
        <v>0</v>
      </c>
      <c r="AN562" s="3">
        <f t="shared" si="341"/>
        <v>7670.9435400000011</v>
      </c>
      <c r="AO562" s="3">
        <f t="shared" si="341"/>
        <v>0</v>
      </c>
      <c r="AP562" s="3">
        <f t="shared" si="341"/>
        <v>7901.0718462000013</v>
      </c>
      <c r="AQ562" s="3"/>
      <c r="AR562" s="3">
        <f t="shared" si="342"/>
        <v>8138.1040015860017</v>
      </c>
      <c r="AS562" s="3">
        <f t="shared" si="342"/>
        <v>0</v>
      </c>
      <c r="AT562" s="3">
        <f t="shared" si="342"/>
        <v>8382.2471216335816</v>
      </c>
      <c r="AU562" s="3">
        <f t="shared" si="342"/>
        <v>0</v>
      </c>
      <c r="AV562" s="3">
        <f t="shared" si="342"/>
        <v>8633.7145352825901</v>
      </c>
      <c r="AW562" s="3"/>
      <c r="AX562" s="3">
        <f t="shared" si="343"/>
        <v>8892.7259713410676</v>
      </c>
      <c r="AY562" s="3">
        <f t="shared" si="343"/>
        <v>0</v>
      </c>
      <c r="AZ562" s="3">
        <f t="shared" si="343"/>
        <v>9159.5077504812998</v>
      </c>
    </row>
    <row r="563" spans="1:52" x14ac:dyDescent="0.25">
      <c r="A563" s="3" t="s">
        <v>425</v>
      </c>
      <c r="B563" s="3">
        <v>3000</v>
      </c>
      <c r="D563" s="3">
        <v>0</v>
      </c>
      <c r="E563" s="3">
        <f>F563-D563</f>
        <v>3000</v>
      </c>
      <c r="F563" s="5">
        <v>3000</v>
      </c>
      <c r="H563" s="5">
        <f>F563-B563</f>
        <v>0</v>
      </c>
      <c r="J563" s="5">
        <v>0</v>
      </c>
      <c r="K563" s="4">
        <f>L563-J563</f>
        <v>3000</v>
      </c>
      <c r="L563" s="4">
        <v>3000</v>
      </c>
      <c r="N563" s="4">
        <f>L563-F563</f>
        <v>0</v>
      </c>
      <c r="P563" s="3"/>
      <c r="Q563" s="3"/>
      <c r="R563" s="3"/>
      <c r="S563" s="3">
        <f>T563-R563</f>
        <v>2500</v>
      </c>
      <c r="T563" s="3">
        <v>2500</v>
      </c>
      <c r="U563" s="3">
        <f>T563-P563</f>
        <v>2500</v>
      </c>
      <c r="V563" s="3"/>
      <c r="W563" s="3">
        <f>Y563-V563</f>
        <v>2500</v>
      </c>
      <c r="X563" s="3"/>
      <c r="Y563" s="3">
        <v>2500</v>
      </c>
      <c r="Z563" s="3">
        <f>Y563-T563</f>
        <v>0</v>
      </c>
      <c r="AA563" s="3"/>
      <c r="AB563" s="3"/>
      <c r="AC563" s="3">
        <v>0</v>
      </c>
      <c r="AD563" s="3">
        <f>AE563-AC563</f>
        <v>2500</v>
      </c>
      <c r="AE563" s="3">
        <v>2500</v>
      </c>
      <c r="AF563" s="3">
        <f>AE563-Y563</f>
        <v>0</v>
      </c>
      <c r="AG563" s="3"/>
      <c r="AH563" s="3">
        <v>2500</v>
      </c>
      <c r="AI563" s="3"/>
      <c r="AJ563" s="3">
        <v>2500</v>
      </c>
      <c r="AK563" s="3"/>
      <c r="AL563" s="3">
        <v>2500</v>
      </c>
      <c r="AM563" s="3"/>
      <c r="AN563" s="3">
        <v>2500</v>
      </c>
      <c r="AO563" s="3"/>
      <c r="AP563" s="3">
        <v>2500</v>
      </c>
      <c r="AQ563" s="42"/>
      <c r="AR563" s="3">
        <v>2500</v>
      </c>
      <c r="AT563" s="3">
        <v>2500</v>
      </c>
      <c r="AV563" s="3">
        <v>2500</v>
      </c>
      <c r="AX563" s="3">
        <v>2500</v>
      </c>
      <c r="AZ563" s="3">
        <v>2500</v>
      </c>
    </row>
    <row r="564" spans="1:52" x14ac:dyDescent="0.25">
      <c r="A564" s="3"/>
      <c r="B564" s="48">
        <f>SUM(B560:B563)</f>
        <v>11500</v>
      </c>
      <c r="C564" s="32"/>
      <c r="D564" s="48">
        <f>SUM(D560:D563)</f>
        <v>1689</v>
      </c>
      <c r="E564" s="48">
        <f>SUM(E560:E563)</f>
        <v>9311</v>
      </c>
      <c r="F564" s="48">
        <f>SUM(F560:F563)</f>
        <v>11000</v>
      </c>
      <c r="G564" s="32"/>
      <c r="H564" s="48">
        <f>SUM(H560:H563)</f>
        <v>-500</v>
      </c>
      <c r="I564" s="36"/>
      <c r="J564" s="48">
        <f>SUM(J560:J563)</f>
        <v>2230</v>
      </c>
      <c r="K564" s="48">
        <f>SUM(K560:K563)</f>
        <v>7770</v>
      </c>
      <c r="L564" s="48">
        <f>SUM(L560:L563)</f>
        <v>10000</v>
      </c>
      <c r="M564" s="32"/>
      <c r="N564" s="48">
        <f>SUM(N560:N563)</f>
        <v>-1000</v>
      </c>
      <c r="P564" s="48">
        <f>SUM(P560:P563)</f>
        <v>7750.4</v>
      </c>
      <c r="R564" s="48">
        <f t="shared" ref="R564:Z564" si="344">SUM(R560:R563)</f>
        <v>1711</v>
      </c>
      <c r="S564" s="48">
        <f t="shared" si="344"/>
        <v>8289</v>
      </c>
      <c r="T564" s="48">
        <f t="shared" si="344"/>
        <v>10000</v>
      </c>
      <c r="U564" s="48">
        <f t="shared" si="344"/>
        <v>2249.6000000000004</v>
      </c>
      <c r="V564" s="48">
        <f t="shared" si="344"/>
        <v>2491</v>
      </c>
      <c r="W564" s="48">
        <f t="shared" si="344"/>
        <v>11009</v>
      </c>
      <c r="X564" s="48"/>
      <c r="Y564" s="48">
        <f t="shared" si="344"/>
        <v>13500</v>
      </c>
      <c r="Z564" s="48">
        <f t="shared" si="344"/>
        <v>3500</v>
      </c>
      <c r="AC564" s="48">
        <f>SUM(AC560:AC563)</f>
        <v>9052</v>
      </c>
      <c r="AD564" s="48">
        <f>SUM(AD560:AD563)</f>
        <v>9448</v>
      </c>
      <c r="AE564" s="48">
        <f>SUM(AE560:AE563)</f>
        <v>18500</v>
      </c>
      <c r="AF564" s="48">
        <f>SUM(AF560:AF563)</f>
        <v>5000</v>
      </c>
      <c r="AH564" s="48">
        <f>SUM(AH560:AH563)</f>
        <v>12620</v>
      </c>
      <c r="AJ564" s="48">
        <f>SUM(AJ560:AJ563)</f>
        <v>12923.6</v>
      </c>
      <c r="AL564" s="48">
        <f>SUM(AL560:AL563)</f>
        <v>13236.308000000001</v>
      </c>
      <c r="AN564" s="48">
        <f>SUM(AN560:AN563)</f>
        <v>13558.397240000002</v>
      </c>
      <c r="AO564" s="48"/>
      <c r="AP564" s="48">
        <f>SUM(AP560:AP563)</f>
        <v>13890.149157200001</v>
      </c>
      <c r="AR564" s="48">
        <f>SUM(AR560:AR563)</f>
        <v>14231.853631916001</v>
      </c>
      <c r="AT564" s="48">
        <f>SUM(AT560:AT563)</f>
        <v>14583.809240873481</v>
      </c>
      <c r="AV564" s="48">
        <f>SUM(AV560:AV563)</f>
        <v>14946.323518099687</v>
      </c>
      <c r="AX564" s="48">
        <f>SUM(AX560:AX563)</f>
        <v>15319.713223642677</v>
      </c>
      <c r="AZ564" s="48">
        <f>SUM(AZ560:AZ563)</f>
        <v>15704.304620351959</v>
      </c>
    </row>
    <row r="565" spans="1:52" x14ac:dyDescent="0.25">
      <c r="A565" s="7" t="s">
        <v>426</v>
      </c>
    </row>
    <row r="566" spans="1:52" x14ac:dyDescent="0.25">
      <c r="A566" s="3" t="s">
        <v>90</v>
      </c>
    </row>
    <row r="567" spans="1:52" x14ac:dyDescent="0.25">
      <c r="A567" s="3" t="s">
        <v>427</v>
      </c>
      <c r="B567" s="3">
        <v>9000</v>
      </c>
      <c r="D567" s="3">
        <v>875</v>
      </c>
      <c r="E567" s="3">
        <f t="shared" ref="E567:E572" si="345">F567-D567</f>
        <v>8125</v>
      </c>
      <c r="F567" s="5">
        <v>9000</v>
      </c>
      <c r="H567" s="5">
        <f t="shared" ref="H567:H572" si="346">F567-B567</f>
        <v>0</v>
      </c>
      <c r="J567" s="5">
        <v>875</v>
      </c>
      <c r="K567" s="4">
        <f t="shared" ref="K567:K572" si="347">L567-J567</f>
        <v>6625</v>
      </c>
      <c r="L567" s="4">
        <v>7500</v>
      </c>
      <c r="N567" s="4">
        <f t="shared" ref="N567:N572" si="348">L567-F567</f>
        <v>-1500</v>
      </c>
      <c r="P567" s="3">
        <f>L567*1.0281+39</f>
        <v>7749.75</v>
      </c>
      <c r="Q567" s="3"/>
      <c r="R567" s="3">
        <v>0</v>
      </c>
      <c r="S567" s="3">
        <f t="shared" ref="S567:S572" si="349">T567-R567</f>
        <v>6750</v>
      </c>
      <c r="T567" s="3">
        <v>6750</v>
      </c>
      <c r="U567" s="3">
        <f t="shared" ref="U567:U572" si="350">T567-P567</f>
        <v>-999.75</v>
      </c>
      <c r="V567" s="3">
        <v>0</v>
      </c>
      <c r="W567" s="3">
        <f t="shared" ref="W567:W572" si="351">Y567-V567</f>
        <v>6750</v>
      </c>
      <c r="X567" s="3"/>
      <c r="Y567" s="3">
        <v>6750</v>
      </c>
      <c r="Z567" s="3">
        <f t="shared" ref="Z567:Z572" si="352">Y567-T567</f>
        <v>0</v>
      </c>
      <c r="AA567" s="3"/>
      <c r="AB567" s="3"/>
      <c r="AC567" s="3">
        <v>6084</v>
      </c>
      <c r="AD567" s="3">
        <f t="shared" ref="AD567:AD572" si="353">AE567-AC567</f>
        <v>1416</v>
      </c>
      <c r="AE567" s="3">
        <v>7500</v>
      </c>
      <c r="AF567" s="3">
        <f t="shared" ref="AF567:AF572" si="354">AE567-Y567</f>
        <v>750</v>
      </c>
      <c r="AG567" s="3"/>
      <c r="AH567" s="3">
        <f>AE567*1.03+275</f>
        <v>8000</v>
      </c>
      <c r="AI567" s="3"/>
      <c r="AJ567" s="3">
        <f>AH567*1.03</f>
        <v>8240</v>
      </c>
      <c r="AK567" s="3"/>
      <c r="AL567" s="3">
        <f t="shared" ref="AL567:AP570" si="355">AJ567*1.03</f>
        <v>8487.2000000000007</v>
      </c>
      <c r="AM567" s="3">
        <f t="shared" si="355"/>
        <v>0</v>
      </c>
      <c r="AN567" s="3">
        <f t="shared" si="355"/>
        <v>8741.8160000000007</v>
      </c>
      <c r="AO567" s="3">
        <f t="shared" si="355"/>
        <v>0</v>
      </c>
      <c r="AP567" s="3">
        <f t="shared" si="355"/>
        <v>9004.0704800000003</v>
      </c>
      <c r="AQ567" s="3"/>
      <c r="AR567" s="3">
        <f t="shared" ref="AR567:AV570" si="356">AP567*1.03</f>
        <v>9274.1925944000013</v>
      </c>
      <c r="AS567" s="3">
        <f t="shared" si="356"/>
        <v>0</v>
      </c>
      <c r="AT567" s="3">
        <f t="shared" si="356"/>
        <v>9552.4183722320013</v>
      </c>
      <c r="AU567" s="3">
        <f t="shared" si="356"/>
        <v>0</v>
      </c>
      <c r="AV567" s="3">
        <f t="shared" si="356"/>
        <v>9838.990923398962</v>
      </c>
      <c r="AW567" s="3"/>
      <c r="AX567" s="3">
        <f t="shared" ref="AX567:AZ570" si="357">AV567*1.03</f>
        <v>10134.16065110093</v>
      </c>
      <c r="AY567" s="3">
        <f t="shared" si="357"/>
        <v>0</v>
      </c>
      <c r="AZ567" s="3">
        <f t="shared" si="357"/>
        <v>10438.185470633958</v>
      </c>
    </row>
    <row r="568" spans="1:52" x14ac:dyDescent="0.25">
      <c r="A568" s="3" t="s">
        <v>428</v>
      </c>
      <c r="B568" s="3">
        <v>8300</v>
      </c>
      <c r="D568" s="3">
        <v>0</v>
      </c>
      <c r="E568" s="3">
        <f t="shared" si="345"/>
        <v>8300</v>
      </c>
      <c r="F568" s="5">
        <v>8300</v>
      </c>
      <c r="H568" s="5">
        <f t="shared" si="346"/>
        <v>0</v>
      </c>
      <c r="J568" s="5">
        <v>0</v>
      </c>
      <c r="K568" s="4">
        <f t="shared" si="347"/>
        <v>8300</v>
      </c>
      <c r="L568" s="4">
        <v>8300</v>
      </c>
      <c r="N568" s="4">
        <f t="shared" si="348"/>
        <v>0</v>
      </c>
      <c r="P568" s="3">
        <v>8530</v>
      </c>
      <c r="Q568" s="3"/>
      <c r="R568" s="3">
        <v>0</v>
      </c>
      <c r="S568" s="3">
        <f t="shared" si="349"/>
        <v>8530</v>
      </c>
      <c r="T568" s="3">
        <v>8530</v>
      </c>
      <c r="U568" s="3">
        <f t="shared" si="350"/>
        <v>0</v>
      </c>
      <c r="V568" s="3">
        <v>0</v>
      </c>
      <c r="W568" s="3">
        <f t="shared" si="351"/>
        <v>8530</v>
      </c>
      <c r="X568" s="3"/>
      <c r="Y568" s="3">
        <v>8530</v>
      </c>
      <c r="Z568" s="3">
        <f t="shared" si="352"/>
        <v>0</v>
      </c>
      <c r="AA568" s="3"/>
      <c r="AB568" s="3"/>
      <c r="AC568" s="3">
        <v>0</v>
      </c>
      <c r="AD568" s="3">
        <f t="shared" si="353"/>
        <v>8530</v>
      </c>
      <c r="AE568" s="3">
        <v>8530</v>
      </c>
      <c r="AF568" s="3">
        <f t="shared" si="354"/>
        <v>0</v>
      </c>
      <c r="AG568" s="3"/>
      <c r="AH568" s="3">
        <f>AE568*1.03+214</f>
        <v>8999.9</v>
      </c>
      <c r="AI568" s="3"/>
      <c r="AJ568" s="3">
        <f>AH568*1.03</f>
        <v>9269.896999999999</v>
      </c>
      <c r="AK568" s="3"/>
      <c r="AL568" s="3">
        <f t="shared" si="355"/>
        <v>9547.9939099999992</v>
      </c>
      <c r="AM568" s="3">
        <f t="shared" si="355"/>
        <v>0</v>
      </c>
      <c r="AN568" s="3">
        <f t="shared" si="355"/>
        <v>9834.4337273000001</v>
      </c>
      <c r="AO568" s="3">
        <f t="shared" si="355"/>
        <v>0</v>
      </c>
      <c r="AP568" s="3">
        <f t="shared" si="355"/>
        <v>10129.466739119</v>
      </c>
      <c r="AQ568" s="3"/>
      <c r="AR568" s="3">
        <f t="shared" si="356"/>
        <v>10433.35074129257</v>
      </c>
      <c r="AS568" s="3">
        <f t="shared" si="356"/>
        <v>0</v>
      </c>
      <c r="AT568" s="3">
        <f t="shared" si="356"/>
        <v>10746.351263531347</v>
      </c>
      <c r="AU568" s="3">
        <f t="shared" si="356"/>
        <v>0</v>
      </c>
      <c r="AV568" s="3">
        <f t="shared" si="356"/>
        <v>11068.741801437289</v>
      </c>
      <c r="AW568" s="3"/>
      <c r="AX568" s="3">
        <f t="shared" si="357"/>
        <v>11400.804055480408</v>
      </c>
      <c r="AY568" s="3">
        <f t="shared" si="357"/>
        <v>0</v>
      </c>
      <c r="AZ568" s="3">
        <f t="shared" si="357"/>
        <v>11742.82817714482</v>
      </c>
    </row>
    <row r="569" spans="1:52" x14ac:dyDescent="0.25">
      <c r="A569" s="3" t="s">
        <v>429</v>
      </c>
      <c r="B569" s="3">
        <v>16000</v>
      </c>
      <c r="D569" s="3">
        <v>362</v>
      </c>
      <c r="E569" s="3">
        <f t="shared" si="345"/>
        <v>15638</v>
      </c>
      <c r="F569" s="5">
        <v>16000</v>
      </c>
      <c r="H569" s="5">
        <f t="shared" si="346"/>
        <v>0</v>
      </c>
      <c r="J569" s="5">
        <v>658</v>
      </c>
      <c r="K569" s="4">
        <f t="shared" si="347"/>
        <v>8842</v>
      </c>
      <c r="L569" s="4">
        <v>9500</v>
      </c>
      <c r="N569" s="4">
        <f t="shared" si="348"/>
        <v>-6500</v>
      </c>
      <c r="P569" s="3">
        <v>12500</v>
      </c>
      <c r="Q569" s="3"/>
      <c r="R569" s="3">
        <v>3306</v>
      </c>
      <c r="S569" s="3">
        <f t="shared" si="349"/>
        <v>9194</v>
      </c>
      <c r="T569" s="3">
        <v>12500</v>
      </c>
      <c r="U569" s="3">
        <f t="shared" si="350"/>
        <v>0</v>
      </c>
      <c r="V569" s="3">
        <v>6573</v>
      </c>
      <c r="W569" s="3">
        <f t="shared" si="351"/>
        <v>5927</v>
      </c>
      <c r="X569" s="3"/>
      <c r="Y569" s="3">
        <v>12500</v>
      </c>
      <c r="Z569" s="3">
        <f t="shared" si="352"/>
        <v>0</v>
      </c>
      <c r="AA569" s="3"/>
      <c r="AB569" s="3"/>
      <c r="AC569" s="3">
        <v>9510</v>
      </c>
      <c r="AD569" s="3">
        <f t="shared" si="353"/>
        <v>3490</v>
      </c>
      <c r="AE569" s="3">
        <v>13000</v>
      </c>
      <c r="AF569" s="3">
        <f t="shared" si="354"/>
        <v>500</v>
      </c>
      <c r="AG569" s="3"/>
      <c r="AH569" s="3">
        <f>AE569*1.03+110</f>
        <v>13500</v>
      </c>
      <c r="AI569" s="3"/>
      <c r="AJ569" s="3">
        <f>AH569*1.03</f>
        <v>13905</v>
      </c>
      <c r="AK569" s="3"/>
      <c r="AL569" s="3">
        <f t="shared" si="355"/>
        <v>14322.15</v>
      </c>
      <c r="AM569" s="3">
        <f t="shared" si="355"/>
        <v>0</v>
      </c>
      <c r="AN569" s="3">
        <f t="shared" si="355"/>
        <v>14751.8145</v>
      </c>
      <c r="AO569" s="3">
        <f t="shared" si="355"/>
        <v>0</v>
      </c>
      <c r="AP569" s="3">
        <f t="shared" si="355"/>
        <v>15194.368935</v>
      </c>
      <c r="AQ569" s="3"/>
      <c r="AR569" s="3">
        <f t="shared" si="356"/>
        <v>15650.20000305</v>
      </c>
      <c r="AS569" s="3">
        <f t="shared" si="356"/>
        <v>0</v>
      </c>
      <c r="AT569" s="3">
        <f t="shared" si="356"/>
        <v>16119.7060031415</v>
      </c>
      <c r="AU569" s="3">
        <f t="shared" si="356"/>
        <v>0</v>
      </c>
      <c r="AV569" s="3">
        <f t="shared" si="356"/>
        <v>16603.297183235747</v>
      </c>
      <c r="AW569" s="3"/>
      <c r="AX569" s="3">
        <f t="shared" si="357"/>
        <v>17101.396098732821</v>
      </c>
      <c r="AY569" s="3">
        <f t="shared" si="357"/>
        <v>0</v>
      </c>
      <c r="AZ569" s="3">
        <f t="shared" si="357"/>
        <v>17614.437981694806</v>
      </c>
    </row>
    <row r="570" spans="1:52" x14ac:dyDescent="0.25">
      <c r="A570" s="3" t="s">
        <v>430</v>
      </c>
      <c r="B570" s="3">
        <v>6000</v>
      </c>
      <c r="D570" s="3">
        <v>0</v>
      </c>
      <c r="E570" s="3">
        <f t="shared" si="345"/>
        <v>6000</v>
      </c>
      <c r="F570" s="5">
        <v>6000</v>
      </c>
      <c r="H570" s="5">
        <f t="shared" si="346"/>
        <v>0</v>
      </c>
      <c r="J570" s="5">
        <v>0</v>
      </c>
      <c r="K570" s="4">
        <f t="shared" si="347"/>
        <v>5000</v>
      </c>
      <c r="L570" s="4">
        <v>5000</v>
      </c>
      <c r="N570" s="4">
        <f t="shared" si="348"/>
        <v>-1000</v>
      </c>
      <c r="P570" s="3">
        <f>L570*1.0281+9</f>
        <v>5149.5</v>
      </c>
      <c r="Q570" s="3"/>
      <c r="R570" s="3">
        <v>0</v>
      </c>
      <c r="S570" s="3">
        <f t="shared" si="349"/>
        <v>5150</v>
      </c>
      <c r="T570" s="3">
        <v>5150</v>
      </c>
      <c r="U570" s="3">
        <f t="shared" si="350"/>
        <v>0.5</v>
      </c>
      <c r="V570" s="3"/>
      <c r="W570" s="3">
        <f t="shared" si="351"/>
        <v>5150</v>
      </c>
      <c r="X570" s="3"/>
      <c r="Y570" s="3">
        <v>5150</v>
      </c>
      <c r="Z570" s="3">
        <f t="shared" si="352"/>
        <v>0</v>
      </c>
      <c r="AA570" s="3"/>
      <c r="AB570" s="3"/>
      <c r="AC570" s="3">
        <v>0</v>
      </c>
      <c r="AD570" s="3">
        <f t="shared" si="353"/>
        <v>4000</v>
      </c>
      <c r="AE570" s="3">
        <v>4000</v>
      </c>
      <c r="AF570" s="3">
        <f t="shared" si="354"/>
        <v>-1150</v>
      </c>
      <c r="AG570" s="3"/>
      <c r="AH570" s="3">
        <f>AE570*1.03+380</f>
        <v>4500</v>
      </c>
      <c r="AI570" s="3"/>
      <c r="AJ570" s="3">
        <f>AH570*1.03</f>
        <v>4635</v>
      </c>
      <c r="AK570" s="3"/>
      <c r="AL570" s="3">
        <f t="shared" si="355"/>
        <v>4774.05</v>
      </c>
      <c r="AM570" s="3">
        <f t="shared" si="355"/>
        <v>0</v>
      </c>
      <c r="AN570" s="3">
        <f t="shared" si="355"/>
        <v>4917.2715000000007</v>
      </c>
      <c r="AO570" s="3">
        <f t="shared" si="355"/>
        <v>0</v>
      </c>
      <c r="AP570" s="3">
        <f t="shared" si="355"/>
        <v>5064.7896450000007</v>
      </c>
      <c r="AQ570" s="3"/>
      <c r="AR570" s="3">
        <f t="shared" si="356"/>
        <v>5216.7333343500013</v>
      </c>
      <c r="AS570" s="3">
        <f t="shared" si="356"/>
        <v>0</v>
      </c>
      <c r="AT570" s="3">
        <f t="shared" si="356"/>
        <v>5373.2353343805016</v>
      </c>
      <c r="AU570" s="3">
        <f t="shared" si="356"/>
        <v>0</v>
      </c>
      <c r="AV570" s="3">
        <f t="shared" si="356"/>
        <v>5534.4323944119169</v>
      </c>
      <c r="AW570" s="3"/>
      <c r="AX570" s="3">
        <f t="shared" si="357"/>
        <v>5700.4653662442743</v>
      </c>
      <c r="AY570" s="3">
        <f t="shared" si="357"/>
        <v>0</v>
      </c>
      <c r="AZ570" s="3">
        <f t="shared" si="357"/>
        <v>5871.4793272316028</v>
      </c>
    </row>
    <row r="571" spans="1:52" x14ac:dyDescent="0.25">
      <c r="A571" s="3" t="s">
        <v>431</v>
      </c>
      <c r="B571" s="5">
        <v>5000</v>
      </c>
      <c r="D571" s="5">
        <v>0</v>
      </c>
      <c r="E571" s="3">
        <f t="shared" si="345"/>
        <v>5000</v>
      </c>
      <c r="F571" s="5">
        <v>5000</v>
      </c>
      <c r="H571" s="5">
        <f t="shared" si="346"/>
        <v>0</v>
      </c>
      <c r="J571" s="5">
        <v>0</v>
      </c>
      <c r="K571" s="4">
        <f t="shared" si="347"/>
        <v>5000</v>
      </c>
      <c r="L571" s="4">
        <v>5000</v>
      </c>
      <c r="N571" s="4">
        <f t="shared" si="348"/>
        <v>0</v>
      </c>
      <c r="P571" s="3">
        <v>1000</v>
      </c>
      <c r="Q571" s="3"/>
      <c r="R571" s="3">
        <v>0</v>
      </c>
      <c r="S571" s="3">
        <f t="shared" si="349"/>
        <v>1000</v>
      </c>
      <c r="T571" s="3">
        <v>1000</v>
      </c>
      <c r="U571" s="3">
        <f t="shared" si="350"/>
        <v>0</v>
      </c>
      <c r="V571" s="3"/>
      <c r="W571" s="3">
        <f t="shared" si="351"/>
        <v>1000</v>
      </c>
      <c r="X571" s="3"/>
      <c r="Y571" s="3">
        <v>1000</v>
      </c>
      <c r="Z571" s="3">
        <f t="shared" si="352"/>
        <v>0</v>
      </c>
      <c r="AA571" s="3"/>
      <c r="AB571" s="3"/>
      <c r="AC571" s="3">
        <v>0</v>
      </c>
      <c r="AD571" s="3">
        <f t="shared" si="353"/>
        <v>0</v>
      </c>
      <c r="AE571" s="3">
        <v>0</v>
      </c>
      <c r="AF571" s="3">
        <f t="shared" si="354"/>
        <v>-1000</v>
      </c>
      <c r="AG571" s="3"/>
      <c r="AH571" s="3">
        <f>AE571*1.03</f>
        <v>0</v>
      </c>
      <c r="AI571" s="3"/>
      <c r="AJ571" s="3">
        <f>AH571*1.0281</f>
        <v>0</v>
      </c>
      <c r="AK571" s="3"/>
      <c r="AL571" s="3">
        <f>AJ571*1.0281</f>
        <v>0</v>
      </c>
      <c r="AM571" s="3"/>
      <c r="AN571" s="3">
        <f>AL571*1.0281</f>
        <v>0</v>
      </c>
      <c r="AO571" s="3"/>
      <c r="AP571" s="3">
        <f>AN571*1.0281</f>
        <v>0</v>
      </c>
      <c r="AQ571" s="42"/>
      <c r="AR571" s="3">
        <f>AP571*1.0281</f>
        <v>0</v>
      </c>
      <c r="AS571" s="42"/>
      <c r="AT571" s="3">
        <f>AR571*1.0281</f>
        <v>0</v>
      </c>
      <c r="AU571" s="42"/>
      <c r="AV571" s="3">
        <f>AT571*1.0281</f>
        <v>0</v>
      </c>
      <c r="AW571" s="42"/>
      <c r="AX571" s="3">
        <f>AV571*1.0281</f>
        <v>0</v>
      </c>
      <c r="AZ571" s="3">
        <f>AX571*1.0281</f>
        <v>0</v>
      </c>
    </row>
    <row r="572" spans="1:52" x14ac:dyDescent="0.25">
      <c r="A572" s="3" t="s">
        <v>432</v>
      </c>
      <c r="B572" s="5">
        <v>2000</v>
      </c>
      <c r="D572" s="5">
        <v>0</v>
      </c>
      <c r="E572" s="3">
        <f t="shared" si="345"/>
        <v>2000</v>
      </c>
      <c r="F572" s="5">
        <v>2000</v>
      </c>
      <c r="H572" s="5">
        <f t="shared" si="346"/>
        <v>0</v>
      </c>
      <c r="J572" s="5">
        <v>0</v>
      </c>
      <c r="K572" s="4">
        <f t="shared" si="347"/>
        <v>2000</v>
      </c>
      <c r="L572" s="4">
        <v>2000</v>
      </c>
      <c r="N572" s="4">
        <f t="shared" si="348"/>
        <v>0</v>
      </c>
      <c r="S572" s="3">
        <f t="shared" si="349"/>
        <v>0</v>
      </c>
      <c r="T572" s="3"/>
      <c r="U572" s="3">
        <f t="shared" si="350"/>
        <v>0</v>
      </c>
      <c r="W572" s="3">
        <f t="shared" si="351"/>
        <v>0</v>
      </c>
      <c r="X572" s="3"/>
      <c r="Z572" s="3">
        <f t="shared" si="352"/>
        <v>0</v>
      </c>
      <c r="AD572" s="3">
        <f t="shared" si="353"/>
        <v>0</v>
      </c>
      <c r="AE572" s="3"/>
      <c r="AF572" s="3">
        <f t="shared" si="354"/>
        <v>0</v>
      </c>
    </row>
    <row r="573" spans="1:52" x14ac:dyDescent="0.25">
      <c r="A573" s="3"/>
      <c r="B573" s="48">
        <f>SUM(B566:B572)</f>
        <v>46300</v>
      </c>
      <c r="C573" s="32"/>
      <c r="D573" s="48">
        <f>SUM(D566:D572)</f>
        <v>1237</v>
      </c>
      <c r="E573" s="48">
        <f>SUM(E566:E572)</f>
        <v>45063</v>
      </c>
      <c r="F573" s="48">
        <f>SUM(F566:F572)</f>
        <v>46300</v>
      </c>
      <c r="G573" s="32"/>
      <c r="H573" s="48">
        <f>SUM(H566:H572)</f>
        <v>0</v>
      </c>
      <c r="I573" s="36"/>
      <c r="J573" s="48">
        <f>SUM(J566:J572)</f>
        <v>1533</v>
      </c>
      <c r="K573" s="48">
        <f>SUM(K566:K572)</f>
        <v>35767</v>
      </c>
      <c r="L573" s="48">
        <f>SUM(L566:L572)</f>
        <v>37300</v>
      </c>
      <c r="M573" s="32"/>
      <c r="N573" s="48">
        <f>SUM(N566:N572)</f>
        <v>-9000</v>
      </c>
      <c r="P573" s="48">
        <f>SUM(P566:P572)</f>
        <v>34929.25</v>
      </c>
      <c r="R573" s="48">
        <f t="shared" ref="R573:Z573" si="358">SUM(R566:R572)</f>
        <v>3306</v>
      </c>
      <c r="S573" s="48">
        <f t="shared" si="358"/>
        <v>30624</v>
      </c>
      <c r="T573" s="48">
        <f t="shared" si="358"/>
        <v>33930</v>
      </c>
      <c r="U573" s="48">
        <f t="shared" si="358"/>
        <v>-999.25</v>
      </c>
      <c r="V573" s="48">
        <f t="shared" si="358"/>
        <v>6573</v>
      </c>
      <c r="W573" s="48">
        <f t="shared" si="358"/>
        <v>27357</v>
      </c>
      <c r="X573" s="48"/>
      <c r="Y573" s="48">
        <f t="shared" si="358"/>
        <v>33930</v>
      </c>
      <c r="Z573" s="48">
        <f t="shared" si="358"/>
        <v>0</v>
      </c>
      <c r="AC573" s="48">
        <f>SUM(AC566:AC572)</f>
        <v>15594</v>
      </c>
      <c r="AD573" s="48">
        <f>SUM(AD566:AD572)</f>
        <v>17436</v>
      </c>
      <c r="AE573" s="48">
        <f>SUM(AE566:AE572)</f>
        <v>33030</v>
      </c>
      <c r="AF573" s="48">
        <f>SUM(AF566:AF572)</f>
        <v>-900</v>
      </c>
      <c r="AH573" s="48">
        <f>SUM(AH566:AH572)</f>
        <v>34999.9</v>
      </c>
      <c r="AJ573" s="48">
        <f>SUM(AJ566:AJ572)</f>
        <v>36049.896999999997</v>
      </c>
      <c r="AL573" s="48">
        <f>SUM(AL566:AL572)</f>
        <v>37131.393910000006</v>
      </c>
      <c r="AN573" s="48">
        <f>SUM(AN566:AN572)</f>
        <v>38245.3357273</v>
      </c>
      <c r="AO573" s="48"/>
      <c r="AP573" s="48">
        <f>SUM(AP566:AP572)</f>
        <v>39392.695799118999</v>
      </c>
      <c r="AR573" s="48">
        <f>SUM(AR566:AR572)</f>
        <v>40574.476673092569</v>
      </c>
      <c r="AT573" s="48">
        <f>SUM(AT566:AT572)</f>
        <v>41791.71097328535</v>
      </c>
      <c r="AV573" s="48">
        <f>SUM(AV566:AV572)</f>
        <v>43045.462302483917</v>
      </c>
      <c r="AX573" s="48">
        <f>SUM(AX566:AX572)</f>
        <v>44336.826171558438</v>
      </c>
      <c r="AZ573" s="48">
        <f>SUM(AZ566:AZ572)</f>
        <v>45666.930956705182</v>
      </c>
    </row>
    <row r="574" spans="1:52" x14ac:dyDescent="0.25">
      <c r="A574" s="7" t="s">
        <v>433</v>
      </c>
    </row>
    <row r="575" spans="1:52" x14ac:dyDescent="0.25">
      <c r="A575" s="3" t="s">
        <v>434</v>
      </c>
      <c r="B575" s="3">
        <v>35020</v>
      </c>
      <c r="D575" s="3">
        <v>0</v>
      </c>
      <c r="E575" s="3">
        <f t="shared" ref="E575:E593" si="359">F575-D575</f>
        <v>35020</v>
      </c>
      <c r="F575" s="5">
        <v>35020</v>
      </c>
      <c r="H575" s="5">
        <f t="shared" ref="H575:H593" si="360">F575-B575</f>
        <v>0</v>
      </c>
      <c r="J575" s="5">
        <v>0</v>
      </c>
      <c r="K575" s="4">
        <f t="shared" ref="K575:K593" si="361">L575-J575</f>
        <v>35020</v>
      </c>
      <c r="L575" s="4">
        <v>35020</v>
      </c>
      <c r="N575" s="4">
        <f t="shared" ref="N575:N593" si="362">L575-F575</f>
        <v>0</v>
      </c>
      <c r="P575" s="3">
        <v>36070</v>
      </c>
      <c r="Q575" s="3"/>
      <c r="R575" s="3">
        <v>0</v>
      </c>
      <c r="S575" s="3">
        <f t="shared" ref="S575:S593" si="363">T575-R575</f>
        <v>36070</v>
      </c>
      <c r="T575" s="3">
        <v>36070</v>
      </c>
      <c r="U575" s="3">
        <f t="shared" ref="U575:U593" si="364">T575-P575</f>
        <v>0</v>
      </c>
      <c r="V575" s="3"/>
      <c r="W575" s="3">
        <f t="shared" ref="W575:W593" si="365">Y575-V575</f>
        <v>36070</v>
      </c>
      <c r="X575" s="3"/>
      <c r="Y575" s="3">
        <v>36070</v>
      </c>
      <c r="Z575" s="3">
        <f t="shared" ref="Z575:Z593" si="366">Y575-T575</f>
        <v>0</v>
      </c>
      <c r="AA575" s="3"/>
      <c r="AB575" s="3"/>
      <c r="AC575" s="3">
        <v>0</v>
      </c>
      <c r="AD575" s="3">
        <f t="shared" ref="AD575:AD593" si="367">AE575-AC575</f>
        <v>36070</v>
      </c>
      <c r="AE575" s="3">
        <v>36070</v>
      </c>
      <c r="AF575" s="3">
        <f t="shared" ref="AF575:AF593" si="368">AE575-Y575</f>
        <v>0</v>
      </c>
      <c r="AG575" s="3"/>
      <c r="AH575" s="3">
        <f>AE575*1.05+26</f>
        <v>37899.5</v>
      </c>
      <c r="AI575" s="3"/>
      <c r="AJ575" s="3">
        <f>AH575*1.05</f>
        <v>39794.474999999999</v>
      </c>
      <c r="AK575" s="3"/>
      <c r="AL575" s="3">
        <f>AJ575*1.05</f>
        <v>41784.198750000003</v>
      </c>
      <c r="AM575" s="3"/>
      <c r="AN575" s="3">
        <f>AL575*1.05</f>
        <v>43873.408687500007</v>
      </c>
      <c r="AO575" s="3"/>
      <c r="AP575" s="3">
        <f>AN575*1.05</f>
        <v>46067.079121875009</v>
      </c>
      <c r="AQ575" s="3"/>
      <c r="AR575" s="3">
        <f>AP575*1.05</f>
        <v>48370.433077968759</v>
      </c>
      <c r="AS575" s="42"/>
      <c r="AT575" s="3">
        <f>AR575*1.05</f>
        <v>50788.954731867198</v>
      </c>
      <c r="AU575" s="42"/>
      <c r="AV575" s="3">
        <f>AT575*1.05</f>
        <v>53328.402468460561</v>
      </c>
      <c r="AW575" s="42"/>
      <c r="AX575" s="3">
        <f>AV575*1.05</f>
        <v>55994.822591883589</v>
      </c>
      <c r="AZ575" s="3">
        <f>AX575*1.05</f>
        <v>58794.563721477767</v>
      </c>
    </row>
    <row r="576" spans="1:52" x14ac:dyDescent="0.25">
      <c r="A576" s="3" t="s">
        <v>435</v>
      </c>
      <c r="B576" s="3">
        <v>7720</v>
      </c>
      <c r="D576" s="3">
        <v>0</v>
      </c>
      <c r="E576" s="3">
        <f t="shared" si="359"/>
        <v>7720</v>
      </c>
      <c r="F576" s="5">
        <v>7720</v>
      </c>
      <c r="H576" s="5">
        <f t="shared" si="360"/>
        <v>0</v>
      </c>
      <c r="J576" s="5">
        <v>0</v>
      </c>
      <c r="K576" s="4">
        <f t="shared" si="361"/>
        <v>7720</v>
      </c>
      <c r="L576" s="4">
        <v>7720</v>
      </c>
      <c r="N576" s="4">
        <f t="shared" si="362"/>
        <v>0</v>
      </c>
      <c r="P576" s="3">
        <v>7940</v>
      </c>
      <c r="Q576" s="3"/>
      <c r="R576" s="3">
        <v>0</v>
      </c>
      <c r="S576" s="3">
        <f t="shared" si="363"/>
        <v>7940</v>
      </c>
      <c r="T576" s="3">
        <v>7940</v>
      </c>
      <c r="U576" s="3">
        <f t="shared" si="364"/>
        <v>0</v>
      </c>
      <c r="V576" s="3"/>
      <c r="W576" s="3">
        <f t="shared" si="365"/>
        <v>7940</v>
      </c>
      <c r="X576" s="3"/>
      <c r="Y576" s="3">
        <v>7940</v>
      </c>
      <c r="Z576" s="3">
        <f t="shared" si="366"/>
        <v>0</v>
      </c>
      <c r="AA576" s="3"/>
      <c r="AB576" s="3"/>
      <c r="AC576" s="3">
        <v>0</v>
      </c>
      <c r="AD576" s="3">
        <f t="shared" si="367"/>
        <v>7940</v>
      </c>
      <c r="AE576" s="3">
        <v>7940</v>
      </c>
      <c r="AF576" s="3">
        <f t="shared" si="368"/>
        <v>0</v>
      </c>
      <c r="AG576" s="3"/>
      <c r="AH576" s="3">
        <f>AE576*1.05+13</f>
        <v>8350</v>
      </c>
      <c r="AI576" s="3"/>
      <c r="AJ576" s="3">
        <f>AH576*1.05</f>
        <v>8767.5</v>
      </c>
      <c r="AK576" s="3"/>
      <c r="AL576" s="3">
        <f>AJ576*1.05</f>
        <v>9205.875</v>
      </c>
      <c r="AM576" s="3"/>
      <c r="AN576" s="3">
        <f>AL576*1.05</f>
        <v>9666.1687500000007</v>
      </c>
      <c r="AO576" s="3"/>
      <c r="AP576" s="3">
        <f>AN576*1.05</f>
        <v>10149.477187500001</v>
      </c>
      <c r="AQ576" s="42"/>
      <c r="AR576" s="3">
        <f>AP576*1.05</f>
        <v>10656.951046875001</v>
      </c>
      <c r="AS576" s="42"/>
      <c r="AT576" s="3">
        <f>AR576*1.05</f>
        <v>11189.798599218751</v>
      </c>
      <c r="AU576" s="42"/>
      <c r="AV576" s="3">
        <f>AT576*1.05</f>
        <v>11749.28852917969</v>
      </c>
      <c r="AW576" s="42"/>
      <c r="AX576" s="3">
        <f>AV576*1.05</f>
        <v>12336.752955638674</v>
      </c>
      <c r="AZ576" s="3">
        <f>AX576*1.05</f>
        <v>12953.590603420609</v>
      </c>
    </row>
    <row r="577" spans="1:52" x14ac:dyDescent="0.25">
      <c r="A577" s="3" t="s">
        <v>436</v>
      </c>
      <c r="B577" s="3">
        <v>31850</v>
      </c>
      <c r="D577" s="3">
        <v>6800</v>
      </c>
      <c r="E577" s="3">
        <f t="shared" si="359"/>
        <v>25050</v>
      </c>
      <c r="F577" s="5">
        <v>31850</v>
      </c>
      <c r="H577" s="5">
        <f t="shared" si="360"/>
        <v>0</v>
      </c>
      <c r="J577" s="3">
        <v>13188</v>
      </c>
      <c r="K577" s="4">
        <f t="shared" si="361"/>
        <v>16812</v>
      </c>
      <c r="L577" s="4">
        <v>30000</v>
      </c>
      <c r="N577" s="4">
        <f t="shared" si="362"/>
        <v>-1850</v>
      </c>
      <c r="P577" s="3">
        <f>L577*1.0275+75</f>
        <v>30900.000000000004</v>
      </c>
      <c r="Q577" s="3"/>
      <c r="R577" s="3">
        <v>7052</v>
      </c>
      <c r="S577" s="3">
        <f t="shared" si="363"/>
        <v>23848</v>
      </c>
      <c r="T577" s="3">
        <v>30900</v>
      </c>
      <c r="U577" s="3">
        <f t="shared" si="364"/>
        <v>0</v>
      </c>
      <c r="V577" s="3">
        <v>13221</v>
      </c>
      <c r="W577" s="3">
        <f t="shared" si="365"/>
        <v>17679</v>
      </c>
      <c r="X577" s="3"/>
      <c r="Y577" s="3">
        <v>30900</v>
      </c>
      <c r="Z577" s="3">
        <f t="shared" si="366"/>
        <v>0</v>
      </c>
      <c r="AA577" s="3"/>
      <c r="AB577" s="3"/>
      <c r="AC577" s="3">
        <v>19589</v>
      </c>
      <c r="AD577" s="3">
        <f t="shared" si="367"/>
        <v>12311</v>
      </c>
      <c r="AE577" s="3">
        <v>31900</v>
      </c>
      <c r="AF577" s="3">
        <f t="shared" si="368"/>
        <v>1000</v>
      </c>
      <c r="AG577" s="3"/>
      <c r="AH577" s="3">
        <f>AE577*1.0325+13</f>
        <v>32949.75</v>
      </c>
      <c r="AI577" s="3"/>
      <c r="AJ577" s="3">
        <f t="shared" ref="AJ577:AJ590" si="369">AH577*1.03</f>
        <v>33938.2425</v>
      </c>
      <c r="AK577" s="3"/>
      <c r="AL577" s="3">
        <f t="shared" ref="AL577:AP590" si="370">AJ577*1.03</f>
        <v>34956.389775000003</v>
      </c>
      <c r="AM577" s="3">
        <f t="shared" si="370"/>
        <v>0</v>
      </c>
      <c r="AN577" s="3">
        <f t="shared" si="370"/>
        <v>36005.081468250006</v>
      </c>
      <c r="AO577" s="3">
        <f t="shared" si="370"/>
        <v>0</v>
      </c>
      <c r="AP577" s="3">
        <f t="shared" si="370"/>
        <v>37085.23391229751</v>
      </c>
      <c r="AQ577" s="3"/>
      <c r="AR577" s="3">
        <f t="shared" ref="AR577:AV590" si="371">AP577*1.03</f>
        <v>38197.790929666437</v>
      </c>
      <c r="AS577" s="3">
        <f t="shared" si="371"/>
        <v>0</v>
      </c>
      <c r="AT577" s="3">
        <f t="shared" si="371"/>
        <v>39343.724657556428</v>
      </c>
      <c r="AU577" s="3">
        <f t="shared" si="371"/>
        <v>0</v>
      </c>
      <c r="AV577" s="3">
        <f t="shared" si="371"/>
        <v>40524.036397283118</v>
      </c>
      <c r="AW577" s="3"/>
      <c r="AX577" s="3">
        <f t="shared" ref="AX577:AZ590" si="372">AV577*1.03</f>
        <v>41739.757489201613</v>
      </c>
      <c r="AY577" s="3">
        <f t="shared" si="372"/>
        <v>0</v>
      </c>
      <c r="AZ577" s="3">
        <f t="shared" si="372"/>
        <v>42991.950213877659</v>
      </c>
    </row>
    <row r="578" spans="1:52" x14ac:dyDescent="0.25">
      <c r="A578" s="3" t="s">
        <v>437</v>
      </c>
      <c r="B578" s="3">
        <v>33000</v>
      </c>
      <c r="D578" s="3">
        <v>13434</v>
      </c>
      <c r="E578" s="3">
        <f t="shared" si="359"/>
        <v>40166</v>
      </c>
      <c r="F578" s="5">
        <v>53600</v>
      </c>
      <c r="H578" s="5">
        <f t="shared" si="360"/>
        <v>20600</v>
      </c>
      <c r="J578" s="3">
        <v>24421</v>
      </c>
      <c r="K578" s="4">
        <f t="shared" si="361"/>
        <v>28179</v>
      </c>
      <c r="L578" s="4">
        <v>52600</v>
      </c>
      <c r="N578" s="4">
        <f t="shared" si="362"/>
        <v>-1000</v>
      </c>
      <c r="P578" s="3">
        <f>B578*1.0325+27</f>
        <v>34099.5</v>
      </c>
      <c r="Q578" s="3"/>
      <c r="R578" s="3">
        <v>11712</v>
      </c>
      <c r="S578" s="3">
        <f t="shared" si="363"/>
        <v>22388</v>
      </c>
      <c r="T578" s="3">
        <v>34100</v>
      </c>
      <c r="U578" s="3">
        <f t="shared" si="364"/>
        <v>0.5</v>
      </c>
      <c r="V578" s="3">
        <v>23379</v>
      </c>
      <c r="W578" s="3">
        <f t="shared" si="365"/>
        <v>10721</v>
      </c>
      <c r="X578" s="3"/>
      <c r="Y578" s="3">
        <v>34100</v>
      </c>
      <c r="Z578" s="3">
        <f t="shared" si="366"/>
        <v>0</v>
      </c>
      <c r="AA578" s="3"/>
      <c r="AB578" s="3"/>
      <c r="AC578" s="3">
        <v>15409</v>
      </c>
      <c r="AD578" s="3">
        <f t="shared" si="367"/>
        <v>14591</v>
      </c>
      <c r="AE578" s="3">
        <v>30000</v>
      </c>
      <c r="AF578" s="3">
        <f t="shared" si="368"/>
        <v>-4100</v>
      </c>
      <c r="AG578" s="3"/>
      <c r="AH578" s="3">
        <f>AE578*1.03</f>
        <v>30900</v>
      </c>
      <c r="AI578" s="3"/>
      <c r="AJ578" s="3">
        <f t="shared" si="369"/>
        <v>31827</v>
      </c>
      <c r="AK578" s="3"/>
      <c r="AL578" s="3">
        <f t="shared" si="370"/>
        <v>32781.81</v>
      </c>
      <c r="AM578" s="3">
        <f t="shared" si="370"/>
        <v>0</v>
      </c>
      <c r="AN578" s="3">
        <f t="shared" si="370"/>
        <v>33765.264299999995</v>
      </c>
      <c r="AO578" s="3">
        <f t="shared" si="370"/>
        <v>0</v>
      </c>
      <c r="AP578" s="3">
        <f t="shared" si="370"/>
        <v>34778.222228999999</v>
      </c>
      <c r="AQ578" s="3"/>
      <c r="AR578" s="3">
        <f t="shared" si="371"/>
        <v>35821.568895869998</v>
      </c>
      <c r="AS578" s="3">
        <f t="shared" si="371"/>
        <v>0</v>
      </c>
      <c r="AT578" s="3">
        <f t="shared" si="371"/>
        <v>36896.215962746101</v>
      </c>
      <c r="AU578" s="3">
        <f t="shared" si="371"/>
        <v>0</v>
      </c>
      <c r="AV578" s="3">
        <f t="shared" si="371"/>
        <v>38003.102441628485</v>
      </c>
      <c r="AW578" s="3"/>
      <c r="AX578" s="3">
        <f t="shared" si="372"/>
        <v>39143.195514877341</v>
      </c>
      <c r="AY578" s="3">
        <f t="shared" si="372"/>
        <v>0</v>
      </c>
      <c r="AZ578" s="3">
        <f t="shared" si="372"/>
        <v>40317.491380323663</v>
      </c>
    </row>
    <row r="579" spans="1:52" x14ac:dyDescent="0.25">
      <c r="A579" s="3" t="s">
        <v>438</v>
      </c>
      <c r="B579" s="3">
        <v>17000</v>
      </c>
      <c r="D579" s="3">
        <v>4617</v>
      </c>
      <c r="E579" s="3">
        <f t="shared" si="359"/>
        <v>15383</v>
      </c>
      <c r="F579" s="5">
        <v>20000</v>
      </c>
      <c r="H579" s="5">
        <f t="shared" si="360"/>
        <v>3000</v>
      </c>
      <c r="J579" s="3">
        <v>0</v>
      </c>
      <c r="K579" s="4">
        <f t="shared" si="361"/>
        <v>15000</v>
      </c>
      <c r="L579" s="4">
        <v>15000</v>
      </c>
      <c r="N579" s="4">
        <f t="shared" si="362"/>
        <v>-5000</v>
      </c>
      <c r="P579" s="3">
        <f>B579*1.0325+47</f>
        <v>17599.5</v>
      </c>
      <c r="Q579" s="3"/>
      <c r="R579" s="3"/>
      <c r="S579" s="3">
        <f t="shared" si="363"/>
        <v>17600</v>
      </c>
      <c r="T579" s="3">
        <v>17600</v>
      </c>
      <c r="U579" s="3">
        <f t="shared" si="364"/>
        <v>0.5</v>
      </c>
      <c r="V579" s="3">
        <v>12955</v>
      </c>
      <c r="W579" s="3">
        <f t="shared" si="365"/>
        <v>4645</v>
      </c>
      <c r="X579" s="3"/>
      <c r="Y579" s="3">
        <v>17600</v>
      </c>
      <c r="Z579" s="3">
        <f t="shared" si="366"/>
        <v>0</v>
      </c>
      <c r="AA579" s="3"/>
      <c r="AB579" s="3"/>
      <c r="AC579" s="3">
        <v>7875</v>
      </c>
      <c r="AD579" s="3">
        <f t="shared" si="367"/>
        <v>7125</v>
      </c>
      <c r="AE579" s="3">
        <v>15000</v>
      </c>
      <c r="AF579" s="3">
        <f t="shared" si="368"/>
        <v>-2600</v>
      </c>
      <c r="AG579" s="3"/>
      <c r="AH579" s="3">
        <f t="shared" ref="AH579:AH590" si="373">AE579*1.03</f>
        <v>15450</v>
      </c>
      <c r="AI579" s="3"/>
      <c r="AJ579" s="3">
        <f t="shared" si="369"/>
        <v>15913.5</v>
      </c>
      <c r="AK579" s="3"/>
      <c r="AL579" s="3">
        <f t="shared" si="370"/>
        <v>16390.904999999999</v>
      </c>
      <c r="AM579" s="3">
        <f t="shared" si="370"/>
        <v>0</v>
      </c>
      <c r="AN579" s="3">
        <f t="shared" si="370"/>
        <v>16882.632149999998</v>
      </c>
      <c r="AO579" s="3">
        <f t="shared" si="370"/>
        <v>0</v>
      </c>
      <c r="AP579" s="3">
        <f t="shared" si="370"/>
        <v>17389.1111145</v>
      </c>
      <c r="AQ579" s="3"/>
      <c r="AR579" s="3">
        <f t="shared" si="371"/>
        <v>17910.784447934999</v>
      </c>
      <c r="AS579" s="3">
        <f t="shared" si="371"/>
        <v>0</v>
      </c>
      <c r="AT579" s="3">
        <f t="shared" si="371"/>
        <v>18448.10798137305</v>
      </c>
      <c r="AU579" s="3">
        <f t="shared" si="371"/>
        <v>0</v>
      </c>
      <c r="AV579" s="3">
        <f t="shared" si="371"/>
        <v>19001.551220814243</v>
      </c>
      <c r="AW579" s="3"/>
      <c r="AX579" s="3">
        <f t="shared" si="372"/>
        <v>19571.597757438671</v>
      </c>
      <c r="AY579" s="3">
        <f t="shared" si="372"/>
        <v>0</v>
      </c>
      <c r="AZ579" s="3">
        <f t="shared" si="372"/>
        <v>20158.745690161832</v>
      </c>
    </row>
    <row r="580" spans="1:52" x14ac:dyDescent="0.25">
      <c r="A580" s="3" t="s">
        <v>439</v>
      </c>
      <c r="B580" s="3">
        <v>23450</v>
      </c>
      <c r="D580" s="3"/>
      <c r="E580" s="3">
        <f t="shared" si="359"/>
        <v>0</v>
      </c>
      <c r="F580" s="5">
        <v>0</v>
      </c>
      <c r="H580" s="5">
        <f t="shared" si="360"/>
        <v>-23450</v>
      </c>
      <c r="J580" s="3">
        <v>0</v>
      </c>
      <c r="K580" s="4">
        <f t="shared" si="361"/>
        <v>0</v>
      </c>
      <c r="L580" s="4">
        <v>0</v>
      </c>
      <c r="N580" s="4">
        <f t="shared" si="362"/>
        <v>0</v>
      </c>
      <c r="P580" s="3">
        <f>B580*1.0325+88</f>
        <v>24300.125</v>
      </c>
      <c r="Q580" s="3"/>
      <c r="R580" s="3"/>
      <c r="S580" s="3">
        <f t="shared" si="363"/>
        <v>24300</v>
      </c>
      <c r="T580" s="3">
        <v>24300</v>
      </c>
      <c r="U580" s="3">
        <f t="shared" si="364"/>
        <v>-0.125</v>
      </c>
      <c r="V580" s="3"/>
      <c r="W580" s="3">
        <f t="shared" si="365"/>
        <v>24300</v>
      </c>
      <c r="X580" s="3"/>
      <c r="Y580" s="3">
        <v>24300</v>
      </c>
      <c r="Z580" s="3">
        <f t="shared" si="366"/>
        <v>0</v>
      </c>
      <c r="AA580" s="3"/>
      <c r="AB580" s="3"/>
      <c r="AC580" s="3">
        <v>10959</v>
      </c>
      <c r="AD580" s="3">
        <f t="shared" si="367"/>
        <v>9041</v>
      </c>
      <c r="AE580" s="3">
        <v>20000</v>
      </c>
      <c r="AF580" s="3">
        <f t="shared" si="368"/>
        <v>-4300</v>
      </c>
      <c r="AG580" s="3"/>
      <c r="AH580" s="3">
        <f t="shared" si="373"/>
        <v>20600</v>
      </c>
      <c r="AI580" s="3"/>
      <c r="AJ580" s="3">
        <f t="shared" si="369"/>
        <v>21218</v>
      </c>
      <c r="AK580" s="3"/>
      <c r="AL580" s="3">
        <f t="shared" si="370"/>
        <v>21854.54</v>
      </c>
      <c r="AM580" s="3">
        <f t="shared" si="370"/>
        <v>0</v>
      </c>
      <c r="AN580" s="3">
        <f t="shared" si="370"/>
        <v>22510.176200000002</v>
      </c>
      <c r="AO580" s="3">
        <f t="shared" si="370"/>
        <v>0</v>
      </c>
      <c r="AP580" s="3">
        <f t="shared" si="370"/>
        <v>23185.481486000001</v>
      </c>
      <c r="AQ580" s="3"/>
      <c r="AR580" s="3">
        <f t="shared" si="371"/>
        <v>23881.04593058</v>
      </c>
      <c r="AS580" s="3">
        <f t="shared" si="371"/>
        <v>0</v>
      </c>
      <c r="AT580" s="3">
        <f t="shared" si="371"/>
        <v>24597.4773084974</v>
      </c>
      <c r="AU580" s="3">
        <f t="shared" si="371"/>
        <v>0</v>
      </c>
      <c r="AV580" s="3">
        <f t="shared" si="371"/>
        <v>25335.401627752322</v>
      </c>
      <c r="AW580" s="3"/>
      <c r="AX580" s="3">
        <f t="shared" si="372"/>
        <v>26095.463676584892</v>
      </c>
      <c r="AY580" s="3">
        <f t="shared" si="372"/>
        <v>0</v>
      </c>
      <c r="AZ580" s="3">
        <f t="shared" si="372"/>
        <v>26878.327586882438</v>
      </c>
    </row>
    <row r="581" spans="1:52" x14ac:dyDescent="0.25">
      <c r="A581" s="3" t="s">
        <v>440</v>
      </c>
      <c r="B581" s="3">
        <v>24950</v>
      </c>
      <c r="D581" s="3">
        <v>10283</v>
      </c>
      <c r="E581" s="3">
        <f t="shared" si="359"/>
        <v>14667</v>
      </c>
      <c r="F581" s="5">
        <v>24950</v>
      </c>
      <c r="H581" s="5">
        <f t="shared" si="360"/>
        <v>0</v>
      </c>
      <c r="J581" s="3">
        <v>13592</v>
      </c>
      <c r="K581" s="4">
        <f t="shared" si="361"/>
        <v>11358</v>
      </c>
      <c r="L581" s="4">
        <v>24950</v>
      </c>
      <c r="N581" s="4">
        <f t="shared" si="362"/>
        <v>0</v>
      </c>
      <c r="P581" s="3">
        <f>B581*1.0281-1</f>
        <v>25650.095000000001</v>
      </c>
      <c r="Q581" s="3"/>
      <c r="R581" s="3">
        <v>6722</v>
      </c>
      <c r="S581" s="3">
        <f t="shared" si="363"/>
        <v>18928</v>
      </c>
      <c r="T581" s="3">
        <v>25650</v>
      </c>
      <c r="U581" s="3">
        <f t="shared" si="364"/>
        <v>-9.5000000001164153E-2</v>
      </c>
      <c r="V581" s="3"/>
      <c r="W581" s="3">
        <f t="shared" si="365"/>
        <v>25650</v>
      </c>
      <c r="X581" s="3"/>
      <c r="Y581" s="3">
        <v>25650</v>
      </c>
      <c r="Z581" s="3">
        <f t="shared" si="366"/>
        <v>0</v>
      </c>
      <c r="AA581" s="3"/>
      <c r="AB581" s="3"/>
      <c r="AC581" s="3">
        <v>19100</v>
      </c>
      <c r="AD581" s="3">
        <f t="shared" si="367"/>
        <v>8400</v>
      </c>
      <c r="AE581" s="3">
        <v>27500</v>
      </c>
      <c r="AF581" s="3">
        <f t="shared" si="368"/>
        <v>1850</v>
      </c>
      <c r="AG581" s="3"/>
      <c r="AH581" s="3">
        <f>AE581*1.03+25</f>
        <v>28350</v>
      </c>
      <c r="AI581" s="3"/>
      <c r="AJ581" s="3">
        <f t="shared" si="369"/>
        <v>29200.5</v>
      </c>
      <c r="AK581" s="3"/>
      <c r="AL581" s="3">
        <f t="shared" si="370"/>
        <v>30076.514999999999</v>
      </c>
      <c r="AM581" s="3">
        <f t="shared" si="370"/>
        <v>0</v>
      </c>
      <c r="AN581" s="3">
        <f t="shared" si="370"/>
        <v>30978.810450000001</v>
      </c>
      <c r="AO581" s="3">
        <f t="shared" si="370"/>
        <v>0</v>
      </c>
      <c r="AP581" s="3">
        <f t="shared" si="370"/>
        <v>31908.174763500003</v>
      </c>
      <c r="AQ581" s="3"/>
      <c r="AR581" s="3">
        <f t="shared" si="371"/>
        <v>32865.420006405002</v>
      </c>
      <c r="AS581" s="3">
        <f t="shared" si="371"/>
        <v>0</v>
      </c>
      <c r="AT581" s="3">
        <f t="shared" si="371"/>
        <v>33851.382606597152</v>
      </c>
      <c r="AU581" s="3">
        <f t="shared" si="371"/>
        <v>0</v>
      </c>
      <c r="AV581" s="3">
        <f t="shared" si="371"/>
        <v>34866.924084795064</v>
      </c>
      <c r="AW581" s="3"/>
      <c r="AX581" s="3">
        <f t="shared" si="372"/>
        <v>35912.931807338915</v>
      </c>
      <c r="AY581" s="3">
        <f t="shared" si="372"/>
        <v>0</v>
      </c>
      <c r="AZ581" s="3">
        <f t="shared" si="372"/>
        <v>36990.319761559083</v>
      </c>
    </row>
    <row r="582" spans="1:52" x14ac:dyDescent="0.25">
      <c r="A582" s="3" t="s">
        <v>441</v>
      </c>
      <c r="B582" s="3">
        <v>3200</v>
      </c>
      <c r="D582" s="3"/>
      <c r="E582" s="3">
        <f t="shared" si="359"/>
        <v>3200</v>
      </c>
      <c r="F582" s="5">
        <v>3200</v>
      </c>
      <c r="H582" s="5">
        <f t="shared" si="360"/>
        <v>0</v>
      </c>
      <c r="J582" s="3">
        <v>6862</v>
      </c>
      <c r="K582" s="4">
        <f t="shared" si="361"/>
        <v>2138</v>
      </c>
      <c r="L582" s="4">
        <v>9000</v>
      </c>
      <c r="N582" s="4">
        <f t="shared" si="362"/>
        <v>5800</v>
      </c>
      <c r="P582" s="3">
        <f>L582*1.0281+47</f>
        <v>9299.9</v>
      </c>
      <c r="Q582" s="3"/>
      <c r="R582" s="3"/>
      <c r="S582" s="3">
        <f t="shared" si="363"/>
        <v>9300</v>
      </c>
      <c r="T582" s="3">
        <v>9300</v>
      </c>
      <c r="U582" s="3">
        <f t="shared" si="364"/>
        <v>0.1000000000003638</v>
      </c>
      <c r="V582" s="3"/>
      <c r="W582" s="3">
        <f t="shared" si="365"/>
        <v>9300</v>
      </c>
      <c r="X582" s="3"/>
      <c r="Y582" s="3">
        <v>9300</v>
      </c>
      <c r="Z582" s="3">
        <f t="shared" si="366"/>
        <v>0</v>
      </c>
      <c r="AA582" s="3"/>
      <c r="AB582" s="3"/>
      <c r="AC582" s="3">
        <v>0</v>
      </c>
      <c r="AD582" s="3">
        <f t="shared" si="367"/>
        <v>5000</v>
      </c>
      <c r="AE582" s="3">
        <v>5000</v>
      </c>
      <c r="AF582" s="3">
        <f t="shared" si="368"/>
        <v>-4300</v>
      </c>
      <c r="AG582" s="3"/>
      <c r="AH582" s="3">
        <f t="shared" si="373"/>
        <v>5150</v>
      </c>
      <c r="AI582" s="3"/>
      <c r="AJ582" s="3">
        <f t="shared" si="369"/>
        <v>5304.5</v>
      </c>
      <c r="AK582" s="3"/>
      <c r="AL582" s="3">
        <f t="shared" si="370"/>
        <v>5463.6350000000002</v>
      </c>
      <c r="AM582" s="3">
        <f t="shared" si="370"/>
        <v>0</v>
      </c>
      <c r="AN582" s="3">
        <f t="shared" si="370"/>
        <v>5627.5440500000004</v>
      </c>
      <c r="AO582" s="3">
        <f t="shared" si="370"/>
        <v>0</v>
      </c>
      <c r="AP582" s="3">
        <f t="shared" si="370"/>
        <v>5796.3703715000001</v>
      </c>
      <c r="AQ582" s="3"/>
      <c r="AR582" s="3">
        <f t="shared" si="371"/>
        <v>5970.2614826449999</v>
      </c>
      <c r="AS582" s="3">
        <f t="shared" si="371"/>
        <v>0</v>
      </c>
      <c r="AT582" s="3">
        <f t="shared" si="371"/>
        <v>6149.3693271243501</v>
      </c>
      <c r="AU582" s="3">
        <f t="shared" si="371"/>
        <v>0</v>
      </c>
      <c r="AV582" s="3">
        <f t="shared" si="371"/>
        <v>6333.8504069380806</v>
      </c>
      <c r="AW582" s="3"/>
      <c r="AX582" s="3">
        <f t="shared" si="372"/>
        <v>6523.865919146223</v>
      </c>
      <c r="AY582" s="3">
        <f t="shared" si="372"/>
        <v>0</v>
      </c>
      <c r="AZ582" s="3">
        <f t="shared" si="372"/>
        <v>6719.5818967206096</v>
      </c>
    </row>
    <row r="583" spans="1:52" x14ac:dyDescent="0.25">
      <c r="A583" s="3" t="s">
        <v>442</v>
      </c>
      <c r="B583" s="3">
        <v>79600</v>
      </c>
      <c r="D583" s="3">
        <v>28004</v>
      </c>
      <c r="E583" s="3">
        <f t="shared" si="359"/>
        <v>51596</v>
      </c>
      <c r="F583" s="5">
        <v>79600</v>
      </c>
      <c r="H583" s="5">
        <f t="shared" si="360"/>
        <v>0</v>
      </c>
      <c r="J583" s="3">
        <v>62822</v>
      </c>
      <c r="K583" s="4">
        <f t="shared" si="361"/>
        <v>16778</v>
      </c>
      <c r="L583" s="4">
        <v>79600</v>
      </c>
      <c r="N583" s="4">
        <f t="shared" si="362"/>
        <v>0</v>
      </c>
      <c r="P583" s="3">
        <f>L583*1.0281+63</f>
        <v>81899.759999999995</v>
      </c>
      <c r="Q583" s="3"/>
      <c r="R583" s="3">
        <v>27820</v>
      </c>
      <c r="S583" s="3">
        <f t="shared" si="363"/>
        <v>54080</v>
      </c>
      <c r="T583" s="3">
        <v>81900</v>
      </c>
      <c r="U583" s="3">
        <f t="shared" si="364"/>
        <v>0.24000000000523869</v>
      </c>
      <c r="V583" s="3">
        <v>68748</v>
      </c>
      <c r="W583" s="3">
        <f t="shared" si="365"/>
        <v>13152</v>
      </c>
      <c r="X583" s="3"/>
      <c r="Y583" s="3">
        <v>81900</v>
      </c>
      <c r="Z583" s="3">
        <f t="shared" si="366"/>
        <v>0</v>
      </c>
      <c r="AA583" s="3"/>
      <c r="AB583" s="3"/>
      <c r="AC583" s="3">
        <v>114784</v>
      </c>
      <c r="AD583" s="3">
        <f t="shared" si="367"/>
        <v>15216</v>
      </c>
      <c r="AE583" s="3">
        <v>130000</v>
      </c>
      <c r="AF583" s="3">
        <f t="shared" si="368"/>
        <v>48100</v>
      </c>
      <c r="AG583" s="3"/>
      <c r="AH583" s="3">
        <f t="shared" si="373"/>
        <v>133900</v>
      </c>
      <c r="AI583" s="3"/>
      <c r="AJ583" s="3">
        <f t="shared" si="369"/>
        <v>137917</v>
      </c>
      <c r="AK583" s="3"/>
      <c r="AL583" s="3">
        <f t="shared" si="370"/>
        <v>142054.51</v>
      </c>
      <c r="AM583" s="3">
        <f t="shared" si="370"/>
        <v>0</v>
      </c>
      <c r="AN583" s="3">
        <f t="shared" si="370"/>
        <v>146316.1453</v>
      </c>
      <c r="AO583" s="3">
        <f t="shared" si="370"/>
        <v>0</v>
      </c>
      <c r="AP583" s="3">
        <f t="shared" si="370"/>
        <v>150705.629659</v>
      </c>
      <c r="AQ583" s="3"/>
      <c r="AR583" s="3">
        <f t="shared" si="371"/>
        <v>155226.79854876999</v>
      </c>
      <c r="AS583" s="3">
        <f t="shared" si="371"/>
        <v>0</v>
      </c>
      <c r="AT583" s="3">
        <f t="shared" si="371"/>
        <v>159883.60250523311</v>
      </c>
      <c r="AU583" s="3">
        <f t="shared" si="371"/>
        <v>0</v>
      </c>
      <c r="AV583" s="3">
        <f t="shared" si="371"/>
        <v>164680.11058039012</v>
      </c>
      <c r="AW583" s="3"/>
      <c r="AX583" s="3">
        <f t="shared" si="372"/>
        <v>169620.51389780184</v>
      </c>
      <c r="AY583" s="3">
        <f t="shared" si="372"/>
        <v>0</v>
      </c>
      <c r="AZ583" s="3">
        <f t="shared" si="372"/>
        <v>174709.12931473591</v>
      </c>
    </row>
    <row r="584" spans="1:52" x14ac:dyDescent="0.25">
      <c r="A584" s="3" t="s">
        <v>443</v>
      </c>
      <c r="B584" s="3">
        <v>47750</v>
      </c>
      <c r="D584" s="3">
        <v>5617</v>
      </c>
      <c r="E584" s="3">
        <f t="shared" si="359"/>
        <v>41983</v>
      </c>
      <c r="F584" s="5">
        <v>47600</v>
      </c>
      <c r="H584" s="5">
        <f t="shared" si="360"/>
        <v>-150</v>
      </c>
      <c r="J584" s="3">
        <v>16127</v>
      </c>
      <c r="K584" s="4">
        <f t="shared" si="361"/>
        <v>31473</v>
      </c>
      <c r="L584" s="4">
        <v>47600</v>
      </c>
      <c r="N584" s="4">
        <f t="shared" si="362"/>
        <v>0</v>
      </c>
      <c r="P584" s="3">
        <f>L584*1.0281+62</f>
        <v>48999.56</v>
      </c>
      <c r="Q584" s="3"/>
      <c r="R584" s="3">
        <v>3816</v>
      </c>
      <c r="S584" s="3">
        <f t="shared" si="363"/>
        <v>45184</v>
      </c>
      <c r="T584" s="3">
        <v>49000</v>
      </c>
      <c r="U584" s="3">
        <f t="shared" si="364"/>
        <v>0.44000000000232831</v>
      </c>
      <c r="V584" s="3">
        <v>7366</v>
      </c>
      <c r="W584" s="3">
        <f t="shared" si="365"/>
        <v>41634</v>
      </c>
      <c r="X584" s="3"/>
      <c r="Y584" s="3">
        <v>49000</v>
      </c>
      <c r="Z584" s="3">
        <f t="shared" si="366"/>
        <v>0</v>
      </c>
      <c r="AA584" s="3"/>
      <c r="AB584" s="3"/>
      <c r="AC584" s="3">
        <v>10861</v>
      </c>
      <c r="AD584" s="3">
        <f t="shared" si="367"/>
        <v>9139</v>
      </c>
      <c r="AE584" s="3">
        <v>20000</v>
      </c>
      <c r="AF584" s="3">
        <f t="shared" si="368"/>
        <v>-29000</v>
      </c>
      <c r="AG584" s="3"/>
      <c r="AH584" s="3">
        <f t="shared" si="373"/>
        <v>20600</v>
      </c>
      <c r="AI584" s="3"/>
      <c r="AJ584" s="3">
        <f t="shared" si="369"/>
        <v>21218</v>
      </c>
      <c r="AK584" s="3"/>
      <c r="AL584" s="3">
        <f t="shared" si="370"/>
        <v>21854.54</v>
      </c>
      <c r="AM584" s="3">
        <f t="shared" si="370"/>
        <v>0</v>
      </c>
      <c r="AN584" s="3">
        <f t="shared" si="370"/>
        <v>22510.176200000002</v>
      </c>
      <c r="AO584" s="3">
        <f t="shared" si="370"/>
        <v>0</v>
      </c>
      <c r="AP584" s="3">
        <f t="shared" si="370"/>
        <v>23185.481486000001</v>
      </c>
      <c r="AQ584" s="3"/>
      <c r="AR584" s="3">
        <f t="shared" si="371"/>
        <v>23881.04593058</v>
      </c>
      <c r="AS584" s="3">
        <f t="shared" si="371"/>
        <v>0</v>
      </c>
      <c r="AT584" s="3">
        <f t="shared" si="371"/>
        <v>24597.4773084974</v>
      </c>
      <c r="AU584" s="3">
        <f t="shared" si="371"/>
        <v>0</v>
      </c>
      <c r="AV584" s="3">
        <f t="shared" si="371"/>
        <v>25335.401627752322</v>
      </c>
      <c r="AW584" s="3"/>
      <c r="AX584" s="3">
        <f t="shared" si="372"/>
        <v>26095.463676584892</v>
      </c>
      <c r="AY584" s="3">
        <f t="shared" si="372"/>
        <v>0</v>
      </c>
      <c r="AZ584" s="3">
        <f t="shared" si="372"/>
        <v>26878.327586882438</v>
      </c>
    </row>
    <row r="585" spans="1:52" x14ac:dyDescent="0.25">
      <c r="A585" s="3" t="s">
        <v>444</v>
      </c>
      <c r="B585" s="3">
        <v>26550</v>
      </c>
      <c r="D585" s="3">
        <v>7101</v>
      </c>
      <c r="E585" s="3">
        <f t="shared" si="359"/>
        <v>19449</v>
      </c>
      <c r="F585" s="5">
        <v>26550</v>
      </c>
      <c r="H585" s="5">
        <f t="shared" si="360"/>
        <v>0</v>
      </c>
      <c r="J585" s="3">
        <v>12880</v>
      </c>
      <c r="K585" s="4">
        <f t="shared" si="361"/>
        <v>13620</v>
      </c>
      <c r="L585" s="4">
        <v>26500</v>
      </c>
      <c r="N585" s="4">
        <f t="shared" si="362"/>
        <v>-50</v>
      </c>
      <c r="P585" s="3">
        <f>L585*1.0281+55</f>
        <v>27299.65</v>
      </c>
      <c r="Q585" s="3"/>
      <c r="R585" s="3">
        <v>5105</v>
      </c>
      <c r="S585" s="3">
        <f t="shared" si="363"/>
        <v>22195</v>
      </c>
      <c r="T585" s="3">
        <v>27300</v>
      </c>
      <c r="U585" s="3">
        <f t="shared" si="364"/>
        <v>0.34999999999854481</v>
      </c>
      <c r="V585" s="3">
        <v>12063</v>
      </c>
      <c r="W585" s="3">
        <f t="shared" si="365"/>
        <v>15237</v>
      </c>
      <c r="X585" s="3"/>
      <c r="Y585" s="3">
        <v>27300</v>
      </c>
      <c r="Z585" s="3">
        <f t="shared" si="366"/>
        <v>0</v>
      </c>
      <c r="AA585" s="3"/>
      <c r="AB585" s="3"/>
      <c r="AC585" s="3">
        <v>18905</v>
      </c>
      <c r="AD585" s="3">
        <f t="shared" si="367"/>
        <v>10395</v>
      </c>
      <c r="AE585" s="3">
        <v>29300</v>
      </c>
      <c r="AF585" s="3">
        <f t="shared" si="368"/>
        <v>2000</v>
      </c>
      <c r="AG585" s="3"/>
      <c r="AH585" s="3">
        <f>AE585*1.03+21</f>
        <v>30200</v>
      </c>
      <c r="AI585" s="3"/>
      <c r="AJ585" s="3">
        <f t="shared" si="369"/>
        <v>31106</v>
      </c>
      <c r="AK585" s="3"/>
      <c r="AL585" s="3">
        <f t="shared" si="370"/>
        <v>32039.18</v>
      </c>
      <c r="AM585" s="3">
        <f t="shared" si="370"/>
        <v>0</v>
      </c>
      <c r="AN585" s="3">
        <f t="shared" si="370"/>
        <v>33000.3554</v>
      </c>
      <c r="AO585" s="3">
        <f t="shared" si="370"/>
        <v>0</v>
      </c>
      <c r="AP585" s="3">
        <f t="shared" si="370"/>
        <v>33990.366062000001</v>
      </c>
      <c r="AQ585" s="3"/>
      <c r="AR585" s="3">
        <f t="shared" si="371"/>
        <v>35010.077043860001</v>
      </c>
      <c r="AS585" s="3">
        <f t="shared" si="371"/>
        <v>0</v>
      </c>
      <c r="AT585" s="3">
        <f t="shared" si="371"/>
        <v>36060.379355175799</v>
      </c>
      <c r="AU585" s="3">
        <f t="shared" si="371"/>
        <v>0</v>
      </c>
      <c r="AV585" s="3">
        <f t="shared" si="371"/>
        <v>37142.190735831071</v>
      </c>
      <c r="AW585" s="3"/>
      <c r="AX585" s="3">
        <f t="shared" si="372"/>
        <v>38256.456457906002</v>
      </c>
      <c r="AY585" s="3">
        <f t="shared" si="372"/>
        <v>0</v>
      </c>
      <c r="AZ585" s="3">
        <f t="shared" si="372"/>
        <v>39404.150151643182</v>
      </c>
    </row>
    <row r="586" spans="1:52" x14ac:dyDescent="0.25">
      <c r="A586" s="3" t="s">
        <v>445</v>
      </c>
      <c r="B586" s="3">
        <v>2000</v>
      </c>
      <c r="D586" s="3">
        <v>175</v>
      </c>
      <c r="E586" s="3">
        <f t="shared" si="359"/>
        <v>1825</v>
      </c>
      <c r="F586" s="5">
        <v>2000</v>
      </c>
      <c r="H586" s="5">
        <f t="shared" si="360"/>
        <v>0</v>
      </c>
      <c r="J586" s="3">
        <v>292</v>
      </c>
      <c r="K586" s="4">
        <f t="shared" si="361"/>
        <v>1708</v>
      </c>
      <c r="L586" s="4">
        <v>2000</v>
      </c>
      <c r="N586" s="4">
        <f t="shared" si="362"/>
        <v>0</v>
      </c>
      <c r="P586" s="3">
        <f>L586*1.0281-6</f>
        <v>2050.1999999999998</v>
      </c>
      <c r="Q586" s="3"/>
      <c r="R586" s="3">
        <v>4918</v>
      </c>
      <c r="S586" s="3">
        <f t="shared" si="363"/>
        <v>2132</v>
      </c>
      <c r="T586" s="3">
        <v>7050</v>
      </c>
      <c r="U586" s="3">
        <f t="shared" si="364"/>
        <v>4999.8</v>
      </c>
      <c r="V586" s="3">
        <v>9257</v>
      </c>
      <c r="W586" s="3">
        <f t="shared" si="365"/>
        <v>4243</v>
      </c>
      <c r="X586" s="3"/>
      <c r="Y586" s="3">
        <v>13500</v>
      </c>
      <c r="Z586" s="3">
        <f t="shared" si="366"/>
        <v>6450</v>
      </c>
      <c r="AA586" s="3"/>
      <c r="AB586" s="3"/>
      <c r="AC586" s="3">
        <v>15259</v>
      </c>
      <c r="AD586" s="3">
        <f t="shared" si="367"/>
        <v>7141</v>
      </c>
      <c r="AE586" s="3">
        <v>22400</v>
      </c>
      <c r="AF586" s="3">
        <f t="shared" si="368"/>
        <v>8900</v>
      </c>
      <c r="AG586" s="3"/>
      <c r="AH586" s="3">
        <f>AE586*1.03+28</f>
        <v>23100</v>
      </c>
      <c r="AI586" s="3"/>
      <c r="AJ586" s="3">
        <f t="shared" si="369"/>
        <v>23793</v>
      </c>
      <c r="AK586" s="3"/>
      <c r="AL586" s="3">
        <f t="shared" si="370"/>
        <v>24506.79</v>
      </c>
      <c r="AM586" s="3">
        <f t="shared" si="370"/>
        <v>0</v>
      </c>
      <c r="AN586" s="3">
        <f t="shared" si="370"/>
        <v>25241.993700000003</v>
      </c>
      <c r="AO586" s="3">
        <f t="shared" si="370"/>
        <v>0</v>
      </c>
      <c r="AP586" s="3">
        <f t="shared" si="370"/>
        <v>25999.253511000003</v>
      </c>
      <c r="AQ586" s="3"/>
      <c r="AR586" s="3">
        <f t="shared" si="371"/>
        <v>26779.231116330004</v>
      </c>
      <c r="AS586" s="3">
        <f t="shared" si="371"/>
        <v>0</v>
      </c>
      <c r="AT586" s="3">
        <f t="shared" si="371"/>
        <v>27582.608049819904</v>
      </c>
      <c r="AU586" s="3">
        <f t="shared" si="371"/>
        <v>0</v>
      </c>
      <c r="AV586" s="3">
        <f t="shared" si="371"/>
        <v>28410.086291314503</v>
      </c>
      <c r="AW586" s="3"/>
      <c r="AX586" s="3">
        <f t="shared" si="372"/>
        <v>29262.388880053939</v>
      </c>
      <c r="AY586" s="3">
        <f t="shared" si="372"/>
        <v>0</v>
      </c>
      <c r="AZ586" s="3">
        <f t="shared" si="372"/>
        <v>30140.260546455556</v>
      </c>
    </row>
    <row r="587" spans="1:52" x14ac:dyDescent="0.25">
      <c r="A587" s="3" t="s">
        <v>446</v>
      </c>
      <c r="B587" s="3">
        <v>1600</v>
      </c>
      <c r="D587" s="3"/>
      <c r="E587" s="3">
        <f t="shared" si="359"/>
        <v>1600</v>
      </c>
      <c r="F587" s="5">
        <v>1600</v>
      </c>
      <c r="H587" s="5">
        <f>F587-B587</f>
        <v>0</v>
      </c>
      <c r="J587" s="3"/>
      <c r="K587" s="4">
        <f t="shared" si="361"/>
        <v>0</v>
      </c>
      <c r="L587" s="4"/>
      <c r="N587" s="4">
        <f t="shared" si="362"/>
        <v>-1600</v>
      </c>
      <c r="P587" s="3">
        <f>B587*1.0281+5</f>
        <v>1649.96</v>
      </c>
      <c r="Q587" s="3"/>
      <c r="R587" s="3"/>
      <c r="S587" s="3">
        <f t="shared" si="363"/>
        <v>1650</v>
      </c>
      <c r="T587" s="3">
        <v>1650</v>
      </c>
      <c r="U587" s="3">
        <f t="shared" si="364"/>
        <v>3.999999999996362E-2</v>
      </c>
      <c r="V587" s="3"/>
      <c r="W587" s="3">
        <f t="shared" si="365"/>
        <v>1650</v>
      </c>
      <c r="X587" s="3"/>
      <c r="Y587" s="3">
        <v>1650</v>
      </c>
      <c r="Z587" s="3">
        <f t="shared" si="366"/>
        <v>0</v>
      </c>
      <c r="AA587" s="3"/>
      <c r="AB587" s="3"/>
      <c r="AC587" s="3">
        <v>0</v>
      </c>
      <c r="AD587" s="3">
        <f t="shared" si="367"/>
        <v>1650</v>
      </c>
      <c r="AE587" s="3">
        <v>1650</v>
      </c>
      <c r="AF587" s="3">
        <f t="shared" si="368"/>
        <v>0</v>
      </c>
      <c r="AG587" s="3"/>
      <c r="AH587" s="3">
        <f t="shared" si="373"/>
        <v>1699.5</v>
      </c>
      <c r="AI587" s="3"/>
      <c r="AJ587" s="3">
        <f t="shared" si="369"/>
        <v>1750.4850000000001</v>
      </c>
      <c r="AK587" s="3"/>
      <c r="AL587" s="3">
        <f t="shared" si="370"/>
        <v>1802.9995500000002</v>
      </c>
      <c r="AM587" s="3">
        <f t="shared" si="370"/>
        <v>0</v>
      </c>
      <c r="AN587" s="3">
        <f t="shared" si="370"/>
        <v>1857.0895365000003</v>
      </c>
      <c r="AO587" s="3">
        <f t="shared" si="370"/>
        <v>0</v>
      </c>
      <c r="AP587" s="3">
        <f t="shared" si="370"/>
        <v>1912.8022225950003</v>
      </c>
      <c r="AQ587" s="3"/>
      <c r="AR587" s="3">
        <f t="shared" si="371"/>
        <v>1970.1862892728504</v>
      </c>
      <c r="AS587" s="3">
        <f t="shared" si="371"/>
        <v>0</v>
      </c>
      <c r="AT587" s="3">
        <f t="shared" si="371"/>
        <v>2029.291877951036</v>
      </c>
      <c r="AU587" s="3">
        <f t="shared" si="371"/>
        <v>0</v>
      </c>
      <c r="AV587" s="3">
        <f t="shared" si="371"/>
        <v>2090.1706342895673</v>
      </c>
      <c r="AW587" s="3"/>
      <c r="AX587" s="3">
        <f t="shared" si="372"/>
        <v>2152.8757533182543</v>
      </c>
      <c r="AY587" s="3">
        <f t="shared" si="372"/>
        <v>0</v>
      </c>
      <c r="AZ587" s="3">
        <f t="shared" si="372"/>
        <v>2217.4620259178018</v>
      </c>
    </row>
    <row r="588" spans="1:52" x14ac:dyDescent="0.25">
      <c r="A588" s="3" t="s">
        <v>447</v>
      </c>
      <c r="B588" s="3"/>
      <c r="D588" s="3"/>
      <c r="E588" s="3">
        <f t="shared" si="359"/>
        <v>0</v>
      </c>
      <c r="H588" s="5">
        <f t="shared" si="360"/>
        <v>0</v>
      </c>
      <c r="J588" s="3"/>
      <c r="K588" s="4">
        <f t="shared" si="361"/>
        <v>0</v>
      </c>
      <c r="L588" s="4"/>
      <c r="N588" s="4">
        <f t="shared" si="362"/>
        <v>0</v>
      </c>
      <c r="P588" s="3"/>
      <c r="Q588" s="3"/>
      <c r="R588" s="3"/>
      <c r="S588" s="3">
        <f t="shared" si="363"/>
        <v>0</v>
      </c>
      <c r="T588" s="3"/>
      <c r="U588" s="3">
        <f t="shared" si="364"/>
        <v>0</v>
      </c>
      <c r="V588" s="3"/>
      <c r="W588" s="3">
        <f t="shared" si="365"/>
        <v>0</v>
      </c>
      <c r="X588" s="3"/>
      <c r="Y588" s="3"/>
      <c r="Z588" s="3">
        <f t="shared" si="366"/>
        <v>0</v>
      </c>
      <c r="AA588" s="3"/>
      <c r="AB588" s="3"/>
      <c r="AC588" s="3"/>
      <c r="AD588" s="3">
        <f t="shared" si="367"/>
        <v>0</v>
      </c>
      <c r="AE588" s="3"/>
      <c r="AF588" s="3">
        <f t="shared" si="368"/>
        <v>0</v>
      </c>
      <c r="AG588" s="3"/>
      <c r="AH588" s="3">
        <f t="shared" si="373"/>
        <v>0</v>
      </c>
      <c r="AI588" s="3"/>
      <c r="AJ588" s="3">
        <f t="shared" si="369"/>
        <v>0</v>
      </c>
      <c r="AK588" s="3"/>
      <c r="AL588" s="3">
        <f t="shared" si="370"/>
        <v>0</v>
      </c>
      <c r="AM588" s="3">
        <f t="shared" si="370"/>
        <v>0</v>
      </c>
      <c r="AN588" s="3">
        <f t="shared" si="370"/>
        <v>0</v>
      </c>
      <c r="AO588" s="3">
        <f t="shared" si="370"/>
        <v>0</v>
      </c>
      <c r="AP588" s="3">
        <f t="shared" si="370"/>
        <v>0</v>
      </c>
      <c r="AQ588" s="3"/>
      <c r="AR588" s="3">
        <f t="shared" si="371"/>
        <v>0</v>
      </c>
      <c r="AS588" s="3">
        <f t="shared" si="371"/>
        <v>0</v>
      </c>
      <c r="AT588" s="3">
        <f t="shared" si="371"/>
        <v>0</v>
      </c>
      <c r="AU588" s="3">
        <f t="shared" si="371"/>
        <v>0</v>
      </c>
      <c r="AV588" s="3">
        <f t="shared" si="371"/>
        <v>0</v>
      </c>
      <c r="AW588" s="3"/>
      <c r="AX588" s="3">
        <f t="shared" si="372"/>
        <v>0</v>
      </c>
      <c r="AY588" s="3">
        <f t="shared" si="372"/>
        <v>0</v>
      </c>
      <c r="AZ588" s="3">
        <f t="shared" si="372"/>
        <v>0</v>
      </c>
    </row>
    <row r="589" spans="1:52" x14ac:dyDescent="0.25">
      <c r="A589" s="3" t="s">
        <v>448</v>
      </c>
      <c r="B589" s="3">
        <v>2500</v>
      </c>
      <c r="D589" s="3"/>
      <c r="E589" s="3">
        <f t="shared" si="359"/>
        <v>2500</v>
      </c>
      <c r="F589" s="5">
        <v>2500</v>
      </c>
      <c r="H589" s="5">
        <f t="shared" si="360"/>
        <v>0</v>
      </c>
      <c r="J589" s="3"/>
      <c r="K589" s="4">
        <f t="shared" si="361"/>
        <v>0</v>
      </c>
      <c r="L589" s="4"/>
      <c r="N589" s="4">
        <f t="shared" si="362"/>
        <v>-2500</v>
      </c>
      <c r="P589" s="3">
        <f>2500*1.0281-70</f>
        <v>2500.25</v>
      </c>
      <c r="Q589" s="3"/>
      <c r="R589" s="3"/>
      <c r="S589" s="3">
        <f t="shared" si="363"/>
        <v>2500</v>
      </c>
      <c r="T589" s="3">
        <v>2500</v>
      </c>
      <c r="U589" s="3">
        <f t="shared" si="364"/>
        <v>-0.25</v>
      </c>
      <c r="V589" s="3"/>
      <c r="W589" s="3">
        <f t="shared" si="365"/>
        <v>2500</v>
      </c>
      <c r="X589" s="3"/>
      <c r="Y589" s="3">
        <v>2500</v>
      </c>
      <c r="Z589" s="3">
        <f t="shared" si="366"/>
        <v>0</v>
      </c>
      <c r="AA589" s="3"/>
      <c r="AB589" s="3"/>
      <c r="AC589" s="3"/>
      <c r="AD589" s="3">
        <f t="shared" si="367"/>
        <v>2500</v>
      </c>
      <c r="AE589" s="3">
        <v>2500</v>
      </c>
      <c r="AF589" s="3">
        <f t="shared" si="368"/>
        <v>0</v>
      </c>
      <c r="AG589" s="3"/>
      <c r="AH589" s="3">
        <f>AE589*1.03+25</f>
        <v>2600</v>
      </c>
      <c r="AI589" s="3"/>
      <c r="AJ589" s="3">
        <f t="shared" si="369"/>
        <v>2678</v>
      </c>
      <c r="AK589" s="3"/>
      <c r="AL589" s="3">
        <f t="shared" si="370"/>
        <v>2758.34</v>
      </c>
      <c r="AM589" s="3">
        <f t="shared" si="370"/>
        <v>0</v>
      </c>
      <c r="AN589" s="3">
        <f t="shared" si="370"/>
        <v>2841.0902000000001</v>
      </c>
      <c r="AO589" s="3">
        <f t="shared" si="370"/>
        <v>0</v>
      </c>
      <c r="AP589" s="3">
        <f t="shared" si="370"/>
        <v>2926.3229060000003</v>
      </c>
      <c r="AQ589" s="3"/>
      <c r="AR589" s="3">
        <f t="shared" si="371"/>
        <v>3014.1125931800002</v>
      </c>
      <c r="AS589" s="3">
        <f t="shared" si="371"/>
        <v>0</v>
      </c>
      <c r="AT589" s="3">
        <f t="shared" si="371"/>
        <v>3104.5359709754002</v>
      </c>
      <c r="AU589" s="3">
        <f t="shared" si="371"/>
        <v>0</v>
      </c>
      <c r="AV589" s="3">
        <f t="shared" si="371"/>
        <v>3197.6720501046625</v>
      </c>
      <c r="AW589" s="3"/>
      <c r="AX589" s="3">
        <f t="shared" si="372"/>
        <v>3293.6022116078025</v>
      </c>
      <c r="AY589" s="3">
        <f t="shared" si="372"/>
        <v>0</v>
      </c>
      <c r="AZ589" s="3">
        <f t="shared" si="372"/>
        <v>3392.4102779560367</v>
      </c>
    </row>
    <row r="590" spans="1:52" x14ac:dyDescent="0.25">
      <c r="A590" s="3" t="s">
        <v>449</v>
      </c>
      <c r="B590" s="3">
        <v>13800</v>
      </c>
      <c r="D590" s="3">
        <f>6905+1854</f>
        <v>8759</v>
      </c>
      <c r="E590" s="3">
        <f t="shared" si="359"/>
        <v>5041</v>
      </c>
      <c r="F590" s="5">
        <v>13800</v>
      </c>
      <c r="H590" s="5">
        <f t="shared" si="360"/>
        <v>0</v>
      </c>
      <c r="J590" s="3">
        <v>18688</v>
      </c>
      <c r="K590" s="4">
        <f t="shared" si="361"/>
        <v>1312</v>
      </c>
      <c r="L590" s="4">
        <v>20000</v>
      </c>
      <c r="N590" s="4">
        <f t="shared" si="362"/>
        <v>6200</v>
      </c>
      <c r="P590" s="3">
        <v>30000</v>
      </c>
      <c r="Q590" s="3"/>
      <c r="R590" s="3">
        <v>2636</v>
      </c>
      <c r="S590" s="3">
        <f t="shared" si="363"/>
        <v>22364</v>
      </c>
      <c r="T590" s="3">
        <v>25000</v>
      </c>
      <c r="U590" s="3">
        <f t="shared" si="364"/>
        <v>-5000</v>
      </c>
      <c r="V590" s="3">
        <v>3378</v>
      </c>
      <c r="W590" s="3">
        <f t="shared" si="365"/>
        <v>21622</v>
      </c>
      <c r="X590" s="3"/>
      <c r="Y590" s="3">
        <v>25000</v>
      </c>
      <c r="Z590" s="3">
        <f t="shared" si="366"/>
        <v>0</v>
      </c>
      <c r="AA590" s="3"/>
      <c r="AB590" s="3"/>
      <c r="AC590" s="3">
        <v>3378</v>
      </c>
      <c r="AD590" s="3">
        <f t="shared" si="367"/>
        <v>16622</v>
      </c>
      <c r="AE590" s="3">
        <v>20000</v>
      </c>
      <c r="AF590" s="3">
        <f t="shared" si="368"/>
        <v>-5000</v>
      </c>
      <c r="AG590" s="3"/>
      <c r="AH590" s="3">
        <f t="shared" si="373"/>
        <v>20600</v>
      </c>
      <c r="AI590" s="3"/>
      <c r="AJ590" s="3">
        <f t="shared" si="369"/>
        <v>21218</v>
      </c>
      <c r="AK590" s="3"/>
      <c r="AL590" s="3">
        <f t="shared" si="370"/>
        <v>21854.54</v>
      </c>
      <c r="AM590" s="3">
        <f t="shared" si="370"/>
        <v>0</v>
      </c>
      <c r="AN590" s="3">
        <f t="shared" si="370"/>
        <v>22510.176200000002</v>
      </c>
      <c r="AO590" s="3">
        <f t="shared" si="370"/>
        <v>0</v>
      </c>
      <c r="AP590" s="3">
        <f t="shared" si="370"/>
        <v>23185.481486000001</v>
      </c>
      <c r="AQ590" s="3"/>
      <c r="AR590" s="3">
        <f t="shared" si="371"/>
        <v>23881.04593058</v>
      </c>
      <c r="AS590" s="3">
        <f t="shared" si="371"/>
        <v>0</v>
      </c>
      <c r="AT590" s="3">
        <f t="shared" si="371"/>
        <v>24597.4773084974</v>
      </c>
      <c r="AU590" s="3">
        <f t="shared" si="371"/>
        <v>0</v>
      </c>
      <c r="AV590" s="3">
        <f t="shared" si="371"/>
        <v>25335.401627752322</v>
      </c>
      <c r="AW590" s="3"/>
      <c r="AX590" s="3">
        <f t="shared" si="372"/>
        <v>26095.463676584892</v>
      </c>
      <c r="AY590" s="3">
        <f t="shared" si="372"/>
        <v>0</v>
      </c>
      <c r="AZ590" s="3">
        <f t="shared" si="372"/>
        <v>26878.327586882438</v>
      </c>
    </row>
    <row r="591" spans="1:52" x14ac:dyDescent="0.25">
      <c r="A591" s="88" t="s">
        <v>289</v>
      </c>
      <c r="B591" s="3">
        <v>3500</v>
      </c>
      <c r="D591" s="3">
        <v>0</v>
      </c>
      <c r="E591" s="3">
        <f t="shared" si="359"/>
        <v>3500</v>
      </c>
      <c r="F591" s="5">
        <v>3500</v>
      </c>
      <c r="H591" s="5">
        <f t="shared" si="360"/>
        <v>0</v>
      </c>
      <c r="J591" s="5">
        <v>0</v>
      </c>
      <c r="K591" s="4">
        <f t="shared" si="361"/>
        <v>3500</v>
      </c>
      <c r="L591" s="4">
        <v>3500</v>
      </c>
      <c r="N591" s="4">
        <f t="shared" si="362"/>
        <v>0</v>
      </c>
      <c r="P591" s="3">
        <v>3500</v>
      </c>
      <c r="Q591" s="3"/>
      <c r="R591" s="3">
        <v>0</v>
      </c>
      <c r="S591" s="3">
        <f t="shared" si="363"/>
        <v>3500</v>
      </c>
      <c r="T591" s="3">
        <v>3500</v>
      </c>
      <c r="U591" s="3">
        <f t="shared" si="364"/>
        <v>0</v>
      </c>
      <c r="V591" s="3">
        <v>0</v>
      </c>
      <c r="W591" s="3">
        <f t="shared" si="365"/>
        <v>3500</v>
      </c>
      <c r="X591" s="3"/>
      <c r="Y591" s="3">
        <v>3500</v>
      </c>
      <c r="Z591" s="3">
        <f t="shared" si="366"/>
        <v>0</v>
      </c>
      <c r="AA591" s="3"/>
      <c r="AB591" s="3"/>
      <c r="AC591" s="3">
        <v>0</v>
      </c>
      <c r="AD591" s="3">
        <f t="shared" si="367"/>
        <v>3500</v>
      </c>
      <c r="AE591" s="3">
        <v>3500</v>
      </c>
      <c r="AF591" s="3">
        <f t="shared" si="368"/>
        <v>0</v>
      </c>
      <c r="AG591" s="3"/>
      <c r="AH591" s="88">
        <v>3500</v>
      </c>
      <c r="AI591" s="3"/>
      <c r="AJ591" s="3">
        <v>3500</v>
      </c>
      <c r="AK591" s="3"/>
      <c r="AL591" s="3">
        <v>3500</v>
      </c>
      <c r="AM591" s="3"/>
      <c r="AN591" s="3">
        <v>3500</v>
      </c>
      <c r="AO591" s="3"/>
      <c r="AP591" s="3">
        <v>3500</v>
      </c>
      <c r="AQ591" s="42"/>
      <c r="AR591" s="3">
        <v>3500</v>
      </c>
      <c r="AS591" s="42"/>
      <c r="AT591" s="3">
        <v>3500</v>
      </c>
      <c r="AU591" s="42"/>
      <c r="AV591" s="3">
        <v>3500</v>
      </c>
      <c r="AW591" s="42"/>
      <c r="AX591" s="3">
        <v>3500</v>
      </c>
      <c r="AZ591" s="3">
        <v>3500</v>
      </c>
    </row>
    <row r="592" spans="1:52" x14ac:dyDescent="0.25">
      <c r="A592" s="3" t="s">
        <v>450</v>
      </c>
      <c r="B592" s="3"/>
      <c r="D592" s="3"/>
      <c r="E592" s="3"/>
      <c r="K592" s="4"/>
      <c r="L592" s="4"/>
      <c r="N592" s="4"/>
      <c r="P592" s="3">
        <v>10000</v>
      </c>
      <c r="Q592" s="3"/>
      <c r="R592" s="3">
        <v>0</v>
      </c>
      <c r="S592" s="3">
        <f t="shared" si="363"/>
        <v>10000</v>
      </c>
      <c r="T592" s="3">
        <v>10000</v>
      </c>
      <c r="U592" s="3">
        <f t="shared" si="364"/>
        <v>0</v>
      </c>
      <c r="V592" s="3"/>
      <c r="W592" s="3">
        <f t="shared" si="365"/>
        <v>10000</v>
      </c>
      <c r="X592" s="3"/>
      <c r="Y592" s="3">
        <v>10000</v>
      </c>
      <c r="Z592" s="3">
        <f t="shared" si="366"/>
        <v>0</v>
      </c>
      <c r="AA592" s="3"/>
      <c r="AB592" s="3"/>
      <c r="AC592" s="3">
        <v>0</v>
      </c>
      <c r="AD592" s="3">
        <f t="shared" si="367"/>
        <v>10000</v>
      </c>
      <c r="AE592" s="3">
        <v>10000</v>
      </c>
      <c r="AF592" s="3">
        <f t="shared" si="368"/>
        <v>0</v>
      </c>
      <c r="AG592" s="3"/>
      <c r="AH592" s="3">
        <v>10000</v>
      </c>
      <c r="AI592" s="3"/>
      <c r="AJ592" s="3">
        <v>10000</v>
      </c>
      <c r="AK592" s="3"/>
      <c r="AL592" s="3">
        <v>10000</v>
      </c>
      <c r="AM592" s="3"/>
      <c r="AN592" s="3">
        <v>10000</v>
      </c>
      <c r="AO592" s="3"/>
      <c r="AP592" s="3">
        <v>10000</v>
      </c>
      <c r="AQ592" s="42"/>
      <c r="AR592" s="3">
        <v>10000</v>
      </c>
      <c r="AS592" s="42"/>
      <c r="AT592" s="3">
        <v>10000</v>
      </c>
      <c r="AU592" s="42"/>
      <c r="AV592" s="3">
        <v>10000</v>
      </c>
      <c r="AW592" s="42"/>
      <c r="AX592" s="3">
        <v>10000</v>
      </c>
      <c r="AZ592" s="3">
        <v>10000</v>
      </c>
    </row>
    <row r="593" spans="1:53" x14ac:dyDescent="0.25">
      <c r="A593" s="3" t="s">
        <v>451</v>
      </c>
      <c r="B593" s="3">
        <v>25000</v>
      </c>
      <c r="D593" s="3"/>
      <c r="E593" s="3">
        <f t="shared" si="359"/>
        <v>25000</v>
      </c>
      <c r="F593" s="5">
        <v>25000</v>
      </c>
      <c r="H593" s="5">
        <f t="shared" si="360"/>
        <v>0</v>
      </c>
      <c r="J593" s="5">
        <v>0</v>
      </c>
      <c r="K593" s="4">
        <f t="shared" si="361"/>
        <v>25000</v>
      </c>
      <c r="L593" s="4">
        <v>25000</v>
      </c>
      <c r="N593" s="4">
        <f t="shared" si="362"/>
        <v>0</v>
      </c>
      <c r="P593" s="3">
        <v>50000</v>
      </c>
      <c r="Q593" s="3"/>
      <c r="R593" s="3">
        <v>1169</v>
      </c>
      <c r="S593" s="3">
        <f t="shared" si="363"/>
        <v>48831</v>
      </c>
      <c r="T593" s="3">
        <v>50000</v>
      </c>
      <c r="U593" s="3">
        <f t="shared" si="364"/>
        <v>0</v>
      </c>
      <c r="V593" s="3">
        <v>3227</v>
      </c>
      <c r="W593" s="3">
        <f t="shared" si="365"/>
        <v>40323</v>
      </c>
      <c r="X593" s="3"/>
      <c r="Y593" s="3">
        <v>43550</v>
      </c>
      <c r="Z593" s="3">
        <f t="shared" si="366"/>
        <v>-6450</v>
      </c>
      <c r="AA593" s="3"/>
      <c r="AB593" s="3"/>
      <c r="AC593" s="3">
        <v>6559</v>
      </c>
      <c r="AD593" s="3">
        <f t="shared" si="367"/>
        <v>21441</v>
      </c>
      <c r="AE593" s="3">
        <v>28000</v>
      </c>
      <c r="AF593" s="3">
        <f t="shared" si="368"/>
        <v>-15550</v>
      </c>
      <c r="AG593" s="3"/>
      <c r="AH593" s="3">
        <v>62500</v>
      </c>
      <c r="AI593" s="3"/>
      <c r="AJ593" s="3">
        <v>87000</v>
      </c>
      <c r="AK593" s="3"/>
      <c r="AL593" s="3">
        <f>AJ593*1.03</f>
        <v>89610</v>
      </c>
      <c r="AM593" s="3">
        <f>AK593*1.03</f>
        <v>0</v>
      </c>
      <c r="AN593" s="3">
        <f>AL593*1.03</f>
        <v>92298.3</v>
      </c>
      <c r="AO593" s="3">
        <f>AM593*1.03</f>
        <v>0</v>
      </c>
      <c r="AP593" s="3">
        <f>AN593*1.03</f>
        <v>95067.249000000011</v>
      </c>
      <c r="AQ593" s="3"/>
      <c r="AR593" s="3">
        <f>AP593*1.03</f>
        <v>97919.266470000017</v>
      </c>
      <c r="AS593" s="3">
        <f>AQ593*1.03</f>
        <v>0</v>
      </c>
      <c r="AT593" s="3">
        <f>AR593*1.03</f>
        <v>100856.84446410002</v>
      </c>
      <c r="AU593" s="3">
        <f>AS593*1.03</f>
        <v>0</v>
      </c>
      <c r="AV593" s="3">
        <f>AT593*1.03</f>
        <v>103882.54979802303</v>
      </c>
      <c r="AW593" s="3"/>
      <c r="AX593" s="3">
        <f>AV593*1.03</f>
        <v>106999.02629196372</v>
      </c>
      <c r="AY593" s="3">
        <f>AW593*1.03</f>
        <v>0</v>
      </c>
      <c r="AZ593" s="3">
        <f>AX593*1.03</f>
        <v>110208.99708072263</v>
      </c>
    </row>
    <row r="594" spans="1:53" x14ac:dyDescent="0.25">
      <c r="A594" s="3" t="s">
        <v>452</v>
      </c>
      <c r="B594" s="3"/>
      <c r="D594" s="3"/>
      <c r="E594" s="3"/>
      <c r="F594" s="3"/>
      <c r="H594" s="3"/>
      <c r="I594" s="3"/>
      <c r="J594" s="3"/>
      <c r="K594" s="3"/>
      <c r="L594" s="3"/>
      <c r="N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42"/>
      <c r="AR594" s="3"/>
      <c r="AT594" s="3"/>
      <c r="AV594" s="3"/>
      <c r="AX594" s="3"/>
      <c r="AZ594" s="3"/>
      <c r="BA594" s="42"/>
    </row>
    <row r="595" spans="1:53" x14ac:dyDescent="0.25">
      <c r="A595" s="3"/>
      <c r="B595" s="48">
        <f>SUM(B575:B594)+2</f>
        <v>378492</v>
      </c>
      <c r="C595" s="32"/>
      <c r="D595" s="48">
        <f>SUM(D575:D594)+2</f>
        <v>84792</v>
      </c>
      <c r="E595" s="48">
        <f>SUM(E575:E594)+2</f>
        <v>293702</v>
      </c>
      <c r="F595" s="48">
        <f>SUM(F575:F594)+2</f>
        <v>378492</v>
      </c>
      <c r="G595" s="32"/>
      <c r="H595" s="48">
        <f>SUM(H575:H594)</f>
        <v>0</v>
      </c>
      <c r="I595" s="36"/>
      <c r="J595" s="48">
        <f>SUM(J575:J594)</f>
        <v>168872</v>
      </c>
      <c r="K595" s="48">
        <f>SUM(K575:K594)</f>
        <v>209618</v>
      </c>
      <c r="L595" s="48">
        <f>SUM(L575:L594)</f>
        <v>378490</v>
      </c>
      <c r="M595" s="32"/>
      <c r="N595" s="48">
        <f>SUM(N575:N594)</f>
        <v>0</v>
      </c>
      <c r="P595" s="48">
        <f>SUM(P575:P594)</f>
        <v>443758.50000000006</v>
      </c>
      <c r="R595" s="48">
        <f t="shared" ref="R595:Z595" si="374">SUM(R575:R594)</f>
        <v>70950</v>
      </c>
      <c r="S595" s="48">
        <f t="shared" si="374"/>
        <v>372810</v>
      </c>
      <c r="T595" s="48">
        <f t="shared" si="374"/>
        <v>443760</v>
      </c>
      <c r="U595" s="48">
        <f t="shared" si="374"/>
        <v>1.500000000005457</v>
      </c>
      <c r="V595" s="48">
        <f t="shared" si="374"/>
        <v>153594</v>
      </c>
      <c r="W595" s="48">
        <f t="shared" si="374"/>
        <v>290166</v>
      </c>
      <c r="X595" s="48"/>
      <c r="Y595" s="48">
        <f t="shared" si="374"/>
        <v>443760</v>
      </c>
      <c r="Z595" s="48">
        <f t="shared" si="374"/>
        <v>0</v>
      </c>
      <c r="AC595" s="48">
        <f>SUM(AC575:AC594)</f>
        <v>242678</v>
      </c>
      <c r="AD595" s="48">
        <f>SUM(AD575:AD594)</f>
        <v>198082</v>
      </c>
      <c r="AE595" s="48">
        <f>SUM(AE575:AE594)</f>
        <v>440760</v>
      </c>
      <c r="AF595" s="48">
        <f>SUM(AF575:AF594)</f>
        <v>-3000</v>
      </c>
      <c r="AH595" s="48">
        <f>SUM(AH575:AH594)</f>
        <v>488348.75</v>
      </c>
      <c r="AJ595" s="48">
        <f>SUM(AJ575:AJ594)</f>
        <v>526144.20250000001</v>
      </c>
      <c r="AL595" s="48">
        <f>SUM(AL575:AL594)</f>
        <v>542494.76807500003</v>
      </c>
      <c r="AN595" s="48">
        <f>SUM(AN575:AN594)</f>
        <v>559384.41259224992</v>
      </c>
      <c r="AO595" s="48"/>
      <c r="AP595" s="48">
        <f>SUM(AP575:AP594)</f>
        <v>576831.73651876766</v>
      </c>
      <c r="AR595" s="48">
        <f>SUM(AR575:AR594)</f>
        <v>594856.01974051807</v>
      </c>
      <c r="AT595" s="48">
        <f>SUM(AT575:AT594)</f>
        <v>613477.24801523052</v>
      </c>
      <c r="AV595" s="48">
        <f>SUM(AV575:AV594)</f>
        <v>632716.14052230923</v>
      </c>
      <c r="AX595" s="48">
        <f>SUM(AX575:AX594)</f>
        <v>652594.17855793121</v>
      </c>
      <c r="AZ595" s="48">
        <f>SUM(AZ575:AZ594)</f>
        <v>673133.63542561966</v>
      </c>
    </row>
    <row r="596" spans="1:53" s="42" customFormat="1" x14ac:dyDescent="0.25">
      <c r="A596" s="7" t="s">
        <v>453</v>
      </c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4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R596" s="3"/>
      <c r="AT596" s="3"/>
      <c r="AV596" s="3"/>
      <c r="AX596" s="3"/>
      <c r="AZ596" s="3"/>
      <c r="BA596" s="6"/>
    </row>
    <row r="597" spans="1:53" x14ac:dyDescent="0.25">
      <c r="A597" s="3" t="s">
        <v>90</v>
      </c>
      <c r="B597" s="35">
        <v>46750</v>
      </c>
      <c r="C597" s="32"/>
      <c r="D597" s="35">
        <v>9917</v>
      </c>
      <c r="E597" s="35">
        <f>F597-D597</f>
        <v>36833</v>
      </c>
      <c r="F597" s="35">
        <v>46750</v>
      </c>
      <c r="G597" s="32"/>
      <c r="H597" s="35">
        <f>F597-B597</f>
        <v>0</v>
      </c>
      <c r="I597" s="36"/>
      <c r="J597" s="35">
        <v>19487</v>
      </c>
      <c r="K597" s="35">
        <f>L597-J597</f>
        <v>25513</v>
      </c>
      <c r="L597" s="35">
        <v>45000</v>
      </c>
      <c r="M597" s="32"/>
      <c r="N597" s="35">
        <f>L597-F597</f>
        <v>-1750</v>
      </c>
      <c r="P597" s="35">
        <f>L597*1.0325+37</f>
        <v>46499.5</v>
      </c>
      <c r="R597" s="70">
        <v>9995</v>
      </c>
      <c r="S597" s="70">
        <f>T597-R597</f>
        <v>36505</v>
      </c>
      <c r="T597" s="70">
        <v>46500</v>
      </c>
      <c r="U597" s="70">
        <f>T597-P597</f>
        <v>0.5</v>
      </c>
      <c r="V597" s="71">
        <v>20325</v>
      </c>
      <c r="W597" s="71">
        <f>Y597-V597</f>
        <v>26175</v>
      </c>
      <c r="X597" s="71"/>
      <c r="Y597" s="71">
        <v>46500</v>
      </c>
      <c r="Z597" s="70">
        <f>Y597-T597</f>
        <v>0</v>
      </c>
      <c r="AC597" s="71">
        <v>31147</v>
      </c>
      <c r="AD597" s="71">
        <f>AE597-AC597</f>
        <v>13853</v>
      </c>
      <c r="AE597" s="71">
        <v>45000</v>
      </c>
      <c r="AF597" s="71">
        <f>AE597-Y597</f>
        <v>-1500</v>
      </c>
      <c r="AH597" s="35">
        <f>AE597*1.03</f>
        <v>46350</v>
      </c>
      <c r="AJ597" s="35">
        <f>AH597*1.03</f>
        <v>47740.5</v>
      </c>
      <c r="AL597" s="35">
        <f>AJ597*1.03</f>
        <v>49172.715000000004</v>
      </c>
      <c r="AN597" s="35">
        <f>AL597*1.03</f>
        <v>50647.896450000007</v>
      </c>
      <c r="AO597" s="35"/>
      <c r="AP597" s="35">
        <f>AN597*1.03</f>
        <v>52167.33334350001</v>
      </c>
      <c r="AR597" s="35">
        <f>AP597*1.03</f>
        <v>53732.353343805014</v>
      </c>
      <c r="AT597" s="35">
        <f>AR597*1.03</f>
        <v>55344.323944119169</v>
      </c>
      <c r="AV597" s="35">
        <f>AT597*1.03</f>
        <v>57004.653662442746</v>
      </c>
      <c r="AX597" s="35">
        <f>AV597*1.03</f>
        <v>58714.793272316027</v>
      </c>
      <c r="AZ597" s="35">
        <f>AX597*1.03</f>
        <v>60476.237070485506</v>
      </c>
    </row>
    <row r="598" spans="1:53" x14ac:dyDescent="0.25">
      <c r="A598" s="7" t="s">
        <v>133</v>
      </c>
    </row>
    <row r="599" spans="1:53" x14ac:dyDescent="0.25">
      <c r="A599" s="3" t="s">
        <v>454</v>
      </c>
      <c r="B599" s="3"/>
      <c r="D599" s="3"/>
      <c r="E599" s="3"/>
      <c r="F599" s="3"/>
      <c r="H599" s="3"/>
      <c r="I599" s="3"/>
      <c r="J599" s="3"/>
      <c r="K599" s="4">
        <f>L599-J599</f>
        <v>0</v>
      </c>
      <c r="L599" s="4"/>
      <c r="N599" s="4">
        <f>L599-F599</f>
        <v>0</v>
      </c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>
        <f>AE599-AC599</f>
        <v>0</v>
      </c>
      <c r="AE599" s="3"/>
      <c r="AF599" s="3">
        <f>AE599-Y599</f>
        <v>0</v>
      </c>
      <c r="AG599" s="3"/>
      <c r="AH599" s="3"/>
      <c r="AI599" s="3"/>
      <c r="AJ599" s="3">
        <v>6000</v>
      </c>
      <c r="AK599" s="3"/>
      <c r="AL599" s="3"/>
      <c r="AM599" s="3"/>
      <c r="AN599" s="3"/>
      <c r="AO599" s="3"/>
      <c r="AP599" s="3"/>
      <c r="AQ599" s="42"/>
      <c r="AR599" s="3"/>
      <c r="AS599" s="42"/>
      <c r="AT599" s="3">
        <v>7000</v>
      </c>
      <c r="AU599" s="42"/>
      <c r="AV599" s="3"/>
      <c r="AW599" s="42"/>
      <c r="AX599" s="3"/>
      <c r="AZ599" s="3"/>
    </row>
    <row r="600" spans="1:53" x14ac:dyDescent="0.25">
      <c r="A600" s="88" t="s">
        <v>455</v>
      </c>
      <c r="B600" s="3">
        <v>34000</v>
      </c>
      <c r="D600" s="3">
        <v>2069</v>
      </c>
      <c r="E600" s="3">
        <f>F600-D600</f>
        <v>32931</v>
      </c>
      <c r="F600" s="5">
        <v>35000</v>
      </c>
      <c r="H600" s="5">
        <f>F600-B600</f>
        <v>1000</v>
      </c>
      <c r="J600" s="5">
        <v>3130</v>
      </c>
      <c r="K600" s="4">
        <f>L600-J600</f>
        <v>31870</v>
      </c>
      <c r="L600" s="4">
        <v>35000</v>
      </c>
      <c r="N600" s="4">
        <f>L600-F600</f>
        <v>0</v>
      </c>
      <c r="P600" s="3">
        <v>35000</v>
      </c>
      <c r="Q600" s="3"/>
      <c r="R600" s="3">
        <v>256</v>
      </c>
      <c r="S600" s="3">
        <f>T600-R600</f>
        <v>34744</v>
      </c>
      <c r="T600" s="3">
        <v>35000</v>
      </c>
      <c r="U600" s="3">
        <f>T600-P600</f>
        <v>0</v>
      </c>
      <c r="V600" s="3">
        <v>2739</v>
      </c>
      <c r="W600" s="3">
        <f>Y600-V600</f>
        <v>32261</v>
      </c>
      <c r="X600" s="3"/>
      <c r="Y600" s="3">
        <v>35000</v>
      </c>
      <c r="Z600" s="3">
        <f>Y600-T600</f>
        <v>0</v>
      </c>
      <c r="AA600" s="3"/>
      <c r="AB600" s="3"/>
      <c r="AC600" s="3">
        <v>7110</v>
      </c>
      <c r="AD600" s="3">
        <f>AE600-AC600</f>
        <v>27890</v>
      </c>
      <c r="AE600" s="3">
        <v>35000</v>
      </c>
      <c r="AF600" s="3">
        <f>AE600-Y600</f>
        <v>0</v>
      </c>
      <c r="AG600" s="3"/>
      <c r="AH600" s="88">
        <v>35000</v>
      </c>
      <c r="AI600" s="3"/>
      <c r="AJ600" s="3">
        <v>35000</v>
      </c>
      <c r="AK600" s="3"/>
      <c r="AL600" s="3">
        <v>35000</v>
      </c>
      <c r="AM600" s="3"/>
      <c r="AN600" s="3">
        <v>35000</v>
      </c>
      <c r="AO600" s="3"/>
      <c r="AP600" s="3">
        <v>35000</v>
      </c>
      <c r="AQ600" s="42"/>
      <c r="AR600" s="3">
        <v>35000</v>
      </c>
      <c r="AS600" s="42"/>
      <c r="AT600" s="3">
        <v>35000</v>
      </c>
      <c r="AU600" s="42"/>
      <c r="AV600" s="3">
        <v>35000</v>
      </c>
      <c r="AW600" s="42"/>
      <c r="AX600" s="3">
        <v>33000</v>
      </c>
      <c r="AZ600" s="3">
        <v>33000</v>
      </c>
    </row>
    <row r="601" spans="1:53" x14ac:dyDescent="0.25">
      <c r="A601" s="3"/>
      <c r="B601" s="68">
        <f>SUM(B600)</f>
        <v>34000</v>
      </c>
      <c r="C601" s="55"/>
      <c r="D601" s="68">
        <f>SUM(D600)</f>
        <v>2069</v>
      </c>
      <c r="E601" s="68">
        <f>SUM(E600)</f>
        <v>32931</v>
      </c>
      <c r="F601" s="68">
        <f>SUM(F600)</f>
        <v>35000</v>
      </c>
      <c r="G601" s="55"/>
      <c r="H601" s="68">
        <f>SUM(H600)</f>
        <v>1000</v>
      </c>
      <c r="I601" s="56"/>
      <c r="J601" s="68">
        <f>SUM(J600)</f>
        <v>3130</v>
      </c>
      <c r="K601" s="68">
        <f>SUM(K600)</f>
        <v>31870</v>
      </c>
      <c r="L601" s="68">
        <f>SUM(L600)</f>
        <v>35000</v>
      </c>
      <c r="M601" s="55"/>
      <c r="N601" s="68">
        <f>SUM(N600)</f>
        <v>0</v>
      </c>
      <c r="P601" s="68">
        <f>SUM(P600)</f>
        <v>35000</v>
      </c>
      <c r="R601" s="68">
        <f t="shared" ref="R601:Z601" si="375">SUM(R600)</f>
        <v>256</v>
      </c>
      <c r="S601" s="68">
        <f t="shared" si="375"/>
        <v>34744</v>
      </c>
      <c r="T601" s="68">
        <f t="shared" si="375"/>
        <v>35000</v>
      </c>
      <c r="U601" s="68">
        <f t="shared" si="375"/>
        <v>0</v>
      </c>
      <c r="V601" s="68">
        <f t="shared" si="375"/>
        <v>2739</v>
      </c>
      <c r="W601" s="68">
        <f t="shared" si="375"/>
        <v>32261</v>
      </c>
      <c r="X601" s="68"/>
      <c r="Y601" s="68">
        <f t="shared" si="375"/>
        <v>35000</v>
      </c>
      <c r="Z601" s="68">
        <f t="shared" si="375"/>
        <v>0</v>
      </c>
      <c r="AC601" s="68">
        <f>SUM(AC600)</f>
        <v>7110</v>
      </c>
      <c r="AD601" s="68">
        <f>SUM(AD600)</f>
        <v>27890</v>
      </c>
      <c r="AE601" s="68">
        <f>SUM(AE600)</f>
        <v>35000</v>
      </c>
      <c r="AF601" s="68">
        <f>SUM(AF600)</f>
        <v>0</v>
      </c>
      <c r="AH601" s="68">
        <f>SUM(AH600)</f>
        <v>35000</v>
      </c>
      <c r="AJ601" s="68">
        <f>SUM(AJ600)</f>
        <v>35000</v>
      </c>
      <c r="AL601" s="68">
        <f>SUM(AL600)</f>
        <v>35000</v>
      </c>
      <c r="AN601" s="68">
        <f>SUM(AN600)</f>
        <v>35000</v>
      </c>
      <c r="AO601" s="68"/>
      <c r="AP601" s="68">
        <f>SUM(AP600)</f>
        <v>35000</v>
      </c>
      <c r="AR601" s="68">
        <f>SUM(AR600)</f>
        <v>35000</v>
      </c>
      <c r="AT601" s="68">
        <f>SUM(AT600)</f>
        <v>35000</v>
      </c>
      <c r="AV601" s="68">
        <f>SUM(AV600)</f>
        <v>35000</v>
      </c>
      <c r="AX601" s="68">
        <f>SUM(AX600)</f>
        <v>33000</v>
      </c>
      <c r="AZ601" s="68">
        <f>SUM(AZ600)</f>
        <v>33000</v>
      </c>
    </row>
    <row r="602" spans="1:53" x14ac:dyDescent="0.25">
      <c r="A602" s="7" t="s">
        <v>456</v>
      </c>
    </row>
    <row r="603" spans="1:53" x14ac:dyDescent="0.25">
      <c r="A603" s="3" t="s">
        <v>457</v>
      </c>
      <c r="B603" s="35">
        <v>4000</v>
      </c>
      <c r="C603" s="32"/>
      <c r="D603" s="35">
        <v>0</v>
      </c>
      <c r="E603" s="35">
        <f>F603-D603</f>
        <v>4000</v>
      </c>
      <c r="F603" s="35">
        <v>4000</v>
      </c>
      <c r="G603" s="32"/>
      <c r="H603" s="35">
        <f>F603-B603</f>
        <v>0</v>
      </c>
      <c r="I603" s="36"/>
      <c r="J603" s="35">
        <v>0</v>
      </c>
      <c r="K603" s="35">
        <f>L603-J603</f>
        <v>4000</v>
      </c>
      <c r="L603" s="35">
        <v>4000</v>
      </c>
      <c r="M603" s="32"/>
      <c r="N603" s="35">
        <f>L603-F603</f>
        <v>0</v>
      </c>
      <c r="P603" s="73">
        <v>5000</v>
      </c>
      <c r="R603" s="70">
        <v>0</v>
      </c>
      <c r="S603" s="70">
        <f>T603-R603</f>
        <v>5000</v>
      </c>
      <c r="T603" s="70">
        <v>5000</v>
      </c>
      <c r="U603" s="70">
        <f>T603-P603</f>
        <v>0</v>
      </c>
      <c r="V603" s="71">
        <v>0</v>
      </c>
      <c r="W603" s="71">
        <f>Y603-V603</f>
        <v>2000</v>
      </c>
      <c r="X603" s="71"/>
      <c r="Y603" s="71">
        <v>2000</v>
      </c>
      <c r="Z603" s="70">
        <f>Y603-T603</f>
        <v>-3000</v>
      </c>
      <c r="AC603" s="71">
        <v>0</v>
      </c>
      <c r="AD603" s="71">
        <f>AE603-AC603</f>
        <v>2000</v>
      </c>
      <c r="AE603" s="71">
        <v>2000</v>
      </c>
      <c r="AF603" s="71">
        <f>AE603-Y603</f>
        <v>0</v>
      </c>
      <c r="AH603" s="35"/>
      <c r="AJ603" s="35"/>
      <c r="AL603" s="35"/>
      <c r="AN603" s="35">
        <v>5400</v>
      </c>
      <c r="AO603" s="35"/>
      <c r="AP603" s="35"/>
      <c r="AR603" s="35"/>
      <c r="AT603" s="35"/>
      <c r="AV603" s="35">
        <v>5750</v>
      </c>
      <c r="AX603" s="35"/>
      <c r="AZ603" s="35"/>
    </row>
    <row r="604" spans="1:53" x14ac:dyDescent="0.25">
      <c r="A604" s="7" t="s">
        <v>135</v>
      </c>
      <c r="V604" s="38"/>
      <c r="W604" s="38"/>
      <c r="X604" s="38"/>
      <c r="Y604" s="38"/>
    </row>
    <row r="605" spans="1:53" x14ac:dyDescent="0.25">
      <c r="A605" s="3" t="s">
        <v>90</v>
      </c>
      <c r="B605" s="35">
        <v>33000</v>
      </c>
      <c r="C605" s="32"/>
      <c r="D605" s="35">
        <v>15348</v>
      </c>
      <c r="E605" s="35">
        <f>F605-D605</f>
        <v>19652</v>
      </c>
      <c r="F605" s="35">
        <v>35000</v>
      </c>
      <c r="G605" s="32"/>
      <c r="H605" s="35">
        <f>F605-B605-1</f>
        <v>1999</v>
      </c>
      <c r="I605" s="36"/>
      <c r="J605" s="35">
        <v>30787</v>
      </c>
      <c r="K605" s="35">
        <f>L605-J605</f>
        <v>14213</v>
      </c>
      <c r="L605" s="35">
        <v>45000</v>
      </c>
      <c r="M605" s="32"/>
      <c r="N605" s="35">
        <f>L605-F605</f>
        <v>10000</v>
      </c>
      <c r="P605" s="35">
        <f>L605*1.0281+35</f>
        <v>46299.5</v>
      </c>
      <c r="R605" s="70">
        <v>12497</v>
      </c>
      <c r="S605" s="70">
        <f>T605-R605</f>
        <v>33803</v>
      </c>
      <c r="T605" s="70">
        <v>46300</v>
      </c>
      <c r="U605" s="70">
        <f>T605-P605</f>
        <v>0.5</v>
      </c>
      <c r="V605" s="71">
        <v>22306</v>
      </c>
      <c r="W605" s="71">
        <f>Y605-V605</f>
        <v>23994</v>
      </c>
      <c r="X605" s="71"/>
      <c r="Y605" s="71">
        <v>46300</v>
      </c>
      <c r="Z605" s="70">
        <f>Y605-T605</f>
        <v>0</v>
      </c>
      <c r="AC605" s="71">
        <v>35651</v>
      </c>
      <c r="AD605" s="71">
        <f>AE605-AC605</f>
        <v>11349</v>
      </c>
      <c r="AE605" s="71">
        <v>47000</v>
      </c>
      <c r="AF605" s="71">
        <f>AE605-Y605</f>
        <v>700</v>
      </c>
      <c r="AH605" s="218">
        <f>P605*1.03+12</f>
        <v>47700.485000000001</v>
      </c>
      <c r="AJ605" s="35">
        <f>AH605*1.03</f>
        <v>49131.49955</v>
      </c>
      <c r="AL605" s="35">
        <f>AJ605*1.03</f>
        <v>50605.444536499999</v>
      </c>
      <c r="AN605" s="35">
        <f>AL605*1.03</f>
        <v>52123.607872594999</v>
      </c>
      <c r="AO605" s="35"/>
      <c r="AP605" s="35">
        <f>AN605*1.03</f>
        <v>53687.316108772851</v>
      </c>
      <c r="AR605" s="35">
        <f>AP605*1.03</f>
        <v>55297.935592036039</v>
      </c>
      <c r="AT605" s="35">
        <f>AR605*1.03</f>
        <v>56956.873659797122</v>
      </c>
      <c r="AV605" s="35">
        <f>AT605*1.03</f>
        <v>58665.579869591034</v>
      </c>
      <c r="AX605" s="35">
        <f>AV605*1.03</f>
        <v>60425.547265678768</v>
      </c>
      <c r="AZ605" s="35">
        <f>AX605*1.03</f>
        <v>62238.313683649132</v>
      </c>
      <c r="BA605" s="42"/>
    </row>
    <row r="606" spans="1:53" x14ac:dyDescent="0.25">
      <c r="A606" s="7" t="s">
        <v>458</v>
      </c>
      <c r="V606" s="38"/>
      <c r="W606" s="38"/>
      <c r="X606" s="38"/>
      <c r="Y606" s="38"/>
    </row>
    <row r="607" spans="1:53" s="42" customFormat="1" x14ac:dyDescent="0.25">
      <c r="A607" s="3" t="s">
        <v>90</v>
      </c>
      <c r="B607" s="35">
        <v>21100</v>
      </c>
      <c r="C607" s="32"/>
      <c r="D607" s="35">
        <v>5797</v>
      </c>
      <c r="E607" s="35">
        <f>F607-D607</f>
        <v>15303</v>
      </c>
      <c r="F607" s="35">
        <v>21100</v>
      </c>
      <c r="G607" s="32"/>
      <c r="H607" s="35">
        <f>F607-B607</f>
        <v>0</v>
      </c>
      <c r="I607" s="36"/>
      <c r="J607" s="35">
        <v>11476</v>
      </c>
      <c r="K607" s="35">
        <f>L607-J607</f>
        <v>10524</v>
      </c>
      <c r="L607" s="35">
        <v>22000</v>
      </c>
      <c r="M607" s="32"/>
      <c r="N607" s="35">
        <f>L607-F607</f>
        <v>900</v>
      </c>
      <c r="O607" s="3"/>
      <c r="P607" s="35">
        <f>L607*1.0281+32</f>
        <v>22650.2</v>
      </c>
      <c r="Q607" s="3"/>
      <c r="R607" s="70">
        <v>6626</v>
      </c>
      <c r="S607" s="70">
        <f>T607-R607</f>
        <v>16024</v>
      </c>
      <c r="T607" s="70">
        <v>22650</v>
      </c>
      <c r="U607" s="70">
        <f>T607-P607</f>
        <v>-0.2000000000007276</v>
      </c>
      <c r="V607" s="71">
        <v>13248</v>
      </c>
      <c r="W607" s="71">
        <f>Y607-V607</f>
        <v>9402</v>
      </c>
      <c r="X607" s="71"/>
      <c r="Y607" s="71">
        <v>22650</v>
      </c>
      <c r="Z607" s="70">
        <f>Y607-T607</f>
        <v>0</v>
      </c>
      <c r="AA607" s="3"/>
      <c r="AB607" s="3"/>
      <c r="AC607" s="71">
        <v>21840</v>
      </c>
      <c r="AD607" s="71">
        <f>AE607-AC607</f>
        <v>5160</v>
      </c>
      <c r="AE607" s="71">
        <v>27000</v>
      </c>
      <c r="AF607" s="71">
        <f>AE607-Y607</f>
        <v>4350</v>
      </c>
      <c r="AG607" s="3"/>
      <c r="AH607" s="35">
        <f>B607*1.03+17</f>
        <v>21750</v>
      </c>
      <c r="AI607" s="3"/>
      <c r="AJ607" s="35">
        <f>AE614*1.03</f>
        <v>55455.200000000004</v>
      </c>
      <c r="AK607" s="3"/>
      <c r="AL607" s="35">
        <f>AH607*1.03</f>
        <v>22402.5</v>
      </c>
      <c r="AM607" s="3"/>
      <c r="AN607" s="35">
        <f>AJ607*1.03</f>
        <v>57118.856000000007</v>
      </c>
      <c r="AO607" s="35"/>
      <c r="AP607" s="35">
        <f>AL607*1.03</f>
        <v>23074.575000000001</v>
      </c>
      <c r="AR607" s="35">
        <f>AN607*1.03</f>
        <v>58832.421680000007</v>
      </c>
      <c r="AT607" s="35">
        <f>AP607*1.03</f>
        <v>23766.812250000003</v>
      </c>
      <c r="AV607" s="35">
        <f>AR607*1.03</f>
        <v>60597.394330400006</v>
      </c>
      <c r="AX607" s="35">
        <f>AT607*1.03</f>
        <v>24479.816617500004</v>
      </c>
      <c r="AZ607" s="35">
        <f>AV607*1.03</f>
        <v>62415.31616031201</v>
      </c>
      <c r="BA607" s="6"/>
    </row>
    <row r="608" spans="1:53" x14ac:dyDescent="0.25">
      <c r="A608" s="7" t="s">
        <v>57</v>
      </c>
      <c r="V608" s="38"/>
      <c r="W608" s="38"/>
      <c r="X608" s="38"/>
      <c r="Y608" s="38"/>
    </row>
    <row r="609" spans="1:53" x14ac:dyDescent="0.25">
      <c r="A609" s="3" t="s">
        <v>459</v>
      </c>
      <c r="V609" s="38"/>
      <c r="W609" s="38"/>
      <c r="X609" s="38"/>
      <c r="Y609" s="38"/>
      <c r="AH609" s="3">
        <f>10000-2000</f>
        <v>8000</v>
      </c>
      <c r="AJ609" s="3">
        <f>AH609*1.03</f>
        <v>8240</v>
      </c>
      <c r="AK609" s="3"/>
      <c r="AL609" s="3">
        <f>AJ609*1.03</f>
        <v>8487.2000000000007</v>
      </c>
      <c r="AM609" s="3">
        <f>AK609*1.03</f>
        <v>0</v>
      </c>
      <c r="AN609" s="3">
        <f>AL609*1.03</f>
        <v>8741.8160000000007</v>
      </c>
      <c r="AO609" s="3">
        <f>AM609*1.03</f>
        <v>0</v>
      </c>
      <c r="AP609" s="3">
        <f>AN609*1.03</f>
        <v>9004.0704800000003</v>
      </c>
      <c r="AQ609" s="3"/>
      <c r="AR609" s="3">
        <f>AP609*1.03</f>
        <v>9274.1925944000013</v>
      </c>
      <c r="AS609" s="3">
        <f>AQ609*1.03</f>
        <v>0</v>
      </c>
      <c r="AT609" s="3">
        <f>AR609*1.03</f>
        <v>9552.4183722320013</v>
      </c>
      <c r="AU609" s="3">
        <f>AS609*1.03</f>
        <v>0</v>
      </c>
      <c r="AV609" s="3">
        <f>AT609*1.03</f>
        <v>9838.990923398962</v>
      </c>
      <c r="AW609" s="3"/>
      <c r="AX609" s="3">
        <f>AV609*1.03</f>
        <v>10134.16065110093</v>
      </c>
      <c r="AY609" s="3">
        <f>AW609*1.03</f>
        <v>0</v>
      </c>
      <c r="AZ609" s="3">
        <f>AX609*1.03</f>
        <v>10438.185470633958</v>
      </c>
    </row>
    <row r="610" spans="1:53" x14ac:dyDescent="0.25">
      <c r="A610" s="3" t="s">
        <v>460</v>
      </c>
      <c r="B610" s="3">
        <v>1550</v>
      </c>
      <c r="D610" s="3">
        <v>0</v>
      </c>
      <c r="E610" s="3">
        <f>F610-D610</f>
        <v>1000</v>
      </c>
      <c r="F610" s="5">
        <v>1000</v>
      </c>
      <c r="H610" s="5">
        <f>F610-B610</f>
        <v>-550</v>
      </c>
      <c r="K610" s="4">
        <f>L610-J610</f>
        <v>1000</v>
      </c>
      <c r="L610" s="4">
        <v>1000</v>
      </c>
      <c r="N610" s="4">
        <f>L610-F610</f>
        <v>0</v>
      </c>
      <c r="P610" s="3">
        <f>L610*1.0281+22</f>
        <v>1050.0999999999999</v>
      </c>
      <c r="Q610" s="3"/>
      <c r="R610" s="3"/>
      <c r="S610" s="3">
        <f>T610-R610</f>
        <v>1050</v>
      </c>
      <c r="T610" s="3">
        <v>1050</v>
      </c>
      <c r="U610" s="3">
        <f>T610-P610</f>
        <v>-9.9999999999909051E-2</v>
      </c>
      <c r="V610" s="7"/>
      <c r="W610" s="7"/>
      <c r="X610" s="7"/>
      <c r="Y610" s="7">
        <v>1050</v>
      </c>
      <c r="Z610" s="3">
        <f>Y610-T610</f>
        <v>0</v>
      </c>
      <c r="AA610" s="3"/>
      <c r="AB610" s="3"/>
      <c r="AC610" s="3"/>
      <c r="AD610" s="3">
        <f>AE610-AC610</f>
        <v>1000</v>
      </c>
      <c r="AE610" s="3">
        <v>1000</v>
      </c>
      <c r="AF610" s="3">
        <f>AE610-Y610</f>
        <v>-50</v>
      </c>
      <c r="AG610" s="3"/>
      <c r="AH610" s="3">
        <f>AE610*1.03+20</f>
        <v>1050</v>
      </c>
      <c r="AI610" s="3"/>
      <c r="AJ610" s="3">
        <f>AH610*1.0281</f>
        <v>1079.5050000000001</v>
      </c>
      <c r="AK610" s="3"/>
      <c r="AL610" s="3">
        <f>AJ610*1.0281</f>
        <v>1109.8390905000001</v>
      </c>
      <c r="AM610" s="3"/>
      <c r="AN610" s="3">
        <f>AL610*1.0281</f>
        <v>1141.0255689430501</v>
      </c>
      <c r="AO610" s="3"/>
      <c r="AP610" s="3">
        <f>AN610*1.0281</f>
        <v>1173.0883874303497</v>
      </c>
      <c r="AQ610" s="42"/>
      <c r="AR610" s="3">
        <f>AP610*1.0281</f>
        <v>1206.0521711171425</v>
      </c>
      <c r="AS610" s="42"/>
      <c r="AT610" s="3">
        <f>AR610*1.0281</f>
        <v>1239.9422371255341</v>
      </c>
      <c r="AU610" s="42"/>
      <c r="AV610" s="3">
        <f>AT610*1.0281</f>
        <v>1274.7846139887617</v>
      </c>
      <c r="AW610" s="42"/>
      <c r="AX610" s="3">
        <f>AV610*1.0281</f>
        <v>1310.6060616418461</v>
      </c>
      <c r="AZ610" s="3">
        <f>AX610*1.0281</f>
        <v>1347.434091973982</v>
      </c>
      <c r="BA610" s="42"/>
    </row>
    <row r="611" spans="1:53" ht="15.75" thickBot="1" x14ac:dyDescent="0.3">
      <c r="A611" s="7" t="s">
        <v>249</v>
      </c>
      <c r="B611" s="43">
        <f>B610+B607+B605+B603+B601+B597+B595+B573+B564-2</f>
        <v>576690</v>
      </c>
      <c r="C611" s="32"/>
      <c r="D611" s="43">
        <f>D610+D607+D605+D603+D601+D597+D595+D573+D564-1</f>
        <v>120848</v>
      </c>
      <c r="E611" s="43">
        <f>E610+E607+E605+E603+E601+E597+E595+E573+E564-1</f>
        <v>457794</v>
      </c>
      <c r="F611" s="43">
        <f>F610+F607+F605+F603+F601+F597+F595+F573+F564-1</f>
        <v>578641</v>
      </c>
      <c r="G611" s="32"/>
      <c r="H611" s="43">
        <f>H610+H607+H605+H603+H601+H597+H595+H573+H564-1</f>
        <v>1948</v>
      </c>
      <c r="I611" s="36"/>
      <c r="J611" s="43">
        <f>J610+J607+J605+J603+J601+J597+J595+J573+J564-1</f>
        <v>237514</v>
      </c>
      <c r="K611" s="43">
        <f>K610+K607+K605+K603+K601+K597+K595+K573+K564-1</f>
        <v>340274</v>
      </c>
      <c r="L611" s="43">
        <f>L610+L607+L605+L603+L601+L597+L595+L573+L564-1</f>
        <v>577789</v>
      </c>
      <c r="M611" s="32"/>
      <c r="N611" s="43">
        <f>N610+N607+N605+N603+N601+N597+N595+N573+N564-1</f>
        <v>-851</v>
      </c>
      <c r="P611" s="43">
        <f>P610+P607+P605+P603+P601+P597+P595+P573+P564</f>
        <v>642937.45000000007</v>
      </c>
      <c r="R611" s="74">
        <f t="shared" ref="R611:W611" si="376">R610+R607+R605+R603+R601+R597+R595+R573+R564</f>
        <v>105341</v>
      </c>
      <c r="S611" s="74">
        <f t="shared" si="376"/>
        <v>538849</v>
      </c>
      <c r="T611" s="74">
        <f t="shared" si="376"/>
        <v>644190</v>
      </c>
      <c r="U611" s="74">
        <f t="shared" si="376"/>
        <v>1252.5500000000052</v>
      </c>
      <c r="V611" s="74">
        <f t="shared" si="376"/>
        <v>221276</v>
      </c>
      <c r="W611" s="74">
        <f t="shared" si="376"/>
        <v>422364</v>
      </c>
      <c r="X611" s="74"/>
      <c r="Y611" s="74">
        <f>Y610+Y607+Y605+Y603+Y601+Y597+Y595+Y573+Y564</f>
        <v>644690</v>
      </c>
      <c r="Z611" s="74">
        <f>Z610+Z607+Z605+Z603+Z601+Z597+Z595+Z573+Z564</f>
        <v>500</v>
      </c>
      <c r="AC611" s="74">
        <f>AC610+AC607+AC605+AC603+AC601+AC597+AC595+AC573+AC564</f>
        <v>363072</v>
      </c>
      <c r="AD611" s="74">
        <f>AD610+AD607+AD605+AD603+AD601+AD597+AD595+AD573+AD564</f>
        <v>286218</v>
      </c>
      <c r="AE611" s="74">
        <f>AE610+AE607+AE605+AE603+AE601+AE597+AE595+AE573+AE564</f>
        <v>649290</v>
      </c>
      <c r="AF611" s="74">
        <f>AF610+AF607+AF605+AF603+AF601+AF597+AF595+AF573+AF564</f>
        <v>4600</v>
      </c>
      <c r="AH611" s="43">
        <f>AH610+AH609+AH607+AH605+AH603+AH601+AH597+AH595+AH573+AH564</f>
        <v>695819.13500000001</v>
      </c>
      <c r="AJ611" s="43">
        <f>AJ610+AJ609+AJ607+AJ605+AJ603+AJ601+AJ597+AJ595+AJ573+AJ564</f>
        <v>771764.40405000001</v>
      </c>
      <c r="AL611" s="43">
        <f>AL610+AL609+AL607+AL605+AL603+AL601+AL597+AL595+AL573+AL564</f>
        <v>759640.16861199995</v>
      </c>
      <c r="AN611" s="43">
        <f>AN610+AN609+AN607+AN605+AN603+AN601+AN597+AN595+AN573+AN564</f>
        <v>821361.3474510879</v>
      </c>
      <c r="AO611" s="43"/>
      <c r="AP611" s="43">
        <f>AP610+AP609+AP607+AP605+AP603+AP601+AP597+AP595+AP573+AP564</f>
        <v>804220.96479478979</v>
      </c>
      <c r="AR611" s="43">
        <f>AR610+AR609+AR607+AR605+AR603+AR601+AR597+AR595+AR573+AR564</f>
        <v>863005.30542688479</v>
      </c>
      <c r="AT611" s="43">
        <f>AT610+AT609+AT607+AT605+AT603+AT601+AT597+AT595+AT573+AT564</f>
        <v>851713.13869266317</v>
      </c>
      <c r="AV611" s="43">
        <f>AV610+AV609+AV607+AV605+AV603+AV601+AV597+AV595+AV573+AV564</f>
        <v>918839.32974271441</v>
      </c>
      <c r="AX611" s="43">
        <f>AX610+AX609+AX607+AX605+AX603+AX601+AX597+AX595+AX573+AX564</f>
        <v>900315.64182136988</v>
      </c>
      <c r="AZ611" s="43">
        <f>AZ610+AZ609+AZ607+AZ605+AZ603+AZ601+AZ597+AZ595+AZ573+AZ564</f>
        <v>964420.35747973144</v>
      </c>
    </row>
    <row r="612" spans="1:53" s="42" customFormat="1" ht="15.75" thickTop="1" x14ac:dyDescent="0.25">
      <c r="A612" s="7" t="s">
        <v>137</v>
      </c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4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R612" s="3"/>
      <c r="AT612" s="3"/>
      <c r="AV612" s="3"/>
      <c r="AX612" s="3"/>
      <c r="AZ612" s="3"/>
      <c r="BA612" s="6"/>
    </row>
    <row r="613" spans="1:53" x14ac:dyDescent="0.25">
      <c r="A613" s="7" t="s">
        <v>461</v>
      </c>
    </row>
    <row r="614" spans="1:53" x14ac:dyDescent="0.25">
      <c r="A614" s="3" t="s">
        <v>462</v>
      </c>
      <c r="B614" s="3">
        <v>52050</v>
      </c>
      <c r="D614" s="3">
        <v>0</v>
      </c>
      <c r="E614" s="3">
        <f t="shared" ref="E614:E624" si="377">F614-D614</f>
        <v>52050</v>
      </c>
      <c r="F614" s="5">
        <v>52050</v>
      </c>
      <c r="H614" s="5">
        <f t="shared" ref="H614:H624" si="378">F614-B614</f>
        <v>0</v>
      </c>
      <c r="J614" s="5">
        <v>26022</v>
      </c>
      <c r="K614" s="4">
        <f t="shared" ref="K614:K628" si="379">L614-J614</f>
        <v>26028</v>
      </c>
      <c r="L614" s="4">
        <v>52050</v>
      </c>
      <c r="N614" s="4">
        <f t="shared" ref="N614:N628" si="380">L614-F614</f>
        <v>0</v>
      </c>
      <c r="P614" s="3">
        <v>53850</v>
      </c>
      <c r="Q614" s="3"/>
      <c r="R614" s="3">
        <v>26918</v>
      </c>
      <c r="S614" s="3">
        <f t="shared" ref="S614:S628" si="381">T614-R614</f>
        <v>26932</v>
      </c>
      <c r="T614" s="3">
        <v>53850</v>
      </c>
      <c r="U614" s="3">
        <f t="shared" ref="U614:U628" si="382">T614-P614</f>
        <v>0</v>
      </c>
      <c r="V614" s="3">
        <v>26918</v>
      </c>
      <c r="W614" s="3">
        <f t="shared" ref="W614:W628" si="383">Y614-V614</f>
        <v>26932</v>
      </c>
      <c r="X614" s="3"/>
      <c r="Y614" s="3">
        <v>53850</v>
      </c>
      <c r="Z614" s="3">
        <f t="shared" ref="Z614:Z628" si="384">Y614-T614</f>
        <v>0</v>
      </c>
      <c r="AA614" s="3"/>
      <c r="AB614" s="3"/>
      <c r="AC614" s="3">
        <f>26918+26918</f>
        <v>53836</v>
      </c>
      <c r="AD614" s="3">
        <f t="shared" ref="AD614:AD628" si="385">AE614-AC614</f>
        <v>4</v>
      </c>
      <c r="AE614" s="3">
        <v>53840</v>
      </c>
      <c r="AF614" s="3">
        <f t="shared" ref="AF614:AF628" si="386">AE614-Y614</f>
        <v>-10</v>
      </c>
      <c r="AG614" s="3"/>
      <c r="AH614" s="3">
        <v>55750</v>
      </c>
      <c r="AI614" s="3"/>
      <c r="AJ614" s="3">
        <f>AH614*1.03</f>
        <v>57422.5</v>
      </c>
      <c r="AK614" s="3"/>
      <c r="AL614" s="3">
        <f>AJ614*1.03</f>
        <v>59145.175000000003</v>
      </c>
      <c r="AM614" s="3"/>
      <c r="AN614" s="3">
        <f>AL614*1.03</f>
        <v>60919.530250000003</v>
      </c>
      <c r="AO614" s="3"/>
      <c r="AP614" s="3">
        <f>AN614*1.03</f>
        <v>62747.116157500008</v>
      </c>
      <c r="AQ614" s="42"/>
      <c r="AR614" s="3">
        <f>AP614*1.03</f>
        <v>64629.52964222501</v>
      </c>
      <c r="AS614" s="42"/>
      <c r="AT614" s="3">
        <f>AR614*1.03</f>
        <v>66568.415531491759</v>
      </c>
      <c r="AU614" s="42"/>
      <c r="AV614" s="3">
        <f>AT614*1.03</f>
        <v>68565.467997436514</v>
      </c>
      <c r="AW614" s="42"/>
      <c r="AX614" s="3">
        <f>AV614*1.03</f>
        <v>70622.432037359613</v>
      </c>
      <c r="AZ614" s="3">
        <f>AX614*1.03</f>
        <v>72741.104998480398</v>
      </c>
    </row>
    <row r="615" spans="1:53" x14ac:dyDescent="0.25">
      <c r="A615" s="3" t="s">
        <v>463</v>
      </c>
      <c r="B615" s="3">
        <v>46000</v>
      </c>
      <c r="D615" s="3">
        <v>12942</v>
      </c>
      <c r="E615" s="3">
        <f t="shared" si="377"/>
        <v>35058</v>
      </c>
      <c r="F615" s="5">
        <v>48000</v>
      </c>
      <c r="H615" s="5">
        <f t="shared" si="378"/>
        <v>2000</v>
      </c>
      <c r="J615" s="5">
        <v>22233</v>
      </c>
      <c r="K615" s="4">
        <f t="shared" si="379"/>
        <v>25767</v>
      </c>
      <c r="L615" s="4">
        <v>48000</v>
      </c>
      <c r="N615" s="4">
        <f t="shared" si="380"/>
        <v>0</v>
      </c>
      <c r="P615" s="3">
        <f>L615*1.0275+4030</f>
        <v>53350.000000000007</v>
      </c>
      <c r="Q615" s="3"/>
      <c r="R615" s="3">
        <v>15949</v>
      </c>
      <c r="S615" s="3">
        <f t="shared" si="381"/>
        <v>43401</v>
      </c>
      <c r="T615" s="3">
        <v>59350</v>
      </c>
      <c r="U615" s="3">
        <f t="shared" si="382"/>
        <v>5999.9999999999927</v>
      </c>
      <c r="V615" s="3">
        <v>27062</v>
      </c>
      <c r="W615" s="3">
        <f t="shared" si="383"/>
        <v>32288</v>
      </c>
      <c r="X615" s="3"/>
      <c r="Y615" s="3">
        <v>59350</v>
      </c>
      <c r="Z615" s="3">
        <f t="shared" si="384"/>
        <v>0</v>
      </c>
      <c r="AA615" s="3"/>
      <c r="AB615" s="3"/>
      <c r="AC615" s="3">
        <v>38620</v>
      </c>
      <c r="AD615" s="3">
        <f t="shared" si="385"/>
        <v>19380</v>
      </c>
      <c r="AE615" s="3">
        <v>58000</v>
      </c>
      <c r="AF615" s="3">
        <f t="shared" si="386"/>
        <v>-1350</v>
      </c>
      <c r="AG615" s="3"/>
      <c r="AH615" s="3">
        <v>54900</v>
      </c>
      <c r="AI615" s="3"/>
      <c r="AJ615" s="3">
        <f>AH615*1.03</f>
        <v>56547</v>
      </c>
      <c r="AK615" s="3"/>
      <c r="AL615" s="3">
        <f>AJ615*1.03</f>
        <v>58243.41</v>
      </c>
      <c r="AM615" s="3"/>
      <c r="AN615" s="3">
        <f>AL615*1.03</f>
        <v>59990.712300000007</v>
      </c>
      <c r="AO615" s="3"/>
      <c r="AP615" s="3">
        <f>AN615*1.03</f>
        <v>61790.433669000005</v>
      </c>
      <c r="AQ615" s="42"/>
      <c r="AR615" s="3">
        <f>AP615*1.03</f>
        <v>63644.146679070007</v>
      </c>
      <c r="AS615" s="42"/>
      <c r="AT615" s="3">
        <f>AR615*1.03</f>
        <v>65553.471079442112</v>
      </c>
      <c r="AU615" s="42"/>
      <c r="AV615" s="3">
        <f>AT615*1.03</f>
        <v>67520.075211825373</v>
      </c>
      <c r="AW615" s="42"/>
      <c r="AX615" s="3">
        <f>AV615*1.03</f>
        <v>69545.677468180133</v>
      </c>
      <c r="AZ615" s="3">
        <f>AX615*1.03</f>
        <v>71632.047792225538</v>
      </c>
    </row>
    <row r="616" spans="1:53" x14ac:dyDescent="0.25">
      <c r="A616" s="3" t="s">
        <v>299</v>
      </c>
      <c r="B616" s="3">
        <f>1000+500</f>
        <v>1500</v>
      </c>
      <c r="D616" s="3">
        <v>0</v>
      </c>
      <c r="E616" s="3">
        <f t="shared" si="377"/>
        <v>1000</v>
      </c>
      <c r="F616" s="5">
        <v>1000</v>
      </c>
      <c r="H616" s="5">
        <f t="shared" si="378"/>
        <v>-500</v>
      </c>
      <c r="J616" s="5">
        <v>202</v>
      </c>
      <c r="K616" s="4">
        <f t="shared" si="379"/>
        <v>798</v>
      </c>
      <c r="L616" s="4">
        <v>1000</v>
      </c>
      <c r="N616" s="4">
        <f t="shared" si="380"/>
        <v>0</v>
      </c>
      <c r="P616" s="3">
        <f>L616*1.0281+72</f>
        <v>1100.0999999999999</v>
      </c>
      <c r="Q616" s="3"/>
      <c r="R616" s="3">
        <v>190</v>
      </c>
      <c r="S616" s="3">
        <f t="shared" si="381"/>
        <v>910</v>
      </c>
      <c r="T616" s="3">
        <v>1100</v>
      </c>
      <c r="U616" s="3">
        <f t="shared" si="382"/>
        <v>-9.9999999999909051E-2</v>
      </c>
      <c r="V616" s="3">
        <v>491</v>
      </c>
      <c r="W616" s="3">
        <f t="shared" si="383"/>
        <v>609</v>
      </c>
      <c r="X616" s="3"/>
      <c r="Y616" s="3">
        <v>1100</v>
      </c>
      <c r="Z616" s="3">
        <f t="shared" si="384"/>
        <v>0</v>
      </c>
      <c r="AA616" s="3"/>
      <c r="AB616" s="3"/>
      <c r="AC616" s="3">
        <v>491</v>
      </c>
      <c r="AD616" s="3">
        <f t="shared" si="385"/>
        <v>609</v>
      </c>
      <c r="AE616" s="3">
        <v>1100</v>
      </c>
      <c r="AF616" s="3">
        <f t="shared" si="386"/>
        <v>0</v>
      </c>
      <c r="AG616" s="3"/>
      <c r="AH616" s="3">
        <f>AE616*1.03+17</f>
        <v>1150</v>
      </c>
      <c r="AI616" s="3"/>
      <c r="AJ616" s="3">
        <f>AH616*1.03</f>
        <v>1184.5</v>
      </c>
      <c r="AK616" s="3"/>
      <c r="AL616" s="3">
        <f>AJ616*1.03</f>
        <v>1220.0350000000001</v>
      </c>
      <c r="AM616" s="3"/>
      <c r="AN616" s="3">
        <f>AL616*1.03</f>
        <v>1256.6360500000001</v>
      </c>
      <c r="AO616" s="3"/>
      <c r="AP616" s="3">
        <f>AN616*1.03</f>
        <v>1294.3351315000002</v>
      </c>
      <c r="AQ616" s="42"/>
      <c r="AR616" s="3">
        <f>AP616*1.03</f>
        <v>1333.1651854450004</v>
      </c>
      <c r="AS616" s="42"/>
      <c r="AT616" s="3">
        <f>AR616*1.03</f>
        <v>1373.1601410083504</v>
      </c>
      <c r="AU616" s="42"/>
      <c r="AV616" s="3">
        <f>AT616*1.03</f>
        <v>1414.354945238601</v>
      </c>
      <c r="AW616" s="42"/>
      <c r="AX616" s="3">
        <f>AV616*1.03</f>
        <v>1456.7855935957591</v>
      </c>
      <c r="AZ616" s="3">
        <f>AX616*1.03</f>
        <v>1500.4891614036319</v>
      </c>
    </row>
    <row r="617" spans="1:53" x14ac:dyDescent="0.25">
      <c r="A617" s="3" t="s">
        <v>327</v>
      </c>
      <c r="B617" s="3">
        <v>12000</v>
      </c>
      <c r="D617" s="3">
        <v>3000</v>
      </c>
      <c r="E617" s="3">
        <f t="shared" si="377"/>
        <v>9000</v>
      </c>
      <c r="F617" s="5">
        <v>12000</v>
      </c>
      <c r="H617" s="5">
        <f t="shared" si="378"/>
        <v>0</v>
      </c>
      <c r="J617" s="5">
        <v>5176</v>
      </c>
      <c r="K617" s="4">
        <f t="shared" si="379"/>
        <v>6824</v>
      </c>
      <c r="L617" s="4">
        <v>12000</v>
      </c>
      <c r="N617" s="4">
        <f t="shared" si="380"/>
        <v>0</v>
      </c>
      <c r="P617" s="3">
        <f>L617*1.0281+13</f>
        <v>12350.2</v>
      </c>
      <c r="Q617" s="3"/>
      <c r="R617" s="3">
        <v>2145</v>
      </c>
      <c r="S617" s="3">
        <f t="shared" si="381"/>
        <v>10205</v>
      </c>
      <c r="T617" s="3">
        <v>12350</v>
      </c>
      <c r="U617" s="3">
        <f t="shared" si="382"/>
        <v>-0.2000000000007276</v>
      </c>
      <c r="V617" s="3">
        <v>5486</v>
      </c>
      <c r="W617" s="3">
        <f t="shared" si="383"/>
        <v>7014</v>
      </c>
      <c r="X617" s="3"/>
      <c r="Y617" s="3">
        <v>12500</v>
      </c>
      <c r="Z617" s="3">
        <f t="shared" si="384"/>
        <v>150</v>
      </c>
      <c r="AA617" s="3"/>
      <c r="AB617" s="3"/>
      <c r="AC617" s="3">
        <v>8888</v>
      </c>
      <c r="AD617" s="3">
        <f t="shared" si="385"/>
        <v>3612</v>
      </c>
      <c r="AE617" s="3">
        <v>12500</v>
      </c>
      <c r="AF617" s="3">
        <f t="shared" si="386"/>
        <v>0</v>
      </c>
      <c r="AG617" s="3"/>
      <c r="AH617" s="3">
        <f>AE617*1.03+25-100</f>
        <v>12800</v>
      </c>
      <c r="AI617" s="3"/>
      <c r="AJ617" s="3">
        <f>AH617*1.03</f>
        <v>13184</v>
      </c>
      <c r="AK617" s="3"/>
      <c r="AL617" s="3">
        <f>AJ617*1.03</f>
        <v>13579.52</v>
      </c>
      <c r="AM617" s="3"/>
      <c r="AN617" s="3">
        <f>AL617*1.03</f>
        <v>13986.9056</v>
      </c>
      <c r="AO617" s="3"/>
      <c r="AP617" s="3">
        <f>AN617*1.03</f>
        <v>14406.512768000001</v>
      </c>
      <c r="AQ617" s="42"/>
      <c r="AR617" s="3">
        <f>AP617*1.03</f>
        <v>14838.70815104</v>
      </c>
      <c r="AS617" s="42"/>
      <c r="AT617" s="3">
        <f>AR617*1.03</f>
        <v>15283.869395571201</v>
      </c>
      <c r="AU617" s="42"/>
      <c r="AV617" s="3">
        <f>AT617*1.03</f>
        <v>15742.385477438336</v>
      </c>
      <c r="AW617" s="42"/>
      <c r="AX617" s="3">
        <f>AV617*1.03</f>
        <v>16214.657041761488</v>
      </c>
      <c r="AZ617" s="3">
        <f>AX617*1.03</f>
        <v>16701.096753014332</v>
      </c>
    </row>
    <row r="618" spans="1:53" x14ac:dyDescent="0.25">
      <c r="A618" s="3" t="s">
        <v>464</v>
      </c>
      <c r="B618" s="3">
        <v>10650</v>
      </c>
      <c r="D618" s="3">
        <v>838</v>
      </c>
      <c r="E618" s="3">
        <f t="shared" si="377"/>
        <v>8162</v>
      </c>
      <c r="F618" s="5">
        <v>9000</v>
      </c>
      <c r="H618" s="5">
        <f t="shared" si="378"/>
        <v>-1650</v>
      </c>
      <c r="J618" s="5">
        <v>3134</v>
      </c>
      <c r="K618" s="4">
        <f t="shared" si="379"/>
        <v>5866</v>
      </c>
      <c r="L618" s="4">
        <v>9000</v>
      </c>
      <c r="N618" s="4">
        <f t="shared" si="380"/>
        <v>0</v>
      </c>
      <c r="P618" s="3">
        <f>L618*1.17+20</f>
        <v>10550</v>
      </c>
      <c r="Q618" s="3"/>
      <c r="R618" s="3">
        <v>899</v>
      </c>
      <c r="S618" s="3">
        <f t="shared" si="381"/>
        <v>9101</v>
      </c>
      <c r="T618" s="3">
        <v>10000</v>
      </c>
      <c r="U618" s="3">
        <f t="shared" si="382"/>
        <v>-550</v>
      </c>
      <c r="V618" s="3">
        <v>3995</v>
      </c>
      <c r="W618" s="3">
        <f t="shared" si="383"/>
        <v>7255</v>
      </c>
      <c r="X618" s="3"/>
      <c r="Y618" s="3">
        <v>11250</v>
      </c>
      <c r="Z618" s="3">
        <f t="shared" si="384"/>
        <v>1250</v>
      </c>
      <c r="AA618" s="3"/>
      <c r="AB618" s="3"/>
      <c r="AC618" s="3">
        <v>3995</v>
      </c>
      <c r="AD618" s="3">
        <f t="shared" si="385"/>
        <v>5005</v>
      </c>
      <c r="AE618" s="3">
        <v>9000</v>
      </c>
      <c r="AF618" s="3">
        <f t="shared" si="386"/>
        <v>-2250</v>
      </c>
      <c r="AG618" s="3"/>
      <c r="AH618" s="3">
        <f>P618*1.075+9</f>
        <v>11350.25</v>
      </c>
      <c r="AI618" s="3"/>
      <c r="AJ618" s="3">
        <f>AH618*1.05</f>
        <v>11917.762500000001</v>
      </c>
      <c r="AK618" s="3"/>
      <c r="AL618" s="3">
        <f>AJ618*1.03</f>
        <v>12275.295375000002</v>
      </c>
      <c r="AM618" s="3"/>
      <c r="AN618" s="3">
        <f>AL618*1.03</f>
        <v>12643.554236250002</v>
      </c>
      <c r="AO618" s="3"/>
      <c r="AP618" s="3">
        <f>AN618*1.03</f>
        <v>13022.860863337502</v>
      </c>
      <c r="AQ618" s="42"/>
      <c r="AR618" s="3">
        <f>AP618*1.03</f>
        <v>13413.546689237628</v>
      </c>
      <c r="AS618" s="42"/>
      <c r="AT618" s="3">
        <f>AR618*1.03</f>
        <v>13815.953089914758</v>
      </c>
      <c r="AU618" s="42"/>
      <c r="AV618" s="3">
        <f>AT618*1.03</f>
        <v>14230.431682612201</v>
      </c>
      <c r="AW618" s="42"/>
      <c r="AX618" s="3">
        <f>AV618*1.03</f>
        <v>14657.344633090568</v>
      </c>
      <c r="AZ618" s="3">
        <f>AX618*1.03</f>
        <v>15097.064972083286</v>
      </c>
    </row>
    <row r="619" spans="1:53" x14ac:dyDescent="0.25">
      <c r="A619" s="3" t="s">
        <v>331</v>
      </c>
      <c r="B619" s="3">
        <v>850</v>
      </c>
      <c r="D619" s="3">
        <v>680</v>
      </c>
      <c r="E619" s="3">
        <f t="shared" si="377"/>
        <v>320</v>
      </c>
      <c r="F619" s="5">
        <v>1000</v>
      </c>
      <c r="H619" s="5">
        <f t="shared" si="378"/>
        <v>150</v>
      </c>
      <c r="J619" s="5">
        <v>0</v>
      </c>
      <c r="K619" s="4">
        <f t="shared" si="379"/>
        <v>1000</v>
      </c>
      <c r="L619" s="4">
        <v>1000</v>
      </c>
      <c r="N619" s="4">
        <f t="shared" si="380"/>
        <v>0</v>
      </c>
      <c r="P619" s="3">
        <f>L619*1.07+30</f>
        <v>1100</v>
      </c>
      <c r="Q619" s="3"/>
      <c r="R619" s="3">
        <v>0</v>
      </c>
      <c r="S619" s="3">
        <f t="shared" si="381"/>
        <v>750</v>
      </c>
      <c r="T619" s="3">
        <v>750</v>
      </c>
      <c r="U619" s="3">
        <f t="shared" si="382"/>
        <v>-350</v>
      </c>
      <c r="V619" s="3">
        <v>0</v>
      </c>
      <c r="W619" s="3">
        <f t="shared" si="383"/>
        <v>750</v>
      </c>
      <c r="X619" s="3"/>
      <c r="Y619" s="3">
        <v>750</v>
      </c>
      <c r="Z619" s="3">
        <f t="shared" si="384"/>
        <v>0</v>
      </c>
      <c r="AA619" s="3"/>
      <c r="AB619" s="3"/>
      <c r="AC619" s="3">
        <v>478</v>
      </c>
      <c r="AD619" s="3">
        <f t="shared" si="385"/>
        <v>272</v>
      </c>
      <c r="AE619" s="3">
        <v>750</v>
      </c>
      <c r="AF619" s="3">
        <f t="shared" si="386"/>
        <v>0</v>
      </c>
      <c r="AG619" s="3"/>
      <c r="AH619" s="3">
        <f>P619*1.07+23</f>
        <v>1200</v>
      </c>
      <c r="AI619" s="3"/>
      <c r="AJ619" s="3">
        <f>AH619*1.07</f>
        <v>1284</v>
      </c>
      <c r="AK619" s="3"/>
      <c r="AL619" s="3">
        <f>AJ619*1.07</f>
        <v>1373.88</v>
      </c>
      <c r="AM619" s="3"/>
      <c r="AN619" s="3">
        <f>AL619*1.07</f>
        <v>1470.0516000000002</v>
      </c>
      <c r="AO619" s="3"/>
      <c r="AP619" s="3">
        <f>AN619*1.07</f>
        <v>1572.9552120000003</v>
      </c>
      <c r="AQ619" s="42"/>
      <c r="AR619" s="3">
        <f>AP619*1.07</f>
        <v>1683.0620768400004</v>
      </c>
      <c r="AS619" s="42"/>
      <c r="AT619" s="3">
        <f>AR619*1.07</f>
        <v>1800.8764222188006</v>
      </c>
      <c r="AU619" s="42"/>
      <c r="AV619" s="3">
        <f>AT619*1.07</f>
        <v>1926.9377717741168</v>
      </c>
      <c r="AW619" s="42"/>
      <c r="AX619" s="3">
        <f>AV619*1.07</f>
        <v>2061.8234157983052</v>
      </c>
      <c r="AZ619" s="3">
        <f>AX619*1.07</f>
        <v>2206.1510549041868</v>
      </c>
    </row>
    <row r="620" spans="1:53" x14ac:dyDescent="0.25">
      <c r="A620" s="3" t="s">
        <v>332</v>
      </c>
      <c r="B620" s="3">
        <v>1750</v>
      </c>
      <c r="D620" s="3">
        <v>255</v>
      </c>
      <c r="E620" s="3">
        <f t="shared" si="377"/>
        <v>1495</v>
      </c>
      <c r="F620" s="5">
        <v>1750</v>
      </c>
      <c r="H620" s="5">
        <f t="shared" si="378"/>
        <v>0</v>
      </c>
      <c r="J620" s="5">
        <v>427</v>
      </c>
      <c r="K620" s="4">
        <f t="shared" si="379"/>
        <v>1323</v>
      </c>
      <c r="L620" s="4">
        <v>1750</v>
      </c>
      <c r="N620" s="4">
        <f t="shared" si="380"/>
        <v>0</v>
      </c>
      <c r="P620" s="3">
        <f>L620*1.0281+1</f>
        <v>1800.175</v>
      </c>
      <c r="Q620" s="3"/>
      <c r="R620" s="3">
        <v>277</v>
      </c>
      <c r="S620" s="3">
        <f t="shared" si="381"/>
        <v>1123</v>
      </c>
      <c r="T620" s="3">
        <v>1400</v>
      </c>
      <c r="U620" s="3">
        <f t="shared" si="382"/>
        <v>-400.17499999999995</v>
      </c>
      <c r="V620" s="3">
        <v>422</v>
      </c>
      <c r="W620" s="3">
        <f t="shared" si="383"/>
        <v>978</v>
      </c>
      <c r="X620" s="3"/>
      <c r="Y620" s="3">
        <v>1400</v>
      </c>
      <c r="Z620" s="3">
        <f t="shared" si="384"/>
        <v>0</v>
      </c>
      <c r="AA620" s="3"/>
      <c r="AB620" s="3"/>
      <c r="AC620" s="3">
        <v>98</v>
      </c>
      <c r="AD620" s="3">
        <f t="shared" si="385"/>
        <v>1302</v>
      </c>
      <c r="AE620" s="3">
        <v>1400</v>
      </c>
      <c r="AF620" s="3">
        <f t="shared" si="386"/>
        <v>0</v>
      </c>
      <c r="AG620" s="3"/>
      <c r="AH620" s="3">
        <f>AE620*1.03+8</f>
        <v>1450</v>
      </c>
      <c r="AI620" s="3"/>
      <c r="AJ620" s="3">
        <f>AH620*1.03</f>
        <v>1493.5</v>
      </c>
      <c r="AK620" s="3"/>
      <c r="AL620" s="3">
        <f>AJ620*1.03</f>
        <v>1538.3050000000001</v>
      </c>
      <c r="AM620" s="3"/>
      <c r="AN620" s="3">
        <f>AL620*1.03</f>
        <v>1584.45415</v>
      </c>
      <c r="AO620" s="3"/>
      <c r="AP620" s="3">
        <f>AN620*1.03</f>
        <v>1631.9877745000001</v>
      </c>
      <c r="AQ620" s="42"/>
      <c r="AR620" s="3">
        <f>AP620*1.03</f>
        <v>1680.9474077350001</v>
      </c>
      <c r="AS620" s="42"/>
      <c r="AT620" s="3">
        <f>AR620*1.03</f>
        <v>1731.3758299670501</v>
      </c>
      <c r="AU620" s="42"/>
      <c r="AV620" s="3">
        <f>AT620*1.03</f>
        <v>1783.3171048660618</v>
      </c>
      <c r="AW620" s="42"/>
      <c r="AX620" s="3">
        <f>AV620*1.03</f>
        <v>1836.8166180120436</v>
      </c>
      <c r="AZ620" s="3">
        <f>AX620*1.03</f>
        <v>1891.921116552405</v>
      </c>
    </row>
    <row r="621" spans="1:53" x14ac:dyDescent="0.25">
      <c r="A621" s="3" t="s">
        <v>465</v>
      </c>
      <c r="B621" s="3">
        <v>1000</v>
      </c>
      <c r="D621" s="3">
        <v>0</v>
      </c>
      <c r="E621" s="3">
        <f t="shared" si="377"/>
        <v>1000</v>
      </c>
      <c r="F621" s="5">
        <v>1000</v>
      </c>
      <c r="H621" s="5">
        <f t="shared" si="378"/>
        <v>0</v>
      </c>
      <c r="J621" s="5">
        <v>150</v>
      </c>
      <c r="K621" s="4">
        <f t="shared" si="379"/>
        <v>850</v>
      </c>
      <c r="L621" s="4">
        <v>1000</v>
      </c>
      <c r="N621" s="4">
        <f t="shared" si="380"/>
        <v>0</v>
      </c>
      <c r="P621" s="3">
        <f>L621*1.0281+22</f>
        <v>1050.0999999999999</v>
      </c>
      <c r="Q621" s="3"/>
      <c r="R621" s="3">
        <v>84</v>
      </c>
      <c r="S621" s="3">
        <f t="shared" si="381"/>
        <v>916</v>
      </c>
      <c r="T621" s="3">
        <v>1000</v>
      </c>
      <c r="U621" s="3">
        <f t="shared" si="382"/>
        <v>-50.099999999999909</v>
      </c>
      <c r="V621" s="3">
        <f>675+48+36</f>
        <v>759</v>
      </c>
      <c r="W621" s="3">
        <f t="shared" si="383"/>
        <v>241</v>
      </c>
      <c r="X621" s="3"/>
      <c r="Y621" s="3">
        <v>1000</v>
      </c>
      <c r="Z621" s="3">
        <f t="shared" si="384"/>
        <v>0</v>
      </c>
      <c r="AA621" s="3"/>
      <c r="AB621" s="3"/>
      <c r="AC621" s="3">
        <v>704</v>
      </c>
      <c r="AD621" s="3">
        <f t="shared" si="385"/>
        <v>296</v>
      </c>
      <c r="AE621" s="3">
        <v>1000</v>
      </c>
      <c r="AF621" s="3">
        <f t="shared" si="386"/>
        <v>0</v>
      </c>
      <c r="AG621" s="3"/>
      <c r="AH621" s="3">
        <f>AE621*1.03</f>
        <v>1030</v>
      </c>
      <c r="AI621" s="3"/>
      <c r="AJ621" s="3">
        <f t="shared" ref="AJ621:AX621" si="387">AH621*1.03</f>
        <v>1060.9000000000001</v>
      </c>
      <c r="AK621" s="3"/>
      <c r="AL621" s="3">
        <f t="shared" si="387"/>
        <v>1092.7270000000001</v>
      </c>
      <c r="AM621" s="3"/>
      <c r="AN621" s="3">
        <f t="shared" si="387"/>
        <v>1125.50881</v>
      </c>
      <c r="AO621" s="3"/>
      <c r="AP621" s="3">
        <f t="shared" si="387"/>
        <v>1159.2740743000002</v>
      </c>
      <c r="AQ621" s="42"/>
      <c r="AR621" s="3">
        <f t="shared" si="387"/>
        <v>1194.0522965290002</v>
      </c>
      <c r="AS621" s="42"/>
      <c r="AT621" s="3">
        <f t="shared" si="387"/>
        <v>1229.8738654248702</v>
      </c>
      <c r="AU621" s="42"/>
      <c r="AV621" s="3">
        <f t="shared" si="387"/>
        <v>1266.7700813876163</v>
      </c>
      <c r="AW621" s="42"/>
      <c r="AX621" s="3">
        <f t="shared" si="387"/>
        <v>1304.7731838292448</v>
      </c>
      <c r="AZ621" s="3">
        <f>AX621*1.03</f>
        <v>1343.9163793441221</v>
      </c>
      <c r="BA621" s="42"/>
    </row>
    <row r="622" spans="1:53" x14ac:dyDescent="0.25">
      <c r="A622" s="3" t="s">
        <v>466</v>
      </c>
      <c r="B622" s="3">
        <v>700</v>
      </c>
      <c r="D622" s="3">
        <v>530</v>
      </c>
      <c r="E622" s="3">
        <f t="shared" si="377"/>
        <v>170</v>
      </c>
      <c r="F622" s="5">
        <v>700</v>
      </c>
      <c r="H622" s="5">
        <f t="shared" si="378"/>
        <v>0</v>
      </c>
      <c r="J622" s="5">
        <v>531</v>
      </c>
      <c r="K622" s="4">
        <f t="shared" si="379"/>
        <v>169</v>
      </c>
      <c r="L622" s="4">
        <v>700</v>
      </c>
      <c r="N622" s="4">
        <f t="shared" si="380"/>
        <v>0</v>
      </c>
      <c r="P622" s="3">
        <f>L622*1.0281+30</f>
        <v>749.67</v>
      </c>
      <c r="Q622" s="3"/>
      <c r="R622" s="3">
        <v>94</v>
      </c>
      <c r="S622" s="3">
        <f t="shared" si="381"/>
        <v>606</v>
      </c>
      <c r="T622" s="3">
        <v>700</v>
      </c>
      <c r="U622" s="3">
        <f t="shared" si="382"/>
        <v>-49.669999999999959</v>
      </c>
      <c r="V622" s="3">
        <v>546</v>
      </c>
      <c r="W622" s="3">
        <f t="shared" si="383"/>
        <v>154</v>
      </c>
      <c r="X622" s="3"/>
      <c r="Y622" s="3">
        <v>700</v>
      </c>
      <c r="Z622" s="3">
        <f t="shared" si="384"/>
        <v>0</v>
      </c>
      <c r="AA622" s="3"/>
      <c r="AB622" s="3"/>
      <c r="AC622" s="3">
        <v>546</v>
      </c>
      <c r="AD622" s="3">
        <f t="shared" si="385"/>
        <v>154</v>
      </c>
      <c r="AE622" s="3">
        <v>700</v>
      </c>
      <c r="AF622" s="3">
        <f t="shared" si="386"/>
        <v>0</v>
      </c>
      <c r="AG622" s="3"/>
      <c r="AH622" s="3">
        <f>AE622*1.03+29</f>
        <v>750</v>
      </c>
      <c r="AI622" s="3"/>
      <c r="AJ622" s="3">
        <f>AH622*1.03</f>
        <v>772.5</v>
      </c>
      <c r="AK622" s="3"/>
      <c r="AL622" s="3">
        <f>AJ622*1.03</f>
        <v>795.67500000000007</v>
      </c>
      <c r="AM622" s="3"/>
      <c r="AN622" s="3">
        <f>AL622*1.03</f>
        <v>819.54525000000012</v>
      </c>
      <c r="AO622" s="3"/>
      <c r="AP622" s="3">
        <f>AN622*1.03</f>
        <v>844.1316075000002</v>
      </c>
      <c r="AQ622" s="42"/>
      <c r="AR622" s="3">
        <f>AP622*1.03</f>
        <v>869.45555572500018</v>
      </c>
      <c r="AS622" s="42"/>
      <c r="AT622" s="3">
        <f>AR622*1.03</f>
        <v>895.53922239675023</v>
      </c>
      <c r="AU622" s="42"/>
      <c r="AV622" s="3">
        <f>AT622*1.03</f>
        <v>922.40539906865274</v>
      </c>
      <c r="AW622" s="42"/>
      <c r="AX622" s="3">
        <f>AV622*1.03</f>
        <v>950.07756104071234</v>
      </c>
      <c r="AZ622" s="3">
        <f>AX622*1.03</f>
        <v>978.57988787193369</v>
      </c>
    </row>
    <row r="623" spans="1:53" s="42" customFormat="1" x14ac:dyDescent="0.25">
      <c r="A623" s="3" t="s">
        <v>467</v>
      </c>
      <c r="B623" s="3">
        <v>1500</v>
      </c>
      <c r="C623" s="3"/>
      <c r="D623" s="3">
        <v>405</v>
      </c>
      <c r="E623" s="3">
        <f t="shared" si="377"/>
        <v>1095</v>
      </c>
      <c r="F623" s="5">
        <v>1500</v>
      </c>
      <c r="G623" s="3"/>
      <c r="H623" s="5">
        <f t="shared" si="378"/>
        <v>0</v>
      </c>
      <c r="I623" s="5"/>
      <c r="J623" s="5">
        <v>840</v>
      </c>
      <c r="K623" s="4">
        <f t="shared" si="379"/>
        <v>910</v>
      </c>
      <c r="L623" s="4">
        <v>1750</v>
      </c>
      <c r="M623" s="4"/>
      <c r="N623" s="4">
        <f t="shared" si="380"/>
        <v>250</v>
      </c>
      <c r="O623" s="3"/>
      <c r="P623" s="3">
        <f>L623*1.0281+1</f>
        <v>1800.175</v>
      </c>
      <c r="Q623" s="3"/>
      <c r="R623" s="3">
        <v>427</v>
      </c>
      <c r="S623" s="3">
        <f t="shared" si="381"/>
        <v>1373</v>
      </c>
      <c r="T623" s="3">
        <v>1800</v>
      </c>
      <c r="U623" s="3">
        <f t="shared" si="382"/>
        <v>-0.17499999999995453</v>
      </c>
      <c r="V623" s="3">
        <v>916</v>
      </c>
      <c r="W623" s="3">
        <f t="shared" si="383"/>
        <v>884</v>
      </c>
      <c r="X623" s="3"/>
      <c r="Y623" s="3">
        <v>1800</v>
      </c>
      <c r="Z623" s="3">
        <f t="shared" si="384"/>
        <v>0</v>
      </c>
      <c r="AA623" s="3"/>
      <c r="AB623" s="3"/>
      <c r="AC623" s="3">
        <v>1390</v>
      </c>
      <c r="AD623" s="3">
        <f t="shared" si="385"/>
        <v>410</v>
      </c>
      <c r="AE623" s="3">
        <v>1800</v>
      </c>
      <c r="AF623" s="3">
        <f t="shared" si="386"/>
        <v>0</v>
      </c>
      <c r="AG623" s="3"/>
      <c r="AH623" s="3">
        <f>AE623*1.03-4</f>
        <v>1850</v>
      </c>
      <c r="AI623" s="3"/>
      <c r="AJ623" s="3">
        <f>AH623*1.03</f>
        <v>1905.5</v>
      </c>
      <c r="AK623" s="3"/>
      <c r="AL623" s="3">
        <f>AJ623*1.03</f>
        <v>1962.665</v>
      </c>
      <c r="AM623" s="3"/>
      <c r="AN623" s="3">
        <f>AL623*1.03</f>
        <v>2021.54495</v>
      </c>
      <c r="AO623" s="3"/>
      <c r="AP623" s="3">
        <f>AN623*1.03</f>
        <v>2082.1912984999999</v>
      </c>
      <c r="AR623" s="3">
        <f>AP623*1.03</f>
        <v>2144.6570374550001</v>
      </c>
      <c r="AT623" s="3">
        <f>AR623*1.03</f>
        <v>2208.9967485786501</v>
      </c>
      <c r="AV623" s="3">
        <f>AT623*1.03</f>
        <v>2275.2666510360095</v>
      </c>
      <c r="AX623" s="3">
        <f>AV623*1.03</f>
        <v>2343.5246505670898</v>
      </c>
      <c r="AZ623" s="3">
        <f>AX623*1.03</f>
        <v>2413.8303900841024</v>
      </c>
      <c r="BA623" s="6"/>
    </row>
    <row r="624" spans="1:53" x14ac:dyDescent="0.25">
      <c r="A624" s="3" t="s">
        <v>468</v>
      </c>
      <c r="B624" s="3">
        <v>2420</v>
      </c>
      <c r="D624" s="3">
        <v>0</v>
      </c>
      <c r="E624" s="3">
        <f t="shared" si="377"/>
        <v>2420</v>
      </c>
      <c r="F624" s="5">
        <v>2420</v>
      </c>
      <c r="H624" s="5">
        <f t="shared" si="378"/>
        <v>0</v>
      </c>
      <c r="J624" s="5">
        <v>0</v>
      </c>
      <c r="K624" s="4">
        <f t="shared" si="379"/>
        <v>2420</v>
      </c>
      <c r="L624" s="4">
        <v>2420</v>
      </c>
      <c r="N624" s="4">
        <f t="shared" si="380"/>
        <v>0</v>
      </c>
      <c r="P624" s="3">
        <v>2500</v>
      </c>
      <c r="Q624" s="3"/>
      <c r="R624" s="3">
        <v>0</v>
      </c>
      <c r="S624" s="3">
        <f t="shared" si="381"/>
        <v>2500</v>
      </c>
      <c r="T624" s="3">
        <v>2500</v>
      </c>
      <c r="U624" s="3">
        <f t="shared" si="382"/>
        <v>0</v>
      </c>
      <c r="V624" s="3">
        <v>0</v>
      </c>
      <c r="W624" s="3">
        <f t="shared" si="383"/>
        <v>2500</v>
      </c>
      <c r="X624" s="3"/>
      <c r="Y624" s="3">
        <v>2500</v>
      </c>
      <c r="Z624" s="3">
        <f t="shared" si="384"/>
        <v>0</v>
      </c>
      <c r="AA624" s="3"/>
      <c r="AB624" s="3"/>
      <c r="AC624" s="3">
        <v>0</v>
      </c>
      <c r="AD624" s="3">
        <f t="shared" si="385"/>
        <v>2500</v>
      </c>
      <c r="AE624" s="3">
        <v>2500</v>
      </c>
      <c r="AF624" s="3">
        <f t="shared" si="386"/>
        <v>0</v>
      </c>
      <c r="AG624" s="3"/>
      <c r="AH624" s="3">
        <f>AE624*1.05+25</f>
        <v>2650</v>
      </c>
      <c r="AI624" s="3"/>
      <c r="AJ624" s="3">
        <f>AH624*1.05</f>
        <v>2782.5</v>
      </c>
      <c r="AK624" s="3"/>
      <c r="AL624" s="3">
        <f>AJ624*1.05</f>
        <v>2921.625</v>
      </c>
      <c r="AM624" s="3"/>
      <c r="AN624" s="3">
        <f>AL624*1.05</f>
        <v>3067.7062500000002</v>
      </c>
      <c r="AO624" s="3"/>
      <c r="AP624" s="3">
        <f>AN624*1.05</f>
        <v>3221.0915625000002</v>
      </c>
      <c r="AQ624" s="42"/>
      <c r="AR624" s="3">
        <f>AP624*1.05</f>
        <v>3382.1461406250005</v>
      </c>
      <c r="AS624" s="42"/>
      <c r="AT624" s="3">
        <f>AR624*1.05</f>
        <v>3551.2534476562505</v>
      </c>
      <c r="AU624" s="42"/>
      <c r="AV624" s="3">
        <f>AT624*1.05</f>
        <v>3728.8161200390632</v>
      </c>
      <c r="AW624" s="42"/>
      <c r="AX624" s="3">
        <f>AV624*1.05</f>
        <v>3915.2569260410164</v>
      </c>
      <c r="AZ624" s="3">
        <f>AX624*1.05</f>
        <v>4111.0197723430674</v>
      </c>
    </row>
    <row r="625" spans="1:53" x14ac:dyDescent="0.25">
      <c r="A625" s="88" t="s">
        <v>289</v>
      </c>
      <c r="B625" s="3">
        <v>28500</v>
      </c>
      <c r="D625" s="3">
        <v>0</v>
      </c>
      <c r="E625" s="3">
        <f>F625-D625</f>
        <v>28500</v>
      </c>
      <c r="F625" s="5">
        <v>28500</v>
      </c>
      <c r="H625" s="5">
        <f>F625-B625</f>
        <v>0</v>
      </c>
      <c r="J625" s="5">
        <v>0</v>
      </c>
      <c r="K625" s="4">
        <f t="shared" si="379"/>
        <v>28500</v>
      </c>
      <c r="L625" s="4">
        <v>28500</v>
      </c>
      <c r="N625" s="4">
        <f t="shared" si="380"/>
        <v>0</v>
      </c>
      <c r="P625" s="3">
        <f>B625</f>
        <v>28500</v>
      </c>
      <c r="Q625" s="3"/>
      <c r="R625" s="3">
        <v>0</v>
      </c>
      <c r="S625" s="3">
        <f t="shared" si="381"/>
        <v>28500</v>
      </c>
      <c r="T625" s="3">
        <v>28500</v>
      </c>
      <c r="U625" s="3">
        <f t="shared" si="382"/>
        <v>0</v>
      </c>
      <c r="V625" s="3">
        <v>0</v>
      </c>
      <c r="W625" s="3">
        <f t="shared" si="383"/>
        <v>28500</v>
      </c>
      <c r="X625" s="3"/>
      <c r="Y625" s="3">
        <v>28500</v>
      </c>
      <c r="Z625" s="3">
        <f t="shared" si="384"/>
        <v>0</v>
      </c>
      <c r="AA625" s="3"/>
      <c r="AB625" s="3"/>
      <c r="AC625" s="3">
        <v>0</v>
      </c>
      <c r="AD625" s="3">
        <f t="shared" si="385"/>
        <v>28500</v>
      </c>
      <c r="AE625" s="3">
        <v>28500</v>
      </c>
      <c r="AF625" s="3">
        <f t="shared" si="386"/>
        <v>0</v>
      </c>
      <c r="AG625" s="3"/>
      <c r="AH625" s="88">
        <f>P625</f>
        <v>28500</v>
      </c>
      <c r="AI625" s="3"/>
      <c r="AJ625" s="3">
        <f>AH625</f>
        <v>28500</v>
      </c>
      <c r="AK625" s="3"/>
      <c r="AL625" s="3">
        <f>AJ625</f>
        <v>28500</v>
      </c>
      <c r="AM625" s="3"/>
      <c r="AN625" s="3">
        <f>AL625</f>
        <v>28500</v>
      </c>
      <c r="AO625" s="3"/>
      <c r="AP625" s="3">
        <f>AN625</f>
        <v>28500</v>
      </c>
      <c r="AQ625" s="42"/>
      <c r="AR625" s="3">
        <f>AP625</f>
        <v>28500</v>
      </c>
      <c r="AS625" s="42"/>
      <c r="AT625" s="3">
        <f>AR625</f>
        <v>28500</v>
      </c>
      <c r="AU625" s="42"/>
      <c r="AV625" s="3">
        <f>AT625</f>
        <v>28500</v>
      </c>
      <c r="AW625" s="42"/>
      <c r="AX625" s="3">
        <f>AV625</f>
        <v>28500</v>
      </c>
      <c r="AZ625" s="3">
        <f>AX625</f>
        <v>28500</v>
      </c>
    </row>
    <row r="626" spans="1:53" x14ac:dyDescent="0.25">
      <c r="A626" s="3" t="s">
        <v>469</v>
      </c>
      <c r="B626" s="3">
        <v>1650</v>
      </c>
      <c r="D626" s="3">
        <v>1550</v>
      </c>
      <c r="E626" s="3">
        <f>F626-D626</f>
        <v>100</v>
      </c>
      <c r="F626" s="5">
        <v>1650</v>
      </c>
      <c r="H626" s="5">
        <f>F626-B626</f>
        <v>0</v>
      </c>
      <c r="J626" s="5">
        <v>1550</v>
      </c>
      <c r="K626" s="4">
        <f t="shared" si="379"/>
        <v>0</v>
      </c>
      <c r="L626" s="4">
        <v>1550</v>
      </c>
      <c r="N626" s="4">
        <f t="shared" si="380"/>
        <v>-100</v>
      </c>
      <c r="P626" s="3">
        <f>L626*1.0281+6</f>
        <v>1599.5550000000001</v>
      </c>
      <c r="Q626" s="3"/>
      <c r="R626" s="3">
        <v>0</v>
      </c>
      <c r="S626" s="3">
        <f t="shared" si="381"/>
        <v>1500</v>
      </c>
      <c r="T626" s="3">
        <v>1500</v>
      </c>
      <c r="U626" s="3">
        <f t="shared" si="382"/>
        <v>-99.555000000000064</v>
      </c>
      <c r="V626" s="3"/>
      <c r="W626" s="3">
        <f t="shared" si="383"/>
        <v>1500</v>
      </c>
      <c r="X626" s="3"/>
      <c r="Y626" s="3">
        <v>1500</v>
      </c>
      <c r="Z626" s="3">
        <f t="shared" si="384"/>
        <v>0</v>
      </c>
      <c r="AA626" s="3"/>
      <c r="AB626" s="3"/>
      <c r="AC626" s="3">
        <v>0</v>
      </c>
      <c r="AD626" s="3">
        <f t="shared" si="385"/>
        <v>1500</v>
      </c>
      <c r="AE626" s="3">
        <v>1500</v>
      </c>
      <c r="AF626" s="3">
        <f t="shared" si="386"/>
        <v>0</v>
      </c>
      <c r="AG626" s="3"/>
      <c r="AH626" s="3">
        <f>AE626*1.03+5</f>
        <v>1550</v>
      </c>
      <c r="AI626" s="3"/>
      <c r="AJ626" s="3">
        <f>AH626*1.03</f>
        <v>1596.5</v>
      </c>
      <c r="AK626" s="3"/>
      <c r="AL626" s="3">
        <f>AJ626*1.03</f>
        <v>1644.395</v>
      </c>
      <c r="AM626" s="3"/>
      <c r="AN626" s="3">
        <f>AL626*1.03</f>
        <v>1693.72685</v>
      </c>
      <c r="AO626" s="3"/>
      <c r="AP626" s="3">
        <f>AN626*1.03</f>
        <v>1744.5386555</v>
      </c>
      <c r="AQ626" s="42"/>
      <c r="AR626" s="3">
        <f>AP626*1.03</f>
        <v>1796.874815165</v>
      </c>
      <c r="AS626" s="42"/>
      <c r="AT626" s="3">
        <f>AR626*1.03</f>
        <v>1850.7810596199499</v>
      </c>
      <c r="AU626" s="42"/>
      <c r="AV626" s="3">
        <f>AT626*1.03</f>
        <v>1906.3044914085485</v>
      </c>
      <c r="AW626" s="42"/>
      <c r="AX626" s="3">
        <f>AV626*1.03</f>
        <v>1963.4936261508051</v>
      </c>
      <c r="AZ626" s="3">
        <f>AX626*1.03</f>
        <v>2022.3984349353293</v>
      </c>
    </row>
    <row r="627" spans="1:53" x14ac:dyDescent="0.25">
      <c r="A627" s="3" t="s">
        <v>470</v>
      </c>
      <c r="B627" s="3">
        <v>6400</v>
      </c>
      <c r="D627" s="3">
        <v>3929</v>
      </c>
      <c r="E627" s="3">
        <f>F627-D627</f>
        <v>2471</v>
      </c>
      <c r="F627" s="5">
        <v>6400</v>
      </c>
      <c r="H627" s="5">
        <f>F627-B627</f>
        <v>0</v>
      </c>
      <c r="J627" s="5">
        <v>6485</v>
      </c>
      <c r="K627" s="4">
        <f t="shared" si="379"/>
        <v>1015</v>
      </c>
      <c r="L627" s="4">
        <v>7500</v>
      </c>
      <c r="N627" s="4">
        <f t="shared" si="380"/>
        <v>1100</v>
      </c>
      <c r="P627" s="3">
        <f>L627*1.0281-11</f>
        <v>7699.75</v>
      </c>
      <c r="Q627" s="3"/>
      <c r="R627" s="3">
        <v>6755</v>
      </c>
      <c r="S627" s="3">
        <f t="shared" si="381"/>
        <v>1945</v>
      </c>
      <c r="T627" s="3">
        <v>8700</v>
      </c>
      <c r="U627" s="3">
        <f t="shared" si="382"/>
        <v>1000.25</v>
      </c>
      <c r="V627" s="3">
        <v>8460</v>
      </c>
      <c r="W627" s="3">
        <f t="shared" si="383"/>
        <v>240</v>
      </c>
      <c r="X627" s="3"/>
      <c r="Y627" s="3">
        <v>8700</v>
      </c>
      <c r="Z627" s="3">
        <f t="shared" si="384"/>
        <v>0</v>
      </c>
      <c r="AA627" s="3"/>
      <c r="AB627" s="3"/>
      <c r="AC627" s="3">
        <v>9108</v>
      </c>
      <c r="AD627" s="3">
        <f t="shared" si="385"/>
        <v>1892</v>
      </c>
      <c r="AE627" s="3">
        <v>11000</v>
      </c>
      <c r="AF627" s="3">
        <f t="shared" si="386"/>
        <v>2300</v>
      </c>
      <c r="AG627" s="3"/>
      <c r="AH627" s="3">
        <v>10000</v>
      </c>
      <c r="AI627" s="3"/>
      <c r="AJ627" s="3">
        <f>AH627*1.03</f>
        <v>10300</v>
      </c>
      <c r="AK627" s="3"/>
      <c r="AL627" s="3">
        <f>AJ627*1.03</f>
        <v>10609</v>
      </c>
      <c r="AM627" s="3"/>
      <c r="AN627" s="3">
        <f>AL627*1.03</f>
        <v>10927.27</v>
      </c>
      <c r="AO627" s="3"/>
      <c r="AP627" s="3">
        <f>AN627*1.03</f>
        <v>11255.088100000001</v>
      </c>
      <c r="AQ627" s="42"/>
      <c r="AR627" s="3">
        <f>AP627*1.03</f>
        <v>11592.740743</v>
      </c>
      <c r="AS627" s="42"/>
      <c r="AT627" s="3">
        <f>AR627*1.03</f>
        <v>11940.52296529</v>
      </c>
      <c r="AU627" s="42"/>
      <c r="AV627" s="3">
        <f>AT627*1.03</f>
        <v>12298.7386542487</v>
      </c>
      <c r="AW627" s="42"/>
      <c r="AX627" s="3">
        <f>AV627*1.03</f>
        <v>12667.700813876161</v>
      </c>
      <c r="AZ627" s="3">
        <f>AX627*1.03</f>
        <v>13047.731838292446</v>
      </c>
    </row>
    <row r="628" spans="1:53" x14ac:dyDescent="0.25">
      <c r="A628" s="3" t="s">
        <v>471</v>
      </c>
      <c r="B628" s="3">
        <v>4300</v>
      </c>
      <c r="D628" s="3">
        <v>3450</v>
      </c>
      <c r="E628" s="3">
        <f>F628-D628</f>
        <v>850</v>
      </c>
      <c r="F628" s="5">
        <v>4300</v>
      </c>
      <c r="H628" s="5">
        <f>F628-B628</f>
        <v>0</v>
      </c>
      <c r="J628" s="5">
        <v>3557</v>
      </c>
      <c r="K628" s="4">
        <f t="shared" si="379"/>
        <v>743</v>
      </c>
      <c r="L628" s="4">
        <v>4300</v>
      </c>
      <c r="N628" s="4">
        <f t="shared" si="380"/>
        <v>0</v>
      </c>
      <c r="P628" s="3">
        <f>L628*1.0281+29</f>
        <v>4449.83</v>
      </c>
      <c r="Q628" s="3"/>
      <c r="R628" s="3">
        <v>5897</v>
      </c>
      <c r="S628" s="3">
        <f t="shared" si="381"/>
        <v>553</v>
      </c>
      <c r="T628" s="3">
        <v>6450</v>
      </c>
      <c r="U628" s="3">
        <f t="shared" si="382"/>
        <v>2000.17</v>
      </c>
      <c r="V628" s="3">
        <f>2195+41+3724</f>
        <v>5960</v>
      </c>
      <c r="W628" s="3">
        <f t="shared" si="383"/>
        <v>490</v>
      </c>
      <c r="X628" s="3"/>
      <c r="Y628" s="3">
        <v>6450</v>
      </c>
      <c r="Z628" s="3">
        <f t="shared" si="384"/>
        <v>0</v>
      </c>
      <c r="AA628" s="3"/>
      <c r="AB628" s="3"/>
      <c r="AC628" s="3">
        <v>6897</v>
      </c>
      <c r="AD628" s="3">
        <f t="shared" si="385"/>
        <v>1603</v>
      </c>
      <c r="AE628" s="3">
        <v>8500</v>
      </c>
      <c r="AF628" s="3">
        <f t="shared" si="386"/>
        <v>2050</v>
      </c>
      <c r="AG628" s="3"/>
      <c r="AH628" s="3">
        <f>AE628*1.03-5</f>
        <v>8750</v>
      </c>
      <c r="AI628" s="3"/>
      <c r="AJ628" s="3">
        <f>AH628*1.03</f>
        <v>9012.5</v>
      </c>
      <c r="AK628" s="3"/>
      <c r="AL628" s="3">
        <f>AJ628*1.03</f>
        <v>9282.875</v>
      </c>
      <c r="AM628" s="3"/>
      <c r="AN628" s="3">
        <f>AL628*1.03</f>
        <v>9561.3612499999999</v>
      </c>
      <c r="AO628" s="3"/>
      <c r="AP628" s="3">
        <f>AN628*1.03</f>
        <v>9848.2020874999998</v>
      </c>
      <c r="AQ628" s="42"/>
      <c r="AR628" s="3">
        <f>AP628*1.03</f>
        <v>10143.648150125</v>
      </c>
      <c r="AS628" s="42"/>
      <c r="AT628" s="3">
        <f>AR628*1.03</f>
        <v>10447.95759462875</v>
      </c>
      <c r="AU628" s="42"/>
      <c r="AV628" s="3">
        <f>AT628*1.03</f>
        <v>10761.396322467612</v>
      </c>
      <c r="AW628" s="42"/>
      <c r="AX628" s="3">
        <f>AV628*1.03</f>
        <v>11084.238212141641</v>
      </c>
      <c r="AZ628" s="3">
        <f>AX628*1.03</f>
        <v>11416.765358505891</v>
      </c>
      <c r="BA628" s="42"/>
    </row>
    <row r="629" spans="1:53" x14ac:dyDescent="0.25">
      <c r="A629" s="3"/>
      <c r="B629" s="48">
        <f>SUM(B614:B628)</f>
        <v>171270</v>
      </c>
      <c r="C629" s="32"/>
      <c r="D629" s="48">
        <f>SUM(D614:D628)-1</f>
        <v>27578</v>
      </c>
      <c r="E629" s="48">
        <f>SUM(E614:E628)-1</f>
        <v>143690</v>
      </c>
      <c r="F629" s="48">
        <f>SUM(F614:F628)-1</f>
        <v>171269</v>
      </c>
      <c r="G629" s="32"/>
      <c r="H629" s="48">
        <f>SUM(H614:H628)-1</f>
        <v>-1</v>
      </c>
      <c r="I629" s="36"/>
      <c r="J629" s="48">
        <f>SUM(J614:J628)-1</f>
        <v>70306</v>
      </c>
      <c r="K629" s="48">
        <f>SUM(K614:K628)-1</f>
        <v>102212</v>
      </c>
      <c r="L629" s="48">
        <f>SUM(L614:L628)-1</f>
        <v>172519</v>
      </c>
      <c r="M629" s="32"/>
      <c r="N629" s="48">
        <f>SUM(N614:N628)-1</f>
        <v>1249</v>
      </c>
      <c r="P629" s="48">
        <f>SUM(P614:P628)</f>
        <v>182449.55499999996</v>
      </c>
      <c r="R629" s="48">
        <f t="shared" ref="R629:Z629" si="388">SUM(R614:R628)</f>
        <v>59635</v>
      </c>
      <c r="S629" s="48">
        <f t="shared" si="388"/>
        <v>130315</v>
      </c>
      <c r="T629" s="48">
        <f t="shared" si="388"/>
        <v>189950</v>
      </c>
      <c r="U629" s="48">
        <f t="shared" si="388"/>
        <v>7500.4449999999915</v>
      </c>
      <c r="V629" s="48">
        <f t="shared" si="388"/>
        <v>81015</v>
      </c>
      <c r="W629" s="48">
        <f t="shared" si="388"/>
        <v>110335</v>
      </c>
      <c r="X629" s="48"/>
      <c r="Y629" s="48">
        <f t="shared" si="388"/>
        <v>191350</v>
      </c>
      <c r="Z629" s="48">
        <f t="shared" si="388"/>
        <v>1400</v>
      </c>
      <c r="AC629" s="48">
        <f>SUM(AC614:AC628)</f>
        <v>125051</v>
      </c>
      <c r="AD629" s="48">
        <f>SUM(AD614:AD628)</f>
        <v>67039</v>
      </c>
      <c r="AE629" s="48">
        <f>SUM(AE614:AE628)</f>
        <v>192090</v>
      </c>
      <c r="AF629" s="48">
        <f>SUM(AF614:AF628)</f>
        <v>740</v>
      </c>
      <c r="AH629" s="48">
        <f>SUM(AH614:AH628)</f>
        <v>193680.25</v>
      </c>
      <c r="AJ629" s="48">
        <f>SUM(AJ614:AJ628)</f>
        <v>198963.66250000001</v>
      </c>
      <c r="AL629" s="48">
        <f>SUM(AL614:AL628)</f>
        <v>204184.582375</v>
      </c>
      <c r="AN629" s="48">
        <f>SUM(AN614:AN628)</f>
        <v>209568.50754625001</v>
      </c>
      <c r="AO629" s="48"/>
      <c r="AP629" s="48">
        <f>SUM(AP614:AP628)</f>
        <v>215120.71896163744</v>
      </c>
      <c r="AR629" s="48">
        <f>SUM(AR614:AR628)</f>
        <v>220846.68057021662</v>
      </c>
      <c r="AT629" s="48">
        <f>SUM(AT614:AT628)</f>
        <v>226752.04639320925</v>
      </c>
      <c r="AV629" s="48">
        <f>SUM(AV614:AV628)</f>
        <v>232842.66791084746</v>
      </c>
      <c r="AX629" s="48">
        <f>SUM(AX614:AX628)</f>
        <v>239124.60178144459</v>
      </c>
      <c r="AZ629" s="48">
        <f>SUM(AZ614:AZ628)</f>
        <v>245604.11791004069</v>
      </c>
    </row>
    <row r="630" spans="1:53" s="42" customFormat="1" x14ac:dyDescent="0.25">
      <c r="A630" s="7" t="s">
        <v>142</v>
      </c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4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R630" s="3"/>
      <c r="AT630" s="3"/>
      <c r="AV630" s="3"/>
      <c r="AX630" s="3"/>
      <c r="AZ630" s="3"/>
      <c r="BA630" s="6"/>
    </row>
    <row r="631" spans="1:53" x14ac:dyDescent="0.25">
      <c r="A631" s="3" t="s">
        <v>90</v>
      </c>
      <c r="B631" s="3">
        <v>6000</v>
      </c>
      <c r="D631" s="3">
        <v>3792</v>
      </c>
      <c r="E631" s="3">
        <f>F631-D631</f>
        <v>2208</v>
      </c>
      <c r="F631" s="5">
        <v>6000</v>
      </c>
      <c r="H631" s="5">
        <f>F631-B631</f>
        <v>0</v>
      </c>
      <c r="J631" s="5">
        <v>5806</v>
      </c>
      <c r="K631" s="4">
        <f>L631-J631</f>
        <v>1194</v>
      </c>
      <c r="L631" s="4">
        <v>7000</v>
      </c>
      <c r="N631" s="4">
        <f>L631-F631</f>
        <v>1000</v>
      </c>
      <c r="P631" s="3">
        <f>L631*1.0281+203</f>
        <v>7399.7</v>
      </c>
      <c r="Q631" s="3"/>
      <c r="R631" s="3">
        <v>7870</v>
      </c>
      <c r="S631" s="3">
        <f>T631-R631</f>
        <v>1530</v>
      </c>
      <c r="T631" s="3">
        <v>9400</v>
      </c>
      <c r="U631" s="3">
        <f>T631-P631</f>
        <v>2000.3000000000002</v>
      </c>
      <c r="V631" s="3">
        <v>9076</v>
      </c>
      <c r="W631" s="3">
        <f>Y631-V631</f>
        <v>2924</v>
      </c>
      <c r="X631" s="3"/>
      <c r="Y631" s="3">
        <v>12000</v>
      </c>
      <c r="Z631" s="3">
        <f>Y631-T631</f>
        <v>2600</v>
      </c>
      <c r="AA631" s="3"/>
      <c r="AB631" s="3"/>
      <c r="AC631" s="3">
        <v>9273</v>
      </c>
      <c r="AD631" s="3">
        <f>AE631-AC631</f>
        <v>3227</v>
      </c>
      <c r="AE631" s="3">
        <v>12500</v>
      </c>
      <c r="AF631" s="3">
        <f>AE631-Y631</f>
        <v>500</v>
      </c>
      <c r="AG631" s="3"/>
      <c r="AH631" s="3">
        <v>10000</v>
      </c>
      <c r="AI631" s="3"/>
      <c r="AJ631" s="3">
        <f>AH631*1.03</f>
        <v>10300</v>
      </c>
      <c r="AK631" s="3"/>
      <c r="AL631" s="3">
        <f>AJ631*1.03</f>
        <v>10609</v>
      </c>
      <c r="AM631" s="3"/>
      <c r="AN631" s="3">
        <f>AL631*1.03</f>
        <v>10927.27</v>
      </c>
      <c r="AO631" s="3"/>
      <c r="AP631" s="3">
        <f>AN631*1.03</f>
        <v>11255.088100000001</v>
      </c>
      <c r="AQ631" s="42"/>
      <c r="AR631" s="3">
        <f>AP631*1.03</f>
        <v>11592.740743</v>
      </c>
      <c r="AS631" s="42"/>
      <c r="AT631" s="3">
        <f>AR631*1.03</f>
        <v>11940.52296529</v>
      </c>
      <c r="AU631" s="42"/>
      <c r="AV631" s="3">
        <f>AT631*1.03</f>
        <v>12298.7386542487</v>
      </c>
      <c r="AW631" s="42"/>
      <c r="AX631" s="3">
        <f>AV631*1.03</f>
        <v>12667.700813876161</v>
      </c>
      <c r="AZ631" s="3">
        <f>AX631*1.03</f>
        <v>13047.731838292446</v>
      </c>
    </row>
    <row r="632" spans="1:53" x14ac:dyDescent="0.25">
      <c r="A632" s="3" t="s">
        <v>472</v>
      </c>
      <c r="B632" s="3"/>
      <c r="D632" s="3"/>
      <c r="E632" s="3">
        <f>F632-D632</f>
        <v>0</v>
      </c>
      <c r="H632" s="5">
        <f>F632-B632</f>
        <v>0</v>
      </c>
      <c r="K632" s="4">
        <f>L632-J632</f>
        <v>0</v>
      </c>
      <c r="L632" s="4"/>
      <c r="N632" s="4">
        <f>L632-F632</f>
        <v>0</v>
      </c>
      <c r="P632" s="3"/>
      <c r="Q632" s="3"/>
      <c r="R632" s="3"/>
      <c r="S632" s="3">
        <f>T632-R632</f>
        <v>0</v>
      </c>
      <c r="T632" s="3"/>
      <c r="U632" s="3">
        <f>T632-P632</f>
        <v>0</v>
      </c>
      <c r="V632" s="3"/>
      <c r="W632" s="3">
        <f>Y632-V632</f>
        <v>0</v>
      </c>
      <c r="X632" s="3"/>
      <c r="Y632" s="3"/>
      <c r="Z632" s="3">
        <f>Y632-T632</f>
        <v>0</v>
      </c>
      <c r="AA632" s="3"/>
      <c r="AB632" s="3"/>
      <c r="AC632" s="3"/>
      <c r="AD632" s="3">
        <f>AE632-AC632</f>
        <v>0</v>
      </c>
      <c r="AE632" s="3"/>
      <c r="AF632" s="3">
        <f>AE632-Y632</f>
        <v>0</v>
      </c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42"/>
      <c r="AR632" s="3"/>
      <c r="AS632" s="42"/>
      <c r="AT632" s="3"/>
      <c r="AU632" s="42"/>
      <c r="AV632" s="3"/>
      <c r="AW632" s="42"/>
      <c r="AX632" s="3"/>
      <c r="AZ632" s="3"/>
    </row>
    <row r="633" spans="1:53" x14ac:dyDescent="0.25">
      <c r="A633" s="88" t="s">
        <v>289</v>
      </c>
      <c r="B633" s="3">
        <v>8750</v>
      </c>
      <c r="D633" s="3">
        <v>0</v>
      </c>
      <c r="E633" s="3">
        <f>F633-D633</f>
        <v>8750</v>
      </c>
      <c r="F633" s="5">
        <v>8750</v>
      </c>
      <c r="H633" s="5">
        <f>F633-B633</f>
        <v>0</v>
      </c>
      <c r="J633" s="5">
        <v>0</v>
      </c>
      <c r="K633" s="4">
        <f>L633-J633</f>
        <v>8750</v>
      </c>
      <c r="L633" s="4">
        <v>8750</v>
      </c>
      <c r="N633" s="4">
        <f>L633-F633</f>
        <v>0</v>
      </c>
      <c r="P633" s="3">
        <v>8750</v>
      </c>
      <c r="Q633" s="3"/>
      <c r="R633" s="3">
        <v>0</v>
      </c>
      <c r="S633" s="3">
        <f>T633-R633</f>
        <v>8750</v>
      </c>
      <c r="T633" s="3">
        <v>8750</v>
      </c>
      <c r="U633" s="3">
        <f>T633-P633</f>
        <v>0</v>
      </c>
      <c r="V633" s="3">
        <v>0</v>
      </c>
      <c r="W633" s="3">
        <f>Y633-V633</f>
        <v>8750</v>
      </c>
      <c r="X633" s="3"/>
      <c r="Y633" s="3">
        <v>8750</v>
      </c>
      <c r="Z633" s="3">
        <f>Y633-T633</f>
        <v>0</v>
      </c>
      <c r="AA633" s="3"/>
      <c r="AB633" s="3"/>
      <c r="AC633" s="3">
        <v>0</v>
      </c>
      <c r="AD633" s="3">
        <f>AE633-AC633</f>
        <v>8750</v>
      </c>
      <c r="AE633" s="3">
        <v>8750</v>
      </c>
      <c r="AF633" s="3">
        <f>AE633-Y633</f>
        <v>0</v>
      </c>
      <c r="AG633" s="3"/>
      <c r="AH633" s="88">
        <v>8750</v>
      </c>
      <c r="AI633" s="3"/>
      <c r="AJ633" s="3">
        <v>8750</v>
      </c>
      <c r="AK633" s="3"/>
      <c r="AL633" s="3">
        <v>8750</v>
      </c>
      <c r="AM633" s="3"/>
      <c r="AN633" s="3">
        <v>8750</v>
      </c>
      <c r="AO633" s="3"/>
      <c r="AP633" s="3">
        <v>8750</v>
      </c>
      <c r="AQ633" s="42"/>
      <c r="AR633" s="3">
        <v>8750</v>
      </c>
      <c r="AS633" s="42"/>
      <c r="AT633" s="3">
        <v>8750</v>
      </c>
      <c r="AU633" s="42"/>
      <c r="AV633" s="3">
        <v>8750</v>
      </c>
      <c r="AW633" s="42"/>
      <c r="AX633" s="3">
        <v>8750</v>
      </c>
      <c r="AZ633" s="3">
        <v>8750</v>
      </c>
    </row>
    <row r="634" spans="1:53" x14ac:dyDescent="0.25">
      <c r="A634" s="3"/>
      <c r="B634" s="48">
        <f>SUM(B631:B633)</f>
        <v>14750</v>
      </c>
      <c r="C634" s="32"/>
      <c r="D634" s="48">
        <f>SUM(D631:D633)</f>
        <v>3792</v>
      </c>
      <c r="E634" s="48">
        <f>SUM(E631:E633)</f>
        <v>10958</v>
      </c>
      <c r="F634" s="48">
        <f>SUM(F631:F633)</f>
        <v>14750</v>
      </c>
      <c r="G634" s="32"/>
      <c r="H634" s="48">
        <f>SUM(H631:H633)</f>
        <v>0</v>
      </c>
      <c r="I634" s="36"/>
      <c r="J634" s="48">
        <f>SUM(J631:J633)</f>
        <v>5806</v>
      </c>
      <c r="K634" s="48">
        <f>SUM(K631:K633)</f>
        <v>9944</v>
      </c>
      <c r="L634" s="48">
        <f>SUM(L631:L633)</f>
        <v>15750</v>
      </c>
      <c r="M634" s="32"/>
      <c r="N634" s="48">
        <f>SUM(N631:N633)</f>
        <v>1000</v>
      </c>
      <c r="P634" s="48">
        <f>SUM(P631:P633)</f>
        <v>16149.7</v>
      </c>
      <c r="R634" s="48">
        <f t="shared" ref="R634:Z634" si="389">SUM(R631:R633)</f>
        <v>7870</v>
      </c>
      <c r="S634" s="48">
        <f t="shared" si="389"/>
        <v>10280</v>
      </c>
      <c r="T634" s="48">
        <f t="shared" si="389"/>
        <v>18150</v>
      </c>
      <c r="U634" s="48">
        <f t="shared" si="389"/>
        <v>2000.3000000000002</v>
      </c>
      <c r="V634" s="48">
        <f t="shared" si="389"/>
        <v>9076</v>
      </c>
      <c r="W634" s="48">
        <f t="shared" si="389"/>
        <v>11674</v>
      </c>
      <c r="X634" s="48"/>
      <c r="Y634" s="48">
        <f t="shared" si="389"/>
        <v>20750</v>
      </c>
      <c r="Z634" s="48">
        <f t="shared" si="389"/>
        <v>2600</v>
      </c>
      <c r="AC634" s="48">
        <f>SUM(AC631:AC633)</f>
        <v>9273</v>
      </c>
      <c r="AD634" s="48">
        <f>SUM(AD631:AD633)</f>
        <v>11977</v>
      </c>
      <c r="AE634" s="48">
        <f>SUM(AE631:AE633)</f>
        <v>21250</v>
      </c>
      <c r="AF634" s="48">
        <f>SUM(AF631:AF633)</f>
        <v>500</v>
      </c>
      <c r="AH634" s="48">
        <f>SUM(AH631:AH633)</f>
        <v>18750</v>
      </c>
      <c r="AJ634" s="48">
        <f>SUM(AJ631:AJ633)</f>
        <v>19050</v>
      </c>
      <c r="AL634" s="48">
        <f>SUM(AL631:AL633)</f>
        <v>19359</v>
      </c>
      <c r="AN634" s="48">
        <f>SUM(AN631:AN633)</f>
        <v>19677.27</v>
      </c>
      <c r="AO634" s="48"/>
      <c r="AP634" s="48">
        <f>SUM(AP631:AP633)</f>
        <v>20005.088100000001</v>
      </c>
      <c r="AR634" s="48">
        <f>SUM(AR631:AR633)</f>
        <v>20342.740743000002</v>
      </c>
      <c r="AT634" s="48">
        <f>SUM(AT631:AT633)</f>
        <v>20690.522965290002</v>
      </c>
      <c r="AV634" s="48">
        <f>SUM(AV631:AV633)</f>
        <v>21048.7386542487</v>
      </c>
      <c r="AX634" s="48">
        <f>SUM(AX631:AX633)</f>
        <v>21417.700813876159</v>
      </c>
      <c r="AZ634" s="48">
        <f>SUM(AZ631:AZ633)</f>
        <v>21797.731838292446</v>
      </c>
    </row>
    <row r="635" spans="1:53" x14ac:dyDescent="0.25">
      <c r="A635" s="7" t="s">
        <v>473</v>
      </c>
    </row>
    <row r="636" spans="1:53" x14ac:dyDescent="0.25">
      <c r="A636" s="3" t="s">
        <v>327</v>
      </c>
      <c r="Z636" s="3">
        <f>Y636-T636</f>
        <v>0</v>
      </c>
    </row>
    <row r="637" spans="1:53" x14ac:dyDescent="0.25">
      <c r="A637" s="3" t="s">
        <v>464</v>
      </c>
      <c r="Z637" s="3">
        <f>Y637-T637</f>
        <v>0</v>
      </c>
    </row>
    <row r="638" spans="1:53" x14ac:dyDescent="0.25">
      <c r="A638" s="3" t="s">
        <v>332</v>
      </c>
      <c r="Z638" s="3">
        <f>Y638-T638</f>
        <v>0</v>
      </c>
    </row>
    <row r="639" spans="1:53" x14ac:dyDescent="0.25">
      <c r="A639" s="3" t="s">
        <v>467</v>
      </c>
      <c r="E639" s="3">
        <f>F639-D639</f>
        <v>0</v>
      </c>
      <c r="H639" s="5">
        <f>F639-B639</f>
        <v>0</v>
      </c>
      <c r="K639" s="4">
        <f>L639-J639</f>
        <v>0</v>
      </c>
      <c r="L639" s="4"/>
      <c r="N639" s="4">
        <f>L639-F639</f>
        <v>0</v>
      </c>
      <c r="Z639" s="3">
        <f>Y639-T639</f>
        <v>0</v>
      </c>
    </row>
    <row r="640" spans="1:53" x14ac:dyDescent="0.25">
      <c r="A640" s="3" t="s">
        <v>90</v>
      </c>
      <c r="B640" s="3">
        <v>3000</v>
      </c>
      <c r="D640" s="3">
        <v>0</v>
      </c>
      <c r="E640" s="3">
        <f>F640-D640</f>
        <v>1500</v>
      </c>
      <c r="F640" s="5">
        <v>1500</v>
      </c>
      <c r="H640" s="5">
        <f>F640-B640</f>
        <v>-1500</v>
      </c>
      <c r="K640" s="4">
        <f>L640-J640</f>
        <v>1000</v>
      </c>
      <c r="L640" s="4">
        <v>1000</v>
      </c>
      <c r="N640" s="4">
        <f>L640-F640</f>
        <v>-500</v>
      </c>
      <c r="P640" s="3">
        <f>2000+200</f>
        <v>2200</v>
      </c>
      <c r="Q640" s="3"/>
      <c r="R640" s="3">
        <v>0</v>
      </c>
      <c r="S640" s="3">
        <f>T640-R640</f>
        <v>2200</v>
      </c>
      <c r="T640" s="3">
        <v>2200</v>
      </c>
      <c r="U640" s="3">
        <f>T640-P640</f>
        <v>0</v>
      </c>
      <c r="V640" s="3"/>
      <c r="W640" s="3">
        <f>Y640-V640</f>
        <v>2200</v>
      </c>
      <c r="X640" s="3"/>
      <c r="Y640" s="3">
        <v>2200</v>
      </c>
      <c r="Z640" s="3">
        <f>Y640-T640</f>
        <v>0</v>
      </c>
      <c r="AA640" s="3"/>
      <c r="AB640" s="3"/>
      <c r="AC640" s="3">
        <v>0</v>
      </c>
      <c r="AD640" s="3">
        <f>AE640-AC640</f>
        <v>0</v>
      </c>
      <c r="AE640" s="3">
        <v>0</v>
      </c>
      <c r="AF640" s="3">
        <f>AE640-Y640</f>
        <v>-2200</v>
      </c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42"/>
      <c r="AR640" s="3"/>
      <c r="AS640" s="42"/>
      <c r="AT640" s="3"/>
      <c r="AU640" s="42"/>
      <c r="AV640" s="3"/>
      <c r="AW640" s="42"/>
      <c r="AX640" s="3"/>
      <c r="AZ640" s="3"/>
    </row>
    <row r="641" spans="1:52" x14ac:dyDescent="0.25">
      <c r="A641" s="3"/>
      <c r="B641" s="48">
        <f>SUM(B636:B640)</f>
        <v>3000</v>
      </c>
      <c r="C641" s="32"/>
      <c r="D641" s="48">
        <f>SUM(D636:D640)</f>
        <v>0</v>
      </c>
      <c r="E641" s="48">
        <f>SUM(E636:E640)</f>
        <v>1500</v>
      </c>
      <c r="F641" s="48">
        <f>SUM(F636:F640)</f>
        <v>1500</v>
      </c>
      <c r="G641" s="32"/>
      <c r="H641" s="48">
        <f>SUM(H636:H640)</f>
        <v>-1500</v>
      </c>
      <c r="I641" s="36"/>
      <c r="J641" s="48">
        <f>SUM(J636:J640)</f>
        <v>0</v>
      </c>
      <c r="K641" s="48">
        <f>SUM(K636:K640)</f>
        <v>1000</v>
      </c>
      <c r="L641" s="48">
        <f>SUM(L636:L640)</f>
        <v>1000</v>
      </c>
      <c r="M641" s="32"/>
      <c r="N641" s="48">
        <f>SUM(N636:N640)</f>
        <v>-500</v>
      </c>
      <c r="P641" s="48">
        <f>SUM(P636:P640)</f>
        <v>2200</v>
      </c>
      <c r="R641" s="48">
        <f t="shared" ref="R641:Z641" si="390">SUM(R636:R640)</f>
        <v>0</v>
      </c>
      <c r="S641" s="48">
        <f t="shared" si="390"/>
        <v>2200</v>
      </c>
      <c r="T641" s="48">
        <f t="shared" si="390"/>
        <v>2200</v>
      </c>
      <c r="U641" s="48">
        <f t="shared" si="390"/>
        <v>0</v>
      </c>
      <c r="V641" s="48">
        <f t="shared" si="390"/>
        <v>0</v>
      </c>
      <c r="W641" s="48">
        <f t="shared" si="390"/>
        <v>2200</v>
      </c>
      <c r="X641" s="48"/>
      <c r="Y641" s="48">
        <f t="shared" si="390"/>
        <v>2200</v>
      </c>
      <c r="Z641" s="48">
        <f t="shared" si="390"/>
        <v>0</v>
      </c>
      <c r="AC641" s="48">
        <f>SUM(AC636:AC640)</f>
        <v>0</v>
      </c>
      <c r="AD641" s="48">
        <f>SUM(AD636:AD640)</f>
        <v>0</v>
      </c>
      <c r="AE641" s="48">
        <f>SUM(AE636:AE640)</f>
        <v>0</v>
      </c>
      <c r="AF641" s="48">
        <f>SUM(AF636:AF640)</f>
        <v>-2200</v>
      </c>
      <c r="AH641" s="48">
        <f>SUM(AH636:AH640)</f>
        <v>0</v>
      </c>
      <c r="AJ641" s="48">
        <f>SUM(AJ636:AJ640)</f>
        <v>0</v>
      </c>
      <c r="AL641" s="48">
        <f>SUM(AL636:AL640)</f>
        <v>0</v>
      </c>
      <c r="AN641" s="48">
        <f>SUM(AN636:AN640)</f>
        <v>0</v>
      </c>
      <c r="AO641" s="48"/>
      <c r="AP641" s="48">
        <f>SUM(AP636:AP640)</f>
        <v>0</v>
      </c>
      <c r="AR641" s="48">
        <f>SUM(AR636:AR640)</f>
        <v>0</v>
      </c>
      <c r="AT641" s="48">
        <f>SUM(AT636:AT640)</f>
        <v>0</v>
      </c>
      <c r="AV641" s="48">
        <f>SUM(AV636:AV640)</f>
        <v>0</v>
      </c>
      <c r="AX641" s="48">
        <f>SUM(AX636:AX640)</f>
        <v>0</v>
      </c>
      <c r="AZ641" s="48">
        <f>SUM(AZ636:AZ640)</f>
        <v>0</v>
      </c>
    </row>
    <row r="642" spans="1:52" x14ac:dyDescent="0.25">
      <c r="A642" s="7" t="s">
        <v>474</v>
      </c>
    </row>
    <row r="643" spans="1:52" x14ac:dyDescent="0.25">
      <c r="A643" s="3" t="s">
        <v>459</v>
      </c>
      <c r="B643" s="3">
        <v>2750</v>
      </c>
      <c r="D643" s="3">
        <v>1540</v>
      </c>
      <c r="E643" s="3">
        <f>F643-D643</f>
        <v>1210</v>
      </c>
      <c r="F643" s="5">
        <v>2750</v>
      </c>
      <c r="H643" s="5">
        <f>F643-B643</f>
        <v>0</v>
      </c>
      <c r="J643" s="5">
        <v>3792</v>
      </c>
      <c r="K643" s="4">
        <f>L643-J643</f>
        <v>8</v>
      </c>
      <c r="L643" s="4">
        <v>3800</v>
      </c>
      <c r="N643" s="4">
        <f>L643-F643</f>
        <v>1050</v>
      </c>
      <c r="P643" s="3">
        <f>L643*1.0281-7+250</f>
        <v>4149.7800000000007</v>
      </c>
      <c r="Q643" s="3"/>
      <c r="R643" s="3">
        <v>6310</v>
      </c>
      <c r="S643" s="3">
        <f>T643-R643</f>
        <v>190</v>
      </c>
      <c r="T643" s="3">
        <v>6500</v>
      </c>
      <c r="U643" s="3">
        <f>T643-P643</f>
        <v>2350.2199999999993</v>
      </c>
      <c r="V643" s="3">
        <v>6310</v>
      </c>
      <c r="W643" s="3">
        <f>Y643-V643</f>
        <v>190</v>
      </c>
      <c r="X643" s="3"/>
      <c r="Y643" s="3">
        <v>6500</v>
      </c>
      <c r="Z643" s="3">
        <f>Y643-T643</f>
        <v>0</v>
      </c>
      <c r="AA643" s="3"/>
      <c r="AB643" s="3"/>
      <c r="AC643" s="3">
        <v>6310</v>
      </c>
      <c r="AD643" s="3">
        <f>AE643-AC643</f>
        <v>190</v>
      </c>
      <c r="AE643" s="3">
        <v>6500</v>
      </c>
      <c r="AF643" s="3">
        <f>AE643-Y643</f>
        <v>0</v>
      </c>
      <c r="AG643" s="3"/>
      <c r="AH643" s="3">
        <v>4150</v>
      </c>
      <c r="AI643" s="3"/>
      <c r="AJ643" s="3">
        <f>AH643*1.03</f>
        <v>4274.5</v>
      </c>
      <c r="AK643" s="3"/>
      <c r="AL643" s="3">
        <f>AJ643*1.03</f>
        <v>4402.7349999999997</v>
      </c>
      <c r="AM643" s="3"/>
      <c r="AN643" s="3">
        <f>AL643*1.03</f>
        <v>4534.8170499999997</v>
      </c>
      <c r="AO643" s="3"/>
      <c r="AP643" s="3">
        <f>AN643*1.03</f>
        <v>4670.8615614999999</v>
      </c>
      <c r="AQ643" s="42"/>
      <c r="AR643" s="3">
        <f>AP643*1.03</f>
        <v>4810.9874083450004</v>
      </c>
      <c r="AS643" s="42"/>
      <c r="AT643" s="3">
        <f>AR643*1.03</f>
        <v>4955.3170305953508</v>
      </c>
      <c r="AU643" s="42"/>
      <c r="AV643" s="3">
        <f>AT643*1.03</f>
        <v>5103.9765415132115</v>
      </c>
      <c r="AW643" s="42"/>
      <c r="AX643" s="3">
        <f>AV643*1.03</f>
        <v>5257.0958377586076</v>
      </c>
      <c r="AZ643" s="3">
        <f>AX643*1.03</f>
        <v>5414.8087128913658</v>
      </c>
    </row>
    <row r="644" spans="1:52" x14ac:dyDescent="0.25">
      <c r="A644" s="3" t="s">
        <v>475</v>
      </c>
      <c r="B644" s="3"/>
      <c r="D644" s="3"/>
      <c r="E644" s="3">
        <f>F644-D644</f>
        <v>0</v>
      </c>
      <c r="H644" s="5">
        <f>F644-B644</f>
        <v>0</v>
      </c>
      <c r="K644" s="4">
        <f>L644-J644</f>
        <v>0</v>
      </c>
      <c r="L644" s="4"/>
      <c r="N644" s="4">
        <f>L644-F644</f>
        <v>0</v>
      </c>
      <c r="P644" s="3"/>
      <c r="Q644" s="3"/>
      <c r="R644" s="3"/>
      <c r="S644" s="3">
        <f>T644-R644</f>
        <v>0</v>
      </c>
      <c r="T644" s="3"/>
      <c r="U644" s="3">
        <f>T644-P644</f>
        <v>0</v>
      </c>
      <c r="V644" s="3"/>
      <c r="W644" s="3">
        <f>Y644-V644</f>
        <v>0</v>
      </c>
      <c r="X644" s="3"/>
      <c r="Y644" s="3"/>
      <c r="Z644" s="3">
        <f>Y644-T644</f>
        <v>0</v>
      </c>
      <c r="AA644" s="3"/>
      <c r="AB644" s="3"/>
      <c r="AC644" s="3"/>
      <c r="AD644" s="3">
        <f>AE644-AC644</f>
        <v>0</v>
      </c>
      <c r="AE644" s="3"/>
      <c r="AF644" s="3">
        <f>AE644-Y644</f>
        <v>0</v>
      </c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42"/>
      <c r="AR644" s="3"/>
      <c r="AS644" s="42"/>
      <c r="AT644" s="3"/>
      <c r="AU644" s="42"/>
      <c r="AV644" s="3"/>
      <c r="AW644" s="42"/>
      <c r="AX644" s="3"/>
      <c r="AZ644" s="3"/>
    </row>
    <row r="645" spans="1:52" x14ac:dyDescent="0.25">
      <c r="A645" s="3" t="s">
        <v>331</v>
      </c>
      <c r="B645" s="3">
        <v>400</v>
      </c>
      <c r="D645" s="3"/>
      <c r="E645" s="3">
        <f>F645-D645</f>
        <v>400</v>
      </c>
      <c r="F645" s="5">
        <v>400</v>
      </c>
      <c r="H645" s="5">
        <f>F645-B645</f>
        <v>0</v>
      </c>
      <c r="K645" s="4">
        <f>L645-J645</f>
        <v>0</v>
      </c>
      <c r="L645" s="4">
        <v>0</v>
      </c>
      <c r="N645" s="4">
        <f>L645-F645</f>
        <v>-400</v>
      </c>
      <c r="P645" s="3"/>
      <c r="Q645" s="3"/>
      <c r="R645" s="3"/>
      <c r="S645" s="3">
        <f>T645-R645</f>
        <v>0</v>
      </c>
      <c r="T645" s="3"/>
      <c r="U645" s="3">
        <f>T645-P645</f>
        <v>0</v>
      </c>
      <c r="V645" s="3"/>
      <c r="W645" s="3">
        <f>Y645-V645</f>
        <v>0</v>
      </c>
      <c r="X645" s="3"/>
      <c r="Y645" s="3"/>
      <c r="Z645" s="3">
        <f>Y645-T645</f>
        <v>0</v>
      </c>
      <c r="AA645" s="3"/>
      <c r="AB645" s="3"/>
      <c r="AC645" s="3"/>
      <c r="AD645" s="3">
        <f>AE645-AC645</f>
        <v>0</v>
      </c>
      <c r="AE645" s="3"/>
      <c r="AF645" s="3">
        <f>AE645-Y645</f>
        <v>0</v>
      </c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42"/>
      <c r="AR645" s="3"/>
      <c r="AS645" s="42"/>
      <c r="AT645" s="3"/>
      <c r="AU645" s="42"/>
      <c r="AV645" s="3"/>
      <c r="AW645" s="42"/>
      <c r="AX645" s="3"/>
      <c r="AZ645" s="3"/>
    </row>
    <row r="646" spans="1:52" x14ac:dyDescent="0.25">
      <c r="A646" s="88" t="s">
        <v>289</v>
      </c>
      <c r="B646" s="3">
        <v>2300</v>
      </c>
      <c r="D646" s="3">
        <v>0</v>
      </c>
      <c r="E646" s="3">
        <f>F646-D646</f>
        <v>2300</v>
      </c>
      <c r="F646" s="5">
        <v>2300</v>
      </c>
      <c r="H646" s="5">
        <f>F646-B646</f>
        <v>0</v>
      </c>
      <c r="K646" s="4">
        <f>L646-J646</f>
        <v>2300</v>
      </c>
      <c r="L646" s="4">
        <v>2300</v>
      </c>
      <c r="N646" s="4">
        <f>L646-F646</f>
        <v>0</v>
      </c>
      <c r="P646" s="3">
        <v>2300</v>
      </c>
      <c r="Q646" s="3"/>
      <c r="R646" s="3">
        <v>0</v>
      </c>
      <c r="S646" s="3">
        <f>T646-R646</f>
        <v>2300</v>
      </c>
      <c r="T646" s="3">
        <v>2300</v>
      </c>
      <c r="U646" s="3">
        <f>T646-P646</f>
        <v>0</v>
      </c>
      <c r="V646" s="3">
        <v>0</v>
      </c>
      <c r="W646" s="3">
        <f>Y646-V646</f>
        <v>2300</v>
      </c>
      <c r="X646" s="3"/>
      <c r="Y646" s="3">
        <v>2300</v>
      </c>
      <c r="Z646" s="3">
        <f>Y646-T646</f>
        <v>0</v>
      </c>
      <c r="AA646" s="3"/>
      <c r="AB646" s="3"/>
      <c r="AC646" s="3">
        <v>0</v>
      </c>
      <c r="AD646" s="3">
        <f>AE646-AC646</f>
        <v>2300</v>
      </c>
      <c r="AE646" s="3">
        <v>2300</v>
      </c>
      <c r="AF646" s="3">
        <f>AE646-Y646</f>
        <v>0</v>
      </c>
      <c r="AG646" s="3"/>
      <c r="AH646" s="88">
        <v>2300</v>
      </c>
      <c r="AI646" s="3"/>
      <c r="AJ646" s="3">
        <v>2300</v>
      </c>
      <c r="AK646" s="3"/>
      <c r="AL646" s="3">
        <v>2300</v>
      </c>
      <c r="AM646" s="3"/>
      <c r="AN646" s="3">
        <v>2300</v>
      </c>
      <c r="AO646" s="3"/>
      <c r="AP646" s="3">
        <v>2300</v>
      </c>
      <c r="AQ646" s="42"/>
      <c r="AR646" s="3">
        <v>2300</v>
      </c>
      <c r="AS646" s="42"/>
      <c r="AT646" s="3">
        <v>2300</v>
      </c>
      <c r="AU646" s="42"/>
      <c r="AV646" s="3">
        <v>2300</v>
      </c>
      <c r="AW646" s="42"/>
      <c r="AX646" s="3">
        <v>2300</v>
      </c>
      <c r="AZ646" s="3">
        <v>2300</v>
      </c>
    </row>
    <row r="647" spans="1:52" x14ac:dyDescent="0.25">
      <c r="A647" s="3" t="s">
        <v>374</v>
      </c>
      <c r="B647" s="48">
        <f>SUM(B643:B646)</f>
        <v>5450</v>
      </c>
      <c r="C647" s="32"/>
      <c r="D647" s="48">
        <f>SUM(D643:D646)</f>
        <v>1540</v>
      </c>
      <c r="E647" s="48">
        <f>SUM(E643:E646)</f>
        <v>3910</v>
      </c>
      <c r="F647" s="48">
        <f>SUM(F643:F646)</f>
        <v>5450</v>
      </c>
      <c r="G647" s="32"/>
      <c r="H647" s="48">
        <f>SUM(H643:H646)</f>
        <v>0</v>
      </c>
      <c r="I647" s="36"/>
      <c r="J647" s="48">
        <f>SUM(J643:J646)</f>
        <v>3792</v>
      </c>
      <c r="K647" s="48">
        <f>SUM(K643:K646)</f>
        <v>2308</v>
      </c>
      <c r="L647" s="48">
        <f>SUM(L643:L646)</f>
        <v>6100</v>
      </c>
      <c r="M647" s="32"/>
      <c r="N647" s="48">
        <f>SUM(N643:N646)</f>
        <v>650</v>
      </c>
      <c r="P647" s="48">
        <f>SUM(P643:P646)</f>
        <v>6449.7800000000007</v>
      </c>
      <c r="R647" s="48">
        <f t="shared" ref="R647:Z647" si="391">SUM(R643:R646)</f>
        <v>6310</v>
      </c>
      <c r="S647" s="48">
        <f t="shared" si="391"/>
        <v>2490</v>
      </c>
      <c r="T647" s="48">
        <f t="shared" si="391"/>
        <v>8800</v>
      </c>
      <c r="U647" s="48">
        <f t="shared" si="391"/>
        <v>2350.2199999999993</v>
      </c>
      <c r="V647" s="48">
        <f t="shared" si="391"/>
        <v>6310</v>
      </c>
      <c r="W647" s="48">
        <f t="shared" si="391"/>
        <v>2490</v>
      </c>
      <c r="X647" s="48"/>
      <c r="Y647" s="48">
        <f t="shared" si="391"/>
        <v>8800</v>
      </c>
      <c r="Z647" s="48">
        <f t="shared" si="391"/>
        <v>0</v>
      </c>
      <c r="AC647" s="48">
        <f>SUM(AC643:AC646)</f>
        <v>6310</v>
      </c>
      <c r="AD647" s="48">
        <f>SUM(AD643:AD646)</f>
        <v>2490</v>
      </c>
      <c r="AE647" s="48">
        <f>SUM(AE643:AE646)</f>
        <v>8800</v>
      </c>
      <c r="AF647" s="48">
        <f>SUM(AF643:AF646)</f>
        <v>0</v>
      </c>
      <c r="AH647" s="48">
        <f>SUM(AH643:AH646)</f>
        <v>6450</v>
      </c>
      <c r="AJ647" s="48">
        <f>SUM(AJ643:AJ646)</f>
        <v>6574.5</v>
      </c>
      <c r="AL647" s="48">
        <f>SUM(AL643:AL646)</f>
        <v>6702.7349999999997</v>
      </c>
      <c r="AN647" s="48">
        <f>SUM(AN643:AN646)</f>
        <v>6834.8170499999997</v>
      </c>
      <c r="AO647" s="48"/>
      <c r="AP647" s="48">
        <f>SUM(AP643:AP646)</f>
        <v>6970.8615614999999</v>
      </c>
      <c r="AR647" s="48">
        <f>SUM(AR643:AR646)</f>
        <v>7110.9874083450004</v>
      </c>
      <c r="AT647" s="48">
        <f>SUM(AT643:AT646)</f>
        <v>7255.3170305953508</v>
      </c>
      <c r="AV647" s="48">
        <f>SUM(AV643:AV646)</f>
        <v>7403.9765415132115</v>
      </c>
      <c r="AX647" s="48">
        <f>SUM(AX643:AX646)</f>
        <v>7557.0958377586076</v>
      </c>
      <c r="AZ647" s="48">
        <f>SUM(AZ643:AZ646)</f>
        <v>7714.8087128913658</v>
      </c>
    </row>
    <row r="648" spans="1:52" x14ac:dyDescent="0.25">
      <c r="A648" s="7" t="s">
        <v>151</v>
      </c>
    </row>
    <row r="649" spans="1:52" x14ac:dyDescent="0.25">
      <c r="A649" s="3" t="s">
        <v>476</v>
      </c>
    </row>
    <row r="650" spans="1:52" x14ac:dyDescent="0.25">
      <c r="A650" s="3" t="s">
        <v>477</v>
      </c>
    </row>
    <row r="651" spans="1:52" x14ac:dyDescent="0.25">
      <c r="A651" s="3" t="s">
        <v>478</v>
      </c>
    </row>
    <row r="652" spans="1:52" x14ac:dyDescent="0.25">
      <c r="A652" s="3" t="s">
        <v>479</v>
      </c>
    </row>
    <row r="653" spans="1:52" x14ac:dyDescent="0.25">
      <c r="A653" s="3" t="s">
        <v>480</v>
      </c>
      <c r="B653" s="3"/>
      <c r="D653" s="3"/>
      <c r="E653" s="3"/>
      <c r="F653" s="3"/>
      <c r="H653" s="3"/>
      <c r="I653" s="3"/>
      <c r="J653" s="3"/>
      <c r="K653" s="3"/>
      <c r="L653" s="3"/>
      <c r="N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42"/>
      <c r="AR653" s="3"/>
      <c r="AT653" s="3"/>
      <c r="AV653" s="3"/>
      <c r="AX653" s="3"/>
      <c r="AZ653" s="3"/>
    </row>
    <row r="654" spans="1:52" x14ac:dyDescent="0.25">
      <c r="A654" s="3" t="s">
        <v>481</v>
      </c>
      <c r="B654" s="3"/>
      <c r="D654" s="3"/>
      <c r="E654" s="3"/>
      <c r="F654" s="3"/>
      <c r="H654" s="3"/>
      <c r="I654" s="3"/>
      <c r="J654" s="3"/>
      <c r="K654" s="3"/>
      <c r="L654" s="3"/>
      <c r="N654" s="3"/>
      <c r="P654" s="3">
        <v>0</v>
      </c>
      <c r="Q654" s="3"/>
      <c r="R654" s="3"/>
      <c r="S654" s="3">
        <f>T654-R654</f>
        <v>0</v>
      </c>
      <c r="T654" s="3"/>
      <c r="U654" s="3">
        <f>T654-P654</f>
        <v>0</v>
      </c>
      <c r="V654" s="3"/>
      <c r="W654" s="3">
        <f>Y654-V654</f>
        <v>0</v>
      </c>
      <c r="X654" s="3"/>
      <c r="Y654" s="3"/>
      <c r="Z654" s="3">
        <f>Y654-T654</f>
        <v>0</v>
      </c>
      <c r="AA654" s="3"/>
      <c r="AB654" s="3"/>
      <c r="AC654" s="3"/>
      <c r="AD654" s="3">
        <f>AE654-AC654</f>
        <v>0</v>
      </c>
      <c r="AE654" s="3"/>
      <c r="AF654" s="3">
        <f>AE654-Y654</f>
        <v>0</v>
      </c>
      <c r="AG654" s="3"/>
      <c r="AH654" s="3">
        <f>P654*1.0281</f>
        <v>0</v>
      </c>
      <c r="AI654" s="3"/>
      <c r="AJ654" s="3">
        <f>AH654*1.0281</f>
        <v>0</v>
      </c>
      <c r="AK654" s="3"/>
      <c r="AL654" s="3">
        <f>AJ654*1.0281</f>
        <v>0</v>
      </c>
      <c r="AM654" s="3"/>
      <c r="AN654" s="3">
        <f>AL654*1.0281</f>
        <v>0</v>
      </c>
      <c r="AO654" s="3"/>
      <c r="AP654" s="3">
        <f>AN654*1.0281</f>
        <v>0</v>
      </c>
      <c r="AQ654" s="42"/>
      <c r="AR654" s="3">
        <f>AP654*1.0281</f>
        <v>0</v>
      </c>
      <c r="AS654" s="42"/>
      <c r="AT654" s="3">
        <f>AR654*1.0281</f>
        <v>0</v>
      </c>
      <c r="AU654" s="42"/>
      <c r="AV654" s="3">
        <f>AT654*1.0281</f>
        <v>0</v>
      </c>
      <c r="AW654" s="42"/>
      <c r="AX654" s="3">
        <f>AV654*1.0281</f>
        <v>0</v>
      </c>
      <c r="AZ654" s="3">
        <f>AX654*1.0281</f>
        <v>0</v>
      </c>
    </row>
    <row r="655" spans="1:52" x14ac:dyDescent="0.25">
      <c r="A655" s="3" t="s">
        <v>90</v>
      </c>
      <c r="B655" s="3">
        <v>7400</v>
      </c>
      <c r="D655" s="3"/>
      <c r="E655" s="3">
        <f>F655-D655</f>
        <v>3500</v>
      </c>
      <c r="F655" s="5">
        <v>3500</v>
      </c>
      <c r="H655" s="5">
        <f>F655-B655</f>
        <v>-3900</v>
      </c>
      <c r="J655" s="5">
        <v>1540</v>
      </c>
      <c r="K655" s="4">
        <f>L655-J655</f>
        <v>1460</v>
      </c>
      <c r="L655" s="4">
        <v>3000</v>
      </c>
      <c r="N655" s="4">
        <f>L655-F655</f>
        <v>-500</v>
      </c>
      <c r="P655" s="3">
        <f>L655*1.0281+16</f>
        <v>3100.3</v>
      </c>
      <c r="Q655" s="3"/>
      <c r="R655" s="3">
        <v>1685</v>
      </c>
      <c r="S655" s="3">
        <f>T655-R655</f>
        <v>1415</v>
      </c>
      <c r="T655" s="3">
        <v>3100</v>
      </c>
      <c r="U655" s="3">
        <f>T655-P655</f>
        <v>-0.3000000000001819</v>
      </c>
      <c r="V655" s="3">
        <v>1685</v>
      </c>
      <c r="W655" s="3">
        <f>Y655-V655</f>
        <v>1415</v>
      </c>
      <c r="X655" s="3"/>
      <c r="Y655" s="3">
        <v>3100</v>
      </c>
      <c r="Z655" s="3">
        <f>Y655-T655</f>
        <v>0</v>
      </c>
      <c r="AA655" s="3"/>
      <c r="AB655" s="3"/>
      <c r="AC655" s="3">
        <v>1685</v>
      </c>
      <c r="AD655" s="3">
        <f>AE655-AC655</f>
        <v>1415</v>
      </c>
      <c r="AE655" s="3">
        <v>3100</v>
      </c>
      <c r="AF655" s="3">
        <f>AE655-Y655</f>
        <v>0</v>
      </c>
      <c r="AG655" s="3"/>
      <c r="AH655" s="3">
        <f>AE655*1.03+7</f>
        <v>3200</v>
      </c>
      <c r="AI655" s="3"/>
      <c r="AJ655" s="3">
        <f>AH655*1.03-196</f>
        <v>3100</v>
      </c>
      <c r="AK655" s="3"/>
      <c r="AL655" s="3">
        <f>AJ655*1.03</f>
        <v>3193</v>
      </c>
      <c r="AM655" s="3"/>
      <c r="AN655" s="3">
        <f>AL655*1.03</f>
        <v>3288.79</v>
      </c>
      <c r="AO655" s="3"/>
      <c r="AP655" s="3">
        <f>AN655*1.03</f>
        <v>3387.4537</v>
      </c>
      <c r="AQ655" s="42"/>
      <c r="AR655" s="3">
        <f>AP655*1.03</f>
        <v>3489.077311</v>
      </c>
      <c r="AS655" s="42"/>
      <c r="AT655" s="3">
        <f>AR655*1.03</f>
        <v>3593.7496303299999</v>
      </c>
      <c r="AU655" s="42"/>
      <c r="AV655" s="3">
        <f>AT655*1.03</f>
        <v>3701.5621192398999</v>
      </c>
      <c r="AW655" s="42"/>
      <c r="AX655" s="3">
        <f>AV655*1.03</f>
        <v>3812.6089828170971</v>
      </c>
      <c r="AZ655" s="3">
        <f>AX655*1.03</f>
        <v>3926.9872523016102</v>
      </c>
    </row>
    <row r="656" spans="1:52" x14ac:dyDescent="0.25">
      <c r="A656" s="3" t="s">
        <v>482</v>
      </c>
      <c r="B656" s="3">
        <v>7000</v>
      </c>
      <c r="D656" s="3">
        <v>10657</v>
      </c>
      <c r="E656" s="3">
        <f>F656-D656</f>
        <v>3343</v>
      </c>
      <c r="F656" s="5">
        <v>14000</v>
      </c>
      <c r="H656" s="5">
        <f>F656-B656</f>
        <v>7000</v>
      </c>
      <c r="J656" s="5">
        <v>12259</v>
      </c>
      <c r="K656" s="4">
        <f>L656-J656</f>
        <v>3241</v>
      </c>
      <c r="L656" s="4">
        <v>15500</v>
      </c>
      <c r="N656" s="4">
        <f>L656-F656</f>
        <v>1500</v>
      </c>
      <c r="P656" s="3">
        <v>13000</v>
      </c>
      <c r="Q656" s="3"/>
      <c r="R656" s="3">
        <v>8115</v>
      </c>
      <c r="S656" s="3">
        <f>T656-R656</f>
        <v>4885</v>
      </c>
      <c r="T656" s="3">
        <v>13000</v>
      </c>
      <c r="U656" s="3">
        <f>T656-P656</f>
        <v>0</v>
      </c>
      <c r="V656" s="3">
        <v>8426</v>
      </c>
      <c r="W656" s="3">
        <f>Y656-V656</f>
        <v>4574</v>
      </c>
      <c r="X656" s="3"/>
      <c r="Y656" s="3">
        <v>13000</v>
      </c>
      <c r="Z656" s="3">
        <f>Y656-T656</f>
        <v>0</v>
      </c>
      <c r="AA656" s="3"/>
      <c r="AB656" s="3"/>
      <c r="AC656" s="3">
        <v>10463</v>
      </c>
      <c r="AD656" s="3">
        <f>AE656-AC656</f>
        <v>3537</v>
      </c>
      <c r="AE656" s="3">
        <v>14000</v>
      </c>
      <c r="AF656" s="3">
        <f>AE656-Y656</f>
        <v>1000</v>
      </c>
      <c r="AG656" s="3"/>
      <c r="AH656" s="3">
        <v>13000</v>
      </c>
      <c r="AI656" s="3"/>
      <c r="AJ656" s="3">
        <f>AH656*1.03+16</f>
        <v>13406</v>
      </c>
      <c r="AK656" s="3"/>
      <c r="AL656" s="3">
        <f>AJ656*1.03</f>
        <v>13808.18</v>
      </c>
      <c r="AM656" s="3"/>
      <c r="AN656" s="3">
        <f>AL656*1.03</f>
        <v>14222.4254</v>
      </c>
      <c r="AO656" s="3"/>
      <c r="AP656" s="3">
        <f>AN656*1.03</f>
        <v>14649.098162</v>
      </c>
      <c r="AQ656" s="42"/>
      <c r="AR656" s="3">
        <f>AP656*1.03</f>
        <v>15088.571106860001</v>
      </c>
      <c r="AS656" s="42"/>
      <c r="AT656" s="3">
        <f>AR656*1.03</f>
        <v>15541.228240065802</v>
      </c>
      <c r="AU656" s="42"/>
      <c r="AV656" s="3">
        <f>AT656*1.03</f>
        <v>16007.465087267778</v>
      </c>
      <c r="AW656" s="42"/>
      <c r="AX656" s="3">
        <f>AV656*1.03</f>
        <v>16487.689039885812</v>
      </c>
      <c r="AZ656" s="3">
        <f>AX656*1.03</f>
        <v>16982.319711082386</v>
      </c>
    </row>
    <row r="657" spans="1:52" x14ac:dyDescent="0.25">
      <c r="A657" s="3"/>
      <c r="B657" s="48">
        <f>SUM(B649:B656)</f>
        <v>14400</v>
      </c>
      <c r="C657" s="32"/>
      <c r="D657" s="48">
        <f>SUM(D649:D656)</f>
        <v>10657</v>
      </c>
      <c r="E657" s="48">
        <f>SUM(E649:E656)</f>
        <v>6843</v>
      </c>
      <c r="F657" s="48">
        <f>SUM(F649:F656)</f>
        <v>17500</v>
      </c>
      <c r="G657" s="32"/>
      <c r="H657" s="48">
        <f>SUM(H649:H656)</f>
        <v>3100</v>
      </c>
      <c r="I657" s="36"/>
      <c r="J657" s="48">
        <f>SUM(J649:J656)</f>
        <v>13799</v>
      </c>
      <c r="K657" s="48">
        <f>SUM(K649:K656)</f>
        <v>4701</v>
      </c>
      <c r="L657" s="48">
        <f>SUM(L649:L656)</f>
        <v>18500</v>
      </c>
      <c r="M657" s="32"/>
      <c r="N657" s="48">
        <f>SUM(N649:N656)</f>
        <v>1000</v>
      </c>
      <c r="P657" s="48">
        <f>SUM(P649:P656)</f>
        <v>16100.3</v>
      </c>
      <c r="R657" s="48">
        <f t="shared" ref="R657:Z657" si="392">SUM(R649:R656)</f>
        <v>9800</v>
      </c>
      <c r="S657" s="48">
        <f t="shared" si="392"/>
        <v>6300</v>
      </c>
      <c r="T657" s="48">
        <f t="shared" si="392"/>
        <v>16100</v>
      </c>
      <c r="U657" s="48">
        <f t="shared" si="392"/>
        <v>-0.3000000000001819</v>
      </c>
      <c r="V657" s="48">
        <f t="shared" si="392"/>
        <v>10111</v>
      </c>
      <c r="W657" s="48">
        <f t="shared" si="392"/>
        <v>5989</v>
      </c>
      <c r="X657" s="48"/>
      <c r="Y657" s="48">
        <f t="shared" si="392"/>
        <v>16100</v>
      </c>
      <c r="Z657" s="48">
        <f t="shared" si="392"/>
        <v>0</v>
      </c>
      <c r="AC657" s="48">
        <f>SUM(AC649:AC656)</f>
        <v>12148</v>
      </c>
      <c r="AD657" s="48">
        <f>SUM(AD649:AD656)</f>
        <v>4952</v>
      </c>
      <c r="AE657" s="48">
        <f>SUM(AE649:AE656)</f>
        <v>17100</v>
      </c>
      <c r="AF657" s="48">
        <f>SUM(AF649:AF656)</f>
        <v>1000</v>
      </c>
      <c r="AH657" s="48">
        <f>SUM(AH649:AH656)</f>
        <v>16200</v>
      </c>
      <c r="AJ657" s="48">
        <f>SUM(AJ649:AJ656)</f>
        <v>16506</v>
      </c>
      <c r="AL657" s="48">
        <f>SUM(AL649:AL656)</f>
        <v>17001.18</v>
      </c>
      <c r="AN657" s="48">
        <f>SUM(AN649:AN656)</f>
        <v>17511.215400000001</v>
      </c>
      <c r="AO657" s="48"/>
      <c r="AP657" s="48">
        <f>SUM(AP649:AP656)</f>
        <v>18036.551862</v>
      </c>
      <c r="AR657" s="48">
        <f>SUM(AR649:AR656)</f>
        <v>18577.64841786</v>
      </c>
      <c r="AT657" s="48">
        <f>SUM(AT649:AT656)</f>
        <v>19134.977870395804</v>
      </c>
      <c r="AV657" s="48">
        <f>SUM(AV649:AV656)</f>
        <v>19709.027206507679</v>
      </c>
      <c r="AX657" s="48">
        <f>SUM(AX649:AX656)</f>
        <v>20300.298022702911</v>
      </c>
      <c r="AZ657" s="48">
        <f>SUM(AZ649:AZ656)</f>
        <v>20909.306963383995</v>
      </c>
    </row>
    <row r="658" spans="1:52" x14ac:dyDescent="0.25">
      <c r="A658" s="7" t="s">
        <v>483</v>
      </c>
    </row>
    <row r="659" spans="1:52" x14ac:dyDescent="0.25">
      <c r="A659" s="3" t="s">
        <v>484</v>
      </c>
    </row>
    <row r="660" spans="1:52" x14ac:dyDescent="0.25">
      <c r="A660" s="3" t="s">
        <v>485</v>
      </c>
      <c r="B660" s="3">
        <v>75000</v>
      </c>
      <c r="D660" s="3">
        <v>11136</v>
      </c>
      <c r="E660" s="3">
        <f>F660-D660</f>
        <v>68864</v>
      </c>
      <c r="F660" s="5">
        <v>80000</v>
      </c>
      <c r="H660" s="5">
        <f>F660-B660</f>
        <v>5000</v>
      </c>
      <c r="J660" s="5">
        <v>22990</v>
      </c>
      <c r="K660" s="4">
        <f>L660-J660</f>
        <v>57010</v>
      </c>
      <c r="L660" s="4">
        <v>80000</v>
      </c>
      <c r="N660" s="4">
        <f>L660-F660</f>
        <v>0</v>
      </c>
      <c r="P660" s="3">
        <f>L660*1.0281+2752</f>
        <v>85000</v>
      </c>
      <c r="Q660" s="3"/>
      <c r="R660" s="3">
        <v>12462</v>
      </c>
      <c r="S660" s="3">
        <f>T660-R660</f>
        <v>72538</v>
      </c>
      <c r="T660" s="3">
        <v>85000</v>
      </c>
      <c r="U660" s="3">
        <f>T660-P660</f>
        <v>0</v>
      </c>
      <c r="V660" s="3">
        <v>37778</v>
      </c>
      <c r="W660" s="3">
        <f>Y660-V660</f>
        <v>47222</v>
      </c>
      <c r="X660" s="3"/>
      <c r="Y660" s="3">
        <v>85000</v>
      </c>
      <c r="Z660" s="3">
        <f>Y660-T660</f>
        <v>0</v>
      </c>
      <c r="AA660" s="3"/>
      <c r="AB660" s="3"/>
      <c r="AC660" s="3">
        <v>58210</v>
      </c>
      <c r="AD660" s="3">
        <f>AE660-AC660</f>
        <v>24290</v>
      </c>
      <c r="AE660" s="3">
        <v>82500</v>
      </c>
      <c r="AF660" s="3">
        <f>AE660-Y660</f>
        <v>-2500</v>
      </c>
      <c r="AG660" s="3"/>
      <c r="AH660" s="3">
        <v>82500</v>
      </c>
      <c r="AI660" s="3"/>
      <c r="AJ660" s="3">
        <f>AH660*1.03</f>
        <v>84975</v>
      </c>
      <c r="AK660" s="3"/>
      <c r="AL660" s="3">
        <f>AJ660*1.03</f>
        <v>87524.25</v>
      </c>
      <c r="AM660" s="3"/>
      <c r="AN660" s="3">
        <f>AL660*1.03</f>
        <v>90149.977500000008</v>
      </c>
      <c r="AO660" s="3"/>
      <c r="AP660" s="3">
        <f>AN660*1.03</f>
        <v>92854.476825000005</v>
      </c>
      <c r="AQ660" s="42"/>
      <c r="AR660" s="3">
        <f>AP660*1.03</f>
        <v>95640.111129750003</v>
      </c>
      <c r="AS660" s="42"/>
      <c r="AT660" s="3">
        <f>AR660*1.03</f>
        <v>98509.314463642499</v>
      </c>
      <c r="AU660" s="42"/>
      <c r="AV660" s="3">
        <f>AT660*1.03</f>
        <v>101464.59389755178</v>
      </c>
      <c r="AW660" s="42"/>
      <c r="AX660" s="3">
        <f>AV660*1.03</f>
        <v>104508.53171447833</v>
      </c>
      <c r="AZ660" s="3">
        <f>AX660*1.03</f>
        <v>107643.78766591269</v>
      </c>
    </row>
    <row r="661" spans="1:52" x14ac:dyDescent="0.25">
      <c r="A661" s="88" t="s">
        <v>289</v>
      </c>
      <c r="B661" s="3">
        <v>50000</v>
      </c>
      <c r="D661" s="3">
        <v>0</v>
      </c>
      <c r="E661" s="3">
        <f>F661-D661</f>
        <v>50000</v>
      </c>
      <c r="F661" s="5">
        <v>50000</v>
      </c>
      <c r="H661" s="5">
        <f>F661-B661</f>
        <v>0</v>
      </c>
      <c r="K661" s="4">
        <f>L661-J661</f>
        <v>50000</v>
      </c>
      <c r="L661" s="4">
        <v>50000</v>
      </c>
      <c r="N661" s="4">
        <f>L661-F661</f>
        <v>0</v>
      </c>
      <c r="P661" s="3">
        <v>50000</v>
      </c>
      <c r="Q661" s="3"/>
      <c r="R661" s="3"/>
      <c r="S661" s="3">
        <f>T661-R661</f>
        <v>50000</v>
      </c>
      <c r="T661" s="3">
        <v>50000</v>
      </c>
      <c r="U661" s="3">
        <f>T661-P661</f>
        <v>0</v>
      </c>
      <c r="V661" s="3">
        <v>0</v>
      </c>
      <c r="W661" s="3">
        <f>Y661-V661</f>
        <v>50000</v>
      </c>
      <c r="X661" s="3"/>
      <c r="Y661" s="3">
        <v>50000</v>
      </c>
      <c r="Z661" s="3">
        <f>Y661-T661</f>
        <v>0</v>
      </c>
      <c r="AA661" s="3"/>
      <c r="AB661" s="3"/>
      <c r="AC661" s="3">
        <v>0</v>
      </c>
      <c r="AD661" s="3">
        <f>AE661-AC661</f>
        <v>50000</v>
      </c>
      <c r="AE661" s="3">
        <v>50000</v>
      </c>
      <c r="AF661" s="3">
        <f>AE661-Y661</f>
        <v>0</v>
      </c>
      <c r="AG661" s="3"/>
      <c r="AH661" s="88">
        <v>50000</v>
      </c>
      <c r="AI661" s="3"/>
      <c r="AJ661" s="3">
        <v>50000</v>
      </c>
      <c r="AK661" s="3"/>
      <c r="AL661" s="3">
        <v>50000</v>
      </c>
      <c r="AM661" s="3"/>
      <c r="AN661" s="3">
        <v>50000</v>
      </c>
      <c r="AO661" s="3"/>
      <c r="AP661" s="3">
        <v>50000</v>
      </c>
      <c r="AQ661" s="42"/>
      <c r="AR661" s="3">
        <v>50000</v>
      </c>
      <c r="AS661" s="42"/>
      <c r="AT661" s="3">
        <v>50000</v>
      </c>
      <c r="AU661" s="42"/>
      <c r="AV661" s="3">
        <v>50000</v>
      </c>
      <c r="AW661" s="42"/>
      <c r="AX661" s="3">
        <v>50000</v>
      </c>
      <c r="AZ661" s="3">
        <v>50000</v>
      </c>
    </row>
    <row r="662" spans="1:52" ht="15.75" thickBot="1" x14ac:dyDescent="0.3">
      <c r="A662" s="3"/>
      <c r="B662" s="48">
        <f>SUM(B659:B661)</f>
        <v>125000</v>
      </c>
      <c r="C662" s="32"/>
      <c r="D662" s="48">
        <f>SUM(D659:D661)</f>
        <v>11136</v>
      </c>
      <c r="E662" s="48">
        <f>SUM(E659:E661)</f>
        <v>118864</v>
      </c>
      <c r="F662" s="48">
        <f>SUM(F659:F661)</f>
        <v>130000</v>
      </c>
      <c r="G662" s="32"/>
      <c r="H662" s="48">
        <f>SUM(H659:H661)</f>
        <v>5000</v>
      </c>
      <c r="I662" s="36"/>
      <c r="J662" s="48">
        <f>SUM(J659:J661)</f>
        <v>22990</v>
      </c>
      <c r="K662" s="48">
        <f>SUM(K659:K661)</f>
        <v>107010</v>
      </c>
      <c r="L662" s="48">
        <f>SUM(L659:L661)</f>
        <v>130000</v>
      </c>
      <c r="M662" s="32"/>
      <c r="N662" s="48">
        <f>SUM(N659:N661)</f>
        <v>0</v>
      </c>
      <c r="P662" s="48">
        <f>SUM(P659:P661)</f>
        <v>135000</v>
      </c>
      <c r="R662" s="48">
        <f t="shared" ref="R662:Z662" si="393">SUM(R659:R661)</f>
        <v>12462</v>
      </c>
      <c r="S662" s="48">
        <f t="shared" si="393"/>
        <v>122538</v>
      </c>
      <c r="T662" s="48">
        <f t="shared" si="393"/>
        <v>135000</v>
      </c>
      <c r="U662" s="48">
        <f t="shared" si="393"/>
        <v>0</v>
      </c>
      <c r="V662" s="48">
        <f t="shared" si="393"/>
        <v>37778</v>
      </c>
      <c r="W662" s="48">
        <f t="shared" si="393"/>
        <v>97222</v>
      </c>
      <c r="X662" s="48"/>
      <c r="Y662" s="48">
        <f t="shared" si="393"/>
        <v>135000</v>
      </c>
      <c r="Z662" s="48">
        <f t="shared" si="393"/>
        <v>0</v>
      </c>
      <c r="AC662" s="48">
        <f>SUM(AC659:AC661)</f>
        <v>58210</v>
      </c>
      <c r="AD662" s="48">
        <f>SUM(AD659:AD661)</f>
        <v>74290</v>
      </c>
      <c r="AE662" s="48">
        <f>SUM(AE659:AE661)</f>
        <v>132500</v>
      </c>
      <c r="AF662" s="48">
        <f>SUM(AF659:AF661)</f>
        <v>-2500</v>
      </c>
      <c r="AH662" s="48">
        <f>SUM(AH659:AH661)</f>
        <v>132500</v>
      </c>
      <c r="AJ662" s="48">
        <f>SUM(AJ659:AJ661)</f>
        <v>134975</v>
      </c>
      <c r="AL662" s="48">
        <f>SUM(AL659:AL661)</f>
        <v>137524.25</v>
      </c>
      <c r="AN662" s="48">
        <f>SUM(AN659:AN661)</f>
        <v>140149.97750000001</v>
      </c>
      <c r="AO662" s="48"/>
      <c r="AP662" s="48">
        <f>SUM(AP659:AP661)</f>
        <v>142854.47682500002</v>
      </c>
      <c r="AR662" s="48">
        <f>SUM(AR659:AR661)</f>
        <v>145640.11112975</v>
      </c>
      <c r="AT662" s="48">
        <f>SUM(AT659:AT661)</f>
        <v>148509.31446364248</v>
      </c>
      <c r="AV662" s="48">
        <f>SUM(AV659:AV661)</f>
        <v>151464.59389755176</v>
      </c>
      <c r="AX662" s="48">
        <f>SUM(AX659:AX661)</f>
        <v>154508.53171447833</v>
      </c>
      <c r="AZ662" s="48">
        <f>SUM(AZ659:AZ661)</f>
        <v>157643.78766591271</v>
      </c>
    </row>
    <row r="663" spans="1:52" x14ac:dyDescent="0.25">
      <c r="A663" s="3"/>
      <c r="B663" s="8" t="s">
        <v>8</v>
      </c>
      <c r="C663" s="9"/>
      <c r="D663" s="10" t="s">
        <v>9</v>
      </c>
      <c r="E663" s="11" t="s">
        <v>10</v>
      </c>
      <c r="F663" s="12" t="s">
        <v>11</v>
      </c>
      <c r="G663" s="9"/>
      <c r="H663" s="8" t="s">
        <v>12</v>
      </c>
      <c r="I663" s="13"/>
      <c r="J663" s="10" t="s">
        <v>9</v>
      </c>
      <c r="K663" s="11" t="s">
        <v>10</v>
      </c>
      <c r="L663" s="11" t="s">
        <v>11</v>
      </c>
      <c r="M663" s="9"/>
      <c r="N663" s="12" t="s">
        <v>12</v>
      </c>
      <c r="P663" s="8" t="s">
        <v>8</v>
      </c>
      <c r="R663" s="14" t="s">
        <v>9</v>
      </c>
      <c r="S663" s="15" t="s">
        <v>10</v>
      </c>
      <c r="T663" s="16" t="s">
        <v>11</v>
      </c>
      <c r="U663" s="17" t="s">
        <v>13</v>
      </c>
      <c r="V663" s="14" t="s">
        <v>9</v>
      </c>
      <c r="W663" s="15" t="s">
        <v>10</v>
      </c>
      <c r="X663" s="15"/>
      <c r="Y663" s="16" t="s">
        <v>11</v>
      </c>
      <c r="Z663" s="17" t="s">
        <v>13</v>
      </c>
      <c r="AC663" s="14" t="s">
        <v>9</v>
      </c>
      <c r="AD663" s="15" t="s">
        <v>10</v>
      </c>
      <c r="AE663" s="16" t="s">
        <v>11</v>
      </c>
      <c r="AF663" s="17" t="s">
        <v>13</v>
      </c>
      <c r="AH663" s="8" t="s">
        <v>8</v>
      </c>
      <c r="AJ663" s="8" t="s">
        <v>8</v>
      </c>
      <c r="AL663" s="8" t="s">
        <v>8</v>
      </c>
      <c r="AN663" s="8" t="s">
        <v>8</v>
      </c>
      <c r="AO663" s="8"/>
      <c r="AP663" s="8" t="s">
        <v>8</v>
      </c>
      <c r="AR663" s="8" t="s">
        <v>8</v>
      </c>
      <c r="AT663" s="8" t="s">
        <v>8</v>
      </c>
      <c r="AV663" s="8" t="s">
        <v>8</v>
      </c>
      <c r="AX663" s="8" t="s">
        <v>8</v>
      </c>
      <c r="AZ663" s="8" t="s">
        <v>8</v>
      </c>
    </row>
    <row r="664" spans="1:52" ht="15.75" thickBot="1" x14ac:dyDescent="0.3">
      <c r="A664" s="3"/>
      <c r="B664" s="19" t="s">
        <v>14</v>
      </c>
      <c r="C664" s="9"/>
      <c r="D664" s="20" t="s">
        <v>15</v>
      </c>
      <c r="E664" s="21"/>
      <c r="F664" s="22" t="s">
        <v>16</v>
      </c>
      <c r="G664" s="9"/>
      <c r="H664" s="19"/>
      <c r="I664" s="13"/>
      <c r="J664" s="20" t="s">
        <v>17</v>
      </c>
      <c r="K664" s="21"/>
      <c r="L664" s="21" t="s">
        <v>16</v>
      </c>
      <c r="M664" s="9"/>
      <c r="N664" s="22"/>
      <c r="P664" s="19" t="s">
        <v>18</v>
      </c>
      <c r="R664" s="23" t="s">
        <v>19</v>
      </c>
      <c r="S664" s="24"/>
      <c r="T664" s="25" t="s">
        <v>20</v>
      </c>
      <c r="U664" s="26"/>
      <c r="V664" s="23" t="s">
        <v>21</v>
      </c>
      <c r="W664" s="24"/>
      <c r="X664" s="24"/>
      <c r="Y664" s="25" t="s">
        <v>21</v>
      </c>
      <c r="Z664" s="26"/>
      <c r="AC664" s="23" t="s">
        <v>22</v>
      </c>
      <c r="AD664" s="24"/>
      <c r="AE664" s="25" t="s">
        <v>23</v>
      </c>
      <c r="AF664" s="26"/>
      <c r="AH664" s="19" t="s">
        <v>24</v>
      </c>
      <c r="AJ664" s="19" t="s">
        <v>25</v>
      </c>
      <c r="AL664" s="19" t="s">
        <v>26</v>
      </c>
      <c r="AN664" s="19" t="s">
        <v>27</v>
      </c>
      <c r="AO664" s="19"/>
      <c r="AP664" s="19" t="s">
        <v>28</v>
      </c>
      <c r="AR664" s="19" t="s">
        <v>29</v>
      </c>
      <c r="AT664" s="19" t="s">
        <v>30</v>
      </c>
      <c r="AV664" s="19" t="s">
        <v>31</v>
      </c>
      <c r="AX664" s="19" t="str">
        <f>AX17</f>
        <v>2021-22</v>
      </c>
      <c r="AZ664" s="19" t="str">
        <f>AZ17</f>
        <v>2022-23</v>
      </c>
    </row>
    <row r="665" spans="1:52" x14ac:dyDescent="0.25">
      <c r="A665" s="7" t="s">
        <v>486</v>
      </c>
    </row>
    <row r="666" spans="1:52" x14ac:dyDescent="0.25">
      <c r="A666" s="3" t="s">
        <v>487</v>
      </c>
      <c r="B666" s="3">
        <v>192000</v>
      </c>
      <c r="D666" s="3">
        <f>41031+595</f>
        <v>41626</v>
      </c>
      <c r="E666" s="3">
        <f t="shared" ref="E666:E674" si="394">F666-D666</f>
        <v>150374</v>
      </c>
      <c r="F666" s="5">
        <v>192000</v>
      </c>
      <c r="H666" s="5">
        <f t="shared" ref="H666:H674" si="395">F666-B666</f>
        <v>0</v>
      </c>
      <c r="J666" s="5">
        <v>90424</v>
      </c>
      <c r="K666" s="4">
        <f t="shared" ref="K666:K674" si="396">L666-J666</f>
        <v>101576</v>
      </c>
      <c r="L666" s="4">
        <v>192000</v>
      </c>
      <c r="N666" s="4">
        <f t="shared" ref="N666:N674" si="397">L666-F666</f>
        <v>0</v>
      </c>
      <c r="P666" s="3">
        <f>L666*1.0281+26605</f>
        <v>224000.2</v>
      </c>
      <c r="Q666" s="3"/>
      <c r="R666" s="3">
        <v>48119</v>
      </c>
      <c r="S666" s="3">
        <f t="shared" ref="S666:S674" si="398">T666-R666</f>
        <v>175881</v>
      </c>
      <c r="T666" s="3">
        <v>224000</v>
      </c>
      <c r="U666" s="3">
        <f t="shared" ref="U666:U674" si="399">T666-P666</f>
        <v>-0.20000000001164153</v>
      </c>
      <c r="V666" s="3">
        <f>16896+64118+3038</f>
        <v>84052</v>
      </c>
      <c r="W666" s="3">
        <f t="shared" ref="W666:W674" si="400">Y666-V666</f>
        <v>139948</v>
      </c>
      <c r="X666" s="3"/>
      <c r="Y666" s="3">
        <v>224000</v>
      </c>
      <c r="Z666" s="3">
        <f t="shared" ref="Z666:Z674" si="401">Y666-T666</f>
        <v>0</v>
      </c>
      <c r="AA666" s="3"/>
      <c r="AB666" s="3"/>
      <c r="AC666" s="3">
        <v>151334</v>
      </c>
      <c r="AD666" s="3">
        <f t="shared" ref="AD666:AD674" si="402">AE666-AC666</f>
        <v>63666</v>
      </c>
      <c r="AE666" s="3">
        <v>215000</v>
      </c>
      <c r="AF666" s="3">
        <f t="shared" ref="AF666:AF674" si="403">AE666-Y666</f>
        <v>-9000</v>
      </c>
      <c r="AG666" s="3"/>
      <c r="AH666" s="3">
        <v>204000</v>
      </c>
      <c r="AI666" s="3"/>
      <c r="AJ666" s="3">
        <f>AH666*1.03</f>
        <v>210120</v>
      </c>
      <c r="AK666" s="3"/>
      <c r="AL666" s="3">
        <f>AJ666*1.03</f>
        <v>216423.6</v>
      </c>
      <c r="AM666" s="3"/>
      <c r="AN666" s="3">
        <f>AL666*1.03</f>
        <v>222916.30800000002</v>
      </c>
      <c r="AO666" s="3"/>
      <c r="AP666" s="3">
        <f>AN666*1.03</f>
        <v>229603.79724000001</v>
      </c>
      <c r="AQ666" s="42"/>
      <c r="AR666" s="3">
        <f>AP666*1.03</f>
        <v>236491.91115720003</v>
      </c>
      <c r="AS666" s="42"/>
      <c r="AT666" s="3">
        <f>AR666*1.03</f>
        <v>243586.66849191603</v>
      </c>
      <c r="AU666" s="42"/>
      <c r="AV666" s="3">
        <f>AT666*1.03</f>
        <v>250894.26854667353</v>
      </c>
      <c r="AW666" s="42"/>
      <c r="AX666" s="3">
        <f>AV666*1.03</f>
        <v>258421.09660307373</v>
      </c>
      <c r="AZ666" s="3">
        <f>AX666*1.03</f>
        <v>266173.72950116597</v>
      </c>
    </row>
    <row r="667" spans="1:52" x14ac:dyDescent="0.25">
      <c r="A667" s="3" t="s">
        <v>488</v>
      </c>
      <c r="B667" s="3"/>
      <c r="D667" s="3"/>
      <c r="E667" s="3">
        <f t="shared" si="394"/>
        <v>0</v>
      </c>
      <c r="H667" s="5">
        <f t="shared" si="395"/>
        <v>0</v>
      </c>
      <c r="J667" s="5">
        <v>0</v>
      </c>
      <c r="K667" s="4">
        <f t="shared" si="396"/>
        <v>5000</v>
      </c>
      <c r="L667" s="4">
        <v>5000</v>
      </c>
      <c r="N667" s="4">
        <f t="shared" si="397"/>
        <v>5000</v>
      </c>
      <c r="P667" s="3"/>
      <c r="Q667" s="3"/>
      <c r="R667" s="3"/>
      <c r="S667" s="3">
        <f t="shared" si="398"/>
        <v>0</v>
      </c>
      <c r="T667" s="3"/>
      <c r="U667" s="3">
        <f t="shared" si="399"/>
        <v>0</v>
      </c>
      <c r="V667" s="3"/>
      <c r="W667" s="3">
        <f t="shared" si="400"/>
        <v>0</v>
      </c>
      <c r="X667" s="3"/>
      <c r="Y667" s="3"/>
      <c r="Z667" s="3">
        <f t="shared" si="401"/>
        <v>0</v>
      </c>
      <c r="AA667" s="3"/>
      <c r="AB667" s="3"/>
      <c r="AC667" s="3"/>
      <c r="AD667" s="3">
        <f t="shared" si="402"/>
        <v>0</v>
      </c>
      <c r="AE667" s="3"/>
      <c r="AF667" s="3">
        <f t="shared" si="403"/>
        <v>0</v>
      </c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42"/>
      <c r="AR667" s="3"/>
      <c r="AS667" s="42"/>
      <c r="AT667" s="3"/>
      <c r="AU667" s="42"/>
      <c r="AV667" s="3"/>
      <c r="AW667" s="42"/>
      <c r="AX667" s="3"/>
      <c r="AZ667" s="3"/>
    </row>
    <row r="668" spans="1:52" x14ac:dyDescent="0.25">
      <c r="A668" s="3" t="s">
        <v>489</v>
      </c>
      <c r="B668" s="3"/>
      <c r="D668" s="3"/>
      <c r="E668" s="3">
        <f t="shared" si="394"/>
        <v>21180</v>
      </c>
      <c r="F668" s="5">
        <v>21180</v>
      </c>
      <c r="H668" s="5">
        <f t="shared" si="395"/>
        <v>21180</v>
      </c>
      <c r="J668" s="5">
        <v>0</v>
      </c>
      <c r="K668" s="4">
        <f t="shared" si="396"/>
        <v>0</v>
      </c>
      <c r="L668" s="4">
        <v>0</v>
      </c>
      <c r="N668" s="4">
        <f t="shared" si="397"/>
        <v>-21180</v>
      </c>
      <c r="P668" s="3"/>
      <c r="Q668" s="3"/>
      <c r="R668" s="3"/>
      <c r="S668" s="3">
        <f t="shared" si="398"/>
        <v>0</v>
      </c>
      <c r="T668" s="3"/>
      <c r="U668" s="3">
        <f t="shared" si="399"/>
        <v>0</v>
      </c>
      <c r="V668" s="3"/>
      <c r="W668" s="3">
        <f t="shared" si="400"/>
        <v>0</v>
      </c>
      <c r="X668" s="3"/>
      <c r="Y668" s="3"/>
      <c r="Z668" s="3">
        <f t="shared" si="401"/>
        <v>0</v>
      </c>
      <c r="AA668" s="3"/>
      <c r="AB668" s="3"/>
      <c r="AC668" s="3"/>
      <c r="AD668" s="3">
        <f t="shared" si="402"/>
        <v>0</v>
      </c>
      <c r="AE668" s="3"/>
      <c r="AF668" s="3">
        <f t="shared" si="403"/>
        <v>0</v>
      </c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42"/>
      <c r="AR668" s="3"/>
      <c r="AS668" s="42"/>
      <c r="AT668" s="3"/>
      <c r="AU668" s="42"/>
      <c r="AV668" s="3"/>
      <c r="AW668" s="42"/>
      <c r="AX668" s="3"/>
      <c r="AZ668" s="3"/>
    </row>
    <row r="669" spans="1:52" x14ac:dyDescent="0.25">
      <c r="A669" s="3" t="s">
        <v>490</v>
      </c>
      <c r="B669" s="3"/>
      <c r="D669" s="3"/>
      <c r="E669" s="3"/>
      <c r="K669" s="4"/>
      <c r="L669" s="4"/>
      <c r="N669" s="4"/>
      <c r="P669" s="3"/>
      <c r="Q669" s="3"/>
      <c r="R669" s="3"/>
      <c r="S669" s="3">
        <f>T669-R669</f>
        <v>21500</v>
      </c>
      <c r="T669" s="3">
        <v>21500</v>
      </c>
      <c r="U669" s="3">
        <f>T669-P669</f>
        <v>21500</v>
      </c>
      <c r="V669" s="3"/>
      <c r="W669" s="3">
        <f t="shared" si="400"/>
        <v>21500</v>
      </c>
      <c r="X669" s="3"/>
      <c r="Y669" s="3">
        <v>21500</v>
      </c>
      <c r="Z669" s="3">
        <f t="shared" si="401"/>
        <v>0</v>
      </c>
      <c r="AA669" s="3"/>
      <c r="AB669" s="3"/>
      <c r="AC669" s="3">
        <v>0</v>
      </c>
      <c r="AD669" s="3">
        <f t="shared" si="402"/>
        <v>21500</v>
      </c>
      <c r="AE669" s="3">
        <v>21500</v>
      </c>
      <c r="AF669" s="3">
        <f t="shared" si="403"/>
        <v>0</v>
      </c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42"/>
      <c r="AR669" s="3"/>
      <c r="AS669" s="42"/>
      <c r="AT669" s="3"/>
      <c r="AU669" s="42"/>
      <c r="AV669" s="3"/>
      <c r="AW669" s="42"/>
      <c r="AX669" s="3"/>
      <c r="AZ669" s="3"/>
    </row>
    <row r="670" spans="1:52" x14ac:dyDescent="0.25">
      <c r="A670" s="3" t="s">
        <v>491</v>
      </c>
      <c r="B670" s="3"/>
      <c r="D670" s="3"/>
      <c r="E670" s="3"/>
      <c r="K670" s="4"/>
      <c r="L670" s="4"/>
      <c r="N670" s="4"/>
      <c r="P670" s="3"/>
      <c r="Q670" s="3"/>
      <c r="R670" s="3"/>
      <c r="S670" s="3">
        <f t="shared" si="398"/>
        <v>0</v>
      </c>
      <c r="T670" s="3"/>
      <c r="U670" s="3">
        <f t="shared" si="399"/>
        <v>0</v>
      </c>
      <c r="V670" s="3"/>
      <c r="W670" s="3">
        <f t="shared" si="400"/>
        <v>0</v>
      </c>
      <c r="X670" s="3"/>
      <c r="Y670" s="3"/>
      <c r="Z670" s="3">
        <f t="shared" si="401"/>
        <v>0</v>
      </c>
      <c r="AA670" s="3"/>
      <c r="AB670" s="3"/>
      <c r="AC670" s="3"/>
      <c r="AD670" s="3">
        <f t="shared" si="402"/>
        <v>0</v>
      </c>
      <c r="AE670" s="3"/>
      <c r="AF670" s="3">
        <f t="shared" si="403"/>
        <v>0</v>
      </c>
      <c r="AG670" s="3"/>
      <c r="AH670" s="3">
        <v>10000</v>
      </c>
      <c r="AI670" s="3"/>
      <c r="AJ670" s="3"/>
      <c r="AK670" s="3"/>
      <c r="AL670" s="3"/>
      <c r="AM670" s="3"/>
      <c r="AN670" s="3"/>
      <c r="AO670" s="3"/>
      <c r="AP670" s="3"/>
      <c r="AQ670" s="42"/>
      <c r="AR670" s="3"/>
      <c r="AS670" s="42"/>
      <c r="AT670" s="3"/>
      <c r="AU670" s="42"/>
      <c r="AV670" s="3"/>
      <c r="AW670" s="42"/>
      <c r="AX670" s="3"/>
      <c r="AZ670" s="3"/>
    </row>
    <row r="671" spans="1:52" x14ac:dyDescent="0.25">
      <c r="A671" s="3" t="s">
        <v>177</v>
      </c>
      <c r="B671" s="3"/>
      <c r="D671" s="3"/>
      <c r="E671" s="3">
        <f t="shared" si="394"/>
        <v>0</v>
      </c>
      <c r="H671" s="5">
        <f t="shared" si="395"/>
        <v>0</v>
      </c>
      <c r="K671" s="4">
        <f t="shared" si="396"/>
        <v>0</v>
      </c>
      <c r="L671" s="4"/>
      <c r="N671" s="4">
        <f t="shared" si="397"/>
        <v>0</v>
      </c>
      <c r="P671" s="3"/>
      <c r="Q671" s="3"/>
      <c r="R671" s="3"/>
      <c r="S671" s="3">
        <f t="shared" si="398"/>
        <v>0</v>
      </c>
      <c r="T671" s="3"/>
      <c r="U671" s="3">
        <f t="shared" si="399"/>
        <v>0</v>
      </c>
      <c r="V671" s="3"/>
      <c r="W671" s="3">
        <f t="shared" si="400"/>
        <v>0</v>
      </c>
      <c r="X671" s="3"/>
      <c r="Y671" s="3"/>
      <c r="Z671" s="3">
        <f t="shared" si="401"/>
        <v>0</v>
      </c>
      <c r="AA671" s="3"/>
      <c r="AB671" s="3"/>
      <c r="AC671" s="3"/>
      <c r="AD671" s="3">
        <f t="shared" si="402"/>
        <v>0</v>
      </c>
      <c r="AE671" s="3"/>
      <c r="AF671" s="3">
        <f t="shared" si="403"/>
        <v>0</v>
      </c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42"/>
      <c r="AR671" s="3"/>
      <c r="AS671" s="42"/>
      <c r="AT671" s="3"/>
      <c r="AU671" s="42"/>
      <c r="AV671" s="3"/>
      <c r="AW671" s="42"/>
      <c r="AX671" s="3"/>
      <c r="AZ671" s="3"/>
    </row>
    <row r="672" spans="1:52" x14ac:dyDescent="0.25">
      <c r="A672" s="3" t="s">
        <v>178</v>
      </c>
      <c r="B672" s="3"/>
      <c r="D672" s="3">
        <v>715</v>
      </c>
      <c r="E672" s="3">
        <f t="shared" si="394"/>
        <v>5</v>
      </c>
      <c r="F672" s="5">
        <v>720</v>
      </c>
      <c r="H672" s="5">
        <f t="shared" si="395"/>
        <v>720</v>
      </c>
      <c r="J672" s="5">
        <v>715</v>
      </c>
      <c r="K672" s="4">
        <f t="shared" si="396"/>
        <v>5</v>
      </c>
      <c r="L672" s="4">
        <v>720</v>
      </c>
      <c r="N672" s="4">
        <f t="shared" si="397"/>
        <v>0</v>
      </c>
      <c r="P672" s="3"/>
      <c r="Q672" s="3"/>
      <c r="R672" s="3"/>
      <c r="S672" s="3">
        <f t="shared" si="398"/>
        <v>0</v>
      </c>
      <c r="T672" s="3"/>
      <c r="U672" s="3">
        <f t="shared" si="399"/>
        <v>0</v>
      </c>
      <c r="V672" s="3"/>
      <c r="W672" s="3">
        <f t="shared" si="400"/>
        <v>0</v>
      </c>
      <c r="X672" s="3"/>
      <c r="Y672" s="3"/>
      <c r="Z672" s="3">
        <f t="shared" si="401"/>
        <v>0</v>
      </c>
      <c r="AA672" s="3"/>
      <c r="AB672" s="3"/>
      <c r="AC672" s="3"/>
      <c r="AD672" s="3">
        <f t="shared" si="402"/>
        <v>0</v>
      </c>
      <c r="AE672" s="3"/>
      <c r="AF672" s="3">
        <f t="shared" si="403"/>
        <v>0</v>
      </c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42"/>
      <c r="AR672" s="3"/>
      <c r="AS672" s="42"/>
      <c r="AT672" s="3"/>
      <c r="AU672" s="42"/>
      <c r="AV672" s="3"/>
      <c r="AW672" s="42"/>
      <c r="AX672" s="3"/>
      <c r="AZ672" s="3"/>
    </row>
    <row r="673" spans="1:53" x14ac:dyDescent="0.25">
      <c r="A673" s="3" t="s">
        <v>492</v>
      </c>
      <c r="B673" s="3"/>
      <c r="D673" s="3"/>
      <c r="E673" s="3"/>
      <c r="K673" s="4"/>
      <c r="L673" s="4"/>
      <c r="N673" s="4"/>
      <c r="P673" s="3"/>
      <c r="Q673" s="3"/>
      <c r="R673" s="3"/>
      <c r="S673" s="3">
        <f t="shared" si="398"/>
        <v>0</v>
      </c>
      <c r="T673" s="3"/>
      <c r="U673" s="3">
        <f t="shared" si="399"/>
        <v>0</v>
      </c>
      <c r="V673" s="3">
        <v>6504</v>
      </c>
      <c r="W673" s="3">
        <f t="shared" si="400"/>
        <v>1</v>
      </c>
      <c r="X673" s="3"/>
      <c r="Y673" s="3">
        <v>6505</v>
      </c>
      <c r="Z673" s="3">
        <f t="shared" si="401"/>
        <v>6505</v>
      </c>
      <c r="AA673" s="3"/>
      <c r="AB673" s="3"/>
      <c r="AC673" s="3">
        <v>6505</v>
      </c>
      <c r="AD673" s="3">
        <f t="shared" si="402"/>
        <v>0</v>
      </c>
      <c r="AE673" s="3">
        <v>6505</v>
      </c>
      <c r="AF673" s="3">
        <f t="shared" si="403"/>
        <v>0</v>
      </c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42"/>
      <c r="AR673" s="3"/>
      <c r="AS673" s="42"/>
      <c r="AT673" s="3"/>
      <c r="AU673" s="42"/>
      <c r="AV673" s="3"/>
      <c r="AW673" s="42"/>
      <c r="AX673" s="3"/>
      <c r="AZ673" s="3"/>
    </row>
    <row r="674" spans="1:53" x14ac:dyDescent="0.25">
      <c r="A674" s="88" t="s">
        <v>289</v>
      </c>
      <c r="B674" s="3">
        <v>26000</v>
      </c>
      <c r="D674" s="3">
        <v>0</v>
      </c>
      <c r="E674" s="3">
        <f t="shared" si="394"/>
        <v>26000</v>
      </c>
      <c r="F674" s="5">
        <v>26000</v>
      </c>
      <c r="H674" s="5">
        <f t="shared" si="395"/>
        <v>0</v>
      </c>
      <c r="J674" s="5">
        <v>0</v>
      </c>
      <c r="K674" s="4">
        <f t="shared" si="396"/>
        <v>26000</v>
      </c>
      <c r="L674" s="4">
        <v>26000</v>
      </c>
      <c r="N674" s="4">
        <f t="shared" si="397"/>
        <v>0</v>
      </c>
      <c r="P674" s="3">
        <v>26000</v>
      </c>
      <c r="Q674" s="3"/>
      <c r="R674" s="3">
        <v>0</v>
      </c>
      <c r="S674" s="3">
        <f t="shared" si="398"/>
        <v>26000</v>
      </c>
      <c r="T674" s="3">
        <v>26000</v>
      </c>
      <c r="U674" s="3">
        <f t="shared" si="399"/>
        <v>0</v>
      </c>
      <c r="V674" s="3">
        <v>0</v>
      </c>
      <c r="W674" s="3">
        <f t="shared" si="400"/>
        <v>26000</v>
      </c>
      <c r="X674" s="3"/>
      <c r="Y674" s="3">
        <v>26000</v>
      </c>
      <c r="Z674" s="3">
        <f t="shared" si="401"/>
        <v>0</v>
      </c>
      <c r="AA674" s="3"/>
      <c r="AB674" s="3"/>
      <c r="AC674" s="3">
        <v>0</v>
      </c>
      <c r="AD674" s="3">
        <f t="shared" si="402"/>
        <v>26000</v>
      </c>
      <c r="AE674" s="3">
        <v>26000</v>
      </c>
      <c r="AF674" s="3">
        <f t="shared" si="403"/>
        <v>0</v>
      </c>
      <c r="AG674" s="3"/>
      <c r="AH674" s="88">
        <v>26000</v>
      </c>
      <c r="AI674" s="3"/>
      <c r="AJ674" s="3">
        <v>26000</v>
      </c>
      <c r="AK674" s="3"/>
      <c r="AL674" s="3">
        <v>26000</v>
      </c>
      <c r="AM674" s="3"/>
      <c r="AN674" s="3">
        <v>26000</v>
      </c>
      <c r="AO674" s="3"/>
      <c r="AP674" s="3">
        <v>26000</v>
      </c>
      <c r="AQ674" s="42"/>
      <c r="AR674" s="3">
        <v>26000</v>
      </c>
      <c r="AS674" s="42"/>
      <c r="AT674" s="3">
        <v>26000</v>
      </c>
      <c r="AU674" s="42"/>
      <c r="AV674" s="3">
        <v>26000</v>
      </c>
      <c r="AW674" s="42"/>
      <c r="AX674" s="3">
        <v>26000</v>
      </c>
      <c r="AZ674" s="3">
        <v>26000</v>
      </c>
    </row>
    <row r="675" spans="1:53" x14ac:dyDescent="0.25">
      <c r="A675" s="3"/>
      <c r="B675" s="48">
        <f>SUM(B666:B674)</f>
        <v>218000</v>
      </c>
      <c r="C675" s="32"/>
      <c r="D675" s="48">
        <f>SUM(D666:D674)</f>
        <v>42341</v>
      </c>
      <c r="E675" s="48">
        <f>SUM(E666:E674)</f>
        <v>197559</v>
      </c>
      <c r="F675" s="48">
        <f>SUM(F666:F674)</f>
        <v>239900</v>
      </c>
      <c r="G675" s="32"/>
      <c r="H675" s="48">
        <f>SUM(H666:H674)</f>
        <v>21900</v>
      </c>
      <c r="I675" s="36"/>
      <c r="J675" s="48">
        <f>SUM(J666:J674)</f>
        <v>91139</v>
      </c>
      <c r="K675" s="48">
        <f>SUM(K666:K674)</f>
        <v>132581</v>
      </c>
      <c r="L675" s="48">
        <f>SUM(L666:L674)</f>
        <v>223720</v>
      </c>
      <c r="M675" s="32"/>
      <c r="N675" s="48">
        <f>SUM(N666:N674)</f>
        <v>-16180</v>
      </c>
      <c r="P675" s="48">
        <f>SUM(P666:P674)</f>
        <v>250000.2</v>
      </c>
      <c r="R675" s="48">
        <f t="shared" ref="R675:Z675" si="404">SUM(R666:R674)</f>
        <v>48119</v>
      </c>
      <c r="S675" s="48">
        <f t="shared" si="404"/>
        <v>223381</v>
      </c>
      <c r="T675" s="48">
        <f t="shared" si="404"/>
        <v>271500</v>
      </c>
      <c r="U675" s="48">
        <f t="shared" si="404"/>
        <v>21499.799999999988</v>
      </c>
      <c r="V675" s="48">
        <f t="shared" si="404"/>
        <v>90556</v>
      </c>
      <c r="W675" s="48">
        <f t="shared" si="404"/>
        <v>187449</v>
      </c>
      <c r="X675" s="48"/>
      <c r="Y675" s="48">
        <f t="shared" si="404"/>
        <v>278005</v>
      </c>
      <c r="Z675" s="48">
        <f t="shared" si="404"/>
        <v>6505</v>
      </c>
      <c r="AC675" s="48">
        <f>SUM(AC666:AC674)</f>
        <v>157839</v>
      </c>
      <c r="AD675" s="48">
        <f>SUM(AD666:AD674)</f>
        <v>111166</v>
      </c>
      <c r="AE675" s="48">
        <f>SUM(AE666:AE674)</f>
        <v>269005</v>
      </c>
      <c r="AF675" s="48">
        <f>SUM(AF666:AF674)</f>
        <v>-9000</v>
      </c>
      <c r="AH675" s="48">
        <f>SUM(AH666:AH674)</f>
        <v>240000</v>
      </c>
      <c r="AJ675" s="48">
        <f>SUM(AJ666:AJ674)</f>
        <v>236120</v>
      </c>
      <c r="AL675" s="48">
        <f>SUM(AL666:AL674)</f>
        <v>242423.6</v>
      </c>
      <c r="AN675" s="48">
        <f>SUM(AN666:AN674)</f>
        <v>248916.30800000002</v>
      </c>
      <c r="AO675" s="48"/>
      <c r="AP675" s="48">
        <f>SUM(AP666:AP674)</f>
        <v>255603.79724000001</v>
      </c>
      <c r="AR675" s="48">
        <f>SUM(AR666:AR674)</f>
        <v>262491.9111572</v>
      </c>
      <c r="AT675" s="48">
        <f>SUM(AT666:AT674)</f>
        <v>269586.66849191603</v>
      </c>
      <c r="AV675" s="48">
        <f>SUM(AV666:AV674)</f>
        <v>276894.26854667353</v>
      </c>
      <c r="AX675" s="48">
        <f>SUM(AX666:AX674)</f>
        <v>284421.09660307376</v>
      </c>
      <c r="AZ675" s="48">
        <f>SUM(AZ666:AZ674)</f>
        <v>292173.72950116597</v>
      </c>
    </row>
    <row r="676" spans="1:53" x14ac:dyDescent="0.25">
      <c r="A676" s="7" t="s">
        <v>57</v>
      </c>
    </row>
    <row r="677" spans="1:53" x14ac:dyDescent="0.25">
      <c r="A677" s="3" t="s">
        <v>90</v>
      </c>
      <c r="K677" s="4">
        <f>L677-J677</f>
        <v>0</v>
      </c>
      <c r="L677" s="4"/>
      <c r="N677" s="4">
        <f>L677-F677</f>
        <v>0</v>
      </c>
    </row>
    <row r="678" spans="1:53" ht="15.75" thickBot="1" x14ac:dyDescent="0.3">
      <c r="A678" s="7" t="s">
        <v>249</v>
      </c>
      <c r="B678" s="43">
        <f>B677+B675+B662+B657+B647+B641+B634+B629</f>
        <v>551870</v>
      </c>
      <c r="C678" s="32"/>
      <c r="D678" s="43">
        <f>D677+D675+D662+D657+D647+D641+D634+D629</f>
        <v>97044</v>
      </c>
      <c r="E678" s="43">
        <f>E677+E675+E662+E657+E647+E641+E634+E629</f>
        <v>483324</v>
      </c>
      <c r="F678" s="43">
        <f>F677+F675+F662+F657+F647+F641+F634+F629</f>
        <v>580369</v>
      </c>
      <c r="G678" s="32"/>
      <c r="H678" s="43">
        <f>H677+H675+H662+H657+H647+H641+H634+H629</f>
        <v>28499</v>
      </c>
      <c r="I678" s="36"/>
      <c r="J678" s="43">
        <f>J677+J675+J662+J657+J647+J641+J634+J629</f>
        <v>207832</v>
      </c>
      <c r="K678" s="43">
        <f>K677+K675+K662+K657+K647+K641+K634+K629</f>
        <v>359756</v>
      </c>
      <c r="L678" s="43">
        <f>L677+L675+L662+L657+L647+L641+L634+L629</f>
        <v>567589</v>
      </c>
      <c r="M678" s="32"/>
      <c r="N678" s="43">
        <f>N677+N675+N662+N657+N647+N641+N634+N629</f>
        <v>-12781</v>
      </c>
      <c r="P678" s="43">
        <f>P677+P675+P662+P657+P647+P641+P634+P629</f>
        <v>608349.53500000003</v>
      </c>
      <c r="R678" s="43">
        <f t="shared" ref="R678:Z678" si="405">R677+R675+R662+R657+R647+R641+R634+R629</f>
        <v>144196</v>
      </c>
      <c r="S678" s="43">
        <f t="shared" si="405"/>
        <v>497504</v>
      </c>
      <c r="T678" s="43">
        <f t="shared" si="405"/>
        <v>641700</v>
      </c>
      <c r="U678" s="43">
        <f t="shared" si="405"/>
        <v>33350.464999999975</v>
      </c>
      <c r="V678" s="43">
        <f t="shared" si="405"/>
        <v>234846</v>
      </c>
      <c r="W678" s="43">
        <f t="shared" si="405"/>
        <v>417359</v>
      </c>
      <c r="X678" s="43"/>
      <c r="Y678" s="43">
        <f t="shared" si="405"/>
        <v>652205</v>
      </c>
      <c r="Z678" s="43">
        <f t="shared" si="405"/>
        <v>10505</v>
      </c>
      <c r="AC678" s="43">
        <f>AC677+AC675+AC662+AC657+AC647+AC641+AC634+AC629</f>
        <v>368831</v>
      </c>
      <c r="AD678" s="43">
        <f>AD677+AD675+AD662+AD657+AD647+AD641+AD634+AD629</f>
        <v>271914</v>
      </c>
      <c r="AE678" s="43">
        <f>AE677+AE675+AE662+AE657+AE647+AE641+AE634+AE629</f>
        <v>640745</v>
      </c>
      <c r="AF678" s="43">
        <f>AF677+AF675+AF662+AF657+AF647+AF641+AF634+AF629</f>
        <v>-11460</v>
      </c>
      <c r="AH678" s="43">
        <f>AH677+AH675+AH662+AH657+AH647+AH641+AH634+AH629</f>
        <v>607580.25</v>
      </c>
      <c r="AJ678" s="43">
        <f>AJ677+AJ675+AJ662+AJ657+AJ647+AJ641+AJ634+AJ629</f>
        <v>612189.16249999998</v>
      </c>
      <c r="AL678" s="43">
        <f>AL677+AL675+AL662+AL657+AL647+AL641+AL634+AL629</f>
        <v>627195.3473749999</v>
      </c>
      <c r="AN678" s="43">
        <f>AN677+AN675+AN662+AN657+AN647+AN641+AN634+AN629</f>
        <v>642658.09549625008</v>
      </c>
      <c r="AO678" s="43"/>
      <c r="AP678" s="43">
        <f>AP677+AP675+AP662+AP657+AP647+AP641+AP634+AP629</f>
        <v>658591.49455013743</v>
      </c>
      <c r="AR678" s="43">
        <f>AR677+AR675+AR662+AR657+AR647+AR641+AR634+AR629</f>
        <v>675010.07942637161</v>
      </c>
      <c r="AT678" s="43">
        <f>AT677+AT675+AT662+AT657+AT647+AT641+AT634+AT629</f>
        <v>691928.84721504897</v>
      </c>
      <c r="AV678" s="43">
        <f>AV677+AV675+AV662+AV657+AV647+AV641+AV634+AV629</f>
        <v>709363.27275734232</v>
      </c>
      <c r="AX678" s="43">
        <f>AX677+AX675+AX662+AX657+AX647+AX641+AX634+AX629</f>
        <v>727329.32477333443</v>
      </c>
      <c r="AZ678" s="43">
        <f>AZ677+AZ675+AZ662+AZ657+AZ647+AZ641+AZ634+AZ629</f>
        <v>745843.48259168712</v>
      </c>
    </row>
    <row r="679" spans="1:53" ht="15.75" thickTop="1" x14ac:dyDescent="0.25">
      <c r="A679" s="7" t="s">
        <v>184</v>
      </c>
    </row>
    <row r="680" spans="1:53" x14ac:dyDescent="0.25">
      <c r="A680" s="7" t="s">
        <v>185</v>
      </c>
    </row>
    <row r="681" spans="1:53" ht="15.75" thickBot="1" x14ac:dyDescent="0.3">
      <c r="A681" s="3" t="s">
        <v>493</v>
      </c>
      <c r="B681" s="49">
        <v>33100</v>
      </c>
      <c r="C681" s="32"/>
      <c r="D681" s="49">
        <v>216</v>
      </c>
      <c r="E681" s="49">
        <f>F681-D681</f>
        <v>32884</v>
      </c>
      <c r="F681" s="49">
        <v>33100</v>
      </c>
      <c r="G681" s="32"/>
      <c r="H681" s="49">
        <f>F681-B681</f>
        <v>0</v>
      </c>
      <c r="I681" s="36"/>
      <c r="J681" s="49">
        <v>298</v>
      </c>
      <c r="K681" s="49">
        <f>L681-J681</f>
        <v>32802</v>
      </c>
      <c r="L681" s="49">
        <v>33100</v>
      </c>
      <c r="M681" s="32"/>
      <c r="N681" s="49">
        <f>L681-F681</f>
        <v>0</v>
      </c>
      <c r="P681" s="49">
        <v>34500</v>
      </c>
      <c r="R681" s="71">
        <v>303</v>
      </c>
      <c r="S681" s="71">
        <f>T681-R681</f>
        <v>33697</v>
      </c>
      <c r="T681" s="71">
        <v>34000</v>
      </c>
      <c r="U681" s="71">
        <f>T681-P681</f>
        <v>-500</v>
      </c>
      <c r="V681" s="71">
        <v>7649</v>
      </c>
      <c r="W681" s="71">
        <f>Y681-V681</f>
        <v>26351</v>
      </c>
      <c r="X681" s="71"/>
      <c r="Y681" s="71">
        <v>34000</v>
      </c>
      <c r="Z681" s="71">
        <f>Y681-T681</f>
        <v>0</v>
      </c>
      <c r="AC681" s="71">
        <v>20792</v>
      </c>
      <c r="AD681" s="71">
        <f>AE681-AC681</f>
        <v>14208</v>
      </c>
      <c r="AE681" s="71">
        <v>35000</v>
      </c>
      <c r="AF681" s="71">
        <f>AE681-Y681</f>
        <v>1000</v>
      </c>
      <c r="AH681" s="49">
        <f>AE681*1.03</f>
        <v>36050</v>
      </c>
      <c r="AJ681" s="49">
        <f>AH681*1.03</f>
        <v>37131.5</v>
      </c>
      <c r="AL681" s="49">
        <f>AJ681*1.03</f>
        <v>38245.445</v>
      </c>
      <c r="AN681" s="49">
        <f>AL681*1.03</f>
        <v>39392.808349999999</v>
      </c>
      <c r="AO681" s="49"/>
      <c r="AP681" s="49">
        <f>AN681*1.03</f>
        <v>40574.5926005</v>
      </c>
      <c r="AR681" s="49">
        <f>AP681*1.03</f>
        <v>41791.830378514998</v>
      </c>
      <c r="AT681" s="49">
        <f>AR681*1.03</f>
        <v>43045.585289870447</v>
      </c>
      <c r="AV681" s="49">
        <f>AT681*1.03</f>
        <v>44336.952848566565</v>
      </c>
      <c r="AX681" s="49">
        <f>AV681*1.03</f>
        <v>45667.061434023562</v>
      </c>
      <c r="AZ681" s="49">
        <f>AX681*1.03</f>
        <v>47037.07327704427</v>
      </c>
      <c r="BA681" s="42"/>
    </row>
    <row r="682" spans="1:53" ht="15.75" thickTop="1" x14ac:dyDescent="0.25">
      <c r="A682" s="7" t="s">
        <v>190</v>
      </c>
    </row>
    <row r="683" spans="1:53" s="42" customFormat="1" x14ac:dyDescent="0.25">
      <c r="A683" s="7" t="s">
        <v>494</v>
      </c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4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R683" s="3"/>
      <c r="AT683" s="3"/>
      <c r="AV683" s="3"/>
      <c r="AX683" s="3"/>
      <c r="AZ683" s="3"/>
      <c r="BA683" s="6"/>
    </row>
    <row r="684" spans="1:53" x14ac:dyDescent="0.25">
      <c r="A684" s="7" t="s">
        <v>495</v>
      </c>
      <c r="AD684" s="3">
        <f>AE684-AC684</f>
        <v>0</v>
      </c>
      <c r="AE684" s="3"/>
      <c r="AF684" s="3">
        <f>AE684-Y684</f>
        <v>0</v>
      </c>
    </row>
    <row r="685" spans="1:53" x14ac:dyDescent="0.25">
      <c r="A685" s="3" t="s">
        <v>496</v>
      </c>
      <c r="B685" s="3">
        <f>87000-12500</f>
        <v>74500</v>
      </c>
      <c r="D685" s="3">
        <v>19210</v>
      </c>
      <c r="E685" s="3">
        <f>F685-D685</f>
        <v>53790</v>
      </c>
      <c r="F685" s="5">
        <v>73000</v>
      </c>
      <c r="H685" s="5">
        <f>F685-B685</f>
        <v>-1500</v>
      </c>
      <c r="J685" s="3">
        <v>31558</v>
      </c>
      <c r="K685" s="4">
        <f>L685-J685</f>
        <v>41442</v>
      </c>
      <c r="L685" s="4">
        <v>73000</v>
      </c>
      <c r="N685" s="4">
        <f>L685-F685</f>
        <v>0</v>
      </c>
      <c r="P685" s="3">
        <f>B685*1.03+65+4000-2000</f>
        <v>78800</v>
      </c>
      <c r="Q685" s="3"/>
      <c r="R685" s="3">
        <v>20634</v>
      </c>
      <c r="S685" s="3">
        <f>T685-R685</f>
        <v>58166</v>
      </c>
      <c r="T685" s="3">
        <v>78800</v>
      </c>
      <c r="U685" s="3">
        <f>T685-P685</f>
        <v>0</v>
      </c>
      <c r="V685" s="3">
        <v>47750</v>
      </c>
      <c r="W685" s="3">
        <f>Y685-V685</f>
        <v>31050</v>
      </c>
      <c r="X685" s="3"/>
      <c r="Y685" s="3">
        <v>78800</v>
      </c>
      <c r="Z685" s="3">
        <f>Y685-T685</f>
        <v>0</v>
      </c>
      <c r="AA685" s="3"/>
      <c r="AB685" s="3"/>
      <c r="AC685" s="3">
        <v>68985</v>
      </c>
      <c r="AD685" s="3">
        <f>AE685-AC685</f>
        <v>14815</v>
      </c>
      <c r="AE685" s="3">
        <v>83800</v>
      </c>
      <c r="AF685" s="3">
        <f>AE685-Y685</f>
        <v>5000</v>
      </c>
      <c r="AG685" s="3"/>
      <c r="AH685" s="3">
        <f>P685*1.03-14</f>
        <v>81150</v>
      </c>
      <c r="AJ685" s="5">
        <f>AH685*1.03</f>
        <v>83584.5</v>
      </c>
      <c r="AL685" s="5">
        <f>AJ685*1.03</f>
        <v>86092.035000000003</v>
      </c>
      <c r="AN685" s="5">
        <f>AL685*1.03</f>
        <v>88674.796050000004</v>
      </c>
      <c r="AP685" s="5">
        <f>AN685*1.03</f>
        <v>91335.03993150001</v>
      </c>
      <c r="AR685" s="5">
        <f>AP685*1.03</f>
        <v>94075.09112944502</v>
      </c>
      <c r="AT685" s="5">
        <f>AR685*1.035</f>
        <v>97367.719318975593</v>
      </c>
      <c r="AV685" s="5">
        <f>AT685*1.035</f>
        <v>100775.58949513973</v>
      </c>
      <c r="AX685" s="5">
        <f>AV685*1.035</f>
        <v>104302.73512746961</v>
      </c>
      <c r="AZ685" s="5">
        <f>AX685*1.035</f>
        <v>107953.33085693105</v>
      </c>
    </row>
    <row r="686" spans="1:53" x14ac:dyDescent="0.25">
      <c r="A686" s="3" t="s">
        <v>497</v>
      </c>
      <c r="B686" s="3"/>
      <c r="D686" s="3"/>
      <c r="E686" s="3"/>
      <c r="J686" s="3"/>
      <c r="K686" s="4">
        <f>L686-J686</f>
        <v>16000</v>
      </c>
      <c r="L686" s="4">
        <v>16000</v>
      </c>
      <c r="N686" s="4">
        <f>L686-F686</f>
        <v>16000</v>
      </c>
      <c r="P686" s="3"/>
      <c r="Q686" s="3"/>
      <c r="R686" s="3"/>
      <c r="S686" s="3">
        <f>T686-R686</f>
        <v>0</v>
      </c>
      <c r="T686" s="3"/>
      <c r="U686" s="3">
        <f>T686-P686</f>
        <v>0</v>
      </c>
      <c r="V686" s="3"/>
      <c r="W686" s="3">
        <f>Y686-V686</f>
        <v>0</v>
      </c>
      <c r="X686" s="3"/>
      <c r="Y686" s="3"/>
      <c r="Z686" s="3">
        <f>Y686-T686</f>
        <v>0</v>
      </c>
      <c r="AA686" s="3"/>
      <c r="AB686" s="3"/>
      <c r="AC686" s="3"/>
      <c r="AD686" s="3">
        <f>AE686-AC686</f>
        <v>0</v>
      </c>
      <c r="AE686" s="3"/>
      <c r="AF686" s="3">
        <f>AE686-Y686</f>
        <v>0</v>
      </c>
      <c r="AG686" s="3"/>
      <c r="AH686" s="3"/>
    </row>
    <row r="687" spans="1:53" x14ac:dyDescent="0.25">
      <c r="A687" s="3" t="s">
        <v>498</v>
      </c>
      <c r="B687" s="3">
        <v>51550</v>
      </c>
      <c r="D687" s="3">
        <v>7881</v>
      </c>
      <c r="E687" s="3">
        <f>F687-D687</f>
        <v>43669</v>
      </c>
      <c r="F687" s="5">
        <v>51550</v>
      </c>
      <c r="H687" s="5">
        <f>F687-B687</f>
        <v>0</v>
      </c>
      <c r="J687" s="3">
        <v>68002</v>
      </c>
      <c r="K687" s="4">
        <f>L687-J687</f>
        <v>-16452</v>
      </c>
      <c r="L687" s="4">
        <v>51550</v>
      </c>
      <c r="N687" s="4">
        <f>L687-F687</f>
        <v>0</v>
      </c>
      <c r="P687" s="3">
        <v>60840</v>
      </c>
      <c r="Q687" s="3"/>
      <c r="R687" s="3"/>
      <c r="S687" s="3">
        <f>T687-R687</f>
        <v>60840</v>
      </c>
      <c r="T687" s="3">
        <v>60840</v>
      </c>
      <c r="U687" s="3">
        <f>T687-P687</f>
        <v>0</v>
      </c>
      <c r="V687" s="3">
        <v>37446</v>
      </c>
      <c r="W687" s="3">
        <f>Y687-V687</f>
        <v>13394</v>
      </c>
      <c r="X687" s="3"/>
      <c r="Y687" s="3">
        <v>50840</v>
      </c>
      <c r="Z687" s="3">
        <f>Y687-T687</f>
        <v>-10000</v>
      </c>
      <c r="AA687" s="3"/>
      <c r="AB687" s="3"/>
      <c r="AC687" s="3">
        <v>37447</v>
      </c>
      <c r="AD687" s="3">
        <f>AE687-AC687</f>
        <v>2553</v>
      </c>
      <c r="AE687" s="3">
        <v>40000</v>
      </c>
      <c r="AF687" s="3">
        <f>AE687-Y687</f>
        <v>-10840</v>
      </c>
      <c r="AG687" s="3"/>
      <c r="AH687" s="3">
        <v>62520</v>
      </c>
      <c r="AI687" s="3"/>
      <c r="AJ687" s="3">
        <v>60370</v>
      </c>
      <c r="AK687" s="3"/>
      <c r="AL687" s="3">
        <v>65000</v>
      </c>
      <c r="AM687" s="3"/>
      <c r="AN687" s="3">
        <v>65000</v>
      </c>
      <c r="AO687" s="3"/>
      <c r="AP687" s="3">
        <v>65000</v>
      </c>
      <c r="AQ687" s="42"/>
      <c r="AR687" s="3">
        <v>65000</v>
      </c>
      <c r="AS687" s="42"/>
      <c r="AT687" s="3">
        <v>70000</v>
      </c>
      <c r="AU687" s="42"/>
      <c r="AV687" s="3">
        <v>70000</v>
      </c>
      <c r="AW687" s="42"/>
      <c r="AX687" s="3">
        <v>70000</v>
      </c>
      <c r="AZ687" s="3">
        <v>70000</v>
      </c>
    </row>
    <row r="688" spans="1:53" x14ac:dyDescent="0.25">
      <c r="A688" s="3"/>
      <c r="B688" s="48">
        <f>SUM(B685:B687)</f>
        <v>126050</v>
      </c>
      <c r="C688" s="32"/>
      <c r="D688" s="48">
        <f>SUM(D685:D687)</f>
        <v>27091</v>
      </c>
      <c r="E688" s="48">
        <f>SUM(E685:E687)</f>
        <v>97459</v>
      </c>
      <c r="F688" s="48">
        <f>SUM(F685:F687)</f>
        <v>124550</v>
      </c>
      <c r="G688" s="32"/>
      <c r="H688" s="48">
        <f>SUM(H685:H687)</f>
        <v>-1500</v>
      </c>
      <c r="I688" s="36"/>
      <c r="J688" s="48">
        <f>SUM(J685:J687)</f>
        <v>99560</v>
      </c>
      <c r="K688" s="48">
        <f>SUM(K685:K687)</f>
        <v>40990</v>
      </c>
      <c r="L688" s="48">
        <f>SUM(L685:L687)</f>
        <v>140550</v>
      </c>
      <c r="M688" s="32"/>
      <c r="N688" s="48">
        <f>SUM(N685:N687)</f>
        <v>16000</v>
      </c>
      <c r="P688" s="48">
        <f>SUM(P685:P687)</f>
        <v>139640</v>
      </c>
      <c r="R688" s="48">
        <f t="shared" ref="R688:Z688" si="406">SUM(R685:R687)</f>
        <v>20634</v>
      </c>
      <c r="S688" s="48">
        <f t="shared" si="406"/>
        <v>119006</v>
      </c>
      <c r="T688" s="48">
        <f t="shared" si="406"/>
        <v>139640</v>
      </c>
      <c r="U688" s="48">
        <f t="shared" si="406"/>
        <v>0</v>
      </c>
      <c r="V688" s="48">
        <f t="shared" si="406"/>
        <v>85196</v>
      </c>
      <c r="W688" s="48">
        <f t="shared" si="406"/>
        <v>44444</v>
      </c>
      <c r="X688" s="48"/>
      <c r="Y688" s="48">
        <f t="shared" si="406"/>
        <v>129640</v>
      </c>
      <c r="Z688" s="48">
        <f t="shared" si="406"/>
        <v>-10000</v>
      </c>
      <c r="AC688" s="48">
        <f>SUM(AC685:AC687)</f>
        <v>106432</v>
      </c>
      <c r="AD688" s="48">
        <f>SUM(AD685:AD687)</f>
        <v>17368</v>
      </c>
      <c r="AE688" s="48">
        <f>SUM(AE685:AE687)</f>
        <v>123800</v>
      </c>
      <c r="AF688" s="48">
        <f>SUM(AF685:AF687)</f>
        <v>-5840</v>
      </c>
      <c r="AH688" s="48">
        <f>SUM(AH685:AH687)</f>
        <v>143670</v>
      </c>
      <c r="AJ688" s="48">
        <f>SUM(AJ685:AJ687)</f>
        <v>143954.5</v>
      </c>
      <c r="AL688" s="48">
        <f>SUM(AL685:AL687)</f>
        <v>151092.035</v>
      </c>
      <c r="AN688" s="48">
        <f>SUM(AN685:AN687)</f>
        <v>153674.79605</v>
      </c>
      <c r="AO688" s="48"/>
      <c r="AP688" s="48">
        <f>SUM(AP685:AP687)</f>
        <v>156335.03993150001</v>
      </c>
      <c r="AR688" s="48">
        <f>SUM(AR685:AR687)</f>
        <v>159075.09112944501</v>
      </c>
      <c r="AT688" s="48">
        <f>SUM(AT685:AT687)</f>
        <v>167367.71931897558</v>
      </c>
      <c r="AV688" s="48">
        <f>SUM(AV685:AV687)</f>
        <v>170775.58949513972</v>
      </c>
      <c r="AX688" s="48">
        <f>SUM(AX685:AX687)</f>
        <v>174302.73512746961</v>
      </c>
      <c r="AZ688" s="48">
        <f>SUM(AZ685:AZ687)</f>
        <v>177953.33085693105</v>
      </c>
    </row>
    <row r="689" spans="1:53" x14ac:dyDescent="0.25">
      <c r="A689" s="7" t="s">
        <v>499</v>
      </c>
    </row>
    <row r="690" spans="1:53" x14ac:dyDescent="0.25">
      <c r="A690" s="3" t="s">
        <v>500</v>
      </c>
      <c r="B690" s="3">
        <f>210000-20000</f>
        <v>190000</v>
      </c>
      <c r="D690" s="3">
        <v>95159</v>
      </c>
      <c r="E690" s="3">
        <f>F690-D690</f>
        <v>94841</v>
      </c>
      <c r="F690" s="5">
        <v>190000</v>
      </c>
      <c r="H690" s="5">
        <f>F690-B690</f>
        <v>0</v>
      </c>
      <c r="J690" s="3">
        <v>250326</v>
      </c>
      <c r="K690" s="4">
        <f>L690-J690</f>
        <v>19674</v>
      </c>
      <c r="L690" s="4">
        <v>270000</v>
      </c>
      <c r="N690" s="4">
        <f>L690-F690</f>
        <v>80000</v>
      </c>
      <c r="P690" s="3">
        <f>B690*1.03+1000+16700-13400</f>
        <v>200000</v>
      </c>
      <c r="Q690" s="3"/>
      <c r="R690" s="3">
        <v>98137</v>
      </c>
      <c r="S690" s="3">
        <f>T690-R690</f>
        <v>101863</v>
      </c>
      <c r="T690" s="3">
        <v>200000</v>
      </c>
      <c r="U690" s="3">
        <f>T690-P690</f>
        <v>0</v>
      </c>
      <c r="V690" s="3">
        <v>201037</v>
      </c>
      <c r="W690" s="3">
        <f>Y690-V690</f>
        <v>48963</v>
      </c>
      <c r="X690" s="3"/>
      <c r="Y690" s="3">
        <v>250000</v>
      </c>
      <c r="Z690" s="3">
        <f>Y690-T690</f>
        <v>50000</v>
      </c>
      <c r="AA690" s="3"/>
      <c r="AB690" s="3"/>
      <c r="AC690" s="3">
        <v>249589</v>
      </c>
      <c r="AD690" s="3">
        <f>AE690-AC690</f>
        <v>45411</v>
      </c>
      <c r="AE690" s="3">
        <v>295000</v>
      </c>
      <c r="AF690" s="3">
        <f>AE690-Y690</f>
        <v>45000</v>
      </c>
      <c r="AG690" s="3"/>
      <c r="AH690" s="3">
        <f>P690*1.03</f>
        <v>206000</v>
      </c>
      <c r="AJ690" s="5">
        <f>AH690*1.03</f>
        <v>212180</v>
      </c>
      <c r="AL690" s="5">
        <f>AJ690*1.03</f>
        <v>218545.4</v>
      </c>
      <c r="AN690" s="5">
        <f>AL690*1.03</f>
        <v>225101.76199999999</v>
      </c>
      <c r="AP690" s="5">
        <f>AN690*1.03</f>
        <v>231854.81485999998</v>
      </c>
      <c r="AR690" s="5">
        <f>AP690*1.03</f>
        <v>238810.4593058</v>
      </c>
      <c r="AT690" s="5">
        <f>AR690*1.03</f>
        <v>245974.773084974</v>
      </c>
      <c r="AV690" s="5">
        <f>AT690*1.03</f>
        <v>253354.01627752322</v>
      </c>
      <c r="AX690" s="5">
        <f>AV690*1.03</f>
        <v>260954.63676584893</v>
      </c>
      <c r="AZ690" s="5">
        <f>AX690*1.03</f>
        <v>268783.27586882439</v>
      </c>
    </row>
    <row r="691" spans="1:53" x14ac:dyDescent="0.25">
      <c r="A691" s="3" t="s">
        <v>195</v>
      </c>
      <c r="B691" s="3">
        <v>20000</v>
      </c>
      <c r="D691" s="3"/>
      <c r="E691" s="3">
        <f>F691-D691</f>
        <v>20000</v>
      </c>
      <c r="F691" s="5">
        <v>20000</v>
      </c>
      <c r="H691" s="5">
        <f>F691-B691</f>
        <v>0</v>
      </c>
      <c r="J691" s="3"/>
      <c r="K691" s="4">
        <f>L691-J691</f>
        <v>20000</v>
      </c>
      <c r="L691" s="4">
        <v>20000</v>
      </c>
      <c r="N691" s="4">
        <f>L691-F691</f>
        <v>0</v>
      </c>
      <c r="P691" s="3">
        <v>25000</v>
      </c>
      <c r="Q691" s="3"/>
      <c r="R691" s="3"/>
      <c r="S691" s="3">
        <f>T691-R691</f>
        <v>25000</v>
      </c>
      <c r="T691" s="3">
        <v>25000</v>
      </c>
      <c r="U691" s="3">
        <f>T691-P691</f>
        <v>0</v>
      </c>
      <c r="V691" s="3"/>
      <c r="W691" s="3">
        <f>Y691-V691</f>
        <v>25000</v>
      </c>
      <c r="X691" s="3"/>
      <c r="Y691" s="3">
        <v>25000</v>
      </c>
      <c r="Z691" s="3">
        <f>Y691-T691</f>
        <v>0</v>
      </c>
      <c r="AA691" s="3"/>
      <c r="AB691" s="3"/>
      <c r="AC691" s="3">
        <v>0</v>
      </c>
      <c r="AD691" s="3">
        <f>AE691-AC691</f>
        <v>25000</v>
      </c>
      <c r="AE691" s="3">
        <v>25000</v>
      </c>
      <c r="AF691" s="3">
        <f>AE691-Y691</f>
        <v>0</v>
      </c>
      <c r="AG691" s="3"/>
      <c r="AH691" s="3">
        <v>25000</v>
      </c>
      <c r="AI691" s="3"/>
      <c r="AJ691" s="3">
        <v>25000</v>
      </c>
      <c r="AK691" s="3"/>
      <c r="AL691" s="3">
        <v>25000</v>
      </c>
      <c r="AM691" s="3"/>
      <c r="AN691" s="3">
        <v>25000</v>
      </c>
      <c r="AO691" s="3"/>
      <c r="AP691" s="3">
        <v>25000</v>
      </c>
      <c r="AQ691" s="42"/>
      <c r="AR691" s="3">
        <v>25000</v>
      </c>
      <c r="AS691" s="42"/>
      <c r="AT691" s="3">
        <v>21790</v>
      </c>
      <c r="AU691" s="42"/>
      <c r="AV691" s="3"/>
      <c r="AW691" s="42"/>
      <c r="AX691" s="3"/>
      <c r="AZ691" s="3"/>
    </row>
    <row r="692" spans="1:53" x14ac:dyDescent="0.25">
      <c r="A692" s="3" t="s">
        <v>497</v>
      </c>
      <c r="B692" s="3"/>
      <c r="D692" s="3"/>
      <c r="E692" s="3"/>
      <c r="J692" s="3"/>
      <c r="K692" s="4">
        <f>L692-J692</f>
        <v>97450</v>
      </c>
      <c r="L692" s="4">
        <v>97450</v>
      </c>
      <c r="N692" s="4">
        <f>L692-F692</f>
        <v>97450</v>
      </c>
      <c r="P692" s="3"/>
      <c r="Q692" s="3"/>
      <c r="R692" s="3"/>
      <c r="S692" s="3">
        <f>T692-R692</f>
        <v>0</v>
      </c>
      <c r="T692" s="3"/>
      <c r="U692" s="3">
        <f>T692-P692</f>
        <v>0</v>
      </c>
      <c r="V692" s="3"/>
      <c r="W692" s="3">
        <f>Y692-V692</f>
        <v>0</v>
      </c>
      <c r="X692" s="3"/>
      <c r="Y692" s="3"/>
      <c r="Z692" s="3">
        <f>Y692-T692</f>
        <v>0</v>
      </c>
      <c r="AA692" s="3"/>
      <c r="AB692" s="3"/>
      <c r="AC692" s="3"/>
      <c r="AD692" s="3">
        <f>AE692-AC692</f>
        <v>0</v>
      </c>
      <c r="AE692" s="3"/>
      <c r="AF692" s="3">
        <f>AE692-Y692</f>
        <v>0</v>
      </c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42"/>
      <c r="AR692" s="3"/>
      <c r="AS692" s="42"/>
      <c r="AT692" s="3"/>
      <c r="AU692" s="42"/>
      <c r="AV692" s="3"/>
      <c r="AW692" s="42"/>
      <c r="AX692" s="3"/>
      <c r="AZ692" s="3"/>
    </row>
    <row r="693" spans="1:53" x14ac:dyDescent="0.25">
      <c r="A693" s="3" t="s">
        <v>498</v>
      </c>
      <c r="B693" s="3">
        <v>234150</v>
      </c>
      <c r="D693" s="3">
        <v>3803</v>
      </c>
      <c r="E693" s="3">
        <f>F693-D693</f>
        <v>230347</v>
      </c>
      <c r="F693" s="5">
        <v>234150</v>
      </c>
      <c r="H693" s="5">
        <f>F693-B693</f>
        <v>0</v>
      </c>
      <c r="J693" s="3">
        <v>331601</v>
      </c>
      <c r="K693" s="4">
        <f>L693-J693</f>
        <v>-97451</v>
      </c>
      <c r="L693" s="4">
        <v>234150</v>
      </c>
      <c r="N693" s="4">
        <f>L693-F693</f>
        <v>0</v>
      </c>
      <c r="P693" s="3">
        <v>279900</v>
      </c>
      <c r="Q693" s="3"/>
      <c r="R693" s="3"/>
      <c r="S693" s="3">
        <f>T693-R693</f>
        <v>279900</v>
      </c>
      <c r="T693" s="3">
        <v>279900</v>
      </c>
      <c r="U693" s="3">
        <f>T693-P693</f>
        <v>0</v>
      </c>
      <c r="V693" s="3">
        <v>341934</v>
      </c>
      <c r="W693" s="3">
        <f>Y693-V693</f>
        <v>7966</v>
      </c>
      <c r="X693" s="3"/>
      <c r="Y693" s="3">
        <v>349900</v>
      </c>
      <c r="Z693" s="3">
        <f>Y693-T693</f>
        <v>70000</v>
      </c>
      <c r="AA693" s="3"/>
      <c r="AB693" s="3"/>
      <c r="AC693" s="3">
        <v>341934</v>
      </c>
      <c r="AD693" s="3">
        <f>AE693-AC693</f>
        <v>10066</v>
      </c>
      <c r="AE693" s="3">
        <v>352000</v>
      </c>
      <c r="AF693" s="3">
        <f>AE693-Y693</f>
        <v>2100</v>
      </c>
      <c r="AG693" s="3"/>
      <c r="AH693" s="3">
        <v>314100</v>
      </c>
      <c r="AI693" s="3"/>
      <c r="AJ693" s="3">
        <v>342000</v>
      </c>
      <c r="AK693" s="3"/>
      <c r="AL693" s="3">
        <v>320000</v>
      </c>
      <c r="AM693" s="3"/>
      <c r="AN693" s="3">
        <v>320000</v>
      </c>
      <c r="AO693" s="3"/>
      <c r="AP693" s="3">
        <v>320000</v>
      </c>
      <c r="AQ693" s="42"/>
      <c r="AR693" s="3">
        <v>320000</v>
      </c>
      <c r="AS693" s="42"/>
      <c r="AT693" s="3">
        <v>340000</v>
      </c>
      <c r="AU693" s="42"/>
      <c r="AV693" s="3">
        <v>340000</v>
      </c>
      <c r="AW693" s="42"/>
      <c r="AX693" s="3">
        <v>340000</v>
      </c>
      <c r="AZ693" s="3">
        <v>340000</v>
      </c>
    </row>
    <row r="694" spans="1:53" x14ac:dyDescent="0.25">
      <c r="A694" s="3"/>
      <c r="B694" s="48">
        <f>SUM(B690:B693)</f>
        <v>444150</v>
      </c>
      <c r="C694" s="32"/>
      <c r="D694" s="48">
        <f>SUM(D690:D693)</f>
        <v>98962</v>
      </c>
      <c r="E694" s="48">
        <f>SUM(E690:E693)</f>
        <v>345188</v>
      </c>
      <c r="F694" s="48">
        <f>SUM(F690:F693)</f>
        <v>444150</v>
      </c>
      <c r="G694" s="32"/>
      <c r="H694" s="48">
        <f>SUM(H690:H693)</f>
        <v>0</v>
      </c>
      <c r="I694" s="36"/>
      <c r="J694" s="48">
        <f>SUM(J690:J693)</f>
        <v>581927</v>
      </c>
      <c r="K694" s="48">
        <f>SUM(K690:K693)</f>
        <v>39673</v>
      </c>
      <c r="L694" s="48">
        <f>SUM(L690:L693)</f>
        <v>621600</v>
      </c>
      <c r="M694" s="32"/>
      <c r="N694" s="48">
        <f>SUM(N690:N693)</f>
        <v>177450</v>
      </c>
      <c r="P694" s="48">
        <f>SUM(P690:P693)</f>
        <v>504900</v>
      </c>
      <c r="R694" s="48">
        <f t="shared" ref="R694:Z694" si="407">SUM(R690:R693)</f>
        <v>98137</v>
      </c>
      <c r="S694" s="48">
        <f t="shared" si="407"/>
        <v>406763</v>
      </c>
      <c r="T694" s="48">
        <f t="shared" si="407"/>
        <v>504900</v>
      </c>
      <c r="U694" s="48">
        <f t="shared" si="407"/>
        <v>0</v>
      </c>
      <c r="V694" s="48">
        <f t="shared" si="407"/>
        <v>542971</v>
      </c>
      <c r="W694" s="48">
        <f t="shared" si="407"/>
        <v>81929</v>
      </c>
      <c r="X694" s="48"/>
      <c r="Y694" s="48">
        <f t="shared" si="407"/>
        <v>624900</v>
      </c>
      <c r="Z694" s="48">
        <f t="shared" si="407"/>
        <v>120000</v>
      </c>
      <c r="AC694" s="48">
        <f>SUM(AC690:AC693)</f>
        <v>591523</v>
      </c>
      <c r="AD694" s="48">
        <f>SUM(AD690:AD693)</f>
        <v>80477</v>
      </c>
      <c r="AE694" s="48">
        <f>SUM(AE690:AE693)</f>
        <v>672000</v>
      </c>
      <c r="AF694" s="48">
        <f>SUM(AF690:AF693)</f>
        <v>47100</v>
      </c>
      <c r="AH694" s="48">
        <f>SUM(AH690:AH693)</f>
        <v>545100</v>
      </c>
      <c r="AJ694" s="48">
        <f>SUM(AJ690:AJ693)</f>
        <v>579180</v>
      </c>
      <c r="AL694" s="48">
        <f>SUM(AL690:AL693)</f>
        <v>563545.4</v>
      </c>
      <c r="AN694" s="48">
        <f>SUM(AN690:AN693)</f>
        <v>570101.76199999999</v>
      </c>
      <c r="AO694" s="48"/>
      <c r="AP694" s="48">
        <f>SUM(AP690:AP693)</f>
        <v>576854.81486000004</v>
      </c>
      <c r="AR694" s="48">
        <f>SUM(AR690:AR693)</f>
        <v>583810.45930580003</v>
      </c>
      <c r="AT694" s="48">
        <f>SUM(AT690:AT693)</f>
        <v>607764.77308497403</v>
      </c>
      <c r="AV694" s="48">
        <f>SUM(AV690:AV693)</f>
        <v>593354.01627752325</v>
      </c>
      <c r="AX694" s="48">
        <f>SUM(AX690:AX693)</f>
        <v>600954.63676584896</v>
      </c>
      <c r="AZ694" s="48">
        <f>SUM(AZ690:AZ693)</f>
        <v>608783.27586882445</v>
      </c>
    </row>
    <row r="695" spans="1:53" x14ac:dyDescent="0.25">
      <c r="A695" s="7" t="s">
        <v>501</v>
      </c>
    </row>
    <row r="696" spans="1:53" x14ac:dyDescent="0.25">
      <c r="A696" s="3" t="s">
        <v>502</v>
      </c>
      <c r="B696" s="3">
        <f>192500-15000</f>
        <v>177500</v>
      </c>
      <c r="D696" s="3">
        <v>18040</v>
      </c>
      <c r="E696" s="3">
        <f>F696-D696</f>
        <v>154460</v>
      </c>
      <c r="F696" s="5">
        <v>172500</v>
      </c>
      <c r="H696" s="5">
        <f>F696-B696</f>
        <v>-5000</v>
      </c>
      <c r="J696" s="3">
        <v>87399</v>
      </c>
      <c r="K696" s="4">
        <f>L696-J696</f>
        <v>85101</v>
      </c>
      <c r="L696" s="4">
        <v>172500</v>
      </c>
      <c r="N696" s="4">
        <f>L696-F696</f>
        <v>0</v>
      </c>
      <c r="P696" s="3">
        <f>B696*1.03+1125+17000-10950</f>
        <v>190000</v>
      </c>
      <c r="Q696" s="3"/>
      <c r="R696" s="3">
        <v>97351</v>
      </c>
      <c r="S696" s="3">
        <f>T696-R696</f>
        <v>92649</v>
      </c>
      <c r="T696" s="3">
        <v>190000</v>
      </c>
      <c r="U696" s="3">
        <f>T696-P696</f>
        <v>0</v>
      </c>
      <c r="V696" s="3">
        <v>119275</v>
      </c>
      <c r="W696" s="3">
        <f>Y696-V696</f>
        <v>70725</v>
      </c>
      <c r="X696" s="3"/>
      <c r="Y696" s="3">
        <v>190000</v>
      </c>
      <c r="Z696" s="3">
        <f>Y696-T696</f>
        <v>0</v>
      </c>
      <c r="AA696" s="3"/>
      <c r="AB696" s="3"/>
      <c r="AC696" s="3">
        <v>136766</v>
      </c>
      <c r="AD696" s="3">
        <f>AE696-AC696</f>
        <v>53234</v>
      </c>
      <c r="AE696" s="3">
        <v>190000</v>
      </c>
      <c r="AF696" s="3">
        <f>AE696-Y696</f>
        <v>0</v>
      </c>
      <c r="AG696" s="3"/>
      <c r="AH696" s="3">
        <f>P696*1.03-30000</f>
        <v>165700</v>
      </c>
      <c r="AI696" s="3"/>
      <c r="AJ696" s="3">
        <f>AH696*1.03</f>
        <v>170671</v>
      </c>
      <c r="AL696" s="5">
        <f>AJ696*1.03</f>
        <v>175791.13</v>
      </c>
      <c r="AN696" s="5">
        <f>AL696*1.03</f>
        <v>181064.8639</v>
      </c>
      <c r="AP696" s="5">
        <f>AN696*1.03</f>
        <v>186496.809817</v>
      </c>
      <c r="AR696" s="5">
        <f>AP696*1.03</f>
        <v>192091.71411150999</v>
      </c>
      <c r="AT696" s="5">
        <f>AR696*1.03</f>
        <v>197854.46553485529</v>
      </c>
      <c r="AV696" s="5">
        <f>AT696*1.03</f>
        <v>203790.09950090095</v>
      </c>
      <c r="AX696" s="5">
        <f>AV696*1.03</f>
        <v>209903.802485928</v>
      </c>
      <c r="AZ696" s="5">
        <f>AX696*1.03</f>
        <v>216200.91656050584</v>
      </c>
    </row>
    <row r="697" spans="1:53" x14ac:dyDescent="0.25">
      <c r="A697" s="3" t="s">
        <v>503</v>
      </c>
      <c r="B697" s="3"/>
      <c r="D697" s="3"/>
      <c r="E697" s="3">
        <f>F697-D697</f>
        <v>0</v>
      </c>
      <c r="H697" s="5">
        <f>F697-B697</f>
        <v>0</v>
      </c>
      <c r="J697" s="3"/>
      <c r="K697" s="4">
        <f>L697-J697</f>
        <v>0</v>
      </c>
      <c r="L697" s="4"/>
      <c r="N697" s="4">
        <f>L697-F697</f>
        <v>0</v>
      </c>
      <c r="P697" s="3"/>
      <c r="Q697" s="3"/>
      <c r="R697" s="3"/>
      <c r="S697" s="3">
        <f>T697-R697</f>
        <v>0</v>
      </c>
      <c r="T697" s="3"/>
      <c r="U697" s="3">
        <f>T697-P697</f>
        <v>0</v>
      </c>
      <c r="V697" s="3"/>
      <c r="W697" s="3">
        <f>Y697-V697</f>
        <v>0</v>
      </c>
      <c r="X697" s="3"/>
      <c r="Y697" s="3"/>
      <c r="Z697" s="3">
        <f>Y697-T697</f>
        <v>0</v>
      </c>
      <c r="AA697" s="3"/>
      <c r="AB697" s="3"/>
      <c r="AC697" s="3"/>
      <c r="AD697" s="3">
        <f>AE697-AC697</f>
        <v>0</v>
      </c>
      <c r="AE697" s="3"/>
      <c r="AF697" s="3">
        <f>AE697-Y697</f>
        <v>0</v>
      </c>
      <c r="AG697" s="3"/>
      <c r="AH697" s="3"/>
      <c r="AI697" s="3"/>
      <c r="AJ697" s="3"/>
    </row>
    <row r="698" spans="1:53" x14ac:dyDescent="0.25">
      <c r="A698" s="3" t="s">
        <v>504</v>
      </c>
      <c r="B698" s="3">
        <v>60000</v>
      </c>
      <c r="D698" s="3">
        <v>5120</v>
      </c>
      <c r="E698" s="3">
        <f>F698-D698</f>
        <v>54880</v>
      </c>
      <c r="F698" s="5">
        <v>60000</v>
      </c>
      <c r="H698" s="5">
        <f>F698-B698</f>
        <v>0</v>
      </c>
      <c r="J698" s="3">
        <v>31193</v>
      </c>
      <c r="K698" s="4">
        <f>L698-J698</f>
        <v>28807</v>
      </c>
      <c r="L698" s="4">
        <v>60000</v>
      </c>
      <c r="N698" s="4">
        <f>L698-F698</f>
        <v>0</v>
      </c>
      <c r="P698" s="3">
        <v>120000</v>
      </c>
      <c r="Q698" s="3"/>
      <c r="R698" s="3"/>
      <c r="S698" s="3">
        <f>T698-R698</f>
        <v>120000</v>
      </c>
      <c r="T698" s="3">
        <v>120000</v>
      </c>
      <c r="U698" s="3">
        <f>T698-P698</f>
        <v>0</v>
      </c>
      <c r="V698" s="3">
        <v>0</v>
      </c>
      <c r="W698" s="3">
        <f>Y698-V698</f>
        <v>120000</v>
      </c>
      <c r="X698" s="3"/>
      <c r="Y698" s="3">
        <v>120000</v>
      </c>
      <c r="Z698" s="3">
        <f>Y698-T698</f>
        <v>0</v>
      </c>
      <c r="AA698" s="3"/>
      <c r="AB698" s="3"/>
      <c r="AC698" s="3"/>
      <c r="AD698" s="3">
        <f>AE698-AC698</f>
        <v>50000</v>
      </c>
      <c r="AE698" s="3">
        <v>50000</v>
      </c>
      <c r="AF698" s="3">
        <f>AE698-Y698</f>
        <v>-70000</v>
      </c>
      <c r="AG698" s="3"/>
      <c r="AH698" s="3">
        <v>70000</v>
      </c>
      <c r="AI698" s="3"/>
      <c r="AJ698" s="3">
        <v>40000</v>
      </c>
      <c r="AK698" s="3"/>
      <c r="AL698" s="3">
        <v>40000</v>
      </c>
      <c r="AM698" s="3"/>
      <c r="AN698" s="3">
        <v>40000</v>
      </c>
      <c r="AO698" s="3"/>
      <c r="AP698" s="3">
        <v>40000</v>
      </c>
      <c r="AQ698" s="42"/>
      <c r="AR698" s="3">
        <v>60000</v>
      </c>
      <c r="AS698" s="42"/>
      <c r="AT698" s="3">
        <v>80000</v>
      </c>
      <c r="AU698" s="42"/>
      <c r="AV698" s="3">
        <v>80000</v>
      </c>
      <c r="AW698" s="42"/>
      <c r="AX698" s="3">
        <v>80000</v>
      </c>
      <c r="AZ698" s="3">
        <v>80000</v>
      </c>
    </row>
    <row r="699" spans="1:53" x14ac:dyDescent="0.25">
      <c r="A699" s="3"/>
      <c r="B699" s="48">
        <f>SUM(B696:B698)</f>
        <v>237500</v>
      </c>
      <c r="C699" s="32"/>
      <c r="D699" s="48">
        <f>SUM(D696:D698)</f>
        <v>23160</v>
      </c>
      <c r="E699" s="48">
        <f>SUM(E696:E698)</f>
        <v>209340</v>
      </c>
      <c r="F699" s="48">
        <f>SUM(F696:F698)</f>
        <v>232500</v>
      </c>
      <c r="G699" s="32"/>
      <c r="H699" s="48">
        <f>SUM(H696:H698)</f>
        <v>-5000</v>
      </c>
      <c r="I699" s="36"/>
      <c r="J699" s="48">
        <f>SUM(J697:J698)</f>
        <v>31193</v>
      </c>
      <c r="K699" s="48">
        <f>SUM(K696:K698)</f>
        <v>113908</v>
      </c>
      <c r="L699" s="48">
        <f>SUM(L696:L698)</f>
        <v>232500</v>
      </c>
      <c r="M699" s="32"/>
      <c r="N699" s="48">
        <f>SUM(N696:N698)</f>
        <v>0</v>
      </c>
      <c r="P699" s="48">
        <f>SUM(P696:P698)</f>
        <v>310000</v>
      </c>
      <c r="R699" s="48">
        <f t="shared" ref="R699:Z699" si="408">SUM(R696:R698)</f>
        <v>97351</v>
      </c>
      <c r="S699" s="48">
        <f t="shared" si="408"/>
        <v>212649</v>
      </c>
      <c r="T699" s="48">
        <f t="shared" si="408"/>
        <v>310000</v>
      </c>
      <c r="U699" s="48">
        <f t="shared" si="408"/>
        <v>0</v>
      </c>
      <c r="V699" s="48">
        <f t="shared" si="408"/>
        <v>119275</v>
      </c>
      <c r="W699" s="48">
        <f t="shared" si="408"/>
        <v>190725</v>
      </c>
      <c r="X699" s="48"/>
      <c r="Y699" s="48">
        <f t="shared" si="408"/>
        <v>310000</v>
      </c>
      <c r="Z699" s="48">
        <f t="shared" si="408"/>
        <v>0</v>
      </c>
      <c r="AC699" s="48">
        <f>SUM(AC696:AC698)</f>
        <v>136766</v>
      </c>
      <c r="AD699" s="48">
        <f>SUM(AD696:AD698)</f>
        <v>103234</v>
      </c>
      <c r="AE699" s="48">
        <f>SUM(AE696:AE698)</f>
        <v>240000</v>
      </c>
      <c r="AF699" s="48">
        <f>SUM(AF696:AF698)</f>
        <v>-70000</v>
      </c>
      <c r="AH699" s="48">
        <f>SUM(AH696:AH698)</f>
        <v>235700</v>
      </c>
      <c r="AJ699" s="48">
        <f>SUM(AJ696:AJ698)</f>
        <v>210671</v>
      </c>
      <c r="AK699" s="32"/>
      <c r="AL699" s="48">
        <f>SUM(AL696:AL698)</f>
        <v>215791.13</v>
      </c>
      <c r="AN699" s="48">
        <f>SUM(AN696:AN698)</f>
        <v>221064.8639</v>
      </c>
      <c r="AO699" s="48"/>
      <c r="AP699" s="48">
        <f>SUM(AP696:AP698)</f>
        <v>226496.809817</v>
      </c>
      <c r="AR699" s="48">
        <f>SUM(AR696:AR698)</f>
        <v>252091.71411150999</v>
      </c>
      <c r="AT699" s="48">
        <f>SUM(AT696:AT698)</f>
        <v>277854.46553485526</v>
      </c>
      <c r="AV699" s="48">
        <f>SUM(AV696:AV698)</f>
        <v>283790.09950090095</v>
      </c>
      <c r="AX699" s="48">
        <f>SUM(AX696:AX698)</f>
        <v>289903.802485928</v>
      </c>
      <c r="AZ699" s="48">
        <f>SUM(AZ696:AZ698)</f>
        <v>296200.91656050587</v>
      </c>
    </row>
    <row r="700" spans="1:53" x14ac:dyDescent="0.25">
      <c r="A700" s="7" t="s">
        <v>201</v>
      </c>
    </row>
    <row r="701" spans="1:53" x14ac:dyDescent="0.25">
      <c r="A701" s="3" t="s">
        <v>202</v>
      </c>
      <c r="Z701" s="3">
        <f>Y701-T701</f>
        <v>0</v>
      </c>
    </row>
    <row r="702" spans="1:53" x14ac:dyDescent="0.25">
      <c r="A702" s="3" t="s">
        <v>201</v>
      </c>
      <c r="B702" s="3">
        <v>45000</v>
      </c>
      <c r="D702" s="3">
        <f>431+2320</f>
        <v>2751</v>
      </c>
      <c r="E702" s="3">
        <f>F702-D702</f>
        <v>37249</v>
      </c>
      <c r="F702" s="5">
        <v>40000</v>
      </c>
      <c r="H702" s="5">
        <f>F702-B702</f>
        <v>-5000</v>
      </c>
      <c r="J702" s="3">
        <v>6738</v>
      </c>
      <c r="K702" s="4">
        <f>L702-J702</f>
        <v>23262</v>
      </c>
      <c r="L702" s="4">
        <v>30000</v>
      </c>
      <c r="N702" s="4">
        <f>L702-F702</f>
        <v>-10000</v>
      </c>
      <c r="P702" s="5">
        <f>B702*1.03+2500+6000-3650</f>
        <v>51200</v>
      </c>
      <c r="R702" s="5">
        <v>26518</v>
      </c>
      <c r="S702" s="3">
        <f>T702-R702</f>
        <v>24682</v>
      </c>
      <c r="T702" s="3">
        <v>51200</v>
      </c>
      <c r="U702" s="3">
        <f>T702-P702</f>
        <v>0</v>
      </c>
      <c r="V702" s="5">
        <f>19578+7124</f>
        <v>26702</v>
      </c>
      <c r="W702" s="3">
        <f>Y702-V702</f>
        <v>24498</v>
      </c>
      <c r="X702" s="3"/>
      <c r="Y702" s="5">
        <v>51200</v>
      </c>
      <c r="Z702" s="3">
        <f>Y702-T702</f>
        <v>0</v>
      </c>
      <c r="AC702" s="5">
        <v>27351</v>
      </c>
      <c r="AD702" s="3">
        <f>AE702-AC702</f>
        <v>23849</v>
      </c>
      <c r="AE702" s="3">
        <v>51200</v>
      </c>
      <c r="AF702" s="3">
        <f>AE702-Y702</f>
        <v>0</v>
      </c>
      <c r="AH702" s="3">
        <f>P702*1.03-36</f>
        <v>52700</v>
      </c>
      <c r="AJ702" s="5">
        <f>AH702*1.03</f>
        <v>54281</v>
      </c>
      <c r="AL702" s="5">
        <f>AJ702*1.03</f>
        <v>55909.43</v>
      </c>
      <c r="AN702" s="5">
        <f>AL702*1.03</f>
        <v>57586.712899999999</v>
      </c>
      <c r="AP702" s="5">
        <f>AN702*1.03</f>
        <v>59314.314287000001</v>
      </c>
      <c r="AR702" s="5">
        <f>AP702*1.03</f>
        <v>61093.743715610006</v>
      </c>
      <c r="AT702" s="5">
        <f>AR702*1.03</f>
        <v>62926.55602707831</v>
      </c>
      <c r="AV702" s="5">
        <f>AT702*1.03</f>
        <v>64814.352707890663</v>
      </c>
      <c r="AX702" s="5">
        <f>AV702*1.03</f>
        <v>66758.783289127387</v>
      </c>
      <c r="AZ702" s="5">
        <f>AX702*1.03</f>
        <v>68761.546787801213</v>
      </c>
    </row>
    <row r="703" spans="1:53" x14ac:dyDescent="0.25">
      <c r="A703" s="3"/>
      <c r="B703" s="48">
        <f>SUM(B701:B702)</f>
        <v>45000</v>
      </c>
      <c r="C703" s="32"/>
      <c r="D703" s="48">
        <f>SUM(D701:D702)</f>
        <v>2751</v>
      </c>
      <c r="E703" s="48">
        <f>SUM(E701:E702)</f>
        <v>37249</v>
      </c>
      <c r="F703" s="48">
        <f>SUM(F701:F702)</f>
        <v>40000</v>
      </c>
      <c r="G703" s="32"/>
      <c r="H703" s="48">
        <f>SUM(H701:H702)</f>
        <v>-5000</v>
      </c>
      <c r="I703" s="36"/>
      <c r="J703" s="48">
        <f>SUM(J701:J702)</f>
        <v>6738</v>
      </c>
      <c r="K703" s="48">
        <f>SUM(K701:K702)</f>
        <v>23262</v>
      </c>
      <c r="L703" s="48">
        <f>SUM(L701:L702)</f>
        <v>30000</v>
      </c>
      <c r="M703" s="32"/>
      <c r="N703" s="48">
        <f>SUM(N701:N702)</f>
        <v>-10000</v>
      </c>
      <c r="P703" s="48">
        <f>SUM(P701:P702)</f>
        <v>51200</v>
      </c>
      <c r="R703" s="48">
        <f t="shared" ref="R703:Z703" si="409">SUM(R701:R702)</f>
        <v>26518</v>
      </c>
      <c r="S703" s="48">
        <f t="shared" si="409"/>
        <v>24682</v>
      </c>
      <c r="T703" s="48">
        <f t="shared" si="409"/>
        <v>51200</v>
      </c>
      <c r="U703" s="48">
        <f t="shared" si="409"/>
        <v>0</v>
      </c>
      <c r="V703" s="48">
        <f t="shared" si="409"/>
        <v>26702</v>
      </c>
      <c r="W703" s="48">
        <f t="shared" si="409"/>
        <v>24498</v>
      </c>
      <c r="X703" s="48"/>
      <c r="Y703" s="48">
        <f t="shared" si="409"/>
        <v>51200</v>
      </c>
      <c r="Z703" s="48">
        <f t="shared" si="409"/>
        <v>0</v>
      </c>
      <c r="AC703" s="48">
        <f>SUM(AC701:AC702)</f>
        <v>27351</v>
      </c>
      <c r="AD703" s="48">
        <f>SUM(AD701:AD702)</f>
        <v>23849</v>
      </c>
      <c r="AE703" s="48">
        <f>SUM(AE701:AE702)</f>
        <v>51200</v>
      </c>
      <c r="AF703" s="48">
        <f>SUM(AF701:AF702)</f>
        <v>0</v>
      </c>
      <c r="AH703" s="48">
        <f>SUM(AH701:AH702)</f>
        <v>52700</v>
      </c>
      <c r="AJ703" s="48">
        <f>SUM(AJ701:AJ702)</f>
        <v>54281</v>
      </c>
      <c r="AL703" s="48">
        <f>SUM(AL701:AL702)</f>
        <v>55909.43</v>
      </c>
      <c r="AN703" s="48">
        <f>SUM(AN701:AN702)</f>
        <v>57586.712899999999</v>
      </c>
      <c r="AO703" s="48"/>
      <c r="AP703" s="48">
        <f>SUM(AP701:AP702)</f>
        <v>59314.314287000001</v>
      </c>
      <c r="AR703" s="48">
        <f>SUM(AR701:AR702)</f>
        <v>61093.743715610006</v>
      </c>
      <c r="AT703" s="48">
        <f>SUM(AT701:AT702)</f>
        <v>62926.55602707831</v>
      </c>
      <c r="AV703" s="48">
        <f>SUM(AV701:AV702)</f>
        <v>64814.352707890663</v>
      </c>
      <c r="AX703" s="48">
        <f>SUM(AX701:AX702)</f>
        <v>66758.783289127387</v>
      </c>
      <c r="AZ703" s="48">
        <f>SUM(AZ701:AZ702)</f>
        <v>68761.546787801213</v>
      </c>
      <c r="BA703" s="42"/>
    </row>
    <row r="704" spans="1:53" x14ac:dyDescent="0.25">
      <c r="A704" s="7" t="s">
        <v>505</v>
      </c>
    </row>
    <row r="705" spans="1:53" s="42" customFormat="1" x14ac:dyDescent="0.25">
      <c r="A705" s="3" t="s">
        <v>90</v>
      </c>
      <c r="B705" s="35">
        <v>350</v>
      </c>
      <c r="C705" s="32"/>
      <c r="D705" s="35">
        <v>1281</v>
      </c>
      <c r="E705" s="35">
        <f>F705-D705</f>
        <v>219</v>
      </c>
      <c r="F705" s="35">
        <v>1500</v>
      </c>
      <c r="G705" s="32"/>
      <c r="H705" s="35">
        <f>F705-B705</f>
        <v>1150</v>
      </c>
      <c r="I705" s="36"/>
      <c r="J705" s="35">
        <v>1281</v>
      </c>
      <c r="K705" s="35">
        <f>L705-J705</f>
        <v>219</v>
      </c>
      <c r="L705" s="35">
        <v>1500</v>
      </c>
      <c r="M705" s="32"/>
      <c r="N705" s="35">
        <f>L705-F705</f>
        <v>0</v>
      </c>
      <c r="O705" s="3"/>
      <c r="P705" s="35">
        <v>380</v>
      </c>
      <c r="Q705" s="3"/>
      <c r="R705" s="71">
        <v>141</v>
      </c>
      <c r="S705" s="71">
        <f>T705-R705</f>
        <v>239</v>
      </c>
      <c r="T705" s="71">
        <v>380</v>
      </c>
      <c r="U705" s="71">
        <f>T705-P705</f>
        <v>0</v>
      </c>
      <c r="V705" s="71">
        <v>141</v>
      </c>
      <c r="W705" s="71">
        <f>Y705-V705</f>
        <v>239</v>
      </c>
      <c r="X705" s="71"/>
      <c r="Y705" s="71">
        <v>380</v>
      </c>
      <c r="Z705" s="71">
        <f>Y705-T705</f>
        <v>0</v>
      </c>
      <c r="AA705" s="3"/>
      <c r="AB705" s="3"/>
      <c r="AC705" s="71">
        <v>141</v>
      </c>
      <c r="AD705" s="71">
        <f>AE705-AC705</f>
        <v>239</v>
      </c>
      <c r="AE705" s="71">
        <v>380</v>
      </c>
      <c r="AF705" s="71">
        <f>AE705-Y705</f>
        <v>0</v>
      </c>
      <c r="AG705" s="3"/>
      <c r="AH705" s="35">
        <v>400</v>
      </c>
      <c r="AI705" s="3"/>
      <c r="AJ705" s="35">
        <v>420</v>
      </c>
      <c r="AK705" s="3"/>
      <c r="AL705" s="35">
        <v>440</v>
      </c>
      <c r="AM705" s="3"/>
      <c r="AN705" s="35">
        <v>460</v>
      </c>
      <c r="AO705" s="35"/>
      <c r="AP705" s="35">
        <v>480</v>
      </c>
      <c r="AR705" s="35">
        <v>500</v>
      </c>
      <c r="AT705" s="35">
        <v>550</v>
      </c>
      <c r="AV705" s="35">
        <v>550</v>
      </c>
      <c r="AX705" s="35">
        <v>550</v>
      </c>
      <c r="AZ705" s="35">
        <v>550</v>
      </c>
      <c r="BA705" s="6"/>
    </row>
    <row r="706" spans="1:53" x14ac:dyDescent="0.25">
      <c r="A706" s="7" t="s">
        <v>204</v>
      </c>
    </row>
    <row r="707" spans="1:53" x14ac:dyDescent="0.25">
      <c r="A707" s="3" t="s">
        <v>207</v>
      </c>
    </row>
    <row r="708" spans="1:53" x14ac:dyDescent="0.25">
      <c r="A708" s="3" t="s">
        <v>506</v>
      </c>
      <c r="AD708" s="3">
        <f t="shared" ref="AD708:AD723" si="410">AE708-AC708</f>
        <v>0</v>
      </c>
      <c r="AE708" s="3"/>
      <c r="AF708" s="3">
        <f t="shared" ref="AF708:AF723" si="411">AE708-Y708</f>
        <v>0</v>
      </c>
    </row>
    <row r="709" spans="1:53" x14ac:dyDescent="0.25">
      <c r="A709" s="3" t="s">
        <v>507</v>
      </c>
      <c r="Z709" s="3">
        <f t="shared" ref="Z709:Z723" si="412">Y709-T709</f>
        <v>0</v>
      </c>
      <c r="AD709" s="3">
        <f t="shared" si="410"/>
        <v>0</v>
      </c>
      <c r="AE709" s="3"/>
      <c r="AF709" s="3">
        <f t="shared" si="411"/>
        <v>0</v>
      </c>
    </row>
    <row r="710" spans="1:53" x14ac:dyDescent="0.25">
      <c r="A710" s="3" t="s">
        <v>508</v>
      </c>
      <c r="B710" s="3">
        <v>303000</v>
      </c>
      <c r="D710" s="3">
        <v>45765</v>
      </c>
      <c r="E710" s="3">
        <f t="shared" ref="E710:E723" si="413">F710-D710</f>
        <v>224605</v>
      </c>
      <c r="F710" s="5">
        <v>270370</v>
      </c>
      <c r="H710" s="5">
        <f t="shared" ref="H710:H723" si="414">F710-B710</f>
        <v>-32630</v>
      </c>
      <c r="J710" s="3">
        <v>216544</v>
      </c>
      <c r="K710" s="4">
        <f t="shared" ref="K710:K723" si="415">L710-J710</f>
        <v>28736</v>
      </c>
      <c r="L710" s="4">
        <v>245280</v>
      </c>
      <c r="N710" s="4">
        <f t="shared" ref="N710:N723" si="416">L710-F710</f>
        <v>-25090</v>
      </c>
      <c r="P710" s="3">
        <f>P264-P271</f>
        <v>317000</v>
      </c>
      <c r="Q710" s="3"/>
      <c r="R710" s="3">
        <v>85885</v>
      </c>
      <c r="S710" s="3">
        <f t="shared" ref="S710:S723" si="417">T710-R710</f>
        <v>231115</v>
      </c>
      <c r="T710" s="3">
        <v>317000</v>
      </c>
      <c r="U710" s="3">
        <f t="shared" ref="U710:U723" si="418">T710-P710</f>
        <v>0</v>
      </c>
      <c r="V710" s="3">
        <v>166898</v>
      </c>
      <c r="W710" s="3">
        <f t="shared" ref="W710:W723" si="419">Y710-V710</f>
        <v>160752</v>
      </c>
      <c r="X710" s="3"/>
      <c r="Y710" s="3">
        <v>327650</v>
      </c>
      <c r="Z710" s="3">
        <f t="shared" si="412"/>
        <v>10650</v>
      </c>
      <c r="AA710" s="3"/>
      <c r="AB710" s="3"/>
      <c r="AC710" s="3">
        <v>190026</v>
      </c>
      <c r="AD710" s="3">
        <f t="shared" si="410"/>
        <v>115734</v>
      </c>
      <c r="AE710" s="3">
        <f>327650-21890</f>
        <v>305760</v>
      </c>
      <c r="AF710" s="3">
        <f t="shared" si="411"/>
        <v>-21890</v>
      </c>
      <c r="AG710" s="3"/>
      <c r="AH710" s="3">
        <f>AH264-AH271</f>
        <v>324950</v>
      </c>
      <c r="AI710" s="3"/>
      <c r="AJ710" s="3">
        <f>AJ264-AJ271</f>
        <v>333049.99999999994</v>
      </c>
      <c r="AK710" s="3">
        <f>AK264-AK271</f>
        <v>0</v>
      </c>
      <c r="AL710" s="3">
        <f>AL264-AL271</f>
        <v>341400</v>
      </c>
      <c r="AM710" s="3">
        <f>AM264-AM271</f>
        <v>0</v>
      </c>
      <c r="AN710" s="3">
        <f>AN264-AN271</f>
        <v>349950</v>
      </c>
      <c r="AO710" s="3"/>
      <c r="AP710" s="3">
        <f>AP264-AP271</f>
        <v>358700</v>
      </c>
      <c r="AQ710" s="3"/>
      <c r="AR710" s="3">
        <f>AR264-AR271</f>
        <v>367650</v>
      </c>
      <c r="AS710" s="3">
        <f>AS264-AS271</f>
        <v>0</v>
      </c>
      <c r="AT710" s="3">
        <f>AT264-AT271</f>
        <v>376800</v>
      </c>
      <c r="AU710" s="3">
        <f>AU264-AU271</f>
        <v>0</v>
      </c>
      <c r="AV710" s="3">
        <f>AV264-AV271</f>
        <v>386200</v>
      </c>
      <c r="AW710" s="3"/>
      <c r="AX710" s="3">
        <f>AX264-AX271</f>
        <v>395950</v>
      </c>
      <c r="AZ710" s="3">
        <f>AZ264-AZ271</f>
        <v>395950</v>
      </c>
    </row>
    <row r="711" spans="1:53" x14ac:dyDescent="0.25">
      <c r="A711" s="3" t="s">
        <v>509</v>
      </c>
      <c r="B711" s="3"/>
      <c r="D711" s="3"/>
      <c r="E711" s="3">
        <f t="shared" si="413"/>
        <v>0</v>
      </c>
      <c r="J711" s="3"/>
      <c r="K711" s="4">
        <f>L711-J711</f>
        <v>16800</v>
      </c>
      <c r="L711" s="4">
        <v>16800</v>
      </c>
      <c r="N711" s="4">
        <f>L711-F711</f>
        <v>16800</v>
      </c>
      <c r="P711" s="3"/>
      <c r="Q711" s="3"/>
      <c r="R711" s="3"/>
      <c r="S711" s="3">
        <f t="shared" si="417"/>
        <v>0</v>
      </c>
      <c r="T711" s="3"/>
      <c r="U711" s="3">
        <f t="shared" si="418"/>
        <v>0</v>
      </c>
      <c r="V711" s="3"/>
      <c r="W711" s="3">
        <f t="shared" si="419"/>
        <v>31990</v>
      </c>
      <c r="X711" s="3"/>
      <c r="Y711" s="3">
        <v>31990</v>
      </c>
      <c r="Z711" s="3">
        <f t="shared" si="412"/>
        <v>31990</v>
      </c>
      <c r="AA711" s="3"/>
      <c r="AB711" s="3"/>
      <c r="AC711" s="3"/>
      <c r="AD711" s="3">
        <f t="shared" si="410"/>
        <v>31990</v>
      </c>
      <c r="AE711" s="3">
        <f>31990</f>
        <v>31990</v>
      </c>
      <c r="AF711" s="3">
        <f t="shared" si="411"/>
        <v>0</v>
      </c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42"/>
      <c r="AR711" s="3"/>
      <c r="AS711" s="42"/>
      <c r="AT711" s="3"/>
      <c r="AU711" s="42"/>
      <c r="AV711" s="3"/>
      <c r="AW711" s="42"/>
      <c r="AX711" s="3"/>
      <c r="AZ711" s="3"/>
    </row>
    <row r="712" spans="1:53" x14ac:dyDescent="0.25">
      <c r="A712" s="3" t="s">
        <v>508</v>
      </c>
      <c r="B712" s="3"/>
      <c r="D712" s="3"/>
      <c r="E712" s="3">
        <f t="shared" si="413"/>
        <v>0</v>
      </c>
      <c r="H712" s="5">
        <f t="shared" si="414"/>
        <v>0</v>
      </c>
      <c r="J712" s="3"/>
      <c r="K712" s="4">
        <f t="shared" si="415"/>
        <v>0</v>
      </c>
      <c r="L712" s="4"/>
      <c r="N712" s="4">
        <f t="shared" si="416"/>
        <v>0</v>
      </c>
      <c r="P712" s="3"/>
      <c r="Q712" s="3"/>
      <c r="R712" s="3"/>
      <c r="S712" s="3">
        <f t="shared" si="417"/>
        <v>0</v>
      </c>
      <c r="T712" s="3"/>
      <c r="U712" s="3">
        <f t="shared" si="418"/>
        <v>0</v>
      </c>
      <c r="V712" s="3"/>
      <c r="W712" s="3">
        <f t="shared" si="419"/>
        <v>0</v>
      </c>
      <c r="X712" s="3"/>
      <c r="Y712" s="3"/>
      <c r="Z712" s="3">
        <f t="shared" si="412"/>
        <v>0</v>
      </c>
      <c r="AA712" s="3"/>
      <c r="AB712" s="3"/>
      <c r="AC712" s="3"/>
      <c r="AD712" s="3">
        <f t="shared" si="410"/>
        <v>0</v>
      </c>
      <c r="AE712" s="3"/>
      <c r="AF712" s="3">
        <f t="shared" si="411"/>
        <v>0</v>
      </c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42"/>
      <c r="AR712" s="3"/>
      <c r="AS712" s="42"/>
      <c r="AT712" s="3"/>
      <c r="AU712" s="42"/>
      <c r="AV712" s="3"/>
      <c r="AW712" s="42"/>
      <c r="AX712" s="3"/>
      <c r="AZ712" s="3"/>
    </row>
    <row r="713" spans="1:53" x14ac:dyDescent="0.25">
      <c r="A713" s="3" t="s">
        <v>510</v>
      </c>
      <c r="B713" s="3"/>
      <c r="D713" s="3"/>
      <c r="E713" s="3">
        <f t="shared" si="413"/>
        <v>0</v>
      </c>
      <c r="H713" s="5">
        <f t="shared" si="414"/>
        <v>0</v>
      </c>
      <c r="J713" s="3"/>
      <c r="K713" s="4">
        <f t="shared" si="415"/>
        <v>0</v>
      </c>
      <c r="L713" s="4"/>
      <c r="N713" s="4">
        <f t="shared" si="416"/>
        <v>0</v>
      </c>
      <c r="P713" s="3"/>
      <c r="Q713" s="3"/>
      <c r="R713" s="3"/>
      <c r="S713" s="3">
        <f t="shared" si="417"/>
        <v>0</v>
      </c>
      <c r="T713" s="3"/>
      <c r="U713" s="3">
        <f t="shared" si="418"/>
        <v>0</v>
      </c>
      <c r="V713" s="3"/>
      <c r="W713" s="3">
        <f t="shared" si="419"/>
        <v>0</v>
      </c>
      <c r="X713" s="3"/>
      <c r="Y713" s="3"/>
      <c r="Z713" s="3">
        <f t="shared" si="412"/>
        <v>0</v>
      </c>
      <c r="AA713" s="3"/>
      <c r="AB713" s="3"/>
      <c r="AC713" s="3"/>
      <c r="AD713" s="3">
        <f t="shared" si="410"/>
        <v>0</v>
      </c>
      <c r="AE713" s="3"/>
      <c r="AF713" s="3">
        <f t="shared" si="411"/>
        <v>0</v>
      </c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42"/>
      <c r="AR713" s="3"/>
      <c r="AS713" s="42"/>
      <c r="AT713" s="3"/>
      <c r="AU713" s="42"/>
      <c r="AV713" s="3"/>
      <c r="AW713" s="42"/>
      <c r="AX713" s="3"/>
      <c r="AZ713" s="3"/>
    </row>
    <row r="714" spans="1:53" x14ac:dyDescent="0.25">
      <c r="A714" s="3" t="s">
        <v>511</v>
      </c>
      <c r="B714" s="3">
        <v>80000</v>
      </c>
      <c r="D714" s="3"/>
      <c r="E714" s="3">
        <f t="shared" si="413"/>
        <v>66440</v>
      </c>
      <c r="F714" s="5">
        <v>66440</v>
      </c>
      <c r="H714" s="5">
        <f t="shared" si="414"/>
        <v>-13560</v>
      </c>
      <c r="J714" s="3">
        <v>105477</v>
      </c>
      <c r="K714" s="4">
        <f t="shared" si="415"/>
        <v>24243</v>
      </c>
      <c r="L714" s="4">
        <v>129720</v>
      </c>
      <c r="N714" s="4">
        <f t="shared" si="416"/>
        <v>63280</v>
      </c>
      <c r="P714" s="3">
        <f>P717</f>
        <v>67350</v>
      </c>
      <c r="Q714" s="3"/>
      <c r="R714" s="3"/>
      <c r="S714" s="3">
        <f t="shared" si="417"/>
        <v>67350</v>
      </c>
      <c r="T714" s="3">
        <v>67350</v>
      </c>
      <c r="U714" s="3">
        <f t="shared" si="418"/>
        <v>0</v>
      </c>
      <c r="V714" s="3">
        <v>7600</v>
      </c>
      <c r="W714" s="3">
        <f t="shared" si="419"/>
        <v>59750</v>
      </c>
      <c r="X714" s="3"/>
      <c r="Y714" s="3">
        <v>67350</v>
      </c>
      <c r="Z714" s="3">
        <f t="shared" si="412"/>
        <v>0</v>
      </c>
      <c r="AA714" s="3"/>
      <c r="AB714" s="3"/>
      <c r="AC714" s="3">
        <v>53585</v>
      </c>
      <c r="AD714" s="3">
        <f t="shared" si="410"/>
        <v>35655</v>
      </c>
      <c r="AE714" s="3">
        <v>89240</v>
      </c>
      <c r="AF714" s="3">
        <f t="shared" si="411"/>
        <v>21890</v>
      </c>
      <c r="AG714" s="3"/>
      <c r="AH714" s="3">
        <f t="shared" ref="AH714:AX714" si="420">AH717</f>
        <v>69050</v>
      </c>
      <c r="AI714" s="3"/>
      <c r="AJ714" s="3">
        <f t="shared" si="420"/>
        <v>70800</v>
      </c>
      <c r="AK714" s="3">
        <f t="shared" si="420"/>
        <v>0</v>
      </c>
      <c r="AL714" s="3">
        <f t="shared" si="420"/>
        <v>72550</v>
      </c>
      <c r="AM714" s="3">
        <f t="shared" si="420"/>
        <v>0</v>
      </c>
      <c r="AN714" s="3">
        <f t="shared" si="420"/>
        <v>74350</v>
      </c>
      <c r="AO714" s="3"/>
      <c r="AP714" s="3">
        <f t="shared" si="420"/>
        <v>76200</v>
      </c>
      <c r="AQ714" s="3"/>
      <c r="AR714" s="3">
        <f t="shared" si="420"/>
        <v>78100</v>
      </c>
      <c r="AS714" s="42"/>
      <c r="AT714" s="3">
        <f t="shared" si="420"/>
        <v>80100</v>
      </c>
      <c r="AU714" s="3">
        <f t="shared" si="420"/>
        <v>0</v>
      </c>
      <c r="AV714" s="3">
        <f t="shared" si="420"/>
        <v>82100</v>
      </c>
      <c r="AW714" s="3"/>
      <c r="AX714" s="3">
        <f t="shared" si="420"/>
        <v>84100</v>
      </c>
      <c r="AZ714" s="3">
        <f>AZ717</f>
        <v>84100</v>
      </c>
    </row>
    <row r="715" spans="1:53" x14ac:dyDescent="0.25">
      <c r="A715" s="3" t="s">
        <v>512</v>
      </c>
      <c r="B715" s="3"/>
      <c r="D715" s="3">
        <v>38190</v>
      </c>
      <c r="E715" s="3">
        <f t="shared" si="413"/>
        <v>0</v>
      </c>
      <c r="F715" s="5">
        <v>38190</v>
      </c>
      <c r="H715" s="5">
        <f t="shared" si="414"/>
        <v>38190</v>
      </c>
      <c r="K715" s="4">
        <f t="shared" si="415"/>
        <v>0</v>
      </c>
      <c r="L715" s="4"/>
      <c r="N715" s="4">
        <f t="shared" si="416"/>
        <v>-38190</v>
      </c>
      <c r="P715" s="3"/>
      <c r="Q715" s="3"/>
      <c r="R715" s="3"/>
      <c r="S715" s="3">
        <f t="shared" si="417"/>
        <v>0</v>
      </c>
      <c r="T715" s="3"/>
      <c r="U715" s="3">
        <f t="shared" si="418"/>
        <v>0</v>
      </c>
      <c r="V715" s="3"/>
      <c r="W715" s="3">
        <f t="shared" si="419"/>
        <v>0</v>
      </c>
      <c r="X715" s="3"/>
      <c r="Y715" s="3"/>
      <c r="Z715" s="3">
        <f t="shared" si="412"/>
        <v>0</v>
      </c>
      <c r="AA715" s="3"/>
      <c r="AB715" s="3"/>
      <c r="AC715" s="3"/>
      <c r="AD715" s="3">
        <f t="shared" si="410"/>
        <v>0</v>
      </c>
      <c r="AE715" s="3"/>
      <c r="AF715" s="3">
        <f t="shared" si="411"/>
        <v>0</v>
      </c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42"/>
      <c r="AR715" s="3"/>
      <c r="AS715" s="42"/>
      <c r="AT715" s="3"/>
      <c r="AU715" s="42"/>
      <c r="AV715" s="3"/>
      <c r="AW715" s="42"/>
      <c r="AX715" s="3"/>
      <c r="AZ715" s="3"/>
    </row>
    <row r="716" spans="1:53" x14ac:dyDescent="0.25">
      <c r="A716" s="3" t="s">
        <v>513</v>
      </c>
      <c r="B716" s="3"/>
      <c r="D716" s="3"/>
      <c r="E716" s="3">
        <f t="shared" si="413"/>
        <v>0</v>
      </c>
      <c r="H716" s="5">
        <f t="shared" si="414"/>
        <v>0</v>
      </c>
      <c r="K716" s="4">
        <f t="shared" si="415"/>
        <v>0</v>
      </c>
      <c r="L716" s="4"/>
      <c r="N716" s="4">
        <f t="shared" si="416"/>
        <v>0</v>
      </c>
      <c r="P716" s="3"/>
      <c r="Q716" s="3"/>
      <c r="R716" s="3"/>
      <c r="S716" s="3">
        <f t="shared" si="417"/>
        <v>0</v>
      </c>
      <c r="T716" s="3"/>
      <c r="U716" s="3">
        <f t="shared" si="418"/>
        <v>0</v>
      </c>
      <c r="V716" s="3"/>
      <c r="W716" s="3">
        <f t="shared" si="419"/>
        <v>0</v>
      </c>
      <c r="X716" s="3"/>
      <c r="Y716" s="3"/>
      <c r="Z716" s="3">
        <f t="shared" si="412"/>
        <v>0</v>
      </c>
      <c r="AA716" s="3"/>
      <c r="AB716" s="3"/>
      <c r="AC716" s="3"/>
      <c r="AD716" s="3">
        <f t="shared" si="410"/>
        <v>0</v>
      </c>
      <c r="AE716" s="3"/>
      <c r="AF716" s="3">
        <f t="shared" si="411"/>
        <v>0</v>
      </c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42"/>
      <c r="AR716" s="3"/>
      <c r="AS716" s="42"/>
      <c r="AT716" s="3"/>
      <c r="AU716" s="42"/>
      <c r="AV716" s="3"/>
      <c r="AW716" s="42"/>
      <c r="AX716" s="3"/>
      <c r="AZ716" s="3"/>
    </row>
    <row r="717" spans="1:53" x14ac:dyDescent="0.25">
      <c r="A717" s="3" t="s">
        <v>514</v>
      </c>
      <c r="B717" s="3">
        <v>80000</v>
      </c>
      <c r="D717" s="3">
        <v>43324</v>
      </c>
      <c r="E717" s="3">
        <f t="shared" si="413"/>
        <v>21676</v>
      </c>
      <c r="F717" s="5">
        <v>65000</v>
      </c>
      <c r="H717" s="5">
        <f t="shared" si="414"/>
        <v>-15000</v>
      </c>
      <c r="K717" s="4">
        <f t="shared" si="415"/>
        <v>65000</v>
      </c>
      <c r="L717" s="4">
        <v>65000</v>
      </c>
      <c r="N717" s="4">
        <f t="shared" si="416"/>
        <v>0</v>
      </c>
      <c r="P717" s="3">
        <f>P271</f>
        <v>67350</v>
      </c>
      <c r="Q717" s="3"/>
      <c r="R717" s="3"/>
      <c r="S717" s="3">
        <f t="shared" si="417"/>
        <v>67350</v>
      </c>
      <c r="T717" s="3">
        <v>67350</v>
      </c>
      <c r="U717" s="3">
        <f t="shared" si="418"/>
        <v>0</v>
      </c>
      <c r="V717" s="3">
        <v>7600</v>
      </c>
      <c r="W717" s="3">
        <f t="shared" si="419"/>
        <v>59750</v>
      </c>
      <c r="X717" s="3"/>
      <c r="Y717" s="3">
        <v>67350</v>
      </c>
      <c r="Z717" s="3">
        <f t="shared" si="412"/>
        <v>0</v>
      </c>
      <c r="AA717" s="3"/>
      <c r="AB717" s="3"/>
      <c r="AC717" s="3">
        <v>53585</v>
      </c>
      <c r="AD717" s="3">
        <f t="shared" si="410"/>
        <v>13765</v>
      </c>
      <c r="AE717" s="3">
        <v>67350</v>
      </c>
      <c r="AF717" s="3">
        <f t="shared" si="411"/>
        <v>0</v>
      </c>
      <c r="AG717" s="3"/>
      <c r="AH717" s="3">
        <f>AH271</f>
        <v>69050</v>
      </c>
      <c r="AI717" s="3"/>
      <c r="AJ717" s="3">
        <f>AJ271</f>
        <v>70800</v>
      </c>
      <c r="AK717" s="3"/>
      <c r="AL717" s="3">
        <f>AL271</f>
        <v>72550</v>
      </c>
      <c r="AM717" s="3"/>
      <c r="AN717" s="3">
        <f>AN271</f>
        <v>74350</v>
      </c>
      <c r="AO717" s="3"/>
      <c r="AP717" s="3">
        <f>AP271</f>
        <v>76200</v>
      </c>
      <c r="AQ717" s="42"/>
      <c r="AR717" s="3">
        <f>AR271</f>
        <v>78100</v>
      </c>
      <c r="AS717" s="42"/>
      <c r="AT717" s="3">
        <f>AT271</f>
        <v>80100</v>
      </c>
      <c r="AU717" s="42"/>
      <c r="AV717" s="3">
        <f>AV271</f>
        <v>82100</v>
      </c>
      <c r="AW717" s="42"/>
      <c r="AX717" s="3">
        <f>AX271</f>
        <v>84100</v>
      </c>
      <c r="AZ717" s="3">
        <f>AZ271</f>
        <v>84100</v>
      </c>
    </row>
    <row r="718" spans="1:53" x14ac:dyDescent="0.25">
      <c r="A718" s="3" t="s">
        <v>515</v>
      </c>
      <c r="B718" s="3"/>
      <c r="D718" s="3"/>
      <c r="E718" s="3">
        <f t="shared" si="413"/>
        <v>0</v>
      </c>
      <c r="H718" s="5">
        <f t="shared" si="414"/>
        <v>0</v>
      </c>
      <c r="K718" s="4">
        <f t="shared" si="415"/>
        <v>0</v>
      </c>
      <c r="L718" s="4"/>
      <c r="N718" s="4">
        <f t="shared" si="416"/>
        <v>0</v>
      </c>
      <c r="P718" s="3"/>
      <c r="Q718" s="3"/>
      <c r="R718" s="3"/>
      <c r="S718" s="3">
        <f t="shared" si="417"/>
        <v>0</v>
      </c>
      <c r="T718" s="3"/>
      <c r="U718" s="3">
        <f t="shared" si="418"/>
        <v>0</v>
      </c>
      <c r="V718" s="3"/>
      <c r="W718" s="3">
        <f t="shared" si="419"/>
        <v>0</v>
      </c>
      <c r="X718" s="3"/>
      <c r="Y718" s="3"/>
      <c r="Z718" s="3">
        <f t="shared" si="412"/>
        <v>0</v>
      </c>
      <c r="AA718" s="3"/>
      <c r="AB718" s="3"/>
      <c r="AC718" s="3"/>
      <c r="AD718" s="3">
        <f t="shared" si="410"/>
        <v>0</v>
      </c>
      <c r="AE718" s="3"/>
      <c r="AF718" s="3">
        <f t="shared" si="411"/>
        <v>0</v>
      </c>
      <c r="AG718" s="3"/>
      <c r="AH718" s="3"/>
      <c r="AI718" s="3"/>
      <c r="AJ718" s="3"/>
    </row>
    <row r="719" spans="1:53" x14ac:dyDescent="0.25">
      <c r="A719" s="3" t="s">
        <v>516</v>
      </c>
      <c r="B719" s="3"/>
      <c r="D719" s="3"/>
      <c r="E719" s="3">
        <f t="shared" si="413"/>
        <v>0</v>
      </c>
      <c r="H719" s="5">
        <f t="shared" si="414"/>
        <v>0</v>
      </c>
      <c r="K719" s="4">
        <f t="shared" si="415"/>
        <v>0</v>
      </c>
      <c r="L719" s="4"/>
      <c r="N719" s="4">
        <f t="shared" si="416"/>
        <v>0</v>
      </c>
      <c r="P719" s="3"/>
      <c r="Q719" s="3"/>
      <c r="R719" s="3"/>
      <c r="S719" s="3">
        <f t="shared" si="417"/>
        <v>0</v>
      </c>
      <c r="T719" s="3"/>
      <c r="U719" s="3">
        <f t="shared" si="418"/>
        <v>0</v>
      </c>
      <c r="V719" s="3"/>
      <c r="W719" s="3">
        <f t="shared" si="419"/>
        <v>0</v>
      </c>
      <c r="X719" s="3"/>
      <c r="Y719" s="3"/>
      <c r="Z719" s="3">
        <f t="shared" si="412"/>
        <v>0</v>
      </c>
      <c r="AA719" s="3"/>
      <c r="AB719" s="3"/>
      <c r="AC719" s="3"/>
      <c r="AD719" s="3">
        <f t="shared" si="410"/>
        <v>0</v>
      </c>
      <c r="AE719" s="3"/>
      <c r="AF719" s="3">
        <f t="shared" si="411"/>
        <v>0</v>
      </c>
      <c r="AG719" s="3"/>
      <c r="AH719" s="3"/>
      <c r="AI719" s="3"/>
      <c r="AJ719" s="3"/>
    </row>
    <row r="720" spans="1:53" x14ac:dyDescent="0.25">
      <c r="A720" s="3" t="s">
        <v>517</v>
      </c>
      <c r="B720" s="3">
        <v>141000</v>
      </c>
      <c r="D720" s="3"/>
      <c r="E720" s="3">
        <f t="shared" si="413"/>
        <v>141000</v>
      </c>
      <c r="F720" s="5">
        <v>141000</v>
      </c>
      <c r="H720" s="5">
        <f t="shared" si="414"/>
        <v>0</v>
      </c>
      <c r="J720" s="75">
        <v>0</v>
      </c>
      <c r="K720" s="4">
        <f t="shared" si="415"/>
        <v>10000</v>
      </c>
      <c r="L720" s="4">
        <v>10000</v>
      </c>
      <c r="N720" s="4">
        <f t="shared" si="416"/>
        <v>-131000</v>
      </c>
      <c r="P720" s="3"/>
      <c r="Q720" s="3"/>
      <c r="R720" s="3"/>
      <c r="S720" s="3">
        <f t="shared" si="417"/>
        <v>0</v>
      </c>
      <c r="T720" s="3"/>
      <c r="U720" s="3">
        <f t="shared" si="418"/>
        <v>0</v>
      </c>
      <c r="V720" s="3"/>
      <c r="W720" s="3">
        <f t="shared" si="419"/>
        <v>0</v>
      </c>
      <c r="X720" s="3"/>
      <c r="Y720" s="3"/>
      <c r="Z720" s="3">
        <f t="shared" si="412"/>
        <v>0</v>
      </c>
      <c r="AA720" s="3"/>
      <c r="AB720" s="3"/>
      <c r="AC720" s="3"/>
      <c r="AD720" s="3">
        <f t="shared" si="410"/>
        <v>0</v>
      </c>
      <c r="AE720" s="3"/>
      <c r="AF720" s="3">
        <f t="shared" si="411"/>
        <v>0</v>
      </c>
      <c r="AG720" s="3"/>
      <c r="AH720" s="3"/>
      <c r="AI720" s="3"/>
      <c r="AJ720" s="3"/>
      <c r="AL720" s="3"/>
      <c r="AN720" s="3"/>
      <c r="AO720" s="3"/>
      <c r="AP720" s="3"/>
      <c r="AR720" s="3"/>
      <c r="AT720" s="3"/>
      <c r="AV720" s="3"/>
      <c r="AX720" s="3"/>
      <c r="AZ720" s="3"/>
    </row>
    <row r="721" spans="1:52" x14ac:dyDescent="0.25">
      <c r="A721" s="3" t="s">
        <v>518</v>
      </c>
      <c r="B721" s="3"/>
      <c r="D721" s="3"/>
      <c r="E721" s="3">
        <f t="shared" si="413"/>
        <v>0</v>
      </c>
      <c r="H721" s="5">
        <f t="shared" si="414"/>
        <v>0</v>
      </c>
      <c r="K721" s="4">
        <f t="shared" si="415"/>
        <v>0</v>
      </c>
      <c r="L721" s="4"/>
      <c r="N721" s="4">
        <f t="shared" si="416"/>
        <v>0</v>
      </c>
      <c r="P721" s="3"/>
      <c r="Q721" s="3"/>
      <c r="R721" s="3"/>
      <c r="S721" s="3">
        <f t="shared" si="417"/>
        <v>0</v>
      </c>
      <c r="T721" s="3"/>
      <c r="U721" s="3">
        <f t="shared" si="418"/>
        <v>0</v>
      </c>
      <c r="V721" s="3"/>
      <c r="W721" s="3">
        <f t="shared" si="419"/>
        <v>0</v>
      </c>
      <c r="X721" s="3"/>
      <c r="Y721" s="3"/>
      <c r="Z721" s="3">
        <f t="shared" si="412"/>
        <v>0</v>
      </c>
      <c r="AA721" s="3"/>
      <c r="AB721" s="3"/>
      <c r="AC721" s="3"/>
      <c r="AD721" s="3">
        <f t="shared" si="410"/>
        <v>0</v>
      </c>
      <c r="AE721" s="3"/>
      <c r="AF721" s="3">
        <f t="shared" si="411"/>
        <v>0</v>
      </c>
      <c r="AG721" s="3"/>
      <c r="AH721" s="3"/>
      <c r="AI721" s="3"/>
      <c r="AJ721" s="3"/>
    </row>
    <row r="722" spans="1:52" x14ac:dyDescent="0.25">
      <c r="A722" s="3" t="s">
        <v>518</v>
      </c>
      <c r="B722" s="3"/>
      <c r="D722" s="3"/>
      <c r="E722" s="3">
        <f t="shared" si="413"/>
        <v>0</v>
      </c>
      <c r="H722" s="5">
        <f t="shared" si="414"/>
        <v>0</v>
      </c>
      <c r="K722" s="4">
        <f t="shared" si="415"/>
        <v>0</v>
      </c>
      <c r="L722" s="4"/>
      <c r="N722" s="4">
        <f t="shared" si="416"/>
        <v>0</v>
      </c>
      <c r="P722" s="3"/>
      <c r="Q722" s="3"/>
      <c r="R722" s="3"/>
      <c r="S722" s="3">
        <f t="shared" si="417"/>
        <v>0</v>
      </c>
      <c r="T722" s="3"/>
      <c r="U722" s="3">
        <f t="shared" si="418"/>
        <v>0</v>
      </c>
      <c r="V722" s="3"/>
      <c r="W722" s="3">
        <f t="shared" si="419"/>
        <v>0</v>
      </c>
      <c r="X722" s="3"/>
      <c r="Y722" s="3"/>
      <c r="Z722" s="3">
        <f t="shared" si="412"/>
        <v>0</v>
      </c>
      <c r="AA722" s="3"/>
      <c r="AB722" s="3"/>
      <c r="AC722" s="3"/>
      <c r="AD722" s="3">
        <f t="shared" si="410"/>
        <v>0</v>
      </c>
      <c r="AE722" s="3"/>
      <c r="AF722" s="3">
        <f t="shared" si="411"/>
        <v>0</v>
      </c>
      <c r="AG722" s="3"/>
      <c r="AH722" s="3"/>
      <c r="AI722" s="3"/>
      <c r="AJ722" s="3"/>
    </row>
    <row r="723" spans="1:52" x14ac:dyDescent="0.25">
      <c r="A723" s="3" t="s">
        <v>195</v>
      </c>
      <c r="B723" s="3"/>
      <c r="D723" s="3"/>
      <c r="E723" s="3">
        <f t="shared" si="413"/>
        <v>0</v>
      </c>
      <c r="H723" s="5">
        <f t="shared" si="414"/>
        <v>0</v>
      </c>
      <c r="K723" s="4">
        <f t="shared" si="415"/>
        <v>0</v>
      </c>
      <c r="L723" s="4"/>
      <c r="N723" s="4">
        <f t="shared" si="416"/>
        <v>0</v>
      </c>
      <c r="P723" s="3"/>
      <c r="Q723" s="3"/>
      <c r="R723" s="3"/>
      <c r="S723" s="3">
        <f t="shared" si="417"/>
        <v>0</v>
      </c>
      <c r="T723" s="3"/>
      <c r="U723" s="3">
        <f t="shared" si="418"/>
        <v>0</v>
      </c>
      <c r="V723" s="3"/>
      <c r="W723" s="3">
        <f t="shared" si="419"/>
        <v>0</v>
      </c>
      <c r="X723" s="3"/>
      <c r="Y723" s="3"/>
      <c r="Z723" s="3">
        <f t="shared" si="412"/>
        <v>0</v>
      </c>
      <c r="AA723" s="3"/>
      <c r="AB723" s="3"/>
      <c r="AC723" s="3"/>
      <c r="AD723" s="3">
        <f t="shared" si="410"/>
        <v>0</v>
      </c>
      <c r="AE723" s="3"/>
      <c r="AF723" s="3">
        <f t="shared" si="411"/>
        <v>0</v>
      </c>
      <c r="AG723" s="3"/>
      <c r="AH723" s="3"/>
      <c r="AI723" s="3"/>
      <c r="AJ723" s="3"/>
    </row>
    <row r="724" spans="1:52" x14ac:dyDescent="0.25">
      <c r="A724" s="3" t="s">
        <v>519</v>
      </c>
    </row>
    <row r="725" spans="1:52" x14ac:dyDescent="0.25">
      <c r="A725" s="3" t="s">
        <v>520</v>
      </c>
    </row>
    <row r="726" spans="1:52" x14ac:dyDescent="0.25">
      <c r="A726" s="3"/>
      <c r="B726" s="48">
        <f>SUM(B707:B725)</f>
        <v>604000</v>
      </c>
      <c r="C726" s="32"/>
      <c r="D726" s="48">
        <f>SUM(D707:D725)</f>
        <v>127279</v>
      </c>
      <c r="E726" s="48">
        <f>SUM(E707:E725)</f>
        <v>453721</v>
      </c>
      <c r="F726" s="48">
        <f>SUM(F707:F725)</f>
        <v>581000</v>
      </c>
      <c r="G726" s="32"/>
      <c r="H726" s="48">
        <f>SUM(H707:H725)</f>
        <v>-23000</v>
      </c>
      <c r="I726" s="36"/>
      <c r="J726" s="48">
        <f>SUM(J707:J725)</f>
        <v>322021</v>
      </c>
      <c r="K726" s="48">
        <f>SUM(K707:K725)</f>
        <v>144779</v>
      </c>
      <c r="L726" s="48">
        <f>SUM(L707:L725)</f>
        <v>466800</v>
      </c>
      <c r="M726" s="32"/>
      <c r="N726" s="48">
        <f>SUM(N707:N725)</f>
        <v>-114200</v>
      </c>
      <c r="P726" s="48">
        <f>SUM(P707:P725)</f>
        <v>451700</v>
      </c>
      <c r="R726" s="48">
        <f t="shared" ref="R726:Z726" si="421">SUM(R707:R725)</f>
        <v>85885</v>
      </c>
      <c r="S726" s="48">
        <f t="shared" si="421"/>
        <v>365815</v>
      </c>
      <c r="T726" s="48">
        <f t="shared" si="421"/>
        <v>451700</v>
      </c>
      <c r="U726" s="48">
        <f t="shared" si="421"/>
        <v>0</v>
      </c>
      <c r="V726" s="48">
        <f t="shared" si="421"/>
        <v>182098</v>
      </c>
      <c r="W726" s="48">
        <f t="shared" si="421"/>
        <v>312242</v>
      </c>
      <c r="X726" s="48"/>
      <c r="Y726" s="48">
        <f t="shared" si="421"/>
        <v>494340</v>
      </c>
      <c r="Z726" s="48">
        <f t="shared" si="421"/>
        <v>42640</v>
      </c>
      <c r="AC726" s="48">
        <f>SUM(AC707:AC725)</f>
        <v>297196</v>
      </c>
      <c r="AD726" s="48">
        <f>SUM(AD707:AD725)</f>
        <v>197144</v>
      </c>
      <c r="AE726" s="48">
        <f>SUM(AE707:AE725)</f>
        <v>494340</v>
      </c>
      <c r="AF726" s="48">
        <f>SUM(AF707:AF725)</f>
        <v>0</v>
      </c>
      <c r="AH726" s="48">
        <f>SUM(AH707:AH725)</f>
        <v>463050</v>
      </c>
      <c r="AJ726" s="48">
        <f>SUM(AJ707:AJ725)</f>
        <v>474649.99999999994</v>
      </c>
      <c r="AL726" s="48">
        <f>SUM(AL707:AL725)</f>
        <v>486500</v>
      </c>
      <c r="AN726" s="48">
        <f>SUM(AN707:AN725)</f>
        <v>498650</v>
      </c>
      <c r="AO726" s="48"/>
      <c r="AP726" s="48">
        <f>SUM(AP707:AP725)</f>
        <v>511100</v>
      </c>
      <c r="AR726" s="48">
        <f>SUM(AR707:AR725)</f>
        <v>523850</v>
      </c>
      <c r="AT726" s="48">
        <f>SUM(AT707:AT725)</f>
        <v>537000</v>
      </c>
      <c r="AV726" s="48">
        <f>SUM(AV707:AV725)</f>
        <v>550400</v>
      </c>
      <c r="AX726" s="48">
        <f>SUM(AX707:AX725)</f>
        <v>564150</v>
      </c>
      <c r="AZ726" s="48">
        <f>SUM(AZ707:AZ725)</f>
        <v>564150</v>
      </c>
    </row>
    <row r="727" spans="1:52" x14ac:dyDescent="0.25">
      <c r="A727" s="7" t="s">
        <v>57</v>
      </c>
    </row>
    <row r="728" spans="1:52" x14ac:dyDescent="0.25">
      <c r="A728" s="3" t="s">
        <v>521</v>
      </c>
      <c r="B728" s="5">
        <v>29000</v>
      </c>
      <c r="E728" s="3">
        <f t="shared" ref="E728:E745" si="422">F728-D728</f>
        <v>29000</v>
      </c>
      <c r="F728" s="5">
        <v>29000</v>
      </c>
      <c r="H728" s="5">
        <f t="shared" ref="H728:H745" si="423">F728-B728</f>
        <v>0</v>
      </c>
      <c r="K728" s="4">
        <f t="shared" ref="K728:K757" si="424">L728-J728</f>
        <v>29000</v>
      </c>
      <c r="L728" s="4">
        <v>29000</v>
      </c>
      <c r="N728" s="4">
        <f t="shared" ref="N728:N757" si="425">L728-F728</f>
        <v>0</v>
      </c>
      <c r="P728" s="3">
        <v>29000</v>
      </c>
      <c r="Q728" s="3"/>
      <c r="R728" s="3"/>
      <c r="S728" s="3">
        <f t="shared" ref="S728:S757" si="426">T728-R728</f>
        <v>29000</v>
      </c>
      <c r="T728" s="3">
        <v>29000</v>
      </c>
      <c r="U728" s="3">
        <f t="shared" ref="U728:U757" si="427">T728-P728</f>
        <v>0</v>
      </c>
      <c r="V728" s="3"/>
      <c r="W728" s="3">
        <f t="shared" ref="W728:W757" si="428">Y728-V728</f>
        <v>29000</v>
      </c>
      <c r="X728" s="3"/>
      <c r="Y728" s="3">
        <v>29000</v>
      </c>
      <c r="Z728" s="3">
        <f t="shared" ref="Z728:Z757" si="429">Y728-T728</f>
        <v>0</v>
      </c>
      <c r="AA728" s="3"/>
      <c r="AB728" s="3"/>
      <c r="AC728" s="3">
        <v>0</v>
      </c>
      <c r="AD728" s="3">
        <f t="shared" ref="AD728:AD757" si="430">AE728-AC728</f>
        <v>29000</v>
      </c>
      <c r="AE728" s="3">
        <v>29000</v>
      </c>
      <c r="AF728" s="3">
        <f t="shared" ref="AF728:AF757" si="431">AE728-Y728</f>
        <v>0</v>
      </c>
      <c r="AG728" s="3"/>
      <c r="AH728" s="3">
        <v>29000</v>
      </c>
      <c r="AI728" s="3"/>
      <c r="AJ728" s="3">
        <v>29000</v>
      </c>
      <c r="AK728" s="3"/>
      <c r="AL728" s="3">
        <v>29000</v>
      </c>
      <c r="AM728" s="3"/>
      <c r="AN728" s="3">
        <v>29000</v>
      </c>
      <c r="AO728" s="3"/>
      <c r="AP728" s="3">
        <v>29000</v>
      </c>
      <c r="AQ728" s="42"/>
      <c r="AR728" s="3">
        <v>29000</v>
      </c>
      <c r="AS728" s="42"/>
      <c r="AT728" s="3">
        <v>29000</v>
      </c>
      <c r="AU728" s="42"/>
      <c r="AV728" s="3">
        <v>29000</v>
      </c>
      <c r="AW728" s="42"/>
      <c r="AX728" s="3">
        <v>29000</v>
      </c>
      <c r="AZ728" s="3">
        <v>29000</v>
      </c>
    </row>
    <row r="729" spans="1:52" x14ac:dyDescent="0.25">
      <c r="A729" s="3" t="s">
        <v>522</v>
      </c>
      <c r="E729" s="3">
        <f t="shared" si="422"/>
        <v>0</v>
      </c>
      <c r="H729" s="5">
        <f t="shared" si="423"/>
        <v>0</v>
      </c>
      <c r="K729" s="4">
        <f t="shared" si="424"/>
        <v>0</v>
      </c>
      <c r="L729" s="4"/>
      <c r="N729" s="4">
        <f t="shared" si="425"/>
        <v>0</v>
      </c>
      <c r="P729" s="3"/>
      <c r="Q729" s="3"/>
      <c r="R729" s="3"/>
      <c r="S729" s="3">
        <f t="shared" si="426"/>
        <v>0</v>
      </c>
      <c r="T729" s="3"/>
      <c r="U729" s="3">
        <f t="shared" si="427"/>
        <v>0</v>
      </c>
      <c r="V729" s="3"/>
      <c r="W729" s="3">
        <f t="shared" si="428"/>
        <v>0</v>
      </c>
      <c r="X729" s="3"/>
      <c r="Y729" s="3"/>
      <c r="Z729" s="3">
        <f t="shared" si="429"/>
        <v>0</v>
      </c>
      <c r="AA729" s="3"/>
      <c r="AB729" s="3"/>
      <c r="AC729" s="3"/>
      <c r="AD729" s="3">
        <f t="shared" si="430"/>
        <v>0</v>
      </c>
      <c r="AE729" s="3"/>
      <c r="AF729" s="3">
        <f t="shared" si="431"/>
        <v>0</v>
      </c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42"/>
      <c r="AR729" s="3"/>
      <c r="AS729" s="42"/>
      <c r="AT729" s="3"/>
      <c r="AU729" s="42"/>
      <c r="AV729" s="3"/>
      <c r="AW729" s="42"/>
      <c r="AX729" s="3"/>
      <c r="AZ729" s="3"/>
    </row>
    <row r="730" spans="1:52" x14ac:dyDescent="0.25">
      <c r="A730" s="3" t="s">
        <v>523</v>
      </c>
      <c r="E730" s="3">
        <f t="shared" si="422"/>
        <v>0</v>
      </c>
      <c r="H730" s="5">
        <f t="shared" si="423"/>
        <v>0</v>
      </c>
      <c r="J730" s="3"/>
      <c r="K730" s="4">
        <f t="shared" si="424"/>
        <v>0</v>
      </c>
      <c r="L730" s="4"/>
      <c r="N730" s="4">
        <f t="shared" si="425"/>
        <v>0</v>
      </c>
      <c r="P730" s="3"/>
      <c r="Q730" s="3"/>
      <c r="R730" s="3"/>
      <c r="S730" s="3">
        <f t="shared" si="426"/>
        <v>0</v>
      </c>
      <c r="T730" s="3"/>
      <c r="U730" s="3">
        <f t="shared" si="427"/>
        <v>0</v>
      </c>
      <c r="V730" s="3"/>
      <c r="W730" s="3">
        <f t="shared" si="428"/>
        <v>0</v>
      </c>
      <c r="X730" s="3"/>
      <c r="Y730" s="3"/>
      <c r="Z730" s="3">
        <f t="shared" si="429"/>
        <v>0</v>
      </c>
      <c r="AA730" s="3"/>
      <c r="AB730" s="3"/>
      <c r="AC730" s="3"/>
      <c r="AD730" s="3">
        <f t="shared" si="430"/>
        <v>0</v>
      </c>
      <c r="AE730" s="3"/>
      <c r="AF730" s="3">
        <f t="shared" si="431"/>
        <v>0</v>
      </c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42"/>
      <c r="AR730" s="3"/>
      <c r="AS730" s="42"/>
      <c r="AT730" s="3"/>
      <c r="AU730" s="42"/>
      <c r="AV730" s="3"/>
      <c r="AW730" s="42"/>
      <c r="AX730" s="3"/>
      <c r="AZ730" s="3"/>
    </row>
    <row r="731" spans="1:52" x14ac:dyDescent="0.25">
      <c r="A731" s="3" t="s">
        <v>524</v>
      </c>
      <c r="D731" s="5">
        <v>154542</v>
      </c>
      <c r="E731" s="3">
        <f t="shared" si="422"/>
        <v>562960</v>
      </c>
      <c r="F731" s="5">
        <v>717502</v>
      </c>
      <c r="H731" s="5">
        <f t="shared" si="423"/>
        <v>717502</v>
      </c>
      <c r="J731" s="3">
        <f>552924+26428</f>
        <v>579352</v>
      </c>
      <c r="K731" s="4">
        <f t="shared" si="424"/>
        <v>138148</v>
      </c>
      <c r="L731" s="4">
        <v>717500</v>
      </c>
      <c r="N731" s="4">
        <f t="shared" si="425"/>
        <v>-2</v>
      </c>
      <c r="P731" s="3"/>
      <c r="Q731" s="3"/>
      <c r="R731" s="3"/>
      <c r="S731" s="3">
        <f t="shared" si="426"/>
        <v>0</v>
      </c>
      <c r="T731" s="3"/>
      <c r="U731" s="3">
        <f t="shared" si="427"/>
        <v>0</v>
      </c>
      <c r="V731" s="3"/>
      <c r="W731" s="3">
        <f t="shared" si="428"/>
        <v>0</v>
      </c>
      <c r="X731" s="3"/>
      <c r="Y731" s="3"/>
      <c r="Z731" s="3">
        <f t="shared" si="429"/>
        <v>0</v>
      </c>
      <c r="AA731" s="3"/>
      <c r="AB731" s="3"/>
      <c r="AC731" s="3"/>
      <c r="AD731" s="3">
        <f t="shared" si="430"/>
        <v>0</v>
      </c>
      <c r="AE731" s="3"/>
      <c r="AF731" s="3">
        <f t="shared" si="431"/>
        <v>0</v>
      </c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42"/>
      <c r="AR731" s="3"/>
      <c r="AS731" s="42"/>
      <c r="AT731" s="3"/>
      <c r="AU731" s="42"/>
      <c r="AV731" s="3"/>
      <c r="AW731" s="42"/>
      <c r="AX731" s="3"/>
      <c r="AZ731" s="3"/>
    </row>
    <row r="732" spans="1:52" x14ac:dyDescent="0.25">
      <c r="A732" s="3" t="s">
        <v>525</v>
      </c>
      <c r="B732" s="3">
        <v>2750000</v>
      </c>
      <c r="D732" s="3">
        <f>10803+2606+409776</f>
        <v>423185</v>
      </c>
      <c r="E732" s="3">
        <f t="shared" si="422"/>
        <v>1394868</v>
      </c>
      <c r="F732" s="3">
        <v>1818053</v>
      </c>
      <c r="H732" s="5">
        <f t="shared" si="423"/>
        <v>-931947</v>
      </c>
      <c r="J732" s="3">
        <v>936548</v>
      </c>
      <c r="K732" s="4">
        <f t="shared" si="424"/>
        <v>881502</v>
      </c>
      <c r="L732" s="4">
        <v>1818050</v>
      </c>
      <c r="N732" s="4">
        <f t="shared" si="425"/>
        <v>-3</v>
      </c>
      <c r="P732" s="3"/>
      <c r="Q732" s="3"/>
      <c r="R732" s="3"/>
      <c r="S732" s="3">
        <f t="shared" si="426"/>
        <v>0</v>
      </c>
      <c r="T732" s="3"/>
      <c r="U732" s="3">
        <f t="shared" si="427"/>
        <v>0</v>
      </c>
      <c r="V732" s="3"/>
      <c r="W732" s="3">
        <f t="shared" si="428"/>
        <v>0</v>
      </c>
      <c r="X732" s="3"/>
      <c r="Y732" s="3"/>
      <c r="Z732" s="3">
        <f t="shared" si="429"/>
        <v>0</v>
      </c>
      <c r="AA732" s="3"/>
      <c r="AB732" s="3"/>
      <c r="AC732" s="3"/>
      <c r="AD732" s="3">
        <f t="shared" si="430"/>
        <v>0</v>
      </c>
      <c r="AE732" s="3"/>
      <c r="AF732" s="3">
        <f t="shared" si="431"/>
        <v>0</v>
      </c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42"/>
      <c r="AR732" s="3"/>
      <c r="AS732" s="42"/>
      <c r="AT732" s="3"/>
      <c r="AU732" s="42"/>
      <c r="AV732" s="3"/>
      <c r="AW732" s="42"/>
      <c r="AX732" s="3"/>
      <c r="AZ732" s="3"/>
    </row>
    <row r="733" spans="1:52" x14ac:dyDescent="0.25">
      <c r="A733" s="3" t="s">
        <v>227</v>
      </c>
      <c r="B733" s="3"/>
      <c r="D733" s="3"/>
      <c r="E733" s="3">
        <f t="shared" si="422"/>
        <v>0</v>
      </c>
      <c r="H733" s="5">
        <f t="shared" si="423"/>
        <v>0</v>
      </c>
      <c r="J733" s="3"/>
      <c r="K733" s="4">
        <f t="shared" si="424"/>
        <v>0</v>
      </c>
      <c r="L733" s="4"/>
      <c r="N733" s="4">
        <f t="shared" si="425"/>
        <v>0</v>
      </c>
      <c r="P733" s="3"/>
      <c r="Q733" s="3"/>
      <c r="R733" s="3"/>
      <c r="S733" s="3">
        <f t="shared" si="426"/>
        <v>0</v>
      </c>
      <c r="T733" s="3"/>
      <c r="U733" s="3">
        <f t="shared" si="427"/>
        <v>0</v>
      </c>
      <c r="V733" s="3"/>
      <c r="W733" s="3">
        <f t="shared" si="428"/>
        <v>0</v>
      </c>
      <c r="X733" s="3"/>
      <c r="Y733" s="3"/>
      <c r="Z733" s="3">
        <f t="shared" si="429"/>
        <v>0</v>
      </c>
      <c r="AA733" s="3"/>
      <c r="AB733" s="3"/>
      <c r="AC733" s="3"/>
      <c r="AD733" s="3">
        <f t="shared" si="430"/>
        <v>0</v>
      </c>
      <c r="AE733" s="3"/>
      <c r="AF733" s="3">
        <f t="shared" si="431"/>
        <v>0</v>
      </c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42"/>
      <c r="AR733" s="3"/>
      <c r="AS733" s="42"/>
      <c r="AT733" s="3"/>
      <c r="AU733" s="42"/>
      <c r="AV733" s="3"/>
      <c r="AW733" s="42"/>
      <c r="AX733" s="3"/>
      <c r="AZ733" s="3"/>
    </row>
    <row r="734" spans="1:52" x14ac:dyDescent="0.25">
      <c r="A734" s="3" t="s">
        <v>228</v>
      </c>
      <c r="B734" s="3"/>
      <c r="D734" s="3">
        <v>164719</v>
      </c>
      <c r="E734" s="3">
        <f t="shared" si="422"/>
        <v>849388</v>
      </c>
      <c r="F734" s="5">
        <v>1014107</v>
      </c>
      <c r="H734" s="5">
        <f t="shared" si="423"/>
        <v>1014107</v>
      </c>
      <c r="J734" s="3">
        <v>185697</v>
      </c>
      <c r="K734" s="4">
        <f t="shared" si="424"/>
        <v>828408</v>
      </c>
      <c r="L734" s="4">
        <v>1014105</v>
      </c>
      <c r="N734" s="4">
        <f t="shared" si="425"/>
        <v>-2</v>
      </c>
      <c r="P734" s="3"/>
      <c r="Q734" s="3"/>
      <c r="R734" s="3"/>
      <c r="S734" s="3">
        <f t="shared" si="426"/>
        <v>0</v>
      </c>
      <c r="T734" s="3"/>
      <c r="U734" s="3">
        <f t="shared" si="427"/>
        <v>0</v>
      </c>
      <c r="V734" s="3"/>
      <c r="W734" s="3">
        <f t="shared" si="428"/>
        <v>0</v>
      </c>
      <c r="X734" s="3"/>
      <c r="Y734" s="3"/>
      <c r="Z734" s="3">
        <f t="shared" si="429"/>
        <v>0</v>
      </c>
      <c r="AA734" s="3"/>
      <c r="AB734" s="3"/>
      <c r="AC734" s="3"/>
      <c r="AD734" s="3">
        <f t="shared" si="430"/>
        <v>0</v>
      </c>
      <c r="AE734" s="3"/>
      <c r="AF734" s="3">
        <f t="shared" si="431"/>
        <v>0</v>
      </c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42"/>
      <c r="AR734" s="3"/>
      <c r="AS734" s="42"/>
      <c r="AT734" s="3"/>
      <c r="AU734" s="42"/>
      <c r="AV734" s="3"/>
      <c r="AW734" s="42"/>
      <c r="AX734" s="3"/>
      <c r="AZ734" s="3"/>
    </row>
    <row r="735" spans="1:52" x14ac:dyDescent="0.25">
      <c r="A735" s="3" t="s">
        <v>218</v>
      </c>
      <c r="B735" s="3"/>
      <c r="D735" s="3"/>
      <c r="E735" s="3"/>
      <c r="J735" s="3"/>
      <c r="K735" s="4"/>
      <c r="L735" s="4"/>
      <c r="N735" s="4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>
        <v>2500000</v>
      </c>
      <c r="AI735" s="3"/>
      <c r="AJ735" s="3"/>
      <c r="AK735" s="3"/>
      <c r="AL735" s="3"/>
      <c r="AM735" s="3"/>
      <c r="AN735" s="3"/>
      <c r="AO735" s="3"/>
      <c r="AP735" s="3"/>
      <c r="AQ735" s="42"/>
      <c r="AR735" s="3"/>
      <c r="AS735" s="42"/>
      <c r="AT735" s="3"/>
      <c r="AU735" s="42"/>
      <c r="AV735" s="3"/>
      <c r="AW735" s="42"/>
      <c r="AX735" s="3"/>
      <c r="AZ735" s="3"/>
    </row>
    <row r="736" spans="1:52" x14ac:dyDescent="0.25">
      <c r="A736" s="3" t="s">
        <v>229</v>
      </c>
      <c r="B736" s="3"/>
      <c r="D736" s="3"/>
      <c r="E736" s="3">
        <f>F736-D736</f>
        <v>157220</v>
      </c>
      <c r="F736" s="5">
        <v>157220</v>
      </c>
      <c r="H736" s="5">
        <f>F736-B736</f>
        <v>157220</v>
      </c>
      <c r="J736" s="3"/>
      <c r="K736" s="4">
        <f t="shared" si="424"/>
        <v>157220</v>
      </c>
      <c r="L736" s="4">
        <v>157220</v>
      </c>
      <c r="N736" s="4">
        <f t="shared" si="425"/>
        <v>0</v>
      </c>
      <c r="P736" s="3"/>
      <c r="Q736" s="3"/>
      <c r="R736" s="3"/>
      <c r="S736" s="3">
        <f t="shared" si="426"/>
        <v>0</v>
      </c>
      <c r="T736" s="3"/>
      <c r="U736" s="3">
        <f t="shared" si="427"/>
        <v>0</v>
      </c>
      <c r="V736" s="3"/>
      <c r="W736" s="3">
        <f t="shared" si="428"/>
        <v>0</v>
      </c>
      <c r="X736" s="3"/>
      <c r="Y736" s="3"/>
      <c r="Z736" s="3">
        <f t="shared" si="429"/>
        <v>0</v>
      </c>
      <c r="AA736" s="3"/>
      <c r="AB736" s="3"/>
      <c r="AC736" s="3"/>
      <c r="AD736" s="3">
        <f t="shared" si="430"/>
        <v>0</v>
      </c>
      <c r="AE736" s="3"/>
      <c r="AF736" s="3">
        <f t="shared" si="431"/>
        <v>0</v>
      </c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42"/>
      <c r="AR736" s="3"/>
      <c r="AS736" s="42"/>
      <c r="AT736" s="3"/>
      <c r="AU736" s="42"/>
      <c r="AV736" s="3"/>
      <c r="AW736" s="42"/>
      <c r="AX736" s="3"/>
      <c r="AZ736" s="3"/>
    </row>
    <row r="737" spans="1:53" x14ac:dyDescent="0.25">
      <c r="A737" s="3" t="s">
        <v>526</v>
      </c>
      <c r="B737" s="3"/>
      <c r="D737" s="3"/>
      <c r="E737" s="3"/>
      <c r="J737" s="3"/>
      <c r="K737" s="4"/>
      <c r="L737" s="4"/>
      <c r="N737" s="4"/>
      <c r="P737" s="3">
        <v>2500000</v>
      </c>
      <c r="Q737" s="3"/>
      <c r="R737" s="3">
        <f>32722+11140+350897+117156</f>
        <v>511915</v>
      </c>
      <c r="S737" s="3">
        <f t="shared" si="426"/>
        <v>1988085</v>
      </c>
      <c r="T737" s="3">
        <v>2500000</v>
      </c>
      <c r="U737" s="3">
        <f t="shared" si="427"/>
        <v>0</v>
      </c>
      <c r="V737" s="3">
        <v>1014503</v>
      </c>
      <c r="W737" s="3">
        <f t="shared" si="428"/>
        <v>1485497</v>
      </c>
      <c r="X737" s="3"/>
      <c r="Y737" s="3">
        <v>2500000</v>
      </c>
      <c r="Z737" s="3">
        <f t="shared" si="429"/>
        <v>0</v>
      </c>
      <c r="AA737" s="3"/>
      <c r="AB737" s="3"/>
      <c r="AC737" s="3">
        <v>1391117</v>
      </c>
      <c r="AD737" s="3">
        <f t="shared" si="430"/>
        <v>1108883</v>
      </c>
      <c r="AE737" s="3">
        <v>2500000</v>
      </c>
      <c r="AF737" s="3">
        <f t="shared" si="431"/>
        <v>0</v>
      </c>
      <c r="AG737" s="3"/>
      <c r="AH737" s="3">
        <v>1500000</v>
      </c>
      <c r="AI737" s="3"/>
      <c r="AJ737" s="3"/>
      <c r="AK737" s="3"/>
      <c r="AL737" s="3"/>
      <c r="AM737" s="3"/>
      <c r="AN737" s="3"/>
      <c r="AO737" s="3"/>
      <c r="AP737" s="3"/>
      <c r="AQ737" s="42"/>
      <c r="AR737" s="3"/>
      <c r="AS737" s="42"/>
      <c r="AT737" s="3"/>
      <c r="AU737" s="42"/>
      <c r="AV737" s="3"/>
      <c r="AW737" s="42"/>
      <c r="AX737" s="3"/>
      <c r="AZ737" s="3"/>
    </row>
    <row r="738" spans="1:53" x14ac:dyDescent="0.25">
      <c r="A738" s="3" t="s">
        <v>527</v>
      </c>
      <c r="B738" s="5">
        <v>4800</v>
      </c>
      <c r="D738" s="5">
        <v>348</v>
      </c>
      <c r="E738" s="3">
        <f t="shared" si="422"/>
        <v>4452</v>
      </c>
      <c r="F738" s="5">
        <v>4800</v>
      </c>
      <c r="H738" s="5">
        <f t="shared" si="423"/>
        <v>0</v>
      </c>
      <c r="J738" s="3">
        <v>349</v>
      </c>
      <c r="K738" s="4">
        <f t="shared" si="424"/>
        <v>4451</v>
      </c>
      <c r="L738" s="4">
        <v>4800</v>
      </c>
      <c r="N738" s="4">
        <f t="shared" si="425"/>
        <v>0</v>
      </c>
      <c r="P738" s="3"/>
      <c r="Q738" s="3"/>
      <c r="R738" s="3">
        <v>3713</v>
      </c>
      <c r="S738" s="3">
        <f t="shared" si="426"/>
        <v>1087</v>
      </c>
      <c r="T738" s="3">
        <v>4800</v>
      </c>
      <c r="U738" s="3">
        <f t="shared" si="427"/>
        <v>4800</v>
      </c>
      <c r="V738" s="3">
        <v>8321</v>
      </c>
      <c r="W738" s="3">
        <f t="shared" si="428"/>
        <v>11679</v>
      </c>
      <c r="X738" s="3"/>
      <c r="Y738" s="3">
        <v>20000</v>
      </c>
      <c r="Z738" s="3">
        <f t="shared" si="429"/>
        <v>15200</v>
      </c>
      <c r="AA738" s="3"/>
      <c r="AB738" s="3"/>
      <c r="AC738" s="3">
        <v>21330</v>
      </c>
      <c r="AD738" s="3">
        <f t="shared" si="430"/>
        <v>3670</v>
      </c>
      <c r="AE738" s="3">
        <v>25000</v>
      </c>
      <c r="AF738" s="3">
        <f t="shared" si="431"/>
        <v>5000</v>
      </c>
      <c r="AG738" s="3"/>
      <c r="AH738" s="3">
        <v>3000</v>
      </c>
      <c r="AI738" s="3"/>
      <c r="AJ738" s="3">
        <f>AH738*1.03</f>
        <v>3090</v>
      </c>
      <c r="AK738" s="3"/>
      <c r="AL738" s="3">
        <f>AJ738*1.03</f>
        <v>3182.7000000000003</v>
      </c>
      <c r="AM738" s="3"/>
      <c r="AN738" s="3">
        <f>AL738*1.03</f>
        <v>3278.1810000000005</v>
      </c>
      <c r="AO738" s="3"/>
      <c r="AP738" s="3">
        <f>AN738*1.03</f>
        <v>3376.5264300000008</v>
      </c>
      <c r="AQ738" s="42"/>
      <c r="AR738" s="3">
        <f>AP738*1.03</f>
        <v>3477.8222229000007</v>
      </c>
      <c r="AS738" s="42"/>
      <c r="AT738" s="3">
        <f>AR738*1.03</f>
        <v>3582.1568895870009</v>
      </c>
      <c r="AU738" s="42"/>
      <c r="AV738" s="3">
        <f>AT738*1.03</f>
        <v>3689.621596274611</v>
      </c>
      <c r="AW738" s="42"/>
      <c r="AX738" s="3">
        <f>AV738*1.03</f>
        <v>3800.3102441628494</v>
      </c>
      <c r="AZ738" s="3">
        <f>AX738*1.03</f>
        <v>3914.3195514877348</v>
      </c>
    </row>
    <row r="739" spans="1:53" x14ac:dyDescent="0.25">
      <c r="A739" s="3" t="s">
        <v>90</v>
      </c>
      <c r="E739" s="3">
        <f t="shared" si="422"/>
        <v>0</v>
      </c>
      <c r="H739" s="5">
        <f t="shared" si="423"/>
        <v>0</v>
      </c>
      <c r="J739" s="3"/>
      <c r="K739" s="4">
        <f t="shared" si="424"/>
        <v>0</v>
      </c>
      <c r="L739" s="4"/>
      <c r="N739" s="4">
        <f t="shared" si="425"/>
        <v>0</v>
      </c>
      <c r="P739" s="3"/>
      <c r="Q739" s="3"/>
      <c r="R739" s="3"/>
      <c r="S739" s="3">
        <f t="shared" si="426"/>
        <v>0</v>
      </c>
      <c r="T739" s="3"/>
      <c r="U739" s="3">
        <f t="shared" si="427"/>
        <v>0</v>
      </c>
      <c r="V739" s="3"/>
      <c r="W739" s="3">
        <f t="shared" si="428"/>
        <v>0</v>
      </c>
      <c r="X739" s="3"/>
      <c r="Y739" s="3"/>
      <c r="Z739" s="3">
        <f t="shared" si="429"/>
        <v>0</v>
      </c>
      <c r="AA739" s="3"/>
      <c r="AB739" s="3"/>
      <c r="AC739" s="3"/>
      <c r="AD739" s="3">
        <f t="shared" si="430"/>
        <v>0</v>
      </c>
      <c r="AE739" s="3"/>
      <c r="AF739" s="3">
        <f t="shared" si="431"/>
        <v>0</v>
      </c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42"/>
      <c r="AR739" s="3"/>
      <c r="AS739" s="42"/>
      <c r="AT739" s="3"/>
      <c r="AU739" s="42"/>
      <c r="AV739" s="3"/>
      <c r="AW739" s="42"/>
      <c r="AX739" s="3"/>
      <c r="AZ739" s="3"/>
      <c r="BA739" s="42"/>
    </row>
    <row r="740" spans="1:53" x14ac:dyDescent="0.25">
      <c r="A740" s="3" t="s">
        <v>248</v>
      </c>
      <c r="B740" s="5">
        <v>20000</v>
      </c>
      <c r="D740" s="5">
        <v>6166</v>
      </c>
      <c r="E740" s="3">
        <f t="shared" si="422"/>
        <v>23834</v>
      </c>
      <c r="F740" s="5">
        <v>30000</v>
      </c>
      <c r="H740" s="5">
        <f t="shared" si="423"/>
        <v>10000</v>
      </c>
      <c r="J740" s="3">
        <v>11236</v>
      </c>
      <c r="K740" s="4">
        <f t="shared" si="424"/>
        <v>18764</v>
      </c>
      <c r="L740" s="4">
        <v>30000</v>
      </c>
      <c r="N740" s="4">
        <f t="shared" si="425"/>
        <v>0</v>
      </c>
      <c r="P740" s="3">
        <v>30000</v>
      </c>
      <c r="Q740" s="3"/>
      <c r="R740" s="3">
        <v>1305</v>
      </c>
      <c r="S740" s="3">
        <f t="shared" si="426"/>
        <v>28695</v>
      </c>
      <c r="T740" s="3">
        <v>30000</v>
      </c>
      <c r="U740" s="3">
        <f t="shared" si="427"/>
        <v>0</v>
      </c>
      <c r="V740" s="3">
        <v>5971</v>
      </c>
      <c r="W740" s="3">
        <f t="shared" si="428"/>
        <v>24029</v>
      </c>
      <c r="X740" s="3"/>
      <c r="Y740" s="3">
        <v>30000</v>
      </c>
      <c r="Z740" s="3">
        <f t="shared" si="429"/>
        <v>0</v>
      </c>
      <c r="AA740" s="3"/>
      <c r="AB740" s="3"/>
      <c r="AC740" s="3">
        <v>6572</v>
      </c>
      <c r="AD740" s="3">
        <f t="shared" si="430"/>
        <v>23428</v>
      </c>
      <c r="AE740" s="3">
        <v>30000</v>
      </c>
      <c r="AF740" s="3">
        <f t="shared" si="431"/>
        <v>0</v>
      </c>
      <c r="AG740" s="3"/>
      <c r="AH740" s="3">
        <v>30000</v>
      </c>
      <c r="AI740" s="3"/>
      <c r="AJ740" s="3">
        <v>30000</v>
      </c>
      <c r="AK740" s="3"/>
      <c r="AL740" s="3">
        <v>30000</v>
      </c>
      <c r="AM740" s="3"/>
      <c r="AN740" s="3">
        <v>30000</v>
      </c>
      <c r="AO740" s="3"/>
      <c r="AP740" s="3">
        <v>30000</v>
      </c>
      <c r="AQ740" s="42"/>
      <c r="AR740" s="3">
        <v>30000</v>
      </c>
      <c r="AS740" s="42"/>
      <c r="AT740" s="3">
        <v>30000</v>
      </c>
      <c r="AU740" s="42"/>
      <c r="AV740" s="3">
        <v>30000</v>
      </c>
      <c r="AW740" s="42"/>
      <c r="AX740" s="3">
        <v>30000</v>
      </c>
      <c r="AZ740" s="3">
        <v>30000</v>
      </c>
    </row>
    <row r="741" spans="1:53" s="42" customFormat="1" x14ac:dyDescent="0.25">
      <c r="A741" s="3" t="s">
        <v>528</v>
      </c>
      <c r="B741" s="3"/>
      <c r="C741" s="3"/>
      <c r="D741" s="3"/>
      <c r="E741" s="3">
        <f t="shared" si="422"/>
        <v>0</v>
      </c>
      <c r="F741" s="3"/>
      <c r="G741" s="3"/>
      <c r="H741" s="3">
        <f t="shared" si="423"/>
        <v>0</v>
      </c>
      <c r="I741" s="3"/>
      <c r="J741" s="3"/>
      <c r="K741" s="4">
        <f t="shared" si="424"/>
        <v>0</v>
      </c>
      <c r="L741" s="4"/>
      <c r="M741" s="4"/>
      <c r="N741" s="4">
        <f t="shared" si="425"/>
        <v>0</v>
      </c>
      <c r="O741" s="3"/>
      <c r="P741" s="3"/>
      <c r="Q741" s="3"/>
      <c r="R741" s="3"/>
      <c r="S741" s="3">
        <f t="shared" si="426"/>
        <v>0</v>
      </c>
      <c r="T741" s="3"/>
      <c r="U741" s="3">
        <f t="shared" si="427"/>
        <v>0</v>
      </c>
      <c r="V741" s="3"/>
      <c r="W741" s="3">
        <f t="shared" si="428"/>
        <v>0</v>
      </c>
      <c r="X741" s="3"/>
      <c r="Y741" s="3"/>
      <c r="Z741" s="3">
        <f t="shared" si="429"/>
        <v>0</v>
      </c>
      <c r="AA741" s="3"/>
      <c r="AB741" s="3"/>
      <c r="AC741" s="3"/>
      <c r="AD741" s="3">
        <f t="shared" si="430"/>
        <v>0</v>
      </c>
      <c r="AE741" s="3"/>
      <c r="AF741" s="3">
        <f t="shared" si="431"/>
        <v>0</v>
      </c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R741" s="3"/>
      <c r="AT741" s="3"/>
      <c r="AV741" s="3"/>
      <c r="AX741" s="3"/>
      <c r="AZ741" s="3"/>
      <c r="BA741" s="6"/>
    </row>
    <row r="742" spans="1:53" x14ac:dyDescent="0.25">
      <c r="A742" s="3" t="s">
        <v>529</v>
      </c>
      <c r="E742" s="3">
        <f t="shared" si="422"/>
        <v>0</v>
      </c>
      <c r="H742" s="5">
        <f t="shared" si="423"/>
        <v>0</v>
      </c>
      <c r="J742" s="3"/>
      <c r="K742" s="4">
        <f t="shared" si="424"/>
        <v>0</v>
      </c>
      <c r="L742" s="4"/>
      <c r="N742" s="4">
        <f t="shared" si="425"/>
        <v>0</v>
      </c>
      <c r="P742" s="3"/>
      <c r="Q742" s="3"/>
      <c r="R742" s="3"/>
      <c r="S742" s="3">
        <f t="shared" si="426"/>
        <v>0</v>
      </c>
      <c r="T742" s="3"/>
      <c r="U742" s="3">
        <f t="shared" si="427"/>
        <v>0</v>
      </c>
      <c r="V742" s="3"/>
      <c r="W742" s="3">
        <f t="shared" si="428"/>
        <v>0</v>
      </c>
      <c r="X742" s="3"/>
      <c r="Y742" s="3"/>
      <c r="Z742" s="3">
        <f t="shared" si="429"/>
        <v>0</v>
      </c>
      <c r="AA742" s="3"/>
      <c r="AB742" s="3"/>
      <c r="AC742" s="3"/>
      <c r="AD742" s="3">
        <f t="shared" si="430"/>
        <v>0</v>
      </c>
      <c r="AE742" s="3"/>
      <c r="AF742" s="3">
        <f t="shared" si="431"/>
        <v>0</v>
      </c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42"/>
      <c r="AR742" s="3"/>
      <c r="AS742" s="42"/>
      <c r="AT742" s="3"/>
      <c r="AU742" s="42"/>
      <c r="AV742" s="3"/>
      <c r="AW742" s="42"/>
      <c r="AX742" s="3"/>
      <c r="AZ742" s="3"/>
    </row>
    <row r="743" spans="1:53" x14ac:dyDescent="0.25">
      <c r="A743" s="3" t="s">
        <v>530</v>
      </c>
      <c r="E743" s="3">
        <f t="shared" si="422"/>
        <v>0</v>
      </c>
      <c r="H743" s="5">
        <f t="shared" si="423"/>
        <v>0</v>
      </c>
      <c r="J743" s="3"/>
      <c r="K743" s="4">
        <f t="shared" si="424"/>
        <v>0</v>
      </c>
      <c r="L743" s="4"/>
      <c r="N743" s="4">
        <f t="shared" si="425"/>
        <v>0</v>
      </c>
      <c r="P743" s="3"/>
      <c r="Q743" s="3"/>
      <c r="R743" s="3"/>
      <c r="S743" s="3">
        <f t="shared" si="426"/>
        <v>0</v>
      </c>
      <c r="T743" s="3"/>
      <c r="U743" s="3">
        <f t="shared" si="427"/>
        <v>0</v>
      </c>
      <c r="V743" s="3"/>
      <c r="W743" s="3">
        <f t="shared" si="428"/>
        <v>0</v>
      </c>
      <c r="X743" s="3"/>
      <c r="Y743" s="3"/>
      <c r="Z743" s="3">
        <f t="shared" si="429"/>
        <v>0</v>
      </c>
      <c r="AA743" s="3"/>
      <c r="AB743" s="3"/>
      <c r="AC743" s="3"/>
      <c r="AD743" s="3">
        <f t="shared" si="430"/>
        <v>0</v>
      </c>
      <c r="AE743" s="3"/>
      <c r="AF743" s="3">
        <f t="shared" si="431"/>
        <v>0</v>
      </c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42"/>
      <c r="AR743" s="3"/>
      <c r="AS743" s="42"/>
      <c r="AT743" s="3"/>
      <c r="AU743" s="42"/>
      <c r="AV743" s="3"/>
      <c r="AW743" s="42"/>
      <c r="AX743" s="3"/>
      <c r="AZ743" s="3"/>
    </row>
    <row r="744" spans="1:53" x14ac:dyDescent="0.25">
      <c r="A744" s="3" t="s">
        <v>531</v>
      </c>
      <c r="E744" s="3">
        <f t="shared" si="422"/>
        <v>0</v>
      </c>
      <c r="H744" s="5">
        <f t="shared" si="423"/>
        <v>0</v>
      </c>
      <c r="J744" s="3"/>
      <c r="K744" s="4">
        <f t="shared" si="424"/>
        <v>0</v>
      </c>
      <c r="L744" s="4"/>
      <c r="N744" s="4">
        <f t="shared" si="425"/>
        <v>0</v>
      </c>
      <c r="P744" s="3"/>
      <c r="Q744" s="3"/>
      <c r="R744" s="3"/>
      <c r="S744" s="3">
        <f t="shared" si="426"/>
        <v>0</v>
      </c>
      <c r="T744" s="3"/>
      <c r="U744" s="3">
        <f t="shared" si="427"/>
        <v>0</v>
      </c>
      <c r="V744" s="3"/>
      <c r="W744" s="3">
        <f t="shared" si="428"/>
        <v>0</v>
      </c>
      <c r="X744" s="3"/>
      <c r="Y744" s="3"/>
      <c r="Z744" s="3">
        <f t="shared" si="429"/>
        <v>0</v>
      </c>
      <c r="AA744" s="3"/>
      <c r="AB744" s="3"/>
      <c r="AC744" s="3"/>
      <c r="AD744" s="3">
        <f t="shared" si="430"/>
        <v>0</v>
      </c>
      <c r="AE744" s="3"/>
      <c r="AF744" s="3">
        <f t="shared" si="431"/>
        <v>0</v>
      </c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42"/>
      <c r="AR744" s="3"/>
      <c r="AS744" s="42"/>
      <c r="AT744" s="3"/>
      <c r="AU744" s="42"/>
      <c r="AV744" s="3"/>
      <c r="AW744" s="42"/>
      <c r="AX744" s="3"/>
      <c r="AZ744" s="3"/>
    </row>
    <row r="745" spans="1:53" x14ac:dyDescent="0.25">
      <c r="A745" s="3" t="s">
        <v>234</v>
      </c>
      <c r="E745" s="3">
        <f t="shared" si="422"/>
        <v>0</v>
      </c>
      <c r="H745" s="5">
        <f t="shared" si="423"/>
        <v>0</v>
      </c>
      <c r="J745" s="3"/>
      <c r="K745" s="4">
        <f t="shared" si="424"/>
        <v>0</v>
      </c>
      <c r="L745" s="4"/>
      <c r="N745" s="4">
        <f t="shared" si="425"/>
        <v>0</v>
      </c>
      <c r="P745" s="3"/>
      <c r="Q745" s="3"/>
      <c r="R745" s="3"/>
      <c r="S745" s="3">
        <f t="shared" si="426"/>
        <v>0</v>
      </c>
      <c r="T745" s="3"/>
      <c r="U745" s="3">
        <f t="shared" si="427"/>
        <v>0</v>
      </c>
      <c r="V745" s="3"/>
      <c r="W745" s="3">
        <f t="shared" si="428"/>
        <v>0</v>
      </c>
      <c r="X745" s="3"/>
      <c r="Y745" s="3"/>
      <c r="Z745" s="3">
        <f t="shared" si="429"/>
        <v>0</v>
      </c>
      <c r="AA745" s="3"/>
      <c r="AB745" s="3"/>
      <c r="AC745" s="3"/>
      <c r="AD745" s="3">
        <f t="shared" si="430"/>
        <v>0</v>
      </c>
      <c r="AE745" s="3"/>
      <c r="AF745" s="3">
        <f t="shared" si="431"/>
        <v>0</v>
      </c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42"/>
      <c r="AR745" s="3"/>
      <c r="AS745" s="42"/>
      <c r="AT745" s="3"/>
      <c r="AU745" s="42"/>
      <c r="AV745" s="3"/>
      <c r="AW745" s="42"/>
      <c r="AX745" s="3"/>
      <c r="AZ745" s="3"/>
    </row>
    <row r="746" spans="1:53" x14ac:dyDescent="0.25">
      <c r="A746" s="3" t="s">
        <v>532</v>
      </c>
      <c r="J746" s="3"/>
      <c r="K746" s="4">
        <f t="shared" si="424"/>
        <v>0</v>
      </c>
      <c r="L746" s="4"/>
      <c r="N746" s="4">
        <f t="shared" si="425"/>
        <v>0</v>
      </c>
      <c r="P746" s="3"/>
      <c r="Q746" s="3"/>
      <c r="R746" s="3"/>
      <c r="S746" s="3">
        <f t="shared" si="426"/>
        <v>0</v>
      </c>
      <c r="T746" s="3"/>
      <c r="U746" s="3">
        <f t="shared" si="427"/>
        <v>0</v>
      </c>
      <c r="V746" s="3"/>
      <c r="W746" s="3">
        <f t="shared" si="428"/>
        <v>0</v>
      </c>
      <c r="X746" s="3"/>
      <c r="Y746" s="3"/>
      <c r="Z746" s="3">
        <f t="shared" si="429"/>
        <v>0</v>
      </c>
      <c r="AA746" s="3"/>
      <c r="AB746" s="3"/>
      <c r="AC746" s="3"/>
      <c r="AD746" s="3">
        <f t="shared" si="430"/>
        <v>0</v>
      </c>
      <c r="AE746" s="3"/>
      <c r="AF746" s="3">
        <f t="shared" si="431"/>
        <v>0</v>
      </c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42"/>
      <c r="AR746" s="3"/>
      <c r="AS746" s="42"/>
      <c r="AT746" s="3"/>
      <c r="AU746" s="42"/>
      <c r="AV746" s="3"/>
      <c r="AW746" s="42"/>
      <c r="AX746" s="3"/>
      <c r="AZ746" s="3"/>
    </row>
    <row r="747" spans="1:53" x14ac:dyDescent="0.25">
      <c r="A747" s="3" t="s">
        <v>533</v>
      </c>
      <c r="J747" s="3"/>
      <c r="K747" s="4">
        <f t="shared" si="424"/>
        <v>0</v>
      </c>
      <c r="L747" s="4"/>
      <c r="N747" s="4">
        <f t="shared" si="425"/>
        <v>0</v>
      </c>
      <c r="P747" s="3"/>
      <c r="Q747" s="3"/>
      <c r="R747" s="3"/>
      <c r="S747" s="3">
        <f t="shared" si="426"/>
        <v>0</v>
      </c>
      <c r="T747" s="3"/>
      <c r="U747" s="3">
        <f t="shared" si="427"/>
        <v>0</v>
      </c>
      <c r="V747" s="3"/>
      <c r="W747" s="3">
        <f t="shared" si="428"/>
        <v>0</v>
      </c>
      <c r="X747" s="3"/>
      <c r="Y747" s="3"/>
      <c r="Z747" s="3">
        <f t="shared" si="429"/>
        <v>0</v>
      </c>
      <c r="AA747" s="3"/>
      <c r="AB747" s="3"/>
      <c r="AC747" s="3"/>
      <c r="AD747" s="3">
        <f t="shared" si="430"/>
        <v>0</v>
      </c>
      <c r="AE747" s="3"/>
      <c r="AF747" s="3">
        <f t="shared" si="431"/>
        <v>0</v>
      </c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42"/>
      <c r="AR747" s="3"/>
      <c r="AS747" s="42"/>
      <c r="AT747" s="3"/>
      <c r="AU747" s="42"/>
      <c r="AV747" s="3"/>
      <c r="AW747" s="42"/>
      <c r="AX747" s="3"/>
      <c r="AZ747" s="3"/>
    </row>
    <row r="748" spans="1:53" x14ac:dyDescent="0.25">
      <c r="A748" s="3" t="s">
        <v>534</v>
      </c>
      <c r="J748" s="3"/>
      <c r="K748" s="4">
        <f t="shared" si="424"/>
        <v>0</v>
      </c>
      <c r="L748" s="4"/>
      <c r="N748" s="4">
        <f t="shared" si="425"/>
        <v>0</v>
      </c>
      <c r="P748" s="3"/>
      <c r="Q748" s="3"/>
      <c r="R748" s="3"/>
      <c r="S748" s="3">
        <f t="shared" si="426"/>
        <v>0</v>
      </c>
      <c r="T748" s="3"/>
      <c r="U748" s="3">
        <f t="shared" si="427"/>
        <v>0</v>
      </c>
      <c r="V748" s="3"/>
      <c r="W748" s="3">
        <f t="shared" si="428"/>
        <v>0</v>
      </c>
      <c r="X748" s="3"/>
      <c r="Y748" s="3"/>
      <c r="Z748" s="3">
        <f t="shared" si="429"/>
        <v>0</v>
      </c>
      <c r="AA748" s="3"/>
      <c r="AB748" s="3"/>
      <c r="AC748" s="3"/>
      <c r="AD748" s="3">
        <f t="shared" si="430"/>
        <v>0</v>
      </c>
      <c r="AE748" s="3"/>
      <c r="AF748" s="3">
        <f t="shared" si="431"/>
        <v>0</v>
      </c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42"/>
      <c r="AR748" s="3"/>
      <c r="AS748" s="42"/>
      <c r="AT748" s="3"/>
      <c r="AU748" s="42"/>
      <c r="AV748" s="3"/>
      <c r="AW748" s="42"/>
      <c r="AX748" s="3"/>
      <c r="AZ748" s="3"/>
    </row>
    <row r="749" spans="1:53" x14ac:dyDescent="0.25">
      <c r="A749" s="3" t="s">
        <v>234</v>
      </c>
      <c r="J749" s="3"/>
      <c r="K749" s="4">
        <f t="shared" si="424"/>
        <v>0</v>
      </c>
      <c r="L749" s="4"/>
      <c r="N749" s="4">
        <f t="shared" si="425"/>
        <v>0</v>
      </c>
      <c r="P749" s="3"/>
      <c r="Q749" s="3"/>
      <c r="R749" s="3"/>
      <c r="S749" s="3">
        <f t="shared" si="426"/>
        <v>0</v>
      </c>
      <c r="T749" s="3"/>
      <c r="U749" s="3">
        <f t="shared" si="427"/>
        <v>0</v>
      </c>
      <c r="V749" s="3"/>
      <c r="W749" s="3">
        <f t="shared" si="428"/>
        <v>0</v>
      </c>
      <c r="X749" s="3"/>
      <c r="Y749" s="3"/>
      <c r="Z749" s="3">
        <f t="shared" si="429"/>
        <v>0</v>
      </c>
      <c r="AA749" s="3"/>
      <c r="AB749" s="3"/>
      <c r="AC749" s="3"/>
      <c r="AD749" s="3">
        <f t="shared" si="430"/>
        <v>0</v>
      </c>
      <c r="AE749" s="3"/>
      <c r="AF749" s="3">
        <f t="shared" si="431"/>
        <v>0</v>
      </c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42"/>
      <c r="AR749" s="3"/>
      <c r="AS749" s="42"/>
      <c r="AT749" s="3"/>
      <c r="AU749" s="42"/>
      <c r="AV749" s="3"/>
      <c r="AW749" s="42"/>
      <c r="AX749" s="3"/>
      <c r="AZ749" s="3"/>
    </row>
    <row r="750" spans="1:53" x14ac:dyDescent="0.25">
      <c r="A750" s="3" t="s">
        <v>535</v>
      </c>
      <c r="J750" s="3"/>
      <c r="K750" s="4">
        <f t="shared" si="424"/>
        <v>0</v>
      </c>
      <c r="L750" s="4"/>
      <c r="N750" s="4">
        <f t="shared" si="425"/>
        <v>0</v>
      </c>
      <c r="P750" s="3"/>
      <c r="Q750" s="3"/>
      <c r="R750" s="3"/>
      <c r="S750" s="3">
        <f t="shared" si="426"/>
        <v>0</v>
      </c>
      <c r="T750" s="3"/>
      <c r="U750" s="3">
        <f t="shared" si="427"/>
        <v>0</v>
      </c>
      <c r="V750" s="3"/>
      <c r="W750" s="3">
        <f t="shared" si="428"/>
        <v>0</v>
      </c>
      <c r="X750" s="3"/>
      <c r="Y750" s="3"/>
      <c r="Z750" s="3">
        <f t="shared" si="429"/>
        <v>0</v>
      </c>
      <c r="AA750" s="3"/>
      <c r="AB750" s="3"/>
      <c r="AC750" s="3"/>
      <c r="AD750" s="3">
        <f t="shared" si="430"/>
        <v>0</v>
      </c>
      <c r="AE750" s="3"/>
      <c r="AF750" s="3">
        <f t="shared" si="431"/>
        <v>0</v>
      </c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42"/>
      <c r="AR750" s="3"/>
      <c r="AS750" s="42"/>
      <c r="AT750" s="3"/>
      <c r="AU750" s="42"/>
      <c r="AV750" s="3"/>
      <c r="AW750" s="42"/>
      <c r="AX750" s="3"/>
      <c r="AZ750" s="3"/>
    </row>
    <row r="751" spans="1:53" x14ac:dyDescent="0.25">
      <c r="A751" s="3" t="s">
        <v>536</v>
      </c>
      <c r="J751" s="3"/>
      <c r="K751" s="4">
        <f t="shared" si="424"/>
        <v>0</v>
      </c>
      <c r="L751" s="4"/>
      <c r="N751" s="4">
        <f t="shared" si="425"/>
        <v>0</v>
      </c>
      <c r="P751" s="3"/>
      <c r="Q751" s="3"/>
      <c r="R751" s="3"/>
      <c r="S751" s="3">
        <f t="shared" si="426"/>
        <v>0</v>
      </c>
      <c r="T751" s="3"/>
      <c r="U751" s="3">
        <f t="shared" si="427"/>
        <v>0</v>
      </c>
      <c r="V751" s="3"/>
      <c r="W751" s="3">
        <f t="shared" si="428"/>
        <v>0</v>
      </c>
      <c r="X751" s="3"/>
      <c r="Y751" s="3"/>
      <c r="Z751" s="3">
        <f t="shared" si="429"/>
        <v>0</v>
      </c>
      <c r="AA751" s="3"/>
      <c r="AB751" s="3"/>
      <c r="AC751" s="3"/>
      <c r="AD751" s="3">
        <f t="shared" si="430"/>
        <v>0</v>
      </c>
      <c r="AE751" s="3"/>
      <c r="AF751" s="3">
        <f t="shared" si="431"/>
        <v>0</v>
      </c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42"/>
      <c r="AR751" s="3"/>
      <c r="AS751" s="42"/>
      <c r="AT751" s="3"/>
      <c r="AU751" s="42"/>
      <c r="AV751" s="3"/>
      <c r="AW751" s="42"/>
      <c r="AX751" s="3"/>
      <c r="AZ751" s="3"/>
    </row>
    <row r="752" spans="1:53" x14ac:dyDescent="0.25">
      <c r="A752" s="3" t="s">
        <v>537</v>
      </c>
      <c r="J752" s="3"/>
      <c r="K752" s="4">
        <f t="shared" si="424"/>
        <v>0</v>
      </c>
      <c r="L752" s="4"/>
      <c r="N752" s="4">
        <f t="shared" si="425"/>
        <v>0</v>
      </c>
      <c r="P752" s="3"/>
      <c r="Q752" s="3"/>
      <c r="R752" s="3"/>
      <c r="S752" s="3">
        <f t="shared" si="426"/>
        <v>0</v>
      </c>
      <c r="T752" s="3"/>
      <c r="U752" s="3">
        <f t="shared" si="427"/>
        <v>0</v>
      </c>
      <c r="V752" s="3"/>
      <c r="W752" s="3">
        <f t="shared" si="428"/>
        <v>0</v>
      </c>
      <c r="X752" s="3"/>
      <c r="Y752" s="3"/>
      <c r="Z752" s="3">
        <f t="shared" si="429"/>
        <v>0</v>
      </c>
      <c r="AA752" s="3"/>
      <c r="AB752" s="3"/>
      <c r="AC752" s="3"/>
      <c r="AD752" s="3">
        <f t="shared" si="430"/>
        <v>0</v>
      </c>
      <c r="AE752" s="3"/>
      <c r="AF752" s="3">
        <f t="shared" si="431"/>
        <v>0</v>
      </c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42"/>
      <c r="AR752" s="3"/>
      <c r="AS752" s="42"/>
      <c r="AT752" s="3"/>
      <c r="AU752" s="42"/>
      <c r="AV752" s="3"/>
      <c r="AW752" s="42"/>
      <c r="AX752" s="3"/>
      <c r="AZ752" s="3"/>
    </row>
    <row r="753" spans="1:52" x14ac:dyDescent="0.25">
      <c r="A753" s="3" t="s">
        <v>538</v>
      </c>
      <c r="J753" s="3"/>
      <c r="K753" s="4">
        <f t="shared" si="424"/>
        <v>0</v>
      </c>
      <c r="L753" s="4"/>
      <c r="N753" s="4">
        <f t="shared" si="425"/>
        <v>0</v>
      </c>
      <c r="P753" s="3">
        <f>B753*1.03</f>
        <v>0</v>
      </c>
      <c r="Q753" s="3"/>
      <c r="R753" s="3"/>
      <c r="S753" s="3">
        <f t="shared" si="426"/>
        <v>0</v>
      </c>
      <c r="T753" s="3"/>
      <c r="U753" s="3">
        <f t="shared" si="427"/>
        <v>0</v>
      </c>
      <c r="V753" s="3"/>
      <c r="W753" s="3">
        <f t="shared" si="428"/>
        <v>0</v>
      </c>
      <c r="X753" s="3"/>
      <c r="Y753" s="3"/>
      <c r="Z753" s="3">
        <f t="shared" si="429"/>
        <v>0</v>
      </c>
      <c r="AA753" s="3"/>
      <c r="AB753" s="3"/>
      <c r="AC753" s="3"/>
      <c r="AD753" s="3">
        <f t="shared" si="430"/>
        <v>0</v>
      </c>
      <c r="AE753" s="3"/>
      <c r="AF753" s="3">
        <f t="shared" si="431"/>
        <v>0</v>
      </c>
      <c r="AG753" s="3"/>
      <c r="AH753" s="3">
        <f>P753*1.03</f>
        <v>0</v>
      </c>
      <c r="AI753" s="3"/>
      <c r="AJ753" s="3">
        <f>AH753*1.03</f>
        <v>0</v>
      </c>
      <c r="AK753" s="3"/>
      <c r="AL753" s="3">
        <f>AJ753*1.03</f>
        <v>0</v>
      </c>
      <c r="AM753" s="3"/>
      <c r="AN753" s="3">
        <f>AL753*1.03</f>
        <v>0</v>
      </c>
      <c r="AO753" s="3"/>
      <c r="AP753" s="3">
        <f>AN753*1.03</f>
        <v>0</v>
      </c>
      <c r="AQ753" s="42"/>
      <c r="AR753" s="3">
        <f>AP753*1.03</f>
        <v>0</v>
      </c>
      <c r="AS753" s="42"/>
      <c r="AT753" s="3">
        <f>AR753*1.03</f>
        <v>0</v>
      </c>
      <c r="AU753" s="42"/>
      <c r="AV753" s="3">
        <f>AT753*1.03</f>
        <v>0</v>
      </c>
      <c r="AW753" s="42"/>
      <c r="AX753" s="3">
        <f>AV753*1.03</f>
        <v>0</v>
      </c>
      <c r="AZ753" s="3">
        <f>AX753*1.03</f>
        <v>0</v>
      </c>
    </row>
    <row r="754" spans="1:52" x14ac:dyDescent="0.25">
      <c r="A754" s="3" t="s">
        <v>539</v>
      </c>
      <c r="E754" s="3">
        <f>F754-D754</f>
        <v>0</v>
      </c>
      <c r="H754" s="5">
        <f>F754-B754</f>
        <v>0</v>
      </c>
      <c r="J754" s="3"/>
      <c r="K754" s="4">
        <f t="shared" si="424"/>
        <v>0</v>
      </c>
      <c r="L754" s="4"/>
      <c r="N754" s="4">
        <f t="shared" si="425"/>
        <v>0</v>
      </c>
      <c r="P754" s="3"/>
      <c r="Q754" s="3"/>
      <c r="R754" s="3"/>
      <c r="S754" s="3">
        <f t="shared" si="426"/>
        <v>0</v>
      </c>
      <c r="T754" s="3"/>
      <c r="U754" s="3">
        <f t="shared" si="427"/>
        <v>0</v>
      </c>
      <c r="V754" s="3"/>
      <c r="W754" s="3">
        <f t="shared" si="428"/>
        <v>0</v>
      </c>
      <c r="X754" s="3"/>
      <c r="Y754" s="3"/>
      <c r="Z754" s="3">
        <f t="shared" si="429"/>
        <v>0</v>
      </c>
      <c r="AA754" s="3"/>
      <c r="AB754" s="3"/>
      <c r="AC754" s="3"/>
      <c r="AD754" s="3">
        <f t="shared" si="430"/>
        <v>0</v>
      </c>
      <c r="AE754" s="3"/>
      <c r="AF754" s="3">
        <f t="shared" si="431"/>
        <v>0</v>
      </c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42"/>
      <c r="AR754" s="3"/>
      <c r="AS754" s="42"/>
      <c r="AT754" s="3"/>
      <c r="AU754" s="42"/>
      <c r="AV754" s="3"/>
      <c r="AW754" s="42"/>
      <c r="AX754" s="3"/>
      <c r="AZ754" s="3"/>
    </row>
    <row r="755" spans="1:52" x14ac:dyDescent="0.25">
      <c r="A755" s="3" t="s">
        <v>540</v>
      </c>
      <c r="B755" s="5">
        <v>12600</v>
      </c>
      <c r="E755" s="3">
        <f>F755-D755</f>
        <v>12600</v>
      </c>
      <c r="F755" s="5">
        <v>12600</v>
      </c>
      <c r="H755" s="5">
        <f>F755-B755</f>
        <v>0</v>
      </c>
      <c r="J755" s="3">
        <v>3344</v>
      </c>
      <c r="K755" s="4">
        <f t="shared" si="424"/>
        <v>9256</v>
      </c>
      <c r="L755" s="4">
        <v>12600</v>
      </c>
      <c r="N755" s="4">
        <f t="shared" si="425"/>
        <v>0</v>
      </c>
      <c r="P755" s="3">
        <f>L755*1.03+22</f>
        <v>13000</v>
      </c>
      <c r="Q755" s="3"/>
      <c r="R755" s="3">
        <v>143</v>
      </c>
      <c r="S755" s="3">
        <f t="shared" si="426"/>
        <v>12857</v>
      </c>
      <c r="T755" s="3">
        <v>13000</v>
      </c>
      <c r="U755" s="3">
        <f t="shared" si="427"/>
        <v>0</v>
      </c>
      <c r="V755" s="3">
        <v>3939</v>
      </c>
      <c r="W755" s="3">
        <f t="shared" si="428"/>
        <v>9061</v>
      </c>
      <c r="X755" s="3"/>
      <c r="Y755" s="3">
        <v>13000</v>
      </c>
      <c r="Z755" s="3">
        <f t="shared" si="429"/>
        <v>0</v>
      </c>
      <c r="AA755" s="3"/>
      <c r="AB755" s="3"/>
      <c r="AC755" s="3">
        <v>7650</v>
      </c>
      <c r="AD755" s="3">
        <f t="shared" si="430"/>
        <v>5350</v>
      </c>
      <c r="AE755" s="3">
        <v>13000</v>
      </c>
      <c r="AF755" s="3">
        <f t="shared" si="431"/>
        <v>0</v>
      </c>
      <c r="AG755" s="3"/>
      <c r="AH755" s="3">
        <f>P755*1.03+10</f>
        <v>13400</v>
      </c>
      <c r="AI755" s="3"/>
      <c r="AJ755" s="3">
        <f>AH755*1.03</f>
        <v>13802</v>
      </c>
      <c r="AK755" s="3"/>
      <c r="AL755" s="3">
        <f>AJ755*1.03</f>
        <v>14216.06</v>
      </c>
      <c r="AM755" s="3"/>
      <c r="AN755" s="3">
        <f>AL755*1.03</f>
        <v>14642.541799999999</v>
      </c>
      <c r="AO755" s="3"/>
      <c r="AP755" s="3">
        <f>AN755*1.03</f>
        <v>15081.818053999999</v>
      </c>
      <c r="AQ755" s="42"/>
      <c r="AR755" s="3">
        <f>AP755*1.03</f>
        <v>15534.272595619999</v>
      </c>
      <c r="AS755" s="42"/>
      <c r="AT755" s="3">
        <f>AR755*1.03</f>
        <v>16000.3007734886</v>
      </c>
      <c r="AU755" s="42"/>
      <c r="AV755" s="3">
        <f>AT755*1.03</f>
        <v>16480.309796693258</v>
      </c>
      <c r="AW755" s="42"/>
      <c r="AX755" s="3">
        <f>AV755*1.03</f>
        <v>16974.719090594055</v>
      </c>
      <c r="AZ755" s="3">
        <f>AX755*1.03</f>
        <v>17483.960663311878</v>
      </c>
    </row>
    <row r="756" spans="1:52" x14ac:dyDescent="0.25">
      <c r="A756" s="3" t="s">
        <v>541</v>
      </c>
      <c r="B756" s="76">
        <v>2000</v>
      </c>
      <c r="E756" s="3"/>
      <c r="J756" s="3"/>
      <c r="K756" s="4"/>
      <c r="L756" s="4"/>
      <c r="N756" s="4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>
        <v>8000</v>
      </c>
      <c r="AI756" s="3"/>
      <c r="AJ756" s="3"/>
      <c r="AK756" s="3"/>
      <c r="AL756" s="3"/>
      <c r="AM756" s="3"/>
      <c r="AN756" s="3"/>
      <c r="AO756" s="3"/>
      <c r="AP756" s="3"/>
      <c r="AQ756" s="42"/>
      <c r="AR756" s="3"/>
      <c r="AS756" s="42"/>
      <c r="AT756" s="3"/>
      <c r="AU756" s="42"/>
      <c r="AV756" s="3"/>
      <c r="AW756" s="42"/>
      <c r="AX756" s="3"/>
      <c r="AZ756" s="3"/>
    </row>
    <row r="757" spans="1:52" x14ac:dyDescent="0.25">
      <c r="A757" s="3" t="s">
        <v>537</v>
      </c>
      <c r="B757" s="5">
        <v>6250</v>
      </c>
      <c r="D757" s="5">
        <v>0</v>
      </c>
      <c r="E757" s="3">
        <f>F757-D757</f>
        <v>6250</v>
      </c>
      <c r="F757" s="5">
        <v>6250</v>
      </c>
      <c r="H757" s="5">
        <f>F757-B757</f>
        <v>0</v>
      </c>
      <c r="K757" s="4">
        <f t="shared" si="424"/>
        <v>6250</v>
      </c>
      <c r="L757" s="4">
        <v>6250</v>
      </c>
      <c r="N757" s="4">
        <f t="shared" si="425"/>
        <v>0</v>
      </c>
      <c r="P757" s="3">
        <f>L757+200</f>
        <v>6450</v>
      </c>
      <c r="Q757" s="3"/>
      <c r="R757" s="3">
        <v>0</v>
      </c>
      <c r="S757" s="3">
        <f t="shared" si="426"/>
        <v>6450</v>
      </c>
      <c r="T757" s="3">
        <v>6450</v>
      </c>
      <c r="U757" s="3">
        <f t="shared" si="427"/>
        <v>0</v>
      </c>
      <c r="V757" s="3"/>
      <c r="W757" s="3">
        <f t="shared" si="428"/>
        <v>6450</v>
      </c>
      <c r="X757" s="3"/>
      <c r="Y757" s="3">
        <v>6450</v>
      </c>
      <c r="Z757" s="3">
        <f t="shared" si="429"/>
        <v>0</v>
      </c>
      <c r="AA757" s="3"/>
      <c r="AB757" s="3"/>
      <c r="AC757" s="3">
        <v>0</v>
      </c>
      <c r="AD757" s="3">
        <f t="shared" si="430"/>
        <v>6450</v>
      </c>
      <c r="AE757" s="3">
        <v>6450</v>
      </c>
      <c r="AF757" s="3">
        <f t="shared" si="431"/>
        <v>0</v>
      </c>
      <c r="AG757" s="3"/>
      <c r="AH757" s="3">
        <f>P757+200</f>
        <v>6650</v>
      </c>
      <c r="AI757" s="3"/>
      <c r="AJ757" s="3">
        <f>AH757+200</f>
        <v>6850</v>
      </c>
      <c r="AK757" s="3"/>
      <c r="AL757" s="3">
        <f>AJ757+200</f>
        <v>7050</v>
      </c>
      <c r="AM757" s="3"/>
      <c r="AN757" s="3">
        <f>AL757+200</f>
        <v>7250</v>
      </c>
      <c r="AO757" s="3"/>
      <c r="AP757" s="3">
        <f>AN757+200</f>
        <v>7450</v>
      </c>
      <c r="AQ757" s="42"/>
      <c r="AR757" s="3">
        <f>AP757+200</f>
        <v>7650</v>
      </c>
      <c r="AS757" s="42"/>
      <c r="AT757" s="3">
        <f>AR757+200</f>
        <v>7850</v>
      </c>
      <c r="AU757" s="42"/>
      <c r="AV757" s="3">
        <f>AT757+200</f>
        <v>8050</v>
      </c>
      <c r="AW757" s="42"/>
      <c r="AX757" s="3">
        <f>AV757+200</f>
        <v>8250</v>
      </c>
      <c r="AZ757" s="3">
        <f>AX757+200</f>
        <v>8450</v>
      </c>
    </row>
    <row r="758" spans="1:52" x14ac:dyDescent="0.25">
      <c r="A758" s="3"/>
      <c r="B758" s="48">
        <f>SUM(B728:B757)</f>
        <v>2824650</v>
      </c>
      <c r="C758" s="32"/>
      <c r="D758" s="48">
        <f>SUM(D728:D757)</f>
        <v>748960</v>
      </c>
      <c r="E758" s="48">
        <f>SUM(E728:E757)</f>
        <v>3040572</v>
      </c>
      <c r="F758" s="48">
        <f>SUM(F728:F757)</f>
        <v>3789532</v>
      </c>
      <c r="G758" s="32"/>
      <c r="H758" s="48">
        <f>SUM(H728:H757)</f>
        <v>966882</v>
      </c>
      <c r="I758" s="36"/>
      <c r="J758" s="48">
        <f>SUM(J728:J757)</f>
        <v>1716526</v>
      </c>
      <c r="K758" s="48">
        <f>SUM(K728:K757)</f>
        <v>2072999</v>
      </c>
      <c r="L758" s="48">
        <f>SUM(L728:L757)</f>
        <v>3789525</v>
      </c>
      <c r="M758" s="32"/>
      <c r="N758" s="48">
        <f>SUM(N728:N757)</f>
        <v>-7</v>
      </c>
      <c r="P758" s="48">
        <f>SUM(P728:P757)</f>
        <v>2578450</v>
      </c>
      <c r="R758" s="48">
        <f t="shared" ref="R758:Z758" si="432">SUM(R728:R757)</f>
        <v>517076</v>
      </c>
      <c r="S758" s="48">
        <f t="shared" si="432"/>
        <v>2066174</v>
      </c>
      <c r="T758" s="48">
        <f t="shared" si="432"/>
        <v>2583250</v>
      </c>
      <c r="U758" s="48">
        <f t="shared" si="432"/>
        <v>4800</v>
      </c>
      <c r="V758" s="48">
        <f t="shared" si="432"/>
        <v>1032734</v>
      </c>
      <c r="W758" s="48">
        <f t="shared" si="432"/>
        <v>1565716</v>
      </c>
      <c r="X758" s="48"/>
      <c r="Y758" s="48">
        <f t="shared" si="432"/>
        <v>2598450</v>
      </c>
      <c r="Z758" s="48">
        <f t="shared" si="432"/>
        <v>15200</v>
      </c>
      <c r="AC758" s="48">
        <f>SUM(AC728:AC757)</f>
        <v>1426669</v>
      </c>
      <c r="AD758" s="48">
        <f>SUM(AD728:AD757)</f>
        <v>1176781</v>
      </c>
      <c r="AE758" s="48">
        <f>SUM(AE728:AE757)</f>
        <v>2603450</v>
      </c>
      <c r="AF758" s="48">
        <f>SUM(AF728:AF757)</f>
        <v>5000</v>
      </c>
      <c r="AH758" s="48">
        <f>SUM(AH728:AH757)</f>
        <v>4090050</v>
      </c>
      <c r="AJ758" s="48">
        <f>SUM(AJ728:AJ757)</f>
        <v>82742</v>
      </c>
      <c r="AL758" s="48">
        <f>SUM(AL728:AL757)</f>
        <v>83448.759999999995</v>
      </c>
      <c r="AN758" s="48">
        <f>SUM(AN728:AN757)</f>
        <v>84170.722799999989</v>
      </c>
      <c r="AO758" s="48"/>
      <c r="AP758" s="48">
        <f>SUM(AP728:AP757)</f>
        <v>84908.344484000001</v>
      </c>
      <c r="AR758" s="48">
        <f>SUM(AR728:AR757)</f>
        <v>85662.094818519996</v>
      </c>
      <c r="AT758" s="48">
        <f>SUM(AT728:AT757)</f>
        <v>86432.457663075606</v>
      </c>
      <c r="AV758" s="48">
        <f>SUM(AV728:AV757)</f>
        <v>87219.931392967861</v>
      </c>
      <c r="AX758" s="48">
        <f>SUM(AX728:AX757)</f>
        <v>88025.02933475691</v>
      </c>
      <c r="AZ758" s="48">
        <f>SUM(AZ728:AZ757)</f>
        <v>88848.280214799612</v>
      </c>
    </row>
    <row r="759" spans="1:52" x14ac:dyDescent="0.25">
      <c r="A759" s="7" t="s">
        <v>542</v>
      </c>
      <c r="B759" s="3"/>
      <c r="D759" s="3"/>
      <c r="E759" s="3"/>
      <c r="F759" s="3"/>
      <c r="H759" s="3"/>
      <c r="I759" s="3"/>
      <c r="J759" s="3"/>
      <c r="K759" s="3"/>
      <c r="L759" s="3"/>
      <c r="N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</row>
    <row r="760" spans="1:52" x14ac:dyDescent="0.25">
      <c r="A760" s="3" t="s">
        <v>543</v>
      </c>
      <c r="B760" s="3">
        <v>260000</v>
      </c>
      <c r="D760" s="3">
        <f>4824</f>
        <v>4824</v>
      </c>
      <c r="E760" s="3">
        <f t="shared" ref="E760:E788" si="433">F760-D760</f>
        <v>255176</v>
      </c>
      <c r="F760" s="5">
        <v>260000</v>
      </c>
      <c r="H760" s="5">
        <f t="shared" ref="H760:H788" si="434">F760-B760</f>
        <v>0</v>
      </c>
      <c r="K760" s="4">
        <f t="shared" ref="K760:K788" si="435">L760-J760</f>
        <v>66550</v>
      </c>
      <c r="L760" s="4">
        <v>66550</v>
      </c>
      <c r="N760" s="4">
        <f t="shared" ref="N760:N788" si="436">L760-F760</f>
        <v>-193450</v>
      </c>
      <c r="P760" s="3">
        <v>190000</v>
      </c>
      <c r="Q760" s="3"/>
      <c r="R760" s="3"/>
      <c r="S760" s="3">
        <f t="shared" ref="S760:S788" si="437">T760-R760</f>
        <v>190000</v>
      </c>
      <c r="T760" s="3">
        <v>190000</v>
      </c>
      <c r="U760" s="3">
        <f t="shared" ref="U760:U788" si="438">T760-P760</f>
        <v>0</v>
      </c>
      <c r="V760" s="3"/>
      <c r="W760" s="3">
        <f t="shared" ref="W760:W788" si="439">Y760-V760</f>
        <v>190000</v>
      </c>
      <c r="X760" s="3"/>
      <c r="Y760" s="3">
        <v>190000</v>
      </c>
      <c r="Z760" s="3">
        <f t="shared" ref="Z760:Z788" si="440">Y760-T760</f>
        <v>0</v>
      </c>
      <c r="AA760" s="3"/>
      <c r="AB760" s="3"/>
      <c r="AC760" s="3">
        <f>230+5740</f>
        <v>5970</v>
      </c>
      <c r="AD760" s="3">
        <f t="shared" ref="AD760:AD787" si="441">AE760-AC760</f>
        <v>64030</v>
      </c>
      <c r="AE760" s="3">
        <v>70000</v>
      </c>
      <c r="AF760" s="3">
        <f t="shared" ref="AF760:AF787" si="442">AE760-Y760</f>
        <v>-120000</v>
      </c>
      <c r="AG760" s="3"/>
      <c r="AH760" s="3">
        <v>230000</v>
      </c>
      <c r="AI760" s="3"/>
      <c r="AJ760" s="3">
        <v>240000</v>
      </c>
      <c r="AK760" s="3"/>
      <c r="AL760" s="3">
        <v>240000</v>
      </c>
      <c r="AM760" s="3"/>
      <c r="AN760" s="3">
        <v>270000</v>
      </c>
      <c r="AO760" s="3"/>
      <c r="AP760" s="3">
        <v>280000</v>
      </c>
      <c r="AQ760" s="3"/>
      <c r="AR760" s="3">
        <v>280000</v>
      </c>
      <c r="AS760" s="3"/>
      <c r="AT760" s="3">
        <v>310000</v>
      </c>
      <c r="AU760" s="3"/>
      <c r="AV760" s="3">
        <v>320000</v>
      </c>
      <c r="AW760" s="42"/>
      <c r="AX760" s="3">
        <v>320000</v>
      </c>
      <c r="AZ760" s="3">
        <v>320000</v>
      </c>
    </row>
    <row r="761" spans="1:52" x14ac:dyDescent="0.25">
      <c r="A761" s="3" t="s">
        <v>544</v>
      </c>
      <c r="B761" s="3"/>
      <c r="D761" s="3"/>
      <c r="E761" s="3">
        <f t="shared" si="433"/>
        <v>0</v>
      </c>
      <c r="H761" s="5">
        <f t="shared" si="434"/>
        <v>0</v>
      </c>
      <c r="K761" s="4">
        <f t="shared" si="435"/>
        <v>0</v>
      </c>
      <c r="L761" s="4"/>
      <c r="N761" s="4">
        <f t="shared" si="436"/>
        <v>0</v>
      </c>
      <c r="P761" s="3"/>
      <c r="Q761" s="3"/>
      <c r="R761" s="3"/>
      <c r="S761" s="3">
        <f t="shared" si="437"/>
        <v>0</v>
      </c>
      <c r="T761" s="3"/>
      <c r="U761" s="3">
        <f t="shared" si="438"/>
        <v>0</v>
      </c>
      <c r="V761" s="3"/>
      <c r="W761" s="3">
        <f t="shared" si="439"/>
        <v>0</v>
      </c>
      <c r="X761" s="3"/>
      <c r="Y761" s="3"/>
      <c r="Z761" s="3">
        <f t="shared" si="440"/>
        <v>0</v>
      </c>
      <c r="AA761" s="3"/>
      <c r="AB761" s="3"/>
      <c r="AC761" s="3"/>
      <c r="AD761" s="3">
        <f t="shared" si="441"/>
        <v>0</v>
      </c>
      <c r="AE761" s="3"/>
      <c r="AF761" s="3">
        <f t="shared" si="442"/>
        <v>0</v>
      </c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42"/>
      <c r="AR761" s="3"/>
      <c r="AS761" s="42"/>
      <c r="AT761" s="3"/>
      <c r="AU761" s="42"/>
      <c r="AV761" s="3"/>
      <c r="AW761" s="42"/>
      <c r="AX761" s="3"/>
      <c r="AZ761" s="3"/>
    </row>
    <row r="762" spans="1:52" x14ac:dyDescent="0.25">
      <c r="A762" s="3" t="s">
        <v>545</v>
      </c>
      <c r="B762" s="3">
        <v>18000</v>
      </c>
      <c r="D762" s="3"/>
      <c r="E762" s="3">
        <f t="shared" si="433"/>
        <v>18000</v>
      </c>
      <c r="F762" s="5">
        <v>18000</v>
      </c>
      <c r="H762" s="5">
        <f t="shared" si="434"/>
        <v>0</v>
      </c>
      <c r="J762" s="5">
        <v>17</v>
      </c>
      <c r="K762" s="4">
        <f t="shared" si="435"/>
        <v>17983</v>
      </c>
      <c r="L762" s="4">
        <v>18000</v>
      </c>
      <c r="N762" s="4">
        <f t="shared" si="436"/>
        <v>0</v>
      </c>
      <c r="P762" s="3">
        <v>39000</v>
      </c>
      <c r="Q762" s="3"/>
      <c r="R762" s="3"/>
      <c r="S762" s="3">
        <f t="shared" si="437"/>
        <v>39000</v>
      </c>
      <c r="T762" s="3">
        <v>39000</v>
      </c>
      <c r="U762" s="3">
        <f t="shared" si="438"/>
        <v>0</v>
      </c>
      <c r="V762" s="3">
        <v>978</v>
      </c>
      <c r="W762" s="3">
        <f t="shared" si="439"/>
        <v>38022</v>
      </c>
      <c r="X762" s="3"/>
      <c r="Y762" s="3">
        <v>39000</v>
      </c>
      <c r="Z762" s="3">
        <f t="shared" si="440"/>
        <v>0</v>
      </c>
      <c r="AA762" s="3"/>
      <c r="AB762" s="3"/>
      <c r="AC762" s="3">
        <v>1161</v>
      </c>
      <c r="AD762" s="3">
        <f t="shared" si="441"/>
        <v>37839</v>
      </c>
      <c r="AE762" s="3">
        <v>39000</v>
      </c>
      <c r="AF762" s="3">
        <f t="shared" si="442"/>
        <v>0</v>
      </c>
      <c r="AG762" s="3"/>
      <c r="AH762" s="3">
        <v>29000</v>
      </c>
      <c r="AI762" s="3"/>
      <c r="AJ762" s="3">
        <v>23000</v>
      </c>
      <c r="AK762" s="3"/>
      <c r="AL762" s="3">
        <v>66000</v>
      </c>
      <c r="AM762" s="3"/>
      <c r="AN762" s="3">
        <v>22500</v>
      </c>
      <c r="AO762" s="3"/>
      <c r="AP762" s="3">
        <v>36000</v>
      </c>
      <c r="AQ762" s="42"/>
      <c r="AR762" s="3">
        <v>65500</v>
      </c>
      <c r="AS762" s="42"/>
      <c r="AT762" s="3">
        <v>18000</v>
      </c>
      <c r="AU762" s="42"/>
      <c r="AV762" s="3">
        <v>29500</v>
      </c>
      <c r="AW762" s="42"/>
      <c r="AX762" s="3">
        <v>12500</v>
      </c>
      <c r="AZ762" s="3">
        <v>12500</v>
      </c>
    </row>
    <row r="763" spans="1:52" x14ac:dyDescent="0.25">
      <c r="A763" s="3" t="s">
        <v>546</v>
      </c>
      <c r="B763" s="3"/>
      <c r="D763" s="3"/>
      <c r="E763" s="3">
        <f t="shared" si="433"/>
        <v>0</v>
      </c>
      <c r="H763" s="5">
        <f t="shared" si="434"/>
        <v>0</v>
      </c>
      <c r="K763" s="4">
        <f t="shared" si="435"/>
        <v>0</v>
      </c>
      <c r="L763" s="4"/>
      <c r="N763" s="4">
        <f t="shared" si="436"/>
        <v>0</v>
      </c>
      <c r="P763" s="3"/>
      <c r="Q763" s="3"/>
      <c r="R763" s="3"/>
      <c r="S763" s="3">
        <f t="shared" si="437"/>
        <v>0</v>
      </c>
      <c r="T763" s="3"/>
      <c r="U763" s="3">
        <f t="shared" si="438"/>
        <v>0</v>
      </c>
      <c r="V763" s="3">
        <v>31150</v>
      </c>
      <c r="W763" s="3">
        <f t="shared" si="439"/>
        <v>0</v>
      </c>
      <c r="X763" s="3"/>
      <c r="Y763" s="3">
        <v>31150</v>
      </c>
      <c r="Z763" s="3">
        <f t="shared" si="440"/>
        <v>31150</v>
      </c>
      <c r="AA763" s="3"/>
      <c r="AB763" s="3"/>
      <c r="AC763" s="3">
        <v>42444</v>
      </c>
      <c r="AD763" s="3">
        <f t="shared" si="441"/>
        <v>6</v>
      </c>
      <c r="AE763" s="3">
        <v>42450</v>
      </c>
      <c r="AF763" s="3">
        <f t="shared" si="442"/>
        <v>11300</v>
      </c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42"/>
      <c r="AR763" s="3"/>
      <c r="AS763" s="42"/>
      <c r="AT763" s="3"/>
      <c r="AU763" s="42"/>
      <c r="AV763" s="3"/>
      <c r="AW763" s="42"/>
      <c r="AX763" s="3"/>
      <c r="AZ763" s="3"/>
    </row>
    <row r="764" spans="1:52" x14ac:dyDescent="0.25">
      <c r="A764" s="3" t="s">
        <v>547</v>
      </c>
      <c r="B764" s="3">
        <v>5000</v>
      </c>
      <c r="D764" s="3"/>
      <c r="E764" s="3">
        <f t="shared" si="433"/>
        <v>5000</v>
      </c>
      <c r="F764" s="5">
        <v>5000</v>
      </c>
      <c r="H764" s="5">
        <f t="shared" si="434"/>
        <v>0</v>
      </c>
      <c r="K764" s="4">
        <f t="shared" si="435"/>
        <v>5000</v>
      </c>
      <c r="L764" s="4">
        <v>5000</v>
      </c>
      <c r="N764" s="4">
        <f t="shared" si="436"/>
        <v>0</v>
      </c>
      <c r="P764" s="3">
        <v>7000</v>
      </c>
      <c r="Q764" s="3"/>
      <c r="R764" s="3"/>
      <c r="S764" s="3">
        <f t="shared" si="437"/>
        <v>7000</v>
      </c>
      <c r="T764" s="3">
        <v>7000</v>
      </c>
      <c r="U764" s="3">
        <f t="shared" si="438"/>
        <v>0</v>
      </c>
      <c r="V764" s="3"/>
      <c r="W764" s="3">
        <f t="shared" si="439"/>
        <v>7000</v>
      </c>
      <c r="X764" s="3"/>
      <c r="Y764" s="3">
        <v>7000</v>
      </c>
      <c r="Z764" s="3">
        <f t="shared" si="440"/>
        <v>0</v>
      </c>
      <c r="AA764" s="3"/>
      <c r="AB764" s="3"/>
      <c r="AC764" s="3"/>
      <c r="AD764" s="3">
        <f t="shared" si="441"/>
        <v>7000</v>
      </c>
      <c r="AE764" s="3">
        <v>7000</v>
      </c>
      <c r="AF764" s="3">
        <f t="shared" si="442"/>
        <v>0</v>
      </c>
      <c r="AG764" s="3"/>
      <c r="AH764" s="3">
        <v>7000</v>
      </c>
      <c r="AI764" s="3"/>
      <c r="AJ764" s="3">
        <v>7000</v>
      </c>
      <c r="AK764" s="3"/>
      <c r="AL764" s="3">
        <v>7000</v>
      </c>
      <c r="AM764" s="3"/>
      <c r="AN764" s="3">
        <v>8000</v>
      </c>
      <c r="AO764" s="3"/>
      <c r="AP764" s="3">
        <v>8000</v>
      </c>
      <c r="AQ764" s="42"/>
      <c r="AR764" s="3">
        <v>8000</v>
      </c>
      <c r="AS764" s="42"/>
      <c r="AT764" s="3">
        <v>8000</v>
      </c>
      <c r="AU764" s="42"/>
      <c r="AV764" s="3">
        <v>8000</v>
      </c>
      <c r="AW764" s="42"/>
      <c r="AX764" s="3">
        <v>10000</v>
      </c>
      <c r="AZ764" s="3">
        <v>10000</v>
      </c>
    </row>
    <row r="765" spans="1:52" x14ac:dyDescent="0.25">
      <c r="A765" s="3" t="s">
        <v>548</v>
      </c>
      <c r="B765" s="3"/>
      <c r="D765" s="3"/>
      <c r="E765" s="3">
        <f t="shared" si="433"/>
        <v>0</v>
      </c>
      <c r="H765" s="5">
        <f t="shared" si="434"/>
        <v>0</v>
      </c>
      <c r="K765" s="4">
        <f t="shared" si="435"/>
        <v>0</v>
      </c>
      <c r="L765" s="4"/>
      <c r="N765" s="4">
        <f t="shared" si="436"/>
        <v>0</v>
      </c>
      <c r="P765" s="3"/>
      <c r="Q765" s="3"/>
      <c r="R765" s="3"/>
      <c r="S765" s="3">
        <f t="shared" si="437"/>
        <v>0</v>
      </c>
      <c r="T765" s="3"/>
      <c r="U765" s="3">
        <f t="shared" si="438"/>
        <v>0</v>
      </c>
      <c r="V765" s="3"/>
      <c r="W765" s="3">
        <f t="shared" si="439"/>
        <v>0</v>
      </c>
      <c r="X765" s="3"/>
      <c r="Y765" s="3"/>
      <c r="Z765" s="3">
        <f t="shared" si="440"/>
        <v>0</v>
      </c>
      <c r="AA765" s="3"/>
      <c r="AB765" s="3"/>
      <c r="AC765" s="3"/>
      <c r="AD765" s="3">
        <f t="shared" si="441"/>
        <v>0</v>
      </c>
      <c r="AE765" s="3"/>
      <c r="AF765" s="3">
        <f t="shared" si="442"/>
        <v>0</v>
      </c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42"/>
      <c r="AR765" s="3"/>
      <c r="AS765" s="42"/>
      <c r="AT765" s="3"/>
      <c r="AU765" s="42"/>
      <c r="AV765" s="3"/>
      <c r="AW765" s="42"/>
      <c r="AX765" s="3"/>
      <c r="AZ765" s="3"/>
    </row>
    <row r="766" spans="1:52" x14ac:dyDescent="0.25">
      <c r="A766" s="3" t="s">
        <v>549</v>
      </c>
      <c r="B766" s="3">
        <v>46000</v>
      </c>
      <c r="D766" s="3"/>
      <c r="E766" s="3">
        <f t="shared" si="433"/>
        <v>46000</v>
      </c>
      <c r="F766" s="5">
        <v>46000</v>
      </c>
      <c r="H766" s="5">
        <f t="shared" si="434"/>
        <v>0</v>
      </c>
      <c r="J766" s="5">
        <f>5455+26399</f>
        <v>31854</v>
      </c>
      <c r="K766" s="4">
        <f t="shared" si="435"/>
        <v>14146</v>
      </c>
      <c r="L766" s="4">
        <v>46000</v>
      </c>
      <c r="N766" s="4">
        <f t="shared" si="436"/>
        <v>0</v>
      </c>
      <c r="P766" s="3">
        <v>41000</v>
      </c>
      <c r="Q766" s="3"/>
      <c r="R766" s="3"/>
      <c r="S766" s="3">
        <f t="shared" si="437"/>
        <v>41000</v>
      </c>
      <c r="T766" s="3">
        <v>41000</v>
      </c>
      <c r="U766" s="3">
        <f t="shared" si="438"/>
        <v>0</v>
      </c>
      <c r="V766" s="3">
        <v>25338</v>
      </c>
      <c r="W766" s="3">
        <f t="shared" si="439"/>
        <v>15662</v>
      </c>
      <c r="X766" s="3"/>
      <c r="Y766" s="3">
        <v>41000</v>
      </c>
      <c r="Z766" s="3">
        <f t="shared" si="440"/>
        <v>0</v>
      </c>
      <c r="AA766" s="3"/>
      <c r="AB766" s="3"/>
      <c r="AC766" s="3">
        <v>49519</v>
      </c>
      <c r="AD766" s="3">
        <f t="shared" si="441"/>
        <v>10481</v>
      </c>
      <c r="AE766" s="3">
        <v>60000</v>
      </c>
      <c r="AF766" s="3">
        <f t="shared" si="442"/>
        <v>19000</v>
      </c>
      <c r="AG766" s="3"/>
      <c r="AH766" s="3">
        <v>45000</v>
      </c>
      <c r="AI766" s="3"/>
      <c r="AJ766" s="3">
        <v>66000</v>
      </c>
      <c r="AK766" s="3"/>
      <c r="AL766" s="3">
        <v>50000</v>
      </c>
      <c r="AM766" s="3"/>
      <c r="AN766" s="3">
        <v>50000</v>
      </c>
      <c r="AO766" s="3"/>
      <c r="AP766" s="3">
        <v>50000</v>
      </c>
      <c r="AQ766" s="42"/>
      <c r="AR766" s="3">
        <v>50000</v>
      </c>
      <c r="AS766" s="42"/>
      <c r="AT766" s="3">
        <v>60000</v>
      </c>
      <c r="AU766" s="42"/>
      <c r="AV766" s="3">
        <v>60000</v>
      </c>
      <c r="AW766" s="42"/>
      <c r="AX766" s="3">
        <v>60000</v>
      </c>
      <c r="AZ766" s="3">
        <v>60000</v>
      </c>
    </row>
    <row r="767" spans="1:52" x14ac:dyDescent="0.25">
      <c r="A767" s="3" t="s">
        <v>550</v>
      </c>
      <c r="B767" s="3"/>
      <c r="D767" s="3"/>
      <c r="E767" s="3">
        <f t="shared" si="433"/>
        <v>0</v>
      </c>
      <c r="H767" s="5">
        <f t="shared" si="434"/>
        <v>0</v>
      </c>
      <c r="K767" s="4">
        <f t="shared" si="435"/>
        <v>0</v>
      </c>
      <c r="L767" s="4"/>
      <c r="N767" s="4">
        <f t="shared" si="436"/>
        <v>0</v>
      </c>
      <c r="P767" s="3"/>
      <c r="Q767" s="3"/>
      <c r="R767" s="3"/>
      <c r="S767" s="3">
        <f t="shared" si="437"/>
        <v>0</v>
      </c>
      <c r="T767" s="3"/>
      <c r="U767" s="3">
        <f t="shared" si="438"/>
        <v>0</v>
      </c>
      <c r="V767" s="3"/>
      <c r="W767" s="3">
        <f t="shared" si="439"/>
        <v>0</v>
      </c>
      <c r="X767" s="3"/>
      <c r="Y767" s="3"/>
      <c r="Z767" s="3">
        <f t="shared" si="440"/>
        <v>0</v>
      </c>
      <c r="AA767" s="3"/>
      <c r="AB767" s="3"/>
      <c r="AC767" s="3"/>
      <c r="AD767" s="3">
        <f t="shared" si="441"/>
        <v>0</v>
      </c>
      <c r="AE767" s="3"/>
      <c r="AF767" s="3">
        <f t="shared" si="442"/>
        <v>0</v>
      </c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42"/>
      <c r="AX767" s="3"/>
      <c r="AZ767" s="3"/>
    </row>
    <row r="768" spans="1:52" x14ac:dyDescent="0.25">
      <c r="A768" s="3" t="s">
        <v>551</v>
      </c>
      <c r="B768" s="3"/>
      <c r="D768" s="3"/>
      <c r="E768" s="3"/>
      <c r="H768" s="5">
        <f>F768-B768</f>
        <v>0</v>
      </c>
      <c r="J768" s="5">
        <v>422</v>
      </c>
      <c r="K768" s="4">
        <f>L768-J768</f>
        <v>2078</v>
      </c>
      <c r="L768" s="4">
        <v>2500</v>
      </c>
      <c r="N768" s="4">
        <f>L768-F768</f>
        <v>2500</v>
      </c>
      <c r="P768" s="3"/>
      <c r="Q768" s="3"/>
      <c r="R768" s="3"/>
      <c r="S768" s="3">
        <f t="shared" si="437"/>
        <v>0</v>
      </c>
      <c r="T768" s="3"/>
      <c r="U768" s="3">
        <f t="shared" si="438"/>
        <v>0</v>
      </c>
      <c r="V768" s="3">
        <v>623</v>
      </c>
      <c r="W768" s="3">
        <f t="shared" si="439"/>
        <v>27</v>
      </c>
      <c r="X768" s="3"/>
      <c r="Y768" s="3">
        <v>650</v>
      </c>
      <c r="Z768" s="3">
        <f t="shared" si="440"/>
        <v>650</v>
      </c>
      <c r="AA768" s="3"/>
      <c r="AB768" s="3"/>
      <c r="AC768" s="3">
        <v>623</v>
      </c>
      <c r="AD768" s="3">
        <f t="shared" si="441"/>
        <v>27</v>
      </c>
      <c r="AE768" s="3">
        <v>650</v>
      </c>
      <c r="AF768" s="3">
        <f t="shared" si="442"/>
        <v>0</v>
      </c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42"/>
      <c r="AX768" s="3"/>
      <c r="AZ768" s="3"/>
    </row>
    <row r="769" spans="1:52" x14ac:dyDescent="0.25">
      <c r="A769" s="3" t="s">
        <v>552</v>
      </c>
      <c r="B769" s="3"/>
      <c r="D769" s="3"/>
      <c r="E769" s="3"/>
      <c r="K769" s="4">
        <f>L769-J769</f>
        <v>2500</v>
      </c>
      <c r="L769" s="4">
        <v>2500</v>
      </c>
      <c r="N769" s="4">
        <f>L769-F769</f>
        <v>2500</v>
      </c>
      <c r="P769" s="3"/>
      <c r="Q769" s="3"/>
      <c r="R769" s="3"/>
      <c r="S769" s="3">
        <f t="shared" si="437"/>
        <v>0</v>
      </c>
      <c r="T769" s="3"/>
      <c r="U769" s="3">
        <f t="shared" si="438"/>
        <v>0</v>
      </c>
      <c r="V769" s="3"/>
      <c r="W769" s="3">
        <f t="shared" si="439"/>
        <v>0</v>
      </c>
      <c r="X769" s="3"/>
      <c r="Y769" s="3"/>
      <c r="Z769" s="3">
        <f t="shared" si="440"/>
        <v>0</v>
      </c>
      <c r="AA769" s="3"/>
      <c r="AB769" s="3"/>
      <c r="AC769" s="3"/>
      <c r="AD769" s="3">
        <f t="shared" si="441"/>
        <v>0</v>
      </c>
      <c r="AE769" s="3"/>
      <c r="AF769" s="3">
        <f t="shared" si="442"/>
        <v>0</v>
      </c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42"/>
      <c r="AX769" s="3"/>
      <c r="AZ769" s="3"/>
    </row>
    <row r="770" spans="1:52" x14ac:dyDescent="0.25">
      <c r="A770" s="3" t="s">
        <v>553</v>
      </c>
      <c r="B770" s="3">
        <v>18000</v>
      </c>
      <c r="D770" s="3"/>
      <c r="E770" s="3">
        <f t="shared" si="433"/>
        <v>18000</v>
      </c>
      <c r="F770" s="5">
        <v>18000</v>
      </c>
      <c r="J770" s="5">
        <v>17</v>
      </c>
      <c r="K770" s="4">
        <f t="shared" si="435"/>
        <v>17983</v>
      </c>
      <c r="L770" s="4">
        <v>18000</v>
      </c>
      <c r="N770" s="4">
        <f t="shared" si="436"/>
        <v>0</v>
      </c>
      <c r="P770" s="3">
        <v>39000</v>
      </c>
      <c r="Q770" s="3"/>
      <c r="R770" s="3"/>
      <c r="S770" s="3">
        <f t="shared" si="437"/>
        <v>39000</v>
      </c>
      <c r="T770" s="3">
        <v>39000</v>
      </c>
      <c r="U770" s="3">
        <f t="shared" si="438"/>
        <v>0</v>
      </c>
      <c r="V770" s="3">
        <v>978</v>
      </c>
      <c r="W770" s="3">
        <f t="shared" si="439"/>
        <v>38022</v>
      </c>
      <c r="X770" s="3"/>
      <c r="Y770" s="3">
        <v>39000</v>
      </c>
      <c r="Z770" s="3">
        <f t="shared" si="440"/>
        <v>0</v>
      </c>
      <c r="AA770" s="3"/>
      <c r="AB770" s="3"/>
      <c r="AC770" s="3">
        <v>1058</v>
      </c>
      <c r="AD770" s="3">
        <f t="shared" si="441"/>
        <v>37942</v>
      </c>
      <c r="AE770" s="3">
        <v>39000</v>
      </c>
      <c r="AF770" s="3">
        <f t="shared" si="442"/>
        <v>0</v>
      </c>
      <c r="AG770" s="3"/>
      <c r="AH770" s="3">
        <v>29000</v>
      </c>
      <c r="AI770" s="3"/>
      <c r="AJ770" s="3">
        <v>23000</v>
      </c>
      <c r="AK770" s="3"/>
      <c r="AL770" s="3">
        <v>66000</v>
      </c>
      <c r="AM770" s="3"/>
      <c r="AN770" s="3">
        <v>22500</v>
      </c>
      <c r="AO770" s="3"/>
      <c r="AP770" s="3">
        <v>36000</v>
      </c>
      <c r="AQ770" s="42"/>
      <c r="AR770" s="3">
        <v>65500</v>
      </c>
      <c r="AS770" s="42"/>
      <c r="AT770" s="3">
        <v>18000</v>
      </c>
      <c r="AU770" s="42"/>
      <c r="AV770" s="3">
        <v>29500</v>
      </c>
      <c r="AW770" s="42"/>
      <c r="AX770" s="3">
        <v>12500</v>
      </c>
      <c r="AZ770" s="3">
        <v>12500</v>
      </c>
    </row>
    <row r="771" spans="1:52" x14ac:dyDescent="0.25">
      <c r="A771" s="3" t="s">
        <v>554</v>
      </c>
      <c r="B771" s="3"/>
      <c r="D771" s="3"/>
      <c r="E771" s="3"/>
      <c r="J771" s="5">
        <v>422</v>
      </c>
      <c r="K771" s="4">
        <f t="shared" si="435"/>
        <v>2078</v>
      </c>
      <c r="L771" s="4">
        <v>2500</v>
      </c>
      <c r="N771" s="4">
        <f t="shared" si="436"/>
        <v>2500</v>
      </c>
      <c r="P771" s="3"/>
      <c r="Q771" s="3"/>
      <c r="R771" s="3"/>
      <c r="S771" s="3">
        <f t="shared" si="437"/>
        <v>0</v>
      </c>
      <c r="T771" s="3"/>
      <c r="U771" s="3">
        <f t="shared" si="438"/>
        <v>0</v>
      </c>
      <c r="V771" s="3">
        <v>623</v>
      </c>
      <c r="W771" s="3">
        <f t="shared" si="439"/>
        <v>27</v>
      </c>
      <c r="X771" s="3"/>
      <c r="Y771" s="3">
        <v>650</v>
      </c>
      <c r="Z771" s="3">
        <f t="shared" si="440"/>
        <v>650</v>
      </c>
      <c r="AA771" s="3"/>
      <c r="AB771" s="3"/>
      <c r="AC771" s="3">
        <v>623</v>
      </c>
      <c r="AD771" s="3">
        <f t="shared" si="441"/>
        <v>27</v>
      </c>
      <c r="AE771" s="3">
        <v>650</v>
      </c>
      <c r="AF771" s="3">
        <f t="shared" si="442"/>
        <v>0</v>
      </c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42"/>
      <c r="AR771" s="3"/>
      <c r="AS771" s="42"/>
      <c r="AT771" s="3"/>
      <c r="AU771" s="42"/>
      <c r="AV771" s="3"/>
      <c r="AW771" s="42"/>
      <c r="AX771" s="3"/>
      <c r="AZ771" s="3"/>
    </row>
    <row r="772" spans="1:52" x14ac:dyDescent="0.25">
      <c r="A772" s="3" t="s">
        <v>555</v>
      </c>
      <c r="B772" s="3"/>
      <c r="D772" s="3"/>
      <c r="E772" s="3"/>
      <c r="K772" s="4">
        <f>L772-J772</f>
        <v>2500</v>
      </c>
      <c r="L772" s="4">
        <v>2500</v>
      </c>
      <c r="N772" s="4">
        <f>L772-F772</f>
        <v>2500</v>
      </c>
      <c r="P772" s="3"/>
      <c r="Q772" s="3"/>
      <c r="R772" s="3"/>
      <c r="S772" s="3">
        <f t="shared" si="437"/>
        <v>0</v>
      </c>
      <c r="T772" s="3"/>
      <c r="U772" s="3">
        <f t="shared" si="438"/>
        <v>0</v>
      </c>
      <c r="V772" s="3"/>
      <c r="W772" s="3">
        <f t="shared" si="439"/>
        <v>0</v>
      </c>
      <c r="X772" s="3"/>
      <c r="Y772" s="3"/>
      <c r="Z772" s="3">
        <f t="shared" si="440"/>
        <v>0</v>
      </c>
      <c r="AA772" s="3"/>
      <c r="AB772" s="3"/>
      <c r="AC772" s="3"/>
      <c r="AD772" s="3">
        <f t="shared" si="441"/>
        <v>0</v>
      </c>
      <c r="AE772" s="3"/>
      <c r="AF772" s="3">
        <f t="shared" si="442"/>
        <v>0</v>
      </c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42"/>
      <c r="AR772" s="3"/>
      <c r="AS772" s="42"/>
      <c r="AT772" s="3"/>
      <c r="AU772" s="42"/>
      <c r="AV772" s="3"/>
      <c r="AW772" s="42"/>
      <c r="AX772" s="3"/>
      <c r="AZ772" s="3"/>
    </row>
    <row r="773" spans="1:52" x14ac:dyDescent="0.25">
      <c r="A773" s="3" t="s">
        <v>556</v>
      </c>
      <c r="B773" s="3"/>
      <c r="D773" s="3"/>
      <c r="E773" s="3">
        <f>F773-D773</f>
        <v>0</v>
      </c>
      <c r="H773" s="5">
        <f>F773-B773</f>
        <v>0</v>
      </c>
      <c r="K773" s="4">
        <f>L773-J773</f>
        <v>0</v>
      </c>
      <c r="L773" s="4"/>
      <c r="N773" s="4">
        <f>L773-F773</f>
        <v>0</v>
      </c>
      <c r="P773" s="3">
        <v>7000</v>
      </c>
      <c r="Q773" s="3"/>
      <c r="R773" s="3"/>
      <c r="S773" s="3">
        <f t="shared" si="437"/>
        <v>7000</v>
      </c>
      <c r="T773" s="3">
        <v>7000</v>
      </c>
      <c r="U773" s="3">
        <f t="shared" si="438"/>
        <v>0</v>
      </c>
      <c r="V773" s="3"/>
      <c r="W773" s="3">
        <f t="shared" si="439"/>
        <v>7000</v>
      </c>
      <c r="X773" s="3"/>
      <c r="Y773" s="3">
        <v>7000</v>
      </c>
      <c r="Z773" s="3">
        <f t="shared" si="440"/>
        <v>0</v>
      </c>
      <c r="AA773" s="3"/>
      <c r="AB773" s="3"/>
      <c r="AC773" s="3"/>
      <c r="AD773" s="3">
        <f t="shared" si="441"/>
        <v>7000</v>
      </c>
      <c r="AE773" s="3">
        <v>7000</v>
      </c>
      <c r="AF773" s="3">
        <f t="shared" si="442"/>
        <v>0</v>
      </c>
      <c r="AG773" s="3"/>
      <c r="AH773" s="3">
        <v>7000</v>
      </c>
      <c r="AI773" s="3"/>
      <c r="AJ773" s="3">
        <v>7000</v>
      </c>
      <c r="AK773" s="3"/>
      <c r="AL773" s="3">
        <v>7000</v>
      </c>
      <c r="AM773" s="3"/>
      <c r="AN773" s="3">
        <v>8000</v>
      </c>
      <c r="AO773" s="3"/>
      <c r="AP773" s="3">
        <v>8000</v>
      </c>
      <c r="AQ773" s="42"/>
      <c r="AR773" s="3">
        <v>8000</v>
      </c>
      <c r="AS773" s="42"/>
      <c r="AT773" s="3">
        <v>8000</v>
      </c>
      <c r="AU773" s="42"/>
      <c r="AV773" s="3">
        <v>8000</v>
      </c>
      <c r="AW773" s="42"/>
      <c r="AX773" s="3">
        <v>10000</v>
      </c>
      <c r="AZ773" s="3">
        <v>10000</v>
      </c>
    </row>
    <row r="774" spans="1:52" x14ac:dyDescent="0.25">
      <c r="A774" s="3" t="s">
        <v>557</v>
      </c>
      <c r="B774" s="3"/>
      <c r="D774" s="3"/>
      <c r="E774" s="3">
        <f t="shared" si="433"/>
        <v>0</v>
      </c>
      <c r="H774" s="5">
        <f t="shared" si="434"/>
        <v>0</v>
      </c>
      <c r="K774" s="4">
        <f t="shared" si="435"/>
        <v>0</v>
      </c>
      <c r="L774" s="4"/>
      <c r="N774" s="4">
        <f t="shared" si="436"/>
        <v>0</v>
      </c>
      <c r="P774" s="3"/>
      <c r="Q774" s="3"/>
      <c r="R774" s="3"/>
      <c r="S774" s="3">
        <f t="shared" si="437"/>
        <v>0</v>
      </c>
      <c r="T774" s="3"/>
      <c r="U774" s="3">
        <f t="shared" si="438"/>
        <v>0</v>
      </c>
      <c r="V774" s="3">
        <v>31150</v>
      </c>
      <c r="W774" s="3">
        <f t="shared" si="439"/>
        <v>0</v>
      </c>
      <c r="X774" s="3"/>
      <c r="Y774" s="3">
        <v>31150</v>
      </c>
      <c r="Z774" s="3">
        <f t="shared" si="440"/>
        <v>31150</v>
      </c>
      <c r="AA774" s="3"/>
      <c r="AB774" s="3"/>
      <c r="AC774" s="3">
        <v>1161</v>
      </c>
      <c r="AD774" s="3">
        <f t="shared" si="441"/>
        <v>27359</v>
      </c>
      <c r="AE774" s="3">
        <v>28520</v>
      </c>
      <c r="AF774" s="3">
        <f t="shared" si="442"/>
        <v>-2630</v>
      </c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42"/>
      <c r="AR774" s="3"/>
      <c r="AS774" s="42"/>
      <c r="AT774" s="3"/>
      <c r="AU774" s="42"/>
      <c r="AV774" s="3"/>
      <c r="AW774" s="42"/>
      <c r="AX774" s="3"/>
      <c r="AZ774" s="3"/>
    </row>
    <row r="775" spans="1:52" x14ac:dyDescent="0.25">
      <c r="A775" s="3" t="s">
        <v>558</v>
      </c>
      <c r="B775" s="3"/>
      <c r="D775" s="3"/>
      <c r="E775" s="3">
        <f t="shared" si="433"/>
        <v>0</v>
      </c>
      <c r="H775" s="5">
        <f t="shared" si="434"/>
        <v>0</v>
      </c>
      <c r="K775" s="4">
        <f t="shared" si="435"/>
        <v>0</v>
      </c>
      <c r="L775" s="4"/>
      <c r="N775" s="4">
        <f t="shared" si="436"/>
        <v>0</v>
      </c>
      <c r="P775" s="3"/>
      <c r="Q775" s="3"/>
      <c r="R775" s="3"/>
      <c r="S775" s="3">
        <f t="shared" si="437"/>
        <v>0</v>
      </c>
      <c r="T775" s="3"/>
      <c r="U775" s="3">
        <f t="shared" si="438"/>
        <v>0</v>
      </c>
      <c r="V775" s="3"/>
      <c r="W775" s="3">
        <f t="shared" si="439"/>
        <v>0</v>
      </c>
      <c r="X775" s="3"/>
      <c r="Y775" s="3"/>
      <c r="Z775" s="3">
        <f t="shared" si="440"/>
        <v>0</v>
      </c>
      <c r="AA775" s="3"/>
      <c r="AB775" s="3"/>
      <c r="AC775" s="3"/>
      <c r="AD775" s="3">
        <f t="shared" si="441"/>
        <v>0</v>
      </c>
      <c r="AE775" s="3"/>
      <c r="AF775" s="3">
        <f t="shared" si="442"/>
        <v>0</v>
      </c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42"/>
      <c r="AR775" s="3"/>
      <c r="AS775" s="42"/>
      <c r="AT775" s="3"/>
      <c r="AU775" s="42"/>
      <c r="AV775" s="3"/>
      <c r="AW775" s="42"/>
      <c r="AX775" s="3"/>
      <c r="AZ775" s="3"/>
    </row>
    <row r="776" spans="1:52" x14ac:dyDescent="0.25">
      <c r="A776" s="3" t="s">
        <v>559</v>
      </c>
      <c r="B776" s="3"/>
      <c r="D776" s="3"/>
      <c r="E776" s="3">
        <f t="shared" si="433"/>
        <v>0</v>
      </c>
      <c r="H776" s="5">
        <f t="shared" si="434"/>
        <v>0</v>
      </c>
      <c r="K776" s="4">
        <f t="shared" si="435"/>
        <v>0</v>
      </c>
      <c r="L776" s="4"/>
      <c r="N776" s="4">
        <f t="shared" si="436"/>
        <v>0</v>
      </c>
      <c r="P776" s="3">
        <v>300000</v>
      </c>
      <c r="Q776" s="3"/>
      <c r="R776" s="3"/>
      <c r="S776" s="3">
        <f t="shared" si="437"/>
        <v>300000</v>
      </c>
      <c r="T776" s="3">
        <v>300000</v>
      </c>
      <c r="U776" s="3">
        <f t="shared" si="438"/>
        <v>0</v>
      </c>
      <c r="V776" s="3">
        <v>1469</v>
      </c>
      <c r="W776" s="3">
        <f t="shared" si="439"/>
        <v>273531</v>
      </c>
      <c r="X776" s="3"/>
      <c r="Y776" s="3">
        <v>275000</v>
      </c>
      <c r="Z776" s="3">
        <f t="shared" si="440"/>
        <v>-25000</v>
      </c>
      <c r="AA776" s="3"/>
      <c r="AB776" s="3"/>
      <c r="AC776" s="3">
        <v>1469</v>
      </c>
      <c r="AD776" s="3">
        <f t="shared" si="441"/>
        <v>273531</v>
      </c>
      <c r="AE776" s="3">
        <v>275000</v>
      </c>
      <c r="AF776" s="3">
        <f t="shared" si="442"/>
        <v>0</v>
      </c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42"/>
      <c r="AR776" s="3"/>
      <c r="AS776" s="42"/>
      <c r="AT776" s="3"/>
      <c r="AU776" s="42"/>
      <c r="AV776" s="3"/>
      <c r="AW776" s="42"/>
      <c r="AX776" s="3"/>
      <c r="AZ776" s="3"/>
    </row>
    <row r="777" spans="1:52" x14ac:dyDescent="0.25">
      <c r="A777" s="3" t="s">
        <v>560</v>
      </c>
      <c r="B777" s="3"/>
      <c r="D777" s="3"/>
      <c r="E777" s="3">
        <f t="shared" si="433"/>
        <v>0</v>
      </c>
      <c r="H777" s="5">
        <f t="shared" si="434"/>
        <v>0</v>
      </c>
      <c r="K777" s="4">
        <f t="shared" si="435"/>
        <v>0</v>
      </c>
      <c r="L777" s="4"/>
      <c r="N777" s="4">
        <f t="shared" si="436"/>
        <v>0</v>
      </c>
      <c r="P777" s="3"/>
      <c r="Q777" s="3"/>
      <c r="R777" s="3"/>
      <c r="S777" s="3">
        <f t="shared" si="437"/>
        <v>0</v>
      </c>
      <c r="T777" s="3"/>
      <c r="U777" s="3">
        <f t="shared" si="438"/>
        <v>0</v>
      </c>
      <c r="V777" s="3"/>
      <c r="W777" s="3">
        <f t="shared" si="439"/>
        <v>0</v>
      </c>
      <c r="X777" s="3"/>
      <c r="Y777" s="3"/>
      <c r="Z777" s="3">
        <f t="shared" si="440"/>
        <v>0</v>
      </c>
      <c r="AA777" s="3"/>
      <c r="AB777" s="3"/>
      <c r="AC777" s="3"/>
      <c r="AD777" s="3">
        <f t="shared" si="441"/>
        <v>0</v>
      </c>
      <c r="AE777" s="3"/>
      <c r="AF777" s="3">
        <f t="shared" si="442"/>
        <v>0</v>
      </c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42"/>
      <c r="AR777" s="3"/>
      <c r="AS777" s="42"/>
      <c r="AT777" s="3"/>
      <c r="AU777" s="42"/>
      <c r="AV777" s="3"/>
      <c r="AW777" s="42"/>
      <c r="AX777" s="3"/>
      <c r="AZ777" s="3"/>
    </row>
    <row r="778" spans="1:52" x14ac:dyDescent="0.25">
      <c r="A778" s="3" t="s">
        <v>241</v>
      </c>
      <c r="B778" s="4">
        <v>49000</v>
      </c>
      <c r="C778" s="4"/>
      <c r="D778" s="4"/>
      <c r="E778" s="3">
        <f t="shared" si="433"/>
        <v>49000</v>
      </c>
      <c r="F778" s="5">
        <v>49000</v>
      </c>
      <c r="H778" s="5">
        <f t="shared" si="434"/>
        <v>0</v>
      </c>
      <c r="K778" s="4">
        <f t="shared" si="435"/>
        <v>49000</v>
      </c>
      <c r="L778" s="4">
        <v>49000</v>
      </c>
      <c r="N778" s="4">
        <f t="shared" si="436"/>
        <v>0</v>
      </c>
      <c r="P778" s="3"/>
      <c r="Q778" s="3"/>
      <c r="R778" s="3"/>
      <c r="S778" s="3">
        <f t="shared" si="437"/>
        <v>49000</v>
      </c>
      <c r="T778" s="3">
        <v>49000</v>
      </c>
      <c r="U778" s="3">
        <f t="shared" si="438"/>
        <v>49000</v>
      </c>
      <c r="V778" s="3">
        <v>0</v>
      </c>
      <c r="W778" s="3">
        <f t="shared" si="439"/>
        <v>49000</v>
      </c>
      <c r="X778" s="3"/>
      <c r="Y778" s="3">
        <v>49000</v>
      </c>
      <c r="Z778" s="3">
        <f t="shared" si="440"/>
        <v>0</v>
      </c>
      <c r="AA778" s="3"/>
      <c r="AB778" s="3"/>
      <c r="AC778" s="3">
        <v>0</v>
      </c>
      <c r="AD778" s="3">
        <f t="shared" si="441"/>
        <v>49000</v>
      </c>
      <c r="AE778" s="3">
        <v>49000</v>
      </c>
      <c r="AF778" s="3">
        <f t="shared" si="442"/>
        <v>0</v>
      </c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42"/>
      <c r="AR778" s="3"/>
      <c r="AS778" s="42"/>
      <c r="AT778" s="3"/>
      <c r="AU778" s="42"/>
      <c r="AV778" s="3"/>
      <c r="AW778" s="42"/>
      <c r="AX778" s="3"/>
      <c r="AZ778" s="3"/>
    </row>
    <row r="779" spans="1:52" x14ac:dyDescent="0.25">
      <c r="A779" s="3" t="s">
        <v>561</v>
      </c>
      <c r="B779" s="3"/>
      <c r="D779" s="3"/>
      <c r="E779" s="3">
        <f t="shared" si="433"/>
        <v>0</v>
      </c>
      <c r="H779" s="5">
        <f t="shared" si="434"/>
        <v>0</v>
      </c>
      <c r="K779" s="4">
        <f t="shared" si="435"/>
        <v>0</v>
      </c>
      <c r="L779" s="4"/>
      <c r="N779" s="4">
        <f t="shared" si="436"/>
        <v>0</v>
      </c>
      <c r="P779" s="3"/>
      <c r="Q779" s="3"/>
      <c r="R779" s="3"/>
      <c r="S779" s="3">
        <f t="shared" si="437"/>
        <v>0</v>
      </c>
      <c r="T779" s="3"/>
      <c r="U779" s="3">
        <f t="shared" si="438"/>
        <v>0</v>
      </c>
      <c r="V779" s="3"/>
      <c r="W779" s="3">
        <f t="shared" si="439"/>
        <v>0</v>
      </c>
      <c r="X779" s="3"/>
      <c r="Y779" s="3"/>
      <c r="Z779" s="3">
        <f t="shared" si="440"/>
        <v>0</v>
      </c>
      <c r="AA779" s="3"/>
      <c r="AB779" s="3"/>
      <c r="AC779" s="3"/>
      <c r="AD779" s="3">
        <f t="shared" si="441"/>
        <v>0</v>
      </c>
      <c r="AE779" s="3"/>
      <c r="AF779" s="3">
        <f t="shared" si="442"/>
        <v>0</v>
      </c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42"/>
      <c r="AR779" s="3"/>
      <c r="AS779" s="42"/>
      <c r="AT779" s="3"/>
      <c r="AU779" s="42"/>
      <c r="AV779" s="3"/>
      <c r="AW779" s="42"/>
      <c r="AX779" s="3"/>
      <c r="AZ779" s="3"/>
    </row>
    <row r="780" spans="1:52" x14ac:dyDescent="0.25">
      <c r="A780" s="3" t="s">
        <v>562</v>
      </c>
      <c r="B780" s="3"/>
      <c r="D780" s="3"/>
      <c r="E780" s="3">
        <f t="shared" si="433"/>
        <v>0</v>
      </c>
      <c r="H780" s="5">
        <f t="shared" si="434"/>
        <v>0</v>
      </c>
      <c r="K780" s="4">
        <f t="shared" si="435"/>
        <v>0</v>
      </c>
      <c r="L780" s="4"/>
      <c r="N780" s="4">
        <f t="shared" si="436"/>
        <v>0</v>
      </c>
      <c r="P780" s="3"/>
      <c r="Q780" s="3"/>
      <c r="R780" s="3"/>
      <c r="S780" s="3">
        <f t="shared" si="437"/>
        <v>0</v>
      </c>
      <c r="T780" s="3"/>
      <c r="U780" s="3">
        <f t="shared" si="438"/>
        <v>0</v>
      </c>
      <c r="V780" s="3"/>
      <c r="W780" s="3">
        <f t="shared" si="439"/>
        <v>0</v>
      </c>
      <c r="X780" s="3"/>
      <c r="Y780" s="3"/>
      <c r="Z780" s="3">
        <f t="shared" si="440"/>
        <v>0</v>
      </c>
      <c r="AA780" s="3"/>
      <c r="AB780" s="3"/>
      <c r="AC780" s="3"/>
      <c r="AD780" s="3">
        <f t="shared" si="441"/>
        <v>0</v>
      </c>
      <c r="AE780" s="3"/>
      <c r="AF780" s="3">
        <f t="shared" si="442"/>
        <v>0</v>
      </c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42"/>
      <c r="AR780" s="3"/>
      <c r="AS780" s="42"/>
      <c r="AT780" s="3"/>
      <c r="AU780" s="42"/>
      <c r="AV780" s="3"/>
      <c r="AW780" s="42"/>
      <c r="AX780" s="3"/>
      <c r="AZ780" s="3"/>
    </row>
    <row r="781" spans="1:52" x14ac:dyDescent="0.25">
      <c r="A781" s="3" t="s">
        <v>563</v>
      </c>
      <c r="B781" s="3"/>
      <c r="D781" s="3"/>
      <c r="E781" s="3">
        <f t="shared" si="433"/>
        <v>0</v>
      </c>
      <c r="H781" s="5">
        <f t="shared" si="434"/>
        <v>0</v>
      </c>
      <c r="K781" s="4">
        <f t="shared" si="435"/>
        <v>0</v>
      </c>
      <c r="L781" s="4"/>
      <c r="N781" s="4">
        <f t="shared" si="436"/>
        <v>0</v>
      </c>
      <c r="P781" s="3"/>
      <c r="Q781" s="3"/>
      <c r="R781" s="3"/>
      <c r="S781" s="3">
        <f t="shared" si="437"/>
        <v>0</v>
      </c>
      <c r="T781" s="3"/>
      <c r="U781" s="3">
        <f t="shared" si="438"/>
        <v>0</v>
      </c>
      <c r="V781" s="3"/>
      <c r="W781" s="3">
        <f t="shared" si="439"/>
        <v>0</v>
      </c>
      <c r="X781" s="3"/>
      <c r="Y781" s="3"/>
      <c r="Z781" s="3">
        <f t="shared" si="440"/>
        <v>0</v>
      </c>
      <c r="AA781" s="3"/>
      <c r="AB781" s="3"/>
      <c r="AC781" s="3"/>
      <c r="AD781" s="3">
        <f t="shared" si="441"/>
        <v>0</v>
      </c>
      <c r="AE781" s="3"/>
      <c r="AF781" s="3">
        <f t="shared" si="442"/>
        <v>0</v>
      </c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42"/>
      <c r="AR781" s="3"/>
      <c r="AS781" s="42"/>
      <c r="AT781" s="3"/>
      <c r="AU781" s="42"/>
      <c r="AV781" s="3"/>
      <c r="AW781" s="42"/>
      <c r="AX781" s="3"/>
      <c r="AZ781" s="3"/>
    </row>
    <row r="782" spans="1:52" x14ac:dyDescent="0.25">
      <c r="A782" s="3" t="s">
        <v>564</v>
      </c>
      <c r="B782" s="3"/>
      <c r="D782" s="3"/>
      <c r="E782" s="3">
        <f t="shared" si="433"/>
        <v>0</v>
      </c>
      <c r="H782" s="5">
        <f t="shared" si="434"/>
        <v>0</v>
      </c>
      <c r="K782" s="4">
        <f t="shared" si="435"/>
        <v>0</v>
      </c>
      <c r="L782" s="4"/>
      <c r="N782" s="4">
        <f t="shared" si="436"/>
        <v>0</v>
      </c>
      <c r="P782" s="3"/>
      <c r="Q782" s="3"/>
      <c r="R782" s="3"/>
      <c r="S782" s="3">
        <f t="shared" si="437"/>
        <v>0</v>
      </c>
      <c r="T782" s="3"/>
      <c r="U782" s="3">
        <f t="shared" si="438"/>
        <v>0</v>
      </c>
      <c r="V782" s="3"/>
      <c r="W782" s="3">
        <f t="shared" si="439"/>
        <v>0</v>
      </c>
      <c r="X782" s="3"/>
      <c r="Y782" s="3"/>
      <c r="Z782" s="3">
        <f t="shared" si="440"/>
        <v>0</v>
      </c>
      <c r="AA782" s="3"/>
      <c r="AB782" s="3"/>
      <c r="AC782" s="3"/>
      <c r="AD782" s="3">
        <f t="shared" si="441"/>
        <v>0</v>
      </c>
      <c r="AE782" s="3"/>
      <c r="AF782" s="3">
        <f t="shared" si="442"/>
        <v>0</v>
      </c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42"/>
      <c r="AR782" s="3"/>
      <c r="AS782" s="42"/>
      <c r="AT782" s="3"/>
      <c r="AU782" s="42"/>
      <c r="AV782" s="3"/>
      <c r="AW782" s="42"/>
      <c r="AX782" s="3"/>
      <c r="AZ782" s="3"/>
    </row>
    <row r="783" spans="1:52" x14ac:dyDescent="0.25">
      <c r="A783" s="3" t="s">
        <v>565</v>
      </c>
      <c r="B783" s="3">
        <v>366000</v>
      </c>
      <c r="D783" s="3"/>
      <c r="E783" s="3">
        <f t="shared" si="433"/>
        <v>366000</v>
      </c>
      <c r="F783" s="5">
        <v>366000</v>
      </c>
      <c r="H783" s="5">
        <f t="shared" si="434"/>
        <v>0</v>
      </c>
      <c r="J783" s="5">
        <v>79157</v>
      </c>
      <c r="K783" s="4">
        <f t="shared" si="435"/>
        <v>286843</v>
      </c>
      <c r="L783" s="4">
        <v>366000</v>
      </c>
      <c r="N783" s="4">
        <f t="shared" si="436"/>
        <v>0</v>
      </c>
      <c r="P783" s="3">
        <v>372000</v>
      </c>
      <c r="Q783" s="3"/>
      <c r="R783" s="3">
        <v>50297</v>
      </c>
      <c r="S783" s="3">
        <f t="shared" si="437"/>
        <v>321703</v>
      </c>
      <c r="T783" s="3">
        <v>372000</v>
      </c>
      <c r="U783" s="3">
        <f t="shared" si="438"/>
        <v>0</v>
      </c>
      <c r="V783" s="3">
        <v>222035</v>
      </c>
      <c r="W783" s="3">
        <f t="shared" si="439"/>
        <v>208485</v>
      </c>
      <c r="X783" s="3"/>
      <c r="Y783" s="3">
        <v>430520</v>
      </c>
      <c r="Z783" s="3">
        <f t="shared" si="440"/>
        <v>58520</v>
      </c>
      <c r="AA783" s="3"/>
      <c r="AB783" s="3"/>
      <c r="AC783" s="3">
        <v>487391</v>
      </c>
      <c r="AD783" s="3">
        <f t="shared" si="441"/>
        <v>2609</v>
      </c>
      <c r="AE783" s="3">
        <v>490000</v>
      </c>
      <c r="AF783" s="3">
        <f t="shared" si="442"/>
        <v>59480</v>
      </c>
      <c r="AG783" s="3"/>
      <c r="AH783" s="3">
        <v>319000</v>
      </c>
      <c r="AI783" s="3"/>
      <c r="AJ783" s="3">
        <v>370000</v>
      </c>
      <c r="AK783" s="3"/>
      <c r="AL783" s="3">
        <v>476000</v>
      </c>
      <c r="AM783" s="3"/>
      <c r="AN783" s="3">
        <v>476000</v>
      </c>
      <c r="AO783" s="3"/>
      <c r="AP783" s="3">
        <v>476000</v>
      </c>
      <c r="AQ783" s="42"/>
      <c r="AR783" s="3">
        <v>450000</v>
      </c>
      <c r="AS783" s="42"/>
      <c r="AT783" s="3">
        <v>450000</v>
      </c>
      <c r="AU783" s="42"/>
      <c r="AV783" s="3">
        <v>450000</v>
      </c>
      <c r="AW783" s="42"/>
      <c r="AX783" s="3">
        <v>450000</v>
      </c>
      <c r="AZ783" s="3">
        <v>450000</v>
      </c>
    </row>
    <row r="784" spans="1:52" x14ac:dyDescent="0.25">
      <c r="A784" s="3" t="s">
        <v>566</v>
      </c>
      <c r="B784" s="3"/>
      <c r="D784" s="3"/>
      <c r="E784" s="3">
        <f t="shared" si="433"/>
        <v>0</v>
      </c>
      <c r="H784" s="5">
        <f t="shared" si="434"/>
        <v>0</v>
      </c>
      <c r="K784" s="4">
        <f t="shared" si="435"/>
        <v>0</v>
      </c>
      <c r="L784" s="4"/>
      <c r="N784" s="4">
        <f t="shared" si="436"/>
        <v>0</v>
      </c>
      <c r="S784" s="3">
        <f t="shared" si="437"/>
        <v>0</v>
      </c>
      <c r="T784" s="3"/>
      <c r="U784" s="3">
        <f t="shared" si="438"/>
        <v>0</v>
      </c>
      <c r="W784" s="3">
        <f t="shared" si="439"/>
        <v>0</v>
      </c>
      <c r="X784" s="3"/>
      <c r="Z784" s="3">
        <f t="shared" si="440"/>
        <v>0</v>
      </c>
      <c r="AD784" s="3">
        <f t="shared" si="441"/>
        <v>0</v>
      </c>
      <c r="AE784" s="3"/>
      <c r="AF784" s="3">
        <f t="shared" si="442"/>
        <v>0</v>
      </c>
    </row>
    <row r="785" spans="1:52" x14ac:dyDescent="0.25">
      <c r="A785" s="3" t="s">
        <v>567</v>
      </c>
      <c r="E785" s="3">
        <f t="shared" si="433"/>
        <v>0</v>
      </c>
      <c r="H785" s="5">
        <f t="shared" si="434"/>
        <v>0</v>
      </c>
      <c r="K785" s="4">
        <f t="shared" si="435"/>
        <v>0</v>
      </c>
      <c r="L785" s="4"/>
      <c r="N785" s="4">
        <f t="shared" si="436"/>
        <v>0</v>
      </c>
      <c r="S785" s="3">
        <f t="shared" si="437"/>
        <v>0</v>
      </c>
      <c r="T785" s="3"/>
      <c r="U785" s="3">
        <f t="shared" si="438"/>
        <v>0</v>
      </c>
      <c r="W785" s="3">
        <f t="shared" si="439"/>
        <v>0</v>
      </c>
      <c r="X785" s="3"/>
      <c r="Z785" s="3">
        <f t="shared" si="440"/>
        <v>0</v>
      </c>
      <c r="AD785" s="3">
        <f t="shared" si="441"/>
        <v>0</v>
      </c>
      <c r="AE785" s="3"/>
      <c r="AF785" s="3">
        <f t="shared" si="442"/>
        <v>0</v>
      </c>
    </row>
    <row r="786" spans="1:52" x14ac:dyDescent="0.25">
      <c r="A786" s="3" t="s">
        <v>568</v>
      </c>
      <c r="E786" s="3">
        <f t="shared" si="433"/>
        <v>0</v>
      </c>
      <c r="H786" s="5">
        <f t="shared" si="434"/>
        <v>0</v>
      </c>
      <c r="K786" s="4">
        <f t="shared" si="435"/>
        <v>0</v>
      </c>
      <c r="L786" s="4"/>
      <c r="N786" s="4">
        <f t="shared" si="436"/>
        <v>0</v>
      </c>
      <c r="S786" s="3">
        <f t="shared" si="437"/>
        <v>0</v>
      </c>
      <c r="T786" s="3"/>
      <c r="U786" s="3">
        <f t="shared" si="438"/>
        <v>0</v>
      </c>
      <c r="W786" s="3">
        <f t="shared" si="439"/>
        <v>0</v>
      </c>
      <c r="X786" s="3"/>
      <c r="Z786" s="3">
        <f t="shared" si="440"/>
        <v>0</v>
      </c>
      <c r="AD786" s="3">
        <f t="shared" si="441"/>
        <v>0</v>
      </c>
      <c r="AE786" s="3"/>
      <c r="AF786" s="3">
        <f t="shared" si="442"/>
        <v>0</v>
      </c>
    </row>
    <row r="787" spans="1:52" x14ac:dyDescent="0.25">
      <c r="A787" s="3"/>
      <c r="E787" s="3"/>
      <c r="K787" s="4">
        <f t="shared" si="435"/>
        <v>0</v>
      </c>
      <c r="L787" s="4"/>
      <c r="N787" s="4">
        <f t="shared" si="436"/>
        <v>0</v>
      </c>
      <c r="S787" s="3">
        <f t="shared" si="437"/>
        <v>0</v>
      </c>
      <c r="T787" s="3"/>
      <c r="U787" s="3">
        <f t="shared" si="438"/>
        <v>0</v>
      </c>
      <c r="W787" s="3">
        <f t="shared" si="439"/>
        <v>0</v>
      </c>
      <c r="X787" s="3"/>
      <c r="Z787" s="3">
        <f t="shared" si="440"/>
        <v>0</v>
      </c>
      <c r="AD787" s="3">
        <f t="shared" si="441"/>
        <v>0</v>
      </c>
      <c r="AE787" s="3"/>
      <c r="AF787" s="3">
        <f t="shared" si="442"/>
        <v>0</v>
      </c>
    </row>
    <row r="788" spans="1:52" x14ac:dyDescent="0.25">
      <c r="A788" s="3" t="s">
        <v>569</v>
      </c>
      <c r="E788" s="3">
        <f t="shared" si="433"/>
        <v>0</v>
      </c>
      <c r="H788" s="5">
        <f t="shared" si="434"/>
        <v>0</v>
      </c>
      <c r="K788" s="4">
        <f t="shared" si="435"/>
        <v>0</v>
      </c>
      <c r="L788" s="4"/>
      <c r="N788" s="4">
        <f t="shared" si="436"/>
        <v>0</v>
      </c>
      <c r="S788" s="3">
        <f t="shared" si="437"/>
        <v>0</v>
      </c>
      <c r="T788" s="3"/>
      <c r="U788" s="3">
        <f t="shared" si="438"/>
        <v>0</v>
      </c>
      <c r="W788" s="3">
        <f t="shared" si="439"/>
        <v>0</v>
      </c>
      <c r="X788" s="3"/>
      <c r="Z788" s="3">
        <f t="shared" si="440"/>
        <v>0</v>
      </c>
      <c r="AD788" s="3">
        <f>AE788-AC788</f>
        <v>0</v>
      </c>
      <c r="AE788" s="3"/>
      <c r="AF788" s="3">
        <f>AE788-Y788</f>
        <v>0</v>
      </c>
    </row>
    <row r="789" spans="1:52" x14ac:dyDescent="0.25">
      <c r="A789" s="3"/>
      <c r="B789" s="48">
        <f>SUM(B760:B788)</f>
        <v>762000</v>
      </c>
      <c r="C789" s="32"/>
      <c r="D789" s="48">
        <f>SUM(D760:D788)</f>
        <v>4824</v>
      </c>
      <c r="E789" s="48">
        <f>SUM(E760:E788)</f>
        <v>757176</v>
      </c>
      <c r="F789" s="48">
        <f>SUM(F760:F788)</f>
        <v>762000</v>
      </c>
      <c r="G789" s="32"/>
      <c r="H789" s="48">
        <f>SUM(H760:H788)</f>
        <v>0</v>
      </c>
      <c r="I789" s="36"/>
      <c r="J789" s="48">
        <f>SUM(J770:J788)</f>
        <v>79596</v>
      </c>
      <c r="K789" s="48">
        <f>SUM(K770:K788)</f>
        <v>358404</v>
      </c>
      <c r="L789" s="48">
        <f>SUM(L770:L788)</f>
        <v>438000</v>
      </c>
      <c r="M789" s="32"/>
      <c r="N789" s="48">
        <f>SUM(N760:N788)</f>
        <v>-183450</v>
      </c>
      <c r="P789" s="48">
        <f>SUM(P760:P788)</f>
        <v>995000</v>
      </c>
      <c r="R789" s="48">
        <f t="shared" ref="R789:Z789" si="443">SUM(R760:R788)</f>
        <v>50297</v>
      </c>
      <c r="S789" s="48">
        <f t="shared" si="443"/>
        <v>993703</v>
      </c>
      <c r="T789" s="48">
        <f t="shared" si="443"/>
        <v>1044000</v>
      </c>
      <c r="U789" s="48">
        <f t="shared" si="443"/>
        <v>49000</v>
      </c>
      <c r="V789" s="48">
        <f t="shared" si="443"/>
        <v>314344</v>
      </c>
      <c r="W789" s="48">
        <f t="shared" si="443"/>
        <v>826776</v>
      </c>
      <c r="X789" s="48"/>
      <c r="Y789" s="48">
        <f t="shared" si="443"/>
        <v>1141120</v>
      </c>
      <c r="Z789" s="48">
        <f t="shared" si="443"/>
        <v>97120</v>
      </c>
      <c r="AC789" s="48">
        <f>SUM(AC760:AC788)</f>
        <v>591419</v>
      </c>
      <c r="AD789" s="48">
        <f>SUM(AD760:AD788)</f>
        <v>516851</v>
      </c>
      <c r="AE789" s="48">
        <f>SUM(AE760:AE788)</f>
        <v>1108270</v>
      </c>
      <c r="AF789" s="48">
        <f>SUM(AF760:AF788)</f>
        <v>-32850</v>
      </c>
      <c r="AH789" s="48">
        <f>SUM(AH760:AH788)</f>
        <v>666000</v>
      </c>
      <c r="AJ789" s="48">
        <f>SUM(AJ760:AJ788)</f>
        <v>736000</v>
      </c>
      <c r="AL789" s="48">
        <f>SUM(AL760:AL788)</f>
        <v>912000</v>
      </c>
      <c r="AN789" s="48">
        <f>SUM(AN760:AN788)</f>
        <v>857000</v>
      </c>
      <c r="AO789" s="48"/>
      <c r="AP789" s="48">
        <f>SUM(AP760:AP788)</f>
        <v>894000</v>
      </c>
      <c r="AR789" s="48">
        <f>SUM(AR760:AR788)</f>
        <v>927000</v>
      </c>
      <c r="AT789" s="48">
        <f>SUM(AT760:AT788)</f>
        <v>872000</v>
      </c>
      <c r="AV789" s="48">
        <f>SUM(AV760:AV788)</f>
        <v>905000</v>
      </c>
      <c r="AX789" s="48">
        <f>SUM(AX760:AX788)</f>
        <v>875000</v>
      </c>
      <c r="AZ789" s="48">
        <f>SUM(AZ760:AZ788)</f>
        <v>875000</v>
      </c>
    </row>
    <row r="790" spans="1:52" ht="15.75" thickBot="1" x14ac:dyDescent="0.3">
      <c r="A790" s="7" t="s">
        <v>249</v>
      </c>
      <c r="B790" s="49">
        <f xml:space="preserve"> B789+B758+B726+B705+B703+B699+B694+B688</f>
        <v>5043700</v>
      </c>
      <c r="C790" s="32"/>
      <c r="D790" s="49">
        <f xml:space="preserve"> D789+D758+D726+D705+D703+D699+D694+D688</f>
        <v>1034308</v>
      </c>
      <c r="E790" s="49">
        <f xml:space="preserve"> E789+E758+E726+E705+E703+E699+E694+E688</f>
        <v>4940924</v>
      </c>
      <c r="F790" s="49">
        <f xml:space="preserve"> F789+F758+F726+F705+F703+F699+F694+F688</f>
        <v>5975232</v>
      </c>
      <c r="G790" s="32"/>
      <c r="H790" s="49">
        <f xml:space="preserve"> H789+H758+H726+H705+H703+H699+H694+H688</f>
        <v>933532</v>
      </c>
      <c r="I790" s="36"/>
      <c r="J790" s="49">
        <f xml:space="preserve"> J789+J758+J726+J705+J703+J699+J694+J688</f>
        <v>2838842</v>
      </c>
      <c r="K790" s="49">
        <f xml:space="preserve"> K789+K758+K726+K705+K703+K699+K694+K688</f>
        <v>2794234</v>
      </c>
      <c r="L790" s="49">
        <f xml:space="preserve"> L789+L758+L726+L705+L703+L699+L694+L688</f>
        <v>5720475</v>
      </c>
      <c r="M790" s="32"/>
      <c r="N790" s="49">
        <f xml:space="preserve"> N789+N758+N726+N705+N703+N699+N694+N688</f>
        <v>-114207</v>
      </c>
      <c r="P790" s="49">
        <f xml:space="preserve"> P789+P758+P726+P705+P703+P699+P694+P688</f>
        <v>5031270</v>
      </c>
      <c r="R790" s="49">
        <f t="shared" ref="R790:Z790" si="444" xml:space="preserve"> R789+R758+R726+R705+R703+R699+R694+R688</f>
        <v>896039</v>
      </c>
      <c r="S790" s="49">
        <f t="shared" si="444"/>
        <v>4189031</v>
      </c>
      <c r="T790" s="49">
        <f t="shared" si="444"/>
        <v>5085070</v>
      </c>
      <c r="U790" s="49">
        <f t="shared" si="444"/>
        <v>53800</v>
      </c>
      <c r="V790" s="49">
        <f t="shared" si="444"/>
        <v>2303461</v>
      </c>
      <c r="W790" s="49">
        <f t="shared" si="444"/>
        <v>3046569</v>
      </c>
      <c r="X790" s="49"/>
      <c r="Y790" s="49">
        <f t="shared" si="444"/>
        <v>5350030</v>
      </c>
      <c r="Z790" s="49">
        <f t="shared" si="444"/>
        <v>264960</v>
      </c>
      <c r="AC790" s="49">
        <f xml:space="preserve"> AC789+AC758+AC726+AC705+AC703+AC699+AC694+AC688</f>
        <v>3177497</v>
      </c>
      <c r="AD790" s="49">
        <f xml:space="preserve"> AD789+AD758+AD726+AD705+AD703+AD699+AD694+AD688</f>
        <v>2115943</v>
      </c>
      <c r="AE790" s="49">
        <f xml:space="preserve"> AE789+AE758+AE726+AE705+AE703+AE699+AE694+AE688</f>
        <v>5293440</v>
      </c>
      <c r="AF790" s="49">
        <f xml:space="preserve"> AF789+AF758+AF726+AF705+AF703+AF699+AF694+AF688</f>
        <v>-56590</v>
      </c>
      <c r="AH790" s="49">
        <f xml:space="preserve"> AH789+AH758+AH726+AH705+AH703+AH699+AH694+AH688</f>
        <v>6196670</v>
      </c>
      <c r="AJ790" s="49">
        <f xml:space="preserve"> AJ789+AJ758+AJ726+AJ705+AJ703+AJ699+AJ694+AJ688</f>
        <v>2281898.5</v>
      </c>
      <c r="AL790" s="49">
        <f xml:space="preserve"> AL789+AL758+AL726+AL705+AL703+AL699+AL694+AL688</f>
        <v>2468726.7549999999</v>
      </c>
      <c r="AN790" s="49">
        <f xml:space="preserve"> AN789+AN758+AN726+AN705+AN703+AN699+AN694+AN688</f>
        <v>2442708.8576500001</v>
      </c>
      <c r="AO790" s="49"/>
      <c r="AP790" s="49">
        <f xml:space="preserve"> AP789+AP758+AP726+AP705+AP703+AP699+AP694+AP688</f>
        <v>2509489.3233795003</v>
      </c>
      <c r="AR790" s="49">
        <f xml:space="preserve"> AR789+AR758+AR726+AR705+AR703+AR699+AR694+AR688</f>
        <v>2593083.103080885</v>
      </c>
      <c r="AT790" s="49">
        <f xml:space="preserve"> AT789+AT758+AT726+AT705+AT703+AT699+AT694+AT688</f>
        <v>2611895.9716289588</v>
      </c>
      <c r="AV790" s="49">
        <f xml:space="preserve"> AV789+AV758+AV726+AV705+AV703+AV699+AV694+AV688</f>
        <v>2655903.989374422</v>
      </c>
      <c r="AX790" s="49">
        <f xml:space="preserve"> AX789+AX758+AX726+AX705+AX703+AX699+AX694+AX688</f>
        <v>2659644.9870031308</v>
      </c>
      <c r="AZ790" s="49">
        <f xml:space="preserve"> AZ789+AZ758+AZ726+AZ705+AZ703+AZ699+AZ694+AZ688</f>
        <v>2680247.3502888619</v>
      </c>
    </row>
    <row r="791" spans="1:52" ht="15.75" thickTop="1" x14ac:dyDescent="0.25">
      <c r="A791" s="7" t="s">
        <v>570</v>
      </c>
    </row>
    <row r="792" spans="1:52" x14ac:dyDescent="0.25">
      <c r="A792" s="7" t="s">
        <v>251</v>
      </c>
      <c r="Z792" s="3">
        <f>Y792-T792</f>
        <v>0</v>
      </c>
    </row>
    <row r="793" spans="1:52" x14ac:dyDescent="0.25">
      <c r="A793" s="3" t="s">
        <v>493</v>
      </c>
      <c r="B793" s="3">
        <v>7000</v>
      </c>
      <c r="D793" s="3">
        <v>2910</v>
      </c>
      <c r="E793" s="3">
        <f>F793-D793</f>
        <v>4090</v>
      </c>
      <c r="F793" s="5">
        <v>7000</v>
      </c>
      <c r="H793" s="5">
        <f>F793-B793</f>
        <v>0</v>
      </c>
      <c r="J793" s="5">
        <v>5218</v>
      </c>
      <c r="K793" s="4">
        <f>L793-J793</f>
        <v>1782</v>
      </c>
      <c r="L793" s="4">
        <v>7000</v>
      </c>
      <c r="N793" s="4">
        <f>L793-F793</f>
        <v>0</v>
      </c>
      <c r="P793" s="3">
        <v>9000</v>
      </c>
      <c r="Q793" s="3"/>
      <c r="R793" s="3">
        <v>3341</v>
      </c>
      <c r="S793" s="3">
        <f>T793-R793</f>
        <v>5659</v>
      </c>
      <c r="T793" s="3">
        <v>9000</v>
      </c>
      <c r="U793" s="3">
        <f>T793-P793</f>
        <v>0</v>
      </c>
      <c r="V793" s="3">
        <v>3741</v>
      </c>
      <c r="W793" s="3">
        <f>Y793-V793</f>
        <v>5259</v>
      </c>
      <c r="X793" s="3"/>
      <c r="Y793" s="3">
        <v>9000</v>
      </c>
      <c r="Z793" s="3">
        <f>Y793-T793</f>
        <v>0</v>
      </c>
      <c r="AA793" s="3"/>
      <c r="AB793" s="3"/>
      <c r="AC793" s="3">
        <v>4042</v>
      </c>
      <c r="AD793" s="3">
        <f>AE793-AC793</f>
        <v>4958</v>
      </c>
      <c r="AE793" s="3">
        <v>9000</v>
      </c>
      <c r="AF793" s="3">
        <f>AE793-Y793</f>
        <v>0</v>
      </c>
      <c r="AG793" s="3"/>
      <c r="AH793" s="3">
        <f>AE793*1.03+10000+730</f>
        <v>20000</v>
      </c>
      <c r="AI793" s="3"/>
      <c r="AJ793" s="63">
        <f>AH793*1.03+10000+21-10321</f>
        <v>20300</v>
      </c>
      <c r="AK793" s="63"/>
      <c r="AL793" s="63">
        <v>15610</v>
      </c>
      <c r="AM793" s="3"/>
      <c r="AN793" s="3">
        <v>10150</v>
      </c>
      <c r="AO793" s="3"/>
      <c r="AP793" s="3">
        <f>AN793*1.03</f>
        <v>10454.5</v>
      </c>
      <c r="AQ793" s="42"/>
      <c r="AR793" s="3">
        <f>AP793*1.03</f>
        <v>10768.135</v>
      </c>
      <c r="AS793" s="42"/>
      <c r="AT793" s="3">
        <f>AR793*1.03</f>
        <v>11091.179050000001</v>
      </c>
      <c r="AU793" s="42"/>
      <c r="AV793" s="3">
        <f>AT793*1.03</f>
        <v>11423.914421500001</v>
      </c>
      <c r="AW793" s="42"/>
      <c r="AX793" s="3">
        <f>AV793*1.03</f>
        <v>11766.631854145002</v>
      </c>
      <c r="AZ793" s="3">
        <f>AX793*1.03</f>
        <v>12119.630809769353</v>
      </c>
    </row>
    <row r="794" spans="1:52" x14ac:dyDescent="0.25">
      <c r="A794" s="88" t="s">
        <v>289</v>
      </c>
      <c r="B794" s="3">
        <v>15500</v>
      </c>
      <c r="D794" s="3">
        <v>0</v>
      </c>
      <c r="E794" s="3">
        <f>F794-D794</f>
        <v>15500</v>
      </c>
      <c r="F794" s="5">
        <v>15500</v>
      </c>
      <c r="H794" s="5">
        <f>F794-B794</f>
        <v>0</v>
      </c>
      <c r="K794" s="4">
        <f>L794-J794</f>
        <v>15500</v>
      </c>
      <c r="L794" s="4">
        <v>15500</v>
      </c>
      <c r="N794" s="4">
        <f>L794-F794</f>
        <v>0</v>
      </c>
      <c r="P794" s="3">
        <v>15500</v>
      </c>
      <c r="Q794" s="3"/>
      <c r="R794" s="3">
        <v>0</v>
      </c>
      <c r="S794" s="3">
        <f>T794-R794</f>
        <v>15500</v>
      </c>
      <c r="T794" s="3">
        <v>15500</v>
      </c>
      <c r="U794" s="3">
        <f>T794-P794</f>
        <v>0</v>
      </c>
      <c r="V794" s="3">
        <v>0</v>
      </c>
      <c r="W794" s="3">
        <f>Y794-V794</f>
        <v>15500</v>
      </c>
      <c r="X794" s="3"/>
      <c r="Y794" s="3">
        <v>15500</v>
      </c>
      <c r="Z794" s="3">
        <f>Y794-T794</f>
        <v>0</v>
      </c>
      <c r="AA794" s="3"/>
      <c r="AB794" s="3"/>
      <c r="AC794" s="3">
        <v>0</v>
      </c>
      <c r="AD794" s="3">
        <f>AE794-AC794</f>
        <v>15500</v>
      </c>
      <c r="AE794" s="3">
        <v>15500</v>
      </c>
      <c r="AF794" s="3">
        <f>AE794-Y794</f>
        <v>0</v>
      </c>
      <c r="AG794" s="3"/>
      <c r="AH794" s="88">
        <v>15500</v>
      </c>
      <c r="AI794" s="3"/>
      <c r="AJ794" s="3">
        <v>15500</v>
      </c>
      <c r="AK794" s="3"/>
      <c r="AL794" s="3">
        <v>15500</v>
      </c>
      <c r="AM794" s="3"/>
      <c r="AN794" s="3">
        <v>15500</v>
      </c>
      <c r="AO794" s="3"/>
      <c r="AP794" s="3">
        <v>15500</v>
      </c>
      <c r="AQ794" s="42"/>
      <c r="AR794" s="3">
        <v>15500</v>
      </c>
      <c r="AS794" s="42"/>
      <c r="AT794" s="3">
        <v>15500</v>
      </c>
      <c r="AU794" s="42"/>
      <c r="AV794" s="3">
        <v>15500</v>
      </c>
      <c r="AW794" s="42"/>
      <c r="AX794" s="3">
        <v>15500</v>
      </c>
      <c r="AZ794" s="3">
        <v>15500</v>
      </c>
    </row>
    <row r="795" spans="1:52" x14ac:dyDescent="0.25">
      <c r="A795" s="3"/>
      <c r="B795" s="48">
        <f>SUM(B793:B794)</f>
        <v>22500</v>
      </c>
      <c r="C795" s="32"/>
      <c r="D795" s="48">
        <f>SUM(D793:D794)</f>
        <v>2910</v>
      </c>
      <c r="E795" s="48">
        <f>SUM(E793:E794)</f>
        <v>19590</v>
      </c>
      <c r="F795" s="48">
        <f>SUM(F793:F794)</f>
        <v>22500</v>
      </c>
      <c r="G795" s="32"/>
      <c r="H795" s="48">
        <f>SUM(H793:H794)</f>
        <v>0</v>
      </c>
      <c r="I795" s="36"/>
      <c r="J795" s="48">
        <f>SUM(J793:J794)</f>
        <v>5218</v>
      </c>
      <c r="K795" s="48">
        <f>SUM(K793:K794)</f>
        <v>17282</v>
      </c>
      <c r="L795" s="48">
        <f>SUM(L793:L794)</f>
        <v>22500</v>
      </c>
      <c r="M795" s="32"/>
      <c r="N795" s="48">
        <f>SUM(N793:N794)</f>
        <v>0</v>
      </c>
      <c r="P795" s="48">
        <f>SUM(P793:P794)</f>
        <v>24500</v>
      </c>
      <c r="R795" s="48">
        <f t="shared" ref="R795:Z795" si="445">SUM(R793:R794)</f>
        <v>3341</v>
      </c>
      <c r="S795" s="48">
        <f t="shared" si="445"/>
        <v>21159</v>
      </c>
      <c r="T795" s="48">
        <f t="shared" si="445"/>
        <v>24500</v>
      </c>
      <c r="U795" s="48">
        <f t="shared" si="445"/>
        <v>0</v>
      </c>
      <c r="V795" s="48">
        <f t="shared" si="445"/>
        <v>3741</v>
      </c>
      <c r="W795" s="48">
        <f t="shared" si="445"/>
        <v>20759</v>
      </c>
      <c r="X795" s="48"/>
      <c r="Y795" s="48">
        <f t="shared" si="445"/>
        <v>24500</v>
      </c>
      <c r="Z795" s="48">
        <f t="shared" si="445"/>
        <v>0</v>
      </c>
      <c r="AC795" s="48">
        <f>SUM(AC793:AC794)</f>
        <v>4042</v>
      </c>
      <c r="AD795" s="48">
        <f>SUM(AD793:AD794)</f>
        <v>20458</v>
      </c>
      <c r="AE795" s="48">
        <f>SUM(AE793:AE794)</f>
        <v>24500</v>
      </c>
      <c r="AF795" s="48">
        <f>SUM(AF793:AF794)</f>
        <v>0</v>
      </c>
      <c r="AH795" s="48">
        <f>SUM(AH793:AH794)</f>
        <v>35500</v>
      </c>
      <c r="AJ795" s="48">
        <f>SUM(AJ793:AJ794)</f>
        <v>35800</v>
      </c>
      <c r="AL795" s="48">
        <f>SUM(AL793:AL794)</f>
        <v>31110</v>
      </c>
      <c r="AN795" s="48">
        <f>SUM(AN793:AN794)</f>
        <v>25650</v>
      </c>
      <c r="AO795" s="48"/>
      <c r="AP795" s="48">
        <f>SUM(AP793:AP794)</f>
        <v>25954.5</v>
      </c>
      <c r="AR795" s="48">
        <f>SUM(AR793:AR794)</f>
        <v>26268.135000000002</v>
      </c>
      <c r="AT795" s="48">
        <f>SUM(AT793:AT794)</f>
        <v>26591.179049999999</v>
      </c>
      <c r="AV795" s="48">
        <f>SUM(AV793:AV794)</f>
        <v>26923.914421500001</v>
      </c>
      <c r="AX795" s="48">
        <f>SUM(AX793:AX794)</f>
        <v>27266.631854145002</v>
      </c>
      <c r="AZ795" s="48">
        <f>SUM(AZ793:AZ794)</f>
        <v>27619.630809769355</v>
      </c>
    </row>
    <row r="796" spans="1:52" x14ac:dyDescent="0.25">
      <c r="A796" s="7" t="s">
        <v>253</v>
      </c>
    </row>
    <row r="797" spans="1:52" x14ac:dyDescent="0.25">
      <c r="A797" s="3" t="s">
        <v>304</v>
      </c>
      <c r="B797" s="3">
        <v>117500</v>
      </c>
      <c r="D797" s="3">
        <v>29287</v>
      </c>
      <c r="E797" s="3">
        <f t="shared" ref="E797:E820" si="446">F797-D797</f>
        <v>88213</v>
      </c>
      <c r="F797" s="5">
        <v>117500</v>
      </c>
      <c r="H797" s="5">
        <f t="shared" ref="H797:H820" si="447">F797-B797</f>
        <v>0</v>
      </c>
      <c r="J797" s="5">
        <v>57509</v>
      </c>
      <c r="K797" s="4">
        <f t="shared" ref="K797:K820" si="448">L797-J797</f>
        <v>60491</v>
      </c>
      <c r="L797" s="4">
        <v>118000</v>
      </c>
      <c r="N797" s="4">
        <f t="shared" ref="N797:N820" si="449">L797-F797</f>
        <v>500</v>
      </c>
      <c r="P797" s="3">
        <v>123000</v>
      </c>
      <c r="Q797" s="3"/>
      <c r="R797" s="3">
        <v>28311</v>
      </c>
      <c r="S797" s="3">
        <f t="shared" ref="S797:S820" si="450">T797-R797</f>
        <v>94689</v>
      </c>
      <c r="T797" s="3">
        <v>123000</v>
      </c>
      <c r="U797" s="3">
        <f t="shared" ref="U797:U820" si="451">T797-P797</f>
        <v>0</v>
      </c>
      <c r="V797" s="3">
        <v>63630</v>
      </c>
      <c r="W797" s="3">
        <f t="shared" ref="W797:W820" si="452">Y797-V797</f>
        <v>63370</v>
      </c>
      <c r="X797" s="3"/>
      <c r="Y797" s="3">
        <v>127000</v>
      </c>
      <c r="Z797" s="3">
        <f t="shared" ref="Z797:Z820" si="453">Y797-T797</f>
        <v>4000</v>
      </c>
      <c r="AA797" s="3"/>
      <c r="AB797" s="3"/>
      <c r="AC797" s="3">
        <f>105222+2222</f>
        <v>107444</v>
      </c>
      <c r="AD797" s="3">
        <f t="shared" ref="AD797:AD820" si="454">AE797-AC797</f>
        <v>19556</v>
      </c>
      <c r="AE797" s="3">
        <v>127000</v>
      </c>
      <c r="AF797" s="3">
        <f t="shared" ref="AF797:AF820" si="455">AE797-Y797</f>
        <v>0</v>
      </c>
      <c r="AG797" s="3"/>
      <c r="AH797" s="3">
        <v>126150</v>
      </c>
      <c r="AI797" s="3"/>
      <c r="AJ797" s="3">
        <f t="shared" ref="AJ797:AP798" si="456">AH797*1.03</f>
        <v>129934.5</v>
      </c>
      <c r="AK797" s="3">
        <f t="shared" si="456"/>
        <v>0</v>
      </c>
      <c r="AL797" s="3">
        <f t="shared" si="456"/>
        <v>133832.535</v>
      </c>
      <c r="AM797" s="3">
        <f t="shared" si="456"/>
        <v>0</v>
      </c>
      <c r="AN797" s="3">
        <f t="shared" si="456"/>
        <v>137847.51105</v>
      </c>
      <c r="AO797" s="3">
        <f t="shared" si="456"/>
        <v>0</v>
      </c>
      <c r="AP797" s="3">
        <f t="shared" si="456"/>
        <v>141982.93638150001</v>
      </c>
      <c r="AQ797" s="3"/>
      <c r="AR797" s="3">
        <f t="shared" ref="AR797:AV799" si="457">AP797*1.03</f>
        <v>146242.42447294501</v>
      </c>
      <c r="AS797" s="3">
        <f t="shared" si="457"/>
        <v>0</v>
      </c>
      <c r="AT797" s="3">
        <f t="shared" si="457"/>
        <v>150629.69720713337</v>
      </c>
      <c r="AU797" s="3">
        <f t="shared" si="457"/>
        <v>0</v>
      </c>
      <c r="AV797" s="3">
        <f t="shared" si="457"/>
        <v>155148.58812334738</v>
      </c>
      <c r="AW797" s="3"/>
      <c r="AX797" s="3">
        <f>AV797*1.03</f>
        <v>159803.04576704779</v>
      </c>
      <c r="AY797" s="3">
        <f>AW797*1.03</f>
        <v>0</v>
      </c>
      <c r="AZ797" s="3">
        <f>AX797*1.03</f>
        <v>164597.13714005923</v>
      </c>
    </row>
    <row r="798" spans="1:52" x14ac:dyDescent="0.25">
      <c r="A798" s="3" t="s">
        <v>305</v>
      </c>
      <c r="B798" s="3">
        <v>10000</v>
      </c>
      <c r="D798" s="3">
        <v>1991</v>
      </c>
      <c r="E798" s="3">
        <f t="shared" si="446"/>
        <v>8009</v>
      </c>
      <c r="F798" s="5">
        <v>10000</v>
      </c>
      <c r="H798" s="5">
        <f t="shared" si="447"/>
        <v>0</v>
      </c>
      <c r="J798" s="5">
        <v>3845</v>
      </c>
      <c r="K798" s="4">
        <f t="shared" si="448"/>
        <v>6155</v>
      </c>
      <c r="L798" s="4">
        <v>10000</v>
      </c>
      <c r="N798" s="4">
        <f t="shared" si="449"/>
        <v>0</v>
      </c>
      <c r="P798" s="3">
        <v>15000</v>
      </c>
      <c r="Q798" s="3"/>
      <c r="R798" s="3">
        <v>27332</v>
      </c>
      <c r="S798" s="3">
        <f t="shared" si="450"/>
        <v>10168</v>
      </c>
      <c r="T798" s="3">
        <v>37500</v>
      </c>
      <c r="U798" s="3">
        <f t="shared" si="451"/>
        <v>22500</v>
      </c>
      <c r="V798" s="3">
        <f>6629-831+21535</f>
        <v>27333</v>
      </c>
      <c r="W798" s="3">
        <f t="shared" si="452"/>
        <v>12667</v>
      </c>
      <c r="X798" s="3"/>
      <c r="Y798" s="3">
        <v>40000</v>
      </c>
      <c r="Z798" s="3">
        <f t="shared" si="453"/>
        <v>2500</v>
      </c>
      <c r="AA798" s="3"/>
      <c r="AB798" s="3"/>
      <c r="AC798" s="3">
        <f>27522+1111</f>
        <v>28633</v>
      </c>
      <c r="AD798" s="3">
        <f t="shared" si="454"/>
        <v>11367</v>
      </c>
      <c r="AE798" s="3">
        <v>40000</v>
      </c>
      <c r="AF798" s="3">
        <f t="shared" si="455"/>
        <v>0</v>
      </c>
      <c r="AG798" s="3"/>
      <c r="AH798" s="3">
        <v>15500</v>
      </c>
      <c r="AI798" s="3"/>
      <c r="AJ798" s="3">
        <f t="shared" si="456"/>
        <v>15965</v>
      </c>
      <c r="AK798" s="3">
        <f t="shared" si="456"/>
        <v>0</v>
      </c>
      <c r="AL798" s="3">
        <f t="shared" si="456"/>
        <v>16443.95</v>
      </c>
      <c r="AM798" s="3">
        <f t="shared" si="456"/>
        <v>0</v>
      </c>
      <c r="AN798" s="3">
        <f t="shared" si="456"/>
        <v>16937.268500000002</v>
      </c>
      <c r="AO798" s="3">
        <f t="shared" si="456"/>
        <v>0</v>
      </c>
      <c r="AP798" s="3">
        <f t="shared" si="456"/>
        <v>17445.386555000001</v>
      </c>
      <c r="AQ798" s="3"/>
      <c r="AR798" s="3">
        <f t="shared" si="457"/>
        <v>17968.748151650001</v>
      </c>
      <c r="AS798" s="3">
        <f t="shared" si="457"/>
        <v>0</v>
      </c>
      <c r="AT798" s="3">
        <f t="shared" si="457"/>
        <v>18507.810596199502</v>
      </c>
      <c r="AU798" s="3">
        <f t="shared" si="457"/>
        <v>0</v>
      </c>
      <c r="AV798" s="3">
        <f t="shared" si="457"/>
        <v>19063.044914085487</v>
      </c>
      <c r="AW798" s="3"/>
      <c r="AX798" s="3">
        <f>AV798*1.03</f>
        <v>19634.936261508054</v>
      </c>
      <c r="AY798" s="3">
        <f>AW798*1.03</f>
        <v>0</v>
      </c>
      <c r="AZ798" s="3">
        <f t="shared" ref="AZ798:AZ809" si="458">AX798*1.03</f>
        <v>20223.984349353297</v>
      </c>
    </row>
    <row r="799" spans="1:52" x14ac:dyDescent="0.25">
      <c r="A799" s="3" t="s">
        <v>571</v>
      </c>
      <c r="B799" s="3">
        <v>80000</v>
      </c>
      <c r="D799" s="3">
        <v>0</v>
      </c>
      <c r="E799" s="3">
        <f t="shared" si="446"/>
        <v>45000</v>
      </c>
      <c r="F799" s="5">
        <v>45000</v>
      </c>
      <c r="H799" s="5">
        <f t="shared" si="447"/>
        <v>-35000</v>
      </c>
      <c r="J799" s="5">
        <v>0</v>
      </c>
      <c r="K799" s="4">
        <f t="shared" si="448"/>
        <v>20000</v>
      </c>
      <c r="L799" s="4">
        <v>20000</v>
      </c>
      <c r="N799" s="4">
        <f t="shared" si="449"/>
        <v>-25000</v>
      </c>
      <c r="P799" s="3">
        <v>0</v>
      </c>
      <c r="Q799" s="3"/>
      <c r="R799" s="3"/>
      <c r="S799" s="3">
        <f t="shared" si="450"/>
        <v>0</v>
      </c>
      <c r="T799" s="3"/>
      <c r="U799" s="3">
        <f t="shared" si="451"/>
        <v>0</v>
      </c>
      <c r="V799" s="3">
        <v>2984</v>
      </c>
      <c r="W799" s="3">
        <f t="shared" si="452"/>
        <v>-2984</v>
      </c>
      <c r="X799" s="3"/>
      <c r="Y799" s="3"/>
      <c r="Z799" s="3">
        <f t="shared" si="453"/>
        <v>0</v>
      </c>
      <c r="AA799" s="3"/>
      <c r="AB799" s="3"/>
      <c r="AC799" s="3"/>
      <c r="AD799" s="3">
        <f t="shared" si="454"/>
        <v>40000</v>
      </c>
      <c r="AE799" s="3">
        <v>40000</v>
      </c>
      <c r="AF799" s="3">
        <f t="shared" si="455"/>
        <v>40000</v>
      </c>
      <c r="AG799" s="3"/>
      <c r="AH799" s="3">
        <v>75000</v>
      </c>
      <c r="AI799" s="3"/>
      <c r="AJ799" s="3">
        <f>AH799*1.03</f>
        <v>77250</v>
      </c>
      <c r="AK799" s="3"/>
      <c r="AL799" s="3">
        <f>AJ799*1.03</f>
        <v>79567.5</v>
      </c>
      <c r="AM799" s="3">
        <f>AK799*1.03</f>
        <v>0</v>
      </c>
      <c r="AN799" s="3">
        <f>AL799*1.03</f>
        <v>81954.525000000009</v>
      </c>
      <c r="AO799" s="3">
        <f>AM799*1.03</f>
        <v>0</v>
      </c>
      <c r="AP799" s="3">
        <f>AN799*1.03</f>
        <v>84413.16075000001</v>
      </c>
      <c r="AQ799" s="3"/>
      <c r="AR799" s="3">
        <f t="shared" si="457"/>
        <v>86945.555572500016</v>
      </c>
      <c r="AS799" s="3">
        <f t="shared" si="457"/>
        <v>0</v>
      </c>
      <c r="AT799" s="3">
        <f t="shared" si="457"/>
        <v>89553.922239675012</v>
      </c>
      <c r="AU799" s="3">
        <f t="shared" si="457"/>
        <v>0</v>
      </c>
      <c r="AV799" s="3">
        <f t="shared" si="457"/>
        <v>92240.539906865262</v>
      </c>
      <c r="AW799" s="3"/>
      <c r="AX799" s="3">
        <f>AV799*1.03</f>
        <v>95007.756104071217</v>
      </c>
      <c r="AY799" s="3">
        <f>AW799*1.03</f>
        <v>0</v>
      </c>
      <c r="AZ799" s="3">
        <f t="shared" si="458"/>
        <v>97857.988787193361</v>
      </c>
    </row>
    <row r="800" spans="1:52" x14ac:dyDescent="0.25">
      <c r="A800" s="3" t="s">
        <v>299</v>
      </c>
      <c r="B800" s="3">
        <v>2200</v>
      </c>
      <c r="D800" s="3">
        <v>110</v>
      </c>
      <c r="E800" s="3">
        <f t="shared" si="446"/>
        <v>2090</v>
      </c>
      <c r="F800" s="5">
        <v>2200</v>
      </c>
      <c r="H800" s="5">
        <f t="shared" si="447"/>
        <v>0</v>
      </c>
      <c r="J800" s="5">
        <v>701</v>
      </c>
      <c r="K800" s="4">
        <f t="shared" si="448"/>
        <v>1499</v>
      </c>
      <c r="L800" s="4">
        <v>2200</v>
      </c>
      <c r="N800" s="4">
        <f t="shared" si="449"/>
        <v>0</v>
      </c>
      <c r="P800" s="3">
        <f>L800*1.0281+38</f>
        <v>2299.8200000000002</v>
      </c>
      <c r="Q800" s="3"/>
      <c r="R800" s="3">
        <v>690</v>
      </c>
      <c r="S800" s="3">
        <f t="shared" si="450"/>
        <v>1610</v>
      </c>
      <c r="T800" s="3">
        <v>2300</v>
      </c>
      <c r="U800" s="3">
        <f t="shared" si="451"/>
        <v>0.17999999999983629</v>
      </c>
      <c r="V800" s="3">
        <f>2516+614</f>
        <v>3130</v>
      </c>
      <c r="W800" s="3">
        <f t="shared" si="452"/>
        <v>-830</v>
      </c>
      <c r="X800" s="3"/>
      <c r="Y800" s="3">
        <v>2300</v>
      </c>
      <c r="Z800" s="3">
        <f t="shared" si="453"/>
        <v>0</v>
      </c>
      <c r="AA800" s="3"/>
      <c r="AB800" s="3"/>
      <c r="AC800" s="3">
        <f>2513+906</f>
        <v>3419</v>
      </c>
      <c r="AD800" s="3">
        <f t="shared" si="454"/>
        <v>581</v>
      </c>
      <c r="AE800" s="3">
        <v>4000</v>
      </c>
      <c r="AF800" s="3">
        <f t="shared" si="455"/>
        <v>1700</v>
      </c>
      <c r="AG800" s="3"/>
      <c r="AH800" s="3">
        <v>3500</v>
      </c>
      <c r="AI800" s="3"/>
      <c r="AJ800" s="3">
        <f>AH800*1.03</f>
        <v>3605</v>
      </c>
      <c r="AK800" s="3"/>
      <c r="AL800" s="3">
        <f t="shared" ref="AL800:AL809" si="459">AJ800*1.03</f>
        <v>3713.15</v>
      </c>
      <c r="AM800" s="3"/>
      <c r="AN800" s="3">
        <f t="shared" ref="AN800:AN809" si="460">AL800*1.03</f>
        <v>3824.5445</v>
      </c>
      <c r="AO800" s="3"/>
      <c r="AP800" s="3">
        <f t="shared" ref="AP800:AP809" si="461">AN800*1.03</f>
        <v>3939.280835</v>
      </c>
      <c r="AQ800" s="42"/>
      <c r="AR800" s="3">
        <f t="shared" ref="AR800:AR809" si="462">AP800*1.03</f>
        <v>4057.45926005</v>
      </c>
      <c r="AS800" s="42"/>
      <c r="AT800" s="3">
        <f t="shared" ref="AT800:AT809" si="463">AR800*1.03</f>
        <v>4179.1830378515006</v>
      </c>
      <c r="AU800" s="42"/>
      <c r="AV800" s="3">
        <f t="shared" ref="AV800:AV809" si="464">AT800*1.03</f>
        <v>4304.558528987046</v>
      </c>
      <c r="AW800" s="42"/>
      <c r="AX800" s="3">
        <f t="shared" ref="AX800:AX809" si="465">AV800*1.03</f>
        <v>4433.6952848566571</v>
      </c>
      <c r="AZ800" s="3">
        <f t="shared" si="458"/>
        <v>4566.7061434023572</v>
      </c>
    </row>
    <row r="801" spans="1:52" x14ac:dyDescent="0.25">
      <c r="A801" s="3" t="s">
        <v>572</v>
      </c>
      <c r="B801" s="3">
        <v>11000</v>
      </c>
      <c r="D801" s="3">
        <v>2418</v>
      </c>
      <c r="E801" s="3">
        <f t="shared" si="446"/>
        <v>8582</v>
      </c>
      <c r="F801" s="5">
        <v>11000</v>
      </c>
      <c r="H801" s="5">
        <f t="shared" si="447"/>
        <v>0</v>
      </c>
      <c r="J801" s="5">
        <v>6606</v>
      </c>
      <c r="K801" s="4">
        <f t="shared" si="448"/>
        <v>4394</v>
      </c>
      <c r="L801" s="4">
        <v>11000</v>
      </c>
      <c r="N801" s="4">
        <f t="shared" si="449"/>
        <v>0</v>
      </c>
      <c r="P801" s="3">
        <f>L801*1.0281-9</f>
        <v>11300.1</v>
      </c>
      <c r="Q801" s="3"/>
      <c r="R801" s="3">
        <v>5724</v>
      </c>
      <c r="S801" s="3">
        <f t="shared" si="450"/>
        <v>5576</v>
      </c>
      <c r="T801" s="3">
        <v>11300</v>
      </c>
      <c r="U801" s="3">
        <f t="shared" si="451"/>
        <v>-0.1000000000003638</v>
      </c>
      <c r="V801" s="3">
        <v>7594</v>
      </c>
      <c r="W801" s="3">
        <f t="shared" si="452"/>
        <v>3706</v>
      </c>
      <c r="X801" s="3"/>
      <c r="Y801" s="3">
        <v>11300</v>
      </c>
      <c r="Z801" s="3">
        <f t="shared" si="453"/>
        <v>0</v>
      </c>
      <c r="AA801" s="3"/>
      <c r="AB801" s="3"/>
      <c r="AC801" s="3">
        <f>9362+600</f>
        <v>9962</v>
      </c>
      <c r="AD801" s="3">
        <f t="shared" si="454"/>
        <v>2038</v>
      </c>
      <c r="AE801" s="3">
        <v>12000</v>
      </c>
      <c r="AF801" s="3">
        <f t="shared" si="455"/>
        <v>700</v>
      </c>
      <c r="AG801" s="3"/>
      <c r="AH801" s="3">
        <f>AE801*1.03-10-1000</f>
        <v>11350</v>
      </c>
      <c r="AI801" s="3"/>
      <c r="AJ801" s="3">
        <f>AH801*1.03</f>
        <v>11690.5</v>
      </c>
      <c r="AK801" s="3"/>
      <c r="AL801" s="3">
        <f t="shared" si="459"/>
        <v>12041.215</v>
      </c>
      <c r="AM801" s="3"/>
      <c r="AN801" s="3">
        <f t="shared" si="460"/>
        <v>12402.45145</v>
      </c>
      <c r="AO801" s="3"/>
      <c r="AP801" s="3">
        <f t="shared" si="461"/>
        <v>12774.524993500001</v>
      </c>
      <c r="AQ801" s="42"/>
      <c r="AR801" s="3">
        <f t="shared" si="462"/>
        <v>13157.760743305002</v>
      </c>
      <c r="AS801" s="42"/>
      <c r="AT801" s="3">
        <f t="shared" si="463"/>
        <v>13552.493565604153</v>
      </c>
      <c r="AU801" s="42"/>
      <c r="AV801" s="3">
        <f t="shared" si="464"/>
        <v>13959.068372572277</v>
      </c>
      <c r="AW801" s="42"/>
      <c r="AX801" s="3">
        <f t="shared" si="465"/>
        <v>14377.840423749447</v>
      </c>
      <c r="AZ801" s="3">
        <f t="shared" si="458"/>
        <v>14809.17563646193</v>
      </c>
    </row>
    <row r="802" spans="1:52" x14ac:dyDescent="0.25">
      <c r="A802" s="3" t="s">
        <v>324</v>
      </c>
      <c r="B802" s="3">
        <v>1500</v>
      </c>
      <c r="D802" s="3">
        <v>208</v>
      </c>
      <c r="E802" s="3">
        <f t="shared" si="446"/>
        <v>1292</v>
      </c>
      <c r="F802" s="5">
        <v>1500</v>
      </c>
      <c r="H802" s="5">
        <f t="shared" si="447"/>
        <v>0</v>
      </c>
      <c r="J802" s="5">
        <v>450</v>
      </c>
      <c r="K802" s="4">
        <f t="shared" si="448"/>
        <v>1050</v>
      </c>
      <c r="L802" s="4">
        <v>1500</v>
      </c>
      <c r="N802" s="4">
        <f t="shared" si="449"/>
        <v>0</v>
      </c>
      <c r="P802" s="3">
        <f>L802*1.0281+8</f>
        <v>1550.15</v>
      </c>
      <c r="Q802" s="3"/>
      <c r="R802" s="3">
        <v>167</v>
      </c>
      <c r="S802" s="3">
        <f t="shared" si="450"/>
        <v>1383</v>
      </c>
      <c r="T802" s="3">
        <v>1550</v>
      </c>
      <c r="U802" s="3">
        <f t="shared" si="451"/>
        <v>-0.15000000000009095</v>
      </c>
      <c r="V802" s="3">
        <v>280</v>
      </c>
      <c r="W802" s="3">
        <f t="shared" si="452"/>
        <v>1270</v>
      </c>
      <c r="X802" s="3"/>
      <c r="Y802" s="3">
        <v>1550</v>
      </c>
      <c r="Z802" s="3">
        <f t="shared" si="453"/>
        <v>0</v>
      </c>
      <c r="AA802" s="3"/>
      <c r="AB802" s="3"/>
      <c r="AC802" s="3">
        <v>530</v>
      </c>
      <c r="AD802" s="3">
        <f t="shared" si="454"/>
        <v>1020</v>
      </c>
      <c r="AE802" s="3">
        <v>1550</v>
      </c>
      <c r="AF802" s="3">
        <f t="shared" si="455"/>
        <v>0</v>
      </c>
      <c r="AG802" s="3"/>
      <c r="AH802" s="3">
        <f>AE802*1.03+3</f>
        <v>1599.5</v>
      </c>
      <c r="AI802" s="3"/>
      <c r="AJ802" s="3">
        <f>AH802*1.03</f>
        <v>1647.4850000000001</v>
      </c>
      <c r="AK802" s="3"/>
      <c r="AL802" s="3">
        <f t="shared" si="459"/>
        <v>1696.9095500000001</v>
      </c>
      <c r="AM802" s="3"/>
      <c r="AN802" s="3">
        <f t="shared" si="460"/>
        <v>1747.8168365000001</v>
      </c>
      <c r="AO802" s="3"/>
      <c r="AP802" s="3">
        <f t="shared" si="461"/>
        <v>1800.2513415950002</v>
      </c>
      <c r="AQ802" s="42"/>
      <c r="AR802" s="3">
        <f t="shared" si="462"/>
        <v>1854.2588818428503</v>
      </c>
      <c r="AS802" s="42"/>
      <c r="AT802" s="3">
        <f t="shared" si="463"/>
        <v>1909.8866482981359</v>
      </c>
      <c r="AU802" s="42"/>
      <c r="AV802" s="3">
        <f t="shared" si="464"/>
        <v>1967.18324774708</v>
      </c>
      <c r="AW802" s="42"/>
      <c r="AX802" s="3">
        <f t="shared" si="465"/>
        <v>2026.1987451794926</v>
      </c>
      <c r="AZ802" s="3">
        <f t="shared" si="458"/>
        <v>2086.9847075348775</v>
      </c>
    </row>
    <row r="803" spans="1:52" x14ac:dyDescent="0.25">
      <c r="A803" s="3" t="s">
        <v>327</v>
      </c>
      <c r="B803" s="3">
        <v>8000</v>
      </c>
      <c r="D803" s="3">
        <v>1921</v>
      </c>
      <c r="E803" s="3">
        <f t="shared" si="446"/>
        <v>6079</v>
      </c>
      <c r="F803" s="5">
        <v>8000</v>
      </c>
      <c r="H803" s="5">
        <f t="shared" si="447"/>
        <v>0</v>
      </c>
      <c r="J803" s="5">
        <v>3315</v>
      </c>
      <c r="K803" s="4">
        <f t="shared" si="448"/>
        <v>4685</v>
      </c>
      <c r="L803" s="4">
        <v>8000</v>
      </c>
      <c r="N803" s="4">
        <f t="shared" si="449"/>
        <v>0</v>
      </c>
      <c r="P803" s="3">
        <f>L803*1.0281+25</f>
        <v>8249.7999999999993</v>
      </c>
      <c r="Q803" s="3"/>
      <c r="R803" s="3">
        <v>1374</v>
      </c>
      <c r="S803" s="3">
        <f t="shared" si="450"/>
        <v>6876</v>
      </c>
      <c r="T803" s="3">
        <v>8250</v>
      </c>
      <c r="U803" s="3">
        <f t="shared" si="451"/>
        <v>0.2000000000007276</v>
      </c>
      <c r="V803" s="3">
        <v>3514</v>
      </c>
      <c r="W803" s="3">
        <f t="shared" si="452"/>
        <v>4736</v>
      </c>
      <c r="X803" s="3"/>
      <c r="Y803" s="3">
        <v>8250</v>
      </c>
      <c r="Z803" s="3">
        <f t="shared" si="453"/>
        <v>0</v>
      </c>
      <c r="AA803" s="3"/>
      <c r="AB803" s="3"/>
      <c r="AC803" s="3">
        <v>4994</v>
      </c>
      <c r="AD803" s="3">
        <f t="shared" si="454"/>
        <v>3256</v>
      </c>
      <c r="AE803" s="3">
        <v>8250</v>
      </c>
      <c r="AF803" s="3">
        <f t="shared" si="455"/>
        <v>0</v>
      </c>
      <c r="AG803" s="3"/>
      <c r="AH803" s="3">
        <f>AE803*1.03+2</f>
        <v>8499.5</v>
      </c>
      <c r="AI803" s="3"/>
      <c r="AJ803" s="3">
        <f>AH803*1.03</f>
        <v>8754.4850000000006</v>
      </c>
      <c r="AK803" s="3"/>
      <c r="AL803" s="3">
        <f t="shared" si="459"/>
        <v>9017.1195500000013</v>
      </c>
      <c r="AM803" s="3"/>
      <c r="AN803" s="3">
        <f t="shared" si="460"/>
        <v>9287.6331365000024</v>
      </c>
      <c r="AO803" s="3"/>
      <c r="AP803" s="3">
        <f t="shared" si="461"/>
        <v>9566.2621305950033</v>
      </c>
      <c r="AQ803" s="42"/>
      <c r="AR803" s="3">
        <f t="shared" si="462"/>
        <v>9853.2499945128529</v>
      </c>
      <c r="AS803" s="42"/>
      <c r="AT803" s="3">
        <f t="shared" si="463"/>
        <v>10148.847494348238</v>
      </c>
      <c r="AU803" s="42"/>
      <c r="AV803" s="3">
        <f t="shared" si="464"/>
        <v>10453.312919178685</v>
      </c>
      <c r="AW803" s="42"/>
      <c r="AX803" s="3">
        <f t="shared" si="465"/>
        <v>10766.912306754046</v>
      </c>
      <c r="AZ803" s="3">
        <f t="shared" si="458"/>
        <v>11089.919675956668</v>
      </c>
    </row>
    <row r="804" spans="1:52" x14ac:dyDescent="0.25">
      <c r="A804" s="3" t="s">
        <v>464</v>
      </c>
      <c r="B804" s="3">
        <v>7100</v>
      </c>
      <c r="D804" s="3">
        <v>478</v>
      </c>
      <c r="E804" s="3">
        <f t="shared" si="446"/>
        <v>6622</v>
      </c>
      <c r="F804" s="5">
        <v>7100</v>
      </c>
      <c r="H804" s="5">
        <f t="shared" si="447"/>
        <v>0</v>
      </c>
      <c r="J804" s="5">
        <v>2091</v>
      </c>
      <c r="K804" s="4">
        <f t="shared" si="448"/>
        <v>5009</v>
      </c>
      <c r="L804" s="4">
        <v>7100</v>
      </c>
      <c r="N804" s="4">
        <f t="shared" si="449"/>
        <v>0</v>
      </c>
      <c r="P804" s="3">
        <f>L804*1.17+43</f>
        <v>8350</v>
      </c>
      <c r="Q804" s="3"/>
      <c r="R804" s="3">
        <v>1456</v>
      </c>
      <c r="S804" s="3">
        <f t="shared" si="450"/>
        <v>6894</v>
      </c>
      <c r="T804" s="3">
        <v>8350</v>
      </c>
      <c r="U804" s="3">
        <f t="shared" si="451"/>
        <v>0</v>
      </c>
      <c r="V804" s="3">
        <v>1456</v>
      </c>
      <c r="W804" s="3">
        <f t="shared" si="452"/>
        <v>6894</v>
      </c>
      <c r="X804" s="3"/>
      <c r="Y804" s="3">
        <v>8350</v>
      </c>
      <c r="Z804" s="3">
        <f t="shared" si="453"/>
        <v>0</v>
      </c>
      <c r="AA804" s="3"/>
      <c r="AB804" s="3"/>
      <c r="AC804" s="3">
        <v>1454</v>
      </c>
      <c r="AD804" s="3">
        <f t="shared" si="454"/>
        <v>6546</v>
      </c>
      <c r="AE804" s="3">
        <v>8000</v>
      </c>
      <c r="AF804" s="3">
        <f t="shared" si="455"/>
        <v>-350</v>
      </c>
      <c r="AG804" s="3"/>
      <c r="AH804" s="3">
        <f>AE804*1.075</f>
        <v>8600</v>
      </c>
      <c r="AI804" s="3"/>
      <c r="AJ804" s="3">
        <f>AH804*1.05</f>
        <v>9030</v>
      </c>
      <c r="AK804" s="3"/>
      <c r="AL804" s="3">
        <f t="shared" si="459"/>
        <v>9300.9</v>
      </c>
      <c r="AM804" s="3"/>
      <c r="AN804" s="3">
        <f t="shared" si="460"/>
        <v>9579.9269999999997</v>
      </c>
      <c r="AO804" s="3"/>
      <c r="AP804" s="3">
        <f t="shared" si="461"/>
        <v>9867.3248100000001</v>
      </c>
      <c r="AQ804" s="42"/>
      <c r="AR804" s="3">
        <f t="shared" si="462"/>
        <v>10163.3445543</v>
      </c>
      <c r="AS804" s="42"/>
      <c r="AT804" s="3">
        <f t="shared" si="463"/>
        <v>10468.244890929</v>
      </c>
      <c r="AU804" s="42"/>
      <c r="AV804" s="3">
        <f t="shared" si="464"/>
        <v>10782.292237656869</v>
      </c>
      <c r="AW804" s="42"/>
      <c r="AX804" s="3">
        <f t="shared" si="465"/>
        <v>11105.761004786576</v>
      </c>
      <c r="AZ804" s="3">
        <f t="shared" si="458"/>
        <v>11438.933834930174</v>
      </c>
    </row>
    <row r="805" spans="1:52" x14ac:dyDescent="0.25">
      <c r="A805" s="3" t="s">
        <v>573</v>
      </c>
      <c r="B805" s="3">
        <v>7400</v>
      </c>
      <c r="D805" s="3">
        <f>677+114+10</f>
        <v>801</v>
      </c>
      <c r="E805" s="3">
        <f t="shared" si="446"/>
        <v>6599</v>
      </c>
      <c r="F805" s="5">
        <v>7400</v>
      </c>
      <c r="H805" s="5">
        <f t="shared" si="447"/>
        <v>0</v>
      </c>
      <c r="J805" s="5">
        <v>1343</v>
      </c>
      <c r="K805" s="4">
        <f t="shared" si="448"/>
        <v>5557</v>
      </c>
      <c r="L805" s="4">
        <v>6900</v>
      </c>
      <c r="N805" s="4">
        <f t="shared" si="449"/>
        <v>-500</v>
      </c>
      <c r="P805" s="3">
        <f>L805*1.0281+6</f>
        <v>7099.89</v>
      </c>
      <c r="Q805" s="3"/>
      <c r="R805" s="3">
        <f>4006+427</f>
        <v>4433</v>
      </c>
      <c r="S805" s="3">
        <f t="shared" si="450"/>
        <v>2667</v>
      </c>
      <c r="T805" s="3">
        <v>7100</v>
      </c>
      <c r="U805" s="3">
        <f t="shared" si="451"/>
        <v>0.10999999999967258</v>
      </c>
      <c r="V805" s="3">
        <f>210+105+1706+1063+2949</f>
        <v>6033</v>
      </c>
      <c r="W805" s="3">
        <f t="shared" si="452"/>
        <v>1067</v>
      </c>
      <c r="X805" s="3"/>
      <c r="Y805" s="3">
        <v>7100</v>
      </c>
      <c r="Z805" s="3">
        <f t="shared" si="453"/>
        <v>0</v>
      </c>
      <c r="AA805" s="3"/>
      <c r="AB805" s="3"/>
      <c r="AC805" s="3">
        <v>5509</v>
      </c>
      <c r="AD805" s="3">
        <f t="shared" si="454"/>
        <v>1591</v>
      </c>
      <c r="AE805" s="3">
        <v>7100</v>
      </c>
      <c r="AF805" s="3">
        <f t="shared" si="455"/>
        <v>0</v>
      </c>
      <c r="AG805" s="3"/>
      <c r="AH805" s="3">
        <f>AE805*1.03-13</f>
        <v>7300</v>
      </c>
      <c r="AI805" s="3"/>
      <c r="AJ805" s="3">
        <f>AH805*1.03</f>
        <v>7519</v>
      </c>
      <c r="AK805" s="3"/>
      <c r="AL805" s="3">
        <f t="shared" si="459"/>
        <v>7744.5700000000006</v>
      </c>
      <c r="AM805" s="3"/>
      <c r="AN805" s="3">
        <f t="shared" si="460"/>
        <v>7976.9071000000013</v>
      </c>
      <c r="AO805" s="3"/>
      <c r="AP805" s="3">
        <f t="shared" si="461"/>
        <v>8216.2143130000022</v>
      </c>
      <c r="AQ805" s="42"/>
      <c r="AR805" s="3">
        <f t="shared" si="462"/>
        <v>8462.7007423900031</v>
      </c>
      <c r="AS805" s="42"/>
      <c r="AT805" s="3">
        <f t="shared" si="463"/>
        <v>8716.5817646617033</v>
      </c>
      <c r="AU805" s="42"/>
      <c r="AV805" s="3">
        <f t="shared" si="464"/>
        <v>8978.0792176015548</v>
      </c>
      <c r="AW805" s="42"/>
      <c r="AX805" s="3">
        <f t="shared" si="465"/>
        <v>9247.4215941296025</v>
      </c>
      <c r="AZ805" s="3">
        <f t="shared" si="458"/>
        <v>9524.8442419534913</v>
      </c>
    </row>
    <row r="806" spans="1:52" x14ac:dyDescent="0.25">
      <c r="A806" s="3" t="s">
        <v>574</v>
      </c>
      <c r="B806" s="3">
        <v>10300</v>
      </c>
      <c r="D806" s="3">
        <v>4529</v>
      </c>
      <c r="E806" s="3">
        <f t="shared" si="446"/>
        <v>5771</v>
      </c>
      <c r="F806" s="5">
        <v>10300</v>
      </c>
      <c r="H806" s="5">
        <f t="shared" si="447"/>
        <v>0</v>
      </c>
      <c r="J806" s="5">
        <v>6105</v>
      </c>
      <c r="K806" s="4">
        <f t="shared" si="448"/>
        <v>4195</v>
      </c>
      <c r="L806" s="4">
        <v>10300</v>
      </c>
      <c r="N806" s="4">
        <f t="shared" si="449"/>
        <v>0</v>
      </c>
      <c r="P806" s="3">
        <f>L806*1.0281+11</f>
        <v>10600.43</v>
      </c>
      <c r="Q806" s="3"/>
      <c r="R806" s="3">
        <f>64+350+1062+771+86</f>
        <v>2333</v>
      </c>
      <c r="S806" s="3">
        <f t="shared" si="450"/>
        <v>8267</v>
      </c>
      <c r="T806" s="3">
        <v>10600</v>
      </c>
      <c r="U806" s="3">
        <f t="shared" si="451"/>
        <v>-0.43000000000029104</v>
      </c>
      <c r="V806" s="3">
        <f>679+205+8+285+720+1026+177</f>
        <v>3100</v>
      </c>
      <c r="W806" s="3">
        <f t="shared" si="452"/>
        <v>7500</v>
      </c>
      <c r="X806" s="3"/>
      <c r="Y806" s="3">
        <v>10600</v>
      </c>
      <c r="Z806" s="3">
        <f t="shared" si="453"/>
        <v>0</v>
      </c>
      <c r="AA806" s="3"/>
      <c r="AB806" s="3"/>
      <c r="AC806" s="3">
        <v>12275</v>
      </c>
      <c r="AD806" s="3">
        <f t="shared" si="454"/>
        <v>2725</v>
      </c>
      <c r="AE806" s="3">
        <v>15000</v>
      </c>
      <c r="AF806" s="3">
        <f t="shared" si="455"/>
        <v>4400</v>
      </c>
      <c r="AG806" s="3"/>
      <c r="AH806" s="3">
        <f>AE806*1.03</f>
        <v>15450</v>
      </c>
      <c r="AI806" s="3"/>
      <c r="AJ806" s="3">
        <f>AH806*1.03</f>
        <v>15913.5</v>
      </c>
      <c r="AK806" s="3"/>
      <c r="AL806" s="3">
        <f t="shared" si="459"/>
        <v>16390.904999999999</v>
      </c>
      <c r="AM806" s="3"/>
      <c r="AN806" s="3">
        <f t="shared" si="460"/>
        <v>16882.632149999998</v>
      </c>
      <c r="AO806" s="3"/>
      <c r="AP806" s="3">
        <f t="shared" si="461"/>
        <v>17389.1111145</v>
      </c>
      <c r="AQ806" s="42"/>
      <c r="AR806" s="3">
        <f t="shared" si="462"/>
        <v>17910.784447934999</v>
      </c>
      <c r="AS806" s="42"/>
      <c r="AT806" s="3">
        <f t="shared" si="463"/>
        <v>18448.10798137305</v>
      </c>
      <c r="AU806" s="42"/>
      <c r="AV806" s="3">
        <f t="shared" si="464"/>
        <v>19001.551220814243</v>
      </c>
      <c r="AW806" s="42"/>
      <c r="AX806" s="3">
        <f t="shared" si="465"/>
        <v>19571.597757438671</v>
      </c>
      <c r="AZ806" s="3">
        <f t="shared" si="458"/>
        <v>20158.745690161832</v>
      </c>
    </row>
    <row r="807" spans="1:52" x14ac:dyDescent="0.25">
      <c r="A807" s="3" t="s">
        <v>575</v>
      </c>
      <c r="B807" s="3">
        <v>30300</v>
      </c>
      <c r="D807" s="3">
        <v>5524</v>
      </c>
      <c r="E807" s="3">
        <f t="shared" si="446"/>
        <v>24776</v>
      </c>
      <c r="F807" s="5">
        <v>30300</v>
      </c>
      <c r="H807" s="5">
        <f t="shared" si="447"/>
        <v>0</v>
      </c>
      <c r="J807" s="5">
        <v>13245</v>
      </c>
      <c r="K807" s="4">
        <f t="shared" si="448"/>
        <v>17055</v>
      </c>
      <c r="L807" s="4">
        <v>30300</v>
      </c>
      <c r="N807" s="4">
        <f t="shared" si="449"/>
        <v>0</v>
      </c>
      <c r="P807" s="3">
        <f>L807*1.0281-1</f>
        <v>31150.43</v>
      </c>
      <c r="Q807" s="3"/>
      <c r="R807" s="3">
        <v>7004</v>
      </c>
      <c r="S807" s="3">
        <f t="shared" si="450"/>
        <v>24146</v>
      </c>
      <c r="T807" s="3">
        <v>31150</v>
      </c>
      <c r="U807" s="3">
        <f t="shared" si="451"/>
        <v>-0.43000000000029104</v>
      </c>
      <c r="V807" s="3">
        <f>5704+11279</f>
        <v>16983</v>
      </c>
      <c r="W807" s="3">
        <f t="shared" si="452"/>
        <v>14167</v>
      </c>
      <c r="X807" s="3"/>
      <c r="Y807" s="3">
        <v>31150</v>
      </c>
      <c r="Z807" s="3">
        <f t="shared" si="453"/>
        <v>0</v>
      </c>
      <c r="AA807" s="3"/>
      <c r="AB807" s="3"/>
      <c r="AC807" s="3">
        <v>21051</v>
      </c>
      <c r="AD807" s="3">
        <f t="shared" si="454"/>
        <v>9949</v>
      </c>
      <c r="AE807" s="3">
        <v>31000</v>
      </c>
      <c r="AF807" s="3">
        <f t="shared" si="455"/>
        <v>-150</v>
      </c>
      <c r="AG807" s="3"/>
      <c r="AH807" s="3">
        <f>AE807*1.03+20</f>
        <v>31950</v>
      </c>
      <c r="AI807" s="3"/>
      <c r="AJ807" s="3">
        <f>AH807*1.03</f>
        <v>32908.5</v>
      </c>
      <c r="AK807" s="3"/>
      <c r="AL807" s="3">
        <f t="shared" si="459"/>
        <v>33895.754999999997</v>
      </c>
      <c r="AM807" s="3"/>
      <c r="AN807" s="3">
        <f t="shared" si="460"/>
        <v>34912.627649999995</v>
      </c>
      <c r="AO807" s="3"/>
      <c r="AP807" s="3">
        <f t="shared" si="461"/>
        <v>35960.006479499993</v>
      </c>
      <c r="AQ807" s="42"/>
      <c r="AR807" s="3">
        <f t="shared" si="462"/>
        <v>37038.806673884996</v>
      </c>
      <c r="AS807" s="42"/>
      <c r="AT807" s="3">
        <f t="shared" si="463"/>
        <v>38149.970874101549</v>
      </c>
      <c r="AU807" s="42"/>
      <c r="AV807" s="3">
        <f t="shared" si="464"/>
        <v>39294.470000324596</v>
      </c>
      <c r="AW807" s="42"/>
      <c r="AX807" s="3">
        <f t="shared" si="465"/>
        <v>40473.304100334339</v>
      </c>
      <c r="AZ807" s="3">
        <f t="shared" si="458"/>
        <v>41687.503223344371</v>
      </c>
    </row>
    <row r="808" spans="1:52" x14ac:dyDescent="0.25">
      <c r="A808" s="3" t="s">
        <v>467</v>
      </c>
      <c r="B808" s="3">
        <v>2600</v>
      </c>
      <c r="D808" s="3">
        <v>283</v>
      </c>
      <c r="E808" s="3">
        <f t="shared" si="446"/>
        <v>2317</v>
      </c>
      <c r="F808" s="5">
        <v>2600</v>
      </c>
      <c r="H808" s="5">
        <f t="shared" si="447"/>
        <v>0</v>
      </c>
      <c r="J808" s="5">
        <v>626</v>
      </c>
      <c r="K808" s="4">
        <f t="shared" si="448"/>
        <v>1974</v>
      </c>
      <c r="L808" s="4">
        <v>2600</v>
      </c>
      <c r="N808" s="4">
        <f t="shared" si="449"/>
        <v>0</v>
      </c>
      <c r="P808" s="3">
        <f>L808*1.0281+27</f>
        <v>2700.06</v>
      </c>
      <c r="Q808" s="3"/>
      <c r="R808" s="3">
        <v>480</v>
      </c>
      <c r="S808" s="3">
        <f t="shared" si="450"/>
        <v>2220</v>
      </c>
      <c r="T808" s="3">
        <v>2700</v>
      </c>
      <c r="U808" s="3">
        <f t="shared" si="451"/>
        <v>-5.999999999994543E-2</v>
      </c>
      <c r="V808" s="3">
        <v>923</v>
      </c>
      <c r="W808" s="3">
        <f t="shared" si="452"/>
        <v>1777</v>
      </c>
      <c r="X808" s="3"/>
      <c r="Y808" s="3">
        <v>2700</v>
      </c>
      <c r="Z808" s="3">
        <f t="shared" si="453"/>
        <v>0</v>
      </c>
      <c r="AA808" s="3"/>
      <c r="AB808" s="3"/>
      <c r="AC808" s="3">
        <f>2378+482</f>
        <v>2860</v>
      </c>
      <c r="AD808" s="3">
        <f t="shared" si="454"/>
        <v>890</v>
      </c>
      <c r="AE808" s="3">
        <v>3750</v>
      </c>
      <c r="AF808" s="3">
        <f t="shared" si="455"/>
        <v>1050</v>
      </c>
      <c r="AG808" s="3"/>
      <c r="AH808" s="3">
        <f>P808*1.03+19</f>
        <v>2800.0617999999999</v>
      </c>
      <c r="AI808" s="3"/>
      <c r="AJ808" s="3">
        <f>AH808*1.03</f>
        <v>2884.063654</v>
      </c>
      <c r="AK808" s="3"/>
      <c r="AL808" s="3">
        <f t="shared" si="459"/>
        <v>2970.5855636199999</v>
      </c>
      <c r="AM808" s="3"/>
      <c r="AN808" s="3">
        <f t="shared" si="460"/>
        <v>3059.7031305286</v>
      </c>
      <c r="AO808" s="3"/>
      <c r="AP808" s="3">
        <f t="shared" si="461"/>
        <v>3151.4942244444583</v>
      </c>
      <c r="AQ808" s="42"/>
      <c r="AR808" s="3">
        <f t="shared" si="462"/>
        <v>3246.0390511777923</v>
      </c>
      <c r="AS808" s="42"/>
      <c r="AT808" s="3">
        <f t="shared" si="463"/>
        <v>3343.4202227131263</v>
      </c>
      <c r="AU808" s="42"/>
      <c r="AV808" s="3">
        <f t="shared" si="464"/>
        <v>3443.7228293945204</v>
      </c>
      <c r="AW808" s="42"/>
      <c r="AX808" s="3">
        <f t="shared" si="465"/>
        <v>3547.0345142763563</v>
      </c>
      <c r="AZ808" s="3">
        <f t="shared" si="458"/>
        <v>3653.445549704647</v>
      </c>
    </row>
    <row r="809" spans="1:52" x14ac:dyDescent="0.25">
      <c r="A809" s="3" t="s">
        <v>576</v>
      </c>
      <c r="B809" s="3">
        <v>2750</v>
      </c>
      <c r="D809" s="3">
        <v>2749</v>
      </c>
      <c r="E809" s="3">
        <f t="shared" si="446"/>
        <v>1</v>
      </c>
      <c r="F809" s="5">
        <v>2750</v>
      </c>
      <c r="H809" s="5">
        <f t="shared" si="447"/>
        <v>0</v>
      </c>
      <c r="J809" s="5">
        <v>2749</v>
      </c>
      <c r="K809" s="4">
        <f t="shared" si="448"/>
        <v>1</v>
      </c>
      <c r="L809" s="4">
        <v>2750</v>
      </c>
      <c r="N809" s="4">
        <f t="shared" si="449"/>
        <v>0</v>
      </c>
      <c r="P809" s="3">
        <v>4850</v>
      </c>
      <c r="Q809" s="3"/>
      <c r="R809" s="3">
        <v>2850</v>
      </c>
      <c r="S809" s="3">
        <f t="shared" si="450"/>
        <v>0</v>
      </c>
      <c r="T809" s="3">
        <v>2850</v>
      </c>
      <c r="U809" s="3">
        <f t="shared" si="451"/>
        <v>-2000</v>
      </c>
      <c r="V809" s="3">
        <v>2850</v>
      </c>
      <c r="W809" s="3">
        <f t="shared" si="452"/>
        <v>0</v>
      </c>
      <c r="X809" s="3"/>
      <c r="Y809" s="3">
        <v>2850</v>
      </c>
      <c r="Z809" s="3">
        <f t="shared" si="453"/>
        <v>0</v>
      </c>
      <c r="AA809" s="3"/>
      <c r="AB809" s="3"/>
      <c r="AC809" s="3">
        <v>2848</v>
      </c>
      <c r="AD809" s="3">
        <f t="shared" si="454"/>
        <v>2</v>
      </c>
      <c r="AE809" s="3">
        <v>2850</v>
      </c>
      <c r="AF809" s="3">
        <f t="shared" si="455"/>
        <v>0</v>
      </c>
      <c r="AG809" s="3"/>
      <c r="AH809" s="3">
        <f>AE809*1.03+14</f>
        <v>2949.5</v>
      </c>
      <c r="AI809" s="3"/>
      <c r="AJ809" s="3">
        <f>AH809*1.03</f>
        <v>3037.9850000000001</v>
      </c>
      <c r="AK809" s="3"/>
      <c r="AL809" s="3">
        <f t="shared" si="459"/>
        <v>3129.12455</v>
      </c>
      <c r="AM809" s="3"/>
      <c r="AN809" s="3">
        <f t="shared" si="460"/>
        <v>3222.9982865000002</v>
      </c>
      <c r="AO809" s="3"/>
      <c r="AP809" s="3">
        <f t="shared" si="461"/>
        <v>3319.6882350950004</v>
      </c>
      <c r="AQ809" s="42"/>
      <c r="AR809" s="3">
        <f t="shared" si="462"/>
        <v>3419.2788821478507</v>
      </c>
      <c r="AS809" s="42"/>
      <c r="AT809" s="3">
        <f t="shared" si="463"/>
        <v>3521.8572486122862</v>
      </c>
      <c r="AU809" s="42"/>
      <c r="AV809" s="3">
        <f t="shared" si="464"/>
        <v>3627.5129660706548</v>
      </c>
      <c r="AW809" s="42"/>
      <c r="AX809" s="3">
        <f t="shared" si="465"/>
        <v>3736.3383550527747</v>
      </c>
      <c r="AZ809" s="3">
        <f t="shared" si="458"/>
        <v>3848.428505704358</v>
      </c>
    </row>
    <row r="810" spans="1:52" x14ac:dyDescent="0.25">
      <c r="A810" s="3" t="s">
        <v>577</v>
      </c>
      <c r="B810" s="3">
        <v>25950</v>
      </c>
      <c r="D810" s="3">
        <v>0</v>
      </c>
      <c r="E810" s="3">
        <f t="shared" si="446"/>
        <v>25950</v>
      </c>
      <c r="F810" s="5">
        <v>25950</v>
      </c>
      <c r="H810" s="5">
        <f t="shared" si="447"/>
        <v>0</v>
      </c>
      <c r="J810" s="5">
        <v>0</v>
      </c>
      <c r="K810" s="4">
        <f t="shared" si="448"/>
        <v>25950</v>
      </c>
      <c r="L810" s="4">
        <v>25950</v>
      </c>
      <c r="N810" s="4">
        <f t="shared" si="449"/>
        <v>0</v>
      </c>
      <c r="P810" s="3">
        <v>26750</v>
      </c>
      <c r="Q810" s="3"/>
      <c r="R810" s="3">
        <v>0</v>
      </c>
      <c r="S810" s="3">
        <f t="shared" si="450"/>
        <v>26750</v>
      </c>
      <c r="T810" s="3">
        <v>26750</v>
      </c>
      <c r="U810" s="3">
        <f t="shared" si="451"/>
        <v>0</v>
      </c>
      <c r="V810" s="3">
        <v>0</v>
      </c>
      <c r="W810" s="3">
        <f t="shared" si="452"/>
        <v>26750</v>
      </c>
      <c r="X810" s="3"/>
      <c r="Y810" s="3">
        <v>26750</v>
      </c>
      <c r="Z810" s="3">
        <f t="shared" si="453"/>
        <v>0</v>
      </c>
      <c r="AA810" s="3"/>
      <c r="AB810" s="3"/>
      <c r="AC810" s="3">
        <v>0</v>
      </c>
      <c r="AD810" s="3">
        <f t="shared" si="454"/>
        <v>26750</v>
      </c>
      <c r="AE810" s="3">
        <v>26750</v>
      </c>
      <c r="AF810" s="3">
        <f t="shared" si="455"/>
        <v>0</v>
      </c>
      <c r="AG810" s="3"/>
      <c r="AH810" s="3">
        <f>AE810*1.05+12</f>
        <v>28099.5</v>
      </c>
      <c r="AI810" s="3"/>
      <c r="AJ810" s="3">
        <f>AH810*1.05</f>
        <v>29504.475000000002</v>
      </c>
      <c r="AK810" s="3"/>
      <c r="AL810" s="3">
        <f>AJ810*1.05</f>
        <v>30979.698750000003</v>
      </c>
      <c r="AM810" s="3"/>
      <c r="AN810" s="3">
        <f>AL810*1.05</f>
        <v>32528.683687500004</v>
      </c>
      <c r="AO810" s="3"/>
      <c r="AP810" s="3">
        <f>AN810*1.05</f>
        <v>34155.117871875009</v>
      </c>
      <c r="AQ810" s="42"/>
      <c r="AR810" s="3">
        <f>AP810*1.05</f>
        <v>35862.873765468757</v>
      </c>
      <c r="AS810" s="42"/>
      <c r="AT810" s="3">
        <f>AR810*1.05</f>
        <v>37656.017453742199</v>
      </c>
      <c r="AU810" s="42"/>
      <c r="AV810" s="3">
        <f>AT810*1.05</f>
        <v>39538.818326429311</v>
      </c>
      <c r="AW810" s="42"/>
      <c r="AX810" s="3">
        <f>AV810*1.05</f>
        <v>41515.759242750777</v>
      </c>
      <c r="AZ810" s="3">
        <f>AX810*1.05</f>
        <v>43591.547204888317</v>
      </c>
    </row>
    <row r="811" spans="1:52" x14ac:dyDescent="0.25">
      <c r="A811" s="3" t="s">
        <v>578</v>
      </c>
      <c r="B811" s="3">
        <v>1000</v>
      </c>
      <c r="D811" s="3">
        <v>0</v>
      </c>
      <c r="E811" s="3">
        <f t="shared" si="446"/>
        <v>1000</v>
      </c>
      <c r="F811" s="5">
        <v>1000</v>
      </c>
      <c r="H811" s="5">
        <f t="shared" si="447"/>
        <v>0</v>
      </c>
      <c r="K811" s="4">
        <f t="shared" si="448"/>
        <v>1000</v>
      </c>
      <c r="L811" s="4">
        <v>1000</v>
      </c>
      <c r="N811" s="4">
        <f t="shared" si="449"/>
        <v>0</v>
      </c>
      <c r="P811" s="3">
        <v>1000</v>
      </c>
      <c r="Q811" s="3"/>
      <c r="R811" s="3">
        <v>0</v>
      </c>
      <c r="S811" s="3">
        <f t="shared" si="450"/>
        <v>1000</v>
      </c>
      <c r="T811" s="3">
        <v>1000</v>
      </c>
      <c r="U811" s="3">
        <f t="shared" si="451"/>
        <v>0</v>
      </c>
      <c r="V811" s="3">
        <v>0</v>
      </c>
      <c r="W811" s="3">
        <f t="shared" si="452"/>
        <v>1000</v>
      </c>
      <c r="X811" s="3"/>
      <c r="Y811" s="3">
        <v>1000</v>
      </c>
      <c r="Z811" s="3">
        <f t="shared" si="453"/>
        <v>0</v>
      </c>
      <c r="AA811" s="3"/>
      <c r="AB811" s="3"/>
      <c r="AC811" s="3">
        <v>0</v>
      </c>
      <c r="AD811" s="3">
        <f t="shared" si="454"/>
        <v>0</v>
      </c>
      <c r="AE811" s="3">
        <v>0</v>
      </c>
      <c r="AF811" s="3">
        <f t="shared" si="455"/>
        <v>-1000</v>
      </c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42"/>
      <c r="AR811" s="3"/>
      <c r="AS811" s="42"/>
      <c r="AT811" s="3"/>
      <c r="AU811" s="42"/>
      <c r="AV811" s="3"/>
      <c r="AW811" s="42"/>
      <c r="AX811" s="3"/>
      <c r="AZ811" s="3"/>
    </row>
    <row r="812" spans="1:52" x14ac:dyDescent="0.25">
      <c r="A812" s="3" t="s">
        <v>579</v>
      </c>
      <c r="B812" s="3"/>
      <c r="D812" s="3"/>
      <c r="E812" s="3"/>
      <c r="K812" s="4"/>
      <c r="L812" s="4"/>
      <c r="N812" s="4"/>
      <c r="P812" s="3"/>
      <c r="Q812" s="3"/>
      <c r="R812" s="3"/>
      <c r="S812" s="3">
        <f>T812-R812</f>
        <v>800</v>
      </c>
      <c r="T812" s="3">
        <v>800</v>
      </c>
      <c r="U812" s="3">
        <f>T812-P812</f>
        <v>800</v>
      </c>
      <c r="V812" s="3">
        <v>0</v>
      </c>
      <c r="W812" s="3">
        <f t="shared" si="452"/>
        <v>800</v>
      </c>
      <c r="X812" s="3"/>
      <c r="Y812" s="3">
        <v>800</v>
      </c>
      <c r="Z812" s="3">
        <f t="shared" si="453"/>
        <v>0</v>
      </c>
      <c r="AA812" s="3"/>
      <c r="AB812" s="3"/>
      <c r="AC812" s="3">
        <v>0</v>
      </c>
      <c r="AD812" s="3">
        <f t="shared" si="454"/>
        <v>800</v>
      </c>
      <c r="AE812" s="3">
        <v>800</v>
      </c>
      <c r="AF812" s="3">
        <f t="shared" si="455"/>
        <v>0</v>
      </c>
      <c r="AG812" s="3"/>
      <c r="AH812" s="3">
        <f>AE812*1.03+26</f>
        <v>850</v>
      </c>
      <c r="AI812" s="3"/>
      <c r="AJ812" s="3">
        <f>AH812*1.03</f>
        <v>875.5</v>
      </c>
      <c r="AK812" s="3"/>
      <c r="AL812" s="3">
        <f>AJ812*1.03</f>
        <v>901.76499999999999</v>
      </c>
      <c r="AM812" s="3"/>
      <c r="AN812" s="3">
        <f>AL812*1.03</f>
        <v>928.81795</v>
      </c>
      <c r="AO812" s="3"/>
      <c r="AP812" s="3">
        <f>AN812*1.03</f>
        <v>956.68248849999998</v>
      </c>
      <c r="AQ812" s="42"/>
      <c r="AR812" s="3">
        <f>AP812*1.03</f>
        <v>985.38296315499997</v>
      </c>
      <c r="AS812" s="42"/>
      <c r="AT812" s="3">
        <f>AR812*1.03</f>
        <v>1014.94445204965</v>
      </c>
      <c r="AU812" s="42"/>
      <c r="AV812" s="3">
        <f>AT812*1.03</f>
        <v>1045.3927856111395</v>
      </c>
      <c r="AW812" s="42"/>
      <c r="AX812" s="3">
        <f>AV812*1.03</f>
        <v>1076.7545691794737</v>
      </c>
      <c r="AZ812" s="3">
        <f>AX812*1.03</f>
        <v>1109.0572062548579</v>
      </c>
    </row>
    <row r="813" spans="1:52" x14ac:dyDescent="0.25">
      <c r="A813" s="3" t="s">
        <v>580</v>
      </c>
      <c r="B813" s="3"/>
      <c r="D813" s="3"/>
      <c r="E813" s="3"/>
      <c r="K813" s="4"/>
      <c r="L813" s="4"/>
      <c r="N813" s="4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>
        <v>0</v>
      </c>
      <c r="AI813" s="3"/>
      <c r="AJ813" s="3">
        <f>3760-10</f>
        <v>3750</v>
      </c>
      <c r="AK813" s="3"/>
      <c r="AL813" s="3">
        <f>3760-10</f>
        <v>3750</v>
      </c>
      <c r="AM813" s="3"/>
      <c r="AN813" s="3">
        <f>3760-10</f>
        <v>3750</v>
      </c>
      <c r="AO813" s="3"/>
      <c r="AP813" s="3">
        <f>3760-10</f>
        <v>3750</v>
      </c>
      <c r="AQ813" s="42"/>
      <c r="AR813" s="3">
        <f>3760-10</f>
        <v>3750</v>
      </c>
      <c r="AS813" s="42"/>
      <c r="AT813" s="3">
        <f>3760-10</f>
        <v>3750</v>
      </c>
      <c r="AU813" s="42"/>
      <c r="AV813" s="3">
        <f>3760-10</f>
        <v>3750</v>
      </c>
      <c r="AW813" s="42"/>
      <c r="AX813" s="3">
        <f>3760-10</f>
        <v>3750</v>
      </c>
      <c r="AZ813" s="3">
        <f>3760-10</f>
        <v>3750</v>
      </c>
    </row>
    <row r="814" spans="1:52" x14ac:dyDescent="0.25">
      <c r="A814" s="3" t="s">
        <v>581</v>
      </c>
      <c r="B814" s="3"/>
      <c r="D814" s="3"/>
      <c r="E814" s="3"/>
      <c r="K814" s="4"/>
      <c r="L814" s="4"/>
      <c r="N814" s="4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>
        <v>600</v>
      </c>
      <c r="AI814" s="3"/>
      <c r="AJ814" s="3"/>
      <c r="AK814" s="3"/>
      <c r="AL814" s="3"/>
      <c r="AM814" s="3"/>
      <c r="AN814" s="3"/>
      <c r="AO814" s="3"/>
      <c r="AP814" s="3"/>
      <c r="AQ814" s="42"/>
      <c r="AR814" s="3"/>
      <c r="AS814" s="42"/>
      <c r="AT814" s="3"/>
      <c r="AU814" s="42"/>
      <c r="AV814" s="3"/>
      <c r="AW814" s="42"/>
      <c r="AX814" s="3"/>
      <c r="AZ814" s="3"/>
    </row>
    <row r="815" spans="1:52" x14ac:dyDescent="0.25">
      <c r="A815" s="3" t="s">
        <v>260</v>
      </c>
      <c r="B815" s="3">
        <v>17500</v>
      </c>
      <c r="D815" s="3">
        <v>0</v>
      </c>
      <c r="E815" s="3">
        <f t="shared" si="446"/>
        <v>17500</v>
      </c>
      <c r="F815" s="5">
        <v>17500</v>
      </c>
      <c r="H815" s="5">
        <f t="shared" si="447"/>
        <v>0</v>
      </c>
      <c r="J815" s="5">
        <v>0</v>
      </c>
      <c r="K815" s="4">
        <f t="shared" si="448"/>
        <v>17500</v>
      </c>
      <c r="L815" s="4">
        <v>17500</v>
      </c>
      <c r="N815" s="4">
        <f t="shared" si="449"/>
        <v>0</v>
      </c>
      <c r="P815" s="3">
        <v>17500</v>
      </c>
      <c r="Q815" s="3"/>
      <c r="R815" s="3">
        <v>0</v>
      </c>
      <c r="S815" s="3">
        <f t="shared" si="450"/>
        <v>17500</v>
      </c>
      <c r="T815" s="3">
        <v>17500</v>
      </c>
      <c r="U815" s="3">
        <f t="shared" si="451"/>
        <v>0</v>
      </c>
      <c r="V815" s="3">
        <v>0</v>
      </c>
      <c r="W815" s="3">
        <f t="shared" si="452"/>
        <v>0</v>
      </c>
      <c r="X815" s="3"/>
      <c r="Y815" s="3">
        <v>0</v>
      </c>
      <c r="Z815" s="3">
        <f t="shared" si="453"/>
        <v>-17500</v>
      </c>
      <c r="AA815" s="3"/>
      <c r="AB815" s="3"/>
      <c r="AC815" s="3">
        <v>0</v>
      </c>
      <c r="AD815" s="3">
        <f t="shared" si="454"/>
        <v>0</v>
      </c>
      <c r="AE815" s="3">
        <v>0</v>
      </c>
      <c r="AF815" s="3">
        <f t="shared" si="455"/>
        <v>0</v>
      </c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42"/>
      <c r="AR815" s="3"/>
      <c r="AS815" s="42"/>
      <c r="AT815" s="3"/>
      <c r="AU815" s="42"/>
      <c r="AV815" s="3"/>
      <c r="AW815" s="42"/>
      <c r="AX815" s="3"/>
      <c r="AZ815" s="3"/>
    </row>
    <row r="816" spans="1:52" x14ac:dyDescent="0.25">
      <c r="A816" s="88" t="s">
        <v>289</v>
      </c>
      <c r="B816" s="3">
        <v>5750</v>
      </c>
      <c r="D816" s="3">
        <v>0</v>
      </c>
      <c r="E816" s="3">
        <f t="shared" si="446"/>
        <v>5750</v>
      </c>
      <c r="F816" s="5">
        <v>5750</v>
      </c>
      <c r="H816" s="5">
        <f t="shared" si="447"/>
        <v>0</v>
      </c>
      <c r="J816" s="5">
        <v>0</v>
      </c>
      <c r="K816" s="4">
        <f t="shared" si="448"/>
        <v>5750</v>
      </c>
      <c r="L816" s="4">
        <v>5750</v>
      </c>
      <c r="N816" s="4">
        <f t="shared" si="449"/>
        <v>0</v>
      </c>
      <c r="P816" s="3">
        <v>5750</v>
      </c>
      <c r="Q816" s="3"/>
      <c r="R816" s="3">
        <v>0</v>
      </c>
      <c r="S816" s="3">
        <f t="shared" si="450"/>
        <v>5750</v>
      </c>
      <c r="T816" s="3">
        <v>5750</v>
      </c>
      <c r="U816" s="3">
        <f t="shared" si="451"/>
        <v>0</v>
      </c>
      <c r="V816" s="3">
        <v>0</v>
      </c>
      <c r="W816" s="3">
        <f t="shared" si="452"/>
        <v>5750</v>
      </c>
      <c r="X816" s="3"/>
      <c r="Y816" s="3">
        <v>5750</v>
      </c>
      <c r="Z816" s="3">
        <f>Y816-T816</f>
        <v>0</v>
      </c>
      <c r="AA816" s="3"/>
      <c r="AB816" s="3"/>
      <c r="AC816" s="3">
        <v>0</v>
      </c>
      <c r="AD816" s="3">
        <f t="shared" si="454"/>
        <v>5750</v>
      </c>
      <c r="AE816" s="3">
        <v>5750</v>
      </c>
      <c r="AF816" s="3">
        <f t="shared" si="455"/>
        <v>0</v>
      </c>
      <c r="AG816" s="3"/>
      <c r="AH816" s="88">
        <v>5750</v>
      </c>
      <c r="AI816" s="3"/>
      <c r="AJ816" s="3">
        <v>5750</v>
      </c>
      <c r="AK816" s="3"/>
      <c r="AL816" s="3">
        <v>5750</v>
      </c>
      <c r="AM816" s="3"/>
      <c r="AN816" s="3">
        <v>5750</v>
      </c>
      <c r="AO816" s="3"/>
      <c r="AP816" s="3">
        <v>5750</v>
      </c>
      <c r="AQ816" s="42"/>
      <c r="AR816" s="3">
        <v>5750</v>
      </c>
      <c r="AS816" s="42"/>
      <c r="AT816" s="3">
        <v>5750</v>
      </c>
      <c r="AU816" s="42"/>
      <c r="AV816" s="3">
        <v>5750</v>
      </c>
      <c r="AW816" s="42"/>
      <c r="AX816" s="3">
        <v>5750</v>
      </c>
      <c r="AZ816" s="3">
        <v>5750</v>
      </c>
    </row>
    <row r="817" spans="1:52" x14ac:dyDescent="0.25">
      <c r="A817" s="3" t="s">
        <v>582</v>
      </c>
      <c r="B817" s="3"/>
      <c r="D817" s="3"/>
      <c r="E817" s="3">
        <f t="shared" si="446"/>
        <v>0</v>
      </c>
      <c r="H817" s="5">
        <f t="shared" si="447"/>
        <v>0</v>
      </c>
      <c r="K817" s="4">
        <f t="shared" si="448"/>
        <v>0</v>
      </c>
      <c r="L817" s="4"/>
      <c r="N817" s="4">
        <f t="shared" si="449"/>
        <v>0</v>
      </c>
      <c r="P817" s="3"/>
      <c r="Q817" s="3"/>
      <c r="R817" s="3"/>
      <c r="S817" s="3">
        <f t="shared" si="450"/>
        <v>0</v>
      </c>
      <c r="T817" s="3"/>
      <c r="U817" s="3">
        <f t="shared" si="451"/>
        <v>0</v>
      </c>
      <c r="V817" s="3"/>
      <c r="W817" s="3">
        <f t="shared" si="452"/>
        <v>0</v>
      </c>
      <c r="X817" s="3"/>
      <c r="Y817" s="3"/>
      <c r="Z817" s="3">
        <f t="shared" si="453"/>
        <v>0</v>
      </c>
      <c r="AA817" s="3"/>
      <c r="AB817" s="3"/>
      <c r="AC817" s="3"/>
      <c r="AD817" s="3">
        <f t="shared" si="454"/>
        <v>0</v>
      </c>
      <c r="AE817" s="3"/>
      <c r="AF817" s="3">
        <f t="shared" si="455"/>
        <v>0</v>
      </c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42"/>
      <c r="AR817" s="3"/>
      <c r="AS817" s="42"/>
      <c r="AT817" s="3"/>
      <c r="AU817" s="42"/>
      <c r="AV817" s="3"/>
      <c r="AW817" s="42"/>
      <c r="AX817" s="3"/>
      <c r="AZ817" s="3"/>
    </row>
    <row r="818" spans="1:52" x14ac:dyDescent="0.25">
      <c r="A818" s="3" t="s">
        <v>583</v>
      </c>
      <c r="B818" s="3"/>
      <c r="D818" s="3"/>
      <c r="E818" s="3">
        <f t="shared" si="446"/>
        <v>0</v>
      </c>
      <c r="H818" s="5">
        <f t="shared" si="447"/>
        <v>0</v>
      </c>
      <c r="K818" s="4">
        <f t="shared" si="448"/>
        <v>0</v>
      </c>
      <c r="L818" s="4"/>
      <c r="N818" s="4">
        <f t="shared" si="449"/>
        <v>0</v>
      </c>
      <c r="P818" s="3"/>
      <c r="Q818" s="3"/>
      <c r="R818" s="3"/>
      <c r="S818" s="3">
        <f t="shared" si="450"/>
        <v>0</v>
      </c>
      <c r="T818" s="3"/>
      <c r="U818" s="3">
        <f t="shared" si="451"/>
        <v>0</v>
      </c>
      <c r="V818" s="3"/>
      <c r="W818" s="3">
        <f t="shared" si="452"/>
        <v>0</v>
      </c>
      <c r="X818" s="3"/>
      <c r="Y818" s="3"/>
      <c r="Z818" s="3">
        <f t="shared" si="453"/>
        <v>0</v>
      </c>
      <c r="AA818" s="3"/>
      <c r="AB818" s="3"/>
      <c r="AC818" s="3"/>
      <c r="AD818" s="3">
        <f t="shared" si="454"/>
        <v>0</v>
      </c>
      <c r="AE818" s="3"/>
      <c r="AF818" s="3">
        <f t="shared" si="455"/>
        <v>0</v>
      </c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42"/>
      <c r="AR818" s="3"/>
      <c r="AS818" s="42"/>
      <c r="AT818" s="3"/>
      <c r="AU818" s="42"/>
      <c r="AV818" s="3"/>
      <c r="AW818" s="42"/>
      <c r="AX818" s="3"/>
      <c r="AZ818" s="3"/>
    </row>
    <row r="819" spans="1:52" x14ac:dyDescent="0.25">
      <c r="A819" s="3" t="s">
        <v>584</v>
      </c>
      <c r="B819" s="3">
        <v>850</v>
      </c>
      <c r="D819" s="3">
        <v>800</v>
      </c>
      <c r="E819" s="3">
        <f>F819-D819</f>
        <v>0</v>
      </c>
      <c r="F819" s="5">
        <v>800</v>
      </c>
      <c r="H819" s="5">
        <f>F819-B819</f>
        <v>-50</v>
      </c>
      <c r="J819" s="5">
        <v>800</v>
      </c>
      <c r="K819" s="4">
        <f>L819-J819</f>
        <v>0</v>
      </c>
      <c r="L819" s="4">
        <v>800</v>
      </c>
      <c r="N819" s="4">
        <f>L819-F819</f>
        <v>0</v>
      </c>
      <c r="P819" s="3">
        <f>L819*1.0281+28</f>
        <v>850.48</v>
      </c>
      <c r="Q819" s="3"/>
      <c r="R819" s="3">
        <v>800</v>
      </c>
      <c r="S819" s="3">
        <f t="shared" si="450"/>
        <v>0</v>
      </c>
      <c r="T819" s="3">
        <v>800</v>
      </c>
      <c r="U819" s="3">
        <f t="shared" si="451"/>
        <v>-50.480000000000018</v>
      </c>
      <c r="V819" s="3">
        <v>800</v>
      </c>
      <c r="W819" s="3">
        <f t="shared" si="452"/>
        <v>0</v>
      </c>
      <c r="X819" s="3"/>
      <c r="Y819" s="3">
        <v>800</v>
      </c>
      <c r="Z819" s="3">
        <f t="shared" si="453"/>
        <v>0</v>
      </c>
      <c r="AA819" s="3"/>
      <c r="AB819" s="3"/>
      <c r="AC819" s="3">
        <v>800</v>
      </c>
      <c r="AD819" s="3">
        <f t="shared" si="454"/>
        <v>0</v>
      </c>
      <c r="AE819" s="3">
        <v>800</v>
      </c>
      <c r="AF819" s="3">
        <f t="shared" si="455"/>
        <v>0</v>
      </c>
      <c r="AG819" s="3"/>
      <c r="AH819" s="3">
        <f>AE819*1.03+26</f>
        <v>850</v>
      </c>
      <c r="AI819" s="3"/>
      <c r="AJ819" s="3">
        <f>AH819*1.03</f>
        <v>875.5</v>
      </c>
      <c r="AK819" s="3"/>
      <c r="AL819" s="3">
        <f>AJ819*1.03</f>
        <v>901.76499999999999</v>
      </c>
      <c r="AM819" s="3"/>
      <c r="AN819" s="3">
        <f>AL819*1.03</f>
        <v>928.81795</v>
      </c>
      <c r="AO819" s="3"/>
      <c r="AP819" s="3">
        <f>AN819*1.03</f>
        <v>956.68248849999998</v>
      </c>
      <c r="AQ819" s="42"/>
      <c r="AR819" s="3">
        <f>AP819*1.03</f>
        <v>985.38296315499997</v>
      </c>
      <c r="AS819" s="42"/>
      <c r="AT819" s="3">
        <f>AR819*1.03</f>
        <v>1014.94445204965</v>
      </c>
      <c r="AU819" s="42"/>
      <c r="AV819" s="3">
        <f>AT819*1.03</f>
        <v>1045.3927856111395</v>
      </c>
      <c r="AW819" s="42"/>
      <c r="AX819" s="3">
        <f>AV819*1.03</f>
        <v>1076.7545691794737</v>
      </c>
      <c r="AZ819" s="3">
        <f>AX819*1.03</f>
        <v>1109.0572062548579</v>
      </c>
    </row>
    <row r="820" spans="1:52" x14ac:dyDescent="0.25">
      <c r="A820" s="3" t="s">
        <v>585</v>
      </c>
      <c r="B820" s="3">
        <v>850</v>
      </c>
      <c r="D820" s="3">
        <v>800</v>
      </c>
      <c r="E820" s="3">
        <f t="shared" si="446"/>
        <v>0</v>
      </c>
      <c r="F820" s="5">
        <v>800</v>
      </c>
      <c r="H820" s="5">
        <f t="shared" si="447"/>
        <v>-50</v>
      </c>
      <c r="J820" s="5">
        <v>800</v>
      </c>
      <c r="K820" s="4">
        <f t="shared" si="448"/>
        <v>0</v>
      </c>
      <c r="L820" s="4">
        <v>800</v>
      </c>
      <c r="N820" s="4">
        <f t="shared" si="449"/>
        <v>0</v>
      </c>
      <c r="P820" s="3"/>
      <c r="Q820" s="3"/>
      <c r="R820" s="3"/>
      <c r="S820" s="3">
        <f t="shared" si="450"/>
        <v>0</v>
      </c>
      <c r="T820" s="3"/>
      <c r="U820" s="3">
        <f t="shared" si="451"/>
        <v>0</v>
      </c>
      <c r="V820" s="3"/>
      <c r="W820" s="3">
        <f t="shared" si="452"/>
        <v>0</v>
      </c>
      <c r="X820" s="3"/>
      <c r="Y820" s="3"/>
      <c r="Z820" s="3">
        <f t="shared" si="453"/>
        <v>0</v>
      </c>
      <c r="AA820" s="3"/>
      <c r="AB820" s="3"/>
      <c r="AC820" s="3"/>
      <c r="AD820" s="3">
        <f t="shared" si="454"/>
        <v>0</v>
      </c>
      <c r="AE820" s="3"/>
      <c r="AF820" s="3">
        <f t="shared" si="455"/>
        <v>0</v>
      </c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42"/>
      <c r="AR820" s="3"/>
      <c r="AS820" s="42"/>
      <c r="AT820" s="3"/>
      <c r="AU820" s="42"/>
      <c r="AV820" s="3"/>
      <c r="AW820" s="42"/>
      <c r="AX820" s="3"/>
      <c r="AZ820" s="3"/>
    </row>
    <row r="821" spans="1:52" x14ac:dyDescent="0.25">
      <c r="A821" s="3"/>
      <c r="B821" s="48">
        <f>SUM(B797:B820)-1</f>
        <v>342549</v>
      </c>
      <c r="C821" s="32"/>
      <c r="D821" s="48">
        <f>SUM(D797:D820)-1</f>
        <v>51898</v>
      </c>
      <c r="E821" s="48">
        <f>SUM(E797:E820)-1</f>
        <v>255550</v>
      </c>
      <c r="F821" s="48">
        <f>SUM(F797:F820)-1</f>
        <v>307449</v>
      </c>
      <c r="G821" s="32"/>
      <c r="H821" s="48">
        <f>SUM(H797:H820)-1</f>
        <v>-35101</v>
      </c>
      <c r="I821" s="36"/>
      <c r="J821" s="48">
        <f>SUM(J797:J820)-1</f>
        <v>100184</v>
      </c>
      <c r="K821" s="48">
        <f>SUM(K797:K820)-1</f>
        <v>182264</v>
      </c>
      <c r="L821" s="48">
        <f>SUM(L797:L820)-1</f>
        <v>282449</v>
      </c>
      <c r="M821" s="32"/>
      <c r="N821" s="48">
        <f>SUM(N797:N820)-1</f>
        <v>-25001</v>
      </c>
      <c r="P821" s="48">
        <f>SUM(P797:P820)</f>
        <v>278001.15999999997</v>
      </c>
      <c r="R821" s="48">
        <f t="shared" ref="R821:Z821" si="466">SUM(R797:R820)</f>
        <v>82954</v>
      </c>
      <c r="S821" s="48">
        <f t="shared" si="466"/>
        <v>216296</v>
      </c>
      <c r="T821" s="48">
        <f t="shared" si="466"/>
        <v>299250</v>
      </c>
      <c r="U821" s="48">
        <f t="shared" si="466"/>
        <v>21248.84</v>
      </c>
      <c r="V821" s="48">
        <f t="shared" si="466"/>
        <v>140610</v>
      </c>
      <c r="W821" s="48">
        <f t="shared" si="466"/>
        <v>147640</v>
      </c>
      <c r="X821" s="48"/>
      <c r="Y821" s="48">
        <f t="shared" si="466"/>
        <v>288250</v>
      </c>
      <c r="Z821" s="48">
        <f t="shared" si="466"/>
        <v>-11000</v>
      </c>
      <c r="AC821" s="48">
        <f>SUM(AC797:AC820)</f>
        <v>201779</v>
      </c>
      <c r="AD821" s="48">
        <f>SUM(AD797:AD820)</f>
        <v>132821</v>
      </c>
      <c r="AE821" s="48">
        <f>SUM(AE797:AE820)</f>
        <v>334600</v>
      </c>
      <c r="AF821" s="48">
        <f>SUM(AF797:AF820)</f>
        <v>46350</v>
      </c>
      <c r="AH821" s="48">
        <f>SUM(AH797:AH820)+2</f>
        <v>346800.06180000002</v>
      </c>
      <c r="AJ821" s="48">
        <f>SUM(AJ797:AJ820)</f>
        <v>360895.49365399993</v>
      </c>
      <c r="AL821" s="48">
        <f>SUM(AL797:AL820)</f>
        <v>372027.44796362007</v>
      </c>
      <c r="AN821" s="48">
        <f>SUM(AN797:AN820)</f>
        <v>383522.86537752865</v>
      </c>
      <c r="AO821" s="48"/>
      <c r="AP821" s="48">
        <f>SUM(AP797:AP820)</f>
        <v>395394.12501260446</v>
      </c>
      <c r="AR821" s="48">
        <f>SUM(AR797:AR820)</f>
        <v>407654.05112042016</v>
      </c>
      <c r="AT821" s="48">
        <f>SUM(AT797:AT820)</f>
        <v>420315.93012934225</v>
      </c>
      <c r="AV821" s="48">
        <f>SUM(AV797:AV820)</f>
        <v>433393.52838229726</v>
      </c>
      <c r="AX821" s="48">
        <f>SUM(AX797:AX820)</f>
        <v>446901.11060029484</v>
      </c>
      <c r="AZ821" s="48">
        <f>SUM(AZ797:AZ820)</f>
        <v>460853.45910315868</v>
      </c>
    </row>
    <row r="822" spans="1:52" x14ac:dyDescent="0.25">
      <c r="A822" s="7" t="s">
        <v>261</v>
      </c>
    </row>
    <row r="823" spans="1:52" x14ac:dyDescent="0.25">
      <c r="A823" s="3" t="s">
        <v>586</v>
      </c>
    </row>
    <row r="824" spans="1:52" x14ac:dyDescent="0.25">
      <c r="A824" s="3" t="s">
        <v>587</v>
      </c>
    </row>
    <row r="825" spans="1:52" x14ac:dyDescent="0.25">
      <c r="A825" s="3" t="s">
        <v>588</v>
      </c>
      <c r="B825" s="3">
        <v>20600</v>
      </c>
      <c r="D825" s="3">
        <v>8110</v>
      </c>
      <c r="E825" s="3">
        <f>F825-D825</f>
        <v>12490</v>
      </c>
      <c r="F825" s="5">
        <v>20600</v>
      </c>
      <c r="H825" s="5">
        <f>F825-B825</f>
        <v>0</v>
      </c>
      <c r="J825" s="5">
        <v>8640</v>
      </c>
      <c r="K825" s="4">
        <f>L825-J825</f>
        <v>11960</v>
      </c>
      <c r="L825" s="4">
        <v>20600</v>
      </c>
      <c r="N825" s="4">
        <f>L825-F825</f>
        <v>0</v>
      </c>
      <c r="P825" s="3">
        <f>L825*1.0281+121</f>
        <v>21299.86</v>
      </c>
      <c r="Q825" s="3"/>
      <c r="R825" s="3">
        <v>5483</v>
      </c>
      <c r="S825" s="3">
        <f>T825-R825</f>
        <v>15817</v>
      </c>
      <c r="T825" s="3">
        <v>21300</v>
      </c>
      <c r="U825" s="3">
        <f>T825-P825</f>
        <v>0.13999999999941792</v>
      </c>
      <c r="V825" s="3">
        <v>8211</v>
      </c>
      <c r="W825" s="3">
        <f>Y825-V825</f>
        <v>13089</v>
      </c>
      <c r="X825" s="3"/>
      <c r="Y825" s="3">
        <v>21300</v>
      </c>
      <c r="Z825" s="3">
        <f>Y825-T825</f>
        <v>0</v>
      </c>
      <c r="AA825" s="3"/>
      <c r="AB825" s="3"/>
      <c r="AC825" s="3">
        <v>13092</v>
      </c>
      <c r="AD825" s="3">
        <f>AE825-AC825</f>
        <v>8208</v>
      </c>
      <c r="AE825" s="3">
        <v>21300</v>
      </c>
      <c r="AF825" s="3">
        <f>AE825-Y825</f>
        <v>0</v>
      </c>
      <c r="AG825" s="3"/>
      <c r="AH825" s="3">
        <f>AE825*1.03+11</f>
        <v>21950</v>
      </c>
      <c r="AI825" s="3"/>
      <c r="AJ825" s="3">
        <f>AH825*1.03</f>
        <v>22608.5</v>
      </c>
      <c r="AK825" s="3"/>
      <c r="AL825" s="3">
        <f>AJ825*1.03</f>
        <v>23286.755000000001</v>
      </c>
      <c r="AM825" s="3"/>
      <c r="AN825" s="3">
        <f>AL825*1.03</f>
        <v>23985.357650000002</v>
      </c>
      <c r="AO825" s="3"/>
      <c r="AP825" s="3">
        <f>AN825*1.03</f>
        <v>24704.918379500003</v>
      </c>
      <c r="AQ825" s="42"/>
      <c r="AR825" s="3">
        <f>AP825*1.03</f>
        <v>25446.065930885004</v>
      </c>
      <c r="AS825" s="42"/>
      <c r="AT825" s="3">
        <f>AR825*1.03</f>
        <v>26209.447908811555</v>
      </c>
      <c r="AU825" s="42"/>
      <c r="AV825" s="3">
        <f>AT825*1.03</f>
        <v>26995.731346075903</v>
      </c>
      <c r="AW825" s="42"/>
      <c r="AX825" s="3">
        <f>AV825*1.03</f>
        <v>27805.603286458179</v>
      </c>
      <c r="AZ825" s="3">
        <f>AX825*1.03</f>
        <v>28639.771385051925</v>
      </c>
    </row>
    <row r="826" spans="1:52" x14ac:dyDescent="0.25">
      <c r="A826" s="3" t="s">
        <v>589</v>
      </c>
      <c r="B826" s="3">
        <f>3740+10</f>
        <v>3750</v>
      </c>
      <c r="D826" s="3">
        <v>3750</v>
      </c>
      <c r="E826" s="3">
        <f>F826-D826</f>
        <v>0</v>
      </c>
      <c r="F826" s="5">
        <v>3750</v>
      </c>
      <c r="H826" s="5">
        <f>F826-B826</f>
        <v>0</v>
      </c>
      <c r="J826" s="5">
        <v>0</v>
      </c>
      <c r="K826" s="4">
        <f>L826-J826</f>
        <v>3750</v>
      </c>
      <c r="L826" s="4">
        <v>3750</v>
      </c>
      <c r="N826" s="4">
        <f>L826-F826</f>
        <v>0</v>
      </c>
      <c r="P826" s="3">
        <v>3850</v>
      </c>
      <c r="Q826" s="3"/>
      <c r="R826" s="3">
        <v>0</v>
      </c>
      <c r="S826" s="3">
        <f>T826-R826</f>
        <v>3850</v>
      </c>
      <c r="T826" s="3">
        <v>3850</v>
      </c>
      <c r="U826" s="3">
        <f>T826-P826</f>
        <v>0</v>
      </c>
      <c r="V826" s="3">
        <v>0</v>
      </c>
      <c r="W826" s="3">
        <f>Y826-V826</f>
        <v>3850</v>
      </c>
      <c r="X826" s="3"/>
      <c r="Y826" s="3">
        <v>3850</v>
      </c>
      <c r="Z826" s="3">
        <f>Y826-T826</f>
        <v>0</v>
      </c>
      <c r="AA826" s="3"/>
      <c r="AB826" s="3"/>
      <c r="AC826" s="3">
        <v>0</v>
      </c>
      <c r="AD826" s="3">
        <f>AE826-AC826</f>
        <v>3850</v>
      </c>
      <c r="AE826" s="3">
        <v>3850</v>
      </c>
      <c r="AF826" s="3">
        <f>AE826-Y826</f>
        <v>0</v>
      </c>
      <c r="AG826" s="3"/>
      <c r="AH826" s="3">
        <f>AE826*1.05+7</f>
        <v>4049.5</v>
      </c>
      <c r="AI826" s="3"/>
      <c r="AJ826" s="3">
        <f>AH826*1.03</f>
        <v>4170.9849999999997</v>
      </c>
      <c r="AK826" s="3"/>
      <c r="AL826" s="3">
        <f>AJ826*1.03</f>
        <v>4296.1145499999993</v>
      </c>
      <c r="AM826" s="3"/>
      <c r="AN826" s="3">
        <f>AL826*1.03</f>
        <v>4424.9979864999996</v>
      </c>
      <c r="AO826" s="3"/>
      <c r="AP826" s="3">
        <f>AN826*1.03</f>
        <v>4557.7479260949995</v>
      </c>
      <c r="AQ826" s="42"/>
      <c r="AR826" s="3">
        <f>AP826*1.03</f>
        <v>4694.4803638778494</v>
      </c>
      <c r="AS826" s="42"/>
      <c r="AT826" s="3">
        <f>AR826*1.03</f>
        <v>4835.3147747941848</v>
      </c>
      <c r="AU826" s="42"/>
      <c r="AV826" s="3">
        <f>AT826*1.03</f>
        <v>4980.3742180380104</v>
      </c>
      <c r="AW826" s="42"/>
      <c r="AX826" s="3">
        <f>AV826*1.03</f>
        <v>5129.7854445791509</v>
      </c>
      <c r="AZ826" s="3">
        <f>AX826*1.03</f>
        <v>5283.6790079165257</v>
      </c>
    </row>
    <row r="827" spans="1:52" x14ac:dyDescent="0.25">
      <c r="A827" s="88" t="s">
        <v>289</v>
      </c>
      <c r="B827" s="3">
        <v>21000</v>
      </c>
      <c r="D827" s="3">
        <v>0</v>
      </c>
      <c r="E827" s="3">
        <f>F827-D827</f>
        <v>21000</v>
      </c>
      <c r="F827" s="5">
        <v>21000</v>
      </c>
      <c r="H827" s="5">
        <f>F827-B827</f>
        <v>0</v>
      </c>
      <c r="J827" s="5">
        <v>0</v>
      </c>
      <c r="K827" s="4">
        <f>L827-J827</f>
        <v>21000</v>
      </c>
      <c r="L827" s="4">
        <v>21000</v>
      </c>
      <c r="N827" s="4">
        <f>L827-F827</f>
        <v>0</v>
      </c>
      <c r="P827" s="3">
        <v>21000</v>
      </c>
      <c r="Q827" s="3"/>
      <c r="R827" s="3">
        <v>0</v>
      </c>
      <c r="S827" s="3">
        <f>T827-R827</f>
        <v>21000</v>
      </c>
      <c r="T827" s="3">
        <v>21000</v>
      </c>
      <c r="U827" s="3">
        <f>T827-P827</f>
        <v>0</v>
      </c>
      <c r="V827" s="3">
        <v>0</v>
      </c>
      <c r="W827" s="3">
        <f>Y827-V827</f>
        <v>21000</v>
      </c>
      <c r="X827" s="3"/>
      <c r="Y827" s="3">
        <v>21000</v>
      </c>
      <c r="Z827" s="3">
        <f>Y827-T827</f>
        <v>0</v>
      </c>
      <c r="AA827" s="3"/>
      <c r="AB827" s="3"/>
      <c r="AC827" s="3">
        <v>0</v>
      </c>
      <c r="AD827" s="3">
        <f>AE827-AC827</f>
        <v>21000</v>
      </c>
      <c r="AE827" s="3">
        <v>21000</v>
      </c>
      <c r="AF827" s="3">
        <f>AE827-Y827</f>
        <v>0</v>
      </c>
      <c r="AG827" s="3"/>
      <c r="AH827" s="88">
        <v>21000</v>
      </c>
      <c r="AI827" s="3"/>
      <c r="AJ827" s="3">
        <v>21000</v>
      </c>
      <c r="AK827" s="3"/>
      <c r="AL827" s="3">
        <v>21000</v>
      </c>
      <c r="AM827" s="3"/>
      <c r="AN827" s="3">
        <v>21000</v>
      </c>
      <c r="AO827" s="3"/>
      <c r="AP827" s="3">
        <v>21000</v>
      </c>
      <c r="AQ827" s="42"/>
      <c r="AR827" s="3">
        <v>21000</v>
      </c>
      <c r="AS827" s="42"/>
      <c r="AT827" s="3">
        <v>21000</v>
      </c>
      <c r="AU827" s="42"/>
      <c r="AV827" s="3">
        <v>21000</v>
      </c>
      <c r="AW827" s="42"/>
      <c r="AX827" s="3">
        <v>21000</v>
      </c>
      <c r="AZ827" s="3">
        <v>21000</v>
      </c>
    </row>
    <row r="828" spans="1:52" x14ac:dyDescent="0.25">
      <c r="A828" s="3"/>
      <c r="B828" s="48">
        <f>SUM(B823:B827)</f>
        <v>45350</v>
      </c>
      <c r="C828" s="32"/>
      <c r="D828" s="48">
        <f>SUM(D823:D827)</f>
        <v>11860</v>
      </c>
      <c r="E828" s="48">
        <f>SUM(E823:E827)</f>
        <v>33490</v>
      </c>
      <c r="F828" s="48">
        <f>SUM(F823:F827)</f>
        <v>45350</v>
      </c>
      <c r="G828" s="32"/>
      <c r="H828" s="48">
        <f>SUM(H823:H827)</f>
        <v>0</v>
      </c>
      <c r="I828" s="36"/>
      <c r="J828" s="48">
        <f>SUM(J823:J827)</f>
        <v>8640</v>
      </c>
      <c r="K828" s="48">
        <f>SUM(K823:K827)</f>
        <v>36710</v>
      </c>
      <c r="L828" s="48">
        <f>SUM(L823:L827)</f>
        <v>45350</v>
      </c>
      <c r="M828" s="32"/>
      <c r="N828" s="48">
        <f>SUM(N823:N827)</f>
        <v>0</v>
      </c>
      <c r="P828" s="48">
        <f>SUM(P823:P827)</f>
        <v>46149.86</v>
      </c>
      <c r="R828" s="48">
        <f t="shared" ref="R828:Z828" si="467">SUM(R823:R827)</f>
        <v>5483</v>
      </c>
      <c r="S828" s="48">
        <f t="shared" si="467"/>
        <v>40667</v>
      </c>
      <c r="T828" s="48">
        <f t="shared" si="467"/>
        <v>46150</v>
      </c>
      <c r="U828" s="48">
        <f t="shared" si="467"/>
        <v>0.13999999999941792</v>
      </c>
      <c r="V828" s="48">
        <f t="shared" si="467"/>
        <v>8211</v>
      </c>
      <c r="W828" s="48">
        <f t="shared" si="467"/>
        <v>37939</v>
      </c>
      <c r="X828" s="48"/>
      <c r="Y828" s="48">
        <f t="shared" si="467"/>
        <v>46150</v>
      </c>
      <c r="Z828" s="48">
        <f t="shared" si="467"/>
        <v>0</v>
      </c>
      <c r="AC828" s="48">
        <f>SUM(AC823:AC827)</f>
        <v>13092</v>
      </c>
      <c r="AD828" s="48">
        <f>SUM(AD823:AD827)</f>
        <v>33058</v>
      </c>
      <c r="AE828" s="48">
        <f>SUM(AE823:AE827)</f>
        <v>46150</v>
      </c>
      <c r="AF828" s="48">
        <f>SUM(AF823:AF827)</f>
        <v>0</v>
      </c>
      <c r="AH828" s="48">
        <f>SUM(AH823:AH827)</f>
        <v>46999.5</v>
      </c>
      <c r="AJ828" s="48">
        <f>SUM(AJ823:AJ827)</f>
        <v>47779.485000000001</v>
      </c>
      <c r="AL828" s="48">
        <f>SUM(AL823:AL827)</f>
        <v>48582.869550000003</v>
      </c>
      <c r="AN828" s="48">
        <f>SUM(AN823:AN827)</f>
        <v>49410.355636499997</v>
      </c>
      <c r="AO828" s="48"/>
      <c r="AP828" s="48">
        <f>SUM(AP823:AP827)</f>
        <v>50262.666305595005</v>
      </c>
      <c r="AR828" s="48">
        <f>SUM(AR823:AR827)</f>
        <v>51140.546294762855</v>
      </c>
      <c r="AT828" s="48">
        <f>SUM(AT823:AT827)</f>
        <v>52044.762683605739</v>
      </c>
      <c r="AV828" s="48">
        <f>SUM(AV823:AV827)</f>
        <v>52976.10556411391</v>
      </c>
      <c r="AX828" s="48">
        <f>SUM(AX823:AX827)</f>
        <v>53935.388731037332</v>
      </c>
      <c r="AZ828" s="48">
        <f>SUM(AZ823:AZ827)</f>
        <v>54923.450392968451</v>
      </c>
    </row>
    <row r="829" spans="1:52" x14ac:dyDescent="0.25">
      <c r="A829" s="7" t="s">
        <v>57</v>
      </c>
    </row>
    <row r="830" spans="1:52" x14ac:dyDescent="0.25">
      <c r="A830" s="3" t="s">
        <v>273</v>
      </c>
      <c r="B830" s="3">
        <v>110000</v>
      </c>
      <c r="D830" s="3">
        <v>48500</v>
      </c>
      <c r="E830" s="3">
        <f t="shared" ref="E830:E841" si="468">F830-D830</f>
        <v>61500</v>
      </c>
      <c r="F830" s="5">
        <v>110000</v>
      </c>
      <c r="H830" s="5">
        <f t="shared" ref="H830:H841" si="469">F830-B830</f>
        <v>0</v>
      </c>
      <c r="J830" s="5">
        <v>75841</v>
      </c>
      <c r="K830" s="4">
        <f t="shared" ref="K830:K841" si="470">L830-J830</f>
        <v>44159</v>
      </c>
      <c r="L830" s="4">
        <v>120000</v>
      </c>
      <c r="N830" s="4">
        <f t="shared" ref="N830:N841" si="471">L830-F830</f>
        <v>10000</v>
      </c>
      <c r="P830" s="3">
        <v>85000</v>
      </c>
      <c r="Q830" s="3"/>
      <c r="R830" s="3">
        <v>10845</v>
      </c>
      <c r="S830" s="3">
        <f t="shared" ref="S830:S841" si="472">T830-R830</f>
        <v>74155</v>
      </c>
      <c r="T830" s="3">
        <v>85000</v>
      </c>
      <c r="U830" s="3">
        <f t="shared" ref="U830:U841" si="473">T830-P830</f>
        <v>0</v>
      </c>
      <c r="V830" s="3">
        <v>132160</v>
      </c>
      <c r="W830" s="3">
        <f t="shared" ref="W830:W841" si="474">Y830-V830</f>
        <v>22840</v>
      </c>
      <c r="X830" s="3"/>
      <c r="Y830" s="3">
        <v>155000</v>
      </c>
      <c r="Z830" s="3">
        <f t="shared" ref="Z830:Z841" si="475">Y830-T830</f>
        <v>70000</v>
      </c>
      <c r="AA830" s="3"/>
      <c r="AB830" s="3"/>
      <c r="AC830" s="3">
        <v>150949</v>
      </c>
      <c r="AD830" s="3">
        <f t="shared" ref="AD830:AD841" si="476">AE830-AC830</f>
        <v>19051</v>
      </c>
      <c r="AE830" s="3">
        <v>170000</v>
      </c>
      <c r="AF830" s="3">
        <f t="shared" ref="AF830:AF841" si="477">AE830-Y830</f>
        <v>15000</v>
      </c>
      <c r="AG830" s="3"/>
      <c r="AH830" s="3">
        <v>135000</v>
      </c>
      <c r="AI830" s="3"/>
      <c r="AJ830" s="3">
        <f>AH830*1.03</f>
        <v>139050</v>
      </c>
      <c r="AK830" s="3"/>
      <c r="AL830" s="3">
        <f>AJ830*1.03</f>
        <v>143221.5</v>
      </c>
      <c r="AM830" s="3"/>
      <c r="AN830" s="3">
        <f>AL830*1.03</f>
        <v>147518.14499999999</v>
      </c>
      <c r="AO830" s="3"/>
      <c r="AP830" s="3">
        <f>AN830*1.03</f>
        <v>151943.68935</v>
      </c>
      <c r="AQ830" s="42"/>
      <c r="AR830" s="3">
        <f>AP830*1.03</f>
        <v>156502.0000305</v>
      </c>
      <c r="AS830" s="42"/>
      <c r="AT830" s="3">
        <f>AR830*1.03</f>
        <v>161197.06003141499</v>
      </c>
      <c r="AU830" s="42"/>
      <c r="AV830" s="3">
        <f>AT830*1.03</f>
        <v>166032.97183235743</v>
      </c>
      <c r="AW830" s="42"/>
      <c r="AX830" s="3">
        <f>AV830*1.03</f>
        <v>171013.96098732817</v>
      </c>
      <c r="AZ830" s="3">
        <f>AX830*1.03</f>
        <v>176144.37981694803</v>
      </c>
    </row>
    <row r="831" spans="1:52" x14ac:dyDescent="0.25">
      <c r="A831" s="3" t="s">
        <v>590</v>
      </c>
      <c r="B831" s="3"/>
      <c r="D831" s="3">
        <v>23046</v>
      </c>
      <c r="E831" s="3">
        <f t="shared" si="468"/>
        <v>41954</v>
      </c>
      <c r="F831" s="5">
        <v>65000</v>
      </c>
      <c r="H831" s="5">
        <f t="shared" si="469"/>
        <v>65000</v>
      </c>
      <c r="J831" s="5">
        <v>40210</v>
      </c>
      <c r="K831" s="4">
        <f t="shared" si="470"/>
        <v>24790</v>
      </c>
      <c r="L831" s="4">
        <v>65000</v>
      </c>
      <c r="N831" s="4">
        <f t="shared" si="471"/>
        <v>0</v>
      </c>
      <c r="P831" s="3"/>
      <c r="Q831" s="3"/>
      <c r="R831" s="3"/>
      <c r="S831" s="3">
        <f t="shared" si="472"/>
        <v>0</v>
      </c>
      <c r="T831" s="3"/>
      <c r="U831" s="3">
        <f t="shared" si="473"/>
        <v>0</v>
      </c>
      <c r="V831" s="3"/>
      <c r="W831" s="3">
        <f t="shared" si="474"/>
        <v>0</v>
      </c>
      <c r="X831" s="3"/>
      <c r="Y831" s="3"/>
      <c r="Z831" s="3">
        <f t="shared" si="475"/>
        <v>0</v>
      </c>
      <c r="AA831" s="3"/>
      <c r="AB831" s="3"/>
      <c r="AC831" s="3"/>
      <c r="AD831" s="3">
        <f t="shared" si="476"/>
        <v>0</v>
      </c>
      <c r="AE831" s="3"/>
      <c r="AF831" s="3">
        <f t="shared" si="477"/>
        <v>0</v>
      </c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42"/>
      <c r="AR831" s="3"/>
      <c r="AS831" s="42"/>
      <c r="AT831" s="3"/>
      <c r="AU831" s="42"/>
      <c r="AV831" s="3"/>
      <c r="AW831" s="42"/>
      <c r="AX831" s="3"/>
      <c r="AZ831" s="3"/>
    </row>
    <row r="832" spans="1:52" x14ac:dyDescent="0.25">
      <c r="A832" s="3" t="s">
        <v>266</v>
      </c>
      <c r="B832" s="3">
        <v>80000</v>
      </c>
      <c r="D832" s="3">
        <v>0</v>
      </c>
      <c r="E832" s="3">
        <f t="shared" si="468"/>
        <v>45000</v>
      </c>
      <c r="F832" s="5">
        <v>45000</v>
      </c>
      <c r="H832" s="5">
        <f t="shared" si="469"/>
        <v>-35000</v>
      </c>
      <c r="J832" s="5">
        <v>0</v>
      </c>
      <c r="K832" s="4">
        <f t="shared" si="470"/>
        <v>20000</v>
      </c>
      <c r="L832" s="4">
        <v>20000</v>
      </c>
      <c r="N832" s="4">
        <f t="shared" si="471"/>
        <v>-25000</v>
      </c>
      <c r="P832" s="3">
        <v>0</v>
      </c>
      <c r="Q832" s="3"/>
      <c r="R832" s="3"/>
      <c r="S832" s="3">
        <f t="shared" si="472"/>
        <v>40000</v>
      </c>
      <c r="T832" s="3">
        <v>40000</v>
      </c>
      <c r="U832" s="3">
        <f t="shared" si="473"/>
        <v>40000</v>
      </c>
      <c r="V832" s="3">
        <v>2984</v>
      </c>
      <c r="W832" s="3">
        <f t="shared" si="474"/>
        <v>37016</v>
      </c>
      <c r="X832" s="3"/>
      <c r="Y832" s="3">
        <v>40000</v>
      </c>
      <c r="Z832" s="3">
        <f t="shared" si="475"/>
        <v>0</v>
      </c>
      <c r="AA832" s="3"/>
      <c r="AB832" s="3"/>
      <c r="AC832" s="3"/>
      <c r="AD832" s="3">
        <f t="shared" si="476"/>
        <v>0</v>
      </c>
      <c r="AE832" s="3">
        <v>0</v>
      </c>
      <c r="AF832" s="3">
        <f t="shared" si="477"/>
        <v>-40000</v>
      </c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Z832" s="3"/>
    </row>
    <row r="833" spans="1:53" x14ac:dyDescent="0.25">
      <c r="A833" s="3" t="s">
        <v>591</v>
      </c>
      <c r="B833" s="3">
        <v>15000</v>
      </c>
      <c r="D833" s="3">
        <v>3358</v>
      </c>
      <c r="E833" s="3">
        <f t="shared" si="468"/>
        <v>11642</v>
      </c>
      <c r="F833" s="5">
        <v>15000</v>
      </c>
      <c r="H833" s="5">
        <f t="shared" si="469"/>
        <v>0</v>
      </c>
      <c r="J833" s="5">
        <v>3358</v>
      </c>
      <c r="K833" s="4">
        <f t="shared" si="470"/>
        <v>11642</v>
      </c>
      <c r="L833" s="4">
        <v>15000</v>
      </c>
      <c r="N833" s="4">
        <f t="shared" si="471"/>
        <v>0</v>
      </c>
      <c r="P833" s="3">
        <v>15000</v>
      </c>
      <c r="Q833" s="3"/>
      <c r="R833" s="3">
        <v>3366</v>
      </c>
      <c r="S833" s="3">
        <f t="shared" si="472"/>
        <v>4134</v>
      </c>
      <c r="T833" s="3">
        <v>7500</v>
      </c>
      <c r="U833" s="3">
        <f t="shared" si="473"/>
        <v>-7500</v>
      </c>
      <c r="V833" s="3">
        <v>3366</v>
      </c>
      <c r="W833" s="3">
        <f t="shared" si="474"/>
        <v>4134</v>
      </c>
      <c r="X833" s="3"/>
      <c r="Y833" s="3">
        <v>7500</v>
      </c>
      <c r="Z833" s="3">
        <f t="shared" si="475"/>
        <v>0</v>
      </c>
      <c r="AA833" s="3"/>
      <c r="AB833" s="3"/>
      <c r="AC833" s="3">
        <v>3973</v>
      </c>
      <c r="AD833" s="3">
        <f t="shared" si="476"/>
        <v>3527</v>
      </c>
      <c r="AE833" s="3">
        <v>7500</v>
      </c>
      <c r="AF833" s="3">
        <f t="shared" si="477"/>
        <v>0</v>
      </c>
      <c r="AG833" s="3"/>
      <c r="AH833" s="3">
        <f>AE833*1.03+25</f>
        <v>7750</v>
      </c>
      <c r="AI833" s="3"/>
      <c r="AJ833" s="3">
        <f>AH833-1000</f>
        <v>6750</v>
      </c>
      <c r="AK833" s="3"/>
      <c r="AL833" s="3">
        <f>AJ833-1000</f>
        <v>5750</v>
      </c>
      <c r="AM833" s="3"/>
      <c r="AN833" s="3">
        <f>AL833-1000</f>
        <v>4750</v>
      </c>
      <c r="AO833" s="3"/>
      <c r="AP833" s="3">
        <f>AN833-1000</f>
        <v>3750</v>
      </c>
      <c r="AQ833" s="42"/>
      <c r="AR833" s="3">
        <f>AP833-1000</f>
        <v>2750</v>
      </c>
      <c r="AS833" s="42"/>
      <c r="AT833" s="3">
        <f>AR833-1000</f>
        <v>1750</v>
      </c>
      <c r="AU833" s="42"/>
      <c r="AV833" s="3">
        <f>AT833-1000</f>
        <v>750</v>
      </c>
      <c r="AW833" s="42"/>
      <c r="AX833" s="3"/>
      <c r="AZ833" s="3"/>
    </row>
    <row r="834" spans="1:53" x14ac:dyDescent="0.25">
      <c r="A834" s="3" t="s">
        <v>592</v>
      </c>
      <c r="B834" s="3">
        <v>5000</v>
      </c>
      <c r="D834" s="3">
        <v>0</v>
      </c>
      <c r="E834" s="3">
        <f t="shared" si="468"/>
        <v>5000</v>
      </c>
      <c r="F834" s="5">
        <v>5000</v>
      </c>
      <c r="H834" s="5">
        <f t="shared" si="469"/>
        <v>0</v>
      </c>
      <c r="J834" s="5">
        <v>0</v>
      </c>
      <c r="K834" s="4">
        <f t="shared" si="470"/>
        <v>5000</v>
      </c>
      <c r="L834" s="4">
        <v>5000</v>
      </c>
      <c r="N834" s="4">
        <f t="shared" si="471"/>
        <v>0</v>
      </c>
      <c r="P834" s="3">
        <v>5000</v>
      </c>
      <c r="Q834" s="3"/>
      <c r="R834" s="3">
        <v>0</v>
      </c>
      <c r="S834" s="3">
        <f t="shared" si="472"/>
        <v>5000</v>
      </c>
      <c r="T834" s="3">
        <v>5000</v>
      </c>
      <c r="U834" s="3">
        <f t="shared" si="473"/>
        <v>0</v>
      </c>
      <c r="V834" s="3">
        <v>0</v>
      </c>
      <c r="W834" s="3">
        <f t="shared" si="474"/>
        <v>5000</v>
      </c>
      <c r="X834" s="3"/>
      <c r="Y834" s="3">
        <v>5000</v>
      </c>
      <c r="Z834" s="3">
        <f t="shared" si="475"/>
        <v>0</v>
      </c>
      <c r="AA834" s="3"/>
      <c r="AB834" s="3"/>
      <c r="AC834" s="3">
        <v>0</v>
      </c>
      <c r="AD834" s="3">
        <f t="shared" si="476"/>
        <v>5000</v>
      </c>
      <c r="AE834" s="3">
        <v>5000</v>
      </c>
      <c r="AF834" s="3">
        <f t="shared" si="477"/>
        <v>0</v>
      </c>
      <c r="AG834" s="3"/>
      <c r="AH834" s="3">
        <v>5000</v>
      </c>
      <c r="AI834" s="3"/>
      <c r="AJ834" s="3">
        <v>5000</v>
      </c>
      <c r="AK834" s="3"/>
      <c r="AL834" s="3">
        <v>5000</v>
      </c>
      <c r="AM834" s="3"/>
      <c r="AN834" s="3">
        <v>5000</v>
      </c>
      <c r="AO834" s="3"/>
      <c r="AP834" s="3">
        <v>5000</v>
      </c>
      <c r="AQ834" s="42"/>
      <c r="AR834" s="3">
        <v>5000</v>
      </c>
      <c r="AS834" s="42"/>
      <c r="AT834" s="3">
        <v>5000</v>
      </c>
      <c r="AU834" s="42"/>
      <c r="AV834" s="3">
        <v>5000</v>
      </c>
      <c r="AW834" s="42"/>
      <c r="AX834" s="3">
        <v>5000</v>
      </c>
      <c r="AZ834" s="3">
        <v>5000</v>
      </c>
    </row>
    <row r="835" spans="1:53" x14ac:dyDescent="0.25">
      <c r="A835" s="3" t="s">
        <v>593</v>
      </c>
      <c r="B835" s="3">
        <v>15000</v>
      </c>
      <c r="D835" s="3">
        <v>0</v>
      </c>
      <c r="E835" s="3">
        <f t="shared" si="468"/>
        <v>15000</v>
      </c>
      <c r="F835" s="5">
        <v>15000</v>
      </c>
      <c r="H835" s="5">
        <f t="shared" si="469"/>
        <v>0</v>
      </c>
      <c r="J835" s="5">
        <v>0</v>
      </c>
      <c r="K835" s="4">
        <f t="shared" si="470"/>
        <v>15000</v>
      </c>
      <c r="L835" s="4">
        <v>15000</v>
      </c>
      <c r="N835" s="4">
        <f t="shared" si="471"/>
        <v>0</v>
      </c>
      <c r="P835" s="3">
        <v>8000</v>
      </c>
      <c r="Q835" s="3"/>
      <c r="R835" s="3">
        <v>0</v>
      </c>
      <c r="S835" s="3">
        <f t="shared" si="472"/>
        <v>8000</v>
      </c>
      <c r="T835" s="3">
        <v>8000</v>
      </c>
      <c r="U835" s="3">
        <f t="shared" si="473"/>
        <v>0</v>
      </c>
      <c r="V835" s="3">
        <v>0</v>
      </c>
      <c r="W835" s="3">
        <f t="shared" si="474"/>
        <v>8000</v>
      </c>
      <c r="X835" s="3"/>
      <c r="Y835" s="3">
        <v>8000</v>
      </c>
      <c r="Z835" s="3">
        <f t="shared" si="475"/>
        <v>0</v>
      </c>
      <c r="AA835" s="3"/>
      <c r="AB835" s="3"/>
      <c r="AC835" s="3">
        <v>0</v>
      </c>
      <c r="AD835" s="3">
        <f t="shared" si="476"/>
        <v>8000</v>
      </c>
      <c r="AE835" s="3">
        <v>8000</v>
      </c>
      <c r="AF835" s="3">
        <f t="shared" si="477"/>
        <v>0</v>
      </c>
      <c r="AG835" s="3"/>
      <c r="AH835" s="3">
        <v>7000</v>
      </c>
      <c r="AI835" s="3"/>
      <c r="AJ835" s="3">
        <v>6000</v>
      </c>
      <c r="AK835" s="3"/>
      <c r="AL835" s="3">
        <v>6000</v>
      </c>
      <c r="AM835" s="3"/>
      <c r="AN835" s="3">
        <v>6000</v>
      </c>
      <c r="AO835" s="3"/>
      <c r="AP835" s="3">
        <v>6000</v>
      </c>
      <c r="AQ835" s="42"/>
      <c r="AR835" s="3">
        <v>6000</v>
      </c>
      <c r="AS835" s="42"/>
      <c r="AT835" s="3">
        <v>6000</v>
      </c>
      <c r="AU835" s="42"/>
      <c r="AV835" s="3">
        <v>6000</v>
      </c>
      <c r="AW835" s="42"/>
      <c r="AX835" s="3">
        <v>6000</v>
      </c>
      <c r="AZ835" s="3">
        <v>6000</v>
      </c>
    </row>
    <row r="836" spans="1:53" x14ac:dyDescent="0.25">
      <c r="A836" s="3" t="s">
        <v>594</v>
      </c>
      <c r="B836" s="3">
        <v>7000</v>
      </c>
      <c r="D836" s="3">
        <v>5000</v>
      </c>
      <c r="E836" s="3">
        <f t="shared" si="468"/>
        <v>3500</v>
      </c>
      <c r="F836" s="5">
        <v>8500</v>
      </c>
      <c r="H836" s="5">
        <f t="shared" si="469"/>
        <v>1500</v>
      </c>
      <c r="J836" s="5">
        <v>9944</v>
      </c>
      <c r="K836" s="4">
        <f t="shared" si="470"/>
        <v>3056</v>
      </c>
      <c r="L836" s="4">
        <v>13000</v>
      </c>
      <c r="N836" s="4">
        <f t="shared" si="471"/>
        <v>4500</v>
      </c>
      <c r="P836" s="3">
        <v>5000</v>
      </c>
      <c r="Q836" s="3"/>
      <c r="R836" s="3">
        <v>6675</v>
      </c>
      <c r="S836" s="3">
        <f t="shared" si="472"/>
        <v>1325</v>
      </c>
      <c r="T836" s="3">
        <v>8000</v>
      </c>
      <c r="U836" s="3">
        <f t="shared" si="473"/>
        <v>3000</v>
      </c>
      <c r="V836" s="3">
        <v>7707</v>
      </c>
      <c r="W836" s="3">
        <f t="shared" si="474"/>
        <v>293</v>
      </c>
      <c r="X836" s="3"/>
      <c r="Y836" s="3">
        <v>8000</v>
      </c>
      <c r="Z836" s="3">
        <f t="shared" si="475"/>
        <v>0</v>
      </c>
      <c r="AA836" s="3"/>
      <c r="AB836" s="3"/>
      <c r="AC836" s="3">
        <v>30347</v>
      </c>
      <c r="AD836" s="3">
        <f t="shared" si="476"/>
        <v>4653</v>
      </c>
      <c r="AE836" s="3">
        <v>35000</v>
      </c>
      <c r="AF836" s="3">
        <f t="shared" si="477"/>
        <v>27000</v>
      </c>
      <c r="AG836" s="3"/>
      <c r="AH836" s="3">
        <v>30000</v>
      </c>
      <c r="AI836" s="3"/>
      <c r="AJ836" s="3">
        <v>12500</v>
      </c>
      <c r="AK836" s="3"/>
      <c r="AL836" s="3">
        <f>AJ836*1.03</f>
        <v>12875</v>
      </c>
      <c r="AM836" s="3"/>
      <c r="AN836" s="3">
        <f>AL836*1.03</f>
        <v>13261.25</v>
      </c>
      <c r="AO836" s="3"/>
      <c r="AP836" s="3">
        <f>AN836*1.03</f>
        <v>13659.0875</v>
      </c>
      <c r="AQ836" s="42"/>
      <c r="AR836" s="3">
        <f>AP836*1.03</f>
        <v>14068.860124999999</v>
      </c>
      <c r="AS836" s="42"/>
      <c r="AT836" s="3">
        <f>AR836*1.03</f>
        <v>14490.925928749999</v>
      </c>
      <c r="AU836" s="42"/>
      <c r="AV836" s="3">
        <f>AT836*1.03</f>
        <v>14925.6537066125</v>
      </c>
      <c r="AW836" s="42"/>
      <c r="AX836" s="3">
        <f>AV836*1.03</f>
        <v>15373.423317810875</v>
      </c>
      <c r="AZ836" s="3">
        <f>AX836*1.03</f>
        <v>15834.626017345201</v>
      </c>
    </row>
    <row r="837" spans="1:53" x14ac:dyDescent="0.25">
      <c r="A837" s="3" t="s">
        <v>595</v>
      </c>
      <c r="B837" s="3"/>
      <c r="D837" s="3"/>
      <c r="E837" s="3">
        <f t="shared" si="468"/>
        <v>0</v>
      </c>
      <c r="H837" s="5">
        <f t="shared" si="469"/>
        <v>0</v>
      </c>
      <c r="K837" s="4">
        <f t="shared" si="470"/>
        <v>0</v>
      </c>
      <c r="L837" s="4"/>
      <c r="N837" s="4">
        <f t="shared" si="471"/>
        <v>0</v>
      </c>
      <c r="P837" s="3"/>
      <c r="Q837" s="3"/>
      <c r="R837" s="3"/>
      <c r="S837" s="3">
        <f t="shared" si="472"/>
        <v>0</v>
      </c>
      <c r="T837" s="3"/>
      <c r="U837" s="3">
        <f t="shared" si="473"/>
        <v>0</v>
      </c>
      <c r="V837" s="3"/>
      <c r="W837" s="3">
        <f t="shared" si="474"/>
        <v>0</v>
      </c>
      <c r="X837" s="3"/>
      <c r="Y837" s="3"/>
      <c r="Z837" s="3">
        <f t="shared" si="475"/>
        <v>0</v>
      </c>
      <c r="AA837" s="3"/>
      <c r="AB837" s="3"/>
      <c r="AC837" s="3"/>
      <c r="AD837" s="3">
        <f t="shared" si="476"/>
        <v>0</v>
      </c>
      <c r="AE837" s="3"/>
      <c r="AF837" s="3">
        <f t="shared" si="477"/>
        <v>0</v>
      </c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42"/>
      <c r="AR837" s="3"/>
      <c r="AS837" s="42"/>
      <c r="AT837" s="3"/>
      <c r="AU837" s="42"/>
      <c r="AV837" s="3"/>
      <c r="AW837" s="42"/>
      <c r="AX837" s="3"/>
      <c r="AZ837" s="3"/>
    </row>
    <row r="838" spans="1:53" x14ac:dyDescent="0.25">
      <c r="A838" s="3" t="s">
        <v>596</v>
      </c>
      <c r="B838" s="3">
        <v>3000</v>
      </c>
      <c r="D838" s="3">
        <v>3449</v>
      </c>
      <c r="E838" s="3">
        <f t="shared" si="468"/>
        <v>1051</v>
      </c>
      <c r="F838" s="5">
        <v>4500</v>
      </c>
      <c r="H838" s="5">
        <f t="shared" si="469"/>
        <v>1500</v>
      </c>
      <c r="J838" s="5">
        <v>3499</v>
      </c>
      <c r="K838" s="4">
        <f t="shared" si="470"/>
        <v>1001</v>
      </c>
      <c r="L838" s="4">
        <v>4500</v>
      </c>
      <c r="N838" s="4">
        <f t="shared" si="471"/>
        <v>0</v>
      </c>
      <c r="P838" s="3">
        <f>L838*1.0281+24</f>
        <v>4650.45</v>
      </c>
      <c r="Q838" s="3"/>
      <c r="R838" s="3">
        <v>2225</v>
      </c>
      <c r="S838" s="3">
        <f t="shared" si="472"/>
        <v>1425</v>
      </c>
      <c r="T838" s="3">
        <v>3650</v>
      </c>
      <c r="U838" s="3">
        <f t="shared" si="473"/>
        <v>-1000.4499999999998</v>
      </c>
      <c r="V838" s="3">
        <v>5455</v>
      </c>
      <c r="W838" s="3">
        <f t="shared" si="474"/>
        <v>-1805</v>
      </c>
      <c r="X838" s="3"/>
      <c r="Y838" s="3">
        <v>3650</v>
      </c>
      <c r="Z838" s="3">
        <f t="shared" si="475"/>
        <v>0</v>
      </c>
      <c r="AA838" s="3"/>
      <c r="AB838" s="3"/>
      <c r="AC838" s="3"/>
      <c r="AD838" s="3">
        <f t="shared" si="476"/>
        <v>0</v>
      </c>
      <c r="AE838" s="3">
        <v>0</v>
      </c>
      <c r="AF838" s="3">
        <f t="shared" si="477"/>
        <v>-3650</v>
      </c>
      <c r="AG838" s="3"/>
      <c r="AH838" s="3">
        <v>2500</v>
      </c>
      <c r="AI838" s="3"/>
      <c r="AJ838" s="3">
        <f>AH838*1.03</f>
        <v>2575</v>
      </c>
      <c r="AK838" s="3"/>
      <c r="AL838" s="3">
        <f>AJ838*1.03</f>
        <v>2652.25</v>
      </c>
      <c r="AM838" s="3"/>
      <c r="AN838" s="3">
        <f>AL838*1.03</f>
        <v>2731.8175000000001</v>
      </c>
      <c r="AO838" s="3"/>
      <c r="AP838" s="3">
        <f>AN838*1.03</f>
        <v>2813.7720250000002</v>
      </c>
      <c r="AQ838" s="42"/>
      <c r="AR838" s="3">
        <f>AP838*1.03</f>
        <v>2898.1851857500001</v>
      </c>
      <c r="AS838" s="42"/>
      <c r="AT838" s="3">
        <f>AR838*1.03</f>
        <v>2985.1307413224999</v>
      </c>
      <c r="AU838" s="42"/>
      <c r="AV838" s="3">
        <f>AT838*1.03</f>
        <v>3074.684663562175</v>
      </c>
      <c r="AW838" s="42"/>
      <c r="AX838" s="3">
        <f>AV838*1.03</f>
        <v>3166.9252034690403</v>
      </c>
      <c r="AZ838" s="3">
        <f>AX838*1.03</f>
        <v>3261.9329595731115</v>
      </c>
    </row>
    <row r="839" spans="1:53" x14ac:dyDescent="0.25">
      <c r="A839" s="3" t="s">
        <v>597</v>
      </c>
      <c r="B839" s="3"/>
      <c r="D839" s="3"/>
      <c r="E839" s="3">
        <f t="shared" si="468"/>
        <v>0</v>
      </c>
      <c r="H839" s="5">
        <f t="shared" si="469"/>
        <v>0</v>
      </c>
      <c r="K839" s="4">
        <f t="shared" si="470"/>
        <v>0</v>
      </c>
      <c r="L839" s="4"/>
      <c r="N839" s="4">
        <f t="shared" si="471"/>
        <v>0</v>
      </c>
      <c r="P839" s="3"/>
      <c r="Q839" s="3"/>
      <c r="R839" s="3"/>
      <c r="S839" s="3">
        <f t="shared" si="472"/>
        <v>0</v>
      </c>
      <c r="T839" s="3"/>
      <c r="U839" s="3">
        <f t="shared" si="473"/>
        <v>0</v>
      </c>
      <c r="V839" s="3"/>
      <c r="W839" s="3">
        <f t="shared" si="474"/>
        <v>0</v>
      </c>
      <c r="X839" s="3"/>
      <c r="Y839" s="3"/>
      <c r="Z839" s="3">
        <f t="shared" si="475"/>
        <v>0</v>
      </c>
      <c r="AA839" s="3"/>
      <c r="AB839" s="3"/>
      <c r="AC839" s="3"/>
      <c r="AD839" s="3">
        <f t="shared" si="476"/>
        <v>0</v>
      </c>
      <c r="AE839" s="3"/>
      <c r="AF839" s="3">
        <f t="shared" si="477"/>
        <v>0</v>
      </c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42"/>
      <c r="AR839" s="3"/>
      <c r="AS839" s="42"/>
      <c r="AT839" s="3"/>
      <c r="AU839" s="42"/>
      <c r="AV839" s="3"/>
      <c r="AW839" s="42"/>
      <c r="AX839" s="3"/>
      <c r="AZ839" s="3"/>
    </row>
    <row r="840" spans="1:53" x14ac:dyDescent="0.25">
      <c r="A840" s="3" t="s">
        <v>598</v>
      </c>
      <c r="B840" s="3"/>
      <c r="D840" s="3"/>
      <c r="E840" s="3">
        <f t="shared" si="468"/>
        <v>0</v>
      </c>
      <c r="H840" s="5">
        <f t="shared" si="469"/>
        <v>0</v>
      </c>
      <c r="K840" s="4">
        <f t="shared" si="470"/>
        <v>0</v>
      </c>
      <c r="L840" s="4"/>
      <c r="N840" s="4">
        <f t="shared" si="471"/>
        <v>0</v>
      </c>
      <c r="P840" s="3"/>
      <c r="Q840" s="3"/>
      <c r="R840" s="3"/>
      <c r="S840" s="3">
        <f t="shared" si="472"/>
        <v>0</v>
      </c>
      <c r="T840" s="3"/>
      <c r="U840" s="3">
        <f t="shared" si="473"/>
        <v>0</v>
      </c>
      <c r="V840" s="3"/>
      <c r="W840" s="3">
        <f t="shared" si="474"/>
        <v>0</v>
      </c>
      <c r="X840" s="3"/>
      <c r="Y840" s="3"/>
      <c r="Z840" s="3">
        <f t="shared" si="475"/>
        <v>0</v>
      </c>
      <c r="AA840" s="3"/>
      <c r="AB840" s="3"/>
      <c r="AC840" s="3"/>
      <c r="AD840" s="3">
        <f t="shared" si="476"/>
        <v>0</v>
      </c>
      <c r="AE840" s="3"/>
      <c r="AF840" s="3">
        <f t="shared" si="477"/>
        <v>0</v>
      </c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42"/>
      <c r="AR840" s="3"/>
      <c r="AS840" s="42"/>
      <c r="AT840" s="3"/>
      <c r="AU840" s="42"/>
      <c r="AV840" s="3"/>
      <c r="AW840" s="42"/>
      <c r="AX840" s="3"/>
      <c r="AZ840" s="3"/>
    </row>
    <row r="841" spans="1:53" x14ac:dyDescent="0.25">
      <c r="A841" s="3" t="s">
        <v>599</v>
      </c>
      <c r="B841" s="3">
        <v>1500</v>
      </c>
      <c r="D841" s="3">
        <v>0</v>
      </c>
      <c r="E841" s="3">
        <f t="shared" si="468"/>
        <v>1500</v>
      </c>
      <c r="F841" s="5">
        <v>1500</v>
      </c>
      <c r="H841" s="5">
        <f t="shared" si="469"/>
        <v>0</v>
      </c>
      <c r="J841" s="5">
        <v>0</v>
      </c>
      <c r="K841" s="4">
        <f t="shared" si="470"/>
        <v>1500</v>
      </c>
      <c r="L841" s="4">
        <v>1500</v>
      </c>
      <c r="N841" s="4">
        <f t="shared" si="471"/>
        <v>0</v>
      </c>
      <c r="P841" s="3">
        <v>0</v>
      </c>
      <c r="Q841" s="3"/>
      <c r="R841" s="3"/>
      <c r="S841" s="3">
        <f t="shared" si="472"/>
        <v>0</v>
      </c>
      <c r="T841" s="3"/>
      <c r="U841" s="3">
        <f t="shared" si="473"/>
        <v>0</v>
      </c>
      <c r="V841" s="3"/>
      <c r="W841" s="3">
        <f t="shared" si="474"/>
        <v>1500</v>
      </c>
      <c r="X841" s="3"/>
      <c r="Y841" s="3">
        <v>1500</v>
      </c>
      <c r="Z841" s="3">
        <f t="shared" si="475"/>
        <v>1500</v>
      </c>
      <c r="AA841" s="3"/>
      <c r="AB841" s="3"/>
      <c r="AC841" s="3"/>
      <c r="AD841" s="3">
        <f t="shared" si="476"/>
        <v>3000</v>
      </c>
      <c r="AE841" s="3">
        <v>3000</v>
      </c>
      <c r="AF841" s="3">
        <f t="shared" si="477"/>
        <v>1500</v>
      </c>
      <c r="AG841" s="3"/>
      <c r="AH841" s="3"/>
      <c r="AI841" s="3"/>
      <c r="AJ841" s="3">
        <v>3000</v>
      </c>
      <c r="AK841" s="3"/>
      <c r="AL841" s="3"/>
      <c r="AM841" s="3"/>
      <c r="AN841" s="3">
        <v>3000</v>
      </c>
      <c r="AO841" s="3"/>
      <c r="AP841" s="3"/>
      <c r="AQ841" s="42"/>
      <c r="AR841" s="3">
        <v>3000</v>
      </c>
      <c r="AS841" s="42"/>
      <c r="AT841" s="3"/>
      <c r="AU841" s="42"/>
      <c r="AV841" s="3">
        <v>3000</v>
      </c>
      <c r="AW841" s="42"/>
      <c r="AX841" s="3"/>
      <c r="AZ841" s="3">
        <v>3000</v>
      </c>
    </row>
    <row r="842" spans="1:53" x14ac:dyDescent="0.25">
      <c r="A842" s="3"/>
      <c r="B842" s="48">
        <f>SUM(B830:B841)</f>
        <v>236500</v>
      </c>
      <c r="C842" s="32"/>
      <c r="D842" s="48">
        <f>SUM(D830:D841)</f>
        <v>83353</v>
      </c>
      <c r="E842" s="48">
        <f>SUM(E830:E841)</f>
        <v>186147</v>
      </c>
      <c r="F842" s="48">
        <f>SUM(F830:F841)</f>
        <v>269500</v>
      </c>
      <c r="G842" s="32"/>
      <c r="H842" s="48">
        <f>SUM(H830:H841)</f>
        <v>33000</v>
      </c>
      <c r="I842" s="36"/>
      <c r="J842" s="48">
        <f>SUM(J830:J841)</f>
        <v>132852</v>
      </c>
      <c r="K842" s="48">
        <f>SUM(K830:K841)</f>
        <v>126148</v>
      </c>
      <c r="L842" s="48">
        <f>SUM(L830:L841)</f>
        <v>259000</v>
      </c>
      <c r="M842" s="32"/>
      <c r="N842" s="48">
        <f>SUM(N830:N841)</f>
        <v>-10500</v>
      </c>
      <c r="P842" s="48">
        <f>SUM(P830:P841)</f>
        <v>122650.45</v>
      </c>
      <c r="R842" s="48">
        <f t="shared" ref="R842:Z842" si="478">SUM(R830:R841)</f>
        <v>23111</v>
      </c>
      <c r="S842" s="48">
        <f t="shared" si="478"/>
        <v>134039</v>
      </c>
      <c r="T842" s="48">
        <f t="shared" si="478"/>
        <v>157150</v>
      </c>
      <c r="U842" s="48">
        <f t="shared" si="478"/>
        <v>34499.550000000003</v>
      </c>
      <c r="V842" s="48">
        <f t="shared" si="478"/>
        <v>151672</v>
      </c>
      <c r="W842" s="48">
        <f t="shared" si="478"/>
        <v>76978</v>
      </c>
      <c r="X842" s="48"/>
      <c r="Y842" s="48">
        <f t="shared" si="478"/>
        <v>228650</v>
      </c>
      <c r="Z842" s="48">
        <f t="shared" si="478"/>
        <v>71500</v>
      </c>
      <c r="AC842" s="48">
        <f>SUM(AC830:AC841)</f>
        <v>185269</v>
      </c>
      <c r="AD842" s="48">
        <f>SUM(AD830:AD841)</f>
        <v>43231</v>
      </c>
      <c r="AE842" s="48">
        <f>SUM(AE830:AE841)</f>
        <v>228500</v>
      </c>
      <c r="AF842" s="48">
        <f>SUM(AF830:AF841)</f>
        <v>-150</v>
      </c>
      <c r="AH842" s="48">
        <f>SUM(AH830:AH841)</f>
        <v>187250</v>
      </c>
      <c r="AJ842" s="48">
        <f>SUM(AJ830:AJ841)</f>
        <v>174875</v>
      </c>
      <c r="AL842" s="48">
        <f>SUM(AL830:AL841)</f>
        <v>175498.75</v>
      </c>
      <c r="AN842" s="48">
        <f>SUM(AN830:AN841)</f>
        <v>182261.21249999999</v>
      </c>
      <c r="AO842" s="48"/>
      <c r="AP842" s="48">
        <f>SUM(AP830:AP841)</f>
        <v>183166.54887500001</v>
      </c>
      <c r="AR842" s="48">
        <f>SUM(AR830:AR841)</f>
        <v>190219.04534124999</v>
      </c>
      <c r="AT842" s="48">
        <f>SUM(AT830:AT841)</f>
        <v>191423.11670148748</v>
      </c>
      <c r="AV842" s="48">
        <f>SUM(AV830:AV841)</f>
        <v>198783.3102025321</v>
      </c>
      <c r="AX842" s="48">
        <f>SUM(AX830:AX841)</f>
        <v>200554.30950860807</v>
      </c>
      <c r="AZ842" s="48">
        <f>SUM(AZ830:AZ841)</f>
        <v>209240.93879386634</v>
      </c>
    </row>
    <row r="843" spans="1:53" ht="15.75" thickBot="1" x14ac:dyDescent="0.3">
      <c r="A843" s="7" t="s">
        <v>249</v>
      </c>
      <c r="B843" s="49">
        <f>B842+B828+B821+B795</f>
        <v>646899</v>
      </c>
      <c r="C843" s="32"/>
      <c r="D843" s="49">
        <f>D842+D828+D821+D795</f>
        <v>150021</v>
      </c>
      <c r="E843" s="49">
        <f>E842+E828+E821+E795</f>
        <v>494777</v>
      </c>
      <c r="F843" s="49">
        <f>F842+F828+F821+F795</f>
        <v>644799</v>
      </c>
      <c r="G843" s="32"/>
      <c r="H843" s="49">
        <f>H842+H828+H821+H795</f>
        <v>-2101</v>
      </c>
      <c r="I843" s="36"/>
      <c r="J843" s="49">
        <f>J842+J828+J821+J795</f>
        <v>246894</v>
      </c>
      <c r="K843" s="49">
        <f>K842+K828+K821+K795</f>
        <v>362404</v>
      </c>
      <c r="L843" s="49">
        <f>L842+L828+L821+L795</f>
        <v>609299</v>
      </c>
      <c r="M843" s="32"/>
      <c r="N843" s="49">
        <f>N842+N828+N821+N795</f>
        <v>-35501</v>
      </c>
      <c r="P843" s="49">
        <f>P842+P828+P821+P795</f>
        <v>471301.47</v>
      </c>
      <c r="R843" s="49">
        <f t="shared" ref="R843:Z843" si="479">R842+R828+R821+R795</f>
        <v>114889</v>
      </c>
      <c r="S843" s="49">
        <f t="shared" si="479"/>
        <v>412161</v>
      </c>
      <c r="T843" s="49">
        <f t="shared" si="479"/>
        <v>527050</v>
      </c>
      <c r="U843" s="49">
        <f t="shared" si="479"/>
        <v>55748.53</v>
      </c>
      <c r="V843" s="49">
        <f t="shared" si="479"/>
        <v>304234</v>
      </c>
      <c r="W843" s="49">
        <f t="shared" si="479"/>
        <v>283316</v>
      </c>
      <c r="X843" s="49"/>
      <c r="Y843" s="49">
        <f t="shared" si="479"/>
        <v>587550</v>
      </c>
      <c r="Z843" s="49">
        <f t="shared" si="479"/>
        <v>60500</v>
      </c>
      <c r="AC843" s="49">
        <f>AC842+AC828+AC821+AC795</f>
        <v>404182</v>
      </c>
      <c r="AD843" s="49">
        <f>AD842+AD828+AD821+AD795</f>
        <v>229568</v>
      </c>
      <c r="AE843" s="49">
        <f>AE842+AE828+AE821+AE795</f>
        <v>633750</v>
      </c>
      <c r="AF843" s="49">
        <f>AF842+AF828+AF821+AF795</f>
        <v>46200</v>
      </c>
      <c r="AH843" s="49">
        <f>AH842+AH828+AH821+AH795</f>
        <v>616549.56180000002</v>
      </c>
      <c r="AJ843" s="49">
        <f>AJ842+AJ828+AJ821+AJ795</f>
        <v>619349.97865399998</v>
      </c>
      <c r="AL843" s="49">
        <f>AL842+AL828+AL821+AL795</f>
        <v>627219.06751362002</v>
      </c>
      <c r="AN843" s="49">
        <f>AN842+AN828+AN821+AN795</f>
        <v>640844.43351402867</v>
      </c>
      <c r="AO843" s="49"/>
      <c r="AP843" s="49">
        <f>AP842+AP828+AP821+AP795</f>
        <v>654777.84019319946</v>
      </c>
      <c r="AR843" s="49">
        <f>AR842+AR828+AR821+AR795</f>
        <v>675281.777756433</v>
      </c>
      <c r="AT843" s="49">
        <f>AT842+AT828+AT821+AT795</f>
        <v>690374.98856443551</v>
      </c>
      <c r="AV843" s="49">
        <f>AV842+AV828+AV821+AV795</f>
        <v>712076.85857044335</v>
      </c>
      <c r="AX843" s="49">
        <f>AX842+AX828+AX821+AX795</f>
        <v>728657.44069408521</v>
      </c>
      <c r="AZ843" s="49">
        <f>AZ842+AZ828+AZ821+AZ795</f>
        <v>752637.47909976286</v>
      </c>
    </row>
    <row r="844" spans="1:53" ht="9.75" customHeight="1" thickTop="1" thickBot="1" x14ac:dyDescent="0.3">
      <c r="A844" s="3"/>
      <c r="B844" s="3"/>
      <c r="D844" s="3"/>
      <c r="E844" s="3"/>
      <c r="F844" s="3"/>
      <c r="H844" s="3"/>
      <c r="I844" s="3"/>
      <c r="J844" s="3"/>
      <c r="K844" s="3"/>
      <c r="L844" s="3"/>
      <c r="N844" s="3"/>
      <c r="P844" s="3"/>
      <c r="R844" s="3"/>
      <c r="S844" s="3"/>
      <c r="T844" s="3"/>
      <c r="U844" s="3"/>
      <c r="V844" s="3"/>
      <c r="W844" s="3"/>
      <c r="X844" s="3"/>
      <c r="Y844" s="3"/>
      <c r="Z844" s="3"/>
      <c r="AC844" s="3"/>
      <c r="AD844" s="3"/>
      <c r="AE844" s="3"/>
      <c r="AF844" s="3"/>
      <c r="AH844" s="3"/>
      <c r="AJ844" s="3"/>
      <c r="AL844" s="3"/>
      <c r="AN844" s="3"/>
      <c r="AO844" s="3"/>
      <c r="AP844" s="3"/>
      <c r="AR844" s="3"/>
      <c r="AT844" s="3"/>
      <c r="AV844" s="3"/>
      <c r="AX844" s="3"/>
      <c r="AZ844" s="3"/>
      <c r="BA844" s="42"/>
    </row>
    <row r="845" spans="1:53" ht="16.5" thickTop="1" thickBot="1" x14ac:dyDescent="0.3">
      <c r="A845" s="7" t="s">
        <v>600</v>
      </c>
      <c r="B845" s="65">
        <f>B843+B790+B681+B678+B611+B557+B532+B504+B472</f>
        <v>9432799</v>
      </c>
      <c r="C845" s="32"/>
      <c r="D845" s="65">
        <f>D843+D790+D681+D678+D611+D557+D532+D504+D472</f>
        <v>2149817</v>
      </c>
      <c r="E845" s="65">
        <f>E843+E790+E681+E678+E611+E557+E532+E504+E472</f>
        <v>8187132</v>
      </c>
      <c r="F845" s="65">
        <f>F843+F790+F681+F678+F611+F557+F532+F504+F472</f>
        <v>10336946</v>
      </c>
      <c r="G845" s="32"/>
      <c r="H845" s="65">
        <f>H843+H790+H681+H678+H611+H557+H532+H504+H472</f>
        <v>906145</v>
      </c>
      <c r="I845" s="36"/>
      <c r="J845" s="65">
        <f>J843+J790+J681+J678+J611+J557+J532+J504+J472</f>
        <v>4922292</v>
      </c>
      <c r="K845" s="65">
        <f>K843+K790+K681+K678+K611+K557+K532+K504+K472</f>
        <v>5102687</v>
      </c>
      <c r="L845" s="65">
        <f>L843+L790+L681+L678+L611+L557+L532+L504+L472</f>
        <v>10112378</v>
      </c>
      <c r="M845" s="32"/>
      <c r="N845" s="65">
        <f>N843+N790+N681+N678+N611+N557+N532+N504+N472</f>
        <v>-84018</v>
      </c>
      <c r="P845" s="65">
        <f>P843+P790+P681+P678+P611+P557+P532+P504+P472</f>
        <v>9583693.9279999994</v>
      </c>
      <c r="R845" s="65">
        <f t="shared" ref="R845:W845" si="480">R843+R790+R681+R678+R611+R557+R532+R504+R472</f>
        <v>2066467</v>
      </c>
      <c r="S845" s="65">
        <f t="shared" si="480"/>
        <v>7703180.5571074998</v>
      </c>
      <c r="T845" s="65">
        <f t="shared" si="480"/>
        <v>9769648.5571075007</v>
      </c>
      <c r="U845" s="65" t="e">
        <f t="shared" si="480"/>
        <v>#VALUE!</v>
      </c>
      <c r="V845" s="65">
        <f t="shared" si="480"/>
        <v>4357450</v>
      </c>
      <c r="W845" s="65">
        <f t="shared" si="480"/>
        <v>5748263</v>
      </c>
      <c r="X845" s="65"/>
      <c r="Y845" s="65">
        <f>Y843+Y790+Y681+Y678+Y611+Y557+Y532+Y504+Y472</f>
        <v>10106764</v>
      </c>
      <c r="Z845" s="65">
        <f>Z843+Z790+Z681+Z678+Z611+Z557+Z532+Z504+Z472</f>
        <v>337114.44289250002</v>
      </c>
      <c r="AC845" s="65">
        <f>AC843+AC790+AC681+AC678+AC611+AC557+AC532+AC504+AC472</f>
        <v>6158898</v>
      </c>
      <c r="AD845" s="65">
        <f>AD843+AD790+AD681+AD678+AD611+AD557+AD532+AD504+AD472</f>
        <v>3968115</v>
      </c>
      <c r="AE845" s="65">
        <f>AE843+AE790+AE681+AE678+AE611+AE557+AE532+AE504+AE472</f>
        <v>10127014</v>
      </c>
      <c r="AF845" s="65">
        <f>AF843+AF790+AF681+AF678+AF611+AF557+AF532+AF504+AF472</f>
        <v>20249</v>
      </c>
      <c r="AH845" s="65">
        <f>AH843+AH790+AH681+AH678+AH611+AH557+AH532+AH504+AH472</f>
        <v>11179806.910800001</v>
      </c>
      <c r="AJ845" s="65">
        <f>AJ843+AJ790+AJ681+AJ678+AJ611+AJ557+AJ532+AJ504+AJ472</f>
        <v>7398326.5693990011</v>
      </c>
      <c r="AL845" s="65">
        <f>AL843+AL790+AL681+AL678+AL611+AL557+AL532+AL504+AL472</f>
        <v>7649554.2615115466</v>
      </c>
      <c r="AN845" s="65">
        <f>AN843+AN790+AN681+AN678+AN611+AN557+AN532+AN504+AN472</f>
        <v>7814214.0318514518</v>
      </c>
      <c r="AO845" s="65"/>
      <c r="AP845" s="65">
        <f>AP843+AP790+AP681+AP678+AP611+AP557+AP532+AP504+AP472</f>
        <v>7937934.9903156627</v>
      </c>
      <c r="AR845" s="65">
        <f>AR843+AR790+AR681+AR678+AR611+AR557+AR532+AR504+AR472</f>
        <v>8213432.9309608378</v>
      </c>
      <c r="AT845" s="65">
        <f>AT843+AT790+AT681+AT678+AT611+AT557+AT532+AT504+AT472</f>
        <v>8211534.7053512242</v>
      </c>
      <c r="AV845" s="65">
        <f>AV843+AV790+AV681+AV678+AV611+AV557+AV532+AV504+AV472</f>
        <v>8490950.4739840925</v>
      </c>
      <c r="AX845" s="65">
        <f>AX843+AX790+AX681+AX678+AX611+AX557+AX532+AX504+AX472</f>
        <v>8567610.906329412</v>
      </c>
      <c r="AZ845" s="65">
        <f>AZ843+AZ790+AZ681+AZ678+AZ611+AZ557+AZ532+AZ504+AZ472</f>
        <v>8796567.5835316647</v>
      </c>
    </row>
    <row r="846" spans="1:53" s="42" customFormat="1" ht="12" customHeight="1" thickTop="1" thickBot="1" x14ac:dyDescent="0.3">
      <c r="A846" s="7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"/>
      <c r="P846" s="32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2"/>
      <c r="AI846" s="3"/>
      <c r="AJ846" s="32"/>
      <c r="AK846" s="3"/>
      <c r="AL846" s="32"/>
      <c r="AM846" s="3"/>
      <c r="AN846" s="32"/>
      <c r="AO846" s="32"/>
      <c r="AP846" s="32"/>
      <c r="AR846" s="32"/>
      <c r="AT846" s="32"/>
      <c r="AV846" s="32"/>
      <c r="AX846" s="32"/>
      <c r="AZ846" s="32"/>
      <c r="BA846" s="6"/>
    </row>
    <row r="847" spans="1:53" x14ac:dyDescent="0.25">
      <c r="A847" s="3"/>
      <c r="B847" s="8" t="s">
        <v>8</v>
      </c>
      <c r="C847" s="9"/>
      <c r="D847" s="10" t="s">
        <v>9</v>
      </c>
      <c r="E847" s="11" t="s">
        <v>10</v>
      </c>
      <c r="F847" s="12" t="s">
        <v>11</v>
      </c>
      <c r="G847" s="9"/>
      <c r="H847" s="8" t="s">
        <v>12</v>
      </c>
      <c r="I847" s="13"/>
      <c r="J847" s="10" t="s">
        <v>9</v>
      </c>
      <c r="K847" s="11" t="s">
        <v>10</v>
      </c>
      <c r="L847" s="11" t="s">
        <v>11</v>
      </c>
      <c r="M847" s="9"/>
      <c r="N847" s="12" t="s">
        <v>12</v>
      </c>
      <c r="P847" s="8" t="s">
        <v>8</v>
      </c>
      <c r="R847" s="14" t="s">
        <v>9</v>
      </c>
      <c r="S847" s="15" t="s">
        <v>10</v>
      </c>
      <c r="T847" s="16" t="s">
        <v>11</v>
      </c>
      <c r="U847" s="17" t="s">
        <v>13</v>
      </c>
      <c r="V847" s="14" t="s">
        <v>9</v>
      </c>
      <c r="W847" s="15" t="s">
        <v>10</v>
      </c>
      <c r="X847" s="15"/>
      <c r="Y847" s="16" t="s">
        <v>11</v>
      </c>
      <c r="Z847" s="17" t="s">
        <v>13</v>
      </c>
      <c r="AC847" s="14" t="s">
        <v>9</v>
      </c>
      <c r="AD847" s="15" t="s">
        <v>10</v>
      </c>
      <c r="AE847" s="16" t="s">
        <v>11</v>
      </c>
      <c r="AF847" s="17" t="s">
        <v>13</v>
      </c>
      <c r="AH847" s="8" t="s">
        <v>8</v>
      </c>
      <c r="AJ847" s="8" t="s">
        <v>8</v>
      </c>
      <c r="AL847" s="8" t="s">
        <v>8</v>
      </c>
      <c r="AN847" s="8" t="s">
        <v>8</v>
      </c>
      <c r="AO847" s="8"/>
      <c r="AP847" s="8" t="s">
        <v>8</v>
      </c>
      <c r="AR847" s="8" t="s">
        <v>8</v>
      </c>
      <c r="AT847" s="8" t="s">
        <v>8</v>
      </c>
      <c r="AV847" s="8" t="s">
        <v>8</v>
      </c>
      <c r="AX847" s="8" t="s">
        <v>8</v>
      </c>
      <c r="AZ847" s="8" t="s">
        <v>8</v>
      </c>
    </row>
    <row r="848" spans="1:53" ht="15.75" thickBot="1" x14ac:dyDescent="0.3">
      <c r="A848" s="3"/>
      <c r="B848" s="19" t="s">
        <v>14</v>
      </c>
      <c r="C848" s="9"/>
      <c r="D848" s="20" t="s">
        <v>15</v>
      </c>
      <c r="E848" s="21"/>
      <c r="F848" s="22" t="s">
        <v>16</v>
      </c>
      <c r="G848" s="9"/>
      <c r="H848" s="19"/>
      <c r="I848" s="13"/>
      <c r="J848" s="20" t="s">
        <v>17</v>
      </c>
      <c r="K848" s="21"/>
      <c r="L848" s="21" t="s">
        <v>16</v>
      </c>
      <c r="M848" s="9"/>
      <c r="N848" s="22"/>
      <c r="P848" s="19" t="s">
        <v>18</v>
      </c>
      <c r="R848" s="23" t="s">
        <v>19</v>
      </c>
      <c r="S848" s="24"/>
      <c r="T848" s="25" t="s">
        <v>20</v>
      </c>
      <c r="U848" s="26"/>
      <c r="V848" s="23" t="s">
        <v>21</v>
      </c>
      <c r="W848" s="24"/>
      <c r="X848" s="24"/>
      <c r="Y848" s="25" t="s">
        <v>21</v>
      </c>
      <c r="Z848" s="26"/>
      <c r="AC848" s="23" t="s">
        <v>22</v>
      </c>
      <c r="AD848" s="24"/>
      <c r="AE848" s="25" t="s">
        <v>23</v>
      </c>
      <c r="AF848" s="26"/>
      <c r="AH848" s="19" t="s">
        <v>24</v>
      </c>
      <c r="AJ848" s="19" t="s">
        <v>25</v>
      </c>
      <c r="AL848" s="19" t="s">
        <v>26</v>
      </c>
      <c r="AN848" s="19" t="s">
        <v>27</v>
      </c>
      <c r="AO848" s="19"/>
      <c r="AP848" s="19" t="s">
        <v>28</v>
      </c>
      <c r="AR848" s="19" t="s">
        <v>29</v>
      </c>
      <c r="AT848" s="19" t="s">
        <v>30</v>
      </c>
      <c r="AV848" s="19" t="s">
        <v>31</v>
      </c>
      <c r="AX848" s="19" t="str">
        <f>AX17</f>
        <v>2021-22</v>
      </c>
      <c r="AZ848" s="19" t="str">
        <f>AZ17</f>
        <v>2022-23</v>
      </c>
    </row>
    <row r="849" spans="1:53" x14ac:dyDescent="0.25">
      <c r="A849" s="28" t="s">
        <v>601</v>
      </c>
      <c r="BA849" s="77"/>
    </row>
    <row r="850" spans="1:53" x14ac:dyDescent="0.25">
      <c r="A850" s="3" t="s">
        <v>396</v>
      </c>
      <c r="B850" s="5">
        <v>500000</v>
      </c>
      <c r="D850" s="5">
        <v>331616</v>
      </c>
      <c r="E850" s="3">
        <f t="shared" ref="E850:E913" si="481">F850-D850</f>
        <v>168384</v>
      </c>
      <c r="F850" s="5">
        <v>500000</v>
      </c>
      <c r="H850" s="5">
        <f t="shared" ref="H850:H913" si="482">F850-B850</f>
        <v>0</v>
      </c>
      <c r="J850" s="5">
        <v>347646</v>
      </c>
      <c r="K850" s="4">
        <f t="shared" ref="K850:K913" si="483">L850-J850</f>
        <v>152354</v>
      </c>
      <c r="L850" s="4">
        <v>500000</v>
      </c>
      <c r="N850" s="4">
        <f t="shared" ref="N850:N913" si="484">L850-F850</f>
        <v>0</v>
      </c>
      <c r="P850" s="3">
        <v>467000</v>
      </c>
      <c r="Q850" s="3"/>
      <c r="R850" s="3">
        <v>81259</v>
      </c>
      <c r="S850" s="3">
        <f t="shared" ref="S850:S916" si="485">T850-R850</f>
        <v>385741</v>
      </c>
      <c r="T850" s="3">
        <v>467000</v>
      </c>
      <c r="U850" s="3">
        <f t="shared" ref="U850:U916" si="486">T850-P850</f>
        <v>0</v>
      </c>
      <c r="V850" s="3">
        <f>443915-174912</f>
        <v>269003</v>
      </c>
      <c r="W850" s="3">
        <f t="shared" ref="W850:W916" si="487">Y850-V850</f>
        <v>197997</v>
      </c>
      <c r="X850" s="3"/>
      <c r="Y850" s="3">
        <v>467000</v>
      </c>
      <c r="Z850" s="3">
        <f t="shared" ref="Z850:Z913" si="488">Y850-T850</f>
        <v>0</v>
      </c>
      <c r="AA850" s="3"/>
      <c r="AB850" s="3"/>
      <c r="AC850" s="3">
        <v>343965</v>
      </c>
      <c r="AD850" s="3">
        <f t="shared" ref="AD850:AD916" si="489">AE850-AC850</f>
        <v>123035</v>
      </c>
      <c r="AE850" s="3">
        <v>467000</v>
      </c>
      <c r="AF850" s="3">
        <f t="shared" ref="AF850:AF916" si="490">AE850-Y850</f>
        <v>0</v>
      </c>
      <c r="AG850" s="3"/>
      <c r="AH850" s="3">
        <v>407512</v>
      </c>
      <c r="AI850" s="3"/>
      <c r="AJ850" s="3">
        <v>474066</v>
      </c>
      <c r="AK850" s="3"/>
      <c r="AL850" s="3">
        <v>176664</v>
      </c>
      <c r="AM850" s="3"/>
      <c r="AN850" s="3">
        <v>338307</v>
      </c>
      <c r="AO850" s="3"/>
      <c r="AP850" s="3">
        <v>440779</v>
      </c>
      <c r="AQ850" s="42"/>
      <c r="AR850" s="3">
        <v>493321</v>
      </c>
      <c r="AS850" s="42"/>
      <c r="AT850" s="3">
        <v>245934</v>
      </c>
      <c r="AU850" s="42"/>
      <c r="AV850" s="3">
        <v>548620</v>
      </c>
      <c r="AW850" s="42"/>
      <c r="AX850" s="3">
        <v>361382</v>
      </c>
      <c r="AY850" s="42"/>
      <c r="AZ850" s="3">
        <v>361382</v>
      </c>
    </row>
    <row r="851" spans="1:53" s="77" customFormat="1" x14ac:dyDescent="0.25">
      <c r="A851" s="29" t="s">
        <v>602</v>
      </c>
      <c r="B851" s="29"/>
      <c r="C851" s="3"/>
      <c r="D851" s="29"/>
      <c r="E851" s="3">
        <f t="shared" si="481"/>
        <v>0</v>
      </c>
      <c r="F851" s="29"/>
      <c r="G851" s="3"/>
      <c r="H851" s="5">
        <f t="shared" si="482"/>
        <v>0</v>
      </c>
      <c r="I851" s="5"/>
      <c r="J851" s="5"/>
      <c r="K851" s="4">
        <f t="shared" si="483"/>
        <v>0</v>
      </c>
      <c r="L851" s="4"/>
      <c r="M851" s="4"/>
      <c r="N851" s="4">
        <f t="shared" si="484"/>
        <v>0</v>
      </c>
      <c r="O851" s="3"/>
      <c r="P851" s="3"/>
      <c r="Q851" s="3"/>
      <c r="R851" s="3"/>
      <c r="S851" s="3">
        <f t="shared" si="485"/>
        <v>0</v>
      </c>
      <c r="T851" s="3"/>
      <c r="U851" s="3">
        <f t="shared" si="486"/>
        <v>0</v>
      </c>
      <c r="V851" s="3"/>
      <c r="W851" s="3">
        <f t="shared" si="487"/>
        <v>0</v>
      </c>
      <c r="X851" s="3"/>
      <c r="Y851" s="3"/>
      <c r="Z851" s="3">
        <f t="shared" si="488"/>
        <v>0</v>
      </c>
      <c r="AA851" s="3"/>
      <c r="AB851" s="3"/>
      <c r="AC851" s="3"/>
      <c r="AD851" s="3">
        <f t="shared" si="489"/>
        <v>0</v>
      </c>
      <c r="AE851" s="3"/>
      <c r="AF851" s="3">
        <f t="shared" si="490"/>
        <v>0</v>
      </c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42"/>
      <c r="AR851" s="3"/>
      <c r="AS851" s="42"/>
      <c r="AT851" s="3"/>
      <c r="AU851" s="42"/>
      <c r="AV851" s="3"/>
      <c r="AW851" s="42"/>
      <c r="AX851" s="3"/>
      <c r="AY851" s="42"/>
      <c r="AZ851" s="3"/>
    </row>
    <row r="852" spans="1:53" x14ac:dyDescent="0.25">
      <c r="A852" s="3" t="s">
        <v>603</v>
      </c>
      <c r="E852" s="3">
        <f t="shared" si="481"/>
        <v>0</v>
      </c>
      <c r="H852" s="5">
        <f t="shared" si="482"/>
        <v>0</v>
      </c>
      <c r="K852" s="4">
        <f t="shared" si="483"/>
        <v>0</v>
      </c>
      <c r="L852" s="4"/>
      <c r="N852" s="4">
        <f t="shared" si="484"/>
        <v>0</v>
      </c>
      <c r="P852" s="3"/>
      <c r="Q852" s="3"/>
      <c r="R852" s="3"/>
      <c r="S852" s="3">
        <f t="shared" si="485"/>
        <v>0</v>
      </c>
      <c r="T852" s="3"/>
      <c r="U852" s="3">
        <f t="shared" si="486"/>
        <v>0</v>
      </c>
      <c r="V852" s="3"/>
      <c r="W852" s="3">
        <f t="shared" si="487"/>
        <v>0</v>
      </c>
      <c r="X852" s="3"/>
      <c r="Y852" s="3"/>
      <c r="Z852" s="3">
        <f t="shared" si="488"/>
        <v>0</v>
      </c>
      <c r="AA852" s="3"/>
      <c r="AB852" s="3"/>
      <c r="AC852" s="3"/>
      <c r="AD852" s="3">
        <f t="shared" si="489"/>
        <v>0</v>
      </c>
      <c r="AE852" s="3"/>
      <c r="AF852" s="3">
        <f t="shared" si="490"/>
        <v>0</v>
      </c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42"/>
      <c r="AR852" s="3"/>
      <c r="AS852" s="42"/>
      <c r="AT852" s="3"/>
      <c r="AU852" s="42"/>
      <c r="AV852" s="3"/>
      <c r="AW852" s="42"/>
      <c r="AX852" s="3"/>
      <c r="AY852" s="42"/>
      <c r="AZ852" s="3"/>
      <c r="BA852" s="77"/>
    </row>
    <row r="853" spans="1:53" s="77" customFormat="1" x14ac:dyDescent="0.25">
      <c r="A853" s="29" t="s">
        <v>604</v>
      </c>
      <c r="B853" s="29"/>
      <c r="C853" s="3"/>
      <c r="D853" s="29"/>
      <c r="E853" s="3">
        <f t="shared" si="481"/>
        <v>0</v>
      </c>
      <c r="F853" s="29"/>
      <c r="G853" s="3"/>
      <c r="H853" s="5">
        <f t="shared" si="482"/>
        <v>0</v>
      </c>
      <c r="I853" s="5"/>
      <c r="J853" s="5"/>
      <c r="K853" s="4">
        <f t="shared" si="483"/>
        <v>0</v>
      </c>
      <c r="L853" s="4"/>
      <c r="M853" s="4"/>
      <c r="N853" s="4">
        <f t="shared" si="484"/>
        <v>0</v>
      </c>
      <c r="O853" s="3"/>
      <c r="P853" s="3"/>
      <c r="Q853" s="3"/>
      <c r="R853" s="3"/>
      <c r="S853" s="3">
        <f t="shared" si="485"/>
        <v>0</v>
      </c>
      <c r="T853" s="3"/>
      <c r="U853" s="3">
        <f t="shared" si="486"/>
        <v>0</v>
      </c>
      <c r="V853" s="3"/>
      <c r="W853" s="3">
        <f t="shared" si="487"/>
        <v>0</v>
      </c>
      <c r="X853" s="3"/>
      <c r="Y853" s="3"/>
      <c r="Z853" s="3">
        <f t="shared" si="488"/>
        <v>0</v>
      </c>
      <c r="AA853" s="3"/>
      <c r="AB853" s="3"/>
      <c r="AC853" s="3"/>
      <c r="AD853" s="3">
        <f t="shared" si="489"/>
        <v>0</v>
      </c>
      <c r="AE853" s="3"/>
      <c r="AF853" s="3">
        <f t="shared" si="490"/>
        <v>0</v>
      </c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42"/>
      <c r="AR853" s="3"/>
      <c r="AS853" s="42"/>
      <c r="AT853" s="3"/>
      <c r="AU853" s="42"/>
      <c r="AV853" s="3"/>
      <c r="AW853" s="42"/>
      <c r="AX853" s="3"/>
      <c r="AY853" s="42"/>
      <c r="AZ853" s="3"/>
      <c r="BA853" s="6"/>
    </row>
    <row r="854" spans="1:53" s="77" customFormat="1" x14ac:dyDescent="0.25">
      <c r="A854" s="29" t="s">
        <v>605</v>
      </c>
      <c r="B854" s="29"/>
      <c r="C854" s="3"/>
      <c r="D854" s="29"/>
      <c r="E854" s="3"/>
      <c r="F854" s="29"/>
      <c r="G854" s="3"/>
      <c r="H854" s="5"/>
      <c r="I854" s="5"/>
      <c r="J854" s="5"/>
      <c r="K854" s="4"/>
      <c r="L854" s="4"/>
      <c r="M854" s="4"/>
      <c r="N854" s="4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>
        <v>25000</v>
      </c>
      <c r="AI854" s="3"/>
      <c r="AJ854" s="3"/>
      <c r="AK854" s="3"/>
      <c r="AL854" s="3"/>
      <c r="AM854" s="3"/>
      <c r="AN854" s="3">
        <v>25000</v>
      </c>
      <c r="AO854" s="3"/>
      <c r="AP854" s="3"/>
      <c r="AQ854" s="42"/>
      <c r="AR854" s="3"/>
      <c r="AS854" s="42"/>
      <c r="AT854" s="3">
        <v>25000</v>
      </c>
      <c r="AU854" s="42"/>
      <c r="AV854" s="3"/>
      <c r="AW854" s="42"/>
      <c r="AX854" s="3"/>
      <c r="AY854" s="42"/>
      <c r="AZ854" s="3"/>
    </row>
    <row r="855" spans="1:53" x14ac:dyDescent="0.25">
      <c r="A855" s="3" t="s">
        <v>606</v>
      </c>
      <c r="E855" s="3">
        <f t="shared" si="481"/>
        <v>0</v>
      </c>
      <c r="H855" s="5">
        <f t="shared" si="482"/>
        <v>0</v>
      </c>
      <c r="K855" s="4">
        <f t="shared" si="483"/>
        <v>0</v>
      </c>
      <c r="L855" s="4"/>
      <c r="N855" s="4">
        <f t="shared" si="484"/>
        <v>0</v>
      </c>
      <c r="P855" s="3"/>
      <c r="Q855" s="3"/>
      <c r="R855" s="3"/>
      <c r="S855" s="3">
        <f t="shared" si="485"/>
        <v>0</v>
      </c>
      <c r="T855" s="3"/>
      <c r="U855" s="3">
        <f t="shared" si="486"/>
        <v>0</v>
      </c>
      <c r="V855" s="3"/>
      <c r="W855" s="3">
        <f t="shared" si="487"/>
        <v>0</v>
      </c>
      <c r="X855" s="3"/>
      <c r="Y855" s="3"/>
      <c r="Z855" s="3">
        <f t="shared" si="488"/>
        <v>0</v>
      </c>
      <c r="AA855" s="3"/>
      <c r="AB855" s="3"/>
      <c r="AC855" s="3"/>
      <c r="AD855" s="3">
        <f t="shared" si="489"/>
        <v>0</v>
      </c>
      <c r="AE855" s="3"/>
      <c r="AF855" s="3">
        <f t="shared" si="490"/>
        <v>0</v>
      </c>
      <c r="AG855" s="3"/>
      <c r="AH855" s="3">
        <v>15000</v>
      </c>
      <c r="AI855" s="3"/>
      <c r="AJ855" s="3"/>
      <c r="AK855" s="3"/>
      <c r="AL855" s="3"/>
      <c r="AM855" s="3"/>
      <c r="AN855" s="3">
        <v>15000</v>
      </c>
      <c r="AO855" s="3"/>
      <c r="AP855" s="3"/>
      <c r="AQ855" s="42"/>
      <c r="AR855" s="3"/>
      <c r="AS855" s="42"/>
      <c r="AT855" s="3">
        <v>15000</v>
      </c>
      <c r="AU855" s="42"/>
      <c r="AV855" s="3"/>
      <c r="AW855" s="42"/>
      <c r="AX855" s="3"/>
      <c r="AY855" s="42"/>
      <c r="AZ855" s="3"/>
    </row>
    <row r="856" spans="1:53" s="77" customFormat="1" x14ac:dyDescent="0.25">
      <c r="A856" s="29" t="s">
        <v>607</v>
      </c>
      <c r="B856" s="29"/>
      <c r="C856" s="3"/>
      <c r="D856" s="29"/>
      <c r="E856" s="3">
        <f t="shared" si="481"/>
        <v>0</v>
      </c>
      <c r="F856" s="29"/>
      <c r="G856" s="3"/>
      <c r="H856" s="5">
        <f t="shared" si="482"/>
        <v>0</v>
      </c>
      <c r="I856" s="5"/>
      <c r="J856" s="5"/>
      <c r="K856" s="4">
        <f t="shared" si="483"/>
        <v>0</v>
      </c>
      <c r="L856" s="4"/>
      <c r="M856" s="4"/>
      <c r="N856" s="4">
        <f t="shared" si="484"/>
        <v>0</v>
      </c>
      <c r="O856" s="3"/>
      <c r="P856" s="3"/>
      <c r="Q856" s="3"/>
      <c r="R856" s="3"/>
      <c r="S856" s="3">
        <f t="shared" si="485"/>
        <v>0</v>
      </c>
      <c r="T856" s="3"/>
      <c r="U856" s="3">
        <f t="shared" si="486"/>
        <v>0</v>
      </c>
      <c r="V856" s="3"/>
      <c r="W856" s="3">
        <f t="shared" si="487"/>
        <v>0</v>
      </c>
      <c r="X856" s="3"/>
      <c r="Y856" s="3"/>
      <c r="Z856" s="3">
        <f t="shared" si="488"/>
        <v>0</v>
      </c>
      <c r="AA856" s="3"/>
      <c r="AB856" s="3"/>
      <c r="AC856" s="3"/>
      <c r="AD856" s="3">
        <f t="shared" si="489"/>
        <v>0</v>
      </c>
      <c r="AE856" s="3"/>
      <c r="AF856" s="3">
        <f t="shared" si="490"/>
        <v>0</v>
      </c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42"/>
      <c r="AR856" s="3"/>
      <c r="AS856" s="42"/>
      <c r="AT856" s="3"/>
      <c r="AU856" s="42"/>
      <c r="AV856" s="3"/>
      <c r="AW856" s="42"/>
      <c r="AX856" s="3"/>
      <c r="AY856" s="42"/>
      <c r="AZ856" s="3"/>
      <c r="BA856" s="6"/>
    </row>
    <row r="857" spans="1:53" x14ac:dyDescent="0.25">
      <c r="A857" s="3" t="s">
        <v>608</v>
      </c>
      <c r="B857" s="5">
        <v>24000</v>
      </c>
      <c r="E857" s="3">
        <f t="shared" si="481"/>
        <v>24000</v>
      </c>
      <c r="F857" s="5">
        <v>24000</v>
      </c>
      <c r="H857" s="5">
        <f t="shared" si="482"/>
        <v>0</v>
      </c>
      <c r="J857" s="5">
        <v>0</v>
      </c>
      <c r="K857" s="4">
        <f t="shared" si="483"/>
        <v>24000</v>
      </c>
      <c r="L857" s="4">
        <v>24000</v>
      </c>
      <c r="N857" s="4">
        <f t="shared" si="484"/>
        <v>0</v>
      </c>
      <c r="P857" s="3"/>
      <c r="Q857" s="3"/>
      <c r="R857" s="3"/>
      <c r="S857" s="3">
        <f t="shared" si="485"/>
        <v>0</v>
      </c>
      <c r="T857" s="3"/>
      <c r="U857" s="3">
        <f t="shared" si="486"/>
        <v>0</v>
      </c>
      <c r="V857" s="3"/>
      <c r="W857" s="3">
        <f t="shared" si="487"/>
        <v>0</v>
      </c>
      <c r="X857" s="3"/>
      <c r="Y857" s="3"/>
      <c r="Z857" s="3">
        <f t="shared" si="488"/>
        <v>0</v>
      </c>
      <c r="AA857" s="3"/>
      <c r="AB857" s="3"/>
      <c r="AC857" s="3"/>
      <c r="AD857" s="3">
        <f t="shared" si="489"/>
        <v>0</v>
      </c>
      <c r="AE857" s="3"/>
      <c r="AF857" s="3">
        <f t="shared" si="490"/>
        <v>0</v>
      </c>
      <c r="AG857" s="3"/>
      <c r="AH857" s="3"/>
      <c r="AI857" s="3"/>
      <c r="AJ857" s="3"/>
      <c r="AK857" s="3"/>
      <c r="AL857" s="3">
        <v>25000</v>
      </c>
      <c r="AM857" s="3"/>
      <c r="AN857" s="3"/>
      <c r="AO857" s="3"/>
      <c r="AP857" s="3"/>
      <c r="AQ857" s="42"/>
      <c r="AR857" s="3"/>
      <c r="AS857" s="42"/>
      <c r="AT857" s="3">
        <v>27000</v>
      </c>
      <c r="AU857" s="42"/>
      <c r="AV857" s="3"/>
      <c r="AW857" s="42"/>
      <c r="AX857" s="3"/>
      <c r="AY857" s="42"/>
      <c r="AZ857" s="3"/>
      <c r="BA857" s="77"/>
    </row>
    <row r="858" spans="1:53" x14ac:dyDescent="0.25">
      <c r="A858" s="3" t="s">
        <v>609</v>
      </c>
      <c r="B858" s="5">
        <v>6000</v>
      </c>
      <c r="E858" s="3">
        <f t="shared" si="481"/>
        <v>6000</v>
      </c>
      <c r="F858" s="5">
        <v>6000</v>
      </c>
      <c r="H858" s="5">
        <f t="shared" si="482"/>
        <v>0</v>
      </c>
      <c r="J858" s="5">
        <v>0</v>
      </c>
      <c r="K858" s="4">
        <f t="shared" si="483"/>
        <v>6000</v>
      </c>
      <c r="L858" s="4">
        <v>6000</v>
      </c>
      <c r="N858" s="4">
        <f t="shared" si="484"/>
        <v>0</v>
      </c>
      <c r="P858" s="3"/>
      <c r="Q858" s="3"/>
      <c r="R858" s="3"/>
      <c r="S858" s="3">
        <f t="shared" si="485"/>
        <v>0</v>
      </c>
      <c r="T858" s="3"/>
      <c r="U858" s="3">
        <f t="shared" si="486"/>
        <v>0</v>
      </c>
      <c r="V858" s="3"/>
      <c r="W858" s="3">
        <f t="shared" si="487"/>
        <v>0</v>
      </c>
      <c r="X858" s="3"/>
      <c r="Y858" s="3"/>
      <c r="Z858" s="3">
        <f t="shared" si="488"/>
        <v>0</v>
      </c>
      <c r="AA858" s="3"/>
      <c r="AB858" s="3"/>
      <c r="AC858" s="3"/>
      <c r="AD858" s="3">
        <f t="shared" si="489"/>
        <v>0</v>
      </c>
      <c r="AE858" s="3"/>
      <c r="AF858" s="3">
        <f t="shared" si="490"/>
        <v>0</v>
      </c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42"/>
      <c r="AR858" s="3"/>
      <c r="AS858" s="42"/>
      <c r="AT858" s="3"/>
      <c r="AU858" s="42"/>
      <c r="AV858" s="3"/>
      <c r="AW858" s="42"/>
      <c r="AX858" s="3"/>
      <c r="AY858" s="42"/>
      <c r="AZ858" s="3"/>
    </row>
    <row r="859" spans="1:53" s="77" customFormat="1" x14ac:dyDescent="0.25">
      <c r="A859" s="29" t="s">
        <v>610</v>
      </c>
      <c r="B859" s="29"/>
      <c r="C859" s="3"/>
      <c r="D859" s="29"/>
      <c r="E859" s="3">
        <f t="shared" si="481"/>
        <v>0</v>
      </c>
      <c r="F859" s="29"/>
      <c r="G859" s="3"/>
      <c r="H859" s="5">
        <f t="shared" si="482"/>
        <v>0</v>
      </c>
      <c r="I859" s="5"/>
      <c r="J859" s="5"/>
      <c r="K859" s="4">
        <f t="shared" si="483"/>
        <v>0</v>
      </c>
      <c r="L859" s="4"/>
      <c r="M859" s="4"/>
      <c r="N859" s="4">
        <f t="shared" si="484"/>
        <v>0</v>
      </c>
      <c r="O859" s="3"/>
      <c r="P859" s="3"/>
      <c r="Q859" s="3"/>
      <c r="R859" s="3"/>
      <c r="S859" s="3">
        <f t="shared" si="485"/>
        <v>0</v>
      </c>
      <c r="T859" s="3"/>
      <c r="U859" s="3">
        <f t="shared" si="486"/>
        <v>0</v>
      </c>
      <c r="V859" s="3"/>
      <c r="W859" s="3">
        <f t="shared" si="487"/>
        <v>0</v>
      </c>
      <c r="X859" s="3"/>
      <c r="Y859" s="3"/>
      <c r="Z859" s="3">
        <f t="shared" si="488"/>
        <v>0</v>
      </c>
      <c r="AA859" s="3"/>
      <c r="AB859" s="3"/>
      <c r="AC859" s="3"/>
      <c r="AD859" s="3">
        <f t="shared" si="489"/>
        <v>0</v>
      </c>
      <c r="AE859" s="3"/>
      <c r="AF859" s="3">
        <f t="shared" si="490"/>
        <v>0</v>
      </c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42"/>
      <c r="AR859" s="3"/>
      <c r="AS859" s="42"/>
      <c r="AT859" s="3"/>
      <c r="AU859" s="42"/>
      <c r="AV859" s="3"/>
      <c r="AW859" s="42"/>
      <c r="AX859" s="3"/>
      <c r="AY859" s="42"/>
      <c r="AZ859" s="3"/>
      <c r="BA859" s="6"/>
    </row>
    <row r="860" spans="1:53" x14ac:dyDescent="0.25">
      <c r="A860" s="3" t="s">
        <v>611</v>
      </c>
      <c r="E860" s="3">
        <f t="shared" si="481"/>
        <v>0</v>
      </c>
      <c r="H860" s="5">
        <f t="shared" si="482"/>
        <v>0</v>
      </c>
      <c r="K860" s="4">
        <f t="shared" si="483"/>
        <v>0</v>
      </c>
      <c r="L860" s="4"/>
      <c r="N860" s="4">
        <f t="shared" si="484"/>
        <v>0</v>
      </c>
      <c r="P860" s="3">
        <v>20000</v>
      </c>
      <c r="Q860" s="3"/>
      <c r="R860" s="3"/>
      <c r="S860" s="3">
        <f t="shared" si="485"/>
        <v>20000</v>
      </c>
      <c r="T860" s="3">
        <v>20000</v>
      </c>
      <c r="U860" s="3">
        <f t="shared" si="486"/>
        <v>0</v>
      </c>
      <c r="V860" s="3"/>
      <c r="W860" s="3">
        <f t="shared" si="487"/>
        <v>20000</v>
      </c>
      <c r="X860" s="3"/>
      <c r="Y860" s="3">
        <v>20000</v>
      </c>
      <c r="Z860" s="3">
        <f t="shared" si="488"/>
        <v>0</v>
      </c>
      <c r="AA860" s="3"/>
      <c r="AB860" s="3"/>
      <c r="AC860" s="3">
        <v>0</v>
      </c>
      <c r="AD860" s="3">
        <f t="shared" si="489"/>
        <v>20000</v>
      </c>
      <c r="AE860" s="3">
        <v>20000</v>
      </c>
      <c r="AF860" s="3">
        <f t="shared" si="490"/>
        <v>0</v>
      </c>
      <c r="AG860" s="3"/>
      <c r="AH860" s="3"/>
      <c r="AI860" s="3"/>
      <c r="AJ860" s="3"/>
      <c r="AK860" s="3"/>
      <c r="AL860" s="3">
        <v>22000</v>
      </c>
      <c r="AM860" s="3"/>
      <c r="AN860" s="3"/>
      <c r="AO860" s="3"/>
      <c r="AP860" s="3"/>
      <c r="AQ860" s="42"/>
      <c r="AR860" s="3">
        <v>24000</v>
      </c>
      <c r="AS860" s="42"/>
      <c r="AT860" s="3"/>
      <c r="AU860" s="42"/>
      <c r="AV860" s="3"/>
      <c r="AW860" s="42"/>
      <c r="AX860" s="3">
        <v>26000</v>
      </c>
      <c r="AY860" s="42"/>
      <c r="AZ860" s="3"/>
      <c r="BA860" s="77"/>
    </row>
    <row r="861" spans="1:53" x14ac:dyDescent="0.25">
      <c r="A861" s="3" t="s">
        <v>612</v>
      </c>
      <c r="B861" s="3"/>
      <c r="D861" s="3"/>
      <c r="E861" s="3">
        <f t="shared" si="481"/>
        <v>0</v>
      </c>
      <c r="F861" s="3"/>
      <c r="H861" s="5">
        <f t="shared" si="482"/>
        <v>0</v>
      </c>
      <c r="K861" s="4">
        <f t="shared" si="483"/>
        <v>0</v>
      </c>
      <c r="L861" s="4"/>
      <c r="N861" s="4">
        <f t="shared" si="484"/>
        <v>0</v>
      </c>
      <c r="P861" s="3"/>
      <c r="Q861" s="3"/>
      <c r="R861" s="3"/>
      <c r="S861" s="3">
        <f t="shared" si="485"/>
        <v>0</v>
      </c>
      <c r="T861" s="3"/>
      <c r="U861" s="3">
        <f t="shared" si="486"/>
        <v>0</v>
      </c>
      <c r="V861" s="3"/>
      <c r="W861" s="3">
        <f t="shared" si="487"/>
        <v>0</v>
      </c>
      <c r="X861" s="3"/>
      <c r="Y861" s="3"/>
      <c r="Z861" s="3">
        <f t="shared" si="488"/>
        <v>0</v>
      </c>
      <c r="AA861" s="3"/>
      <c r="AB861" s="3"/>
      <c r="AC861" s="3"/>
      <c r="AD861" s="3">
        <f t="shared" si="489"/>
        <v>0</v>
      </c>
      <c r="AE861" s="3"/>
      <c r="AF861" s="3">
        <f t="shared" si="490"/>
        <v>0</v>
      </c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42"/>
      <c r="AR861" s="3"/>
      <c r="AS861" s="42"/>
      <c r="AT861" s="3"/>
      <c r="AU861" s="42"/>
      <c r="AV861" s="3"/>
      <c r="AW861" s="42"/>
      <c r="AX861" s="3"/>
      <c r="AY861" s="42"/>
      <c r="AZ861" s="3"/>
    </row>
    <row r="862" spans="1:53" s="77" customFormat="1" x14ac:dyDescent="0.25">
      <c r="A862" s="3" t="s">
        <v>613</v>
      </c>
      <c r="B862" s="3"/>
      <c r="C862" s="3"/>
      <c r="D862" s="29"/>
      <c r="E862" s="3">
        <f t="shared" si="481"/>
        <v>0</v>
      </c>
      <c r="F862" s="29"/>
      <c r="G862" s="3"/>
      <c r="H862" s="5">
        <f t="shared" si="482"/>
        <v>0</v>
      </c>
      <c r="I862" s="5"/>
      <c r="J862" s="5"/>
      <c r="K862" s="4">
        <f t="shared" si="483"/>
        <v>0</v>
      </c>
      <c r="L862" s="4"/>
      <c r="M862" s="4"/>
      <c r="N862" s="4">
        <f t="shared" si="484"/>
        <v>0</v>
      </c>
      <c r="O862" s="3"/>
      <c r="P862" s="3">
        <v>10000</v>
      </c>
      <c r="Q862" s="3"/>
      <c r="R862" s="3"/>
      <c r="S862" s="3">
        <f t="shared" si="485"/>
        <v>10000</v>
      </c>
      <c r="T862" s="3">
        <v>10000</v>
      </c>
      <c r="U862" s="3">
        <f t="shared" si="486"/>
        <v>0</v>
      </c>
      <c r="V862" s="3"/>
      <c r="W862" s="3">
        <f t="shared" si="487"/>
        <v>10000</v>
      </c>
      <c r="X862" s="3"/>
      <c r="Y862" s="3">
        <v>10000</v>
      </c>
      <c r="Z862" s="3">
        <f t="shared" si="488"/>
        <v>0</v>
      </c>
      <c r="AA862" s="3"/>
      <c r="AB862" s="3"/>
      <c r="AC862" s="3">
        <v>0</v>
      </c>
      <c r="AD862" s="3">
        <f t="shared" si="489"/>
        <v>0</v>
      </c>
      <c r="AE862" s="3">
        <v>0</v>
      </c>
      <c r="AF862" s="3">
        <f t="shared" si="490"/>
        <v>-10000</v>
      </c>
      <c r="AG862" s="3"/>
      <c r="AH862" s="3">
        <f>P862*1.03</f>
        <v>10300</v>
      </c>
      <c r="AI862" s="3"/>
      <c r="AJ862" s="3">
        <f>AH862*1.0281</f>
        <v>10589.43</v>
      </c>
      <c r="AK862" s="3"/>
      <c r="AL862" s="3">
        <f>AJ862*1.0281</f>
        <v>10886.992983</v>
      </c>
      <c r="AM862" s="3"/>
      <c r="AN862" s="3">
        <f>AL862*1.0281</f>
        <v>11192.9174858223</v>
      </c>
      <c r="AO862" s="3"/>
      <c r="AP862" s="3">
        <f>AN862*1.0281</f>
        <v>11507.438467173906</v>
      </c>
      <c r="AQ862" s="42"/>
      <c r="AR862" s="3">
        <f>AP862*1.0281</f>
        <v>11830.797488101492</v>
      </c>
      <c r="AS862" s="42"/>
      <c r="AT862" s="3">
        <f>AR862*1.0281</f>
        <v>12163.242897517144</v>
      </c>
      <c r="AU862" s="42"/>
      <c r="AV862" s="3">
        <f>AT862*1.0281</f>
        <v>12505.030022937377</v>
      </c>
      <c r="AW862" s="42"/>
      <c r="AX862" s="3">
        <f>AV862*1.0281</f>
        <v>12856.421366581917</v>
      </c>
      <c r="AY862" s="42"/>
      <c r="AZ862" s="3">
        <f>AX862*1.0281</f>
        <v>13217.686806982869</v>
      </c>
    </row>
    <row r="863" spans="1:53" x14ac:dyDescent="0.25">
      <c r="A863" s="3" t="s">
        <v>614</v>
      </c>
      <c r="B863" s="3">
        <v>250000</v>
      </c>
      <c r="E863" s="3">
        <f t="shared" si="481"/>
        <v>266000</v>
      </c>
      <c r="F863" s="5">
        <v>266000</v>
      </c>
      <c r="H863" s="5">
        <f t="shared" si="482"/>
        <v>16000</v>
      </c>
      <c r="K863" s="4">
        <f t="shared" si="483"/>
        <v>266000</v>
      </c>
      <c r="L863" s="4">
        <v>266000</v>
      </c>
      <c r="N863" s="4">
        <f t="shared" si="484"/>
        <v>0</v>
      </c>
      <c r="P863" s="3"/>
      <c r="Q863" s="3"/>
      <c r="R863" s="3"/>
      <c r="S863" s="3">
        <f t="shared" si="485"/>
        <v>0</v>
      </c>
      <c r="T863" s="3"/>
      <c r="U863" s="3">
        <f t="shared" si="486"/>
        <v>0</v>
      </c>
      <c r="V863" s="3"/>
      <c r="W863" s="3">
        <f t="shared" si="487"/>
        <v>0</v>
      </c>
      <c r="X863" s="3"/>
      <c r="Y863" s="3"/>
      <c r="Z863" s="3">
        <f t="shared" si="488"/>
        <v>0</v>
      </c>
      <c r="AA863" s="3"/>
      <c r="AB863" s="3"/>
      <c r="AC863" s="3"/>
      <c r="AD863" s="3">
        <f t="shared" si="489"/>
        <v>0</v>
      </c>
      <c r="AE863" s="3"/>
      <c r="AF863" s="3">
        <f t="shared" si="490"/>
        <v>0</v>
      </c>
      <c r="AG863" s="3"/>
      <c r="AH863" s="3"/>
      <c r="AI863" s="3"/>
      <c r="AJ863" s="3"/>
      <c r="AK863" s="3"/>
      <c r="AL863" s="3"/>
      <c r="AM863" s="3"/>
      <c r="AN863" s="3"/>
      <c r="AO863" s="3"/>
      <c r="AP863" s="3">
        <v>135000</v>
      </c>
      <c r="AQ863" s="42"/>
      <c r="AR863" s="3"/>
      <c r="AS863" s="42"/>
      <c r="AT863" s="3"/>
      <c r="AU863" s="42"/>
      <c r="AV863" s="3"/>
      <c r="AW863" s="42"/>
      <c r="AX863" s="3"/>
      <c r="AY863" s="42"/>
      <c r="AZ863" s="3">
        <v>135000</v>
      </c>
    </row>
    <row r="864" spans="1:53" s="77" customFormat="1" x14ac:dyDescent="0.25">
      <c r="A864" s="3" t="s">
        <v>615</v>
      </c>
      <c r="B864" s="3"/>
      <c r="C864" s="3"/>
      <c r="D864" s="29"/>
      <c r="E864" s="3">
        <f t="shared" si="481"/>
        <v>0</v>
      </c>
      <c r="F864" s="29"/>
      <c r="G864" s="3"/>
      <c r="H864" s="5">
        <f t="shared" si="482"/>
        <v>0</v>
      </c>
      <c r="I864" s="5"/>
      <c r="J864" s="5"/>
      <c r="K864" s="4">
        <f t="shared" si="483"/>
        <v>0</v>
      </c>
      <c r="L864" s="4"/>
      <c r="M864" s="4"/>
      <c r="N864" s="4">
        <f t="shared" si="484"/>
        <v>0</v>
      </c>
      <c r="O864" s="3"/>
      <c r="P864" s="3"/>
      <c r="Q864" s="3"/>
      <c r="R864" s="3"/>
      <c r="S864" s="3">
        <f t="shared" si="485"/>
        <v>0</v>
      </c>
      <c r="T864" s="3"/>
      <c r="U864" s="3">
        <f t="shared" si="486"/>
        <v>0</v>
      </c>
      <c r="V864" s="3"/>
      <c r="W864" s="3">
        <f t="shared" si="487"/>
        <v>0</v>
      </c>
      <c r="X864" s="3"/>
      <c r="Y864" s="3"/>
      <c r="Z864" s="3">
        <f t="shared" si="488"/>
        <v>0</v>
      </c>
      <c r="AA864" s="3"/>
      <c r="AB864" s="3"/>
      <c r="AC864" s="3"/>
      <c r="AD864" s="3">
        <f t="shared" si="489"/>
        <v>0</v>
      </c>
      <c r="AE864" s="3"/>
      <c r="AF864" s="3">
        <f t="shared" si="490"/>
        <v>0</v>
      </c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42"/>
      <c r="AR864" s="3"/>
      <c r="AS864" s="42"/>
      <c r="AT864" s="3"/>
      <c r="AU864" s="42"/>
      <c r="AV864" s="3"/>
      <c r="AW864" s="42"/>
      <c r="AX864" s="3"/>
      <c r="AY864" s="42"/>
      <c r="AZ864" s="3"/>
    </row>
    <row r="865" spans="1:53" x14ac:dyDescent="0.25">
      <c r="A865" s="78" t="s">
        <v>616</v>
      </c>
      <c r="B865" s="3"/>
      <c r="E865" s="3">
        <f t="shared" si="481"/>
        <v>0</v>
      </c>
      <c r="H865" s="5">
        <f t="shared" si="482"/>
        <v>0</v>
      </c>
      <c r="K865" s="4">
        <f t="shared" si="483"/>
        <v>0</v>
      </c>
      <c r="L865" s="4"/>
      <c r="N865" s="4">
        <f t="shared" si="484"/>
        <v>0</v>
      </c>
      <c r="P865" s="3"/>
      <c r="Q865" s="3"/>
      <c r="R865" s="3"/>
      <c r="S865" s="3">
        <f t="shared" si="485"/>
        <v>0</v>
      </c>
      <c r="T865" s="3"/>
      <c r="U865" s="3">
        <f t="shared" si="486"/>
        <v>0</v>
      </c>
      <c r="V865" s="3"/>
      <c r="W865" s="3">
        <f t="shared" si="487"/>
        <v>0</v>
      </c>
      <c r="X865" s="3"/>
      <c r="Y865" s="3"/>
      <c r="Z865" s="3">
        <f t="shared" si="488"/>
        <v>0</v>
      </c>
      <c r="AA865" s="3"/>
      <c r="AB865" s="3"/>
      <c r="AC865" s="3"/>
      <c r="AD865" s="3">
        <f t="shared" si="489"/>
        <v>0</v>
      </c>
      <c r="AE865" s="3"/>
      <c r="AF865" s="3">
        <f t="shared" si="490"/>
        <v>0</v>
      </c>
      <c r="AG865" s="3"/>
      <c r="AH865" s="3"/>
      <c r="AI865" s="3"/>
      <c r="AJ865" s="3">
        <v>2000</v>
      </c>
      <c r="AK865" s="3"/>
      <c r="AL865" s="3">
        <v>2000</v>
      </c>
      <c r="AM865" s="3"/>
      <c r="AN865" s="3"/>
      <c r="AO865" s="3"/>
      <c r="AP865" s="3">
        <v>2000</v>
      </c>
      <c r="AQ865" s="42"/>
      <c r="AR865" s="3"/>
      <c r="AS865" s="42"/>
      <c r="AT865" s="3">
        <v>2000</v>
      </c>
      <c r="AU865" s="42"/>
      <c r="AV865" s="3"/>
      <c r="AW865" s="42"/>
      <c r="AX865" s="3">
        <v>2000</v>
      </c>
      <c r="AY865" s="42"/>
      <c r="AZ865" s="3">
        <v>2000</v>
      </c>
      <c r="BA865" s="77"/>
    </row>
    <row r="866" spans="1:53" s="77" customFormat="1" x14ac:dyDescent="0.25">
      <c r="A866" s="3" t="s">
        <v>617</v>
      </c>
      <c r="B866" s="3"/>
      <c r="C866" s="3"/>
      <c r="D866" s="29"/>
      <c r="E866" s="3">
        <f t="shared" si="481"/>
        <v>0</v>
      </c>
      <c r="F866" s="29"/>
      <c r="G866" s="3"/>
      <c r="H866" s="5">
        <f t="shared" si="482"/>
        <v>0</v>
      </c>
      <c r="I866" s="5"/>
      <c r="J866" s="5"/>
      <c r="K866" s="4">
        <f t="shared" si="483"/>
        <v>0</v>
      </c>
      <c r="L866" s="4"/>
      <c r="M866" s="4"/>
      <c r="N866" s="4">
        <f t="shared" si="484"/>
        <v>0</v>
      </c>
      <c r="O866" s="3"/>
      <c r="P866" s="3"/>
      <c r="Q866" s="3"/>
      <c r="R866" s="3"/>
      <c r="S866" s="3">
        <f t="shared" si="485"/>
        <v>0</v>
      </c>
      <c r="T866" s="3"/>
      <c r="U866" s="3">
        <f t="shared" si="486"/>
        <v>0</v>
      </c>
      <c r="V866" s="3"/>
      <c r="W866" s="3">
        <f t="shared" si="487"/>
        <v>0</v>
      </c>
      <c r="X866" s="3"/>
      <c r="Y866" s="3"/>
      <c r="Z866" s="3">
        <f t="shared" si="488"/>
        <v>0</v>
      </c>
      <c r="AA866" s="3"/>
      <c r="AB866" s="3"/>
      <c r="AC866" s="3"/>
      <c r="AD866" s="3">
        <f t="shared" si="489"/>
        <v>0</v>
      </c>
      <c r="AE866" s="3"/>
      <c r="AF866" s="3">
        <f t="shared" si="490"/>
        <v>0</v>
      </c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42"/>
      <c r="AR866" s="3"/>
      <c r="AS866" s="42"/>
      <c r="AT866" s="3"/>
      <c r="AU866" s="42"/>
      <c r="AV866" s="3"/>
      <c r="AW866" s="42"/>
      <c r="AX866" s="3"/>
      <c r="AY866" s="42"/>
      <c r="AZ866" s="3"/>
      <c r="BA866" s="6"/>
    </row>
    <row r="867" spans="1:53" s="77" customFormat="1" x14ac:dyDescent="0.25">
      <c r="A867" s="3" t="s">
        <v>618</v>
      </c>
      <c r="B867" s="3">
        <v>10000</v>
      </c>
      <c r="C867" s="3"/>
      <c r="D867" s="29"/>
      <c r="E867" s="3">
        <f t="shared" si="481"/>
        <v>10000</v>
      </c>
      <c r="F867" s="29">
        <v>10000</v>
      </c>
      <c r="G867" s="3"/>
      <c r="H867" s="5">
        <f t="shared" si="482"/>
        <v>0</v>
      </c>
      <c r="I867" s="5"/>
      <c r="J867" s="5">
        <v>9090</v>
      </c>
      <c r="K867" s="4">
        <f t="shared" si="483"/>
        <v>0</v>
      </c>
      <c r="L867" s="4">
        <v>9090</v>
      </c>
      <c r="M867" s="4"/>
      <c r="N867" s="4">
        <f t="shared" si="484"/>
        <v>-910</v>
      </c>
      <c r="O867" s="3"/>
      <c r="P867" s="3"/>
      <c r="Q867" s="3"/>
      <c r="R867" s="3"/>
      <c r="S867" s="3">
        <f t="shared" si="485"/>
        <v>0</v>
      </c>
      <c r="T867" s="3"/>
      <c r="U867" s="3">
        <f t="shared" si="486"/>
        <v>0</v>
      </c>
      <c r="V867" s="3"/>
      <c r="W867" s="3">
        <f t="shared" si="487"/>
        <v>0</v>
      </c>
      <c r="X867" s="3"/>
      <c r="Y867" s="3"/>
      <c r="Z867" s="3">
        <f t="shared" si="488"/>
        <v>0</v>
      </c>
      <c r="AA867" s="3"/>
      <c r="AB867" s="3"/>
      <c r="AC867" s="3"/>
      <c r="AD867" s="3">
        <f t="shared" si="489"/>
        <v>0</v>
      </c>
      <c r="AE867" s="3"/>
      <c r="AF867" s="3">
        <f t="shared" si="490"/>
        <v>0</v>
      </c>
      <c r="AG867" s="3"/>
      <c r="AH867" s="3"/>
      <c r="AI867" s="3"/>
      <c r="AJ867" s="3">
        <v>2500</v>
      </c>
      <c r="AK867" s="3"/>
      <c r="AL867" s="3"/>
      <c r="AM867" s="3"/>
      <c r="AN867" s="3"/>
      <c r="AO867" s="3"/>
      <c r="AP867" s="3"/>
      <c r="AQ867" s="42"/>
      <c r="AR867" s="3"/>
      <c r="AS867" s="42"/>
      <c r="AT867" s="3"/>
      <c r="AU867" s="42"/>
      <c r="AV867" s="3"/>
      <c r="AW867" s="42"/>
      <c r="AX867" s="3"/>
      <c r="AY867" s="42"/>
      <c r="AZ867" s="3"/>
    </row>
    <row r="868" spans="1:53" x14ac:dyDescent="0.25">
      <c r="A868" s="3" t="s">
        <v>619</v>
      </c>
      <c r="B868" s="3"/>
      <c r="E868" s="3">
        <f t="shared" si="481"/>
        <v>0</v>
      </c>
      <c r="H868" s="5">
        <f t="shared" si="482"/>
        <v>0</v>
      </c>
      <c r="K868" s="4">
        <f t="shared" si="483"/>
        <v>0</v>
      </c>
      <c r="L868" s="4"/>
      <c r="N868" s="4">
        <f t="shared" si="484"/>
        <v>0</v>
      </c>
      <c r="P868" s="3">
        <v>10000</v>
      </c>
      <c r="Q868" s="3"/>
      <c r="R868" s="3"/>
      <c r="S868" s="3">
        <f t="shared" si="485"/>
        <v>5000</v>
      </c>
      <c r="T868" s="3">
        <v>5000</v>
      </c>
      <c r="U868" s="3">
        <f t="shared" si="486"/>
        <v>-5000</v>
      </c>
      <c r="V868" s="3"/>
      <c r="W868" s="3">
        <f t="shared" si="487"/>
        <v>5000</v>
      </c>
      <c r="X868" s="3"/>
      <c r="Y868" s="3">
        <v>5000</v>
      </c>
      <c r="Z868" s="3">
        <f t="shared" si="488"/>
        <v>0</v>
      </c>
      <c r="AA868" s="3"/>
      <c r="AB868" s="3"/>
      <c r="AC868" s="3"/>
      <c r="AD868" s="3">
        <f t="shared" si="489"/>
        <v>5000</v>
      </c>
      <c r="AE868" s="3">
        <v>5000</v>
      </c>
      <c r="AF868" s="3">
        <f t="shared" si="490"/>
        <v>0</v>
      </c>
      <c r="AG868" s="3"/>
      <c r="AH868" s="3"/>
      <c r="AI868" s="3"/>
      <c r="AJ868" s="3">
        <v>10000</v>
      </c>
      <c r="AK868" s="3"/>
      <c r="AL868" s="3"/>
      <c r="AM868" s="3"/>
      <c r="AN868" s="3"/>
      <c r="AO868" s="3"/>
      <c r="AP868" s="3"/>
      <c r="AQ868" s="42"/>
      <c r="AR868" s="3"/>
      <c r="AS868" s="42"/>
      <c r="AT868" s="3"/>
      <c r="AU868" s="42"/>
      <c r="AV868" s="3"/>
      <c r="AW868" s="42"/>
      <c r="AX868" s="3"/>
      <c r="AY868" s="42"/>
      <c r="AZ868" s="3"/>
    </row>
    <row r="869" spans="1:53" s="77" customFormat="1" x14ac:dyDescent="0.25">
      <c r="A869" s="3" t="s">
        <v>620</v>
      </c>
      <c r="B869" s="3"/>
      <c r="C869" s="3"/>
      <c r="D869" s="29"/>
      <c r="E869" s="3">
        <f t="shared" si="481"/>
        <v>0</v>
      </c>
      <c r="F869" s="29"/>
      <c r="G869" s="3"/>
      <c r="H869" s="5">
        <f t="shared" si="482"/>
        <v>0</v>
      </c>
      <c r="I869" s="5"/>
      <c r="J869" s="5"/>
      <c r="K869" s="4">
        <f t="shared" si="483"/>
        <v>0</v>
      </c>
      <c r="L869" s="4"/>
      <c r="M869" s="4"/>
      <c r="N869" s="4">
        <f t="shared" si="484"/>
        <v>0</v>
      </c>
      <c r="O869" s="3"/>
      <c r="P869" s="3"/>
      <c r="Q869" s="3"/>
      <c r="R869" s="3"/>
      <c r="S869" s="3">
        <f t="shared" si="485"/>
        <v>0</v>
      </c>
      <c r="T869" s="3"/>
      <c r="U869" s="3">
        <f t="shared" si="486"/>
        <v>0</v>
      </c>
      <c r="V869" s="3"/>
      <c r="W869" s="3">
        <f t="shared" si="487"/>
        <v>0</v>
      </c>
      <c r="X869" s="3"/>
      <c r="Y869" s="3"/>
      <c r="Z869" s="3">
        <f t="shared" si="488"/>
        <v>0</v>
      </c>
      <c r="AA869" s="3"/>
      <c r="AB869" s="3"/>
      <c r="AC869" s="3"/>
      <c r="AD869" s="3">
        <f t="shared" si="489"/>
        <v>0</v>
      </c>
      <c r="AE869" s="3"/>
      <c r="AF869" s="3">
        <f t="shared" si="490"/>
        <v>0</v>
      </c>
      <c r="AG869" s="3"/>
      <c r="AH869" s="3"/>
      <c r="AI869" s="3"/>
      <c r="AJ869" s="3">
        <v>10000</v>
      </c>
      <c r="AK869" s="3"/>
      <c r="AL869" s="3"/>
      <c r="AM869" s="3"/>
      <c r="AN869" s="3"/>
      <c r="AO869" s="3"/>
      <c r="AP869" s="3"/>
      <c r="AQ869" s="42"/>
      <c r="AR869" s="3"/>
      <c r="AS869" s="42"/>
      <c r="AT869" s="3"/>
      <c r="AU869" s="42"/>
      <c r="AV869" s="3"/>
      <c r="AW869" s="42"/>
      <c r="AX869" s="3"/>
      <c r="AY869" s="42"/>
      <c r="AZ869" s="3"/>
      <c r="BA869" s="6"/>
    </row>
    <row r="870" spans="1:53" x14ac:dyDescent="0.25">
      <c r="A870" s="3" t="s">
        <v>621</v>
      </c>
      <c r="B870" s="3">
        <v>10000</v>
      </c>
      <c r="E870" s="3">
        <f t="shared" si="481"/>
        <v>10000</v>
      </c>
      <c r="F870" s="5">
        <v>10000</v>
      </c>
      <c r="H870" s="5">
        <f t="shared" si="482"/>
        <v>0</v>
      </c>
      <c r="K870" s="4">
        <f t="shared" si="483"/>
        <v>10000</v>
      </c>
      <c r="L870" s="4">
        <v>10000</v>
      </c>
      <c r="N870" s="4">
        <f t="shared" si="484"/>
        <v>0</v>
      </c>
      <c r="P870" s="3">
        <v>15000</v>
      </c>
      <c r="Q870" s="3"/>
      <c r="R870" s="3"/>
      <c r="S870" s="3">
        <f t="shared" si="485"/>
        <v>5000</v>
      </c>
      <c r="T870" s="3">
        <v>5000</v>
      </c>
      <c r="U870" s="3">
        <f t="shared" si="486"/>
        <v>-10000</v>
      </c>
      <c r="V870" s="3"/>
      <c r="W870" s="3">
        <f t="shared" si="487"/>
        <v>10000</v>
      </c>
      <c r="X870" s="3"/>
      <c r="Y870" s="3">
        <v>10000</v>
      </c>
      <c r="Z870" s="3">
        <f t="shared" si="488"/>
        <v>5000</v>
      </c>
      <c r="AA870" s="3"/>
      <c r="AB870" s="3"/>
      <c r="AC870" s="3"/>
      <c r="AD870" s="3">
        <f t="shared" si="489"/>
        <v>10000</v>
      </c>
      <c r="AE870" s="3">
        <v>10000</v>
      </c>
      <c r="AF870" s="3">
        <f t="shared" si="490"/>
        <v>0</v>
      </c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42"/>
      <c r="AR870" s="3"/>
      <c r="AS870" s="42"/>
      <c r="AT870" s="3"/>
      <c r="AU870" s="42"/>
      <c r="AV870" s="3"/>
      <c r="AW870" s="42"/>
      <c r="AX870" s="3"/>
      <c r="AY870" s="42"/>
      <c r="AZ870" s="3"/>
    </row>
    <row r="871" spans="1:53" x14ac:dyDescent="0.25">
      <c r="A871" s="3" t="s">
        <v>622</v>
      </c>
      <c r="B871" s="3">
        <v>10000</v>
      </c>
      <c r="E871" s="3">
        <f t="shared" si="481"/>
        <v>10000</v>
      </c>
      <c r="F871" s="5">
        <v>10000</v>
      </c>
      <c r="H871" s="5">
        <f t="shared" si="482"/>
        <v>0</v>
      </c>
      <c r="K871" s="4">
        <f t="shared" si="483"/>
        <v>10000</v>
      </c>
      <c r="L871" s="4">
        <v>10000</v>
      </c>
      <c r="N871" s="4">
        <f t="shared" si="484"/>
        <v>0</v>
      </c>
      <c r="P871" s="3">
        <v>10000</v>
      </c>
      <c r="Q871" s="3"/>
      <c r="R871" s="3"/>
      <c r="S871" s="3">
        <f t="shared" si="485"/>
        <v>5000</v>
      </c>
      <c r="T871" s="3">
        <v>5000</v>
      </c>
      <c r="U871" s="3">
        <f t="shared" si="486"/>
        <v>-5000</v>
      </c>
      <c r="V871" s="3">
        <v>2940</v>
      </c>
      <c r="W871" s="3">
        <f t="shared" si="487"/>
        <v>60</v>
      </c>
      <c r="X871" s="3"/>
      <c r="Y871" s="3">
        <v>3000</v>
      </c>
      <c r="Z871" s="3">
        <f t="shared" si="488"/>
        <v>-2000</v>
      </c>
      <c r="AA871" s="3"/>
      <c r="AB871" s="3"/>
      <c r="AC871" s="3">
        <v>2940</v>
      </c>
      <c r="AD871" s="3">
        <f t="shared" si="489"/>
        <v>60</v>
      </c>
      <c r="AE871" s="3">
        <v>3000</v>
      </c>
      <c r="AF871" s="3">
        <f t="shared" si="490"/>
        <v>0</v>
      </c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42"/>
      <c r="AR871" s="3"/>
      <c r="AS871" s="42"/>
      <c r="AT871" s="3"/>
      <c r="AU871" s="42"/>
      <c r="AV871" s="3"/>
      <c r="AW871" s="42"/>
      <c r="AX871" s="3"/>
      <c r="AY871" s="42"/>
      <c r="AZ871" s="3"/>
      <c r="BA871" s="77"/>
    </row>
    <row r="872" spans="1:53" x14ac:dyDescent="0.25">
      <c r="A872" s="3" t="s">
        <v>623</v>
      </c>
      <c r="B872" s="3">
        <v>5500</v>
      </c>
      <c r="E872" s="3">
        <f t="shared" si="481"/>
        <v>5500</v>
      </c>
      <c r="F872" s="5">
        <v>5500</v>
      </c>
      <c r="H872" s="5">
        <f t="shared" si="482"/>
        <v>0</v>
      </c>
      <c r="K872" s="4">
        <f t="shared" si="483"/>
        <v>5500</v>
      </c>
      <c r="L872" s="4">
        <v>5500</v>
      </c>
      <c r="N872" s="4">
        <f t="shared" si="484"/>
        <v>0</v>
      </c>
      <c r="P872" s="3"/>
      <c r="Q872" s="3"/>
      <c r="R872" s="3"/>
      <c r="S872" s="3">
        <f t="shared" si="485"/>
        <v>0</v>
      </c>
      <c r="T872" s="3"/>
      <c r="U872" s="3">
        <f t="shared" si="486"/>
        <v>0</v>
      </c>
      <c r="V872" s="3"/>
      <c r="W872" s="3">
        <f t="shared" si="487"/>
        <v>0</v>
      </c>
      <c r="X872" s="3"/>
      <c r="Y872" s="3"/>
      <c r="Z872" s="3">
        <f t="shared" si="488"/>
        <v>0</v>
      </c>
      <c r="AA872" s="3"/>
      <c r="AB872" s="3"/>
      <c r="AC872" s="3"/>
      <c r="AD872" s="3">
        <f t="shared" si="489"/>
        <v>0</v>
      </c>
      <c r="AE872" s="3"/>
      <c r="AF872" s="3">
        <f t="shared" si="490"/>
        <v>0</v>
      </c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42"/>
      <c r="AR872" s="3"/>
      <c r="AS872" s="42"/>
      <c r="AT872" s="3"/>
      <c r="AU872" s="42"/>
      <c r="AV872" s="3"/>
      <c r="AW872" s="42"/>
      <c r="AX872" s="3"/>
      <c r="AY872" s="42"/>
      <c r="AZ872" s="3"/>
    </row>
    <row r="873" spans="1:53" s="77" customFormat="1" x14ac:dyDescent="0.25">
      <c r="A873" s="3" t="s">
        <v>624</v>
      </c>
      <c r="B873" s="3"/>
      <c r="C873" s="3"/>
      <c r="D873" s="29"/>
      <c r="E873" s="3">
        <f t="shared" si="481"/>
        <v>0</v>
      </c>
      <c r="F873" s="29"/>
      <c r="G873" s="3"/>
      <c r="H873" s="5">
        <f t="shared" si="482"/>
        <v>0</v>
      </c>
      <c r="I873" s="5"/>
      <c r="J873" s="5"/>
      <c r="K873" s="4">
        <f t="shared" si="483"/>
        <v>0</v>
      </c>
      <c r="L873" s="4"/>
      <c r="M873" s="4"/>
      <c r="N873" s="4">
        <f t="shared" si="484"/>
        <v>0</v>
      </c>
      <c r="O873" s="3"/>
      <c r="P873" s="3"/>
      <c r="Q873" s="3"/>
      <c r="R873" s="3"/>
      <c r="S873" s="3">
        <f t="shared" si="485"/>
        <v>0</v>
      </c>
      <c r="T873" s="3"/>
      <c r="U873" s="3">
        <f t="shared" si="486"/>
        <v>0</v>
      </c>
      <c r="V873" s="3"/>
      <c r="W873" s="3">
        <f t="shared" si="487"/>
        <v>0</v>
      </c>
      <c r="X873" s="3"/>
      <c r="Y873" s="3"/>
      <c r="Z873" s="3">
        <f t="shared" si="488"/>
        <v>0</v>
      </c>
      <c r="AA873" s="3"/>
      <c r="AB873" s="3"/>
      <c r="AC873" s="3"/>
      <c r="AD873" s="3">
        <f t="shared" si="489"/>
        <v>0</v>
      </c>
      <c r="AE873" s="3"/>
      <c r="AF873" s="3">
        <f t="shared" si="490"/>
        <v>0</v>
      </c>
      <c r="AG873" s="3"/>
      <c r="AH873" s="3"/>
      <c r="AI873" s="3"/>
      <c r="AJ873" s="3"/>
      <c r="AK873" s="3"/>
      <c r="AL873" s="3"/>
      <c r="AM873" s="3"/>
      <c r="AN873" s="3">
        <v>25000</v>
      </c>
      <c r="AO873" s="3"/>
      <c r="AP873" s="3"/>
      <c r="AQ873" s="42"/>
      <c r="AR873" s="3"/>
      <c r="AS873" s="42"/>
      <c r="AT873" s="3"/>
      <c r="AU873" s="42"/>
      <c r="AV873" s="3"/>
      <c r="AW873" s="42"/>
      <c r="AX873" s="3"/>
      <c r="AY873" s="42"/>
      <c r="AZ873" s="3"/>
    </row>
    <row r="874" spans="1:53" x14ac:dyDescent="0.25">
      <c r="A874" s="3" t="s">
        <v>625</v>
      </c>
      <c r="B874" s="3"/>
      <c r="E874" s="3">
        <f t="shared" si="481"/>
        <v>0</v>
      </c>
      <c r="H874" s="5">
        <f t="shared" si="482"/>
        <v>0</v>
      </c>
      <c r="K874" s="4">
        <f t="shared" si="483"/>
        <v>0</v>
      </c>
      <c r="L874" s="4"/>
      <c r="N874" s="4">
        <f t="shared" si="484"/>
        <v>0</v>
      </c>
      <c r="P874" s="3"/>
      <c r="Q874" s="3"/>
      <c r="R874" s="3"/>
      <c r="S874" s="3">
        <f t="shared" si="485"/>
        <v>0</v>
      </c>
      <c r="T874" s="3"/>
      <c r="U874" s="3">
        <f t="shared" si="486"/>
        <v>0</v>
      </c>
      <c r="V874" s="3"/>
      <c r="W874" s="3">
        <f t="shared" si="487"/>
        <v>0</v>
      </c>
      <c r="X874" s="3"/>
      <c r="Y874" s="3"/>
      <c r="Z874" s="3">
        <f t="shared" si="488"/>
        <v>0</v>
      </c>
      <c r="AA874" s="3"/>
      <c r="AB874" s="3"/>
      <c r="AC874" s="3"/>
      <c r="AD874" s="3">
        <f t="shared" si="489"/>
        <v>0</v>
      </c>
      <c r="AE874" s="3"/>
      <c r="AF874" s="3">
        <f t="shared" si="490"/>
        <v>0</v>
      </c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42"/>
      <c r="AR874" s="3"/>
      <c r="AS874" s="42"/>
      <c r="AT874" s="3"/>
      <c r="AU874" s="42"/>
      <c r="AV874" s="3"/>
      <c r="AW874" s="42"/>
      <c r="AX874" s="3"/>
      <c r="AY874" s="42"/>
      <c r="AZ874" s="3"/>
      <c r="BA874" s="77"/>
    </row>
    <row r="875" spans="1:53" s="77" customFormat="1" x14ac:dyDescent="0.25">
      <c r="A875" s="3" t="s">
        <v>626</v>
      </c>
      <c r="B875" s="3"/>
      <c r="C875" s="3"/>
      <c r="D875" s="29"/>
      <c r="E875" s="3">
        <f t="shared" si="481"/>
        <v>0</v>
      </c>
      <c r="F875" s="29"/>
      <c r="G875" s="3"/>
      <c r="H875" s="5">
        <f t="shared" si="482"/>
        <v>0</v>
      </c>
      <c r="I875" s="5"/>
      <c r="J875" s="5"/>
      <c r="K875" s="4">
        <f t="shared" si="483"/>
        <v>0</v>
      </c>
      <c r="L875" s="4"/>
      <c r="M875" s="4"/>
      <c r="N875" s="4">
        <f t="shared" si="484"/>
        <v>0</v>
      </c>
      <c r="O875" s="3"/>
      <c r="P875" s="3"/>
      <c r="Q875" s="3"/>
      <c r="R875" s="3"/>
      <c r="S875" s="3">
        <f t="shared" si="485"/>
        <v>0</v>
      </c>
      <c r="T875" s="3"/>
      <c r="U875" s="3">
        <f t="shared" si="486"/>
        <v>0</v>
      </c>
      <c r="V875" s="3"/>
      <c r="W875" s="3">
        <f t="shared" si="487"/>
        <v>0</v>
      </c>
      <c r="X875" s="3"/>
      <c r="Y875" s="3"/>
      <c r="Z875" s="3">
        <f t="shared" si="488"/>
        <v>0</v>
      </c>
      <c r="AA875" s="3"/>
      <c r="AB875" s="3"/>
      <c r="AC875" s="3"/>
      <c r="AD875" s="3">
        <f t="shared" si="489"/>
        <v>0</v>
      </c>
      <c r="AE875" s="3"/>
      <c r="AF875" s="3">
        <f t="shared" si="490"/>
        <v>0</v>
      </c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42"/>
      <c r="AR875" s="3"/>
      <c r="AS875" s="42"/>
      <c r="AT875" s="3"/>
      <c r="AU875" s="42"/>
      <c r="AV875" s="3"/>
      <c r="AW875" s="42"/>
      <c r="AX875" s="3"/>
      <c r="AY875" s="42"/>
      <c r="AZ875" s="3"/>
      <c r="BA875" s="6"/>
    </row>
    <row r="876" spans="1:53" s="77" customFormat="1" x14ac:dyDescent="0.25">
      <c r="A876" s="3" t="s">
        <v>627</v>
      </c>
      <c r="B876" s="3"/>
      <c r="C876" s="3"/>
      <c r="D876" s="29"/>
      <c r="E876" s="3"/>
      <c r="F876" s="29"/>
      <c r="G876" s="3"/>
      <c r="H876" s="5"/>
      <c r="I876" s="5"/>
      <c r="J876" s="5"/>
      <c r="K876" s="4"/>
      <c r="L876" s="4"/>
      <c r="M876" s="4"/>
      <c r="N876" s="4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>
        <v>25000</v>
      </c>
      <c r="AI876" s="3"/>
      <c r="AJ876" s="3"/>
      <c r="AK876" s="3"/>
      <c r="AL876" s="3"/>
      <c r="AM876" s="3"/>
      <c r="AN876" s="3"/>
      <c r="AO876" s="3"/>
      <c r="AP876" s="3"/>
      <c r="AQ876" s="42"/>
      <c r="AR876" s="3"/>
      <c r="AS876" s="42"/>
      <c r="AT876" s="3"/>
      <c r="AU876" s="42"/>
      <c r="AV876" s="3"/>
      <c r="AW876" s="42"/>
      <c r="AX876" s="3"/>
      <c r="AY876" s="42"/>
      <c r="AZ876" s="3"/>
      <c r="BA876" s="6"/>
    </row>
    <row r="877" spans="1:53" x14ac:dyDescent="0.25">
      <c r="A877" s="3" t="s">
        <v>628</v>
      </c>
      <c r="B877" s="3"/>
      <c r="E877" s="3">
        <f t="shared" si="481"/>
        <v>0</v>
      </c>
      <c r="H877" s="5">
        <f t="shared" si="482"/>
        <v>0</v>
      </c>
      <c r="K877" s="4">
        <f t="shared" si="483"/>
        <v>0</v>
      </c>
      <c r="L877" s="4"/>
      <c r="N877" s="4">
        <f t="shared" si="484"/>
        <v>0</v>
      </c>
      <c r="P877" s="3"/>
      <c r="Q877" s="3"/>
      <c r="R877" s="3"/>
      <c r="S877" s="3">
        <f t="shared" si="485"/>
        <v>0</v>
      </c>
      <c r="T877" s="3"/>
      <c r="U877" s="3">
        <f t="shared" si="486"/>
        <v>0</v>
      </c>
      <c r="V877" s="3"/>
      <c r="W877" s="3">
        <f t="shared" si="487"/>
        <v>0</v>
      </c>
      <c r="X877" s="3"/>
      <c r="Y877" s="3"/>
      <c r="Z877" s="3">
        <f t="shared" si="488"/>
        <v>0</v>
      </c>
      <c r="AA877" s="3"/>
      <c r="AB877" s="3"/>
      <c r="AC877" s="3"/>
      <c r="AD877" s="3">
        <f t="shared" si="489"/>
        <v>0</v>
      </c>
      <c r="AE877" s="3"/>
      <c r="AF877" s="3">
        <f t="shared" si="490"/>
        <v>0</v>
      </c>
      <c r="AG877" s="3"/>
      <c r="AH877" s="3">
        <v>1000</v>
      </c>
      <c r="AI877" s="3"/>
      <c r="AJ877" s="3">
        <v>1000</v>
      </c>
      <c r="AK877" s="3"/>
      <c r="AL877" s="3">
        <v>1000</v>
      </c>
      <c r="AM877" s="3"/>
      <c r="AN877" s="3">
        <v>1000</v>
      </c>
      <c r="AO877" s="3"/>
      <c r="AP877" s="3">
        <v>1000</v>
      </c>
      <c r="AQ877" s="42"/>
      <c r="AR877" s="3">
        <v>1000</v>
      </c>
      <c r="AS877" s="3"/>
      <c r="AT877" s="3">
        <v>1000</v>
      </c>
      <c r="AU877" s="42"/>
      <c r="AV877" s="3">
        <v>1000</v>
      </c>
      <c r="AW877" s="3"/>
      <c r="AX877" s="3">
        <v>1000</v>
      </c>
      <c r="AY877" s="42"/>
      <c r="AZ877" s="3">
        <v>1000</v>
      </c>
    </row>
    <row r="878" spans="1:53" x14ac:dyDescent="0.25">
      <c r="A878" s="3"/>
      <c r="B878" s="3"/>
      <c r="E878" s="3"/>
      <c r="K878" s="4"/>
      <c r="L878" s="4"/>
      <c r="N878" s="4"/>
      <c r="P878" s="3"/>
      <c r="Q878" s="3"/>
      <c r="R878" s="3"/>
      <c r="S878" s="3">
        <f t="shared" si="485"/>
        <v>0</v>
      </c>
      <c r="T878" s="3"/>
      <c r="U878" s="3">
        <f t="shared" si="486"/>
        <v>0</v>
      </c>
      <c r="V878" s="3"/>
      <c r="W878" s="3">
        <f t="shared" si="487"/>
        <v>0</v>
      </c>
      <c r="X878" s="3"/>
      <c r="Y878" s="3"/>
      <c r="Z878" s="3">
        <f t="shared" si="488"/>
        <v>0</v>
      </c>
      <c r="AA878" s="3"/>
      <c r="AB878" s="3"/>
      <c r="AC878" s="3"/>
      <c r="AD878" s="3">
        <f t="shared" si="489"/>
        <v>0</v>
      </c>
      <c r="AE878" s="3"/>
      <c r="AF878" s="3">
        <f t="shared" si="490"/>
        <v>0</v>
      </c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42"/>
      <c r="AR878" s="3"/>
      <c r="AS878" s="3"/>
      <c r="AT878" s="3"/>
      <c r="AU878" s="42"/>
      <c r="AV878" s="3"/>
      <c r="AW878" s="3"/>
      <c r="AX878" s="3"/>
      <c r="AY878" s="42"/>
      <c r="AZ878" s="3"/>
      <c r="BA878" s="77"/>
    </row>
    <row r="879" spans="1:53" x14ac:dyDescent="0.25">
      <c r="A879" s="3" t="s">
        <v>629</v>
      </c>
      <c r="B879" s="3"/>
      <c r="E879" s="3">
        <f t="shared" si="481"/>
        <v>34000</v>
      </c>
      <c r="F879" s="5">
        <v>34000</v>
      </c>
      <c r="H879" s="5">
        <f t="shared" si="482"/>
        <v>34000</v>
      </c>
      <c r="K879" s="4">
        <f t="shared" si="483"/>
        <v>34000</v>
      </c>
      <c r="L879" s="4">
        <v>34000</v>
      </c>
      <c r="N879" s="4">
        <f t="shared" si="484"/>
        <v>0</v>
      </c>
      <c r="P879" s="3"/>
      <c r="Q879" s="3"/>
      <c r="R879" s="3"/>
      <c r="S879" s="3">
        <f t="shared" si="485"/>
        <v>0</v>
      </c>
      <c r="T879" s="3"/>
      <c r="U879" s="3">
        <f t="shared" si="486"/>
        <v>0</v>
      </c>
      <c r="V879" s="3"/>
      <c r="W879" s="3">
        <f t="shared" si="487"/>
        <v>0</v>
      </c>
      <c r="X879" s="3"/>
      <c r="Y879" s="3"/>
      <c r="Z879" s="3">
        <f t="shared" si="488"/>
        <v>0</v>
      </c>
      <c r="AA879" s="3"/>
      <c r="AB879" s="3"/>
      <c r="AC879" s="3"/>
      <c r="AD879" s="3">
        <f t="shared" si="489"/>
        <v>0</v>
      </c>
      <c r="AE879" s="3"/>
      <c r="AF879" s="3">
        <f t="shared" si="490"/>
        <v>0</v>
      </c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42"/>
      <c r="AR879" s="3"/>
      <c r="AS879" s="42"/>
      <c r="AT879" s="3"/>
      <c r="AU879" s="42"/>
      <c r="AV879" s="3"/>
      <c r="AW879" s="42"/>
      <c r="AX879" s="3"/>
      <c r="AY879" s="42"/>
      <c r="AZ879" s="3"/>
    </row>
    <row r="880" spans="1:53" s="77" customFormat="1" x14ac:dyDescent="0.25">
      <c r="A880" s="3" t="s">
        <v>630</v>
      </c>
      <c r="B880" s="3"/>
      <c r="C880" s="3"/>
      <c r="D880" s="29"/>
      <c r="E880" s="3">
        <f t="shared" si="481"/>
        <v>0</v>
      </c>
      <c r="F880" s="29"/>
      <c r="G880" s="3"/>
      <c r="H880" s="5">
        <f t="shared" si="482"/>
        <v>0</v>
      </c>
      <c r="I880" s="5"/>
      <c r="J880" s="5"/>
      <c r="K880" s="4">
        <f t="shared" si="483"/>
        <v>0</v>
      </c>
      <c r="L880" s="4"/>
      <c r="M880" s="4"/>
      <c r="N880" s="4">
        <f t="shared" si="484"/>
        <v>0</v>
      </c>
      <c r="O880" s="3"/>
      <c r="P880" s="3"/>
      <c r="Q880" s="3"/>
      <c r="R880" s="3"/>
      <c r="S880" s="3">
        <f t="shared" si="485"/>
        <v>0</v>
      </c>
      <c r="T880" s="3"/>
      <c r="U880" s="3">
        <f t="shared" si="486"/>
        <v>0</v>
      </c>
      <c r="V880" s="3"/>
      <c r="W880" s="3">
        <f t="shared" si="487"/>
        <v>0</v>
      </c>
      <c r="X880" s="3"/>
      <c r="Y880" s="3"/>
      <c r="Z880" s="3">
        <f t="shared" si="488"/>
        <v>0</v>
      </c>
      <c r="AA880" s="3"/>
      <c r="AB880" s="3"/>
      <c r="AC880" s="3"/>
      <c r="AD880" s="3">
        <f t="shared" si="489"/>
        <v>0</v>
      </c>
      <c r="AE880" s="3"/>
      <c r="AF880" s="3">
        <f t="shared" si="490"/>
        <v>0</v>
      </c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42"/>
      <c r="AR880" s="3"/>
      <c r="AS880" s="42"/>
      <c r="AT880" s="3"/>
      <c r="AU880" s="42"/>
      <c r="AV880" s="3"/>
      <c r="AW880" s="42"/>
      <c r="AX880" s="3"/>
      <c r="AY880" s="42"/>
      <c r="AZ880" s="3"/>
    </row>
    <row r="881" spans="1:53" x14ac:dyDescent="0.25">
      <c r="A881" s="3" t="s">
        <v>631</v>
      </c>
      <c r="B881" s="3"/>
      <c r="E881" s="3">
        <f t="shared" si="481"/>
        <v>0</v>
      </c>
      <c r="H881" s="5">
        <f t="shared" si="482"/>
        <v>0</v>
      </c>
      <c r="K881" s="4">
        <f t="shared" si="483"/>
        <v>0</v>
      </c>
      <c r="L881" s="4"/>
      <c r="N881" s="4">
        <f t="shared" si="484"/>
        <v>0</v>
      </c>
      <c r="P881" s="3">
        <v>5000</v>
      </c>
      <c r="Q881" s="3"/>
      <c r="R881" s="3"/>
      <c r="S881" s="3">
        <f t="shared" si="485"/>
        <v>6200</v>
      </c>
      <c r="T881" s="3">
        <v>6200</v>
      </c>
      <c r="U881" s="3">
        <f t="shared" si="486"/>
        <v>1200</v>
      </c>
      <c r="V881" s="3"/>
      <c r="W881" s="3">
        <f t="shared" si="487"/>
        <v>9900</v>
      </c>
      <c r="X881" s="3"/>
      <c r="Y881" s="3">
        <v>9900</v>
      </c>
      <c r="Z881" s="3">
        <f t="shared" si="488"/>
        <v>3700</v>
      </c>
      <c r="AA881" s="3"/>
      <c r="AB881" s="3"/>
      <c r="AC881" s="3">
        <v>10750</v>
      </c>
      <c r="AD881" s="3">
        <f t="shared" si="489"/>
        <v>0</v>
      </c>
      <c r="AE881" s="3">
        <v>10750</v>
      </c>
      <c r="AF881" s="3">
        <f t="shared" si="490"/>
        <v>850</v>
      </c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42"/>
      <c r="AR881" s="3"/>
      <c r="AS881" s="42"/>
      <c r="AT881" s="3"/>
      <c r="AU881" s="42"/>
      <c r="AV881" s="3"/>
      <c r="AW881" s="42"/>
      <c r="AX881" s="3"/>
      <c r="AY881" s="42"/>
      <c r="AZ881" s="3"/>
    </row>
    <row r="882" spans="1:53" s="77" customFormat="1" x14ac:dyDescent="0.25">
      <c r="A882" s="3" t="s">
        <v>632</v>
      </c>
      <c r="B882" s="3"/>
      <c r="C882" s="3"/>
      <c r="D882" s="29"/>
      <c r="E882" s="3">
        <f t="shared" si="481"/>
        <v>0</v>
      </c>
      <c r="F882" s="29"/>
      <c r="G882" s="3"/>
      <c r="H882" s="5">
        <f t="shared" si="482"/>
        <v>0</v>
      </c>
      <c r="I882" s="5"/>
      <c r="J882" s="5"/>
      <c r="K882" s="4">
        <f t="shared" si="483"/>
        <v>0</v>
      </c>
      <c r="L882" s="4"/>
      <c r="M882" s="4"/>
      <c r="N882" s="4">
        <f t="shared" si="484"/>
        <v>0</v>
      </c>
      <c r="O882" s="3"/>
      <c r="P882" s="3"/>
      <c r="Q882" s="3"/>
      <c r="R882" s="3"/>
      <c r="S882" s="3">
        <f t="shared" si="485"/>
        <v>0</v>
      </c>
      <c r="T882" s="3"/>
      <c r="U882" s="3">
        <f t="shared" si="486"/>
        <v>0</v>
      </c>
      <c r="V882" s="3"/>
      <c r="W882" s="3">
        <f t="shared" si="487"/>
        <v>0</v>
      </c>
      <c r="X882" s="3"/>
      <c r="Y882" s="3"/>
      <c r="Z882" s="3">
        <f t="shared" si="488"/>
        <v>0</v>
      </c>
      <c r="AA882" s="3"/>
      <c r="AB882" s="3"/>
      <c r="AC882" s="3"/>
      <c r="AD882" s="3">
        <f t="shared" si="489"/>
        <v>0</v>
      </c>
      <c r="AE882" s="3"/>
      <c r="AF882" s="3">
        <f t="shared" si="490"/>
        <v>0</v>
      </c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42"/>
      <c r="AR882" s="3"/>
      <c r="AS882" s="42"/>
      <c r="AT882" s="3"/>
      <c r="AU882" s="42"/>
      <c r="AV882" s="3"/>
      <c r="AW882" s="42"/>
      <c r="AX882" s="3"/>
      <c r="AY882" s="42"/>
      <c r="AZ882" s="3"/>
      <c r="BA882" s="6"/>
    </row>
    <row r="883" spans="1:53" x14ac:dyDescent="0.25">
      <c r="A883" s="3" t="s">
        <v>633</v>
      </c>
      <c r="B883" s="3"/>
      <c r="E883" s="3">
        <f t="shared" si="481"/>
        <v>0</v>
      </c>
      <c r="H883" s="5">
        <f t="shared" si="482"/>
        <v>0</v>
      </c>
      <c r="K883" s="4">
        <f t="shared" si="483"/>
        <v>0</v>
      </c>
      <c r="L883" s="4"/>
      <c r="N883" s="4">
        <f t="shared" si="484"/>
        <v>0</v>
      </c>
      <c r="P883" s="3"/>
      <c r="Q883" s="3"/>
      <c r="R883" s="3"/>
      <c r="S883" s="3">
        <f t="shared" si="485"/>
        <v>0</v>
      </c>
      <c r="T883" s="3"/>
      <c r="U883" s="3">
        <f t="shared" si="486"/>
        <v>0</v>
      </c>
      <c r="V883" s="3"/>
      <c r="W883" s="3">
        <f t="shared" si="487"/>
        <v>0</v>
      </c>
      <c r="X883" s="3"/>
      <c r="Y883" s="3"/>
      <c r="Z883" s="3">
        <f t="shared" si="488"/>
        <v>0</v>
      </c>
      <c r="AA883" s="3"/>
      <c r="AB883" s="3"/>
      <c r="AC883" s="3">
        <v>1540</v>
      </c>
      <c r="AD883" s="3">
        <f t="shared" si="489"/>
        <v>10</v>
      </c>
      <c r="AE883" s="3">
        <v>1550</v>
      </c>
      <c r="AF883" s="3">
        <f t="shared" si="490"/>
        <v>1550</v>
      </c>
      <c r="AG883" s="3"/>
      <c r="AH883" s="3">
        <v>10000</v>
      </c>
      <c r="AI883" s="3"/>
      <c r="AJ883" s="3">
        <v>10000</v>
      </c>
      <c r="AK883" s="3"/>
      <c r="AL883" s="3"/>
      <c r="AM883" s="3"/>
      <c r="AN883" s="3"/>
      <c r="AO883" s="3"/>
      <c r="AP883" s="3"/>
      <c r="AQ883" s="42"/>
      <c r="AR883" s="3"/>
      <c r="AS883" s="42"/>
      <c r="AT883" s="3"/>
      <c r="AU883" s="42"/>
      <c r="AV883" s="3"/>
      <c r="AW883" s="42"/>
      <c r="AX883" s="3"/>
      <c r="AY883" s="42"/>
      <c r="AZ883" s="3"/>
    </row>
    <row r="884" spans="1:53" x14ac:dyDescent="0.25">
      <c r="A884" s="3" t="s">
        <v>634</v>
      </c>
      <c r="B884" s="3"/>
      <c r="E884" s="3">
        <f t="shared" si="481"/>
        <v>0</v>
      </c>
      <c r="H884" s="5">
        <f t="shared" si="482"/>
        <v>0</v>
      </c>
      <c r="K884" s="4">
        <f t="shared" si="483"/>
        <v>0</v>
      </c>
      <c r="L884" s="4"/>
      <c r="N884" s="4">
        <f t="shared" si="484"/>
        <v>0</v>
      </c>
      <c r="P884" s="3"/>
      <c r="Q884" s="3"/>
      <c r="R884" s="3"/>
      <c r="S884" s="3">
        <f t="shared" si="485"/>
        <v>0</v>
      </c>
      <c r="T884" s="3"/>
      <c r="U884" s="3">
        <f t="shared" si="486"/>
        <v>0</v>
      </c>
      <c r="V884" s="3"/>
      <c r="W884" s="3">
        <f t="shared" si="487"/>
        <v>0</v>
      </c>
      <c r="X884" s="3"/>
      <c r="Y884" s="3"/>
      <c r="Z884" s="3">
        <f t="shared" si="488"/>
        <v>0</v>
      </c>
      <c r="AA884" s="3"/>
      <c r="AB884" s="3"/>
      <c r="AC884" s="3"/>
      <c r="AD884" s="3">
        <f t="shared" si="489"/>
        <v>0</v>
      </c>
      <c r="AE884" s="3"/>
      <c r="AF884" s="3">
        <f t="shared" si="490"/>
        <v>0</v>
      </c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42"/>
      <c r="AR884" s="3"/>
      <c r="AS884" s="42"/>
      <c r="AT884" s="3"/>
      <c r="AU884" s="42"/>
      <c r="AV884" s="3"/>
      <c r="AW884" s="42"/>
      <c r="AX884" s="3"/>
      <c r="AY884" s="42"/>
      <c r="AZ884" s="3"/>
      <c r="BA884" s="77"/>
    </row>
    <row r="885" spans="1:53" x14ac:dyDescent="0.25">
      <c r="A885" s="3" t="s">
        <v>635</v>
      </c>
      <c r="B885" s="3"/>
      <c r="E885" s="3"/>
      <c r="K885" s="4"/>
      <c r="L885" s="4"/>
      <c r="N885" s="4"/>
      <c r="P885" s="3">
        <v>40000</v>
      </c>
      <c r="Q885" s="3"/>
      <c r="R885" s="3"/>
      <c r="S885" s="3">
        <f t="shared" si="485"/>
        <v>45000</v>
      </c>
      <c r="T885" s="3">
        <v>45000</v>
      </c>
      <c r="U885" s="3">
        <f t="shared" si="486"/>
        <v>5000</v>
      </c>
      <c r="V885" s="3"/>
      <c r="W885" s="3">
        <f t="shared" si="487"/>
        <v>45000</v>
      </c>
      <c r="X885" s="3"/>
      <c r="Y885" s="3">
        <v>45000</v>
      </c>
      <c r="Z885" s="3">
        <f t="shared" si="488"/>
        <v>0</v>
      </c>
      <c r="AA885" s="3"/>
      <c r="AB885" s="3"/>
      <c r="AC885" s="3">
        <v>0</v>
      </c>
      <c r="AD885" s="3">
        <f t="shared" si="489"/>
        <v>0</v>
      </c>
      <c r="AE885" s="3">
        <v>0</v>
      </c>
      <c r="AF885" s="3">
        <f t="shared" si="490"/>
        <v>-45000</v>
      </c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42"/>
      <c r="AR885" s="3"/>
      <c r="AS885" s="42"/>
      <c r="AT885" s="3"/>
      <c r="AU885" s="42"/>
      <c r="AV885" s="3"/>
      <c r="AW885" s="42"/>
      <c r="AX885" s="3"/>
      <c r="AY885" s="42"/>
      <c r="AZ885" s="3"/>
    </row>
    <row r="886" spans="1:53" s="77" customFormat="1" x14ac:dyDescent="0.25">
      <c r="A886" s="3" t="s">
        <v>636</v>
      </c>
      <c r="B886" s="3"/>
      <c r="C886" s="3"/>
      <c r="D886" s="29"/>
      <c r="E886" s="3">
        <f t="shared" si="481"/>
        <v>0</v>
      </c>
      <c r="F886" s="29"/>
      <c r="G886" s="3"/>
      <c r="H886" s="5">
        <f t="shared" si="482"/>
        <v>0</v>
      </c>
      <c r="I886" s="5"/>
      <c r="J886" s="5"/>
      <c r="K886" s="4">
        <f t="shared" si="483"/>
        <v>0</v>
      </c>
      <c r="L886" s="4"/>
      <c r="M886" s="4"/>
      <c r="N886" s="4">
        <f t="shared" si="484"/>
        <v>0</v>
      </c>
      <c r="O886" s="3"/>
      <c r="P886" s="3"/>
      <c r="Q886" s="3"/>
      <c r="R886" s="3"/>
      <c r="S886" s="3">
        <f t="shared" si="485"/>
        <v>0</v>
      </c>
      <c r="T886" s="3"/>
      <c r="U886" s="3">
        <f t="shared" si="486"/>
        <v>0</v>
      </c>
      <c r="V886" s="3"/>
      <c r="W886" s="3">
        <f t="shared" si="487"/>
        <v>0</v>
      </c>
      <c r="X886" s="3"/>
      <c r="Y886" s="3"/>
      <c r="Z886" s="3">
        <f t="shared" si="488"/>
        <v>0</v>
      </c>
      <c r="AA886" s="3"/>
      <c r="AB886" s="3"/>
      <c r="AC886" s="3"/>
      <c r="AD886" s="3">
        <f t="shared" si="489"/>
        <v>0</v>
      </c>
      <c r="AE886" s="3"/>
      <c r="AF886" s="3">
        <f t="shared" si="490"/>
        <v>0</v>
      </c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42"/>
      <c r="AR886" s="3"/>
      <c r="AS886" s="42"/>
      <c r="AT886" s="3"/>
      <c r="AU886" s="42"/>
      <c r="AV886" s="3"/>
      <c r="AW886" s="42"/>
      <c r="AX886" s="3"/>
      <c r="AY886" s="42"/>
      <c r="AZ886" s="3"/>
    </row>
    <row r="887" spans="1:53" x14ac:dyDescent="0.25">
      <c r="A887" s="3" t="s">
        <v>637</v>
      </c>
      <c r="B887" s="3"/>
      <c r="E887" s="3">
        <f t="shared" si="481"/>
        <v>0</v>
      </c>
      <c r="H887" s="5">
        <f t="shared" si="482"/>
        <v>0</v>
      </c>
      <c r="K887" s="4">
        <f t="shared" si="483"/>
        <v>0</v>
      </c>
      <c r="L887" s="4"/>
      <c r="N887" s="4">
        <f t="shared" si="484"/>
        <v>0</v>
      </c>
      <c r="P887" s="3"/>
      <c r="Q887" s="3"/>
      <c r="R887" s="3"/>
      <c r="S887" s="3">
        <f t="shared" si="485"/>
        <v>0</v>
      </c>
      <c r="T887" s="3"/>
      <c r="U887" s="3">
        <f t="shared" si="486"/>
        <v>0</v>
      </c>
      <c r="V887" s="3"/>
      <c r="W887" s="3">
        <f t="shared" si="487"/>
        <v>0</v>
      </c>
      <c r="X887" s="3"/>
      <c r="Y887" s="3"/>
      <c r="Z887" s="3">
        <f t="shared" si="488"/>
        <v>0</v>
      </c>
      <c r="AA887" s="3"/>
      <c r="AB887" s="3"/>
      <c r="AC887" s="3"/>
      <c r="AD887" s="3">
        <f t="shared" si="489"/>
        <v>0</v>
      </c>
      <c r="AE887" s="3"/>
      <c r="AF887" s="3">
        <f t="shared" si="490"/>
        <v>0</v>
      </c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42"/>
      <c r="AR887" s="3"/>
      <c r="AS887" s="42"/>
      <c r="AT887" s="3"/>
      <c r="AU887" s="42"/>
      <c r="AV887" s="3"/>
      <c r="AW887" s="42"/>
      <c r="AX887" s="3"/>
      <c r="AY887" s="42"/>
      <c r="AZ887" s="3"/>
    </row>
    <row r="888" spans="1:53" s="77" customFormat="1" x14ac:dyDescent="0.25">
      <c r="A888" s="3" t="s">
        <v>638</v>
      </c>
      <c r="B888" s="3">
        <v>5000</v>
      </c>
      <c r="C888" s="3"/>
      <c r="D888" s="29"/>
      <c r="E888" s="3">
        <f t="shared" si="481"/>
        <v>5000</v>
      </c>
      <c r="F888" s="29">
        <v>5000</v>
      </c>
      <c r="G888" s="3"/>
      <c r="H888" s="5">
        <f t="shared" si="482"/>
        <v>0</v>
      </c>
      <c r="I888" s="5"/>
      <c r="J888" s="5"/>
      <c r="K888" s="4">
        <f t="shared" si="483"/>
        <v>5000</v>
      </c>
      <c r="L888" s="4">
        <v>5000</v>
      </c>
      <c r="M888" s="4"/>
      <c r="N888" s="4">
        <f t="shared" si="484"/>
        <v>0</v>
      </c>
      <c r="O888" s="3"/>
      <c r="P888" s="3"/>
      <c r="Q888" s="3"/>
      <c r="R888" s="3"/>
      <c r="S888" s="3">
        <f t="shared" si="485"/>
        <v>0</v>
      </c>
      <c r="T888" s="3"/>
      <c r="U888" s="3">
        <f t="shared" si="486"/>
        <v>0</v>
      </c>
      <c r="V888" s="3"/>
      <c r="W888" s="3">
        <f t="shared" si="487"/>
        <v>0</v>
      </c>
      <c r="X888" s="3"/>
      <c r="Y888" s="3"/>
      <c r="Z888" s="3">
        <f t="shared" si="488"/>
        <v>0</v>
      </c>
      <c r="AA888" s="3"/>
      <c r="AB888" s="3"/>
      <c r="AC888" s="3"/>
      <c r="AD888" s="3">
        <f t="shared" si="489"/>
        <v>0</v>
      </c>
      <c r="AE888" s="3"/>
      <c r="AF888" s="3">
        <f t="shared" si="490"/>
        <v>0</v>
      </c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42"/>
      <c r="AR888" s="3"/>
      <c r="AS888" s="42"/>
      <c r="AT888" s="3"/>
      <c r="AU888" s="42"/>
      <c r="AV888" s="3"/>
      <c r="AW888" s="42"/>
      <c r="AX888" s="3"/>
      <c r="AY888" s="42"/>
      <c r="AZ888" s="3"/>
      <c r="BA888" s="6"/>
    </row>
    <row r="889" spans="1:53" x14ac:dyDescent="0.25">
      <c r="A889" s="3" t="s">
        <v>639</v>
      </c>
      <c r="B889" s="3">
        <v>10600</v>
      </c>
      <c r="D889" s="3"/>
      <c r="E889" s="3">
        <f t="shared" si="481"/>
        <v>10600</v>
      </c>
      <c r="F889" s="3">
        <v>10600</v>
      </c>
      <c r="H889" s="5">
        <f t="shared" si="482"/>
        <v>0</v>
      </c>
      <c r="J889" s="5">
        <v>2210</v>
      </c>
      <c r="K889" s="4">
        <f t="shared" si="483"/>
        <v>8390</v>
      </c>
      <c r="L889" s="4">
        <v>10600</v>
      </c>
      <c r="N889" s="4">
        <f t="shared" si="484"/>
        <v>0</v>
      </c>
      <c r="P889" s="3">
        <v>5000</v>
      </c>
      <c r="Q889" s="3"/>
      <c r="R889" s="3"/>
      <c r="S889" s="3">
        <f t="shared" si="485"/>
        <v>5000</v>
      </c>
      <c r="T889" s="3">
        <v>5000</v>
      </c>
      <c r="U889" s="3">
        <f t="shared" si="486"/>
        <v>0</v>
      </c>
      <c r="V889" s="3"/>
      <c r="W889" s="3">
        <f t="shared" si="487"/>
        <v>5000</v>
      </c>
      <c r="X889" s="3"/>
      <c r="Y889" s="3">
        <v>5000</v>
      </c>
      <c r="Z889" s="3">
        <f t="shared" si="488"/>
        <v>0</v>
      </c>
      <c r="AA889" s="3"/>
      <c r="AB889" s="3"/>
      <c r="AC889" s="3">
        <v>0</v>
      </c>
      <c r="AD889" s="3">
        <f t="shared" si="489"/>
        <v>5000</v>
      </c>
      <c r="AE889" s="3">
        <v>5000</v>
      </c>
      <c r="AF889" s="3">
        <f t="shared" si="490"/>
        <v>0</v>
      </c>
      <c r="AG889" s="3"/>
      <c r="AH889" s="63">
        <v>0</v>
      </c>
      <c r="AI889" s="3"/>
      <c r="AJ889" s="3">
        <v>5000</v>
      </c>
      <c r="AK889" s="3"/>
      <c r="AL889" s="3">
        <v>5000</v>
      </c>
      <c r="AM889" s="3"/>
      <c r="AN889" s="3">
        <v>5000</v>
      </c>
      <c r="AO889" s="3"/>
      <c r="AP889" s="3">
        <v>5000</v>
      </c>
      <c r="AQ889" s="42"/>
      <c r="AR889" s="3">
        <v>5000</v>
      </c>
      <c r="AS889" s="42"/>
      <c r="AT889" s="3">
        <v>5000</v>
      </c>
      <c r="AU889" s="42"/>
      <c r="AV889" s="3">
        <v>5000</v>
      </c>
      <c r="AW889" s="42"/>
      <c r="AX889" s="3">
        <v>5000</v>
      </c>
      <c r="AY889" s="42"/>
      <c r="AZ889" s="3">
        <v>5000</v>
      </c>
    </row>
    <row r="890" spans="1:53" x14ac:dyDescent="0.25">
      <c r="A890" s="3" t="s">
        <v>640</v>
      </c>
      <c r="B890" s="3">
        <v>15000</v>
      </c>
      <c r="D890" s="3"/>
      <c r="E890" s="3">
        <f t="shared" si="481"/>
        <v>15000</v>
      </c>
      <c r="F890" s="3">
        <v>15000</v>
      </c>
      <c r="H890" s="5">
        <f t="shared" si="482"/>
        <v>0</v>
      </c>
      <c r="K890" s="4">
        <f t="shared" si="483"/>
        <v>15000</v>
      </c>
      <c r="L890" s="4">
        <v>15000</v>
      </c>
      <c r="N890" s="4">
        <f t="shared" si="484"/>
        <v>0</v>
      </c>
      <c r="P890" s="3"/>
      <c r="Q890" s="3"/>
      <c r="R890" s="3"/>
      <c r="S890" s="3">
        <f t="shared" si="485"/>
        <v>0</v>
      </c>
      <c r="T890" s="3"/>
      <c r="U890" s="3">
        <f t="shared" si="486"/>
        <v>0</v>
      </c>
      <c r="V890" s="3"/>
      <c r="W890" s="3">
        <f t="shared" si="487"/>
        <v>0</v>
      </c>
      <c r="X890" s="3"/>
      <c r="Y890" s="3"/>
      <c r="Z890" s="3">
        <f t="shared" si="488"/>
        <v>0</v>
      </c>
      <c r="AA890" s="3"/>
      <c r="AB890" s="3"/>
      <c r="AC890" s="3"/>
      <c r="AD890" s="3">
        <f t="shared" si="489"/>
        <v>0</v>
      </c>
      <c r="AE890" s="3"/>
      <c r="AF890" s="3">
        <f t="shared" si="490"/>
        <v>0</v>
      </c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42"/>
      <c r="AR890" s="3"/>
      <c r="AS890" s="42"/>
      <c r="AT890" s="3"/>
      <c r="AU890" s="42"/>
      <c r="AV890" s="3"/>
      <c r="AW890" s="42"/>
      <c r="AX890" s="3"/>
      <c r="AY890" s="42"/>
      <c r="AZ890" s="3"/>
      <c r="BA890" s="77"/>
    </row>
    <row r="891" spans="1:53" x14ac:dyDescent="0.25">
      <c r="A891" s="3" t="s">
        <v>641</v>
      </c>
      <c r="B891" s="3"/>
      <c r="D891" s="3"/>
      <c r="E891" s="3">
        <f t="shared" si="481"/>
        <v>0</v>
      </c>
      <c r="F891" s="3"/>
      <c r="H891" s="5">
        <f t="shared" si="482"/>
        <v>0</v>
      </c>
      <c r="K891" s="4">
        <f t="shared" si="483"/>
        <v>0</v>
      </c>
      <c r="L891" s="4"/>
      <c r="N891" s="4">
        <f t="shared" si="484"/>
        <v>0</v>
      </c>
      <c r="P891" s="3"/>
      <c r="Q891" s="3"/>
      <c r="R891" s="3"/>
      <c r="S891" s="3">
        <f t="shared" si="485"/>
        <v>0</v>
      </c>
      <c r="T891" s="3"/>
      <c r="U891" s="3">
        <f t="shared" si="486"/>
        <v>0</v>
      </c>
      <c r="V891" s="3"/>
      <c r="W891" s="3">
        <f t="shared" si="487"/>
        <v>0</v>
      </c>
      <c r="X891" s="3"/>
      <c r="Y891" s="3"/>
      <c r="Z891" s="3">
        <f t="shared" si="488"/>
        <v>0</v>
      </c>
      <c r="AA891" s="3"/>
      <c r="AB891" s="3"/>
      <c r="AC891" s="3"/>
      <c r="AD891" s="3">
        <f t="shared" si="489"/>
        <v>0</v>
      </c>
      <c r="AE891" s="3"/>
      <c r="AF891" s="3">
        <f t="shared" si="490"/>
        <v>0</v>
      </c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42"/>
      <c r="AR891" s="3"/>
      <c r="AS891" s="42"/>
      <c r="AT891" s="3"/>
      <c r="AU891" s="42"/>
      <c r="AV891" s="3"/>
      <c r="AW891" s="42"/>
      <c r="AX891" s="3"/>
      <c r="AY891" s="42"/>
      <c r="AZ891" s="3"/>
    </row>
    <row r="892" spans="1:53" s="77" customFormat="1" x14ac:dyDescent="0.25">
      <c r="A892" s="3" t="s">
        <v>642</v>
      </c>
      <c r="B892" s="3"/>
      <c r="C892" s="3"/>
      <c r="D892" s="29"/>
      <c r="E892" s="3">
        <f t="shared" si="481"/>
        <v>0</v>
      </c>
      <c r="F892" s="29"/>
      <c r="G892" s="3"/>
      <c r="H892" s="5">
        <f t="shared" si="482"/>
        <v>0</v>
      </c>
      <c r="I892" s="5"/>
      <c r="J892" s="5"/>
      <c r="K892" s="4">
        <f t="shared" si="483"/>
        <v>0</v>
      </c>
      <c r="L892" s="4"/>
      <c r="M892" s="4"/>
      <c r="N892" s="4">
        <f t="shared" si="484"/>
        <v>0</v>
      </c>
      <c r="O892" s="3"/>
      <c r="P892" s="3">
        <v>2500</v>
      </c>
      <c r="Q892" s="3"/>
      <c r="R892" s="3"/>
      <c r="S892" s="3">
        <f t="shared" si="485"/>
        <v>0</v>
      </c>
      <c r="T892" s="3">
        <v>0</v>
      </c>
      <c r="U892" s="3">
        <f t="shared" si="486"/>
        <v>-2500</v>
      </c>
      <c r="V892" s="3"/>
      <c r="W892" s="3">
        <f t="shared" si="487"/>
        <v>0</v>
      </c>
      <c r="X892" s="3"/>
      <c r="Y892" s="3"/>
      <c r="Z892" s="3">
        <f t="shared" si="488"/>
        <v>0</v>
      </c>
      <c r="AA892" s="3"/>
      <c r="AB892" s="3"/>
      <c r="AC892" s="3"/>
      <c r="AD892" s="3">
        <f t="shared" si="489"/>
        <v>0</v>
      </c>
      <c r="AE892" s="3"/>
      <c r="AF892" s="3">
        <f t="shared" si="490"/>
        <v>0</v>
      </c>
      <c r="AG892" s="3"/>
      <c r="AH892" s="3">
        <v>2500</v>
      </c>
      <c r="AI892" s="3"/>
      <c r="AJ892" s="3">
        <v>2500</v>
      </c>
      <c r="AK892" s="3"/>
      <c r="AL892" s="3">
        <v>2500</v>
      </c>
      <c r="AM892" s="3"/>
      <c r="AN892" s="3">
        <v>2500</v>
      </c>
      <c r="AO892" s="3"/>
      <c r="AP892" s="3">
        <v>2500</v>
      </c>
      <c r="AQ892" s="42"/>
      <c r="AR892" s="3">
        <v>2500</v>
      </c>
      <c r="AS892" s="42"/>
      <c r="AT892" s="3">
        <v>2500</v>
      </c>
      <c r="AU892" s="42"/>
      <c r="AV892" s="3">
        <v>2500</v>
      </c>
      <c r="AW892" s="42"/>
      <c r="AX892" s="3">
        <v>2500</v>
      </c>
      <c r="AY892" s="42"/>
      <c r="AZ892" s="3">
        <v>2500</v>
      </c>
      <c r="BA892" s="6"/>
    </row>
    <row r="893" spans="1:53" x14ac:dyDescent="0.25">
      <c r="A893" s="3" t="s">
        <v>643</v>
      </c>
      <c r="B893" s="3"/>
      <c r="E893" s="3">
        <f t="shared" si="481"/>
        <v>0</v>
      </c>
      <c r="H893" s="5">
        <f t="shared" si="482"/>
        <v>0</v>
      </c>
      <c r="K893" s="4">
        <f t="shared" si="483"/>
        <v>0</v>
      </c>
      <c r="L893" s="4"/>
      <c r="N893" s="4">
        <f t="shared" si="484"/>
        <v>0</v>
      </c>
      <c r="P893" s="3"/>
      <c r="Q893" s="3"/>
      <c r="R893" s="3"/>
      <c r="S893" s="3">
        <f t="shared" si="485"/>
        <v>0</v>
      </c>
      <c r="T893" s="3"/>
      <c r="U893" s="3">
        <f t="shared" si="486"/>
        <v>0</v>
      </c>
      <c r="V893" s="3"/>
      <c r="W893" s="3">
        <f t="shared" si="487"/>
        <v>0</v>
      </c>
      <c r="X893" s="3"/>
      <c r="Y893" s="3"/>
      <c r="Z893" s="3">
        <f t="shared" si="488"/>
        <v>0</v>
      </c>
      <c r="AA893" s="3"/>
      <c r="AB893" s="3"/>
      <c r="AC893" s="3"/>
      <c r="AD893" s="3">
        <f t="shared" si="489"/>
        <v>0</v>
      </c>
      <c r="AE893" s="3"/>
      <c r="AF893" s="3">
        <f t="shared" si="490"/>
        <v>0</v>
      </c>
      <c r="AG893" s="3"/>
      <c r="AH893" s="3"/>
      <c r="AI893" s="3"/>
      <c r="AJ893" s="3">
        <v>25000</v>
      </c>
      <c r="AK893" s="3"/>
      <c r="AL893" s="3"/>
      <c r="AM893" s="3"/>
      <c r="AN893" s="3"/>
      <c r="AO893" s="3"/>
      <c r="AP893" s="3"/>
      <c r="AQ893" s="42"/>
      <c r="AR893" s="3"/>
      <c r="AS893" s="42"/>
      <c r="AT893" s="3"/>
      <c r="AU893" s="42"/>
      <c r="AV893" s="3"/>
      <c r="AW893" s="42"/>
      <c r="AX893" s="3"/>
      <c r="AY893" s="42"/>
      <c r="AZ893" s="3"/>
      <c r="BA893" s="77"/>
    </row>
    <row r="894" spans="1:53" x14ac:dyDescent="0.25">
      <c r="A894" s="3" t="s">
        <v>644</v>
      </c>
      <c r="B894" s="3"/>
      <c r="E894" s="3">
        <f t="shared" si="481"/>
        <v>0</v>
      </c>
      <c r="H894" s="5">
        <f t="shared" si="482"/>
        <v>0</v>
      </c>
      <c r="K894" s="4">
        <f t="shared" si="483"/>
        <v>0</v>
      </c>
      <c r="L894" s="4"/>
      <c r="N894" s="4">
        <f t="shared" si="484"/>
        <v>0</v>
      </c>
      <c r="P894" s="3"/>
      <c r="Q894" s="3"/>
      <c r="R894" s="3"/>
      <c r="S894" s="3">
        <f t="shared" si="485"/>
        <v>0</v>
      </c>
      <c r="T894" s="3"/>
      <c r="U894" s="3">
        <f t="shared" si="486"/>
        <v>0</v>
      </c>
      <c r="V894" s="3"/>
      <c r="W894" s="3">
        <f t="shared" si="487"/>
        <v>0</v>
      </c>
      <c r="X894" s="3"/>
      <c r="Y894" s="3"/>
      <c r="Z894" s="3">
        <f t="shared" si="488"/>
        <v>0</v>
      </c>
      <c r="AA894" s="3"/>
      <c r="AB894" s="3"/>
      <c r="AC894" s="3"/>
      <c r="AD894" s="3">
        <f t="shared" si="489"/>
        <v>0</v>
      </c>
      <c r="AE894" s="3"/>
      <c r="AF894" s="3">
        <f t="shared" si="490"/>
        <v>0</v>
      </c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42"/>
      <c r="AR894" s="3"/>
      <c r="AS894" s="42"/>
      <c r="AT894" s="3"/>
      <c r="AU894" s="42"/>
      <c r="AV894" s="3"/>
      <c r="AW894" s="42"/>
      <c r="AX894" s="3"/>
      <c r="AY894" s="42"/>
      <c r="AZ894" s="3"/>
    </row>
    <row r="895" spans="1:53" s="77" customFormat="1" x14ac:dyDescent="0.25">
      <c r="A895" s="3" t="s">
        <v>645</v>
      </c>
      <c r="B895" s="3"/>
      <c r="C895" s="3"/>
      <c r="D895" s="29"/>
      <c r="E895" s="3">
        <f t="shared" si="481"/>
        <v>0</v>
      </c>
      <c r="F895" s="29"/>
      <c r="G895" s="3"/>
      <c r="H895" s="5">
        <f t="shared" si="482"/>
        <v>0</v>
      </c>
      <c r="I895" s="5"/>
      <c r="J895" s="5"/>
      <c r="K895" s="4">
        <f t="shared" si="483"/>
        <v>0</v>
      </c>
      <c r="L895" s="4"/>
      <c r="M895" s="4"/>
      <c r="N895" s="4">
        <f t="shared" si="484"/>
        <v>0</v>
      </c>
      <c r="O895" s="3"/>
      <c r="P895" s="3"/>
      <c r="Q895" s="3"/>
      <c r="R895" s="3"/>
      <c r="S895" s="3">
        <f t="shared" si="485"/>
        <v>0</v>
      </c>
      <c r="T895" s="3"/>
      <c r="U895" s="3">
        <f t="shared" si="486"/>
        <v>0</v>
      </c>
      <c r="V895" s="3"/>
      <c r="W895" s="3">
        <f t="shared" si="487"/>
        <v>0</v>
      </c>
      <c r="X895" s="3"/>
      <c r="Y895" s="3"/>
      <c r="Z895" s="3">
        <f t="shared" si="488"/>
        <v>0</v>
      </c>
      <c r="AA895" s="3"/>
      <c r="AB895" s="3"/>
      <c r="AC895" s="3"/>
      <c r="AD895" s="3">
        <f t="shared" si="489"/>
        <v>0</v>
      </c>
      <c r="AE895" s="3"/>
      <c r="AF895" s="3">
        <f t="shared" si="490"/>
        <v>0</v>
      </c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42"/>
      <c r="AR895" s="3"/>
      <c r="AS895" s="42"/>
      <c r="AT895" s="3"/>
      <c r="AU895" s="42"/>
      <c r="AV895" s="3"/>
      <c r="AW895" s="42"/>
      <c r="AX895" s="3"/>
      <c r="AY895" s="42"/>
      <c r="AZ895" s="3"/>
    </row>
    <row r="896" spans="1:53" x14ac:dyDescent="0.25">
      <c r="A896" s="3" t="s">
        <v>646</v>
      </c>
      <c r="B896" s="3"/>
      <c r="E896" s="3">
        <f t="shared" si="481"/>
        <v>0</v>
      </c>
      <c r="H896" s="5">
        <f t="shared" si="482"/>
        <v>0</v>
      </c>
      <c r="K896" s="4">
        <f t="shared" si="483"/>
        <v>0</v>
      </c>
      <c r="L896" s="4"/>
      <c r="N896" s="4">
        <f t="shared" si="484"/>
        <v>0</v>
      </c>
      <c r="P896" s="3">
        <v>25000</v>
      </c>
      <c r="Q896" s="3"/>
      <c r="R896" s="3"/>
      <c r="S896" s="3">
        <f t="shared" si="485"/>
        <v>25000</v>
      </c>
      <c r="T896" s="3">
        <v>25000</v>
      </c>
      <c r="U896" s="3">
        <f t="shared" si="486"/>
        <v>0</v>
      </c>
      <c r="V896" s="3"/>
      <c r="W896" s="3">
        <f t="shared" si="487"/>
        <v>0</v>
      </c>
      <c r="X896" s="3"/>
      <c r="Y896" s="3">
        <v>0</v>
      </c>
      <c r="Z896" s="3">
        <f t="shared" si="488"/>
        <v>-25000</v>
      </c>
      <c r="AA896" s="3"/>
      <c r="AB896" s="3"/>
      <c r="AC896" s="3"/>
      <c r="AD896" s="3">
        <f t="shared" si="489"/>
        <v>0</v>
      </c>
      <c r="AE896" s="3"/>
      <c r="AF896" s="3">
        <f t="shared" si="490"/>
        <v>0</v>
      </c>
      <c r="AG896" s="3"/>
      <c r="AH896" s="3">
        <f>AA896-V896</f>
        <v>0</v>
      </c>
      <c r="AI896" s="3"/>
      <c r="AJ896" s="3"/>
      <c r="AK896" s="3"/>
      <c r="AL896" s="3"/>
      <c r="AM896" s="3"/>
      <c r="AN896" s="3"/>
      <c r="AO896" s="3"/>
      <c r="AP896" s="3"/>
      <c r="AQ896" s="42"/>
      <c r="AR896" s="3"/>
      <c r="AS896" s="42"/>
      <c r="AT896" s="3"/>
      <c r="AU896" s="42"/>
      <c r="AV896" s="3"/>
      <c r="AW896" s="42"/>
      <c r="AX896" s="3"/>
      <c r="AY896" s="42"/>
      <c r="AZ896" s="3"/>
      <c r="BA896" s="77"/>
    </row>
    <row r="897" spans="1:53" s="77" customFormat="1" x14ac:dyDescent="0.25">
      <c r="A897" s="3" t="s">
        <v>647</v>
      </c>
      <c r="B897" s="3"/>
      <c r="C897" s="3"/>
      <c r="D897" s="29"/>
      <c r="E897" s="3">
        <f t="shared" si="481"/>
        <v>0</v>
      </c>
      <c r="F897" s="29"/>
      <c r="G897" s="3"/>
      <c r="H897" s="5">
        <f t="shared" si="482"/>
        <v>0</v>
      </c>
      <c r="I897" s="5"/>
      <c r="J897" s="5"/>
      <c r="K897" s="4">
        <f t="shared" si="483"/>
        <v>0</v>
      </c>
      <c r="L897" s="4"/>
      <c r="M897" s="4"/>
      <c r="N897" s="4">
        <f t="shared" si="484"/>
        <v>0</v>
      </c>
      <c r="O897" s="3"/>
      <c r="P897" s="3">
        <v>5000</v>
      </c>
      <c r="Q897" s="3"/>
      <c r="R897" s="3"/>
      <c r="S897" s="3">
        <f t="shared" si="485"/>
        <v>5000</v>
      </c>
      <c r="T897" s="3">
        <v>5000</v>
      </c>
      <c r="U897" s="3">
        <f t="shared" si="486"/>
        <v>0</v>
      </c>
      <c r="V897" s="3"/>
      <c r="W897" s="3">
        <f t="shared" si="487"/>
        <v>0</v>
      </c>
      <c r="X897" s="3"/>
      <c r="Y897" s="3">
        <v>0</v>
      </c>
      <c r="Z897" s="3">
        <f t="shared" si="488"/>
        <v>-5000</v>
      </c>
      <c r="AA897" s="3"/>
      <c r="AB897" s="3"/>
      <c r="AC897" s="3"/>
      <c r="AD897" s="3">
        <f t="shared" si="489"/>
        <v>0</v>
      </c>
      <c r="AE897" s="3"/>
      <c r="AF897" s="3">
        <f t="shared" si="490"/>
        <v>0</v>
      </c>
      <c r="AG897" s="3"/>
      <c r="AH897" s="3">
        <f>AA897-V897</f>
        <v>0</v>
      </c>
      <c r="AI897" s="3"/>
      <c r="AJ897" s="3"/>
      <c r="AK897" s="3"/>
      <c r="AL897" s="3"/>
      <c r="AM897" s="3"/>
      <c r="AN897" s="3"/>
      <c r="AO897" s="3"/>
      <c r="AP897" s="3"/>
      <c r="AQ897" s="42"/>
      <c r="AR897" s="3"/>
      <c r="AS897" s="42"/>
      <c r="AT897" s="3"/>
      <c r="AU897" s="42"/>
      <c r="AV897" s="3"/>
      <c r="AW897" s="42"/>
      <c r="AX897" s="3"/>
      <c r="AY897" s="42"/>
      <c r="AZ897" s="3"/>
      <c r="BA897" s="6"/>
    </row>
    <row r="898" spans="1:53" s="77" customFormat="1" x14ac:dyDescent="0.25">
      <c r="A898" s="3" t="s">
        <v>648</v>
      </c>
      <c r="B898" s="3"/>
      <c r="C898" s="3"/>
      <c r="D898" s="29"/>
      <c r="E898" s="3"/>
      <c r="F898" s="29"/>
      <c r="G898" s="3"/>
      <c r="H898" s="5"/>
      <c r="I898" s="5"/>
      <c r="J898" s="5"/>
      <c r="K898" s="4"/>
      <c r="L898" s="4"/>
      <c r="M898" s="4"/>
      <c r="N898" s="4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>
        <v>240000</v>
      </c>
      <c r="AI898" s="3"/>
      <c r="AJ898" s="3"/>
      <c r="AK898" s="3"/>
      <c r="AL898" s="3"/>
      <c r="AM898" s="3"/>
      <c r="AN898" s="3"/>
      <c r="AO898" s="3"/>
      <c r="AP898" s="3"/>
      <c r="AQ898" s="42"/>
      <c r="AR898" s="3"/>
      <c r="AS898" s="42"/>
      <c r="AT898" s="3"/>
      <c r="AU898" s="42"/>
      <c r="AV898" s="3"/>
      <c r="AW898" s="42"/>
      <c r="AX898" s="3"/>
      <c r="AY898" s="42"/>
      <c r="AZ898" s="3"/>
    </row>
    <row r="899" spans="1:53" x14ac:dyDescent="0.25">
      <c r="A899" s="3" t="s">
        <v>649</v>
      </c>
      <c r="B899" s="3"/>
      <c r="D899" s="5">
        <v>4727</v>
      </c>
      <c r="E899" s="3">
        <f t="shared" si="481"/>
        <v>5273</v>
      </c>
      <c r="F899" s="5">
        <v>10000</v>
      </c>
      <c r="H899" s="5">
        <f t="shared" si="482"/>
        <v>10000</v>
      </c>
      <c r="K899" s="4">
        <f t="shared" si="483"/>
        <v>10000</v>
      </c>
      <c r="L899" s="4">
        <v>10000</v>
      </c>
      <c r="N899" s="4">
        <f t="shared" si="484"/>
        <v>0</v>
      </c>
      <c r="P899" s="3"/>
      <c r="Q899" s="3"/>
      <c r="R899" s="3"/>
      <c r="S899" s="3">
        <f t="shared" si="485"/>
        <v>0</v>
      </c>
      <c r="T899" s="3"/>
      <c r="U899" s="3">
        <f t="shared" si="486"/>
        <v>0</v>
      </c>
      <c r="V899" s="3"/>
      <c r="W899" s="3">
        <f t="shared" si="487"/>
        <v>0</v>
      </c>
      <c r="X899" s="3"/>
      <c r="Y899" s="3"/>
      <c r="Z899" s="3">
        <f t="shared" si="488"/>
        <v>0</v>
      </c>
      <c r="AA899" s="3"/>
      <c r="AB899" s="3"/>
      <c r="AC899" s="3"/>
      <c r="AD899" s="3">
        <f t="shared" si="489"/>
        <v>0</v>
      </c>
      <c r="AE899" s="3"/>
      <c r="AF899" s="3">
        <f t="shared" si="490"/>
        <v>0</v>
      </c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42"/>
      <c r="AR899" s="3"/>
      <c r="AS899" s="42"/>
      <c r="AT899" s="3"/>
      <c r="AU899" s="42"/>
      <c r="AV899" s="3"/>
      <c r="AW899" s="42"/>
      <c r="AX899" s="3"/>
      <c r="AY899" s="42"/>
      <c r="AZ899" s="3"/>
    </row>
    <row r="900" spans="1:53" s="77" customFormat="1" x14ac:dyDescent="0.25">
      <c r="A900" s="3" t="s">
        <v>650</v>
      </c>
      <c r="B900" s="3"/>
      <c r="C900" s="3"/>
      <c r="D900" s="29"/>
      <c r="E900" s="3">
        <f t="shared" si="481"/>
        <v>0</v>
      </c>
      <c r="F900" s="29"/>
      <c r="G900" s="3"/>
      <c r="H900" s="5">
        <f t="shared" si="482"/>
        <v>0</v>
      </c>
      <c r="I900" s="5"/>
      <c r="J900" s="5"/>
      <c r="K900" s="4">
        <f t="shared" si="483"/>
        <v>0</v>
      </c>
      <c r="L900" s="4"/>
      <c r="M900" s="4"/>
      <c r="N900" s="4">
        <f t="shared" si="484"/>
        <v>0</v>
      </c>
      <c r="O900" s="3"/>
      <c r="P900" s="3"/>
      <c r="Q900" s="3"/>
      <c r="R900" s="3"/>
      <c r="S900" s="3">
        <f t="shared" si="485"/>
        <v>0</v>
      </c>
      <c r="T900" s="3"/>
      <c r="U900" s="3">
        <f t="shared" si="486"/>
        <v>0</v>
      </c>
      <c r="V900" s="3"/>
      <c r="W900" s="3">
        <f t="shared" si="487"/>
        <v>0</v>
      </c>
      <c r="X900" s="3"/>
      <c r="Y900" s="3"/>
      <c r="Z900" s="3">
        <f t="shared" si="488"/>
        <v>0</v>
      </c>
      <c r="AA900" s="3"/>
      <c r="AB900" s="3"/>
      <c r="AC900" s="3"/>
      <c r="AD900" s="3">
        <f t="shared" si="489"/>
        <v>0</v>
      </c>
      <c r="AE900" s="3"/>
      <c r="AF900" s="3">
        <f t="shared" si="490"/>
        <v>0</v>
      </c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42"/>
      <c r="AR900" s="3"/>
      <c r="AS900" s="42"/>
      <c r="AT900" s="3"/>
      <c r="AU900" s="42"/>
      <c r="AV900" s="3"/>
      <c r="AW900" s="42"/>
      <c r="AX900" s="3"/>
      <c r="AY900" s="42"/>
      <c r="AZ900" s="3"/>
    </row>
    <row r="901" spans="1:53" x14ac:dyDescent="0.25">
      <c r="A901" s="3" t="s">
        <v>651</v>
      </c>
      <c r="B901" s="3"/>
      <c r="E901" s="3">
        <f t="shared" si="481"/>
        <v>0</v>
      </c>
      <c r="H901" s="5">
        <f t="shared" si="482"/>
        <v>0</v>
      </c>
      <c r="K901" s="4">
        <f t="shared" si="483"/>
        <v>0</v>
      </c>
      <c r="L901" s="4"/>
      <c r="N901" s="4">
        <f t="shared" si="484"/>
        <v>0</v>
      </c>
      <c r="P901" s="3"/>
      <c r="Q901" s="3"/>
      <c r="R901" s="3"/>
      <c r="S901" s="3">
        <f t="shared" si="485"/>
        <v>0</v>
      </c>
      <c r="T901" s="3"/>
      <c r="U901" s="3">
        <f t="shared" si="486"/>
        <v>0</v>
      </c>
      <c r="V901" s="3"/>
      <c r="W901" s="3">
        <f t="shared" si="487"/>
        <v>0</v>
      </c>
      <c r="X901" s="3"/>
      <c r="Y901" s="3"/>
      <c r="Z901" s="3">
        <f t="shared" si="488"/>
        <v>0</v>
      </c>
      <c r="AA901" s="3"/>
      <c r="AB901" s="3"/>
      <c r="AC901" s="3"/>
      <c r="AD901" s="3">
        <f t="shared" si="489"/>
        <v>0</v>
      </c>
      <c r="AE901" s="3"/>
      <c r="AF901" s="3">
        <f t="shared" si="490"/>
        <v>0</v>
      </c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42"/>
      <c r="AR901" s="3"/>
      <c r="AS901" s="42"/>
      <c r="AT901" s="3"/>
      <c r="AU901" s="42"/>
      <c r="AV901" s="3"/>
      <c r="AW901" s="42"/>
      <c r="AX901" s="3"/>
      <c r="AY901" s="42"/>
      <c r="AZ901" s="3"/>
    </row>
    <row r="902" spans="1:53" s="77" customFormat="1" x14ac:dyDescent="0.25">
      <c r="A902" s="3" t="s">
        <v>652</v>
      </c>
      <c r="B902" s="3"/>
      <c r="C902" s="3"/>
      <c r="D902" s="29"/>
      <c r="E902" s="3">
        <f t="shared" si="481"/>
        <v>0</v>
      </c>
      <c r="F902" s="29"/>
      <c r="G902" s="3"/>
      <c r="H902" s="5">
        <f t="shared" si="482"/>
        <v>0</v>
      </c>
      <c r="I902" s="5"/>
      <c r="J902" s="5"/>
      <c r="K902" s="4">
        <f t="shared" si="483"/>
        <v>0</v>
      </c>
      <c r="L902" s="4"/>
      <c r="M902" s="4"/>
      <c r="N902" s="4">
        <f t="shared" si="484"/>
        <v>0</v>
      </c>
      <c r="O902" s="3"/>
      <c r="P902" s="3"/>
      <c r="Q902" s="3"/>
      <c r="R902" s="3"/>
      <c r="S902" s="3">
        <f t="shared" si="485"/>
        <v>0</v>
      </c>
      <c r="T902" s="3"/>
      <c r="U902" s="3">
        <f t="shared" si="486"/>
        <v>0</v>
      </c>
      <c r="V902" s="3"/>
      <c r="W902" s="3">
        <f t="shared" si="487"/>
        <v>0</v>
      </c>
      <c r="X902" s="3"/>
      <c r="Y902" s="3"/>
      <c r="Z902" s="3">
        <f t="shared" si="488"/>
        <v>0</v>
      </c>
      <c r="AA902" s="3"/>
      <c r="AB902" s="3"/>
      <c r="AC902" s="3"/>
      <c r="AD902" s="3">
        <f t="shared" si="489"/>
        <v>0</v>
      </c>
      <c r="AE902" s="3"/>
      <c r="AF902" s="3">
        <f t="shared" si="490"/>
        <v>0</v>
      </c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42"/>
      <c r="AR902" s="3"/>
      <c r="AS902" s="42"/>
      <c r="AT902" s="3"/>
      <c r="AU902" s="42"/>
      <c r="AV902" s="3"/>
      <c r="AW902" s="42"/>
      <c r="AX902" s="3"/>
      <c r="AY902" s="42"/>
      <c r="AZ902" s="3"/>
    </row>
    <row r="903" spans="1:53" x14ac:dyDescent="0.25">
      <c r="A903" s="3" t="s">
        <v>653</v>
      </c>
      <c r="B903" s="3">
        <v>20000</v>
      </c>
      <c r="E903" s="3">
        <f t="shared" si="481"/>
        <v>10000</v>
      </c>
      <c r="F903" s="5">
        <v>10000</v>
      </c>
      <c r="H903" s="5">
        <f t="shared" si="482"/>
        <v>-10000</v>
      </c>
      <c r="J903" s="5">
        <v>3418</v>
      </c>
      <c r="K903" s="4">
        <f t="shared" si="483"/>
        <v>6582</v>
      </c>
      <c r="L903" s="4">
        <v>10000</v>
      </c>
      <c r="N903" s="4">
        <f t="shared" si="484"/>
        <v>0</v>
      </c>
      <c r="P903" s="3">
        <v>55000</v>
      </c>
      <c r="Q903" s="3"/>
      <c r="R903" s="3">
        <v>2940</v>
      </c>
      <c r="S903" s="3">
        <f t="shared" si="485"/>
        <v>52060</v>
      </c>
      <c r="T903" s="3">
        <v>55000</v>
      </c>
      <c r="U903" s="3">
        <f t="shared" si="486"/>
        <v>0</v>
      </c>
      <c r="V903" s="3"/>
      <c r="W903" s="3">
        <f t="shared" si="487"/>
        <v>0</v>
      </c>
      <c r="X903" s="3"/>
      <c r="Y903" s="3">
        <v>0</v>
      </c>
      <c r="Z903" s="3">
        <f t="shared" si="488"/>
        <v>-55000</v>
      </c>
      <c r="AA903" s="3"/>
      <c r="AB903" s="3"/>
      <c r="AC903" s="3"/>
      <c r="AD903" s="3">
        <f t="shared" si="489"/>
        <v>0</v>
      </c>
      <c r="AE903" s="3"/>
      <c r="AF903" s="3">
        <f t="shared" si="490"/>
        <v>0</v>
      </c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42"/>
      <c r="AR903" s="3"/>
      <c r="AS903" s="42"/>
      <c r="AT903" s="3"/>
      <c r="AU903" s="42"/>
      <c r="AV903" s="3"/>
      <c r="AW903" s="42"/>
      <c r="AX903" s="3"/>
      <c r="AY903" s="42"/>
      <c r="AZ903" s="3"/>
    </row>
    <row r="904" spans="1:53" s="77" customFormat="1" x14ac:dyDescent="0.25">
      <c r="A904" s="3" t="s">
        <v>654</v>
      </c>
      <c r="B904" s="3"/>
      <c r="C904" s="3"/>
      <c r="D904" s="29"/>
      <c r="E904" s="3">
        <f t="shared" si="481"/>
        <v>0</v>
      </c>
      <c r="F904" s="29"/>
      <c r="G904" s="3"/>
      <c r="H904" s="5">
        <f t="shared" si="482"/>
        <v>0</v>
      </c>
      <c r="I904" s="5"/>
      <c r="J904" s="5"/>
      <c r="K904" s="4">
        <f t="shared" si="483"/>
        <v>0</v>
      </c>
      <c r="L904" s="4"/>
      <c r="M904" s="4"/>
      <c r="N904" s="4">
        <f t="shared" si="484"/>
        <v>0</v>
      </c>
      <c r="O904" s="3"/>
      <c r="P904" s="3">
        <v>15000</v>
      </c>
      <c r="Q904" s="3"/>
      <c r="R904" s="3"/>
      <c r="S904" s="3">
        <f t="shared" si="485"/>
        <v>15000</v>
      </c>
      <c r="T904" s="3">
        <v>15000</v>
      </c>
      <c r="U904" s="3">
        <f t="shared" si="486"/>
        <v>0</v>
      </c>
      <c r="V904" s="3"/>
      <c r="W904" s="3">
        <f t="shared" si="487"/>
        <v>0</v>
      </c>
      <c r="X904" s="3"/>
      <c r="Y904" s="3">
        <v>0</v>
      </c>
      <c r="Z904" s="3">
        <f t="shared" si="488"/>
        <v>-15000</v>
      </c>
      <c r="AA904" s="3"/>
      <c r="AB904" s="3"/>
      <c r="AC904" s="3"/>
      <c r="AD904" s="3">
        <f t="shared" si="489"/>
        <v>0</v>
      </c>
      <c r="AE904" s="3"/>
      <c r="AF904" s="3">
        <f t="shared" si="490"/>
        <v>0</v>
      </c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42"/>
      <c r="AR904" s="3"/>
      <c r="AS904" s="42"/>
      <c r="AT904" s="3"/>
      <c r="AU904" s="42"/>
      <c r="AV904" s="3"/>
      <c r="AW904" s="42"/>
      <c r="AX904" s="3"/>
      <c r="AY904" s="42"/>
      <c r="AZ904" s="3"/>
      <c r="BA904" s="6"/>
    </row>
    <row r="905" spans="1:53" x14ac:dyDescent="0.25">
      <c r="A905" s="3" t="s">
        <v>655</v>
      </c>
      <c r="B905" s="3"/>
      <c r="E905" s="3">
        <f t="shared" si="481"/>
        <v>0</v>
      </c>
      <c r="H905" s="5">
        <f t="shared" si="482"/>
        <v>0</v>
      </c>
      <c r="K905" s="4">
        <f t="shared" si="483"/>
        <v>0</v>
      </c>
      <c r="L905" s="4"/>
      <c r="N905" s="4">
        <f t="shared" si="484"/>
        <v>0</v>
      </c>
      <c r="P905" s="3"/>
      <c r="Q905" s="3"/>
      <c r="R905" s="3"/>
      <c r="S905" s="3">
        <f t="shared" si="485"/>
        <v>0</v>
      </c>
      <c r="T905" s="3"/>
      <c r="U905" s="3">
        <f t="shared" si="486"/>
        <v>0</v>
      </c>
      <c r="V905" s="3"/>
      <c r="W905" s="3">
        <f t="shared" si="487"/>
        <v>0</v>
      </c>
      <c r="X905" s="3"/>
      <c r="Y905" s="3"/>
      <c r="Z905" s="3">
        <f t="shared" si="488"/>
        <v>0</v>
      </c>
      <c r="AA905" s="3"/>
      <c r="AB905" s="3"/>
      <c r="AC905" s="3"/>
      <c r="AD905" s="3">
        <f t="shared" si="489"/>
        <v>0</v>
      </c>
      <c r="AE905" s="3"/>
      <c r="AF905" s="3">
        <f t="shared" si="490"/>
        <v>0</v>
      </c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42"/>
      <c r="AR905" s="3"/>
      <c r="AS905" s="42"/>
      <c r="AT905" s="3"/>
      <c r="AU905" s="42"/>
      <c r="AV905" s="3"/>
      <c r="AW905" s="42"/>
      <c r="AX905" s="3"/>
      <c r="AY905" s="42"/>
      <c r="AZ905" s="3"/>
    </row>
    <row r="906" spans="1:53" x14ac:dyDescent="0.25">
      <c r="A906" s="3" t="s">
        <v>656</v>
      </c>
      <c r="B906" s="3"/>
      <c r="E906" s="3">
        <f t="shared" si="481"/>
        <v>0</v>
      </c>
      <c r="H906" s="5">
        <f t="shared" si="482"/>
        <v>0</v>
      </c>
      <c r="K906" s="4">
        <f t="shared" si="483"/>
        <v>0</v>
      </c>
      <c r="L906" s="4"/>
      <c r="N906" s="4">
        <f t="shared" si="484"/>
        <v>0</v>
      </c>
      <c r="P906" s="3"/>
      <c r="Q906" s="3"/>
      <c r="R906" s="3"/>
      <c r="S906" s="3">
        <f t="shared" si="485"/>
        <v>0</v>
      </c>
      <c r="T906" s="3"/>
      <c r="U906" s="3">
        <f t="shared" si="486"/>
        <v>0</v>
      </c>
      <c r="V906" s="3"/>
      <c r="W906" s="3">
        <f t="shared" si="487"/>
        <v>0</v>
      </c>
      <c r="X906" s="3"/>
      <c r="Y906" s="3"/>
      <c r="Z906" s="3">
        <f t="shared" si="488"/>
        <v>0</v>
      </c>
      <c r="AA906" s="3"/>
      <c r="AB906" s="3"/>
      <c r="AC906" s="3"/>
      <c r="AD906" s="3">
        <f t="shared" si="489"/>
        <v>0</v>
      </c>
      <c r="AE906" s="3"/>
      <c r="AF906" s="3">
        <f t="shared" si="490"/>
        <v>0</v>
      </c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42"/>
      <c r="AR906" s="3"/>
      <c r="AS906" s="42"/>
      <c r="AT906" s="3"/>
      <c r="AU906" s="42"/>
      <c r="AV906" s="3"/>
      <c r="AW906" s="42"/>
      <c r="AX906" s="3"/>
      <c r="AY906" s="42"/>
      <c r="AZ906" s="3"/>
      <c r="BA906" s="77"/>
    </row>
    <row r="907" spans="1:53" x14ac:dyDescent="0.25">
      <c r="A907" s="3" t="s">
        <v>657</v>
      </c>
      <c r="B907" s="3"/>
      <c r="E907" s="3">
        <f t="shared" si="481"/>
        <v>0</v>
      </c>
      <c r="H907" s="5">
        <f t="shared" si="482"/>
        <v>0</v>
      </c>
      <c r="K907" s="4">
        <f t="shared" si="483"/>
        <v>0</v>
      </c>
      <c r="L907" s="4"/>
      <c r="N907" s="4">
        <f t="shared" si="484"/>
        <v>0</v>
      </c>
      <c r="P907" s="3"/>
      <c r="Q907" s="3"/>
      <c r="R907" s="3"/>
      <c r="S907" s="3">
        <f t="shared" si="485"/>
        <v>0</v>
      </c>
      <c r="T907" s="3"/>
      <c r="U907" s="3">
        <f t="shared" si="486"/>
        <v>0</v>
      </c>
      <c r="V907" s="3"/>
      <c r="W907" s="3">
        <f t="shared" si="487"/>
        <v>0</v>
      </c>
      <c r="X907" s="3"/>
      <c r="Y907" s="3"/>
      <c r="Z907" s="3">
        <f t="shared" si="488"/>
        <v>0</v>
      </c>
      <c r="AA907" s="3"/>
      <c r="AB907" s="3"/>
      <c r="AC907" s="3"/>
      <c r="AD907" s="3">
        <f t="shared" si="489"/>
        <v>0</v>
      </c>
      <c r="AE907" s="3"/>
      <c r="AF907" s="3">
        <f t="shared" si="490"/>
        <v>0</v>
      </c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42"/>
      <c r="AR907" s="3"/>
      <c r="AS907" s="42"/>
      <c r="AT907" s="3"/>
      <c r="AU907" s="42"/>
      <c r="AV907" s="3"/>
      <c r="AW907" s="42"/>
      <c r="AX907" s="3"/>
      <c r="AY907" s="42"/>
      <c r="AZ907" s="3"/>
    </row>
    <row r="908" spans="1:53" s="77" customFormat="1" x14ac:dyDescent="0.25">
      <c r="A908" s="3" t="s">
        <v>658</v>
      </c>
      <c r="B908" s="3"/>
      <c r="C908" s="3"/>
      <c r="D908" s="29"/>
      <c r="E908" s="3">
        <f t="shared" si="481"/>
        <v>0</v>
      </c>
      <c r="F908" s="29"/>
      <c r="G908" s="3"/>
      <c r="H908" s="5">
        <f t="shared" si="482"/>
        <v>0</v>
      </c>
      <c r="I908" s="5"/>
      <c r="J908" s="5"/>
      <c r="K908" s="4">
        <f t="shared" si="483"/>
        <v>0</v>
      </c>
      <c r="L908" s="4"/>
      <c r="M908" s="4"/>
      <c r="N908" s="4">
        <f t="shared" si="484"/>
        <v>0</v>
      </c>
      <c r="O908" s="3"/>
      <c r="P908" s="3"/>
      <c r="Q908" s="3"/>
      <c r="R908" s="3"/>
      <c r="S908" s="3">
        <f t="shared" si="485"/>
        <v>0</v>
      </c>
      <c r="T908" s="3"/>
      <c r="U908" s="3">
        <f t="shared" si="486"/>
        <v>0</v>
      </c>
      <c r="V908" s="3"/>
      <c r="W908" s="3">
        <f t="shared" si="487"/>
        <v>0</v>
      </c>
      <c r="X908" s="3"/>
      <c r="Y908" s="3"/>
      <c r="Z908" s="3">
        <f t="shared" si="488"/>
        <v>0</v>
      </c>
      <c r="AA908" s="3"/>
      <c r="AB908" s="3"/>
      <c r="AC908" s="3"/>
      <c r="AD908" s="3">
        <f t="shared" si="489"/>
        <v>0</v>
      </c>
      <c r="AE908" s="3"/>
      <c r="AF908" s="3">
        <f t="shared" si="490"/>
        <v>0</v>
      </c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42"/>
      <c r="AR908" s="3"/>
      <c r="AS908" s="42"/>
      <c r="AT908" s="3"/>
      <c r="AU908" s="42"/>
      <c r="AV908" s="3"/>
      <c r="AW908" s="42"/>
      <c r="AX908" s="3"/>
      <c r="AY908" s="42"/>
      <c r="AZ908" s="3"/>
    </row>
    <row r="909" spans="1:53" x14ac:dyDescent="0.25">
      <c r="A909" s="3" t="s">
        <v>659</v>
      </c>
      <c r="B909" s="3"/>
      <c r="E909" s="3">
        <f t="shared" si="481"/>
        <v>0</v>
      </c>
      <c r="H909" s="5">
        <f t="shared" si="482"/>
        <v>0</v>
      </c>
      <c r="K909" s="4">
        <f t="shared" si="483"/>
        <v>0</v>
      </c>
      <c r="L909" s="4"/>
      <c r="N909" s="4">
        <f t="shared" si="484"/>
        <v>0</v>
      </c>
      <c r="P909" s="3"/>
      <c r="Q909" s="3"/>
      <c r="R909" s="3"/>
      <c r="S909" s="3">
        <f t="shared" si="485"/>
        <v>0</v>
      </c>
      <c r="T909" s="3"/>
      <c r="U909" s="3">
        <f t="shared" si="486"/>
        <v>0</v>
      </c>
      <c r="V909" s="3"/>
      <c r="W909" s="3">
        <f t="shared" si="487"/>
        <v>0</v>
      </c>
      <c r="X909" s="3"/>
      <c r="Y909" s="3"/>
      <c r="Z909" s="3">
        <f t="shared" si="488"/>
        <v>0</v>
      </c>
      <c r="AA909" s="3"/>
      <c r="AB909" s="3"/>
      <c r="AC909" s="3"/>
      <c r="AD909" s="3">
        <f t="shared" si="489"/>
        <v>0</v>
      </c>
      <c r="AE909" s="3"/>
      <c r="AF909" s="3">
        <f t="shared" si="490"/>
        <v>0</v>
      </c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42"/>
      <c r="AR909" s="3"/>
      <c r="AS909" s="42"/>
      <c r="AT909" s="3"/>
      <c r="AU909" s="42"/>
      <c r="AV909" s="3"/>
      <c r="AW909" s="42"/>
      <c r="AX909" s="3"/>
      <c r="AY909" s="42"/>
      <c r="AZ909" s="3"/>
    </row>
    <row r="910" spans="1:53" s="77" customFormat="1" x14ac:dyDescent="0.25">
      <c r="A910" s="3" t="s">
        <v>660</v>
      </c>
      <c r="B910" s="3"/>
      <c r="C910" s="3"/>
      <c r="D910" s="29"/>
      <c r="E910" s="3">
        <f t="shared" si="481"/>
        <v>0</v>
      </c>
      <c r="F910" s="29"/>
      <c r="G910" s="3"/>
      <c r="H910" s="5">
        <f t="shared" si="482"/>
        <v>0</v>
      </c>
      <c r="I910" s="5"/>
      <c r="J910" s="5"/>
      <c r="K910" s="4">
        <f t="shared" si="483"/>
        <v>0</v>
      </c>
      <c r="L910" s="4"/>
      <c r="M910" s="4"/>
      <c r="N910" s="4">
        <f t="shared" si="484"/>
        <v>0</v>
      </c>
      <c r="O910" s="3"/>
      <c r="P910" s="3"/>
      <c r="Q910" s="3"/>
      <c r="R910" s="3"/>
      <c r="S910" s="3">
        <f t="shared" si="485"/>
        <v>0</v>
      </c>
      <c r="T910" s="3"/>
      <c r="U910" s="3">
        <f t="shared" si="486"/>
        <v>0</v>
      </c>
      <c r="V910" s="3"/>
      <c r="W910" s="3">
        <f t="shared" si="487"/>
        <v>0</v>
      </c>
      <c r="X910" s="3"/>
      <c r="Y910" s="3"/>
      <c r="Z910" s="3">
        <f t="shared" si="488"/>
        <v>0</v>
      </c>
      <c r="AA910" s="3"/>
      <c r="AB910" s="3"/>
      <c r="AC910" s="3"/>
      <c r="AD910" s="3">
        <f t="shared" si="489"/>
        <v>0</v>
      </c>
      <c r="AE910" s="3"/>
      <c r="AF910" s="3">
        <f t="shared" si="490"/>
        <v>0</v>
      </c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42"/>
      <c r="AR910" s="3"/>
      <c r="AS910" s="42"/>
      <c r="AT910" s="3"/>
      <c r="AU910" s="42"/>
      <c r="AV910" s="3"/>
      <c r="AW910" s="42"/>
      <c r="AX910" s="3"/>
      <c r="AY910" s="42"/>
      <c r="AZ910" s="3"/>
    </row>
    <row r="911" spans="1:53" x14ac:dyDescent="0.25">
      <c r="A911" s="3" t="s">
        <v>661</v>
      </c>
      <c r="B911" s="3">
        <v>15000</v>
      </c>
      <c r="E911" s="3">
        <f t="shared" si="481"/>
        <v>15000</v>
      </c>
      <c r="F911" s="5">
        <v>15000</v>
      </c>
      <c r="H911" s="5">
        <f t="shared" si="482"/>
        <v>0</v>
      </c>
      <c r="J911" s="5">
        <v>4862</v>
      </c>
      <c r="K911" s="4">
        <f t="shared" si="483"/>
        <v>10138</v>
      </c>
      <c r="L911" s="4">
        <v>15000</v>
      </c>
      <c r="N911" s="4">
        <f t="shared" si="484"/>
        <v>0</v>
      </c>
      <c r="P911" s="3"/>
      <c r="Q911" s="3"/>
      <c r="R911" s="3"/>
      <c r="S911" s="3">
        <f t="shared" si="485"/>
        <v>0</v>
      </c>
      <c r="T911" s="3"/>
      <c r="U911" s="3">
        <f t="shared" si="486"/>
        <v>0</v>
      </c>
      <c r="V911" s="3"/>
      <c r="W911" s="3">
        <f t="shared" si="487"/>
        <v>0</v>
      </c>
      <c r="X911" s="3"/>
      <c r="Y911" s="3"/>
      <c r="Z911" s="3">
        <f t="shared" si="488"/>
        <v>0</v>
      </c>
      <c r="AA911" s="3"/>
      <c r="AB911" s="3"/>
      <c r="AC911" s="3"/>
      <c r="AD911" s="3">
        <f t="shared" si="489"/>
        <v>0</v>
      </c>
      <c r="AE911" s="3"/>
      <c r="AF911" s="3">
        <f t="shared" si="490"/>
        <v>0</v>
      </c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42"/>
      <c r="AR911" s="3"/>
      <c r="AS911" s="42"/>
      <c r="AT911" s="3"/>
      <c r="AU911" s="42"/>
      <c r="AV911" s="3"/>
      <c r="AW911" s="42"/>
      <c r="AX911" s="3"/>
      <c r="AY911" s="42"/>
      <c r="AZ911" s="3"/>
    </row>
    <row r="912" spans="1:53" s="77" customFormat="1" x14ac:dyDescent="0.25">
      <c r="A912" s="3" t="s">
        <v>662</v>
      </c>
      <c r="B912" s="3"/>
      <c r="C912" s="3"/>
      <c r="D912" s="29"/>
      <c r="E912" s="3">
        <f t="shared" si="481"/>
        <v>0</v>
      </c>
      <c r="F912" s="29"/>
      <c r="G912" s="3"/>
      <c r="H912" s="5">
        <f t="shared" si="482"/>
        <v>0</v>
      </c>
      <c r="I912" s="5"/>
      <c r="J912" s="5"/>
      <c r="K912" s="4">
        <f t="shared" si="483"/>
        <v>0</v>
      </c>
      <c r="L912" s="4"/>
      <c r="M912" s="4"/>
      <c r="N912" s="4">
        <f t="shared" si="484"/>
        <v>0</v>
      </c>
      <c r="O912" s="3"/>
      <c r="P912" s="3"/>
      <c r="Q912" s="3"/>
      <c r="R912" s="3"/>
      <c r="S912" s="3">
        <f t="shared" si="485"/>
        <v>0</v>
      </c>
      <c r="T912" s="3"/>
      <c r="U912" s="3">
        <f t="shared" si="486"/>
        <v>0</v>
      </c>
      <c r="V912" s="3"/>
      <c r="W912" s="3">
        <f t="shared" si="487"/>
        <v>0</v>
      </c>
      <c r="X912" s="3"/>
      <c r="Y912" s="3"/>
      <c r="Z912" s="3">
        <f t="shared" si="488"/>
        <v>0</v>
      </c>
      <c r="AA912" s="3"/>
      <c r="AB912" s="3"/>
      <c r="AC912" s="3"/>
      <c r="AD912" s="3">
        <f t="shared" si="489"/>
        <v>0</v>
      </c>
      <c r="AE912" s="3"/>
      <c r="AF912" s="3">
        <f t="shared" si="490"/>
        <v>0</v>
      </c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42"/>
      <c r="AR912" s="3"/>
      <c r="AS912" s="42"/>
      <c r="AT912" s="3"/>
      <c r="AU912" s="42"/>
      <c r="AV912" s="3"/>
      <c r="AW912" s="42"/>
      <c r="AX912" s="3"/>
      <c r="AY912" s="42"/>
      <c r="AZ912" s="3"/>
    </row>
    <row r="913" spans="1:53" x14ac:dyDescent="0.25">
      <c r="A913" s="3" t="s">
        <v>663</v>
      </c>
      <c r="B913" s="3"/>
      <c r="E913" s="3">
        <f t="shared" si="481"/>
        <v>0</v>
      </c>
      <c r="H913" s="5">
        <f t="shared" si="482"/>
        <v>0</v>
      </c>
      <c r="K913" s="4">
        <f t="shared" si="483"/>
        <v>0</v>
      </c>
      <c r="L913" s="4"/>
      <c r="N913" s="4">
        <f t="shared" si="484"/>
        <v>0</v>
      </c>
      <c r="P913" s="3"/>
      <c r="Q913" s="3"/>
      <c r="R913" s="3"/>
      <c r="S913" s="3">
        <f t="shared" si="485"/>
        <v>0</v>
      </c>
      <c r="T913" s="3"/>
      <c r="U913" s="3">
        <f t="shared" si="486"/>
        <v>0</v>
      </c>
      <c r="V913" s="3"/>
      <c r="W913" s="3">
        <f t="shared" si="487"/>
        <v>0</v>
      </c>
      <c r="X913" s="3"/>
      <c r="Y913" s="3"/>
      <c r="Z913" s="3">
        <f t="shared" si="488"/>
        <v>0</v>
      </c>
      <c r="AA913" s="3"/>
      <c r="AB913" s="3"/>
      <c r="AC913" s="3"/>
      <c r="AD913" s="3">
        <f t="shared" si="489"/>
        <v>0</v>
      </c>
      <c r="AE913" s="3"/>
      <c r="AF913" s="3">
        <f t="shared" si="490"/>
        <v>0</v>
      </c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42"/>
      <c r="AR913" s="3"/>
      <c r="AS913" s="42"/>
      <c r="AT913" s="3"/>
      <c r="AU913" s="42"/>
      <c r="AV913" s="3"/>
      <c r="AW913" s="42"/>
      <c r="AX913" s="3"/>
      <c r="AY913" s="42"/>
      <c r="AZ913" s="3"/>
    </row>
    <row r="914" spans="1:53" s="77" customFormat="1" x14ac:dyDescent="0.25">
      <c r="A914" s="3" t="s">
        <v>664</v>
      </c>
      <c r="B914" s="3"/>
      <c r="C914" s="3"/>
      <c r="D914" s="29"/>
      <c r="E914" s="3">
        <f t="shared" ref="E914:E939" si="491">F914-D914</f>
        <v>0</v>
      </c>
      <c r="F914" s="29"/>
      <c r="G914" s="3"/>
      <c r="H914" s="5">
        <f t="shared" ref="H914:H939" si="492">F914-B914</f>
        <v>0</v>
      </c>
      <c r="I914" s="5"/>
      <c r="J914" s="5"/>
      <c r="K914" s="4">
        <f t="shared" ref="K914:K984" si="493">L914-J914</f>
        <v>0</v>
      </c>
      <c r="L914" s="4"/>
      <c r="M914" s="4"/>
      <c r="N914" s="4">
        <f t="shared" ref="N914:N984" si="494">L914-F914</f>
        <v>0</v>
      </c>
      <c r="O914" s="3"/>
      <c r="P914" s="3"/>
      <c r="Q914" s="3"/>
      <c r="R914" s="3"/>
      <c r="S914" s="3">
        <f t="shared" si="485"/>
        <v>0</v>
      </c>
      <c r="T914" s="3"/>
      <c r="U914" s="3">
        <f t="shared" si="486"/>
        <v>0</v>
      </c>
      <c r="V914" s="3"/>
      <c r="W914" s="3">
        <f t="shared" si="487"/>
        <v>0</v>
      </c>
      <c r="X914" s="3"/>
      <c r="Y914" s="3"/>
      <c r="Z914" s="3">
        <f t="shared" ref="Z914:Z977" si="495">Y914-T914</f>
        <v>0</v>
      </c>
      <c r="AA914" s="3"/>
      <c r="AB914" s="3"/>
      <c r="AC914" s="3"/>
      <c r="AD914" s="3">
        <f t="shared" si="489"/>
        <v>0</v>
      </c>
      <c r="AE914" s="3"/>
      <c r="AF914" s="3">
        <f t="shared" si="490"/>
        <v>0</v>
      </c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42"/>
      <c r="AR914" s="3"/>
      <c r="AS914" s="42"/>
      <c r="AT914" s="3"/>
      <c r="AU914" s="42"/>
      <c r="AV914" s="3"/>
      <c r="AW914" s="42"/>
      <c r="AX914" s="3"/>
      <c r="AY914" s="42"/>
      <c r="AZ914" s="3"/>
    </row>
    <row r="915" spans="1:53" x14ac:dyDescent="0.25">
      <c r="A915" s="3" t="s">
        <v>665</v>
      </c>
      <c r="B915" s="3"/>
      <c r="E915" s="3">
        <f t="shared" si="491"/>
        <v>0</v>
      </c>
      <c r="H915" s="5">
        <f t="shared" si="492"/>
        <v>0</v>
      </c>
      <c r="K915" s="4">
        <f t="shared" si="493"/>
        <v>0</v>
      </c>
      <c r="L915" s="4"/>
      <c r="N915" s="4">
        <f t="shared" si="494"/>
        <v>0</v>
      </c>
      <c r="P915" s="3">
        <v>10000</v>
      </c>
      <c r="Q915" s="3"/>
      <c r="R915" s="3"/>
      <c r="S915" s="3">
        <f t="shared" si="485"/>
        <v>5000</v>
      </c>
      <c r="T915" s="3">
        <v>5000</v>
      </c>
      <c r="U915" s="3">
        <f t="shared" si="486"/>
        <v>-5000</v>
      </c>
      <c r="V915" s="3"/>
      <c r="W915" s="3">
        <f t="shared" si="487"/>
        <v>5000</v>
      </c>
      <c r="X915" s="3"/>
      <c r="Y915" s="3">
        <v>5000</v>
      </c>
      <c r="Z915" s="3">
        <f t="shared" si="495"/>
        <v>0</v>
      </c>
      <c r="AA915" s="3"/>
      <c r="AB915" s="3"/>
      <c r="AC915" s="3"/>
      <c r="AD915" s="3">
        <f t="shared" si="489"/>
        <v>5000</v>
      </c>
      <c r="AE915" s="3">
        <v>5000</v>
      </c>
      <c r="AF915" s="3">
        <f t="shared" si="490"/>
        <v>0</v>
      </c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42"/>
      <c r="AR915" s="3"/>
      <c r="AS915" s="42"/>
      <c r="AT915" s="3"/>
      <c r="AU915" s="42"/>
      <c r="AV915" s="3"/>
      <c r="AW915" s="42"/>
      <c r="AX915" s="3"/>
      <c r="AY915" s="42"/>
      <c r="AZ915" s="3"/>
      <c r="BA915" s="77"/>
    </row>
    <row r="916" spans="1:53" s="77" customFormat="1" x14ac:dyDescent="0.25">
      <c r="A916" s="3" t="s">
        <v>666</v>
      </c>
      <c r="B916" s="3"/>
      <c r="C916" s="3"/>
      <c r="D916" s="29"/>
      <c r="E916" s="3">
        <f t="shared" si="491"/>
        <v>0</v>
      </c>
      <c r="F916" s="29"/>
      <c r="G916" s="3"/>
      <c r="H916" s="5">
        <f t="shared" si="492"/>
        <v>0</v>
      </c>
      <c r="I916" s="5"/>
      <c r="J916" s="5"/>
      <c r="K916" s="4">
        <f t="shared" si="493"/>
        <v>0</v>
      </c>
      <c r="L916" s="4"/>
      <c r="M916" s="4"/>
      <c r="N916" s="4">
        <f t="shared" si="494"/>
        <v>0</v>
      </c>
      <c r="O916" s="3"/>
      <c r="P916" s="3">
        <v>4000</v>
      </c>
      <c r="Q916" s="3"/>
      <c r="R916" s="3"/>
      <c r="S916" s="3">
        <f t="shared" si="485"/>
        <v>2000</v>
      </c>
      <c r="T916" s="3">
        <v>2000</v>
      </c>
      <c r="U916" s="3">
        <f t="shared" si="486"/>
        <v>-2000</v>
      </c>
      <c r="V916" s="3"/>
      <c r="W916" s="3">
        <f t="shared" si="487"/>
        <v>2000</v>
      </c>
      <c r="X916" s="3"/>
      <c r="Y916" s="3">
        <v>2000</v>
      </c>
      <c r="Z916" s="3">
        <f t="shared" si="495"/>
        <v>0</v>
      </c>
      <c r="AA916" s="3"/>
      <c r="AB916" s="3"/>
      <c r="AC916" s="3"/>
      <c r="AD916" s="3">
        <f t="shared" si="489"/>
        <v>2000</v>
      </c>
      <c r="AE916" s="3">
        <v>2000</v>
      </c>
      <c r="AF916" s="3">
        <f t="shared" si="490"/>
        <v>0</v>
      </c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42"/>
      <c r="AR916" s="3"/>
      <c r="AS916" s="42"/>
      <c r="AT916" s="3"/>
      <c r="AU916" s="42"/>
      <c r="AV916" s="3"/>
      <c r="AW916" s="42"/>
      <c r="AX916" s="3"/>
      <c r="AY916" s="42"/>
      <c r="AZ916" s="3"/>
      <c r="BA916" s="6"/>
    </row>
    <row r="917" spans="1:53" s="77" customFormat="1" x14ac:dyDescent="0.25">
      <c r="A917" s="3" t="s">
        <v>667</v>
      </c>
      <c r="B917" s="3"/>
      <c r="C917" s="3"/>
      <c r="D917" s="29">
        <v>8436</v>
      </c>
      <c r="E917" s="3">
        <f t="shared" si="491"/>
        <v>11564</v>
      </c>
      <c r="F917" s="29">
        <v>20000</v>
      </c>
      <c r="G917" s="3"/>
      <c r="H917" s="5">
        <f t="shared" si="492"/>
        <v>20000</v>
      </c>
      <c r="I917" s="5"/>
      <c r="J917" s="5">
        <v>20000</v>
      </c>
      <c r="K917" s="4">
        <f t="shared" si="493"/>
        <v>0</v>
      </c>
      <c r="L917" s="4">
        <v>20000</v>
      </c>
      <c r="M917" s="4"/>
      <c r="N917" s="4">
        <f t="shared" si="494"/>
        <v>0</v>
      </c>
      <c r="O917" s="3"/>
      <c r="P917" s="3"/>
      <c r="Q917" s="3"/>
      <c r="R917" s="3"/>
      <c r="S917" s="3">
        <f t="shared" ref="S917:S984" si="496">T917-R917</f>
        <v>0</v>
      </c>
      <c r="T917" s="3"/>
      <c r="U917" s="3">
        <f t="shared" ref="U917:U984" si="497">T917-P917</f>
        <v>0</v>
      </c>
      <c r="V917" s="3"/>
      <c r="W917" s="3">
        <f t="shared" ref="W917:W984" si="498">Y917-V917</f>
        <v>0</v>
      </c>
      <c r="X917" s="3"/>
      <c r="Y917" s="3"/>
      <c r="Z917" s="3">
        <f t="shared" si="495"/>
        <v>0</v>
      </c>
      <c r="AA917" s="3"/>
      <c r="AB917" s="3"/>
      <c r="AC917" s="3"/>
      <c r="AD917" s="3">
        <f t="shared" ref="AD917:AD984" si="499">AE917-AC917</f>
        <v>0</v>
      </c>
      <c r="AE917" s="3"/>
      <c r="AF917" s="3">
        <f t="shared" ref="AF917:AF984" si="500">AE917-Y917</f>
        <v>0</v>
      </c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42"/>
      <c r="AR917" s="3"/>
      <c r="AS917" s="42"/>
      <c r="AT917" s="3"/>
      <c r="AU917" s="42"/>
      <c r="AV917" s="3"/>
      <c r="AW917" s="42"/>
      <c r="AX917" s="3"/>
      <c r="AY917" s="42"/>
      <c r="AZ917" s="3"/>
    </row>
    <row r="918" spans="1:53" x14ac:dyDescent="0.25">
      <c r="A918" s="3" t="s">
        <v>668</v>
      </c>
      <c r="B918" s="3"/>
      <c r="E918" s="3">
        <f t="shared" si="491"/>
        <v>0</v>
      </c>
      <c r="H918" s="5">
        <f t="shared" si="492"/>
        <v>0</v>
      </c>
      <c r="K918" s="4">
        <f t="shared" si="493"/>
        <v>0</v>
      </c>
      <c r="L918" s="4"/>
      <c r="N918" s="4">
        <f t="shared" si="494"/>
        <v>0</v>
      </c>
      <c r="P918" s="3"/>
      <c r="Q918" s="3"/>
      <c r="R918" s="3"/>
      <c r="S918" s="3">
        <f t="shared" si="496"/>
        <v>0</v>
      </c>
      <c r="T918" s="3"/>
      <c r="U918" s="3">
        <f t="shared" si="497"/>
        <v>0</v>
      </c>
      <c r="V918" s="3"/>
      <c r="W918" s="3">
        <f t="shared" si="498"/>
        <v>0</v>
      </c>
      <c r="X918" s="3"/>
      <c r="Y918" s="3"/>
      <c r="Z918" s="3">
        <f t="shared" si="495"/>
        <v>0</v>
      </c>
      <c r="AA918" s="3"/>
      <c r="AB918" s="3"/>
      <c r="AC918" s="3"/>
      <c r="AD918" s="3">
        <f t="shared" si="499"/>
        <v>0</v>
      </c>
      <c r="AE918" s="3"/>
      <c r="AF918" s="3">
        <f t="shared" si="500"/>
        <v>0</v>
      </c>
      <c r="AG918" s="3"/>
      <c r="AH918" s="3">
        <v>5000</v>
      </c>
      <c r="AI918" s="3"/>
      <c r="AJ918" s="3"/>
      <c r="AK918" s="3"/>
      <c r="AL918" s="3"/>
      <c r="AM918" s="3"/>
      <c r="AN918" s="3"/>
      <c r="AO918" s="3"/>
      <c r="AP918" s="3"/>
      <c r="AQ918" s="42"/>
      <c r="AR918" s="3"/>
      <c r="AS918" s="42"/>
      <c r="AT918" s="3"/>
      <c r="AU918" s="42"/>
      <c r="AV918" s="3"/>
      <c r="AW918" s="42"/>
      <c r="AX918" s="3"/>
      <c r="AY918" s="42"/>
      <c r="AZ918" s="3"/>
    </row>
    <row r="919" spans="1:53" s="77" customFormat="1" x14ac:dyDescent="0.25">
      <c r="A919" s="3" t="s">
        <v>669</v>
      </c>
      <c r="B919" s="3"/>
      <c r="C919" s="3"/>
      <c r="D919" s="29"/>
      <c r="E919" s="3">
        <f t="shared" si="491"/>
        <v>0</v>
      </c>
      <c r="F919" s="29"/>
      <c r="G919" s="3"/>
      <c r="H919" s="5">
        <f t="shared" si="492"/>
        <v>0</v>
      </c>
      <c r="I919" s="5"/>
      <c r="J919" s="5"/>
      <c r="K919" s="4">
        <f t="shared" si="493"/>
        <v>0</v>
      </c>
      <c r="L919" s="4"/>
      <c r="M919" s="4"/>
      <c r="N919" s="4">
        <f t="shared" si="494"/>
        <v>0</v>
      </c>
      <c r="O919" s="3"/>
      <c r="P919" s="3"/>
      <c r="Q919" s="3"/>
      <c r="R919" s="3"/>
      <c r="S919" s="3">
        <f t="shared" si="496"/>
        <v>0</v>
      </c>
      <c r="T919" s="3"/>
      <c r="U919" s="3">
        <f t="shared" si="497"/>
        <v>0</v>
      </c>
      <c r="V919" s="3"/>
      <c r="W919" s="3">
        <f t="shared" si="498"/>
        <v>0</v>
      </c>
      <c r="X919" s="3"/>
      <c r="Y919" s="3"/>
      <c r="Z919" s="3">
        <f t="shared" si="495"/>
        <v>0</v>
      </c>
      <c r="AA919" s="3"/>
      <c r="AB919" s="3"/>
      <c r="AC919" s="3"/>
      <c r="AD919" s="3">
        <f t="shared" si="499"/>
        <v>0</v>
      </c>
      <c r="AE919" s="3"/>
      <c r="AF919" s="3">
        <f t="shared" si="500"/>
        <v>0</v>
      </c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42"/>
      <c r="AR919" s="3"/>
      <c r="AS919" s="42"/>
      <c r="AT919" s="3"/>
      <c r="AU919" s="42"/>
      <c r="AV919" s="3"/>
      <c r="AW919" s="42"/>
      <c r="AX919" s="3"/>
      <c r="AY919" s="42"/>
      <c r="AZ919" s="3"/>
    </row>
    <row r="920" spans="1:53" x14ac:dyDescent="0.25">
      <c r="A920" s="3" t="s">
        <v>670</v>
      </c>
      <c r="B920" s="3"/>
      <c r="E920" s="3">
        <f t="shared" si="491"/>
        <v>0</v>
      </c>
      <c r="H920" s="5">
        <f t="shared" si="492"/>
        <v>0</v>
      </c>
      <c r="K920" s="4">
        <f t="shared" si="493"/>
        <v>0</v>
      </c>
      <c r="L920" s="4"/>
      <c r="N920" s="4">
        <f t="shared" si="494"/>
        <v>0</v>
      </c>
      <c r="P920" s="3"/>
      <c r="Q920" s="3"/>
      <c r="R920" s="3"/>
      <c r="S920" s="3">
        <f t="shared" si="496"/>
        <v>0</v>
      </c>
      <c r="T920" s="3"/>
      <c r="U920" s="3">
        <f t="shared" si="497"/>
        <v>0</v>
      </c>
      <c r="V920" s="3"/>
      <c r="W920" s="3">
        <f t="shared" si="498"/>
        <v>0</v>
      </c>
      <c r="X920" s="3"/>
      <c r="Y920" s="3"/>
      <c r="Z920" s="3">
        <f t="shared" si="495"/>
        <v>0</v>
      </c>
      <c r="AA920" s="3"/>
      <c r="AB920" s="3"/>
      <c r="AC920" s="3"/>
      <c r="AD920" s="3">
        <f t="shared" si="499"/>
        <v>0</v>
      </c>
      <c r="AE920" s="3"/>
      <c r="AF920" s="3">
        <f t="shared" si="500"/>
        <v>0</v>
      </c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42"/>
      <c r="AR920" s="3"/>
      <c r="AS920" s="42"/>
      <c r="AT920" s="3"/>
      <c r="AU920" s="42"/>
      <c r="AV920" s="3"/>
      <c r="AW920" s="42"/>
      <c r="AX920" s="3"/>
      <c r="AY920" s="42"/>
      <c r="AZ920" s="3"/>
    </row>
    <row r="921" spans="1:53" s="77" customFormat="1" x14ac:dyDescent="0.25">
      <c r="A921" s="3" t="s">
        <v>671</v>
      </c>
      <c r="B921" s="3"/>
      <c r="C921" s="3"/>
      <c r="D921" s="29">
        <v>30000</v>
      </c>
      <c r="E921" s="3">
        <f t="shared" si="491"/>
        <v>0</v>
      </c>
      <c r="F921" s="29">
        <v>30000</v>
      </c>
      <c r="G921" s="3"/>
      <c r="H921" s="5">
        <f t="shared" si="492"/>
        <v>30000</v>
      </c>
      <c r="I921" s="5"/>
      <c r="J921" s="5">
        <v>30000</v>
      </c>
      <c r="K921" s="4">
        <f t="shared" si="493"/>
        <v>0</v>
      </c>
      <c r="L921" s="4">
        <v>30000</v>
      </c>
      <c r="M921" s="4"/>
      <c r="N921" s="4">
        <f t="shared" si="494"/>
        <v>0</v>
      </c>
      <c r="O921" s="3"/>
      <c r="P921" s="3"/>
      <c r="Q921" s="3"/>
      <c r="R921" s="3"/>
      <c r="S921" s="3">
        <f t="shared" si="496"/>
        <v>0</v>
      </c>
      <c r="T921" s="3"/>
      <c r="U921" s="3">
        <f t="shared" si="497"/>
        <v>0</v>
      </c>
      <c r="V921" s="3"/>
      <c r="W921" s="3">
        <f t="shared" si="498"/>
        <v>0</v>
      </c>
      <c r="X921" s="3"/>
      <c r="Y921" s="3"/>
      <c r="Z921" s="3">
        <f t="shared" si="495"/>
        <v>0</v>
      </c>
      <c r="AA921" s="3"/>
      <c r="AB921" s="3"/>
      <c r="AC921" s="3"/>
      <c r="AD921" s="3">
        <f t="shared" si="499"/>
        <v>0</v>
      </c>
      <c r="AE921" s="3"/>
      <c r="AF921" s="3">
        <f t="shared" si="500"/>
        <v>0</v>
      </c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42"/>
      <c r="AR921" s="3"/>
      <c r="AS921" s="42"/>
      <c r="AT921" s="3"/>
      <c r="AU921" s="42"/>
      <c r="AV921" s="3"/>
      <c r="AW921" s="42"/>
      <c r="AX921" s="3"/>
      <c r="AY921" s="42"/>
      <c r="AZ921" s="3"/>
    </row>
    <row r="922" spans="1:53" x14ac:dyDescent="0.25">
      <c r="A922" s="3" t="s">
        <v>672</v>
      </c>
      <c r="B922" s="3"/>
      <c r="E922" s="3">
        <f t="shared" si="491"/>
        <v>0</v>
      </c>
      <c r="H922" s="5">
        <f t="shared" si="492"/>
        <v>0</v>
      </c>
      <c r="K922" s="4">
        <f t="shared" si="493"/>
        <v>0</v>
      </c>
      <c r="L922" s="4"/>
      <c r="N922" s="4">
        <f t="shared" si="494"/>
        <v>0</v>
      </c>
      <c r="P922" s="3"/>
      <c r="Q922" s="3"/>
      <c r="R922" s="3"/>
      <c r="S922" s="3">
        <f t="shared" si="496"/>
        <v>0</v>
      </c>
      <c r="T922" s="3"/>
      <c r="U922" s="3">
        <f t="shared" si="497"/>
        <v>0</v>
      </c>
      <c r="V922" s="3"/>
      <c r="W922" s="3">
        <f t="shared" si="498"/>
        <v>0</v>
      </c>
      <c r="X922" s="3"/>
      <c r="Y922" s="3"/>
      <c r="Z922" s="3">
        <f t="shared" si="495"/>
        <v>0</v>
      </c>
      <c r="AA922" s="3"/>
      <c r="AB922" s="3"/>
      <c r="AC922" s="3"/>
      <c r="AD922" s="3">
        <f t="shared" si="499"/>
        <v>0</v>
      </c>
      <c r="AE922" s="3"/>
      <c r="AF922" s="3">
        <f t="shared" si="500"/>
        <v>0</v>
      </c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42"/>
      <c r="AR922" s="3"/>
      <c r="AS922" s="42"/>
      <c r="AT922" s="3"/>
      <c r="AU922" s="42"/>
      <c r="AV922" s="3"/>
      <c r="AW922" s="42"/>
      <c r="AX922" s="3"/>
      <c r="AY922" s="42"/>
      <c r="AZ922" s="3"/>
      <c r="BA922" s="77"/>
    </row>
    <row r="923" spans="1:53" s="77" customFormat="1" x14ac:dyDescent="0.25">
      <c r="A923" s="3" t="s">
        <v>673</v>
      </c>
      <c r="B923" s="3"/>
      <c r="C923" s="3"/>
      <c r="D923" s="29"/>
      <c r="E923" s="3">
        <f t="shared" si="491"/>
        <v>0</v>
      </c>
      <c r="F923" s="29"/>
      <c r="G923" s="3"/>
      <c r="H923" s="5">
        <f t="shared" si="492"/>
        <v>0</v>
      </c>
      <c r="I923" s="5"/>
      <c r="J923" s="5"/>
      <c r="K923" s="4">
        <f t="shared" si="493"/>
        <v>0</v>
      </c>
      <c r="L923" s="4"/>
      <c r="M923" s="4"/>
      <c r="N923" s="4">
        <f t="shared" si="494"/>
        <v>0</v>
      </c>
      <c r="O923" s="3"/>
      <c r="P923" s="3"/>
      <c r="Q923" s="3"/>
      <c r="R923" s="3"/>
      <c r="S923" s="3">
        <f t="shared" si="496"/>
        <v>0</v>
      </c>
      <c r="T923" s="3"/>
      <c r="U923" s="3">
        <f t="shared" si="497"/>
        <v>0</v>
      </c>
      <c r="V923" s="3"/>
      <c r="W923" s="3">
        <f t="shared" si="498"/>
        <v>0</v>
      </c>
      <c r="X923" s="3"/>
      <c r="Y923" s="3"/>
      <c r="Z923" s="3">
        <f t="shared" si="495"/>
        <v>0</v>
      </c>
      <c r="AA923" s="3"/>
      <c r="AB923" s="3"/>
      <c r="AC923" s="3"/>
      <c r="AD923" s="3">
        <f t="shared" si="499"/>
        <v>0</v>
      </c>
      <c r="AE923" s="3"/>
      <c r="AF923" s="3">
        <f t="shared" si="500"/>
        <v>0</v>
      </c>
      <c r="AG923" s="3"/>
      <c r="AH923" s="3"/>
      <c r="AI923" s="3"/>
      <c r="AJ923" s="3"/>
      <c r="AK923" s="3"/>
      <c r="AL923" s="3">
        <v>45000</v>
      </c>
      <c r="AM923" s="3"/>
      <c r="AN923" s="3"/>
      <c r="AO923" s="3"/>
      <c r="AP923" s="3">
        <v>37500</v>
      </c>
      <c r="AQ923" s="42"/>
      <c r="AR923" s="3"/>
      <c r="AS923" s="42"/>
      <c r="AT923" s="3"/>
      <c r="AU923" s="42"/>
      <c r="AV923" s="3"/>
      <c r="AW923" s="42"/>
      <c r="AX923" s="3"/>
      <c r="AY923" s="42"/>
      <c r="AZ923" s="3"/>
      <c r="BA923" s="6"/>
    </row>
    <row r="924" spans="1:53" s="77" customFormat="1" x14ac:dyDescent="0.25">
      <c r="A924" s="3" t="s">
        <v>674</v>
      </c>
      <c r="B924" s="3">
        <v>5000</v>
      </c>
      <c r="C924" s="3"/>
      <c r="D924" s="29"/>
      <c r="E924" s="3">
        <f t="shared" si="491"/>
        <v>5000</v>
      </c>
      <c r="F924" s="29">
        <v>5000</v>
      </c>
      <c r="G924" s="3"/>
      <c r="H924" s="5">
        <f t="shared" si="492"/>
        <v>0</v>
      </c>
      <c r="I924" s="5"/>
      <c r="J924" s="5">
        <v>1517</v>
      </c>
      <c r="K924" s="4">
        <f t="shared" si="493"/>
        <v>483</v>
      </c>
      <c r="L924" s="4">
        <v>2000</v>
      </c>
      <c r="M924" s="4"/>
      <c r="N924" s="4">
        <f t="shared" si="494"/>
        <v>-3000</v>
      </c>
      <c r="O924" s="3"/>
      <c r="P924" s="3">
        <v>3000</v>
      </c>
      <c r="Q924" s="3"/>
      <c r="R924" s="3"/>
      <c r="S924" s="3">
        <f t="shared" si="496"/>
        <v>3000</v>
      </c>
      <c r="T924" s="3">
        <v>3000</v>
      </c>
      <c r="U924" s="3">
        <f t="shared" si="497"/>
        <v>0</v>
      </c>
      <c r="V924" s="3"/>
      <c r="W924" s="3">
        <f t="shared" si="498"/>
        <v>3000</v>
      </c>
      <c r="X924" s="3"/>
      <c r="Y924" s="3">
        <v>3000</v>
      </c>
      <c r="Z924" s="3">
        <f t="shared" si="495"/>
        <v>0</v>
      </c>
      <c r="AA924" s="3"/>
      <c r="AB924" s="3"/>
      <c r="AC924" s="3"/>
      <c r="AD924" s="3">
        <f t="shared" si="499"/>
        <v>3000</v>
      </c>
      <c r="AE924" s="3">
        <v>3000</v>
      </c>
      <c r="AF924" s="3">
        <f t="shared" si="500"/>
        <v>0</v>
      </c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42"/>
      <c r="AR924" s="3"/>
      <c r="AS924" s="42"/>
      <c r="AT924" s="3"/>
      <c r="AU924" s="42"/>
      <c r="AV924" s="3"/>
      <c r="AW924" s="42"/>
      <c r="AX924" s="3"/>
      <c r="AY924" s="42"/>
      <c r="AZ924" s="3"/>
    </row>
    <row r="925" spans="1:53" x14ac:dyDescent="0.25">
      <c r="A925" s="3" t="s">
        <v>675</v>
      </c>
      <c r="B925" s="3"/>
      <c r="E925" s="3">
        <f t="shared" si="491"/>
        <v>0</v>
      </c>
      <c r="H925" s="5">
        <f t="shared" si="492"/>
        <v>0</v>
      </c>
      <c r="K925" s="4">
        <f t="shared" si="493"/>
        <v>0</v>
      </c>
      <c r="L925" s="4"/>
      <c r="N925" s="4">
        <f t="shared" si="494"/>
        <v>0</v>
      </c>
      <c r="P925" s="3"/>
      <c r="Q925" s="3"/>
      <c r="R925" s="3"/>
      <c r="S925" s="3">
        <f t="shared" si="496"/>
        <v>0</v>
      </c>
      <c r="T925" s="3"/>
      <c r="U925" s="3">
        <f t="shared" si="497"/>
        <v>0</v>
      </c>
      <c r="V925" s="3"/>
      <c r="W925" s="3">
        <f t="shared" si="498"/>
        <v>0</v>
      </c>
      <c r="X925" s="3"/>
      <c r="Y925" s="3"/>
      <c r="Z925" s="3">
        <f t="shared" si="495"/>
        <v>0</v>
      </c>
      <c r="AA925" s="3"/>
      <c r="AB925" s="3"/>
      <c r="AC925" s="3"/>
      <c r="AD925" s="3">
        <f t="shared" si="499"/>
        <v>0</v>
      </c>
      <c r="AE925" s="3"/>
      <c r="AF925" s="3">
        <f t="shared" si="500"/>
        <v>0</v>
      </c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42"/>
      <c r="AR925" s="3"/>
      <c r="AS925" s="42"/>
      <c r="AT925" s="3"/>
      <c r="AU925" s="42"/>
      <c r="AV925" s="3"/>
      <c r="AW925" s="42"/>
      <c r="AX925" s="3"/>
      <c r="AY925" s="42"/>
      <c r="AZ925" s="3"/>
      <c r="BA925" s="77"/>
    </row>
    <row r="926" spans="1:53" s="77" customFormat="1" x14ac:dyDescent="0.25">
      <c r="A926" s="3" t="s">
        <v>676</v>
      </c>
      <c r="B926" s="3"/>
      <c r="C926" s="3"/>
      <c r="D926" s="29"/>
      <c r="E926" s="3">
        <f t="shared" si="491"/>
        <v>0</v>
      </c>
      <c r="F926" s="29"/>
      <c r="G926" s="3"/>
      <c r="H926" s="5">
        <f t="shared" si="492"/>
        <v>0</v>
      </c>
      <c r="I926" s="5"/>
      <c r="J926" s="5"/>
      <c r="K926" s="4">
        <f t="shared" si="493"/>
        <v>0</v>
      </c>
      <c r="L926" s="4"/>
      <c r="M926" s="4"/>
      <c r="N926" s="4">
        <f t="shared" si="494"/>
        <v>0</v>
      </c>
      <c r="O926" s="3"/>
      <c r="P926" s="3"/>
      <c r="Q926" s="3"/>
      <c r="R926" s="3"/>
      <c r="S926" s="3">
        <f t="shared" si="496"/>
        <v>0</v>
      </c>
      <c r="T926" s="3"/>
      <c r="U926" s="3">
        <f t="shared" si="497"/>
        <v>0</v>
      </c>
      <c r="V926" s="3"/>
      <c r="W926" s="3">
        <f t="shared" si="498"/>
        <v>0</v>
      </c>
      <c r="X926" s="3"/>
      <c r="Y926" s="3"/>
      <c r="Z926" s="3">
        <f t="shared" si="495"/>
        <v>0</v>
      </c>
      <c r="AA926" s="3"/>
      <c r="AB926" s="3"/>
      <c r="AC926" s="3"/>
      <c r="AD926" s="3">
        <f t="shared" si="499"/>
        <v>0</v>
      </c>
      <c r="AE926" s="3"/>
      <c r="AF926" s="3">
        <f t="shared" si="500"/>
        <v>0</v>
      </c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42"/>
      <c r="AR926" s="3"/>
      <c r="AS926" s="42"/>
      <c r="AT926" s="3"/>
      <c r="AU926" s="42"/>
      <c r="AV926" s="3"/>
      <c r="AW926" s="42"/>
      <c r="AX926" s="3"/>
      <c r="AY926" s="42"/>
      <c r="AZ926" s="3"/>
    </row>
    <row r="927" spans="1:53" s="77" customFormat="1" x14ac:dyDescent="0.25">
      <c r="A927" s="3" t="s">
        <v>677</v>
      </c>
      <c r="B927" s="3"/>
      <c r="C927" s="3"/>
      <c r="D927" s="29"/>
      <c r="E927" s="3"/>
      <c r="F927" s="29"/>
      <c r="G927" s="3"/>
      <c r="H927" s="5"/>
      <c r="I927" s="5"/>
      <c r="J927" s="5"/>
      <c r="K927" s="4"/>
      <c r="L927" s="4"/>
      <c r="M927" s="4"/>
      <c r="N927" s="4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42"/>
      <c r="AR927" s="3"/>
      <c r="AS927" s="42"/>
      <c r="AT927" s="3"/>
      <c r="AU927" s="42"/>
      <c r="AV927" s="3"/>
      <c r="AW927" s="42"/>
      <c r="AX927" s="3"/>
      <c r="AY927" s="42"/>
      <c r="AZ927" s="3"/>
      <c r="BA927" s="6"/>
    </row>
    <row r="928" spans="1:53" s="77" customFormat="1" x14ac:dyDescent="0.25">
      <c r="A928" s="3" t="s">
        <v>678</v>
      </c>
      <c r="B928" s="3"/>
      <c r="C928" s="3"/>
      <c r="D928" s="3"/>
      <c r="E928" s="3"/>
      <c r="F928" s="3"/>
      <c r="G928" s="3"/>
      <c r="H928" s="3"/>
      <c r="I928" s="3"/>
      <c r="J928" s="3"/>
      <c r="K928" s="4"/>
      <c r="L928" s="4"/>
      <c r="M928" s="4"/>
      <c r="N928" s="4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>
        <v>100000</v>
      </c>
      <c r="AI928" s="3"/>
      <c r="AJ928" s="3"/>
      <c r="AK928" s="3"/>
      <c r="AL928" s="3"/>
      <c r="AM928" s="3"/>
      <c r="AN928" s="3"/>
      <c r="AO928" s="3"/>
      <c r="AP928" s="3"/>
      <c r="AQ928" s="42"/>
      <c r="AR928" s="3"/>
      <c r="AS928" s="42"/>
      <c r="AT928" s="3"/>
      <c r="AU928" s="42"/>
      <c r="AV928" s="3"/>
      <c r="AW928" s="42"/>
      <c r="AX928" s="3"/>
      <c r="AY928" s="42"/>
      <c r="AZ928" s="3"/>
    </row>
    <row r="929" spans="1:53" x14ac:dyDescent="0.25">
      <c r="A929" s="3" t="s">
        <v>679</v>
      </c>
      <c r="B929" s="3"/>
      <c r="D929" s="3"/>
      <c r="E929" s="3">
        <f t="shared" si="491"/>
        <v>0</v>
      </c>
      <c r="F929" s="3"/>
      <c r="H929" s="5">
        <f t="shared" si="492"/>
        <v>0</v>
      </c>
      <c r="K929" s="4">
        <f t="shared" si="493"/>
        <v>0</v>
      </c>
      <c r="L929" s="4"/>
      <c r="N929" s="4">
        <f t="shared" si="494"/>
        <v>0</v>
      </c>
      <c r="P929" s="3">
        <v>3000</v>
      </c>
      <c r="Q929" s="3"/>
      <c r="R929" s="3"/>
      <c r="S929" s="3">
        <f t="shared" si="496"/>
        <v>3000</v>
      </c>
      <c r="T929" s="3">
        <v>3000</v>
      </c>
      <c r="U929" s="3">
        <f t="shared" si="497"/>
        <v>0</v>
      </c>
      <c r="V929" s="3"/>
      <c r="W929" s="3">
        <f t="shared" si="498"/>
        <v>3000</v>
      </c>
      <c r="X929" s="3"/>
      <c r="Y929" s="3">
        <v>3000</v>
      </c>
      <c r="Z929" s="3">
        <f t="shared" si="495"/>
        <v>0</v>
      </c>
      <c r="AA929" s="3"/>
      <c r="AB929" s="3"/>
      <c r="AC929" s="3"/>
      <c r="AD929" s="3">
        <f t="shared" si="499"/>
        <v>3000</v>
      </c>
      <c r="AE929" s="3">
        <v>3000</v>
      </c>
      <c r="AF929" s="3">
        <f t="shared" si="500"/>
        <v>0</v>
      </c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42"/>
      <c r="AR929" s="3"/>
      <c r="AS929" s="42"/>
      <c r="AT929" s="3"/>
      <c r="AU929" s="42"/>
      <c r="AV929" s="3"/>
      <c r="AW929" s="42"/>
      <c r="AX929" s="3"/>
      <c r="AY929" s="42"/>
      <c r="AZ929" s="3"/>
    </row>
    <row r="930" spans="1:53" s="77" customFormat="1" x14ac:dyDescent="0.25">
      <c r="A930" s="3" t="s">
        <v>680</v>
      </c>
      <c r="B930" s="3"/>
      <c r="C930" s="3"/>
      <c r="D930" s="29"/>
      <c r="E930" s="3">
        <f t="shared" si="491"/>
        <v>0</v>
      </c>
      <c r="F930" s="29"/>
      <c r="G930" s="3"/>
      <c r="H930" s="5">
        <f t="shared" si="492"/>
        <v>0</v>
      </c>
      <c r="I930" s="5"/>
      <c r="J930" s="5"/>
      <c r="K930" s="4">
        <f t="shared" si="493"/>
        <v>0</v>
      </c>
      <c r="L930" s="4"/>
      <c r="M930" s="4"/>
      <c r="N930" s="4">
        <f t="shared" si="494"/>
        <v>0</v>
      </c>
      <c r="O930" s="3"/>
      <c r="P930" s="3"/>
      <c r="Q930" s="3"/>
      <c r="R930" s="3"/>
      <c r="S930" s="3">
        <f t="shared" si="496"/>
        <v>0</v>
      </c>
      <c r="T930" s="3"/>
      <c r="U930" s="3">
        <f t="shared" si="497"/>
        <v>0</v>
      </c>
      <c r="V930" s="3"/>
      <c r="W930" s="3">
        <f t="shared" si="498"/>
        <v>0</v>
      </c>
      <c r="X930" s="3"/>
      <c r="Y930" s="3"/>
      <c r="Z930" s="3">
        <f t="shared" si="495"/>
        <v>0</v>
      </c>
      <c r="AA930" s="3"/>
      <c r="AB930" s="3"/>
      <c r="AC930" s="3"/>
      <c r="AD930" s="3">
        <f t="shared" si="499"/>
        <v>0</v>
      </c>
      <c r="AE930" s="3"/>
      <c r="AF930" s="3">
        <f t="shared" si="500"/>
        <v>0</v>
      </c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42"/>
      <c r="AR930" s="3"/>
      <c r="AS930" s="42"/>
      <c r="AT930" s="3"/>
      <c r="AU930" s="42"/>
      <c r="AV930" s="3"/>
      <c r="AW930" s="42"/>
      <c r="AX930" s="3"/>
      <c r="AY930" s="42"/>
      <c r="AZ930" s="3"/>
    </row>
    <row r="931" spans="1:53" x14ac:dyDescent="0.25">
      <c r="A931" s="3" t="s">
        <v>681</v>
      </c>
      <c r="B931" s="3"/>
      <c r="D931" s="3"/>
      <c r="E931" s="3">
        <f t="shared" si="491"/>
        <v>0</v>
      </c>
      <c r="F931" s="3"/>
      <c r="H931" s="5">
        <f t="shared" si="492"/>
        <v>0</v>
      </c>
      <c r="K931" s="4">
        <f t="shared" si="493"/>
        <v>0</v>
      </c>
      <c r="L931" s="4"/>
      <c r="N931" s="4">
        <f t="shared" si="494"/>
        <v>0</v>
      </c>
      <c r="P931" s="3"/>
      <c r="Q931" s="3"/>
      <c r="R931" s="3"/>
      <c r="S931" s="3">
        <f t="shared" si="496"/>
        <v>0</v>
      </c>
      <c r="T931" s="3"/>
      <c r="U931" s="3">
        <f t="shared" si="497"/>
        <v>0</v>
      </c>
      <c r="V931" s="3"/>
      <c r="W931" s="3">
        <f t="shared" si="498"/>
        <v>0</v>
      </c>
      <c r="X931" s="3"/>
      <c r="Y931" s="3"/>
      <c r="Z931" s="3">
        <f t="shared" si="495"/>
        <v>0</v>
      </c>
      <c r="AA931" s="3"/>
      <c r="AB931" s="3"/>
      <c r="AC931" s="3"/>
      <c r="AD931" s="3">
        <f t="shared" si="499"/>
        <v>0</v>
      </c>
      <c r="AE931" s="3"/>
      <c r="AF931" s="3">
        <f t="shared" si="500"/>
        <v>0</v>
      </c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42"/>
      <c r="AR931" s="3"/>
      <c r="AS931" s="42"/>
      <c r="AT931" s="3"/>
      <c r="AU931" s="42"/>
      <c r="AV931" s="3"/>
      <c r="AW931" s="42"/>
      <c r="AX931" s="3"/>
      <c r="AY931" s="42"/>
      <c r="AZ931" s="3"/>
    </row>
    <row r="932" spans="1:53" s="77" customFormat="1" x14ac:dyDescent="0.25">
      <c r="A932" s="3" t="s">
        <v>682</v>
      </c>
      <c r="B932" s="3"/>
      <c r="C932" s="3"/>
      <c r="D932" s="29"/>
      <c r="E932" s="3">
        <f t="shared" si="491"/>
        <v>0</v>
      </c>
      <c r="F932" s="29"/>
      <c r="G932" s="3"/>
      <c r="H932" s="5">
        <f t="shared" si="492"/>
        <v>0</v>
      </c>
      <c r="I932" s="5"/>
      <c r="J932" s="5"/>
      <c r="K932" s="4">
        <f t="shared" si="493"/>
        <v>0</v>
      </c>
      <c r="L932" s="4"/>
      <c r="M932" s="4"/>
      <c r="N932" s="4">
        <f t="shared" si="494"/>
        <v>0</v>
      </c>
      <c r="O932" s="3"/>
      <c r="P932" s="3"/>
      <c r="Q932" s="3"/>
      <c r="R932" s="3"/>
      <c r="S932" s="3">
        <f t="shared" si="496"/>
        <v>0</v>
      </c>
      <c r="T932" s="3"/>
      <c r="U932" s="3">
        <f t="shared" si="497"/>
        <v>0</v>
      </c>
      <c r="V932" s="3"/>
      <c r="W932" s="3">
        <f t="shared" si="498"/>
        <v>0</v>
      </c>
      <c r="X932" s="3"/>
      <c r="Y932" s="3"/>
      <c r="Z932" s="3">
        <f t="shared" si="495"/>
        <v>0</v>
      </c>
      <c r="AA932" s="3"/>
      <c r="AB932" s="3"/>
      <c r="AC932" s="3"/>
      <c r="AD932" s="3">
        <f t="shared" si="499"/>
        <v>0</v>
      </c>
      <c r="AE932" s="3"/>
      <c r="AF932" s="3">
        <f t="shared" si="500"/>
        <v>0</v>
      </c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42"/>
      <c r="AR932" s="3"/>
      <c r="AS932" s="42"/>
      <c r="AT932" s="3"/>
      <c r="AU932" s="42"/>
      <c r="AV932" s="3"/>
      <c r="AW932" s="42"/>
      <c r="AX932" s="3"/>
      <c r="AY932" s="42"/>
      <c r="AZ932" s="3"/>
    </row>
    <row r="933" spans="1:53" x14ac:dyDescent="0.25">
      <c r="A933" s="3" t="s">
        <v>683</v>
      </c>
      <c r="B933" s="3"/>
      <c r="D933" s="3"/>
      <c r="E933" s="3">
        <f t="shared" si="491"/>
        <v>0</v>
      </c>
      <c r="F933" s="3"/>
      <c r="H933" s="5">
        <f t="shared" si="492"/>
        <v>0</v>
      </c>
      <c r="K933" s="4">
        <f t="shared" si="493"/>
        <v>0</v>
      </c>
      <c r="L933" s="4"/>
      <c r="N933" s="4">
        <f t="shared" si="494"/>
        <v>0</v>
      </c>
      <c r="P933" s="3"/>
      <c r="Q933" s="3"/>
      <c r="R933" s="3"/>
      <c r="S933" s="3">
        <f t="shared" si="496"/>
        <v>0</v>
      </c>
      <c r="T933" s="3"/>
      <c r="U933" s="3">
        <f t="shared" si="497"/>
        <v>0</v>
      </c>
      <c r="V933" s="3"/>
      <c r="W933" s="3">
        <f t="shared" si="498"/>
        <v>0</v>
      </c>
      <c r="X933" s="3"/>
      <c r="Y933" s="3"/>
      <c r="Z933" s="3">
        <f t="shared" si="495"/>
        <v>0</v>
      </c>
      <c r="AA933" s="3"/>
      <c r="AB933" s="3"/>
      <c r="AC933" s="3"/>
      <c r="AD933" s="3">
        <f t="shared" si="499"/>
        <v>0</v>
      </c>
      <c r="AE933" s="3"/>
      <c r="AF933" s="3">
        <f t="shared" si="500"/>
        <v>0</v>
      </c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42"/>
      <c r="AR933" s="3"/>
      <c r="AS933" s="42"/>
      <c r="AT933" s="3"/>
      <c r="AU933" s="42"/>
      <c r="AV933" s="3"/>
      <c r="AW933" s="42"/>
      <c r="AX933" s="3"/>
      <c r="AY933" s="42"/>
      <c r="AZ933" s="3"/>
    </row>
    <row r="934" spans="1:53" s="77" customFormat="1" x14ac:dyDescent="0.25">
      <c r="A934" s="3" t="s">
        <v>684</v>
      </c>
      <c r="B934" s="3">
        <v>500</v>
      </c>
      <c r="C934" s="3"/>
      <c r="D934" s="29"/>
      <c r="E934" s="3">
        <f t="shared" si="491"/>
        <v>500</v>
      </c>
      <c r="F934" s="29">
        <v>500</v>
      </c>
      <c r="G934" s="3"/>
      <c r="H934" s="5">
        <f t="shared" si="492"/>
        <v>0</v>
      </c>
      <c r="I934" s="5"/>
      <c r="J934" s="5"/>
      <c r="K934" s="4">
        <f t="shared" si="493"/>
        <v>500</v>
      </c>
      <c r="L934" s="4">
        <v>500</v>
      </c>
      <c r="M934" s="4"/>
      <c r="N934" s="4">
        <f t="shared" si="494"/>
        <v>0</v>
      </c>
      <c r="O934" s="3"/>
      <c r="P934" s="3">
        <v>1000</v>
      </c>
      <c r="Q934" s="3"/>
      <c r="R934" s="3"/>
      <c r="S934" s="3">
        <f t="shared" si="496"/>
        <v>1000</v>
      </c>
      <c r="T934" s="3">
        <v>1000</v>
      </c>
      <c r="U934" s="3">
        <f t="shared" si="497"/>
        <v>0</v>
      </c>
      <c r="V934" s="3"/>
      <c r="W934" s="3">
        <f t="shared" si="498"/>
        <v>1000</v>
      </c>
      <c r="X934" s="3"/>
      <c r="Y934" s="3">
        <v>1000</v>
      </c>
      <c r="Z934" s="3">
        <f t="shared" si="495"/>
        <v>0</v>
      </c>
      <c r="AA934" s="3"/>
      <c r="AB934" s="3"/>
      <c r="AC934" s="3"/>
      <c r="AD934" s="3">
        <f t="shared" si="499"/>
        <v>1000</v>
      </c>
      <c r="AE934" s="3">
        <v>1000</v>
      </c>
      <c r="AF934" s="3">
        <f t="shared" si="500"/>
        <v>0</v>
      </c>
      <c r="AG934" s="3"/>
      <c r="AH934" s="3">
        <v>1000</v>
      </c>
      <c r="AI934" s="3"/>
      <c r="AJ934" s="3">
        <v>1000</v>
      </c>
      <c r="AK934" s="3"/>
      <c r="AL934" s="3">
        <v>1000</v>
      </c>
      <c r="AM934" s="3"/>
      <c r="AN934" s="3">
        <v>1000</v>
      </c>
      <c r="AO934" s="3"/>
      <c r="AP934" s="3">
        <v>1000</v>
      </c>
      <c r="AQ934" s="42"/>
      <c r="AR934" s="3">
        <v>1000</v>
      </c>
      <c r="AS934" s="42"/>
      <c r="AT934" s="3">
        <v>1000</v>
      </c>
      <c r="AU934" s="42"/>
      <c r="AV934" s="3">
        <v>1000</v>
      </c>
      <c r="AW934" s="42"/>
      <c r="AX934" s="3">
        <v>1000</v>
      </c>
      <c r="AY934" s="42"/>
      <c r="AZ934" s="3">
        <v>1000</v>
      </c>
      <c r="BA934" s="6"/>
    </row>
    <row r="935" spans="1:53" x14ac:dyDescent="0.25">
      <c r="A935" s="3" t="s">
        <v>685</v>
      </c>
      <c r="B935" s="3"/>
      <c r="E935" s="3">
        <f t="shared" si="491"/>
        <v>0</v>
      </c>
      <c r="H935" s="5">
        <f t="shared" si="492"/>
        <v>0</v>
      </c>
      <c r="K935" s="4">
        <f t="shared" si="493"/>
        <v>0</v>
      </c>
      <c r="L935" s="4"/>
      <c r="N935" s="4">
        <f t="shared" si="494"/>
        <v>0</v>
      </c>
      <c r="P935" s="3"/>
      <c r="Q935" s="3"/>
      <c r="R935" s="3"/>
      <c r="S935" s="3">
        <f t="shared" si="496"/>
        <v>0</v>
      </c>
      <c r="T935" s="3"/>
      <c r="U935" s="3">
        <f t="shared" si="497"/>
        <v>0</v>
      </c>
      <c r="V935" s="3"/>
      <c r="W935" s="3">
        <f t="shared" si="498"/>
        <v>0</v>
      </c>
      <c r="X935" s="3"/>
      <c r="Y935" s="3"/>
      <c r="Z935" s="3">
        <f t="shared" si="495"/>
        <v>0</v>
      </c>
      <c r="AA935" s="3"/>
      <c r="AB935" s="3"/>
      <c r="AC935" s="3"/>
      <c r="AD935" s="3">
        <f t="shared" si="499"/>
        <v>0</v>
      </c>
      <c r="AE935" s="3"/>
      <c r="AF935" s="3">
        <f t="shared" si="500"/>
        <v>0</v>
      </c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42"/>
      <c r="AR935" s="3"/>
      <c r="AS935" s="42"/>
      <c r="AT935" s="3"/>
      <c r="AU935" s="42"/>
      <c r="AV935" s="3"/>
      <c r="AW935" s="42"/>
      <c r="AX935" s="3"/>
      <c r="AY935" s="42"/>
      <c r="AZ935" s="3"/>
    </row>
    <row r="936" spans="1:53" x14ac:dyDescent="0.25">
      <c r="A936" s="3" t="s">
        <v>686</v>
      </c>
      <c r="B936" s="3"/>
      <c r="E936" s="3">
        <f t="shared" si="491"/>
        <v>0</v>
      </c>
      <c r="H936" s="5">
        <f t="shared" si="492"/>
        <v>0</v>
      </c>
      <c r="K936" s="4">
        <f t="shared" si="493"/>
        <v>0</v>
      </c>
      <c r="L936" s="4"/>
      <c r="N936" s="4">
        <f t="shared" si="494"/>
        <v>0</v>
      </c>
      <c r="P936" s="3"/>
      <c r="Q936" s="3"/>
      <c r="R936" s="3"/>
      <c r="S936" s="3">
        <f t="shared" si="496"/>
        <v>0</v>
      </c>
      <c r="T936" s="3"/>
      <c r="U936" s="3">
        <f t="shared" si="497"/>
        <v>0</v>
      </c>
      <c r="V936" s="3"/>
      <c r="W936" s="3">
        <f t="shared" si="498"/>
        <v>0</v>
      </c>
      <c r="X936" s="3"/>
      <c r="Y936" s="3"/>
      <c r="Z936" s="3">
        <f t="shared" si="495"/>
        <v>0</v>
      </c>
      <c r="AA936" s="3"/>
      <c r="AB936" s="3"/>
      <c r="AC936" s="3"/>
      <c r="AD936" s="3">
        <f t="shared" si="499"/>
        <v>0</v>
      </c>
      <c r="AE936" s="3"/>
      <c r="AF936" s="3">
        <f t="shared" si="500"/>
        <v>0</v>
      </c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42"/>
      <c r="AR936" s="3"/>
      <c r="AS936" s="42"/>
      <c r="AT936" s="3"/>
      <c r="AU936" s="42"/>
      <c r="AV936" s="3"/>
      <c r="AW936" s="42"/>
      <c r="AX936" s="3"/>
      <c r="AY936" s="42"/>
      <c r="AZ936" s="3"/>
      <c r="BA936" s="77"/>
    </row>
    <row r="937" spans="1:53" x14ac:dyDescent="0.25">
      <c r="A937" s="3" t="s">
        <v>687</v>
      </c>
      <c r="B937" s="3"/>
      <c r="E937" s="3">
        <f t="shared" si="491"/>
        <v>0</v>
      </c>
      <c r="H937" s="5">
        <f t="shared" si="492"/>
        <v>0</v>
      </c>
      <c r="K937" s="4">
        <f t="shared" si="493"/>
        <v>0</v>
      </c>
      <c r="L937" s="4"/>
      <c r="N937" s="4">
        <f t="shared" si="494"/>
        <v>0</v>
      </c>
      <c r="P937" s="3"/>
      <c r="Q937" s="3"/>
      <c r="R937" s="3"/>
      <c r="S937" s="3">
        <f t="shared" si="496"/>
        <v>0</v>
      </c>
      <c r="T937" s="3"/>
      <c r="U937" s="3">
        <f t="shared" si="497"/>
        <v>0</v>
      </c>
      <c r="V937" s="3"/>
      <c r="W937" s="3">
        <f t="shared" si="498"/>
        <v>0</v>
      </c>
      <c r="X937" s="3"/>
      <c r="Y937" s="3"/>
      <c r="Z937" s="3">
        <f t="shared" si="495"/>
        <v>0</v>
      </c>
      <c r="AA937" s="3"/>
      <c r="AB937" s="3"/>
      <c r="AC937" s="3"/>
      <c r="AD937" s="3">
        <f t="shared" si="499"/>
        <v>0</v>
      </c>
      <c r="AE937" s="3"/>
      <c r="AF937" s="3">
        <f t="shared" si="500"/>
        <v>0</v>
      </c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42"/>
      <c r="AR937" s="3"/>
      <c r="AS937" s="42"/>
      <c r="AT937" s="3"/>
      <c r="AU937" s="42"/>
      <c r="AV937" s="3"/>
      <c r="AW937" s="42"/>
      <c r="AX937" s="3"/>
      <c r="AY937" s="42"/>
      <c r="AZ937" s="3"/>
    </row>
    <row r="938" spans="1:53" s="77" customFormat="1" x14ac:dyDescent="0.25">
      <c r="A938" s="3" t="s">
        <v>688</v>
      </c>
      <c r="B938" s="3"/>
      <c r="C938" s="3"/>
      <c r="D938" s="29"/>
      <c r="E938" s="3">
        <f t="shared" si="491"/>
        <v>0</v>
      </c>
      <c r="F938" s="29"/>
      <c r="G938" s="3"/>
      <c r="H938" s="5">
        <f t="shared" si="492"/>
        <v>0</v>
      </c>
      <c r="I938" s="5"/>
      <c r="J938" s="5"/>
      <c r="K938" s="4">
        <f t="shared" si="493"/>
        <v>0</v>
      </c>
      <c r="L938" s="4"/>
      <c r="M938" s="4"/>
      <c r="N938" s="4">
        <f t="shared" si="494"/>
        <v>0</v>
      </c>
      <c r="O938" s="3"/>
      <c r="P938" s="3"/>
      <c r="Q938" s="3"/>
      <c r="R938" s="3"/>
      <c r="S938" s="3">
        <f t="shared" si="496"/>
        <v>0</v>
      </c>
      <c r="T938" s="3"/>
      <c r="U938" s="3">
        <f t="shared" si="497"/>
        <v>0</v>
      </c>
      <c r="V938" s="3"/>
      <c r="W938" s="3">
        <f t="shared" si="498"/>
        <v>0</v>
      </c>
      <c r="X938" s="3"/>
      <c r="Y938" s="3"/>
      <c r="Z938" s="3">
        <f t="shared" si="495"/>
        <v>0</v>
      </c>
      <c r="AA938" s="3"/>
      <c r="AB938" s="3"/>
      <c r="AC938" s="3"/>
      <c r="AD938" s="3">
        <f t="shared" si="499"/>
        <v>0</v>
      </c>
      <c r="AE938" s="3"/>
      <c r="AF938" s="3">
        <f t="shared" si="500"/>
        <v>0</v>
      </c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42"/>
      <c r="AR938" s="3"/>
      <c r="AS938" s="42"/>
      <c r="AT938" s="3"/>
      <c r="AU938" s="42"/>
      <c r="AV938" s="3"/>
      <c r="AW938" s="42"/>
      <c r="AX938" s="3"/>
      <c r="AY938" s="42"/>
      <c r="AZ938" s="3"/>
      <c r="BA938" s="6"/>
    </row>
    <row r="939" spans="1:53" x14ac:dyDescent="0.25">
      <c r="A939" s="3" t="s">
        <v>689</v>
      </c>
      <c r="B939" s="3"/>
      <c r="E939" s="3">
        <f t="shared" si="491"/>
        <v>0</v>
      </c>
      <c r="H939" s="5">
        <f t="shared" si="492"/>
        <v>0</v>
      </c>
      <c r="K939" s="4">
        <f t="shared" si="493"/>
        <v>0</v>
      </c>
      <c r="L939" s="4"/>
      <c r="N939" s="4">
        <f t="shared" si="494"/>
        <v>0</v>
      </c>
      <c r="P939" s="3"/>
      <c r="Q939" s="3"/>
      <c r="R939" s="3"/>
      <c r="S939" s="3">
        <f t="shared" si="496"/>
        <v>0</v>
      </c>
      <c r="T939" s="3"/>
      <c r="U939" s="3">
        <f t="shared" si="497"/>
        <v>0</v>
      </c>
      <c r="V939" s="3"/>
      <c r="W939" s="3">
        <f t="shared" si="498"/>
        <v>0</v>
      </c>
      <c r="X939" s="3"/>
      <c r="Y939" s="3"/>
      <c r="Z939" s="3">
        <f t="shared" si="495"/>
        <v>0</v>
      </c>
      <c r="AA939" s="3"/>
      <c r="AB939" s="3"/>
      <c r="AC939" s="3"/>
      <c r="AD939" s="3">
        <f t="shared" si="499"/>
        <v>0</v>
      </c>
      <c r="AE939" s="3"/>
      <c r="AF939" s="3">
        <f t="shared" si="500"/>
        <v>0</v>
      </c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42"/>
      <c r="AR939" s="3"/>
      <c r="AS939" s="42"/>
      <c r="AT939" s="3"/>
      <c r="AU939" s="42"/>
      <c r="AV939" s="3"/>
      <c r="AW939" s="42"/>
      <c r="AX939" s="3"/>
      <c r="AY939" s="42"/>
      <c r="AZ939" s="3"/>
      <c r="BA939" s="77"/>
    </row>
    <row r="940" spans="1:53" x14ac:dyDescent="0.25">
      <c r="A940" s="3" t="s">
        <v>690</v>
      </c>
      <c r="B940" s="3"/>
      <c r="K940" s="4">
        <f t="shared" si="493"/>
        <v>0</v>
      </c>
      <c r="L940" s="4"/>
      <c r="N940" s="4">
        <f t="shared" si="494"/>
        <v>0</v>
      </c>
      <c r="P940" s="3"/>
      <c r="Q940" s="3"/>
      <c r="R940" s="3"/>
      <c r="S940" s="3">
        <f t="shared" si="496"/>
        <v>0</v>
      </c>
      <c r="T940" s="3"/>
      <c r="U940" s="3">
        <f t="shared" si="497"/>
        <v>0</v>
      </c>
      <c r="V940" s="3"/>
      <c r="W940" s="3">
        <f t="shared" si="498"/>
        <v>0</v>
      </c>
      <c r="X940" s="3"/>
      <c r="Y940" s="3"/>
      <c r="Z940" s="3">
        <f t="shared" si="495"/>
        <v>0</v>
      </c>
      <c r="AA940" s="3"/>
      <c r="AB940" s="3"/>
      <c r="AC940" s="3"/>
      <c r="AD940" s="3">
        <f t="shared" si="499"/>
        <v>0</v>
      </c>
      <c r="AE940" s="3"/>
      <c r="AF940" s="3">
        <f t="shared" si="500"/>
        <v>0</v>
      </c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42"/>
      <c r="AR940" s="3"/>
      <c r="AS940" s="42"/>
      <c r="AT940" s="3"/>
      <c r="AU940" s="42"/>
      <c r="AV940" s="3"/>
      <c r="AW940" s="42"/>
      <c r="AX940" s="3"/>
      <c r="AY940" s="42"/>
      <c r="AZ940" s="3"/>
    </row>
    <row r="941" spans="1:53" s="77" customFormat="1" x14ac:dyDescent="0.25">
      <c r="A941" s="3" t="s">
        <v>691</v>
      </c>
      <c r="B941" s="3">
        <v>5000</v>
      </c>
      <c r="C941" s="3"/>
      <c r="D941" s="29"/>
      <c r="E941" s="3">
        <f>F941-D941</f>
        <v>5000</v>
      </c>
      <c r="F941" s="29">
        <v>5000</v>
      </c>
      <c r="G941" s="3"/>
      <c r="H941" s="5">
        <f t="shared" ref="H941:H1003" si="501">F941-B941</f>
        <v>0</v>
      </c>
      <c r="I941" s="5"/>
      <c r="J941" s="5"/>
      <c r="K941" s="4">
        <f t="shared" si="493"/>
        <v>4000</v>
      </c>
      <c r="L941" s="4">
        <v>4000</v>
      </c>
      <c r="M941" s="4"/>
      <c r="N941" s="4">
        <f t="shared" si="494"/>
        <v>-1000</v>
      </c>
      <c r="O941" s="3"/>
      <c r="P941" s="3"/>
      <c r="Q941" s="3"/>
      <c r="R941" s="3"/>
      <c r="S941" s="3">
        <f t="shared" si="496"/>
        <v>0</v>
      </c>
      <c r="T941" s="3"/>
      <c r="U941" s="3">
        <f t="shared" si="497"/>
        <v>0</v>
      </c>
      <c r="V941" s="3"/>
      <c r="W941" s="3">
        <f t="shared" si="498"/>
        <v>0</v>
      </c>
      <c r="X941" s="3"/>
      <c r="Y941" s="3"/>
      <c r="Z941" s="3">
        <f t="shared" si="495"/>
        <v>0</v>
      </c>
      <c r="AA941" s="3"/>
      <c r="AB941" s="3"/>
      <c r="AC941" s="3"/>
      <c r="AD941" s="3">
        <f t="shared" si="499"/>
        <v>0</v>
      </c>
      <c r="AE941" s="3"/>
      <c r="AF941" s="3">
        <f t="shared" si="500"/>
        <v>0</v>
      </c>
      <c r="AG941" s="3"/>
      <c r="AH941" s="3"/>
      <c r="AI941" s="3"/>
      <c r="AJ941" s="3">
        <v>5000</v>
      </c>
      <c r="AK941" s="3"/>
      <c r="AL941" s="3"/>
      <c r="AM941" s="3"/>
      <c r="AN941" s="3"/>
      <c r="AO941" s="3"/>
      <c r="AP941" s="3"/>
      <c r="AQ941" s="42"/>
      <c r="AR941" s="3"/>
      <c r="AS941" s="42"/>
      <c r="AT941" s="3"/>
      <c r="AU941" s="42"/>
      <c r="AV941" s="3"/>
      <c r="AW941" s="42"/>
      <c r="AX941" s="3"/>
      <c r="AY941" s="42"/>
      <c r="AZ941" s="3"/>
    </row>
    <row r="942" spans="1:53" x14ac:dyDescent="0.25">
      <c r="A942" s="3" t="s">
        <v>692</v>
      </c>
      <c r="B942" s="3"/>
      <c r="E942" s="3"/>
      <c r="F942" s="29"/>
      <c r="H942" s="5">
        <f t="shared" si="501"/>
        <v>0</v>
      </c>
      <c r="K942" s="4">
        <f t="shared" si="493"/>
        <v>0</v>
      </c>
      <c r="L942" s="4"/>
      <c r="N942" s="4">
        <f t="shared" si="494"/>
        <v>0</v>
      </c>
      <c r="P942" s="3"/>
      <c r="Q942" s="3"/>
      <c r="R942" s="3"/>
      <c r="S942" s="3">
        <f t="shared" si="496"/>
        <v>0</v>
      </c>
      <c r="T942" s="3"/>
      <c r="U942" s="3">
        <f t="shared" si="497"/>
        <v>0</v>
      </c>
      <c r="V942" s="3"/>
      <c r="W942" s="3">
        <f t="shared" si="498"/>
        <v>0</v>
      </c>
      <c r="X942" s="3"/>
      <c r="Y942" s="3"/>
      <c r="Z942" s="3">
        <f t="shared" si="495"/>
        <v>0</v>
      </c>
      <c r="AA942" s="3"/>
      <c r="AB942" s="3"/>
      <c r="AC942" s="3"/>
      <c r="AD942" s="3">
        <f t="shared" si="499"/>
        <v>0</v>
      </c>
      <c r="AE942" s="3"/>
      <c r="AF942" s="3">
        <f t="shared" si="500"/>
        <v>0</v>
      </c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42"/>
      <c r="AR942" s="3"/>
      <c r="AS942" s="42"/>
      <c r="AT942" s="3"/>
      <c r="AU942" s="42"/>
      <c r="AV942" s="3"/>
      <c r="AW942" s="42"/>
      <c r="AX942" s="3"/>
      <c r="AY942" s="42"/>
      <c r="AZ942" s="3"/>
    </row>
    <row r="943" spans="1:53" s="77" customFormat="1" x14ac:dyDescent="0.25">
      <c r="A943" s="3" t="s">
        <v>693</v>
      </c>
      <c r="B943" s="3"/>
      <c r="C943" s="3"/>
      <c r="D943" s="29"/>
      <c r="E943" s="3">
        <f t="shared" ref="E943:E1003" si="502">F943-D943</f>
        <v>0</v>
      </c>
      <c r="F943" s="5"/>
      <c r="G943" s="3"/>
      <c r="H943" s="5">
        <f t="shared" si="501"/>
        <v>0</v>
      </c>
      <c r="I943" s="5"/>
      <c r="J943" s="5"/>
      <c r="K943" s="4">
        <f t="shared" si="493"/>
        <v>0</v>
      </c>
      <c r="L943" s="4"/>
      <c r="M943" s="4"/>
      <c r="N943" s="4">
        <f t="shared" si="494"/>
        <v>0</v>
      </c>
      <c r="O943" s="3"/>
      <c r="P943" s="3"/>
      <c r="Q943" s="3"/>
      <c r="R943" s="3"/>
      <c r="S943" s="3">
        <f t="shared" si="496"/>
        <v>0</v>
      </c>
      <c r="T943" s="3"/>
      <c r="U943" s="3">
        <f t="shared" si="497"/>
        <v>0</v>
      </c>
      <c r="V943" s="3"/>
      <c r="W943" s="3">
        <f t="shared" si="498"/>
        <v>0</v>
      </c>
      <c r="X943" s="3"/>
      <c r="Y943" s="3"/>
      <c r="Z943" s="3">
        <f t="shared" si="495"/>
        <v>0</v>
      </c>
      <c r="AA943" s="3"/>
      <c r="AB943" s="3"/>
      <c r="AC943" s="3"/>
      <c r="AD943" s="3">
        <f t="shared" si="499"/>
        <v>0</v>
      </c>
      <c r="AE943" s="3"/>
      <c r="AF943" s="3">
        <f t="shared" si="500"/>
        <v>0</v>
      </c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42"/>
      <c r="AR943" s="3"/>
      <c r="AS943" s="42"/>
      <c r="AT943" s="3"/>
      <c r="AU943" s="42"/>
      <c r="AV943" s="3"/>
      <c r="AW943" s="42"/>
      <c r="AX943" s="3"/>
      <c r="AY943" s="42"/>
      <c r="AZ943" s="3"/>
    </row>
    <row r="944" spans="1:53" x14ac:dyDescent="0.25">
      <c r="A944" s="3" t="s">
        <v>694</v>
      </c>
      <c r="B944" s="3"/>
      <c r="E944" s="3">
        <f t="shared" si="502"/>
        <v>0</v>
      </c>
      <c r="F944" s="29"/>
      <c r="H944" s="5">
        <f t="shared" si="501"/>
        <v>0</v>
      </c>
      <c r="K944" s="4">
        <f t="shared" si="493"/>
        <v>0</v>
      </c>
      <c r="L944" s="4"/>
      <c r="N944" s="4">
        <f t="shared" si="494"/>
        <v>0</v>
      </c>
      <c r="P944" s="3"/>
      <c r="Q944" s="3"/>
      <c r="R944" s="3"/>
      <c r="S944" s="3">
        <f t="shared" si="496"/>
        <v>0</v>
      </c>
      <c r="T944" s="3"/>
      <c r="U944" s="3">
        <f t="shared" si="497"/>
        <v>0</v>
      </c>
      <c r="V944" s="3"/>
      <c r="W944" s="3">
        <f t="shared" si="498"/>
        <v>0</v>
      </c>
      <c r="X944" s="3"/>
      <c r="Y944" s="3"/>
      <c r="Z944" s="3">
        <f t="shared" si="495"/>
        <v>0</v>
      </c>
      <c r="AA944" s="3"/>
      <c r="AB944" s="3"/>
      <c r="AC944" s="3"/>
      <c r="AD944" s="3">
        <f t="shared" si="499"/>
        <v>0</v>
      </c>
      <c r="AE944" s="3"/>
      <c r="AF944" s="3">
        <f t="shared" si="500"/>
        <v>0</v>
      </c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42"/>
      <c r="AR944" s="3"/>
      <c r="AS944" s="42"/>
      <c r="AT944" s="3"/>
      <c r="AU944" s="42"/>
      <c r="AV944" s="3"/>
      <c r="AW944" s="42"/>
      <c r="AX944" s="3"/>
      <c r="AY944" s="42"/>
      <c r="AZ944" s="3"/>
    </row>
    <row r="945" spans="1:53" s="77" customFormat="1" x14ac:dyDescent="0.25">
      <c r="A945" s="3" t="s">
        <v>695</v>
      </c>
      <c r="B945" s="3"/>
      <c r="C945" s="3"/>
      <c r="D945" s="29"/>
      <c r="E945" s="3">
        <f t="shared" si="502"/>
        <v>0</v>
      </c>
      <c r="F945" s="5"/>
      <c r="G945" s="3"/>
      <c r="H945" s="5">
        <f t="shared" si="501"/>
        <v>0</v>
      </c>
      <c r="I945" s="5"/>
      <c r="J945" s="5"/>
      <c r="K945" s="4">
        <f t="shared" si="493"/>
        <v>0</v>
      </c>
      <c r="L945" s="4"/>
      <c r="M945" s="4"/>
      <c r="N945" s="4">
        <f t="shared" si="494"/>
        <v>0</v>
      </c>
      <c r="O945" s="3"/>
      <c r="P945" s="3">
        <v>20000</v>
      </c>
      <c r="Q945" s="3"/>
      <c r="R945" s="3"/>
      <c r="S945" s="3">
        <f t="shared" si="496"/>
        <v>20000</v>
      </c>
      <c r="T945" s="3">
        <v>20000</v>
      </c>
      <c r="U945" s="3">
        <f t="shared" si="497"/>
        <v>0</v>
      </c>
      <c r="V945" s="3"/>
      <c r="W945" s="3">
        <f t="shared" si="498"/>
        <v>20000</v>
      </c>
      <c r="X945" s="3"/>
      <c r="Y945" s="3">
        <v>20000</v>
      </c>
      <c r="Z945" s="3">
        <f t="shared" si="495"/>
        <v>0</v>
      </c>
      <c r="AA945" s="3"/>
      <c r="AB945" s="3"/>
      <c r="AC945" s="3"/>
      <c r="AD945" s="3">
        <f t="shared" si="499"/>
        <v>20000</v>
      </c>
      <c r="AE945" s="3">
        <v>20000</v>
      </c>
      <c r="AF945" s="3">
        <f t="shared" si="500"/>
        <v>0</v>
      </c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42"/>
      <c r="AR945" s="3"/>
      <c r="AS945" s="42"/>
      <c r="AT945" s="3"/>
      <c r="AU945" s="42"/>
      <c r="AV945" s="3"/>
      <c r="AW945" s="42"/>
      <c r="AX945" s="3"/>
      <c r="AY945" s="42"/>
      <c r="AZ945" s="3"/>
      <c r="BA945" s="6"/>
    </row>
    <row r="946" spans="1:53" x14ac:dyDescent="0.25">
      <c r="A946" s="3" t="s">
        <v>696</v>
      </c>
      <c r="B946" s="3">
        <f>26800+200</f>
        <v>27000</v>
      </c>
      <c r="D946" s="5">
        <f>14263+1548</f>
        <v>15811</v>
      </c>
      <c r="E946" s="3">
        <f t="shared" si="502"/>
        <v>11189</v>
      </c>
      <c r="F946" s="29">
        <v>27000</v>
      </c>
      <c r="H946" s="5">
        <f t="shared" si="501"/>
        <v>0</v>
      </c>
      <c r="J946" s="5">
        <f>3733</f>
        <v>3733</v>
      </c>
      <c r="K946" s="4">
        <f t="shared" si="493"/>
        <v>3267</v>
      </c>
      <c r="L946" s="4">
        <v>7000</v>
      </c>
      <c r="N946" s="4">
        <f t="shared" si="494"/>
        <v>-20000</v>
      </c>
      <c r="P946" s="3">
        <f>29300+10500</f>
        <v>39800</v>
      </c>
      <c r="Q946" s="3"/>
      <c r="R946" s="3"/>
      <c r="S946" s="3">
        <f t="shared" si="496"/>
        <v>39800</v>
      </c>
      <c r="T946" s="3">
        <v>39800</v>
      </c>
      <c r="U946" s="3">
        <f t="shared" si="497"/>
        <v>0</v>
      </c>
      <c r="V946" s="3">
        <f>20468-V958</f>
        <v>16028</v>
      </c>
      <c r="W946" s="3">
        <f t="shared" si="498"/>
        <v>23772</v>
      </c>
      <c r="X946" s="3"/>
      <c r="Y946" s="3">
        <v>39800</v>
      </c>
      <c r="Z946" s="3">
        <f t="shared" si="495"/>
        <v>0</v>
      </c>
      <c r="AA946" s="3"/>
      <c r="AB946" s="3"/>
      <c r="AC946" s="3">
        <v>40336</v>
      </c>
      <c r="AD946" s="3">
        <f t="shared" si="499"/>
        <v>664</v>
      </c>
      <c r="AE946" s="3">
        <v>41000</v>
      </c>
      <c r="AF946" s="3">
        <f>AE946-Y946</f>
        <v>1200</v>
      </c>
      <c r="AG946" s="3"/>
      <c r="AH946" s="3">
        <v>25000</v>
      </c>
      <c r="AI946" s="3"/>
      <c r="AJ946" s="3">
        <v>24000</v>
      </c>
      <c r="AK946" s="3"/>
      <c r="AL946" s="3">
        <v>9000</v>
      </c>
      <c r="AM946" s="3"/>
      <c r="AN946" s="3">
        <v>28000</v>
      </c>
      <c r="AO946" s="3"/>
      <c r="AP946" s="3">
        <v>28000</v>
      </c>
      <c r="AQ946" s="42"/>
      <c r="AR946" s="3">
        <v>28000</v>
      </c>
      <c r="AS946" s="42"/>
      <c r="AT946" s="3">
        <v>28000</v>
      </c>
      <c r="AU946" s="42"/>
      <c r="AV946" s="3">
        <v>28000</v>
      </c>
      <c r="AW946" s="42"/>
      <c r="AX946" s="3">
        <v>28000</v>
      </c>
      <c r="AY946" s="42"/>
      <c r="AZ946" s="3">
        <v>28000</v>
      </c>
      <c r="BA946" s="77"/>
    </row>
    <row r="947" spans="1:53" x14ac:dyDescent="0.25">
      <c r="A947" s="3" t="s">
        <v>697</v>
      </c>
      <c r="B947" s="3"/>
      <c r="E947" s="3"/>
      <c r="F947" s="29"/>
      <c r="J947" s="5">
        <v>3733</v>
      </c>
      <c r="K947" s="4">
        <f>L947-J947</f>
        <v>29267</v>
      </c>
      <c r="L947" s="4">
        <v>33000</v>
      </c>
      <c r="N947" s="4">
        <f>L947-F947</f>
        <v>33000</v>
      </c>
      <c r="P947" s="3"/>
      <c r="Q947" s="3"/>
      <c r="R947" s="3"/>
      <c r="S947" s="3">
        <f t="shared" si="496"/>
        <v>0</v>
      </c>
      <c r="T947" s="3"/>
      <c r="U947" s="3">
        <f t="shared" si="497"/>
        <v>0</v>
      </c>
      <c r="V947" s="3"/>
      <c r="W947" s="3">
        <f t="shared" si="498"/>
        <v>0</v>
      </c>
      <c r="X947" s="3"/>
      <c r="Y947" s="3"/>
      <c r="Z947" s="3">
        <f t="shared" si="495"/>
        <v>0</v>
      </c>
      <c r="AA947" s="3"/>
      <c r="AB947" s="3"/>
      <c r="AC947" s="3"/>
      <c r="AD947" s="3">
        <f>AE947-AC947</f>
        <v>0</v>
      </c>
      <c r="AE947" s="3"/>
      <c r="AF947" s="3">
        <f>AE947-Y947</f>
        <v>0</v>
      </c>
      <c r="AG947" s="3"/>
      <c r="AH947" s="63">
        <v>25000</v>
      </c>
      <c r="AI947" s="3"/>
      <c r="AJ947" s="3"/>
      <c r="AK947" s="3"/>
      <c r="AL947" s="3"/>
      <c r="AM947" s="3"/>
      <c r="AN947" s="3"/>
      <c r="AO947" s="3"/>
      <c r="AP947" s="3"/>
      <c r="AQ947" s="42"/>
      <c r="AR947" s="3"/>
      <c r="AS947" s="42"/>
      <c r="AT947" s="3"/>
      <c r="AU947" s="42"/>
      <c r="AV947" s="3"/>
      <c r="AW947" s="42"/>
      <c r="AX947" s="3"/>
      <c r="AY947" s="42"/>
      <c r="AZ947" s="3"/>
    </row>
    <row r="948" spans="1:53" s="77" customFormat="1" x14ac:dyDescent="0.25">
      <c r="A948" s="3" t="s">
        <v>698</v>
      </c>
      <c r="B948" s="3"/>
      <c r="C948" s="3"/>
      <c r="D948" s="29"/>
      <c r="E948" s="3">
        <f t="shared" si="502"/>
        <v>0</v>
      </c>
      <c r="F948" s="5"/>
      <c r="G948" s="3"/>
      <c r="H948" s="5">
        <f t="shared" si="501"/>
        <v>0</v>
      </c>
      <c r="I948" s="5"/>
      <c r="J948" s="5"/>
      <c r="K948" s="4">
        <f t="shared" si="493"/>
        <v>0</v>
      </c>
      <c r="L948" s="4"/>
      <c r="M948" s="4"/>
      <c r="N948" s="4">
        <f t="shared" si="494"/>
        <v>0</v>
      </c>
      <c r="O948" s="3"/>
      <c r="P948" s="3"/>
      <c r="Q948" s="3"/>
      <c r="R948" s="3"/>
      <c r="S948" s="3">
        <f t="shared" si="496"/>
        <v>0</v>
      </c>
      <c r="T948" s="3"/>
      <c r="U948" s="3">
        <f t="shared" si="497"/>
        <v>0</v>
      </c>
      <c r="V948" s="3"/>
      <c r="W948" s="3">
        <f t="shared" si="498"/>
        <v>0</v>
      </c>
      <c r="X948" s="3"/>
      <c r="Y948" s="3"/>
      <c r="Z948" s="3">
        <f t="shared" si="495"/>
        <v>0</v>
      </c>
      <c r="AA948" s="3"/>
      <c r="AB948" s="3"/>
      <c r="AC948" s="3"/>
      <c r="AD948" s="3">
        <f t="shared" si="499"/>
        <v>0</v>
      </c>
      <c r="AE948" s="3"/>
      <c r="AF948" s="3">
        <f t="shared" si="500"/>
        <v>0</v>
      </c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42"/>
      <c r="AR948" s="3"/>
      <c r="AS948" s="42"/>
      <c r="AT948" s="3"/>
      <c r="AU948" s="42"/>
      <c r="AV948" s="3"/>
      <c r="AW948" s="42"/>
      <c r="AX948" s="3"/>
      <c r="AY948" s="42"/>
      <c r="AZ948" s="3"/>
    </row>
    <row r="949" spans="1:53" x14ac:dyDescent="0.25">
      <c r="A949" s="3" t="s">
        <v>699</v>
      </c>
      <c r="B949" s="3"/>
      <c r="E949" s="3">
        <f t="shared" si="502"/>
        <v>0</v>
      </c>
      <c r="F949" s="29"/>
      <c r="H949" s="5">
        <f t="shared" si="501"/>
        <v>0</v>
      </c>
      <c r="K949" s="4">
        <f t="shared" si="493"/>
        <v>0</v>
      </c>
      <c r="L949" s="4"/>
      <c r="N949" s="4">
        <f t="shared" si="494"/>
        <v>0</v>
      </c>
      <c r="P949" s="3"/>
      <c r="Q949" s="3"/>
      <c r="R949" s="3"/>
      <c r="S949" s="3">
        <f t="shared" si="496"/>
        <v>0</v>
      </c>
      <c r="T949" s="3"/>
      <c r="U949" s="3">
        <f t="shared" si="497"/>
        <v>0</v>
      </c>
      <c r="V949" s="3"/>
      <c r="W949" s="3">
        <f t="shared" si="498"/>
        <v>0</v>
      </c>
      <c r="X949" s="3"/>
      <c r="Y949" s="3"/>
      <c r="Z949" s="3">
        <f t="shared" si="495"/>
        <v>0</v>
      </c>
      <c r="AA949" s="3"/>
      <c r="AB949" s="3"/>
      <c r="AC949" s="3"/>
      <c r="AD949" s="3">
        <f t="shared" si="499"/>
        <v>0</v>
      </c>
      <c r="AE949" s="3"/>
      <c r="AF949" s="3">
        <f t="shared" si="500"/>
        <v>0</v>
      </c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42"/>
      <c r="AR949" s="3"/>
      <c r="AS949" s="42"/>
      <c r="AT949" s="3"/>
      <c r="AU949" s="42"/>
      <c r="AV949" s="3"/>
      <c r="AW949" s="42"/>
      <c r="AX949" s="3"/>
      <c r="AY949" s="42"/>
      <c r="AZ949" s="3"/>
    </row>
    <row r="950" spans="1:53" s="77" customFormat="1" x14ac:dyDescent="0.25">
      <c r="A950" s="3" t="s">
        <v>700</v>
      </c>
      <c r="B950" s="3"/>
      <c r="C950" s="3"/>
      <c r="D950" s="29"/>
      <c r="E950" s="3">
        <f t="shared" si="502"/>
        <v>0</v>
      </c>
      <c r="F950" s="5"/>
      <c r="G950" s="3"/>
      <c r="H950" s="5">
        <f t="shared" si="501"/>
        <v>0</v>
      </c>
      <c r="I950" s="5"/>
      <c r="J950" s="5"/>
      <c r="K950" s="4">
        <f t="shared" si="493"/>
        <v>0</v>
      </c>
      <c r="L950" s="4"/>
      <c r="M950" s="4"/>
      <c r="N950" s="4">
        <f t="shared" si="494"/>
        <v>0</v>
      </c>
      <c r="O950" s="3"/>
      <c r="P950" s="3"/>
      <c r="Q950" s="3"/>
      <c r="R950" s="3"/>
      <c r="S950" s="3">
        <f t="shared" si="496"/>
        <v>0</v>
      </c>
      <c r="T950" s="3"/>
      <c r="U950" s="3">
        <f t="shared" si="497"/>
        <v>0</v>
      </c>
      <c r="V950" s="3"/>
      <c r="W950" s="3">
        <f t="shared" si="498"/>
        <v>0</v>
      </c>
      <c r="X950" s="3"/>
      <c r="Y950" s="3"/>
      <c r="Z950" s="3">
        <f t="shared" si="495"/>
        <v>0</v>
      </c>
      <c r="AA950" s="3"/>
      <c r="AB950" s="3"/>
      <c r="AC950" s="3"/>
      <c r="AD950" s="3">
        <f t="shared" si="499"/>
        <v>0</v>
      </c>
      <c r="AE950" s="3"/>
      <c r="AF950" s="3">
        <f t="shared" si="500"/>
        <v>0</v>
      </c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42"/>
      <c r="AR950" s="3"/>
      <c r="AS950" s="42"/>
      <c r="AT950" s="3"/>
      <c r="AU950" s="42"/>
      <c r="AV950" s="3"/>
      <c r="AW950" s="42"/>
      <c r="AX950" s="3"/>
      <c r="AY950" s="42"/>
      <c r="AZ950" s="3"/>
      <c r="BA950" s="6"/>
    </row>
    <row r="951" spans="1:53" x14ac:dyDescent="0.25">
      <c r="A951" s="3" t="s">
        <v>701</v>
      </c>
      <c r="B951" s="3"/>
      <c r="E951" s="3">
        <f t="shared" si="502"/>
        <v>0</v>
      </c>
      <c r="F951" s="29"/>
      <c r="H951" s="5">
        <f t="shared" si="501"/>
        <v>0</v>
      </c>
      <c r="K951" s="4">
        <f t="shared" si="493"/>
        <v>0</v>
      </c>
      <c r="L951" s="4"/>
      <c r="N951" s="4">
        <f t="shared" si="494"/>
        <v>0</v>
      </c>
      <c r="P951" s="3"/>
      <c r="Q951" s="3"/>
      <c r="R951" s="3"/>
      <c r="S951" s="3">
        <f t="shared" si="496"/>
        <v>0</v>
      </c>
      <c r="T951" s="3"/>
      <c r="U951" s="3">
        <f t="shared" si="497"/>
        <v>0</v>
      </c>
      <c r="V951" s="3"/>
      <c r="W951" s="3">
        <f t="shared" si="498"/>
        <v>0</v>
      </c>
      <c r="X951" s="3"/>
      <c r="Y951" s="3"/>
      <c r="Z951" s="3">
        <f t="shared" si="495"/>
        <v>0</v>
      </c>
      <c r="AA951" s="3"/>
      <c r="AB951" s="3"/>
      <c r="AC951" s="3"/>
      <c r="AD951" s="3">
        <f t="shared" si="499"/>
        <v>0</v>
      </c>
      <c r="AE951" s="3"/>
      <c r="AF951" s="3">
        <f t="shared" si="500"/>
        <v>0</v>
      </c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42"/>
      <c r="AR951" s="3"/>
      <c r="AS951" s="42"/>
      <c r="AT951" s="3"/>
      <c r="AU951" s="42"/>
      <c r="AV951" s="3"/>
      <c r="AW951" s="42"/>
      <c r="AX951" s="3"/>
      <c r="AY951" s="42"/>
      <c r="AZ951" s="3"/>
    </row>
    <row r="952" spans="1:53" x14ac:dyDescent="0.25">
      <c r="A952" s="3" t="s">
        <v>702</v>
      </c>
      <c r="B952" s="3"/>
      <c r="E952" s="3"/>
      <c r="F952" s="29"/>
      <c r="K952" s="4"/>
      <c r="L952" s="4"/>
      <c r="N952" s="4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>
        <v>80000</v>
      </c>
      <c r="AI952" s="3"/>
      <c r="AJ952" s="3"/>
      <c r="AK952" s="3"/>
      <c r="AL952" s="3"/>
      <c r="AM952" s="3"/>
      <c r="AN952" s="3"/>
      <c r="AO952" s="3"/>
      <c r="AP952" s="3"/>
      <c r="AQ952" s="42"/>
      <c r="AR952" s="3"/>
      <c r="AS952" s="42"/>
      <c r="AT952" s="3"/>
      <c r="AU952" s="42"/>
      <c r="AV952" s="3"/>
      <c r="AW952" s="42"/>
      <c r="AX952" s="3"/>
      <c r="AY952" s="42"/>
      <c r="AZ952" s="3"/>
      <c r="BA952" s="77"/>
    </row>
    <row r="953" spans="1:53" x14ac:dyDescent="0.25">
      <c r="A953" s="3" t="s">
        <v>703</v>
      </c>
      <c r="B953" s="3"/>
      <c r="E953" s="3"/>
      <c r="F953" s="29"/>
      <c r="K953" s="4"/>
      <c r="L953" s="4"/>
      <c r="N953" s="4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>
        <v>20000</v>
      </c>
      <c r="AI953" s="3"/>
      <c r="AJ953" s="3"/>
      <c r="AK953" s="3"/>
      <c r="AL953" s="3"/>
      <c r="AM953" s="3"/>
      <c r="AN953" s="3"/>
      <c r="AO953" s="3"/>
      <c r="AP953" s="3"/>
      <c r="AQ953" s="42"/>
      <c r="AR953" s="3"/>
      <c r="AS953" s="42"/>
      <c r="AT953" s="3"/>
      <c r="AU953" s="42"/>
      <c r="AV953" s="3"/>
      <c r="AW953" s="42"/>
      <c r="AX953" s="3"/>
      <c r="AY953" s="42"/>
      <c r="AZ953" s="3"/>
    </row>
    <row r="954" spans="1:53" s="77" customFormat="1" x14ac:dyDescent="0.25">
      <c r="A954" s="3" t="s">
        <v>704</v>
      </c>
      <c r="B954" s="3">
        <v>2000</v>
      </c>
      <c r="C954" s="3"/>
      <c r="D954" s="29"/>
      <c r="E954" s="3">
        <f t="shared" si="502"/>
        <v>2000</v>
      </c>
      <c r="F954" s="5">
        <v>2000</v>
      </c>
      <c r="G954" s="3"/>
      <c r="H954" s="5">
        <f t="shared" si="501"/>
        <v>0</v>
      </c>
      <c r="I954" s="5"/>
      <c r="J954" s="5"/>
      <c r="K954" s="4">
        <f t="shared" si="493"/>
        <v>0</v>
      </c>
      <c r="L954" s="4"/>
      <c r="M954" s="4"/>
      <c r="N954" s="4">
        <f t="shared" si="494"/>
        <v>-2000</v>
      </c>
      <c r="O954" s="3"/>
      <c r="P954" s="3">
        <v>2000</v>
      </c>
      <c r="Q954" s="3"/>
      <c r="R954" s="3"/>
      <c r="S954" s="3">
        <f t="shared" si="496"/>
        <v>2000</v>
      </c>
      <c r="T954" s="3">
        <v>2000</v>
      </c>
      <c r="U954" s="3">
        <f t="shared" si="497"/>
        <v>0</v>
      </c>
      <c r="V954" s="3"/>
      <c r="W954" s="3">
        <f t="shared" si="498"/>
        <v>2000</v>
      </c>
      <c r="X954" s="3"/>
      <c r="Y954" s="3">
        <v>2000</v>
      </c>
      <c r="Z954" s="3">
        <f t="shared" si="495"/>
        <v>0</v>
      </c>
      <c r="AA954" s="3"/>
      <c r="AB954" s="3"/>
      <c r="AC954" s="3"/>
      <c r="AD954" s="3">
        <f>AE954-AC954</f>
        <v>2000</v>
      </c>
      <c r="AE954" s="3">
        <v>2000</v>
      </c>
      <c r="AF954" s="3">
        <f t="shared" si="500"/>
        <v>0</v>
      </c>
      <c r="AG954" s="3"/>
      <c r="AH954" s="3">
        <v>2000</v>
      </c>
      <c r="AI954" s="3"/>
      <c r="AJ954" s="3">
        <v>2000</v>
      </c>
      <c r="AK954" s="3"/>
      <c r="AL954" s="3">
        <v>2000</v>
      </c>
      <c r="AM954" s="3"/>
      <c r="AN954" s="3">
        <v>2000</v>
      </c>
      <c r="AO954" s="3"/>
      <c r="AP954" s="3">
        <v>2000</v>
      </c>
      <c r="AQ954" s="42"/>
      <c r="AR954" s="3">
        <v>2000</v>
      </c>
      <c r="AS954" s="42"/>
      <c r="AT954" s="3">
        <v>2000</v>
      </c>
      <c r="AU954" s="42"/>
      <c r="AV954" s="3">
        <v>2000</v>
      </c>
      <c r="AW954" s="42"/>
      <c r="AX954" s="3">
        <v>2000</v>
      </c>
      <c r="AY954" s="42"/>
      <c r="AZ954" s="3">
        <v>2000</v>
      </c>
      <c r="BA954" s="6"/>
    </row>
    <row r="955" spans="1:53" x14ac:dyDescent="0.25">
      <c r="A955" s="3" t="s">
        <v>705</v>
      </c>
      <c r="B955" s="3"/>
      <c r="E955" s="3">
        <f t="shared" si="502"/>
        <v>2000</v>
      </c>
      <c r="F955" s="29">
        <v>2000</v>
      </c>
      <c r="H955" s="5">
        <f t="shared" si="501"/>
        <v>2000</v>
      </c>
      <c r="K955" s="4">
        <f t="shared" si="493"/>
        <v>2000</v>
      </c>
      <c r="L955" s="4">
        <v>2000</v>
      </c>
      <c r="N955" s="4">
        <f t="shared" si="494"/>
        <v>0</v>
      </c>
      <c r="P955" s="3">
        <v>80000</v>
      </c>
      <c r="Q955" s="3"/>
      <c r="R955" s="3"/>
      <c r="S955" s="3">
        <f t="shared" si="496"/>
        <v>80000</v>
      </c>
      <c r="T955" s="3">
        <v>80000</v>
      </c>
      <c r="U955" s="3">
        <f t="shared" si="497"/>
        <v>0</v>
      </c>
      <c r="V955" s="3"/>
      <c r="W955" s="3">
        <f t="shared" si="498"/>
        <v>80000</v>
      </c>
      <c r="X955" s="3"/>
      <c r="Y955" s="3">
        <v>80000</v>
      </c>
      <c r="Z955" s="3">
        <f t="shared" si="495"/>
        <v>0</v>
      </c>
      <c r="AA955" s="3"/>
      <c r="AB955" s="3"/>
      <c r="AC955" s="3">
        <v>0</v>
      </c>
      <c r="AD955" s="3">
        <f>AE955-AC955</f>
        <v>80000</v>
      </c>
      <c r="AE955" s="3">
        <v>80000</v>
      </c>
      <c r="AF955" s="3">
        <f>AE955-Y955</f>
        <v>0</v>
      </c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42"/>
      <c r="AR955" s="3"/>
      <c r="AS955" s="42"/>
      <c r="AT955" s="3"/>
      <c r="AU955" s="42"/>
      <c r="AV955" s="3"/>
      <c r="AW955" s="42"/>
      <c r="AX955" s="3"/>
      <c r="AY955" s="42"/>
      <c r="AZ955" s="3"/>
      <c r="BA955" s="77"/>
    </row>
    <row r="956" spans="1:53" x14ac:dyDescent="0.25">
      <c r="A956" s="3" t="s">
        <v>706</v>
      </c>
      <c r="B956" s="3"/>
      <c r="E956" s="3">
        <f t="shared" si="502"/>
        <v>0</v>
      </c>
      <c r="H956" s="5">
        <f t="shared" si="501"/>
        <v>0</v>
      </c>
      <c r="K956" s="4">
        <f t="shared" si="493"/>
        <v>0</v>
      </c>
      <c r="L956" s="4"/>
      <c r="N956" s="4">
        <f t="shared" si="494"/>
        <v>0</v>
      </c>
      <c r="P956" s="3"/>
      <c r="Q956" s="3"/>
      <c r="R956" s="3"/>
      <c r="S956" s="3">
        <f t="shared" si="496"/>
        <v>0</v>
      </c>
      <c r="T956" s="3"/>
      <c r="U956" s="3">
        <f t="shared" si="497"/>
        <v>0</v>
      </c>
      <c r="V956" s="3"/>
      <c r="W956" s="3">
        <f t="shared" si="498"/>
        <v>0</v>
      </c>
      <c r="X956" s="3"/>
      <c r="Y956" s="3"/>
      <c r="Z956" s="3">
        <f t="shared" si="495"/>
        <v>0</v>
      </c>
      <c r="AA956" s="3"/>
      <c r="AB956" s="3"/>
      <c r="AC956" s="3"/>
      <c r="AD956" s="3">
        <f t="shared" si="499"/>
        <v>0</v>
      </c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42"/>
      <c r="AR956" s="3"/>
      <c r="AS956" s="42"/>
      <c r="AT956" s="3"/>
      <c r="AU956" s="42"/>
      <c r="AV956" s="3"/>
      <c r="AW956" s="42"/>
      <c r="AX956" s="3"/>
      <c r="AY956" s="42"/>
      <c r="AZ956" s="3"/>
    </row>
    <row r="957" spans="1:53" s="77" customFormat="1" x14ac:dyDescent="0.25">
      <c r="A957" s="3" t="s">
        <v>707</v>
      </c>
      <c r="B957" s="3"/>
      <c r="C957" s="3"/>
      <c r="D957" s="29"/>
      <c r="E957" s="3">
        <f t="shared" si="502"/>
        <v>0</v>
      </c>
      <c r="F957" s="5"/>
      <c r="G957" s="3"/>
      <c r="H957" s="5">
        <f t="shared" si="501"/>
        <v>0</v>
      </c>
      <c r="I957" s="5"/>
      <c r="J957" s="5"/>
      <c r="K957" s="4">
        <f t="shared" si="493"/>
        <v>0</v>
      </c>
      <c r="L957" s="4"/>
      <c r="M957" s="4"/>
      <c r="N957" s="4">
        <f t="shared" si="494"/>
        <v>0</v>
      </c>
      <c r="O957" s="3"/>
      <c r="P957" s="3"/>
      <c r="Q957" s="3"/>
      <c r="R957" s="3"/>
      <c r="S957" s="3">
        <f t="shared" si="496"/>
        <v>0</v>
      </c>
      <c r="T957" s="3"/>
      <c r="U957" s="3">
        <f t="shared" si="497"/>
        <v>0</v>
      </c>
      <c r="V957" s="3"/>
      <c r="W957" s="3">
        <f t="shared" si="498"/>
        <v>0</v>
      </c>
      <c r="X957" s="3"/>
      <c r="Y957" s="3"/>
      <c r="Z957" s="3">
        <f t="shared" si="495"/>
        <v>0</v>
      </c>
      <c r="AA957" s="3"/>
      <c r="AB957" s="3"/>
      <c r="AC957" s="3"/>
      <c r="AD957" s="3">
        <f t="shared" si="499"/>
        <v>0</v>
      </c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42"/>
      <c r="AR957" s="3"/>
      <c r="AS957" s="42"/>
      <c r="AT957" s="3"/>
      <c r="AU957" s="42"/>
      <c r="AV957" s="3"/>
      <c r="AW957" s="42"/>
      <c r="AX957" s="3"/>
      <c r="AY957" s="42"/>
      <c r="AZ957" s="3"/>
    </row>
    <row r="958" spans="1:53" x14ac:dyDescent="0.25">
      <c r="A958" s="3" t="s">
        <v>708</v>
      </c>
      <c r="B958" s="3">
        <v>5500</v>
      </c>
      <c r="E958" s="3">
        <f t="shared" si="502"/>
        <v>5500</v>
      </c>
      <c r="F958" s="29">
        <v>5500</v>
      </c>
      <c r="H958" s="5">
        <f t="shared" si="501"/>
        <v>0</v>
      </c>
      <c r="K958" s="4">
        <f t="shared" si="493"/>
        <v>5500</v>
      </c>
      <c r="L958" s="4">
        <v>5500</v>
      </c>
      <c r="N958" s="4">
        <f t="shared" si="494"/>
        <v>0</v>
      </c>
      <c r="P958" s="3">
        <f>B958*1.02-10</f>
        <v>5600</v>
      </c>
      <c r="Q958" s="3"/>
      <c r="R958" s="3"/>
      <c r="S958" s="3">
        <f t="shared" si="496"/>
        <v>5600</v>
      </c>
      <c r="T958" s="3">
        <v>5600</v>
      </c>
      <c r="U958" s="3">
        <f t="shared" si="497"/>
        <v>0</v>
      </c>
      <c r="V958" s="3">
        <v>4440</v>
      </c>
      <c r="W958" s="3">
        <f t="shared" si="498"/>
        <v>4440</v>
      </c>
      <c r="X958" s="3"/>
      <c r="Y958" s="3">
        <v>8880</v>
      </c>
      <c r="Z958" s="3">
        <f t="shared" si="495"/>
        <v>3280</v>
      </c>
      <c r="AA958" s="3"/>
      <c r="AB958" s="3"/>
      <c r="AC958" s="3">
        <v>11068</v>
      </c>
      <c r="AD958" s="3">
        <f>AE958-AC958</f>
        <v>2</v>
      </c>
      <c r="AE958" s="3">
        <v>11070</v>
      </c>
      <c r="AF958" s="3">
        <f>AE958-Y958</f>
        <v>2190</v>
      </c>
      <c r="AG958" s="3"/>
      <c r="AH958" s="3">
        <v>5500</v>
      </c>
      <c r="AI958" s="3"/>
      <c r="AJ958" s="3">
        <f>AH958*1.02</f>
        <v>5610</v>
      </c>
      <c r="AK958" s="3"/>
      <c r="AL958" s="3">
        <f>AJ958*1.02</f>
        <v>5722.2</v>
      </c>
      <c r="AM958" s="3"/>
      <c r="AN958" s="3">
        <f>AL958*1.02</f>
        <v>5836.6440000000002</v>
      </c>
      <c r="AO958" s="3"/>
      <c r="AP958" s="3">
        <f>AN958*1.02</f>
        <v>5953.3768800000007</v>
      </c>
      <c r="AQ958" s="42"/>
      <c r="AR958" s="3">
        <f>AP958*1.02</f>
        <v>6072.4444176000006</v>
      </c>
      <c r="AS958" s="42"/>
      <c r="AT958" s="3">
        <f>AR958*1.02</f>
        <v>6193.8933059520004</v>
      </c>
      <c r="AU958" s="42"/>
      <c r="AV958" s="3">
        <f>AT958*1.02</f>
        <v>6317.7711720710404</v>
      </c>
      <c r="AW958" s="42"/>
      <c r="AX958" s="3">
        <f>AV958*1.02</f>
        <v>6444.1265955124609</v>
      </c>
      <c r="AY958" s="42"/>
      <c r="AZ958" s="3">
        <f>AX958*1.02</f>
        <v>6573.0091274227107</v>
      </c>
    </row>
    <row r="959" spans="1:53" s="77" customFormat="1" x14ac:dyDescent="0.25">
      <c r="A959" s="3" t="s">
        <v>709</v>
      </c>
      <c r="B959" s="3"/>
      <c r="C959" s="3"/>
      <c r="D959" s="29"/>
      <c r="E959" s="3">
        <f t="shared" si="502"/>
        <v>0</v>
      </c>
      <c r="F959" s="5"/>
      <c r="G959" s="3"/>
      <c r="H959" s="5">
        <f t="shared" si="501"/>
        <v>0</v>
      </c>
      <c r="I959" s="5"/>
      <c r="J959" s="5"/>
      <c r="K959" s="4">
        <f t="shared" si="493"/>
        <v>0</v>
      </c>
      <c r="L959" s="4"/>
      <c r="M959" s="4"/>
      <c r="N959" s="4">
        <f t="shared" si="494"/>
        <v>0</v>
      </c>
      <c r="O959" s="3"/>
      <c r="P959" s="3"/>
      <c r="Q959" s="3"/>
      <c r="R959" s="3"/>
      <c r="S959" s="3">
        <f t="shared" si="496"/>
        <v>0</v>
      </c>
      <c r="T959" s="3"/>
      <c r="U959" s="3">
        <f t="shared" si="497"/>
        <v>0</v>
      </c>
      <c r="V959" s="3"/>
      <c r="W959" s="3">
        <f t="shared" si="498"/>
        <v>0</v>
      </c>
      <c r="X959" s="3"/>
      <c r="Y959" s="3"/>
      <c r="Z959" s="3">
        <f t="shared" si="495"/>
        <v>0</v>
      </c>
      <c r="AA959" s="3"/>
      <c r="AB959" s="3"/>
      <c r="AC959" s="3"/>
      <c r="AD959" s="3">
        <f t="shared" si="499"/>
        <v>0</v>
      </c>
      <c r="AE959" s="3"/>
      <c r="AF959" s="3">
        <f t="shared" si="500"/>
        <v>0</v>
      </c>
      <c r="AG959" s="3"/>
      <c r="AH959" s="3"/>
      <c r="AI959" s="3"/>
      <c r="AJ959" s="3"/>
      <c r="AK959" s="3"/>
      <c r="AL959" s="3">
        <v>4000</v>
      </c>
      <c r="AM959" s="3"/>
      <c r="AN959" s="3"/>
      <c r="AO959" s="3"/>
      <c r="AP959" s="3"/>
      <c r="AQ959" s="42"/>
      <c r="AR959" s="3"/>
      <c r="AS959" s="42"/>
      <c r="AT959" s="3"/>
      <c r="AU959" s="42"/>
      <c r="AV959" s="3"/>
      <c r="AW959" s="42"/>
      <c r="AX959" s="3"/>
      <c r="AY959" s="42"/>
      <c r="AZ959" s="3"/>
    </row>
    <row r="960" spans="1:53" x14ac:dyDescent="0.25">
      <c r="A960" s="3" t="s">
        <v>710</v>
      </c>
      <c r="B960" s="3">
        <v>3000</v>
      </c>
      <c r="D960" s="3"/>
      <c r="E960" s="3">
        <f>F960-D960</f>
        <v>3000</v>
      </c>
      <c r="F960" s="3">
        <v>3000</v>
      </c>
      <c r="H960" s="5">
        <f t="shared" si="501"/>
        <v>0</v>
      </c>
      <c r="K960" s="4">
        <f t="shared" si="493"/>
        <v>3000</v>
      </c>
      <c r="L960" s="4">
        <v>3000</v>
      </c>
      <c r="N960" s="4">
        <f t="shared" si="494"/>
        <v>0</v>
      </c>
      <c r="P960" s="3"/>
      <c r="Q960" s="3"/>
      <c r="R960" s="3"/>
      <c r="S960" s="3">
        <f t="shared" si="496"/>
        <v>0</v>
      </c>
      <c r="T960" s="3"/>
      <c r="U960" s="3">
        <f t="shared" si="497"/>
        <v>0</v>
      </c>
      <c r="V960" s="3"/>
      <c r="W960" s="3">
        <f t="shared" si="498"/>
        <v>0</v>
      </c>
      <c r="X960" s="3"/>
      <c r="Y960" s="3"/>
      <c r="Z960" s="3">
        <f t="shared" si="495"/>
        <v>0</v>
      </c>
      <c r="AA960" s="3"/>
      <c r="AB960" s="3"/>
      <c r="AC960" s="3"/>
      <c r="AD960" s="3">
        <f t="shared" si="499"/>
        <v>0</v>
      </c>
      <c r="AE960" s="3"/>
      <c r="AF960" s="3">
        <f t="shared" si="500"/>
        <v>0</v>
      </c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42"/>
      <c r="AR960" s="3"/>
      <c r="AS960" s="42"/>
      <c r="AT960" s="3"/>
      <c r="AU960" s="42"/>
      <c r="AV960" s="3"/>
      <c r="AW960" s="42"/>
      <c r="AX960" s="3"/>
      <c r="AY960" s="42"/>
      <c r="AZ960" s="3"/>
      <c r="BA960" s="77"/>
    </row>
    <row r="961" spans="1:53" s="77" customFormat="1" x14ac:dyDescent="0.25">
      <c r="A961" s="3" t="s">
        <v>711</v>
      </c>
      <c r="B961" s="3"/>
      <c r="C961" s="3"/>
      <c r="D961" s="29"/>
      <c r="E961" s="3">
        <f>F961-D961</f>
        <v>0</v>
      </c>
      <c r="F961" s="3"/>
      <c r="G961" s="3"/>
      <c r="H961" s="5">
        <f t="shared" si="501"/>
        <v>0</v>
      </c>
      <c r="I961" s="5"/>
      <c r="J961" s="5"/>
      <c r="K961" s="4">
        <f t="shared" si="493"/>
        <v>0</v>
      </c>
      <c r="L961" s="4"/>
      <c r="M961" s="4"/>
      <c r="N961" s="4">
        <f t="shared" si="494"/>
        <v>0</v>
      </c>
      <c r="O961" s="3"/>
      <c r="P961" s="3"/>
      <c r="Q961" s="3"/>
      <c r="R961" s="3"/>
      <c r="S961" s="3">
        <f t="shared" si="496"/>
        <v>0</v>
      </c>
      <c r="T961" s="3"/>
      <c r="U961" s="3">
        <f t="shared" si="497"/>
        <v>0</v>
      </c>
      <c r="V961" s="3"/>
      <c r="W961" s="3">
        <f t="shared" si="498"/>
        <v>0</v>
      </c>
      <c r="X961" s="3"/>
      <c r="Y961" s="3"/>
      <c r="Z961" s="3">
        <f t="shared" si="495"/>
        <v>0</v>
      </c>
      <c r="AA961" s="3"/>
      <c r="AB961" s="3"/>
      <c r="AC961" s="3"/>
      <c r="AD961" s="3">
        <f t="shared" si="499"/>
        <v>0</v>
      </c>
      <c r="AE961" s="3"/>
      <c r="AF961" s="3">
        <f t="shared" si="500"/>
        <v>0</v>
      </c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42"/>
      <c r="AR961" s="3"/>
      <c r="AS961" s="42"/>
      <c r="AT961" s="3"/>
      <c r="AU961" s="42"/>
      <c r="AV961" s="3"/>
      <c r="AW961" s="42"/>
      <c r="AX961" s="3"/>
      <c r="AY961" s="42"/>
      <c r="AZ961" s="3"/>
      <c r="BA961" s="6"/>
    </row>
    <row r="962" spans="1:53" s="77" customFormat="1" x14ac:dyDescent="0.25">
      <c r="A962" s="3" t="s">
        <v>712</v>
      </c>
      <c r="B962" s="3">
        <v>25000</v>
      </c>
      <c r="C962" s="3"/>
      <c r="D962" s="29"/>
      <c r="E962" s="3">
        <f>F962-D962</f>
        <v>25000</v>
      </c>
      <c r="F962" s="29">
        <v>25000</v>
      </c>
      <c r="G962" s="3"/>
      <c r="H962" s="5">
        <f t="shared" si="501"/>
        <v>0</v>
      </c>
      <c r="I962" s="5"/>
      <c r="J962" s="5">
        <v>0</v>
      </c>
      <c r="K962" s="4">
        <f t="shared" si="493"/>
        <v>25000</v>
      </c>
      <c r="L962" s="4">
        <v>25000</v>
      </c>
      <c r="M962" s="4"/>
      <c r="N962" s="4"/>
      <c r="O962" s="3"/>
      <c r="P962" s="3">
        <v>25000</v>
      </c>
      <c r="Q962" s="3"/>
      <c r="R962" s="3">
        <v>2348</v>
      </c>
      <c r="S962" s="3">
        <f t="shared" si="496"/>
        <v>49652</v>
      </c>
      <c r="T962" s="3">
        <v>52000</v>
      </c>
      <c r="U962" s="3">
        <f t="shared" si="497"/>
        <v>27000</v>
      </c>
      <c r="V962" s="3">
        <v>16670</v>
      </c>
      <c r="W962" s="3">
        <f t="shared" si="498"/>
        <v>35330</v>
      </c>
      <c r="X962" s="3"/>
      <c r="Y962" s="3">
        <v>52000</v>
      </c>
      <c r="Z962" s="3">
        <f t="shared" si="495"/>
        <v>0</v>
      </c>
      <c r="AA962" s="3"/>
      <c r="AB962" s="3"/>
      <c r="AC962" s="3">
        <v>62148</v>
      </c>
      <c r="AD962" s="3">
        <f t="shared" si="499"/>
        <v>52</v>
      </c>
      <c r="AE962" s="3">
        <v>62200</v>
      </c>
      <c r="AF962" s="3">
        <f t="shared" si="500"/>
        <v>10200</v>
      </c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42"/>
      <c r="AR962" s="3"/>
      <c r="AS962" s="42"/>
      <c r="AT962" s="3"/>
      <c r="AU962" s="42"/>
      <c r="AV962" s="3"/>
      <c r="AW962" s="42"/>
      <c r="AX962" s="3"/>
      <c r="AY962" s="42"/>
      <c r="AZ962" s="3"/>
    </row>
    <row r="963" spans="1:53" x14ac:dyDescent="0.25">
      <c r="A963" s="3" t="s">
        <v>713</v>
      </c>
      <c r="B963" s="3"/>
      <c r="E963" s="3">
        <f>F963-D963</f>
        <v>0</v>
      </c>
      <c r="F963" s="29"/>
      <c r="H963" s="5">
        <f t="shared" si="501"/>
        <v>0</v>
      </c>
      <c r="K963" s="4">
        <f t="shared" si="493"/>
        <v>0</v>
      </c>
      <c r="L963" s="4"/>
      <c r="N963" s="4">
        <f t="shared" si="494"/>
        <v>0</v>
      </c>
      <c r="P963" s="3">
        <v>10000</v>
      </c>
      <c r="Q963" s="3"/>
      <c r="R963" s="3"/>
      <c r="S963" s="3">
        <f t="shared" si="496"/>
        <v>7000</v>
      </c>
      <c r="T963" s="3">
        <v>7000</v>
      </c>
      <c r="U963" s="3">
        <f t="shared" si="497"/>
        <v>-3000</v>
      </c>
      <c r="V963" s="3"/>
      <c r="W963" s="3">
        <f t="shared" si="498"/>
        <v>7000</v>
      </c>
      <c r="X963" s="3"/>
      <c r="Y963" s="3">
        <v>7000</v>
      </c>
      <c r="Z963" s="3">
        <f t="shared" si="495"/>
        <v>0</v>
      </c>
      <c r="AA963" s="3"/>
      <c r="AB963" s="3"/>
      <c r="AC963" s="3"/>
      <c r="AD963" s="3">
        <f t="shared" si="499"/>
        <v>5000</v>
      </c>
      <c r="AE963" s="3">
        <v>5000</v>
      </c>
      <c r="AF963" s="3">
        <f t="shared" si="500"/>
        <v>-2000</v>
      </c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42"/>
      <c r="AR963" s="3"/>
      <c r="AS963" s="42"/>
      <c r="AT963" s="3"/>
      <c r="AU963" s="42"/>
      <c r="AV963" s="3"/>
      <c r="AW963" s="42"/>
      <c r="AX963" s="3"/>
      <c r="AY963" s="42"/>
      <c r="AZ963" s="3"/>
    </row>
    <row r="964" spans="1:53" s="77" customFormat="1" x14ac:dyDescent="0.25">
      <c r="A964" s="3" t="s">
        <v>714</v>
      </c>
      <c r="B964" s="3"/>
      <c r="C964" s="3"/>
      <c r="D964" s="29"/>
      <c r="E964" s="3">
        <f>F964-D964</f>
        <v>0</v>
      </c>
      <c r="F964" s="5"/>
      <c r="G964" s="3"/>
      <c r="H964" s="5">
        <f t="shared" si="501"/>
        <v>0</v>
      </c>
      <c r="I964" s="5"/>
      <c r="J964" s="5"/>
      <c r="K964" s="4">
        <f t="shared" si="493"/>
        <v>0</v>
      </c>
      <c r="L964" s="4"/>
      <c r="M964" s="4"/>
      <c r="N964" s="4">
        <f t="shared" si="494"/>
        <v>0</v>
      </c>
      <c r="O964" s="3"/>
      <c r="P964" s="3"/>
      <c r="Q964" s="3"/>
      <c r="R964" s="3"/>
      <c r="S964" s="3">
        <f t="shared" si="496"/>
        <v>0</v>
      </c>
      <c r="T964" s="3"/>
      <c r="U964" s="3">
        <f t="shared" si="497"/>
        <v>0</v>
      </c>
      <c r="V964" s="3"/>
      <c r="W964" s="3">
        <f t="shared" si="498"/>
        <v>0</v>
      </c>
      <c r="X964" s="3"/>
      <c r="Y964" s="3"/>
      <c r="Z964" s="3">
        <f t="shared" si="495"/>
        <v>0</v>
      </c>
      <c r="AA964" s="3"/>
      <c r="AB964" s="3"/>
      <c r="AC964" s="3"/>
      <c r="AD964" s="3">
        <f t="shared" si="499"/>
        <v>0</v>
      </c>
      <c r="AE964" s="3"/>
      <c r="AF964" s="3">
        <f t="shared" si="500"/>
        <v>0</v>
      </c>
      <c r="AG964" s="3"/>
      <c r="AH964" s="3">
        <v>5000</v>
      </c>
      <c r="AI964" s="3"/>
      <c r="AJ964" s="3">
        <v>5000</v>
      </c>
      <c r="AK964" s="3"/>
      <c r="AL964" s="3">
        <v>5000</v>
      </c>
      <c r="AM964" s="3"/>
      <c r="AN964" s="3"/>
      <c r="AO964" s="3"/>
      <c r="AP964" s="3"/>
      <c r="AQ964" s="42"/>
      <c r="AR964" s="3"/>
      <c r="AS964" s="42"/>
      <c r="AT964" s="3"/>
      <c r="AU964" s="42"/>
      <c r="AV964" s="3"/>
      <c r="AW964" s="42"/>
      <c r="AX964" s="3"/>
      <c r="AY964" s="42"/>
      <c r="AZ964" s="3"/>
    </row>
    <row r="965" spans="1:53" x14ac:dyDescent="0.25">
      <c r="A965" s="3" t="s">
        <v>715</v>
      </c>
      <c r="B965" s="3"/>
      <c r="E965" s="3">
        <f t="shared" si="502"/>
        <v>0</v>
      </c>
      <c r="F965" s="29"/>
      <c r="H965" s="5">
        <f t="shared" si="501"/>
        <v>0</v>
      </c>
      <c r="K965" s="4">
        <f t="shared" si="493"/>
        <v>0</v>
      </c>
      <c r="L965" s="4"/>
      <c r="N965" s="4">
        <f t="shared" si="494"/>
        <v>0</v>
      </c>
      <c r="P965" s="3"/>
      <c r="Q965" s="3"/>
      <c r="R965" s="3"/>
      <c r="S965" s="3">
        <f t="shared" si="496"/>
        <v>0</v>
      </c>
      <c r="T965" s="3"/>
      <c r="U965" s="3">
        <f t="shared" si="497"/>
        <v>0</v>
      </c>
      <c r="V965" s="3"/>
      <c r="W965" s="3">
        <f t="shared" si="498"/>
        <v>0</v>
      </c>
      <c r="X965" s="3"/>
      <c r="Y965" s="3"/>
      <c r="Z965" s="3">
        <f t="shared" si="495"/>
        <v>0</v>
      </c>
      <c r="AA965" s="3"/>
      <c r="AB965" s="3"/>
      <c r="AC965" s="3"/>
      <c r="AD965" s="3">
        <f t="shared" si="499"/>
        <v>0</v>
      </c>
      <c r="AE965" s="3"/>
      <c r="AF965" s="3">
        <f t="shared" si="500"/>
        <v>0</v>
      </c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42"/>
      <c r="AR965" s="3"/>
      <c r="AS965" s="42"/>
      <c r="AT965" s="3"/>
      <c r="AU965" s="42"/>
      <c r="AV965" s="3"/>
      <c r="AW965" s="42"/>
      <c r="AX965" s="3"/>
      <c r="AY965" s="42"/>
      <c r="AZ965" s="3"/>
    </row>
    <row r="966" spans="1:53" s="77" customFormat="1" x14ac:dyDescent="0.25">
      <c r="A966" s="3" t="s">
        <v>716</v>
      </c>
      <c r="B966" s="3"/>
      <c r="C966" s="3"/>
      <c r="D966" s="29"/>
      <c r="E966" s="3">
        <f t="shared" si="502"/>
        <v>0</v>
      </c>
      <c r="F966" s="5"/>
      <c r="G966" s="3"/>
      <c r="H966" s="5">
        <f t="shared" si="501"/>
        <v>0</v>
      </c>
      <c r="I966" s="5"/>
      <c r="J966" s="5"/>
      <c r="K966" s="4">
        <f t="shared" si="493"/>
        <v>0</v>
      </c>
      <c r="L966" s="4"/>
      <c r="M966" s="4"/>
      <c r="N966" s="4">
        <f t="shared" si="494"/>
        <v>0</v>
      </c>
      <c r="O966" s="3"/>
      <c r="P966" s="3"/>
      <c r="Q966" s="3"/>
      <c r="R966" s="3"/>
      <c r="S966" s="3">
        <f t="shared" si="496"/>
        <v>0</v>
      </c>
      <c r="T966" s="3"/>
      <c r="U966" s="3">
        <f t="shared" si="497"/>
        <v>0</v>
      </c>
      <c r="V966" s="3"/>
      <c r="W966" s="3">
        <f t="shared" si="498"/>
        <v>0</v>
      </c>
      <c r="X966" s="3"/>
      <c r="Y966" s="3"/>
      <c r="Z966" s="3">
        <f t="shared" si="495"/>
        <v>0</v>
      </c>
      <c r="AA966" s="3"/>
      <c r="AB966" s="3"/>
      <c r="AC966" s="3"/>
      <c r="AD966" s="3">
        <f t="shared" si="499"/>
        <v>0</v>
      </c>
      <c r="AE966" s="3"/>
      <c r="AF966" s="3">
        <f t="shared" si="500"/>
        <v>0</v>
      </c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42"/>
      <c r="AR966" s="3"/>
      <c r="AS966" s="42"/>
      <c r="AT966" s="3"/>
      <c r="AU966" s="42"/>
      <c r="AV966" s="3"/>
      <c r="AW966" s="42"/>
      <c r="AX966" s="3"/>
      <c r="AY966" s="42"/>
      <c r="AZ966" s="3"/>
    </row>
    <row r="967" spans="1:53" x14ac:dyDescent="0.25">
      <c r="A967" s="3" t="s">
        <v>717</v>
      </c>
      <c r="B967" s="3"/>
      <c r="D967" s="3"/>
      <c r="E967" s="3">
        <f t="shared" si="502"/>
        <v>0</v>
      </c>
      <c r="F967" s="29"/>
      <c r="H967" s="5">
        <f t="shared" si="501"/>
        <v>0</v>
      </c>
      <c r="K967" s="4">
        <f t="shared" si="493"/>
        <v>0</v>
      </c>
      <c r="L967" s="4"/>
      <c r="N967" s="4">
        <f t="shared" si="494"/>
        <v>0</v>
      </c>
      <c r="P967" s="3"/>
      <c r="Q967" s="3"/>
      <c r="R967" s="3"/>
      <c r="S967" s="3">
        <f t="shared" si="496"/>
        <v>0</v>
      </c>
      <c r="T967" s="3"/>
      <c r="U967" s="3">
        <f t="shared" si="497"/>
        <v>0</v>
      </c>
      <c r="V967" s="3"/>
      <c r="W967" s="3">
        <f t="shared" si="498"/>
        <v>0</v>
      </c>
      <c r="X967" s="3"/>
      <c r="Y967" s="3"/>
      <c r="Z967" s="3">
        <f t="shared" si="495"/>
        <v>0</v>
      </c>
      <c r="AA967" s="3"/>
      <c r="AB967" s="3"/>
      <c r="AC967" s="3"/>
      <c r="AD967" s="3">
        <f t="shared" si="499"/>
        <v>0</v>
      </c>
      <c r="AE967" s="3"/>
      <c r="AF967" s="3">
        <f t="shared" si="500"/>
        <v>0</v>
      </c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42"/>
      <c r="AR967" s="3"/>
      <c r="AS967" s="42"/>
      <c r="AT967" s="3"/>
      <c r="AU967" s="42"/>
      <c r="AV967" s="3"/>
      <c r="AW967" s="42"/>
      <c r="AX967" s="3"/>
      <c r="AY967" s="42"/>
      <c r="AZ967" s="3"/>
      <c r="BA967" s="42"/>
    </row>
    <row r="968" spans="1:53" s="77" customFormat="1" x14ac:dyDescent="0.25">
      <c r="A968" s="3" t="s">
        <v>718</v>
      </c>
      <c r="B968" s="3">
        <v>20000</v>
      </c>
      <c r="C968" s="3"/>
      <c r="D968" s="29"/>
      <c r="E968" s="3">
        <f>F968-D968</f>
        <v>20000</v>
      </c>
      <c r="F968" s="29">
        <v>20000</v>
      </c>
      <c r="G968" s="3"/>
      <c r="H968" s="5">
        <f t="shared" si="501"/>
        <v>0</v>
      </c>
      <c r="I968" s="5"/>
      <c r="J968" s="5"/>
      <c r="K968" s="4">
        <f t="shared" si="493"/>
        <v>20000</v>
      </c>
      <c r="L968" s="4">
        <v>20000</v>
      </c>
      <c r="M968" s="4"/>
      <c r="N968" s="4">
        <f t="shared" si="494"/>
        <v>0</v>
      </c>
      <c r="O968" s="3"/>
      <c r="P968" s="3">
        <v>20000</v>
      </c>
      <c r="Q968" s="3"/>
      <c r="R968" s="3"/>
      <c r="S968" s="3">
        <f t="shared" si="496"/>
        <v>20000</v>
      </c>
      <c r="T968" s="3">
        <v>20000</v>
      </c>
      <c r="U968" s="3">
        <f t="shared" si="497"/>
        <v>0</v>
      </c>
      <c r="V968" s="3">
        <v>7550</v>
      </c>
      <c r="W968" s="3">
        <f t="shared" si="498"/>
        <v>12450</v>
      </c>
      <c r="X968" s="3"/>
      <c r="Y968" s="3">
        <v>20000</v>
      </c>
      <c r="Z968" s="3">
        <f t="shared" si="495"/>
        <v>0</v>
      </c>
      <c r="AA968" s="3"/>
      <c r="AB968" s="3"/>
      <c r="AC968" s="3">
        <v>8550</v>
      </c>
      <c r="AD968" s="3">
        <f t="shared" si="499"/>
        <v>11450</v>
      </c>
      <c r="AE968" s="3">
        <v>20000</v>
      </c>
      <c r="AF968" s="3">
        <f t="shared" si="500"/>
        <v>0</v>
      </c>
      <c r="AG968" s="3"/>
      <c r="AH968" s="3"/>
      <c r="AI968" s="3"/>
      <c r="AJ968" s="3">
        <v>1000000</v>
      </c>
      <c r="AK968" s="3"/>
      <c r="AL968" s="3">
        <v>1000000</v>
      </c>
      <c r="AM968" s="3"/>
      <c r="AN968" s="3"/>
      <c r="AO968" s="3"/>
      <c r="AP968" s="3"/>
      <c r="AQ968" s="42"/>
      <c r="AR968" s="3"/>
      <c r="AS968" s="42"/>
      <c r="AT968" s="3"/>
      <c r="AU968" s="42"/>
      <c r="AV968" s="3"/>
      <c r="AW968" s="42"/>
      <c r="AX968" s="3"/>
      <c r="AY968" s="42"/>
      <c r="AZ968" s="3"/>
    </row>
    <row r="969" spans="1:53" s="42" customFormat="1" x14ac:dyDescent="0.25">
      <c r="A969" s="3" t="s">
        <v>719</v>
      </c>
      <c r="B969" s="3">
        <v>2000</v>
      </c>
      <c r="C969" s="3"/>
      <c r="D969" s="3"/>
      <c r="E969" s="3">
        <f>F969-D969</f>
        <v>2000</v>
      </c>
      <c r="F969" s="29">
        <v>2000</v>
      </c>
      <c r="G969" s="3"/>
      <c r="H969" s="5">
        <f t="shared" si="501"/>
        <v>0</v>
      </c>
      <c r="I969" s="5"/>
      <c r="J969" s="5"/>
      <c r="K969" s="4">
        <f t="shared" si="493"/>
        <v>2000</v>
      </c>
      <c r="L969" s="4">
        <v>2000</v>
      </c>
      <c r="M969" s="4"/>
      <c r="N969" s="4">
        <f t="shared" si="494"/>
        <v>0</v>
      </c>
      <c r="O969" s="3"/>
      <c r="P969" s="3">
        <v>2000</v>
      </c>
      <c r="Q969" s="3"/>
      <c r="R969" s="3"/>
      <c r="S969" s="3">
        <f t="shared" si="496"/>
        <v>2000</v>
      </c>
      <c r="T969" s="3">
        <v>2000</v>
      </c>
      <c r="U969" s="3">
        <f t="shared" si="497"/>
        <v>0</v>
      </c>
      <c r="V969" s="3"/>
      <c r="W969" s="3">
        <f t="shared" si="498"/>
        <v>2000</v>
      </c>
      <c r="X969" s="3"/>
      <c r="Y969" s="3">
        <v>2000</v>
      </c>
      <c r="Z969" s="3">
        <f t="shared" si="495"/>
        <v>0</v>
      </c>
      <c r="AA969" s="3"/>
      <c r="AB969" s="3"/>
      <c r="AC969" s="3">
        <v>0</v>
      </c>
      <c r="AD969" s="3">
        <f t="shared" si="499"/>
        <v>1000</v>
      </c>
      <c r="AE969" s="3">
        <v>1000</v>
      </c>
      <c r="AF969" s="3">
        <f t="shared" si="500"/>
        <v>-1000</v>
      </c>
      <c r="AG969" s="3"/>
      <c r="AH969" s="3">
        <v>2000</v>
      </c>
      <c r="AI969" s="3"/>
      <c r="AJ969" s="3"/>
      <c r="AK969" s="3"/>
      <c r="AL969" s="3"/>
      <c r="AM969" s="3"/>
      <c r="AN969" s="3"/>
      <c r="AO969" s="3"/>
      <c r="AP969" s="3"/>
      <c r="AR969" s="3"/>
      <c r="AT969" s="3"/>
      <c r="AV969" s="3"/>
      <c r="AX969" s="3"/>
      <c r="AZ969" s="3"/>
      <c r="BA969" s="6"/>
    </row>
    <row r="970" spans="1:53" s="77" customFormat="1" x14ac:dyDescent="0.25">
      <c r="A970" s="3" t="s">
        <v>460</v>
      </c>
      <c r="B970" s="3"/>
      <c r="C970" s="3"/>
      <c r="D970" s="29"/>
      <c r="E970" s="3"/>
      <c r="F970" s="3"/>
      <c r="G970" s="3"/>
      <c r="H970" s="5">
        <f t="shared" si="501"/>
        <v>0</v>
      </c>
      <c r="I970" s="5"/>
      <c r="J970" s="5"/>
      <c r="K970" s="4">
        <f t="shared" si="493"/>
        <v>0</v>
      </c>
      <c r="L970" s="4"/>
      <c r="M970" s="4"/>
      <c r="N970" s="4">
        <f t="shared" si="494"/>
        <v>0</v>
      </c>
      <c r="O970" s="3"/>
      <c r="P970" s="3"/>
      <c r="Q970" s="3"/>
      <c r="R970" s="3"/>
      <c r="S970" s="3">
        <f t="shared" si="496"/>
        <v>0</v>
      </c>
      <c r="T970" s="3"/>
      <c r="U970" s="3">
        <f t="shared" si="497"/>
        <v>0</v>
      </c>
      <c r="V970" s="3"/>
      <c r="W970" s="3">
        <f t="shared" si="498"/>
        <v>0</v>
      </c>
      <c r="X970" s="3"/>
      <c r="Y970" s="3"/>
      <c r="Z970" s="3">
        <f t="shared" si="495"/>
        <v>0</v>
      </c>
      <c r="AA970" s="3"/>
      <c r="AB970" s="3"/>
      <c r="AC970" s="3"/>
      <c r="AD970" s="3">
        <f t="shared" si="499"/>
        <v>0</v>
      </c>
      <c r="AE970" s="3"/>
      <c r="AF970" s="3">
        <f t="shared" si="500"/>
        <v>0</v>
      </c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42"/>
      <c r="AR970" s="3"/>
      <c r="AS970" s="42"/>
      <c r="AT970" s="3"/>
      <c r="AU970" s="42"/>
      <c r="AV970" s="3"/>
      <c r="AW970" s="42"/>
      <c r="AX970" s="3"/>
      <c r="AY970" s="42"/>
      <c r="AZ970" s="3"/>
    </row>
    <row r="971" spans="1:53" x14ac:dyDescent="0.25">
      <c r="A971" s="3" t="s">
        <v>720</v>
      </c>
      <c r="B971" s="3"/>
      <c r="E971" s="3">
        <f t="shared" si="502"/>
        <v>0</v>
      </c>
      <c r="F971" s="29"/>
      <c r="H971" s="5">
        <f t="shared" si="501"/>
        <v>0</v>
      </c>
      <c r="K971" s="4">
        <f t="shared" si="493"/>
        <v>0</v>
      </c>
      <c r="L971" s="4"/>
      <c r="N971" s="4">
        <f t="shared" si="494"/>
        <v>0</v>
      </c>
      <c r="P971" s="3"/>
      <c r="Q971" s="3"/>
      <c r="R971" s="3"/>
      <c r="S971" s="3">
        <f t="shared" si="496"/>
        <v>0</v>
      </c>
      <c r="T971" s="3"/>
      <c r="U971" s="3">
        <f t="shared" si="497"/>
        <v>0</v>
      </c>
      <c r="V971" s="3"/>
      <c r="W971" s="3">
        <f t="shared" si="498"/>
        <v>0</v>
      </c>
      <c r="X971" s="3"/>
      <c r="Y971" s="3"/>
      <c r="Z971" s="3">
        <f t="shared" si="495"/>
        <v>0</v>
      </c>
      <c r="AA971" s="3"/>
      <c r="AB971" s="3"/>
      <c r="AC971" s="3"/>
      <c r="AD971" s="3">
        <f t="shared" si="499"/>
        <v>0</v>
      </c>
      <c r="AE971" s="3"/>
      <c r="AF971" s="3">
        <f t="shared" si="500"/>
        <v>0</v>
      </c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42"/>
      <c r="AR971" s="3"/>
      <c r="AS971" s="42"/>
      <c r="AT971" s="3"/>
      <c r="AU971" s="42"/>
      <c r="AV971" s="3"/>
      <c r="AW971" s="42"/>
      <c r="AX971" s="3"/>
      <c r="AY971" s="42"/>
      <c r="AZ971" s="3"/>
    </row>
    <row r="972" spans="1:53" s="77" customFormat="1" x14ac:dyDescent="0.25">
      <c r="A972" s="3" t="s">
        <v>721</v>
      </c>
      <c r="B972" s="3"/>
      <c r="C972" s="3"/>
      <c r="D972" s="29"/>
      <c r="E972" s="3">
        <f t="shared" si="502"/>
        <v>0</v>
      </c>
      <c r="F972" s="5"/>
      <c r="G972" s="3"/>
      <c r="H972" s="5">
        <f t="shared" si="501"/>
        <v>0</v>
      </c>
      <c r="I972" s="5"/>
      <c r="J972" s="5"/>
      <c r="K972" s="4">
        <f t="shared" si="493"/>
        <v>0</v>
      </c>
      <c r="L972" s="4"/>
      <c r="M972" s="4"/>
      <c r="N972" s="4">
        <f t="shared" si="494"/>
        <v>0</v>
      </c>
      <c r="O972" s="3"/>
      <c r="P972" s="3"/>
      <c r="Q972" s="3"/>
      <c r="R972" s="3"/>
      <c r="S972" s="3">
        <f t="shared" si="496"/>
        <v>0</v>
      </c>
      <c r="T972" s="3"/>
      <c r="U972" s="3">
        <f t="shared" si="497"/>
        <v>0</v>
      </c>
      <c r="V972" s="3"/>
      <c r="W972" s="3">
        <f t="shared" si="498"/>
        <v>0</v>
      </c>
      <c r="X972" s="3"/>
      <c r="Y972" s="3"/>
      <c r="Z972" s="3">
        <f t="shared" si="495"/>
        <v>0</v>
      </c>
      <c r="AA972" s="3"/>
      <c r="AB972" s="3"/>
      <c r="AC972" s="3"/>
      <c r="AD972" s="3">
        <f t="shared" si="499"/>
        <v>0</v>
      </c>
      <c r="AE972" s="3"/>
      <c r="AF972" s="3">
        <f t="shared" si="500"/>
        <v>0</v>
      </c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42"/>
      <c r="AR972" s="3"/>
      <c r="AS972" s="42"/>
      <c r="AT972" s="3"/>
      <c r="AU972" s="42"/>
      <c r="AV972" s="3"/>
      <c r="AW972" s="42"/>
      <c r="AX972" s="3"/>
      <c r="AY972" s="42"/>
      <c r="AZ972" s="3"/>
    </row>
    <row r="973" spans="1:53" x14ac:dyDescent="0.25">
      <c r="A973" s="3" t="s">
        <v>722</v>
      </c>
      <c r="B973" s="3"/>
      <c r="E973" s="3">
        <f t="shared" si="502"/>
        <v>0</v>
      </c>
      <c r="F973" s="29"/>
      <c r="H973" s="5">
        <f t="shared" si="501"/>
        <v>0</v>
      </c>
      <c r="K973" s="4">
        <f t="shared" si="493"/>
        <v>0</v>
      </c>
      <c r="L973" s="4"/>
      <c r="N973" s="4">
        <f t="shared" si="494"/>
        <v>0</v>
      </c>
      <c r="P973" s="3"/>
      <c r="Q973" s="3"/>
      <c r="R973" s="3"/>
      <c r="S973" s="3">
        <f t="shared" si="496"/>
        <v>0</v>
      </c>
      <c r="T973" s="3"/>
      <c r="U973" s="3">
        <f t="shared" si="497"/>
        <v>0</v>
      </c>
      <c r="V973" s="3"/>
      <c r="W973" s="3">
        <f t="shared" si="498"/>
        <v>0</v>
      </c>
      <c r="X973" s="3"/>
      <c r="Y973" s="3"/>
      <c r="Z973" s="3">
        <f t="shared" si="495"/>
        <v>0</v>
      </c>
      <c r="AA973" s="3"/>
      <c r="AB973" s="3"/>
      <c r="AC973" s="3"/>
      <c r="AD973" s="3">
        <f t="shared" si="499"/>
        <v>0</v>
      </c>
      <c r="AE973" s="3"/>
      <c r="AF973" s="3">
        <f t="shared" si="500"/>
        <v>0</v>
      </c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42"/>
      <c r="AR973" s="3"/>
      <c r="AS973" s="42"/>
      <c r="AT973" s="3"/>
      <c r="AU973" s="42"/>
      <c r="AV973" s="3"/>
      <c r="AW973" s="42"/>
      <c r="AX973" s="3"/>
      <c r="AY973" s="42"/>
      <c r="AZ973" s="3"/>
    </row>
    <row r="974" spans="1:53" s="77" customFormat="1" x14ac:dyDescent="0.25">
      <c r="A974" s="3" t="s">
        <v>723</v>
      </c>
      <c r="B974" s="3"/>
      <c r="C974" s="3"/>
      <c r="D974" s="29"/>
      <c r="E974" s="3">
        <f t="shared" si="502"/>
        <v>0</v>
      </c>
      <c r="F974" s="5"/>
      <c r="G974" s="3"/>
      <c r="H974" s="5">
        <f t="shared" si="501"/>
        <v>0</v>
      </c>
      <c r="I974" s="5"/>
      <c r="J974" s="5"/>
      <c r="K974" s="4">
        <f t="shared" si="493"/>
        <v>0</v>
      </c>
      <c r="L974" s="4"/>
      <c r="M974" s="4"/>
      <c r="N974" s="4">
        <f t="shared" si="494"/>
        <v>0</v>
      </c>
      <c r="O974" s="3"/>
      <c r="P974" s="3"/>
      <c r="Q974" s="3"/>
      <c r="R974" s="3"/>
      <c r="S974" s="3">
        <f t="shared" si="496"/>
        <v>0</v>
      </c>
      <c r="T974" s="3"/>
      <c r="U974" s="3">
        <f t="shared" si="497"/>
        <v>0</v>
      </c>
      <c r="V974" s="3"/>
      <c r="W974" s="3">
        <f t="shared" si="498"/>
        <v>0</v>
      </c>
      <c r="X974" s="3"/>
      <c r="Y974" s="3"/>
      <c r="Z974" s="3">
        <f t="shared" si="495"/>
        <v>0</v>
      </c>
      <c r="AA974" s="3"/>
      <c r="AB974" s="3"/>
      <c r="AC974" s="3"/>
      <c r="AD974" s="3">
        <f t="shared" si="499"/>
        <v>0</v>
      </c>
      <c r="AE974" s="3"/>
      <c r="AF974" s="3">
        <f t="shared" si="500"/>
        <v>0</v>
      </c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42"/>
      <c r="AR974" s="3"/>
      <c r="AS974" s="42"/>
      <c r="AT974" s="3"/>
      <c r="AU974" s="42"/>
      <c r="AV974" s="3"/>
      <c r="AW974" s="42"/>
      <c r="AX974" s="3"/>
      <c r="AY974" s="42"/>
      <c r="AZ974" s="3"/>
      <c r="BA974" s="6"/>
    </row>
    <row r="975" spans="1:53" x14ac:dyDescent="0.25">
      <c r="A975" s="3" t="s">
        <v>724</v>
      </c>
      <c r="B975" s="3">
        <v>1000</v>
      </c>
      <c r="E975" s="3">
        <f>F975-D975</f>
        <v>1000</v>
      </c>
      <c r="F975" s="5">
        <v>1000</v>
      </c>
      <c r="H975" s="5">
        <f t="shared" si="501"/>
        <v>0</v>
      </c>
      <c r="K975" s="4">
        <f t="shared" si="493"/>
        <v>1000</v>
      </c>
      <c r="L975" s="4">
        <v>1000</v>
      </c>
      <c r="N975" s="4">
        <f t="shared" si="494"/>
        <v>0</v>
      </c>
      <c r="P975" s="3"/>
      <c r="Q975" s="3"/>
      <c r="R975" s="3"/>
      <c r="S975" s="3">
        <f t="shared" si="496"/>
        <v>0</v>
      </c>
      <c r="T975" s="3"/>
      <c r="U975" s="3">
        <f t="shared" si="497"/>
        <v>0</v>
      </c>
      <c r="V975" s="3"/>
      <c r="W975" s="3">
        <f t="shared" si="498"/>
        <v>0</v>
      </c>
      <c r="X975" s="3"/>
      <c r="Y975" s="3"/>
      <c r="Z975" s="3">
        <f t="shared" si="495"/>
        <v>0</v>
      </c>
      <c r="AA975" s="3"/>
      <c r="AB975" s="3"/>
      <c r="AC975" s="3"/>
      <c r="AD975" s="3">
        <f t="shared" si="499"/>
        <v>0</v>
      </c>
      <c r="AE975" s="3"/>
      <c r="AF975" s="3">
        <f t="shared" si="500"/>
        <v>0</v>
      </c>
      <c r="AG975" s="3"/>
      <c r="AH975" s="3">
        <v>1000</v>
      </c>
      <c r="AI975" s="3"/>
      <c r="AJ975" s="3"/>
      <c r="AK975" s="3"/>
      <c r="AL975" s="3">
        <v>1000</v>
      </c>
      <c r="AM975" s="3"/>
      <c r="AN975" s="3"/>
      <c r="AO975" s="3"/>
      <c r="AP975" s="3">
        <v>1000</v>
      </c>
      <c r="AQ975" s="42"/>
      <c r="AR975" s="3">
        <v>1000</v>
      </c>
      <c r="AS975" s="42"/>
      <c r="AT975" s="3">
        <v>1000</v>
      </c>
      <c r="AU975" s="42"/>
      <c r="AV975" s="3">
        <v>1000</v>
      </c>
      <c r="AW975" s="42"/>
      <c r="AX975" s="3">
        <v>1000</v>
      </c>
      <c r="AY975" s="42"/>
      <c r="AZ975" s="3">
        <v>1000</v>
      </c>
    </row>
    <row r="976" spans="1:53" x14ac:dyDescent="0.25">
      <c r="A976" s="3" t="s">
        <v>725</v>
      </c>
      <c r="B976" s="3"/>
      <c r="E976" s="3">
        <f t="shared" si="502"/>
        <v>0</v>
      </c>
      <c r="H976" s="5">
        <f t="shared" si="501"/>
        <v>0</v>
      </c>
      <c r="K976" s="4">
        <f t="shared" si="493"/>
        <v>0</v>
      </c>
      <c r="L976" s="4"/>
      <c r="N976" s="4">
        <f t="shared" si="494"/>
        <v>0</v>
      </c>
      <c r="P976" s="3"/>
      <c r="Q976" s="3"/>
      <c r="R976" s="3"/>
      <c r="S976" s="3">
        <f t="shared" si="496"/>
        <v>0</v>
      </c>
      <c r="T976" s="3"/>
      <c r="U976" s="3">
        <f t="shared" si="497"/>
        <v>0</v>
      </c>
      <c r="V976" s="3"/>
      <c r="W976" s="3">
        <f t="shared" si="498"/>
        <v>0</v>
      </c>
      <c r="X976" s="3"/>
      <c r="Y976" s="3"/>
      <c r="Z976" s="3">
        <f t="shared" si="495"/>
        <v>0</v>
      </c>
      <c r="AA976" s="3"/>
      <c r="AB976" s="3"/>
      <c r="AC976" s="3"/>
      <c r="AD976" s="3">
        <f t="shared" si="499"/>
        <v>0</v>
      </c>
      <c r="AE976" s="3"/>
      <c r="AF976" s="3">
        <f t="shared" si="500"/>
        <v>0</v>
      </c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42"/>
      <c r="AR976" s="3"/>
      <c r="AS976" s="42"/>
      <c r="AT976" s="3"/>
      <c r="AU976" s="42"/>
      <c r="AV976" s="3"/>
      <c r="AW976" s="42"/>
      <c r="AX976" s="3"/>
      <c r="AY976" s="42"/>
      <c r="AZ976" s="3"/>
    </row>
    <row r="977" spans="1:53" x14ac:dyDescent="0.25">
      <c r="A977" s="3" t="s">
        <v>726</v>
      </c>
      <c r="B977" s="3"/>
      <c r="E977" s="3">
        <f t="shared" si="502"/>
        <v>0</v>
      </c>
      <c r="H977" s="5">
        <f t="shared" si="501"/>
        <v>0</v>
      </c>
      <c r="K977" s="4">
        <f t="shared" si="493"/>
        <v>0</v>
      </c>
      <c r="L977" s="4"/>
      <c r="N977" s="4">
        <f t="shared" si="494"/>
        <v>0</v>
      </c>
      <c r="P977" s="3"/>
      <c r="Q977" s="3"/>
      <c r="R977" s="3"/>
      <c r="S977" s="3">
        <f t="shared" si="496"/>
        <v>0</v>
      </c>
      <c r="T977" s="3"/>
      <c r="U977" s="3">
        <f t="shared" si="497"/>
        <v>0</v>
      </c>
      <c r="V977" s="3"/>
      <c r="W977" s="3">
        <f t="shared" si="498"/>
        <v>0</v>
      </c>
      <c r="X977" s="3"/>
      <c r="Y977" s="3"/>
      <c r="Z977" s="3">
        <f t="shared" si="495"/>
        <v>0</v>
      </c>
      <c r="AA977" s="3"/>
      <c r="AB977" s="3"/>
      <c r="AC977" s="3"/>
      <c r="AD977" s="3">
        <f t="shared" si="499"/>
        <v>0</v>
      </c>
      <c r="AE977" s="3"/>
      <c r="AF977" s="3">
        <f t="shared" si="500"/>
        <v>0</v>
      </c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42"/>
      <c r="AR977" s="3"/>
      <c r="AS977" s="42"/>
      <c r="AT977" s="3"/>
      <c r="AU977" s="42"/>
      <c r="AV977" s="3"/>
      <c r="AW977" s="42"/>
      <c r="AX977" s="3"/>
      <c r="AY977" s="42"/>
      <c r="AZ977" s="3"/>
      <c r="BA977" s="77"/>
    </row>
    <row r="978" spans="1:53" x14ac:dyDescent="0.25">
      <c r="A978" s="3" t="s">
        <v>727</v>
      </c>
      <c r="B978" s="3"/>
      <c r="E978" s="3">
        <f t="shared" si="502"/>
        <v>0</v>
      </c>
      <c r="H978" s="5">
        <f t="shared" si="501"/>
        <v>0</v>
      </c>
      <c r="K978" s="4">
        <f t="shared" si="493"/>
        <v>0</v>
      </c>
      <c r="L978" s="4"/>
      <c r="N978" s="4">
        <f t="shared" si="494"/>
        <v>0</v>
      </c>
      <c r="P978" s="3"/>
      <c r="Q978" s="3"/>
      <c r="R978" s="3"/>
      <c r="S978" s="3">
        <f t="shared" si="496"/>
        <v>0</v>
      </c>
      <c r="T978" s="3"/>
      <c r="U978" s="3">
        <f t="shared" si="497"/>
        <v>0</v>
      </c>
      <c r="V978" s="3"/>
      <c r="W978" s="3">
        <f t="shared" si="498"/>
        <v>0</v>
      </c>
      <c r="X978" s="3"/>
      <c r="Y978" s="3"/>
      <c r="Z978" s="3">
        <f t="shared" ref="Z978:Z1045" si="503">Y978-T978</f>
        <v>0</v>
      </c>
      <c r="AA978" s="3"/>
      <c r="AB978" s="3"/>
      <c r="AC978" s="3"/>
      <c r="AD978" s="3">
        <f t="shared" si="499"/>
        <v>0</v>
      </c>
      <c r="AE978" s="3"/>
      <c r="AF978" s="3">
        <f t="shared" si="500"/>
        <v>0</v>
      </c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42"/>
      <c r="AR978" s="3"/>
      <c r="AS978" s="42"/>
      <c r="AT978" s="3"/>
      <c r="AU978" s="42"/>
      <c r="AV978" s="3"/>
      <c r="AW978" s="42"/>
      <c r="AX978" s="3"/>
      <c r="AY978" s="42"/>
      <c r="AZ978" s="3"/>
    </row>
    <row r="979" spans="1:53" s="77" customFormat="1" x14ac:dyDescent="0.25">
      <c r="A979" s="3" t="s">
        <v>728</v>
      </c>
      <c r="B979" s="3"/>
      <c r="C979" s="3"/>
      <c r="D979" s="29"/>
      <c r="E979" s="3">
        <f t="shared" si="502"/>
        <v>0</v>
      </c>
      <c r="F979" s="5"/>
      <c r="G979" s="3"/>
      <c r="H979" s="5">
        <f t="shared" si="501"/>
        <v>0</v>
      </c>
      <c r="I979" s="5"/>
      <c r="J979" s="5"/>
      <c r="K979" s="4">
        <f t="shared" si="493"/>
        <v>0</v>
      </c>
      <c r="L979" s="4"/>
      <c r="M979" s="4"/>
      <c r="N979" s="4">
        <f t="shared" si="494"/>
        <v>0</v>
      </c>
      <c r="O979" s="3"/>
      <c r="P979" s="3"/>
      <c r="Q979" s="3"/>
      <c r="R979" s="3"/>
      <c r="S979" s="3">
        <f t="shared" si="496"/>
        <v>0</v>
      </c>
      <c r="T979" s="3"/>
      <c r="U979" s="3">
        <f t="shared" si="497"/>
        <v>0</v>
      </c>
      <c r="V979" s="3"/>
      <c r="W979" s="3">
        <f t="shared" si="498"/>
        <v>0</v>
      </c>
      <c r="X979" s="3"/>
      <c r="Y979" s="3"/>
      <c r="Z979" s="3">
        <f t="shared" si="503"/>
        <v>0</v>
      </c>
      <c r="AA979" s="3"/>
      <c r="AB979" s="3"/>
      <c r="AC979" s="3"/>
      <c r="AD979" s="3">
        <f t="shared" si="499"/>
        <v>0</v>
      </c>
      <c r="AE979" s="3"/>
      <c r="AF979" s="3">
        <f t="shared" si="500"/>
        <v>0</v>
      </c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42"/>
      <c r="AR979" s="3"/>
      <c r="AS979" s="42"/>
      <c r="AT979" s="3"/>
      <c r="AU979" s="42"/>
      <c r="AV979" s="3"/>
      <c r="AW979" s="42"/>
      <c r="AX979" s="3"/>
      <c r="AY979" s="42"/>
      <c r="AZ979" s="3"/>
    </row>
    <row r="980" spans="1:53" x14ac:dyDescent="0.25">
      <c r="A980" s="3" t="s">
        <v>729</v>
      </c>
      <c r="B980" s="3"/>
      <c r="E980" s="3">
        <f t="shared" si="502"/>
        <v>0</v>
      </c>
      <c r="F980" s="29"/>
      <c r="H980" s="5">
        <f t="shared" si="501"/>
        <v>0</v>
      </c>
      <c r="K980" s="4">
        <f t="shared" si="493"/>
        <v>0</v>
      </c>
      <c r="L980" s="4"/>
      <c r="N980" s="4">
        <f t="shared" si="494"/>
        <v>0</v>
      </c>
      <c r="P980" s="3"/>
      <c r="Q980" s="3"/>
      <c r="R980" s="3"/>
      <c r="S980" s="3">
        <f t="shared" si="496"/>
        <v>0</v>
      </c>
      <c r="T980" s="3"/>
      <c r="U980" s="3">
        <f t="shared" si="497"/>
        <v>0</v>
      </c>
      <c r="V980" s="3"/>
      <c r="W980" s="3">
        <f t="shared" si="498"/>
        <v>0</v>
      </c>
      <c r="X980" s="3"/>
      <c r="Y980" s="3"/>
      <c r="Z980" s="3">
        <f t="shared" si="503"/>
        <v>0</v>
      </c>
      <c r="AA980" s="3"/>
      <c r="AB980" s="3"/>
      <c r="AC980" s="3"/>
      <c r="AD980" s="3">
        <f t="shared" si="499"/>
        <v>0</v>
      </c>
      <c r="AE980" s="3"/>
      <c r="AF980" s="3">
        <f t="shared" si="500"/>
        <v>0</v>
      </c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42"/>
      <c r="AR980" s="3"/>
      <c r="AS980" s="42"/>
      <c r="AT980" s="3"/>
      <c r="AU980" s="42"/>
      <c r="AV980" s="3"/>
      <c r="AW980" s="42"/>
      <c r="AX980" s="3"/>
      <c r="AY980" s="42"/>
      <c r="AZ980" s="3"/>
    </row>
    <row r="981" spans="1:53" s="77" customFormat="1" x14ac:dyDescent="0.25">
      <c r="A981" s="3" t="s">
        <v>730</v>
      </c>
      <c r="B981" s="3"/>
      <c r="C981" s="3"/>
      <c r="D981" s="29"/>
      <c r="E981" s="3">
        <f t="shared" si="502"/>
        <v>0</v>
      </c>
      <c r="F981" s="5"/>
      <c r="G981" s="3"/>
      <c r="H981" s="5">
        <f t="shared" si="501"/>
        <v>0</v>
      </c>
      <c r="I981" s="5"/>
      <c r="J981" s="5"/>
      <c r="K981" s="4">
        <f t="shared" si="493"/>
        <v>0</v>
      </c>
      <c r="L981" s="4"/>
      <c r="M981" s="4"/>
      <c r="N981" s="4">
        <f t="shared" si="494"/>
        <v>0</v>
      </c>
      <c r="O981" s="3"/>
      <c r="P981" s="3"/>
      <c r="Q981" s="3"/>
      <c r="R981" s="3"/>
      <c r="S981" s="3">
        <f t="shared" si="496"/>
        <v>0</v>
      </c>
      <c r="T981" s="3"/>
      <c r="U981" s="3">
        <f t="shared" si="497"/>
        <v>0</v>
      </c>
      <c r="V981" s="3"/>
      <c r="W981" s="3">
        <f t="shared" si="498"/>
        <v>0</v>
      </c>
      <c r="X981" s="3"/>
      <c r="Y981" s="3"/>
      <c r="Z981" s="3">
        <f t="shared" si="503"/>
        <v>0</v>
      </c>
      <c r="AA981" s="3"/>
      <c r="AB981" s="3"/>
      <c r="AC981" s="3"/>
      <c r="AD981" s="3">
        <f t="shared" si="499"/>
        <v>0</v>
      </c>
      <c r="AE981" s="3"/>
      <c r="AF981" s="3">
        <f t="shared" si="500"/>
        <v>0</v>
      </c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42"/>
      <c r="AR981" s="3"/>
      <c r="AS981" s="42"/>
      <c r="AT981" s="3"/>
      <c r="AU981" s="42"/>
      <c r="AV981" s="3"/>
      <c r="AW981" s="42"/>
      <c r="AX981" s="3"/>
      <c r="AY981" s="42"/>
      <c r="AZ981" s="3"/>
    </row>
    <row r="982" spans="1:53" x14ac:dyDescent="0.25">
      <c r="A982" s="3" t="s">
        <v>731</v>
      </c>
      <c r="B982" s="3">
        <v>99000</v>
      </c>
      <c r="E982" s="3">
        <f>F982-D982</f>
        <v>99000</v>
      </c>
      <c r="F982" s="5">
        <v>99000</v>
      </c>
      <c r="H982" s="5">
        <f t="shared" si="501"/>
        <v>0</v>
      </c>
      <c r="J982" s="5">
        <v>99000</v>
      </c>
      <c r="K982" s="4">
        <f t="shared" si="493"/>
        <v>0</v>
      </c>
      <c r="L982" s="4">
        <v>99000</v>
      </c>
      <c r="N982" s="4">
        <f t="shared" si="494"/>
        <v>0</v>
      </c>
      <c r="P982" s="3">
        <v>149900</v>
      </c>
      <c r="Q982" s="3"/>
      <c r="R982" s="3">
        <v>0</v>
      </c>
      <c r="S982" s="3">
        <f t="shared" si="496"/>
        <v>149900</v>
      </c>
      <c r="T982" s="3">
        <v>149900</v>
      </c>
      <c r="U982" s="3">
        <f t="shared" si="497"/>
        <v>0</v>
      </c>
      <c r="V982" s="3"/>
      <c r="W982" s="3">
        <f t="shared" si="498"/>
        <v>149900</v>
      </c>
      <c r="X982" s="3"/>
      <c r="Y982" s="3">
        <v>149900</v>
      </c>
      <c r="Z982" s="3">
        <f t="shared" si="503"/>
        <v>0</v>
      </c>
      <c r="AA982" s="3"/>
      <c r="AB982" s="3"/>
      <c r="AC982" s="3"/>
      <c r="AD982" s="3">
        <f t="shared" si="499"/>
        <v>149900</v>
      </c>
      <c r="AE982" s="3">
        <v>149900</v>
      </c>
      <c r="AF982" s="3">
        <f t="shared" si="500"/>
        <v>0</v>
      </c>
      <c r="AG982" s="3"/>
      <c r="AH982" s="3">
        <v>114000</v>
      </c>
      <c r="AI982" s="3"/>
      <c r="AJ982" s="3"/>
      <c r="AK982" s="3"/>
      <c r="AL982" s="3"/>
      <c r="AM982" s="3"/>
      <c r="AN982" s="3"/>
      <c r="AO982" s="3"/>
      <c r="AP982" s="3"/>
      <c r="AQ982" s="42"/>
      <c r="AR982" s="3"/>
      <c r="AS982" s="42"/>
      <c r="AT982" s="3"/>
      <c r="AU982" s="42"/>
      <c r="AV982" s="3"/>
      <c r="AW982" s="42"/>
      <c r="AX982" s="3"/>
      <c r="AY982" s="42"/>
      <c r="AZ982" s="3"/>
    </row>
    <row r="983" spans="1:53" s="77" customFormat="1" x14ac:dyDescent="0.25">
      <c r="A983" s="3" t="s">
        <v>732</v>
      </c>
      <c r="B983" s="3"/>
      <c r="C983" s="3"/>
      <c r="D983" s="29"/>
      <c r="E983" s="3"/>
      <c r="F983" s="5"/>
      <c r="G983" s="3"/>
      <c r="H983" s="5">
        <f t="shared" si="501"/>
        <v>0</v>
      </c>
      <c r="I983" s="5"/>
      <c r="J983" s="5"/>
      <c r="K983" s="4">
        <f t="shared" si="493"/>
        <v>0</v>
      </c>
      <c r="L983" s="4"/>
      <c r="M983" s="4"/>
      <c r="N983" s="4">
        <f t="shared" si="494"/>
        <v>0</v>
      </c>
      <c r="O983" s="3"/>
      <c r="P983" s="3"/>
      <c r="Q983" s="3"/>
      <c r="R983" s="3"/>
      <c r="S983" s="3">
        <f t="shared" si="496"/>
        <v>0</v>
      </c>
      <c r="T983" s="3"/>
      <c r="U983" s="3">
        <f t="shared" si="497"/>
        <v>0</v>
      </c>
      <c r="V983" s="3"/>
      <c r="W983" s="3">
        <f t="shared" si="498"/>
        <v>0</v>
      </c>
      <c r="X983" s="3"/>
      <c r="Y983" s="3"/>
      <c r="Z983" s="3">
        <f t="shared" si="503"/>
        <v>0</v>
      </c>
      <c r="AA983" s="3"/>
      <c r="AB983" s="3"/>
      <c r="AC983" s="3"/>
      <c r="AD983" s="3">
        <f t="shared" si="499"/>
        <v>0</v>
      </c>
      <c r="AE983" s="3"/>
      <c r="AF983" s="3">
        <f t="shared" si="500"/>
        <v>0</v>
      </c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42"/>
      <c r="AR983" s="3"/>
      <c r="AS983" s="42"/>
      <c r="AT983" s="3"/>
      <c r="AU983" s="42"/>
      <c r="AV983" s="3"/>
      <c r="AW983" s="42"/>
      <c r="AX983" s="3"/>
      <c r="AY983" s="42"/>
      <c r="AZ983" s="3"/>
    </row>
    <row r="984" spans="1:53" x14ac:dyDescent="0.25">
      <c r="A984" s="3" t="s">
        <v>733</v>
      </c>
      <c r="B984" s="3"/>
      <c r="E984" s="3">
        <f t="shared" si="502"/>
        <v>0</v>
      </c>
      <c r="F984" s="29"/>
      <c r="H984" s="5">
        <f t="shared" si="501"/>
        <v>0</v>
      </c>
      <c r="K984" s="4">
        <f t="shared" si="493"/>
        <v>0</v>
      </c>
      <c r="L984" s="4"/>
      <c r="N984" s="4">
        <f t="shared" si="494"/>
        <v>0</v>
      </c>
      <c r="P984" s="3"/>
      <c r="Q984" s="3"/>
      <c r="R984" s="3"/>
      <c r="S984" s="3">
        <f t="shared" si="496"/>
        <v>0</v>
      </c>
      <c r="T984" s="3"/>
      <c r="U984" s="3">
        <f t="shared" si="497"/>
        <v>0</v>
      </c>
      <c r="V984" s="3"/>
      <c r="W984" s="3">
        <f t="shared" si="498"/>
        <v>0</v>
      </c>
      <c r="X984" s="3"/>
      <c r="Y984" s="3"/>
      <c r="Z984" s="3">
        <f t="shared" si="503"/>
        <v>0</v>
      </c>
      <c r="AA984" s="3"/>
      <c r="AB984" s="3"/>
      <c r="AC984" s="3"/>
      <c r="AD984" s="3">
        <f t="shared" si="499"/>
        <v>0</v>
      </c>
      <c r="AE984" s="3"/>
      <c r="AF984" s="3">
        <f t="shared" si="500"/>
        <v>0</v>
      </c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42"/>
      <c r="AR984" s="3"/>
      <c r="AS984" s="42"/>
      <c r="AT984" s="3"/>
      <c r="AU984" s="42"/>
      <c r="AV984" s="3"/>
      <c r="AW984" s="42"/>
      <c r="AX984" s="3"/>
      <c r="AY984" s="42"/>
      <c r="AZ984" s="3"/>
      <c r="BA984" s="77"/>
    </row>
    <row r="985" spans="1:53" s="77" customFormat="1" x14ac:dyDescent="0.25">
      <c r="A985" s="3" t="s">
        <v>734</v>
      </c>
      <c r="B985" s="3"/>
      <c r="C985" s="3"/>
      <c r="D985" s="29"/>
      <c r="E985" s="3">
        <f t="shared" si="502"/>
        <v>0</v>
      </c>
      <c r="F985" s="5"/>
      <c r="G985" s="3"/>
      <c r="H985" s="5">
        <f t="shared" si="501"/>
        <v>0</v>
      </c>
      <c r="I985" s="5"/>
      <c r="J985" s="5"/>
      <c r="K985" s="4">
        <f t="shared" ref="K985:K1042" si="504">L985-J985</f>
        <v>0</v>
      </c>
      <c r="L985" s="4"/>
      <c r="M985" s="4"/>
      <c r="N985" s="4">
        <f t="shared" ref="N985:N1042" si="505">L985-F985</f>
        <v>0</v>
      </c>
      <c r="O985" s="3"/>
      <c r="P985" s="3"/>
      <c r="Q985" s="3"/>
      <c r="R985" s="3"/>
      <c r="S985" s="3">
        <f t="shared" ref="S985:S1050" si="506">T985-R985</f>
        <v>0</v>
      </c>
      <c r="T985" s="3"/>
      <c r="U985" s="3">
        <f t="shared" ref="U985:U1050" si="507">T985-P985</f>
        <v>0</v>
      </c>
      <c r="V985" s="3"/>
      <c r="W985" s="3">
        <f t="shared" ref="W985:W1050" si="508">Y985-V985</f>
        <v>0</v>
      </c>
      <c r="X985" s="3"/>
      <c r="Y985" s="3"/>
      <c r="Z985" s="3">
        <f t="shared" si="503"/>
        <v>0</v>
      </c>
      <c r="AA985" s="3"/>
      <c r="AB985" s="3"/>
      <c r="AC985" s="3"/>
      <c r="AD985" s="3">
        <f t="shared" ref="AD985:AD1050" si="509">AE985-AC985</f>
        <v>0</v>
      </c>
      <c r="AE985" s="3"/>
      <c r="AF985" s="3">
        <f t="shared" ref="AF985:AF1050" si="510">AE985-Y985</f>
        <v>0</v>
      </c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42"/>
      <c r="AR985" s="3"/>
      <c r="AS985" s="42"/>
      <c r="AT985" s="3"/>
      <c r="AU985" s="42"/>
      <c r="AV985" s="3"/>
      <c r="AW985" s="42"/>
      <c r="AX985" s="3"/>
      <c r="AY985" s="42"/>
      <c r="AZ985" s="3"/>
      <c r="BA985" s="6"/>
    </row>
    <row r="986" spans="1:53" s="77" customFormat="1" x14ac:dyDescent="0.25">
      <c r="A986" s="3" t="s">
        <v>735</v>
      </c>
      <c r="B986" s="3"/>
      <c r="C986" s="3"/>
      <c r="D986" s="29"/>
      <c r="E986" s="3">
        <f t="shared" si="502"/>
        <v>0</v>
      </c>
      <c r="F986" s="29"/>
      <c r="G986" s="3"/>
      <c r="H986" s="5">
        <f t="shared" si="501"/>
        <v>0</v>
      </c>
      <c r="I986" s="5"/>
      <c r="J986" s="5"/>
      <c r="K986" s="4">
        <f t="shared" si="504"/>
        <v>0</v>
      </c>
      <c r="L986" s="4"/>
      <c r="M986" s="4"/>
      <c r="N986" s="4">
        <f t="shared" si="505"/>
        <v>0</v>
      </c>
      <c r="O986" s="3"/>
      <c r="P986" s="3">
        <v>45000</v>
      </c>
      <c r="Q986" s="3"/>
      <c r="R986" s="3">
        <v>0</v>
      </c>
      <c r="S986" s="3">
        <f t="shared" si="506"/>
        <v>45000</v>
      </c>
      <c r="T986" s="3">
        <v>45000</v>
      </c>
      <c r="U986" s="3">
        <f t="shared" si="507"/>
        <v>0</v>
      </c>
      <c r="V986" s="3"/>
      <c r="W986" s="3">
        <f t="shared" si="508"/>
        <v>45000</v>
      </c>
      <c r="X986" s="3"/>
      <c r="Y986" s="3">
        <v>45000</v>
      </c>
      <c r="Z986" s="3">
        <f t="shared" si="503"/>
        <v>0</v>
      </c>
      <c r="AA986" s="3"/>
      <c r="AB986" s="3"/>
      <c r="AC986" s="3"/>
      <c r="AD986" s="3">
        <f t="shared" si="509"/>
        <v>45000</v>
      </c>
      <c r="AE986" s="3">
        <v>45000</v>
      </c>
      <c r="AF986" s="3">
        <f t="shared" si="510"/>
        <v>0</v>
      </c>
      <c r="AG986" s="3"/>
      <c r="AH986" s="3">
        <v>30000</v>
      </c>
      <c r="AI986" s="3"/>
      <c r="AJ986" s="3"/>
      <c r="AK986" s="3"/>
      <c r="AL986" s="3"/>
      <c r="AM986" s="3"/>
      <c r="AN986" s="3"/>
      <c r="AO986" s="3"/>
      <c r="AP986" s="3"/>
      <c r="AQ986" s="42"/>
      <c r="AR986" s="3"/>
      <c r="AS986" s="42"/>
      <c r="AT986" s="3"/>
      <c r="AU986" s="42"/>
      <c r="AV986" s="3"/>
      <c r="AW986" s="42"/>
      <c r="AX986" s="3"/>
      <c r="AY986" s="42"/>
      <c r="AZ986" s="3"/>
    </row>
    <row r="987" spans="1:53" x14ac:dyDescent="0.25">
      <c r="A987" s="3" t="s">
        <v>736</v>
      </c>
      <c r="B987" s="3">
        <v>45000</v>
      </c>
      <c r="D987" s="5">
        <v>22505</v>
      </c>
      <c r="E987" s="3">
        <f t="shared" si="502"/>
        <v>22495</v>
      </c>
      <c r="F987" s="29">
        <v>45000</v>
      </c>
      <c r="H987" s="5">
        <f t="shared" si="501"/>
        <v>0</v>
      </c>
      <c r="J987" s="5">
        <v>27596</v>
      </c>
      <c r="K987" s="4">
        <f t="shared" si="504"/>
        <v>15859</v>
      </c>
      <c r="L987" s="4">
        <v>43455</v>
      </c>
      <c r="N987" s="4">
        <f t="shared" si="505"/>
        <v>-1545</v>
      </c>
      <c r="P987" s="3"/>
      <c r="Q987" s="3"/>
      <c r="R987" s="3"/>
      <c r="S987" s="3">
        <f t="shared" si="506"/>
        <v>0</v>
      </c>
      <c r="T987" s="3"/>
      <c r="U987" s="3">
        <f t="shared" si="507"/>
        <v>0</v>
      </c>
      <c r="V987" s="3"/>
      <c r="W987" s="3">
        <f t="shared" si="508"/>
        <v>0</v>
      </c>
      <c r="X987" s="3"/>
      <c r="Y987" s="3"/>
      <c r="Z987" s="3">
        <f t="shared" si="503"/>
        <v>0</v>
      </c>
      <c r="AA987" s="3"/>
      <c r="AB987" s="3"/>
      <c r="AC987" s="3"/>
      <c r="AD987" s="3">
        <f t="shared" si="509"/>
        <v>0</v>
      </c>
      <c r="AE987" s="3"/>
      <c r="AF987" s="3">
        <f t="shared" si="510"/>
        <v>0</v>
      </c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42"/>
      <c r="AR987" s="3"/>
      <c r="AS987" s="42"/>
      <c r="AT987" s="3"/>
      <c r="AU987" s="42"/>
      <c r="AV987" s="3"/>
      <c r="AW987" s="42"/>
      <c r="AX987" s="3"/>
      <c r="AY987" s="42"/>
      <c r="AZ987" s="3"/>
    </row>
    <row r="988" spans="1:53" s="77" customFormat="1" x14ac:dyDescent="0.25">
      <c r="A988" s="3" t="s">
        <v>737</v>
      </c>
      <c r="B988" s="3"/>
      <c r="C988" s="3"/>
      <c r="D988" s="29"/>
      <c r="E988" s="3">
        <f t="shared" si="502"/>
        <v>0</v>
      </c>
      <c r="F988" s="5"/>
      <c r="G988" s="3"/>
      <c r="H988" s="5">
        <f t="shared" si="501"/>
        <v>0</v>
      </c>
      <c r="I988" s="5"/>
      <c r="J988" s="5"/>
      <c r="K988" s="4">
        <f t="shared" si="504"/>
        <v>0</v>
      </c>
      <c r="L988" s="4"/>
      <c r="M988" s="4"/>
      <c r="N988" s="4">
        <f t="shared" si="505"/>
        <v>0</v>
      </c>
      <c r="O988" s="3"/>
      <c r="P988" s="3"/>
      <c r="Q988" s="3"/>
      <c r="R988" s="3"/>
      <c r="S988" s="3">
        <f t="shared" si="506"/>
        <v>0</v>
      </c>
      <c r="T988" s="3"/>
      <c r="U988" s="3">
        <f t="shared" si="507"/>
        <v>0</v>
      </c>
      <c r="V988" s="3"/>
      <c r="W988" s="3">
        <f t="shared" si="508"/>
        <v>0</v>
      </c>
      <c r="X988" s="3"/>
      <c r="Y988" s="3"/>
      <c r="Z988" s="3">
        <f t="shared" si="503"/>
        <v>0</v>
      </c>
      <c r="AA988" s="3"/>
      <c r="AB988" s="3"/>
      <c r="AC988" s="3"/>
      <c r="AD988" s="3">
        <f t="shared" si="509"/>
        <v>0</v>
      </c>
      <c r="AE988" s="3"/>
      <c r="AF988" s="3">
        <f t="shared" si="510"/>
        <v>0</v>
      </c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42"/>
      <c r="AR988" s="3"/>
      <c r="AS988" s="42"/>
      <c r="AT988" s="3"/>
      <c r="AU988" s="42"/>
      <c r="AV988" s="3"/>
      <c r="AW988" s="42"/>
      <c r="AX988" s="3"/>
      <c r="AY988" s="42"/>
      <c r="AZ988" s="3"/>
      <c r="BA988" s="6"/>
    </row>
    <row r="989" spans="1:53" x14ac:dyDescent="0.25">
      <c r="A989" s="3" t="s">
        <v>738</v>
      </c>
      <c r="B989" s="3"/>
      <c r="E989" s="3">
        <f t="shared" si="502"/>
        <v>0</v>
      </c>
      <c r="F989" s="29"/>
      <c r="H989" s="5">
        <f t="shared" si="501"/>
        <v>0</v>
      </c>
      <c r="K989" s="4">
        <f t="shared" si="504"/>
        <v>0</v>
      </c>
      <c r="L989" s="4"/>
      <c r="N989" s="4">
        <f t="shared" si="505"/>
        <v>0</v>
      </c>
      <c r="P989" s="3"/>
      <c r="Q989" s="3"/>
      <c r="R989" s="3"/>
      <c r="S989" s="3">
        <f t="shared" si="506"/>
        <v>0</v>
      </c>
      <c r="T989" s="3"/>
      <c r="U989" s="3">
        <f t="shared" si="507"/>
        <v>0</v>
      </c>
      <c r="V989" s="3"/>
      <c r="W989" s="3">
        <f t="shared" si="508"/>
        <v>0</v>
      </c>
      <c r="X989" s="3"/>
      <c r="Y989" s="3"/>
      <c r="Z989" s="3">
        <f t="shared" si="503"/>
        <v>0</v>
      </c>
      <c r="AA989" s="3"/>
      <c r="AB989" s="3"/>
      <c r="AC989" s="3"/>
      <c r="AD989" s="3">
        <f t="shared" si="509"/>
        <v>0</v>
      </c>
      <c r="AE989" s="3"/>
      <c r="AF989" s="3">
        <f t="shared" si="510"/>
        <v>0</v>
      </c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42"/>
      <c r="AR989" s="3"/>
      <c r="AS989" s="42"/>
      <c r="AT989" s="3"/>
      <c r="AU989" s="42"/>
      <c r="AV989" s="3"/>
      <c r="AW989" s="42"/>
      <c r="AX989" s="3"/>
      <c r="AY989" s="42"/>
      <c r="AZ989" s="3"/>
      <c r="BA989" s="77"/>
    </row>
    <row r="990" spans="1:53" x14ac:dyDescent="0.25">
      <c r="A990" s="3" t="s">
        <v>739</v>
      </c>
      <c r="B990" s="3"/>
      <c r="E990" s="3">
        <f t="shared" si="502"/>
        <v>0</v>
      </c>
      <c r="H990" s="5">
        <f t="shared" si="501"/>
        <v>0</v>
      </c>
      <c r="K990" s="4">
        <f t="shared" si="504"/>
        <v>0</v>
      </c>
      <c r="L990" s="4"/>
      <c r="N990" s="4">
        <f t="shared" si="505"/>
        <v>0</v>
      </c>
      <c r="P990" s="3"/>
      <c r="Q990" s="3"/>
      <c r="R990" s="3"/>
      <c r="S990" s="3">
        <f t="shared" si="506"/>
        <v>0</v>
      </c>
      <c r="T990" s="3"/>
      <c r="U990" s="3">
        <f t="shared" si="507"/>
        <v>0</v>
      </c>
      <c r="V990" s="3"/>
      <c r="W990" s="3">
        <f t="shared" si="508"/>
        <v>0</v>
      </c>
      <c r="X990" s="3"/>
      <c r="Y990" s="3"/>
      <c r="Z990" s="3">
        <f t="shared" si="503"/>
        <v>0</v>
      </c>
      <c r="AA990" s="3"/>
      <c r="AB990" s="3"/>
      <c r="AC990" s="3"/>
      <c r="AD990" s="3">
        <f t="shared" si="509"/>
        <v>0</v>
      </c>
      <c r="AE990" s="3"/>
      <c r="AF990" s="3">
        <f t="shared" si="510"/>
        <v>0</v>
      </c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42"/>
      <c r="AR990" s="3"/>
      <c r="AS990" s="42"/>
      <c r="AT990" s="3"/>
      <c r="AU990" s="42"/>
      <c r="AV990" s="3"/>
      <c r="AW990" s="42"/>
      <c r="AX990" s="3"/>
      <c r="AY990" s="42"/>
      <c r="AZ990" s="3"/>
    </row>
    <row r="991" spans="1:53" s="77" customFormat="1" x14ac:dyDescent="0.25">
      <c r="A991" s="3" t="s">
        <v>686</v>
      </c>
      <c r="B991" s="3"/>
      <c r="C991" s="3"/>
      <c r="D991" s="29"/>
      <c r="E991" s="3">
        <f t="shared" si="502"/>
        <v>0</v>
      </c>
      <c r="F991" s="5"/>
      <c r="G991" s="3"/>
      <c r="H991" s="5">
        <f t="shared" si="501"/>
        <v>0</v>
      </c>
      <c r="I991" s="5"/>
      <c r="J991" s="5"/>
      <c r="K991" s="4">
        <f t="shared" si="504"/>
        <v>0</v>
      </c>
      <c r="L991" s="4"/>
      <c r="M991" s="4"/>
      <c r="N991" s="4">
        <f t="shared" si="505"/>
        <v>0</v>
      </c>
      <c r="O991" s="3"/>
      <c r="P991" s="3"/>
      <c r="Q991" s="3"/>
      <c r="R991" s="3"/>
      <c r="S991" s="3">
        <f t="shared" si="506"/>
        <v>0</v>
      </c>
      <c r="T991" s="3"/>
      <c r="U991" s="3">
        <f t="shared" si="507"/>
        <v>0</v>
      </c>
      <c r="V991" s="3"/>
      <c r="W991" s="3">
        <f t="shared" si="508"/>
        <v>0</v>
      </c>
      <c r="X991" s="3"/>
      <c r="Y991" s="3"/>
      <c r="Z991" s="3">
        <f t="shared" si="503"/>
        <v>0</v>
      </c>
      <c r="AA991" s="3"/>
      <c r="AB991" s="3"/>
      <c r="AC991" s="3"/>
      <c r="AD991" s="3">
        <f t="shared" si="509"/>
        <v>0</v>
      </c>
      <c r="AE991" s="3"/>
      <c r="AF991" s="3">
        <f t="shared" si="510"/>
        <v>0</v>
      </c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42"/>
      <c r="AR991" s="3"/>
      <c r="AS991" s="42"/>
      <c r="AT991" s="3"/>
      <c r="AU991" s="42"/>
      <c r="AV991" s="3"/>
      <c r="AW991" s="42"/>
      <c r="AX991" s="3"/>
      <c r="AY991" s="42"/>
      <c r="AZ991" s="3"/>
      <c r="BA991" s="6"/>
    </row>
    <row r="992" spans="1:53" x14ac:dyDescent="0.25">
      <c r="A992" s="3" t="s">
        <v>740</v>
      </c>
      <c r="B992" s="3"/>
      <c r="E992" s="3">
        <f t="shared" si="502"/>
        <v>0</v>
      </c>
      <c r="F992" s="29"/>
      <c r="H992" s="5">
        <f t="shared" si="501"/>
        <v>0</v>
      </c>
      <c r="K992" s="4">
        <f t="shared" si="504"/>
        <v>0</v>
      </c>
      <c r="L992" s="4"/>
      <c r="N992" s="4">
        <f t="shared" si="505"/>
        <v>0</v>
      </c>
      <c r="P992" s="3"/>
      <c r="Q992" s="3"/>
      <c r="R992" s="3"/>
      <c r="S992" s="3">
        <f t="shared" si="506"/>
        <v>0</v>
      </c>
      <c r="T992" s="3"/>
      <c r="U992" s="3">
        <f t="shared" si="507"/>
        <v>0</v>
      </c>
      <c r="V992" s="3"/>
      <c r="W992" s="3">
        <f t="shared" si="508"/>
        <v>0</v>
      </c>
      <c r="X992" s="3"/>
      <c r="Y992" s="3"/>
      <c r="Z992" s="3">
        <f t="shared" si="503"/>
        <v>0</v>
      </c>
      <c r="AA992" s="3"/>
      <c r="AB992" s="3"/>
      <c r="AC992" s="3"/>
      <c r="AD992" s="3">
        <f t="shared" si="509"/>
        <v>0</v>
      </c>
      <c r="AE992" s="3"/>
      <c r="AF992" s="3">
        <f t="shared" si="510"/>
        <v>0</v>
      </c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42"/>
      <c r="AR992" s="3"/>
      <c r="AS992" s="42"/>
      <c r="AT992" s="3"/>
      <c r="AU992" s="42"/>
      <c r="AV992" s="3"/>
      <c r="AW992" s="42"/>
      <c r="AX992" s="3"/>
      <c r="AY992" s="42"/>
      <c r="AZ992" s="3"/>
      <c r="BA992" s="77"/>
    </row>
    <row r="993" spans="1:53" x14ac:dyDescent="0.25">
      <c r="A993" s="3" t="s">
        <v>741</v>
      </c>
      <c r="B993" s="3"/>
      <c r="E993" s="3">
        <f t="shared" si="502"/>
        <v>0</v>
      </c>
      <c r="H993" s="5">
        <f t="shared" si="501"/>
        <v>0</v>
      </c>
      <c r="K993" s="4">
        <f t="shared" si="504"/>
        <v>0</v>
      </c>
      <c r="L993" s="4"/>
      <c r="N993" s="4">
        <f t="shared" si="505"/>
        <v>0</v>
      </c>
      <c r="P993" s="3"/>
      <c r="Q993" s="3"/>
      <c r="R993" s="3"/>
      <c r="S993" s="3">
        <f t="shared" si="506"/>
        <v>0</v>
      </c>
      <c r="T993" s="3"/>
      <c r="U993" s="3">
        <f t="shared" si="507"/>
        <v>0</v>
      </c>
      <c r="V993" s="3"/>
      <c r="W993" s="3">
        <f t="shared" si="508"/>
        <v>0</v>
      </c>
      <c r="X993" s="3"/>
      <c r="Y993" s="3"/>
      <c r="Z993" s="3">
        <f t="shared" si="503"/>
        <v>0</v>
      </c>
      <c r="AA993" s="3"/>
      <c r="AB993" s="3"/>
      <c r="AC993" s="3"/>
      <c r="AD993" s="3">
        <f t="shared" si="509"/>
        <v>0</v>
      </c>
      <c r="AE993" s="3"/>
      <c r="AF993" s="3">
        <f t="shared" si="510"/>
        <v>0</v>
      </c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42"/>
      <c r="AR993" s="3"/>
      <c r="AS993" s="42"/>
      <c r="AT993" s="3"/>
      <c r="AU993" s="42"/>
      <c r="AV993" s="3"/>
      <c r="AW993" s="42"/>
      <c r="AX993" s="3"/>
      <c r="AY993" s="42"/>
      <c r="AZ993" s="3"/>
    </row>
    <row r="994" spans="1:53" s="77" customFormat="1" x14ac:dyDescent="0.25">
      <c r="A994" s="3" t="s">
        <v>742</v>
      </c>
      <c r="B994" s="3">
        <v>3500</v>
      </c>
      <c r="C994" s="3"/>
      <c r="D994" s="29"/>
      <c r="E994" s="3">
        <f t="shared" si="502"/>
        <v>3500</v>
      </c>
      <c r="F994" s="5">
        <v>3500</v>
      </c>
      <c r="G994" s="3"/>
      <c r="H994" s="5">
        <f t="shared" si="501"/>
        <v>0</v>
      </c>
      <c r="I994" s="5"/>
      <c r="J994" s="5">
        <v>566</v>
      </c>
      <c r="K994" s="4">
        <f t="shared" si="504"/>
        <v>2934</v>
      </c>
      <c r="L994" s="4">
        <v>3500</v>
      </c>
      <c r="M994" s="4"/>
      <c r="N994" s="4">
        <f t="shared" si="505"/>
        <v>0</v>
      </c>
      <c r="O994" s="3"/>
      <c r="P994" s="3">
        <v>3000</v>
      </c>
      <c r="Q994" s="3"/>
      <c r="R994" s="3">
        <v>594</v>
      </c>
      <c r="S994" s="3">
        <f t="shared" si="506"/>
        <v>2406</v>
      </c>
      <c r="T994" s="3">
        <v>3000</v>
      </c>
      <c r="U994" s="3">
        <f t="shared" si="507"/>
        <v>0</v>
      </c>
      <c r="V994" s="3">
        <v>1567</v>
      </c>
      <c r="W994" s="3">
        <f t="shared" si="508"/>
        <v>1433</v>
      </c>
      <c r="X994" s="3"/>
      <c r="Y994" s="3">
        <v>3000</v>
      </c>
      <c r="Z994" s="3">
        <f t="shared" si="503"/>
        <v>0</v>
      </c>
      <c r="AA994" s="3"/>
      <c r="AB994" s="3"/>
      <c r="AC994" s="3">
        <v>1920</v>
      </c>
      <c r="AD994" s="3">
        <f t="shared" si="509"/>
        <v>1080</v>
      </c>
      <c r="AE994" s="3">
        <v>3000</v>
      </c>
      <c r="AF994" s="3">
        <f t="shared" si="510"/>
        <v>0</v>
      </c>
      <c r="AG994" s="3"/>
      <c r="AH994" s="3">
        <v>2600</v>
      </c>
      <c r="AI994" s="3"/>
      <c r="AJ994" s="3">
        <v>3000</v>
      </c>
      <c r="AK994" s="3"/>
      <c r="AL994" s="3">
        <v>2600</v>
      </c>
      <c r="AM994" s="3"/>
      <c r="AN994" s="3">
        <v>3000</v>
      </c>
      <c r="AO994" s="3"/>
      <c r="AP994" s="3">
        <v>2600</v>
      </c>
      <c r="AQ994" s="42"/>
      <c r="AR994" s="3">
        <v>3000</v>
      </c>
      <c r="AS994" s="3"/>
      <c r="AT994" s="3">
        <v>2600</v>
      </c>
      <c r="AU994" s="42"/>
      <c r="AV994" s="3">
        <v>3000</v>
      </c>
      <c r="AW994" s="42"/>
      <c r="AX994" s="3">
        <v>3000</v>
      </c>
      <c r="AY994" s="42"/>
      <c r="AZ994" s="3">
        <v>3000</v>
      </c>
    </row>
    <row r="995" spans="1:53" x14ac:dyDescent="0.25">
      <c r="A995" s="3" t="s">
        <v>743</v>
      </c>
      <c r="B995" s="3"/>
      <c r="E995" s="3">
        <f t="shared" si="502"/>
        <v>0</v>
      </c>
      <c r="F995" s="29"/>
      <c r="H995" s="5">
        <f t="shared" si="501"/>
        <v>0</v>
      </c>
      <c r="K995" s="4">
        <f t="shared" si="504"/>
        <v>0</v>
      </c>
      <c r="L995" s="4"/>
      <c r="N995" s="4">
        <f t="shared" si="505"/>
        <v>0</v>
      </c>
      <c r="P995" s="3"/>
      <c r="Q995" s="3"/>
      <c r="R995" s="3"/>
      <c r="S995" s="3">
        <f t="shared" si="506"/>
        <v>0</v>
      </c>
      <c r="T995" s="3"/>
      <c r="U995" s="3">
        <f t="shared" si="507"/>
        <v>0</v>
      </c>
      <c r="V995" s="3"/>
      <c r="W995" s="3">
        <f t="shared" si="508"/>
        <v>0</v>
      </c>
      <c r="X995" s="3"/>
      <c r="Y995" s="3"/>
      <c r="Z995" s="3">
        <f t="shared" si="503"/>
        <v>0</v>
      </c>
      <c r="AA995" s="3"/>
      <c r="AB995" s="3"/>
      <c r="AC995" s="3"/>
      <c r="AD995" s="3">
        <f t="shared" si="509"/>
        <v>0</v>
      </c>
      <c r="AE995" s="3"/>
      <c r="AF995" s="3">
        <f t="shared" si="510"/>
        <v>0</v>
      </c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42"/>
      <c r="AR995" s="3"/>
      <c r="AS995" s="42"/>
      <c r="AT995" s="3"/>
      <c r="AU995" s="42"/>
      <c r="AV995" s="3"/>
      <c r="AW995" s="42"/>
      <c r="AX995" s="3"/>
      <c r="AY995" s="42"/>
      <c r="AZ995" s="3"/>
    </row>
    <row r="996" spans="1:53" s="77" customFormat="1" x14ac:dyDescent="0.25">
      <c r="A996" s="3" t="s">
        <v>744</v>
      </c>
      <c r="B996" s="3"/>
      <c r="C996" s="3"/>
      <c r="D996" s="29"/>
      <c r="E996" s="3">
        <f t="shared" si="502"/>
        <v>0</v>
      </c>
      <c r="F996" s="5"/>
      <c r="G996" s="3"/>
      <c r="H996" s="5">
        <f t="shared" si="501"/>
        <v>0</v>
      </c>
      <c r="I996" s="5"/>
      <c r="J996" s="5"/>
      <c r="K996" s="4">
        <f t="shared" si="504"/>
        <v>0</v>
      </c>
      <c r="L996" s="4"/>
      <c r="M996" s="4"/>
      <c r="N996" s="4">
        <f t="shared" si="505"/>
        <v>0</v>
      </c>
      <c r="O996" s="3"/>
      <c r="P996" s="3"/>
      <c r="Q996" s="3"/>
      <c r="R996" s="3"/>
      <c r="S996" s="3">
        <f t="shared" si="506"/>
        <v>0</v>
      </c>
      <c r="T996" s="3"/>
      <c r="U996" s="3">
        <f t="shared" si="507"/>
        <v>0</v>
      </c>
      <c r="V996" s="3"/>
      <c r="W996" s="3">
        <f t="shared" si="508"/>
        <v>0</v>
      </c>
      <c r="X996" s="3"/>
      <c r="Y996" s="3"/>
      <c r="Z996" s="3">
        <f t="shared" si="503"/>
        <v>0</v>
      </c>
      <c r="AA996" s="3"/>
      <c r="AB996" s="3"/>
      <c r="AC996" s="3"/>
      <c r="AD996" s="3">
        <f t="shared" si="509"/>
        <v>0</v>
      </c>
      <c r="AE996" s="3"/>
      <c r="AF996" s="3">
        <f t="shared" si="510"/>
        <v>0</v>
      </c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42"/>
      <c r="AR996" s="3"/>
      <c r="AS996" s="42"/>
      <c r="AT996" s="3"/>
      <c r="AU996" s="42"/>
      <c r="AV996" s="3"/>
      <c r="AW996" s="42"/>
      <c r="AX996" s="3"/>
      <c r="AY996" s="42"/>
      <c r="AZ996" s="3"/>
    </row>
    <row r="997" spans="1:53" x14ac:dyDescent="0.25">
      <c r="A997" s="3" t="s">
        <v>745</v>
      </c>
      <c r="B997" s="3"/>
      <c r="E997" s="3">
        <f t="shared" si="502"/>
        <v>0</v>
      </c>
      <c r="F997" s="29"/>
      <c r="H997" s="5">
        <f t="shared" si="501"/>
        <v>0</v>
      </c>
      <c r="K997" s="4">
        <f t="shared" si="504"/>
        <v>0</v>
      </c>
      <c r="L997" s="4"/>
      <c r="N997" s="4">
        <f t="shared" si="505"/>
        <v>0</v>
      </c>
      <c r="P997" s="3"/>
      <c r="Q997" s="3"/>
      <c r="R997" s="3"/>
      <c r="S997" s="3">
        <f t="shared" si="506"/>
        <v>0</v>
      </c>
      <c r="T997" s="3"/>
      <c r="U997" s="3">
        <f t="shared" si="507"/>
        <v>0</v>
      </c>
      <c r="V997" s="3"/>
      <c r="W997" s="3">
        <f t="shared" si="508"/>
        <v>0</v>
      </c>
      <c r="X997" s="3"/>
      <c r="Y997" s="3"/>
      <c r="Z997" s="3">
        <f t="shared" si="503"/>
        <v>0</v>
      </c>
      <c r="AA997" s="3"/>
      <c r="AB997" s="3"/>
      <c r="AC997" s="3"/>
      <c r="AD997" s="3">
        <f t="shared" si="509"/>
        <v>0</v>
      </c>
      <c r="AE997" s="3"/>
      <c r="AF997" s="3">
        <f t="shared" si="510"/>
        <v>0</v>
      </c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42"/>
      <c r="AR997" s="3"/>
      <c r="AS997" s="42"/>
      <c r="AT997" s="3"/>
      <c r="AU997" s="42"/>
      <c r="AV997" s="3"/>
      <c r="AW997" s="42"/>
      <c r="AX997" s="3"/>
      <c r="AY997" s="42"/>
      <c r="AZ997" s="3"/>
    </row>
    <row r="998" spans="1:53" s="77" customFormat="1" x14ac:dyDescent="0.25">
      <c r="A998" s="3" t="s">
        <v>746</v>
      </c>
      <c r="B998" s="3"/>
      <c r="C998" s="3"/>
      <c r="D998" s="29"/>
      <c r="E998" s="3">
        <f t="shared" si="502"/>
        <v>0</v>
      </c>
      <c r="F998" s="5"/>
      <c r="G998" s="3"/>
      <c r="H998" s="5">
        <f t="shared" si="501"/>
        <v>0</v>
      </c>
      <c r="I998" s="5"/>
      <c r="J998" s="5"/>
      <c r="K998" s="4">
        <f t="shared" si="504"/>
        <v>0</v>
      </c>
      <c r="L998" s="4"/>
      <c r="M998" s="4"/>
      <c r="N998" s="4">
        <f t="shared" si="505"/>
        <v>0</v>
      </c>
      <c r="O998" s="3"/>
      <c r="P998" s="3"/>
      <c r="Q998" s="3"/>
      <c r="R998" s="3"/>
      <c r="S998" s="3">
        <f t="shared" si="506"/>
        <v>0</v>
      </c>
      <c r="T998" s="3"/>
      <c r="U998" s="3">
        <f t="shared" si="507"/>
        <v>0</v>
      </c>
      <c r="V998" s="3"/>
      <c r="W998" s="3">
        <f t="shared" si="508"/>
        <v>0</v>
      </c>
      <c r="X998" s="3"/>
      <c r="Y998" s="3"/>
      <c r="Z998" s="3">
        <f t="shared" si="503"/>
        <v>0</v>
      </c>
      <c r="AA998" s="3"/>
      <c r="AB998" s="3"/>
      <c r="AC998" s="3"/>
      <c r="AD998" s="3">
        <f t="shared" si="509"/>
        <v>0</v>
      </c>
      <c r="AE998" s="3"/>
      <c r="AF998" s="3">
        <f t="shared" si="510"/>
        <v>0</v>
      </c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42"/>
      <c r="AR998" s="3"/>
      <c r="AS998" s="42"/>
      <c r="AT998" s="3"/>
      <c r="AU998" s="42"/>
      <c r="AV998" s="3"/>
      <c r="AW998" s="42"/>
      <c r="AX998" s="3"/>
      <c r="AY998" s="42"/>
      <c r="AZ998" s="3"/>
      <c r="BA998" s="6"/>
    </row>
    <row r="999" spans="1:53" x14ac:dyDescent="0.25">
      <c r="A999" s="3" t="s">
        <v>747</v>
      </c>
      <c r="B999" s="3"/>
      <c r="E999" s="3">
        <f t="shared" si="502"/>
        <v>0</v>
      </c>
      <c r="F999" s="29"/>
      <c r="H999" s="5">
        <f t="shared" si="501"/>
        <v>0</v>
      </c>
      <c r="K999" s="4">
        <f t="shared" si="504"/>
        <v>0</v>
      </c>
      <c r="L999" s="4"/>
      <c r="N999" s="4">
        <f t="shared" si="505"/>
        <v>0</v>
      </c>
      <c r="P999" s="3"/>
      <c r="Q999" s="3"/>
      <c r="R999" s="3"/>
      <c r="S999" s="3">
        <f t="shared" si="506"/>
        <v>0</v>
      </c>
      <c r="T999" s="3"/>
      <c r="U999" s="3">
        <f t="shared" si="507"/>
        <v>0</v>
      </c>
      <c r="V999" s="3"/>
      <c r="W999" s="3">
        <f t="shared" si="508"/>
        <v>0</v>
      </c>
      <c r="X999" s="3"/>
      <c r="Y999" s="3"/>
      <c r="Z999" s="3">
        <f t="shared" si="503"/>
        <v>0</v>
      </c>
      <c r="AA999" s="3"/>
      <c r="AB999" s="3"/>
      <c r="AC999" s="3"/>
      <c r="AD999" s="3">
        <f t="shared" si="509"/>
        <v>0</v>
      </c>
      <c r="AE999" s="3"/>
      <c r="AF999" s="3">
        <f t="shared" si="510"/>
        <v>0</v>
      </c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42"/>
      <c r="AR999" s="3"/>
      <c r="AS999" s="42"/>
      <c r="AT999" s="3"/>
      <c r="AU999" s="42"/>
      <c r="AV999" s="3"/>
      <c r="AW999" s="42"/>
      <c r="AX999" s="3"/>
      <c r="AY999" s="42"/>
      <c r="AZ999" s="3"/>
    </row>
    <row r="1000" spans="1:53" x14ac:dyDescent="0.25">
      <c r="A1000" s="3" t="s">
        <v>748</v>
      </c>
      <c r="B1000" s="3"/>
      <c r="E1000" s="3"/>
      <c r="F1000" s="29"/>
      <c r="K1000" s="4"/>
      <c r="L1000" s="4"/>
      <c r="N1000" s="4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>
        <v>10000</v>
      </c>
      <c r="AI1000" s="3"/>
      <c r="AJ1000" s="3"/>
      <c r="AK1000" s="3"/>
      <c r="AL1000" s="3">
        <v>2000</v>
      </c>
      <c r="AM1000" s="3"/>
      <c r="AN1000" s="3"/>
      <c r="AO1000" s="3"/>
      <c r="AP1000" s="3">
        <v>2000</v>
      </c>
      <c r="AQ1000" s="42"/>
      <c r="AR1000" s="3"/>
      <c r="AS1000" s="42"/>
      <c r="AT1000" s="3">
        <v>2000</v>
      </c>
      <c r="AU1000" s="42"/>
      <c r="AV1000" s="3"/>
      <c r="AW1000" s="42"/>
      <c r="AX1000" s="3">
        <v>2000</v>
      </c>
      <c r="AY1000" s="42"/>
      <c r="AZ1000" s="3"/>
      <c r="BA1000" s="77"/>
    </row>
    <row r="1001" spans="1:53" x14ac:dyDescent="0.25">
      <c r="A1001" s="3" t="s">
        <v>749</v>
      </c>
      <c r="B1001" s="3">
        <v>12000</v>
      </c>
      <c r="E1001" s="3">
        <f t="shared" si="502"/>
        <v>12000</v>
      </c>
      <c r="F1001" s="5">
        <v>12000</v>
      </c>
      <c r="H1001" s="5">
        <f t="shared" si="501"/>
        <v>0</v>
      </c>
      <c r="J1001" s="5">
        <v>0</v>
      </c>
      <c r="K1001" s="4">
        <f t="shared" si="504"/>
        <v>12000</v>
      </c>
      <c r="L1001" s="4">
        <v>12000</v>
      </c>
      <c r="N1001" s="4">
        <f t="shared" si="505"/>
        <v>0</v>
      </c>
      <c r="P1001" s="3"/>
      <c r="Q1001" s="3"/>
      <c r="R1001" s="3"/>
      <c r="S1001" s="3">
        <f t="shared" si="506"/>
        <v>0</v>
      </c>
      <c r="T1001" s="3"/>
      <c r="U1001" s="3">
        <f t="shared" si="507"/>
        <v>0</v>
      </c>
      <c r="V1001" s="3"/>
      <c r="W1001" s="3">
        <f t="shared" si="508"/>
        <v>0</v>
      </c>
      <c r="X1001" s="3"/>
      <c r="Y1001" s="3"/>
      <c r="Z1001" s="3">
        <f t="shared" si="503"/>
        <v>0</v>
      </c>
      <c r="AA1001" s="3"/>
      <c r="AB1001" s="3"/>
      <c r="AC1001" s="3"/>
      <c r="AD1001" s="3">
        <f t="shared" si="509"/>
        <v>0</v>
      </c>
      <c r="AE1001" s="3"/>
      <c r="AF1001" s="3">
        <f t="shared" si="510"/>
        <v>0</v>
      </c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42"/>
      <c r="AR1001" s="3"/>
      <c r="AS1001" s="42"/>
      <c r="AT1001" s="3"/>
      <c r="AU1001" s="42"/>
      <c r="AV1001" s="3"/>
      <c r="AW1001" s="42"/>
      <c r="AX1001" s="3"/>
      <c r="AY1001" s="42"/>
      <c r="AZ1001" s="3"/>
    </row>
    <row r="1002" spans="1:53" s="77" customFormat="1" x14ac:dyDescent="0.25">
      <c r="A1002" s="3" t="s">
        <v>750</v>
      </c>
      <c r="B1002" s="3"/>
      <c r="C1002" s="3"/>
      <c r="D1002" s="29"/>
      <c r="E1002" s="3">
        <f t="shared" si="502"/>
        <v>0</v>
      </c>
      <c r="F1002" s="5"/>
      <c r="G1002" s="3"/>
      <c r="H1002" s="5">
        <f t="shared" si="501"/>
        <v>0</v>
      </c>
      <c r="I1002" s="5"/>
      <c r="J1002" s="5"/>
      <c r="K1002" s="4">
        <f t="shared" si="504"/>
        <v>0</v>
      </c>
      <c r="L1002" s="4"/>
      <c r="M1002" s="4"/>
      <c r="N1002" s="4">
        <f t="shared" si="505"/>
        <v>0</v>
      </c>
      <c r="O1002" s="3"/>
      <c r="P1002" s="3"/>
      <c r="Q1002" s="3"/>
      <c r="R1002" s="3"/>
      <c r="S1002" s="3">
        <f t="shared" si="506"/>
        <v>0</v>
      </c>
      <c r="T1002" s="3"/>
      <c r="U1002" s="3">
        <f t="shared" si="507"/>
        <v>0</v>
      </c>
      <c r="V1002" s="3"/>
      <c r="W1002" s="3">
        <f t="shared" si="508"/>
        <v>0</v>
      </c>
      <c r="X1002" s="3"/>
      <c r="Y1002" s="3"/>
      <c r="Z1002" s="3">
        <f t="shared" si="503"/>
        <v>0</v>
      </c>
      <c r="AA1002" s="3"/>
      <c r="AB1002" s="3"/>
      <c r="AC1002" s="3"/>
      <c r="AD1002" s="3">
        <f t="shared" si="509"/>
        <v>0</v>
      </c>
      <c r="AE1002" s="3"/>
      <c r="AF1002" s="3">
        <f t="shared" si="510"/>
        <v>0</v>
      </c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42"/>
      <c r="AR1002" s="3"/>
      <c r="AS1002" s="42"/>
      <c r="AT1002" s="3"/>
      <c r="AU1002" s="42"/>
      <c r="AV1002" s="3"/>
      <c r="AW1002" s="42"/>
      <c r="AX1002" s="3"/>
      <c r="AY1002" s="42"/>
      <c r="AZ1002" s="3"/>
      <c r="BA1002" s="6"/>
    </row>
    <row r="1003" spans="1:53" x14ac:dyDescent="0.25">
      <c r="A1003" s="3" t="s">
        <v>751</v>
      </c>
      <c r="B1003" s="3"/>
      <c r="E1003" s="3">
        <f t="shared" si="502"/>
        <v>0</v>
      </c>
      <c r="F1003" s="29"/>
      <c r="H1003" s="5">
        <f t="shared" si="501"/>
        <v>0</v>
      </c>
      <c r="K1003" s="4">
        <f t="shared" si="504"/>
        <v>0</v>
      </c>
      <c r="L1003" s="4"/>
      <c r="N1003" s="4">
        <f t="shared" si="505"/>
        <v>0</v>
      </c>
      <c r="P1003" s="3"/>
      <c r="Q1003" s="3"/>
      <c r="R1003" s="3"/>
      <c r="S1003" s="3">
        <f t="shared" si="506"/>
        <v>0</v>
      </c>
      <c r="T1003" s="3"/>
      <c r="U1003" s="3">
        <f t="shared" si="507"/>
        <v>0</v>
      </c>
      <c r="V1003" s="3"/>
      <c r="W1003" s="3">
        <f t="shared" si="508"/>
        <v>0</v>
      </c>
      <c r="X1003" s="3"/>
      <c r="Y1003" s="3"/>
      <c r="Z1003" s="3">
        <f t="shared" si="503"/>
        <v>0</v>
      </c>
      <c r="AA1003" s="3"/>
      <c r="AB1003" s="3"/>
      <c r="AC1003" s="3"/>
      <c r="AD1003" s="3">
        <f t="shared" si="509"/>
        <v>0</v>
      </c>
      <c r="AE1003" s="3"/>
      <c r="AF1003" s="3">
        <f t="shared" si="510"/>
        <v>0</v>
      </c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42"/>
      <c r="AR1003" s="3"/>
      <c r="AS1003" s="42"/>
      <c r="AT1003" s="3"/>
      <c r="AU1003" s="42"/>
      <c r="AV1003" s="3"/>
      <c r="AW1003" s="42"/>
      <c r="AX1003" s="3"/>
      <c r="AY1003" s="42"/>
      <c r="AZ1003" s="3"/>
    </row>
    <row r="1004" spans="1:53" x14ac:dyDescent="0.25">
      <c r="A1004" s="3" t="s">
        <v>752</v>
      </c>
      <c r="B1004" s="3"/>
      <c r="F1004" s="29"/>
      <c r="H1004" s="5">
        <f>F1004-B1004</f>
        <v>0</v>
      </c>
      <c r="K1004" s="4">
        <f t="shared" si="504"/>
        <v>0</v>
      </c>
      <c r="L1004" s="4"/>
      <c r="N1004" s="4">
        <f t="shared" si="505"/>
        <v>0</v>
      </c>
      <c r="P1004" s="3"/>
      <c r="Q1004" s="3"/>
      <c r="R1004" s="3"/>
      <c r="S1004" s="3">
        <f t="shared" si="506"/>
        <v>0</v>
      </c>
      <c r="T1004" s="3"/>
      <c r="U1004" s="3">
        <f t="shared" si="507"/>
        <v>0</v>
      </c>
      <c r="V1004" s="3"/>
      <c r="W1004" s="3">
        <f t="shared" si="508"/>
        <v>0</v>
      </c>
      <c r="X1004" s="3"/>
      <c r="Y1004" s="3"/>
      <c r="Z1004" s="3">
        <f t="shared" si="503"/>
        <v>0</v>
      </c>
      <c r="AA1004" s="3"/>
      <c r="AB1004" s="3"/>
      <c r="AC1004" s="3"/>
      <c r="AD1004" s="3">
        <f t="shared" si="509"/>
        <v>0</v>
      </c>
      <c r="AE1004" s="3"/>
      <c r="AF1004" s="3">
        <f t="shared" si="510"/>
        <v>0</v>
      </c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42"/>
      <c r="AR1004" s="3"/>
      <c r="AS1004" s="42"/>
      <c r="AT1004" s="3"/>
      <c r="AU1004" s="42"/>
      <c r="AV1004" s="3"/>
      <c r="AW1004" s="42"/>
      <c r="AX1004" s="3"/>
      <c r="AY1004" s="42"/>
      <c r="AZ1004" s="3"/>
    </row>
    <row r="1005" spans="1:53" x14ac:dyDescent="0.25">
      <c r="A1005" s="3" t="s">
        <v>753</v>
      </c>
      <c r="B1005" s="3">
        <v>6200</v>
      </c>
      <c r="D1005" s="5">
        <v>2146</v>
      </c>
      <c r="E1005" s="3">
        <f t="shared" ref="E1005:E1050" si="511">F1005-D1005</f>
        <v>4054</v>
      </c>
      <c r="F1005" s="5">
        <v>6200</v>
      </c>
      <c r="H1005" s="5">
        <f t="shared" ref="H1005:H1050" si="512">F1005-B1005</f>
        <v>0</v>
      </c>
      <c r="J1005" s="5">
        <v>3065</v>
      </c>
      <c r="K1005" s="4">
        <f t="shared" si="504"/>
        <v>3135</v>
      </c>
      <c r="L1005" s="4">
        <v>6200</v>
      </c>
      <c r="N1005" s="4">
        <f t="shared" si="505"/>
        <v>0</v>
      </c>
      <c r="P1005" s="3">
        <f>B1005*1.0281+26</f>
        <v>6400.22</v>
      </c>
      <c r="Q1005" s="3"/>
      <c r="R1005" s="3">
        <v>100</v>
      </c>
      <c r="S1005" s="3">
        <f t="shared" si="506"/>
        <v>6300</v>
      </c>
      <c r="T1005" s="3">
        <v>6400</v>
      </c>
      <c r="U1005" s="3">
        <f t="shared" si="507"/>
        <v>-0.22000000000025466</v>
      </c>
      <c r="V1005" s="3"/>
      <c r="W1005" s="3">
        <f t="shared" si="508"/>
        <v>6400</v>
      </c>
      <c r="X1005" s="3"/>
      <c r="Y1005" s="3">
        <v>6400</v>
      </c>
      <c r="Z1005" s="3">
        <f t="shared" si="503"/>
        <v>0</v>
      </c>
      <c r="AA1005" s="3"/>
      <c r="AB1005" s="3"/>
      <c r="AC1005" s="3"/>
      <c r="AD1005" s="3">
        <f t="shared" si="509"/>
        <v>4000</v>
      </c>
      <c r="AE1005" s="3">
        <v>4000</v>
      </c>
      <c r="AF1005" s="3">
        <f t="shared" si="510"/>
        <v>-2400</v>
      </c>
      <c r="AG1005" s="3"/>
      <c r="AH1005" s="3">
        <f>P1005*1.03+8</f>
        <v>6600.2266000000009</v>
      </c>
      <c r="AI1005" s="3"/>
      <c r="AJ1005" s="3">
        <f>AH1005*1.03</f>
        <v>6798.2333980000012</v>
      </c>
      <c r="AK1005" s="3"/>
      <c r="AL1005" s="3">
        <f>AJ1005*1.03</f>
        <v>7002.1803999400017</v>
      </c>
      <c r="AM1005" s="3"/>
      <c r="AN1005" s="3">
        <f>AL1005*1.03</f>
        <v>7212.2458119382018</v>
      </c>
      <c r="AO1005" s="3"/>
      <c r="AP1005" s="3">
        <f>AN1005*1.03</f>
        <v>7428.6131862963484</v>
      </c>
      <c r="AQ1005" s="42"/>
      <c r="AR1005" s="3">
        <f>AP1005*1.03</f>
        <v>7651.4715818852392</v>
      </c>
      <c r="AS1005" s="42"/>
      <c r="AT1005" s="3">
        <f>AR1005*1.03</f>
        <v>7881.0157293417969</v>
      </c>
      <c r="AU1005" s="42"/>
      <c r="AV1005" s="3">
        <f>AT1005*1.03</f>
        <v>8117.4462012220511</v>
      </c>
      <c r="AW1005" s="42"/>
      <c r="AX1005" s="3">
        <f>AV1005*1.03</f>
        <v>8360.9695872587126</v>
      </c>
      <c r="AY1005" s="42"/>
      <c r="AZ1005" s="3">
        <f>AX1005*1.03</f>
        <v>8611.7986748764743</v>
      </c>
    </row>
    <row r="1006" spans="1:53" x14ac:dyDescent="0.25">
      <c r="A1006" s="3" t="s">
        <v>754</v>
      </c>
      <c r="B1006" s="3"/>
      <c r="E1006" s="3"/>
      <c r="K1006" s="4"/>
      <c r="L1006" s="4"/>
      <c r="N1006" s="4"/>
      <c r="P1006" s="3"/>
      <c r="Q1006" s="3"/>
      <c r="R1006" s="3"/>
      <c r="S1006" s="3">
        <f>T1006-R1006</f>
        <v>7900</v>
      </c>
      <c r="T1006" s="3">
        <v>7900</v>
      </c>
      <c r="U1006" s="3">
        <f>T1006-P1006</f>
        <v>7900</v>
      </c>
      <c r="V1006" s="3"/>
      <c r="W1006" s="3">
        <f t="shared" si="508"/>
        <v>7900</v>
      </c>
      <c r="X1006" s="3"/>
      <c r="Y1006" s="3">
        <v>7900</v>
      </c>
      <c r="Z1006" s="3">
        <f t="shared" si="503"/>
        <v>0</v>
      </c>
      <c r="AA1006" s="3"/>
      <c r="AB1006" s="3"/>
      <c r="AC1006" s="3">
        <v>10389</v>
      </c>
      <c r="AD1006" s="3">
        <f t="shared" si="509"/>
        <v>1</v>
      </c>
      <c r="AE1006" s="3">
        <v>10390</v>
      </c>
      <c r="AF1006" s="3">
        <f t="shared" si="510"/>
        <v>2490</v>
      </c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42"/>
      <c r="AR1006" s="3"/>
      <c r="AS1006" s="42"/>
      <c r="AT1006" s="3"/>
      <c r="AU1006" s="42"/>
      <c r="AV1006" s="3"/>
      <c r="AW1006" s="42"/>
      <c r="AX1006" s="3"/>
      <c r="AY1006" s="42"/>
      <c r="AZ1006" s="3"/>
    </row>
    <row r="1007" spans="1:53" x14ac:dyDescent="0.25">
      <c r="A1007" s="3" t="s">
        <v>755</v>
      </c>
      <c r="B1007" s="3"/>
      <c r="E1007" s="3"/>
      <c r="K1007" s="4"/>
      <c r="L1007" s="4"/>
      <c r="N1007" s="4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>
        <v>20000</v>
      </c>
      <c r="AI1007" s="3"/>
      <c r="AJ1007" s="3"/>
      <c r="AK1007" s="3"/>
      <c r="AL1007" s="3"/>
      <c r="AM1007" s="3"/>
      <c r="AN1007" s="3"/>
      <c r="AO1007" s="3"/>
      <c r="AP1007" s="3"/>
      <c r="AQ1007" s="42"/>
      <c r="AR1007" s="3"/>
      <c r="AS1007" s="42"/>
      <c r="AT1007" s="3"/>
      <c r="AU1007" s="42"/>
      <c r="AV1007" s="3"/>
      <c r="AW1007" s="42"/>
      <c r="AX1007" s="3"/>
      <c r="AY1007" s="42"/>
      <c r="AZ1007" s="3"/>
      <c r="BA1007" s="77"/>
    </row>
    <row r="1008" spans="1:53" x14ac:dyDescent="0.25">
      <c r="A1008" s="3" t="s">
        <v>756</v>
      </c>
      <c r="B1008" s="3">
        <v>2000</v>
      </c>
      <c r="E1008" s="3">
        <f t="shared" si="511"/>
        <v>2000</v>
      </c>
      <c r="F1008" s="5">
        <v>2000</v>
      </c>
      <c r="H1008" s="5">
        <f t="shared" si="512"/>
        <v>0</v>
      </c>
      <c r="K1008" s="4">
        <f t="shared" si="504"/>
        <v>2000</v>
      </c>
      <c r="L1008" s="4">
        <v>2000</v>
      </c>
      <c r="N1008" s="4">
        <f t="shared" si="505"/>
        <v>0</v>
      </c>
      <c r="P1008" s="3"/>
      <c r="Q1008" s="3"/>
      <c r="R1008" s="3"/>
      <c r="S1008" s="3">
        <f t="shared" si="506"/>
        <v>0</v>
      </c>
      <c r="T1008" s="3"/>
      <c r="U1008" s="3">
        <f t="shared" si="507"/>
        <v>0</v>
      </c>
      <c r="V1008" s="3"/>
      <c r="W1008" s="3">
        <f t="shared" si="508"/>
        <v>0</v>
      </c>
      <c r="X1008" s="3"/>
      <c r="Y1008" s="3"/>
      <c r="Z1008" s="3">
        <f t="shared" si="503"/>
        <v>0</v>
      </c>
      <c r="AA1008" s="3"/>
      <c r="AB1008" s="3"/>
      <c r="AC1008" s="3"/>
      <c r="AD1008" s="3">
        <f t="shared" si="509"/>
        <v>7500</v>
      </c>
      <c r="AE1008" s="3">
        <v>7500</v>
      </c>
      <c r="AF1008" s="3">
        <f t="shared" si="510"/>
        <v>7500</v>
      </c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42"/>
      <c r="AR1008" s="3"/>
      <c r="AS1008" s="42"/>
      <c r="AT1008" s="3"/>
      <c r="AU1008" s="42"/>
      <c r="AV1008" s="3"/>
      <c r="AW1008" s="42"/>
      <c r="AX1008" s="3"/>
      <c r="AY1008" s="42"/>
      <c r="AZ1008" s="3"/>
    </row>
    <row r="1009" spans="1:53" s="77" customFormat="1" x14ac:dyDescent="0.25">
      <c r="A1009" s="3" t="s">
        <v>757</v>
      </c>
      <c r="B1009" s="3"/>
      <c r="C1009" s="3"/>
      <c r="D1009" s="29"/>
      <c r="E1009" s="3">
        <f t="shared" si="511"/>
        <v>0</v>
      </c>
      <c r="F1009" s="29"/>
      <c r="G1009" s="3"/>
      <c r="H1009" s="5">
        <f t="shared" si="512"/>
        <v>0</v>
      </c>
      <c r="I1009" s="5"/>
      <c r="J1009" s="5"/>
      <c r="K1009" s="4">
        <f t="shared" si="504"/>
        <v>0</v>
      </c>
      <c r="L1009" s="4"/>
      <c r="M1009" s="4"/>
      <c r="N1009" s="4">
        <f t="shared" si="505"/>
        <v>0</v>
      </c>
      <c r="O1009" s="3"/>
      <c r="P1009" s="3"/>
      <c r="Q1009" s="3"/>
      <c r="R1009" s="3"/>
      <c r="S1009" s="3">
        <f t="shared" si="506"/>
        <v>0</v>
      </c>
      <c r="T1009" s="3"/>
      <c r="U1009" s="3">
        <f t="shared" si="507"/>
        <v>0</v>
      </c>
      <c r="V1009" s="3"/>
      <c r="W1009" s="3">
        <f t="shared" si="508"/>
        <v>0</v>
      </c>
      <c r="X1009" s="3"/>
      <c r="Y1009" s="3"/>
      <c r="Z1009" s="3">
        <f t="shared" si="503"/>
        <v>0</v>
      </c>
      <c r="AA1009" s="3"/>
      <c r="AB1009" s="3"/>
      <c r="AC1009" s="3"/>
      <c r="AD1009" s="3">
        <f t="shared" si="509"/>
        <v>0</v>
      </c>
      <c r="AE1009" s="3"/>
      <c r="AF1009" s="3">
        <f t="shared" si="510"/>
        <v>0</v>
      </c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42"/>
      <c r="AR1009" s="3"/>
      <c r="AS1009" s="42"/>
      <c r="AT1009" s="3"/>
      <c r="AU1009" s="42"/>
      <c r="AV1009" s="3"/>
      <c r="AW1009" s="42"/>
      <c r="AX1009" s="3"/>
      <c r="AY1009" s="42"/>
      <c r="AZ1009" s="3"/>
    </row>
    <row r="1010" spans="1:53" x14ac:dyDescent="0.25">
      <c r="A1010" s="3" t="s">
        <v>758</v>
      </c>
      <c r="B1010" s="3"/>
      <c r="E1010" s="3">
        <f t="shared" si="511"/>
        <v>0</v>
      </c>
      <c r="H1010" s="5">
        <f t="shared" si="512"/>
        <v>0</v>
      </c>
      <c r="K1010" s="4">
        <f t="shared" si="504"/>
        <v>0</v>
      </c>
      <c r="L1010" s="4"/>
      <c r="N1010" s="4">
        <f t="shared" si="505"/>
        <v>0</v>
      </c>
      <c r="P1010" s="3"/>
      <c r="Q1010" s="3"/>
      <c r="R1010" s="3"/>
      <c r="S1010" s="3">
        <f t="shared" si="506"/>
        <v>0</v>
      </c>
      <c r="T1010" s="3"/>
      <c r="U1010" s="3">
        <f t="shared" si="507"/>
        <v>0</v>
      </c>
      <c r="V1010" s="3"/>
      <c r="W1010" s="3">
        <f t="shared" si="508"/>
        <v>0</v>
      </c>
      <c r="X1010" s="3"/>
      <c r="Y1010" s="3"/>
      <c r="Z1010" s="3">
        <f t="shared" si="503"/>
        <v>0</v>
      </c>
      <c r="AA1010" s="3"/>
      <c r="AB1010" s="3"/>
      <c r="AC1010" s="3"/>
      <c r="AD1010" s="3">
        <f t="shared" si="509"/>
        <v>0</v>
      </c>
      <c r="AE1010" s="3"/>
      <c r="AF1010" s="3">
        <f t="shared" si="510"/>
        <v>0</v>
      </c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42"/>
      <c r="AR1010" s="3"/>
      <c r="AS1010" s="42"/>
      <c r="AT1010" s="3"/>
      <c r="AU1010" s="42"/>
      <c r="AV1010" s="3"/>
      <c r="AW1010" s="42"/>
      <c r="AX1010" s="3"/>
      <c r="AY1010" s="42"/>
      <c r="AZ1010" s="3"/>
    </row>
    <row r="1011" spans="1:53" s="77" customFormat="1" x14ac:dyDescent="0.25">
      <c r="A1011" s="3" t="s">
        <v>759</v>
      </c>
      <c r="B1011" s="3"/>
      <c r="C1011" s="3"/>
      <c r="D1011" s="29"/>
      <c r="E1011" s="3">
        <f t="shared" si="511"/>
        <v>0</v>
      </c>
      <c r="F1011" s="29"/>
      <c r="G1011" s="3"/>
      <c r="H1011" s="5">
        <f t="shared" si="512"/>
        <v>0</v>
      </c>
      <c r="I1011" s="5"/>
      <c r="J1011" s="5"/>
      <c r="K1011" s="4">
        <f t="shared" si="504"/>
        <v>0</v>
      </c>
      <c r="L1011" s="4"/>
      <c r="M1011" s="4"/>
      <c r="N1011" s="4">
        <f t="shared" si="505"/>
        <v>0</v>
      </c>
      <c r="O1011" s="3"/>
      <c r="P1011" s="3"/>
      <c r="Q1011" s="3"/>
      <c r="R1011" s="3"/>
      <c r="S1011" s="3">
        <f t="shared" si="506"/>
        <v>0</v>
      </c>
      <c r="T1011" s="3"/>
      <c r="U1011" s="3">
        <f t="shared" si="507"/>
        <v>0</v>
      </c>
      <c r="V1011" s="3"/>
      <c r="W1011" s="3">
        <f t="shared" si="508"/>
        <v>0</v>
      </c>
      <c r="X1011" s="3"/>
      <c r="Y1011" s="3"/>
      <c r="Z1011" s="3">
        <f t="shared" si="503"/>
        <v>0</v>
      </c>
      <c r="AA1011" s="3"/>
      <c r="AB1011" s="3"/>
      <c r="AC1011" s="3"/>
      <c r="AD1011" s="3">
        <f t="shared" si="509"/>
        <v>0</v>
      </c>
      <c r="AE1011" s="3"/>
      <c r="AF1011" s="3">
        <f t="shared" si="510"/>
        <v>0</v>
      </c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42"/>
      <c r="AR1011" s="3"/>
      <c r="AS1011" s="42"/>
      <c r="AT1011" s="3"/>
      <c r="AU1011" s="42"/>
      <c r="AV1011" s="3"/>
      <c r="AW1011" s="42"/>
      <c r="AX1011" s="3"/>
      <c r="AY1011" s="42"/>
      <c r="AZ1011" s="3"/>
    </row>
    <row r="1012" spans="1:53" x14ac:dyDescent="0.25">
      <c r="A1012" s="3" t="s">
        <v>760</v>
      </c>
      <c r="B1012" s="3"/>
      <c r="E1012" s="3">
        <f t="shared" si="511"/>
        <v>0</v>
      </c>
      <c r="H1012" s="5">
        <f t="shared" si="512"/>
        <v>0</v>
      </c>
      <c r="K1012" s="4">
        <f t="shared" si="504"/>
        <v>0</v>
      </c>
      <c r="L1012" s="4"/>
      <c r="N1012" s="4">
        <f t="shared" si="505"/>
        <v>0</v>
      </c>
      <c r="P1012" s="3"/>
      <c r="Q1012" s="3"/>
      <c r="R1012" s="3"/>
      <c r="S1012" s="3">
        <f t="shared" si="506"/>
        <v>0</v>
      </c>
      <c r="T1012" s="3"/>
      <c r="U1012" s="3">
        <f t="shared" si="507"/>
        <v>0</v>
      </c>
      <c r="V1012" s="3"/>
      <c r="W1012" s="3">
        <f t="shared" si="508"/>
        <v>0</v>
      </c>
      <c r="X1012" s="3"/>
      <c r="Y1012" s="3"/>
      <c r="Z1012" s="3">
        <f t="shared" si="503"/>
        <v>0</v>
      </c>
      <c r="AA1012" s="3"/>
      <c r="AB1012" s="3"/>
      <c r="AC1012" s="3"/>
      <c r="AD1012" s="3">
        <f t="shared" si="509"/>
        <v>0</v>
      </c>
      <c r="AE1012" s="3"/>
      <c r="AF1012" s="3">
        <f t="shared" si="510"/>
        <v>0</v>
      </c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42"/>
      <c r="AR1012" s="3"/>
      <c r="AS1012" s="42"/>
      <c r="AT1012" s="3"/>
      <c r="AU1012" s="42"/>
      <c r="AV1012" s="3"/>
      <c r="AW1012" s="42"/>
      <c r="AX1012" s="3"/>
      <c r="AY1012" s="42"/>
      <c r="AZ1012" s="3"/>
    </row>
    <row r="1013" spans="1:53" s="77" customFormat="1" x14ac:dyDescent="0.25">
      <c r="A1013" s="3" t="s">
        <v>761</v>
      </c>
      <c r="B1013" s="3"/>
      <c r="C1013" s="3"/>
      <c r="D1013" s="29"/>
      <c r="E1013" s="3">
        <f t="shared" si="511"/>
        <v>0</v>
      </c>
      <c r="F1013" s="29"/>
      <c r="G1013" s="3"/>
      <c r="H1013" s="5">
        <f t="shared" si="512"/>
        <v>0</v>
      </c>
      <c r="I1013" s="5"/>
      <c r="J1013" s="5"/>
      <c r="K1013" s="4">
        <f t="shared" si="504"/>
        <v>0</v>
      </c>
      <c r="L1013" s="4"/>
      <c r="M1013" s="4"/>
      <c r="N1013" s="4">
        <f t="shared" si="505"/>
        <v>0</v>
      </c>
      <c r="O1013" s="3"/>
      <c r="P1013" s="3"/>
      <c r="Q1013" s="3"/>
      <c r="R1013" s="3"/>
      <c r="S1013" s="3">
        <f t="shared" si="506"/>
        <v>0</v>
      </c>
      <c r="T1013" s="3"/>
      <c r="U1013" s="3">
        <f t="shared" si="507"/>
        <v>0</v>
      </c>
      <c r="V1013" s="3"/>
      <c r="W1013" s="3">
        <f t="shared" si="508"/>
        <v>0</v>
      </c>
      <c r="X1013" s="3"/>
      <c r="Y1013" s="3"/>
      <c r="Z1013" s="3">
        <f t="shared" si="503"/>
        <v>0</v>
      </c>
      <c r="AA1013" s="3"/>
      <c r="AB1013" s="3"/>
      <c r="AC1013" s="3"/>
      <c r="AD1013" s="3">
        <f t="shared" si="509"/>
        <v>0</v>
      </c>
      <c r="AE1013" s="3"/>
      <c r="AF1013" s="3">
        <f t="shared" si="510"/>
        <v>0</v>
      </c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42"/>
      <c r="AR1013" s="3"/>
      <c r="AS1013" s="42"/>
      <c r="AT1013" s="3"/>
      <c r="AU1013" s="42"/>
      <c r="AV1013" s="3"/>
      <c r="AW1013" s="42"/>
      <c r="AX1013" s="3"/>
      <c r="AY1013" s="42"/>
      <c r="AZ1013" s="3"/>
      <c r="BA1013" s="6"/>
    </row>
    <row r="1014" spans="1:53" x14ac:dyDescent="0.25">
      <c r="A1014" s="3" t="s">
        <v>762</v>
      </c>
      <c r="B1014" s="3"/>
      <c r="E1014" s="3">
        <f t="shared" si="511"/>
        <v>0</v>
      </c>
      <c r="H1014" s="5">
        <f t="shared" si="512"/>
        <v>0</v>
      </c>
      <c r="K1014" s="4">
        <f t="shared" si="504"/>
        <v>0</v>
      </c>
      <c r="L1014" s="4"/>
      <c r="N1014" s="4">
        <f t="shared" si="505"/>
        <v>0</v>
      </c>
      <c r="P1014" s="3">
        <v>2500</v>
      </c>
      <c r="Q1014" s="3"/>
      <c r="R1014" s="3"/>
      <c r="S1014" s="3">
        <f t="shared" si="506"/>
        <v>2500</v>
      </c>
      <c r="T1014" s="3">
        <v>2500</v>
      </c>
      <c r="U1014" s="3">
        <f t="shared" si="507"/>
        <v>0</v>
      </c>
      <c r="V1014" s="3"/>
      <c r="W1014" s="3">
        <f t="shared" si="508"/>
        <v>2500</v>
      </c>
      <c r="X1014" s="3"/>
      <c r="Y1014" s="3">
        <v>2500</v>
      </c>
      <c r="Z1014" s="3">
        <f t="shared" si="503"/>
        <v>0</v>
      </c>
      <c r="AA1014" s="3"/>
      <c r="AB1014" s="3"/>
      <c r="AC1014" s="3"/>
      <c r="AD1014" s="3">
        <f t="shared" si="509"/>
        <v>500</v>
      </c>
      <c r="AE1014" s="3">
        <v>500</v>
      </c>
      <c r="AF1014" s="3">
        <f t="shared" si="510"/>
        <v>-2000</v>
      </c>
      <c r="AG1014" s="3"/>
      <c r="AH1014" s="3"/>
      <c r="AI1014" s="3"/>
      <c r="AJ1014" s="3"/>
      <c r="AK1014" s="3"/>
      <c r="AL1014" s="3"/>
      <c r="AM1014" s="3"/>
      <c r="AN1014" s="3">
        <v>2500</v>
      </c>
      <c r="AO1014" s="3"/>
      <c r="AP1014" s="3"/>
      <c r="AQ1014" s="42"/>
      <c r="AR1014" s="3"/>
      <c r="AS1014" s="42"/>
      <c r="AT1014" s="3"/>
      <c r="AU1014" s="42"/>
      <c r="AV1014" s="3"/>
      <c r="AW1014" s="42"/>
      <c r="AX1014" s="3"/>
      <c r="AY1014" s="42"/>
      <c r="AZ1014" s="3"/>
    </row>
    <row r="1015" spans="1:53" x14ac:dyDescent="0.25">
      <c r="A1015" s="3" t="s">
        <v>763</v>
      </c>
      <c r="B1015" s="3"/>
      <c r="E1015" s="3">
        <f t="shared" si="511"/>
        <v>0</v>
      </c>
      <c r="H1015" s="5">
        <f t="shared" si="512"/>
        <v>0</v>
      </c>
      <c r="K1015" s="4">
        <f t="shared" si="504"/>
        <v>0</v>
      </c>
      <c r="L1015" s="4"/>
      <c r="N1015" s="4">
        <f t="shared" si="505"/>
        <v>0</v>
      </c>
      <c r="P1015" s="3"/>
      <c r="Q1015" s="3"/>
      <c r="R1015" s="3"/>
      <c r="S1015" s="3">
        <f t="shared" si="506"/>
        <v>0</v>
      </c>
      <c r="T1015" s="3"/>
      <c r="U1015" s="3">
        <f t="shared" si="507"/>
        <v>0</v>
      </c>
      <c r="V1015" s="3"/>
      <c r="W1015" s="3">
        <f t="shared" si="508"/>
        <v>0</v>
      </c>
      <c r="X1015" s="3"/>
      <c r="Y1015" s="3"/>
      <c r="Z1015" s="3">
        <f t="shared" si="503"/>
        <v>0</v>
      </c>
      <c r="AA1015" s="3"/>
      <c r="AB1015" s="3"/>
      <c r="AC1015" s="3"/>
      <c r="AD1015" s="3">
        <f t="shared" si="509"/>
        <v>0</v>
      </c>
      <c r="AE1015" s="3"/>
      <c r="AF1015" s="3">
        <f t="shared" si="510"/>
        <v>0</v>
      </c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42"/>
      <c r="AR1015" s="3"/>
      <c r="AS1015" s="42"/>
      <c r="AT1015" s="3"/>
      <c r="AU1015" s="42"/>
      <c r="AV1015" s="3"/>
      <c r="AW1015" s="42"/>
      <c r="AX1015" s="3"/>
      <c r="AY1015" s="42"/>
      <c r="AZ1015" s="3"/>
      <c r="BA1015" s="77"/>
    </row>
    <row r="1016" spans="1:53" x14ac:dyDescent="0.25">
      <c r="A1016" s="3" t="s">
        <v>764</v>
      </c>
      <c r="B1016" s="3"/>
      <c r="E1016" s="3">
        <f t="shared" si="511"/>
        <v>0</v>
      </c>
      <c r="H1016" s="5">
        <f t="shared" si="512"/>
        <v>0</v>
      </c>
      <c r="K1016" s="4">
        <f t="shared" si="504"/>
        <v>0</v>
      </c>
      <c r="L1016" s="4"/>
      <c r="N1016" s="4">
        <f t="shared" si="505"/>
        <v>0</v>
      </c>
      <c r="P1016" s="3"/>
      <c r="Q1016" s="3"/>
      <c r="R1016" s="3"/>
      <c r="S1016" s="3">
        <f t="shared" si="506"/>
        <v>0</v>
      </c>
      <c r="T1016" s="3"/>
      <c r="U1016" s="3">
        <f t="shared" si="507"/>
        <v>0</v>
      </c>
      <c r="V1016" s="3"/>
      <c r="W1016" s="3">
        <f t="shared" si="508"/>
        <v>0</v>
      </c>
      <c r="X1016" s="3"/>
      <c r="Y1016" s="3"/>
      <c r="Z1016" s="3">
        <f t="shared" si="503"/>
        <v>0</v>
      </c>
      <c r="AA1016" s="3"/>
      <c r="AB1016" s="3"/>
      <c r="AC1016" s="3"/>
      <c r="AD1016" s="3">
        <f t="shared" si="509"/>
        <v>0</v>
      </c>
      <c r="AE1016" s="3"/>
      <c r="AF1016" s="3">
        <f t="shared" si="510"/>
        <v>0</v>
      </c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42"/>
      <c r="AR1016" s="3"/>
      <c r="AS1016" s="42"/>
      <c r="AT1016" s="3"/>
      <c r="AU1016" s="42"/>
      <c r="AV1016" s="3"/>
      <c r="AW1016" s="42"/>
      <c r="AX1016" s="3"/>
      <c r="AY1016" s="42"/>
      <c r="AZ1016" s="3"/>
    </row>
    <row r="1017" spans="1:53" s="77" customFormat="1" x14ac:dyDescent="0.25">
      <c r="A1017" s="3" t="s">
        <v>765</v>
      </c>
      <c r="B1017" s="3"/>
      <c r="C1017" s="3"/>
      <c r="D1017" s="29"/>
      <c r="E1017" s="3">
        <f t="shared" si="511"/>
        <v>0</v>
      </c>
      <c r="F1017" s="29"/>
      <c r="G1017" s="3"/>
      <c r="H1017" s="5">
        <f t="shared" si="512"/>
        <v>0</v>
      </c>
      <c r="I1017" s="5"/>
      <c r="J1017" s="5"/>
      <c r="K1017" s="4">
        <f t="shared" si="504"/>
        <v>0</v>
      </c>
      <c r="L1017" s="4"/>
      <c r="M1017" s="4"/>
      <c r="N1017" s="4">
        <f t="shared" si="505"/>
        <v>0</v>
      </c>
      <c r="O1017" s="3"/>
      <c r="P1017" s="3"/>
      <c r="Q1017" s="3"/>
      <c r="R1017" s="3"/>
      <c r="S1017" s="3">
        <f t="shared" si="506"/>
        <v>0</v>
      </c>
      <c r="T1017" s="3"/>
      <c r="U1017" s="3">
        <f t="shared" si="507"/>
        <v>0</v>
      </c>
      <c r="V1017" s="3"/>
      <c r="W1017" s="3">
        <f t="shared" si="508"/>
        <v>0</v>
      </c>
      <c r="X1017" s="3"/>
      <c r="Y1017" s="3"/>
      <c r="Z1017" s="3">
        <f t="shared" si="503"/>
        <v>0</v>
      </c>
      <c r="AA1017" s="3"/>
      <c r="AB1017" s="3"/>
      <c r="AC1017" s="3"/>
      <c r="AD1017" s="3">
        <f t="shared" si="509"/>
        <v>0</v>
      </c>
      <c r="AE1017" s="3"/>
      <c r="AF1017" s="3">
        <f t="shared" si="510"/>
        <v>0</v>
      </c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42"/>
      <c r="AR1017" s="3"/>
      <c r="AS1017" s="42"/>
      <c r="AT1017" s="3"/>
      <c r="AU1017" s="42"/>
      <c r="AV1017" s="3"/>
      <c r="AW1017" s="42"/>
      <c r="AX1017" s="3"/>
      <c r="AY1017" s="42"/>
      <c r="AZ1017" s="3"/>
    </row>
    <row r="1018" spans="1:53" x14ac:dyDescent="0.25">
      <c r="A1018" s="3" t="s">
        <v>766</v>
      </c>
      <c r="B1018" s="3"/>
      <c r="D1018" s="3"/>
      <c r="E1018" s="3">
        <f t="shared" si="511"/>
        <v>0</v>
      </c>
      <c r="F1018" s="3"/>
      <c r="H1018" s="5">
        <f t="shared" si="512"/>
        <v>0</v>
      </c>
      <c r="K1018" s="4">
        <f t="shared" si="504"/>
        <v>0</v>
      </c>
      <c r="L1018" s="4"/>
      <c r="N1018" s="4">
        <f t="shared" si="505"/>
        <v>0</v>
      </c>
      <c r="P1018" s="3">
        <v>40000</v>
      </c>
      <c r="Q1018" s="3"/>
      <c r="R1018" s="3"/>
      <c r="S1018" s="3">
        <f t="shared" si="506"/>
        <v>40000</v>
      </c>
      <c r="T1018" s="3">
        <v>40000</v>
      </c>
      <c r="U1018" s="3">
        <f t="shared" si="507"/>
        <v>0</v>
      </c>
      <c r="V1018" s="3"/>
      <c r="W1018" s="3">
        <f t="shared" si="508"/>
        <v>40000</v>
      </c>
      <c r="X1018" s="3"/>
      <c r="Y1018" s="3">
        <v>40000</v>
      </c>
      <c r="Z1018" s="3">
        <f t="shared" si="503"/>
        <v>0</v>
      </c>
      <c r="AA1018" s="3"/>
      <c r="AB1018" s="3"/>
      <c r="AC1018" s="3">
        <v>9592</v>
      </c>
      <c r="AD1018" s="3">
        <f t="shared" si="509"/>
        <v>30408</v>
      </c>
      <c r="AE1018" s="3">
        <v>40000</v>
      </c>
      <c r="AF1018" s="3">
        <f t="shared" si="510"/>
        <v>0</v>
      </c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42"/>
      <c r="AR1018" s="3"/>
      <c r="AS1018" s="42"/>
      <c r="AT1018" s="3"/>
      <c r="AU1018" s="42"/>
      <c r="AV1018" s="3"/>
      <c r="AW1018" s="42"/>
      <c r="AX1018" s="3"/>
      <c r="AY1018" s="42"/>
      <c r="AZ1018" s="3"/>
    </row>
    <row r="1019" spans="1:53" s="77" customFormat="1" x14ac:dyDescent="0.25">
      <c r="A1019" s="3" t="s">
        <v>767</v>
      </c>
      <c r="B1019" s="3"/>
      <c r="C1019" s="3"/>
      <c r="D1019" s="29"/>
      <c r="E1019" s="3">
        <f t="shared" si="511"/>
        <v>0</v>
      </c>
      <c r="F1019" s="29"/>
      <c r="G1019" s="3"/>
      <c r="H1019" s="5">
        <f t="shared" si="512"/>
        <v>0</v>
      </c>
      <c r="I1019" s="5"/>
      <c r="J1019" s="5"/>
      <c r="K1019" s="4">
        <f t="shared" si="504"/>
        <v>0</v>
      </c>
      <c r="L1019" s="4"/>
      <c r="M1019" s="4"/>
      <c r="N1019" s="4">
        <f t="shared" si="505"/>
        <v>0</v>
      </c>
      <c r="O1019" s="3"/>
      <c r="P1019" s="3"/>
      <c r="Q1019" s="3"/>
      <c r="R1019" s="3"/>
      <c r="S1019" s="3">
        <f t="shared" si="506"/>
        <v>0</v>
      </c>
      <c r="T1019" s="3"/>
      <c r="U1019" s="3">
        <f t="shared" si="507"/>
        <v>0</v>
      </c>
      <c r="V1019" s="3"/>
      <c r="W1019" s="3">
        <f t="shared" si="508"/>
        <v>0</v>
      </c>
      <c r="X1019" s="3"/>
      <c r="Y1019" s="3"/>
      <c r="Z1019" s="3">
        <f t="shared" si="503"/>
        <v>0</v>
      </c>
      <c r="AA1019" s="3"/>
      <c r="AB1019" s="3"/>
      <c r="AC1019" s="3"/>
      <c r="AD1019" s="3">
        <f t="shared" si="509"/>
        <v>0</v>
      </c>
      <c r="AE1019" s="3"/>
      <c r="AF1019" s="3">
        <f t="shared" si="510"/>
        <v>0</v>
      </c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42"/>
      <c r="AR1019" s="3"/>
      <c r="AS1019" s="42"/>
      <c r="AT1019" s="3"/>
      <c r="AU1019" s="42"/>
      <c r="AV1019" s="3"/>
      <c r="AW1019" s="42"/>
      <c r="AX1019" s="3"/>
      <c r="AY1019" s="42"/>
      <c r="AZ1019" s="3"/>
    </row>
    <row r="1020" spans="1:53" x14ac:dyDescent="0.25">
      <c r="A1020" s="3" t="s">
        <v>768</v>
      </c>
      <c r="B1020" s="3"/>
      <c r="E1020" s="3">
        <f t="shared" si="511"/>
        <v>0</v>
      </c>
      <c r="H1020" s="5">
        <f t="shared" si="512"/>
        <v>0</v>
      </c>
      <c r="K1020" s="4">
        <f t="shared" si="504"/>
        <v>0</v>
      </c>
      <c r="L1020" s="4"/>
      <c r="N1020" s="4">
        <f t="shared" si="505"/>
        <v>0</v>
      </c>
      <c r="P1020" s="3"/>
      <c r="Q1020" s="3"/>
      <c r="R1020" s="3"/>
      <c r="S1020" s="3">
        <f t="shared" si="506"/>
        <v>0</v>
      </c>
      <c r="T1020" s="3"/>
      <c r="U1020" s="3">
        <f t="shared" si="507"/>
        <v>0</v>
      </c>
      <c r="V1020" s="3"/>
      <c r="W1020" s="3">
        <f t="shared" si="508"/>
        <v>0</v>
      </c>
      <c r="X1020" s="3"/>
      <c r="Y1020" s="3"/>
      <c r="Z1020" s="3">
        <f t="shared" si="503"/>
        <v>0</v>
      </c>
      <c r="AA1020" s="3"/>
      <c r="AB1020" s="3"/>
      <c r="AC1020" s="3"/>
      <c r="AD1020" s="3">
        <f t="shared" si="509"/>
        <v>0</v>
      </c>
      <c r="AE1020" s="3"/>
      <c r="AF1020" s="3">
        <f t="shared" si="510"/>
        <v>0</v>
      </c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42"/>
      <c r="AR1020" s="3"/>
      <c r="AS1020" s="42"/>
      <c r="AT1020" s="3"/>
      <c r="AU1020" s="42"/>
      <c r="AV1020" s="3"/>
      <c r="AW1020" s="42"/>
      <c r="AX1020" s="3"/>
      <c r="AY1020" s="42"/>
      <c r="AZ1020" s="3"/>
    </row>
    <row r="1021" spans="1:53" s="77" customFormat="1" x14ac:dyDescent="0.25">
      <c r="A1021" s="3" t="s">
        <v>769</v>
      </c>
      <c r="B1021" s="3"/>
      <c r="C1021" s="3"/>
      <c r="D1021" s="29"/>
      <c r="E1021" s="3">
        <f t="shared" si="511"/>
        <v>0</v>
      </c>
      <c r="F1021" s="29"/>
      <c r="G1021" s="3"/>
      <c r="H1021" s="5">
        <f t="shared" si="512"/>
        <v>0</v>
      </c>
      <c r="I1021" s="5"/>
      <c r="J1021" s="5"/>
      <c r="K1021" s="4">
        <f t="shared" si="504"/>
        <v>0</v>
      </c>
      <c r="L1021" s="4"/>
      <c r="M1021" s="4"/>
      <c r="N1021" s="4">
        <f t="shared" si="505"/>
        <v>0</v>
      </c>
      <c r="O1021" s="3"/>
      <c r="P1021" s="3"/>
      <c r="Q1021" s="3"/>
      <c r="R1021" s="3"/>
      <c r="S1021" s="3">
        <f t="shared" si="506"/>
        <v>0</v>
      </c>
      <c r="T1021" s="3"/>
      <c r="U1021" s="3">
        <f t="shared" si="507"/>
        <v>0</v>
      </c>
      <c r="V1021" s="3"/>
      <c r="W1021" s="3">
        <f t="shared" si="508"/>
        <v>0</v>
      </c>
      <c r="X1021" s="3"/>
      <c r="Y1021" s="3"/>
      <c r="Z1021" s="3">
        <f t="shared" si="503"/>
        <v>0</v>
      </c>
      <c r="AA1021" s="3"/>
      <c r="AB1021" s="3"/>
      <c r="AC1021" s="3"/>
      <c r="AD1021" s="3">
        <f t="shared" si="509"/>
        <v>0</v>
      </c>
      <c r="AE1021" s="3"/>
      <c r="AF1021" s="3">
        <f t="shared" si="510"/>
        <v>0</v>
      </c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42"/>
      <c r="AR1021" s="3"/>
      <c r="AS1021" s="42"/>
      <c r="AT1021" s="3"/>
      <c r="AU1021" s="42"/>
      <c r="AV1021" s="3"/>
      <c r="AW1021" s="42"/>
      <c r="AX1021" s="3"/>
      <c r="AY1021" s="42"/>
      <c r="AZ1021" s="3"/>
      <c r="BA1021" s="6"/>
    </row>
    <row r="1022" spans="1:53" x14ac:dyDescent="0.25">
      <c r="A1022" s="3" t="s">
        <v>770</v>
      </c>
      <c r="B1022" s="3">
        <v>10000</v>
      </c>
      <c r="E1022" s="3">
        <f t="shared" si="511"/>
        <v>10000</v>
      </c>
      <c r="F1022" s="5">
        <v>10000</v>
      </c>
      <c r="H1022" s="5">
        <f t="shared" si="512"/>
        <v>0</v>
      </c>
      <c r="J1022" s="5">
        <v>0</v>
      </c>
      <c r="K1022" s="4">
        <f t="shared" si="504"/>
        <v>10000</v>
      </c>
      <c r="L1022" s="4">
        <v>10000</v>
      </c>
      <c r="N1022" s="4">
        <f t="shared" si="505"/>
        <v>0</v>
      </c>
      <c r="P1022" s="3">
        <v>10000</v>
      </c>
      <c r="Q1022" s="3"/>
      <c r="R1022" s="3"/>
      <c r="S1022" s="3">
        <f t="shared" si="506"/>
        <v>10000</v>
      </c>
      <c r="T1022" s="3">
        <v>10000</v>
      </c>
      <c r="U1022" s="3">
        <f t="shared" si="507"/>
        <v>0</v>
      </c>
      <c r="V1022" s="3"/>
      <c r="W1022" s="3">
        <f t="shared" si="508"/>
        <v>10000</v>
      </c>
      <c r="X1022" s="3"/>
      <c r="Y1022" s="3">
        <v>10000</v>
      </c>
      <c r="Z1022" s="3">
        <f t="shared" si="503"/>
        <v>0</v>
      </c>
      <c r="AA1022" s="3"/>
      <c r="AB1022" s="3"/>
      <c r="AC1022" s="3"/>
      <c r="AD1022" s="3">
        <f t="shared" si="509"/>
        <v>10000</v>
      </c>
      <c r="AE1022" s="3">
        <v>10000</v>
      </c>
      <c r="AF1022" s="3">
        <f t="shared" si="510"/>
        <v>0</v>
      </c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42"/>
      <c r="AR1022" s="3"/>
      <c r="AS1022" s="42"/>
      <c r="AT1022" s="3"/>
      <c r="AU1022" s="42"/>
      <c r="AV1022" s="3"/>
      <c r="AW1022" s="42"/>
      <c r="AX1022" s="3"/>
      <c r="AY1022" s="42"/>
      <c r="AZ1022" s="3"/>
      <c r="BA1022" s="77"/>
    </row>
    <row r="1023" spans="1:53" x14ac:dyDescent="0.25">
      <c r="A1023" s="3" t="s">
        <v>771</v>
      </c>
      <c r="B1023" s="3"/>
      <c r="E1023" s="3"/>
      <c r="K1023" s="4"/>
      <c r="L1023" s="4"/>
      <c r="N1023" s="4"/>
      <c r="P1023" s="3"/>
      <c r="Q1023" s="3"/>
      <c r="R1023" s="3"/>
      <c r="S1023" s="3"/>
      <c r="T1023" s="3"/>
      <c r="U1023" s="3"/>
      <c r="V1023" s="3"/>
      <c r="W1023" s="3"/>
      <c r="X1023" s="3"/>
      <c r="Y1023" s="3">
        <v>0</v>
      </c>
      <c r="Z1023" s="3">
        <f>Y1023-T1023</f>
        <v>0</v>
      </c>
      <c r="AA1023" s="3"/>
      <c r="AB1023" s="3"/>
      <c r="AC1023" s="3">
        <v>3045</v>
      </c>
      <c r="AD1023" s="3">
        <f>AE1023-AC1023</f>
        <v>0</v>
      </c>
      <c r="AE1023" s="3">
        <v>3045</v>
      </c>
      <c r="AF1023" s="3">
        <f>AE1023-Y1023</f>
        <v>3045</v>
      </c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42"/>
      <c r="AR1023" s="3"/>
      <c r="AS1023" s="42"/>
      <c r="AT1023" s="3"/>
      <c r="AU1023" s="42"/>
      <c r="AV1023" s="3"/>
      <c r="AW1023" s="42"/>
      <c r="AX1023" s="3"/>
      <c r="AY1023" s="42"/>
      <c r="AZ1023" s="3"/>
    </row>
    <row r="1024" spans="1:53" s="77" customFormat="1" x14ac:dyDescent="0.25">
      <c r="A1024" s="3" t="s">
        <v>772</v>
      </c>
      <c r="B1024" s="3"/>
      <c r="C1024" s="3"/>
      <c r="D1024" s="29"/>
      <c r="E1024" s="3">
        <f t="shared" si="511"/>
        <v>0</v>
      </c>
      <c r="F1024" s="29"/>
      <c r="G1024" s="3"/>
      <c r="H1024" s="5">
        <f t="shared" si="512"/>
        <v>0</v>
      </c>
      <c r="I1024" s="5"/>
      <c r="J1024" s="5"/>
      <c r="K1024" s="4">
        <f t="shared" si="504"/>
        <v>0</v>
      </c>
      <c r="L1024" s="4"/>
      <c r="M1024" s="4"/>
      <c r="N1024" s="4">
        <f t="shared" si="505"/>
        <v>0</v>
      </c>
      <c r="O1024" s="3"/>
      <c r="P1024" s="3"/>
      <c r="Q1024" s="3"/>
      <c r="R1024" s="3"/>
      <c r="S1024" s="3">
        <f t="shared" si="506"/>
        <v>0</v>
      </c>
      <c r="T1024" s="3"/>
      <c r="U1024" s="3">
        <f t="shared" si="507"/>
        <v>0</v>
      </c>
      <c r="V1024" s="3"/>
      <c r="W1024" s="3">
        <f t="shared" si="508"/>
        <v>0</v>
      </c>
      <c r="X1024" s="3"/>
      <c r="Y1024" s="3"/>
      <c r="Z1024" s="3">
        <f t="shared" si="503"/>
        <v>0</v>
      </c>
      <c r="AA1024" s="3"/>
      <c r="AB1024" s="3"/>
      <c r="AC1024" s="3"/>
      <c r="AD1024" s="3">
        <f t="shared" si="509"/>
        <v>0</v>
      </c>
      <c r="AE1024" s="3"/>
      <c r="AF1024" s="3">
        <f t="shared" si="510"/>
        <v>0</v>
      </c>
      <c r="AG1024" s="3"/>
      <c r="AH1024" s="3"/>
      <c r="AI1024" s="3"/>
      <c r="AJ1024" s="3">
        <v>10000</v>
      </c>
      <c r="AK1024" s="3"/>
      <c r="AL1024" s="3">
        <v>10000</v>
      </c>
      <c r="AM1024" s="3"/>
      <c r="AN1024" s="3"/>
      <c r="AO1024" s="3"/>
      <c r="AP1024" s="3"/>
      <c r="AQ1024" s="42"/>
      <c r="AR1024" s="3"/>
      <c r="AS1024" s="42"/>
      <c r="AT1024" s="3"/>
      <c r="AU1024" s="42"/>
      <c r="AV1024" s="3"/>
      <c r="AW1024" s="42"/>
      <c r="AX1024" s="3"/>
      <c r="AY1024" s="42"/>
      <c r="AZ1024" s="3"/>
    </row>
    <row r="1025" spans="1:53" x14ac:dyDescent="0.25">
      <c r="A1025" s="3" t="s">
        <v>773</v>
      </c>
      <c r="B1025" s="3"/>
      <c r="E1025" s="3">
        <f t="shared" si="511"/>
        <v>0</v>
      </c>
      <c r="H1025" s="5">
        <f t="shared" si="512"/>
        <v>0</v>
      </c>
      <c r="K1025" s="4">
        <f t="shared" si="504"/>
        <v>0</v>
      </c>
      <c r="L1025" s="4"/>
      <c r="N1025" s="4">
        <f t="shared" si="505"/>
        <v>0</v>
      </c>
      <c r="P1025" s="3"/>
      <c r="Q1025" s="3"/>
      <c r="R1025" s="3"/>
      <c r="S1025" s="3">
        <f t="shared" si="506"/>
        <v>0</v>
      </c>
      <c r="T1025" s="3"/>
      <c r="U1025" s="3">
        <f t="shared" si="507"/>
        <v>0</v>
      </c>
      <c r="V1025" s="3"/>
      <c r="W1025" s="3">
        <f t="shared" si="508"/>
        <v>0</v>
      </c>
      <c r="X1025" s="3"/>
      <c r="Y1025" s="3"/>
      <c r="Z1025" s="3">
        <f t="shared" si="503"/>
        <v>0</v>
      </c>
      <c r="AA1025" s="3"/>
      <c r="AB1025" s="3"/>
      <c r="AC1025" s="3"/>
      <c r="AD1025" s="3">
        <f t="shared" si="509"/>
        <v>0</v>
      </c>
      <c r="AE1025" s="3"/>
      <c r="AF1025" s="3">
        <f t="shared" si="510"/>
        <v>0</v>
      </c>
      <c r="AG1025" s="3"/>
      <c r="AH1025" s="3"/>
      <c r="AI1025" s="3"/>
      <c r="AJ1025" s="3"/>
      <c r="AK1025" s="3"/>
      <c r="AL1025" s="3"/>
      <c r="AM1025" s="3"/>
      <c r="AN1025" s="3"/>
      <c r="AO1025" s="3"/>
      <c r="AP1025" s="3">
        <v>135000</v>
      </c>
      <c r="AQ1025" s="42"/>
      <c r="AR1025" s="3"/>
      <c r="AS1025" s="3"/>
      <c r="AT1025" s="3"/>
      <c r="AU1025" s="42"/>
      <c r="AV1025" s="3"/>
      <c r="AW1025" s="42"/>
      <c r="AX1025" s="3"/>
      <c r="AY1025" s="42"/>
      <c r="AZ1025" s="3"/>
    </row>
    <row r="1026" spans="1:53" s="77" customFormat="1" x14ac:dyDescent="0.25">
      <c r="A1026" s="3" t="s">
        <v>774</v>
      </c>
      <c r="B1026" s="3"/>
      <c r="C1026" s="3"/>
      <c r="D1026" s="29"/>
      <c r="E1026" s="3">
        <f t="shared" si="511"/>
        <v>0</v>
      </c>
      <c r="F1026" s="29"/>
      <c r="G1026" s="3"/>
      <c r="H1026" s="5">
        <f t="shared" si="512"/>
        <v>0</v>
      </c>
      <c r="I1026" s="5"/>
      <c r="J1026" s="5"/>
      <c r="K1026" s="4">
        <f t="shared" si="504"/>
        <v>0</v>
      </c>
      <c r="L1026" s="4"/>
      <c r="M1026" s="4"/>
      <c r="N1026" s="4">
        <f t="shared" si="505"/>
        <v>0</v>
      </c>
      <c r="O1026" s="3"/>
      <c r="P1026" s="3"/>
      <c r="Q1026" s="3"/>
      <c r="R1026" s="3"/>
      <c r="S1026" s="3">
        <f t="shared" si="506"/>
        <v>0</v>
      </c>
      <c r="T1026" s="3"/>
      <c r="U1026" s="3">
        <f t="shared" si="507"/>
        <v>0</v>
      </c>
      <c r="V1026" s="3"/>
      <c r="W1026" s="3">
        <f t="shared" si="508"/>
        <v>0</v>
      </c>
      <c r="X1026" s="3"/>
      <c r="Y1026" s="3"/>
      <c r="Z1026" s="3">
        <f t="shared" si="503"/>
        <v>0</v>
      </c>
      <c r="AA1026" s="3"/>
      <c r="AB1026" s="3"/>
      <c r="AC1026" s="3"/>
      <c r="AD1026" s="3">
        <f t="shared" si="509"/>
        <v>0</v>
      </c>
      <c r="AE1026" s="3"/>
      <c r="AF1026" s="3">
        <f t="shared" si="510"/>
        <v>0</v>
      </c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42"/>
      <c r="AR1026" s="3"/>
      <c r="AS1026" s="3"/>
      <c r="AT1026" s="3"/>
      <c r="AU1026" s="42"/>
      <c r="AV1026" s="3"/>
      <c r="AW1026" s="42"/>
      <c r="AX1026" s="3"/>
      <c r="AY1026" s="42"/>
      <c r="AZ1026" s="3"/>
    </row>
    <row r="1027" spans="1:53" x14ac:dyDescent="0.25">
      <c r="A1027" s="3" t="s">
        <v>775</v>
      </c>
      <c r="B1027" s="3"/>
      <c r="E1027" s="3">
        <f t="shared" si="511"/>
        <v>0</v>
      </c>
      <c r="H1027" s="5">
        <f t="shared" si="512"/>
        <v>0</v>
      </c>
      <c r="K1027" s="4">
        <f t="shared" si="504"/>
        <v>0</v>
      </c>
      <c r="L1027" s="4"/>
      <c r="N1027" s="4">
        <f t="shared" si="505"/>
        <v>0</v>
      </c>
      <c r="P1027" s="3"/>
      <c r="Q1027" s="3"/>
      <c r="R1027" s="3"/>
      <c r="S1027" s="3">
        <f t="shared" si="506"/>
        <v>0</v>
      </c>
      <c r="T1027" s="3"/>
      <c r="U1027" s="3">
        <f t="shared" si="507"/>
        <v>0</v>
      </c>
      <c r="V1027" s="3"/>
      <c r="W1027" s="3">
        <f t="shared" si="508"/>
        <v>0</v>
      </c>
      <c r="X1027" s="3"/>
      <c r="Y1027" s="3"/>
      <c r="Z1027" s="3">
        <f t="shared" si="503"/>
        <v>0</v>
      </c>
      <c r="AA1027" s="3"/>
      <c r="AB1027" s="3"/>
      <c r="AC1027" s="3"/>
      <c r="AD1027" s="3">
        <f t="shared" si="509"/>
        <v>0</v>
      </c>
      <c r="AE1027" s="3"/>
      <c r="AF1027" s="3">
        <f t="shared" si="510"/>
        <v>0</v>
      </c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42"/>
      <c r="AR1027" s="3"/>
      <c r="AS1027" s="42"/>
      <c r="AT1027" s="3"/>
      <c r="AU1027" s="42"/>
      <c r="AV1027" s="3"/>
      <c r="AW1027" s="42"/>
      <c r="AX1027" s="3"/>
      <c r="AY1027" s="42"/>
      <c r="AZ1027" s="3"/>
    </row>
    <row r="1028" spans="1:53" s="77" customFormat="1" x14ac:dyDescent="0.25">
      <c r="A1028" s="3" t="s">
        <v>776</v>
      </c>
      <c r="B1028" s="3"/>
      <c r="C1028" s="3"/>
      <c r="D1028" s="29"/>
      <c r="E1028" s="3">
        <f t="shared" si="511"/>
        <v>0</v>
      </c>
      <c r="F1028" s="29"/>
      <c r="G1028" s="3"/>
      <c r="H1028" s="5">
        <f t="shared" si="512"/>
        <v>0</v>
      </c>
      <c r="I1028" s="5"/>
      <c r="J1028" s="5"/>
      <c r="K1028" s="4">
        <f t="shared" si="504"/>
        <v>0</v>
      </c>
      <c r="L1028" s="4"/>
      <c r="M1028" s="4"/>
      <c r="N1028" s="4">
        <f t="shared" si="505"/>
        <v>0</v>
      </c>
      <c r="O1028" s="3"/>
      <c r="P1028" s="3"/>
      <c r="Q1028" s="3"/>
      <c r="R1028" s="3"/>
      <c r="S1028" s="3">
        <f t="shared" si="506"/>
        <v>0</v>
      </c>
      <c r="T1028" s="3"/>
      <c r="U1028" s="3">
        <f t="shared" si="507"/>
        <v>0</v>
      </c>
      <c r="V1028" s="3"/>
      <c r="W1028" s="3">
        <f t="shared" si="508"/>
        <v>0</v>
      </c>
      <c r="X1028" s="3"/>
      <c r="Y1028" s="3"/>
      <c r="Z1028" s="3">
        <f t="shared" si="503"/>
        <v>0</v>
      </c>
      <c r="AA1028" s="3"/>
      <c r="AB1028" s="3"/>
      <c r="AC1028" s="3"/>
      <c r="AD1028" s="3">
        <f t="shared" si="509"/>
        <v>0</v>
      </c>
      <c r="AE1028" s="3"/>
      <c r="AF1028" s="3">
        <f t="shared" si="510"/>
        <v>0</v>
      </c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42"/>
      <c r="AR1028" s="3"/>
      <c r="AS1028" s="42"/>
      <c r="AT1028" s="3"/>
      <c r="AU1028" s="42"/>
      <c r="AV1028" s="3"/>
      <c r="AW1028" s="42"/>
      <c r="AX1028" s="3"/>
      <c r="AY1028" s="42"/>
      <c r="AZ1028" s="3"/>
    </row>
    <row r="1029" spans="1:53" x14ac:dyDescent="0.25">
      <c r="A1029" s="3" t="s">
        <v>777</v>
      </c>
      <c r="B1029" s="3"/>
      <c r="E1029" s="3">
        <f t="shared" si="511"/>
        <v>0</v>
      </c>
      <c r="H1029" s="5">
        <f t="shared" si="512"/>
        <v>0</v>
      </c>
      <c r="K1029" s="4">
        <f t="shared" si="504"/>
        <v>0</v>
      </c>
      <c r="L1029" s="4"/>
      <c r="N1029" s="4">
        <f t="shared" si="505"/>
        <v>0</v>
      </c>
      <c r="P1029" s="3"/>
      <c r="Q1029" s="3"/>
      <c r="R1029" s="3"/>
      <c r="S1029" s="3">
        <f t="shared" si="506"/>
        <v>0</v>
      </c>
      <c r="T1029" s="3"/>
      <c r="U1029" s="3">
        <f t="shared" si="507"/>
        <v>0</v>
      </c>
      <c r="V1029" s="3"/>
      <c r="W1029" s="3">
        <f t="shared" si="508"/>
        <v>0</v>
      </c>
      <c r="X1029" s="3"/>
      <c r="Y1029" s="3"/>
      <c r="Z1029" s="3">
        <f t="shared" si="503"/>
        <v>0</v>
      </c>
      <c r="AA1029" s="3"/>
      <c r="AB1029" s="3"/>
      <c r="AC1029" s="3"/>
      <c r="AD1029" s="3">
        <f t="shared" si="509"/>
        <v>0</v>
      </c>
      <c r="AE1029" s="3"/>
      <c r="AF1029" s="3">
        <f t="shared" si="510"/>
        <v>0</v>
      </c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42"/>
      <c r="AR1029" s="3"/>
      <c r="AS1029" s="42"/>
      <c r="AT1029" s="3"/>
      <c r="AU1029" s="42"/>
      <c r="AV1029" s="3"/>
      <c r="AW1029" s="42"/>
      <c r="AX1029" s="3"/>
      <c r="AY1029" s="42"/>
      <c r="AZ1029" s="3"/>
      <c r="BA1029" s="77"/>
    </row>
    <row r="1030" spans="1:53" s="77" customFormat="1" x14ac:dyDescent="0.25">
      <c r="A1030" s="3" t="s">
        <v>778</v>
      </c>
      <c r="B1030" s="3"/>
      <c r="C1030" s="3"/>
      <c r="D1030" s="29"/>
      <c r="E1030" s="3">
        <f t="shared" si="511"/>
        <v>0</v>
      </c>
      <c r="F1030" s="29"/>
      <c r="G1030" s="3"/>
      <c r="H1030" s="5">
        <f t="shared" si="512"/>
        <v>0</v>
      </c>
      <c r="I1030" s="5"/>
      <c r="J1030" s="5"/>
      <c r="K1030" s="4">
        <f t="shared" si="504"/>
        <v>0</v>
      </c>
      <c r="L1030" s="4"/>
      <c r="M1030" s="4"/>
      <c r="N1030" s="4">
        <f t="shared" si="505"/>
        <v>0</v>
      </c>
      <c r="O1030" s="3"/>
      <c r="P1030" s="3"/>
      <c r="Q1030" s="3"/>
      <c r="R1030" s="3"/>
      <c r="S1030" s="3">
        <f t="shared" si="506"/>
        <v>0</v>
      </c>
      <c r="T1030" s="3"/>
      <c r="U1030" s="3">
        <f t="shared" si="507"/>
        <v>0</v>
      </c>
      <c r="V1030" s="3"/>
      <c r="W1030" s="3">
        <f t="shared" si="508"/>
        <v>0</v>
      </c>
      <c r="X1030" s="3"/>
      <c r="Y1030" s="3"/>
      <c r="Z1030" s="3">
        <f t="shared" si="503"/>
        <v>0</v>
      </c>
      <c r="AA1030" s="3"/>
      <c r="AB1030" s="3"/>
      <c r="AC1030" s="3"/>
      <c r="AD1030" s="3">
        <f t="shared" si="509"/>
        <v>0</v>
      </c>
      <c r="AE1030" s="3"/>
      <c r="AF1030" s="3">
        <f t="shared" si="510"/>
        <v>0</v>
      </c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42"/>
      <c r="AR1030" s="3"/>
      <c r="AS1030" s="42"/>
      <c r="AT1030" s="3"/>
      <c r="AU1030" s="42"/>
      <c r="AV1030" s="3"/>
      <c r="AW1030" s="42"/>
      <c r="AX1030" s="3"/>
      <c r="AY1030" s="42"/>
      <c r="AZ1030" s="3"/>
      <c r="BA1030" s="6"/>
    </row>
    <row r="1031" spans="1:53" s="77" customFormat="1" x14ac:dyDescent="0.25">
      <c r="A1031" s="3" t="s">
        <v>779</v>
      </c>
      <c r="B1031" s="3"/>
      <c r="C1031" s="3"/>
      <c r="D1031" s="29"/>
      <c r="E1031" s="3"/>
      <c r="F1031" s="29"/>
      <c r="G1031" s="3"/>
      <c r="H1031" s="5"/>
      <c r="I1031" s="5"/>
      <c r="J1031" s="5"/>
      <c r="K1031" s="4"/>
      <c r="L1031" s="4"/>
      <c r="M1031" s="4"/>
      <c r="N1031" s="4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>
        <v>30000</v>
      </c>
      <c r="AI1031" s="3"/>
      <c r="AJ1031" s="3"/>
      <c r="AK1031" s="3"/>
      <c r="AL1031" s="3"/>
      <c r="AM1031" s="3"/>
      <c r="AN1031" s="3"/>
      <c r="AO1031" s="3"/>
      <c r="AP1031" s="3"/>
      <c r="AQ1031" s="42"/>
      <c r="AR1031" s="3"/>
      <c r="AS1031" s="42"/>
      <c r="AT1031" s="3"/>
      <c r="AU1031" s="42"/>
      <c r="AV1031" s="3"/>
      <c r="AW1031" s="42"/>
      <c r="AX1031" s="3"/>
      <c r="AY1031" s="42"/>
      <c r="AZ1031" s="3"/>
    </row>
    <row r="1032" spans="1:53" x14ac:dyDescent="0.25">
      <c r="A1032" s="3" t="s">
        <v>780</v>
      </c>
      <c r="B1032" s="3"/>
      <c r="E1032" s="3">
        <f t="shared" si="511"/>
        <v>0</v>
      </c>
      <c r="H1032" s="5">
        <f t="shared" si="512"/>
        <v>0</v>
      </c>
      <c r="K1032" s="4">
        <f t="shared" si="504"/>
        <v>0</v>
      </c>
      <c r="L1032" s="4"/>
      <c r="N1032" s="4">
        <f t="shared" si="505"/>
        <v>0</v>
      </c>
      <c r="P1032" s="3"/>
      <c r="Q1032" s="3"/>
      <c r="R1032" s="3"/>
      <c r="S1032" s="3">
        <f t="shared" si="506"/>
        <v>0</v>
      </c>
      <c r="T1032" s="3"/>
      <c r="U1032" s="3">
        <f t="shared" si="507"/>
        <v>0</v>
      </c>
      <c r="V1032" s="3"/>
      <c r="W1032" s="3">
        <f t="shared" si="508"/>
        <v>0</v>
      </c>
      <c r="X1032" s="3"/>
      <c r="Y1032" s="3"/>
      <c r="Z1032" s="3">
        <f t="shared" si="503"/>
        <v>0</v>
      </c>
      <c r="AA1032" s="3"/>
      <c r="AB1032" s="3"/>
      <c r="AC1032" s="3"/>
      <c r="AD1032" s="3">
        <f t="shared" si="509"/>
        <v>0</v>
      </c>
      <c r="AE1032" s="3"/>
      <c r="AF1032" s="3">
        <f t="shared" si="510"/>
        <v>0</v>
      </c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42"/>
      <c r="AR1032" s="3"/>
      <c r="AS1032" s="42"/>
      <c r="AT1032" s="3"/>
      <c r="AU1032" s="42"/>
      <c r="AV1032" s="3"/>
      <c r="AW1032" s="42"/>
      <c r="AX1032" s="3"/>
      <c r="AY1032" s="42"/>
      <c r="AZ1032" s="3"/>
    </row>
    <row r="1033" spans="1:53" s="77" customFormat="1" x14ac:dyDescent="0.25">
      <c r="A1033" s="3" t="s">
        <v>781</v>
      </c>
      <c r="B1033" s="3">
        <v>368450</v>
      </c>
      <c r="C1033" s="3"/>
      <c r="D1033" s="29">
        <v>75077</v>
      </c>
      <c r="E1033" s="3">
        <f t="shared" si="511"/>
        <v>293373</v>
      </c>
      <c r="F1033" s="29">
        <v>368450</v>
      </c>
      <c r="G1033" s="3"/>
      <c r="H1033" s="5">
        <f t="shared" si="512"/>
        <v>0</v>
      </c>
      <c r="I1033" s="5"/>
      <c r="J1033" s="5">
        <v>175606</v>
      </c>
      <c r="K1033" s="4">
        <f t="shared" si="504"/>
        <v>192844</v>
      </c>
      <c r="L1033" s="4">
        <v>368450</v>
      </c>
      <c r="M1033" s="4"/>
      <c r="N1033" s="4">
        <f t="shared" si="505"/>
        <v>0</v>
      </c>
      <c r="O1033" s="3"/>
      <c r="P1033" s="3"/>
      <c r="Q1033" s="3"/>
      <c r="R1033" s="3">
        <v>47893</v>
      </c>
      <c r="S1033" s="3">
        <f t="shared" si="506"/>
        <v>62107</v>
      </c>
      <c r="T1033" s="3">
        <v>110000</v>
      </c>
      <c r="U1033" s="3">
        <f t="shared" si="507"/>
        <v>110000</v>
      </c>
      <c r="V1033" s="3">
        <v>81001</v>
      </c>
      <c r="W1033" s="3">
        <f t="shared" si="508"/>
        <v>28999</v>
      </c>
      <c r="X1033" s="3"/>
      <c r="Y1033" s="3">
        <v>110000</v>
      </c>
      <c r="Z1033" s="3">
        <f t="shared" si="503"/>
        <v>0</v>
      </c>
      <c r="AA1033" s="3"/>
      <c r="AB1033" s="3"/>
      <c r="AC1033" s="3">
        <v>110642</v>
      </c>
      <c r="AD1033" s="3">
        <f t="shared" si="509"/>
        <v>7358</v>
      </c>
      <c r="AE1033" s="3">
        <v>118000</v>
      </c>
      <c r="AF1033" s="3">
        <f t="shared" si="510"/>
        <v>8000</v>
      </c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42"/>
      <c r="AR1033" s="3"/>
      <c r="AS1033" s="42"/>
      <c r="AT1033" s="3"/>
      <c r="AU1033" s="42"/>
      <c r="AV1033" s="3"/>
      <c r="AW1033" s="42"/>
      <c r="AX1033" s="3"/>
      <c r="AY1033" s="42"/>
      <c r="AZ1033" s="3"/>
    </row>
    <row r="1034" spans="1:53" x14ac:dyDescent="0.25">
      <c r="A1034" s="3" t="s">
        <v>782</v>
      </c>
      <c r="B1034" s="3"/>
      <c r="E1034" s="3">
        <f t="shared" si="511"/>
        <v>0</v>
      </c>
      <c r="H1034" s="5">
        <f t="shared" si="512"/>
        <v>0</v>
      </c>
      <c r="K1034" s="4">
        <f t="shared" si="504"/>
        <v>0</v>
      </c>
      <c r="L1034" s="4"/>
      <c r="N1034" s="4">
        <f t="shared" si="505"/>
        <v>0</v>
      </c>
      <c r="P1034" s="3"/>
      <c r="Q1034" s="3"/>
      <c r="R1034" s="3"/>
      <c r="S1034" s="3">
        <f t="shared" si="506"/>
        <v>0</v>
      </c>
      <c r="T1034" s="3"/>
      <c r="U1034" s="3">
        <f t="shared" si="507"/>
        <v>0</v>
      </c>
      <c r="V1034" s="3"/>
      <c r="W1034" s="3">
        <f t="shared" si="508"/>
        <v>0</v>
      </c>
      <c r="X1034" s="3"/>
      <c r="Y1034" s="3"/>
      <c r="Z1034" s="3">
        <f t="shared" si="503"/>
        <v>0</v>
      </c>
      <c r="AA1034" s="3"/>
      <c r="AB1034" s="3"/>
      <c r="AC1034" s="3"/>
      <c r="AD1034" s="3">
        <f t="shared" si="509"/>
        <v>0</v>
      </c>
      <c r="AE1034" s="3"/>
      <c r="AF1034" s="3">
        <f t="shared" si="510"/>
        <v>0</v>
      </c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42"/>
      <c r="AR1034" s="3"/>
      <c r="AS1034" s="42"/>
      <c r="AT1034" s="3"/>
      <c r="AU1034" s="42"/>
      <c r="AV1034" s="3"/>
      <c r="AW1034" s="42"/>
      <c r="AX1034" s="3"/>
      <c r="AY1034" s="42"/>
      <c r="AZ1034" s="3"/>
    </row>
    <row r="1035" spans="1:53" s="77" customFormat="1" x14ac:dyDescent="0.25">
      <c r="A1035" s="3" t="s">
        <v>783</v>
      </c>
      <c r="B1035" s="3"/>
      <c r="C1035" s="3"/>
      <c r="D1035" s="29"/>
      <c r="E1035" s="3">
        <f t="shared" si="511"/>
        <v>0</v>
      </c>
      <c r="F1035" s="29"/>
      <c r="G1035" s="3"/>
      <c r="H1035" s="5">
        <f t="shared" si="512"/>
        <v>0</v>
      </c>
      <c r="I1035" s="5"/>
      <c r="J1035" s="5"/>
      <c r="K1035" s="4">
        <f t="shared" si="504"/>
        <v>0</v>
      </c>
      <c r="L1035" s="4"/>
      <c r="M1035" s="4"/>
      <c r="N1035" s="4">
        <f t="shared" si="505"/>
        <v>0</v>
      </c>
      <c r="O1035" s="3"/>
      <c r="P1035" s="3"/>
      <c r="Q1035" s="3"/>
      <c r="R1035" s="3"/>
      <c r="S1035" s="3">
        <f t="shared" si="506"/>
        <v>0</v>
      </c>
      <c r="T1035" s="3"/>
      <c r="U1035" s="3">
        <f t="shared" si="507"/>
        <v>0</v>
      </c>
      <c r="V1035" s="3"/>
      <c r="W1035" s="3">
        <f t="shared" si="508"/>
        <v>0</v>
      </c>
      <c r="X1035" s="3"/>
      <c r="Y1035" s="3"/>
      <c r="Z1035" s="3">
        <f t="shared" si="503"/>
        <v>0</v>
      </c>
      <c r="AA1035" s="3"/>
      <c r="AB1035" s="3"/>
      <c r="AC1035" s="3"/>
      <c r="AD1035" s="3">
        <f t="shared" si="509"/>
        <v>0</v>
      </c>
      <c r="AE1035" s="3"/>
      <c r="AF1035" s="3">
        <f t="shared" si="510"/>
        <v>0</v>
      </c>
      <c r="AG1035" s="3"/>
      <c r="AH1035" s="3">
        <v>5000</v>
      </c>
      <c r="AI1035" s="3"/>
      <c r="AJ1035" s="3"/>
      <c r="AK1035" s="3"/>
      <c r="AL1035" s="3"/>
      <c r="AM1035" s="3"/>
      <c r="AN1035" s="3"/>
      <c r="AO1035" s="3"/>
      <c r="AP1035" s="3"/>
      <c r="AQ1035" s="42"/>
      <c r="AR1035" s="3"/>
      <c r="AS1035" s="42"/>
      <c r="AT1035" s="3"/>
      <c r="AU1035" s="42"/>
      <c r="AV1035" s="3"/>
      <c r="AW1035" s="42"/>
      <c r="AX1035" s="3"/>
      <c r="AY1035" s="42"/>
      <c r="AZ1035" s="3"/>
      <c r="BA1035" s="6"/>
    </row>
    <row r="1036" spans="1:53" x14ac:dyDescent="0.25">
      <c r="A1036" s="3" t="s">
        <v>784</v>
      </c>
      <c r="B1036" s="3"/>
      <c r="E1036" s="3">
        <f t="shared" si="511"/>
        <v>0</v>
      </c>
      <c r="H1036" s="5">
        <f t="shared" si="512"/>
        <v>0</v>
      </c>
      <c r="K1036" s="4">
        <f t="shared" si="504"/>
        <v>0</v>
      </c>
      <c r="L1036" s="4"/>
      <c r="N1036" s="4">
        <f t="shared" si="505"/>
        <v>0</v>
      </c>
      <c r="P1036" s="3"/>
      <c r="Q1036" s="3"/>
      <c r="R1036" s="3"/>
      <c r="S1036" s="3">
        <f t="shared" si="506"/>
        <v>0</v>
      </c>
      <c r="T1036" s="3"/>
      <c r="U1036" s="3">
        <f t="shared" si="507"/>
        <v>0</v>
      </c>
      <c r="V1036" s="3"/>
      <c r="W1036" s="3">
        <f t="shared" si="508"/>
        <v>0</v>
      </c>
      <c r="X1036" s="3"/>
      <c r="Y1036" s="3"/>
      <c r="Z1036" s="3">
        <f t="shared" si="503"/>
        <v>0</v>
      </c>
      <c r="AA1036" s="3"/>
      <c r="AB1036" s="3"/>
      <c r="AC1036" s="3"/>
      <c r="AD1036" s="3">
        <f t="shared" si="509"/>
        <v>0</v>
      </c>
      <c r="AE1036" s="3"/>
      <c r="AF1036" s="3">
        <f t="shared" si="510"/>
        <v>0</v>
      </c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42"/>
      <c r="AR1036" s="3"/>
      <c r="AS1036" s="42"/>
      <c r="AT1036" s="3"/>
      <c r="AU1036" s="42"/>
      <c r="AV1036" s="3"/>
      <c r="AW1036" s="42"/>
      <c r="AX1036" s="3"/>
      <c r="AY1036" s="42"/>
      <c r="AZ1036" s="3"/>
    </row>
    <row r="1037" spans="1:53" x14ac:dyDescent="0.25">
      <c r="A1037" s="3" t="s">
        <v>785</v>
      </c>
      <c r="B1037" s="3"/>
      <c r="E1037" s="3">
        <f t="shared" si="511"/>
        <v>0</v>
      </c>
      <c r="H1037" s="5">
        <f t="shared" si="512"/>
        <v>0</v>
      </c>
      <c r="K1037" s="4">
        <f t="shared" si="504"/>
        <v>0</v>
      </c>
      <c r="L1037" s="4"/>
      <c r="N1037" s="4">
        <f t="shared" si="505"/>
        <v>0</v>
      </c>
      <c r="P1037" s="3"/>
      <c r="Q1037" s="3"/>
      <c r="R1037" s="3"/>
      <c r="S1037" s="3">
        <f t="shared" si="506"/>
        <v>0</v>
      </c>
      <c r="T1037" s="3"/>
      <c r="U1037" s="3">
        <f t="shared" si="507"/>
        <v>0</v>
      </c>
      <c r="V1037" s="3"/>
      <c r="W1037" s="3">
        <f t="shared" si="508"/>
        <v>0</v>
      </c>
      <c r="X1037" s="3"/>
      <c r="Y1037" s="3"/>
      <c r="Z1037" s="3">
        <f t="shared" si="503"/>
        <v>0</v>
      </c>
      <c r="AA1037" s="3"/>
      <c r="AB1037" s="3"/>
      <c r="AC1037" s="3"/>
      <c r="AD1037" s="3">
        <f t="shared" si="509"/>
        <v>0</v>
      </c>
      <c r="AE1037" s="3"/>
      <c r="AF1037" s="3">
        <f t="shared" si="510"/>
        <v>0</v>
      </c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42"/>
      <c r="AR1037" s="3"/>
      <c r="AS1037" s="42"/>
      <c r="AT1037" s="3"/>
      <c r="AU1037" s="42"/>
      <c r="AV1037" s="3"/>
      <c r="AW1037" s="42"/>
      <c r="AX1037" s="3"/>
      <c r="AY1037" s="42"/>
      <c r="AZ1037" s="3"/>
    </row>
    <row r="1038" spans="1:53" x14ac:dyDescent="0.25">
      <c r="A1038" s="3" t="s">
        <v>786</v>
      </c>
      <c r="B1038" s="3"/>
      <c r="E1038" s="3">
        <f t="shared" si="511"/>
        <v>0</v>
      </c>
      <c r="H1038" s="5">
        <f t="shared" si="512"/>
        <v>0</v>
      </c>
      <c r="K1038" s="4">
        <f t="shared" si="504"/>
        <v>0</v>
      </c>
      <c r="L1038" s="4"/>
      <c r="N1038" s="4">
        <f t="shared" si="505"/>
        <v>0</v>
      </c>
      <c r="P1038" s="3"/>
      <c r="Q1038" s="3"/>
      <c r="R1038" s="3"/>
      <c r="S1038" s="3">
        <f t="shared" si="506"/>
        <v>0</v>
      </c>
      <c r="T1038" s="3"/>
      <c r="U1038" s="3">
        <f t="shared" si="507"/>
        <v>0</v>
      </c>
      <c r="V1038" s="3"/>
      <c r="W1038" s="3">
        <f t="shared" si="508"/>
        <v>0</v>
      </c>
      <c r="X1038" s="3"/>
      <c r="Y1038" s="3"/>
      <c r="Z1038" s="3">
        <f t="shared" si="503"/>
        <v>0</v>
      </c>
      <c r="AA1038" s="3"/>
      <c r="AB1038" s="3"/>
      <c r="AC1038" s="3"/>
      <c r="AD1038" s="3">
        <f t="shared" si="509"/>
        <v>0</v>
      </c>
      <c r="AE1038" s="3"/>
      <c r="AF1038" s="3">
        <f t="shared" si="510"/>
        <v>0</v>
      </c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42"/>
      <c r="AR1038" s="3"/>
      <c r="AS1038" s="42"/>
      <c r="AT1038" s="3"/>
      <c r="AU1038" s="42"/>
      <c r="AV1038" s="3"/>
      <c r="AW1038" s="42"/>
      <c r="AX1038" s="3"/>
      <c r="AY1038" s="42"/>
      <c r="AZ1038" s="3"/>
    </row>
    <row r="1039" spans="1:53" x14ac:dyDescent="0.25">
      <c r="A1039" s="3" t="s">
        <v>787</v>
      </c>
      <c r="B1039" s="3"/>
      <c r="E1039" s="3">
        <f t="shared" si="511"/>
        <v>0</v>
      </c>
      <c r="H1039" s="5">
        <f t="shared" si="512"/>
        <v>0</v>
      </c>
      <c r="K1039" s="4">
        <f t="shared" si="504"/>
        <v>0</v>
      </c>
      <c r="L1039" s="4"/>
      <c r="N1039" s="4">
        <f t="shared" si="505"/>
        <v>0</v>
      </c>
      <c r="P1039" s="3"/>
      <c r="Q1039" s="3"/>
      <c r="R1039" s="3"/>
      <c r="S1039" s="3">
        <f t="shared" si="506"/>
        <v>0</v>
      </c>
      <c r="T1039" s="3"/>
      <c r="U1039" s="3">
        <f t="shared" si="507"/>
        <v>0</v>
      </c>
      <c r="V1039" s="3"/>
      <c r="W1039" s="3">
        <f t="shared" si="508"/>
        <v>0</v>
      </c>
      <c r="X1039" s="3"/>
      <c r="Y1039" s="3"/>
      <c r="Z1039" s="3">
        <f t="shared" si="503"/>
        <v>0</v>
      </c>
      <c r="AA1039" s="3"/>
      <c r="AB1039" s="3"/>
      <c r="AC1039" s="3"/>
      <c r="AD1039" s="3">
        <f t="shared" si="509"/>
        <v>0</v>
      </c>
      <c r="AE1039" s="3"/>
      <c r="AF1039" s="3">
        <f t="shared" si="510"/>
        <v>0</v>
      </c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42"/>
      <c r="AR1039" s="3"/>
      <c r="AS1039" s="42"/>
      <c r="AT1039" s="3"/>
      <c r="AU1039" s="42"/>
      <c r="AV1039" s="3"/>
      <c r="AW1039" s="42"/>
      <c r="AX1039" s="3"/>
      <c r="AY1039" s="42"/>
      <c r="AZ1039" s="3"/>
    </row>
    <row r="1040" spans="1:53" x14ac:dyDescent="0.25">
      <c r="A1040" s="3" t="s">
        <v>788</v>
      </c>
      <c r="B1040" s="3">
        <v>10000</v>
      </c>
      <c r="E1040" s="3">
        <f t="shared" si="511"/>
        <v>10000</v>
      </c>
      <c r="F1040" s="5">
        <v>10000</v>
      </c>
      <c r="H1040" s="5">
        <f t="shared" si="512"/>
        <v>0</v>
      </c>
      <c r="K1040" s="4">
        <f t="shared" si="504"/>
        <v>10000</v>
      </c>
      <c r="L1040" s="5">
        <v>10000</v>
      </c>
      <c r="N1040" s="4">
        <f t="shared" si="505"/>
        <v>0</v>
      </c>
      <c r="P1040" s="3"/>
      <c r="Q1040" s="3"/>
      <c r="R1040" s="3"/>
      <c r="S1040" s="3">
        <f t="shared" si="506"/>
        <v>0</v>
      </c>
      <c r="T1040" s="3"/>
      <c r="U1040" s="3">
        <f t="shared" si="507"/>
        <v>0</v>
      </c>
      <c r="V1040" s="3"/>
      <c r="W1040" s="3">
        <f t="shared" si="508"/>
        <v>0</v>
      </c>
      <c r="X1040" s="3"/>
      <c r="Y1040" s="3"/>
      <c r="Z1040" s="3">
        <f t="shared" si="503"/>
        <v>0</v>
      </c>
      <c r="AA1040" s="3"/>
      <c r="AB1040" s="3"/>
      <c r="AC1040" s="3"/>
      <c r="AD1040" s="3">
        <f t="shared" si="509"/>
        <v>0</v>
      </c>
      <c r="AE1040" s="3"/>
      <c r="AF1040" s="3">
        <f t="shared" si="510"/>
        <v>0</v>
      </c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42"/>
      <c r="AR1040" s="3"/>
      <c r="AS1040" s="42"/>
      <c r="AT1040" s="3"/>
      <c r="AU1040" s="42"/>
      <c r="AV1040" s="3"/>
      <c r="AW1040" s="42"/>
      <c r="AX1040" s="3"/>
      <c r="AY1040" s="42"/>
      <c r="AZ1040" s="3"/>
    </row>
    <row r="1041" spans="1:53" x14ac:dyDescent="0.25">
      <c r="A1041" s="3" t="s">
        <v>789</v>
      </c>
      <c r="B1041" s="3">
        <v>10000</v>
      </c>
      <c r="E1041" s="3">
        <f t="shared" si="511"/>
        <v>10000</v>
      </c>
      <c r="F1041" s="5">
        <v>10000</v>
      </c>
      <c r="H1041" s="5">
        <f t="shared" si="512"/>
        <v>0</v>
      </c>
      <c r="K1041" s="4">
        <f t="shared" si="504"/>
        <v>10000</v>
      </c>
      <c r="L1041" s="5">
        <v>10000</v>
      </c>
      <c r="N1041" s="4">
        <f t="shared" si="505"/>
        <v>0</v>
      </c>
      <c r="P1041" s="3"/>
      <c r="Q1041" s="3"/>
      <c r="R1041" s="3">
        <v>6466</v>
      </c>
      <c r="S1041" s="3">
        <f t="shared" si="506"/>
        <v>534</v>
      </c>
      <c r="T1041" s="3">
        <v>7000</v>
      </c>
      <c r="U1041" s="3">
        <f t="shared" si="507"/>
        <v>7000</v>
      </c>
      <c r="V1041" s="3">
        <v>7010</v>
      </c>
      <c r="W1041" s="3">
        <f t="shared" si="508"/>
        <v>-10</v>
      </c>
      <c r="X1041" s="3"/>
      <c r="Y1041" s="3">
        <v>7000</v>
      </c>
      <c r="Z1041" s="3">
        <f t="shared" si="503"/>
        <v>0</v>
      </c>
      <c r="AA1041" s="3"/>
      <c r="AB1041" s="3"/>
      <c r="AC1041" s="3">
        <v>9296</v>
      </c>
      <c r="AD1041" s="3">
        <f t="shared" si="509"/>
        <v>4</v>
      </c>
      <c r="AE1041" s="3">
        <v>9300</v>
      </c>
      <c r="AF1041" s="3">
        <f t="shared" si="510"/>
        <v>2300</v>
      </c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42"/>
      <c r="AR1041" s="3"/>
      <c r="AS1041" s="42"/>
      <c r="AT1041" s="3"/>
      <c r="AU1041" s="42"/>
      <c r="AV1041" s="3"/>
      <c r="AW1041" s="42"/>
      <c r="AX1041" s="3"/>
      <c r="AY1041" s="42"/>
      <c r="AZ1041" s="3"/>
    </row>
    <row r="1042" spans="1:53" x14ac:dyDescent="0.25">
      <c r="A1042" s="3" t="s">
        <v>790</v>
      </c>
      <c r="B1042" s="3">
        <v>20000</v>
      </c>
      <c r="E1042" s="3">
        <f t="shared" si="511"/>
        <v>20000</v>
      </c>
      <c r="F1042" s="5">
        <v>20000</v>
      </c>
      <c r="H1042" s="5">
        <f t="shared" si="512"/>
        <v>0</v>
      </c>
      <c r="K1042" s="4">
        <f t="shared" si="504"/>
        <v>20000</v>
      </c>
      <c r="L1042" s="5">
        <v>20000</v>
      </c>
      <c r="N1042" s="4">
        <f t="shared" si="505"/>
        <v>0</v>
      </c>
      <c r="P1042" s="3"/>
      <c r="Q1042" s="3"/>
      <c r="R1042" s="3"/>
      <c r="S1042" s="3">
        <f t="shared" si="506"/>
        <v>0</v>
      </c>
      <c r="T1042" s="3"/>
      <c r="U1042" s="3">
        <f t="shared" si="507"/>
        <v>0</v>
      </c>
      <c r="V1042" s="3">
        <v>7010</v>
      </c>
      <c r="W1042" s="3">
        <f t="shared" si="508"/>
        <v>-10</v>
      </c>
      <c r="X1042" s="3"/>
      <c r="Y1042" s="3">
        <v>7000</v>
      </c>
      <c r="Z1042" s="3">
        <f t="shared" si="503"/>
        <v>7000</v>
      </c>
      <c r="AA1042" s="3"/>
      <c r="AB1042" s="3"/>
      <c r="AC1042" s="3">
        <v>9296</v>
      </c>
      <c r="AD1042" s="3">
        <f t="shared" si="509"/>
        <v>4</v>
      </c>
      <c r="AE1042" s="3">
        <v>9300</v>
      </c>
      <c r="AF1042" s="3">
        <f t="shared" si="510"/>
        <v>2300</v>
      </c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42"/>
      <c r="AR1042" s="3"/>
      <c r="AS1042" s="42"/>
      <c r="AT1042" s="3"/>
      <c r="AU1042" s="42"/>
      <c r="AV1042" s="3"/>
      <c r="AW1042" s="42"/>
      <c r="AX1042" s="3"/>
      <c r="AY1042" s="42"/>
      <c r="AZ1042" s="3"/>
    </row>
    <row r="1043" spans="1:53" x14ac:dyDescent="0.25">
      <c r="A1043" s="3" t="s">
        <v>791</v>
      </c>
      <c r="B1043" s="3">
        <v>40000</v>
      </c>
      <c r="E1043" s="3">
        <f t="shared" si="511"/>
        <v>40000</v>
      </c>
      <c r="F1043" s="5">
        <v>40000</v>
      </c>
      <c r="H1043" s="5">
        <f t="shared" si="512"/>
        <v>0</v>
      </c>
      <c r="K1043" s="4">
        <f>L1043-J1043</f>
        <v>40000</v>
      </c>
      <c r="L1043" s="5">
        <v>40000</v>
      </c>
      <c r="N1043" s="4">
        <f>L1043-F1043</f>
        <v>0</v>
      </c>
      <c r="P1043" s="3"/>
      <c r="Q1043" s="3"/>
      <c r="R1043" s="3">
        <v>204</v>
      </c>
      <c r="S1043" s="3">
        <f t="shared" si="506"/>
        <v>39796</v>
      </c>
      <c r="T1043" s="3">
        <v>40000</v>
      </c>
      <c r="U1043" s="3">
        <f t="shared" si="507"/>
        <v>40000</v>
      </c>
      <c r="V1043" s="3">
        <v>204</v>
      </c>
      <c r="W1043" s="3">
        <f t="shared" si="508"/>
        <v>39796</v>
      </c>
      <c r="X1043" s="3"/>
      <c r="Y1043" s="3">
        <v>40000</v>
      </c>
      <c r="Z1043" s="3">
        <f t="shared" si="503"/>
        <v>0</v>
      </c>
      <c r="AA1043" s="3"/>
      <c r="AB1043" s="3"/>
      <c r="AC1043" s="3">
        <v>204</v>
      </c>
      <c r="AD1043" s="3">
        <f t="shared" si="509"/>
        <v>39796</v>
      </c>
      <c r="AE1043" s="3">
        <v>40000</v>
      </c>
      <c r="AF1043" s="3">
        <f t="shared" si="510"/>
        <v>0</v>
      </c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42"/>
      <c r="AR1043" s="3"/>
      <c r="AS1043" s="42"/>
      <c r="AT1043" s="3"/>
      <c r="AU1043" s="42"/>
      <c r="AV1043" s="3"/>
      <c r="AW1043" s="42"/>
      <c r="AX1043" s="3"/>
      <c r="AY1043" s="42"/>
      <c r="AZ1043" s="3"/>
      <c r="BA1043" s="77"/>
    </row>
    <row r="1044" spans="1:53" x14ac:dyDescent="0.25">
      <c r="A1044" s="3" t="s">
        <v>792</v>
      </c>
      <c r="B1044" s="3"/>
      <c r="E1044" s="3">
        <f t="shared" si="511"/>
        <v>0</v>
      </c>
      <c r="H1044" s="5">
        <f t="shared" si="512"/>
        <v>0</v>
      </c>
      <c r="K1044" s="4">
        <f>L1044-J1044</f>
        <v>0</v>
      </c>
      <c r="L1044" s="4"/>
      <c r="N1044" s="4">
        <f>L1044-F1044</f>
        <v>0</v>
      </c>
      <c r="P1044" s="3"/>
      <c r="Q1044" s="3"/>
      <c r="R1044" s="3"/>
      <c r="S1044" s="3">
        <f t="shared" si="506"/>
        <v>0</v>
      </c>
      <c r="T1044" s="3"/>
      <c r="U1044" s="3">
        <f t="shared" si="507"/>
        <v>0</v>
      </c>
      <c r="V1044" s="3"/>
      <c r="W1044" s="3">
        <f t="shared" si="508"/>
        <v>0</v>
      </c>
      <c r="X1044" s="3"/>
      <c r="Y1044" s="3"/>
      <c r="Z1044" s="3">
        <f t="shared" si="503"/>
        <v>0</v>
      </c>
      <c r="AA1044" s="3"/>
      <c r="AB1044" s="3"/>
      <c r="AC1044" s="3"/>
      <c r="AD1044" s="3">
        <f t="shared" si="509"/>
        <v>0</v>
      </c>
      <c r="AE1044" s="3"/>
      <c r="AF1044" s="3">
        <f t="shared" si="510"/>
        <v>0</v>
      </c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42"/>
      <c r="AR1044" s="3"/>
      <c r="AS1044" s="42"/>
      <c r="AT1044" s="3"/>
      <c r="AU1044" s="42"/>
      <c r="AV1044" s="3"/>
      <c r="AW1044" s="42"/>
      <c r="AX1044" s="3"/>
      <c r="AY1044" s="42"/>
      <c r="AZ1044" s="3"/>
      <c r="BA1044" s="77"/>
    </row>
    <row r="1045" spans="1:53" s="77" customFormat="1" x14ac:dyDescent="0.25">
      <c r="A1045" s="3" t="s">
        <v>793</v>
      </c>
      <c r="B1045" s="3"/>
      <c r="C1045" s="3"/>
      <c r="D1045" s="29"/>
      <c r="E1045" s="3">
        <f t="shared" si="511"/>
        <v>0</v>
      </c>
      <c r="F1045" s="29"/>
      <c r="G1045" s="3"/>
      <c r="H1045" s="5">
        <f t="shared" si="512"/>
        <v>0</v>
      </c>
      <c r="I1045" s="5"/>
      <c r="J1045" s="5"/>
      <c r="K1045" s="4">
        <f>L1045-J1045</f>
        <v>0</v>
      </c>
      <c r="L1045" s="4"/>
      <c r="M1045" s="4"/>
      <c r="N1045" s="4">
        <f>L1045-F1045</f>
        <v>0</v>
      </c>
      <c r="O1045" s="3"/>
      <c r="P1045" s="3"/>
      <c r="Q1045" s="3"/>
      <c r="R1045" s="3"/>
      <c r="S1045" s="3">
        <f t="shared" si="506"/>
        <v>0</v>
      </c>
      <c r="T1045" s="3"/>
      <c r="U1045" s="3">
        <f t="shared" si="507"/>
        <v>0</v>
      </c>
      <c r="V1045" s="3"/>
      <c r="W1045" s="3">
        <f t="shared" si="508"/>
        <v>0</v>
      </c>
      <c r="X1045" s="3"/>
      <c r="Y1045" s="3"/>
      <c r="Z1045" s="3">
        <f t="shared" si="503"/>
        <v>0</v>
      </c>
      <c r="AA1045" s="3"/>
      <c r="AB1045" s="3"/>
      <c r="AC1045" s="3"/>
      <c r="AD1045" s="3">
        <f t="shared" si="509"/>
        <v>0</v>
      </c>
      <c r="AE1045" s="3"/>
      <c r="AF1045" s="3">
        <f t="shared" si="510"/>
        <v>0</v>
      </c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42"/>
      <c r="AR1045" s="3"/>
      <c r="AS1045" s="42"/>
      <c r="AT1045" s="3"/>
      <c r="AU1045" s="42"/>
      <c r="AV1045" s="3"/>
      <c r="AW1045" s="42"/>
      <c r="AX1045" s="3"/>
      <c r="AY1045" s="42"/>
      <c r="AZ1045" s="3"/>
    </row>
    <row r="1046" spans="1:53" s="77" customFormat="1" x14ac:dyDescent="0.25">
      <c r="A1046" s="3" t="s">
        <v>794</v>
      </c>
      <c r="B1046" s="3"/>
      <c r="C1046" s="3"/>
      <c r="D1046" s="29"/>
      <c r="E1046" s="3"/>
      <c r="F1046" s="29"/>
      <c r="G1046" s="3"/>
      <c r="H1046" s="5"/>
      <c r="I1046" s="5"/>
      <c r="J1046" s="5"/>
      <c r="K1046" s="4"/>
      <c r="L1046" s="4"/>
      <c r="M1046" s="4"/>
      <c r="N1046" s="4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>
        <v>0</v>
      </c>
      <c r="Z1046" s="3"/>
      <c r="AA1046" s="3"/>
      <c r="AB1046" s="3"/>
      <c r="AC1046" s="3">
        <v>0</v>
      </c>
      <c r="AD1046" s="3">
        <f>AE1046-AC1046</f>
        <v>12000</v>
      </c>
      <c r="AE1046" s="3">
        <v>12000</v>
      </c>
      <c r="AF1046" s="3">
        <f>AE1046-Y1046</f>
        <v>12000</v>
      </c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42"/>
      <c r="AR1046" s="3"/>
      <c r="AS1046" s="42"/>
      <c r="AT1046" s="3"/>
      <c r="AU1046" s="42"/>
      <c r="AV1046" s="3"/>
      <c r="AW1046" s="42"/>
      <c r="AX1046" s="3"/>
      <c r="AY1046" s="42"/>
      <c r="AZ1046" s="3"/>
    </row>
    <row r="1047" spans="1:53" s="77" customFormat="1" x14ac:dyDescent="0.25">
      <c r="A1047" s="3" t="s">
        <v>795</v>
      </c>
      <c r="B1047" s="3">
        <v>1900</v>
      </c>
      <c r="C1047" s="3"/>
      <c r="D1047" s="29"/>
      <c r="E1047" s="3">
        <f t="shared" si="511"/>
        <v>1900</v>
      </c>
      <c r="F1047" s="29">
        <v>1900</v>
      </c>
      <c r="G1047" s="3"/>
      <c r="H1047" s="5">
        <f t="shared" si="512"/>
        <v>0</v>
      </c>
      <c r="I1047" s="5"/>
      <c r="J1047" s="5">
        <v>0</v>
      </c>
      <c r="K1047" s="4">
        <f>L1047-J1047</f>
        <v>1900</v>
      </c>
      <c r="L1047" s="4">
        <v>1900</v>
      </c>
      <c r="M1047" s="4"/>
      <c r="N1047" s="4">
        <f>L1047-F1047</f>
        <v>0</v>
      </c>
      <c r="O1047" s="3"/>
      <c r="P1047" s="3">
        <v>1900</v>
      </c>
      <c r="Q1047" s="3"/>
      <c r="R1047" s="3"/>
      <c r="S1047" s="3">
        <f t="shared" si="506"/>
        <v>1900</v>
      </c>
      <c r="T1047" s="3">
        <v>1900</v>
      </c>
      <c r="U1047" s="3">
        <f t="shared" si="507"/>
        <v>0</v>
      </c>
      <c r="V1047" s="3"/>
      <c r="W1047" s="3">
        <f t="shared" si="508"/>
        <v>1900</v>
      </c>
      <c r="X1047" s="3"/>
      <c r="Y1047" s="3">
        <v>1900</v>
      </c>
      <c r="Z1047" s="3">
        <f>Y1047-T1047</f>
        <v>0</v>
      </c>
      <c r="AA1047" s="3"/>
      <c r="AB1047" s="3"/>
      <c r="AC1047" s="3">
        <v>1900</v>
      </c>
      <c r="AD1047" s="3">
        <f t="shared" si="509"/>
        <v>0</v>
      </c>
      <c r="AE1047" s="3">
        <v>1900</v>
      </c>
      <c r="AF1047" s="3">
        <f t="shared" si="510"/>
        <v>0</v>
      </c>
      <c r="AG1047" s="3"/>
      <c r="AH1047" s="3">
        <v>1900</v>
      </c>
      <c r="AI1047" s="3"/>
      <c r="AJ1047" s="3">
        <v>1900</v>
      </c>
      <c r="AK1047" s="3"/>
      <c r="AL1047" s="3">
        <v>1900</v>
      </c>
      <c r="AM1047" s="3"/>
      <c r="AN1047" s="3"/>
      <c r="AO1047" s="3"/>
      <c r="AP1047" s="3"/>
      <c r="AQ1047" s="42"/>
      <c r="AR1047" s="3"/>
      <c r="AS1047" s="42"/>
      <c r="AT1047" s="3"/>
      <c r="AU1047" s="42"/>
      <c r="AV1047" s="3"/>
      <c r="AW1047" s="42"/>
      <c r="AX1047" s="3"/>
      <c r="AY1047" s="42"/>
      <c r="AZ1047" s="3"/>
    </row>
    <row r="1048" spans="1:53" s="77" customFormat="1" x14ac:dyDescent="0.25">
      <c r="A1048" s="3" t="s">
        <v>796</v>
      </c>
      <c r="B1048" s="3"/>
      <c r="C1048" s="3"/>
      <c r="D1048" s="29"/>
      <c r="E1048" s="3"/>
      <c r="F1048" s="29"/>
      <c r="G1048" s="3"/>
      <c r="H1048" s="5"/>
      <c r="I1048" s="5"/>
      <c r="J1048" s="5"/>
      <c r="K1048" s="4"/>
      <c r="L1048" s="4"/>
      <c r="M1048" s="4"/>
      <c r="N1048" s="4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>
        <v>60000</v>
      </c>
      <c r="AI1048" s="3"/>
      <c r="AJ1048" s="3"/>
      <c r="AK1048" s="3"/>
      <c r="AL1048" s="3"/>
      <c r="AM1048" s="3"/>
      <c r="AN1048" s="3"/>
      <c r="AO1048" s="3"/>
      <c r="AP1048" s="3"/>
      <c r="AQ1048" s="42"/>
      <c r="AR1048" s="3"/>
      <c r="AS1048" s="42"/>
      <c r="AT1048" s="3"/>
      <c r="AU1048" s="42"/>
      <c r="AV1048" s="3"/>
      <c r="AW1048" s="42"/>
      <c r="AX1048" s="3"/>
      <c r="AY1048" s="42"/>
      <c r="AZ1048" s="3"/>
      <c r="BA1048" s="6"/>
    </row>
    <row r="1049" spans="1:53" s="77" customFormat="1" x14ac:dyDescent="0.25">
      <c r="A1049" s="3" t="s">
        <v>797</v>
      </c>
      <c r="B1049" s="3"/>
      <c r="C1049" s="3"/>
      <c r="D1049" s="29"/>
      <c r="E1049" s="3"/>
      <c r="F1049" s="29"/>
      <c r="G1049" s="3"/>
      <c r="H1049" s="5"/>
      <c r="I1049" s="5"/>
      <c r="J1049" s="5"/>
      <c r="K1049" s="4"/>
      <c r="L1049" s="4"/>
      <c r="M1049" s="4"/>
      <c r="N1049" s="4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>
        <v>268860</v>
      </c>
      <c r="AK1049" s="3"/>
      <c r="AL1049" s="3">
        <v>268860</v>
      </c>
      <c r="AM1049" s="3"/>
      <c r="AN1049" s="3">
        <v>268860</v>
      </c>
      <c r="AO1049" s="3"/>
      <c r="AP1049" s="3">
        <v>268860</v>
      </c>
      <c r="AQ1049" s="42"/>
      <c r="AR1049" s="3">
        <v>268860</v>
      </c>
      <c r="AS1049" s="42"/>
      <c r="AT1049" s="3">
        <v>268860</v>
      </c>
      <c r="AU1049" s="42"/>
      <c r="AV1049" s="3">
        <v>268860</v>
      </c>
      <c r="AW1049" s="42"/>
      <c r="AX1049" s="3">
        <v>268860</v>
      </c>
      <c r="AY1049" s="42"/>
      <c r="AZ1049" s="3">
        <v>268860</v>
      </c>
      <c r="BA1049" s="6"/>
    </row>
    <row r="1050" spans="1:53" x14ac:dyDescent="0.25">
      <c r="A1050" s="3" t="s">
        <v>798</v>
      </c>
      <c r="E1050" s="3">
        <f t="shared" si="511"/>
        <v>0</v>
      </c>
      <c r="H1050" s="5">
        <f t="shared" si="512"/>
        <v>0</v>
      </c>
      <c r="K1050" s="4">
        <f>L1050-J1050</f>
        <v>0</v>
      </c>
      <c r="L1050" s="4"/>
      <c r="N1050" s="4">
        <f>L1050-F1050</f>
        <v>0</v>
      </c>
      <c r="P1050" s="3"/>
      <c r="Q1050" s="3"/>
      <c r="R1050" s="3"/>
      <c r="S1050" s="3">
        <f t="shared" si="506"/>
        <v>0</v>
      </c>
      <c r="T1050" s="3"/>
      <c r="U1050" s="3">
        <f t="shared" si="507"/>
        <v>0</v>
      </c>
      <c r="V1050" s="3"/>
      <c r="W1050" s="3">
        <f t="shared" si="508"/>
        <v>0</v>
      </c>
      <c r="X1050" s="3"/>
      <c r="Y1050" s="3"/>
      <c r="Z1050" s="3">
        <f>Y1050-T1050</f>
        <v>0</v>
      </c>
      <c r="AA1050" s="3"/>
      <c r="AB1050" s="3"/>
      <c r="AC1050" s="3"/>
      <c r="AD1050" s="3">
        <f t="shared" si="509"/>
        <v>0</v>
      </c>
      <c r="AE1050" s="3"/>
      <c r="AF1050" s="3">
        <f t="shared" si="510"/>
        <v>0</v>
      </c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42"/>
      <c r="AR1050" s="3"/>
      <c r="AS1050" s="42"/>
      <c r="AT1050" s="3"/>
      <c r="AU1050" s="42"/>
      <c r="AV1050" s="3"/>
      <c r="AW1050" s="42"/>
      <c r="AX1050" s="3"/>
      <c r="AY1050" s="42"/>
      <c r="AZ1050" s="3"/>
    </row>
    <row r="1051" spans="1:53" ht="15.75" thickBot="1" x14ac:dyDescent="0.3">
      <c r="A1051" s="3"/>
      <c r="B1051" s="43">
        <f>SUM(B850:B1050)</f>
        <v>1605150</v>
      </c>
      <c r="C1051" s="32"/>
      <c r="D1051" s="43">
        <f>SUM(D850:D1050)</f>
        <v>490318</v>
      </c>
      <c r="E1051" s="43">
        <f>SUM(E850:E1050)</f>
        <v>1216832</v>
      </c>
      <c r="F1051" s="43">
        <f>SUM(F850:F1050)</f>
        <v>1707150</v>
      </c>
      <c r="G1051" s="32"/>
      <c r="H1051" s="43">
        <f>SUM(H850:H1050)</f>
        <v>102000</v>
      </c>
      <c r="I1051" s="36"/>
      <c r="J1051" s="43">
        <f>SUM(J850:J1050)</f>
        <v>732042</v>
      </c>
      <c r="K1051" s="43">
        <f>SUM(K850:K1050)</f>
        <v>979653</v>
      </c>
      <c r="L1051" s="43">
        <f>SUM(L850:L1050)</f>
        <v>1711695</v>
      </c>
      <c r="M1051" s="32"/>
      <c r="N1051" s="43">
        <f>SUM(N850:N1050)</f>
        <v>4545</v>
      </c>
      <c r="P1051" s="44">
        <f>SUM(P850:P1050)</f>
        <v>1168600.22</v>
      </c>
      <c r="Q1051" s="3"/>
      <c r="R1051" s="74">
        <f t="shared" ref="R1051:Z1051" si="513">SUM(R850:R1050)</f>
        <v>141804</v>
      </c>
      <c r="S1051" s="74">
        <f t="shared" si="513"/>
        <v>1192396</v>
      </c>
      <c r="T1051" s="74">
        <f t="shared" si="513"/>
        <v>1334200</v>
      </c>
      <c r="U1051" s="74">
        <f t="shared" si="513"/>
        <v>165599.78</v>
      </c>
      <c r="V1051" s="74">
        <f t="shared" si="513"/>
        <v>413423</v>
      </c>
      <c r="W1051" s="74">
        <f t="shared" si="513"/>
        <v>837757</v>
      </c>
      <c r="X1051" s="74"/>
      <c r="Y1051" s="74">
        <f t="shared" si="513"/>
        <v>1251180</v>
      </c>
      <c r="Z1051" s="74">
        <f t="shared" si="513"/>
        <v>-83020</v>
      </c>
      <c r="AA1051" s="3"/>
      <c r="AB1051" s="3"/>
      <c r="AC1051" s="74">
        <f>SUM(AC850:AC1050)</f>
        <v>637581</v>
      </c>
      <c r="AD1051" s="74">
        <f>SUM(AD850:AD1050)</f>
        <v>604824</v>
      </c>
      <c r="AE1051" s="74">
        <f>SUM(AE850:AE1050)</f>
        <v>1242405</v>
      </c>
      <c r="AF1051" s="74">
        <f>SUM(AF850:AF1050)</f>
        <v>-8775</v>
      </c>
      <c r="AG1051" s="3"/>
      <c r="AH1051" s="44">
        <f>SUM(AH850:AH1050)</f>
        <v>1287912.2265999999</v>
      </c>
      <c r="AI1051" s="3"/>
      <c r="AJ1051" s="44">
        <f>SUM(AJ850:AJ1050)</f>
        <v>1885823.6633979999</v>
      </c>
      <c r="AK1051" s="3"/>
      <c r="AL1051" s="44">
        <f>SUM(AL850:AL1050)</f>
        <v>1610135.3733829402</v>
      </c>
      <c r="AM1051" s="3"/>
      <c r="AN1051" s="44">
        <f>SUM(AN850:AN1050)</f>
        <v>741408.8072977605</v>
      </c>
      <c r="AO1051" s="44"/>
      <c r="AP1051" s="44">
        <f>SUM(AP850:AP1050)</f>
        <v>1089128.4285334703</v>
      </c>
      <c r="AQ1051" s="42"/>
      <c r="AR1051" s="44">
        <f>SUM(AR850:AR1050)</f>
        <v>855235.71348758682</v>
      </c>
      <c r="AS1051" s="42"/>
      <c r="AT1051" s="44">
        <f>SUM(AT850:AT1050)</f>
        <v>655132.1519328109</v>
      </c>
      <c r="AU1051" s="42"/>
      <c r="AV1051" s="44">
        <f>SUM(AV850:AV1050)</f>
        <v>887920.24739623035</v>
      </c>
      <c r="AW1051" s="42"/>
      <c r="AX1051" s="44">
        <f>SUM(AX850:AX1050)</f>
        <v>731403.51754935307</v>
      </c>
      <c r="AY1051" s="42"/>
      <c r="AZ1051" s="44">
        <f>SUM(AZ850:AZ1050)</f>
        <v>839144.494609282</v>
      </c>
    </row>
    <row r="1052" spans="1:53" ht="16.5" thickTop="1" thickBot="1" x14ac:dyDescent="0.3">
      <c r="A1052" s="7"/>
      <c r="B1052" s="7"/>
      <c r="C1052" s="7"/>
      <c r="D1052" s="7"/>
      <c r="E1052" s="7"/>
      <c r="F1052" s="7"/>
      <c r="G1052" s="7"/>
      <c r="H1052" s="7"/>
      <c r="I1052" s="7"/>
      <c r="J1052" s="7"/>
      <c r="K1052" s="7"/>
      <c r="L1052" s="7"/>
      <c r="M1052" s="32"/>
      <c r="N1052" s="7"/>
      <c r="P1052" s="7"/>
      <c r="AH1052" s="7"/>
      <c r="AJ1052" s="7"/>
      <c r="AL1052" s="7"/>
      <c r="AN1052" s="7"/>
      <c r="AO1052" s="7"/>
      <c r="AP1052" s="7"/>
      <c r="AR1052" s="7"/>
      <c r="AT1052" s="7"/>
      <c r="AV1052" s="7"/>
      <c r="AX1052" s="7"/>
      <c r="AZ1052" s="7"/>
    </row>
    <row r="1053" spans="1:53" ht="15.75" thickBot="1" x14ac:dyDescent="0.3">
      <c r="A1053" s="3"/>
      <c r="B1053" s="67">
        <f>B1051+B845</f>
        <v>11037949</v>
      </c>
      <c r="C1053" s="32"/>
      <c r="D1053" s="67">
        <f>D1051+D845</f>
        <v>2640135</v>
      </c>
      <c r="E1053" s="67">
        <f>E1051+E845</f>
        <v>9403964</v>
      </c>
      <c r="F1053" s="67">
        <f>F1051+F845</f>
        <v>12044096</v>
      </c>
      <c r="G1053" s="32"/>
      <c r="H1053" s="67">
        <f>H1051+H845</f>
        <v>1008145</v>
      </c>
      <c r="I1053" s="36"/>
      <c r="J1053" s="67">
        <f>J1051+J845</f>
        <v>5654334</v>
      </c>
      <c r="K1053" s="67">
        <f>K1051+K845</f>
        <v>6082340</v>
      </c>
      <c r="L1053" s="67">
        <f>L1051+L845</f>
        <v>11824073</v>
      </c>
      <c r="M1053" s="32"/>
      <c r="N1053" s="67">
        <f>N1051+N845</f>
        <v>-79473</v>
      </c>
      <c r="P1053" s="67">
        <f>P1051+P845</f>
        <v>10752294.148</v>
      </c>
      <c r="R1053" s="67">
        <f t="shared" ref="R1053:Z1053" si="514">R1051+R845</f>
        <v>2208271</v>
      </c>
      <c r="S1053" s="67">
        <f t="shared" si="514"/>
        <v>8895576.5571075007</v>
      </c>
      <c r="T1053" s="67">
        <f t="shared" si="514"/>
        <v>11103848.557107501</v>
      </c>
      <c r="U1053" s="67" t="e">
        <f t="shared" si="514"/>
        <v>#VALUE!</v>
      </c>
      <c r="V1053" s="67">
        <f t="shared" si="514"/>
        <v>4770873</v>
      </c>
      <c r="W1053" s="67">
        <f t="shared" si="514"/>
        <v>6586020</v>
      </c>
      <c r="X1053" s="67"/>
      <c r="Y1053" s="67">
        <f t="shared" si="514"/>
        <v>11357944</v>
      </c>
      <c r="Z1053" s="67">
        <f t="shared" si="514"/>
        <v>254094.44289250002</v>
      </c>
      <c r="AC1053" s="67">
        <f>AC1051+AC845</f>
        <v>6796479</v>
      </c>
      <c r="AD1053" s="67">
        <f>AD1051+AD845</f>
        <v>4572939</v>
      </c>
      <c r="AE1053" s="67">
        <f>AE1051+AE845</f>
        <v>11369419</v>
      </c>
      <c r="AF1053" s="67">
        <f>AF1051+AF845</f>
        <v>11474</v>
      </c>
      <c r="AH1053" s="67">
        <f>AH1051+AH845</f>
        <v>12467719.137400001</v>
      </c>
      <c r="AJ1053" s="67">
        <f>AJ1051+AJ845</f>
        <v>9284150.2327970006</v>
      </c>
      <c r="AL1053" s="67">
        <f>AL1051+AL845</f>
        <v>9259689.6348944865</v>
      </c>
      <c r="AN1053" s="67">
        <f>AN1051+AN845</f>
        <v>8555622.8391492125</v>
      </c>
      <c r="AO1053" s="67"/>
      <c r="AP1053" s="67">
        <f>AP1051+AP845</f>
        <v>9027063.418849133</v>
      </c>
      <c r="AR1053" s="67">
        <f>AR1051+AR845</f>
        <v>9068668.6444484238</v>
      </c>
      <c r="AT1053" s="67">
        <f>AT1051+AT845</f>
        <v>8866666.8572840355</v>
      </c>
      <c r="AV1053" s="67">
        <f>AV1051+AV845</f>
        <v>9378870.7213803232</v>
      </c>
      <c r="AX1053" s="67">
        <f>AX1051+AX845</f>
        <v>9299014.4238787647</v>
      </c>
      <c r="AZ1053" s="67">
        <f>AZ1051+AZ845</f>
        <v>9635712.0781409461</v>
      </c>
    </row>
    <row r="1054" spans="1:53" x14ac:dyDescent="0.25">
      <c r="A1054" s="3"/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P1054" s="32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 t="s">
        <v>1157</v>
      </c>
      <c r="AH1054" s="32">
        <f>+AH32</f>
        <v>12467719.137400001</v>
      </c>
      <c r="AI1054" s="3"/>
      <c r="AJ1054" s="32"/>
      <c r="AK1054" s="3"/>
      <c r="AL1054" s="32"/>
      <c r="AM1054" s="3"/>
      <c r="AN1054" s="32"/>
      <c r="AO1054" s="32"/>
      <c r="AP1054" s="32"/>
      <c r="AQ1054" s="42"/>
      <c r="AR1054" s="32"/>
      <c r="AS1054" s="42"/>
      <c r="AT1054" s="32"/>
      <c r="AU1054" s="42"/>
      <c r="AV1054" s="32"/>
      <c r="AW1054" s="42"/>
      <c r="AX1054" s="32"/>
      <c r="AY1054" s="42"/>
      <c r="AZ1054" s="32"/>
    </row>
    <row r="1055" spans="1:53" ht="15.75" thickBot="1" x14ac:dyDescent="0.3">
      <c r="A1055" s="3"/>
      <c r="B1055" s="3"/>
      <c r="D1055" s="3"/>
      <c r="E1055" s="3"/>
      <c r="F1055" s="3"/>
      <c r="H1055" s="3"/>
      <c r="I1055" s="3"/>
      <c r="J1055" s="3"/>
      <c r="K1055" s="3"/>
      <c r="L1055" s="3"/>
      <c r="N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>
        <f>+AH1053-AH1054</f>
        <v>0</v>
      </c>
      <c r="AI1055" s="3"/>
      <c r="AJ1055" s="3"/>
      <c r="AK1055" s="3"/>
      <c r="AL1055" s="3"/>
      <c r="AM1055" s="3"/>
      <c r="AN1055" s="3"/>
      <c r="AO1055" s="3"/>
      <c r="AP1055" s="3"/>
      <c r="AQ1055" s="42"/>
      <c r="AR1055" s="3"/>
      <c r="AS1055" s="42"/>
      <c r="AT1055" s="3"/>
      <c r="AU1055" s="42"/>
      <c r="AV1055" s="3"/>
      <c r="AW1055" s="42"/>
      <c r="AX1055" s="3"/>
      <c r="AY1055" s="42"/>
      <c r="AZ1055" s="3"/>
    </row>
    <row r="1056" spans="1:53" ht="15.75" thickBot="1" x14ac:dyDescent="0.3">
      <c r="A1056" s="79" t="s">
        <v>799</v>
      </c>
    </row>
    <row r="1057" spans="1:52" ht="15.75" thickBot="1" x14ac:dyDescent="0.3">
      <c r="A1057" s="3"/>
      <c r="B1057" s="6"/>
      <c r="C1057" s="6"/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R1057" s="6"/>
      <c r="AT1057" s="6"/>
      <c r="AV1057" s="6"/>
      <c r="AX1057" s="6"/>
      <c r="AZ1057" s="6"/>
    </row>
    <row r="1058" spans="1:52" ht="15.75" thickBot="1" x14ac:dyDescent="0.3">
      <c r="A1058" s="79" t="s">
        <v>800</v>
      </c>
      <c r="B1058" s="6"/>
      <c r="C1058" s="6"/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R1058" s="6"/>
      <c r="AT1058" s="6"/>
      <c r="AV1058" s="6"/>
      <c r="AX1058" s="6"/>
      <c r="AZ1058" s="6"/>
    </row>
    <row r="1059" spans="1:52" x14ac:dyDescent="0.25">
      <c r="A1059" s="80" t="s">
        <v>47</v>
      </c>
      <c r="B1059" s="6"/>
      <c r="C1059" s="6"/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R1059" s="6"/>
      <c r="AT1059" s="6"/>
      <c r="AV1059" s="6"/>
      <c r="AX1059" s="6"/>
      <c r="AZ1059" s="6"/>
    </row>
    <row r="1060" spans="1:52" x14ac:dyDescent="0.25">
      <c r="A1060" s="80" t="s">
        <v>58</v>
      </c>
      <c r="B1060" s="6"/>
      <c r="C1060" s="6"/>
      <c r="D1060" s="6"/>
      <c r="E1060" s="6"/>
      <c r="F1060" s="6"/>
      <c r="G1060" s="6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R1060" s="6"/>
      <c r="AT1060" s="6"/>
      <c r="AV1060" s="6"/>
      <c r="AX1060" s="6"/>
      <c r="AZ1060" s="6"/>
    </row>
    <row r="1061" spans="1:52" x14ac:dyDescent="0.25">
      <c r="A1061" s="80" t="s">
        <v>77</v>
      </c>
      <c r="B1061" s="6"/>
      <c r="C1061" s="6"/>
      <c r="D1061" s="6"/>
      <c r="E1061" s="6"/>
      <c r="F1061" s="6"/>
      <c r="G1061" s="6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R1061" s="6"/>
      <c r="AT1061" s="6"/>
      <c r="AV1061" s="6"/>
      <c r="AX1061" s="6"/>
      <c r="AZ1061" s="6"/>
    </row>
    <row r="1062" spans="1:52" x14ac:dyDescent="0.25">
      <c r="A1062" s="80" t="s">
        <v>96</v>
      </c>
      <c r="B1062" s="6"/>
      <c r="C1062" s="6"/>
      <c r="D1062" s="6"/>
      <c r="E1062" s="6"/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R1062" s="6"/>
      <c r="AT1062" s="6"/>
      <c r="AV1062" s="6"/>
      <c r="AX1062" s="6"/>
      <c r="AZ1062" s="6"/>
    </row>
    <row r="1063" spans="1:52" x14ac:dyDescent="0.25">
      <c r="A1063" s="80" t="s">
        <v>403</v>
      </c>
      <c r="B1063" s="6"/>
      <c r="C1063" s="6"/>
      <c r="D1063" s="6"/>
      <c r="E1063" s="6"/>
      <c r="F1063" s="6"/>
      <c r="G1063" s="6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R1063" s="6"/>
      <c r="AT1063" s="6"/>
      <c r="AV1063" s="6"/>
      <c r="AX1063" s="6"/>
      <c r="AZ1063" s="6"/>
    </row>
    <row r="1064" spans="1:52" x14ac:dyDescent="0.25">
      <c r="A1064" s="80" t="s">
        <v>801</v>
      </c>
      <c r="B1064" s="6"/>
      <c r="C1064" s="6"/>
      <c r="D1064" s="6"/>
      <c r="E1064" s="6"/>
      <c r="F1064" s="6"/>
      <c r="G1064" s="6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R1064" s="6"/>
      <c r="AT1064" s="6"/>
      <c r="AV1064" s="6"/>
      <c r="AX1064" s="6"/>
      <c r="AZ1064" s="6"/>
    </row>
    <row r="1065" spans="1:52" x14ac:dyDescent="0.25">
      <c r="A1065" s="80" t="s">
        <v>802</v>
      </c>
      <c r="B1065" s="6"/>
      <c r="C1065" s="6"/>
      <c r="D1065" s="6"/>
      <c r="E1065" s="6"/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  <c r="AR1065" s="6"/>
      <c r="AT1065" s="6"/>
      <c r="AV1065" s="6"/>
      <c r="AX1065" s="6"/>
      <c r="AZ1065" s="6"/>
    </row>
    <row r="1066" spans="1:52" x14ac:dyDescent="0.25">
      <c r="A1066" s="80" t="s">
        <v>803</v>
      </c>
      <c r="B1066" s="6"/>
      <c r="C1066" s="6"/>
      <c r="D1066" s="6"/>
      <c r="E1066" s="6"/>
      <c r="F1066" s="6"/>
      <c r="G1066" s="6"/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  <c r="AR1066" s="6"/>
      <c r="AT1066" s="6"/>
      <c r="AV1066" s="6"/>
      <c r="AX1066" s="6"/>
      <c r="AZ1066" s="6"/>
    </row>
    <row r="1067" spans="1:52" x14ac:dyDescent="0.25">
      <c r="A1067" s="80" t="s">
        <v>190</v>
      </c>
      <c r="B1067" s="6"/>
      <c r="C1067" s="6"/>
      <c r="D1067" s="6"/>
      <c r="E1067" s="6"/>
      <c r="F1067" s="6"/>
      <c r="G1067" s="6"/>
      <c r="H1067" s="6"/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  <c r="AR1067" s="6"/>
      <c r="AT1067" s="6"/>
      <c r="AV1067" s="6"/>
      <c r="AX1067" s="6"/>
      <c r="AZ1067" s="6"/>
    </row>
    <row r="1068" spans="1:52" x14ac:dyDescent="0.25">
      <c r="A1068" s="80" t="s">
        <v>570</v>
      </c>
      <c r="B1068" s="6"/>
      <c r="C1068" s="6"/>
      <c r="D1068" s="6"/>
      <c r="E1068" s="6"/>
      <c r="F1068" s="6"/>
      <c r="G1068" s="6"/>
      <c r="H1068" s="6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  <c r="AR1068" s="6"/>
      <c r="AT1068" s="6"/>
      <c r="AV1068" s="6"/>
      <c r="AX1068" s="6"/>
      <c r="AZ1068" s="6"/>
    </row>
    <row r="1069" spans="1:52" x14ac:dyDescent="0.25">
      <c r="A1069" s="80"/>
      <c r="B1069" s="6"/>
      <c r="C1069" s="6"/>
      <c r="D1069" s="6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  <c r="AR1069" s="6"/>
      <c r="AT1069" s="6"/>
      <c r="AV1069" s="6"/>
      <c r="AX1069" s="6"/>
      <c r="AZ1069" s="6"/>
    </row>
    <row r="1070" spans="1:52" ht="15.75" thickBot="1" x14ac:dyDescent="0.3">
      <c r="A1070" s="81" t="s">
        <v>804</v>
      </c>
      <c r="B1070" s="6"/>
      <c r="C1070" s="6"/>
      <c r="D1070" s="6"/>
      <c r="E1070" s="6"/>
      <c r="F1070" s="6"/>
      <c r="G1070" s="6"/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R1070" s="6"/>
      <c r="AT1070" s="6"/>
      <c r="AV1070" s="6"/>
      <c r="AX1070" s="6"/>
      <c r="AZ1070" s="6"/>
    </row>
    <row r="1071" spans="1:52" x14ac:dyDescent="0.25">
      <c r="A1071" s="7" t="s">
        <v>249</v>
      </c>
      <c r="B1071" s="6"/>
      <c r="C1071" s="6"/>
      <c r="D1071" s="6"/>
      <c r="E1071" s="6"/>
      <c r="F1071" s="6"/>
      <c r="G1071" s="6"/>
      <c r="H1071" s="6"/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R1071" s="6"/>
      <c r="AT1071" s="6"/>
      <c r="AV1071" s="6"/>
      <c r="AX1071" s="6"/>
      <c r="AZ1071" s="6"/>
    </row>
    <row r="1072" spans="1:52" x14ac:dyDescent="0.25">
      <c r="A1072" s="7"/>
      <c r="B1072" s="6"/>
      <c r="C1072" s="6"/>
      <c r="D1072" s="6"/>
      <c r="E1072" s="6"/>
      <c r="F1072" s="6"/>
      <c r="G1072" s="6"/>
      <c r="H1072" s="6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  <c r="AR1072" s="6"/>
      <c r="AT1072" s="6"/>
      <c r="AV1072" s="6"/>
      <c r="AX1072" s="6"/>
      <c r="AZ1072" s="6"/>
    </row>
    <row r="1073" spans="1:52" x14ac:dyDescent="0.25">
      <c r="A1073" s="1" t="s">
        <v>805</v>
      </c>
      <c r="B1073" s="3"/>
      <c r="D1073" s="3"/>
      <c r="E1073" s="3"/>
      <c r="F1073" s="3"/>
      <c r="H1073" s="3"/>
      <c r="I1073" s="3"/>
      <c r="J1073" s="3"/>
      <c r="K1073" s="3"/>
      <c r="L1073" s="3"/>
      <c r="N1073" s="3"/>
    </row>
    <row r="1074" spans="1:52" ht="15.75" thickBot="1" x14ac:dyDescent="0.3">
      <c r="A1074" s="7"/>
    </row>
    <row r="1075" spans="1:52" x14ac:dyDescent="0.25">
      <c r="A1075" s="3"/>
      <c r="B1075" s="8" t="s">
        <v>8</v>
      </c>
      <c r="C1075" s="9"/>
      <c r="D1075" s="10" t="s">
        <v>9</v>
      </c>
      <c r="E1075" s="11" t="s">
        <v>10</v>
      </c>
      <c r="F1075" s="12" t="s">
        <v>11</v>
      </c>
      <c r="G1075" s="9"/>
      <c r="H1075" s="8" t="s">
        <v>12</v>
      </c>
      <c r="I1075" s="13"/>
      <c r="J1075" s="10" t="s">
        <v>9</v>
      </c>
      <c r="K1075" s="11" t="s">
        <v>10</v>
      </c>
      <c r="L1075" s="11" t="s">
        <v>11</v>
      </c>
      <c r="M1075" s="9"/>
      <c r="N1075" s="12" t="s">
        <v>12</v>
      </c>
      <c r="P1075" s="8" t="s">
        <v>8</v>
      </c>
      <c r="R1075" s="14" t="s">
        <v>9</v>
      </c>
      <c r="S1075" s="15" t="s">
        <v>10</v>
      </c>
      <c r="T1075" s="16" t="s">
        <v>11</v>
      </c>
      <c r="U1075" s="17" t="s">
        <v>13</v>
      </c>
      <c r="V1075" s="14" t="s">
        <v>9</v>
      </c>
      <c r="W1075" s="15" t="s">
        <v>10</v>
      </c>
      <c r="X1075" s="15"/>
      <c r="Y1075" s="16" t="s">
        <v>11</v>
      </c>
      <c r="Z1075" s="17" t="s">
        <v>13</v>
      </c>
      <c r="AC1075" s="14" t="s">
        <v>9</v>
      </c>
      <c r="AD1075" s="15" t="s">
        <v>10</v>
      </c>
      <c r="AE1075" s="16" t="s">
        <v>11</v>
      </c>
      <c r="AF1075" s="17" t="s">
        <v>13</v>
      </c>
      <c r="AH1075" s="8" t="s">
        <v>8</v>
      </c>
      <c r="AJ1075" s="8" t="s">
        <v>8</v>
      </c>
      <c r="AL1075" s="8" t="s">
        <v>8</v>
      </c>
      <c r="AN1075" s="8" t="s">
        <v>8</v>
      </c>
      <c r="AO1075" s="8"/>
      <c r="AP1075" s="8" t="s">
        <v>8</v>
      </c>
      <c r="AR1075" s="8" t="s">
        <v>8</v>
      </c>
      <c r="AT1075" s="8" t="s">
        <v>8</v>
      </c>
      <c r="AV1075" s="8" t="s">
        <v>8</v>
      </c>
      <c r="AX1075" s="8" t="s">
        <v>8</v>
      </c>
      <c r="AZ1075" s="8" t="s">
        <v>8</v>
      </c>
    </row>
    <row r="1076" spans="1:52" ht="15.75" thickBot="1" x14ac:dyDescent="0.3">
      <c r="A1076" s="3"/>
      <c r="B1076" s="19" t="s">
        <v>14</v>
      </c>
      <c r="C1076" s="9"/>
      <c r="D1076" s="20" t="s">
        <v>15</v>
      </c>
      <c r="E1076" s="21"/>
      <c r="F1076" s="22" t="s">
        <v>16</v>
      </c>
      <c r="G1076" s="9"/>
      <c r="H1076" s="19"/>
      <c r="I1076" s="13"/>
      <c r="J1076" s="20" t="s">
        <v>17</v>
      </c>
      <c r="K1076" s="21"/>
      <c r="L1076" s="21" t="s">
        <v>16</v>
      </c>
      <c r="M1076" s="9"/>
      <c r="N1076" s="22"/>
      <c r="P1076" s="19" t="s">
        <v>18</v>
      </c>
      <c r="R1076" s="23" t="s">
        <v>19</v>
      </c>
      <c r="S1076" s="24"/>
      <c r="T1076" s="25" t="s">
        <v>20</v>
      </c>
      <c r="U1076" s="26"/>
      <c r="V1076" s="23" t="s">
        <v>21</v>
      </c>
      <c r="W1076" s="24"/>
      <c r="X1076" s="24"/>
      <c r="Y1076" s="25" t="s">
        <v>21</v>
      </c>
      <c r="Z1076" s="26"/>
      <c r="AC1076" s="23" t="s">
        <v>22</v>
      </c>
      <c r="AD1076" s="24"/>
      <c r="AE1076" s="25" t="s">
        <v>23</v>
      </c>
      <c r="AF1076" s="26"/>
      <c r="AH1076" s="19" t="s">
        <v>24</v>
      </c>
      <c r="AJ1076" s="19" t="s">
        <v>25</v>
      </c>
      <c r="AL1076" s="19" t="s">
        <v>26</v>
      </c>
      <c r="AN1076" s="19" t="s">
        <v>27</v>
      </c>
      <c r="AO1076" s="19"/>
      <c r="AP1076" s="19" t="s">
        <v>28</v>
      </c>
      <c r="AR1076" s="19" t="s">
        <v>29</v>
      </c>
      <c r="AT1076" s="19" t="s">
        <v>30</v>
      </c>
      <c r="AV1076" s="19" t="s">
        <v>31</v>
      </c>
      <c r="AX1076" s="19" t="str">
        <f>AX17</f>
        <v>2021-22</v>
      </c>
      <c r="AZ1076" s="19" t="str">
        <f>AZ17</f>
        <v>2022-23</v>
      </c>
    </row>
    <row r="1077" spans="1:52" x14ac:dyDescent="0.25">
      <c r="A1077" s="7"/>
    </row>
    <row r="1078" spans="1:52" x14ac:dyDescent="0.25">
      <c r="A1078" s="7"/>
    </row>
    <row r="1079" spans="1:52" ht="6.75" customHeight="1" x14ac:dyDescent="0.25">
      <c r="A1079" s="7"/>
    </row>
    <row r="1080" spans="1:52" x14ac:dyDescent="0.25">
      <c r="A1080" s="28" t="s">
        <v>1</v>
      </c>
    </row>
    <row r="1081" spans="1:52" x14ac:dyDescent="0.25">
      <c r="A1081" s="7"/>
    </row>
    <row r="1082" spans="1:52" x14ac:dyDescent="0.25">
      <c r="A1082" s="7"/>
    </row>
    <row r="1083" spans="1:52" x14ac:dyDescent="0.25">
      <c r="A1083" s="7" t="s">
        <v>34</v>
      </c>
      <c r="B1083" s="36">
        <v>495770</v>
      </c>
      <c r="C1083" s="32"/>
      <c r="D1083" s="36"/>
      <c r="E1083" s="36"/>
      <c r="F1083" s="36">
        <v>804507</v>
      </c>
      <c r="G1083" s="32"/>
      <c r="H1083" s="31">
        <f>F1083-B1083</f>
        <v>308737</v>
      </c>
      <c r="I1083" s="31"/>
      <c r="J1083" s="36"/>
      <c r="K1083" s="36"/>
      <c r="L1083" s="36">
        <v>804507</v>
      </c>
      <c r="M1083" s="32"/>
      <c r="N1083" s="31">
        <f>L1083-F1083</f>
        <v>0</v>
      </c>
      <c r="P1083" s="36">
        <v>791958</v>
      </c>
      <c r="T1083" s="36">
        <v>863634</v>
      </c>
      <c r="U1083" s="3">
        <f t="shared" ref="U1083:U1094" si="515">T1083-P1083</f>
        <v>71676</v>
      </c>
      <c r="Y1083" s="36">
        <v>863634</v>
      </c>
      <c r="Z1083" s="3">
        <f>Y1083-T1083</f>
        <v>0</v>
      </c>
      <c r="AE1083" s="36">
        <v>863634</v>
      </c>
      <c r="AF1083" s="30"/>
      <c r="AH1083" s="36">
        <f>P1094</f>
        <v>772397.02499999991</v>
      </c>
      <c r="AJ1083" s="36">
        <f>AH1094</f>
        <v>789797.90750000009</v>
      </c>
      <c r="AL1083" s="36">
        <f>AJ1094</f>
        <v>545057.72570900049</v>
      </c>
      <c r="AN1083" s="36">
        <f>AL1094</f>
        <v>407578.46042130201</v>
      </c>
      <c r="AO1083" s="36"/>
      <c r="AP1083" s="36">
        <f>AN1094</f>
        <v>420443.27753521677</v>
      </c>
      <c r="AR1083" s="36">
        <f>AP1094</f>
        <v>386100.656723366</v>
      </c>
      <c r="AT1083" s="36">
        <f>AR1094</f>
        <v>247119.67589809874</v>
      </c>
      <c r="AV1083" s="36">
        <f>AT1094</f>
        <v>284342.71772143396</v>
      </c>
      <c r="AX1083" s="36">
        <f>AV1094</f>
        <v>218438.43933142407</v>
      </c>
      <c r="AZ1083" s="36">
        <f>AX1094</f>
        <v>184755.78421423526</v>
      </c>
    </row>
    <row r="1084" spans="1:52" x14ac:dyDescent="0.25">
      <c r="A1084" s="3"/>
      <c r="B1084" s="36"/>
      <c r="C1084" s="32"/>
      <c r="D1084" s="36"/>
      <c r="E1084" s="36"/>
      <c r="F1084" s="36"/>
      <c r="G1084" s="32"/>
      <c r="H1084" s="36"/>
      <c r="I1084" s="36"/>
      <c r="J1084" s="36"/>
      <c r="K1084" s="36"/>
      <c r="L1084" s="36"/>
      <c r="M1084" s="32"/>
      <c r="N1084" s="36"/>
      <c r="P1084" s="36"/>
      <c r="T1084" s="36"/>
      <c r="Y1084" s="36"/>
      <c r="AE1084" s="82"/>
      <c r="AF1084" s="30"/>
      <c r="AH1084" s="36"/>
      <c r="AJ1084" s="36"/>
      <c r="AL1084" s="36"/>
      <c r="AN1084" s="36"/>
      <c r="AO1084" s="36"/>
      <c r="AP1084" s="36"/>
      <c r="AR1084" s="36"/>
      <c r="AT1084" s="36"/>
      <c r="AV1084" s="36"/>
      <c r="AX1084" s="36"/>
      <c r="AZ1084" s="36"/>
    </row>
    <row r="1085" spans="1:52" x14ac:dyDescent="0.25">
      <c r="A1085" s="7" t="s">
        <v>35</v>
      </c>
      <c r="B1085" s="31">
        <f>B1125</f>
        <v>684001</v>
      </c>
      <c r="C1085" s="7"/>
      <c r="D1085" s="31"/>
      <c r="E1085" s="31"/>
      <c r="F1085" s="31">
        <f>F1125</f>
        <v>684001</v>
      </c>
      <c r="G1085" s="7"/>
      <c r="H1085" s="31">
        <f>F1085-B1085</f>
        <v>0</v>
      </c>
      <c r="I1085" s="31"/>
      <c r="J1085" s="31"/>
      <c r="K1085" s="31"/>
      <c r="L1085" s="31">
        <f>L1125</f>
        <v>658151</v>
      </c>
      <c r="M1085" s="32"/>
      <c r="N1085" s="31">
        <f t="shared" ref="N1085:N1094" si="516">L1085-F1085</f>
        <v>-25850</v>
      </c>
      <c r="P1085" s="31">
        <f>P1125</f>
        <v>708229</v>
      </c>
      <c r="T1085" s="31">
        <f>T1125</f>
        <v>708230</v>
      </c>
      <c r="U1085" s="3">
        <f t="shared" si="515"/>
        <v>1</v>
      </c>
      <c r="Y1085" s="31">
        <f>Y1125</f>
        <v>744750</v>
      </c>
      <c r="Z1085" s="3">
        <f>Y1085-T1085</f>
        <v>36520</v>
      </c>
      <c r="AE1085" s="31">
        <f>AE1125</f>
        <v>741160</v>
      </c>
      <c r="AF1085" s="33">
        <f>AE1085-Y1085</f>
        <v>-3590</v>
      </c>
      <c r="AH1085" s="31">
        <f>AH1125</f>
        <v>772520.25000000012</v>
      </c>
      <c r="AJ1085" s="31">
        <f>AJ1125</f>
        <v>844283.7062500004</v>
      </c>
      <c r="AL1085" s="31">
        <f>AL1125</f>
        <v>922073.54890625051</v>
      </c>
      <c r="AN1085" s="31">
        <f>AN1125</f>
        <v>988892.7376289065</v>
      </c>
      <c r="AO1085" s="31"/>
      <c r="AP1085" s="31">
        <f>AP1125</f>
        <v>1057999.3323196291</v>
      </c>
      <c r="AR1085" s="31">
        <f>AR1125</f>
        <v>1107756.6453619949</v>
      </c>
      <c r="AT1085" s="31">
        <f>AT1125</f>
        <v>1159982.6327171384</v>
      </c>
      <c r="AV1085" s="31">
        <f>AV1125</f>
        <v>1214800.2483172154</v>
      </c>
      <c r="AX1085" s="31">
        <f>AX1125</f>
        <v>1272338.5817964019</v>
      </c>
      <c r="AZ1085" s="31">
        <f>AZ1125</f>
        <v>1332733.1649761307</v>
      </c>
    </row>
    <row r="1086" spans="1:52" x14ac:dyDescent="0.25">
      <c r="A1086" s="7" t="s">
        <v>36</v>
      </c>
      <c r="B1086" s="35">
        <f>B1131</f>
        <v>243000</v>
      </c>
      <c r="C1086" s="32"/>
      <c r="D1086" s="36"/>
      <c r="E1086" s="36"/>
      <c r="F1086" s="35">
        <f>F1131</f>
        <v>243000</v>
      </c>
      <c r="G1086" s="32"/>
      <c r="H1086" s="35">
        <f t="shared" ref="H1086:H1104" si="517">F1086-B1086</f>
        <v>0</v>
      </c>
      <c r="I1086" s="36"/>
      <c r="J1086" s="36"/>
      <c r="K1086" s="36"/>
      <c r="L1086" s="35">
        <f>L1131</f>
        <v>243000</v>
      </c>
      <c r="M1086" s="32"/>
      <c r="N1086" s="31">
        <f t="shared" si="516"/>
        <v>0</v>
      </c>
      <c r="P1086" s="35">
        <f>P1131</f>
        <v>443000</v>
      </c>
      <c r="T1086" s="35">
        <f>T1131</f>
        <v>462000</v>
      </c>
      <c r="U1086" s="52">
        <f t="shared" si="515"/>
        <v>19000</v>
      </c>
      <c r="Y1086" s="35">
        <f>Y1131</f>
        <v>462000</v>
      </c>
      <c r="Z1086" s="52">
        <f>Y1086-T1086</f>
        <v>0</v>
      </c>
      <c r="AE1086" s="35">
        <f>AE1131</f>
        <v>462000</v>
      </c>
      <c r="AF1086" s="71">
        <f>AE1086-Y1086</f>
        <v>0</v>
      </c>
      <c r="AH1086" s="35">
        <f>AH1131</f>
        <v>243000</v>
      </c>
      <c r="AJ1086" s="35">
        <f>AJ1131</f>
        <v>243000</v>
      </c>
      <c r="AL1086" s="35">
        <f>AL1131</f>
        <v>243000</v>
      </c>
      <c r="AN1086" s="35">
        <f>AN1131</f>
        <v>243000</v>
      </c>
      <c r="AO1086" s="35"/>
      <c r="AP1086" s="35">
        <f>AP1131</f>
        <v>243000</v>
      </c>
      <c r="AR1086" s="35">
        <f>AR1131</f>
        <v>943000</v>
      </c>
      <c r="AT1086" s="35">
        <f>AT1131</f>
        <v>493000</v>
      </c>
      <c r="AV1086" s="35">
        <f>AV1131</f>
        <v>243000</v>
      </c>
      <c r="AX1086" s="35">
        <f>AX1131</f>
        <v>243000</v>
      </c>
      <c r="AZ1086" s="35">
        <f>AZ1131</f>
        <v>243000</v>
      </c>
    </row>
    <row r="1087" spans="1:52" x14ac:dyDescent="0.25">
      <c r="A1087" s="3"/>
      <c r="B1087" s="36">
        <f>B1085+B1086</f>
        <v>927001</v>
      </c>
      <c r="C1087" s="32"/>
      <c r="D1087" s="36"/>
      <c r="E1087" s="36"/>
      <c r="F1087" s="36">
        <f>F1085+F1086</f>
        <v>927001</v>
      </c>
      <c r="G1087" s="32"/>
      <c r="H1087" s="31">
        <f t="shared" si="517"/>
        <v>0</v>
      </c>
      <c r="I1087" s="31"/>
      <c r="J1087" s="36"/>
      <c r="K1087" s="36"/>
      <c r="L1087" s="36">
        <f>L1085+L1086</f>
        <v>901151</v>
      </c>
      <c r="M1087" s="32"/>
      <c r="N1087" s="31">
        <f t="shared" si="516"/>
        <v>-25850</v>
      </c>
      <c r="P1087" s="36">
        <f>P1085+P1086</f>
        <v>1151229</v>
      </c>
      <c r="T1087" s="36">
        <f>T1085+T1086</f>
        <v>1170230</v>
      </c>
      <c r="U1087" s="3">
        <f t="shared" si="515"/>
        <v>19001</v>
      </c>
      <c r="Y1087" s="36">
        <f>Y1085+Y1086</f>
        <v>1206750</v>
      </c>
      <c r="Z1087" s="3">
        <f>Y1087-T1087</f>
        <v>36520</v>
      </c>
      <c r="AE1087" s="36">
        <f>AE1085+AE1086</f>
        <v>1203160</v>
      </c>
      <c r="AF1087" s="33">
        <f>AE1087-Y1087</f>
        <v>-3590</v>
      </c>
      <c r="AH1087" s="36">
        <f>AH1085+AH1086</f>
        <v>1015520.2500000001</v>
      </c>
      <c r="AJ1087" s="36">
        <f>AJ1085+AJ1086</f>
        <v>1087283.7062500003</v>
      </c>
      <c r="AL1087" s="36">
        <f>AL1085+AL1086</f>
        <v>1165073.5489062504</v>
      </c>
      <c r="AN1087" s="36">
        <f>AN1085+AN1086</f>
        <v>1231892.7376289065</v>
      </c>
      <c r="AO1087" s="36"/>
      <c r="AP1087" s="36">
        <f>AP1085+AP1086</f>
        <v>1300999.3323196291</v>
      </c>
      <c r="AR1087" s="36">
        <f>AR1085+AR1086</f>
        <v>2050756.6453619949</v>
      </c>
      <c r="AT1087" s="36">
        <f>AT1085+AT1086</f>
        <v>1652982.6327171384</v>
      </c>
      <c r="AV1087" s="36">
        <f>AV1085+AV1086</f>
        <v>1457800.2483172154</v>
      </c>
      <c r="AX1087" s="36">
        <f>AX1085+AX1086</f>
        <v>1515338.5817964019</v>
      </c>
      <c r="AZ1087" s="36">
        <f>AZ1085+AZ1086</f>
        <v>1575733.1649761307</v>
      </c>
    </row>
    <row r="1088" spans="1:52" x14ac:dyDescent="0.25">
      <c r="A1088" s="7"/>
      <c r="B1088" s="29"/>
      <c r="D1088" s="29"/>
      <c r="E1088" s="29"/>
      <c r="F1088" s="29"/>
      <c r="H1088" s="31">
        <f t="shared" si="517"/>
        <v>0</v>
      </c>
      <c r="I1088" s="31"/>
      <c r="J1088" s="29"/>
      <c r="K1088" s="29"/>
      <c r="L1088" s="29"/>
      <c r="N1088" s="31">
        <f t="shared" ref="N1088:N1104" si="518">L1088-H1088</f>
        <v>0</v>
      </c>
      <c r="P1088" s="29"/>
      <c r="T1088" s="29"/>
      <c r="Y1088" s="29"/>
      <c r="AE1088" s="29"/>
      <c r="AF1088" s="33"/>
      <c r="AH1088" s="29"/>
      <c r="AJ1088" s="29"/>
      <c r="AL1088" s="29"/>
      <c r="AN1088" s="29"/>
      <c r="AO1088" s="29"/>
      <c r="AP1088" s="29"/>
      <c r="AR1088" s="29"/>
      <c r="AT1088" s="29"/>
      <c r="AV1088" s="29"/>
      <c r="AX1088" s="29"/>
      <c r="AZ1088" s="29"/>
    </row>
    <row r="1089" spans="1:52" x14ac:dyDescent="0.25">
      <c r="A1089" s="7" t="s">
        <v>37</v>
      </c>
      <c r="B1089" s="36">
        <f>B1168</f>
        <v>787250</v>
      </c>
      <c r="C1089" s="32"/>
      <c r="D1089" s="36"/>
      <c r="E1089" s="36"/>
      <c r="F1089" s="36">
        <f>F1168</f>
        <v>787250</v>
      </c>
      <c r="G1089" s="32"/>
      <c r="H1089" s="31">
        <f t="shared" si="517"/>
        <v>0</v>
      </c>
      <c r="I1089" s="31"/>
      <c r="J1089" s="36"/>
      <c r="K1089" s="36"/>
      <c r="L1089" s="36">
        <f>L1168</f>
        <v>780100</v>
      </c>
      <c r="M1089" s="32"/>
      <c r="N1089" s="31">
        <f t="shared" si="516"/>
        <v>-7150</v>
      </c>
      <c r="P1089" s="36">
        <f>P1168</f>
        <v>811739.97499999998</v>
      </c>
      <c r="T1089" s="36">
        <f>T1168</f>
        <v>829139</v>
      </c>
      <c r="U1089" s="3">
        <f t="shared" si="515"/>
        <v>17399.025000000023</v>
      </c>
      <c r="Y1089" s="36">
        <f>Y1168</f>
        <v>859390</v>
      </c>
      <c r="Z1089" s="3">
        <f>Y1089-T1089</f>
        <v>30251</v>
      </c>
      <c r="AE1089" s="36">
        <f>AE1168</f>
        <v>853040</v>
      </c>
      <c r="AF1089" s="33">
        <f>AE1089-Y1089</f>
        <v>-6350</v>
      </c>
      <c r="AH1089" s="36">
        <f>AH1168</f>
        <v>821569.36749999993</v>
      </c>
      <c r="AJ1089" s="36">
        <f>AJ1168</f>
        <v>843664.888041</v>
      </c>
      <c r="AL1089" s="36">
        <f>AL1168</f>
        <v>866725.54419394885</v>
      </c>
      <c r="AN1089" s="36">
        <f>AN1168</f>
        <v>899672.8324149918</v>
      </c>
      <c r="AO1089" s="36"/>
      <c r="AP1089" s="36">
        <f>AP1168</f>
        <v>915599.21238847985</v>
      </c>
      <c r="AR1089" s="36">
        <f>AR1168</f>
        <v>941547.10322197201</v>
      </c>
      <c r="AT1089" s="36">
        <f>AT1168</f>
        <v>978560.85223955463</v>
      </c>
      <c r="AV1089" s="36">
        <f>AV1168</f>
        <v>1006686.8258933491</v>
      </c>
      <c r="AX1089" s="36">
        <f>AX1168</f>
        <v>1035973.5050752984</v>
      </c>
      <c r="AZ1089" s="36">
        <f>AZ1168</f>
        <v>1066471.5850461479</v>
      </c>
    </row>
    <row r="1090" spans="1:52" x14ac:dyDescent="0.25">
      <c r="A1090" s="7" t="s">
        <v>38</v>
      </c>
      <c r="B1090" s="35">
        <f>B1209</f>
        <v>153830</v>
      </c>
      <c r="C1090" s="32"/>
      <c r="D1090" s="36"/>
      <c r="E1090" s="36"/>
      <c r="F1090" s="35">
        <f>F1209</f>
        <v>156530</v>
      </c>
      <c r="G1090" s="32"/>
      <c r="H1090" s="35">
        <f t="shared" si="517"/>
        <v>2700</v>
      </c>
      <c r="I1090" s="36"/>
      <c r="J1090" s="36"/>
      <c r="K1090" s="36"/>
      <c r="L1090" s="35">
        <f>L1209</f>
        <v>133600</v>
      </c>
      <c r="M1090" s="32"/>
      <c r="N1090" s="31">
        <f t="shared" si="516"/>
        <v>-22930</v>
      </c>
      <c r="P1090" s="35">
        <f>P1209</f>
        <v>359050</v>
      </c>
      <c r="T1090" s="35">
        <f>T1209</f>
        <v>359050</v>
      </c>
      <c r="U1090" s="52">
        <f t="shared" si="515"/>
        <v>0</v>
      </c>
      <c r="Y1090" s="35">
        <f>Y1209</f>
        <v>360960</v>
      </c>
      <c r="Z1090" s="52">
        <f>Y1090-T1090</f>
        <v>1910</v>
      </c>
      <c r="AE1090" s="35">
        <f>AE1209</f>
        <v>357990</v>
      </c>
      <c r="AF1090" s="71">
        <f>AE1090-Y1090</f>
        <v>-2970</v>
      </c>
      <c r="AH1090" s="35">
        <f>AH1209</f>
        <v>176550</v>
      </c>
      <c r="AJ1090" s="35">
        <f>AJ1209</f>
        <v>488359</v>
      </c>
      <c r="AL1090" s="35">
        <f>AL1209</f>
        <v>435827.27</v>
      </c>
      <c r="AN1090" s="35">
        <f>AN1209</f>
        <v>319355.08809999999</v>
      </c>
      <c r="AO1090" s="35"/>
      <c r="AP1090" s="35">
        <f>AP1209</f>
        <v>419742.740743</v>
      </c>
      <c r="AR1090" s="35">
        <f>AR1209</f>
        <v>1248190.5229652899</v>
      </c>
      <c r="AT1090" s="35">
        <f>AT1209</f>
        <v>637198.73865424865</v>
      </c>
      <c r="AV1090" s="35">
        <f>AV1209</f>
        <v>517017.70081387617</v>
      </c>
      <c r="AX1090" s="35">
        <f>AX1209</f>
        <v>513047.73183829244</v>
      </c>
      <c r="AZ1090" s="35">
        <f>AZ1209</f>
        <v>513439.1637934412</v>
      </c>
    </row>
    <row r="1091" spans="1:52" x14ac:dyDescent="0.25">
      <c r="A1091" s="3"/>
      <c r="B1091" s="36">
        <f>B1089+B1090</f>
        <v>941080</v>
      </c>
      <c r="C1091" s="32"/>
      <c r="D1091" s="36"/>
      <c r="E1091" s="36"/>
      <c r="F1091" s="36">
        <f>F1089+F1090</f>
        <v>943780</v>
      </c>
      <c r="G1091" s="32"/>
      <c r="H1091" s="31">
        <f t="shared" si="517"/>
        <v>2700</v>
      </c>
      <c r="I1091" s="31"/>
      <c r="J1091" s="36"/>
      <c r="K1091" s="36"/>
      <c r="L1091" s="36">
        <f>L1089+L1090</f>
        <v>913700</v>
      </c>
      <c r="M1091" s="32"/>
      <c r="N1091" s="31">
        <f t="shared" si="516"/>
        <v>-30080</v>
      </c>
      <c r="P1091" s="36">
        <f>P1089+P1090</f>
        <v>1170789.9750000001</v>
      </c>
      <c r="T1091" s="36">
        <f>T1089+T1090</f>
        <v>1188189</v>
      </c>
      <c r="U1091" s="3">
        <f t="shared" si="515"/>
        <v>17399.024999999907</v>
      </c>
      <c r="Y1091" s="36">
        <f>Y1089+Y1090</f>
        <v>1220350</v>
      </c>
      <c r="Z1091" s="3">
        <f>Y1091-T1091</f>
        <v>32161</v>
      </c>
      <c r="AE1091" s="36">
        <f>AE1089+AE1090</f>
        <v>1211030</v>
      </c>
      <c r="AF1091" s="33">
        <f>AE1091-Y1091</f>
        <v>-9320</v>
      </c>
      <c r="AH1091" s="36">
        <f>AH1089+AH1090</f>
        <v>998119.36749999993</v>
      </c>
      <c r="AJ1091" s="36">
        <f>AJ1089+AJ1090</f>
        <v>1332023.8880409999</v>
      </c>
      <c r="AL1091" s="36">
        <f>AL1089+AL1090</f>
        <v>1302552.8141939489</v>
      </c>
      <c r="AN1091" s="36">
        <f>AN1089+AN1090</f>
        <v>1219027.9205149917</v>
      </c>
      <c r="AO1091" s="36"/>
      <c r="AP1091" s="36">
        <f>AP1089+AP1090</f>
        <v>1335341.9531314799</v>
      </c>
      <c r="AR1091" s="36">
        <f>AR1089+AR1090</f>
        <v>2189737.6261872621</v>
      </c>
      <c r="AT1091" s="36">
        <f>AT1089+AT1090</f>
        <v>1615759.5908938032</v>
      </c>
      <c r="AV1091" s="36">
        <f>AV1089+AV1090</f>
        <v>1523704.5267072252</v>
      </c>
      <c r="AX1091" s="36">
        <f>AX1089+AX1090</f>
        <v>1549021.2369135907</v>
      </c>
      <c r="AZ1091" s="36">
        <f>AZ1089+AZ1090</f>
        <v>1579910.7488395891</v>
      </c>
    </row>
    <row r="1092" spans="1:52" x14ac:dyDescent="0.25">
      <c r="A1092" s="3"/>
      <c r="B1092" s="31"/>
      <c r="C1092" s="7"/>
      <c r="D1092" s="31"/>
      <c r="E1092" s="31"/>
      <c r="F1092" s="31"/>
      <c r="G1092" s="7"/>
      <c r="H1092" s="31">
        <f t="shared" si="517"/>
        <v>0</v>
      </c>
      <c r="I1092" s="31"/>
      <c r="J1092" s="31"/>
      <c r="K1092" s="31"/>
      <c r="L1092" s="31"/>
      <c r="M1092" s="32"/>
      <c r="N1092" s="31">
        <f t="shared" si="516"/>
        <v>0</v>
      </c>
      <c r="P1092" s="31"/>
      <c r="T1092" s="31"/>
      <c r="Y1092" s="31"/>
      <c r="AE1092" s="31"/>
      <c r="AF1092" s="33"/>
      <c r="AH1092" s="31"/>
      <c r="AJ1092" s="31"/>
      <c r="AL1092" s="31"/>
      <c r="AN1092" s="31"/>
      <c r="AO1092" s="31"/>
      <c r="AP1092" s="31"/>
      <c r="AR1092" s="31"/>
      <c r="AT1092" s="31"/>
      <c r="AV1092" s="31"/>
      <c r="AX1092" s="31"/>
      <c r="AZ1092" s="31"/>
    </row>
    <row r="1093" spans="1:52" x14ac:dyDescent="0.25">
      <c r="A1093" s="7" t="s">
        <v>41</v>
      </c>
      <c r="B1093" s="35">
        <f>B1087-B1091</f>
        <v>-14079</v>
      </c>
      <c r="C1093" s="32"/>
      <c r="D1093" s="36"/>
      <c r="E1093" s="36"/>
      <c r="F1093" s="35">
        <f>F1087-F1091</f>
        <v>-16779</v>
      </c>
      <c r="G1093" s="32"/>
      <c r="H1093" s="35">
        <f t="shared" si="517"/>
        <v>-2700</v>
      </c>
      <c r="I1093" s="36"/>
      <c r="J1093" s="36"/>
      <c r="K1093" s="36"/>
      <c r="L1093" s="35">
        <f>L1087-L1091</f>
        <v>-12549</v>
      </c>
      <c r="M1093" s="32"/>
      <c r="N1093" s="31">
        <f t="shared" si="516"/>
        <v>4230</v>
      </c>
      <c r="P1093" s="35">
        <f>P1087-P1091</f>
        <v>-19560.975000000093</v>
      </c>
      <c r="T1093" s="35">
        <f>T1087-T1091</f>
        <v>-17959</v>
      </c>
      <c r="U1093" s="52">
        <f t="shared" si="515"/>
        <v>1601.9750000000931</v>
      </c>
      <c r="Y1093" s="35">
        <f>Y1087-Y1091</f>
        <v>-13600</v>
      </c>
      <c r="Z1093" s="52">
        <f>Y1093-T1093</f>
        <v>4359</v>
      </c>
      <c r="AE1093" s="35">
        <f>AE1087-AE1091</f>
        <v>-7870</v>
      </c>
      <c r="AF1093" s="71">
        <f>AE1093-Y1093</f>
        <v>5730</v>
      </c>
      <c r="AH1093" s="35">
        <f>AH1087-AH1091</f>
        <v>17400.882500000182</v>
      </c>
      <c r="AJ1093" s="35">
        <f>AJ1087-AJ1091</f>
        <v>-244740.1817909996</v>
      </c>
      <c r="AL1093" s="35">
        <f>AL1087-AL1091</f>
        <v>-137479.26528769848</v>
      </c>
      <c r="AN1093" s="35">
        <f>AN1087-AN1091</f>
        <v>12864.81711391476</v>
      </c>
      <c r="AO1093" s="35"/>
      <c r="AP1093" s="35">
        <f>AP1087-AP1091</f>
        <v>-34342.620811850764</v>
      </c>
      <c r="AR1093" s="35">
        <f>AR1087-AR1091</f>
        <v>-138980.98082526727</v>
      </c>
      <c r="AT1093" s="35">
        <f>AT1087-AT1091</f>
        <v>37223.041823335225</v>
      </c>
      <c r="AV1093" s="35">
        <f>AV1087-AV1091</f>
        <v>-65904.278390009888</v>
      </c>
      <c r="AX1093" s="35">
        <f>AX1087-AX1091</f>
        <v>-33682.655117188813</v>
      </c>
      <c r="AZ1093" s="35">
        <f>AZ1087-AZ1091</f>
        <v>-4177.5838634583633</v>
      </c>
    </row>
    <row r="1094" spans="1:52" x14ac:dyDescent="0.25">
      <c r="A1094" s="7" t="s">
        <v>42</v>
      </c>
      <c r="B1094" s="36">
        <f>B1083+B1093</f>
        <v>481691</v>
      </c>
      <c r="C1094" s="32"/>
      <c r="D1094" s="36"/>
      <c r="E1094" s="36"/>
      <c r="F1094" s="36">
        <f>F1083+F1093</f>
        <v>787728</v>
      </c>
      <c r="G1094" s="32"/>
      <c r="H1094" s="31">
        <f t="shared" si="517"/>
        <v>306037</v>
      </c>
      <c r="I1094" s="31"/>
      <c r="J1094" s="36"/>
      <c r="K1094" s="36"/>
      <c r="L1094" s="36">
        <f>L1083+L1093</f>
        <v>791958</v>
      </c>
      <c r="M1094" s="32"/>
      <c r="N1094" s="31">
        <f t="shared" si="516"/>
        <v>4230</v>
      </c>
      <c r="P1094" s="36">
        <f>P1083+P1093</f>
        <v>772397.02499999991</v>
      </c>
      <c r="T1094" s="36">
        <f>T1083+T1093</f>
        <v>845675</v>
      </c>
      <c r="U1094" s="3">
        <f t="shared" si="515"/>
        <v>73277.975000000093</v>
      </c>
      <c r="Y1094" s="36">
        <f>Y1083+Y1093</f>
        <v>850034</v>
      </c>
      <c r="Z1094" s="3">
        <f>Y1094-T1094</f>
        <v>4359</v>
      </c>
      <c r="AE1094" s="36">
        <f>AE1083+AE1093</f>
        <v>855764</v>
      </c>
      <c r="AF1094" s="33">
        <f>AE1094-Y1094</f>
        <v>5730</v>
      </c>
      <c r="AH1094" s="36">
        <f>AH1083+AH1093</f>
        <v>789797.90750000009</v>
      </c>
      <c r="AJ1094" s="36">
        <f>AJ1083+AJ1093</f>
        <v>545057.72570900049</v>
      </c>
      <c r="AL1094" s="36">
        <f>AL1083+AL1093</f>
        <v>407578.46042130201</v>
      </c>
      <c r="AN1094" s="36">
        <f>AN1083+AN1093</f>
        <v>420443.27753521677</v>
      </c>
      <c r="AO1094" s="36"/>
      <c r="AP1094" s="36">
        <f>AP1083+AP1093</f>
        <v>386100.656723366</v>
      </c>
      <c r="AR1094" s="36">
        <f>AR1083+AR1093</f>
        <v>247119.67589809874</v>
      </c>
      <c r="AT1094" s="36">
        <f>AT1083+AT1093</f>
        <v>284342.71772143396</v>
      </c>
      <c r="AV1094" s="36">
        <f>AV1083+AV1093</f>
        <v>218438.43933142407</v>
      </c>
      <c r="AX1094" s="36">
        <f>AX1083+AX1093</f>
        <v>184755.78421423526</v>
      </c>
      <c r="AZ1094" s="36">
        <f>AZ1083+AZ1093</f>
        <v>180578.2003507769</v>
      </c>
    </row>
    <row r="1095" spans="1:52" x14ac:dyDescent="0.25">
      <c r="A1095" s="3"/>
      <c r="B1095" s="36"/>
      <c r="C1095" s="32"/>
      <c r="D1095" s="36"/>
      <c r="E1095" s="36"/>
      <c r="F1095" s="36"/>
      <c r="G1095" s="32"/>
      <c r="H1095" s="31">
        <f t="shared" si="517"/>
        <v>0</v>
      </c>
      <c r="I1095" s="31"/>
      <c r="J1095" s="36"/>
      <c r="K1095" s="36"/>
      <c r="L1095" s="36"/>
      <c r="M1095" s="32"/>
      <c r="N1095" s="31">
        <f t="shared" si="518"/>
        <v>0</v>
      </c>
      <c r="P1095" s="36"/>
      <c r="T1095" s="36"/>
      <c r="Y1095" s="36"/>
      <c r="AE1095" s="36"/>
      <c r="AF1095" s="33"/>
      <c r="AH1095" s="36"/>
      <c r="AJ1095" s="36"/>
      <c r="AL1095" s="36"/>
      <c r="AN1095" s="36"/>
      <c r="AO1095" s="36"/>
      <c r="AP1095" s="36"/>
      <c r="AR1095" s="36"/>
      <c r="AT1095" s="36"/>
      <c r="AV1095" s="36"/>
      <c r="AX1095" s="36"/>
      <c r="AZ1095" s="36"/>
    </row>
    <row r="1096" spans="1:52" x14ac:dyDescent="0.25">
      <c r="A1096" s="28" t="s">
        <v>7</v>
      </c>
      <c r="B1096" s="36"/>
      <c r="C1096" s="32"/>
      <c r="D1096" s="36"/>
      <c r="E1096" s="36"/>
      <c r="F1096" s="36"/>
      <c r="G1096" s="32"/>
      <c r="H1096" s="31">
        <f t="shared" si="517"/>
        <v>0</v>
      </c>
      <c r="I1096" s="31"/>
      <c r="J1096" s="36"/>
      <c r="K1096" s="36"/>
      <c r="L1096" s="36"/>
      <c r="M1096" s="32"/>
      <c r="N1096" s="31">
        <f t="shared" si="518"/>
        <v>0</v>
      </c>
      <c r="P1096" s="36"/>
      <c r="T1096" s="36"/>
      <c r="Y1096" s="36"/>
      <c r="AE1096" s="36"/>
      <c r="AF1096" s="33"/>
      <c r="AH1096" s="36"/>
      <c r="AJ1096" s="36"/>
      <c r="AL1096" s="36"/>
      <c r="AN1096" s="36"/>
      <c r="AO1096" s="36"/>
      <c r="AP1096" s="36"/>
      <c r="AR1096" s="36"/>
      <c r="AT1096" s="36"/>
      <c r="AV1096" s="36"/>
      <c r="AX1096" s="36"/>
      <c r="AZ1096" s="36"/>
    </row>
    <row r="1097" spans="1:52" x14ac:dyDescent="0.25">
      <c r="A1097" s="7"/>
      <c r="B1097" s="36"/>
      <c r="C1097" s="32"/>
      <c r="D1097" s="36"/>
      <c r="E1097" s="36"/>
      <c r="F1097" s="36"/>
      <c r="G1097" s="32"/>
      <c r="H1097" s="31">
        <f t="shared" si="517"/>
        <v>0</v>
      </c>
      <c r="I1097" s="31"/>
      <c r="J1097" s="36"/>
      <c r="K1097" s="36"/>
      <c r="L1097" s="36"/>
      <c r="M1097" s="32"/>
      <c r="N1097" s="31">
        <f t="shared" si="518"/>
        <v>0</v>
      </c>
      <c r="P1097" s="36"/>
      <c r="T1097" s="36"/>
      <c r="Y1097" s="36"/>
      <c r="AE1097" s="36"/>
      <c r="AF1097" s="33"/>
      <c r="AH1097" s="36"/>
      <c r="AJ1097" s="36"/>
      <c r="AL1097" s="36"/>
      <c r="AN1097" s="36"/>
      <c r="AO1097" s="36"/>
      <c r="AP1097" s="36"/>
      <c r="AR1097" s="36"/>
      <c r="AT1097" s="36"/>
      <c r="AV1097" s="36"/>
      <c r="AX1097" s="36"/>
      <c r="AZ1097" s="36"/>
    </row>
    <row r="1098" spans="1:52" x14ac:dyDescent="0.25">
      <c r="A1098" s="7"/>
      <c r="B1098" s="36"/>
      <c r="C1098" s="32"/>
      <c r="D1098" s="36"/>
      <c r="E1098" s="36"/>
      <c r="F1098" s="36"/>
      <c r="G1098" s="32"/>
      <c r="H1098" s="31">
        <f t="shared" si="517"/>
        <v>0</v>
      </c>
      <c r="I1098" s="31"/>
      <c r="J1098" s="36"/>
      <c r="K1098" s="36"/>
      <c r="L1098" s="36"/>
      <c r="M1098" s="32"/>
      <c r="N1098" s="31">
        <f t="shared" si="518"/>
        <v>0</v>
      </c>
      <c r="P1098" s="36"/>
      <c r="T1098" s="36"/>
      <c r="Y1098" s="36"/>
      <c r="AE1098" s="36"/>
      <c r="AF1098" s="33"/>
      <c r="AH1098" s="36"/>
      <c r="AJ1098" s="36"/>
      <c r="AL1098" s="36"/>
      <c r="AN1098" s="36"/>
      <c r="AO1098" s="36"/>
      <c r="AP1098" s="36"/>
      <c r="AR1098" s="36"/>
      <c r="AT1098" s="36"/>
      <c r="AV1098" s="36"/>
      <c r="AX1098" s="36"/>
      <c r="AZ1098" s="36"/>
    </row>
    <row r="1099" spans="1:52" x14ac:dyDescent="0.25">
      <c r="A1099" s="7" t="s">
        <v>34</v>
      </c>
      <c r="B1099" s="36">
        <v>532500</v>
      </c>
      <c r="C1099" s="32"/>
      <c r="D1099" s="36"/>
      <c r="E1099" s="36"/>
      <c r="F1099" s="36">
        <v>532500</v>
      </c>
      <c r="G1099" s="32"/>
      <c r="H1099" s="31">
        <f t="shared" si="517"/>
        <v>0</v>
      </c>
      <c r="I1099" s="31"/>
      <c r="J1099" s="36"/>
      <c r="K1099" s="36"/>
      <c r="L1099" s="36">
        <v>532500</v>
      </c>
      <c r="M1099" s="32"/>
      <c r="N1099" s="31">
        <f t="shared" si="518"/>
        <v>532500</v>
      </c>
      <c r="P1099" s="36">
        <v>532500</v>
      </c>
      <c r="T1099" s="36">
        <v>532500</v>
      </c>
      <c r="U1099" s="3">
        <f t="shared" ref="U1099:U1104" si="519">T1099-P1099</f>
        <v>0</v>
      </c>
      <c r="Y1099" s="36">
        <v>532500</v>
      </c>
      <c r="Z1099" s="3">
        <f t="shared" ref="Z1099:Z1104" si="520">Y1099-T1099</f>
        <v>0</v>
      </c>
      <c r="AE1099" s="36">
        <v>532500</v>
      </c>
      <c r="AF1099" s="33">
        <f t="shared" ref="AF1099:AF1104" si="521">AE1099-Y1099</f>
        <v>0</v>
      </c>
      <c r="AH1099" s="36">
        <f>P1104</f>
        <v>336950</v>
      </c>
      <c r="AJ1099" s="36">
        <f>AH1104</f>
        <v>441400</v>
      </c>
      <c r="AL1099" s="36">
        <f>AJ1104</f>
        <v>445850</v>
      </c>
      <c r="AN1099" s="36">
        <f>AL1104</f>
        <v>450300</v>
      </c>
      <c r="AO1099" s="36"/>
      <c r="AP1099" s="36">
        <f>AN1104</f>
        <v>756100</v>
      </c>
      <c r="AR1099" s="36">
        <f>AP1104</f>
        <v>1161900</v>
      </c>
      <c r="AT1099" s="36">
        <f>AR1104</f>
        <v>467700</v>
      </c>
      <c r="AV1099" s="36">
        <f>AT1104</f>
        <v>223500</v>
      </c>
      <c r="AX1099" s="36">
        <f>AV1104</f>
        <v>727850</v>
      </c>
      <c r="AZ1099" s="36">
        <f>AX1104</f>
        <v>1227850</v>
      </c>
    </row>
    <row r="1100" spans="1:52" x14ac:dyDescent="0.25">
      <c r="A1100" s="3"/>
      <c r="B1100" s="36"/>
      <c r="C1100" s="32"/>
      <c r="D1100" s="36"/>
      <c r="E1100" s="36"/>
      <c r="F1100" s="36"/>
      <c r="G1100" s="32"/>
      <c r="H1100" s="31">
        <f t="shared" si="517"/>
        <v>0</v>
      </c>
      <c r="I1100" s="31"/>
      <c r="J1100" s="36"/>
      <c r="K1100" s="36"/>
      <c r="L1100" s="36"/>
      <c r="M1100" s="32"/>
      <c r="N1100" s="31">
        <f t="shared" si="518"/>
        <v>0</v>
      </c>
      <c r="P1100" s="36"/>
      <c r="T1100" s="36"/>
      <c r="U1100" s="3">
        <f t="shared" si="519"/>
        <v>0</v>
      </c>
      <c r="Y1100" s="36"/>
      <c r="Z1100" s="3">
        <f t="shared" si="520"/>
        <v>0</v>
      </c>
      <c r="AE1100" s="36"/>
      <c r="AF1100" s="33">
        <f t="shared" si="521"/>
        <v>0</v>
      </c>
      <c r="AH1100" s="36"/>
      <c r="AJ1100" s="36"/>
      <c r="AL1100" s="36"/>
      <c r="AN1100" s="36"/>
      <c r="AO1100" s="36"/>
      <c r="AP1100" s="36"/>
      <c r="AR1100" s="36"/>
      <c r="AT1100" s="36"/>
      <c r="AV1100" s="36"/>
      <c r="AX1100" s="36"/>
      <c r="AZ1100" s="36"/>
    </row>
    <row r="1101" spans="1:52" x14ac:dyDescent="0.25">
      <c r="A1101" s="7" t="s">
        <v>43</v>
      </c>
      <c r="B1101" s="36">
        <f>B1206</f>
        <v>11900</v>
      </c>
      <c r="C1101" s="32"/>
      <c r="D1101" s="36"/>
      <c r="E1101" s="36"/>
      <c r="F1101" s="36">
        <f>F1206</f>
        <v>11900</v>
      </c>
      <c r="G1101" s="32"/>
      <c r="H1101" s="31">
        <f t="shared" si="517"/>
        <v>0</v>
      </c>
      <c r="I1101" s="31"/>
      <c r="J1101" s="36"/>
      <c r="K1101" s="36"/>
      <c r="L1101" s="36">
        <f>L1206</f>
        <v>11900</v>
      </c>
      <c r="M1101" s="32"/>
      <c r="N1101" s="31">
        <f t="shared" si="518"/>
        <v>11900</v>
      </c>
      <c r="P1101" s="36">
        <f>P1206</f>
        <v>4450</v>
      </c>
      <c r="T1101" s="36">
        <f>T1206</f>
        <v>4450</v>
      </c>
      <c r="U1101" s="3">
        <f t="shared" si="519"/>
        <v>0</v>
      </c>
      <c r="Y1101" s="36">
        <f>Y1206</f>
        <v>4450</v>
      </c>
      <c r="Z1101" s="3">
        <f t="shared" si="520"/>
        <v>0</v>
      </c>
      <c r="AE1101" s="36">
        <f>AE1206</f>
        <v>1480</v>
      </c>
      <c r="AF1101" s="33">
        <f t="shared" si="521"/>
        <v>-2970</v>
      </c>
      <c r="AH1101" s="36">
        <f>AH1206</f>
        <v>104450</v>
      </c>
      <c r="AJ1101" s="36">
        <f>AJ1206</f>
        <v>4450</v>
      </c>
      <c r="AL1101" s="36">
        <f>AL1206</f>
        <v>4450</v>
      </c>
      <c r="AN1101" s="36">
        <f>AN1206</f>
        <v>305800</v>
      </c>
      <c r="AO1101" s="36"/>
      <c r="AP1101" s="36">
        <f>AP1206</f>
        <v>405800</v>
      </c>
      <c r="AR1101" s="36">
        <f>AR1206</f>
        <v>5800</v>
      </c>
      <c r="AT1101" s="36">
        <f>AT1206</f>
        <v>5800</v>
      </c>
      <c r="AV1101" s="36">
        <f>AV1206</f>
        <v>504350</v>
      </c>
      <c r="AX1101" s="36">
        <f>AX1206</f>
        <v>500000</v>
      </c>
      <c r="AZ1101" s="36">
        <f>AZ1206</f>
        <v>500000</v>
      </c>
    </row>
    <row r="1102" spans="1:52" x14ac:dyDescent="0.25">
      <c r="A1102" s="7" t="s">
        <v>44</v>
      </c>
      <c r="B1102" s="35"/>
      <c r="C1102" s="32"/>
      <c r="D1102" s="36"/>
      <c r="E1102" s="36"/>
      <c r="F1102" s="35"/>
      <c r="G1102" s="32"/>
      <c r="H1102" s="35">
        <f t="shared" si="517"/>
        <v>0</v>
      </c>
      <c r="I1102" s="36"/>
      <c r="J1102" s="36"/>
      <c r="K1102" s="36"/>
      <c r="L1102" s="35"/>
      <c r="M1102" s="32"/>
      <c r="N1102" s="35">
        <f t="shared" si="518"/>
        <v>0</v>
      </c>
      <c r="P1102" s="35">
        <f>P1129</f>
        <v>200000</v>
      </c>
      <c r="T1102" s="35">
        <f>T1129</f>
        <v>200000</v>
      </c>
      <c r="U1102" s="52">
        <f t="shared" si="519"/>
        <v>0</v>
      </c>
      <c r="Y1102" s="35">
        <f>Y1129</f>
        <v>200000</v>
      </c>
      <c r="Z1102" s="52">
        <f t="shared" si="520"/>
        <v>0</v>
      </c>
      <c r="AE1102" s="35">
        <f>AE1129</f>
        <v>200000</v>
      </c>
      <c r="AF1102" s="71">
        <f t="shared" si="521"/>
        <v>0</v>
      </c>
      <c r="AH1102" s="35"/>
      <c r="AJ1102" s="35"/>
      <c r="AL1102" s="35"/>
      <c r="AN1102" s="35"/>
      <c r="AO1102" s="35"/>
      <c r="AP1102" s="35"/>
      <c r="AR1102" s="35">
        <f>AR1129</f>
        <v>700000</v>
      </c>
      <c r="AT1102" s="35">
        <f>AT1129</f>
        <v>250000</v>
      </c>
      <c r="AV1102" s="35">
        <f>AV1129</f>
        <v>0</v>
      </c>
      <c r="AX1102" s="35">
        <f>AX1129</f>
        <v>0</v>
      </c>
      <c r="AZ1102" s="35">
        <f>AZ1129</f>
        <v>0</v>
      </c>
    </row>
    <row r="1103" spans="1:52" x14ac:dyDescent="0.25">
      <c r="A1103" s="7" t="s">
        <v>41</v>
      </c>
      <c r="B1103" s="36">
        <f>B1101+B1102</f>
        <v>11900</v>
      </c>
      <c r="C1103" s="32"/>
      <c r="D1103" s="36"/>
      <c r="E1103" s="36"/>
      <c r="F1103" s="36">
        <f>F1101+F1102</f>
        <v>11900</v>
      </c>
      <c r="G1103" s="32"/>
      <c r="H1103" s="31">
        <f t="shared" si="517"/>
        <v>0</v>
      </c>
      <c r="I1103" s="31"/>
      <c r="J1103" s="36"/>
      <c r="K1103" s="36"/>
      <c r="L1103" s="36">
        <f>L1101+L1102</f>
        <v>11900</v>
      </c>
      <c r="M1103" s="32"/>
      <c r="N1103" s="31">
        <f t="shared" si="518"/>
        <v>11900</v>
      </c>
      <c r="P1103" s="36">
        <f>P1101-P1102</f>
        <v>-195550</v>
      </c>
      <c r="T1103" s="36">
        <f>T1101-T1102</f>
        <v>-195550</v>
      </c>
      <c r="U1103" s="3">
        <f t="shared" si="519"/>
        <v>0</v>
      </c>
      <c r="Y1103" s="36">
        <f>Y1101-Y1102</f>
        <v>-195550</v>
      </c>
      <c r="Z1103" s="3">
        <f t="shared" si="520"/>
        <v>0</v>
      </c>
      <c r="AE1103" s="36">
        <f>AE1101-AE1102</f>
        <v>-198520</v>
      </c>
      <c r="AF1103" s="33">
        <f t="shared" si="521"/>
        <v>-2970</v>
      </c>
      <c r="AH1103" s="36">
        <f>AH1101+AH1102</f>
        <v>104450</v>
      </c>
      <c r="AJ1103" s="36">
        <f>AJ1101+AJ1102</f>
        <v>4450</v>
      </c>
      <c r="AL1103" s="36">
        <f>AL1101+AL1102</f>
        <v>4450</v>
      </c>
      <c r="AN1103" s="36">
        <f>AN1101+AN1102</f>
        <v>305800</v>
      </c>
      <c r="AO1103" s="36"/>
      <c r="AP1103" s="36">
        <f>AP1101+AP1102</f>
        <v>405800</v>
      </c>
      <c r="AR1103" s="36">
        <f>AR1101-AR1102</f>
        <v>-694200</v>
      </c>
      <c r="AT1103" s="36">
        <f>AT1101-AT1102</f>
        <v>-244200</v>
      </c>
      <c r="AV1103" s="36">
        <f>AV1101-AV1102</f>
        <v>504350</v>
      </c>
      <c r="AX1103" s="36">
        <f>AX1101-AX1102</f>
        <v>500000</v>
      </c>
      <c r="AZ1103" s="36">
        <f>AZ1101-AZ1102</f>
        <v>500000</v>
      </c>
    </row>
    <row r="1104" spans="1:52" x14ac:dyDescent="0.25">
      <c r="A1104" s="7" t="s">
        <v>42</v>
      </c>
      <c r="B1104" s="36">
        <f>B1099+B1103</f>
        <v>544400</v>
      </c>
      <c r="C1104" s="32"/>
      <c r="D1104" s="36"/>
      <c r="E1104" s="36"/>
      <c r="F1104" s="36">
        <f>F1099+F1103</f>
        <v>544400</v>
      </c>
      <c r="G1104" s="32"/>
      <c r="H1104" s="31">
        <f t="shared" si="517"/>
        <v>0</v>
      </c>
      <c r="I1104" s="31"/>
      <c r="J1104" s="36"/>
      <c r="K1104" s="36"/>
      <c r="L1104" s="36">
        <f>L1099+L1103</f>
        <v>544400</v>
      </c>
      <c r="M1104" s="32"/>
      <c r="N1104" s="31">
        <f t="shared" si="518"/>
        <v>544400</v>
      </c>
      <c r="P1104" s="36">
        <f>P1099+P1103</f>
        <v>336950</v>
      </c>
      <c r="T1104" s="36">
        <f>T1099+T1103</f>
        <v>336950</v>
      </c>
      <c r="U1104" s="3">
        <f t="shared" si="519"/>
        <v>0</v>
      </c>
      <c r="Y1104" s="36">
        <f>Y1099+Y1103</f>
        <v>336950</v>
      </c>
      <c r="Z1104" s="3">
        <f t="shared" si="520"/>
        <v>0</v>
      </c>
      <c r="AE1104" s="36">
        <f>AE1099+AE1103</f>
        <v>333980</v>
      </c>
      <c r="AF1104" s="33">
        <f t="shared" si="521"/>
        <v>-2970</v>
      </c>
      <c r="AH1104" s="36">
        <f>AH1099+AH1103</f>
        <v>441400</v>
      </c>
      <c r="AJ1104" s="36">
        <f>AJ1099+AJ1103</f>
        <v>445850</v>
      </c>
      <c r="AL1104" s="36">
        <f>AL1099+AL1103</f>
        <v>450300</v>
      </c>
      <c r="AN1104" s="36">
        <f>AN1099+AN1103</f>
        <v>756100</v>
      </c>
      <c r="AO1104" s="36"/>
      <c r="AP1104" s="36">
        <f>AP1099+AP1103</f>
        <v>1161900</v>
      </c>
      <c r="AR1104" s="36">
        <f>AR1099+AR1103</f>
        <v>467700</v>
      </c>
      <c r="AT1104" s="36">
        <f>AT1099+AT1103</f>
        <v>223500</v>
      </c>
      <c r="AV1104" s="36">
        <f>AV1099+AV1103</f>
        <v>727850</v>
      </c>
      <c r="AX1104" s="36">
        <f>AX1099+AX1103</f>
        <v>1227850</v>
      </c>
      <c r="AZ1104" s="36">
        <f>AZ1099+AZ1103</f>
        <v>1727850</v>
      </c>
    </row>
    <row r="1105" spans="1:52" x14ac:dyDescent="0.25">
      <c r="A1105" s="7"/>
    </row>
    <row r="1106" spans="1:52" x14ac:dyDescent="0.25">
      <c r="A1106" s="1" t="s">
        <v>806</v>
      </c>
    </row>
    <row r="1107" spans="1:52" x14ac:dyDescent="0.25">
      <c r="A1107" s="28" t="s">
        <v>46</v>
      </c>
    </row>
    <row r="1108" spans="1:52" x14ac:dyDescent="0.25">
      <c r="A1108" s="7" t="s">
        <v>807</v>
      </c>
      <c r="B1108" s="5">
        <f>158800-6300</f>
        <v>152500</v>
      </c>
      <c r="E1108" s="3">
        <f>F1108-D1108</f>
        <v>152500</v>
      </c>
      <c r="F1108" s="5">
        <f>158800-6300</f>
        <v>152500</v>
      </c>
      <c r="H1108" s="5">
        <f>F1108-B1108</f>
        <v>0</v>
      </c>
      <c r="J1108" s="5">
        <v>84665</v>
      </c>
      <c r="K1108" s="4">
        <f>L1108-J1108</f>
        <v>75335</v>
      </c>
      <c r="L1108" s="4">
        <v>160000</v>
      </c>
      <c r="N1108" s="4">
        <f>L1108-F1108</f>
        <v>7500</v>
      </c>
      <c r="P1108" s="3">
        <f>L1108*1.1</f>
        <v>176000</v>
      </c>
      <c r="Q1108" s="3"/>
      <c r="R1108" s="3">
        <v>0</v>
      </c>
      <c r="S1108" s="3">
        <f>T1108-R1108</f>
        <v>176000</v>
      </c>
      <c r="T1108" s="3">
        <v>176000</v>
      </c>
      <c r="U1108" s="3">
        <f>T1108-P1108</f>
        <v>0</v>
      </c>
      <c r="V1108" s="3">
        <v>94500</v>
      </c>
      <c r="W1108" s="3">
        <f>Y1108-V1108</f>
        <v>85500</v>
      </c>
      <c r="X1108" s="3"/>
      <c r="Y1108" s="3">
        <v>180000</v>
      </c>
      <c r="Z1108" s="3">
        <f>Y1108-T1108</f>
        <v>4000</v>
      </c>
      <c r="AA1108" s="3"/>
      <c r="AB1108" s="3"/>
      <c r="AC1108" s="3">
        <v>91308</v>
      </c>
      <c r="AD1108" s="3">
        <f>AE1108-AC1108</f>
        <v>88692</v>
      </c>
      <c r="AE1108" s="3">
        <v>180000</v>
      </c>
      <c r="AF1108" s="3">
        <f>AE1108-Y1108</f>
        <v>0</v>
      </c>
      <c r="AG1108" s="3"/>
      <c r="AH1108" s="3">
        <f>P1108*1.1+4000</f>
        <v>197600.00000000003</v>
      </c>
      <c r="AI1108" s="3"/>
      <c r="AJ1108" s="3">
        <f t="shared" ref="AJ1108:AL1109" si="522">AH1108*1.1</f>
        <v>217360.00000000006</v>
      </c>
      <c r="AK1108" s="3">
        <f t="shared" si="522"/>
        <v>0</v>
      </c>
      <c r="AL1108" s="3">
        <f t="shared" si="522"/>
        <v>239096.00000000009</v>
      </c>
      <c r="AM1108" s="3"/>
      <c r="AN1108" s="3">
        <f>AL1108*1.075</f>
        <v>257028.20000000007</v>
      </c>
      <c r="AO1108" s="3"/>
      <c r="AP1108" s="3">
        <f>AN1108*1.075</f>
        <v>276305.31500000006</v>
      </c>
      <c r="AQ1108" s="42"/>
      <c r="AR1108" s="3">
        <f>AP1108*1.05</f>
        <v>290120.58075000008</v>
      </c>
      <c r="AS1108" s="42"/>
      <c r="AT1108" s="3">
        <f>AR1108*1.05</f>
        <v>304626.60978750011</v>
      </c>
      <c r="AU1108" s="42"/>
      <c r="AV1108" s="3">
        <f>AT1108*1.05</f>
        <v>319857.94027687516</v>
      </c>
      <c r="AW1108" s="42"/>
      <c r="AX1108" s="3">
        <f>AV1108*1.05</f>
        <v>335850.83729071892</v>
      </c>
      <c r="AZ1108" s="3">
        <f>AX1108*1.05</f>
        <v>352643.37915525486</v>
      </c>
    </row>
    <row r="1109" spans="1:52" x14ac:dyDescent="0.25">
      <c r="A1109" s="7" t="s">
        <v>808</v>
      </c>
      <c r="B1109" s="5">
        <f>489230 -41730</f>
        <v>447500</v>
      </c>
      <c r="D1109" s="5">
        <v>-37</v>
      </c>
      <c r="E1109" s="3">
        <f>F1109-D1109</f>
        <v>447537</v>
      </c>
      <c r="F1109" s="5">
        <f>489230 -41730</f>
        <v>447500</v>
      </c>
      <c r="H1109" s="5">
        <f>F1109-B1109</f>
        <v>0</v>
      </c>
      <c r="J1109" s="5">
        <v>166691</v>
      </c>
      <c r="K1109" s="4">
        <f>L1109-J1109</f>
        <v>243309</v>
      </c>
      <c r="L1109" s="4">
        <v>410000</v>
      </c>
      <c r="N1109" s="4">
        <f>L1109-F1109</f>
        <v>-37500</v>
      </c>
      <c r="P1109" s="3">
        <f>L1109*1.1</f>
        <v>451000.00000000006</v>
      </c>
      <c r="Q1109" s="3"/>
      <c r="R1109" s="3">
        <v>0</v>
      </c>
      <c r="S1109" s="3">
        <f>T1109-R1109</f>
        <v>451000</v>
      </c>
      <c r="T1109" s="3">
        <v>451000</v>
      </c>
      <c r="U1109" s="3">
        <f>T1109-P1109</f>
        <v>0</v>
      </c>
      <c r="V1109" s="3">
        <v>239411</v>
      </c>
      <c r="W1109" s="3">
        <f>Y1109-V1109</f>
        <v>230589</v>
      </c>
      <c r="X1109" s="3"/>
      <c r="Y1109" s="3">
        <v>470000</v>
      </c>
      <c r="Z1109" s="3">
        <f>Y1109-T1109</f>
        <v>19000</v>
      </c>
      <c r="AA1109" s="3"/>
      <c r="AB1109" s="3"/>
      <c r="AC1109" s="3">
        <v>222238</v>
      </c>
      <c r="AD1109" s="3">
        <f>AE1109-AC1109</f>
        <v>247762</v>
      </c>
      <c r="AE1109" s="3">
        <v>470000</v>
      </c>
      <c r="AF1109" s="3">
        <f>AE1109-Y1109</f>
        <v>0</v>
      </c>
      <c r="AG1109" s="3"/>
      <c r="AH1109" s="3">
        <f>P1109*1.1+7000</f>
        <v>503100.00000000012</v>
      </c>
      <c r="AI1109" s="3"/>
      <c r="AJ1109" s="3">
        <f t="shared" si="522"/>
        <v>553410.00000000012</v>
      </c>
      <c r="AK1109" s="3">
        <f t="shared" si="522"/>
        <v>0</v>
      </c>
      <c r="AL1109" s="3">
        <f t="shared" si="522"/>
        <v>608751.00000000023</v>
      </c>
      <c r="AM1109" s="3"/>
      <c r="AN1109" s="3">
        <f>AL1109*1.075</f>
        <v>654407.32500000019</v>
      </c>
      <c r="AO1109" s="3"/>
      <c r="AP1109" s="3">
        <f>AN1109*1.075</f>
        <v>703487.87437500013</v>
      </c>
      <c r="AQ1109" s="42"/>
      <c r="AR1109" s="3">
        <f>AP1109*1.05</f>
        <v>738662.26809375011</v>
      </c>
      <c r="AS1109" s="42"/>
      <c r="AT1109" s="3">
        <f>AR1109*1.05</f>
        <v>775595.38149843761</v>
      </c>
      <c r="AU1109" s="42"/>
      <c r="AV1109" s="3">
        <f>AT1109*1.05</f>
        <v>814375.15057335957</v>
      </c>
      <c r="AW1109" s="42"/>
      <c r="AX1109" s="3">
        <f>AV1109*1.05</f>
        <v>855093.90810202761</v>
      </c>
      <c r="AZ1109" s="3">
        <f>AX1109*1.05</f>
        <v>897848.60350712901</v>
      </c>
    </row>
    <row r="1110" spans="1:52" x14ac:dyDescent="0.25">
      <c r="A1110" s="7"/>
      <c r="B1110" s="72">
        <f>SUM(B1108:B1109)</f>
        <v>600000</v>
      </c>
      <c r="C1110" s="32"/>
      <c r="D1110" s="72">
        <f>SUM(D1108:D1109)</f>
        <v>-37</v>
      </c>
      <c r="E1110" s="72">
        <f>SUM(E1108:E1109)</f>
        <v>600037</v>
      </c>
      <c r="F1110" s="72">
        <f>SUM(F1108:F1109)</f>
        <v>600000</v>
      </c>
      <c r="G1110" s="32"/>
      <c r="H1110" s="72">
        <f>SUM(H1108:H1109)</f>
        <v>0</v>
      </c>
      <c r="I1110" s="36"/>
      <c r="J1110" s="72">
        <f>SUM(J1108:J1109)</f>
        <v>251356</v>
      </c>
      <c r="K1110" s="72">
        <f>SUM(K1108:K1109)</f>
        <v>318644</v>
      </c>
      <c r="L1110" s="72">
        <f>SUM(L1108:L1109)</f>
        <v>570000</v>
      </c>
      <c r="M1110" s="32"/>
      <c r="N1110" s="72">
        <f>SUM(N1108:N1109)</f>
        <v>-30000</v>
      </c>
      <c r="P1110" s="72">
        <f>SUM(P1108:P1109)</f>
        <v>627000</v>
      </c>
      <c r="R1110" s="72">
        <f t="shared" ref="R1110:Z1110" si="523">SUM(R1108:R1109)</f>
        <v>0</v>
      </c>
      <c r="S1110" s="72">
        <f t="shared" si="523"/>
        <v>627000</v>
      </c>
      <c r="T1110" s="72">
        <f t="shared" si="523"/>
        <v>627000</v>
      </c>
      <c r="U1110" s="72">
        <f t="shared" si="523"/>
        <v>0</v>
      </c>
      <c r="V1110" s="72">
        <f t="shared" si="523"/>
        <v>333911</v>
      </c>
      <c r="W1110" s="72">
        <f t="shared" si="523"/>
        <v>316089</v>
      </c>
      <c r="X1110" s="72"/>
      <c r="Y1110" s="72">
        <f t="shared" si="523"/>
        <v>650000</v>
      </c>
      <c r="Z1110" s="72">
        <f t="shared" si="523"/>
        <v>23000</v>
      </c>
      <c r="AC1110" s="72">
        <f>SUM(AC1108:AC1109)</f>
        <v>313546</v>
      </c>
      <c r="AD1110" s="72">
        <f>SUM(AD1108:AD1109)</f>
        <v>336454</v>
      </c>
      <c r="AE1110" s="72">
        <f>SUM(AE1108:AE1109)</f>
        <v>650000</v>
      </c>
      <c r="AF1110" s="72">
        <f>SUM(AF1108:AF1109)</f>
        <v>0</v>
      </c>
      <c r="AH1110" s="72">
        <f>SUM(AH1108:AH1109)</f>
        <v>700700.00000000012</v>
      </c>
      <c r="AJ1110" s="72">
        <f>SUM(AJ1108:AJ1109)</f>
        <v>770770.00000000023</v>
      </c>
      <c r="AL1110" s="72">
        <f>SUM(AL1108:AL1109)</f>
        <v>847847.00000000035</v>
      </c>
      <c r="AN1110" s="72">
        <f>SUM(AN1108:AN1109)</f>
        <v>911435.52500000026</v>
      </c>
      <c r="AO1110" s="72"/>
      <c r="AP1110" s="72">
        <f>SUM(AP1108:AP1109)</f>
        <v>979793.18937500019</v>
      </c>
      <c r="AR1110" s="72">
        <f>SUM(AR1108:AR1109)</f>
        <v>1028782.8488437502</v>
      </c>
      <c r="AT1110" s="72">
        <f>SUM(AT1108:AT1109)</f>
        <v>1080221.9912859378</v>
      </c>
      <c r="AV1110" s="72">
        <f>SUM(AV1108:AV1109)</f>
        <v>1134233.0908502347</v>
      </c>
      <c r="AX1110" s="72">
        <f>SUM(AX1108:AX1109)</f>
        <v>1190944.7453927465</v>
      </c>
      <c r="AZ1110" s="72">
        <f>SUM(AZ1108:AZ1109)</f>
        <v>1250491.9826623839</v>
      </c>
    </row>
    <row r="1111" spans="1:52" x14ac:dyDescent="0.25">
      <c r="A1111" s="7" t="s">
        <v>809</v>
      </c>
    </row>
    <row r="1112" spans="1:52" x14ac:dyDescent="0.25">
      <c r="A1112" s="3" t="s">
        <v>810</v>
      </c>
      <c r="B1112" s="3">
        <v>8200</v>
      </c>
      <c r="D1112" s="3">
        <v>840</v>
      </c>
      <c r="E1112" s="3">
        <f t="shared" ref="E1112:E1124" si="524">F1112-D1112</f>
        <v>7360</v>
      </c>
      <c r="F1112" s="5">
        <v>8200</v>
      </c>
      <c r="H1112" s="5">
        <f t="shared" ref="H1112:H1124" si="525">F1112-B1112</f>
        <v>0</v>
      </c>
      <c r="J1112" s="5">
        <v>9894</v>
      </c>
      <c r="K1112" s="4">
        <f t="shared" ref="K1112:K1124" si="526">L1112-J1112</f>
        <v>3306</v>
      </c>
      <c r="L1112" s="4">
        <v>13200</v>
      </c>
      <c r="N1112" s="4">
        <f t="shared" ref="N1112:N1124" si="527">L1112-F1112</f>
        <v>5000</v>
      </c>
      <c r="P1112" s="3">
        <f>L1112*1.025</f>
        <v>13529.999999999998</v>
      </c>
      <c r="Q1112" s="3"/>
      <c r="R1112" s="3">
        <v>890</v>
      </c>
      <c r="S1112" s="3">
        <f t="shared" ref="S1112:S1124" si="528">T1112-R1112</f>
        <v>12640</v>
      </c>
      <c r="T1112" s="3">
        <v>13530</v>
      </c>
      <c r="U1112" s="3">
        <f t="shared" ref="U1112:U1124" si="529">T1112-P1112</f>
        <v>0</v>
      </c>
      <c r="V1112" s="3">
        <v>2995</v>
      </c>
      <c r="W1112" s="3">
        <f t="shared" ref="W1112:W1124" si="530">Y1112-V1112</f>
        <v>4005</v>
      </c>
      <c r="X1112" s="3"/>
      <c r="Y1112" s="3">
        <v>7000</v>
      </c>
      <c r="Z1112" s="3">
        <f t="shared" ref="Z1112:Z1124" si="531">Y1112-T1112</f>
        <v>-6530</v>
      </c>
      <c r="AA1112" s="3"/>
      <c r="AB1112" s="3"/>
      <c r="AC1112" s="3">
        <v>2995</v>
      </c>
      <c r="AD1112" s="3">
        <f t="shared" ref="AD1112:AD1124" si="532">AE1112-AC1112</f>
        <v>1505</v>
      </c>
      <c r="AE1112" s="3">
        <v>4500</v>
      </c>
      <c r="AF1112" s="3">
        <f t="shared" ref="AF1112:AF1124" si="533">AE1112-Y1112</f>
        <v>-2500</v>
      </c>
      <c r="AG1112" s="3"/>
      <c r="AH1112" s="3">
        <f>AE1112*1.025-13</f>
        <v>4599.5</v>
      </c>
      <c r="AI1112" s="3"/>
      <c r="AJ1112" s="3">
        <f t="shared" ref="AJ1112:AZ1116" si="534">AH1112*1.025</f>
        <v>4714.4874999999993</v>
      </c>
      <c r="AK1112" s="3">
        <f t="shared" si="534"/>
        <v>0</v>
      </c>
      <c r="AL1112" s="3">
        <f t="shared" si="534"/>
        <v>4832.3496874999992</v>
      </c>
      <c r="AM1112" s="3">
        <f t="shared" si="534"/>
        <v>0</v>
      </c>
      <c r="AN1112" s="3">
        <f t="shared" si="534"/>
        <v>4953.1584296874989</v>
      </c>
      <c r="AO1112" s="3"/>
      <c r="AP1112" s="3">
        <f>AN1112*1.025</f>
        <v>5076.9873904296855</v>
      </c>
      <c r="AQ1112" s="3"/>
      <c r="AR1112" s="3">
        <f t="shared" si="534"/>
        <v>5203.9120751904275</v>
      </c>
      <c r="AS1112" s="3">
        <f t="shared" si="534"/>
        <v>0</v>
      </c>
      <c r="AT1112" s="3">
        <f t="shared" si="534"/>
        <v>5334.0098770701879</v>
      </c>
      <c r="AU1112" s="3">
        <f t="shared" si="534"/>
        <v>0</v>
      </c>
      <c r="AV1112" s="3">
        <f t="shared" si="534"/>
        <v>5467.3601239969421</v>
      </c>
      <c r="AW1112" s="3"/>
      <c r="AX1112" s="3">
        <f t="shared" si="534"/>
        <v>5604.0441270968649</v>
      </c>
      <c r="AZ1112" s="3">
        <f t="shared" si="534"/>
        <v>5744.1452302742864</v>
      </c>
    </row>
    <row r="1113" spans="1:52" x14ac:dyDescent="0.25">
      <c r="A1113" s="3" t="s">
        <v>811</v>
      </c>
      <c r="B1113" s="3">
        <v>1650</v>
      </c>
      <c r="D1113" s="3">
        <v>624</v>
      </c>
      <c r="E1113" s="3">
        <f t="shared" si="524"/>
        <v>1026</v>
      </c>
      <c r="F1113" s="5">
        <v>1650</v>
      </c>
      <c r="H1113" s="5">
        <f t="shared" si="525"/>
        <v>0</v>
      </c>
      <c r="J1113" s="5">
        <v>1281</v>
      </c>
      <c r="K1113" s="4">
        <f t="shared" si="526"/>
        <v>519</v>
      </c>
      <c r="L1113" s="4">
        <v>1800</v>
      </c>
      <c r="N1113" s="4">
        <f t="shared" si="527"/>
        <v>150</v>
      </c>
      <c r="P1113" s="3">
        <f>L1113*1.025+5</f>
        <v>1849.9999999999998</v>
      </c>
      <c r="Q1113" s="3"/>
      <c r="R1113" s="3">
        <v>790</v>
      </c>
      <c r="S1113" s="3">
        <f t="shared" si="528"/>
        <v>1060</v>
      </c>
      <c r="T1113" s="3">
        <v>1850</v>
      </c>
      <c r="U1113" s="3">
        <f t="shared" si="529"/>
        <v>0</v>
      </c>
      <c r="V1113" s="3">
        <v>1303</v>
      </c>
      <c r="W1113" s="3">
        <f t="shared" si="530"/>
        <v>697</v>
      </c>
      <c r="X1113" s="3"/>
      <c r="Y1113" s="3">
        <v>2000</v>
      </c>
      <c r="Z1113" s="3">
        <f t="shared" si="531"/>
        <v>150</v>
      </c>
      <c r="AA1113" s="3"/>
      <c r="AB1113" s="3"/>
      <c r="AC1113" s="3">
        <v>2289</v>
      </c>
      <c r="AD1113" s="3">
        <f t="shared" si="532"/>
        <v>511</v>
      </c>
      <c r="AE1113" s="3">
        <v>2800</v>
      </c>
      <c r="AF1113" s="3">
        <f t="shared" si="533"/>
        <v>800</v>
      </c>
      <c r="AG1113" s="3"/>
      <c r="AH1113" s="3">
        <f>AE1113*1.025</f>
        <v>2869.9999999999995</v>
      </c>
      <c r="AI1113" s="3"/>
      <c r="AJ1113" s="3">
        <f t="shared" si="534"/>
        <v>2941.7499999999991</v>
      </c>
      <c r="AK1113" s="3">
        <f t="shared" si="534"/>
        <v>0</v>
      </c>
      <c r="AL1113" s="3">
        <f t="shared" si="534"/>
        <v>3015.2937499999989</v>
      </c>
      <c r="AM1113" s="3">
        <f t="shared" si="534"/>
        <v>0</v>
      </c>
      <c r="AN1113" s="3">
        <f t="shared" si="534"/>
        <v>3090.6760937499985</v>
      </c>
      <c r="AO1113" s="3"/>
      <c r="AP1113" s="3">
        <f>AN1113*1.025</f>
        <v>3167.9429960937482</v>
      </c>
      <c r="AQ1113" s="3"/>
      <c r="AR1113" s="3">
        <f t="shared" si="534"/>
        <v>3247.1415709960916</v>
      </c>
      <c r="AS1113" s="3">
        <f t="shared" si="534"/>
        <v>0</v>
      </c>
      <c r="AT1113" s="3">
        <f t="shared" si="534"/>
        <v>3328.3201102709936</v>
      </c>
      <c r="AU1113" s="3">
        <f t="shared" si="534"/>
        <v>0</v>
      </c>
      <c r="AV1113" s="3">
        <f t="shared" si="534"/>
        <v>3411.5281130277681</v>
      </c>
      <c r="AW1113" s="3"/>
      <c r="AX1113" s="3">
        <f t="shared" si="534"/>
        <v>3496.8163158534621</v>
      </c>
      <c r="AZ1113" s="3">
        <f t="shared" si="534"/>
        <v>3584.2367237497983</v>
      </c>
    </row>
    <row r="1114" spans="1:52" x14ac:dyDescent="0.25">
      <c r="A1114" s="3" t="s">
        <v>812</v>
      </c>
      <c r="B1114" s="3"/>
      <c r="D1114" s="3"/>
      <c r="E1114" s="3">
        <f t="shared" si="524"/>
        <v>0</v>
      </c>
      <c r="H1114" s="5">
        <f t="shared" si="525"/>
        <v>0</v>
      </c>
      <c r="K1114" s="4">
        <f t="shared" si="526"/>
        <v>0</v>
      </c>
      <c r="L1114" s="4"/>
      <c r="N1114" s="4">
        <f t="shared" si="527"/>
        <v>0</v>
      </c>
      <c r="P1114" s="3"/>
      <c r="Q1114" s="3"/>
      <c r="R1114" s="3"/>
      <c r="S1114" s="3">
        <f t="shared" si="528"/>
        <v>0</v>
      </c>
      <c r="T1114" s="3"/>
      <c r="U1114" s="3">
        <f t="shared" si="529"/>
        <v>0</v>
      </c>
      <c r="V1114" s="3"/>
      <c r="W1114" s="3">
        <f t="shared" si="530"/>
        <v>0</v>
      </c>
      <c r="X1114" s="3"/>
      <c r="Y1114" s="3"/>
      <c r="Z1114" s="3">
        <f t="shared" si="531"/>
        <v>0</v>
      </c>
      <c r="AA1114" s="3"/>
      <c r="AB1114" s="3"/>
      <c r="AC1114" s="3"/>
      <c r="AD1114" s="3">
        <f t="shared" si="532"/>
        <v>0</v>
      </c>
      <c r="AE1114" s="3"/>
      <c r="AF1114" s="3">
        <f t="shared" si="533"/>
        <v>0</v>
      </c>
      <c r="AG1114" s="3"/>
      <c r="AH1114" s="3">
        <f>P1114*1.025</f>
        <v>0</v>
      </c>
      <c r="AI1114" s="3"/>
      <c r="AJ1114" s="3">
        <f t="shared" si="534"/>
        <v>0</v>
      </c>
      <c r="AK1114" s="3">
        <f t="shared" si="534"/>
        <v>0</v>
      </c>
      <c r="AL1114" s="3">
        <f t="shared" si="534"/>
        <v>0</v>
      </c>
      <c r="AM1114" s="3">
        <f t="shared" si="534"/>
        <v>0</v>
      </c>
      <c r="AN1114" s="3">
        <f t="shared" si="534"/>
        <v>0</v>
      </c>
      <c r="AO1114" s="3"/>
      <c r="AP1114" s="3">
        <f>AN1114*1.025</f>
        <v>0</v>
      </c>
      <c r="AQ1114" s="3"/>
      <c r="AR1114" s="3">
        <f t="shared" si="534"/>
        <v>0</v>
      </c>
      <c r="AS1114" s="3">
        <f t="shared" si="534"/>
        <v>0</v>
      </c>
      <c r="AT1114" s="3">
        <f t="shared" si="534"/>
        <v>0</v>
      </c>
      <c r="AU1114" s="3">
        <f t="shared" si="534"/>
        <v>0</v>
      </c>
      <c r="AV1114" s="3">
        <f t="shared" si="534"/>
        <v>0</v>
      </c>
      <c r="AW1114" s="3"/>
      <c r="AX1114" s="3">
        <f t="shared" si="534"/>
        <v>0</v>
      </c>
      <c r="AZ1114" s="3">
        <f t="shared" si="534"/>
        <v>0</v>
      </c>
    </row>
    <row r="1115" spans="1:52" x14ac:dyDescent="0.25">
      <c r="A1115" s="3" t="s">
        <v>813</v>
      </c>
      <c r="B1115" s="3">
        <v>300</v>
      </c>
      <c r="D1115" s="3"/>
      <c r="E1115" s="3">
        <f t="shared" si="524"/>
        <v>300</v>
      </c>
      <c r="F1115" s="5">
        <v>300</v>
      </c>
      <c r="H1115" s="5">
        <f t="shared" si="525"/>
        <v>0</v>
      </c>
      <c r="J1115" s="5">
        <v>225</v>
      </c>
      <c r="K1115" s="4">
        <f t="shared" si="526"/>
        <v>75</v>
      </c>
      <c r="L1115" s="4">
        <v>300</v>
      </c>
      <c r="N1115" s="4">
        <f t="shared" si="527"/>
        <v>0</v>
      </c>
      <c r="P1115" s="3">
        <f>L1115*1.025-8</f>
        <v>299.5</v>
      </c>
      <c r="Q1115" s="3"/>
      <c r="R1115" s="3"/>
      <c r="S1115" s="3">
        <f t="shared" si="528"/>
        <v>300</v>
      </c>
      <c r="T1115" s="3">
        <v>300</v>
      </c>
      <c r="U1115" s="3">
        <f t="shared" si="529"/>
        <v>0.5</v>
      </c>
      <c r="V1115" s="3"/>
      <c r="W1115" s="3">
        <f t="shared" si="530"/>
        <v>300</v>
      </c>
      <c r="X1115" s="3"/>
      <c r="Y1115" s="3">
        <v>300</v>
      </c>
      <c r="Z1115" s="3">
        <f t="shared" si="531"/>
        <v>0</v>
      </c>
      <c r="AA1115" s="3"/>
      <c r="AB1115" s="3"/>
      <c r="AC1115" s="3">
        <v>200</v>
      </c>
      <c r="AD1115" s="3">
        <f t="shared" si="532"/>
        <v>100</v>
      </c>
      <c r="AE1115" s="3">
        <v>300</v>
      </c>
      <c r="AF1115" s="3">
        <f t="shared" si="533"/>
        <v>0</v>
      </c>
      <c r="AG1115" s="3"/>
      <c r="AH1115" s="3">
        <f>AE1115*1.025-8</f>
        <v>299.5</v>
      </c>
      <c r="AI1115" s="3"/>
      <c r="AJ1115" s="3">
        <f t="shared" si="534"/>
        <v>306.98749999999995</v>
      </c>
      <c r="AK1115" s="3">
        <f t="shared" si="534"/>
        <v>0</v>
      </c>
      <c r="AL1115" s="3">
        <f t="shared" si="534"/>
        <v>314.6621874999999</v>
      </c>
      <c r="AM1115" s="3">
        <f t="shared" si="534"/>
        <v>0</v>
      </c>
      <c r="AN1115" s="3">
        <f t="shared" si="534"/>
        <v>322.52874218749986</v>
      </c>
      <c r="AO1115" s="3"/>
      <c r="AP1115" s="3">
        <f>AN1115*1.025</f>
        <v>330.59196074218733</v>
      </c>
      <c r="AQ1115" s="3"/>
      <c r="AR1115" s="3">
        <f t="shared" si="534"/>
        <v>338.85675976074197</v>
      </c>
      <c r="AS1115" s="3">
        <f t="shared" si="534"/>
        <v>0</v>
      </c>
      <c r="AT1115" s="3">
        <f t="shared" si="534"/>
        <v>347.32817875476047</v>
      </c>
      <c r="AU1115" s="3">
        <f t="shared" si="534"/>
        <v>0</v>
      </c>
      <c r="AV1115" s="3">
        <f t="shared" si="534"/>
        <v>356.01138322362948</v>
      </c>
      <c r="AW1115" s="3"/>
      <c r="AX1115" s="3">
        <f t="shared" si="534"/>
        <v>364.9116678042202</v>
      </c>
      <c r="AZ1115" s="3">
        <f t="shared" si="534"/>
        <v>374.03445949932569</v>
      </c>
    </row>
    <row r="1116" spans="1:52" x14ac:dyDescent="0.25">
      <c r="A1116" s="3" t="s">
        <v>814</v>
      </c>
      <c r="B1116" s="3">
        <v>3500</v>
      </c>
      <c r="D1116" s="3">
        <v>497</v>
      </c>
      <c r="E1116" s="3">
        <f t="shared" si="524"/>
        <v>3003</v>
      </c>
      <c r="F1116" s="5">
        <v>3500</v>
      </c>
      <c r="H1116" s="5">
        <f t="shared" si="525"/>
        <v>0</v>
      </c>
      <c r="J1116" s="5">
        <v>1182</v>
      </c>
      <c r="K1116" s="4">
        <f t="shared" si="526"/>
        <v>1318</v>
      </c>
      <c r="L1116" s="4">
        <v>2500</v>
      </c>
      <c r="N1116" s="4">
        <f t="shared" si="527"/>
        <v>-1000</v>
      </c>
      <c r="P1116" s="3">
        <f>L1116*1.025+37</f>
        <v>2599.5</v>
      </c>
      <c r="Q1116" s="3"/>
      <c r="R1116" s="3">
        <v>1050</v>
      </c>
      <c r="S1116" s="3">
        <f t="shared" si="528"/>
        <v>1550</v>
      </c>
      <c r="T1116" s="3">
        <v>2600</v>
      </c>
      <c r="U1116" s="3">
        <f t="shared" si="529"/>
        <v>0.5</v>
      </c>
      <c r="V1116" s="3">
        <v>1918</v>
      </c>
      <c r="W1116" s="3">
        <f t="shared" si="530"/>
        <v>1082</v>
      </c>
      <c r="X1116" s="3"/>
      <c r="Y1116" s="3">
        <v>3000</v>
      </c>
      <c r="Z1116" s="3">
        <f t="shared" si="531"/>
        <v>400</v>
      </c>
      <c r="AA1116" s="3"/>
      <c r="AB1116" s="3"/>
      <c r="AC1116" s="3">
        <v>3080</v>
      </c>
      <c r="AD1116" s="3">
        <f t="shared" si="532"/>
        <v>420</v>
      </c>
      <c r="AE1116" s="3">
        <v>3500</v>
      </c>
      <c r="AF1116" s="3">
        <f t="shared" si="533"/>
        <v>500</v>
      </c>
      <c r="AG1116" s="3"/>
      <c r="AH1116" s="3">
        <f>AE1116*1.025+12</f>
        <v>3599.4999999999995</v>
      </c>
      <c r="AI1116" s="3"/>
      <c r="AJ1116" s="3">
        <f t="shared" si="534"/>
        <v>3689.4874999999993</v>
      </c>
      <c r="AK1116" s="3">
        <f t="shared" si="534"/>
        <v>0</v>
      </c>
      <c r="AL1116" s="3">
        <f t="shared" si="534"/>
        <v>3781.7246874999987</v>
      </c>
      <c r="AM1116" s="3">
        <f t="shared" si="534"/>
        <v>0</v>
      </c>
      <c r="AN1116" s="3">
        <f t="shared" si="534"/>
        <v>3876.2678046874985</v>
      </c>
      <c r="AO1116" s="3"/>
      <c r="AP1116" s="3">
        <f>AN1116*1.025</f>
        <v>3973.1744998046856</v>
      </c>
      <c r="AQ1116" s="3"/>
      <c r="AR1116" s="3">
        <f t="shared" si="534"/>
        <v>4072.5038622998022</v>
      </c>
      <c r="AS1116" s="3">
        <f t="shared" si="534"/>
        <v>0</v>
      </c>
      <c r="AT1116" s="3">
        <f t="shared" si="534"/>
        <v>4174.3164588572972</v>
      </c>
      <c r="AU1116" s="3">
        <f t="shared" si="534"/>
        <v>0</v>
      </c>
      <c r="AV1116" s="3">
        <f t="shared" si="534"/>
        <v>4278.6743703287293</v>
      </c>
      <c r="AW1116" s="3"/>
      <c r="AX1116" s="3">
        <f t="shared" si="534"/>
        <v>4385.6412295869468</v>
      </c>
      <c r="AZ1116" s="3">
        <f t="shared" si="534"/>
        <v>4495.2822603266204</v>
      </c>
    </row>
    <row r="1117" spans="1:52" x14ac:dyDescent="0.25">
      <c r="A1117" s="3" t="s">
        <v>74</v>
      </c>
      <c r="B1117" s="3"/>
      <c r="D1117" s="3"/>
      <c r="E1117" s="3">
        <f t="shared" si="524"/>
        <v>0</v>
      </c>
      <c r="H1117" s="5">
        <f t="shared" si="525"/>
        <v>0</v>
      </c>
      <c r="K1117" s="4">
        <f t="shared" si="526"/>
        <v>0</v>
      </c>
      <c r="L1117" s="4"/>
      <c r="N1117" s="4">
        <f t="shared" si="527"/>
        <v>0</v>
      </c>
      <c r="P1117" s="3"/>
      <c r="Q1117" s="3"/>
      <c r="R1117" s="3"/>
      <c r="S1117" s="3">
        <f t="shared" si="528"/>
        <v>0</v>
      </c>
      <c r="T1117" s="3"/>
      <c r="U1117" s="3">
        <f t="shared" si="529"/>
        <v>0</v>
      </c>
      <c r="V1117" s="3"/>
      <c r="W1117" s="3">
        <f t="shared" si="530"/>
        <v>0</v>
      </c>
      <c r="X1117" s="3"/>
      <c r="Y1117" s="3"/>
      <c r="Z1117" s="3">
        <f t="shared" si="531"/>
        <v>0</v>
      </c>
      <c r="AA1117" s="3"/>
      <c r="AB1117" s="3"/>
      <c r="AC1117" s="3"/>
      <c r="AD1117" s="3">
        <f t="shared" si="532"/>
        <v>0</v>
      </c>
      <c r="AE1117" s="3"/>
      <c r="AF1117" s="3">
        <f t="shared" si="533"/>
        <v>0</v>
      </c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42"/>
      <c r="AR1117" s="3"/>
      <c r="AS1117" s="42"/>
      <c r="AT1117" s="3"/>
      <c r="AU1117" s="42"/>
      <c r="AV1117" s="3"/>
      <c r="AW1117" s="42"/>
      <c r="AX1117" s="3"/>
      <c r="AZ1117" s="3"/>
    </row>
    <row r="1118" spans="1:52" x14ac:dyDescent="0.25">
      <c r="A1118" s="235" t="s">
        <v>815</v>
      </c>
      <c r="B1118" s="3">
        <v>47500</v>
      </c>
      <c r="D1118" s="3">
        <v>2</v>
      </c>
      <c r="E1118" s="3">
        <f t="shared" si="524"/>
        <v>47498</v>
      </c>
      <c r="F1118" s="5">
        <v>47500</v>
      </c>
      <c r="H1118" s="5">
        <f t="shared" si="525"/>
        <v>0</v>
      </c>
      <c r="J1118" s="5">
        <v>5</v>
      </c>
      <c r="K1118" s="4">
        <f t="shared" si="526"/>
        <v>47495</v>
      </c>
      <c r="L1118" s="4">
        <v>47500</v>
      </c>
      <c r="N1118" s="4">
        <f t="shared" si="527"/>
        <v>0</v>
      </c>
      <c r="P1118" s="3">
        <v>47500</v>
      </c>
      <c r="Q1118" s="3"/>
      <c r="R1118" s="3">
        <v>0</v>
      </c>
      <c r="S1118" s="3">
        <f t="shared" si="528"/>
        <v>47500</v>
      </c>
      <c r="T1118" s="3">
        <v>47500</v>
      </c>
      <c r="U1118" s="3">
        <f t="shared" si="529"/>
        <v>0</v>
      </c>
      <c r="V1118" s="3">
        <v>4</v>
      </c>
      <c r="W1118" s="3">
        <f t="shared" si="530"/>
        <v>41996</v>
      </c>
      <c r="X1118" s="3"/>
      <c r="Y1118" s="3">
        <v>42000</v>
      </c>
      <c r="Z1118" s="3">
        <f t="shared" si="531"/>
        <v>-5500</v>
      </c>
      <c r="AA1118" s="3"/>
      <c r="AB1118" s="3"/>
      <c r="AC1118" s="3">
        <v>6</v>
      </c>
      <c r="AD1118" s="3">
        <f t="shared" si="532"/>
        <v>41994</v>
      </c>
      <c r="AE1118" s="3">
        <v>42000</v>
      </c>
      <c r="AF1118" s="3">
        <f t="shared" si="533"/>
        <v>0</v>
      </c>
      <c r="AG1118" s="3"/>
      <c r="AH1118" s="234">
        <v>44000</v>
      </c>
      <c r="AI1118" s="3"/>
      <c r="AJ1118" s="3">
        <v>45000</v>
      </c>
      <c r="AK1118" s="3"/>
      <c r="AL1118" s="3">
        <v>45000</v>
      </c>
      <c r="AM1118" s="3"/>
      <c r="AN1118" s="3">
        <v>47500</v>
      </c>
      <c r="AO1118" s="3"/>
      <c r="AP1118" s="3">
        <v>47500</v>
      </c>
      <c r="AQ1118" s="42"/>
      <c r="AR1118" s="3">
        <v>47500</v>
      </c>
      <c r="AS1118" s="42"/>
      <c r="AT1118" s="3">
        <v>47500</v>
      </c>
      <c r="AU1118" s="42"/>
      <c r="AV1118" s="3">
        <v>47500</v>
      </c>
      <c r="AW1118" s="42"/>
      <c r="AX1118" s="3">
        <v>47500</v>
      </c>
      <c r="AZ1118" s="3">
        <v>47500</v>
      </c>
    </row>
    <row r="1119" spans="1:52" x14ac:dyDescent="0.25">
      <c r="A1119" s="7" t="s">
        <v>816</v>
      </c>
      <c r="B1119" s="3"/>
      <c r="D1119" s="3"/>
      <c r="E1119" s="3">
        <f t="shared" si="524"/>
        <v>0</v>
      </c>
      <c r="H1119" s="5">
        <f t="shared" si="525"/>
        <v>0</v>
      </c>
      <c r="K1119" s="4">
        <f t="shared" si="526"/>
        <v>0</v>
      </c>
      <c r="L1119" s="4"/>
      <c r="N1119" s="4">
        <f t="shared" si="527"/>
        <v>0</v>
      </c>
      <c r="P1119" s="3"/>
      <c r="Q1119" s="3"/>
      <c r="R1119" s="3"/>
      <c r="S1119" s="3">
        <f t="shared" si="528"/>
        <v>0</v>
      </c>
      <c r="T1119" s="3"/>
      <c r="U1119" s="3">
        <f t="shared" si="529"/>
        <v>0</v>
      </c>
      <c r="V1119" s="3"/>
      <c r="W1119" s="3">
        <f t="shared" si="530"/>
        <v>0</v>
      </c>
      <c r="X1119" s="3"/>
      <c r="Y1119" s="3"/>
      <c r="Z1119" s="3">
        <f t="shared" si="531"/>
        <v>0</v>
      </c>
      <c r="AA1119" s="3"/>
      <c r="AB1119" s="3"/>
      <c r="AC1119" s="3"/>
      <c r="AD1119" s="3">
        <f t="shared" si="532"/>
        <v>0</v>
      </c>
      <c r="AE1119" s="3"/>
      <c r="AF1119" s="3">
        <f t="shared" si="533"/>
        <v>0</v>
      </c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42"/>
      <c r="AR1119" s="3"/>
      <c r="AT1119" s="3"/>
      <c r="AV1119" s="3"/>
      <c r="AX1119" s="3"/>
      <c r="AZ1119" s="3"/>
    </row>
    <row r="1120" spans="1:52" x14ac:dyDescent="0.25">
      <c r="A1120" s="7" t="s">
        <v>93</v>
      </c>
      <c r="B1120" s="3"/>
      <c r="D1120" s="3"/>
      <c r="E1120" s="3">
        <f t="shared" si="524"/>
        <v>0</v>
      </c>
      <c r="H1120" s="5">
        <f t="shared" si="525"/>
        <v>0</v>
      </c>
      <c r="K1120" s="4">
        <f t="shared" si="526"/>
        <v>0</v>
      </c>
      <c r="L1120" s="4"/>
      <c r="N1120" s="4">
        <f t="shared" si="527"/>
        <v>0</v>
      </c>
      <c r="P1120" s="3"/>
      <c r="Q1120" s="3"/>
      <c r="R1120" s="3"/>
      <c r="S1120" s="3">
        <f t="shared" si="528"/>
        <v>0</v>
      </c>
      <c r="T1120" s="3"/>
      <c r="U1120" s="3">
        <f t="shared" si="529"/>
        <v>0</v>
      </c>
      <c r="V1120" s="3"/>
      <c r="W1120" s="3">
        <f t="shared" si="530"/>
        <v>0</v>
      </c>
      <c r="X1120" s="3"/>
      <c r="Y1120" s="3"/>
      <c r="Z1120" s="3">
        <f t="shared" si="531"/>
        <v>0</v>
      </c>
      <c r="AA1120" s="3"/>
      <c r="AB1120" s="3"/>
      <c r="AC1120" s="3"/>
      <c r="AD1120" s="3">
        <f t="shared" si="532"/>
        <v>0</v>
      </c>
      <c r="AE1120" s="3"/>
      <c r="AF1120" s="3">
        <f t="shared" si="533"/>
        <v>0</v>
      </c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42"/>
      <c r="AR1120" s="3"/>
      <c r="AT1120" s="3"/>
      <c r="AV1120" s="3"/>
      <c r="AX1120" s="3"/>
      <c r="AZ1120" s="3"/>
    </row>
    <row r="1121" spans="1:52" x14ac:dyDescent="0.25">
      <c r="A1121" s="3" t="s">
        <v>817</v>
      </c>
      <c r="B1121" s="3"/>
      <c r="D1121" s="3"/>
      <c r="E1121" s="3">
        <f t="shared" si="524"/>
        <v>0</v>
      </c>
      <c r="H1121" s="5">
        <f t="shared" si="525"/>
        <v>0</v>
      </c>
      <c r="K1121" s="4">
        <f t="shared" si="526"/>
        <v>0</v>
      </c>
      <c r="L1121" s="4"/>
      <c r="N1121" s="4">
        <f t="shared" si="527"/>
        <v>0</v>
      </c>
      <c r="P1121" s="3"/>
      <c r="Q1121" s="3"/>
      <c r="R1121" s="3"/>
      <c r="S1121" s="3">
        <f t="shared" si="528"/>
        <v>0</v>
      </c>
      <c r="T1121" s="3"/>
      <c r="U1121" s="3">
        <f t="shared" si="529"/>
        <v>0</v>
      </c>
      <c r="V1121" s="3"/>
      <c r="W1121" s="3">
        <f t="shared" si="530"/>
        <v>25000</v>
      </c>
      <c r="X1121" s="3"/>
      <c r="Y1121" s="3">
        <v>25000</v>
      </c>
      <c r="Z1121" s="3">
        <f t="shared" si="531"/>
        <v>25000</v>
      </c>
      <c r="AA1121" s="3"/>
      <c r="AB1121" s="3"/>
      <c r="AC1121" s="3"/>
      <c r="AD1121" s="3">
        <f t="shared" si="532"/>
        <v>25000</v>
      </c>
      <c r="AE1121" s="3">
        <v>25000</v>
      </c>
      <c r="AF1121" s="3">
        <f t="shared" si="533"/>
        <v>0</v>
      </c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42"/>
      <c r="AR1121" s="3"/>
      <c r="AT1121" s="3"/>
      <c r="AV1121" s="3"/>
      <c r="AX1121" s="3"/>
      <c r="AZ1121" s="3"/>
    </row>
    <row r="1122" spans="1:52" x14ac:dyDescent="0.25">
      <c r="A1122" s="3" t="s">
        <v>55</v>
      </c>
      <c r="B1122" s="3">
        <v>10950</v>
      </c>
      <c r="D1122" s="3">
        <v>0</v>
      </c>
      <c r="E1122" s="3">
        <f t="shared" si="524"/>
        <v>10950</v>
      </c>
      <c r="F1122" s="5">
        <v>10950</v>
      </c>
      <c r="H1122" s="5">
        <f t="shared" si="525"/>
        <v>0</v>
      </c>
      <c r="J1122" s="5">
        <v>0</v>
      </c>
      <c r="K1122" s="4">
        <f t="shared" si="526"/>
        <v>10950</v>
      </c>
      <c r="L1122" s="4">
        <v>10950</v>
      </c>
      <c r="N1122" s="4">
        <f t="shared" si="527"/>
        <v>0</v>
      </c>
      <c r="P1122" s="3">
        <v>11000</v>
      </c>
      <c r="Q1122" s="3"/>
      <c r="R1122" s="3">
        <v>0</v>
      </c>
      <c r="S1122" s="3">
        <f t="shared" si="528"/>
        <v>11000</v>
      </c>
      <c r="T1122" s="3">
        <v>11000</v>
      </c>
      <c r="U1122" s="3">
        <f t="shared" si="529"/>
        <v>0</v>
      </c>
      <c r="V1122" s="3">
        <v>0</v>
      </c>
      <c r="W1122" s="3">
        <f t="shared" si="530"/>
        <v>11000</v>
      </c>
      <c r="X1122" s="3"/>
      <c r="Y1122" s="3">
        <v>11000</v>
      </c>
      <c r="Z1122" s="3">
        <f t="shared" si="531"/>
        <v>0</v>
      </c>
      <c r="AA1122" s="3"/>
      <c r="AB1122" s="3"/>
      <c r="AC1122" s="3">
        <v>11577</v>
      </c>
      <c r="AD1122" s="3">
        <f t="shared" si="532"/>
        <v>3</v>
      </c>
      <c r="AE1122" s="3">
        <v>11580</v>
      </c>
      <c r="AF1122" s="3">
        <f t="shared" si="533"/>
        <v>580</v>
      </c>
      <c r="AG1122" s="3"/>
      <c r="AH1122" s="3">
        <f>AE1122*1.025+30</f>
        <v>11899.499999999998</v>
      </c>
      <c r="AI1122" s="3"/>
      <c r="AJ1122" s="3">
        <f>AH1122*1.025</f>
        <v>12196.987499999997</v>
      </c>
      <c r="AK1122" s="3"/>
      <c r="AL1122" s="3">
        <f>AJ1122*1.025</f>
        <v>12501.912187499996</v>
      </c>
      <c r="AM1122" s="3"/>
      <c r="AN1122" s="3">
        <f>AL1122*1.025</f>
        <v>12814.459992187496</v>
      </c>
      <c r="AO1122" s="3"/>
      <c r="AP1122" s="3">
        <f>AN1122*1.025</f>
        <v>13134.821491992183</v>
      </c>
      <c r="AQ1122" s="42"/>
      <c r="AR1122" s="3">
        <f>AP1122*1.025</f>
        <v>13463.192029291986</v>
      </c>
      <c r="AS1122" s="42"/>
      <c r="AT1122" s="3">
        <f>AR1122*1.025</f>
        <v>13799.771830024285</v>
      </c>
      <c r="AU1122" s="42"/>
      <c r="AV1122" s="3">
        <f>AT1122*1.025</f>
        <v>14144.766125774891</v>
      </c>
      <c r="AW1122" s="42"/>
      <c r="AX1122" s="3">
        <f>AV1122*1.025</f>
        <v>14498.385278919262</v>
      </c>
      <c r="AZ1122" s="3">
        <f>AX1122*1.025</f>
        <v>14860.844910892243</v>
      </c>
    </row>
    <row r="1123" spans="1:52" x14ac:dyDescent="0.25">
      <c r="A1123" s="7" t="s">
        <v>818</v>
      </c>
      <c r="B1123" s="3"/>
      <c r="D1123" s="3"/>
      <c r="E1123" s="3">
        <f t="shared" si="524"/>
        <v>0</v>
      </c>
      <c r="H1123" s="5">
        <f t="shared" si="525"/>
        <v>0</v>
      </c>
      <c r="K1123" s="4">
        <f t="shared" si="526"/>
        <v>0</v>
      </c>
      <c r="L1123" s="4"/>
      <c r="N1123" s="4">
        <f t="shared" si="527"/>
        <v>0</v>
      </c>
      <c r="P1123" s="3"/>
      <c r="Q1123" s="3"/>
      <c r="R1123" s="3"/>
      <c r="S1123" s="3">
        <f t="shared" si="528"/>
        <v>0</v>
      </c>
      <c r="T1123" s="3"/>
      <c r="U1123" s="3">
        <f t="shared" si="529"/>
        <v>0</v>
      </c>
      <c r="V1123" s="3"/>
      <c r="W1123" s="3">
        <f t="shared" si="530"/>
        <v>0</v>
      </c>
      <c r="X1123" s="3"/>
      <c r="Y1123" s="3"/>
      <c r="Z1123" s="3">
        <f t="shared" si="531"/>
        <v>0</v>
      </c>
      <c r="AA1123" s="3"/>
      <c r="AB1123" s="3"/>
      <c r="AC1123" s="3"/>
      <c r="AD1123" s="3">
        <f t="shared" si="532"/>
        <v>0</v>
      </c>
      <c r="AE1123" s="3"/>
      <c r="AF1123" s="3">
        <f t="shared" si="533"/>
        <v>0</v>
      </c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42"/>
      <c r="AR1123" s="3"/>
      <c r="AS1123" s="42"/>
      <c r="AT1123" s="3"/>
      <c r="AU1123" s="42"/>
      <c r="AV1123" s="3"/>
      <c r="AW1123" s="42"/>
      <c r="AX1123" s="3"/>
      <c r="AZ1123" s="3"/>
    </row>
    <row r="1124" spans="1:52" x14ac:dyDescent="0.25">
      <c r="A1124" s="3" t="s">
        <v>819</v>
      </c>
      <c r="B1124" s="3">
        <v>11900</v>
      </c>
      <c r="D1124" s="3">
        <v>0</v>
      </c>
      <c r="E1124" s="3">
        <f t="shared" si="524"/>
        <v>11900</v>
      </c>
      <c r="F1124" s="5">
        <v>11900</v>
      </c>
      <c r="H1124" s="5">
        <f t="shared" si="525"/>
        <v>0</v>
      </c>
      <c r="K1124" s="4">
        <f t="shared" si="526"/>
        <v>11900</v>
      </c>
      <c r="L1124" s="4">
        <v>11900</v>
      </c>
      <c r="N1124" s="4">
        <f t="shared" si="527"/>
        <v>0</v>
      </c>
      <c r="P1124" s="3">
        <f>4476-26</f>
        <v>4450</v>
      </c>
      <c r="Q1124" s="3"/>
      <c r="R1124" s="3">
        <v>0</v>
      </c>
      <c r="S1124" s="3">
        <f t="shared" si="528"/>
        <v>4450</v>
      </c>
      <c r="T1124" s="3">
        <v>4450</v>
      </c>
      <c r="U1124" s="3">
        <f t="shared" si="529"/>
        <v>0</v>
      </c>
      <c r="V1124" s="3">
        <v>0</v>
      </c>
      <c r="W1124" s="3">
        <f t="shared" si="530"/>
        <v>4450</v>
      </c>
      <c r="X1124" s="3"/>
      <c r="Y1124" s="3">
        <v>4450</v>
      </c>
      <c r="Z1124" s="3">
        <f t="shared" si="531"/>
        <v>0</v>
      </c>
      <c r="AA1124" s="3"/>
      <c r="AB1124" s="3"/>
      <c r="AC1124" s="3"/>
      <c r="AD1124" s="3">
        <f t="shared" si="532"/>
        <v>1480</v>
      </c>
      <c r="AE1124" s="3">
        <v>1480</v>
      </c>
      <c r="AF1124" s="3">
        <f t="shared" si="533"/>
        <v>-2970</v>
      </c>
      <c r="AG1124" s="3"/>
      <c r="AH1124" s="3">
        <f>P1124*1.025-11</f>
        <v>4550.25</v>
      </c>
      <c r="AI1124" s="3"/>
      <c r="AJ1124" s="3">
        <f t="shared" ref="AJ1124:AZ1124" si="535">AH1124*1.025</f>
        <v>4664.0062499999995</v>
      </c>
      <c r="AK1124" s="3">
        <f t="shared" si="535"/>
        <v>0</v>
      </c>
      <c r="AL1124" s="3">
        <f t="shared" si="535"/>
        <v>4780.6064062499991</v>
      </c>
      <c r="AM1124" s="3">
        <f t="shared" si="535"/>
        <v>0</v>
      </c>
      <c r="AN1124" s="3">
        <f t="shared" si="535"/>
        <v>4900.1215664062483</v>
      </c>
      <c r="AO1124" s="3"/>
      <c r="AP1124" s="3">
        <f>AN1124*1.025</f>
        <v>5022.6246055664042</v>
      </c>
      <c r="AQ1124" s="3"/>
      <c r="AR1124" s="3">
        <f t="shared" si="535"/>
        <v>5148.1902207055637</v>
      </c>
      <c r="AS1124" s="3">
        <f t="shared" si="535"/>
        <v>0</v>
      </c>
      <c r="AT1124" s="3">
        <f t="shared" si="535"/>
        <v>5276.8949762232023</v>
      </c>
      <c r="AU1124" s="3">
        <f t="shared" si="535"/>
        <v>0</v>
      </c>
      <c r="AV1124" s="3">
        <f t="shared" si="535"/>
        <v>5408.8173506287822</v>
      </c>
      <c r="AW1124" s="3"/>
      <c r="AX1124" s="3">
        <f t="shared" si="535"/>
        <v>5544.0377843945016</v>
      </c>
      <c r="AZ1124" s="3">
        <f t="shared" si="535"/>
        <v>5682.638729004364</v>
      </c>
    </row>
    <row r="1125" spans="1:52" x14ac:dyDescent="0.25">
      <c r="A1125" s="7"/>
      <c r="B1125" s="72">
        <f>SUM(B1110:B1124)+1</f>
        <v>684001</v>
      </c>
      <c r="C1125" s="32"/>
      <c r="D1125" s="72">
        <f>SUM(D1110:D1124)</f>
        <v>1926</v>
      </c>
      <c r="E1125" s="72">
        <f>SUM(E1110:E1124)+1</f>
        <v>682075</v>
      </c>
      <c r="F1125" s="72">
        <f>SUM(F1110:F1124)+1</f>
        <v>684001</v>
      </c>
      <c r="G1125" s="32"/>
      <c r="H1125" s="72">
        <f>SUM(H1110:H1124)+1</f>
        <v>1</v>
      </c>
      <c r="I1125" s="36"/>
      <c r="J1125" s="72">
        <f>SUM(J1110:J1124)+1</f>
        <v>263944</v>
      </c>
      <c r="K1125" s="72">
        <f>SUM(K1110:K1124)+1</f>
        <v>394208</v>
      </c>
      <c r="L1125" s="72">
        <f>SUM(L1110:L1124)+1</f>
        <v>658151</v>
      </c>
      <c r="M1125" s="32"/>
      <c r="N1125" s="72">
        <f>SUM(N1110:N1124)</f>
        <v>-25850</v>
      </c>
      <c r="P1125" s="72">
        <f>SUM(P1110:P1124)</f>
        <v>708229</v>
      </c>
      <c r="R1125" s="72">
        <f t="shared" ref="R1125:Z1125" si="536">SUM(R1110:R1124)</f>
        <v>2730</v>
      </c>
      <c r="S1125" s="72">
        <f t="shared" si="536"/>
        <v>705500</v>
      </c>
      <c r="T1125" s="72">
        <f t="shared" si="536"/>
        <v>708230</v>
      </c>
      <c r="U1125" s="72">
        <f t="shared" si="536"/>
        <v>1</v>
      </c>
      <c r="V1125" s="72">
        <f t="shared" si="536"/>
        <v>340131</v>
      </c>
      <c r="W1125" s="72">
        <f t="shared" si="536"/>
        <v>404619</v>
      </c>
      <c r="X1125" s="72"/>
      <c r="Y1125" s="72">
        <f t="shared" si="536"/>
        <v>744750</v>
      </c>
      <c r="Z1125" s="72">
        <f t="shared" si="536"/>
        <v>36520</v>
      </c>
      <c r="AC1125" s="72">
        <f>SUM(AC1110:AC1124)</f>
        <v>333693</v>
      </c>
      <c r="AD1125" s="72">
        <f>SUM(AD1110:AD1124)</f>
        <v>407467</v>
      </c>
      <c r="AE1125" s="72">
        <f>SUM(AE1110:AE1124)</f>
        <v>741160</v>
      </c>
      <c r="AF1125" s="72">
        <f>SUM(AF1110:AF1124)</f>
        <v>-3590</v>
      </c>
      <c r="AH1125" s="72">
        <f>SUM(AH1110:AH1124)+2</f>
        <v>772520.25000000012</v>
      </c>
      <c r="AJ1125" s="72">
        <f>SUM(AJ1110:AJ1124)</f>
        <v>844283.7062500004</v>
      </c>
      <c r="AL1125" s="72">
        <f>SUM(AL1110:AL1124)</f>
        <v>922073.54890625051</v>
      </c>
      <c r="AN1125" s="72">
        <f>SUM(AN1110:AN1124)</f>
        <v>988892.7376289065</v>
      </c>
      <c r="AO1125" s="72"/>
      <c r="AP1125" s="72">
        <f>SUM(AP1110:AP1124)</f>
        <v>1057999.3323196291</v>
      </c>
      <c r="AR1125" s="72">
        <f>SUM(AR1110:AR1124)</f>
        <v>1107756.6453619949</v>
      </c>
      <c r="AT1125" s="72">
        <f>SUM(AT1110:AT1124)</f>
        <v>1159982.6327171384</v>
      </c>
      <c r="AV1125" s="72">
        <f>SUM(AV1110:AV1124)</f>
        <v>1214800.2483172154</v>
      </c>
      <c r="AX1125" s="72">
        <f>SUM(AX1110:AX1124)</f>
        <v>1272338.5817964019</v>
      </c>
      <c r="AZ1125" s="72">
        <f>SUM(AZ1110:AZ1124)</f>
        <v>1332733.1649761307</v>
      </c>
    </row>
    <row r="1126" spans="1:52" x14ac:dyDescent="0.25">
      <c r="A1126" s="28" t="s">
        <v>804</v>
      </c>
    </row>
    <row r="1127" spans="1:52" x14ac:dyDescent="0.25">
      <c r="A1127" s="3" t="s">
        <v>820</v>
      </c>
    </row>
    <row r="1128" spans="1:52" x14ac:dyDescent="0.25">
      <c r="A1128" s="3" t="s">
        <v>821</v>
      </c>
      <c r="W1128" s="3">
        <f>Y1128-V1128</f>
        <v>0</v>
      </c>
      <c r="X1128" s="3"/>
      <c r="Z1128" s="3">
        <f>Y1128-T1128</f>
        <v>0</v>
      </c>
      <c r="AD1128" s="3">
        <f>AE1128-AC1128</f>
        <v>0</v>
      </c>
      <c r="AE1128" s="3"/>
      <c r="AF1128" s="3">
        <f>AE1128-Y1128</f>
        <v>0</v>
      </c>
    </row>
    <row r="1129" spans="1:52" x14ac:dyDescent="0.25">
      <c r="A1129" s="3" t="s">
        <v>822</v>
      </c>
      <c r="P1129" s="5">
        <v>200000</v>
      </c>
      <c r="S1129" s="3">
        <f>T1129-R1129</f>
        <v>200000</v>
      </c>
      <c r="T1129" s="3">
        <v>200000</v>
      </c>
      <c r="U1129" s="3">
        <f>T1129-P1129</f>
        <v>0</v>
      </c>
      <c r="W1129" s="3">
        <f>Y1129-V1129</f>
        <v>200000</v>
      </c>
      <c r="X1129" s="3"/>
      <c r="Y1129" s="5">
        <v>200000</v>
      </c>
      <c r="Z1129" s="3">
        <f>Y1129-T1129</f>
        <v>0</v>
      </c>
      <c r="AD1129" s="3">
        <f>AE1129-AC1129</f>
        <v>200000</v>
      </c>
      <c r="AE1129" s="3">
        <v>200000</v>
      </c>
      <c r="AF1129" s="3">
        <f>AE1129-Y1129</f>
        <v>0</v>
      </c>
      <c r="AR1129" s="5">
        <v>700000</v>
      </c>
      <c r="AT1129" s="3">
        <v>250000</v>
      </c>
      <c r="AU1129" s="42"/>
      <c r="AV1129" s="3"/>
    </row>
    <row r="1130" spans="1:52" x14ac:dyDescent="0.25">
      <c r="A1130" s="88" t="s">
        <v>289</v>
      </c>
      <c r="B1130" s="3">
        <v>243000</v>
      </c>
      <c r="D1130" s="3">
        <v>0</v>
      </c>
      <c r="E1130" s="3">
        <f>F1130-D1130</f>
        <v>243000</v>
      </c>
      <c r="F1130" s="5">
        <v>243000</v>
      </c>
      <c r="H1130" s="5">
        <f>F1130-B1130</f>
        <v>0</v>
      </c>
      <c r="J1130" s="5">
        <v>0</v>
      </c>
      <c r="K1130" s="4">
        <f>L1130-J1130</f>
        <v>243000</v>
      </c>
      <c r="L1130" s="4">
        <v>243000</v>
      </c>
      <c r="N1130" s="4">
        <f>L1130-F1130</f>
        <v>0</v>
      </c>
      <c r="P1130" s="3">
        <v>243000</v>
      </c>
      <c r="Q1130" s="3"/>
      <c r="R1130" s="3">
        <v>0</v>
      </c>
      <c r="S1130" s="3">
        <f>T1130-R1130</f>
        <v>262000</v>
      </c>
      <c r="T1130" s="3">
        <v>262000</v>
      </c>
      <c r="U1130" s="3">
        <f>T1130-P1130</f>
        <v>19000</v>
      </c>
      <c r="V1130" s="3"/>
      <c r="W1130" s="3">
        <f>Y1130-V1130</f>
        <v>262000</v>
      </c>
      <c r="X1130" s="3"/>
      <c r="Y1130" s="3">
        <v>262000</v>
      </c>
      <c r="Z1130" s="3">
        <f>Y1130-T1130</f>
        <v>0</v>
      </c>
      <c r="AA1130" s="3"/>
      <c r="AB1130" s="3"/>
      <c r="AC1130" s="3"/>
      <c r="AD1130" s="3">
        <f>AE1130-AC1130</f>
        <v>262000</v>
      </c>
      <c r="AE1130" s="3">
        <v>262000</v>
      </c>
      <c r="AF1130" s="3">
        <f>AE1130-Y1130</f>
        <v>0</v>
      </c>
      <c r="AG1130" s="3"/>
      <c r="AH1130" s="88">
        <v>243000</v>
      </c>
      <c r="AI1130" s="3"/>
      <c r="AJ1130" s="3">
        <v>243000</v>
      </c>
      <c r="AK1130" s="3"/>
      <c r="AL1130" s="3">
        <v>243000</v>
      </c>
      <c r="AM1130" s="3"/>
      <c r="AN1130" s="3">
        <v>243000</v>
      </c>
      <c r="AO1130" s="3"/>
      <c r="AP1130" s="3">
        <v>243000</v>
      </c>
      <c r="AQ1130" s="42"/>
      <c r="AR1130" s="3">
        <v>243000</v>
      </c>
      <c r="AS1130" s="42"/>
      <c r="AT1130" s="3">
        <v>243000</v>
      </c>
      <c r="AU1130" s="42"/>
      <c r="AV1130" s="3">
        <v>243000</v>
      </c>
      <c r="AW1130" s="42"/>
      <c r="AX1130" s="3">
        <v>243000</v>
      </c>
      <c r="AZ1130" s="3">
        <v>243000</v>
      </c>
    </row>
    <row r="1131" spans="1:52" x14ac:dyDescent="0.25">
      <c r="A1131" s="7"/>
      <c r="B1131" s="72">
        <f>SUM(B1127:B1130)</f>
        <v>243000</v>
      </c>
      <c r="C1131" s="32"/>
      <c r="D1131" s="72">
        <f>SUM(D1127:D1130)</f>
        <v>0</v>
      </c>
      <c r="E1131" s="72">
        <f>SUM(E1127:E1130)</f>
        <v>243000</v>
      </c>
      <c r="F1131" s="72">
        <f>SUM(F1127:F1130)</f>
        <v>243000</v>
      </c>
      <c r="G1131" s="32"/>
      <c r="H1131" s="72">
        <f>SUM(H1127:H1130)</f>
        <v>0</v>
      </c>
      <c r="I1131" s="36"/>
      <c r="J1131" s="72">
        <f>SUM(J1127:J1130)</f>
        <v>0</v>
      </c>
      <c r="K1131" s="72">
        <f>SUM(K1127:K1130)</f>
        <v>243000</v>
      </c>
      <c r="L1131" s="72">
        <f>SUM(L1127:L1130)</f>
        <v>243000</v>
      </c>
      <c r="M1131" s="32"/>
      <c r="N1131" s="72">
        <f>SUM(N1127:N1130)</f>
        <v>0</v>
      </c>
      <c r="P1131" s="72">
        <f>SUM(P1127:P1130)</f>
        <v>443000</v>
      </c>
      <c r="R1131" s="72">
        <f t="shared" ref="R1131:Z1131" si="537">SUM(R1127:R1130)</f>
        <v>0</v>
      </c>
      <c r="S1131" s="72">
        <f t="shared" si="537"/>
        <v>462000</v>
      </c>
      <c r="T1131" s="72">
        <f t="shared" si="537"/>
        <v>462000</v>
      </c>
      <c r="U1131" s="72">
        <f t="shared" si="537"/>
        <v>19000</v>
      </c>
      <c r="V1131" s="72">
        <f t="shared" si="537"/>
        <v>0</v>
      </c>
      <c r="W1131" s="72">
        <f t="shared" si="537"/>
        <v>462000</v>
      </c>
      <c r="X1131" s="72"/>
      <c r="Y1131" s="72">
        <f t="shared" si="537"/>
        <v>462000</v>
      </c>
      <c r="Z1131" s="72">
        <f t="shared" si="537"/>
        <v>0</v>
      </c>
      <c r="AC1131" s="72">
        <f>SUM(AC1127:AC1130)</f>
        <v>0</v>
      </c>
      <c r="AD1131" s="72">
        <f>SUM(AD1127:AD1130)</f>
        <v>462000</v>
      </c>
      <c r="AE1131" s="72">
        <f>SUM(AE1127:AE1130)</f>
        <v>462000</v>
      </c>
      <c r="AF1131" s="72">
        <f>SUM(AF1127:AF1130)</f>
        <v>0</v>
      </c>
      <c r="AH1131" s="72">
        <f>SUM(AH1127:AH1130)</f>
        <v>243000</v>
      </c>
      <c r="AJ1131" s="72">
        <f>SUM(AJ1127:AJ1130)</f>
        <v>243000</v>
      </c>
      <c r="AL1131" s="72">
        <f>SUM(AL1127:AL1130)</f>
        <v>243000</v>
      </c>
      <c r="AN1131" s="72">
        <f>SUM(AN1127:AN1130)</f>
        <v>243000</v>
      </c>
      <c r="AO1131" s="72"/>
      <c r="AP1131" s="72">
        <f>SUM(AP1127:AP1130)</f>
        <v>243000</v>
      </c>
      <c r="AR1131" s="72">
        <f>SUM(AR1127:AR1130)</f>
        <v>943000</v>
      </c>
      <c r="AT1131" s="72">
        <f>SUM(AT1127:AT1130)</f>
        <v>493000</v>
      </c>
      <c r="AV1131" s="72">
        <f>SUM(AV1127:AV1130)</f>
        <v>243000</v>
      </c>
      <c r="AX1131" s="72">
        <f>SUM(AX1127:AX1130)</f>
        <v>243000</v>
      </c>
      <c r="AZ1131" s="72">
        <f>SUM(AZ1127:AZ1130)</f>
        <v>243000</v>
      </c>
    </row>
    <row r="1132" spans="1:52" ht="15.75" thickBot="1" x14ac:dyDescent="0.3">
      <c r="A1132" s="3"/>
      <c r="B1132" s="43">
        <f>B1131+B1125</f>
        <v>927001</v>
      </c>
      <c r="C1132" s="32"/>
      <c r="D1132" s="43">
        <f>D1131+D1125</f>
        <v>1926</v>
      </c>
      <c r="E1132" s="43">
        <f>E1131+E1125</f>
        <v>925075</v>
      </c>
      <c r="F1132" s="43">
        <f>F1131+F1125</f>
        <v>927001</v>
      </c>
      <c r="G1132" s="32"/>
      <c r="H1132" s="43">
        <f>H1131+H1125</f>
        <v>1</v>
      </c>
      <c r="I1132" s="36"/>
      <c r="J1132" s="43">
        <f>J1131+J1125</f>
        <v>263944</v>
      </c>
      <c r="K1132" s="43">
        <f>K1131+K1125</f>
        <v>637208</v>
      </c>
      <c r="L1132" s="43">
        <f>L1131+L1125</f>
        <v>901151</v>
      </c>
      <c r="M1132" s="32"/>
      <c r="N1132" s="43">
        <f>N1131+N1125</f>
        <v>-25850</v>
      </c>
      <c r="P1132" s="43">
        <f>P1131+P1125</f>
        <v>1151229</v>
      </c>
      <c r="R1132" s="43">
        <f t="shared" ref="R1132:Z1132" si="538">R1131+R1125</f>
        <v>2730</v>
      </c>
      <c r="S1132" s="43">
        <f t="shared" si="538"/>
        <v>1167500</v>
      </c>
      <c r="T1132" s="43">
        <f t="shared" si="538"/>
        <v>1170230</v>
      </c>
      <c r="U1132" s="43">
        <f t="shared" si="538"/>
        <v>19001</v>
      </c>
      <c r="V1132" s="43">
        <f t="shared" si="538"/>
        <v>340131</v>
      </c>
      <c r="W1132" s="43">
        <f t="shared" si="538"/>
        <v>866619</v>
      </c>
      <c r="X1132" s="43"/>
      <c r="Y1132" s="43">
        <f t="shared" si="538"/>
        <v>1206750</v>
      </c>
      <c r="Z1132" s="43">
        <f t="shared" si="538"/>
        <v>36520</v>
      </c>
      <c r="AC1132" s="43">
        <f>AC1131+AC1125</f>
        <v>333693</v>
      </c>
      <c r="AD1132" s="43">
        <f>AD1131+AD1125</f>
        <v>869467</v>
      </c>
      <c r="AE1132" s="43">
        <f>AE1131+AE1125</f>
        <v>1203160</v>
      </c>
      <c r="AF1132" s="43">
        <f>AF1131+AF1125</f>
        <v>-3590</v>
      </c>
      <c r="AH1132" s="43">
        <f>AH1131+AH1125</f>
        <v>1015520.2500000001</v>
      </c>
      <c r="AJ1132" s="43">
        <f>AJ1131+AJ1125</f>
        <v>1087283.7062500003</v>
      </c>
      <c r="AL1132" s="43">
        <f>AL1131+AL1125</f>
        <v>1165073.5489062504</v>
      </c>
      <c r="AN1132" s="43">
        <f>AN1131+AN1125</f>
        <v>1231892.7376289065</v>
      </c>
      <c r="AO1132" s="43"/>
      <c r="AP1132" s="43">
        <f>AP1131+AP1125</f>
        <v>1300999.3323196291</v>
      </c>
      <c r="AR1132" s="43">
        <f>AR1131+AR1125</f>
        <v>2050756.6453619949</v>
      </c>
      <c r="AT1132" s="43">
        <f>AT1131+AT1125</f>
        <v>1652982.6327171384</v>
      </c>
      <c r="AV1132" s="43">
        <f>AV1131+AV1125</f>
        <v>1457800.2483172154</v>
      </c>
      <c r="AX1132" s="43">
        <f>AX1131+AX1125</f>
        <v>1515338.5817964019</v>
      </c>
      <c r="AZ1132" s="43">
        <f>AZ1131+AZ1125</f>
        <v>1575733.1649761307</v>
      </c>
    </row>
    <row r="1133" spans="1:52" ht="15.75" thickTop="1" x14ac:dyDescent="0.25">
      <c r="A1133" s="28" t="s">
        <v>823</v>
      </c>
    </row>
    <row r="1134" spans="1:52" x14ac:dyDescent="0.25">
      <c r="A1134" s="7" t="s">
        <v>824</v>
      </c>
    </row>
    <row r="1135" spans="1:52" x14ac:dyDescent="0.25">
      <c r="A1135" s="7" t="s">
        <v>58</v>
      </c>
    </row>
    <row r="1136" spans="1:52" x14ac:dyDescent="0.25">
      <c r="A1136" s="3" t="s">
        <v>825</v>
      </c>
      <c r="B1136" s="3">
        <f>104838+12</f>
        <v>104850</v>
      </c>
      <c r="D1136" s="3">
        <v>0</v>
      </c>
      <c r="E1136" s="3">
        <f t="shared" ref="E1136:E1142" si="539">F1136-D1136</f>
        <v>104850</v>
      </c>
      <c r="F1136" s="5">
        <v>104850</v>
      </c>
      <c r="H1136" s="5">
        <f t="shared" ref="H1136:H1142" si="540">F1136-B1136</f>
        <v>0</v>
      </c>
      <c r="J1136" s="5">
        <v>0</v>
      </c>
      <c r="K1136" s="4">
        <f t="shared" ref="K1136:K1142" si="541">L1136-J1136</f>
        <v>104850</v>
      </c>
      <c r="L1136" s="4">
        <v>104850</v>
      </c>
      <c r="N1136" s="4">
        <f t="shared" ref="N1136:N1142" si="542">L1136-F1136</f>
        <v>0</v>
      </c>
      <c r="P1136" s="3">
        <v>107990</v>
      </c>
      <c r="Q1136" s="3"/>
      <c r="R1136" s="3">
        <v>0</v>
      </c>
      <c r="S1136" s="3">
        <f t="shared" ref="S1136:S1142" si="543">T1136-R1136</f>
        <v>107990</v>
      </c>
      <c r="T1136" s="3">
        <v>107990</v>
      </c>
      <c r="U1136" s="3">
        <f t="shared" ref="U1136:U1142" si="544">T1136-P1136</f>
        <v>0</v>
      </c>
      <c r="V1136" s="3"/>
      <c r="W1136" s="3">
        <f t="shared" ref="W1136:W1142" si="545">Y1136-V1136</f>
        <v>107990</v>
      </c>
      <c r="X1136" s="3"/>
      <c r="Y1136" s="3">
        <v>107990</v>
      </c>
      <c r="Z1136" s="3">
        <f t="shared" ref="Z1136:Z1142" si="546">Y1136-T1136</f>
        <v>0</v>
      </c>
      <c r="AA1136" s="3"/>
      <c r="AB1136" s="3"/>
      <c r="AC1136" s="3">
        <v>0</v>
      </c>
      <c r="AD1136" s="3">
        <f t="shared" ref="AD1136:AD1142" si="547">AE1136-AC1136</f>
        <v>107990</v>
      </c>
      <c r="AE1136" s="3">
        <v>107990</v>
      </c>
      <c r="AF1136" s="3">
        <f t="shared" ref="AF1136:AF1142" si="548">AE1136-Y1136</f>
        <v>0</v>
      </c>
      <c r="AG1136" s="3"/>
      <c r="AH1136" s="3">
        <f>AE1136*1.05+10</f>
        <v>113399.5</v>
      </c>
      <c r="AI1136" s="3"/>
      <c r="AJ1136" s="3">
        <f>AH1136*1.05</f>
        <v>119069.47500000001</v>
      </c>
      <c r="AK1136" s="3"/>
      <c r="AL1136" s="3">
        <f>AJ1136*1.05</f>
        <v>125022.94875000001</v>
      </c>
      <c r="AM1136" s="3"/>
      <c r="AN1136" s="3">
        <f>AL1136*1.05</f>
        <v>131274.09618750002</v>
      </c>
      <c r="AO1136" s="3"/>
      <c r="AP1136" s="3">
        <f>AN1136*1.05</f>
        <v>137837.80099687504</v>
      </c>
      <c r="AQ1136" s="42"/>
      <c r="AR1136" s="3">
        <f>AP1136*1.05</f>
        <v>144729.6910467188</v>
      </c>
      <c r="AS1136" s="42"/>
      <c r="AT1136" s="3">
        <f>AR1136*1.05</f>
        <v>151966.17559905475</v>
      </c>
      <c r="AU1136" s="42"/>
      <c r="AV1136" s="3">
        <f>AT1136*1.05</f>
        <v>159564.48437900751</v>
      </c>
      <c r="AW1136" s="42"/>
      <c r="AX1136" s="3">
        <f>AV1136*1.05</f>
        <v>167542.70859795788</v>
      </c>
      <c r="AZ1136" s="3">
        <f>AX1136*1.05</f>
        <v>175919.84402785578</v>
      </c>
    </row>
    <row r="1137" spans="1:52" x14ac:dyDescent="0.25">
      <c r="A1137" s="3" t="s">
        <v>826</v>
      </c>
      <c r="B1137" s="3"/>
      <c r="D1137" s="3"/>
      <c r="E1137" s="3">
        <f t="shared" si="539"/>
        <v>0</v>
      </c>
      <c r="H1137" s="5">
        <f t="shared" si="540"/>
        <v>0</v>
      </c>
      <c r="K1137" s="4">
        <f t="shared" si="541"/>
        <v>0</v>
      </c>
      <c r="L1137" s="4"/>
      <c r="N1137" s="4">
        <f t="shared" si="542"/>
        <v>0</v>
      </c>
      <c r="P1137" s="3"/>
      <c r="Q1137" s="3"/>
      <c r="R1137" s="3"/>
      <c r="S1137" s="3">
        <f t="shared" si="543"/>
        <v>0</v>
      </c>
      <c r="T1137" s="3"/>
      <c r="U1137" s="3">
        <f t="shared" si="544"/>
        <v>0</v>
      </c>
      <c r="V1137" s="3"/>
      <c r="W1137" s="3">
        <f t="shared" si="545"/>
        <v>0</v>
      </c>
      <c r="X1137" s="3"/>
      <c r="Y1137" s="3"/>
      <c r="Z1137" s="3">
        <f t="shared" si="546"/>
        <v>0</v>
      </c>
      <c r="AA1137" s="3"/>
      <c r="AB1137" s="3"/>
      <c r="AC1137" s="3"/>
      <c r="AD1137" s="3">
        <f t="shared" si="547"/>
        <v>0</v>
      </c>
      <c r="AE1137" s="3"/>
      <c r="AF1137" s="3">
        <f t="shared" si="548"/>
        <v>0</v>
      </c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42"/>
      <c r="AR1137" s="3"/>
      <c r="AS1137" s="42"/>
      <c r="AT1137" s="3"/>
      <c r="AU1137" s="42"/>
      <c r="AV1137" s="3"/>
      <c r="AW1137" s="42"/>
      <c r="AX1137" s="3"/>
      <c r="AZ1137" s="3"/>
    </row>
    <row r="1138" spans="1:52" x14ac:dyDescent="0.25">
      <c r="A1138" s="3" t="s">
        <v>299</v>
      </c>
      <c r="B1138" s="3"/>
      <c r="D1138" s="3"/>
      <c r="E1138" s="3">
        <f t="shared" si="539"/>
        <v>0</v>
      </c>
      <c r="H1138" s="5">
        <f t="shared" si="540"/>
        <v>0</v>
      </c>
      <c r="K1138" s="4">
        <f t="shared" si="541"/>
        <v>0</v>
      </c>
      <c r="L1138" s="4"/>
      <c r="N1138" s="4">
        <f t="shared" si="542"/>
        <v>0</v>
      </c>
      <c r="P1138" s="3"/>
      <c r="Q1138" s="3"/>
      <c r="R1138" s="3"/>
      <c r="S1138" s="3">
        <f t="shared" si="543"/>
        <v>0</v>
      </c>
      <c r="T1138" s="3"/>
      <c r="U1138" s="3">
        <f t="shared" si="544"/>
        <v>0</v>
      </c>
      <c r="V1138" s="3"/>
      <c r="W1138" s="3">
        <f t="shared" si="545"/>
        <v>0</v>
      </c>
      <c r="X1138" s="3"/>
      <c r="Y1138" s="3"/>
      <c r="Z1138" s="3">
        <f t="shared" si="546"/>
        <v>0</v>
      </c>
      <c r="AA1138" s="3"/>
      <c r="AB1138" s="3"/>
      <c r="AC1138" s="3"/>
      <c r="AD1138" s="3">
        <f t="shared" si="547"/>
        <v>0</v>
      </c>
      <c r="AE1138" s="3"/>
      <c r="AF1138" s="3">
        <f t="shared" si="548"/>
        <v>0</v>
      </c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42"/>
      <c r="AR1138" s="3"/>
      <c r="AS1138" s="42"/>
      <c r="AT1138" s="3"/>
      <c r="AU1138" s="42"/>
      <c r="AV1138" s="3"/>
      <c r="AW1138" s="42"/>
      <c r="AX1138" s="3"/>
      <c r="AZ1138" s="3"/>
    </row>
    <row r="1139" spans="1:52" x14ac:dyDescent="0.25">
      <c r="A1139" s="3" t="s">
        <v>827</v>
      </c>
      <c r="B1139" s="3">
        <v>41000</v>
      </c>
      <c r="D1139" s="3">
        <v>9390</v>
      </c>
      <c r="E1139" s="3">
        <f t="shared" si="539"/>
        <v>31610</v>
      </c>
      <c r="F1139" s="5">
        <v>41000</v>
      </c>
      <c r="H1139" s="5">
        <f t="shared" si="540"/>
        <v>0</v>
      </c>
      <c r="J1139" s="5">
        <v>15651</v>
      </c>
      <c r="K1139" s="4">
        <f t="shared" si="541"/>
        <v>24349</v>
      </c>
      <c r="L1139" s="4">
        <v>40000</v>
      </c>
      <c r="N1139" s="4">
        <f t="shared" si="542"/>
        <v>-1000</v>
      </c>
      <c r="P1139" s="3">
        <f>L1139*1.025</f>
        <v>41000</v>
      </c>
      <c r="Q1139" s="3"/>
      <c r="R1139" s="3">
        <v>10413</v>
      </c>
      <c r="S1139" s="3">
        <f t="shared" si="543"/>
        <v>30587</v>
      </c>
      <c r="T1139" s="3">
        <v>41000</v>
      </c>
      <c r="U1139" s="3">
        <f t="shared" si="544"/>
        <v>0</v>
      </c>
      <c r="V1139" s="3">
        <v>17599</v>
      </c>
      <c r="W1139" s="3">
        <f t="shared" si="545"/>
        <v>23401</v>
      </c>
      <c r="X1139" s="3"/>
      <c r="Y1139" s="3">
        <v>41000</v>
      </c>
      <c r="Z1139" s="3">
        <f t="shared" si="546"/>
        <v>0</v>
      </c>
      <c r="AA1139" s="3"/>
      <c r="AB1139" s="3"/>
      <c r="AC1139" s="3">
        <v>27380</v>
      </c>
      <c r="AD1139" s="3">
        <f t="shared" si="547"/>
        <v>13620</v>
      </c>
      <c r="AE1139" s="3">
        <v>41000</v>
      </c>
      <c r="AF1139" s="3">
        <f t="shared" si="548"/>
        <v>0</v>
      </c>
      <c r="AG1139" s="3"/>
      <c r="AH1139" s="3">
        <f>AE1139*1.0325+17</f>
        <v>42349.5</v>
      </c>
      <c r="AI1139" s="3"/>
      <c r="AJ1139" s="3">
        <f>AH1139*1.0325</f>
        <v>43725.858749999999</v>
      </c>
      <c r="AK1139" s="3"/>
      <c r="AL1139" s="3">
        <f>AJ1139*1.0325</f>
        <v>45146.949159374999</v>
      </c>
      <c r="AM1139" s="3"/>
      <c r="AN1139" s="3">
        <f>AL1139*1.0325</f>
        <v>46614.225007054687</v>
      </c>
      <c r="AO1139" s="3"/>
      <c r="AP1139" s="3">
        <f>AN1139*1.0325</f>
        <v>48129.18731978396</v>
      </c>
      <c r="AQ1139" s="42"/>
      <c r="AR1139" s="3">
        <f>AP1139*1.0325</f>
        <v>49693.385907676937</v>
      </c>
      <c r="AS1139" s="42"/>
      <c r="AT1139" s="3">
        <f>AR1139*1.0325</f>
        <v>51308.420949676438</v>
      </c>
      <c r="AU1139" s="42"/>
      <c r="AV1139" s="3">
        <f>AT1139*1.0325</f>
        <v>52975.944630540922</v>
      </c>
      <c r="AW1139" s="42"/>
      <c r="AX1139" s="3">
        <f>AV1139*1.0325</f>
        <v>54697.6628310335</v>
      </c>
      <c r="AZ1139" s="3">
        <f>AX1139*1.0325</f>
        <v>56475.336873042084</v>
      </c>
    </row>
    <row r="1140" spans="1:52" x14ac:dyDescent="0.25">
      <c r="A1140" s="3" t="s">
        <v>828</v>
      </c>
      <c r="B1140" s="3">
        <f>4200*1.05+90</f>
        <v>4500</v>
      </c>
      <c r="D1140" s="3">
        <v>1913</v>
      </c>
      <c r="E1140" s="3">
        <f t="shared" si="539"/>
        <v>2587</v>
      </c>
      <c r="F1140" s="5">
        <v>4500</v>
      </c>
      <c r="H1140" s="5">
        <f t="shared" si="540"/>
        <v>0</v>
      </c>
      <c r="J1140" s="5">
        <v>1913</v>
      </c>
      <c r="K1140" s="4">
        <f t="shared" si="541"/>
        <v>2587</v>
      </c>
      <c r="L1140" s="4">
        <v>4500</v>
      </c>
      <c r="N1140" s="4">
        <f t="shared" si="542"/>
        <v>0</v>
      </c>
      <c r="P1140" s="3">
        <f>L1140*1.07-15</f>
        <v>4800</v>
      </c>
      <c r="Q1140" s="3"/>
      <c r="R1140" s="3">
        <v>1980</v>
      </c>
      <c r="S1140" s="3">
        <f t="shared" si="543"/>
        <v>2820</v>
      </c>
      <c r="T1140" s="3">
        <v>4800</v>
      </c>
      <c r="U1140" s="3">
        <f t="shared" si="544"/>
        <v>0</v>
      </c>
      <c r="V1140" s="3">
        <v>1980</v>
      </c>
      <c r="W1140" s="3">
        <f t="shared" si="545"/>
        <v>2820</v>
      </c>
      <c r="X1140" s="3"/>
      <c r="Y1140" s="3">
        <v>4800</v>
      </c>
      <c r="Z1140" s="3">
        <f t="shared" si="546"/>
        <v>0</v>
      </c>
      <c r="AA1140" s="3"/>
      <c r="AB1140" s="3"/>
      <c r="AC1140" s="3">
        <v>3908</v>
      </c>
      <c r="AD1140" s="3">
        <f t="shared" si="547"/>
        <v>892</v>
      </c>
      <c r="AE1140" s="3">
        <v>4800</v>
      </c>
      <c r="AF1140" s="3">
        <f t="shared" si="548"/>
        <v>0</v>
      </c>
      <c r="AG1140" s="3"/>
      <c r="AH1140" s="3">
        <f>AE1140*1.07+14</f>
        <v>5150</v>
      </c>
      <c r="AI1140" s="3"/>
      <c r="AJ1140" s="3">
        <f>AH1140*1.07-11</f>
        <v>5499.5</v>
      </c>
      <c r="AK1140" s="3"/>
      <c r="AL1140" s="3">
        <f>AJ1140*1.07</f>
        <v>5884.4650000000001</v>
      </c>
      <c r="AM1140" s="3"/>
      <c r="AN1140" s="3">
        <f>AL1140*1.06</f>
        <v>6237.5329000000002</v>
      </c>
      <c r="AO1140" s="3"/>
      <c r="AP1140" s="3">
        <f>AN1140*1.06</f>
        <v>6611.7848740000009</v>
      </c>
      <c r="AQ1140" s="42"/>
      <c r="AR1140" s="3">
        <f>AP1140*1.06</f>
        <v>7008.4919664400013</v>
      </c>
      <c r="AS1140" s="42"/>
      <c r="AT1140" s="3">
        <f>AR1140*1.06</f>
        <v>7429.0014844264015</v>
      </c>
      <c r="AU1140" s="42"/>
      <c r="AV1140" s="3">
        <f>AT1140*1.06</f>
        <v>7874.7415734919859</v>
      </c>
      <c r="AW1140" s="42"/>
      <c r="AX1140" s="3">
        <f>AV1140*1.06</f>
        <v>8347.2260679015053</v>
      </c>
      <c r="AZ1140" s="3">
        <f>AX1140*1.06</f>
        <v>8848.0596319755969</v>
      </c>
    </row>
    <row r="1141" spans="1:52" x14ac:dyDescent="0.25">
      <c r="A1141" s="3" t="s">
        <v>829</v>
      </c>
      <c r="B1141" s="3">
        <v>11250</v>
      </c>
      <c r="D1141" s="3">
        <v>3842</v>
      </c>
      <c r="E1141" s="3">
        <f t="shared" si="539"/>
        <v>7408</v>
      </c>
      <c r="F1141" s="5">
        <v>11250</v>
      </c>
      <c r="H1141" s="5">
        <f t="shared" si="540"/>
        <v>0</v>
      </c>
      <c r="J1141" s="5">
        <v>3842</v>
      </c>
      <c r="K1141" s="4">
        <f t="shared" si="541"/>
        <v>7408</v>
      </c>
      <c r="L1141" s="4">
        <v>11250</v>
      </c>
      <c r="N1141" s="4">
        <f t="shared" si="542"/>
        <v>0</v>
      </c>
      <c r="P1141" s="3">
        <f>L1141*1.0281-16</f>
        <v>11550.125</v>
      </c>
      <c r="Q1141" s="3"/>
      <c r="R1141" s="3">
        <v>4204</v>
      </c>
      <c r="S1141" s="3">
        <f t="shared" si="543"/>
        <v>1796</v>
      </c>
      <c r="T1141" s="3">
        <v>6000</v>
      </c>
      <c r="U1141" s="3">
        <f t="shared" si="544"/>
        <v>-5550.125</v>
      </c>
      <c r="V1141" s="3">
        <v>4204</v>
      </c>
      <c r="W1141" s="3">
        <f t="shared" si="545"/>
        <v>796</v>
      </c>
      <c r="X1141" s="3"/>
      <c r="Y1141" s="3">
        <v>5000</v>
      </c>
      <c r="Z1141" s="3">
        <f t="shared" si="546"/>
        <v>-1000</v>
      </c>
      <c r="AA1141" s="3"/>
      <c r="AB1141" s="3"/>
      <c r="AC1141" s="3">
        <v>4204</v>
      </c>
      <c r="AD1141" s="3">
        <f t="shared" si="547"/>
        <v>46</v>
      </c>
      <c r="AE1141" s="3">
        <v>4250</v>
      </c>
      <c r="AF1141" s="3">
        <f t="shared" si="548"/>
        <v>-750</v>
      </c>
      <c r="AG1141" s="3"/>
      <c r="AH1141" s="3">
        <v>7500</v>
      </c>
      <c r="AI1141" s="3"/>
      <c r="AJ1141" s="3">
        <f>AH1141*1.03</f>
        <v>7725</v>
      </c>
      <c r="AK1141" s="3"/>
      <c r="AL1141" s="3">
        <f>AJ1141*1.03</f>
        <v>7956.75</v>
      </c>
      <c r="AM1141" s="3"/>
      <c r="AN1141" s="3">
        <f>AL1141*1.03</f>
        <v>8195.4524999999994</v>
      </c>
      <c r="AO1141" s="3"/>
      <c r="AP1141" s="3">
        <f>AN1141*1.03</f>
        <v>8441.3160749999988</v>
      </c>
      <c r="AQ1141" s="42"/>
      <c r="AR1141" s="3">
        <f>AP1141*1.03</f>
        <v>8694.5555572499998</v>
      </c>
      <c r="AS1141" s="42"/>
      <c r="AT1141" s="3">
        <f>AR1141*1.03</f>
        <v>8955.3922239674994</v>
      </c>
      <c r="AU1141" s="42"/>
      <c r="AV1141" s="3">
        <f>AT1141*1.03</f>
        <v>9224.0539906865251</v>
      </c>
      <c r="AW1141" s="42"/>
      <c r="AX1141" s="3">
        <f>AV1141*1.03</f>
        <v>9500.7756104071213</v>
      </c>
      <c r="AZ1141" s="3">
        <f>AX1141*1.03</f>
        <v>9785.7988787193353</v>
      </c>
    </row>
    <row r="1142" spans="1:52" x14ac:dyDescent="0.25">
      <c r="A1142" s="3" t="s">
        <v>90</v>
      </c>
      <c r="B1142" s="3">
        <v>3100</v>
      </c>
      <c r="D1142" s="3"/>
      <c r="E1142" s="3">
        <f t="shared" si="539"/>
        <v>3100</v>
      </c>
      <c r="F1142" s="5">
        <v>3100</v>
      </c>
      <c r="H1142" s="5">
        <f t="shared" si="540"/>
        <v>0</v>
      </c>
      <c r="K1142" s="4">
        <f t="shared" si="541"/>
        <v>2500</v>
      </c>
      <c r="L1142" s="4">
        <v>2500</v>
      </c>
      <c r="N1142" s="4">
        <f t="shared" si="542"/>
        <v>-600</v>
      </c>
      <c r="P1142" s="3">
        <f>L1142*1.0281+30</f>
        <v>2600.25</v>
      </c>
      <c r="Q1142" s="3"/>
      <c r="R1142" s="3">
        <v>0</v>
      </c>
      <c r="S1142" s="3">
        <f t="shared" si="543"/>
        <v>2600</v>
      </c>
      <c r="T1142" s="3">
        <v>2600</v>
      </c>
      <c r="U1142" s="3">
        <f t="shared" si="544"/>
        <v>-0.25</v>
      </c>
      <c r="V1142" s="3">
        <v>837</v>
      </c>
      <c r="W1142" s="3">
        <f t="shared" si="545"/>
        <v>1763</v>
      </c>
      <c r="X1142" s="3"/>
      <c r="Y1142" s="3">
        <v>2600</v>
      </c>
      <c r="Z1142" s="3">
        <f t="shared" si="546"/>
        <v>0</v>
      </c>
      <c r="AA1142" s="3"/>
      <c r="AB1142" s="3"/>
      <c r="AC1142" s="3">
        <v>6652</v>
      </c>
      <c r="AD1142" s="3">
        <f t="shared" si="547"/>
        <v>1848</v>
      </c>
      <c r="AE1142" s="3">
        <v>8500</v>
      </c>
      <c r="AF1142" s="3">
        <f t="shared" si="548"/>
        <v>5900</v>
      </c>
      <c r="AG1142" s="3"/>
      <c r="AH1142" s="3">
        <v>8500</v>
      </c>
      <c r="AI1142" s="3"/>
      <c r="AJ1142" s="3">
        <f>AH1142*1.03</f>
        <v>8755</v>
      </c>
      <c r="AK1142" s="3"/>
      <c r="AL1142" s="3">
        <f>AJ1142*1.03</f>
        <v>9017.65</v>
      </c>
      <c r="AM1142" s="3"/>
      <c r="AN1142" s="3">
        <f>AL1142*1.03</f>
        <v>9288.1795000000002</v>
      </c>
      <c r="AO1142" s="3"/>
      <c r="AP1142" s="3">
        <f>AN1142*1.03</f>
        <v>9566.824885</v>
      </c>
      <c r="AQ1142" s="42"/>
      <c r="AR1142" s="3">
        <f>AP1142*1.03</f>
        <v>9853.8296315500011</v>
      </c>
      <c r="AS1142" s="42"/>
      <c r="AT1142" s="3">
        <f>AR1142*1.03</f>
        <v>10149.444520496501</v>
      </c>
      <c r="AU1142" s="42"/>
      <c r="AV1142" s="3">
        <f>AT1142*1.03</f>
        <v>10453.927856111397</v>
      </c>
      <c r="AW1142" s="42"/>
      <c r="AX1142" s="3">
        <f>AV1142*1.03</f>
        <v>10767.545691794739</v>
      </c>
      <c r="AZ1142" s="3">
        <f>AX1142*1.03</f>
        <v>11090.572062548583</v>
      </c>
    </row>
    <row r="1143" spans="1:52" x14ac:dyDescent="0.25">
      <c r="A1143" s="3"/>
      <c r="B1143" s="48">
        <f>SUM(B1136:B1142)</f>
        <v>164700</v>
      </c>
      <c r="C1143" s="32"/>
      <c r="D1143" s="48">
        <f>SUM(D1136:D1142)</f>
        <v>15145</v>
      </c>
      <c r="E1143" s="48">
        <f>SUM(E1136:E1142)</f>
        <v>149555</v>
      </c>
      <c r="F1143" s="48">
        <f>SUM(F1136:F1142)</f>
        <v>164700</v>
      </c>
      <c r="G1143" s="32"/>
      <c r="H1143" s="48">
        <f>SUM(H1136:H1142)</f>
        <v>0</v>
      </c>
      <c r="I1143" s="36"/>
      <c r="J1143" s="48">
        <f>SUM(J1136:J1142)</f>
        <v>21406</v>
      </c>
      <c r="K1143" s="48">
        <f>SUM(K1136:K1142)</f>
        <v>141694</v>
      </c>
      <c r="L1143" s="48">
        <f>SUM(L1136:L1142)</f>
        <v>163100</v>
      </c>
      <c r="M1143" s="32"/>
      <c r="N1143" s="48">
        <f>SUM(N1136:N1142)</f>
        <v>-1600</v>
      </c>
      <c r="P1143" s="48">
        <f>SUM(P1136:P1142)</f>
        <v>167940.375</v>
      </c>
      <c r="R1143" s="48">
        <f t="shared" ref="R1143:Z1143" si="549">SUM(R1136:R1142)</f>
        <v>16597</v>
      </c>
      <c r="S1143" s="48">
        <f t="shared" si="549"/>
        <v>145793</v>
      </c>
      <c r="T1143" s="48">
        <f t="shared" si="549"/>
        <v>162390</v>
      </c>
      <c r="U1143" s="48">
        <f t="shared" si="549"/>
        <v>-5550.375</v>
      </c>
      <c r="V1143" s="48">
        <f t="shared" si="549"/>
        <v>24620</v>
      </c>
      <c r="W1143" s="48">
        <f t="shared" si="549"/>
        <v>136770</v>
      </c>
      <c r="X1143" s="48"/>
      <c r="Y1143" s="48">
        <f t="shared" si="549"/>
        <v>161390</v>
      </c>
      <c r="Z1143" s="48">
        <f t="shared" si="549"/>
        <v>-1000</v>
      </c>
      <c r="AC1143" s="48">
        <f>SUM(AC1136:AC1142)</f>
        <v>42144</v>
      </c>
      <c r="AD1143" s="48">
        <f>SUM(AD1136:AD1142)</f>
        <v>124396</v>
      </c>
      <c r="AE1143" s="48">
        <f>SUM(AE1136:AE1142)</f>
        <v>166540</v>
      </c>
      <c r="AF1143" s="48">
        <f>SUM(AF1136:AF1142)</f>
        <v>5150</v>
      </c>
      <c r="AH1143" s="48">
        <f>SUM(AH1136:AH1142)</f>
        <v>176899</v>
      </c>
      <c r="AJ1143" s="48">
        <f>SUM(AJ1136:AJ1142)</f>
        <v>184774.83374999999</v>
      </c>
      <c r="AL1143" s="48">
        <f>SUM(AL1136:AL1142)</f>
        <v>193028.76290937501</v>
      </c>
      <c r="AN1143" s="48">
        <f>SUM(AN1136:AN1142)</f>
        <v>201609.48609455468</v>
      </c>
      <c r="AO1143" s="48"/>
      <c r="AP1143" s="48">
        <f>SUM(AP1136:AP1142)</f>
        <v>210586.91415065902</v>
      </c>
      <c r="AR1143" s="48">
        <f>SUM(AR1136:AR1142)</f>
        <v>219979.95410963573</v>
      </c>
      <c r="AT1143" s="48">
        <f>SUM(AT1136:AT1142)</f>
        <v>229808.43477762162</v>
      </c>
      <c r="AV1143" s="48">
        <f>SUM(AV1136:AV1142)</f>
        <v>240093.15242983834</v>
      </c>
      <c r="AX1143" s="48">
        <f>SUM(AX1136:AX1142)</f>
        <v>250855.91879909474</v>
      </c>
      <c r="AZ1143" s="48">
        <f>SUM(AZ1136:AZ1142)</f>
        <v>262119.61147414136</v>
      </c>
    </row>
    <row r="1144" spans="1:52" x14ac:dyDescent="0.25">
      <c r="A1144" s="7" t="s">
        <v>830</v>
      </c>
    </row>
    <row r="1145" spans="1:52" x14ac:dyDescent="0.25">
      <c r="A1145" s="7" t="s">
        <v>831</v>
      </c>
    </row>
    <row r="1146" spans="1:52" x14ac:dyDescent="0.25">
      <c r="A1146" s="3" t="s">
        <v>832</v>
      </c>
      <c r="B1146" s="3">
        <v>10650</v>
      </c>
      <c r="D1146" s="3"/>
      <c r="E1146" s="3">
        <f>F1146-D1146</f>
        <v>10650</v>
      </c>
      <c r="F1146" s="5">
        <v>10650</v>
      </c>
      <c r="H1146" s="5">
        <f>F1146-B1146</f>
        <v>0</v>
      </c>
      <c r="J1146" s="5">
        <v>275</v>
      </c>
      <c r="K1146" s="4">
        <f>L1146-J1146</f>
        <v>9225</v>
      </c>
      <c r="L1146" s="4">
        <v>9500</v>
      </c>
      <c r="N1146" s="4">
        <f>L1146-F1146</f>
        <v>-1150</v>
      </c>
      <c r="P1146" s="3">
        <f>L1146*1.0281+33</f>
        <v>9799.9500000000007</v>
      </c>
      <c r="Q1146" s="3"/>
      <c r="R1146" s="3">
        <v>0</v>
      </c>
      <c r="S1146" s="3">
        <f>T1146-R1146</f>
        <v>9800</v>
      </c>
      <c r="T1146" s="3">
        <v>9800</v>
      </c>
      <c r="U1146" s="3">
        <f>T1146-P1146</f>
        <v>4.9999999999272404E-2</v>
      </c>
      <c r="V1146" s="3">
        <v>284</v>
      </c>
      <c r="W1146" s="3">
        <f>Y1146-V1146</f>
        <v>9516</v>
      </c>
      <c r="X1146" s="3"/>
      <c r="Y1146" s="3">
        <v>9800</v>
      </c>
      <c r="Z1146" s="3">
        <f>Y1146-T1146</f>
        <v>0</v>
      </c>
      <c r="AA1146" s="3"/>
      <c r="AB1146" s="3"/>
      <c r="AC1146" s="3">
        <v>670</v>
      </c>
      <c r="AD1146" s="3">
        <f>AE1146-AC1146</f>
        <v>8330</v>
      </c>
      <c r="AE1146" s="3">
        <v>9000</v>
      </c>
      <c r="AF1146" s="3">
        <f>AE1146-Y1146</f>
        <v>-800</v>
      </c>
      <c r="AG1146" s="3"/>
      <c r="AH1146" s="3">
        <f>AE1146*1.03-20</f>
        <v>9250</v>
      </c>
      <c r="AI1146" s="3"/>
      <c r="AJ1146" s="3">
        <f>AH1146*1.03</f>
        <v>9527.5</v>
      </c>
      <c r="AK1146" s="3"/>
      <c r="AL1146" s="3">
        <f>AJ1146*1.03</f>
        <v>9813.3250000000007</v>
      </c>
      <c r="AM1146" s="3"/>
      <c r="AN1146" s="3">
        <f>AL1146*1.03</f>
        <v>10107.724750000001</v>
      </c>
      <c r="AO1146" s="3"/>
      <c r="AP1146" s="3">
        <f>AN1146*1.03</f>
        <v>10410.956492500001</v>
      </c>
      <c r="AQ1146" s="42"/>
      <c r="AR1146" s="3">
        <f>AP1146*1.03</f>
        <v>10723.285187275002</v>
      </c>
      <c r="AS1146" s="42"/>
      <c r="AT1146" s="3">
        <f>AR1146*1.03</f>
        <v>11044.983742893251</v>
      </c>
      <c r="AU1146" s="42"/>
      <c r="AV1146" s="3">
        <f>AT1146*1.03</f>
        <v>11376.333255180049</v>
      </c>
      <c r="AW1146" s="42"/>
      <c r="AX1146" s="3">
        <f>AV1146*1.03</f>
        <v>11717.62325283545</v>
      </c>
      <c r="AZ1146" s="3">
        <f>AX1146*1.03</f>
        <v>12069.151950420513</v>
      </c>
    </row>
    <row r="1147" spans="1:52" x14ac:dyDescent="0.25">
      <c r="A1147" s="3" t="s">
        <v>833</v>
      </c>
      <c r="B1147" s="3">
        <v>34500</v>
      </c>
      <c r="D1147" s="3">
        <v>10972</v>
      </c>
      <c r="E1147" s="3">
        <f>F1147-D1147</f>
        <v>23528</v>
      </c>
      <c r="F1147" s="5">
        <v>34500</v>
      </c>
      <c r="H1147" s="5">
        <f>F1147-B1147</f>
        <v>0</v>
      </c>
      <c r="J1147" s="5">
        <v>16632</v>
      </c>
      <c r="K1147" s="4">
        <f>L1147-J1147</f>
        <v>17868</v>
      </c>
      <c r="L1147" s="5">
        <v>34500</v>
      </c>
      <c r="N1147" s="4">
        <f>L1147-F1147</f>
        <v>0</v>
      </c>
      <c r="P1147" s="3">
        <f>L1147*1.0281+31</f>
        <v>35500.449999999997</v>
      </c>
      <c r="Q1147" s="3"/>
      <c r="R1147" s="3">
        <v>7144</v>
      </c>
      <c r="S1147" s="3">
        <f>T1147-R1147</f>
        <v>28356</v>
      </c>
      <c r="T1147" s="3">
        <v>35500</v>
      </c>
      <c r="U1147" s="3">
        <f>T1147-P1147</f>
        <v>-0.44999999999708962</v>
      </c>
      <c r="V1147" s="3">
        <v>11536</v>
      </c>
      <c r="W1147" s="3">
        <f>Y1147-V1147</f>
        <v>21964</v>
      </c>
      <c r="X1147" s="3"/>
      <c r="Y1147" s="3">
        <v>33500</v>
      </c>
      <c r="Z1147" s="3">
        <f>Y1147-T1147</f>
        <v>-2000</v>
      </c>
      <c r="AA1147" s="3"/>
      <c r="AB1147" s="3"/>
      <c r="AC1147" s="3">
        <v>16237</v>
      </c>
      <c r="AD1147" s="3">
        <f>AE1147-AC1147</f>
        <v>13763</v>
      </c>
      <c r="AE1147" s="3">
        <v>30000</v>
      </c>
      <c r="AF1147" s="3">
        <f>AE1147-Y1147</f>
        <v>-3500</v>
      </c>
      <c r="AG1147" s="3"/>
      <c r="AH1147" s="3">
        <f>AE1147*1.03+2100</f>
        <v>33000</v>
      </c>
      <c r="AI1147" s="3"/>
      <c r="AJ1147" s="3">
        <f>AH1147*1.03</f>
        <v>33990</v>
      </c>
      <c r="AK1147" s="3"/>
      <c r="AL1147" s="3">
        <f>AJ1147*1.03</f>
        <v>35009.700000000004</v>
      </c>
      <c r="AM1147" s="3"/>
      <c r="AN1147" s="3">
        <f>AL1147*1.03</f>
        <v>36059.991000000002</v>
      </c>
      <c r="AO1147" s="3"/>
      <c r="AP1147" s="3">
        <f>AN1147*1.03</f>
        <v>37141.790730000001</v>
      </c>
      <c r="AQ1147" s="42"/>
      <c r="AR1147" s="3">
        <f>AP1147*1.03</f>
        <v>38256.044451900001</v>
      </c>
      <c r="AS1147" s="42"/>
      <c r="AT1147" s="3">
        <f>AR1147*1.03</f>
        <v>39403.725785457005</v>
      </c>
      <c r="AU1147" s="42"/>
      <c r="AV1147" s="3">
        <f>AT1147*1.03</f>
        <v>40585.837559020714</v>
      </c>
      <c r="AW1147" s="42"/>
      <c r="AX1147" s="3">
        <f>AV1147*1.03</f>
        <v>41803.412685791336</v>
      </c>
      <c r="AZ1147" s="3">
        <f>AX1147*1.03</f>
        <v>43057.515066365078</v>
      </c>
    </row>
    <row r="1148" spans="1:52" x14ac:dyDescent="0.25">
      <c r="A1148" s="3" t="s">
        <v>834</v>
      </c>
      <c r="B1148" s="3">
        <v>34500</v>
      </c>
      <c r="D1148" s="3">
        <v>10972</v>
      </c>
      <c r="E1148" s="3">
        <f>F1148-D1148</f>
        <v>23528</v>
      </c>
      <c r="F1148" s="5">
        <v>34500</v>
      </c>
      <c r="H1148" s="5">
        <f>F1148-B1148</f>
        <v>0</v>
      </c>
      <c r="J1148" s="5">
        <v>16632</v>
      </c>
      <c r="K1148" s="4">
        <f>L1148-J1148</f>
        <v>17868</v>
      </c>
      <c r="L1148" s="5">
        <v>34500</v>
      </c>
      <c r="N1148" s="4">
        <f>L1148-F1148</f>
        <v>0</v>
      </c>
      <c r="P1148" s="3">
        <f>L1148*1.0281+31</f>
        <v>35500.449999999997</v>
      </c>
      <c r="Q1148" s="3"/>
      <c r="R1148" s="3">
        <v>7144</v>
      </c>
      <c r="S1148" s="3">
        <f>T1148-R1148</f>
        <v>28356</v>
      </c>
      <c r="T1148" s="3">
        <v>35500</v>
      </c>
      <c r="U1148" s="3">
        <f>T1148-P1148</f>
        <v>-0.44999999999708962</v>
      </c>
      <c r="V1148" s="3">
        <v>11536</v>
      </c>
      <c r="W1148" s="3">
        <f>Y1148-V1148</f>
        <v>21964</v>
      </c>
      <c r="X1148" s="3"/>
      <c r="Y1148" s="3">
        <v>33500</v>
      </c>
      <c r="Z1148" s="3">
        <f>Y1148-T1148</f>
        <v>-2000</v>
      </c>
      <c r="AA1148" s="3"/>
      <c r="AB1148" s="3"/>
      <c r="AC1148" s="3">
        <v>16237</v>
      </c>
      <c r="AD1148" s="3">
        <f>AE1148-AC1148</f>
        <v>13763</v>
      </c>
      <c r="AE1148" s="3">
        <v>30000</v>
      </c>
      <c r="AF1148" s="3">
        <f>AE1148-Y1148</f>
        <v>-3500</v>
      </c>
      <c r="AG1148" s="3"/>
      <c r="AH1148" s="3">
        <f>AE1148*1.03+2100</f>
        <v>33000</v>
      </c>
      <c r="AI1148" s="3"/>
      <c r="AJ1148" s="3">
        <f>AH1148*1.03</f>
        <v>33990</v>
      </c>
      <c r="AK1148" s="3"/>
      <c r="AL1148" s="3">
        <f>AJ1148*1.03</f>
        <v>35009.700000000004</v>
      </c>
      <c r="AM1148" s="3"/>
      <c r="AN1148" s="3">
        <f>AL1148*1.03</f>
        <v>36059.991000000002</v>
      </c>
      <c r="AO1148" s="3"/>
      <c r="AP1148" s="3">
        <f>AN1148*1.03</f>
        <v>37141.790730000001</v>
      </c>
      <c r="AQ1148" s="42"/>
      <c r="AR1148" s="3">
        <f>AP1148*1.03</f>
        <v>38256.044451900001</v>
      </c>
      <c r="AS1148" s="42"/>
      <c r="AT1148" s="3">
        <f>AR1148*1.03</f>
        <v>39403.725785457005</v>
      </c>
      <c r="AU1148" s="42"/>
      <c r="AV1148" s="3">
        <f>AT1148*1.03</f>
        <v>40585.837559020714</v>
      </c>
      <c r="AW1148" s="42"/>
      <c r="AX1148" s="3">
        <f>AV1148*1.03</f>
        <v>41803.412685791336</v>
      </c>
      <c r="AZ1148" s="3">
        <f>AX1148*1.03</f>
        <v>43057.515066365078</v>
      </c>
    </row>
    <row r="1149" spans="1:52" x14ac:dyDescent="0.25">
      <c r="A1149" s="3" t="s">
        <v>835</v>
      </c>
      <c r="B1149" s="3">
        <v>170000</v>
      </c>
      <c r="D1149" s="3">
        <v>37030</v>
      </c>
      <c r="E1149" s="3">
        <f>F1149-D1149</f>
        <v>132970</v>
      </c>
      <c r="F1149" s="5">
        <v>170000</v>
      </c>
      <c r="H1149" s="5">
        <f>F1149-B1149</f>
        <v>0</v>
      </c>
      <c r="J1149" s="5">
        <v>67483</v>
      </c>
      <c r="K1149" s="4">
        <f>L1149-J1149</f>
        <v>95017</v>
      </c>
      <c r="L1149" s="4">
        <v>162500</v>
      </c>
      <c r="N1149" s="4">
        <f>L1149-F1149</f>
        <v>-7500</v>
      </c>
      <c r="P1149" s="3">
        <f>L1149*1.0281+34</f>
        <v>167100.25</v>
      </c>
      <c r="Q1149" s="3"/>
      <c r="R1149" s="3">
        <v>43868</v>
      </c>
      <c r="S1149" s="3">
        <f>T1149-R1149</f>
        <v>123232</v>
      </c>
      <c r="T1149" s="3">
        <v>167100</v>
      </c>
      <c r="U1149" s="3">
        <f>T1149-P1149</f>
        <v>-0.25</v>
      </c>
      <c r="V1149" s="3">
        <f>93071-25000</f>
        <v>68071</v>
      </c>
      <c r="W1149" s="3">
        <f>Y1149-V1149</f>
        <v>111929</v>
      </c>
      <c r="X1149" s="3"/>
      <c r="Y1149" s="3">
        <v>180000</v>
      </c>
      <c r="Z1149" s="3">
        <f>Y1149-T1149</f>
        <v>12900</v>
      </c>
      <c r="AA1149" s="3"/>
      <c r="AB1149" s="3"/>
      <c r="AC1149" s="3">
        <v>104929</v>
      </c>
      <c r="AD1149" s="3">
        <f>AE1149-AC1149</f>
        <v>70071</v>
      </c>
      <c r="AE1149" s="3">
        <v>175000</v>
      </c>
      <c r="AF1149" s="3">
        <f>AE1149-Y1149</f>
        <v>-5000</v>
      </c>
      <c r="AG1149" s="3"/>
      <c r="AH1149" s="3">
        <f>P1149*1.03+87</f>
        <v>172200.25750000001</v>
      </c>
      <c r="AI1149" s="3"/>
      <c r="AJ1149" s="3">
        <f>AH1149*1.03</f>
        <v>177366.26522500001</v>
      </c>
      <c r="AK1149" s="3"/>
      <c r="AL1149" s="3">
        <f>AJ1149*1.03</f>
        <v>182687.25318175001</v>
      </c>
      <c r="AM1149" s="3"/>
      <c r="AN1149" s="3">
        <f>AL1149*1.03</f>
        <v>188167.87077720251</v>
      </c>
      <c r="AO1149" s="3"/>
      <c r="AP1149" s="3">
        <f>AN1149*1.03</f>
        <v>193812.9069005186</v>
      </c>
      <c r="AQ1149" s="42"/>
      <c r="AR1149" s="3">
        <f>AP1149*1.03</f>
        <v>199627.29410753417</v>
      </c>
      <c r="AS1149" s="42"/>
      <c r="AT1149" s="3">
        <f>AR1149*1.03</f>
        <v>205616.1129307602</v>
      </c>
      <c r="AU1149" s="42"/>
      <c r="AV1149" s="3">
        <f>AT1149*1.03</f>
        <v>211784.596318683</v>
      </c>
      <c r="AW1149" s="42"/>
      <c r="AX1149" s="3">
        <f>AV1149*1.03</f>
        <v>218138.13420824351</v>
      </c>
      <c r="AZ1149" s="3">
        <f>AX1149*1.03</f>
        <v>224682.27823449083</v>
      </c>
    </row>
    <row r="1150" spans="1:52" x14ac:dyDescent="0.25">
      <c r="A1150" s="3" t="s">
        <v>493</v>
      </c>
      <c r="B1150" s="3"/>
      <c r="D1150" s="3"/>
      <c r="E1150" s="3">
        <f>F1150-D1150</f>
        <v>0</v>
      </c>
      <c r="H1150" s="5">
        <f>F1150-B1150</f>
        <v>0</v>
      </c>
      <c r="K1150" s="4">
        <f>L1150-J1150</f>
        <v>0</v>
      </c>
      <c r="L1150" s="4"/>
      <c r="N1150" s="4">
        <f>L1150-F1150</f>
        <v>0</v>
      </c>
      <c r="P1150" s="3"/>
      <c r="Q1150" s="3"/>
      <c r="R1150" s="3"/>
      <c r="S1150" s="3">
        <f>T1150-R1150</f>
        <v>0</v>
      </c>
      <c r="T1150" s="3"/>
      <c r="U1150" s="3">
        <f>T1150-P1150</f>
        <v>0</v>
      </c>
      <c r="V1150" s="3"/>
      <c r="W1150" s="3">
        <f>Y1150-V1150</f>
        <v>0</v>
      </c>
      <c r="X1150" s="3"/>
      <c r="Y1150" s="3"/>
      <c r="Z1150" s="3">
        <f>Y1150-T1150</f>
        <v>0</v>
      </c>
      <c r="AA1150" s="3"/>
      <c r="AB1150" s="3"/>
      <c r="AC1150" s="3"/>
      <c r="AD1150" s="3">
        <f>AE1150-AC1150</f>
        <v>0</v>
      </c>
      <c r="AE1150" s="3"/>
      <c r="AF1150" s="3">
        <f>AE1150-Y1150</f>
        <v>0</v>
      </c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42"/>
      <c r="AR1150" s="3"/>
      <c r="AS1150" s="42"/>
      <c r="AT1150" s="3"/>
      <c r="AU1150" s="42"/>
      <c r="AV1150" s="3"/>
      <c r="AW1150" s="42"/>
      <c r="AX1150" s="3"/>
      <c r="AZ1150" s="3"/>
    </row>
    <row r="1151" spans="1:52" x14ac:dyDescent="0.25">
      <c r="A1151" s="3"/>
      <c r="B1151" s="48">
        <f>SUM(B1146:B1150)</f>
        <v>249650</v>
      </c>
      <c r="C1151" s="32"/>
      <c r="D1151" s="48">
        <f>SUM(D1146:D1150)</f>
        <v>58974</v>
      </c>
      <c r="E1151" s="48">
        <f>SUM(E1146:E1150)</f>
        <v>190676</v>
      </c>
      <c r="F1151" s="48">
        <f>SUM(F1146:F1150)</f>
        <v>249650</v>
      </c>
      <c r="G1151" s="32"/>
      <c r="H1151" s="48">
        <f>SUM(H1146:H1150)</f>
        <v>0</v>
      </c>
      <c r="I1151" s="36"/>
      <c r="J1151" s="48">
        <f>SUM(J1146:J1150)</f>
        <v>101022</v>
      </c>
      <c r="K1151" s="48">
        <f>SUM(K1146:K1150)</f>
        <v>139978</v>
      </c>
      <c r="L1151" s="48">
        <f>SUM(L1146:L1150)</f>
        <v>241000</v>
      </c>
      <c r="M1151" s="32"/>
      <c r="N1151" s="48">
        <f>SUM(N1146:N1150)</f>
        <v>-8650</v>
      </c>
      <c r="P1151" s="48">
        <f>SUM(P1146:P1150)-1</f>
        <v>247900.09999999998</v>
      </c>
      <c r="R1151" s="48">
        <f t="shared" ref="R1151:W1151" si="550">SUM(R1146:R1150)-1</f>
        <v>58155</v>
      </c>
      <c r="S1151" s="48">
        <f t="shared" si="550"/>
        <v>189743</v>
      </c>
      <c r="T1151" s="48">
        <f t="shared" si="550"/>
        <v>247899</v>
      </c>
      <c r="U1151" s="48">
        <f t="shared" si="550"/>
        <v>-2.0999999999949068</v>
      </c>
      <c r="V1151" s="48">
        <f t="shared" si="550"/>
        <v>91426</v>
      </c>
      <c r="W1151" s="48">
        <f t="shared" si="550"/>
        <v>165372</v>
      </c>
      <c r="X1151" s="48"/>
      <c r="Y1151" s="48">
        <f>SUM(Y1146:Y1150)</f>
        <v>256800</v>
      </c>
      <c r="Z1151" s="48">
        <f>SUM(Z1146:Z1150)</f>
        <v>8900</v>
      </c>
      <c r="AC1151" s="48">
        <f>SUM(AC1146:AC1150)</f>
        <v>138073</v>
      </c>
      <c r="AD1151" s="48">
        <f>SUM(AD1146:AD1150)</f>
        <v>105927</v>
      </c>
      <c r="AE1151" s="48">
        <f>SUM(AE1146:AE1150)</f>
        <v>244000</v>
      </c>
      <c r="AF1151" s="48">
        <f>SUM(AF1146:AF1150)</f>
        <v>-12800</v>
      </c>
      <c r="AH1151" s="48">
        <f>SUM(AH1146:AH1150)</f>
        <v>247450.25750000001</v>
      </c>
      <c r="AJ1151" s="48">
        <f>SUM(AJ1146:AJ1150)</f>
        <v>254873.76522500001</v>
      </c>
      <c r="AL1151" s="48">
        <f>SUM(AL1146:AL1150)</f>
        <v>262519.97818175005</v>
      </c>
      <c r="AN1151" s="48">
        <f>SUM(AN1146:AN1150)</f>
        <v>270395.57752720255</v>
      </c>
      <c r="AO1151" s="48"/>
      <c r="AP1151" s="48">
        <f>SUM(AP1146:AP1150)</f>
        <v>278507.44485301862</v>
      </c>
      <c r="AR1151" s="48">
        <f>SUM(AR1146:AR1150)</f>
        <v>286862.66819860914</v>
      </c>
      <c r="AT1151" s="48">
        <f>SUM(AT1146:AT1150)</f>
        <v>295468.54824456747</v>
      </c>
      <c r="AV1151" s="48">
        <f>SUM(AV1146:AV1150)</f>
        <v>304332.6046919045</v>
      </c>
      <c r="AX1151" s="48">
        <f>SUM(AX1146:AX1150)</f>
        <v>313462.58283266163</v>
      </c>
      <c r="AZ1151" s="48">
        <f>SUM(AZ1146:AZ1150)</f>
        <v>322866.4603176415</v>
      </c>
    </row>
    <row r="1152" spans="1:52" x14ac:dyDescent="0.25">
      <c r="A1152" s="7" t="s">
        <v>836</v>
      </c>
    </row>
    <row r="1153" spans="1:53" x14ac:dyDescent="0.25">
      <c r="A1153" s="3" t="s">
        <v>837</v>
      </c>
      <c r="Z1153" s="3">
        <f>Y1153-T1153</f>
        <v>0</v>
      </c>
      <c r="AD1153" s="3">
        <f>AE1153-AC1153</f>
        <v>0</v>
      </c>
      <c r="AE1153" s="3"/>
      <c r="AF1153" s="3">
        <f>AE1153-Y1153</f>
        <v>0</v>
      </c>
    </row>
    <row r="1154" spans="1:53" x14ac:dyDescent="0.25">
      <c r="A1154" s="3" t="s">
        <v>838</v>
      </c>
      <c r="B1154" s="3">
        <v>86800</v>
      </c>
      <c r="D1154" s="3">
        <v>12254</v>
      </c>
      <c r="E1154" s="3">
        <f>F1154-D1154</f>
        <v>74546</v>
      </c>
      <c r="F1154" s="5">
        <v>86800</v>
      </c>
      <c r="H1154" s="5">
        <f>F1154-B1154</f>
        <v>0</v>
      </c>
      <c r="J1154" s="5">
        <v>31681</v>
      </c>
      <c r="K1154" s="4">
        <f>L1154-J1154</f>
        <v>54319</v>
      </c>
      <c r="L1154" s="4">
        <v>86000</v>
      </c>
      <c r="N1154" s="4">
        <f>L1154-F1154</f>
        <v>-800</v>
      </c>
      <c r="P1154" s="3">
        <f>L1154*1.17+30</f>
        <v>100650</v>
      </c>
      <c r="Q1154" s="3"/>
      <c r="R1154" s="3">
        <v>14952</v>
      </c>
      <c r="S1154" s="3">
        <f>T1154-R1154</f>
        <v>85698</v>
      </c>
      <c r="T1154" s="3">
        <v>100650</v>
      </c>
      <c r="U1154" s="3">
        <f>T1154-P1154</f>
        <v>0</v>
      </c>
      <c r="V1154" s="3">
        <f>33509+7431</f>
        <v>40940</v>
      </c>
      <c r="W1154" s="3">
        <f>Y1154-V1154</f>
        <v>59060</v>
      </c>
      <c r="X1154" s="3"/>
      <c r="Y1154" s="3">
        <v>100000</v>
      </c>
      <c r="Z1154" s="3">
        <f>Y1154-T1154</f>
        <v>-650</v>
      </c>
      <c r="AA1154" s="3"/>
      <c r="AB1154" s="3"/>
      <c r="AC1154" s="3">
        <f>66405+7531</f>
        <v>73936</v>
      </c>
      <c r="AD1154" s="3">
        <f>AE1154-AC1154</f>
        <v>28564</v>
      </c>
      <c r="AE1154" s="3">
        <v>102500</v>
      </c>
      <c r="AF1154" s="3">
        <f>AE1154-Y1154</f>
        <v>2500</v>
      </c>
      <c r="AG1154" s="3"/>
      <c r="AH1154" s="3">
        <f>P1154*1.075+401</f>
        <v>108599.75</v>
      </c>
      <c r="AI1154" s="3"/>
      <c r="AJ1154" s="3">
        <f>AH1154*1.05</f>
        <v>114029.7375</v>
      </c>
      <c r="AK1154" s="3"/>
      <c r="AL1154" s="3">
        <f>AJ1154*1.05</f>
        <v>119731.22437500001</v>
      </c>
      <c r="AM1154" s="3"/>
      <c r="AN1154" s="3">
        <f>AL1154*1.05</f>
        <v>125717.78559375001</v>
      </c>
      <c r="AO1154" s="3"/>
      <c r="AP1154" s="3">
        <f>AN1154*1.05</f>
        <v>132003.67487343753</v>
      </c>
      <c r="AQ1154" s="42"/>
      <c r="AR1154" s="3">
        <f>AP1154*1.05</f>
        <v>138603.85861710942</v>
      </c>
      <c r="AS1154" s="42"/>
      <c r="AT1154" s="3">
        <f>AR1154*1.05</f>
        <v>145534.05154796489</v>
      </c>
      <c r="AU1154" s="42"/>
      <c r="AV1154" s="3">
        <f>AT1154*1.05</f>
        <v>152810.75412536314</v>
      </c>
      <c r="AW1154" s="42"/>
      <c r="AX1154" s="3">
        <f>AV1154*1.05</f>
        <v>160451.2918316313</v>
      </c>
      <c r="AZ1154" s="3">
        <f>AX1154*1.05</f>
        <v>168473.85642321288</v>
      </c>
    </row>
    <row r="1155" spans="1:53" x14ac:dyDescent="0.25">
      <c r="A1155" s="3"/>
      <c r="B1155" s="48">
        <f>SUM(B1153:B1154)</f>
        <v>86800</v>
      </c>
      <c r="C1155" s="32"/>
      <c r="D1155" s="48">
        <f>SUM(D1153:D1154)</f>
        <v>12254</v>
      </c>
      <c r="E1155" s="48">
        <f>SUM(E1153:E1154)</f>
        <v>74546</v>
      </c>
      <c r="F1155" s="48">
        <f>SUM(F1153:F1154)</f>
        <v>86800</v>
      </c>
      <c r="G1155" s="32"/>
      <c r="H1155" s="48">
        <f>SUM(H1153:H1154)</f>
        <v>0</v>
      </c>
      <c r="I1155" s="36"/>
      <c r="J1155" s="48">
        <f>SUM(J1153:J1154)</f>
        <v>31681</v>
      </c>
      <c r="K1155" s="48">
        <f>SUM(K1153:K1154)</f>
        <v>54319</v>
      </c>
      <c r="L1155" s="48">
        <f>SUM(L1153:L1154)</f>
        <v>86000</v>
      </c>
      <c r="M1155" s="32"/>
      <c r="N1155" s="48">
        <f>SUM(N1153:N1154)</f>
        <v>-800</v>
      </c>
      <c r="P1155" s="48">
        <f>SUM(P1153:P1154)</f>
        <v>100650</v>
      </c>
      <c r="R1155" s="48">
        <f t="shared" ref="R1155:Z1155" si="551">SUM(R1153:R1154)</f>
        <v>14952</v>
      </c>
      <c r="S1155" s="48">
        <f t="shared" si="551"/>
        <v>85698</v>
      </c>
      <c r="T1155" s="48">
        <f t="shared" si="551"/>
        <v>100650</v>
      </c>
      <c r="U1155" s="48">
        <f t="shared" si="551"/>
        <v>0</v>
      </c>
      <c r="V1155" s="48">
        <f t="shared" si="551"/>
        <v>40940</v>
      </c>
      <c r="W1155" s="48">
        <f t="shared" si="551"/>
        <v>59060</v>
      </c>
      <c r="X1155" s="48"/>
      <c r="Y1155" s="48">
        <f t="shared" si="551"/>
        <v>100000</v>
      </c>
      <c r="Z1155" s="48">
        <f t="shared" si="551"/>
        <v>-650</v>
      </c>
      <c r="AC1155" s="48">
        <f>SUM(AC1153:AC1154)</f>
        <v>73936</v>
      </c>
      <c r="AD1155" s="48">
        <f>SUM(AD1153:AD1154)</f>
        <v>28564</v>
      </c>
      <c r="AE1155" s="48">
        <f>SUM(AE1153:AE1154)</f>
        <v>102500</v>
      </c>
      <c r="AF1155" s="48">
        <f>SUM(AF1153:AF1154)</f>
        <v>2500</v>
      </c>
      <c r="AH1155" s="48">
        <f>SUM(AH1153:AH1154)</f>
        <v>108599.75</v>
      </c>
      <c r="AJ1155" s="48">
        <f>SUM(AJ1153:AJ1154)</f>
        <v>114029.7375</v>
      </c>
      <c r="AL1155" s="48">
        <f>SUM(AL1153:AL1154)</f>
        <v>119731.22437500001</v>
      </c>
      <c r="AN1155" s="48">
        <f>SUM(AN1153:AN1154)</f>
        <v>125717.78559375001</v>
      </c>
      <c r="AO1155" s="48"/>
      <c r="AP1155" s="48">
        <f>SUM(AP1153:AP1154)</f>
        <v>132003.67487343753</v>
      </c>
      <c r="AR1155" s="48">
        <f>SUM(AR1153:AR1154)</f>
        <v>138603.85861710942</v>
      </c>
      <c r="AT1155" s="48">
        <f>SUM(AT1153:AT1154)</f>
        <v>145534.05154796489</v>
      </c>
      <c r="AV1155" s="48">
        <f>SUM(AV1153:AV1154)</f>
        <v>152810.75412536314</v>
      </c>
      <c r="AX1155" s="48">
        <f>SUM(AX1153:AX1154)</f>
        <v>160451.2918316313</v>
      </c>
      <c r="AZ1155" s="48">
        <f>SUM(AZ1153:AZ1154)</f>
        <v>168473.85642321288</v>
      </c>
    </row>
    <row r="1156" spans="1:53" x14ac:dyDescent="0.25">
      <c r="A1156" s="7" t="s">
        <v>839</v>
      </c>
    </row>
    <row r="1157" spans="1:53" x14ac:dyDescent="0.25">
      <c r="A1157" s="3" t="s">
        <v>840</v>
      </c>
      <c r="B1157" s="35">
        <v>26600</v>
      </c>
      <c r="C1157" s="32"/>
      <c r="D1157" s="35">
        <v>3086</v>
      </c>
      <c r="E1157" s="35">
        <f>F1157-D1157</f>
        <v>23514</v>
      </c>
      <c r="F1157" s="35">
        <v>26600</v>
      </c>
      <c r="G1157" s="32"/>
      <c r="H1157" s="35">
        <f>F1157-B1157</f>
        <v>0</v>
      </c>
      <c r="I1157" s="36"/>
      <c r="J1157" s="48">
        <v>6950</v>
      </c>
      <c r="K1157" s="48">
        <f>L1157-J1157</f>
        <v>18050</v>
      </c>
      <c r="L1157" s="48">
        <v>25000</v>
      </c>
      <c r="M1157" s="32"/>
      <c r="N1157" s="48">
        <f>L1157-F1157</f>
        <v>-1600</v>
      </c>
      <c r="P1157" s="35">
        <f>L1157*1.0281-3</f>
        <v>25699.5</v>
      </c>
      <c r="R1157" s="70">
        <v>1692</v>
      </c>
      <c r="S1157" s="70">
        <f>T1157-R1157</f>
        <v>24008</v>
      </c>
      <c r="T1157" s="71">
        <v>25700</v>
      </c>
      <c r="U1157" s="71">
        <f>T1157-P1157</f>
        <v>0.5</v>
      </c>
      <c r="V1157" s="71">
        <v>6552</v>
      </c>
      <c r="W1157" s="71">
        <f>Y1157-V1157</f>
        <v>17148</v>
      </c>
      <c r="X1157" s="71"/>
      <c r="Y1157" s="71">
        <v>23700</v>
      </c>
      <c r="Z1157" s="71">
        <f>Y1157-T1157</f>
        <v>-2000</v>
      </c>
      <c r="AC1157" s="71">
        <v>12654</v>
      </c>
      <c r="AD1157" s="71">
        <f>AE1157-AC1157</f>
        <v>9846</v>
      </c>
      <c r="AE1157" s="71">
        <v>22500</v>
      </c>
      <c r="AF1157" s="71">
        <f>AE1157-Y1157</f>
        <v>-1200</v>
      </c>
      <c r="AH1157" s="35">
        <f>P1157*1.03</f>
        <v>26470.485000000001</v>
      </c>
      <c r="AJ1157" s="35">
        <f>AH1157*1.0281</f>
        <v>27214.305628500002</v>
      </c>
      <c r="AL1157" s="35">
        <f>AJ1157*1.03</f>
        <v>28030.734797355002</v>
      </c>
      <c r="AN1157" s="35">
        <f>AL1157*1.03</f>
        <v>28871.656841275653</v>
      </c>
      <c r="AO1157" s="35"/>
      <c r="AP1157" s="35">
        <f>AN1157*1.03</f>
        <v>29737.806546513923</v>
      </c>
      <c r="AR1157" s="35">
        <f>AP1157*1.03</f>
        <v>30629.940742909341</v>
      </c>
      <c r="AT1157" s="35">
        <f>AR1157*1.03</f>
        <v>31548.838965196621</v>
      </c>
      <c r="AV1157" s="35">
        <f>AT1157*1.03</f>
        <v>32495.30413415252</v>
      </c>
      <c r="AX1157" s="35">
        <f>AV1157*1.03</f>
        <v>33470.163258177097</v>
      </c>
      <c r="AZ1157" s="35">
        <f>AX1157*1.03</f>
        <v>34474.268155922415</v>
      </c>
    </row>
    <row r="1158" spans="1:53" x14ac:dyDescent="0.25">
      <c r="A1158" s="3"/>
      <c r="T1158" s="38"/>
      <c r="U1158" s="38"/>
      <c r="V1158" s="38"/>
      <c r="W1158" s="38"/>
      <c r="X1158" s="38"/>
      <c r="Y1158" s="38"/>
      <c r="Z1158" s="38"/>
    </row>
    <row r="1159" spans="1:53" x14ac:dyDescent="0.25">
      <c r="A1159" s="7" t="s">
        <v>289</v>
      </c>
      <c r="B1159" s="35">
        <v>243000</v>
      </c>
      <c r="C1159" s="32"/>
      <c r="D1159" s="35">
        <v>0</v>
      </c>
      <c r="E1159" s="35">
        <f>F1159-D1159</f>
        <v>243000</v>
      </c>
      <c r="F1159" s="35">
        <v>243000</v>
      </c>
      <c r="G1159" s="32"/>
      <c r="H1159" s="35">
        <f>F1159-B1159</f>
        <v>0</v>
      </c>
      <c r="I1159" s="36"/>
      <c r="J1159" s="48">
        <f>SUM(J1157:J1158)</f>
        <v>6950</v>
      </c>
      <c r="K1159" s="48">
        <f>SUM(K1157:K1158)</f>
        <v>18050</v>
      </c>
      <c r="L1159" s="48">
        <v>243000</v>
      </c>
      <c r="M1159" s="32"/>
      <c r="N1159" s="48">
        <f>L1159-F1159</f>
        <v>0</v>
      </c>
      <c r="P1159" s="48">
        <v>243000</v>
      </c>
      <c r="Q1159" s="3"/>
      <c r="R1159" s="70">
        <v>0</v>
      </c>
      <c r="S1159" s="70">
        <f>T1159-R1159</f>
        <v>262000</v>
      </c>
      <c r="T1159" s="71">
        <v>262000</v>
      </c>
      <c r="U1159" s="71">
        <f>T1159-P1159</f>
        <v>19000</v>
      </c>
      <c r="V1159" s="71">
        <v>0</v>
      </c>
      <c r="W1159" s="71">
        <f>Y1159-V1159</f>
        <v>262000</v>
      </c>
      <c r="X1159" s="71"/>
      <c r="Y1159" s="71">
        <v>262000</v>
      </c>
      <c r="Z1159" s="71">
        <f>Y1159-T1159</f>
        <v>0</v>
      </c>
      <c r="AA1159" s="3"/>
      <c r="AB1159" s="3"/>
      <c r="AC1159" s="71">
        <v>0</v>
      </c>
      <c r="AD1159" s="71">
        <f>AE1159-AC1159</f>
        <v>262000</v>
      </c>
      <c r="AE1159" s="71">
        <v>262000</v>
      </c>
      <c r="AF1159" s="71">
        <f>AE1159-Y1159</f>
        <v>0</v>
      </c>
      <c r="AG1159" s="3"/>
      <c r="AH1159" s="48">
        <v>243000</v>
      </c>
      <c r="AI1159" s="3"/>
      <c r="AJ1159" s="48">
        <v>243000</v>
      </c>
      <c r="AK1159" s="3"/>
      <c r="AL1159" s="48">
        <v>243000</v>
      </c>
      <c r="AM1159" s="3"/>
      <c r="AN1159" s="48">
        <v>243000</v>
      </c>
      <c r="AO1159" s="48"/>
      <c r="AP1159" s="48">
        <v>243000</v>
      </c>
      <c r="AQ1159" s="42"/>
      <c r="AR1159" s="48">
        <v>243000</v>
      </c>
      <c r="AT1159" s="48">
        <v>243000</v>
      </c>
      <c r="AV1159" s="48">
        <v>243000</v>
      </c>
      <c r="AX1159" s="48">
        <v>243000</v>
      </c>
      <c r="AZ1159" s="48">
        <v>243000</v>
      </c>
    </row>
    <row r="1160" spans="1:53" x14ac:dyDescent="0.25">
      <c r="A1160" s="3"/>
    </row>
    <row r="1161" spans="1:53" x14ac:dyDescent="0.25">
      <c r="A1161" s="7" t="s">
        <v>376</v>
      </c>
    </row>
    <row r="1162" spans="1:53" x14ac:dyDescent="0.25">
      <c r="A1162" s="3" t="s">
        <v>841</v>
      </c>
      <c r="P1162" s="3">
        <v>8000</v>
      </c>
      <c r="Q1162" s="3"/>
      <c r="R1162" s="3">
        <v>0</v>
      </c>
      <c r="S1162" s="3">
        <f>T1162-R1162</f>
        <v>8000</v>
      </c>
      <c r="T1162" s="3">
        <v>8000</v>
      </c>
      <c r="U1162" s="3">
        <f>T1162-P1162</f>
        <v>0</v>
      </c>
      <c r="V1162" s="3"/>
      <c r="W1162" s="3">
        <f>Y1162-V1162</f>
        <v>8000</v>
      </c>
      <c r="X1162" s="3"/>
      <c r="Y1162" s="3">
        <v>8000</v>
      </c>
      <c r="Z1162" s="3">
        <f>Y1162-T1162</f>
        <v>0</v>
      </c>
      <c r="AA1162" s="3"/>
      <c r="AB1162" s="3"/>
      <c r="AC1162" s="3">
        <v>638</v>
      </c>
      <c r="AD1162" s="3">
        <f>AE1162-AC1162</f>
        <v>7362</v>
      </c>
      <c r="AE1162" s="3">
        <v>8000</v>
      </c>
      <c r="AF1162" s="3">
        <f>AE1162-Y1162</f>
        <v>0</v>
      </c>
      <c r="AG1162" s="3"/>
      <c r="AH1162" s="3"/>
      <c r="AI1162" s="3"/>
      <c r="AJ1162" s="3"/>
      <c r="AK1162" s="3"/>
      <c r="AL1162" s="3"/>
      <c r="AM1162" s="3"/>
      <c r="AN1162" s="3">
        <v>9000</v>
      </c>
      <c r="AO1162" s="3"/>
      <c r="AP1162" s="3"/>
      <c r="AQ1162" s="42"/>
      <c r="AR1162" s="3"/>
      <c r="AS1162" s="42"/>
      <c r="AT1162" s="3">
        <v>10000</v>
      </c>
      <c r="AU1162" s="42"/>
      <c r="AV1162" s="3">
        <v>10000</v>
      </c>
      <c r="AW1162" s="42"/>
      <c r="AX1162" s="3">
        <v>10000</v>
      </c>
      <c r="AZ1162" s="3">
        <v>10000</v>
      </c>
    </row>
    <row r="1163" spans="1:53" x14ac:dyDescent="0.25">
      <c r="A1163" s="3" t="s">
        <v>817</v>
      </c>
      <c r="P1163" s="3"/>
      <c r="Q1163" s="3"/>
      <c r="R1163" s="3"/>
      <c r="S1163" s="3"/>
      <c r="T1163" s="3"/>
      <c r="U1163" s="3"/>
      <c r="V1163" s="3">
        <v>25000</v>
      </c>
      <c r="W1163" s="3">
        <f>Y1163-V1163</f>
        <v>0</v>
      </c>
      <c r="X1163" s="3"/>
      <c r="Y1163" s="3">
        <v>25000</v>
      </c>
      <c r="Z1163" s="3">
        <f>Y1163-T1163</f>
        <v>25000</v>
      </c>
      <c r="AA1163" s="3"/>
      <c r="AB1163" s="3"/>
      <c r="AC1163" s="3"/>
      <c r="AD1163" s="3">
        <f>AE1163-AC1163</f>
        <v>25000</v>
      </c>
      <c r="AE1163" s="3">
        <v>25000</v>
      </c>
      <c r="AF1163" s="3">
        <f>AE1163-Y1163</f>
        <v>0</v>
      </c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42"/>
      <c r="AR1163" s="3"/>
      <c r="AS1163" s="42"/>
      <c r="AT1163" s="3"/>
      <c r="AU1163" s="42"/>
      <c r="AV1163" s="3"/>
      <c r="AW1163" s="42"/>
      <c r="AX1163" s="3"/>
      <c r="AZ1163" s="3"/>
    </row>
    <row r="1164" spans="1:53" x14ac:dyDescent="0.25">
      <c r="A1164" s="3" t="s">
        <v>842</v>
      </c>
      <c r="K1164" s="4">
        <f>L1164-J1164</f>
        <v>4000</v>
      </c>
      <c r="L1164" s="5">
        <v>4000</v>
      </c>
      <c r="N1164" s="4">
        <f>L1164-F1164</f>
        <v>4000</v>
      </c>
      <c r="P1164" s="3"/>
      <c r="Q1164" s="3"/>
      <c r="R1164" s="3"/>
      <c r="S1164" s="3"/>
      <c r="T1164" s="3"/>
      <c r="U1164" s="3"/>
      <c r="V1164" s="3"/>
      <c r="W1164" s="3">
        <f>Y1164-V1164</f>
        <v>0</v>
      </c>
      <c r="X1164" s="3"/>
      <c r="Y1164" s="3"/>
      <c r="Z1164" s="3">
        <f>Y1164-T1164</f>
        <v>0</v>
      </c>
      <c r="AA1164" s="3"/>
      <c r="AB1164" s="3"/>
      <c r="AC1164" s="3"/>
      <c r="AD1164" s="3">
        <f>AE1164-AC1164</f>
        <v>0</v>
      </c>
      <c r="AE1164" s="3"/>
      <c r="AF1164" s="3">
        <f>AE1164-Y1164</f>
        <v>0</v>
      </c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42"/>
      <c r="AR1164" s="3"/>
      <c r="AS1164" s="42"/>
      <c r="AT1164" s="3"/>
      <c r="AU1164" s="42"/>
      <c r="AV1164" s="3"/>
      <c r="AW1164" s="42"/>
      <c r="AX1164" s="3"/>
      <c r="AZ1164" s="3"/>
    </row>
    <row r="1165" spans="1:53" x14ac:dyDescent="0.25">
      <c r="A1165" s="3" t="s">
        <v>843</v>
      </c>
      <c r="B1165" s="3">
        <v>16500</v>
      </c>
      <c r="D1165" s="3">
        <v>6588</v>
      </c>
      <c r="E1165" s="3">
        <f>F1165-D1165</f>
        <v>9912</v>
      </c>
      <c r="F1165" s="5">
        <v>16500</v>
      </c>
      <c r="H1165" s="5">
        <f>F1165-B1165</f>
        <v>0</v>
      </c>
      <c r="J1165" s="5">
        <v>8800</v>
      </c>
      <c r="K1165" s="4">
        <f>L1165-J1165</f>
        <v>9200</v>
      </c>
      <c r="L1165" s="4">
        <v>18000</v>
      </c>
      <c r="N1165" s="4">
        <f>L1165-F1165</f>
        <v>1500</v>
      </c>
      <c r="P1165" s="3">
        <f>L1165*1.0325-35</f>
        <v>18550</v>
      </c>
      <c r="Q1165" s="3"/>
      <c r="R1165" s="3">
        <v>5654</v>
      </c>
      <c r="S1165" s="3">
        <f>T1165-R1165</f>
        <v>16846</v>
      </c>
      <c r="T1165" s="3">
        <v>22500</v>
      </c>
      <c r="U1165" s="3">
        <f>T1165-P1165</f>
        <v>3950</v>
      </c>
      <c r="V1165" s="3">
        <v>10154</v>
      </c>
      <c r="W1165" s="3">
        <f>Y1165-V1165</f>
        <v>12346</v>
      </c>
      <c r="X1165" s="3"/>
      <c r="Y1165" s="3">
        <v>22500</v>
      </c>
      <c r="Z1165" s="3">
        <f>Y1165-T1165</f>
        <v>0</v>
      </c>
      <c r="AA1165" s="3"/>
      <c r="AB1165" s="3"/>
      <c r="AC1165" s="3">
        <v>14549</v>
      </c>
      <c r="AD1165" s="3">
        <f>AE1165-AC1165</f>
        <v>7951</v>
      </c>
      <c r="AE1165" s="3">
        <v>22500</v>
      </c>
      <c r="AF1165" s="3">
        <f>AE1165-Y1165</f>
        <v>0</v>
      </c>
      <c r="AG1165" s="3"/>
      <c r="AH1165" s="3">
        <f>P1165*1.0325-3</f>
        <v>19149.875</v>
      </c>
      <c r="AI1165" s="3"/>
      <c r="AJ1165" s="3">
        <f>AH1165*1.0325</f>
        <v>19772.2459375</v>
      </c>
      <c r="AK1165" s="3"/>
      <c r="AL1165" s="3">
        <f>AJ1165*1.0325</f>
        <v>20414.843930468749</v>
      </c>
      <c r="AM1165" s="3"/>
      <c r="AN1165" s="3">
        <f>AL1165*1.0325</f>
        <v>21078.326358208982</v>
      </c>
      <c r="AO1165" s="3"/>
      <c r="AP1165" s="3">
        <f>AN1165*1.0325</f>
        <v>21763.371964850772</v>
      </c>
      <c r="AQ1165" s="42"/>
      <c r="AR1165" s="3">
        <f>AP1165*1.0325</f>
        <v>22470.681553708422</v>
      </c>
      <c r="AS1165" s="42"/>
      <c r="AT1165" s="3">
        <f>AR1165*1.0325</f>
        <v>23200.978704203946</v>
      </c>
      <c r="AU1165" s="42"/>
      <c r="AV1165" s="3">
        <f>AT1165*1.0325</f>
        <v>23955.010512090576</v>
      </c>
      <c r="AW1165" s="42"/>
      <c r="AX1165" s="3">
        <f>AV1165*1.0325</f>
        <v>24733.54835373352</v>
      </c>
      <c r="AZ1165" s="3">
        <f>AX1165*1.0325</f>
        <v>25537.38867522986</v>
      </c>
    </row>
    <row r="1166" spans="1:53" x14ac:dyDescent="0.25">
      <c r="A1166" s="3"/>
      <c r="B1166" s="48">
        <f>SUM(B1162:B1165)</f>
        <v>16500</v>
      </c>
      <c r="C1166" s="32"/>
      <c r="D1166" s="48">
        <f>SUM(D1162:D1165)</f>
        <v>6588</v>
      </c>
      <c r="E1166" s="48">
        <f>SUM(E1162:E1165)</f>
        <v>9912</v>
      </c>
      <c r="F1166" s="48">
        <f>SUM(F1162:F1165)</f>
        <v>16500</v>
      </c>
      <c r="G1166" s="32"/>
      <c r="H1166" s="48">
        <f>SUM(H1162:H1165)</f>
        <v>0</v>
      </c>
      <c r="I1166" s="36"/>
      <c r="J1166" s="48">
        <f>SUM(J1162:J1165)</f>
        <v>8800</v>
      </c>
      <c r="K1166" s="48">
        <f>SUM(K1162:K1165)</f>
        <v>13200</v>
      </c>
      <c r="L1166" s="48">
        <f>SUM(L1162:L1165)</f>
        <v>22000</v>
      </c>
      <c r="M1166" s="32"/>
      <c r="N1166" s="48">
        <f>SUM(N1162:N1165)</f>
        <v>5500</v>
      </c>
      <c r="P1166" s="48">
        <f>SUM(P1162:P1165)</f>
        <v>26550</v>
      </c>
      <c r="R1166" s="48">
        <f t="shared" ref="R1166:Z1166" si="552">SUM(R1162:R1165)</f>
        <v>5654</v>
      </c>
      <c r="S1166" s="48">
        <f t="shared" si="552"/>
        <v>24846</v>
      </c>
      <c r="T1166" s="48">
        <f t="shared" si="552"/>
        <v>30500</v>
      </c>
      <c r="U1166" s="48">
        <f t="shared" si="552"/>
        <v>3950</v>
      </c>
      <c r="V1166" s="48">
        <f t="shared" si="552"/>
        <v>35154</v>
      </c>
      <c r="W1166" s="48">
        <f t="shared" si="552"/>
        <v>20346</v>
      </c>
      <c r="X1166" s="48"/>
      <c r="Y1166" s="48">
        <f t="shared" si="552"/>
        <v>55500</v>
      </c>
      <c r="Z1166" s="48">
        <f t="shared" si="552"/>
        <v>25000</v>
      </c>
      <c r="AC1166" s="48">
        <f>SUM(AC1162:AC1165)</f>
        <v>15187</v>
      </c>
      <c r="AD1166" s="48">
        <f>SUM(AD1162:AD1165)</f>
        <v>40313</v>
      </c>
      <c r="AE1166" s="48">
        <f>SUM(AE1162:AE1165)</f>
        <v>55500</v>
      </c>
      <c r="AF1166" s="48">
        <f>SUM(AF1162:AF1165)</f>
        <v>0</v>
      </c>
      <c r="AH1166" s="48">
        <f>SUM(AH1162:AH1165)</f>
        <v>19149.875</v>
      </c>
      <c r="AJ1166" s="48">
        <f>SUM(AJ1162:AJ1165)</f>
        <v>19772.2459375</v>
      </c>
      <c r="AL1166" s="48">
        <f>SUM(AL1162:AL1165)</f>
        <v>20414.843930468749</v>
      </c>
      <c r="AN1166" s="48">
        <f>SUM(AN1162:AN1165)</f>
        <v>30078.326358208982</v>
      </c>
      <c r="AO1166" s="48"/>
      <c r="AP1166" s="48">
        <f>SUM(AP1162:AP1165)</f>
        <v>21763.371964850772</v>
      </c>
      <c r="AR1166" s="48">
        <f>SUM(AR1162:AR1165)</f>
        <v>22470.681553708422</v>
      </c>
      <c r="AT1166" s="48">
        <f>SUM(AT1162:AT1165)</f>
        <v>33200.978704203946</v>
      </c>
      <c r="AV1166" s="48">
        <f>SUM(AV1162:AV1165)</f>
        <v>33955.010512090579</v>
      </c>
      <c r="AX1166" s="48">
        <f>SUM(AX1162:AX1165)</f>
        <v>34733.548353733524</v>
      </c>
      <c r="AZ1166" s="48">
        <f>SUM(AZ1162:AZ1165)</f>
        <v>35537.388675229857</v>
      </c>
    </row>
    <row r="1167" spans="1:53" ht="15.75" thickBot="1" x14ac:dyDescent="0.3">
      <c r="A1167" s="3"/>
      <c r="B1167" s="3"/>
      <c r="D1167" s="3"/>
      <c r="E1167" s="3"/>
      <c r="F1167" s="3"/>
      <c r="H1167" s="3"/>
      <c r="I1167" s="3"/>
      <c r="J1167" s="3"/>
      <c r="K1167" s="3"/>
      <c r="L1167" s="3"/>
      <c r="N1167" s="3"/>
      <c r="P1167" s="29"/>
      <c r="AH1167" s="29"/>
      <c r="AJ1167" s="29"/>
      <c r="AL1167" s="29"/>
      <c r="AN1167" s="29"/>
      <c r="AO1167" s="29"/>
      <c r="AP1167" s="29"/>
      <c r="AR1167" s="29"/>
      <c r="AT1167" s="29"/>
      <c r="AV1167" s="29"/>
      <c r="AX1167" s="29"/>
      <c r="AZ1167" s="29"/>
      <c r="BA1167" s="42"/>
    </row>
    <row r="1168" spans="1:53" ht="16.5" thickTop="1" thickBot="1" x14ac:dyDescent="0.3">
      <c r="A1168" s="7" t="s">
        <v>844</v>
      </c>
      <c r="B1168" s="65">
        <f>B1166+B1159+B1157+B1155+B1151+B1143</f>
        <v>787250</v>
      </c>
      <c r="C1168" s="32"/>
      <c r="D1168" s="65">
        <f>D1166+D1159+D1157+D1155+D1151+D1143</f>
        <v>96047</v>
      </c>
      <c r="E1168" s="65">
        <f>E1166+E1159+E1157+E1155+E1151+E1143</f>
        <v>691203</v>
      </c>
      <c r="F1168" s="65">
        <f>F1166+F1159+F1157+F1155+F1151+F1143</f>
        <v>787250</v>
      </c>
      <c r="G1168" s="32"/>
      <c r="H1168" s="65">
        <f>H1166+H1159+H1157+H1155+H1151+H1143</f>
        <v>0</v>
      </c>
      <c r="I1168" s="36"/>
      <c r="J1168" s="65">
        <f>J1166+J1159+J1157+J1155+J1151+J1143</f>
        <v>176809</v>
      </c>
      <c r="K1168" s="65">
        <f>K1166+K1159+K1157+K1155+K1151+K1143</f>
        <v>385291</v>
      </c>
      <c r="L1168" s="65">
        <f>L1166+L1159+L1157+L1155+L1151+L1143</f>
        <v>780100</v>
      </c>
      <c r="M1168" s="32"/>
      <c r="N1168" s="65">
        <f>N1166+N1159+N1157+N1155+N1151+N1143</f>
        <v>-7150</v>
      </c>
      <c r="P1168" s="65">
        <f>P1166+P1159+P1157+P1155+P1151+P1143</f>
        <v>811739.97499999998</v>
      </c>
      <c r="R1168" s="65">
        <f t="shared" ref="R1168:Z1168" si="553">R1166+R1159+R1157+R1155+R1151+R1143</f>
        <v>97050</v>
      </c>
      <c r="S1168" s="65">
        <f t="shared" si="553"/>
        <v>732088</v>
      </c>
      <c r="T1168" s="65">
        <f t="shared" si="553"/>
        <v>829139</v>
      </c>
      <c r="U1168" s="65">
        <f t="shared" si="553"/>
        <v>17398.025000000005</v>
      </c>
      <c r="V1168" s="65">
        <f t="shared" si="553"/>
        <v>198692</v>
      </c>
      <c r="W1168" s="65">
        <f t="shared" si="553"/>
        <v>660696</v>
      </c>
      <c r="X1168" s="65"/>
      <c r="Y1168" s="65">
        <f t="shared" si="553"/>
        <v>859390</v>
      </c>
      <c r="Z1168" s="65">
        <f t="shared" si="553"/>
        <v>30250</v>
      </c>
      <c r="AC1168" s="65">
        <f>AC1166+AC1159+AC1157+AC1155+AC1151+AC1143</f>
        <v>281994</v>
      </c>
      <c r="AD1168" s="65">
        <f>AD1166+AD1159+AD1157+AD1155+AD1151+AD1143</f>
        <v>571046</v>
      </c>
      <c r="AE1168" s="65">
        <f>AE1166+AE1159+AE1157+AE1155+AE1151+AE1143</f>
        <v>853040</v>
      </c>
      <c r="AF1168" s="65">
        <f>AF1166+AF1159+AF1157+AF1155+AF1151+AF1143</f>
        <v>-6350</v>
      </c>
      <c r="AH1168" s="65">
        <f>AH1166+AH1159+AH1157+AH1155+AH1151+AH1143</f>
        <v>821569.36749999993</v>
      </c>
      <c r="AJ1168" s="65">
        <f>AJ1166+AJ1159+AJ1157+AJ1155+AJ1151+AJ1143</f>
        <v>843664.888041</v>
      </c>
      <c r="AL1168" s="65">
        <f>AL1166+AL1159+AL1157+AL1155+AL1151+AL1143</f>
        <v>866725.54419394885</v>
      </c>
      <c r="AN1168" s="65">
        <f>AN1166+AN1159+AN1157+AN1155+AN1151+AN1143</f>
        <v>899672.8324149918</v>
      </c>
      <c r="AO1168" s="65"/>
      <c r="AP1168" s="65">
        <f>AP1166+AP1159+AP1157+AP1155+AP1151+AP1143</f>
        <v>915599.21238847985</v>
      </c>
      <c r="AR1168" s="65">
        <f>AR1166+AR1159+AR1157+AR1155+AR1151+AR1143</f>
        <v>941547.10322197201</v>
      </c>
      <c r="AT1168" s="65">
        <f>AT1166+AT1159+AT1157+AT1155+AT1151+AT1143</f>
        <v>978560.85223955463</v>
      </c>
      <c r="AV1168" s="65">
        <f>AV1166+AV1159+AV1157+AV1155+AV1151+AV1143</f>
        <v>1006686.8258933491</v>
      </c>
      <c r="AX1168" s="65">
        <f>AX1166+AX1159+AX1157+AX1155+AX1151+AX1143</f>
        <v>1035973.5050752984</v>
      </c>
      <c r="AZ1168" s="65">
        <f>AZ1166+AZ1159+AZ1157+AZ1155+AZ1151+AZ1143</f>
        <v>1066471.5850461479</v>
      </c>
    </row>
    <row r="1169" spans="1:53" s="42" customFormat="1" ht="15.75" thickTop="1" x14ac:dyDescent="0.25">
      <c r="A1169" s="7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4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R1169" s="3"/>
      <c r="AT1169" s="3"/>
      <c r="AV1169" s="3"/>
      <c r="AX1169" s="3"/>
      <c r="AZ1169" s="3"/>
    </row>
    <row r="1170" spans="1:53" x14ac:dyDescent="0.25">
      <c r="A1170" s="28" t="s">
        <v>845</v>
      </c>
      <c r="AD1170" s="3">
        <f t="shared" ref="AD1170:AD1208" si="554">AE1170-AC1170</f>
        <v>0</v>
      </c>
      <c r="AE1170" s="3"/>
      <c r="AF1170" s="3">
        <f t="shared" ref="AF1170:AF1208" si="555">AE1170-Y1170</f>
        <v>0</v>
      </c>
      <c r="BA1170" s="42"/>
    </row>
    <row r="1171" spans="1:53" s="42" customFormat="1" x14ac:dyDescent="0.25">
      <c r="A1171" s="3" t="s">
        <v>846</v>
      </c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4"/>
      <c r="N1171" s="3"/>
      <c r="O1171" s="3"/>
      <c r="P1171" s="3"/>
      <c r="Q1171" s="3"/>
      <c r="R1171" s="3"/>
      <c r="S1171" s="3"/>
      <c r="T1171" s="3"/>
      <c r="U1171" s="3"/>
      <c r="V1171" s="3"/>
      <c r="W1171" s="3">
        <f t="shared" ref="W1171:W1208" si="556">Y1171-V1171</f>
        <v>0</v>
      </c>
      <c r="X1171" s="3"/>
      <c r="Y1171" s="3"/>
      <c r="Z1171" s="3"/>
      <c r="AA1171" s="3"/>
      <c r="AB1171" s="3"/>
      <c r="AC1171" s="3"/>
      <c r="AD1171" s="3">
        <f t="shared" si="554"/>
        <v>0</v>
      </c>
      <c r="AE1171" s="3"/>
      <c r="AF1171" s="3">
        <f t="shared" si="555"/>
        <v>0</v>
      </c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R1171" s="3"/>
      <c r="AT1171" s="3"/>
      <c r="AV1171" s="3"/>
      <c r="AX1171" s="3"/>
      <c r="AZ1171" s="3"/>
    </row>
    <row r="1172" spans="1:53" s="42" customFormat="1" x14ac:dyDescent="0.25">
      <c r="A1172" s="3" t="s">
        <v>847</v>
      </c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4"/>
      <c r="N1172" s="3"/>
      <c r="O1172" s="3"/>
      <c r="P1172" s="3"/>
      <c r="Q1172" s="3"/>
      <c r="R1172" s="3"/>
      <c r="S1172" s="3"/>
      <c r="T1172" s="3"/>
      <c r="U1172" s="3"/>
      <c r="V1172" s="3"/>
      <c r="W1172" s="3">
        <f t="shared" si="556"/>
        <v>0</v>
      </c>
      <c r="X1172" s="3"/>
      <c r="Y1172" s="3"/>
      <c r="Z1172" s="3"/>
      <c r="AA1172" s="3"/>
      <c r="AB1172" s="3"/>
      <c r="AC1172" s="3"/>
      <c r="AD1172" s="3">
        <f t="shared" si="554"/>
        <v>0</v>
      </c>
      <c r="AE1172" s="3"/>
      <c r="AF1172" s="3">
        <f t="shared" si="555"/>
        <v>0</v>
      </c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R1172" s="3"/>
      <c r="AT1172" s="3"/>
      <c r="AV1172" s="3"/>
      <c r="AX1172" s="3"/>
      <c r="AZ1172" s="3"/>
    </row>
    <row r="1173" spans="1:53" s="42" customFormat="1" x14ac:dyDescent="0.25">
      <c r="A1173" s="3" t="s">
        <v>848</v>
      </c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4"/>
      <c r="N1173" s="3"/>
      <c r="O1173" s="3"/>
      <c r="P1173" s="3"/>
      <c r="Q1173" s="3"/>
      <c r="R1173" s="3"/>
      <c r="S1173" s="3"/>
      <c r="T1173" s="3"/>
      <c r="U1173" s="3"/>
      <c r="V1173" s="3"/>
      <c r="W1173" s="3">
        <f t="shared" si="556"/>
        <v>0</v>
      </c>
      <c r="X1173" s="3"/>
      <c r="Y1173" s="3"/>
      <c r="Z1173" s="3"/>
      <c r="AA1173" s="3"/>
      <c r="AB1173" s="3"/>
      <c r="AC1173" s="3"/>
      <c r="AD1173" s="3">
        <f t="shared" si="554"/>
        <v>0</v>
      </c>
      <c r="AE1173" s="3"/>
      <c r="AF1173" s="3">
        <f t="shared" si="555"/>
        <v>0</v>
      </c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R1173" s="3"/>
      <c r="AT1173" s="3"/>
      <c r="AV1173" s="3"/>
      <c r="AX1173" s="3"/>
      <c r="AZ1173" s="3"/>
    </row>
    <row r="1174" spans="1:53" s="42" customFormat="1" x14ac:dyDescent="0.25">
      <c r="A1174" s="3" t="s">
        <v>849</v>
      </c>
      <c r="B1174" s="3">
        <v>11000</v>
      </c>
      <c r="C1174" s="3"/>
      <c r="D1174" s="3"/>
      <c r="E1174" s="3">
        <f t="shared" ref="E1174:E1204" si="557">F1174-D1174</f>
        <v>11000</v>
      </c>
      <c r="F1174" s="3">
        <v>11000</v>
      </c>
      <c r="G1174" s="3"/>
      <c r="H1174" s="3">
        <f t="shared" ref="H1174:H1204" si="558">F1174-B1174</f>
        <v>0</v>
      </c>
      <c r="I1174" s="3"/>
      <c r="J1174" s="3"/>
      <c r="K1174" s="4">
        <f t="shared" ref="K1174:K1208" si="559">L1174-J1174</f>
        <v>10000</v>
      </c>
      <c r="L1174" s="4">
        <v>10000</v>
      </c>
      <c r="M1174" s="4"/>
      <c r="N1174" s="4">
        <f t="shared" ref="N1174:N1208" si="560">L1174-F1174</f>
        <v>-1000</v>
      </c>
      <c r="O1174" s="3"/>
      <c r="P1174" s="3"/>
      <c r="Q1174" s="3"/>
      <c r="R1174" s="3"/>
      <c r="S1174" s="3"/>
      <c r="T1174" s="3"/>
      <c r="U1174" s="3"/>
      <c r="V1174" s="3"/>
      <c r="W1174" s="3">
        <f t="shared" si="556"/>
        <v>0</v>
      </c>
      <c r="X1174" s="3"/>
      <c r="Y1174" s="3"/>
      <c r="Z1174" s="3">
        <f t="shared" ref="Z1174:Z1208" si="561">Y1174-T1174</f>
        <v>0</v>
      </c>
      <c r="AA1174" s="3"/>
      <c r="AB1174" s="3"/>
      <c r="AC1174" s="3"/>
      <c r="AD1174" s="3">
        <f t="shared" si="554"/>
        <v>0</v>
      </c>
      <c r="AE1174" s="3"/>
      <c r="AF1174" s="3">
        <f t="shared" si="555"/>
        <v>0</v>
      </c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R1174" s="3"/>
      <c r="AT1174" s="3">
        <v>21650</v>
      </c>
      <c r="AV1174" s="3"/>
      <c r="AX1174" s="3"/>
      <c r="AZ1174" s="3"/>
    </row>
    <row r="1175" spans="1:53" s="42" customFormat="1" x14ac:dyDescent="0.25">
      <c r="A1175" s="3" t="s">
        <v>850</v>
      </c>
      <c r="B1175" s="3"/>
      <c r="C1175" s="3"/>
      <c r="D1175" s="3"/>
      <c r="E1175" s="3">
        <f t="shared" si="557"/>
        <v>0</v>
      </c>
      <c r="F1175" s="3"/>
      <c r="G1175" s="3"/>
      <c r="H1175" s="3">
        <f t="shared" si="558"/>
        <v>0</v>
      </c>
      <c r="I1175" s="3"/>
      <c r="J1175" s="3"/>
      <c r="K1175" s="4">
        <f t="shared" si="559"/>
        <v>0</v>
      </c>
      <c r="L1175" s="4"/>
      <c r="M1175" s="4"/>
      <c r="N1175" s="4">
        <f t="shared" si="560"/>
        <v>0</v>
      </c>
      <c r="O1175" s="3"/>
      <c r="P1175" s="3"/>
      <c r="Q1175" s="3"/>
      <c r="R1175" s="3"/>
      <c r="S1175" s="3"/>
      <c r="T1175" s="3"/>
      <c r="U1175" s="3"/>
      <c r="V1175" s="3"/>
      <c r="W1175" s="3">
        <f t="shared" si="556"/>
        <v>0</v>
      </c>
      <c r="X1175" s="3"/>
      <c r="Y1175" s="3"/>
      <c r="Z1175" s="3">
        <f t="shared" si="561"/>
        <v>0</v>
      </c>
      <c r="AA1175" s="3"/>
      <c r="AB1175" s="3"/>
      <c r="AC1175" s="3"/>
      <c r="AD1175" s="3">
        <f t="shared" si="554"/>
        <v>0</v>
      </c>
      <c r="AE1175" s="3"/>
      <c r="AF1175" s="3">
        <f t="shared" si="555"/>
        <v>0</v>
      </c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R1175" s="3">
        <v>1082000</v>
      </c>
      <c r="AT1175" s="3"/>
      <c r="AV1175" s="3"/>
      <c r="AX1175" s="3"/>
      <c r="AZ1175" s="3"/>
    </row>
    <row r="1176" spans="1:53" s="42" customFormat="1" x14ac:dyDescent="0.25">
      <c r="A1176" s="3" t="s">
        <v>851</v>
      </c>
      <c r="B1176" s="3"/>
      <c r="C1176" s="3"/>
      <c r="D1176" s="3"/>
      <c r="E1176" s="3">
        <f t="shared" si="557"/>
        <v>0</v>
      </c>
      <c r="F1176" s="3"/>
      <c r="G1176" s="3"/>
      <c r="H1176" s="3">
        <f t="shared" si="558"/>
        <v>0</v>
      </c>
      <c r="I1176" s="3"/>
      <c r="J1176" s="3"/>
      <c r="K1176" s="4">
        <f t="shared" si="559"/>
        <v>0</v>
      </c>
      <c r="L1176" s="4"/>
      <c r="M1176" s="4"/>
      <c r="N1176" s="4">
        <f t="shared" si="560"/>
        <v>0</v>
      </c>
      <c r="O1176" s="3"/>
      <c r="P1176" s="3"/>
      <c r="Q1176" s="3"/>
      <c r="R1176" s="3"/>
      <c r="S1176" s="3"/>
      <c r="T1176" s="3"/>
      <c r="U1176" s="3"/>
      <c r="V1176" s="3"/>
      <c r="W1176" s="3">
        <f t="shared" si="556"/>
        <v>0</v>
      </c>
      <c r="X1176" s="3"/>
      <c r="Y1176" s="3"/>
      <c r="Z1176" s="3">
        <f t="shared" si="561"/>
        <v>0</v>
      </c>
      <c r="AA1176" s="3"/>
      <c r="AB1176" s="3"/>
      <c r="AC1176" s="3"/>
      <c r="AD1176" s="3">
        <f t="shared" si="554"/>
        <v>0</v>
      </c>
      <c r="AE1176" s="3"/>
      <c r="AF1176" s="3">
        <f t="shared" si="555"/>
        <v>0</v>
      </c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R1176" s="3"/>
      <c r="AT1176" s="3"/>
      <c r="AV1176" s="3"/>
      <c r="AX1176" s="3"/>
      <c r="AZ1176" s="3"/>
    </row>
    <row r="1177" spans="1:53" s="42" customFormat="1" x14ac:dyDescent="0.25">
      <c r="A1177" s="3" t="s">
        <v>852</v>
      </c>
      <c r="B1177" s="3">
        <v>54100</v>
      </c>
      <c r="C1177" s="3"/>
      <c r="D1177" s="3"/>
      <c r="E1177" s="3">
        <f t="shared" si="557"/>
        <v>54100</v>
      </c>
      <c r="F1177" s="3">
        <v>54100</v>
      </c>
      <c r="G1177" s="3"/>
      <c r="H1177" s="3">
        <f t="shared" si="558"/>
        <v>0</v>
      </c>
      <c r="I1177" s="3"/>
      <c r="J1177" s="3"/>
      <c r="K1177" s="4">
        <f t="shared" si="559"/>
        <v>40000</v>
      </c>
      <c r="L1177" s="4">
        <v>40000</v>
      </c>
      <c r="M1177" s="4"/>
      <c r="N1177" s="4">
        <f t="shared" si="560"/>
        <v>-14100</v>
      </c>
      <c r="O1177" s="3"/>
      <c r="P1177" s="3"/>
      <c r="Q1177" s="3"/>
      <c r="R1177" s="3"/>
      <c r="S1177" s="3"/>
      <c r="T1177" s="3"/>
      <c r="U1177" s="3"/>
      <c r="V1177" s="3">
        <v>6910</v>
      </c>
      <c r="W1177" s="3">
        <f t="shared" si="556"/>
        <v>0</v>
      </c>
      <c r="X1177" s="3"/>
      <c r="Y1177" s="3">
        <v>6910</v>
      </c>
      <c r="Z1177" s="3">
        <f t="shared" si="561"/>
        <v>6910</v>
      </c>
      <c r="AA1177" s="3"/>
      <c r="AB1177" s="3"/>
      <c r="AC1177" s="3">
        <v>6910</v>
      </c>
      <c r="AD1177" s="3">
        <f t="shared" si="554"/>
        <v>0</v>
      </c>
      <c r="AE1177" s="3">
        <v>6910</v>
      </c>
      <c r="AF1177" s="3">
        <f t="shared" si="555"/>
        <v>0</v>
      </c>
      <c r="AG1177" s="3"/>
      <c r="AH1177" s="3">
        <v>54100</v>
      </c>
      <c r="AI1177" s="3"/>
      <c r="AJ1177" s="3"/>
      <c r="AK1177" s="3"/>
      <c r="AL1177" s="3">
        <v>32500</v>
      </c>
      <c r="AM1177" s="3"/>
      <c r="AN1177" s="3"/>
      <c r="AO1177" s="3"/>
      <c r="AP1177" s="3"/>
      <c r="AR1177" s="3">
        <v>32500</v>
      </c>
      <c r="AT1177" s="3">
        <v>54100</v>
      </c>
      <c r="AV1177" s="3"/>
      <c r="AX1177" s="3"/>
      <c r="AZ1177" s="3"/>
    </row>
    <row r="1178" spans="1:53" s="42" customFormat="1" x14ac:dyDescent="0.25">
      <c r="A1178" s="3" t="s">
        <v>853</v>
      </c>
      <c r="B1178" s="3"/>
      <c r="C1178" s="3"/>
      <c r="D1178" s="3"/>
      <c r="E1178" s="3">
        <f t="shared" si="557"/>
        <v>0</v>
      </c>
      <c r="F1178" s="3"/>
      <c r="G1178" s="3"/>
      <c r="H1178" s="3">
        <f t="shared" si="558"/>
        <v>0</v>
      </c>
      <c r="I1178" s="3"/>
      <c r="J1178" s="3"/>
      <c r="K1178" s="4">
        <f t="shared" si="559"/>
        <v>0</v>
      </c>
      <c r="L1178" s="4"/>
      <c r="M1178" s="4"/>
      <c r="N1178" s="4">
        <f t="shared" si="560"/>
        <v>0</v>
      </c>
      <c r="O1178" s="3"/>
      <c r="P1178" s="3"/>
      <c r="Q1178" s="3"/>
      <c r="R1178" s="3"/>
      <c r="S1178" s="3"/>
      <c r="T1178" s="3"/>
      <c r="U1178" s="3"/>
      <c r="V1178" s="3"/>
      <c r="W1178" s="3">
        <f t="shared" si="556"/>
        <v>0</v>
      </c>
      <c r="X1178" s="3"/>
      <c r="Y1178" s="3"/>
      <c r="Z1178" s="3">
        <f t="shared" si="561"/>
        <v>0</v>
      </c>
      <c r="AA1178" s="3"/>
      <c r="AB1178" s="3"/>
      <c r="AC1178" s="3"/>
      <c r="AD1178" s="3">
        <f t="shared" si="554"/>
        <v>0</v>
      </c>
      <c r="AE1178" s="3"/>
      <c r="AF1178" s="3">
        <f t="shared" si="555"/>
        <v>0</v>
      </c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R1178" s="3"/>
      <c r="AT1178" s="3"/>
      <c r="AV1178" s="3"/>
      <c r="AX1178" s="3"/>
      <c r="AZ1178" s="3"/>
    </row>
    <row r="1179" spans="1:53" s="42" customFormat="1" x14ac:dyDescent="0.25">
      <c r="A1179" s="3" t="s">
        <v>854</v>
      </c>
      <c r="B1179" s="3"/>
      <c r="C1179" s="3"/>
      <c r="D1179" s="3"/>
      <c r="E1179" s="3">
        <f t="shared" si="557"/>
        <v>0</v>
      </c>
      <c r="F1179" s="3"/>
      <c r="G1179" s="3"/>
      <c r="H1179" s="3">
        <f t="shared" si="558"/>
        <v>0</v>
      </c>
      <c r="I1179" s="3"/>
      <c r="J1179" s="3"/>
      <c r="K1179" s="4">
        <f t="shared" si="559"/>
        <v>0</v>
      </c>
      <c r="L1179" s="4"/>
      <c r="M1179" s="4"/>
      <c r="N1179" s="4">
        <f t="shared" si="560"/>
        <v>0</v>
      </c>
      <c r="O1179" s="3"/>
      <c r="P1179" s="3"/>
      <c r="Q1179" s="3"/>
      <c r="R1179" s="3"/>
      <c r="S1179" s="3"/>
      <c r="T1179" s="3"/>
      <c r="U1179" s="3"/>
      <c r="V1179" s="3"/>
      <c r="W1179" s="3">
        <f t="shared" si="556"/>
        <v>0</v>
      </c>
      <c r="X1179" s="3"/>
      <c r="Y1179" s="3"/>
      <c r="Z1179" s="3">
        <f t="shared" si="561"/>
        <v>0</v>
      </c>
      <c r="AA1179" s="3"/>
      <c r="AB1179" s="3"/>
      <c r="AC1179" s="3"/>
      <c r="AD1179" s="3">
        <f t="shared" si="554"/>
        <v>0</v>
      </c>
      <c r="AE1179" s="3"/>
      <c r="AF1179" s="3">
        <f t="shared" si="555"/>
        <v>0</v>
      </c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R1179" s="3"/>
      <c r="AT1179" s="3"/>
      <c r="AV1179" s="3"/>
      <c r="AX1179" s="3"/>
      <c r="AZ1179" s="3"/>
    </row>
    <row r="1180" spans="1:53" s="42" customFormat="1" x14ac:dyDescent="0.25">
      <c r="A1180" s="3" t="s">
        <v>855</v>
      </c>
      <c r="B1180" s="3"/>
      <c r="C1180" s="3"/>
      <c r="D1180" s="3"/>
      <c r="E1180" s="3">
        <f t="shared" si="557"/>
        <v>0</v>
      </c>
      <c r="F1180" s="3"/>
      <c r="G1180" s="3"/>
      <c r="H1180" s="3">
        <f t="shared" si="558"/>
        <v>0</v>
      </c>
      <c r="I1180" s="3"/>
      <c r="J1180" s="3"/>
      <c r="K1180" s="4">
        <f t="shared" si="559"/>
        <v>0</v>
      </c>
      <c r="L1180" s="4"/>
      <c r="M1180" s="4"/>
      <c r="N1180" s="4">
        <f t="shared" si="560"/>
        <v>0</v>
      </c>
      <c r="O1180" s="3"/>
      <c r="P1180" s="3"/>
      <c r="Q1180" s="3"/>
      <c r="R1180" s="3"/>
      <c r="S1180" s="3"/>
      <c r="T1180" s="3"/>
      <c r="U1180" s="3"/>
      <c r="V1180" s="3"/>
      <c r="W1180" s="3">
        <f t="shared" si="556"/>
        <v>0</v>
      </c>
      <c r="X1180" s="3"/>
      <c r="Y1180" s="3"/>
      <c r="Z1180" s="3">
        <f t="shared" si="561"/>
        <v>0</v>
      </c>
      <c r="AA1180" s="3"/>
      <c r="AB1180" s="3"/>
      <c r="AC1180" s="3"/>
      <c r="AD1180" s="3">
        <f t="shared" si="554"/>
        <v>0</v>
      </c>
      <c r="AE1180" s="3"/>
      <c r="AF1180" s="3">
        <f t="shared" si="555"/>
        <v>0</v>
      </c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R1180" s="3"/>
      <c r="AT1180" s="3"/>
      <c r="AV1180" s="3"/>
      <c r="AX1180" s="3"/>
      <c r="AZ1180" s="3"/>
    </row>
    <row r="1181" spans="1:53" s="42" customFormat="1" x14ac:dyDescent="0.25">
      <c r="A1181" s="3" t="s">
        <v>856</v>
      </c>
      <c r="B1181" s="3">
        <v>2250</v>
      </c>
      <c r="C1181" s="3"/>
      <c r="D1181" s="3"/>
      <c r="E1181" s="3">
        <f t="shared" si="557"/>
        <v>2250</v>
      </c>
      <c r="F1181" s="3">
        <v>2250</v>
      </c>
      <c r="G1181" s="3"/>
      <c r="H1181" s="3">
        <f t="shared" si="558"/>
        <v>0</v>
      </c>
      <c r="I1181" s="3"/>
      <c r="J1181" s="3">
        <v>0</v>
      </c>
      <c r="K1181" s="4">
        <f t="shared" si="559"/>
        <v>2250</v>
      </c>
      <c r="L1181" s="4">
        <v>2250</v>
      </c>
      <c r="M1181" s="4"/>
      <c r="N1181" s="4">
        <f t="shared" si="560"/>
        <v>0</v>
      </c>
      <c r="O1181" s="3"/>
      <c r="P1181" s="3">
        <v>20000</v>
      </c>
      <c r="Q1181" s="3"/>
      <c r="R1181" s="3"/>
      <c r="S1181" s="3">
        <f>T1181-R1181</f>
        <v>20000</v>
      </c>
      <c r="T1181" s="3">
        <v>20000</v>
      </c>
      <c r="U1181" s="3">
        <f>T1181-P1181</f>
        <v>0</v>
      </c>
      <c r="V1181" s="3">
        <v>0</v>
      </c>
      <c r="W1181" s="3">
        <f t="shared" si="556"/>
        <v>20000</v>
      </c>
      <c r="X1181" s="3"/>
      <c r="Y1181" s="3">
        <v>20000</v>
      </c>
      <c r="Z1181" s="3">
        <f t="shared" si="561"/>
        <v>0</v>
      </c>
      <c r="AA1181" s="3"/>
      <c r="AB1181" s="3"/>
      <c r="AC1181" s="3">
        <v>0</v>
      </c>
      <c r="AD1181" s="3">
        <f t="shared" si="554"/>
        <v>20000</v>
      </c>
      <c r="AE1181" s="3">
        <v>20000</v>
      </c>
      <c r="AF1181" s="3">
        <f t="shared" si="555"/>
        <v>0</v>
      </c>
      <c r="AG1181" s="3"/>
      <c r="AH1181" s="3">
        <f>2250+50</f>
        <v>2300</v>
      </c>
      <c r="AI1181" s="3"/>
      <c r="AJ1181" s="3">
        <v>2300</v>
      </c>
      <c r="AK1181" s="3"/>
      <c r="AL1181" s="3">
        <v>2300</v>
      </c>
      <c r="AM1181" s="3"/>
      <c r="AN1181" s="3">
        <v>2300</v>
      </c>
      <c r="AO1181" s="3"/>
      <c r="AP1181" s="3">
        <v>2350</v>
      </c>
      <c r="AR1181" s="3">
        <v>2350</v>
      </c>
      <c r="AT1181" s="3">
        <v>2350</v>
      </c>
      <c r="AV1181" s="3"/>
      <c r="AX1181" s="3"/>
      <c r="AZ1181" s="3"/>
    </row>
    <row r="1182" spans="1:53" s="42" customFormat="1" x14ac:dyDescent="0.25">
      <c r="A1182" s="3" t="s">
        <v>857</v>
      </c>
      <c r="B1182" s="3"/>
      <c r="C1182" s="3"/>
      <c r="D1182" s="3"/>
      <c r="E1182" s="3">
        <f t="shared" si="557"/>
        <v>0</v>
      </c>
      <c r="F1182" s="3"/>
      <c r="G1182" s="3"/>
      <c r="H1182" s="3">
        <f t="shared" si="558"/>
        <v>0</v>
      </c>
      <c r="I1182" s="3"/>
      <c r="J1182" s="3"/>
      <c r="K1182" s="4">
        <f t="shared" si="559"/>
        <v>0</v>
      </c>
      <c r="L1182" s="4"/>
      <c r="M1182" s="4"/>
      <c r="N1182" s="4">
        <f t="shared" si="560"/>
        <v>0</v>
      </c>
      <c r="O1182" s="3"/>
      <c r="P1182" s="3"/>
      <c r="Q1182" s="3"/>
      <c r="R1182" s="3"/>
      <c r="S1182" s="3"/>
      <c r="T1182" s="3"/>
      <c r="U1182" s="3"/>
      <c r="V1182" s="3"/>
      <c r="W1182" s="3">
        <f t="shared" si="556"/>
        <v>0</v>
      </c>
      <c r="X1182" s="3"/>
      <c r="Y1182" s="3"/>
      <c r="Z1182" s="3">
        <f t="shared" si="561"/>
        <v>0</v>
      </c>
      <c r="AA1182" s="3"/>
      <c r="AB1182" s="3"/>
      <c r="AC1182" s="3"/>
      <c r="AD1182" s="3">
        <f t="shared" si="554"/>
        <v>0</v>
      </c>
      <c r="AE1182" s="3"/>
      <c r="AF1182" s="3">
        <f t="shared" si="555"/>
        <v>0</v>
      </c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R1182" s="3"/>
      <c r="AT1182" s="3"/>
      <c r="AV1182" s="3"/>
      <c r="AX1182" s="3"/>
      <c r="AZ1182" s="3"/>
    </row>
    <row r="1183" spans="1:53" s="42" customFormat="1" x14ac:dyDescent="0.25">
      <c r="A1183" s="3" t="s">
        <v>858</v>
      </c>
      <c r="B1183" s="3"/>
      <c r="C1183" s="3"/>
      <c r="D1183" s="3"/>
      <c r="E1183" s="3">
        <f t="shared" si="557"/>
        <v>0</v>
      </c>
      <c r="F1183" s="3"/>
      <c r="G1183" s="3"/>
      <c r="H1183" s="3">
        <f t="shared" si="558"/>
        <v>0</v>
      </c>
      <c r="I1183" s="3"/>
      <c r="J1183" s="3"/>
      <c r="K1183" s="4">
        <f t="shared" si="559"/>
        <v>0</v>
      </c>
      <c r="L1183" s="4"/>
      <c r="M1183" s="4"/>
      <c r="N1183" s="4">
        <f t="shared" si="560"/>
        <v>0</v>
      </c>
      <c r="O1183" s="3"/>
      <c r="P1183" s="3"/>
      <c r="Q1183" s="3"/>
      <c r="R1183" s="3"/>
      <c r="S1183" s="3"/>
      <c r="T1183" s="3"/>
      <c r="U1183" s="3"/>
      <c r="V1183" s="3"/>
      <c r="W1183" s="3">
        <f t="shared" si="556"/>
        <v>0</v>
      </c>
      <c r="X1183" s="3"/>
      <c r="Y1183" s="3"/>
      <c r="Z1183" s="3">
        <f t="shared" si="561"/>
        <v>0</v>
      </c>
      <c r="AA1183" s="3"/>
      <c r="AB1183" s="3"/>
      <c r="AC1183" s="3"/>
      <c r="AD1183" s="3">
        <f t="shared" si="554"/>
        <v>0</v>
      </c>
      <c r="AE1183" s="3"/>
      <c r="AF1183" s="3">
        <f t="shared" si="555"/>
        <v>0</v>
      </c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R1183" s="3"/>
      <c r="AT1183" s="3"/>
      <c r="AV1183" s="3"/>
      <c r="AX1183" s="3"/>
      <c r="AZ1183" s="3"/>
    </row>
    <row r="1184" spans="1:53" s="42" customFormat="1" x14ac:dyDescent="0.25">
      <c r="A1184" s="3" t="s">
        <v>859</v>
      </c>
      <c r="B1184" s="3"/>
      <c r="C1184" s="3"/>
      <c r="D1184" s="3"/>
      <c r="E1184" s="3">
        <f t="shared" si="557"/>
        <v>0</v>
      </c>
      <c r="F1184" s="3"/>
      <c r="G1184" s="3"/>
      <c r="H1184" s="3">
        <f t="shared" si="558"/>
        <v>0</v>
      </c>
      <c r="I1184" s="3"/>
      <c r="J1184" s="3"/>
      <c r="K1184" s="4">
        <f t="shared" si="559"/>
        <v>0</v>
      </c>
      <c r="L1184" s="4"/>
      <c r="M1184" s="4"/>
      <c r="N1184" s="4">
        <f t="shared" si="560"/>
        <v>0</v>
      </c>
      <c r="O1184" s="3"/>
      <c r="P1184" s="3"/>
      <c r="Q1184" s="3"/>
      <c r="R1184" s="3"/>
      <c r="S1184" s="3"/>
      <c r="T1184" s="3"/>
      <c r="U1184" s="3"/>
      <c r="V1184" s="3"/>
      <c r="W1184" s="3">
        <f t="shared" si="556"/>
        <v>0</v>
      </c>
      <c r="X1184" s="3"/>
      <c r="Y1184" s="3"/>
      <c r="Z1184" s="3">
        <f t="shared" si="561"/>
        <v>0</v>
      </c>
      <c r="AA1184" s="3"/>
      <c r="AB1184" s="3"/>
      <c r="AC1184" s="3"/>
      <c r="AD1184" s="3">
        <f t="shared" si="554"/>
        <v>0</v>
      </c>
      <c r="AE1184" s="3"/>
      <c r="AF1184" s="3">
        <f t="shared" si="555"/>
        <v>0</v>
      </c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R1184" s="3"/>
      <c r="AT1184" s="3"/>
      <c r="AV1184" s="3"/>
      <c r="AX1184" s="3"/>
      <c r="AZ1184" s="3"/>
    </row>
    <row r="1185" spans="1:52" s="42" customFormat="1" x14ac:dyDescent="0.25">
      <c r="A1185" s="3" t="s">
        <v>860</v>
      </c>
      <c r="B1185" s="3"/>
      <c r="C1185" s="3"/>
      <c r="D1185" s="3"/>
      <c r="E1185" s="3">
        <f t="shared" si="557"/>
        <v>0</v>
      </c>
      <c r="F1185" s="3"/>
      <c r="G1185" s="3"/>
      <c r="H1185" s="3">
        <f t="shared" si="558"/>
        <v>0</v>
      </c>
      <c r="I1185" s="3"/>
      <c r="J1185" s="3"/>
      <c r="K1185" s="4">
        <f t="shared" si="559"/>
        <v>0</v>
      </c>
      <c r="L1185" s="4"/>
      <c r="M1185" s="4"/>
      <c r="N1185" s="4">
        <f t="shared" si="560"/>
        <v>0</v>
      </c>
      <c r="O1185" s="3"/>
      <c r="P1185" s="3"/>
      <c r="Q1185" s="3"/>
      <c r="R1185" s="3"/>
      <c r="S1185" s="3"/>
      <c r="T1185" s="3"/>
      <c r="U1185" s="3"/>
      <c r="V1185" s="3"/>
      <c r="W1185" s="3">
        <f t="shared" si="556"/>
        <v>0</v>
      </c>
      <c r="X1185" s="3"/>
      <c r="Y1185" s="3"/>
      <c r="Z1185" s="3">
        <f t="shared" si="561"/>
        <v>0</v>
      </c>
      <c r="AA1185" s="3"/>
      <c r="AB1185" s="3"/>
      <c r="AC1185" s="3"/>
      <c r="AD1185" s="3">
        <f t="shared" si="554"/>
        <v>0</v>
      </c>
      <c r="AE1185" s="3"/>
      <c r="AF1185" s="3">
        <f t="shared" si="555"/>
        <v>0</v>
      </c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R1185" s="3"/>
      <c r="AT1185" s="3"/>
      <c r="AV1185" s="3"/>
      <c r="AX1185" s="3"/>
      <c r="AZ1185" s="3"/>
    </row>
    <row r="1186" spans="1:52" s="42" customFormat="1" x14ac:dyDescent="0.25">
      <c r="A1186" s="3" t="s">
        <v>861</v>
      </c>
      <c r="B1186" s="3">
        <v>5400</v>
      </c>
      <c r="C1186" s="3"/>
      <c r="D1186" s="3"/>
      <c r="E1186" s="3">
        <f t="shared" si="557"/>
        <v>5400</v>
      </c>
      <c r="F1186" s="3">
        <v>5400</v>
      </c>
      <c r="G1186" s="3"/>
      <c r="H1186" s="3">
        <f t="shared" si="558"/>
        <v>0</v>
      </c>
      <c r="I1186" s="3"/>
      <c r="J1186" s="3"/>
      <c r="K1186" s="4">
        <f t="shared" si="559"/>
        <v>5000</v>
      </c>
      <c r="L1186" s="4">
        <v>5000</v>
      </c>
      <c r="M1186" s="4"/>
      <c r="N1186" s="4">
        <f t="shared" si="560"/>
        <v>-400</v>
      </c>
      <c r="O1186" s="3"/>
      <c r="P1186" s="3"/>
      <c r="Q1186" s="3"/>
      <c r="R1186" s="3"/>
      <c r="S1186" s="3"/>
      <c r="T1186" s="3"/>
      <c r="U1186" s="3"/>
      <c r="V1186" s="3"/>
      <c r="W1186" s="3">
        <f t="shared" si="556"/>
        <v>0</v>
      </c>
      <c r="X1186" s="3"/>
      <c r="Y1186" s="3"/>
      <c r="Z1186" s="3">
        <f t="shared" si="561"/>
        <v>0</v>
      </c>
      <c r="AA1186" s="3"/>
      <c r="AB1186" s="3"/>
      <c r="AC1186" s="3"/>
      <c r="AD1186" s="3">
        <f t="shared" si="554"/>
        <v>0</v>
      </c>
      <c r="AE1186" s="3"/>
      <c r="AF1186" s="3">
        <f t="shared" si="555"/>
        <v>0</v>
      </c>
      <c r="AG1186" s="3"/>
      <c r="AH1186" s="3">
        <v>5400</v>
      </c>
      <c r="AI1186" s="3"/>
      <c r="AJ1186" s="3"/>
      <c r="AK1186" s="3"/>
      <c r="AL1186" s="3">
        <v>5400</v>
      </c>
      <c r="AM1186" s="3"/>
      <c r="AN1186" s="3"/>
      <c r="AO1186" s="3"/>
      <c r="AP1186" s="3"/>
      <c r="AR1186" s="3">
        <v>5400</v>
      </c>
      <c r="AT1186" s="3"/>
      <c r="AV1186" s="3"/>
      <c r="AX1186" s="3"/>
      <c r="AZ1186" s="3"/>
    </row>
    <row r="1187" spans="1:52" s="42" customFormat="1" x14ac:dyDescent="0.25">
      <c r="A1187" s="3" t="s">
        <v>862</v>
      </c>
      <c r="B1187" s="3"/>
      <c r="C1187" s="3"/>
      <c r="D1187" s="3"/>
      <c r="E1187" s="3">
        <f t="shared" si="557"/>
        <v>0</v>
      </c>
      <c r="F1187" s="3"/>
      <c r="G1187" s="3"/>
      <c r="H1187" s="3">
        <f t="shared" si="558"/>
        <v>0</v>
      </c>
      <c r="I1187" s="3"/>
      <c r="J1187" s="3"/>
      <c r="K1187" s="4">
        <f t="shared" si="559"/>
        <v>0</v>
      </c>
      <c r="L1187" s="4"/>
      <c r="M1187" s="4"/>
      <c r="N1187" s="4">
        <f t="shared" si="560"/>
        <v>0</v>
      </c>
      <c r="O1187" s="3"/>
      <c r="P1187" s="3"/>
      <c r="Q1187" s="3"/>
      <c r="R1187" s="3"/>
      <c r="S1187" s="3"/>
      <c r="T1187" s="3"/>
      <c r="U1187" s="3"/>
      <c r="V1187" s="3"/>
      <c r="W1187" s="3">
        <f t="shared" si="556"/>
        <v>0</v>
      </c>
      <c r="X1187" s="3"/>
      <c r="Y1187" s="3"/>
      <c r="Z1187" s="3">
        <f t="shared" si="561"/>
        <v>0</v>
      </c>
      <c r="AA1187" s="3"/>
      <c r="AB1187" s="3"/>
      <c r="AC1187" s="3"/>
      <c r="AD1187" s="3">
        <f t="shared" si="554"/>
        <v>0</v>
      </c>
      <c r="AE1187" s="3"/>
      <c r="AF1187" s="3">
        <f t="shared" si="555"/>
        <v>0</v>
      </c>
      <c r="AG1187" s="3"/>
      <c r="AH1187" s="3"/>
      <c r="AI1187" s="3"/>
      <c r="AJ1187" s="3"/>
      <c r="AK1187" s="3"/>
      <c r="AL1187" s="3">
        <v>72050</v>
      </c>
      <c r="AM1187" s="3"/>
      <c r="AN1187" s="3"/>
      <c r="AO1187" s="3"/>
      <c r="AP1187" s="3"/>
      <c r="AR1187" s="3"/>
      <c r="AT1187" s="3"/>
      <c r="AV1187" s="3"/>
      <c r="AX1187" s="3"/>
      <c r="AZ1187" s="3"/>
    </row>
    <row r="1188" spans="1:52" s="42" customFormat="1" x14ac:dyDescent="0.25">
      <c r="A1188" s="3" t="s">
        <v>863</v>
      </c>
      <c r="B1188" s="3"/>
      <c r="C1188" s="3"/>
      <c r="D1188" s="3"/>
      <c r="E1188" s="3">
        <f t="shared" si="557"/>
        <v>0</v>
      </c>
      <c r="F1188" s="3"/>
      <c r="G1188" s="3"/>
      <c r="H1188" s="3">
        <f t="shared" si="558"/>
        <v>0</v>
      </c>
      <c r="I1188" s="3"/>
      <c r="J1188" s="3"/>
      <c r="K1188" s="4">
        <f t="shared" si="559"/>
        <v>0</v>
      </c>
      <c r="L1188" s="4"/>
      <c r="M1188" s="4"/>
      <c r="N1188" s="4">
        <f t="shared" si="560"/>
        <v>0</v>
      </c>
      <c r="O1188" s="3"/>
      <c r="P1188" s="3">
        <v>324600</v>
      </c>
      <c r="Q1188" s="3"/>
      <c r="R1188" s="3">
        <v>3988</v>
      </c>
      <c r="S1188" s="3">
        <f>T1188-R1188</f>
        <v>320612</v>
      </c>
      <c r="T1188" s="3">
        <v>324600</v>
      </c>
      <c r="U1188" s="3">
        <f>T1188-P1188</f>
        <v>0</v>
      </c>
      <c r="V1188" s="3">
        <v>3988</v>
      </c>
      <c r="W1188" s="3">
        <f t="shared" si="556"/>
        <v>320612</v>
      </c>
      <c r="X1188" s="3"/>
      <c r="Y1188" s="3">
        <v>324600</v>
      </c>
      <c r="Z1188" s="3">
        <f t="shared" si="561"/>
        <v>0</v>
      </c>
      <c r="AA1188" s="3"/>
      <c r="AB1188" s="3"/>
      <c r="AC1188" s="3">
        <v>0</v>
      </c>
      <c r="AD1188" s="3">
        <f t="shared" si="554"/>
        <v>324600</v>
      </c>
      <c r="AE1188" s="3">
        <v>324600</v>
      </c>
      <c r="AF1188" s="3">
        <f t="shared" si="555"/>
        <v>0</v>
      </c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R1188" s="3"/>
      <c r="AT1188" s="3"/>
      <c r="AV1188" s="3"/>
      <c r="AX1188" s="3"/>
      <c r="AZ1188" s="3"/>
    </row>
    <row r="1189" spans="1:52" s="42" customFormat="1" x14ac:dyDescent="0.25">
      <c r="A1189" s="3" t="s">
        <v>864</v>
      </c>
      <c r="B1189" s="3"/>
      <c r="C1189" s="3"/>
      <c r="D1189" s="3"/>
      <c r="E1189" s="3">
        <f t="shared" si="557"/>
        <v>0</v>
      </c>
      <c r="F1189" s="3"/>
      <c r="G1189" s="3"/>
      <c r="H1189" s="3">
        <f t="shared" si="558"/>
        <v>0</v>
      </c>
      <c r="I1189" s="3"/>
      <c r="J1189" s="3"/>
      <c r="K1189" s="4">
        <f t="shared" si="559"/>
        <v>0</v>
      </c>
      <c r="L1189" s="4"/>
      <c r="M1189" s="4"/>
      <c r="N1189" s="4">
        <f t="shared" si="560"/>
        <v>0</v>
      </c>
      <c r="O1189" s="3"/>
      <c r="P1189" s="3"/>
      <c r="Q1189" s="3"/>
      <c r="R1189" s="3"/>
      <c r="S1189" s="3"/>
      <c r="T1189" s="3"/>
      <c r="U1189" s="3"/>
      <c r="V1189" s="3"/>
      <c r="W1189" s="3">
        <f t="shared" si="556"/>
        <v>0</v>
      </c>
      <c r="X1189" s="3"/>
      <c r="Y1189" s="3"/>
      <c r="Z1189" s="3">
        <f t="shared" si="561"/>
        <v>0</v>
      </c>
      <c r="AA1189" s="3"/>
      <c r="AB1189" s="3"/>
      <c r="AC1189" s="3"/>
      <c r="AD1189" s="3">
        <f t="shared" si="554"/>
        <v>0</v>
      </c>
      <c r="AE1189" s="3"/>
      <c r="AF1189" s="3">
        <f t="shared" si="555"/>
        <v>0</v>
      </c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R1189" s="3"/>
      <c r="AT1189" s="3"/>
      <c r="AV1189" s="3"/>
      <c r="AX1189" s="3"/>
      <c r="AZ1189" s="3"/>
    </row>
    <row r="1190" spans="1:52" s="42" customFormat="1" x14ac:dyDescent="0.25">
      <c r="A1190" s="3" t="s">
        <v>865</v>
      </c>
      <c r="B1190" s="3"/>
      <c r="C1190" s="3"/>
      <c r="D1190" s="3"/>
      <c r="E1190" s="3">
        <f t="shared" si="557"/>
        <v>0</v>
      </c>
      <c r="F1190" s="3"/>
      <c r="G1190" s="3"/>
      <c r="H1190" s="3">
        <f t="shared" si="558"/>
        <v>0</v>
      </c>
      <c r="I1190" s="3"/>
      <c r="J1190" s="3"/>
      <c r="K1190" s="4">
        <f t="shared" si="559"/>
        <v>0</v>
      </c>
      <c r="L1190" s="4"/>
      <c r="M1190" s="4"/>
      <c r="N1190" s="4">
        <f t="shared" si="560"/>
        <v>0</v>
      </c>
      <c r="O1190" s="3"/>
      <c r="P1190" s="3"/>
      <c r="Q1190" s="3"/>
      <c r="R1190" s="3"/>
      <c r="S1190" s="3"/>
      <c r="T1190" s="3"/>
      <c r="U1190" s="3"/>
      <c r="V1190" s="3"/>
      <c r="W1190" s="3">
        <f t="shared" si="556"/>
        <v>0</v>
      </c>
      <c r="X1190" s="3"/>
      <c r="Y1190" s="3"/>
      <c r="Z1190" s="3">
        <f t="shared" si="561"/>
        <v>0</v>
      </c>
      <c r="AA1190" s="3"/>
      <c r="AB1190" s="3"/>
      <c r="AC1190" s="3"/>
      <c r="AD1190" s="3">
        <f t="shared" si="554"/>
        <v>0</v>
      </c>
      <c r="AE1190" s="3"/>
      <c r="AF1190" s="3">
        <f t="shared" si="555"/>
        <v>0</v>
      </c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R1190" s="3"/>
      <c r="AT1190" s="3"/>
      <c r="AV1190" s="3"/>
      <c r="AX1190" s="3"/>
      <c r="AZ1190" s="3"/>
    </row>
    <row r="1191" spans="1:52" s="42" customFormat="1" x14ac:dyDescent="0.25">
      <c r="A1191" s="3" t="s">
        <v>866</v>
      </c>
      <c r="B1191" s="3"/>
      <c r="C1191" s="3"/>
      <c r="D1191" s="3"/>
      <c r="E1191" s="3">
        <f t="shared" si="557"/>
        <v>0</v>
      </c>
      <c r="F1191" s="3"/>
      <c r="G1191" s="3"/>
      <c r="H1191" s="3">
        <f t="shared" si="558"/>
        <v>0</v>
      </c>
      <c r="I1191" s="3"/>
      <c r="J1191" s="3"/>
      <c r="K1191" s="4">
        <f t="shared" si="559"/>
        <v>0</v>
      </c>
      <c r="L1191" s="4"/>
      <c r="M1191" s="4"/>
      <c r="N1191" s="4">
        <f t="shared" si="560"/>
        <v>0</v>
      </c>
      <c r="O1191" s="3"/>
      <c r="P1191" s="3"/>
      <c r="Q1191" s="3"/>
      <c r="R1191" s="3"/>
      <c r="S1191" s="3"/>
      <c r="T1191" s="3"/>
      <c r="U1191" s="3"/>
      <c r="V1191" s="3"/>
      <c r="W1191" s="3">
        <f t="shared" si="556"/>
        <v>0</v>
      </c>
      <c r="X1191" s="3"/>
      <c r="Y1191" s="3"/>
      <c r="Z1191" s="3">
        <f t="shared" si="561"/>
        <v>0</v>
      </c>
      <c r="AA1191" s="3"/>
      <c r="AB1191" s="3"/>
      <c r="AC1191" s="3"/>
      <c r="AD1191" s="3">
        <f t="shared" si="554"/>
        <v>0</v>
      </c>
      <c r="AE1191" s="3"/>
      <c r="AF1191" s="3">
        <f t="shared" si="555"/>
        <v>0</v>
      </c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R1191" s="3"/>
      <c r="AT1191" s="3"/>
      <c r="AV1191" s="3"/>
      <c r="AX1191" s="3"/>
      <c r="AZ1191" s="3"/>
    </row>
    <row r="1192" spans="1:52" s="42" customFormat="1" x14ac:dyDescent="0.25">
      <c r="A1192" s="3" t="s">
        <v>867</v>
      </c>
      <c r="B1192" s="3"/>
      <c r="C1192" s="3"/>
      <c r="D1192" s="3"/>
      <c r="E1192" s="3">
        <f t="shared" si="557"/>
        <v>0</v>
      </c>
      <c r="F1192" s="3"/>
      <c r="G1192" s="3"/>
      <c r="H1192" s="3">
        <f t="shared" si="558"/>
        <v>0</v>
      </c>
      <c r="I1192" s="3"/>
      <c r="J1192" s="3"/>
      <c r="K1192" s="4">
        <f t="shared" si="559"/>
        <v>0</v>
      </c>
      <c r="L1192" s="4"/>
      <c r="M1192" s="4"/>
      <c r="N1192" s="4">
        <f t="shared" si="560"/>
        <v>0</v>
      </c>
      <c r="O1192" s="3"/>
      <c r="P1192" s="3"/>
      <c r="Q1192" s="3"/>
      <c r="R1192" s="3"/>
      <c r="S1192" s="3"/>
      <c r="T1192" s="3"/>
      <c r="U1192" s="3"/>
      <c r="V1192" s="3"/>
      <c r="W1192" s="3">
        <f t="shared" si="556"/>
        <v>0</v>
      </c>
      <c r="X1192" s="3"/>
      <c r="Y1192" s="3"/>
      <c r="Z1192" s="3">
        <f t="shared" si="561"/>
        <v>0</v>
      </c>
      <c r="AA1192" s="3"/>
      <c r="AB1192" s="3"/>
      <c r="AC1192" s="3"/>
      <c r="AD1192" s="3">
        <f t="shared" si="554"/>
        <v>0</v>
      </c>
      <c r="AE1192" s="3"/>
      <c r="AF1192" s="3">
        <f t="shared" si="555"/>
        <v>0</v>
      </c>
      <c r="AG1192" s="3"/>
      <c r="AH1192" s="3"/>
      <c r="AI1192" s="3"/>
      <c r="AJ1192" s="3"/>
      <c r="AK1192" s="3"/>
      <c r="AL1192" s="3">
        <v>108200</v>
      </c>
      <c r="AM1192" s="3"/>
      <c r="AN1192" s="3"/>
      <c r="AO1192" s="3"/>
      <c r="AP1192" s="3"/>
      <c r="AR1192" s="3"/>
      <c r="AT1192" s="3"/>
      <c r="AV1192" s="3"/>
      <c r="AX1192" s="3"/>
      <c r="AZ1192" s="3"/>
    </row>
    <row r="1193" spans="1:52" s="42" customFormat="1" x14ac:dyDescent="0.25">
      <c r="A1193" s="3" t="s">
        <v>868</v>
      </c>
      <c r="B1193" s="3"/>
      <c r="C1193" s="3"/>
      <c r="D1193" s="3"/>
      <c r="E1193" s="3">
        <f t="shared" si="557"/>
        <v>0</v>
      </c>
      <c r="F1193" s="3"/>
      <c r="G1193" s="3"/>
      <c r="H1193" s="3">
        <f t="shared" si="558"/>
        <v>0</v>
      </c>
      <c r="I1193" s="3"/>
      <c r="J1193" s="3"/>
      <c r="K1193" s="4">
        <f t="shared" si="559"/>
        <v>0</v>
      </c>
      <c r="L1193" s="4"/>
      <c r="M1193" s="4"/>
      <c r="N1193" s="4">
        <f t="shared" si="560"/>
        <v>0</v>
      </c>
      <c r="O1193" s="3"/>
      <c r="P1193" s="3"/>
      <c r="Q1193" s="3"/>
      <c r="R1193" s="3"/>
      <c r="S1193" s="3"/>
      <c r="T1193" s="3"/>
      <c r="U1193" s="3"/>
      <c r="V1193" s="3"/>
      <c r="W1193" s="3">
        <f t="shared" si="556"/>
        <v>0</v>
      </c>
      <c r="X1193" s="3"/>
      <c r="Y1193" s="3"/>
      <c r="Z1193" s="3">
        <f t="shared" si="561"/>
        <v>0</v>
      </c>
      <c r="AA1193" s="3"/>
      <c r="AB1193" s="3"/>
      <c r="AC1193" s="3"/>
      <c r="AD1193" s="3">
        <f t="shared" si="554"/>
        <v>0</v>
      </c>
      <c r="AE1193" s="3"/>
      <c r="AF1193" s="3">
        <f t="shared" si="555"/>
        <v>0</v>
      </c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R1193" s="3"/>
      <c r="AT1193" s="3"/>
      <c r="AV1193" s="3"/>
      <c r="AX1193" s="3"/>
      <c r="AZ1193" s="3"/>
    </row>
    <row r="1194" spans="1:52" s="42" customFormat="1" x14ac:dyDescent="0.25">
      <c r="A1194" s="3" t="s">
        <v>869</v>
      </c>
      <c r="B1194" s="3"/>
      <c r="C1194" s="3"/>
      <c r="D1194" s="3"/>
      <c r="E1194" s="3">
        <f t="shared" si="557"/>
        <v>0</v>
      </c>
      <c r="F1194" s="3"/>
      <c r="G1194" s="3"/>
      <c r="H1194" s="3">
        <f t="shared" si="558"/>
        <v>0</v>
      </c>
      <c r="I1194" s="3"/>
      <c r="J1194" s="3"/>
      <c r="K1194" s="4">
        <f t="shared" si="559"/>
        <v>0</v>
      </c>
      <c r="L1194" s="4"/>
      <c r="M1194" s="4"/>
      <c r="N1194" s="4">
        <f t="shared" si="560"/>
        <v>0</v>
      </c>
      <c r="O1194" s="3"/>
      <c r="P1194" s="3"/>
      <c r="Q1194" s="3"/>
      <c r="R1194" s="3"/>
      <c r="S1194" s="3"/>
      <c r="T1194" s="3"/>
      <c r="U1194" s="3"/>
      <c r="V1194" s="3"/>
      <c r="W1194" s="3">
        <f t="shared" si="556"/>
        <v>0</v>
      </c>
      <c r="X1194" s="3"/>
      <c r="Y1194" s="3"/>
      <c r="Z1194" s="3">
        <f t="shared" si="561"/>
        <v>0</v>
      </c>
      <c r="AA1194" s="3"/>
      <c r="AB1194" s="3"/>
      <c r="AC1194" s="3"/>
      <c r="AD1194" s="3">
        <f t="shared" si="554"/>
        <v>0</v>
      </c>
      <c r="AE1194" s="3"/>
      <c r="AF1194" s="3">
        <f t="shared" si="555"/>
        <v>0</v>
      </c>
      <c r="AG1194" s="3"/>
      <c r="AH1194" s="3"/>
      <c r="AI1194" s="3"/>
      <c r="AJ1194" s="3">
        <v>200000</v>
      </c>
      <c r="AK1194" s="3"/>
      <c r="AL1194" s="3">
        <v>200000</v>
      </c>
      <c r="AM1194" s="3"/>
      <c r="AN1194" s="3"/>
      <c r="AO1194" s="3"/>
      <c r="AP1194" s="3"/>
      <c r="AR1194" s="3">
        <v>108200</v>
      </c>
      <c r="AT1194" s="3"/>
      <c r="AV1194" s="3"/>
      <c r="AX1194" s="3"/>
      <c r="AZ1194" s="3"/>
    </row>
    <row r="1195" spans="1:52" s="42" customFormat="1" x14ac:dyDescent="0.25">
      <c r="A1195" s="3" t="s">
        <v>870</v>
      </c>
      <c r="B1195" s="3">
        <v>13000</v>
      </c>
      <c r="C1195" s="3"/>
      <c r="D1195" s="3">
        <v>9313</v>
      </c>
      <c r="E1195" s="3">
        <f t="shared" si="557"/>
        <v>3687</v>
      </c>
      <c r="F1195" s="3">
        <v>13000</v>
      </c>
      <c r="G1195" s="3"/>
      <c r="H1195" s="3">
        <f t="shared" si="558"/>
        <v>0</v>
      </c>
      <c r="I1195" s="3"/>
      <c r="J1195" s="3">
        <v>28000</v>
      </c>
      <c r="K1195" s="4">
        <f t="shared" si="559"/>
        <v>2000</v>
      </c>
      <c r="L1195" s="4">
        <v>30000</v>
      </c>
      <c r="M1195" s="4"/>
      <c r="N1195" s="4">
        <f t="shared" si="560"/>
        <v>17000</v>
      </c>
      <c r="O1195" s="3"/>
      <c r="P1195" s="3"/>
      <c r="Q1195" s="3"/>
      <c r="R1195" s="3"/>
      <c r="S1195" s="3"/>
      <c r="T1195" s="3"/>
      <c r="U1195" s="3"/>
      <c r="V1195" s="3"/>
      <c r="W1195" s="3">
        <f t="shared" si="556"/>
        <v>0</v>
      </c>
      <c r="X1195" s="3"/>
      <c r="Y1195" s="3"/>
      <c r="Z1195" s="3">
        <f t="shared" si="561"/>
        <v>0</v>
      </c>
      <c r="AA1195" s="3"/>
      <c r="AB1195" s="3"/>
      <c r="AC1195" s="3"/>
      <c r="AD1195" s="3">
        <f t="shared" si="554"/>
        <v>0</v>
      </c>
      <c r="AE1195" s="3"/>
      <c r="AF1195" s="3">
        <f t="shared" si="555"/>
        <v>0</v>
      </c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R1195" s="3"/>
      <c r="AT1195" s="3"/>
      <c r="AV1195" s="3"/>
      <c r="AX1195" s="3"/>
      <c r="AZ1195" s="3"/>
    </row>
    <row r="1196" spans="1:52" s="42" customFormat="1" x14ac:dyDescent="0.25">
      <c r="A1196" s="3" t="s">
        <v>871</v>
      </c>
      <c r="B1196" s="3"/>
      <c r="C1196" s="3"/>
      <c r="D1196" s="3"/>
      <c r="E1196" s="3">
        <f t="shared" si="557"/>
        <v>0</v>
      </c>
      <c r="F1196" s="3"/>
      <c r="G1196" s="3"/>
      <c r="H1196" s="3">
        <f t="shared" si="558"/>
        <v>0</v>
      </c>
      <c r="I1196" s="3"/>
      <c r="J1196" s="3"/>
      <c r="K1196" s="4">
        <f t="shared" si="559"/>
        <v>0</v>
      </c>
      <c r="L1196" s="4"/>
      <c r="M1196" s="4"/>
      <c r="N1196" s="4">
        <f t="shared" si="560"/>
        <v>0</v>
      </c>
      <c r="O1196" s="3"/>
      <c r="P1196" s="3"/>
      <c r="Q1196" s="3"/>
      <c r="R1196" s="3"/>
      <c r="S1196" s="3"/>
      <c r="T1196" s="3"/>
      <c r="U1196" s="3"/>
      <c r="V1196" s="3"/>
      <c r="W1196" s="3">
        <f t="shared" si="556"/>
        <v>0</v>
      </c>
      <c r="X1196" s="3"/>
      <c r="Y1196" s="3"/>
      <c r="Z1196" s="3">
        <f t="shared" si="561"/>
        <v>0</v>
      </c>
      <c r="AA1196" s="3"/>
      <c r="AB1196" s="3"/>
      <c r="AC1196" s="3"/>
      <c r="AD1196" s="3">
        <f t="shared" si="554"/>
        <v>0</v>
      </c>
      <c r="AE1196" s="3"/>
      <c r="AF1196" s="3">
        <f t="shared" si="555"/>
        <v>0</v>
      </c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R1196" s="3"/>
      <c r="AT1196" s="3"/>
      <c r="AV1196" s="3"/>
      <c r="AX1196" s="3"/>
      <c r="AZ1196" s="3"/>
    </row>
    <row r="1197" spans="1:52" s="42" customFormat="1" x14ac:dyDescent="0.25">
      <c r="A1197" s="3" t="s">
        <v>872</v>
      </c>
      <c r="B1197" s="3"/>
      <c r="C1197" s="3"/>
      <c r="D1197" s="3"/>
      <c r="E1197" s="3">
        <f t="shared" si="557"/>
        <v>0</v>
      </c>
      <c r="F1197" s="3"/>
      <c r="G1197" s="3"/>
      <c r="H1197" s="3">
        <f t="shared" si="558"/>
        <v>0</v>
      </c>
      <c r="I1197" s="3"/>
      <c r="J1197" s="3"/>
      <c r="K1197" s="4">
        <f t="shared" si="559"/>
        <v>0</v>
      </c>
      <c r="L1197" s="4"/>
      <c r="M1197" s="4"/>
      <c r="N1197" s="4">
        <f t="shared" si="560"/>
        <v>0</v>
      </c>
      <c r="O1197" s="3"/>
      <c r="P1197" s="3"/>
      <c r="Q1197" s="3"/>
      <c r="R1197" s="3"/>
      <c r="S1197" s="3"/>
      <c r="T1197" s="3"/>
      <c r="U1197" s="3"/>
      <c r="V1197" s="3"/>
      <c r="W1197" s="3">
        <f t="shared" si="556"/>
        <v>0</v>
      </c>
      <c r="X1197" s="3"/>
      <c r="Y1197" s="3"/>
      <c r="Z1197" s="3">
        <f t="shared" si="561"/>
        <v>0</v>
      </c>
      <c r="AA1197" s="3"/>
      <c r="AB1197" s="3"/>
      <c r="AC1197" s="3"/>
      <c r="AD1197" s="3">
        <f t="shared" si="554"/>
        <v>0</v>
      </c>
      <c r="AE1197" s="3"/>
      <c r="AF1197" s="3">
        <f t="shared" si="555"/>
        <v>0</v>
      </c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R1197" s="3"/>
      <c r="AT1197" s="3"/>
      <c r="AV1197" s="3"/>
      <c r="AX1197" s="3"/>
      <c r="AZ1197" s="3"/>
    </row>
    <row r="1198" spans="1:52" s="42" customFormat="1" x14ac:dyDescent="0.25">
      <c r="A1198" s="3" t="s">
        <v>873</v>
      </c>
      <c r="B1198" s="3"/>
      <c r="C1198" s="3"/>
      <c r="D1198" s="3"/>
      <c r="E1198" s="3">
        <f t="shared" si="557"/>
        <v>0</v>
      </c>
      <c r="F1198" s="3"/>
      <c r="G1198" s="3"/>
      <c r="H1198" s="3">
        <f t="shared" si="558"/>
        <v>0</v>
      </c>
      <c r="I1198" s="3"/>
      <c r="J1198" s="3"/>
      <c r="K1198" s="4">
        <f t="shared" si="559"/>
        <v>0</v>
      </c>
      <c r="L1198" s="4"/>
      <c r="M1198" s="4"/>
      <c r="N1198" s="4">
        <f t="shared" si="560"/>
        <v>0</v>
      </c>
      <c r="O1198" s="3"/>
      <c r="P1198" s="3"/>
      <c r="Q1198" s="3"/>
      <c r="R1198" s="3"/>
      <c r="S1198" s="3"/>
      <c r="T1198" s="3"/>
      <c r="U1198" s="3"/>
      <c r="V1198" s="3"/>
      <c r="W1198" s="3">
        <f t="shared" si="556"/>
        <v>0</v>
      </c>
      <c r="X1198" s="3"/>
      <c r="Y1198" s="3"/>
      <c r="Z1198" s="3">
        <f t="shared" si="561"/>
        <v>0</v>
      </c>
      <c r="AA1198" s="3"/>
      <c r="AB1198" s="3"/>
      <c r="AC1198" s="3"/>
      <c r="AD1198" s="3">
        <f t="shared" si="554"/>
        <v>0</v>
      </c>
      <c r="AE1198" s="3"/>
      <c r="AF1198" s="3">
        <f t="shared" si="555"/>
        <v>0</v>
      </c>
      <c r="AG1198" s="3"/>
      <c r="AH1198" s="3"/>
      <c r="AI1198" s="3"/>
      <c r="AJ1198" s="3">
        <v>271000</v>
      </c>
      <c r="AK1198" s="3"/>
      <c r="AL1198" s="3"/>
      <c r="AM1198" s="3"/>
      <c r="AN1198" s="3"/>
      <c r="AO1198" s="3"/>
      <c r="AP1198" s="3"/>
      <c r="AR1198" s="3"/>
      <c r="AT1198" s="3"/>
      <c r="AV1198" s="3"/>
      <c r="AX1198" s="3"/>
      <c r="AZ1198" s="3"/>
    </row>
    <row r="1199" spans="1:52" s="42" customFormat="1" x14ac:dyDescent="0.25">
      <c r="A1199" s="3" t="s">
        <v>874</v>
      </c>
      <c r="B1199" s="3"/>
      <c r="C1199" s="3"/>
      <c r="D1199" s="3"/>
      <c r="E1199" s="3">
        <f t="shared" si="557"/>
        <v>0</v>
      </c>
      <c r="F1199" s="3"/>
      <c r="G1199" s="3"/>
      <c r="H1199" s="3">
        <f t="shared" si="558"/>
        <v>0</v>
      </c>
      <c r="I1199" s="3"/>
      <c r="J1199" s="3"/>
      <c r="K1199" s="4">
        <f t="shared" si="559"/>
        <v>0</v>
      </c>
      <c r="L1199" s="4"/>
      <c r="M1199" s="4"/>
      <c r="N1199" s="4">
        <f t="shared" si="560"/>
        <v>0</v>
      </c>
      <c r="O1199" s="3"/>
      <c r="P1199" s="3"/>
      <c r="Q1199" s="3"/>
      <c r="R1199" s="3"/>
      <c r="S1199" s="3"/>
      <c r="T1199" s="3"/>
      <c r="U1199" s="3"/>
      <c r="V1199" s="3"/>
      <c r="W1199" s="3">
        <f t="shared" si="556"/>
        <v>0</v>
      </c>
      <c r="X1199" s="3"/>
      <c r="Y1199" s="3"/>
      <c r="Z1199" s="3">
        <f t="shared" si="561"/>
        <v>0</v>
      </c>
      <c r="AA1199" s="3"/>
      <c r="AB1199" s="3"/>
      <c r="AC1199" s="3"/>
      <c r="AD1199" s="3">
        <f t="shared" si="554"/>
        <v>0</v>
      </c>
      <c r="AE1199" s="3"/>
      <c r="AF1199" s="3">
        <f t="shared" si="555"/>
        <v>0</v>
      </c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R1199" s="3"/>
      <c r="AT1199" s="3"/>
      <c r="AV1199" s="3"/>
      <c r="AX1199" s="3"/>
      <c r="AZ1199" s="3"/>
    </row>
    <row r="1200" spans="1:52" s="42" customFormat="1" x14ac:dyDescent="0.25">
      <c r="A1200" s="3" t="s">
        <v>875</v>
      </c>
      <c r="B1200" s="3">
        <v>50000</v>
      </c>
      <c r="C1200" s="3"/>
      <c r="D1200" s="3"/>
      <c r="E1200" s="3">
        <f t="shared" si="557"/>
        <v>50000</v>
      </c>
      <c r="F1200" s="3">
        <v>50000</v>
      </c>
      <c r="G1200" s="3"/>
      <c r="H1200" s="3">
        <f t="shared" si="558"/>
        <v>0</v>
      </c>
      <c r="I1200" s="3"/>
      <c r="J1200" s="3"/>
      <c r="K1200" s="4">
        <f t="shared" si="559"/>
        <v>25000</v>
      </c>
      <c r="L1200" s="4">
        <v>25000</v>
      </c>
      <c r="M1200" s="4"/>
      <c r="N1200" s="4">
        <f t="shared" si="560"/>
        <v>-25000</v>
      </c>
      <c r="O1200" s="3"/>
      <c r="P1200" s="3"/>
      <c r="Q1200" s="3"/>
      <c r="R1200" s="3"/>
      <c r="S1200" s="3"/>
      <c r="T1200" s="3"/>
      <c r="U1200" s="3"/>
      <c r="V1200" s="3"/>
      <c r="W1200" s="3">
        <f t="shared" si="556"/>
        <v>0</v>
      </c>
      <c r="X1200" s="3"/>
      <c r="Y1200" s="3"/>
      <c r="Z1200" s="3">
        <f t="shared" si="561"/>
        <v>0</v>
      </c>
      <c r="AA1200" s="3"/>
      <c r="AB1200" s="3"/>
      <c r="AC1200" s="3"/>
      <c r="AD1200" s="3">
        <f t="shared" si="554"/>
        <v>0</v>
      </c>
      <c r="AE1200" s="3"/>
      <c r="AF1200" s="3">
        <f t="shared" si="555"/>
        <v>0</v>
      </c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R1200" s="3"/>
      <c r="AT1200" s="3"/>
      <c r="AV1200" s="3"/>
      <c r="AX1200" s="3"/>
      <c r="AZ1200" s="3"/>
    </row>
    <row r="1201" spans="1:53" s="42" customFormat="1" x14ac:dyDescent="0.25">
      <c r="A1201" s="3" t="s">
        <v>876</v>
      </c>
      <c r="B1201" s="3"/>
      <c r="C1201" s="3"/>
      <c r="D1201" s="3"/>
      <c r="E1201" s="3">
        <f t="shared" si="557"/>
        <v>0</v>
      </c>
      <c r="F1201" s="3"/>
      <c r="G1201" s="3"/>
      <c r="H1201" s="3">
        <f t="shared" si="558"/>
        <v>0</v>
      </c>
      <c r="I1201" s="3"/>
      <c r="J1201" s="3"/>
      <c r="K1201" s="4">
        <f t="shared" si="559"/>
        <v>0</v>
      </c>
      <c r="L1201" s="4"/>
      <c r="M1201" s="4"/>
      <c r="N1201" s="4">
        <f t="shared" si="560"/>
        <v>0</v>
      </c>
      <c r="O1201" s="3"/>
      <c r="P1201" s="3"/>
      <c r="Q1201" s="3"/>
      <c r="R1201" s="3"/>
      <c r="S1201" s="3"/>
      <c r="T1201" s="3"/>
      <c r="U1201" s="3"/>
      <c r="V1201" s="3"/>
      <c r="W1201" s="3">
        <f t="shared" si="556"/>
        <v>0</v>
      </c>
      <c r="X1201" s="3"/>
      <c r="Y1201" s="3"/>
      <c r="Z1201" s="3">
        <f t="shared" si="561"/>
        <v>0</v>
      </c>
      <c r="AA1201" s="3"/>
      <c r="AB1201" s="3"/>
      <c r="AC1201" s="3"/>
      <c r="AD1201" s="3">
        <f t="shared" si="554"/>
        <v>0</v>
      </c>
      <c r="AE1201" s="3"/>
      <c r="AF1201" s="3">
        <f t="shared" si="555"/>
        <v>0</v>
      </c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R1201" s="3"/>
      <c r="AT1201" s="3"/>
      <c r="AV1201" s="3"/>
      <c r="AX1201" s="3"/>
      <c r="AZ1201" s="3"/>
    </row>
    <row r="1202" spans="1:53" s="42" customFormat="1" x14ac:dyDescent="0.25">
      <c r="A1202" s="3" t="s">
        <v>877</v>
      </c>
      <c r="B1202" s="3"/>
      <c r="C1202" s="3"/>
      <c r="D1202" s="3"/>
      <c r="E1202" s="3">
        <f t="shared" si="557"/>
        <v>0</v>
      </c>
      <c r="F1202" s="3"/>
      <c r="G1202" s="3"/>
      <c r="H1202" s="3">
        <f t="shared" si="558"/>
        <v>0</v>
      </c>
      <c r="I1202" s="3"/>
      <c r="J1202" s="3"/>
      <c r="K1202" s="4">
        <f t="shared" si="559"/>
        <v>0</v>
      </c>
      <c r="L1202" s="4"/>
      <c r="M1202" s="4"/>
      <c r="N1202" s="4">
        <f t="shared" si="560"/>
        <v>0</v>
      </c>
      <c r="O1202" s="3"/>
      <c r="P1202" s="3"/>
      <c r="Q1202" s="3"/>
      <c r="R1202" s="3"/>
      <c r="S1202" s="3"/>
      <c r="T1202" s="3"/>
      <c r="U1202" s="3"/>
      <c r="V1202" s="3"/>
      <c r="W1202" s="3">
        <f t="shared" si="556"/>
        <v>0</v>
      </c>
      <c r="X1202" s="3"/>
      <c r="Y1202" s="3"/>
      <c r="Z1202" s="3">
        <f t="shared" si="561"/>
        <v>0</v>
      </c>
      <c r="AA1202" s="3"/>
      <c r="AB1202" s="3"/>
      <c r="AC1202" s="3"/>
      <c r="AD1202" s="3">
        <f t="shared" si="554"/>
        <v>0</v>
      </c>
      <c r="AE1202" s="3"/>
      <c r="AF1202" s="3">
        <f t="shared" si="555"/>
        <v>0</v>
      </c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R1202" s="3"/>
      <c r="AT1202" s="3"/>
      <c r="AV1202" s="3"/>
      <c r="AX1202" s="3"/>
      <c r="AZ1202" s="3"/>
    </row>
    <row r="1203" spans="1:53" s="42" customFormat="1" x14ac:dyDescent="0.25">
      <c r="A1203" s="3" t="s">
        <v>878</v>
      </c>
      <c r="B1203" s="3"/>
      <c r="C1203" s="3"/>
      <c r="D1203" s="3"/>
      <c r="E1203" s="3">
        <f t="shared" si="557"/>
        <v>0</v>
      </c>
      <c r="F1203" s="3"/>
      <c r="G1203" s="3"/>
      <c r="H1203" s="3">
        <f t="shared" si="558"/>
        <v>0</v>
      </c>
      <c r="I1203" s="3"/>
      <c r="J1203" s="3"/>
      <c r="K1203" s="4">
        <f t="shared" si="559"/>
        <v>0</v>
      </c>
      <c r="L1203" s="4"/>
      <c r="M1203" s="4"/>
      <c r="N1203" s="4">
        <f t="shared" si="560"/>
        <v>0</v>
      </c>
      <c r="O1203" s="3"/>
      <c r="P1203" s="3"/>
      <c r="Q1203" s="3"/>
      <c r="R1203" s="3"/>
      <c r="S1203" s="3"/>
      <c r="T1203" s="3"/>
      <c r="U1203" s="3"/>
      <c r="V1203" s="3"/>
      <c r="W1203" s="3">
        <f t="shared" si="556"/>
        <v>0</v>
      </c>
      <c r="X1203" s="3"/>
      <c r="Y1203" s="3"/>
      <c r="Z1203" s="3">
        <f t="shared" si="561"/>
        <v>0</v>
      </c>
      <c r="AA1203" s="3"/>
      <c r="AB1203" s="3"/>
      <c r="AC1203" s="3"/>
      <c r="AD1203" s="3">
        <f t="shared" si="554"/>
        <v>0</v>
      </c>
      <c r="AE1203" s="3"/>
      <c r="AF1203" s="3">
        <f t="shared" si="555"/>
        <v>0</v>
      </c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R1203" s="3"/>
      <c r="AT1203" s="3">
        <v>541000</v>
      </c>
      <c r="AV1203" s="3"/>
      <c r="AX1203" s="3"/>
      <c r="AZ1203" s="3"/>
    </row>
    <row r="1204" spans="1:53" s="42" customFormat="1" x14ac:dyDescent="0.25">
      <c r="A1204" s="3" t="s">
        <v>879</v>
      </c>
      <c r="B1204" s="3"/>
      <c r="C1204" s="3"/>
      <c r="D1204" s="3">
        <v>2695</v>
      </c>
      <c r="E1204" s="3">
        <f t="shared" si="557"/>
        <v>5</v>
      </c>
      <c r="F1204" s="3">
        <v>2700</v>
      </c>
      <c r="G1204" s="3"/>
      <c r="H1204" s="3">
        <f t="shared" si="558"/>
        <v>2700</v>
      </c>
      <c r="I1204" s="3"/>
      <c r="J1204" s="3">
        <v>3270</v>
      </c>
      <c r="K1204" s="4">
        <f t="shared" si="559"/>
        <v>0</v>
      </c>
      <c r="L1204" s="4">
        <v>3270</v>
      </c>
      <c r="M1204" s="4"/>
      <c r="N1204" s="4">
        <f t="shared" si="560"/>
        <v>570</v>
      </c>
      <c r="O1204" s="3"/>
      <c r="P1204" s="3"/>
      <c r="Q1204" s="3"/>
      <c r="R1204" s="3"/>
      <c r="S1204" s="3"/>
      <c r="T1204" s="3"/>
      <c r="U1204" s="3"/>
      <c r="V1204" s="3"/>
      <c r="W1204" s="3">
        <f t="shared" si="556"/>
        <v>0</v>
      </c>
      <c r="X1204" s="3"/>
      <c r="Y1204" s="3"/>
      <c r="Z1204" s="3">
        <f t="shared" si="561"/>
        <v>0</v>
      </c>
      <c r="AA1204" s="3"/>
      <c r="AB1204" s="3"/>
      <c r="AC1204" s="3"/>
      <c r="AD1204" s="3">
        <f t="shared" si="554"/>
        <v>0</v>
      </c>
      <c r="AE1204" s="3"/>
      <c r="AF1204" s="3">
        <f t="shared" si="555"/>
        <v>0</v>
      </c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R1204" s="3"/>
      <c r="AT1204" s="3"/>
      <c r="AV1204" s="3"/>
      <c r="AX1204" s="3"/>
      <c r="AZ1204" s="3"/>
    </row>
    <row r="1205" spans="1:53" s="42" customFormat="1" x14ac:dyDescent="0.25">
      <c r="A1205" s="3" t="s">
        <v>880</v>
      </c>
      <c r="B1205" s="3"/>
      <c r="C1205" s="3"/>
      <c r="D1205" s="3"/>
      <c r="E1205" s="3">
        <f>F1205-D1205</f>
        <v>0</v>
      </c>
      <c r="F1205" s="3"/>
      <c r="G1205" s="3"/>
      <c r="H1205" s="3">
        <f>F1205-B1205</f>
        <v>0</v>
      </c>
      <c r="I1205" s="3"/>
      <c r="J1205" s="3"/>
      <c r="K1205" s="4">
        <f t="shared" si="559"/>
        <v>0</v>
      </c>
      <c r="L1205" s="4"/>
      <c r="M1205" s="4"/>
      <c r="N1205" s="4">
        <f t="shared" si="560"/>
        <v>0</v>
      </c>
      <c r="O1205" s="3"/>
      <c r="P1205" s="3"/>
      <c r="Q1205" s="3"/>
      <c r="R1205" s="3"/>
      <c r="S1205" s="3"/>
      <c r="T1205" s="3"/>
      <c r="U1205" s="3"/>
      <c r="V1205" s="3"/>
      <c r="W1205" s="3">
        <f t="shared" si="556"/>
        <v>0</v>
      </c>
      <c r="X1205" s="3"/>
      <c r="Y1205" s="3"/>
      <c r="Z1205" s="3">
        <f t="shared" si="561"/>
        <v>0</v>
      </c>
      <c r="AA1205" s="3"/>
      <c r="AB1205" s="3"/>
      <c r="AC1205" s="3"/>
      <c r="AD1205" s="3">
        <f t="shared" si="554"/>
        <v>0</v>
      </c>
      <c r="AE1205" s="3"/>
      <c r="AF1205" s="3">
        <f t="shared" si="555"/>
        <v>0</v>
      </c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R1205" s="3"/>
      <c r="AT1205" s="3"/>
      <c r="AV1205" s="3"/>
      <c r="AX1205" s="3"/>
      <c r="AZ1205" s="3"/>
    </row>
    <row r="1206" spans="1:53" s="42" customFormat="1" x14ac:dyDescent="0.25">
      <c r="A1206" s="3" t="s">
        <v>881</v>
      </c>
      <c r="B1206" s="3">
        <v>11900</v>
      </c>
      <c r="C1206" s="3"/>
      <c r="D1206" s="3"/>
      <c r="E1206" s="3">
        <f>F1206-D1206</f>
        <v>11900</v>
      </c>
      <c r="F1206" s="3">
        <v>11900</v>
      </c>
      <c r="G1206" s="3"/>
      <c r="H1206" s="3">
        <f>F1206-B1206</f>
        <v>0</v>
      </c>
      <c r="I1206" s="3"/>
      <c r="J1206" s="3">
        <v>0</v>
      </c>
      <c r="K1206" s="4">
        <f t="shared" si="559"/>
        <v>11900</v>
      </c>
      <c r="L1206" s="4">
        <v>11900</v>
      </c>
      <c r="M1206" s="4"/>
      <c r="N1206" s="4">
        <f t="shared" si="560"/>
        <v>0</v>
      </c>
      <c r="O1206" s="3"/>
      <c r="P1206" s="3">
        <f>4476-26</f>
        <v>4450</v>
      </c>
      <c r="Q1206" s="3"/>
      <c r="R1206" s="3"/>
      <c r="S1206" s="3">
        <f>T1206-R1206</f>
        <v>4450</v>
      </c>
      <c r="T1206" s="3">
        <v>4450</v>
      </c>
      <c r="U1206" s="3">
        <f>T1206-P1206</f>
        <v>0</v>
      </c>
      <c r="V1206" s="3"/>
      <c r="W1206" s="3">
        <f t="shared" si="556"/>
        <v>4450</v>
      </c>
      <c r="X1206" s="3"/>
      <c r="Y1206" s="3">
        <v>4450</v>
      </c>
      <c r="Z1206" s="3">
        <f t="shared" si="561"/>
        <v>0</v>
      </c>
      <c r="AA1206" s="3"/>
      <c r="AB1206" s="3"/>
      <c r="AC1206" s="3">
        <v>0</v>
      </c>
      <c r="AD1206" s="3">
        <f t="shared" si="554"/>
        <v>1480</v>
      </c>
      <c r="AE1206" s="3">
        <v>1480</v>
      </c>
      <c r="AF1206" s="3">
        <f t="shared" si="555"/>
        <v>-2970</v>
      </c>
      <c r="AG1206" s="3"/>
      <c r="AH1206" s="3">
        <f>4476-26+100000</f>
        <v>104450</v>
      </c>
      <c r="AI1206" s="3"/>
      <c r="AJ1206" s="3">
        <f>4476-26</f>
        <v>4450</v>
      </c>
      <c r="AK1206" s="3"/>
      <c r="AL1206" s="3">
        <f>4476-26</f>
        <v>4450</v>
      </c>
      <c r="AM1206" s="3"/>
      <c r="AN1206" s="3">
        <f>5800+300000</f>
        <v>305800</v>
      </c>
      <c r="AO1206" s="3"/>
      <c r="AP1206" s="3">
        <f>5800+400000</f>
        <v>405800</v>
      </c>
      <c r="AR1206" s="3">
        <v>5800</v>
      </c>
      <c r="AT1206" s="3">
        <v>5800</v>
      </c>
      <c r="AV1206" s="3">
        <f>4350+500000</f>
        <v>504350</v>
      </c>
      <c r="AX1206" s="3">
        <v>500000</v>
      </c>
      <c r="AZ1206" s="3">
        <v>500000</v>
      </c>
    </row>
    <row r="1207" spans="1:53" s="42" customFormat="1" x14ac:dyDescent="0.25">
      <c r="A1207" s="3" t="s">
        <v>798</v>
      </c>
      <c r="B1207" s="3"/>
      <c r="C1207" s="3"/>
      <c r="D1207" s="3"/>
      <c r="E1207" s="3">
        <f>F1207-D1207</f>
        <v>0</v>
      </c>
      <c r="F1207" s="3"/>
      <c r="G1207" s="3"/>
      <c r="H1207" s="3">
        <f>F1207-B1207</f>
        <v>0</v>
      </c>
      <c r="I1207" s="3"/>
      <c r="J1207" s="3"/>
      <c r="K1207" s="4">
        <f t="shared" si="559"/>
        <v>0</v>
      </c>
      <c r="L1207" s="4"/>
      <c r="M1207" s="4"/>
      <c r="N1207" s="4">
        <f t="shared" si="560"/>
        <v>0</v>
      </c>
      <c r="O1207" s="3"/>
      <c r="P1207" s="3"/>
      <c r="Q1207" s="3"/>
      <c r="R1207" s="3"/>
      <c r="S1207" s="3"/>
      <c r="T1207" s="3"/>
      <c r="U1207" s="3"/>
      <c r="V1207" s="3"/>
      <c r="W1207" s="3">
        <f t="shared" si="556"/>
        <v>0</v>
      </c>
      <c r="X1207" s="3"/>
      <c r="Y1207" s="3"/>
      <c r="Z1207" s="3">
        <f t="shared" si="561"/>
        <v>0</v>
      </c>
      <c r="AA1207" s="3"/>
      <c r="AB1207" s="3"/>
      <c r="AC1207" s="3"/>
      <c r="AD1207" s="3">
        <f t="shared" si="554"/>
        <v>0</v>
      </c>
      <c r="AE1207" s="3"/>
      <c r="AF1207" s="3">
        <f t="shared" si="555"/>
        <v>0</v>
      </c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R1207" s="3"/>
      <c r="AT1207" s="3"/>
      <c r="AV1207" s="3"/>
      <c r="AX1207" s="3"/>
      <c r="AZ1207" s="3"/>
      <c r="BA1207" s="6"/>
    </row>
    <row r="1208" spans="1:53" s="42" customFormat="1" x14ac:dyDescent="0.25">
      <c r="A1208" s="3" t="s">
        <v>882</v>
      </c>
      <c r="B1208" s="3">
        <v>6180</v>
      </c>
      <c r="C1208" s="3"/>
      <c r="D1208" s="3"/>
      <c r="E1208" s="3">
        <f>F1208-D1208</f>
        <v>6180</v>
      </c>
      <c r="F1208" s="3">
        <v>6180</v>
      </c>
      <c r="G1208" s="3"/>
      <c r="H1208" s="3">
        <f>F1208-B1208</f>
        <v>0</v>
      </c>
      <c r="I1208" s="3"/>
      <c r="J1208" s="3"/>
      <c r="K1208" s="4">
        <f t="shared" si="559"/>
        <v>6180</v>
      </c>
      <c r="L1208" s="4">
        <v>6180</v>
      </c>
      <c r="M1208" s="4"/>
      <c r="N1208" s="4">
        <f t="shared" si="560"/>
        <v>0</v>
      </c>
      <c r="O1208" s="3"/>
      <c r="P1208" s="3">
        <v>10000</v>
      </c>
      <c r="Q1208" s="3"/>
      <c r="R1208" s="3"/>
      <c r="S1208" s="3">
        <f>T1208-R1208</f>
        <v>10000</v>
      </c>
      <c r="T1208" s="3">
        <v>10000</v>
      </c>
      <c r="U1208" s="3">
        <f>T1208-P1208</f>
        <v>0</v>
      </c>
      <c r="V1208" s="3"/>
      <c r="W1208" s="3">
        <f t="shared" si="556"/>
        <v>5000</v>
      </c>
      <c r="X1208" s="3"/>
      <c r="Y1208" s="3">
        <v>5000</v>
      </c>
      <c r="Z1208" s="3">
        <f t="shared" si="561"/>
        <v>-5000</v>
      </c>
      <c r="AA1208" s="3"/>
      <c r="AB1208" s="3"/>
      <c r="AC1208" s="3">
        <v>0</v>
      </c>
      <c r="AD1208" s="3">
        <f t="shared" si="554"/>
        <v>5000</v>
      </c>
      <c r="AE1208" s="3">
        <v>5000</v>
      </c>
      <c r="AF1208" s="3">
        <f t="shared" si="555"/>
        <v>0</v>
      </c>
      <c r="AG1208" s="3"/>
      <c r="AH1208" s="3">
        <f>P1208*1.03</f>
        <v>10300</v>
      </c>
      <c r="AI1208" s="3"/>
      <c r="AJ1208" s="3">
        <f>AH1208*1.03</f>
        <v>10609</v>
      </c>
      <c r="AK1208" s="3"/>
      <c r="AL1208" s="3">
        <f>AJ1208*1.03</f>
        <v>10927.27</v>
      </c>
      <c r="AM1208" s="3"/>
      <c r="AN1208" s="3">
        <f>AL1208*1.03</f>
        <v>11255.088100000001</v>
      </c>
      <c r="AO1208" s="3"/>
      <c r="AP1208" s="3">
        <f>AN1208*1.03</f>
        <v>11592.740743</v>
      </c>
      <c r="AR1208" s="3">
        <f>AP1208*1.03</f>
        <v>11940.52296529</v>
      </c>
      <c r="AT1208" s="3">
        <f>AR1208*1.03</f>
        <v>12298.7386542487</v>
      </c>
      <c r="AV1208" s="3">
        <f>AT1208*1.03</f>
        <v>12667.700813876161</v>
      </c>
      <c r="AX1208" s="3">
        <f>AV1208*1.03</f>
        <v>13047.731838292446</v>
      </c>
      <c r="AY1208" s="6"/>
      <c r="AZ1208" s="3">
        <f>AX1208*1.03</f>
        <v>13439.163793441219</v>
      </c>
      <c r="BA1208" s="6"/>
    </row>
    <row r="1209" spans="1:53" ht="15.75" thickBot="1" x14ac:dyDescent="0.3">
      <c r="A1209" s="3"/>
      <c r="B1209" s="43">
        <f>SUM(B1171:B1208)</f>
        <v>153830</v>
      </c>
      <c r="C1209" s="32"/>
      <c r="D1209" s="43">
        <f>SUM(D1171:D1208)</f>
        <v>12008</v>
      </c>
      <c r="E1209" s="43">
        <f>SUM(E1171:E1208)</f>
        <v>144522</v>
      </c>
      <c r="F1209" s="43">
        <f>SUM(F1171:F1208)</f>
        <v>156530</v>
      </c>
      <c r="G1209" s="44"/>
      <c r="H1209" s="43">
        <f>SUM(H1171:H1208)</f>
        <v>2700</v>
      </c>
      <c r="I1209" s="36"/>
      <c r="J1209" s="43">
        <f>SUM(J1171:J1208)</f>
        <v>31270</v>
      </c>
      <c r="K1209" s="43">
        <f>SUM(K1171:K1208)</f>
        <v>102330</v>
      </c>
      <c r="L1209" s="43">
        <f>SUM(L1171:L1208)</f>
        <v>133600</v>
      </c>
      <c r="M1209" s="32"/>
      <c r="N1209" s="43">
        <f>SUM(N1171:N1208)</f>
        <v>-22930</v>
      </c>
      <c r="P1209" s="43">
        <f>SUM(P1171:P1208)</f>
        <v>359050</v>
      </c>
      <c r="R1209" s="43">
        <f t="shared" ref="R1209:Z1209" si="562">SUM(R1171:R1208)</f>
        <v>3988</v>
      </c>
      <c r="S1209" s="43">
        <f t="shared" si="562"/>
        <v>355062</v>
      </c>
      <c r="T1209" s="43">
        <f t="shared" si="562"/>
        <v>359050</v>
      </c>
      <c r="U1209" s="43">
        <f t="shared" si="562"/>
        <v>0</v>
      </c>
      <c r="V1209" s="43">
        <f t="shared" si="562"/>
        <v>10898</v>
      </c>
      <c r="W1209" s="43">
        <f t="shared" si="562"/>
        <v>350062</v>
      </c>
      <c r="X1209" s="43"/>
      <c r="Y1209" s="43">
        <f t="shared" si="562"/>
        <v>360960</v>
      </c>
      <c r="Z1209" s="43">
        <f t="shared" si="562"/>
        <v>1910</v>
      </c>
      <c r="AC1209" s="43">
        <f>SUM(AC1171:AC1208)</f>
        <v>6910</v>
      </c>
      <c r="AD1209" s="43">
        <f>SUM(AD1171:AD1208)</f>
        <v>351080</v>
      </c>
      <c r="AE1209" s="43">
        <f>SUM(AE1171:AE1208)</f>
        <v>357990</v>
      </c>
      <c r="AF1209" s="43">
        <f>SUM(AF1171:AF1208)</f>
        <v>-2970</v>
      </c>
      <c r="AH1209" s="43">
        <f>SUM(AH1171:AH1208)</f>
        <v>176550</v>
      </c>
      <c r="AJ1209" s="43">
        <f>SUM(AJ1171:AJ1208)</f>
        <v>488359</v>
      </c>
      <c r="AL1209" s="43">
        <f>SUM(AL1171:AL1208)</f>
        <v>435827.27</v>
      </c>
      <c r="AN1209" s="43">
        <f>SUM(AN1171:AN1208)</f>
        <v>319355.08809999999</v>
      </c>
      <c r="AO1209" s="43"/>
      <c r="AP1209" s="43">
        <f>SUM(AP1171:AP1208)</f>
        <v>419742.740743</v>
      </c>
      <c r="AR1209" s="43">
        <f>SUM(AR1171:AR1208)</f>
        <v>1248190.5229652899</v>
      </c>
      <c r="AT1209" s="43">
        <f>SUM(AT1171:AT1208)</f>
        <v>637198.73865424865</v>
      </c>
      <c r="AV1209" s="43">
        <f>SUM(AV1171:AV1208)</f>
        <v>517017.70081387617</v>
      </c>
      <c r="AX1209" s="43">
        <f>SUM(AX1171:AX1208)</f>
        <v>513047.73183829244</v>
      </c>
      <c r="AZ1209" s="43">
        <f>SUM(AZ1171:AZ1208)</f>
        <v>513439.1637934412</v>
      </c>
    </row>
    <row r="1210" spans="1:53" ht="16.5" thickTop="1" thickBot="1" x14ac:dyDescent="0.3">
      <c r="A1210" s="7" t="s">
        <v>883</v>
      </c>
      <c r="B1210" s="65">
        <f>B1209+B1168</f>
        <v>941080</v>
      </c>
      <c r="C1210" s="32"/>
      <c r="D1210" s="65">
        <f>D1209+D1168</f>
        <v>108055</v>
      </c>
      <c r="E1210" s="65">
        <f>E1209+E1168</f>
        <v>835725</v>
      </c>
      <c r="F1210" s="65">
        <f>F1209+F1168</f>
        <v>943780</v>
      </c>
      <c r="G1210" s="83"/>
      <c r="H1210" s="65">
        <f>H1209+H1168</f>
        <v>2700</v>
      </c>
      <c r="I1210" s="36"/>
      <c r="J1210" s="65">
        <f>J1209+J1168</f>
        <v>208079</v>
      </c>
      <c r="K1210" s="65">
        <f>K1209+K1168</f>
        <v>487621</v>
      </c>
      <c r="L1210" s="65">
        <f>L1209+L1168</f>
        <v>913700</v>
      </c>
      <c r="M1210" s="32"/>
      <c r="N1210" s="65">
        <f>N1209+N1168</f>
        <v>-30080</v>
      </c>
      <c r="P1210" s="65">
        <f>P1209+P1168</f>
        <v>1170789.9750000001</v>
      </c>
      <c r="R1210" s="65">
        <f t="shared" ref="R1210:Z1210" si="563">R1209+R1168</f>
        <v>101038</v>
      </c>
      <c r="S1210" s="65">
        <f t="shared" si="563"/>
        <v>1087150</v>
      </c>
      <c r="T1210" s="65">
        <f t="shared" si="563"/>
        <v>1188189</v>
      </c>
      <c r="U1210" s="65">
        <f t="shared" si="563"/>
        <v>17398.025000000005</v>
      </c>
      <c r="V1210" s="65">
        <f t="shared" si="563"/>
        <v>209590</v>
      </c>
      <c r="W1210" s="65">
        <f t="shared" si="563"/>
        <v>1010758</v>
      </c>
      <c r="X1210" s="65"/>
      <c r="Y1210" s="65">
        <f t="shared" si="563"/>
        <v>1220350</v>
      </c>
      <c r="Z1210" s="65">
        <f t="shared" si="563"/>
        <v>32160</v>
      </c>
      <c r="AC1210" s="65">
        <f>AC1209+AC1168</f>
        <v>288904</v>
      </c>
      <c r="AD1210" s="65">
        <f>AD1209+AD1168</f>
        <v>922126</v>
      </c>
      <c r="AE1210" s="65">
        <f>AE1209+AE1168</f>
        <v>1211030</v>
      </c>
      <c r="AF1210" s="65">
        <f>AF1209+AF1168</f>
        <v>-9320</v>
      </c>
      <c r="AH1210" s="65">
        <f>AH1209+AH1168</f>
        <v>998119.36749999993</v>
      </c>
      <c r="AJ1210" s="65">
        <f>AJ1209+AJ1168</f>
        <v>1332023.8880409999</v>
      </c>
      <c r="AL1210" s="65">
        <f>AL1209+AL1168</f>
        <v>1302552.8141939489</v>
      </c>
      <c r="AN1210" s="65">
        <f>AN1209+AN1168</f>
        <v>1219027.9205149917</v>
      </c>
      <c r="AO1210" s="65"/>
      <c r="AP1210" s="65">
        <f>AP1209+AP1168</f>
        <v>1335341.9531314799</v>
      </c>
      <c r="AR1210" s="65">
        <f>AR1209+AR1168</f>
        <v>2189737.6261872621</v>
      </c>
      <c r="AT1210" s="65">
        <f>AT1209+AT1168</f>
        <v>1615759.5908938032</v>
      </c>
      <c r="AV1210" s="65">
        <f>AV1209+AV1168</f>
        <v>1523704.5267072252</v>
      </c>
      <c r="AX1210" s="65">
        <f>AX1209+AX1168</f>
        <v>1549021.2369135907</v>
      </c>
      <c r="AZ1210" s="65">
        <f>AZ1209+AZ1168</f>
        <v>1579910.7488395891</v>
      </c>
    </row>
    <row r="1211" spans="1:53" ht="16.5" thickTop="1" thickBot="1" x14ac:dyDescent="0.3">
      <c r="A1211" s="1" t="s">
        <v>884</v>
      </c>
      <c r="B1211" s="2"/>
      <c r="D1211" s="2"/>
      <c r="E1211" s="2"/>
      <c r="F1211" s="2"/>
      <c r="H1211" s="2"/>
      <c r="I1211" s="2"/>
      <c r="J1211" s="2"/>
      <c r="K1211" s="2"/>
      <c r="L1211" s="2"/>
      <c r="N1211" s="2"/>
    </row>
    <row r="1212" spans="1:53" x14ac:dyDescent="0.25">
      <c r="A1212" s="3"/>
      <c r="B1212" s="8" t="s">
        <v>8</v>
      </c>
      <c r="C1212" s="9"/>
      <c r="D1212" s="10" t="s">
        <v>9</v>
      </c>
      <c r="E1212" s="11" t="s">
        <v>10</v>
      </c>
      <c r="F1212" s="12" t="s">
        <v>11</v>
      </c>
      <c r="G1212" s="9"/>
      <c r="H1212" s="8" t="s">
        <v>12</v>
      </c>
      <c r="I1212" s="13"/>
      <c r="J1212" s="10" t="s">
        <v>9</v>
      </c>
      <c r="K1212" s="11" t="s">
        <v>10</v>
      </c>
      <c r="L1212" s="11" t="s">
        <v>11</v>
      </c>
      <c r="M1212" s="9"/>
      <c r="N1212" s="12" t="s">
        <v>12</v>
      </c>
      <c r="P1212" s="8" t="s">
        <v>8</v>
      </c>
      <c r="R1212" s="14" t="s">
        <v>9</v>
      </c>
      <c r="S1212" s="15" t="s">
        <v>10</v>
      </c>
      <c r="T1212" s="16" t="s">
        <v>11</v>
      </c>
      <c r="U1212" s="17" t="s">
        <v>13</v>
      </c>
      <c r="V1212" s="14" t="s">
        <v>9</v>
      </c>
      <c r="W1212" s="15" t="s">
        <v>10</v>
      </c>
      <c r="X1212" s="15"/>
      <c r="Y1212" s="16" t="s">
        <v>11</v>
      </c>
      <c r="Z1212" s="17" t="s">
        <v>13</v>
      </c>
      <c r="AC1212" s="14" t="s">
        <v>9</v>
      </c>
      <c r="AD1212" s="15" t="s">
        <v>10</v>
      </c>
      <c r="AE1212" s="16" t="s">
        <v>11</v>
      </c>
      <c r="AF1212" s="17" t="s">
        <v>13</v>
      </c>
      <c r="AH1212" s="8" t="s">
        <v>8</v>
      </c>
      <c r="AJ1212" s="8" t="s">
        <v>8</v>
      </c>
      <c r="AL1212" s="8" t="s">
        <v>8</v>
      </c>
      <c r="AN1212" s="8" t="s">
        <v>8</v>
      </c>
      <c r="AO1212" s="8"/>
      <c r="AP1212" s="8" t="s">
        <v>8</v>
      </c>
      <c r="AR1212" s="8" t="s">
        <v>8</v>
      </c>
      <c r="AT1212" s="8" t="s">
        <v>8</v>
      </c>
      <c r="AV1212" s="8" t="s">
        <v>8</v>
      </c>
      <c r="AX1212" s="8" t="s">
        <v>8</v>
      </c>
      <c r="AZ1212" s="8" t="s">
        <v>8</v>
      </c>
    </row>
    <row r="1213" spans="1:53" ht="15.75" thickBot="1" x14ac:dyDescent="0.3">
      <c r="A1213" s="3"/>
      <c r="B1213" s="19" t="s">
        <v>14</v>
      </c>
      <c r="C1213" s="9"/>
      <c r="D1213" s="20" t="s">
        <v>15</v>
      </c>
      <c r="E1213" s="21"/>
      <c r="F1213" s="22" t="s">
        <v>16</v>
      </c>
      <c r="G1213" s="9"/>
      <c r="H1213" s="19"/>
      <c r="I1213" s="13"/>
      <c r="J1213" s="20" t="s">
        <v>17</v>
      </c>
      <c r="K1213" s="21"/>
      <c r="L1213" s="21" t="s">
        <v>16</v>
      </c>
      <c r="M1213" s="9"/>
      <c r="N1213" s="22"/>
      <c r="P1213" s="19" t="s">
        <v>18</v>
      </c>
      <c r="R1213" s="23" t="s">
        <v>19</v>
      </c>
      <c r="S1213" s="24"/>
      <c r="T1213" s="25" t="s">
        <v>20</v>
      </c>
      <c r="U1213" s="26"/>
      <c r="V1213" s="23" t="s">
        <v>21</v>
      </c>
      <c r="W1213" s="24"/>
      <c r="X1213" s="24"/>
      <c r="Y1213" s="25" t="s">
        <v>21</v>
      </c>
      <c r="Z1213" s="26"/>
      <c r="AC1213" s="23" t="s">
        <v>22</v>
      </c>
      <c r="AD1213" s="24"/>
      <c r="AE1213" s="25" t="s">
        <v>23</v>
      </c>
      <c r="AF1213" s="26"/>
      <c r="AH1213" s="19" t="s">
        <v>24</v>
      </c>
      <c r="AJ1213" s="19" t="s">
        <v>25</v>
      </c>
      <c r="AL1213" s="19" t="s">
        <v>26</v>
      </c>
      <c r="AN1213" s="19" t="s">
        <v>27</v>
      </c>
      <c r="AO1213" s="19"/>
      <c r="AP1213" s="19" t="s">
        <v>28</v>
      </c>
      <c r="AR1213" s="19" t="s">
        <v>29</v>
      </c>
      <c r="AT1213" s="19" t="s">
        <v>30</v>
      </c>
      <c r="AV1213" s="19" t="s">
        <v>31</v>
      </c>
      <c r="AX1213" s="19" t="str">
        <f>AX17</f>
        <v>2021-22</v>
      </c>
      <c r="AZ1213" s="19" t="str">
        <f>AZ17</f>
        <v>2022-23</v>
      </c>
    </row>
    <row r="1214" spans="1:53" x14ac:dyDescent="0.25">
      <c r="A1214" s="7" t="s">
        <v>1</v>
      </c>
    </row>
    <row r="1215" spans="1:53" x14ac:dyDescent="0.25">
      <c r="A1215" s="3" t="s">
        <v>2</v>
      </c>
    </row>
    <row r="1216" spans="1:53" x14ac:dyDescent="0.25">
      <c r="A1216" s="3" t="s">
        <v>3</v>
      </c>
    </row>
    <row r="1217" spans="1:52" x14ac:dyDescent="0.25">
      <c r="A1217" s="3" t="s">
        <v>4</v>
      </c>
    </row>
    <row r="1218" spans="1:52" x14ac:dyDescent="0.25">
      <c r="A1218" s="3" t="s">
        <v>5</v>
      </c>
    </row>
    <row r="1219" spans="1:52" x14ac:dyDescent="0.25">
      <c r="A1219" s="3" t="s">
        <v>6</v>
      </c>
    </row>
    <row r="1220" spans="1:52" x14ac:dyDescent="0.25">
      <c r="A1220" s="3"/>
    </row>
    <row r="1221" spans="1:52" x14ac:dyDescent="0.25">
      <c r="A1221" s="7" t="s">
        <v>7</v>
      </c>
    </row>
    <row r="1222" spans="1:52" x14ac:dyDescent="0.25">
      <c r="A1222" s="3" t="s">
        <v>2</v>
      </c>
    </row>
    <row r="1223" spans="1:52" x14ac:dyDescent="0.25">
      <c r="A1223" s="3" t="s">
        <v>3</v>
      </c>
    </row>
    <row r="1224" spans="1:52" x14ac:dyDescent="0.25">
      <c r="A1224" s="3" t="s">
        <v>4</v>
      </c>
    </row>
    <row r="1225" spans="1:52" x14ac:dyDescent="0.25">
      <c r="A1225" s="3" t="s">
        <v>5</v>
      </c>
    </row>
    <row r="1226" spans="1:52" x14ac:dyDescent="0.25">
      <c r="A1226" s="3" t="s">
        <v>6</v>
      </c>
    </row>
    <row r="1227" spans="1:52" x14ac:dyDescent="0.25">
      <c r="A1227" s="7"/>
    </row>
    <row r="1228" spans="1:52" ht="9" customHeight="1" x14ac:dyDescent="0.25">
      <c r="A1228" s="3"/>
    </row>
    <row r="1229" spans="1:52" x14ac:dyDescent="0.25">
      <c r="A1229" s="28" t="s">
        <v>1</v>
      </c>
      <c r="AL1229" s="5" t="s">
        <v>374</v>
      </c>
    </row>
    <row r="1230" spans="1:52" x14ac:dyDescent="0.25">
      <c r="A1230" s="7"/>
      <c r="B1230" s="3"/>
      <c r="D1230" s="3"/>
      <c r="E1230" s="3"/>
      <c r="F1230" s="3"/>
      <c r="H1230" s="3"/>
      <c r="I1230" s="3"/>
      <c r="J1230" s="3"/>
      <c r="K1230" s="3"/>
      <c r="L1230" s="3"/>
      <c r="N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R1230" s="3"/>
      <c r="AT1230" s="3"/>
      <c r="AU1230" s="42"/>
      <c r="AV1230" s="3"/>
      <c r="AW1230" s="42"/>
      <c r="AX1230" s="3"/>
      <c r="AZ1230" s="3"/>
    </row>
    <row r="1231" spans="1:52" x14ac:dyDescent="0.25">
      <c r="A1231" s="7"/>
      <c r="B1231" s="3"/>
      <c r="D1231" s="3"/>
      <c r="E1231" s="3"/>
      <c r="F1231" s="3"/>
      <c r="H1231" s="3"/>
      <c r="I1231" s="3"/>
      <c r="J1231" s="3"/>
      <c r="K1231" s="3"/>
      <c r="L1231" s="3"/>
      <c r="N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R1231" s="3"/>
      <c r="AT1231" s="3"/>
      <c r="AU1231" s="42"/>
      <c r="AV1231" s="3"/>
      <c r="AW1231" s="42"/>
      <c r="AX1231" s="3"/>
      <c r="AZ1231" s="3"/>
    </row>
    <row r="1232" spans="1:52" x14ac:dyDescent="0.25">
      <c r="A1232" s="7" t="s">
        <v>34</v>
      </c>
      <c r="B1232" s="36">
        <v>495770</v>
      </c>
      <c r="C1232" s="32"/>
      <c r="D1232" s="36"/>
      <c r="E1232" s="36"/>
      <c r="F1232" s="36">
        <v>300054</v>
      </c>
      <c r="G1232" s="32"/>
      <c r="H1232" s="36">
        <f>F1232-B1232</f>
        <v>-195716</v>
      </c>
      <c r="I1232" s="36"/>
      <c r="J1232" s="36"/>
      <c r="K1232" s="36"/>
      <c r="L1232" s="36">
        <v>300054</v>
      </c>
      <c r="M1232" s="32"/>
      <c r="N1232" s="36">
        <f>L1232-F1232</f>
        <v>0</v>
      </c>
      <c r="P1232" s="36">
        <v>365680</v>
      </c>
      <c r="T1232" s="36">
        <v>432011</v>
      </c>
      <c r="U1232" s="5">
        <f>T1232-P1232</f>
        <v>66331</v>
      </c>
      <c r="Y1232" s="36">
        <v>432011</v>
      </c>
      <c r="Z1232" s="5">
        <f>Y1232-T1232</f>
        <v>0</v>
      </c>
      <c r="AE1232" s="36">
        <v>432011</v>
      </c>
      <c r="AF1232" s="30"/>
      <c r="AH1232" s="36">
        <v>425373</v>
      </c>
      <c r="AJ1232" s="36">
        <f>AH1243</f>
        <v>476612.18140000012</v>
      </c>
      <c r="AL1232" s="36">
        <f>AJ1243</f>
        <v>294627.65221700002</v>
      </c>
      <c r="AN1232" s="36">
        <f>AL1243</f>
        <v>71035.452320697601</v>
      </c>
      <c r="AO1232" s="36"/>
      <c r="AP1232" s="36">
        <f>AN1243</f>
        <v>166084.33185344562</v>
      </c>
      <c r="AR1232" s="36">
        <f>AP1243</f>
        <v>16070.866139700869</v>
      </c>
      <c r="AT1232" s="36">
        <f>AR1243</f>
        <v>132452.36664376629</v>
      </c>
      <c r="AV1232" s="36">
        <f>AT1243</f>
        <v>185328.65119714069</v>
      </c>
      <c r="AX1232" s="36">
        <f>AV1243</f>
        <v>294533.75559449254</v>
      </c>
      <c r="AZ1232" s="36">
        <f>AX1243</f>
        <v>328827.77577273885</v>
      </c>
    </row>
    <row r="1233" spans="1:52" x14ac:dyDescent="0.25">
      <c r="A1233" s="3"/>
      <c r="B1233" s="36"/>
      <c r="C1233" s="32"/>
      <c r="D1233" s="36"/>
      <c r="E1233" s="36"/>
      <c r="F1233" s="36"/>
      <c r="G1233" s="32"/>
      <c r="H1233" s="36"/>
      <c r="I1233" s="36"/>
      <c r="J1233" s="36"/>
      <c r="K1233" s="36"/>
      <c r="L1233" s="36"/>
      <c r="M1233" s="32"/>
      <c r="N1233" s="36"/>
      <c r="P1233" s="36"/>
      <c r="T1233" s="36"/>
      <c r="Y1233" s="36"/>
      <c r="AE1233" s="36"/>
      <c r="AF1233" s="30"/>
      <c r="AH1233" s="36"/>
      <c r="AJ1233" s="36"/>
      <c r="AL1233" s="36"/>
      <c r="AN1233" s="36"/>
      <c r="AO1233" s="36"/>
      <c r="AP1233" s="36"/>
      <c r="AR1233" s="36"/>
      <c r="AT1233" s="36"/>
      <c r="AV1233" s="36"/>
      <c r="AX1233" s="36"/>
      <c r="AZ1233" s="36"/>
    </row>
    <row r="1234" spans="1:52" x14ac:dyDescent="0.25">
      <c r="A1234" s="7" t="s">
        <v>35</v>
      </c>
      <c r="B1234" s="36">
        <v>684000</v>
      </c>
      <c r="C1234" s="32"/>
      <c r="D1234" s="36"/>
      <c r="E1234" s="36"/>
      <c r="F1234" s="36">
        <f>F1274</f>
        <v>474000</v>
      </c>
      <c r="G1234" s="32"/>
      <c r="H1234" s="36">
        <f t="shared" ref="H1234:H1253" si="564">F1234-B1234</f>
        <v>-210000</v>
      </c>
      <c r="I1234" s="36"/>
      <c r="J1234" s="36"/>
      <c r="K1234" s="36"/>
      <c r="L1234" s="36">
        <f>L1274</f>
        <v>487698</v>
      </c>
      <c r="M1234" s="32"/>
      <c r="N1234" s="36">
        <f t="shared" ref="N1234:N1243" si="565">L1234-F1234</f>
        <v>13698</v>
      </c>
      <c r="P1234" s="36">
        <f>P1274</f>
        <v>541190</v>
      </c>
      <c r="T1234" s="36">
        <f>T1274</f>
        <v>541190</v>
      </c>
      <c r="U1234" s="5">
        <f t="shared" ref="U1234:U1243" si="566">T1234-P1234</f>
        <v>0</v>
      </c>
      <c r="Y1234" s="36">
        <f>Y1274</f>
        <v>558890</v>
      </c>
      <c r="Z1234" s="5">
        <f>Y1234-T1234</f>
        <v>17700</v>
      </c>
      <c r="AE1234" s="36">
        <f>AE1274</f>
        <v>565520</v>
      </c>
      <c r="AF1234" s="33">
        <f>AE1234-Y1234</f>
        <v>6630</v>
      </c>
      <c r="AH1234" s="36">
        <f>AH1274</f>
        <v>638989.25</v>
      </c>
      <c r="AJ1234" s="36">
        <f>AJ1274</f>
        <v>701170.97875000001</v>
      </c>
      <c r="AL1234" s="36">
        <f>AL1274</f>
        <v>770442.41564375011</v>
      </c>
      <c r="AN1234" s="36">
        <f>AN1274</f>
        <v>850951.808332594</v>
      </c>
      <c r="AO1234" s="36"/>
      <c r="AP1234" s="36">
        <f>AP1274</f>
        <v>913057.01080759126</v>
      </c>
      <c r="AR1234" s="36">
        <f>AR1274</f>
        <v>979724.70356246398</v>
      </c>
      <c r="AT1234" s="36">
        <f>AT1274</f>
        <v>1027916.8747607492</v>
      </c>
      <c r="AV1234" s="36">
        <f>AV1274</f>
        <v>1075088.0254572679</v>
      </c>
      <c r="AX1234" s="36">
        <f>AX1274</f>
        <v>1116985.3350765251</v>
      </c>
      <c r="AZ1234" s="36">
        <f>AZ1274</f>
        <v>1171581.835160773</v>
      </c>
    </row>
    <row r="1235" spans="1:52" x14ac:dyDescent="0.25">
      <c r="A1235" s="7" t="s">
        <v>36</v>
      </c>
      <c r="B1235" s="35">
        <v>243000</v>
      </c>
      <c r="C1235" s="32"/>
      <c r="D1235" s="36"/>
      <c r="E1235" s="36"/>
      <c r="F1235" s="35">
        <f>F1279</f>
        <v>145000</v>
      </c>
      <c r="G1235" s="32"/>
      <c r="H1235" s="35">
        <f t="shared" si="564"/>
        <v>-98000</v>
      </c>
      <c r="I1235" s="36"/>
      <c r="J1235" s="36"/>
      <c r="K1235" s="36"/>
      <c r="L1235" s="35">
        <f>L1279</f>
        <v>145000</v>
      </c>
      <c r="M1235" s="32"/>
      <c r="N1235" s="35">
        <f t="shared" si="565"/>
        <v>0</v>
      </c>
      <c r="P1235" s="35">
        <f>P1279</f>
        <v>145000</v>
      </c>
      <c r="T1235" s="35">
        <f>T1279</f>
        <v>163000</v>
      </c>
      <c r="U1235" s="5">
        <f t="shared" si="566"/>
        <v>18000</v>
      </c>
      <c r="Y1235" s="35">
        <f>Y1279</f>
        <v>163000</v>
      </c>
      <c r="Z1235" s="5">
        <f>Y1235-T1235</f>
        <v>0</v>
      </c>
      <c r="AE1235" s="35">
        <f>AE1279</f>
        <v>163000</v>
      </c>
      <c r="AF1235" s="71">
        <f>AE1235-Y1235</f>
        <v>0</v>
      </c>
      <c r="AH1235" s="35">
        <f>AH1279</f>
        <v>145000</v>
      </c>
      <c r="AJ1235" s="35">
        <f>AJ1279</f>
        <v>145000</v>
      </c>
      <c r="AL1235" s="35">
        <f>AL1279</f>
        <v>145000</v>
      </c>
      <c r="AN1235" s="35">
        <f>AN1279</f>
        <v>145000</v>
      </c>
      <c r="AO1235" s="35"/>
      <c r="AP1235" s="35">
        <f>AP1279</f>
        <v>145000</v>
      </c>
      <c r="AR1235" s="35">
        <f>AR1279</f>
        <v>145000</v>
      </c>
      <c r="AT1235" s="35">
        <f>AT1279</f>
        <v>145000</v>
      </c>
      <c r="AV1235" s="35">
        <f>AV1279</f>
        <v>145000</v>
      </c>
      <c r="AX1235" s="35">
        <f>AX1279</f>
        <v>145000</v>
      </c>
      <c r="AZ1235" s="35">
        <f>AZ1279</f>
        <v>145000</v>
      </c>
    </row>
    <row r="1236" spans="1:52" x14ac:dyDescent="0.25">
      <c r="A1236" s="3"/>
      <c r="B1236" s="36">
        <f>B1234+B1235</f>
        <v>927000</v>
      </c>
      <c r="C1236" s="32"/>
      <c r="D1236" s="36"/>
      <c r="E1236" s="36"/>
      <c r="F1236" s="36">
        <f>F1234+F1235</f>
        <v>619000</v>
      </c>
      <c r="G1236" s="32"/>
      <c r="H1236" s="36">
        <f t="shared" si="564"/>
        <v>-308000</v>
      </c>
      <c r="I1236" s="36"/>
      <c r="J1236" s="36"/>
      <c r="K1236" s="36"/>
      <c r="L1236" s="36">
        <f>L1234+L1235</f>
        <v>632698</v>
      </c>
      <c r="M1236" s="32"/>
      <c r="N1236" s="36">
        <f t="shared" si="565"/>
        <v>13698</v>
      </c>
      <c r="P1236" s="36">
        <f>P1234+P1235</f>
        <v>686190</v>
      </c>
      <c r="T1236" s="36">
        <f>T1234+T1235</f>
        <v>704190</v>
      </c>
      <c r="U1236" s="5">
        <f t="shared" si="566"/>
        <v>18000</v>
      </c>
      <c r="Y1236" s="36">
        <f>Y1234+Y1235</f>
        <v>721890</v>
      </c>
      <c r="Z1236" s="5">
        <f>Y1236-T1236</f>
        <v>17700</v>
      </c>
      <c r="AE1236" s="36">
        <f>AE1234+AE1235</f>
        <v>728520</v>
      </c>
      <c r="AF1236" s="33">
        <f>AE1236-Y1236</f>
        <v>6630</v>
      </c>
      <c r="AH1236" s="36">
        <f>AH1234+AH1235</f>
        <v>783989.25</v>
      </c>
      <c r="AJ1236" s="36">
        <f>AJ1234+AJ1235</f>
        <v>846170.97875000001</v>
      </c>
      <c r="AL1236" s="36">
        <f>AL1234+AL1235</f>
        <v>915442.41564375011</v>
      </c>
      <c r="AN1236" s="36">
        <f>AN1234+AN1235</f>
        <v>995951.808332594</v>
      </c>
      <c r="AO1236" s="36"/>
      <c r="AP1236" s="36">
        <f>AP1234+AP1235</f>
        <v>1058057.0108075913</v>
      </c>
      <c r="AR1236" s="36">
        <f>AR1234+AR1235</f>
        <v>1124724.7035624641</v>
      </c>
      <c r="AT1236" s="36">
        <f>AT1234+AT1235</f>
        <v>1172916.8747607493</v>
      </c>
      <c r="AV1236" s="36">
        <f>AV1234+AV1235</f>
        <v>1220088.0254572679</v>
      </c>
      <c r="AX1236" s="36">
        <f>AX1234+AX1235</f>
        <v>1261985.3350765251</v>
      </c>
      <c r="AZ1236" s="36">
        <f>AZ1234+AZ1235</f>
        <v>1316581.835160773</v>
      </c>
    </row>
    <row r="1237" spans="1:52" x14ac:dyDescent="0.25">
      <c r="A1237" s="7"/>
      <c r="B1237" s="31"/>
      <c r="C1237" s="7"/>
      <c r="D1237" s="31"/>
      <c r="E1237" s="31"/>
      <c r="F1237" s="31"/>
      <c r="G1237" s="7"/>
      <c r="H1237" s="36">
        <f t="shared" si="564"/>
        <v>0</v>
      </c>
      <c r="I1237" s="36"/>
      <c r="J1237" s="36"/>
      <c r="K1237" s="36"/>
      <c r="L1237" s="31"/>
      <c r="M1237" s="32"/>
      <c r="N1237" s="36">
        <f t="shared" si="565"/>
        <v>0</v>
      </c>
      <c r="P1237" s="31"/>
      <c r="T1237" s="31"/>
      <c r="Y1237" s="31"/>
      <c r="AE1237" s="31"/>
      <c r="AF1237" s="33"/>
      <c r="AH1237" s="31"/>
      <c r="AJ1237" s="31"/>
      <c r="AL1237" s="31"/>
      <c r="AN1237" s="31"/>
      <c r="AO1237" s="31"/>
      <c r="AP1237" s="31"/>
      <c r="AR1237" s="31"/>
      <c r="AT1237" s="31"/>
      <c r="AV1237" s="31"/>
      <c r="AX1237" s="31"/>
      <c r="AZ1237" s="31"/>
    </row>
    <row r="1238" spans="1:52" x14ac:dyDescent="0.25">
      <c r="A1238" s="7" t="s">
        <v>37</v>
      </c>
      <c r="B1238" s="36">
        <f>B1317</f>
        <v>476800</v>
      </c>
      <c r="C1238" s="32"/>
      <c r="D1238" s="36"/>
      <c r="E1238" s="36"/>
      <c r="F1238" s="36">
        <f>F1317</f>
        <v>476802</v>
      </c>
      <c r="G1238" s="32"/>
      <c r="H1238" s="36">
        <f t="shared" si="564"/>
        <v>2</v>
      </c>
      <c r="I1238" s="36"/>
      <c r="J1238" s="36"/>
      <c r="K1238" s="36"/>
      <c r="L1238" s="36">
        <f>L1317</f>
        <v>487072</v>
      </c>
      <c r="M1238" s="32"/>
      <c r="N1238" s="36">
        <f t="shared" si="565"/>
        <v>10270</v>
      </c>
      <c r="P1238" s="36">
        <f>P1317</f>
        <v>508497.36699999997</v>
      </c>
      <c r="T1238" s="36">
        <f>T1317</f>
        <v>526900</v>
      </c>
      <c r="U1238" s="5">
        <f t="shared" si="566"/>
        <v>18402.633000000031</v>
      </c>
      <c r="V1238" s="32"/>
      <c r="W1238" s="32"/>
      <c r="X1238" s="32"/>
      <c r="Y1238" s="36">
        <f>Y1317</f>
        <v>533800</v>
      </c>
      <c r="Z1238" s="5">
        <f>Y1238-T1238</f>
        <v>6900</v>
      </c>
      <c r="AA1238" s="32"/>
      <c r="AB1238" s="32"/>
      <c r="AC1238" s="32"/>
      <c r="AD1238" s="32"/>
      <c r="AE1238" s="36">
        <f>AE1317</f>
        <v>531550</v>
      </c>
      <c r="AF1238" s="33">
        <f>AE1238-Y1238</f>
        <v>-2250</v>
      </c>
      <c r="AG1238" s="32"/>
      <c r="AH1238" s="36">
        <f>AH1317</f>
        <v>511750.06859999994</v>
      </c>
      <c r="AI1238" s="32"/>
      <c r="AJ1238" s="36">
        <f>AJ1317</f>
        <v>526155.5079330001</v>
      </c>
      <c r="AK1238" s="32"/>
      <c r="AL1238" s="36">
        <f>AL1317</f>
        <v>540334.61554005253</v>
      </c>
      <c r="AM1238" s="32"/>
      <c r="AN1238" s="36">
        <f>AN1317</f>
        <v>571902.92879984598</v>
      </c>
      <c r="AO1238" s="36"/>
      <c r="AP1238" s="36">
        <f>AP1317</f>
        <v>567870.47652133601</v>
      </c>
      <c r="AQ1238" s="32"/>
      <c r="AR1238" s="36">
        <f>AR1317</f>
        <v>582343.20305839868</v>
      </c>
      <c r="AS1238" s="32">
        <f>AT1317</f>
        <v>617340.59020737489</v>
      </c>
      <c r="AT1238" s="36">
        <f>AT1317</f>
        <v>617340.59020737489</v>
      </c>
      <c r="AU1238" s="32">
        <f>AV1317</f>
        <v>632882.92105991603</v>
      </c>
      <c r="AV1238" s="36">
        <f>AV1317</f>
        <v>632882.92105991603</v>
      </c>
      <c r="AW1238" s="32"/>
      <c r="AX1238" s="36">
        <f>AX1317</f>
        <v>648991.3148982788</v>
      </c>
      <c r="AZ1238" s="36">
        <f>AZ1317</f>
        <v>665687.76368069812</v>
      </c>
    </row>
    <row r="1239" spans="1:52" x14ac:dyDescent="0.25">
      <c r="A1239" s="7" t="s">
        <v>38</v>
      </c>
      <c r="B1239" s="35">
        <f>B1344</f>
        <v>81250</v>
      </c>
      <c r="C1239" s="32"/>
      <c r="D1239" s="36"/>
      <c r="E1239" s="36"/>
      <c r="F1239" s="35">
        <f>F1344</f>
        <v>81250</v>
      </c>
      <c r="G1239" s="32"/>
      <c r="H1239" s="35">
        <f t="shared" si="564"/>
        <v>0</v>
      </c>
      <c r="I1239" s="36"/>
      <c r="J1239" s="36"/>
      <c r="K1239" s="36"/>
      <c r="L1239" s="35">
        <f>L1344</f>
        <v>80000</v>
      </c>
      <c r="M1239" s="32"/>
      <c r="N1239" s="35">
        <f t="shared" si="565"/>
        <v>-1250</v>
      </c>
      <c r="P1239" s="35">
        <f>P1344</f>
        <v>118000</v>
      </c>
      <c r="T1239" s="35">
        <f>T1344</f>
        <v>118000</v>
      </c>
      <c r="U1239" s="5">
        <f t="shared" si="566"/>
        <v>0</v>
      </c>
      <c r="V1239" s="32"/>
      <c r="W1239" s="32"/>
      <c r="X1239" s="32"/>
      <c r="Y1239" s="35">
        <f>Y1344</f>
        <v>118000</v>
      </c>
      <c r="Z1239" s="5">
        <f>Y1239-T1239</f>
        <v>0</v>
      </c>
      <c r="AA1239" s="32"/>
      <c r="AB1239" s="32"/>
      <c r="AC1239" s="32"/>
      <c r="AD1239" s="32"/>
      <c r="AE1239" s="35">
        <f>AE1344</f>
        <v>109200</v>
      </c>
      <c r="AF1239" s="71">
        <f>AE1239-Y1239</f>
        <v>-8800</v>
      </c>
      <c r="AG1239" s="32"/>
      <c r="AH1239" s="35">
        <f>AH1344</f>
        <v>221000</v>
      </c>
      <c r="AI1239" s="32"/>
      <c r="AJ1239" s="35">
        <f>AJ1344</f>
        <v>502000</v>
      </c>
      <c r="AK1239" s="32"/>
      <c r="AL1239" s="35">
        <f>AL1344</f>
        <v>598700</v>
      </c>
      <c r="AM1239" s="32"/>
      <c r="AN1239" s="35">
        <f>AN1344</f>
        <v>329000</v>
      </c>
      <c r="AO1239" s="35"/>
      <c r="AP1239" s="35">
        <f>AP1344</f>
        <v>640200</v>
      </c>
      <c r="AQ1239" s="32"/>
      <c r="AR1239" s="35">
        <f>AR1344</f>
        <v>426000</v>
      </c>
      <c r="AS1239" s="32">
        <f>AT1344</f>
        <v>502700</v>
      </c>
      <c r="AT1239" s="35">
        <f>AT1344</f>
        <v>502700</v>
      </c>
      <c r="AU1239" s="32">
        <f>AV1344</f>
        <v>478000</v>
      </c>
      <c r="AV1239" s="35">
        <f>AV1344</f>
        <v>478000</v>
      </c>
      <c r="AW1239" s="51"/>
      <c r="AX1239" s="35">
        <f>AX1344</f>
        <v>578700</v>
      </c>
      <c r="AZ1239" s="35">
        <f>AZ1344</f>
        <v>578700</v>
      </c>
    </row>
    <row r="1240" spans="1:52" x14ac:dyDescent="0.25">
      <c r="A1240" s="3"/>
      <c r="B1240" s="36">
        <f>B1238+B1239</f>
        <v>558050</v>
      </c>
      <c r="C1240" s="32"/>
      <c r="D1240" s="36"/>
      <c r="E1240" s="36"/>
      <c r="F1240" s="36">
        <f>F1238+F1239</f>
        <v>558052</v>
      </c>
      <c r="G1240" s="32"/>
      <c r="H1240" s="36">
        <f t="shared" si="564"/>
        <v>2</v>
      </c>
      <c r="I1240" s="36"/>
      <c r="J1240" s="36"/>
      <c r="K1240" s="36"/>
      <c r="L1240" s="36">
        <f>L1238+L1239</f>
        <v>567072</v>
      </c>
      <c r="M1240" s="32"/>
      <c r="N1240" s="36">
        <f t="shared" si="565"/>
        <v>9020</v>
      </c>
      <c r="P1240" s="36">
        <f>P1238+P1239</f>
        <v>626497.36699999997</v>
      </c>
      <c r="T1240" s="36">
        <f>T1238+T1239</f>
        <v>644900</v>
      </c>
      <c r="U1240" s="5">
        <f t="shared" si="566"/>
        <v>18402.633000000031</v>
      </c>
      <c r="V1240" s="32"/>
      <c r="W1240" s="32"/>
      <c r="X1240" s="32"/>
      <c r="Y1240" s="36">
        <f>Y1238+Y1239</f>
        <v>651800</v>
      </c>
      <c r="Z1240" s="5">
        <f>Y1240-T1240</f>
        <v>6900</v>
      </c>
      <c r="AA1240" s="32"/>
      <c r="AB1240" s="32"/>
      <c r="AC1240" s="32"/>
      <c r="AD1240" s="32"/>
      <c r="AE1240" s="36">
        <f>AE1238+AE1239</f>
        <v>640750</v>
      </c>
      <c r="AF1240" s="33">
        <f>AE1240-Y1240</f>
        <v>-11050</v>
      </c>
      <c r="AG1240" s="32"/>
      <c r="AH1240" s="36">
        <f>AH1238+AH1239</f>
        <v>732750.06859999988</v>
      </c>
      <c r="AI1240" s="32"/>
      <c r="AJ1240" s="36">
        <f>AJ1238+AJ1239</f>
        <v>1028155.5079330001</v>
      </c>
      <c r="AK1240" s="32"/>
      <c r="AL1240" s="36">
        <f>AL1238+AL1239</f>
        <v>1139034.6155400525</v>
      </c>
      <c r="AM1240" s="32">
        <f>AM1238+AM1239</f>
        <v>0</v>
      </c>
      <c r="AN1240" s="36">
        <f>AN1238+AN1239</f>
        <v>900902.92879984598</v>
      </c>
      <c r="AO1240" s="36"/>
      <c r="AP1240" s="36">
        <f>AP1238+AP1239</f>
        <v>1208070.476521336</v>
      </c>
      <c r="AQ1240" s="32"/>
      <c r="AR1240" s="36">
        <f>AR1238+AR1239</f>
        <v>1008343.2030583987</v>
      </c>
      <c r="AS1240" s="32">
        <f>AS1238+AS1239</f>
        <v>1120040.5902073749</v>
      </c>
      <c r="AT1240" s="36">
        <f>AT1238+AT1239</f>
        <v>1120040.5902073749</v>
      </c>
      <c r="AU1240" s="32">
        <f>AU1238+AU1239</f>
        <v>1110882.921059916</v>
      </c>
      <c r="AV1240" s="36">
        <f>AV1238+AV1239</f>
        <v>1110882.921059916</v>
      </c>
      <c r="AW1240" s="51"/>
      <c r="AX1240" s="36">
        <f>AX1238+AX1239</f>
        <v>1227691.3148982788</v>
      </c>
      <c r="AZ1240" s="36">
        <f>AZ1238+AZ1239</f>
        <v>1244387.7636806981</v>
      </c>
    </row>
    <row r="1241" spans="1:52" x14ac:dyDescent="0.25">
      <c r="A1241" s="3"/>
      <c r="B1241" s="36"/>
      <c r="C1241" s="32"/>
      <c r="D1241" s="36"/>
      <c r="E1241" s="36"/>
      <c r="F1241" s="36"/>
      <c r="G1241" s="32"/>
      <c r="H1241" s="36">
        <f t="shared" si="564"/>
        <v>0</v>
      </c>
      <c r="I1241" s="36"/>
      <c r="J1241" s="36"/>
      <c r="K1241" s="36"/>
      <c r="L1241" s="36"/>
      <c r="M1241" s="32"/>
      <c r="N1241" s="36">
        <f t="shared" si="565"/>
        <v>0</v>
      </c>
      <c r="P1241" s="36"/>
      <c r="T1241" s="36"/>
      <c r="Y1241" s="36"/>
      <c r="AE1241" s="36"/>
      <c r="AF1241" s="33"/>
      <c r="AH1241" s="36"/>
      <c r="AI1241" s="3"/>
      <c r="AJ1241" s="36"/>
      <c r="AL1241" s="36"/>
      <c r="AM1241" s="3"/>
      <c r="AN1241" s="36"/>
      <c r="AO1241" s="36"/>
      <c r="AP1241" s="36"/>
      <c r="AR1241" s="36"/>
      <c r="AT1241" s="36"/>
      <c r="AV1241" s="36"/>
      <c r="AX1241" s="36"/>
      <c r="AZ1241" s="36"/>
    </row>
    <row r="1242" spans="1:52" x14ac:dyDescent="0.25">
      <c r="A1242" s="7" t="s">
        <v>41</v>
      </c>
      <c r="B1242" s="35">
        <f>B1236-B1240</f>
        <v>368950</v>
      </c>
      <c r="C1242" s="32"/>
      <c r="D1242" s="36"/>
      <c r="E1242" s="36"/>
      <c r="F1242" s="35">
        <f>F1236-F1240</f>
        <v>60948</v>
      </c>
      <c r="G1242" s="32"/>
      <c r="H1242" s="35">
        <f t="shared" si="564"/>
        <v>-308002</v>
      </c>
      <c r="I1242" s="36"/>
      <c r="J1242" s="36"/>
      <c r="K1242" s="36"/>
      <c r="L1242" s="35">
        <f>L1236-L1240</f>
        <v>65626</v>
      </c>
      <c r="M1242" s="32"/>
      <c r="N1242" s="35">
        <f t="shared" si="565"/>
        <v>4678</v>
      </c>
      <c r="P1242" s="35">
        <f>P1236-P1240</f>
        <v>59692.633000000031</v>
      </c>
      <c r="T1242" s="35">
        <f>T1236-T1240</f>
        <v>59290</v>
      </c>
      <c r="U1242" s="61">
        <f t="shared" si="566"/>
        <v>-402.63300000003073</v>
      </c>
      <c r="Y1242" s="35">
        <f>Y1236-Y1240</f>
        <v>70090</v>
      </c>
      <c r="Z1242" s="61">
        <f>Y1242-T1242</f>
        <v>10800</v>
      </c>
      <c r="AE1242" s="35">
        <f>AE1236-AE1240</f>
        <v>87770</v>
      </c>
      <c r="AF1242" s="71">
        <f>AE1242-Y1242</f>
        <v>17680</v>
      </c>
      <c r="AH1242" s="35">
        <f>AH1236-AH1240</f>
        <v>51239.181400000118</v>
      </c>
      <c r="AJ1242" s="35">
        <f>AJ1236-AJ1240</f>
        <v>-181984.52918300009</v>
      </c>
      <c r="AL1242" s="35">
        <f>AL1236-AL1240</f>
        <v>-223592.19989630242</v>
      </c>
      <c r="AN1242" s="35">
        <f>AN1236-AN1240</f>
        <v>95048.879532748018</v>
      </c>
      <c r="AO1242" s="35"/>
      <c r="AP1242" s="35">
        <f>AP1236-AP1240</f>
        <v>-150013.46571374475</v>
      </c>
      <c r="AR1242" s="35">
        <f>AR1236-AR1240</f>
        <v>116381.50050406542</v>
      </c>
      <c r="AT1242" s="35">
        <f>AT1236-AT1240</f>
        <v>52876.284553374397</v>
      </c>
      <c r="AV1242" s="35">
        <f>AV1236-AV1240</f>
        <v>109205.10439735185</v>
      </c>
      <c r="AX1242" s="35">
        <f>AX1236-AX1240</f>
        <v>34294.020178246312</v>
      </c>
      <c r="AZ1242" s="35">
        <f>AZ1236-AZ1240</f>
        <v>72194.071480074897</v>
      </c>
    </row>
    <row r="1243" spans="1:52" x14ac:dyDescent="0.25">
      <c r="A1243" s="7" t="s">
        <v>42</v>
      </c>
      <c r="B1243" s="36">
        <f>B1232+B1242</f>
        <v>864720</v>
      </c>
      <c r="C1243" s="32"/>
      <c r="D1243" s="36"/>
      <c r="E1243" s="36"/>
      <c r="F1243" s="36">
        <f>F1232+F1242</f>
        <v>361002</v>
      </c>
      <c r="G1243" s="32"/>
      <c r="H1243" s="36">
        <f t="shared" si="564"/>
        <v>-503718</v>
      </c>
      <c r="I1243" s="36"/>
      <c r="J1243" s="36"/>
      <c r="K1243" s="36"/>
      <c r="L1243" s="36">
        <f>L1232+L1242</f>
        <v>365680</v>
      </c>
      <c r="M1243" s="32"/>
      <c r="N1243" s="36">
        <f t="shared" si="565"/>
        <v>4678</v>
      </c>
      <c r="P1243" s="36">
        <f>P1232+P1242</f>
        <v>425372.63300000003</v>
      </c>
      <c r="T1243" s="36">
        <f>T1232+T1242</f>
        <v>491301</v>
      </c>
      <c r="U1243" s="5">
        <f t="shared" si="566"/>
        <v>65928.366999999969</v>
      </c>
      <c r="Y1243" s="36">
        <f>Y1232+Y1242</f>
        <v>502101</v>
      </c>
      <c r="Z1243" s="5">
        <f>Y1243-T1243</f>
        <v>10800</v>
      </c>
      <c r="AE1243" s="36">
        <f>AE1232+AE1242</f>
        <v>519781</v>
      </c>
      <c r="AF1243" s="33">
        <f>AE1243-Y1243</f>
        <v>17680</v>
      </c>
      <c r="AH1243" s="36">
        <f>AH1232+AH1242</f>
        <v>476612.18140000012</v>
      </c>
      <c r="AJ1243" s="36">
        <f>AJ1232+AJ1242</f>
        <v>294627.65221700002</v>
      </c>
      <c r="AL1243" s="36">
        <f>AL1232+AL1242</f>
        <v>71035.452320697601</v>
      </c>
      <c r="AN1243" s="36">
        <f>AN1232+AN1242</f>
        <v>166084.33185344562</v>
      </c>
      <c r="AO1243" s="36"/>
      <c r="AP1243" s="36">
        <f>AP1232+AP1242</f>
        <v>16070.866139700869</v>
      </c>
      <c r="AR1243" s="36">
        <f>AR1232+AR1242</f>
        <v>132452.36664376629</v>
      </c>
      <c r="AT1243" s="36">
        <f>AT1232+AT1242</f>
        <v>185328.65119714069</v>
      </c>
      <c r="AV1243" s="36">
        <f>AV1232+AV1242</f>
        <v>294533.75559449254</v>
      </c>
      <c r="AX1243" s="36">
        <f>AX1232+AX1242</f>
        <v>328827.77577273885</v>
      </c>
      <c r="AZ1243" s="36">
        <f>AZ1232+AZ1242</f>
        <v>401021.84725281375</v>
      </c>
    </row>
    <row r="1244" spans="1:52" x14ac:dyDescent="0.25">
      <c r="A1244" s="3"/>
      <c r="B1244" s="36"/>
      <c r="C1244" s="32"/>
      <c r="D1244" s="36"/>
      <c r="E1244" s="36"/>
      <c r="F1244" s="36"/>
      <c r="G1244" s="32"/>
      <c r="H1244" s="36">
        <f t="shared" si="564"/>
        <v>0</v>
      </c>
      <c r="I1244" s="36"/>
      <c r="J1244" s="36"/>
      <c r="K1244" s="36"/>
      <c r="L1244" s="36"/>
      <c r="M1244" s="32"/>
      <c r="N1244" s="36"/>
      <c r="P1244" s="36"/>
      <c r="T1244" s="36"/>
      <c r="Y1244" s="36"/>
      <c r="AE1244" s="36"/>
      <c r="AF1244" s="33"/>
      <c r="AH1244" s="36"/>
      <c r="AJ1244" s="36"/>
      <c r="AL1244" s="36"/>
      <c r="AN1244" s="36"/>
      <c r="AO1244" s="36"/>
      <c r="AP1244" s="36"/>
      <c r="AR1244" s="36"/>
      <c r="AT1244" s="36"/>
      <c r="AV1244" s="36"/>
      <c r="AX1244" s="36"/>
      <c r="AZ1244" s="36"/>
    </row>
    <row r="1245" spans="1:52" x14ac:dyDescent="0.25">
      <c r="A1245" s="28" t="s">
        <v>7</v>
      </c>
      <c r="B1245" s="31"/>
      <c r="C1245" s="7"/>
      <c r="D1245" s="31"/>
      <c r="E1245" s="31"/>
      <c r="F1245" s="31"/>
      <c r="G1245" s="7"/>
      <c r="H1245" s="36">
        <f t="shared" si="564"/>
        <v>0</v>
      </c>
      <c r="I1245" s="36"/>
      <c r="J1245" s="36"/>
      <c r="K1245" s="36"/>
      <c r="L1245" s="31"/>
      <c r="M1245" s="32"/>
      <c r="N1245" s="36"/>
      <c r="P1245" s="31"/>
      <c r="T1245" s="31"/>
      <c r="Y1245" s="31"/>
      <c r="AE1245" s="31"/>
      <c r="AF1245" s="33"/>
      <c r="AH1245" s="31"/>
      <c r="AJ1245" s="31"/>
      <c r="AL1245" s="31"/>
      <c r="AN1245" s="31"/>
      <c r="AO1245" s="31"/>
      <c r="AP1245" s="31"/>
      <c r="AR1245" s="31"/>
      <c r="AT1245" s="31"/>
      <c r="AV1245" s="31"/>
      <c r="AX1245" s="31"/>
      <c r="AZ1245" s="31"/>
    </row>
    <row r="1246" spans="1:52" x14ac:dyDescent="0.25">
      <c r="A1246" s="7"/>
      <c r="B1246" s="31"/>
      <c r="C1246" s="7"/>
      <c r="D1246" s="31"/>
      <c r="E1246" s="31"/>
      <c r="F1246" s="31"/>
      <c r="G1246" s="7"/>
      <c r="H1246" s="36">
        <f t="shared" si="564"/>
        <v>0</v>
      </c>
      <c r="I1246" s="36"/>
      <c r="J1246" s="36"/>
      <c r="K1246" s="36"/>
      <c r="L1246" s="31"/>
      <c r="M1246" s="32"/>
      <c r="N1246" s="36"/>
      <c r="P1246" s="31"/>
      <c r="T1246" s="31"/>
      <c r="Y1246" s="31"/>
      <c r="AE1246" s="31"/>
      <c r="AF1246" s="33"/>
      <c r="AH1246" s="31"/>
      <c r="AJ1246" s="31"/>
      <c r="AL1246" s="31"/>
      <c r="AN1246" s="31"/>
      <c r="AO1246" s="31"/>
      <c r="AP1246" s="31"/>
      <c r="AR1246" s="31"/>
      <c r="AT1246" s="31"/>
      <c r="AV1246" s="31"/>
      <c r="AX1246" s="31"/>
      <c r="AZ1246" s="31"/>
    </row>
    <row r="1247" spans="1:52" x14ac:dyDescent="0.25">
      <c r="A1247" s="7"/>
      <c r="B1247" s="36"/>
      <c r="C1247" s="32"/>
      <c r="D1247" s="36"/>
      <c r="E1247" s="36"/>
      <c r="F1247" s="36"/>
      <c r="G1247" s="32"/>
      <c r="H1247" s="36">
        <f t="shared" si="564"/>
        <v>0</v>
      </c>
      <c r="I1247" s="36"/>
      <c r="J1247" s="36"/>
      <c r="K1247" s="36"/>
      <c r="L1247" s="36"/>
      <c r="M1247" s="32"/>
      <c r="N1247" s="36"/>
      <c r="P1247" s="36"/>
      <c r="T1247" s="36"/>
      <c r="Y1247" s="36"/>
      <c r="AE1247" s="36"/>
      <c r="AF1247" s="33"/>
      <c r="AH1247" s="36"/>
      <c r="AJ1247" s="36"/>
      <c r="AL1247" s="36"/>
      <c r="AN1247" s="36"/>
      <c r="AO1247" s="36"/>
      <c r="AP1247" s="36"/>
      <c r="AR1247" s="36"/>
      <c r="AT1247" s="36"/>
      <c r="AV1247" s="36"/>
      <c r="AX1247" s="36"/>
      <c r="AZ1247" s="36"/>
    </row>
    <row r="1248" spans="1:52" x14ac:dyDescent="0.25">
      <c r="A1248" s="7" t="s">
        <v>34</v>
      </c>
      <c r="B1248" s="31">
        <v>0</v>
      </c>
      <c r="C1248" s="7"/>
      <c r="D1248" s="31"/>
      <c r="E1248" s="31"/>
      <c r="F1248" s="31">
        <v>0</v>
      </c>
      <c r="G1248" s="7"/>
      <c r="H1248" s="36">
        <f t="shared" si="564"/>
        <v>0</v>
      </c>
      <c r="I1248" s="36"/>
      <c r="J1248" s="36"/>
      <c r="K1248" s="36"/>
      <c r="L1248" s="31">
        <v>0</v>
      </c>
      <c r="M1248" s="32"/>
      <c r="N1248" s="36">
        <f t="shared" ref="N1248:N1253" si="567">L1248-F1248</f>
        <v>0</v>
      </c>
      <c r="P1248" s="31">
        <v>0</v>
      </c>
      <c r="T1248" s="31">
        <v>0</v>
      </c>
      <c r="U1248" s="5">
        <f t="shared" ref="U1248:U1253" si="568">T1248-P1248</f>
        <v>0</v>
      </c>
      <c r="Y1248" s="31">
        <v>0</v>
      </c>
      <c r="Z1248" s="5">
        <f>Y1248-T1248</f>
        <v>0</v>
      </c>
      <c r="AE1248" s="31">
        <v>0</v>
      </c>
      <c r="AF1248" s="33">
        <f t="shared" ref="AF1248:AF1253" si="569">AE1248-Y1248</f>
        <v>0</v>
      </c>
      <c r="AH1248" s="31">
        <f>P1253</f>
        <v>50000</v>
      </c>
      <c r="AJ1248" s="31">
        <f>AH1253</f>
        <v>250000</v>
      </c>
      <c r="AL1248" s="31">
        <f>AJ1253</f>
        <v>550000</v>
      </c>
      <c r="AN1248" s="31">
        <f>AL1253</f>
        <v>725000</v>
      </c>
      <c r="AO1248" s="31"/>
      <c r="AP1248" s="31">
        <f>AN1253</f>
        <v>1025000</v>
      </c>
      <c r="AR1248" s="31">
        <f>AP1253</f>
        <v>1025000</v>
      </c>
      <c r="AT1248" s="31">
        <f>AR1253</f>
        <v>1425000</v>
      </c>
      <c r="AV1248" s="31">
        <f>AT1253</f>
        <v>1675000</v>
      </c>
      <c r="AX1248" s="31">
        <f>AV1253</f>
        <v>1925000</v>
      </c>
      <c r="AZ1248" s="31">
        <f>AX1253</f>
        <v>2050000</v>
      </c>
    </row>
    <row r="1249" spans="1:52" x14ac:dyDescent="0.25">
      <c r="A1249" s="3"/>
      <c r="B1249" s="31"/>
      <c r="C1249" s="7"/>
      <c r="D1249" s="31"/>
      <c r="E1249" s="31"/>
      <c r="F1249" s="31"/>
      <c r="G1249" s="7"/>
      <c r="H1249" s="36">
        <f t="shared" si="564"/>
        <v>0</v>
      </c>
      <c r="I1249" s="36"/>
      <c r="J1249" s="36"/>
      <c r="K1249" s="36"/>
      <c r="L1249" s="31"/>
      <c r="M1249" s="32"/>
      <c r="N1249" s="36"/>
      <c r="P1249" s="31"/>
      <c r="T1249" s="31"/>
      <c r="Y1249" s="31"/>
      <c r="AE1249" s="31"/>
      <c r="AF1249" s="33">
        <f t="shared" si="569"/>
        <v>0</v>
      </c>
      <c r="AH1249" s="31"/>
      <c r="AJ1249" s="31"/>
      <c r="AL1249" s="31"/>
      <c r="AN1249" s="31"/>
      <c r="AO1249" s="31"/>
      <c r="AP1249" s="31"/>
      <c r="AR1249" s="31"/>
      <c r="AT1249" s="31"/>
      <c r="AV1249" s="31"/>
      <c r="AX1249" s="31"/>
      <c r="AZ1249" s="31"/>
    </row>
    <row r="1250" spans="1:52" x14ac:dyDescent="0.25">
      <c r="A1250" s="7" t="s">
        <v>43</v>
      </c>
      <c r="B1250" s="36">
        <f>B1343</f>
        <v>20000</v>
      </c>
      <c r="C1250" s="32"/>
      <c r="D1250" s="36"/>
      <c r="E1250" s="36"/>
      <c r="F1250" s="36">
        <f>F1343</f>
        <v>20000</v>
      </c>
      <c r="G1250" s="32"/>
      <c r="H1250" s="36">
        <f t="shared" si="564"/>
        <v>0</v>
      </c>
      <c r="I1250" s="36"/>
      <c r="J1250" s="36"/>
      <c r="K1250" s="36"/>
      <c r="L1250" s="36">
        <f>L1343</f>
        <v>20000</v>
      </c>
      <c r="M1250" s="32"/>
      <c r="N1250" s="36">
        <f t="shared" si="567"/>
        <v>0</v>
      </c>
      <c r="P1250" s="36">
        <f>P1343</f>
        <v>50000</v>
      </c>
      <c r="T1250" s="36">
        <f>T1343</f>
        <v>50000</v>
      </c>
      <c r="U1250" s="5">
        <f t="shared" si="568"/>
        <v>0</v>
      </c>
      <c r="Y1250" s="36">
        <f>Y1343</f>
        <v>50000</v>
      </c>
      <c r="Z1250" s="5">
        <f>Y1250-T1250</f>
        <v>0</v>
      </c>
      <c r="AE1250" s="36">
        <f>AE1343</f>
        <v>50000</v>
      </c>
      <c r="AF1250" s="33">
        <f t="shared" si="569"/>
        <v>0</v>
      </c>
      <c r="AH1250" s="36">
        <f>AH1343</f>
        <v>200000</v>
      </c>
      <c r="AJ1250" s="36">
        <f>AJ1343</f>
        <v>300000</v>
      </c>
      <c r="AL1250" s="36">
        <f>AL1343</f>
        <v>175000</v>
      </c>
      <c r="AN1250" s="36">
        <f>AN1343</f>
        <v>300000</v>
      </c>
      <c r="AO1250" s="36"/>
      <c r="AP1250" s="36">
        <f>AP1343</f>
        <v>0</v>
      </c>
      <c r="AR1250" s="36">
        <f>AR1343</f>
        <v>400000</v>
      </c>
      <c r="AT1250" s="36">
        <f>AT1343</f>
        <v>250000</v>
      </c>
      <c r="AV1250" s="36">
        <f>AV1343</f>
        <v>250000</v>
      </c>
      <c r="AX1250" s="36">
        <f>AX1343</f>
        <v>125000</v>
      </c>
      <c r="AZ1250" s="36">
        <f>AZ1343</f>
        <v>125000</v>
      </c>
    </row>
    <row r="1251" spans="1:52" x14ac:dyDescent="0.25">
      <c r="A1251" s="7" t="s">
        <v>44</v>
      </c>
      <c r="B1251" s="35"/>
      <c r="C1251" s="32"/>
      <c r="D1251" s="36"/>
      <c r="E1251" s="36"/>
      <c r="F1251" s="35"/>
      <c r="G1251" s="32"/>
      <c r="H1251" s="35">
        <f t="shared" si="564"/>
        <v>0</v>
      </c>
      <c r="I1251" s="36"/>
      <c r="J1251" s="36"/>
      <c r="K1251" s="36"/>
      <c r="L1251" s="35"/>
      <c r="M1251" s="32"/>
      <c r="N1251" s="35">
        <f t="shared" si="567"/>
        <v>0</v>
      </c>
      <c r="P1251" s="35"/>
      <c r="T1251" s="35"/>
      <c r="U1251" s="5">
        <f t="shared" si="568"/>
        <v>0</v>
      </c>
      <c r="Y1251" s="35"/>
      <c r="Z1251" s="5">
        <f>Y1251-T1251</f>
        <v>0</v>
      </c>
      <c r="AE1251" s="35"/>
      <c r="AF1251" s="71">
        <f t="shared" si="569"/>
        <v>0</v>
      </c>
      <c r="AH1251" s="35"/>
      <c r="AJ1251" s="35"/>
      <c r="AL1251" s="35"/>
      <c r="AN1251" s="35"/>
      <c r="AO1251" s="35"/>
      <c r="AP1251" s="35"/>
      <c r="AR1251" s="35"/>
      <c r="AT1251" s="35"/>
      <c r="AV1251" s="35"/>
      <c r="AX1251" s="35"/>
      <c r="AZ1251" s="35"/>
    </row>
    <row r="1252" spans="1:52" x14ac:dyDescent="0.25">
      <c r="A1252" s="7" t="s">
        <v>41</v>
      </c>
      <c r="B1252" s="36">
        <f>B1250-B1251</f>
        <v>20000</v>
      </c>
      <c r="C1252" s="32"/>
      <c r="D1252" s="36"/>
      <c r="E1252" s="36"/>
      <c r="F1252" s="36">
        <f>F1250-F1251</f>
        <v>20000</v>
      </c>
      <c r="G1252" s="32"/>
      <c r="H1252" s="36">
        <f t="shared" si="564"/>
        <v>0</v>
      </c>
      <c r="I1252" s="36"/>
      <c r="J1252" s="36"/>
      <c r="K1252" s="36"/>
      <c r="L1252" s="36">
        <f>L1250-L1251</f>
        <v>20000</v>
      </c>
      <c r="M1252" s="32"/>
      <c r="N1252" s="36">
        <f t="shared" si="567"/>
        <v>0</v>
      </c>
      <c r="P1252" s="36">
        <f>P1250-P1251</f>
        <v>50000</v>
      </c>
      <c r="T1252" s="36">
        <f>T1250-T1251</f>
        <v>50000</v>
      </c>
      <c r="U1252" s="5">
        <f t="shared" si="568"/>
        <v>0</v>
      </c>
      <c r="Y1252" s="36">
        <f>Y1250-Y1251</f>
        <v>50000</v>
      </c>
      <c r="Z1252" s="5">
        <f>Y1252-T1252</f>
        <v>0</v>
      </c>
      <c r="AE1252" s="36">
        <f>AE1250-AE1251</f>
        <v>50000</v>
      </c>
      <c r="AF1252" s="33">
        <f t="shared" si="569"/>
        <v>0</v>
      </c>
      <c r="AH1252" s="36">
        <f>AH1250-AH1251</f>
        <v>200000</v>
      </c>
      <c r="AJ1252" s="36">
        <f>AJ1250-AJ1251</f>
        <v>300000</v>
      </c>
      <c r="AL1252" s="36">
        <f>AL1250-AL1251</f>
        <v>175000</v>
      </c>
      <c r="AN1252" s="36">
        <f>AN1250-AN1251</f>
        <v>300000</v>
      </c>
      <c r="AO1252" s="36"/>
      <c r="AP1252" s="36">
        <f>AP1250-AP1251</f>
        <v>0</v>
      </c>
      <c r="AR1252" s="36">
        <f>AR1250-AR1251</f>
        <v>400000</v>
      </c>
      <c r="AT1252" s="36">
        <f>AT1250-AT1251</f>
        <v>250000</v>
      </c>
      <c r="AV1252" s="36">
        <f>AV1250-AV1251</f>
        <v>250000</v>
      </c>
      <c r="AX1252" s="36">
        <f>AX1250-AX1251</f>
        <v>125000</v>
      </c>
      <c r="AZ1252" s="36">
        <f>AZ1250-AZ1251</f>
        <v>125000</v>
      </c>
    </row>
    <row r="1253" spans="1:52" x14ac:dyDescent="0.25">
      <c r="A1253" s="7" t="s">
        <v>42</v>
      </c>
      <c r="B1253" s="36">
        <f>B1248+B1252</f>
        <v>20000</v>
      </c>
      <c r="C1253" s="32"/>
      <c r="D1253" s="36"/>
      <c r="E1253" s="36"/>
      <c r="F1253" s="36">
        <f>F1248+F1252</f>
        <v>20000</v>
      </c>
      <c r="G1253" s="32"/>
      <c r="H1253" s="36">
        <f t="shared" si="564"/>
        <v>0</v>
      </c>
      <c r="I1253" s="36"/>
      <c r="J1253" s="36"/>
      <c r="K1253" s="36"/>
      <c r="L1253" s="36">
        <f>L1248+L1252</f>
        <v>20000</v>
      </c>
      <c r="M1253" s="32"/>
      <c r="N1253" s="36">
        <f t="shared" si="567"/>
        <v>0</v>
      </c>
      <c r="P1253" s="36">
        <f>P1248+P1252</f>
        <v>50000</v>
      </c>
      <c r="T1253" s="36">
        <f>T1248+T1252</f>
        <v>50000</v>
      </c>
      <c r="U1253" s="5">
        <f t="shared" si="568"/>
        <v>0</v>
      </c>
      <c r="Y1253" s="36">
        <f>Y1248+Y1252</f>
        <v>50000</v>
      </c>
      <c r="Z1253" s="5">
        <f>Y1253-T1253</f>
        <v>0</v>
      </c>
      <c r="AE1253" s="36">
        <f>AE1248+AE1252</f>
        <v>50000</v>
      </c>
      <c r="AF1253" s="33">
        <f t="shared" si="569"/>
        <v>0</v>
      </c>
      <c r="AH1253" s="36">
        <f>AH1248+AH1252</f>
        <v>250000</v>
      </c>
      <c r="AJ1253" s="36">
        <f>AJ1252+AH1253</f>
        <v>550000</v>
      </c>
      <c r="AL1253" s="36">
        <f>AL1252+AJ1253</f>
        <v>725000</v>
      </c>
      <c r="AN1253" s="36">
        <f>AN1252+AL1253</f>
        <v>1025000</v>
      </c>
      <c r="AO1253" s="36"/>
      <c r="AP1253" s="36">
        <f>AP1248+AP1252</f>
        <v>1025000</v>
      </c>
      <c r="AR1253" s="36">
        <f>AR1248+AR1252</f>
        <v>1425000</v>
      </c>
      <c r="AT1253" s="36">
        <f>AT1248+AT1252</f>
        <v>1675000</v>
      </c>
      <c r="AV1253" s="36">
        <f>AV1248+AV1252</f>
        <v>1925000</v>
      </c>
      <c r="AX1253" s="36">
        <f>AX1248+AX1252</f>
        <v>2050000</v>
      </c>
      <c r="AZ1253" s="36">
        <f>AZ1248+AZ1252</f>
        <v>2175000</v>
      </c>
    </row>
    <row r="1254" spans="1:52" x14ac:dyDescent="0.25">
      <c r="A1254" s="7"/>
    </row>
    <row r="1255" spans="1:52" x14ac:dyDescent="0.25">
      <c r="A1255" s="7"/>
    </row>
    <row r="1256" spans="1:52" x14ac:dyDescent="0.25">
      <c r="A1256" s="1" t="s">
        <v>885</v>
      </c>
    </row>
    <row r="1257" spans="1:52" x14ac:dyDescent="0.25">
      <c r="A1257" s="28" t="s">
        <v>46</v>
      </c>
    </row>
    <row r="1258" spans="1:52" x14ac:dyDescent="0.25">
      <c r="A1258" s="7" t="s">
        <v>886</v>
      </c>
    </row>
    <row r="1259" spans="1:52" x14ac:dyDescent="0.25">
      <c r="A1259" s="7" t="s">
        <v>809</v>
      </c>
      <c r="Z1259" s="3"/>
    </row>
    <row r="1260" spans="1:52" x14ac:dyDescent="0.25">
      <c r="A1260" s="3" t="s">
        <v>887</v>
      </c>
      <c r="B1260" s="5">
        <v>445000</v>
      </c>
      <c r="D1260" s="5">
        <v>-43</v>
      </c>
      <c r="E1260" s="3">
        <f t="shared" ref="E1260:E1269" si="570">F1260-D1260</f>
        <v>445043</v>
      </c>
      <c r="F1260" s="5">
        <v>445000</v>
      </c>
      <c r="H1260" s="5">
        <f t="shared" ref="H1260:H1269" si="571">F1260-B1260</f>
        <v>0</v>
      </c>
      <c r="J1260" s="5">
        <v>229829</v>
      </c>
      <c r="K1260" s="4">
        <f t="shared" ref="K1260:K1269" si="572">L1260-J1260</f>
        <v>215171</v>
      </c>
      <c r="L1260" s="4">
        <v>445000</v>
      </c>
      <c r="N1260" s="4">
        <f t="shared" ref="N1260:N1269" si="573">L1260-F1260</f>
        <v>0</v>
      </c>
      <c r="P1260" s="3">
        <f>B1260*1.15</f>
        <v>511749.99999999994</v>
      </c>
      <c r="Q1260" s="3"/>
      <c r="R1260" s="3">
        <v>-486</v>
      </c>
      <c r="S1260" s="3">
        <f t="shared" ref="S1260:S1269" si="574">T1260-R1260</f>
        <v>512236</v>
      </c>
      <c r="T1260" s="3">
        <v>511750</v>
      </c>
      <c r="U1260" s="3">
        <f t="shared" ref="U1260:U1269" si="575">T1260-P1260</f>
        <v>0</v>
      </c>
      <c r="V1260" s="3">
        <v>292487</v>
      </c>
      <c r="W1260" s="3">
        <f t="shared" ref="W1260:W1269" si="576">Y1260-V1260</f>
        <v>237513</v>
      </c>
      <c r="X1260" s="3"/>
      <c r="Y1260" s="3">
        <v>530000</v>
      </c>
      <c r="Z1260" s="3">
        <f t="shared" ref="Z1260:Z1269" si="577">Y1260-T1260</f>
        <v>18250</v>
      </c>
      <c r="AA1260" s="3"/>
      <c r="AB1260" s="3"/>
      <c r="AC1260" s="3">
        <v>291840</v>
      </c>
      <c r="AD1260" s="3">
        <f t="shared" ref="AD1260:AD1269" si="578">AE1260-AC1260</f>
        <v>248160</v>
      </c>
      <c r="AE1260" s="3">
        <v>540000</v>
      </c>
      <c r="AF1260" s="3">
        <f t="shared" ref="AF1260:AF1269" si="579">AE1260-Y1260</f>
        <v>10000</v>
      </c>
      <c r="AG1260" s="3"/>
      <c r="AH1260" s="3">
        <f>AE1260*1.125+500</f>
        <v>608000</v>
      </c>
      <c r="AI1260" s="3"/>
      <c r="AJ1260" s="3">
        <f>AH1260*1.1</f>
        <v>668800</v>
      </c>
      <c r="AK1260" s="3"/>
      <c r="AL1260" s="3">
        <f>AJ1260*1.1</f>
        <v>735680.00000000012</v>
      </c>
      <c r="AM1260" s="3"/>
      <c r="AN1260" s="3">
        <f>AL1260*1.1</f>
        <v>809248.00000000023</v>
      </c>
      <c r="AO1260" s="3"/>
      <c r="AP1260" s="3">
        <f>AN1260*1.075</f>
        <v>869941.60000000021</v>
      </c>
      <c r="AQ1260" s="42"/>
      <c r="AR1260" s="3">
        <f>AP1260*1.075</f>
        <v>935187.2200000002</v>
      </c>
      <c r="AS1260" s="42"/>
      <c r="AT1260" s="3">
        <f>AR1260*1.05</f>
        <v>981946.58100000024</v>
      </c>
      <c r="AU1260" s="42"/>
      <c r="AV1260" s="3">
        <f>AT1260*1.05</f>
        <v>1031043.9100500003</v>
      </c>
      <c r="AW1260" s="42"/>
      <c r="AX1260" s="3">
        <f>AV1260*1.05</f>
        <v>1082596.1055525003</v>
      </c>
      <c r="AZ1260" s="3">
        <f>AX1260*1.05</f>
        <v>1136725.9108301254</v>
      </c>
    </row>
    <row r="1261" spans="1:52" x14ac:dyDescent="0.25">
      <c r="A1261" s="235" t="s">
        <v>815</v>
      </c>
      <c r="B1261" s="3">
        <v>7000</v>
      </c>
      <c r="D1261" s="3">
        <v>0</v>
      </c>
      <c r="E1261" s="3">
        <f t="shared" si="570"/>
        <v>7000</v>
      </c>
      <c r="F1261" s="5">
        <v>7000</v>
      </c>
      <c r="H1261" s="5">
        <f t="shared" si="571"/>
        <v>0</v>
      </c>
      <c r="J1261" s="5">
        <v>0</v>
      </c>
      <c r="K1261" s="4">
        <f t="shared" si="572"/>
        <v>7000</v>
      </c>
      <c r="L1261" s="4">
        <v>7000</v>
      </c>
      <c r="N1261" s="4">
        <f t="shared" si="573"/>
        <v>0</v>
      </c>
      <c r="P1261" s="3">
        <v>8000</v>
      </c>
      <c r="Q1261" s="3"/>
      <c r="R1261" s="3"/>
      <c r="S1261" s="3">
        <f t="shared" si="574"/>
        <v>8000</v>
      </c>
      <c r="T1261" s="3">
        <v>8000</v>
      </c>
      <c r="U1261" s="3">
        <f t="shared" si="575"/>
        <v>0</v>
      </c>
      <c r="V1261" s="3"/>
      <c r="W1261" s="3">
        <f t="shared" si="576"/>
        <v>7000</v>
      </c>
      <c r="X1261" s="3"/>
      <c r="Y1261" s="3">
        <v>7000</v>
      </c>
      <c r="Z1261" s="3">
        <f t="shared" si="577"/>
        <v>-1000</v>
      </c>
      <c r="AA1261" s="3"/>
      <c r="AB1261" s="3"/>
      <c r="AC1261" s="3"/>
      <c r="AD1261" s="3">
        <f t="shared" si="578"/>
        <v>7000</v>
      </c>
      <c r="AE1261" s="3">
        <v>7000</v>
      </c>
      <c r="AF1261" s="3">
        <f t="shared" si="579"/>
        <v>0</v>
      </c>
      <c r="AG1261" s="3"/>
      <c r="AH1261" s="234">
        <v>8000</v>
      </c>
      <c r="AI1261" s="3"/>
      <c r="AJ1261" s="3">
        <v>9000</v>
      </c>
      <c r="AK1261" s="3"/>
      <c r="AL1261" s="3">
        <v>11000</v>
      </c>
      <c r="AM1261" s="3"/>
      <c r="AN1261" s="3">
        <v>12000</v>
      </c>
      <c r="AO1261" s="3"/>
      <c r="AP1261" s="3">
        <v>13000</v>
      </c>
      <c r="AQ1261" s="42"/>
      <c r="AR1261" s="3">
        <v>14000</v>
      </c>
      <c r="AS1261" s="42"/>
      <c r="AT1261" s="3">
        <v>15000</v>
      </c>
      <c r="AU1261" s="42"/>
      <c r="AV1261" s="3">
        <v>16000</v>
      </c>
      <c r="AW1261" s="42"/>
      <c r="AX1261" s="3">
        <v>16000</v>
      </c>
      <c r="AZ1261" s="3">
        <v>16000</v>
      </c>
    </row>
    <row r="1262" spans="1:52" x14ac:dyDescent="0.25">
      <c r="A1262" s="7" t="s">
        <v>816</v>
      </c>
      <c r="B1262" s="3"/>
      <c r="D1262" s="3"/>
      <c r="E1262" s="3">
        <f t="shared" si="570"/>
        <v>0</v>
      </c>
      <c r="H1262" s="5">
        <f t="shared" si="571"/>
        <v>0</v>
      </c>
      <c r="K1262" s="4">
        <f t="shared" si="572"/>
        <v>0</v>
      </c>
      <c r="L1262" s="4"/>
      <c r="N1262" s="4">
        <f t="shared" si="573"/>
        <v>0</v>
      </c>
      <c r="P1262" s="3"/>
      <c r="Q1262" s="3"/>
      <c r="R1262" s="3"/>
      <c r="S1262" s="3">
        <f t="shared" si="574"/>
        <v>0</v>
      </c>
      <c r="T1262" s="3"/>
      <c r="U1262" s="3">
        <f t="shared" si="575"/>
        <v>0</v>
      </c>
      <c r="V1262" s="3"/>
      <c r="W1262" s="3">
        <f t="shared" si="576"/>
        <v>0</v>
      </c>
      <c r="X1262" s="3"/>
      <c r="Y1262" s="3"/>
      <c r="Z1262" s="3">
        <f t="shared" si="577"/>
        <v>0</v>
      </c>
      <c r="AA1262" s="3"/>
      <c r="AB1262" s="3"/>
      <c r="AC1262" s="3"/>
      <c r="AD1262" s="3">
        <f t="shared" si="578"/>
        <v>0</v>
      </c>
      <c r="AE1262" s="3"/>
      <c r="AF1262" s="3">
        <f t="shared" si="579"/>
        <v>0</v>
      </c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42"/>
      <c r="AR1262" s="3"/>
      <c r="AS1262" s="42"/>
      <c r="AT1262" s="3"/>
      <c r="AU1262" s="42"/>
      <c r="AV1262" s="3"/>
      <c r="AW1262" s="42"/>
      <c r="AX1262" s="3"/>
      <c r="AZ1262" s="3"/>
    </row>
    <row r="1263" spans="1:52" x14ac:dyDescent="0.25">
      <c r="A1263" s="3" t="s">
        <v>888</v>
      </c>
      <c r="B1263" s="3"/>
      <c r="D1263" s="3"/>
      <c r="E1263" s="3">
        <f t="shared" si="570"/>
        <v>0</v>
      </c>
      <c r="H1263" s="5">
        <f t="shared" si="571"/>
        <v>0</v>
      </c>
      <c r="K1263" s="4">
        <f t="shared" si="572"/>
        <v>0</v>
      </c>
      <c r="L1263" s="4"/>
      <c r="N1263" s="4">
        <f t="shared" si="573"/>
        <v>0</v>
      </c>
      <c r="P1263" s="3"/>
      <c r="Q1263" s="3"/>
      <c r="R1263" s="3"/>
      <c r="S1263" s="3">
        <f t="shared" si="574"/>
        <v>0</v>
      </c>
      <c r="T1263" s="3"/>
      <c r="U1263" s="3">
        <f t="shared" si="575"/>
        <v>0</v>
      </c>
      <c r="V1263" s="3"/>
      <c r="W1263" s="3">
        <f t="shared" si="576"/>
        <v>0</v>
      </c>
      <c r="X1263" s="3"/>
      <c r="Y1263" s="3"/>
      <c r="Z1263" s="3">
        <f t="shared" si="577"/>
        <v>0</v>
      </c>
      <c r="AA1263" s="3"/>
      <c r="AB1263" s="3"/>
      <c r="AC1263" s="3"/>
      <c r="AD1263" s="3">
        <f t="shared" si="578"/>
        <v>0</v>
      </c>
      <c r="AE1263" s="3"/>
      <c r="AF1263" s="3">
        <f t="shared" si="579"/>
        <v>0</v>
      </c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42"/>
      <c r="AR1263" s="3"/>
      <c r="AS1263" s="42"/>
      <c r="AT1263" s="3"/>
      <c r="AU1263" s="42"/>
      <c r="AV1263" s="3"/>
      <c r="AW1263" s="42"/>
      <c r="AX1263" s="3"/>
      <c r="AZ1263" s="3"/>
    </row>
    <row r="1264" spans="1:52" x14ac:dyDescent="0.25">
      <c r="A1264" s="3" t="s">
        <v>811</v>
      </c>
      <c r="B1264" s="3">
        <v>1500</v>
      </c>
      <c r="D1264" s="3">
        <v>806</v>
      </c>
      <c r="E1264" s="3">
        <f t="shared" si="570"/>
        <v>694</v>
      </c>
      <c r="F1264" s="5">
        <v>1500</v>
      </c>
      <c r="H1264" s="5">
        <f t="shared" si="571"/>
        <v>0</v>
      </c>
      <c r="J1264" s="5">
        <v>1646</v>
      </c>
      <c r="K1264" s="4">
        <f t="shared" si="572"/>
        <v>354</v>
      </c>
      <c r="L1264" s="4">
        <v>2000</v>
      </c>
      <c r="N1264" s="4">
        <f t="shared" si="573"/>
        <v>500</v>
      </c>
      <c r="P1264" s="3">
        <f>L1264*1.025</f>
        <v>2050</v>
      </c>
      <c r="Q1264" s="3"/>
      <c r="R1264" s="3">
        <v>1089</v>
      </c>
      <c r="S1264" s="3">
        <f t="shared" si="574"/>
        <v>961</v>
      </c>
      <c r="T1264" s="3">
        <v>2050</v>
      </c>
      <c r="U1264" s="3">
        <f t="shared" si="575"/>
        <v>0</v>
      </c>
      <c r="V1264" s="3">
        <v>1840</v>
      </c>
      <c r="W1264" s="3">
        <f t="shared" si="576"/>
        <v>660</v>
      </c>
      <c r="X1264" s="3"/>
      <c r="Y1264" s="3">
        <v>2500</v>
      </c>
      <c r="Z1264" s="3">
        <f t="shared" si="577"/>
        <v>450</v>
      </c>
      <c r="AA1264" s="3"/>
      <c r="AB1264" s="3"/>
      <c r="AC1264" s="3">
        <v>3273</v>
      </c>
      <c r="AD1264" s="3">
        <f t="shared" si="578"/>
        <v>427</v>
      </c>
      <c r="AE1264" s="3">
        <v>3700</v>
      </c>
      <c r="AF1264" s="3">
        <f t="shared" si="579"/>
        <v>1200</v>
      </c>
      <c r="AG1264" s="3"/>
      <c r="AH1264" s="3">
        <v>3000</v>
      </c>
      <c r="AI1264" s="3"/>
      <c r="AJ1264" s="3">
        <f>AH1264*1.025</f>
        <v>3074.9999999999995</v>
      </c>
      <c r="AK1264" s="3"/>
      <c r="AL1264" s="3">
        <f>AJ1264*1.025</f>
        <v>3151.8749999999991</v>
      </c>
      <c r="AM1264" s="3"/>
      <c r="AN1264" s="3">
        <f>AL1264*1.025</f>
        <v>3230.6718749999986</v>
      </c>
      <c r="AO1264" s="3"/>
      <c r="AP1264" s="3">
        <f>AN1264*1.025</f>
        <v>3311.4386718749984</v>
      </c>
      <c r="AQ1264" s="42"/>
      <c r="AR1264" s="3">
        <f>AP1264*1.025</f>
        <v>3394.224638671873</v>
      </c>
      <c r="AS1264" s="42"/>
      <c r="AT1264" s="3">
        <f>AR1264*1.025</f>
        <v>3479.0802546386694</v>
      </c>
      <c r="AU1264" s="42"/>
      <c r="AV1264" s="3">
        <f>AT1264*1.025</f>
        <v>3566.0572610046361</v>
      </c>
      <c r="AW1264" s="42"/>
      <c r="AX1264" s="3">
        <f>AV1264*1.025</f>
        <v>3655.2086925297517</v>
      </c>
      <c r="AZ1264" s="3">
        <f>AX1264*1.025</f>
        <v>3746.5889098429952</v>
      </c>
    </row>
    <row r="1265" spans="1:52" x14ac:dyDescent="0.25">
      <c r="A1265" s="3" t="s">
        <v>57</v>
      </c>
      <c r="B1265" s="3">
        <v>1000</v>
      </c>
      <c r="D1265" s="3">
        <v>330</v>
      </c>
      <c r="E1265" s="3">
        <f t="shared" si="570"/>
        <v>670</v>
      </c>
      <c r="F1265" s="5">
        <v>1000</v>
      </c>
      <c r="H1265" s="5">
        <f t="shared" si="571"/>
        <v>0</v>
      </c>
      <c r="J1265" s="5">
        <v>743</v>
      </c>
      <c r="K1265" s="4">
        <f t="shared" si="572"/>
        <v>257</v>
      </c>
      <c r="L1265" s="4">
        <v>1000</v>
      </c>
      <c r="N1265" s="4">
        <f t="shared" si="573"/>
        <v>0</v>
      </c>
      <c r="P1265" s="3">
        <f>L1265*1.025+25</f>
        <v>1050</v>
      </c>
      <c r="Q1265" s="3"/>
      <c r="R1265" s="3">
        <v>478</v>
      </c>
      <c r="S1265" s="3">
        <f t="shared" si="574"/>
        <v>572</v>
      </c>
      <c r="T1265" s="3">
        <v>1050</v>
      </c>
      <c r="U1265" s="3">
        <f t="shared" si="575"/>
        <v>0</v>
      </c>
      <c r="V1265" s="3">
        <v>808</v>
      </c>
      <c r="W1265" s="3">
        <f t="shared" si="576"/>
        <v>242</v>
      </c>
      <c r="X1265" s="3"/>
      <c r="Y1265" s="3">
        <v>1050</v>
      </c>
      <c r="Z1265" s="3">
        <f t="shared" si="577"/>
        <v>0</v>
      </c>
      <c r="AA1265" s="3"/>
      <c r="AB1265" s="3"/>
      <c r="AC1265" s="3">
        <v>1288</v>
      </c>
      <c r="AD1265" s="3">
        <f t="shared" si="578"/>
        <v>212</v>
      </c>
      <c r="AE1265" s="3">
        <v>1500</v>
      </c>
      <c r="AF1265" s="3">
        <f t="shared" si="579"/>
        <v>450</v>
      </c>
      <c r="AG1265" s="3"/>
      <c r="AH1265" s="3">
        <f>P1265*1.03+18</f>
        <v>1099.5</v>
      </c>
      <c r="AI1265" s="3"/>
      <c r="AJ1265" s="3">
        <f>AH1265*1.03</f>
        <v>1132.4850000000001</v>
      </c>
      <c r="AK1265" s="3"/>
      <c r="AL1265" s="3">
        <f>AJ1265*1.03</f>
        <v>1166.4595500000003</v>
      </c>
      <c r="AM1265" s="3"/>
      <c r="AN1265" s="3">
        <f>AL1265*1.03</f>
        <v>1201.4533365000002</v>
      </c>
      <c r="AO1265" s="3"/>
      <c r="AP1265" s="3">
        <f>AN1265*1.03</f>
        <v>1237.4969365950003</v>
      </c>
      <c r="AQ1265" s="42"/>
      <c r="AR1265" s="3">
        <f>AP1265*1.03</f>
        <v>1274.6218446928503</v>
      </c>
      <c r="AT1265" s="3">
        <f>AR1265*1.03</f>
        <v>1312.8605000336358</v>
      </c>
      <c r="AV1265" s="3">
        <f>AT1265*1.03</f>
        <v>1352.246315034645</v>
      </c>
      <c r="AX1265" s="3">
        <f>AV1265*1.03</f>
        <v>1392.8137044856844</v>
      </c>
      <c r="AZ1265" s="3">
        <f>AX1265*1.03</f>
        <v>1434.5981156202549</v>
      </c>
    </row>
    <row r="1266" spans="1:52" x14ac:dyDescent="0.25">
      <c r="A1266" s="7" t="s">
        <v>93</v>
      </c>
      <c r="B1266" s="3"/>
      <c r="D1266" s="3"/>
      <c r="E1266" s="3">
        <f t="shared" si="570"/>
        <v>0</v>
      </c>
      <c r="H1266" s="5">
        <f t="shared" si="571"/>
        <v>0</v>
      </c>
      <c r="K1266" s="4">
        <f t="shared" si="572"/>
        <v>0</v>
      </c>
      <c r="L1266" s="4"/>
      <c r="N1266" s="4">
        <f t="shared" si="573"/>
        <v>0</v>
      </c>
      <c r="P1266" s="3"/>
      <c r="Q1266" s="3"/>
      <c r="R1266" s="3"/>
      <c r="S1266" s="3">
        <f t="shared" si="574"/>
        <v>0</v>
      </c>
      <c r="T1266" s="3"/>
      <c r="U1266" s="3">
        <f t="shared" si="575"/>
        <v>0</v>
      </c>
      <c r="V1266" s="3"/>
      <c r="W1266" s="3">
        <f t="shared" si="576"/>
        <v>0</v>
      </c>
      <c r="X1266" s="3"/>
      <c r="Y1266" s="3"/>
      <c r="Z1266" s="3">
        <f t="shared" si="577"/>
        <v>0</v>
      </c>
      <c r="AA1266" s="3"/>
      <c r="AB1266" s="3"/>
      <c r="AC1266" s="3"/>
      <c r="AD1266" s="3">
        <f t="shared" si="578"/>
        <v>0</v>
      </c>
      <c r="AE1266" s="3"/>
      <c r="AF1266" s="3">
        <f t="shared" si="579"/>
        <v>0</v>
      </c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42"/>
      <c r="AR1266" s="3"/>
      <c r="AT1266" s="3"/>
      <c r="AV1266" s="3"/>
      <c r="AX1266" s="3"/>
      <c r="AZ1266" s="3"/>
    </row>
    <row r="1267" spans="1:52" x14ac:dyDescent="0.25">
      <c r="A1267" s="3" t="s">
        <v>55</v>
      </c>
      <c r="B1267" s="3">
        <v>10200</v>
      </c>
      <c r="D1267" s="3">
        <v>0</v>
      </c>
      <c r="E1267" s="3">
        <f t="shared" si="570"/>
        <v>10200</v>
      </c>
      <c r="F1267" s="5">
        <v>10200</v>
      </c>
      <c r="H1267" s="5">
        <f t="shared" si="571"/>
        <v>0</v>
      </c>
      <c r="K1267" s="4">
        <f t="shared" si="572"/>
        <v>10200</v>
      </c>
      <c r="L1267" s="4">
        <v>10200</v>
      </c>
      <c r="N1267" s="4">
        <f t="shared" si="573"/>
        <v>0</v>
      </c>
      <c r="P1267" s="3">
        <f>L1267*1.02-4</f>
        <v>10400</v>
      </c>
      <c r="Q1267" s="3"/>
      <c r="R1267" s="3">
        <v>0</v>
      </c>
      <c r="S1267" s="3">
        <f t="shared" si="574"/>
        <v>10400</v>
      </c>
      <c r="T1267" s="3">
        <v>10400</v>
      </c>
      <c r="U1267" s="3">
        <f t="shared" si="575"/>
        <v>0</v>
      </c>
      <c r="V1267" s="3"/>
      <c r="W1267" s="3">
        <f t="shared" si="576"/>
        <v>10400</v>
      </c>
      <c r="X1267" s="3"/>
      <c r="Y1267" s="3">
        <v>10400</v>
      </c>
      <c r="Z1267" s="3">
        <f t="shared" si="577"/>
        <v>0</v>
      </c>
      <c r="AA1267" s="3"/>
      <c r="AB1267" s="3"/>
      <c r="AC1267" s="3">
        <v>10669</v>
      </c>
      <c r="AD1267" s="3">
        <f t="shared" si="578"/>
        <v>1</v>
      </c>
      <c r="AE1267" s="3">
        <v>10670</v>
      </c>
      <c r="AF1267" s="3">
        <f t="shared" si="579"/>
        <v>270</v>
      </c>
      <c r="AG1267" s="3"/>
      <c r="AH1267" s="3">
        <f>AE1267*1.025+13</f>
        <v>10949.749999999998</v>
      </c>
      <c r="AI1267" s="3"/>
      <c r="AJ1267" s="3">
        <f>AH1267*1.025</f>
        <v>11223.493749999998</v>
      </c>
      <c r="AK1267" s="3"/>
      <c r="AL1267" s="3">
        <f>AJ1267*1.025</f>
        <v>11504.081093749997</v>
      </c>
      <c r="AM1267" s="3"/>
      <c r="AN1267" s="3">
        <f>AL1267*1.025</f>
        <v>11791.683121093747</v>
      </c>
      <c r="AO1267" s="3"/>
      <c r="AP1267" s="3">
        <f>AN1267*1.025</f>
        <v>12086.475199121091</v>
      </c>
      <c r="AQ1267" s="42"/>
      <c r="AR1267" s="3">
        <f>AP1267*1.025</f>
        <v>12388.637079099117</v>
      </c>
      <c r="AT1267" s="3">
        <f>AR1267*1.025</f>
        <v>12698.353006076593</v>
      </c>
      <c r="AV1267" s="3">
        <f>AT1267*1.025</f>
        <v>13015.811831228508</v>
      </c>
      <c r="AX1267" s="3">
        <f>AV1267*1.025</f>
        <v>13341.20712700922</v>
      </c>
      <c r="AZ1267" s="3">
        <f>AX1267*1.025</f>
        <v>13674.73730518445</v>
      </c>
    </row>
    <row r="1268" spans="1:52" x14ac:dyDescent="0.25">
      <c r="A1268" s="3" t="s">
        <v>889</v>
      </c>
      <c r="B1268" s="3"/>
      <c r="D1268" s="3"/>
      <c r="E1268" s="3">
        <f t="shared" si="570"/>
        <v>0</v>
      </c>
      <c r="H1268" s="5">
        <f t="shared" si="571"/>
        <v>0</v>
      </c>
      <c r="K1268" s="4">
        <f t="shared" si="572"/>
        <v>0</v>
      </c>
      <c r="L1268" s="4"/>
      <c r="N1268" s="4">
        <f t="shared" si="573"/>
        <v>0</v>
      </c>
      <c r="P1268" s="3"/>
      <c r="Q1268" s="3"/>
      <c r="R1268" s="3"/>
      <c r="S1268" s="3">
        <f t="shared" si="574"/>
        <v>0</v>
      </c>
      <c r="T1268" s="3"/>
      <c r="U1268" s="3">
        <f t="shared" si="575"/>
        <v>0</v>
      </c>
      <c r="V1268" s="3"/>
      <c r="W1268" s="3">
        <f t="shared" si="576"/>
        <v>0</v>
      </c>
      <c r="X1268" s="3"/>
      <c r="Y1268" s="3"/>
      <c r="Z1268" s="3">
        <f t="shared" si="577"/>
        <v>0</v>
      </c>
      <c r="AA1268" s="3"/>
      <c r="AB1268" s="3"/>
      <c r="AC1268" s="3"/>
      <c r="AD1268" s="3">
        <f t="shared" si="578"/>
        <v>0</v>
      </c>
      <c r="AE1268" s="3"/>
      <c r="AF1268" s="3">
        <f t="shared" si="579"/>
        <v>0</v>
      </c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42"/>
      <c r="AR1268" s="3"/>
      <c r="AT1268" s="3"/>
      <c r="AV1268" s="3"/>
      <c r="AX1268" s="3"/>
      <c r="AZ1268" s="3"/>
    </row>
    <row r="1269" spans="1:52" x14ac:dyDescent="0.25">
      <c r="A1269" s="3" t="s">
        <v>890</v>
      </c>
      <c r="B1269" s="3"/>
      <c r="D1269" s="3"/>
      <c r="E1269" s="3">
        <f t="shared" si="570"/>
        <v>0</v>
      </c>
      <c r="H1269" s="5">
        <f t="shared" si="571"/>
        <v>0</v>
      </c>
      <c r="K1269" s="4">
        <f t="shared" si="572"/>
        <v>0</v>
      </c>
      <c r="L1269" s="4"/>
      <c r="N1269" s="4">
        <f t="shared" si="573"/>
        <v>0</v>
      </c>
      <c r="P1269" s="3"/>
      <c r="Q1269" s="3"/>
      <c r="R1269" s="3"/>
      <c r="S1269" s="3">
        <f t="shared" si="574"/>
        <v>0</v>
      </c>
      <c r="T1269" s="3"/>
      <c r="U1269" s="3">
        <f t="shared" si="575"/>
        <v>0</v>
      </c>
      <c r="V1269" s="3"/>
      <c r="W1269" s="3">
        <f t="shared" si="576"/>
        <v>0</v>
      </c>
      <c r="X1269" s="3"/>
      <c r="Y1269" s="3"/>
      <c r="Z1269" s="3">
        <f t="shared" si="577"/>
        <v>0</v>
      </c>
      <c r="AA1269" s="3"/>
      <c r="AB1269" s="3"/>
      <c r="AC1269" s="3"/>
      <c r="AD1269" s="3">
        <f t="shared" si="578"/>
        <v>0</v>
      </c>
      <c r="AE1269" s="3"/>
      <c r="AF1269" s="3">
        <f t="shared" si="579"/>
        <v>0</v>
      </c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42"/>
      <c r="AR1269" s="3"/>
      <c r="AT1269" s="3"/>
      <c r="AV1269" s="3"/>
      <c r="AX1269" s="3"/>
      <c r="AZ1269" s="3"/>
    </row>
    <row r="1270" spans="1:52" x14ac:dyDescent="0.25">
      <c r="A1270" s="3"/>
      <c r="B1270" s="48">
        <f>SUM(B1258:B1269)</f>
        <v>464700</v>
      </c>
      <c r="C1270" s="32"/>
      <c r="D1270" s="48">
        <f>SUM(D1258:D1269)-1</f>
        <v>1092</v>
      </c>
      <c r="E1270" s="48">
        <f>SUM(E1258:E1269)-1</f>
        <v>463606</v>
      </c>
      <c r="F1270" s="48">
        <f>SUM(F1258:F1269)</f>
        <v>464700</v>
      </c>
      <c r="G1270" s="32"/>
      <c r="H1270" s="48">
        <f>SUM(H1258:H1269)-1</f>
        <v>-1</v>
      </c>
      <c r="I1270" s="36"/>
      <c r="J1270" s="48">
        <f>SUM(J1258:J1269)-1</f>
        <v>232217</v>
      </c>
      <c r="K1270" s="48">
        <f>SUM(K1258:K1269)-1</f>
        <v>232981</v>
      </c>
      <c r="L1270" s="48">
        <f>SUM(L1258:L1269)-1</f>
        <v>465199</v>
      </c>
      <c r="M1270" s="32"/>
      <c r="N1270" s="48">
        <f>SUM(N1258:N1269)-1</f>
        <v>499</v>
      </c>
      <c r="P1270" s="48">
        <f>SUM(P1258:P1269)</f>
        <v>533250</v>
      </c>
      <c r="R1270" s="48">
        <f t="shared" ref="R1270:Z1270" si="580">SUM(R1258:R1269)</f>
        <v>1081</v>
      </c>
      <c r="S1270" s="48">
        <f t="shared" si="580"/>
        <v>532169</v>
      </c>
      <c r="T1270" s="48">
        <f t="shared" si="580"/>
        <v>533250</v>
      </c>
      <c r="U1270" s="48">
        <f t="shared" si="580"/>
        <v>0</v>
      </c>
      <c r="V1270" s="48">
        <f t="shared" si="580"/>
        <v>295135</v>
      </c>
      <c r="W1270" s="48">
        <f t="shared" si="580"/>
        <v>255815</v>
      </c>
      <c r="X1270" s="48"/>
      <c r="Y1270" s="48">
        <f t="shared" si="580"/>
        <v>550950</v>
      </c>
      <c r="Z1270" s="48">
        <f t="shared" si="580"/>
        <v>17700</v>
      </c>
      <c r="AC1270" s="48">
        <f>SUM(AC1258:AC1269)</f>
        <v>307070</v>
      </c>
      <c r="AD1270" s="48">
        <f>SUM(AD1258:AD1269)</f>
        <v>255800</v>
      </c>
      <c r="AE1270" s="48">
        <f>SUM(AE1258:AE1269)</f>
        <v>562870</v>
      </c>
      <c r="AF1270" s="48">
        <f>SUM(AF1258:AF1269)</f>
        <v>11920</v>
      </c>
      <c r="AH1270" s="48">
        <f>SUM(AH1258:AH1269)</f>
        <v>631049.25</v>
      </c>
      <c r="AJ1270" s="48">
        <f>SUM(AJ1258:AJ1269)</f>
        <v>693230.97875000001</v>
      </c>
      <c r="AL1270" s="48">
        <f>SUM(AL1258:AL1269)</f>
        <v>762502.41564375011</v>
      </c>
      <c r="AN1270" s="48">
        <f>SUM(AN1258:AN1269)</f>
        <v>837471.808332594</v>
      </c>
      <c r="AO1270" s="48"/>
      <c r="AP1270" s="48">
        <f>SUM(AP1258:AP1269)</f>
        <v>899577.01080759126</v>
      </c>
      <c r="AR1270" s="48">
        <f>SUM(AR1258:AR1269)</f>
        <v>966244.70356246398</v>
      </c>
      <c r="AT1270" s="48">
        <f>SUM(AT1258:AT1269)</f>
        <v>1014436.8747607492</v>
      </c>
      <c r="AV1270" s="48">
        <f>SUM(AV1258:AV1269)</f>
        <v>1064978.0254572679</v>
      </c>
      <c r="AX1270" s="48">
        <f>SUM(AX1258:AX1269)</f>
        <v>1116985.3350765251</v>
      </c>
      <c r="AZ1270" s="48">
        <f>SUM(AZ1258:AZ1269)</f>
        <v>1171581.835160773</v>
      </c>
    </row>
    <row r="1271" spans="1:52" x14ac:dyDescent="0.25">
      <c r="A1271" s="7" t="s">
        <v>818</v>
      </c>
    </row>
    <row r="1272" spans="1:52" x14ac:dyDescent="0.25">
      <c r="A1272" s="3" t="s">
        <v>891</v>
      </c>
      <c r="E1272" s="3">
        <f>F1272-D1272</f>
        <v>0</v>
      </c>
      <c r="H1272" s="5">
        <f>F1272-B1272</f>
        <v>0</v>
      </c>
      <c r="J1272" s="5">
        <v>0</v>
      </c>
      <c r="K1272" s="4">
        <f>L1272-J1272</f>
        <v>0</v>
      </c>
      <c r="L1272" s="4">
        <v>0</v>
      </c>
      <c r="N1272" s="4">
        <f>L1272-F1272</f>
        <v>0</v>
      </c>
    </row>
    <row r="1273" spans="1:52" x14ac:dyDescent="0.25">
      <c r="A1273" s="3" t="s">
        <v>892</v>
      </c>
      <c r="B1273" s="3">
        <v>9300</v>
      </c>
      <c r="D1273" s="3"/>
      <c r="E1273" s="3">
        <f>F1273-D1273</f>
        <v>9300</v>
      </c>
      <c r="F1273" s="5">
        <v>9300</v>
      </c>
      <c r="H1273" s="5">
        <f>F1273-B1273</f>
        <v>0</v>
      </c>
      <c r="J1273" s="5">
        <v>0</v>
      </c>
      <c r="K1273" s="4">
        <f>L1273-J1273</f>
        <v>9300</v>
      </c>
      <c r="L1273" s="4">
        <v>9300</v>
      </c>
      <c r="N1273" s="4">
        <f>L1273-F1273</f>
        <v>0</v>
      </c>
      <c r="P1273" s="3">
        <v>7940</v>
      </c>
      <c r="Q1273" s="3"/>
      <c r="R1273" s="3"/>
      <c r="S1273" s="3">
        <f>T1273-R1273</f>
        <v>7940</v>
      </c>
      <c r="T1273" s="3">
        <v>7940</v>
      </c>
      <c r="U1273" s="3">
        <f>T1273-P1273</f>
        <v>0</v>
      </c>
      <c r="V1273" s="3"/>
      <c r="W1273" s="3">
        <f>Y1273-V1273</f>
        <v>7940</v>
      </c>
      <c r="X1273" s="3"/>
      <c r="Y1273" s="3">
        <v>7940</v>
      </c>
      <c r="Z1273" s="3">
        <f>Y1273-T1273</f>
        <v>0</v>
      </c>
      <c r="AA1273" s="3"/>
      <c r="AB1273" s="3"/>
      <c r="AC1273" s="3"/>
      <c r="AD1273" s="3">
        <f>AE1273-AC1273</f>
        <v>2650</v>
      </c>
      <c r="AE1273" s="3">
        <v>2650</v>
      </c>
      <c r="AF1273" s="3">
        <f>AE1273-Y1273</f>
        <v>-5290</v>
      </c>
      <c r="AG1273" s="3"/>
      <c r="AH1273" s="3">
        <v>7940</v>
      </c>
      <c r="AI1273" s="3"/>
      <c r="AJ1273" s="3">
        <v>7940</v>
      </c>
      <c r="AK1273" s="3"/>
      <c r="AL1273" s="3">
        <v>7940</v>
      </c>
      <c r="AM1273" s="3"/>
      <c r="AN1273" s="3">
        <v>13480</v>
      </c>
      <c r="AO1273" s="3"/>
      <c r="AP1273" s="3">
        <v>13480</v>
      </c>
      <c r="AQ1273" s="42"/>
      <c r="AR1273" s="3">
        <v>13480</v>
      </c>
      <c r="AT1273" s="3">
        <v>13480</v>
      </c>
      <c r="AV1273" s="3">
        <v>10110</v>
      </c>
      <c r="AX1273" s="3"/>
      <c r="AZ1273" s="3"/>
    </row>
    <row r="1274" spans="1:52" ht="15.75" thickBot="1" x14ac:dyDescent="0.3">
      <c r="A1274" s="3"/>
      <c r="B1274" s="43">
        <f>B1270+B1272+B1273</f>
        <v>474000</v>
      </c>
      <c r="C1274" s="32"/>
      <c r="D1274" s="43">
        <f>D1270+D1272+D1273</f>
        <v>1092</v>
      </c>
      <c r="E1274" s="43">
        <f>E1270+E1272+E1273</f>
        <v>472906</v>
      </c>
      <c r="F1274" s="43">
        <f>F1270+F1272+F1273</f>
        <v>474000</v>
      </c>
      <c r="G1274" s="32"/>
      <c r="H1274" s="43">
        <f>H1270+H1272+H1273</f>
        <v>-1</v>
      </c>
      <c r="I1274" s="36"/>
      <c r="J1274" s="43">
        <f>SUM(J1262:J1273)-1</f>
        <v>234605</v>
      </c>
      <c r="K1274" s="43">
        <f>SUM(K1262:K1273)-1</f>
        <v>253091</v>
      </c>
      <c r="L1274" s="43">
        <f>SUM(L1262:L1273)-1</f>
        <v>487698</v>
      </c>
      <c r="M1274" s="32"/>
      <c r="N1274" s="43">
        <f>N1270+N1272+N1273</f>
        <v>499</v>
      </c>
      <c r="P1274" s="43">
        <f>P1270+P1272+P1273</f>
        <v>541190</v>
      </c>
      <c r="R1274" s="43">
        <f t="shared" ref="R1274:Z1274" si="581">R1270+R1272+R1273</f>
        <v>1081</v>
      </c>
      <c r="S1274" s="43">
        <f t="shared" si="581"/>
        <v>540109</v>
      </c>
      <c r="T1274" s="43">
        <f t="shared" si="581"/>
        <v>541190</v>
      </c>
      <c r="U1274" s="43">
        <f t="shared" si="581"/>
        <v>0</v>
      </c>
      <c r="V1274" s="43">
        <f t="shared" si="581"/>
        <v>295135</v>
      </c>
      <c r="W1274" s="43">
        <f t="shared" si="581"/>
        <v>263755</v>
      </c>
      <c r="X1274" s="43"/>
      <c r="Y1274" s="43">
        <f t="shared" si="581"/>
        <v>558890</v>
      </c>
      <c r="Z1274" s="43">
        <f t="shared" si="581"/>
        <v>17700</v>
      </c>
      <c r="AC1274" s="43">
        <f>AC1270+AC1272+AC1273</f>
        <v>307070</v>
      </c>
      <c r="AD1274" s="43">
        <f>AD1270+AD1272+AD1273</f>
        <v>258450</v>
      </c>
      <c r="AE1274" s="43">
        <f>AE1270+AE1272+AE1273</f>
        <v>565520</v>
      </c>
      <c r="AF1274" s="43">
        <f>AF1270+AF1272+AF1273</f>
        <v>6630</v>
      </c>
      <c r="AH1274" s="43">
        <f>AH1270+AH1272+AH1273</f>
        <v>638989.25</v>
      </c>
      <c r="AJ1274" s="43">
        <f>AJ1270+AJ1272+AJ1273</f>
        <v>701170.97875000001</v>
      </c>
      <c r="AL1274" s="43">
        <f>AL1270+AL1272+AL1273</f>
        <v>770442.41564375011</v>
      </c>
      <c r="AN1274" s="43">
        <f>AN1270+AN1272+AN1273</f>
        <v>850951.808332594</v>
      </c>
      <c r="AO1274" s="43"/>
      <c r="AP1274" s="43">
        <f>AP1270+AP1272+AP1273</f>
        <v>913057.01080759126</v>
      </c>
      <c r="AR1274" s="43">
        <f>AR1270+AR1272+AR1273</f>
        <v>979724.70356246398</v>
      </c>
      <c r="AT1274" s="43">
        <f>AT1270+AT1272+AT1273</f>
        <v>1027916.8747607492</v>
      </c>
      <c r="AV1274" s="43">
        <f>AV1270+AV1272+AV1273</f>
        <v>1075088.0254572679</v>
      </c>
      <c r="AX1274" s="43">
        <f>AX1270+AX1272+AX1273</f>
        <v>1116985.3350765251</v>
      </c>
      <c r="AZ1274" s="43">
        <f>AZ1270+AZ1272+AZ1273</f>
        <v>1171581.835160773</v>
      </c>
    </row>
    <row r="1275" spans="1:52" ht="15.75" thickTop="1" x14ac:dyDescent="0.25">
      <c r="A1275" s="7" t="s">
        <v>845</v>
      </c>
    </row>
    <row r="1276" spans="1:52" x14ac:dyDescent="0.25">
      <c r="A1276" s="3" t="s">
        <v>893</v>
      </c>
    </row>
    <row r="1277" spans="1:52" x14ac:dyDescent="0.25">
      <c r="A1277" s="3" t="s">
        <v>894</v>
      </c>
    </row>
    <row r="1278" spans="1:52" x14ac:dyDescent="0.25">
      <c r="A1278" s="88" t="s">
        <v>289</v>
      </c>
      <c r="B1278" s="3">
        <v>145000</v>
      </c>
      <c r="D1278" s="3"/>
      <c r="E1278" s="3">
        <f>F1278-D1278</f>
        <v>145000</v>
      </c>
      <c r="F1278" s="5">
        <v>145000</v>
      </c>
      <c r="H1278" s="5">
        <f>F1278-B1278</f>
        <v>0</v>
      </c>
      <c r="J1278" s="5">
        <v>0</v>
      </c>
      <c r="K1278" s="4">
        <f>L1278-J1278</f>
        <v>145000</v>
      </c>
      <c r="L1278" s="4">
        <v>145000</v>
      </c>
      <c r="N1278" s="4">
        <f>L1278-F1278</f>
        <v>0</v>
      </c>
      <c r="P1278" s="3">
        <v>145000</v>
      </c>
      <c r="Q1278" s="3"/>
      <c r="R1278" s="3"/>
      <c r="S1278" s="3">
        <f>T1278-R1278</f>
        <v>163000</v>
      </c>
      <c r="T1278" s="3">
        <v>163000</v>
      </c>
      <c r="U1278" s="3">
        <f>T1278-P1278</f>
        <v>18000</v>
      </c>
      <c r="V1278" s="3"/>
      <c r="W1278" s="3">
        <f>Y1278-V1278</f>
        <v>163000</v>
      </c>
      <c r="X1278" s="3"/>
      <c r="Y1278" s="3">
        <v>163000</v>
      </c>
      <c r="Z1278" s="3">
        <f>Y1278-T1278</f>
        <v>0</v>
      </c>
      <c r="AA1278" s="3"/>
      <c r="AB1278" s="3"/>
      <c r="AC1278" s="3"/>
      <c r="AD1278" s="3">
        <f>AE1278-AC1278</f>
        <v>163000</v>
      </c>
      <c r="AE1278" s="3">
        <v>163000</v>
      </c>
      <c r="AF1278" s="3">
        <f>AE1278-Y1278</f>
        <v>0</v>
      </c>
      <c r="AG1278" s="3"/>
      <c r="AH1278" s="88">
        <v>145000</v>
      </c>
      <c r="AI1278" s="3"/>
      <c r="AJ1278" s="3">
        <v>145000</v>
      </c>
      <c r="AK1278" s="3"/>
      <c r="AL1278" s="3">
        <v>145000</v>
      </c>
      <c r="AM1278" s="3"/>
      <c r="AN1278" s="3">
        <v>145000</v>
      </c>
      <c r="AO1278" s="3"/>
      <c r="AP1278" s="3">
        <v>145000</v>
      </c>
      <c r="AQ1278" s="42"/>
      <c r="AR1278" s="3">
        <v>145000</v>
      </c>
      <c r="AT1278" s="3">
        <v>145000</v>
      </c>
      <c r="AV1278" s="3">
        <v>145000</v>
      </c>
      <c r="AX1278" s="3">
        <v>145000</v>
      </c>
      <c r="AZ1278" s="3">
        <v>145000</v>
      </c>
    </row>
    <row r="1279" spans="1:52" ht="15.75" thickBot="1" x14ac:dyDescent="0.3">
      <c r="A1279" s="3"/>
      <c r="B1279" s="43">
        <f>SUM(B1276:B1278)</f>
        <v>145000</v>
      </c>
      <c r="C1279" s="32"/>
      <c r="D1279" s="43">
        <f>SUM(D1276:D1278)</f>
        <v>0</v>
      </c>
      <c r="E1279" s="43">
        <f>SUM(E1276:E1278)</f>
        <v>145000</v>
      </c>
      <c r="F1279" s="43">
        <f>SUM(F1276:F1278)</f>
        <v>145000</v>
      </c>
      <c r="G1279" s="44"/>
      <c r="H1279" s="43">
        <f>SUM(H1276:H1278)</f>
        <v>0</v>
      </c>
      <c r="I1279" s="36"/>
      <c r="J1279" s="43">
        <f>SUM(J1276:J1278)</f>
        <v>0</v>
      </c>
      <c r="K1279" s="43">
        <f>SUM(K1276:K1278)</f>
        <v>145000</v>
      </c>
      <c r="L1279" s="43">
        <f>SUM(L1276:L1278)</f>
        <v>145000</v>
      </c>
      <c r="M1279" s="32"/>
      <c r="N1279" s="43">
        <f>SUM(N1276:N1278)</f>
        <v>0</v>
      </c>
      <c r="P1279" s="43">
        <f>SUM(P1276:P1278)</f>
        <v>145000</v>
      </c>
      <c r="R1279" s="43">
        <f t="shared" ref="R1279:Z1279" si="582">SUM(R1276:R1278)</f>
        <v>0</v>
      </c>
      <c r="S1279" s="43">
        <f t="shared" si="582"/>
        <v>163000</v>
      </c>
      <c r="T1279" s="43">
        <f t="shared" si="582"/>
        <v>163000</v>
      </c>
      <c r="U1279" s="43">
        <f t="shared" si="582"/>
        <v>18000</v>
      </c>
      <c r="V1279" s="43">
        <f t="shared" si="582"/>
        <v>0</v>
      </c>
      <c r="W1279" s="43">
        <f t="shared" si="582"/>
        <v>163000</v>
      </c>
      <c r="X1279" s="43"/>
      <c r="Y1279" s="43">
        <f t="shared" si="582"/>
        <v>163000</v>
      </c>
      <c r="Z1279" s="43">
        <f t="shared" si="582"/>
        <v>0</v>
      </c>
      <c r="AC1279" s="43">
        <f>SUM(AC1276:AC1278)</f>
        <v>0</v>
      </c>
      <c r="AD1279" s="43">
        <f>SUM(AD1276:AD1278)</f>
        <v>163000</v>
      </c>
      <c r="AE1279" s="43">
        <f>SUM(AE1276:AE1278)</f>
        <v>163000</v>
      </c>
      <c r="AF1279" s="43">
        <f>SUM(AF1276:AF1278)</f>
        <v>0</v>
      </c>
      <c r="AH1279" s="43">
        <f>SUM(AH1276:AH1278)</f>
        <v>145000</v>
      </c>
      <c r="AJ1279" s="43">
        <f>SUM(AJ1276:AJ1278)</f>
        <v>145000</v>
      </c>
      <c r="AL1279" s="43">
        <f>SUM(AL1276:AL1278)</f>
        <v>145000</v>
      </c>
      <c r="AN1279" s="43">
        <f>SUM(AN1276:AN1278)</f>
        <v>145000</v>
      </c>
      <c r="AO1279" s="43"/>
      <c r="AP1279" s="43">
        <f>SUM(AP1276:AP1278)</f>
        <v>145000</v>
      </c>
      <c r="AR1279" s="43">
        <f>SUM(AR1276:AR1278)</f>
        <v>145000</v>
      </c>
      <c r="AT1279" s="43">
        <f>SUM(AT1276:AT1278)</f>
        <v>145000</v>
      </c>
      <c r="AV1279" s="43">
        <f>SUM(AV1276:AV1278)</f>
        <v>145000</v>
      </c>
      <c r="AX1279" s="43">
        <f>SUM(AX1276:AX1278)</f>
        <v>145000</v>
      </c>
      <c r="AZ1279" s="43">
        <f>SUM(AZ1276:AZ1278)</f>
        <v>145000</v>
      </c>
    </row>
    <row r="1280" spans="1:52" ht="16.5" thickTop="1" thickBot="1" x14ac:dyDescent="0.3">
      <c r="A1280" s="3"/>
      <c r="B1280" s="49">
        <f>B1274+B1279</f>
        <v>619000</v>
      </c>
      <c r="C1280" s="32"/>
      <c r="D1280" s="49">
        <f>D1274+D1279</f>
        <v>1092</v>
      </c>
      <c r="E1280" s="49">
        <f>E1274+E1279</f>
        <v>617906</v>
      </c>
      <c r="F1280" s="49">
        <f>F1274+F1279</f>
        <v>619000</v>
      </c>
      <c r="G1280" s="84"/>
      <c r="H1280" s="49">
        <f>H1274+H1279</f>
        <v>-1</v>
      </c>
      <c r="I1280" s="36"/>
      <c r="J1280" s="49">
        <f>J1274+J1279</f>
        <v>234605</v>
      </c>
      <c r="K1280" s="49">
        <f>K1274+K1279</f>
        <v>398091</v>
      </c>
      <c r="L1280" s="49">
        <f>L1274+L1279</f>
        <v>632698</v>
      </c>
      <c r="M1280" s="32"/>
      <c r="N1280" s="49">
        <f>N1274+N1279</f>
        <v>499</v>
      </c>
      <c r="P1280" s="49">
        <f>P1274+P1279</f>
        <v>686190</v>
      </c>
      <c r="R1280" s="49">
        <f t="shared" ref="R1280:Z1280" si="583">R1274+R1279</f>
        <v>1081</v>
      </c>
      <c r="S1280" s="49">
        <f t="shared" si="583"/>
        <v>703109</v>
      </c>
      <c r="T1280" s="49">
        <f t="shared" si="583"/>
        <v>704190</v>
      </c>
      <c r="U1280" s="49">
        <f t="shared" si="583"/>
        <v>18000</v>
      </c>
      <c r="V1280" s="49">
        <f t="shared" si="583"/>
        <v>295135</v>
      </c>
      <c r="W1280" s="49">
        <f t="shared" si="583"/>
        <v>426755</v>
      </c>
      <c r="X1280" s="49"/>
      <c r="Y1280" s="49">
        <f t="shared" si="583"/>
        <v>721890</v>
      </c>
      <c r="Z1280" s="49">
        <f t="shared" si="583"/>
        <v>17700</v>
      </c>
      <c r="AC1280" s="49">
        <f>AC1274+AC1279</f>
        <v>307070</v>
      </c>
      <c r="AD1280" s="49">
        <f>AD1274+AD1279</f>
        <v>421450</v>
      </c>
      <c r="AE1280" s="49">
        <f>AE1274+AE1279</f>
        <v>728520</v>
      </c>
      <c r="AF1280" s="49">
        <f>AF1274+AF1279</f>
        <v>6630</v>
      </c>
      <c r="AH1280" s="49">
        <f>AH1274+AH1279</f>
        <v>783989.25</v>
      </c>
      <c r="AJ1280" s="49">
        <f>AJ1274+AJ1279</f>
        <v>846170.97875000001</v>
      </c>
      <c r="AL1280" s="49">
        <f>AL1274+AL1279</f>
        <v>915442.41564375011</v>
      </c>
      <c r="AN1280" s="49">
        <f>AN1274+AN1279</f>
        <v>995951.808332594</v>
      </c>
      <c r="AO1280" s="49"/>
      <c r="AP1280" s="49">
        <f>AP1274+AP1279</f>
        <v>1058057.0108075913</v>
      </c>
      <c r="AR1280" s="49">
        <f>AR1274+AR1279</f>
        <v>1124724.7035624641</v>
      </c>
      <c r="AT1280" s="49">
        <f>AT1274+AT1279</f>
        <v>1172916.8747607493</v>
      </c>
      <c r="AV1280" s="49">
        <f>AV1274+AV1279</f>
        <v>1220088.0254572679</v>
      </c>
      <c r="AX1280" s="49">
        <f>AX1274+AX1279</f>
        <v>1261985.3350765251</v>
      </c>
      <c r="AZ1280" s="49">
        <f>AZ1274+AZ1279</f>
        <v>1316581.835160773</v>
      </c>
    </row>
    <row r="1281" spans="1:52" ht="15.75" thickTop="1" x14ac:dyDescent="0.25">
      <c r="A1281" s="28" t="s">
        <v>823</v>
      </c>
    </row>
    <row r="1282" spans="1:52" x14ac:dyDescent="0.25">
      <c r="A1282" s="7" t="s">
        <v>824</v>
      </c>
    </row>
    <row r="1283" spans="1:52" x14ac:dyDescent="0.25">
      <c r="A1283" s="7" t="s">
        <v>58</v>
      </c>
      <c r="W1283" s="3">
        <f t="shared" ref="W1283:W1292" si="584">Y1283-V1283</f>
        <v>0</v>
      </c>
      <c r="X1283" s="3"/>
    </row>
    <row r="1284" spans="1:52" x14ac:dyDescent="0.25">
      <c r="A1284" s="3" t="s">
        <v>825</v>
      </c>
      <c r="B1284" s="3">
        <f>42180+20</f>
        <v>42200</v>
      </c>
      <c r="D1284" s="3">
        <v>0</v>
      </c>
      <c r="E1284" s="3">
        <f t="shared" ref="E1284:E1292" si="585">F1284-D1284</f>
        <v>42200</v>
      </c>
      <c r="F1284" s="5">
        <v>42200</v>
      </c>
      <c r="H1284" s="5">
        <f t="shared" ref="H1284:H1292" si="586">F1284-B1284</f>
        <v>0</v>
      </c>
      <c r="J1284" s="5">
        <v>0</v>
      </c>
      <c r="K1284" s="4">
        <f t="shared" ref="K1284:K1292" si="587">L1284-J1284</f>
        <v>42200</v>
      </c>
      <c r="L1284" s="4">
        <v>42200</v>
      </c>
      <c r="N1284" s="4">
        <f t="shared" ref="N1284:N1292" si="588">L1284-F1284</f>
        <v>0</v>
      </c>
      <c r="P1284" s="3">
        <v>43450</v>
      </c>
      <c r="Q1284" s="3"/>
      <c r="R1284" s="3">
        <v>0</v>
      </c>
      <c r="S1284" s="3">
        <f t="shared" ref="S1284:S1292" si="589">T1284-R1284</f>
        <v>43450</v>
      </c>
      <c r="T1284" s="3">
        <v>43450</v>
      </c>
      <c r="U1284" s="3">
        <f t="shared" ref="U1284:U1292" si="590">T1284-P1284</f>
        <v>0</v>
      </c>
      <c r="V1284" s="3">
        <v>0</v>
      </c>
      <c r="W1284" s="3">
        <f t="shared" si="584"/>
        <v>43450</v>
      </c>
      <c r="X1284" s="3"/>
      <c r="Y1284" s="3">
        <v>43450</v>
      </c>
      <c r="Z1284" s="3">
        <f t="shared" ref="Z1284:Z1292" si="591">Y1284-T1284</f>
        <v>0</v>
      </c>
      <c r="AA1284" s="3"/>
      <c r="AB1284" s="3"/>
      <c r="AC1284" s="3">
        <v>0</v>
      </c>
      <c r="AD1284" s="3">
        <f t="shared" ref="AD1284:AD1292" si="592">AE1284-AC1284</f>
        <v>43450</v>
      </c>
      <c r="AE1284" s="3">
        <v>43450</v>
      </c>
      <c r="AF1284" s="3">
        <f t="shared" ref="AF1284:AF1292" si="593">AE1284-Y1284</f>
        <v>0</v>
      </c>
      <c r="AG1284" s="3"/>
      <c r="AH1284" s="3">
        <f>AE1284*1.05+27</f>
        <v>45649.5</v>
      </c>
      <c r="AI1284" s="3"/>
      <c r="AJ1284" s="3">
        <f>AH1284*1.05</f>
        <v>47931.974999999999</v>
      </c>
      <c r="AK1284" s="3"/>
      <c r="AL1284" s="3">
        <f>AJ1284*1.05</f>
        <v>50328.573750000003</v>
      </c>
      <c r="AM1284" s="3"/>
      <c r="AN1284" s="3">
        <f>AL1284*1.05</f>
        <v>52845.002437500007</v>
      </c>
      <c r="AO1284" s="3"/>
      <c r="AP1284" s="3">
        <f>AN1284*1.05</f>
        <v>55487.252559375011</v>
      </c>
      <c r="AQ1284" s="42"/>
      <c r="AR1284" s="3">
        <f>AP1284*1.05</f>
        <v>58261.615187343763</v>
      </c>
      <c r="AS1284" s="42"/>
      <c r="AT1284" s="3">
        <f>AR1284*1.05</f>
        <v>61174.695946710955</v>
      </c>
      <c r="AU1284" s="42"/>
      <c r="AV1284" s="3">
        <f>AT1284*1.05</f>
        <v>64233.430744046505</v>
      </c>
      <c r="AW1284" s="42"/>
      <c r="AX1284" s="3">
        <f>AV1284*1.05</f>
        <v>67445.102281248837</v>
      </c>
      <c r="AZ1284" s="3">
        <f>AX1284*1.05</f>
        <v>70817.357395311279</v>
      </c>
    </row>
    <row r="1285" spans="1:52" x14ac:dyDescent="0.25">
      <c r="A1285" s="3" t="s">
        <v>895</v>
      </c>
      <c r="B1285" s="3"/>
      <c r="D1285" s="3"/>
      <c r="E1285" s="3">
        <f t="shared" si="585"/>
        <v>0</v>
      </c>
      <c r="H1285" s="5">
        <f t="shared" si="586"/>
        <v>0</v>
      </c>
      <c r="K1285" s="4">
        <f t="shared" si="587"/>
        <v>0</v>
      </c>
      <c r="L1285" s="4"/>
      <c r="N1285" s="4">
        <f t="shared" si="588"/>
        <v>0</v>
      </c>
      <c r="P1285" s="3"/>
      <c r="Q1285" s="3"/>
      <c r="R1285" s="3"/>
      <c r="S1285" s="3">
        <f t="shared" si="589"/>
        <v>0</v>
      </c>
      <c r="T1285" s="3"/>
      <c r="U1285" s="3">
        <f t="shared" si="590"/>
        <v>0</v>
      </c>
      <c r="V1285" s="3"/>
      <c r="W1285" s="3">
        <f t="shared" si="584"/>
        <v>0</v>
      </c>
      <c r="X1285" s="3"/>
      <c r="Y1285" s="3"/>
      <c r="Z1285" s="3">
        <f t="shared" si="591"/>
        <v>0</v>
      </c>
      <c r="AA1285" s="3"/>
      <c r="AB1285" s="3"/>
      <c r="AC1285" s="3"/>
      <c r="AD1285" s="3">
        <f t="shared" si="592"/>
        <v>0</v>
      </c>
      <c r="AE1285" s="3"/>
      <c r="AF1285" s="3">
        <f t="shared" si="593"/>
        <v>0</v>
      </c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42"/>
      <c r="AR1285" s="3"/>
      <c r="AS1285" s="42"/>
      <c r="AT1285" s="3"/>
      <c r="AU1285" s="42"/>
      <c r="AV1285" s="3"/>
      <c r="AW1285" s="42"/>
      <c r="AX1285" s="3"/>
      <c r="AZ1285" s="3"/>
    </row>
    <row r="1286" spans="1:52" x14ac:dyDescent="0.25">
      <c r="A1286" s="3" t="s">
        <v>299</v>
      </c>
      <c r="B1286" s="3">
        <v>5000</v>
      </c>
      <c r="D1286" s="3">
        <v>1424</v>
      </c>
      <c r="E1286" s="3">
        <f t="shared" si="585"/>
        <v>3576</v>
      </c>
      <c r="F1286" s="5">
        <v>5000</v>
      </c>
      <c r="H1286" s="5">
        <f t="shared" si="586"/>
        <v>0</v>
      </c>
      <c r="J1286" s="5">
        <v>4415</v>
      </c>
      <c r="K1286" s="4">
        <f t="shared" si="587"/>
        <v>585</v>
      </c>
      <c r="L1286" s="4">
        <v>5000</v>
      </c>
      <c r="N1286" s="4">
        <f t="shared" si="588"/>
        <v>0</v>
      </c>
      <c r="P1286" s="3">
        <f>L1286*1.0281+9</f>
        <v>5149.5</v>
      </c>
      <c r="Q1286" s="3"/>
      <c r="R1286" s="3">
        <v>0</v>
      </c>
      <c r="S1286" s="3">
        <f t="shared" si="589"/>
        <v>5150</v>
      </c>
      <c r="T1286" s="3">
        <v>5150</v>
      </c>
      <c r="U1286" s="3">
        <f t="shared" si="590"/>
        <v>0.5</v>
      </c>
      <c r="V1286" s="3">
        <v>0</v>
      </c>
      <c r="W1286" s="3">
        <f t="shared" si="584"/>
        <v>5000</v>
      </c>
      <c r="X1286" s="3"/>
      <c r="Y1286" s="3">
        <v>5000</v>
      </c>
      <c r="Z1286" s="3">
        <f t="shared" si="591"/>
        <v>-150</v>
      </c>
      <c r="AA1286" s="3"/>
      <c r="AB1286" s="3"/>
      <c r="AC1286" s="3">
        <v>0</v>
      </c>
      <c r="AD1286" s="3">
        <f t="shared" si="592"/>
        <v>4000</v>
      </c>
      <c r="AE1286" s="3">
        <v>4000</v>
      </c>
      <c r="AF1286" s="3">
        <f t="shared" si="593"/>
        <v>-1000</v>
      </c>
      <c r="AG1286" s="3"/>
      <c r="AH1286" s="3">
        <f>AE1286*1.03+30</f>
        <v>4150</v>
      </c>
      <c r="AI1286" s="3"/>
      <c r="AJ1286" s="3">
        <f>AH1286*1.03</f>
        <v>4274.5</v>
      </c>
      <c r="AK1286" s="3"/>
      <c r="AL1286" s="3">
        <f>AJ1286*1.03</f>
        <v>4402.7349999999997</v>
      </c>
      <c r="AM1286" s="3"/>
      <c r="AN1286" s="3">
        <f>AL1286*1.03</f>
        <v>4534.8170499999997</v>
      </c>
      <c r="AO1286" s="3"/>
      <c r="AP1286" s="3">
        <f>AN1286*1.03</f>
        <v>4670.8615614999999</v>
      </c>
      <c r="AQ1286" s="42"/>
      <c r="AR1286" s="3">
        <f>AP1286*1.03</f>
        <v>4810.9874083450004</v>
      </c>
      <c r="AT1286" s="3">
        <f>AR1286*1.03</f>
        <v>4955.3170305953508</v>
      </c>
      <c r="AV1286" s="3">
        <f>AT1286*1.03</f>
        <v>5103.9765415132115</v>
      </c>
      <c r="AX1286" s="3">
        <f>AV1286*1.03</f>
        <v>5257.0958377586076</v>
      </c>
      <c r="AZ1286" s="3">
        <f>AX1286*1.03</f>
        <v>5414.8087128913658</v>
      </c>
    </row>
    <row r="1287" spans="1:52" x14ac:dyDescent="0.25">
      <c r="A1287" s="3" t="s">
        <v>896</v>
      </c>
      <c r="B1287" s="3">
        <v>4300</v>
      </c>
      <c r="D1287" s="3">
        <v>0</v>
      </c>
      <c r="E1287" s="3">
        <f t="shared" si="585"/>
        <v>4300</v>
      </c>
      <c r="F1287" s="5">
        <v>4300</v>
      </c>
      <c r="H1287" s="5">
        <f t="shared" si="586"/>
        <v>0</v>
      </c>
      <c r="J1287" s="5">
        <v>3008</v>
      </c>
      <c r="K1287" s="4">
        <f t="shared" si="587"/>
        <v>1292</v>
      </c>
      <c r="L1287" s="4">
        <v>4300</v>
      </c>
      <c r="N1287" s="4">
        <f t="shared" si="588"/>
        <v>0</v>
      </c>
      <c r="P1287" s="3">
        <f>L1287*1.0281+29</f>
        <v>4449.83</v>
      </c>
      <c r="Q1287" s="3"/>
      <c r="R1287" s="3">
        <v>3142</v>
      </c>
      <c r="S1287" s="3">
        <f t="shared" si="589"/>
        <v>1308</v>
      </c>
      <c r="T1287" s="3">
        <v>4450</v>
      </c>
      <c r="U1287" s="3">
        <f t="shared" si="590"/>
        <v>0.17000000000007276</v>
      </c>
      <c r="V1287" s="3">
        <v>3142</v>
      </c>
      <c r="W1287" s="3">
        <f t="shared" si="584"/>
        <v>1308</v>
      </c>
      <c r="X1287" s="3"/>
      <c r="Y1287" s="3">
        <v>4450</v>
      </c>
      <c r="Z1287" s="3">
        <f t="shared" si="591"/>
        <v>0</v>
      </c>
      <c r="AA1287" s="3"/>
      <c r="AB1287" s="3"/>
      <c r="AC1287" s="3">
        <v>6271</v>
      </c>
      <c r="AD1287" s="3">
        <f t="shared" si="592"/>
        <v>1229</v>
      </c>
      <c r="AE1287" s="3">
        <v>7500</v>
      </c>
      <c r="AF1287" s="3">
        <f t="shared" si="593"/>
        <v>3050</v>
      </c>
      <c r="AG1287" s="3"/>
      <c r="AH1287" s="3">
        <f>AE1287*1.07-25</f>
        <v>8000.0000000000009</v>
      </c>
      <c r="AI1287" s="3"/>
      <c r="AJ1287" s="3">
        <f>AH1287*1.07</f>
        <v>8560.0000000000018</v>
      </c>
      <c r="AK1287" s="3"/>
      <c r="AL1287" s="3">
        <f>AJ1287*1.07</f>
        <v>9159.2000000000025</v>
      </c>
      <c r="AM1287" s="3"/>
      <c r="AN1287" s="3">
        <f>AL1287*1.06</f>
        <v>9708.752000000004</v>
      </c>
      <c r="AO1287" s="3"/>
      <c r="AP1287" s="3">
        <f>AN1287*1.05</f>
        <v>10194.189600000005</v>
      </c>
      <c r="AQ1287" s="42"/>
      <c r="AR1287" s="3">
        <f>AP1287*1.05</f>
        <v>10703.899080000007</v>
      </c>
      <c r="AT1287" s="3">
        <f>AR1287*1.05</f>
        <v>11239.094034000007</v>
      </c>
      <c r="AV1287" s="3">
        <f>AT1287*1.05</f>
        <v>11801.048735700007</v>
      </c>
      <c r="AX1287" s="3">
        <f>AV1287*1.05</f>
        <v>12391.101172485009</v>
      </c>
      <c r="AZ1287" s="3">
        <f>AX1287*1.05</f>
        <v>13010.65623110926</v>
      </c>
    </row>
    <row r="1288" spans="1:52" x14ac:dyDescent="0.25">
      <c r="A1288" s="3" t="s">
        <v>897</v>
      </c>
      <c r="B1288" s="3"/>
      <c r="D1288" s="3"/>
      <c r="E1288" s="3">
        <f t="shared" si="585"/>
        <v>0</v>
      </c>
      <c r="H1288" s="5">
        <f t="shared" si="586"/>
        <v>0</v>
      </c>
      <c r="K1288" s="4">
        <f t="shared" si="587"/>
        <v>0</v>
      </c>
      <c r="L1288" s="4"/>
      <c r="N1288" s="4">
        <f t="shared" si="588"/>
        <v>0</v>
      </c>
      <c r="P1288" s="3"/>
      <c r="Q1288" s="3"/>
      <c r="R1288" s="3"/>
      <c r="S1288" s="3">
        <f t="shared" si="589"/>
        <v>0</v>
      </c>
      <c r="T1288" s="3"/>
      <c r="U1288" s="3">
        <f t="shared" si="590"/>
        <v>0</v>
      </c>
      <c r="V1288" s="3"/>
      <c r="W1288" s="3">
        <f t="shared" si="584"/>
        <v>0</v>
      </c>
      <c r="X1288" s="3"/>
      <c r="Y1288" s="3"/>
      <c r="Z1288" s="3">
        <f t="shared" si="591"/>
        <v>0</v>
      </c>
      <c r="AA1288" s="3"/>
      <c r="AB1288" s="3"/>
      <c r="AC1288" s="3"/>
      <c r="AD1288" s="3">
        <f t="shared" si="592"/>
        <v>0</v>
      </c>
      <c r="AE1288" s="3"/>
      <c r="AF1288" s="3">
        <f t="shared" si="593"/>
        <v>0</v>
      </c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42"/>
      <c r="AR1288" s="3"/>
      <c r="AS1288" s="42"/>
      <c r="AT1288" s="3"/>
      <c r="AU1288" s="42"/>
      <c r="AV1288" s="3"/>
      <c r="AW1288" s="42"/>
      <c r="AX1288" s="3"/>
      <c r="AZ1288" s="3"/>
    </row>
    <row r="1289" spans="1:52" x14ac:dyDescent="0.25">
      <c r="A1289" s="3" t="s">
        <v>827</v>
      </c>
      <c r="B1289" s="3">
        <v>8000</v>
      </c>
      <c r="D1289" s="3">
        <v>535</v>
      </c>
      <c r="E1289" s="3">
        <f t="shared" si="585"/>
        <v>7465</v>
      </c>
      <c r="F1289" s="5">
        <v>8000</v>
      </c>
      <c r="H1289" s="5">
        <f t="shared" si="586"/>
        <v>0</v>
      </c>
      <c r="J1289" s="5">
        <v>1032</v>
      </c>
      <c r="K1289" s="4">
        <f t="shared" si="587"/>
        <v>5968</v>
      </c>
      <c r="L1289" s="4">
        <v>7000</v>
      </c>
      <c r="N1289" s="4">
        <f t="shared" si="588"/>
        <v>-1000</v>
      </c>
      <c r="P1289" s="3">
        <v>8500</v>
      </c>
      <c r="Q1289" s="3"/>
      <c r="R1289" s="3">
        <v>1684</v>
      </c>
      <c r="S1289" s="3">
        <f t="shared" si="589"/>
        <v>6816</v>
      </c>
      <c r="T1289" s="3">
        <v>8500</v>
      </c>
      <c r="U1289" s="3">
        <f t="shared" si="590"/>
        <v>0</v>
      </c>
      <c r="V1289" s="3">
        <v>3012</v>
      </c>
      <c r="W1289" s="3">
        <f t="shared" si="584"/>
        <v>5488</v>
      </c>
      <c r="X1289" s="3"/>
      <c r="Y1289" s="3">
        <v>8500</v>
      </c>
      <c r="Z1289" s="3">
        <f t="shared" si="591"/>
        <v>0</v>
      </c>
      <c r="AA1289" s="3"/>
      <c r="AB1289" s="3"/>
      <c r="AC1289" s="3">
        <v>4969</v>
      </c>
      <c r="AD1289" s="3">
        <f t="shared" si="592"/>
        <v>3531</v>
      </c>
      <c r="AE1289" s="3">
        <v>8500</v>
      </c>
      <c r="AF1289" s="3">
        <f t="shared" si="593"/>
        <v>0</v>
      </c>
      <c r="AG1289" s="3"/>
      <c r="AH1289" s="3">
        <f>P1289*1.0325-26</f>
        <v>8750.25</v>
      </c>
      <c r="AI1289" s="3"/>
      <c r="AJ1289" s="3">
        <f>AH1289*1.0275</f>
        <v>8990.8818750000009</v>
      </c>
      <c r="AK1289" s="3"/>
      <c r="AL1289" s="3">
        <f>AJ1289*1.0275</f>
        <v>9238.1311265625009</v>
      </c>
      <c r="AM1289" s="3"/>
      <c r="AN1289" s="3">
        <f>AL1289*1.0275</f>
        <v>9492.1797325429707</v>
      </c>
      <c r="AO1289" s="3"/>
      <c r="AP1289" s="3">
        <f>AN1289*1.0275</f>
        <v>9753.2146751879027</v>
      </c>
      <c r="AQ1289" s="42"/>
      <c r="AR1289" s="3">
        <f>AP1289*1.0275</f>
        <v>10021.428078755571</v>
      </c>
      <c r="AS1289" s="42"/>
      <c r="AT1289" s="3">
        <f>AR1289*1.0275</f>
        <v>10297.017350921349</v>
      </c>
      <c r="AU1289" s="42"/>
      <c r="AV1289" s="3">
        <f>AT1289*1.0275</f>
        <v>10580.185328071688</v>
      </c>
      <c r="AW1289" s="42"/>
      <c r="AX1289" s="3">
        <f>AV1289*1.0275</f>
        <v>10871.140424593659</v>
      </c>
      <c r="AZ1289" s="3">
        <f>AX1289*1.0275</f>
        <v>11170.096786269985</v>
      </c>
    </row>
    <row r="1290" spans="1:52" x14ac:dyDescent="0.25">
      <c r="A1290" s="3" t="s">
        <v>898</v>
      </c>
      <c r="B1290" s="3"/>
      <c r="D1290" s="3"/>
      <c r="E1290" s="3">
        <f t="shared" si="585"/>
        <v>0</v>
      </c>
      <c r="H1290" s="5">
        <f t="shared" si="586"/>
        <v>0</v>
      </c>
      <c r="K1290" s="4">
        <f t="shared" si="587"/>
        <v>4000</v>
      </c>
      <c r="L1290" s="4">
        <v>4000</v>
      </c>
      <c r="N1290" s="4">
        <f t="shared" si="588"/>
        <v>4000</v>
      </c>
      <c r="P1290" s="3">
        <v>8000</v>
      </c>
      <c r="Q1290" s="3"/>
      <c r="R1290" s="3"/>
      <c r="S1290" s="3">
        <f t="shared" si="589"/>
        <v>8000</v>
      </c>
      <c r="T1290" s="3">
        <v>8000</v>
      </c>
      <c r="U1290" s="3">
        <f t="shared" si="590"/>
        <v>0</v>
      </c>
      <c r="V1290" s="3"/>
      <c r="W1290" s="3">
        <f t="shared" si="584"/>
        <v>0</v>
      </c>
      <c r="X1290" s="3"/>
      <c r="Y1290" s="3">
        <v>0</v>
      </c>
      <c r="Z1290" s="3">
        <f t="shared" si="591"/>
        <v>-8000</v>
      </c>
      <c r="AA1290" s="3"/>
      <c r="AB1290" s="3"/>
      <c r="AC1290" s="3"/>
      <c r="AD1290" s="3">
        <f t="shared" si="592"/>
        <v>0</v>
      </c>
      <c r="AE1290" s="3"/>
      <c r="AF1290" s="3">
        <f t="shared" si="593"/>
        <v>0</v>
      </c>
      <c r="AG1290" s="3"/>
      <c r="AH1290" s="3"/>
      <c r="AI1290" s="3"/>
      <c r="AJ1290" s="3"/>
      <c r="AK1290" s="3"/>
      <c r="AL1290" s="3"/>
      <c r="AM1290" s="3"/>
      <c r="AN1290" s="3">
        <v>9000</v>
      </c>
      <c r="AO1290" s="3"/>
      <c r="AP1290" s="3"/>
      <c r="AQ1290" s="42"/>
      <c r="AR1290" s="3"/>
      <c r="AS1290" s="42"/>
      <c r="AT1290" s="3">
        <v>10000</v>
      </c>
      <c r="AU1290" s="42"/>
      <c r="AV1290" s="3">
        <v>10000</v>
      </c>
      <c r="AW1290" s="42"/>
      <c r="AX1290" s="3">
        <v>10000</v>
      </c>
      <c r="AZ1290" s="3">
        <v>10000</v>
      </c>
    </row>
    <row r="1291" spans="1:52" x14ac:dyDescent="0.25">
      <c r="A1291" s="3" t="s">
        <v>899</v>
      </c>
      <c r="B1291" s="3">
        <v>4000</v>
      </c>
      <c r="D1291" s="3"/>
      <c r="E1291" s="3">
        <f t="shared" si="585"/>
        <v>4000</v>
      </c>
      <c r="F1291" s="5">
        <v>4000</v>
      </c>
      <c r="H1291" s="5">
        <f t="shared" si="586"/>
        <v>0</v>
      </c>
      <c r="J1291" s="5">
        <v>4069</v>
      </c>
      <c r="K1291" s="4">
        <f t="shared" si="587"/>
        <v>1</v>
      </c>
      <c r="L1291" s="4">
        <v>4070</v>
      </c>
      <c r="N1291" s="4">
        <f t="shared" si="588"/>
        <v>70</v>
      </c>
      <c r="P1291" s="3">
        <f>L1291*1.0281+16</f>
        <v>4200.3670000000002</v>
      </c>
      <c r="Q1291" s="3"/>
      <c r="R1291" s="3">
        <v>4080</v>
      </c>
      <c r="S1291" s="3">
        <f t="shared" si="589"/>
        <v>120</v>
      </c>
      <c r="T1291" s="3">
        <v>4200</v>
      </c>
      <c r="U1291" s="3">
        <f t="shared" si="590"/>
        <v>-0.36700000000018917</v>
      </c>
      <c r="V1291" s="3">
        <v>4081</v>
      </c>
      <c r="W1291" s="3">
        <f t="shared" si="584"/>
        <v>119</v>
      </c>
      <c r="X1291" s="3"/>
      <c r="Y1291" s="3">
        <v>4200</v>
      </c>
      <c r="Z1291" s="3">
        <f t="shared" si="591"/>
        <v>0</v>
      </c>
      <c r="AA1291" s="3"/>
      <c r="AB1291" s="3"/>
      <c r="AC1291" s="3">
        <v>4081</v>
      </c>
      <c r="AD1291" s="3">
        <f t="shared" si="592"/>
        <v>19</v>
      </c>
      <c r="AE1291" s="3">
        <v>4100</v>
      </c>
      <c r="AF1291" s="3">
        <f t="shared" si="593"/>
        <v>-100</v>
      </c>
      <c r="AG1291" s="3"/>
      <c r="AH1291" s="3">
        <f>AE1291*1.03-23</f>
        <v>4200</v>
      </c>
      <c r="AI1291" s="3"/>
      <c r="AJ1291" s="3">
        <f>AH1291*1.03</f>
        <v>4326</v>
      </c>
      <c r="AK1291" s="3"/>
      <c r="AL1291" s="3">
        <f>AJ1291*1.03</f>
        <v>4455.78</v>
      </c>
      <c r="AM1291" s="3"/>
      <c r="AN1291" s="3">
        <f>AL1291*1.03</f>
        <v>4589.4533999999994</v>
      </c>
      <c r="AO1291" s="3"/>
      <c r="AP1291" s="3">
        <f>AN1291*1.03</f>
        <v>4727.1370019999995</v>
      </c>
      <c r="AQ1291" s="42"/>
      <c r="AR1291" s="3">
        <f>AP1291*1.03</f>
        <v>4868.95111206</v>
      </c>
      <c r="AT1291" s="3">
        <f>AR1291*1.03</f>
        <v>5015.0196454218003</v>
      </c>
      <c r="AV1291" s="3">
        <f>AT1291*1.03</f>
        <v>5165.4702347844541</v>
      </c>
      <c r="AX1291" s="3">
        <f>AV1291*1.03</f>
        <v>5320.4343418279877</v>
      </c>
      <c r="AZ1291" s="3">
        <f>AX1291*1.03</f>
        <v>5480.0473720828277</v>
      </c>
    </row>
    <row r="1292" spans="1:52" x14ac:dyDescent="0.25">
      <c r="A1292" s="3" t="s">
        <v>57</v>
      </c>
      <c r="B1292" s="3">
        <v>10300</v>
      </c>
      <c r="D1292" s="3"/>
      <c r="E1292" s="3">
        <f t="shared" si="585"/>
        <v>10300</v>
      </c>
      <c r="F1292" s="5">
        <v>10300</v>
      </c>
      <c r="H1292" s="5">
        <f t="shared" si="586"/>
        <v>0</v>
      </c>
      <c r="K1292" s="4">
        <f t="shared" si="587"/>
        <v>10000</v>
      </c>
      <c r="L1292" s="4">
        <v>10000</v>
      </c>
      <c r="N1292" s="4">
        <f t="shared" si="588"/>
        <v>-300</v>
      </c>
      <c r="P1292" s="3">
        <f>L1292*1.0281+19</f>
        <v>10300</v>
      </c>
      <c r="Q1292" s="3"/>
      <c r="R1292" s="3"/>
      <c r="S1292" s="3">
        <f t="shared" si="589"/>
        <v>10300</v>
      </c>
      <c r="T1292" s="3">
        <v>10300</v>
      </c>
      <c r="U1292" s="3">
        <f t="shared" si="590"/>
        <v>0</v>
      </c>
      <c r="V1292" s="3"/>
      <c r="W1292" s="3">
        <f t="shared" si="584"/>
        <v>5000</v>
      </c>
      <c r="X1292" s="3"/>
      <c r="Y1292" s="3">
        <v>5000</v>
      </c>
      <c r="Z1292" s="3">
        <f t="shared" si="591"/>
        <v>-5300</v>
      </c>
      <c r="AA1292" s="3"/>
      <c r="AB1292" s="3"/>
      <c r="AC1292" s="3">
        <v>3671</v>
      </c>
      <c r="AD1292" s="3">
        <f t="shared" si="592"/>
        <v>1329</v>
      </c>
      <c r="AE1292" s="3">
        <v>5000</v>
      </c>
      <c r="AF1292" s="3">
        <f t="shared" si="593"/>
        <v>0</v>
      </c>
      <c r="AG1292" s="3"/>
      <c r="AH1292" s="3">
        <f>AE1292*1.03</f>
        <v>5150</v>
      </c>
      <c r="AI1292" s="3"/>
      <c r="AJ1292" s="3">
        <f>AH1292*1.03</f>
        <v>5304.5</v>
      </c>
      <c r="AK1292" s="3"/>
      <c r="AL1292" s="3">
        <f>AJ1292*1.03</f>
        <v>5463.6350000000002</v>
      </c>
      <c r="AM1292" s="3"/>
      <c r="AN1292" s="3">
        <f>AL1292*1.03</f>
        <v>5627.5440500000004</v>
      </c>
      <c r="AO1292" s="3"/>
      <c r="AP1292" s="3">
        <f>AN1292*1.03</f>
        <v>5796.3703715000001</v>
      </c>
      <c r="AQ1292" s="42"/>
      <c r="AR1292" s="3">
        <f>AP1292*1.03</f>
        <v>5970.2614826449999</v>
      </c>
      <c r="AT1292" s="3">
        <f>AR1292*1.03</f>
        <v>6149.3693271243501</v>
      </c>
      <c r="AV1292" s="3">
        <f>AT1292*1.03</f>
        <v>6333.8504069380806</v>
      </c>
      <c r="AX1292" s="3">
        <f>AV1292*1.03</f>
        <v>6523.865919146223</v>
      </c>
      <c r="AZ1292" s="3">
        <f>AX1292*1.03</f>
        <v>6719.5818967206096</v>
      </c>
    </row>
    <row r="1293" spans="1:52" x14ac:dyDescent="0.25">
      <c r="A1293" s="3"/>
      <c r="B1293" s="48">
        <f>SUM(B1284:B1292)</f>
        <v>73800</v>
      </c>
      <c r="C1293" s="32"/>
      <c r="D1293" s="48">
        <f>SUM(D1284:D1292)+1</f>
        <v>1960</v>
      </c>
      <c r="E1293" s="48">
        <f>SUM(E1284:E1292)+1</f>
        <v>71842</v>
      </c>
      <c r="F1293" s="48">
        <f>SUM(F1284:F1292)+1</f>
        <v>73801</v>
      </c>
      <c r="G1293" s="32"/>
      <c r="H1293" s="48">
        <f>SUM(H1284:H1292)+1</f>
        <v>1</v>
      </c>
      <c r="I1293" s="36"/>
      <c r="J1293" s="48">
        <f>SUM(J1284:J1292)+1</f>
        <v>12525</v>
      </c>
      <c r="K1293" s="48">
        <f>SUM(K1284:K1292)+1</f>
        <v>64047</v>
      </c>
      <c r="L1293" s="48">
        <f>SUM(L1284:L1292)+1</f>
        <v>76571</v>
      </c>
      <c r="M1293" s="32"/>
      <c r="N1293" s="48">
        <f>SUM(N1284:N1292)+1</f>
        <v>2771</v>
      </c>
      <c r="P1293" s="48">
        <f>SUM(P1284:P1292)</f>
        <v>84049.697</v>
      </c>
      <c r="R1293" s="48">
        <f t="shared" ref="R1293:Z1293" si="594">SUM(R1284:R1292)</f>
        <v>8906</v>
      </c>
      <c r="S1293" s="48">
        <f t="shared" si="594"/>
        <v>75144</v>
      </c>
      <c r="T1293" s="48">
        <f t="shared" si="594"/>
        <v>84050</v>
      </c>
      <c r="U1293" s="48">
        <f t="shared" si="594"/>
        <v>0.30299999999988358</v>
      </c>
      <c r="V1293" s="48">
        <f t="shared" si="594"/>
        <v>10235</v>
      </c>
      <c r="W1293" s="48">
        <f t="shared" si="594"/>
        <v>60365</v>
      </c>
      <c r="X1293" s="48"/>
      <c r="Y1293" s="48">
        <f t="shared" si="594"/>
        <v>70600</v>
      </c>
      <c r="Z1293" s="48">
        <f t="shared" si="594"/>
        <v>-13450</v>
      </c>
      <c r="AC1293" s="48">
        <f>SUM(AC1284:AC1292)</f>
        <v>18992</v>
      </c>
      <c r="AD1293" s="48">
        <f>SUM(AD1284:AD1292)</f>
        <v>53558</v>
      </c>
      <c r="AE1293" s="48">
        <f>SUM(AE1284:AE1292)</f>
        <v>72550</v>
      </c>
      <c r="AF1293" s="48">
        <f>SUM(AF1284:AF1292)</f>
        <v>1950</v>
      </c>
      <c r="AH1293" s="48">
        <f>SUM(AH1284:AH1292)</f>
        <v>75899.75</v>
      </c>
      <c r="AJ1293" s="48">
        <f>SUM(AJ1284:AJ1292)</f>
        <v>79387.856874999998</v>
      </c>
      <c r="AL1293" s="48">
        <f>SUM(AL1284:AL1292)</f>
        <v>83048.054876562499</v>
      </c>
      <c r="AN1293" s="48">
        <f>SUM(AN1284:AN1292)</f>
        <v>95797.748670042973</v>
      </c>
      <c r="AO1293" s="48"/>
      <c r="AP1293" s="48">
        <f>SUM(AP1284:AP1292)</f>
        <v>90629.025769562926</v>
      </c>
      <c r="AR1293" s="48">
        <f>SUM(AR1284:AR1292)</f>
        <v>94637.142349149333</v>
      </c>
      <c r="AT1293" s="48">
        <f>SUM(AT1284:AT1292)</f>
        <v>108830.51333477382</v>
      </c>
      <c r="AV1293" s="48">
        <f>SUM(AV1284:AV1292)</f>
        <v>113217.96199105396</v>
      </c>
      <c r="AX1293" s="48">
        <f>SUM(AX1284:AX1292)</f>
        <v>117808.73997706032</v>
      </c>
      <c r="AZ1293" s="48">
        <f>SUM(AZ1284:AZ1292)</f>
        <v>122612.54839438533</v>
      </c>
    </row>
    <row r="1294" spans="1:52" x14ac:dyDescent="0.25">
      <c r="A1294" s="7" t="s">
        <v>830</v>
      </c>
    </row>
    <row r="1295" spans="1:52" x14ac:dyDescent="0.25">
      <c r="A1295" s="7" t="s">
        <v>831</v>
      </c>
    </row>
    <row r="1296" spans="1:52" x14ac:dyDescent="0.25">
      <c r="A1296" s="3" t="s">
        <v>900</v>
      </c>
      <c r="B1296" s="3">
        <v>146000</v>
      </c>
      <c r="D1296" s="3">
        <f>40791-1401+4080-1875</f>
        <v>41595</v>
      </c>
      <c r="E1296" s="3">
        <f t="shared" ref="E1296:E1303" si="595">F1296-D1296</f>
        <v>104405</v>
      </c>
      <c r="F1296" s="5">
        <v>146000</v>
      </c>
      <c r="H1296" s="5">
        <f t="shared" ref="H1296:H1303" si="596">F1296-B1296</f>
        <v>0</v>
      </c>
      <c r="J1296" s="5">
        <v>73993</v>
      </c>
      <c r="K1296" s="4">
        <f t="shared" ref="K1296:K1303" si="597">L1296-J1296</f>
        <v>76007</v>
      </c>
      <c r="L1296" s="4">
        <v>150000</v>
      </c>
      <c r="N1296" s="4">
        <f t="shared" ref="N1296:N1303" si="598">L1296-F1296</f>
        <v>4000</v>
      </c>
      <c r="P1296" s="3">
        <f>L1296*1.0281+385</f>
        <v>154600</v>
      </c>
      <c r="Q1296" s="3"/>
      <c r="R1296" s="3">
        <v>41322</v>
      </c>
      <c r="S1296" s="3">
        <f t="shared" ref="S1296:S1303" si="599">T1296-R1296</f>
        <v>113278</v>
      </c>
      <c r="T1296" s="3">
        <v>154600</v>
      </c>
      <c r="U1296" s="3">
        <f t="shared" ref="U1296:U1303" si="600">T1296-P1296</f>
        <v>0</v>
      </c>
      <c r="V1296" s="3">
        <v>101623</v>
      </c>
      <c r="W1296" s="3">
        <f t="shared" ref="W1296:W1303" si="601">Y1296-V1296</f>
        <v>68377</v>
      </c>
      <c r="X1296" s="3"/>
      <c r="Y1296" s="3">
        <v>170000</v>
      </c>
      <c r="Z1296" s="3">
        <f t="shared" ref="Z1296:Z1303" si="602">Y1296-T1296</f>
        <v>15400</v>
      </c>
      <c r="AA1296" s="3"/>
      <c r="AB1296" s="3"/>
      <c r="AC1296" s="3">
        <f>13333+21346+2286+59003+8971+20572+5229</f>
        <v>130740</v>
      </c>
      <c r="AD1296" s="3">
        <f t="shared" ref="AD1296:AD1303" si="603">AE1296-AC1296</f>
        <v>44260</v>
      </c>
      <c r="AE1296" s="3">
        <v>175000</v>
      </c>
      <c r="AF1296" s="3">
        <f t="shared" ref="AF1296:AF1303" si="604">AE1296-Y1296</f>
        <v>5000</v>
      </c>
      <c r="AG1296" s="3"/>
      <c r="AH1296" s="3">
        <f>AE1296*1.03</f>
        <v>180250</v>
      </c>
      <c r="AI1296" s="3"/>
      <c r="AJ1296" s="3">
        <f t="shared" ref="AJ1296:AJ1303" si="605">AH1296*1.03</f>
        <v>185657.5</v>
      </c>
      <c r="AK1296" s="3"/>
      <c r="AL1296" s="3">
        <f t="shared" ref="AL1296:AL1303" si="606">AJ1296*1.03</f>
        <v>191227.22500000001</v>
      </c>
      <c r="AM1296" s="3"/>
      <c r="AN1296" s="3">
        <f t="shared" ref="AN1296:AN1303" si="607">AL1296*1.03</f>
        <v>196964.04175</v>
      </c>
      <c r="AO1296" s="3"/>
      <c r="AP1296" s="3">
        <f t="shared" ref="AP1296:AP1303" si="608">AN1296*1.03</f>
        <v>202872.96300250001</v>
      </c>
      <c r="AQ1296" s="42"/>
      <c r="AR1296" s="3">
        <f t="shared" ref="AR1296:AR1303" si="609">AP1296*1.03</f>
        <v>208959.15189257503</v>
      </c>
      <c r="AT1296" s="3">
        <f t="shared" ref="AT1296:AT1303" si="610">AR1296*1.03</f>
        <v>215227.92644935229</v>
      </c>
      <c r="AV1296" s="3">
        <f t="shared" ref="AV1296:AV1303" si="611">AT1296*1.03</f>
        <v>221684.76424283287</v>
      </c>
      <c r="AX1296" s="3">
        <f t="shared" ref="AX1296:AX1303" si="612">AV1296*1.03</f>
        <v>228335.30717011786</v>
      </c>
      <c r="AZ1296" s="3">
        <f t="shared" ref="AZ1296:AZ1303" si="613">AX1296*1.03</f>
        <v>235185.36638522139</v>
      </c>
    </row>
    <row r="1297" spans="1:52" x14ac:dyDescent="0.25">
      <c r="A1297" s="3" t="s">
        <v>901</v>
      </c>
      <c r="B1297" s="3">
        <v>7500</v>
      </c>
      <c r="D1297" s="3">
        <v>1875</v>
      </c>
      <c r="E1297" s="3">
        <f t="shared" si="595"/>
        <v>5625</v>
      </c>
      <c r="F1297" s="5">
        <v>7500</v>
      </c>
      <c r="H1297" s="5">
        <f t="shared" si="596"/>
        <v>0</v>
      </c>
      <c r="K1297" s="4">
        <f t="shared" si="597"/>
        <v>7500</v>
      </c>
      <c r="L1297" s="4">
        <v>7500</v>
      </c>
      <c r="N1297" s="4">
        <f t="shared" si="598"/>
        <v>0</v>
      </c>
      <c r="P1297" s="3">
        <f>B1297*1.025+112</f>
        <v>7799.4999999999991</v>
      </c>
      <c r="Q1297" s="3"/>
      <c r="R1297" s="3">
        <v>0</v>
      </c>
      <c r="S1297" s="3">
        <f t="shared" si="599"/>
        <v>7800</v>
      </c>
      <c r="T1297" s="3">
        <v>7800</v>
      </c>
      <c r="U1297" s="3">
        <f t="shared" si="600"/>
        <v>0.50000000000090949</v>
      </c>
      <c r="V1297" s="3"/>
      <c r="W1297" s="3">
        <f t="shared" si="601"/>
        <v>7800</v>
      </c>
      <c r="X1297" s="3"/>
      <c r="Y1297" s="3">
        <v>7800</v>
      </c>
      <c r="Z1297" s="3">
        <f t="shared" si="602"/>
        <v>0</v>
      </c>
      <c r="AA1297" s="3"/>
      <c r="AB1297" s="3"/>
      <c r="AC1297" s="3">
        <v>0</v>
      </c>
      <c r="AD1297" s="3">
        <f t="shared" si="603"/>
        <v>7800</v>
      </c>
      <c r="AE1297" s="3">
        <v>7800</v>
      </c>
      <c r="AF1297" s="3">
        <f t="shared" si="604"/>
        <v>0</v>
      </c>
      <c r="AG1297" s="3"/>
      <c r="AH1297" s="3">
        <v>0</v>
      </c>
      <c r="AI1297" s="3"/>
      <c r="AJ1297" s="3">
        <f t="shared" si="605"/>
        <v>0</v>
      </c>
      <c r="AK1297" s="3"/>
      <c r="AL1297" s="3">
        <f t="shared" si="606"/>
        <v>0</v>
      </c>
      <c r="AM1297" s="3"/>
      <c r="AN1297" s="3">
        <f t="shared" si="607"/>
        <v>0</v>
      </c>
      <c r="AO1297" s="3"/>
      <c r="AP1297" s="3">
        <f t="shared" si="608"/>
        <v>0</v>
      </c>
      <c r="AQ1297" s="42"/>
      <c r="AR1297" s="3">
        <f t="shared" si="609"/>
        <v>0</v>
      </c>
      <c r="AT1297" s="3">
        <f t="shared" si="610"/>
        <v>0</v>
      </c>
      <c r="AV1297" s="3">
        <f t="shared" si="611"/>
        <v>0</v>
      </c>
      <c r="AX1297" s="3">
        <f t="shared" si="612"/>
        <v>0</v>
      </c>
      <c r="AZ1297" s="3">
        <f t="shared" si="613"/>
        <v>0</v>
      </c>
    </row>
    <row r="1298" spans="1:52" x14ac:dyDescent="0.25">
      <c r="A1298" s="3" t="s">
        <v>902</v>
      </c>
      <c r="B1298" s="3">
        <v>26000</v>
      </c>
      <c r="D1298" s="3">
        <v>23798</v>
      </c>
      <c r="E1298" s="3">
        <f t="shared" si="595"/>
        <v>10202</v>
      </c>
      <c r="F1298" s="5">
        <v>34000</v>
      </c>
      <c r="H1298" s="5">
        <f t="shared" si="596"/>
        <v>8000</v>
      </c>
      <c r="J1298" s="5">
        <v>30604</v>
      </c>
      <c r="K1298" s="4">
        <f t="shared" si="597"/>
        <v>11896</v>
      </c>
      <c r="L1298" s="4">
        <v>42500</v>
      </c>
      <c r="N1298" s="4">
        <f t="shared" si="598"/>
        <v>8500</v>
      </c>
      <c r="P1298" s="3">
        <f>L1298*1.0281+6</f>
        <v>43700.25</v>
      </c>
      <c r="Q1298" s="3"/>
      <c r="R1298" s="3">
        <v>13947</v>
      </c>
      <c r="S1298" s="3">
        <f t="shared" si="599"/>
        <v>29753</v>
      </c>
      <c r="T1298" s="3">
        <v>43700</v>
      </c>
      <c r="U1298" s="3">
        <f t="shared" si="600"/>
        <v>-0.25</v>
      </c>
      <c r="V1298" s="3">
        <v>17130</v>
      </c>
      <c r="W1298" s="3">
        <f t="shared" si="601"/>
        <v>26570</v>
      </c>
      <c r="X1298" s="3"/>
      <c r="Y1298" s="3">
        <v>43700</v>
      </c>
      <c r="Z1298" s="3">
        <f t="shared" si="602"/>
        <v>0</v>
      </c>
      <c r="AA1298" s="3"/>
      <c r="AB1298" s="3"/>
      <c r="AC1298" s="3">
        <v>26964</v>
      </c>
      <c r="AD1298" s="3">
        <f t="shared" si="603"/>
        <v>15036</v>
      </c>
      <c r="AE1298" s="3">
        <v>42000</v>
      </c>
      <c r="AF1298" s="3">
        <f t="shared" si="604"/>
        <v>-1700</v>
      </c>
      <c r="AG1298" s="3"/>
      <c r="AH1298" s="3">
        <f>AE1298*1.03-10</f>
        <v>43250</v>
      </c>
      <c r="AI1298" s="3"/>
      <c r="AJ1298" s="3">
        <f t="shared" si="605"/>
        <v>44547.5</v>
      </c>
      <c r="AK1298" s="3"/>
      <c r="AL1298" s="3">
        <f t="shared" si="606"/>
        <v>45883.925000000003</v>
      </c>
      <c r="AM1298" s="3"/>
      <c r="AN1298" s="3">
        <f t="shared" si="607"/>
        <v>47260.442750000002</v>
      </c>
      <c r="AO1298" s="3"/>
      <c r="AP1298" s="3">
        <f t="shared" si="608"/>
        <v>48678.256032500001</v>
      </c>
      <c r="AQ1298" s="42"/>
      <c r="AR1298" s="3">
        <f t="shared" si="609"/>
        <v>50138.603713475</v>
      </c>
      <c r="AT1298" s="3">
        <f t="shared" si="610"/>
        <v>51642.76182487925</v>
      </c>
      <c r="AV1298" s="3">
        <f t="shared" si="611"/>
        <v>53192.044679625629</v>
      </c>
      <c r="AX1298" s="3">
        <f t="shared" si="612"/>
        <v>54787.806020014403</v>
      </c>
      <c r="AZ1298" s="3">
        <f t="shared" si="613"/>
        <v>56431.440200614838</v>
      </c>
    </row>
    <row r="1299" spans="1:52" x14ac:dyDescent="0.25">
      <c r="A1299" s="3" t="s">
        <v>903</v>
      </c>
      <c r="B1299" s="3">
        <v>48000</v>
      </c>
      <c r="D1299" s="3">
        <v>1952</v>
      </c>
      <c r="E1299" s="3">
        <f t="shared" si="595"/>
        <v>38048</v>
      </c>
      <c r="F1299" s="5">
        <v>40000</v>
      </c>
      <c r="H1299" s="5">
        <f t="shared" si="596"/>
        <v>-8000</v>
      </c>
      <c r="J1299" s="5">
        <v>4800</v>
      </c>
      <c r="K1299" s="4">
        <f t="shared" si="597"/>
        <v>30200</v>
      </c>
      <c r="L1299" s="4">
        <v>35000</v>
      </c>
      <c r="N1299" s="4">
        <f t="shared" si="598"/>
        <v>-5000</v>
      </c>
      <c r="P1299" s="3">
        <f>L1299*1.0281+16</f>
        <v>35999.5</v>
      </c>
      <c r="Q1299" s="3"/>
      <c r="R1299" s="3">
        <v>255</v>
      </c>
      <c r="S1299" s="3">
        <f t="shared" si="599"/>
        <v>35745</v>
      </c>
      <c r="T1299" s="3">
        <v>36000</v>
      </c>
      <c r="U1299" s="3">
        <f t="shared" si="600"/>
        <v>0.5</v>
      </c>
      <c r="V1299" s="3">
        <v>1224</v>
      </c>
      <c r="W1299" s="3">
        <f t="shared" si="601"/>
        <v>34776</v>
      </c>
      <c r="X1299" s="3"/>
      <c r="Y1299" s="3">
        <v>36000</v>
      </c>
      <c r="Z1299" s="3">
        <f t="shared" si="602"/>
        <v>0</v>
      </c>
      <c r="AA1299" s="3"/>
      <c r="AB1299" s="3"/>
      <c r="AC1299" s="3">
        <v>6185</v>
      </c>
      <c r="AD1299" s="3">
        <f t="shared" si="603"/>
        <v>23815</v>
      </c>
      <c r="AE1299" s="3">
        <v>30000</v>
      </c>
      <c r="AF1299" s="3">
        <f t="shared" si="604"/>
        <v>-6000</v>
      </c>
      <c r="AG1299" s="3"/>
      <c r="AH1299" s="3">
        <f>P1299*1.03+121</f>
        <v>37200.485000000001</v>
      </c>
      <c r="AI1299" s="3"/>
      <c r="AJ1299" s="3">
        <f t="shared" si="605"/>
        <v>38316.49955</v>
      </c>
      <c r="AK1299" s="3"/>
      <c r="AL1299" s="3">
        <f t="shared" si="606"/>
        <v>39465.994536500002</v>
      </c>
      <c r="AM1299" s="3"/>
      <c r="AN1299" s="3">
        <f t="shared" si="607"/>
        <v>40649.974372595003</v>
      </c>
      <c r="AO1299" s="3"/>
      <c r="AP1299" s="3">
        <f t="shared" si="608"/>
        <v>41869.473603772851</v>
      </c>
      <c r="AQ1299" s="42"/>
      <c r="AR1299" s="3">
        <f t="shared" si="609"/>
        <v>43125.557811886036</v>
      </c>
      <c r="AT1299" s="3">
        <f t="shared" si="610"/>
        <v>44419.32454624262</v>
      </c>
      <c r="AV1299" s="3">
        <f t="shared" si="611"/>
        <v>45751.904282629897</v>
      </c>
      <c r="AX1299" s="3">
        <f t="shared" si="612"/>
        <v>47124.461411108794</v>
      </c>
      <c r="AZ1299" s="3">
        <f t="shared" si="613"/>
        <v>48538.195253442056</v>
      </c>
    </row>
    <row r="1300" spans="1:52" x14ac:dyDescent="0.25">
      <c r="A1300" s="3" t="s">
        <v>904</v>
      </c>
      <c r="B1300" s="3">
        <v>5500</v>
      </c>
      <c r="D1300" s="3">
        <v>158</v>
      </c>
      <c r="E1300" s="3">
        <f t="shared" si="595"/>
        <v>5342</v>
      </c>
      <c r="F1300" s="5">
        <v>5500</v>
      </c>
      <c r="H1300" s="5">
        <f t="shared" si="596"/>
        <v>0</v>
      </c>
      <c r="J1300" s="5">
        <v>3902</v>
      </c>
      <c r="K1300" s="4">
        <f t="shared" si="597"/>
        <v>2598</v>
      </c>
      <c r="L1300" s="4">
        <v>6500</v>
      </c>
      <c r="N1300" s="4">
        <f t="shared" si="598"/>
        <v>1000</v>
      </c>
      <c r="P1300" s="3">
        <f>L1300*1.0281+17</f>
        <v>6699.65</v>
      </c>
      <c r="Q1300" s="3"/>
      <c r="R1300" s="3">
        <v>0</v>
      </c>
      <c r="S1300" s="3">
        <f t="shared" si="599"/>
        <v>6700</v>
      </c>
      <c r="T1300" s="3">
        <v>6700</v>
      </c>
      <c r="U1300" s="3">
        <f t="shared" si="600"/>
        <v>0.3500000000003638</v>
      </c>
      <c r="V1300" s="3">
        <v>2850</v>
      </c>
      <c r="W1300" s="3">
        <f t="shared" si="601"/>
        <v>3650</v>
      </c>
      <c r="X1300" s="3"/>
      <c r="Y1300" s="3">
        <v>6500</v>
      </c>
      <c r="Z1300" s="3">
        <f t="shared" si="602"/>
        <v>-200</v>
      </c>
      <c r="AA1300" s="3"/>
      <c r="AB1300" s="3"/>
      <c r="AC1300" s="3">
        <v>2850</v>
      </c>
      <c r="AD1300" s="3">
        <f t="shared" si="603"/>
        <v>3150</v>
      </c>
      <c r="AE1300" s="3">
        <v>6000</v>
      </c>
      <c r="AF1300" s="3">
        <f t="shared" si="604"/>
        <v>-500</v>
      </c>
      <c r="AG1300" s="3"/>
      <c r="AH1300" s="3">
        <f>P1300*1.03-1</f>
        <v>6899.6395000000002</v>
      </c>
      <c r="AI1300" s="3"/>
      <c r="AJ1300" s="3">
        <f t="shared" si="605"/>
        <v>7106.6286850000006</v>
      </c>
      <c r="AK1300" s="3"/>
      <c r="AL1300" s="3">
        <f t="shared" si="606"/>
        <v>7319.8275455500007</v>
      </c>
      <c r="AM1300" s="3"/>
      <c r="AN1300" s="3">
        <f t="shared" si="607"/>
        <v>7539.4223719165011</v>
      </c>
      <c r="AO1300" s="3"/>
      <c r="AP1300" s="3">
        <f t="shared" si="608"/>
        <v>7765.6050430739961</v>
      </c>
      <c r="AQ1300" s="42"/>
      <c r="AR1300" s="3">
        <f t="shared" si="609"/>
        <v>7998.5731943662158</v>
      </c>
      <c r="AT1300" s="3">
        <f t="shared" si="610"/>
        <v>8238.530390197202</v>
      </c>
      <c r="AV1300" s="3">
        <f t="shared" si="611"/>
        <v>8485.6863019031189</v>
      </c>
      <c r="AX1300" s="3">
        <f t="shared" si="612"/>
        <v>8740.2568909602123</v>
      </c>
      <c r="AZ1300" s="3">
        <f t="shared" si="613"/>
        <v>9002.4645976890188</v>
      </c>
    </row>
    <row r="1301" spans="1:52" x14ac:dyDescent="0.25">
      <c r="A1301" s="3" t="s">
        <v>905</v>
      </c>
      <c r="B1301" s="3">
        <v>1200</v>
      </c>
      <c r="D1301" s="3"/>
      <c r="E1301" s="3">
        <f t="shared" si="595"/>
        <v>1200</v>
      </c>
      <c r="F1301" s="5">
        <v>1200</v>
      </c>
      <c r="H1301" s="5">
        <f t="shared" si="596"/>
        <v>0</v>
      </c>
      <c r="J1301" s="5">
        <v>0</v>
      </c>
      <c r="K1301" s="4">
        <f t="shared" si="597"/>
        <v>1200</v>
      </c>
      <c r="L1301" s="4">
        <v>1200</v>
      </c>
      <c r="N1301" s="4">
        <f t="shared" si="598"/>
        <v>0</v>
      </c>
      <c r="P1301" s="3">
        <f>L1301*1.0281+16</f>
        <v>1249.72</v>
      </c>
      <c r="Q1301" s="3"/>
      <c r="R1301" s="3">
        <v>0</v>
      </c>
      <c r="S1301" s="3">
        <f t="shared" si="599"/>
        <v>1250</v>
      </c>
      <c r="T1301" s="3">
        <v>1250</v>
      </c>
      <c r="U1301" s="3">
        <f t="shared" si="600"/>
        <v>0.27999999999997272</v>
      </c>
      <c r="V1301" s="3"/>
      <c r="W1301" s="3">
        <f t="shared" si="601"/>
        <v>1250</v>
      </c>
      <c r="X1301" s="3"/>
      <c r="Y1301" s="3">
        <v>1250</v>
      </c>
      <c r="Z1301" s="3">
        <f t="shared" si="602"/>
        <v>0</v>
      </c>
      <c r="AA1301" s="3"/>
      <c r="AB1301" s="3"/>
      <c r="AC1301" s="3">
        <v>0</v>
      </c>
      <c r="AD1301" s="3">
        <f t="shared" si="603"/>
        <v>1250</v>
      </c>
      <c r="AE1301" s="3">
        <v>1250</v>
      </c>
      <c r="AF1301" s="3">
        <f t="shared" si="604"/>
        <v>0</v>
      </c>
      <c r="AG1301" s="3"/>
      <c r="AH1301" s="3">
        <f>P1301*1.03+13</f>
        <v>1300.2116000000001</v>
      </c>
      <c r="AI1301" s="3"/>
      <c r="AJ1301" s="3">
        <f t="shared" si="605"/>
        <v>1339.2179480000002</v>
      </c>
      <c r="AK1301" s="3"/>
      <c r="AL1301" s="3">
        <f t="shared" si="606"/>
        <v>1379.3944864400003</v>
      </c>
      <c r="AM1301" s="3"/>
      <c r="AN1301" s="3">
        <f t="shared" si="607"/>
        <v>1420.7763210332002</v>
      </c>
      <c r="AO1301" s="3"/>
      <c r="AP1301" s="3">
        <f t="shared" si="608"/>
        <v>1463.3996106641962</v>
      </c>
      <c r="AQ1301" s="42"/>
      <c r="AR1301" s="3">
        <f t="shared" si="609"/>
        <v>1507.3015989841222</v>
      </c>
      <c r="AT1301" s="3">
        <f t="shared" si="610"/>
        <v>1552.5206469536458</v>
      </c>
      <c r="AV1301" s="3">
        <f t="shared" si="611"/>
        <v>1599.0962663622552</v>
      </c>
      <c r="AX1301" s="3">
        <f t="shared" si="612"/>
        <v>1647.0691543531229</v>
      </c>
      <c r="AZ1301" s="3">
        <f t="shared" si="613"/>
        <v>1696.4812289837166</v>
      </c>
    </row>
    <row r="1302" spans="1:52" x14ac:dyDescent="0.25">
      <c r="A1302" s="3" t="s">
        <v>526</v>
      </c>
      <c r="B1302" s="3"/>
      <c r="D1302" s="3"/>
      <c r="E1302" s="3">
        <f t="shared" si="595"/>
        <v>0</v>
      </c>
      <c r="H1302" s="5">
        <f t="shared" si="596"/>
        <v>0</v>
      </c>
      <c r="J1302" s="5">
        <v>1007</v>
      </c>
      <c r="K1302" s="4">
        <f t="shared" si="597"/>
        <v>993</v>
      </c>
      <c r="L1302" s="4">
        <v>2000</v>
      </c>
      <c r="N1302" s="4">
        <f t="shared" si="598"/>
        <v>2000</v>
      </c>
      <c r="P1302" s="3"/>
      <c r="Q1302" s="3"/>
      <c r="R1302" s="3"/>
      <c r="S1302" s="3">
        <f t="shared" si="599"/>
        <v>0</v>
      </c>
      <c r="T1302" s="3"/>
      <c r="U1302" s="3">
        <f t="shared" si="600"/>
        <v>0</v>
      </c>
      <c r="V1302" s="3">
        <v>1700</v>
      </c>
      <c r="W1302" s="3">
        <f t="shared" si="601"/>
        <v>0</v>
      </c>
      <c r="X1302" s="3"/>
      <c r="Y1302" s="3">
        <v>1700</v>
      </c>
      <c r="Z1302" s="3">
        <f t="shared" si="602"/>
        <v>1700</v>
      </c>
      <c r="AA1302" s="3"/>
      <c r="AB1302" s="3"/>
      <c r="AC1302" s="3">
        <v>1700</v>
      </c>
      <c r="AD1302" s="3">
        <f t="shared" si="603"/>
        <v>0</v>
      </c>
      <c r="AE1302" s="3">
        <v>1700</v>
      </c>
      <c r="AF1302" s="3">
        <f t="shared" si="604"/>
        <v>0</v>
      </c>
      <c r="AG1302" s="3"/>
      <c r="AH1302" s="3"/>
      <c r="AI1302" s="3"/>
      <c r="AJ1302" s="3">
        <f t="shared" si="605"/>
        <v>0</v>
      </c>
      <c r="AK1302" s="3"/>
      <c r="AL1302" s="3">
        <f t="shared" si="606"/>
        <v>0</v>
      </c>
      <c r="AM1302" s="3"/>
      <c r="AN1302" s="3">
        <f t="shared" si="607"/>
        <v>0</v>
      </c>
      <c r="AO1302" s="3"/>
      <c r="AP1302" s="3">
        <f t="shared" si="608"/>
        <v>0</v>
      </c>
      <c r="AQ1302" s="42"/>
      <c r="AR1302" s="3">
        <f t="shared" si="609"/>
        <v>0</v>
      </c>
      <c r="AT1302" s="3">
        <f t="shared" si="610"/>
        <v>0</v>
      </c>
      <c r="AV1302" s="3">
        <f t="shared" si="611"/>
        <v>0</v>
      </c>
      <c r="AX1302" s="3">
        <f t="shared" si="612"/>
        <v>0</v>
      </c>
      <c r="AZ1302" s="3">
        <f t="shared" si="613"/>
        <v>0</v>
      </c>
    </row>
    <row r="1303" spans="1:52" x14ac:dyDescent="0.25">
      <c r="A1303" s="3" t="s">
        <v>493</v>
      </c>
      <c r="B1303" s="3">
        <v>0</v>
      </c>
      <c r="D1303" s="3"/>
      <c r="E1303" s="3">
        <f t="shared" si="595"/>
        <v>0</v>
      </c>
      <c r="H1303" s="5">
        <f t="shared" si="596"/>
        <v>0</v>
      </c>
      <c r="K1303" s="4">
        <f t="shared" si="597"/>
        <v>0</v>
      </c>
      <c r="L1303" s="4"/>
      <c r="N1303" s="4">
        <f t="shared" si="598"/>
        <v>0</v>
      </c>
      <c r="P1303" s="3">
        <f>B1303*1.03</f>
        <v>0</v>
      </c>
      <c r="Q1303" s="3"/>
      <c r="R1303" s="3"/>
      <c r="S1303" s="3">
        <f t="shared" si="599"/>
        <v>0</v>
      </c>
      <c r="T1303" s="3"/>
      <c r="U1303" s="3">
        <f t="shared" si="600"/>
        <v>0</v>
      </c>
      <c r="V1303" s="3"/>
      <c r="W1303" s="3">
        <f t="shared" si="601"/>
        <v>0</v>
      </c>
      <c r="X1303" s="3"/>
      <c r="Y1303" s="3"/>
      <c r="Z1303" s="3">
        <f t="shared" si="602"/>
        <v>0</v>
      </c>
      <c r="AA1303" s="3"/>
      <c r="AB1303" s="3"/>
      <c r="AC1303" s="3"/>
      <c r="AD1303" s="3">
        <f t="shared" si="603"/>
        <v>0</v>
      </c>
      <c r="AE1303" s="3"/>
      <c r="AF1303" s="3">
        <f t="shared" si="604"/>
        <v>0</v>
      </c>
      <c r="AG1303" s="3"/>
      <c r="AH1303" s="3">
        <f>P1303*1.03</f>
        <v>0</v>
      </c>
      <c r="AI1303" s="3"/>
      <c r="AJ1303" s="3">
        <f t="shared" si="605"/>
        <v>0</v>
      </c>
      <c r="AK1303" s="3"/>
      <c r="AL1303" s="3">
        <f t="shared" si="606"/>
        <v>0</v>
      </c>
      <c r="AM1303" s="3"/>
      <c r="AN1303" s="3">
        <f t="shared" si="607"/>
        <v>0</v>
      </c>
      <c r="AO1303" s="3"/>
      <c r="AP1303" s="3">
        <f t="shared" si="608"/>
        <v>0</v>
      </c>
      <c r="AQ1303" s="42"/>
      <c r="AR1303" s="3">
        <f t="shared" si="609"/>
        <v>0</v>
      </c>
      <c r="AT1303" s="3">
        <f t="shared" si="610"/>
        <v>0</v>
      </c>
      <c r="AV1303" s="3">
        <f t="shared" si="611"/>
        <v>0</v>
      </c>
      <c r="AX1303" s="3">
        <f t="shared" si="612"/>
        <v>0</v>
      </c>
      <c r="AZ1303" s="3">
        <f t="shared" si="613"/>
        <v>0</v>
      </c>
    </row>
    <row r="1304" spans="1:52" x14ac:dyDescent="0.25">
      <c r="A1304" s="3"/>
      <c r="B1304" s="48">
        <f>SUM(B1296:B1303)</f>
        <v>234200</v>
      </c>
      <c r="C1304" s="32"/>
      <c r="D1304" s="48">
        <f>SUM(D1296:D1303)+1</f>
        <v>69379</v>
      </c>
      <c r="E1304" s="48">
        <f>SUM(E1296:E1303)+1</f>
        <v>164823</v>
      </c>
      <c r="F1304" s="48">
        <f>SUM(F1296:F1303)+1</f>
        <v>234201</v>
      </c>
      <c r="G1304" s="32"/>
      <c r="H1304" s="48">
        <f>SUM(H1296:H1303)+1</f>
        <v>1</v>
      </c>
      <c r="I1304" s="36"/>
      <c r="J1304" s="48">
        <f>SUM(J1296:J1303)+1</f>
        <v>114307</v>
      </c>
      <c r="K1304" s="48">
        <f>SUM(K1296:K1303)+1</f>
        <v>130395</v>
      </c>
      <c r="L1304" s="48">
        <f>SUM(L1296:L1303)+1</f>
        <v>244701</v>
      </c>
      <c r="M1304" s="32"/>
      <c r="N1304" s="48">
        <f>SUM(N1296:N1303)+1</f>
        <v>10501</v>
      </c>
      <c r="P1304" s="48">
        <f>SUM(P1296:P1303)</f>
        <v>250048.62</v>
      </c>
      <c r="R1304" s="48">
        <f t="shared" ref="R1304:Z1304" si="614">SUM(R1296:R1303)</f>
        <v>55524</v>
      </c>
      <c r="S1304" s="48">
        <f t="shared" si="614"/>
        <v>194526</v>
      </c>
      <c r="T1304" s="48">
        <f t="shared" si="614"/>
        <v>250050</v>
      </c>
      <c r="U1304" s="48">
        <f t="shared" si="614"/>
        <v>1.380000000001246</v>
      </c>
      <c r="V1304" s="48">
        <f t="shared" si="614"/>
        <v>124527</v>
      </c>
      <c r="W1304" s="48">
        <f t="shared" si="614"/>
        <v>142423</v>
      </c>
      <c r="X1304" s="48"/>
      <c r="Y1304" s="48">
        <f t="shared" si="614"/>
        <v>266950</v>
      </c>
      <c r="Z1304" s="48">
        <f t="shared" si="614"/>
        <v>16900</v>
      </c>
      <c r="AC1304" s="48">
        <f>SUM(AC1296:AC1303)</f>
        <v>168439</v>
      </c>
      <c r="AD1304" s="48">
        <f>SUM(AD1296:AD1303)</f>
        <v>95311</v>
      </c>
      <c r="AE1304" s="48">
        <f>SUM(AE1296:AE1303)</f>
        <v>263750</v>
      </c>
      <c r="AF1304" s="48">
        <f>SUM(AF1296:AF1303)</f>
        <v>-3200</v>
      </c>
      <c r="AH1304" s="48">
        <f>SUM(AH1296:AH1303)</f>
        <v>268900.33609999996</v>
      </c>
      <c r="AJ1304" s="48">
        <f>SUM(AJ1296:AJ1303)</f>
        <v>276967.34618300002</v>
      </c>
      <c r="AL1304" s="48">
        <f>SUM(AL1296:AL1303)</f>
        <v>285276.36656849005</v>
      </c>
      <c r="AN1304" s="48">
        <f>SUM(AN1296:AN1303)</f>
        <v>293834.65756554471</v>
      </c>
      <c r="AO1304" s="48"/>
      <c r="AP1304" s="48">
        <f>SUM(AP1296:AP1303)</f>
        <v>302649.69729251106</v>
      </c>
      <c r="AR1304" s="48">
        <f>SUM(AR1296:AR1303)</f>
        <v>311729.18821128638</v>
      </c>
      <c r="AT1304" s="48">
        <f>SUM(AT1296:AT1303)</f>
        <v>321081.06385762501</v>
      </c>
      <c r="AV1304" s="48">
        <f>SUM(AV1296:AV1303)</f>
        <v>330713.49577335373</v>
      </c>
      <c r="AX1304" s="48">
        <f>SUM(AX1296:AX1303)</f>
        <v>340634.90064655436</v>
      </c>
      <c r="AZ1304" s="48">
        <f>SUM(AZ1296:AZ1303)</f>
        <v>350853.94766595104</v>
      </c>
    </row>
    <row r="1305" spans="1:52" x14ac:dyDescent="0.25">
      <c r="A1305" s="7" t="s">
        <v>836</v>
      </c>
      <c r="B1305" s="3"/>
      <c r="D1305" s="3"/>
      <c r="E1305" s="3"/>
      <c r="F1305" s="3"/>
      <c r="H1305" s="3"/>
      <c r="I1305" s="3"/>
      <c r="J1305" s="3"/>
      <c r="K1305" s="3"/>
      <c r="L1305" s="3"/>
      <c r="N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42"/>
      <c r="AR1305" s="3"/>
      <c r="AT1305" s="3"/>
      <c r="AV1305" s="3"/>
      <c r="AX1305" s="3"/>
      <c r="AZ1305" s="3"/>
    </row>
    <row r="1306" spans="1:52" x14ac:dyDescent="0.25">
      <c r="A1306" s="3" t="s">
        <v>838</v>
      </c>
      <c r="B1306" s="3">
        <v>18500</v>
      </c>
      <c r="D1306" s="3">
        <v>1401</v>
      </c>
      <c r="E1306" s="3">
        <f>F1306-D1306</f>
        <v>17099</v>
      </c>
      <c r="F1306" s="5">
        <v>18500</v>
      </c>
      <c r="H1306" s="5">
        <f>F1306-B1306</f>
        <v>0</v>
      </c>
      <c r="J1306" s="5">
        <f>4969</f>
        <v>4969</v>
      </c>
      <c r="K1306" s="4">
        <f>L1306-J1306</f>
        <v>10531</v>
      </c>
      <c r="L1306" s="4">
        <v>15500</v>
      </c>
      <c r="N1306" s="4">
        <f>L1306-F1306</f>
        <v>-3000</v>
      </c>
      <c r="P1306" s="3">
        <f>L1306*1.0281+14</f>
        <v>15949.550000000001</v>
      </c>
      <c r="Q1306" s="3"/>
      <c r="R1306" s="3">
        <v>4791</v>
      </c>
      <c r="S1306" s="3">
        <f>T1306-R1306</f>
        <v>12209</v>
      </c>
      <c r="T1306" s="3">
        <v>17000</v>
      </c>
      <c r="U1306" s="3">
        <f>T1306-P1306</f>
        <v>1050.4499999999989</v>
      </c>
      <c r="V1306" s="3">
        <f>3901+1436+2845</f>
        <v>8182</v>
      </c>
      <c r="W1306" s="3">
        <f>Y1306-V1306</f>
        <v>9068</v>
      </c>
      <c r="X1306" s="3"/>
      <c r="Y1306" s="3">
        <v>17250</v>
      </c>
      <c r="Z1306" s="3">
        <f>Y1306-T1306</f>
        <v>250</v>
      </c>
      <c r="AA1306" s="3"/>
      <c r="AB1306" s="3"/>
      <c r="AC1306" s="3">
        <f>5819+1923</f>
        <v>7742</v>
      </c>
      <c r="AD1306" s="3">
        <f>AE1306-AC1306</f>
        <v>9508</v>
      </c>
      <c r="AE1306" s="3">
        <v>17250</v>
      </c>
      <c r="AF1306" s="3">
        <f>AE1306-Y1306</f>
        <v>0</v>
      </c>
      <c r="AG1306" s="3"/>
      <c r="AH1306" s="3">
        <f>P1306*1.15+58</f>
        <v>18399.982499999998</v>
      </c>
      <c r="AI1306" s="3"/>
      <c r="AJ1306" s="3">
        <f>AH1306*1.15</f>
        <v>21159.979874999997</v>
      </c>
      <c r="AK1306" s="3"/>
      <c r="AL1306" s="3">
        <f>AJ1306*1.1</f>
        <v>23275.9778625</v>
      </c>
      <c r="AM1306" s="3"/>
      <c r="AN1306" s="3">
        <f>AL1306*1.05</f>
        <v>24439.776755625</v>
      </c>
      <c r="AO1306" s="3"/>
      <c r="AP1306" s="3">
        <f>AN1306*1.05</f>
        <v>25661.76559340625</v>
      </c>
      <c r="AQ1306" s="42"/>
      <c r="AR1306" s="3">
        <f>AP1306*1.05</f>
        <v>26944.853873076565</v>
      </c>
      <c r="AS1306" s="42"/>
      <c r="AT1306" s="3">
        <f>AR1306*1.05</f>
        <v>28292.096566730394</v>
      </c>
      <c r="AU1306" s="42"/>
      <c r="AV1306" s="3">
        <f>AT1306*1.05</f>
        <v>29706.701395066913</v>
      </c>
      <c r="AW1306" s="42"/>
      <c r="AX1306" s="3">
        <f>AV1306*1.05</f>
        <v>31192.036464820259</v>
      </c>
      <c r="AZ1306" s="3">
        <f>AX1306*1.05</f>
        <v>32751.638288061273</v>
      </c>
    </row>
    <row r="1307" spans="1:52" x14ac:dyDescent="0.25">
      <c r="A1307" s="3" t="s">
        <v>837</v>
      </c>
      <c r="B1307" s="3">
        <v>0</v>
      </c>
      <c r="D1307" s="3"/>
      <c r="E1307" s="3">
        <f>F1307-D1307</f>
        <v>0</v>
      </c>
      <c r="H1307" s="5">
        <f>F1307-B1307</f>
        <v>0</v>
      </c>
      <c r="K1307" s="4">
        <f>L1307-J1307</f>
        <v>0</v>
      </c>
      <c r="L1307" s="4"/>
      <c r="N1307" s="4">
        <f>L1307-F1307</f>
        <v>0</v>
      </c>
      <c r="P1307" s="3"/>
      <c r="Q1307" s="3"/>
      <c r="R1307" s="3"/>
      <c r="S1307" s="3">
        <f>T1307-R1307</f>
        <v>0</v>
      </c>
      <c r="T1307" s="3"/>
      <c r="U1307" s="3">
        <f>T1307-P1307</f>
        <v>0</v>
      </c>
      <c r="V1307" s="3"/>
      <c r="W1307" s="3">
        <f>Y1307-V1307</f>
        <v>0</v>
      </c>
      <c r="X1307" s="3"/>
      <c r="Y1307" s="3"/>
      <c r="Z1307" s="3">
        <f>Y1307-T1307</f>
        <v>0</v>
      </c>
      <c r="AA1307" s="3"/>
      <c r="AB1307" s="3"/>
      <c r="AC1307" s="3"/>
      <c r="AD1307" s="3">
        <f>AE1307-AC1307</f>
        <v>0</v>
      </c>
      <c r="AE1307" s="3"/>
      <c r="AF1307" s="3">
        <f>AE1307-Y1307</f>
        <v>0</v>
      </c>
      <c r="AG1307" s="3"/>
      <c r="AH1307" s="3">
        <f>P1307*1.0281</f>
        <v>0</v>
      </c>
      <c r="AI1307" s="3"/>
      <c r="AJ1307" s="3">
        <f>AH1307*1.0281</f>
        <v>0</v>
      </c>
      <c r="AK1307" s="3"/>
      <c r="AL1307" s="3">
        <f>AJ1307*1.0281</f>
        <v>0</v>
      </c>
      <c r="AM1307" s="3"/>
      <c r="AN1307" s="3">
        <f>AL1307*1.05</f>
        <v>0</v>
      </c>
      <c r="AO1307" s="3"/>
      <c r="AP1307" s="3">
        <f>AN1307*1.0281</f>
        <v>0</v>
      </c>
      <c r="AQ1307" s="42"/>
      <c r="AR1307" s="3">
        <f>AP1307*1.0281</f>
        <v>0</v>
      </c>
      <c r="AS1307" s="42"/>
      <c r="AT1307" s="3">
        <f>AR1307*1.0281</f>
        <v>0</v>
      </c>
      <c r="AU1307" s="42"/>
      <c r="AV1307" s="3">
        <f>AT1307*1.0281</f>
        <v>0</v>
      </c>
      <c r="AW1307" s="42"/>
      <c r="AX1307" s="3">
        <f>AV1307*1.0281</f>
        <v>0</v>
      </c>
      <c r="AZ1307" s="3">
        <f>AX1307*1.0281</f>
        <v>0</v>
      </c>
    </row>
    <row r="1308" spans="1:52" x14ac:dyDescent="0.25">
      <c r="A1308" s="3" t="s">
        <v>906</v>
      </c>
      <c r="B1308" s="3">
        <v>5000</v>
      </c>
      <c r="D1308" s="3">
        <v>158</v>
      </c>
      <c r="E1308" s="3">
        <f>F1308-D1308</f>
        <v>4842</v>
      </c>
      <c r="F1308" s="5">
        <v>5000</v>
      </c>
      <c r="H1308" s="5">
        <f>F1308-B1308</f>
        <v>0</v>
      </c>
      <c r="J1308" s="5">
        <v>1088</v>
      </c>
      <c r="K1308" s="4">
        <f>L1308-J1308</f>
        <v>3912</v>
      </c>
      <c r="L1308" s="4">
        <v>5000</v>
      </c>
      <c r="N1308" s="4">
        <f>L1308-F1308</f>
        <v>0</v>
      </c>
      <c r="P1308" s="3">
        <f>L1308*1.0281+9</f>
        <v>5149.5</v>
      </c>
      <c r="Q1308" s="3"/>
      <c r="R1308" s="3">
        <v>284</v>
      </c>
      <c r="S1308" s="3">
        <f>T1308-R1308</f>
        <v>4216</v>
      </c>
      <c r="T1308" s="3">
        <v>4500</v>
      </c>
      <c r="U1308" s="3">
        <f>T1308-P1308</f>
        <v>-649.5</v>
      </c>
      <c r="V1308" s="3">
        <v>974</v>
      </c>
      <c r="W1308" s="3">
        <f>Y1308-V1308</f>
        <v>3026</v>
      </c>
      <c r="X1308" s="3"/>
      <c r="Y1308" s="3">
        <v>4000</v>
      </c>
      <c r="Z1308" s="3">
        <f>Y1308-T1308</f>
        <v>-500</v>
      </c>
      <c r="AA1308" s="3"/>
      <c r="AB1308" s="3"/>
      <c r="AC1308" s="3">
        <v>974</v>
      </c>
      <c r="AD1308" s="3">
        <f>AE1308-AC1308</f>
        <v>2026</v>
      </c>
      <c r="AE1308" s="3">
        <v>3000</v>
      </c>
      <c r="AF1308" s="3">
        <f>AE1308-Y1308</f>
        <v>-1000</v>
      </c>
      <c r="AG1308" s="3"/>
      <c r="AH1308" s="3">
        <f>AE1308*1.03+160</f>
        <v>3250</v>
      </c>
      <c r="AI1308" s="3"/>
      <c r="AJ1308" s="3">
        <f>AH1308*1.0281</f>
        <v>3341.3249999999998</v>
      </c>
      <c r="AK1308" s="3"/>
      <c r="AL1308" s="3">
        <f>AJ1308*1.0281</f>
        <v>3435.2162324999999</v>
      </c>
      <c r="AM1308" s="3"/>
      <c r="AN1308" s="3">
        <f>AL1308*1.0281</f>
        <v>3531.7458086332499</v>
      </c>
      <c r="AO1308" s="3"/>
      <c r="AP1308" s="3">
        <f>AN1308*1.0281</f>
        <v>3630.9878658558441</v>
      </c>
      <c r="AQ1308" s="42"/>
      <c r="AR1308" s="3">
        <f>AP1308*1.0281</f>
        <v>3733.0186248863934</v>
      </c>
      <c r="AS1308" s="42"/>
      <c r="AT1308" s="3">
        <f>AR1308*1.0281</f>
        <v>3837.9164482457008</v>
      </c>
      <c r="AU1308" s="42"/>
      <c r="AV1308" s="3">
        <f>AT1308*1.0281</f>
        <v>3945.761900441405</v>
      </c>
      <c r="AW1308" s="42"/>
      <c r="AX1308" s="3">
        <f>AV1308*1.0281</f>
        <v>4056.6378098438086</v>
      </c>
      <c r="AZ1308" s="3">
        <f>AX1308*1.0281</f>
        <v>4170.6293323004193</v>
      </c>
    </row>
    <row r="1309" spans="1:52" x14ac:dyDescent="0.25">
      <c r="A1309" s="3"/>
      <c r="B1309" s="48">
        <f>SUM(B1306:B1308)</f>
        <v>23500</v>
      </c>
      <c r="C1309" s="32"/>
      <c r="D1309" s="48">
        <f>SUM(D1306:D1308)</f>
        <v>1559</v>
      </c>
      <c r="E1309" s="48">
        <f>SUM(E1306:E1308)</f>
        <v>21941</v>
      </c>
      <c r="F1309" s="48">
        <f>SUM(F1306:F1308)</f>
        <v>23500</v>
      </c>
      <c r="G1309" s="32"/>
      <c r="H1309" s="48">
        <f>SUM(H1306:H1308)</f>
        <v>0</v>
      </c>
      <c r="I1309" s="36"/>
      <c r="J1309" s="48">
        <f>SUM(J1306:J1308)</f>
        <v>6057</v>
      </c>
      <c r="K1309" s="48">
        <f>SUM(K1306:K1308)</f>
        <v>14443</v>
      </c>
      <c r="L1309" s="48">
        <f>SUM(L1306:L1308)</f>
        <v>20500</v>
      </c>
      <c r="M1309" s="32"/>
      <c r="N1309" s="48">
        <f>SUM(N1306:N1308)</f>
        <v>-3000</v>
      </c>
      <c r="P1309" s="48">
        <f>SUM(P1306:P1308)</f>
        <v>21099.050000000003</v>
      </c>
      <c r="R1309" s="48">
        <f t="shared" ref="R1309:Z1309" si="615">SUM(R1306:R1308)</f>
        <v>5075</v>
      </c>
      <c r="S1309" s="48">
        <f t="shared" si="615"/>
        <v>16425</v>
      </c>
      <c r="T1309" s="48">
        <f t="shared" si="615"/>
        <v>21500</v>
      </c>
      <c r="U1309" s="48">
        <f t="shared" si="615"/>
        <v>400.94999999999891</v>
      </c>
      <c r="V1309" s="48">
        <f t="shared" si="615"/>
        <v>9156</v>
      </c>
      <c r="W1309" s="48">
        <f t="shared" si="615"/>
        <v>12094</v>
      </c>
      <c r="X1309" s="48"/>
      <c r="Y1309" s="48">
        <f t="shared" si="615"/>
        <v>21250</v>
      </c>
      <c r="Z1309" s="48">
        <f t="shared" si="615"/>
        <v>-250</v>
      </c>
      <c r="AC1309" s="48">
        <f>SUM(AC1306:AC1308)</f>
        <v>8716</v>
      </c>
      <c r="AD1309" s="48">
        <f>SUM(AD1306:AD1308)</f>
        <v>11534</v>
      </c>
      <c r="AE1309" s="48">
        <f>SUM(AE1306:AE1308)</f>
        <v>20250</v>
      </c>
      <c r="AF1309" s="48">
        <f>SUM(AF1306:AF1308)</f>
        <v>-1000</v>
      </c>
      <c r="AH1309" s="48">
        <f>SUM(AH1306:AH1308)</f>
        <v>21649.982499999998</v>
      </c>
      <c r="AJ1309" s="48">
        <f>SUM(AJ1306:AJ1308)</f>
        <v>24501.304874999998</v>
      </c>
      <c r="AL1309" s="48">
        <f>SUM(AL1306:AL1308)</f>
        <v>26711.194094999999</v>
      </c>
      <c r="AN1309" s="48">
        <f>SUM(AN1306:AN1308)</f>
        <v>27971.522564258252</v>
      </c>
      <c r="AO1309" s="48"/>
      <c r="AP1309" s="48">
        <f>SUM(AP1306:AP1308)</f>
        <v>29292.753459262094</v>
      </c>
      <c r="AR1309" s="48">
        <f>SUM(AR1306:AR1308)</f>
        <v>30677.872497962959</v>
      </c>
      <c r="AT1309" s="48">
        <f>SUM(AT1306:AT1308)</f>
        <v>32130.013014976095</v>
      </c>
      <c r="AV1309" s="48">
        <f>SUM(AV1306:AV1308)</f>
        <v>33652.463295508322</v>
      </c>
      <c r="AX1309" s="48">
        <f>SUM(AX1306:AX1308)</f>
        <v>35248.674274664067</v>
      </c>
      <c r="AZ1309" s="48">
        <f>SUM(AZ1306:AZ1308)</f>
        <v>36922.267620361694</v>
      </c>
    </row>
    <row r="1310" spans="1:52" x14ac:dyDescent="0.25">
      <c r="A1310" s="7" t="s">
        <v>289</v>
      </c>
      <c r="B1310" s="35">
        <v>145000</v>
      </c>
      <c r="C1310" s="32"/>
      <c r="D1310" s="35"/>
      <c r="E1310" s="35">
        <f>F1310-D1310</f>
        <v>145000</v>
      </c>
      <c r="F1310" s="35">
        <v>145000</v>
      </c>
      <c r="G1310" s="32"/>
      <c r="H1310" s="35">
        <f>F1310-B1310</f>
        <v>0</v>
      </c>
      <c r="I1310" s="36"/>
      <c r="J1310" s="35">
        <v>0</v>
      </c>
      <c r="K1310" s="35">
        <f>L1310-J1310</f>
        <v>145000</v>
      </c>
      <c r="L1310" s="35">
        <v>145000</v>
      </c>
      <c r="M1310" s="32"/>
      <c r="N1310" s="35">
        <f>L1310-F1310</f>
        <v>0</v>
      </c>
      <c r="P1310" s="35">
        <v>145000</v>
      </c>
      <c r="R1310" s="35"/>
      <c r="S1310" s="50">
        <f>T1310-R1310</f>
        <v>163000</v>
      </c>
      <c r="T1310" s="50">
        <v>163000</v>
      </c>
      <c r="U1310" s="50">
        <f>T1310-P1310</f>
        <v>18000</v>
      </c>
      <c r="V1310" s="35"/>
      <c r="W1310" s="50">
        <f>Y1310-V1310</f>
        <v>163000</v>
      </c>
      <c r="X1310" s="50"/>
      <c r="Y1310" s="50">
        <v>163000</v>
      </c>
      <c r="Z1310" s="50">
        <f>Y1310-T1310</f>
        <v>0</v>
      </c>
      <c r="AA1310" s="38"/>
      <c r="AB1310" s="38"/>
      <c r="AC1310" s="50">
        <v>0</v>
      </c>
      <c r="AD1310" s="50">
        <f>AE1310-AC1310</f>
        <v>163000</v>
      </c>
      <c r="AE1310" s="50">
        <v>163000</v>
      </c>
      <c r="AF1310" s="50">
        <f>AE1310-Y1310</f>
        <v>0</v>
      </c>
      <c r="AG1310" s="38"/>
      <c r="AH1310" s="35">
        <v>145000</v>
      </c>
      <c r="AJ1310" s="35">
        <v>145000</v>
      </c>
      <c r="AL1310" s="35">
        <v>145000</v>
      </c>
      <c r="AN1310" s="35">
        <v>145000</v>
      </c>
      <c r="AO1310" s="35"/>
      <c r="AP1310" s="35">
        <v>145000</v>
      </c>
      <c r="AR1310" s="35">
        <v>145000</v>
      </c>
      <c r="AT1310" s="35">
        <v>145000</v>
      </c>
      <c r="AV1310" s="35">
        <v>145000</v>
      </c>
      <c r="AX1310" s="35">
        <v>145000</v>
      </c>
      <c r="AZ1310" s="35">
        <v>145000</v>
      </c>
    </row>
    <row r="1311" spans="1:52" x14ac:dyDescent="0.25">
      <c r="A1311" s="7" t="s">
        <v>376</v>
      </c>
    </row>
    <row r="1312" spans="1:52" x14ac:dyDescent="0.25">
      <c r="A1312" s="3" t="s">
        <v>842</v>
      </c>
    </row>
    <row r="1313" spans="1:53" x14ac:dyDescent="0.25">
      <c r="A1313" s="3" t="s">
        <v>841</v>
      </c>
      <c r="B1313" s="3"/>
      <c r="D1313" s="3"/>
      <c r="E1313" s="3"/>
      <c r="F1313" s="3"/>
      <c r="H1313" s="3"/>
      <c r="I1313" s="3"/>
      <c r="J1313" s="3"/>
      <c r="K1313" s="3"/>
      <c r="L1313" s="3"/>
      <c r="N1313" s="3"/>
      <c r="P1313" s="3">
        <v>8000</v>
      </c>
      <c r="Q1313" s="3"/>
      <c r="R1313" s="3"/>
      <c r="S1313" s="3">
        <f>T1313-R1313</f>
        <v>8000</v>
      </c>
      <c r="T1313" s="3">
        <v>8000</v>
      </c>
      <c r="U1313" s="3">
        <f>T1313-P1313</f>
        <v>0</v>
      </c>
      <c r="V1313" s="3"/>
      <c r="W1313" s="3">
        <f>Y1313-V1313</f>
        <v>12000</v>
      </c>
      <c r="X1313" s="3"/>
      <c r="Y1313" s="3">
        <v>12000</v>
      </c>
      <c r="Z1313" s="3">
        <f>Y1313-T1313</f>
        <v>4000</v>
      </c>
      <c r="AA1313" s="3"/>
      <c r="AB1313" s="3"/>
      <c r="AC1313" s="3">
        <f>638+5020</f>
        <v>5658</v>
      </c>
      <c r="AD1313" s="3">
        <f>AE1313-AC1313</f>
        <v>6342</v>
      </c>
      <c r="AE1313" s="3">
        <v>12000</v>
      </c>
      <c r="AF1313" s="3">
        <f>AE1313-Y1313</f>
        <v>0</v>
      </c>
      <c r="AG1313" s="3"/>
      <c r="AH1313" s="3"/>
      <c r="AI1313" s="3"/>
      <c r="AJ1313" s="3"/>
      <c r="AK1313" s="3"/>
      <c r="AL1313" s="3"/>
      <c r="AM1313" s="3"/>
      <c r="AN1313" s="3">
        <v>9000</v>
      </c>
      <c r="AO1313" s="3"/>
      <c r="AP1313" s="3"/>
      <c r="AQ1313" s="42"/>
      <c r="AR1313" s="3"/>
      <c r="AS1313" s="42"/>
      <c r="AT1313" s="3">
        <v>10000</v>
      </c>
      <c r="AU1313" s="42"/>
      <c r="AV1313" s="3">
        <v>10000</v>
      </c>
      <c r="AW1313" s="42"/>
      <c r="AX1313" s="3">
        <v>10000</v>
      </c>
      <c r="AZ1313" s="3">
        <v>10000</v>
      </c>
    </row>
    <row r="1314" spans="1:53" x14ac:dyDescent="0.25">
      <c r="A1314" s="3" t="s">
        <v>907</v>
      </c>
      <c r="B1314" s="3">
        <v>300</v>
      </c>
      <c r="D1314" s="3"/>
      <c r="E1314" s="3">
        <f>F1314-D1314</f>
        <v>300</v>
      </c>
      <c r="F1314" s="5">
        <v>300</v>
      </c>
      <c r="H1314" s="5">
        <f>F1314-B1314</f>
        <v>0</v>
      </c>
      <c r="K1314" s="4">
        <f>L1314-J1314</f>
        <v>300</v>
      </c>
      <c r="L1314" s="4">
        <v>300</v>
      </c>
      <c r="N1314" s="4">
        <f>L1314-F1314</f>
        <v>0</v>
      </c>
      <c r="P1314" s="3">
        <v>300</v>
      </c>
      <c r="Q1314" s="3"/>
      <c r="R1314" s="3"/>
      <c r="S1314" s="3">
        <f>T1314-R1314</f>
        <v>300</v>
      </c>
      <c r="T1314" s="3">
        <v>300</v>
      </c>
      <c r="U1314" s="3">
        <f>T1314-P1314</f>
        <v>0</v>
      </c>
      <c r="V1314" s="3"/>
      <c r="W1314" s="3">
        <f>Y1314-V1314</f>
        <v>0</v>
      </c>
      <c r="X1314" s="3"/>
      <c r="Y1314" s="3"/>
      <c r="Z1314" s="3">
        <f>Y1314-T1314</f>
        <v>-300</v>
      </c>
      <c r="AA1314" s="3"/>
      <c r="AB1314" s="3"/>
      <c r="AC1314" s="3"/>
      <c r="AD1314" s="3">
        <f>AE1314-AC1314</f>
        <v>0</v>
      </c>
      <c r="AE1314" s="3"/>
      <c r="AF1314" s="3">
        <f>AE1314-Y1314</f>
        <v>0</v>
      </c>
      <c r="AG1314" s="3"/>
      <c r="AH1314" s="3">
        <v>300</v>
      </c>
      <c r="AI1314" s="3"/>
      <c r="AJ1314" s="3">
        <v>300</v>
      </c>
      <c r="AK1314" s="3"/>
      <c r="AL1314" s="3">
        <v>300</v>
      </c>
      <c r="AM1314" s="3"/>
      <c r="AN1314" s="3">
        <v>300</v>
      </c>
      <c r="AO1314" s="3"/>
      <c r="AP1314" s="3">
        <v>300</v>
      </c>
      <c r="AQ1314" s="42"/>
      <c r="AR1314" s="3">
        <v>300</v>
      </c>
      <c r="AS1314" s="42"/>
      <c r="AT1314" s="3">
        <v>300</v>
      </c>
      <c r="AU1314" s="42"/>
      <c r="AV1314" s="3">
        <v>300</v>
      </c>
      <c r="AW1314" s="42"/>
      <c r="AX1314" s="3">
        <v>300</v>
      </c>
      <c r="AZ1314" s="3">
        <v>300</v>
      </c>
    </row>
    <row r="1315" spans="1:53" x14ac:dyDescent="0.25">
      <c r="A1315" s="3" t="s">
        <v>908</v>
      </c>
      <c r="E1315" s="3">
        <f>F1315-D1315</f>
        <v>0</v>
      </c>
      <c r="H1315" s="5">
        <f>F1315-B1315</f>
        <v>0</v>
      </c>
      <c r="K1315" s="4">
        <f>L1315-J1315</f>
        <v>0</v>
      </c>
      <c r="L1315" s="4"/>
      <c r="N1315" s="4">
        <f>L1315-F1315</f>
        <v>0</v>
      </c>
      <c r="S1315" s="3">
        <f>T1315-R1315</f>
        <v>0</v>
      </c>
      <c r="T1315" s="3"/>
      <c r="U1315" s="3">
        <f>T1315-P1315</f>
        <v>0</v>
      </c>
      <c r="W1315" s="3">
        <f>Y1315-V1315</f>
        <v>0</v>
      </c>
      <c r="X1315" s="3"/>
      <c r="Z1315" s="3">
        <f>Y1315-T1315</f>
        <v>0</v>
      </c>
      <c r="AD1315" s="3">
        <f>AE1315-AC1315</f>
        <v>0</v>
      </c>
      <c r="AE1315" s="3"/>
      <c r="AF1315" s="3">
        <f>AE1315-Y1315</f>
        <v>0</v>
      </c>
    </row>
    <row r="1316" spans="1:53" ht="15.75" thickBot="1" x14ac:dyDescent="0.3">
      <c r="A1316" s="3"/>
      <c r="B1316" s="48">
        <f>SUM(B1312:B1315)</f>
        <v>300</v>
      </c>
      <c r="C1316" s="32"/>
      <c r="D1316" s="48">
        <f>SUM(D1312:D1315)</f>
        <v>0</v>
      </c>
      <c r="E1316" s="48">
        <f>SUM(E1312:E1315)</f>
        <v>300</v>
      </c>
      <c r="F1316" s="48">
        <f>SUM(F1312:F1315)</f>
        <v>300</v>
      </c>
      <c r="G1316" s="32"/>
      <c r="H1316" s="48">
        <f>SUM(H1312:H1315)</f>
        <v>0</v>
      </c>
      <c r="I1316" s="36"/>
      <c r="J1316" s="48">
        <f>SUM(J1312:J1315)</f>
        <v>0</v>
      </c>
      <c r="K1316" s="48">
        <f>SUM(K1312:K1315)</f>
        <v>300</v>
      </c>
      <c r="L1316" s="48">
        <f>SUM(L1312:L1315)</f>
        <v>300</v>
      </c>
      <c r="M1316" s="32"/>
      <c r="N1316" s="48">
        <f>SUM(N1312:N1315)</f>
        <v>0</v>
      </c>
      <c r="P1316" s="48">
        <f>SUM(P1312:P1315)</f>
        <v>8300</v>
      </c>
      <c r="R1316" s="48">
        <f t="shared" ref="R1316:Z1316" si="616">SUM(R1312:R1315)</f>
        <v>0</v>
      </c>
      <c r="S1316" s="48">
        <f t="shared" si="616"/>
        <v>8300</v>
      </c>
      <c r="T1316" s="48">
        <f t="shared" si="616"/>
        <v>8300</v>
      </c>
      <c r="U1316" s="48">
        <f t="shared" si="616"/>
        <v>0</v>
      </c>
      <c r="V1316" s="48">
        <f t="shared" si="616"/>
        <v>0</v>
      </c>
      <c r="W1316" s="48">
        <f t="shared" si="616"/>
        <v>12000</v>
      </c>
      <c r="X1316" s="48"/>
      <c r="Y1316" s="48">
        <f t="shared" si="616"/>
        <v>12000</v>
      </c>
      <c r="Z1316" s="48">
        <f t="shared" si="616"/>
        <v>3700</v>
      </c>
      <c r="AC1316" s="48">
        <f>SUM(AC1312:AC1315)</f>
        <v>5658</v>
      </c>
      <c r="AD1316" s="48">
        <f>SUM(AD1312:AD1315)</f>
        <v>6342</v>
      </c>
      <c r="AE1316" s="48">
        <f>SUM(AE1312:AE1315)</f>
        <v>12000</v>
      </c>
      <c r="AF1316" s="48">
        <f>SUM(AF1312:AF1315)</f>
        <v>0</v>
      </c>
      <c r="AH1316" s="48">
        <f>SUM(AH1312:AH1315)</f>
        <v>300</v>
      </c>
      <c r="AJ1316" s="48">
        <f>SUM(AJ1312:AJ1315)</f>
        <v>300</v>
      </c>
      <c r="AL1316" s="48">
        <f>SUM(AL1312:AL1315)</f>
        <v>300</v>
      </c>
      <c r="AN1316" s="48">
        <f>SUM(AN1312:AN1315)</f>
        <v>9300</v>
      </c>
      <c r="AO1316" s="48"/>
      <c r="AP1316" s="48">
        <f>SUM(AP1312:AP1315)</f>
        <v>300</v>
      </c>
      <c r="AR1316" s="48">
        <f>SUM(AR1312:AR1315)</f>
        <v>300</v>
      </c>
      <c r="AT1316" s="48">
        <f>SUM(AT1312:AT1315)</f>
        <v>10300</v>
      </c>
      <c r="AV1316" s="48">
        <f>SUM(AV1312:AV1315)</f>
        <v>10300</v>
      </c>
      <c r="AX1316" s="48">
        <f>SUM(AX1312:AX1315)</f>
        <v>10300</v>
      </c>
      <c r="AZ1316" s="48">
        <f>SUM(AZ1312:AZ1315)</f>
        <v>10300</v>
      </c>
      <c r="BA1316" s="42"/>
    </row>
    <row r="1317" spans="1:53" ht="16.5" thickTop="1" thickBot="1" x14ac:dyDescent="0.3">
      <c r="A1317" s="3"/>
      <c r="B1317" s="65">
        <f>B1316+B1310+B1309+B1304+B1293</f>
        <v>476800</v>
      </c>
      <c r="C1317" s="32"/>
      <c r="D1317" s="65">
        <f>D1316+D1310+D1309+D1304+D1293</f>
        <v>72898</v>
      </c>
      <c r="E1317" s="65">
        <f>E1316+E1310+E1309+E1304+E1293</f>
        <v>403906</v>
      </c>
      <c r="F1317" s="65">
        <f>F1316+F1310+F1309+F1304+F1293</f>
        <v>476802</v>
      </c>
      <c r="G1317" s="32"/>
      <c r="H1317" s="65">
        <f>H1316+H1310+H1309+H1304+H1293</f>
        <v>2</v>
      </c>
      <c r="I1317" s="36"/>
      <c r="J1317" s="65">
        <f>J1316+J1310+J1309+J1304+J1293</f>
        <v>132889</v>
      </c>
      <c r="K1317" s="65">
        <f>K1316+K1310+K1309+K1304+K1293</f>
        <v>354185</v>
      </c>
      <c r="L1317" s="65">
        <f>L1316+L1310+L1309+L1304+L1293</f>
        <v>487072</v>
      </c>
      <c r="M1317" s="32"/>
      <c r="N1317" s="65">
        <f>N1316+N1310+N1309+N1304+N1293</f>
        <v>10272</v>
      </c>
      <c r="P1317" s="65">
        <f>P1316+P1310+P1309+P1304+P1293</f>
        <v>508497.36699999997</v>
      </c>
      <c r="R1317" s="65">
        <f t="shared" ref="R1317:Z1317" si="617">R1316+R1310+R1309+R1304+R1293</f>
        <v>69505</v>
      </c>
      <c r="S1317" s="65">
        <f t="shared" si="617"/>
        <v>457395</v>
      </c>
      <c r="T1317" s="65">
        <f t="shared" si="617"/>
        <v>526900</v>
      </c>
      <c r="U1317" s="65">
        <f t="shared" si="617"/>
        <v>18402.632999999998</v>
      </c>
      <c r="V1317" s="65">
        <f t="shared" si="617"/>
        <v>143918</v>
      </c>
      <c r="W1317" s="65">
        <f t="shared" si="617"/>
        <v>389882</v>
      </c>
      <c r="X1317" s="65"/>
      <c r="Y1317" s="65">
        <f t="shared" si="617"/>
        <v>533800</v>
      </c>
      <c r="Z1317" s="65">
        <f t="shared" si="617"/>
        <v>6900</v>
      </c>
      <c r="AC1317" s="65">
        <f>AC1316+AC1310+AC1309+AC1304+AC1293</f>
        <v>201805</v>
      </c>
      <c r="AD1317" s="65">
        <f>AD1316+AD1310+AD1309+AD1304+AD1293</f>
        <v>329745</v>
      </c>
      <c r="AE1317" s="65">
        <f>AE1316+AE1310+AE1309+AE1304+AE1293</f>
        <v>531550</v>
      </c>
      <c r="AF1317" s="65">
        <f>AF1316+AF1310+AF1309+AF1304+AF1293</f>
        <v>-2250</v>
      </c>
      <c r="AH1317" s="65">
        <f>AH1316+AH1310+AH1309+AH1304+AH1293</f>
        <v>511750.06859999994</v>
      </c>
      <c r="AJ1317" s="65">
        <f>AJ1316+AJ1310+AJ1309+AJ1304+AJ1293-1</f>
        <v>526155.5079330001</v>
      </c>
      <c r="AL1317" s="65">
        <f>AL1316+AL1310+AL1309+AL1304+AL1293-1</f>
        <v>540334.61554005253</v>
      </c>
      <c r="AN1317" s="65">
        <f>AN1316+AN1310+AN1309+AN1304+AN1293-1</f>
        <v>571902.92879984598</v>
      </c>
      <c r="AO1317" s="65"/>
      <c r="AP1317" s="65">
        <f>AP1316+AP1310+AP1309+AP1304+AP1293-1</f>
        <v>567870.47652133601</v>
      </c>
      <c r="AR1317" s="65">
        <f>AR1316+AR1310+AR1309+AR1304+AR1293-1</f>
        <v>582343.20305839868</v>
      </c>
      <c r="AT1317" s="65">
        <f>AT1316+AT1310+AT1309+AT1304+AT1293-1</f>
        <v>617340.59020737489</v>
      </c>
      <c r="AV1317" s="65">
        <f>AV1316+AV1310+AV1309+AV1304+AV1293-1</f>
        <v>632882.92105991603</v>
      </c>
      <c r="AX1317" s="65">
        <f>AX1316+AX1310+AX1309+AX1304+AX1293-1</f>
        <v>648991.3148982788</v>
      </c>
      <c r="AZ1317" s="65">
        <f>AZ1316+AZ1310+AZ1309+AZ1304+AZ1293-1</f>
        <v>665687.76368069812</v>
      </c>
    </row>
    <row r="1318" spans="1:53" s="42" customFormat="1" ht="15.75" thickTop="1" x14ac:dyDescent="0.25">
      <c r="A1318" s="3"/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"/>
      <c r="P1318" s="32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2"/>
      <c r="AI1318" s="3"/>
      <c r="AJ1318" s="32"/>
      <c r="AK1318" s="3"/>
      <c r="AL1318" s="32"/>
      <c r="AM1318" s="3"/>
      <c r="AN1318" s="32"/>
      <c r="AO1318" s="32"/>
      <c r="AP1318" s="32"/>
      <c r="AR1318" s="32"/>
      <c r="AT1318" s="32"/>
      <c r="AV1318" s="32"/>
      <c r="AX1318" s="32"/>
      <c r="AZ1318" s="32"/>
      <c r="BA1318" s="6"/>
    </row>
    <row r="1319" spans="1:53" x14ac:dyDescent="0.25">
      <c r="A1319" s="28" t="s">
        <v>909</v>
      </c>
      <c r="BA1319" s="86"/>
    </row>
    <row r="1320" spans="1:53" x14ac:dyDescent="0.25">
      <c r="A1320" s="3" t="s">
        <v>910</v>
      </c>
    </row>
    <row r="1321" spans="1:53" s="86" customFormat="1" x14ac:dyDescent="0.25">
      <c r="A1321" s="85" t="s">
        <v>891</v>
      </c>
      <c r="B1321" s="85"/>
      <c r="C1321" s="4"/>
      <c r="D1321" s="85"/>
      <c r="E1321" s="3">
        <f t="shared" ref="E1321:E1343" si="618">F1321-D1321</f>
        <v>0</v>
      </c>
      <c r="F1321" s="5"/>
      <c r="G1321" s="3"/>
      <c r="H1321" s="5">
        <f t="shared" ref="H1321:H1343" si="619">F1321-B1321</f>
        <v>0</v>
      </c>
      <c r="I1321" s="5"/>
      <c r="J1321" s="5"/>
      <c r="K1321" s="4">
        <f t="shared" ref="K1321:K1343" si="620">L1321-J1321</f>
        <v>0</v>
      </c>
      <c r="L1321" s="4"/>
      <c r="M1321" s="4"/>
      <c r="N1321" s="4">
        <f t="shared" ref="N1321:N1343" si="621">L1321-F1321</f>
        <v>0</v>
      </c>
      <c r="O1321" s="4"/>
      <c r="P1321" s="85"/>
      <c r="Q1321" s="85"/>
      <c r="R1321" s="85"/>
      <c r="S1321" s="85"/>
      <c r="T1321" s="85"/>
      <c r="U1321" s="85"/>
      <c r="V1321" s="85"/>
      <c r="W1321" s="3">
        <f t="shared" ref="W1321:W1343" si="622">Y1321-V1321</f>
        <v>0</v>
      </c>
      <c r="X1321" s="3"/>
      <c r="Y1321" s="85"/>
      <c r="Z1321" s="85"/>
      <c r="AA1321" s="85"/>
      <c r="AB1321" s="85"/>
      <c r="AC1321" s="85"/>
      <c r="AD1321" s="85"/>
      <c r="AE1321" s="85"/>
      <c r="AF1321" s="85"/>
      <c r="AG1321" s="85"/>
      <c r="AH1321" s="85"/>
      <c r="AI1321" s="85"/>
      <c r="AJ1321" s="85"/>
      <c r="AK1321" s="85"/>
      <c r="AL1321" s="85"/>
      <c r="AM1321" s="85"/>
      <c r="AN1321" s="85"/>
      <c r="AO1321" s="85"/>
      <c r="AP1321" s="85"/>
      <c r="AR1321" s="85"/>
      <c r="AT1321" s="85"/>
      <c r="AV1321" s="85"/>
      <c r="AX1321" s="85"/>
      <c r="AZ1321" s="85"/>
    </row>
    <row r="1322" spans="1:53" x14ac:dyDescent="0.25">
      <c r="A1322" s="3" t="s">
        <v>911</v>
      </c>
      <c r="E1322" s="3">
        <f t="shared" si="618"/>
        <v>0</v>
      </c>
      <c r="H1322" s="5">
        <f t="shared" si="619"/>
        <v>0</v>
      </c>
      <c r="K1322" s="4">
        <f t="shared" si="620"/>
        <v>0</v>
      </c>
      <c r="L1322" s="4"/>
      <c r="N1322" s="4">
        <f t="shared" si="621"/>
        <v>0</v>
      </c>
      <c r="W1322" s="3">
        <f t="shared" si="622"/>
        <v>0</v>
      </c>
      <c r="X1322" s="3"/>
      <c r="Z1322" s="3">
        <f t="shared" ref="Z1322:Z1343" si="623">Y1322-T1322</f>
        <v>0</v>
      </c>
      <c r="AL1322" s="5">
        <v>225700</v>
      </c>
      <c r="AP1322" s="5">
        <v>225700</v>
      </c>
      <c r="AT1322" s="5">
        <v>225700</v>
      </c>
      <c r="AX1322" s="5">
        <v>225700</v>
      </c>
      <c r="AZ1322" s="5">
        <v>225700</v>
      </c>
    </row>
    <row r="1323" spans="1:53" s="86" customFormat="1" x14ac:dyDescent="0.25">
      <c r="A1323" s="85" t="s">
        <v>912</v>
      </c>
      <c r="B1323" s="85"/>
      <c r="C1323" s="4"/>
      <c r="D1323" s="85"/>
      <c r="E1323" s="3">
        <f t="shared" si="618"/>
        <v>0</v>
      </c>
      <c r="F1323" s="5"/>
      <c r="G1323" s="3"/>
      <c r="H1323" s="5">
        <f t="shared" si="619"/>
        <v>0</v>
      </c>
      <c r="I1323" s="5"/>
      <c r="J1323" s="5"/>
      <c r="K1323" s="4">
        <f t="shared" si="620"/>
        <v>0</v>
      </c>
      <c r="L1323" s="4"/>
      <c r="M1323" s="4"/>
      <c r="N1323" s="4">
        <f t="shared" si="621"/>
        <v>0</v>
      </c>
      <c r="O1323" s="4"/>
      <c r="P1323" s="85"/>
      <c r="Q1323" s="85"/>
      <c r="R1323" s="85"/>
      <c r="S1323" s="85"/>
      <c r="T1323" s="85"/>
      <c r="U1323" s="85"/>
      <c r="V1323" s="85"/>
      <c r="W1323" s="3">
        <f t="shared" si="622"/>
        <v>0</v>
      </c>
      <c r="X1323" s="3"/>
      <c r="Y1323" s="85"/>
      <c r="Z1323" s="3">
        <f t="shared" si="623"/>
        <v>0</v>
      </c>
      <c r="AA1323" s="85"/>
      <c r="AB1323" s="85"/>
      <c r="AC1323" s="85"/>
      <c r="AD1323" s="85"/>
      <c r="AE1323" s="85"/>
      <c r="AF1323" s="85"/>
      <c r="AG1323" s="85"/>
      <c r="AH1323" s="85"/>
      <c r="AI1323" s="85"/>
      <c r="AJ1323" s="85"/>
      <c r="AK1323" s="85"/>
      <c r="AL1323" s="85"/>
      <c r="AM1323" s="85"/>
      <c r="AN1323" s="85"/>
      <c r="AO1323" s="85"/>
      <c r="AP1323" s="85"/>
      <c r="AR1323" s="85"/>
      <c r="AT1323" s="85"/>
      <c r="AV1323" s="85"/>
      <c r="AX1323" s="85"/>
      <c r="AZ1323" s="85"/>
      <c r="BA1323" s="6"/>
    </row>
    <row r="1324" spans="1:53" x14ac:dyDescent="0.25">
      <c r="A1324" s="3" t="s">
        <v>913</v>
      </c>
      <c r="B1324" s="3"/>
      <c r="D1324" s="3"/>
      <c r="E1324" s="3">
        <f t="shared" si="618"/>
        <v>0</v>
      </c>
      <c r="H1324" s="5">
        <f t="shared" si="619"/>
        <v>0</v>
      </c>
      <c r="K1324" s="4">
        <f t="shared" si="620"/>
        <v>0</v>
      </c>
      <c r="L1324" s="4"/>
      <c r="N1324" s="4">
        <f t="shared" si="621"/>
        <v>0</v>
      </c>
      <c r="P1324" s="3">
        <v>30000</v>
      </c>
      <c r="R1324" s="5">
        <v>0</v>
      </c>
      <c r="S1324" s="3">
        <f>T1324-R1324</f>
        <v>30000</v>
      </c>
      <c r="T1324" s="3">
        <v>30000</v>
      </c>
      <c r="U1324" s="3">
        <f>T1324-P1324</f>
        <v>0</v>
      </c>
      <c r="W1324" s="3">
        <f t="shared" si="622"/>
        <v>30000</v>
      </c>
      <c r="X1324" s="3"/>
      <c r="Y1324" s="5">
        <v>30000</v>
      </c>
      <c r="Z1324" s="3">
        <f t="shared" si="623"/>
        <v>0</v>
      </c>
      <c r="AC1324" s="5">
        <v>9942</v>
      </c>
      <c r="AD1324" s="3">
        <f t="shared" ref="AD1324:AD1343" si="624">AE1324-AC1324</f>
        <v>15058</v>
      </c>
      <c r="AE1324" s="3">
        <v>25000</v>
      </c>
      <c r="AF1324" s="3">
        <f t="shared" ref="AF1324:AF1343" si="625">AE1324-Y1324</f>
        <v>-5000</v>
      </c>
      <c r="BA1324" s="86"/>
    </row>
    <row r="1325" spans="1:53" x14ac:dyDescent="0.25">
      <c r="A1325" s="3" t="s">
        <v>914</v>
      </c>
      <c r="B1325" s="3"/>
      <c r="D1325" s="3"/>
      <c r="E1325" s="3"/>
      <c r="K1325" s="4"/>
      <c r="L1325" s="4"/>
      <c r="N1325" s="4"/>
      <c r="P1325" s="3">
        <v>10000</v>
      </c>
      <c r="R1325" s="5">
        <v>0</v>
      </c>
      <c r="S1325" s="3">
        <f>T1325-R1325</f>
        <v>10000</v>
      </c>
      <c r="T1325" s="3">
        <v>10000</v>
      </c>
      <c r="U1325" s="3">
        <f>T1325-P1325</f>
        <v>0</v>
      </c>
      <c r="W1325" s="3">
        <f t="shared" si="622"/>
        <v>10000</v>
      </c>
      <c r="X1325" s="3"/>
      <c r="Y1325" s="5">
        <v>10000</v>
      </c>
      <c r="Z1325" s="3">
        <f t="shared" si="623"/>
        <v>0</v>
      </c>
      <c r="AD1325" s="3">
        <f t="shared" si="624"/>
        <v>7500</v>
      </c>
      <c r="AE1325" s="3">
        <v>7500</v>
      </c>
      <c r="AF1325" s="3">
        <f t="shared" si="625"/>
        <v>-2500</v>
      </c>
      <c r="AJ1325" s="5">
        <v>5000</v>
      </c>
      <c r="AN1325" s="5">
        <v>5000</v>
      </c>
    </row>
    <row r="1326" spans="1:53" s="86" customFormat="1" x14ac:dyDescent="0.25">
      <c r="A1326" s="85" t="s">
        <v>915</v>
      </c>
      <c r="B1326" s="85"/>
      <c r="C1326" s="4"/>
      <c r="D1326" s="85"/>
      <c r="E1326" s="3">
        <f t="shared" si="618"/>
        <v>0</v>
      </c>
      <c r="F1326" s="5"/>
      <c r="G1326" s="3"/>
      <c r="H1326" s="5">
        <f t="shared" si="619"/>
        <v>0</v>
      </c>
      <c r="I1326" s="5"/>
      <c r="J1326" s="5"/>
      <c r="K1326" s="4">
        <f t="shared" si="620"/>
        <v>0</v>
      </c>
      <c r="L1326" s="4"/>
      <c r="M1326" s="4"/>
      <c r="N1326" s="4">
        <f t="shared" si="621"/>
        <v>0</v>
      </c>
      <c r="O1326" s="4"/>
      <c r="P1326" s="85"/>
      <c r="Q1326" s="85"/>
      <c r="R1326" s="85"/>
      <c r="S1326" s="30">
        <f>T1326-R1326</f>
        <v>0</v>
      </c>
      <c r="T1326" s="30"/>
      <c r="U1326" s="30">
        <f>T1326-P1326</f>
        <v>0</v>
      </c>
      <c r="V1326" s="85"/>
      <c r="W1326" s="3">
        <f t="shared" si="622"/>
        <v>0</v>
      </c>
      <c r="X1326" s="3"/>
      <c r="Y1326" s="85"/>
      <c r="Z1326" s="3">
        <f t="shared" si="623"/>
        <v>0</v>
      </c>
      <c r="AA1326" s="85"/>
      <c r="AB1326" s="85"/>
      <c r="AC1326" s="85"/>
      <c r="AD1326" s="30">
        <f t="shared" si="624"/>
        <v>0</v>
      </c>
      <c r="AE1326" s="30"/>
      <c r="AF1326" s="30">
        <f t="shared" si="625"/>
        <v>0</v>
      </c>
      <c r="AG1326" s="85"/>
      <c r="AH1326" s="85"/>
      <c r="AI1326" s="85"/>
      <c r="AJ1326" s="85"/>
      <c r="AK1326" s="85"/>
      <c r="AL1326" s="85"/>
      <c r="AM1326" s="85"/>
      <c r="AN1326" s="85"/>
      <c r="AO1326" s="85"/>
      <c r="AP1326" s="85"/>
      <c r="AR1326" s="85"/>
      <c r="AT1326" s="85"/>
      <c r="AV1326" s="85"/>
      <c r="AX1326" s="85"/>
      <c r="AZ1326" s="85"/>
    </row>
    <row r="1327" spans="1:53" x14ac:dyDescent="0.25">
      <c r="A1327" s="3" t="s">
        <v>916</v>
      </c>
      <c r="E1327" s="3">
        <f t="shared" si="618"/>
        <v>0</v>
      </c>
      <c r="H1327" s="5">
        <f t="shared" si="619"/>
        <v>0</v>
      </c>
      <c r="K1327" s="4">
        <f t="shared" si="620"/>
        <v>0</v>
      </c>
      <c r="L1327" s="4"/>
      <c r="N1327" s="4">
        <f t="shared" si="621"/>
        <v>0</v>
      </c>
      <c r="P1327" s="5">
        <v>8000</v>
      </c>
      <c r="R1327" s="5">
        <v>0</v>
      </c>
      <c r="S1327" s="3">
        <f>T1327-R1327</f>
        <v>8000</v>
      </c>
      <c r="T1327" s="3">
        <v>8000</v>
      </c>
      <c r="U1327" s="3">
        <f>T1327-P1327</f>
        <v>0</v>
      </c>
      <c r="V1327" s="5">
        <v>2690</v>
      </c>
      <c r="W1327" s="3">
        <f t="shared" si="622"/>
        <v>5310</v>
      </c>
      <c r="X1327" s="3"/>
      <c r="Y1327" s="5">
        <v>8000</v>
      </c>
      <c r="Z1327" s="3">
        <f t="shared" si="623"/>
        <v>0</v>
      </c>
      <c r="AC1327" s="5">
        <v>13419</v>
      </c>
      <c r="AD1327" s="3">
        <f t="shared" si="624"/>
        <v>581</v>
      </c>
      <c r="AE1327" s="3">
        <v>14000</v>
      </c>
      <c r="AF1327" s="3">
        <f t="shared" si="625"/>
        <v>6000</v>
      </c>
      <c r="AP1327" s="5">
        <f>61400+106000+100</f>
        <v>167500</v>
      </c>
    </row>
    <row r="1328" spans="1:53" s="86" customFormat="1" x14ac:dyDescent="0.25">
      <c r="A1328" s="85" t="s">
        <v>917</v>
      </c>
      <c r="B1328" s="85">
        <v>30000</v>
      </c>
      <c r="C1328" s="4"/>
      <c r="D1328" s="85"/>
      <c r="E1328" s="3">
        <f t="shared" si="618"/>
        <v>30000</v>
      </c>
      <c r="F1328" s="5">
        <v>30000</v>
      </c>
      <c r="G1328" s="3"/>
      <c r="H1328" s="5">
        <f t="shared" si="619"/>
        <v>0</v>
      </c>
      <c r="I1328" s="5"/>
      <c r="J1328" s="5">
        <v>11691</v>
      </c>
      <c r="K1328" s="4">
        <f t="shared" si="620"/>
        <v>18309</v>
      </c>
      <c r="L1328" s="4">
        <v>30000</v>
      </c>
      <c r="M1328" s="4"/>
      <c r="N1328" s="4">
        <f t="shared" si="621"/>
        <v>0</v>
      </c>
      <c r="O1328" s="4"/>
      <c r="P1328" s="85"/>
      <c r="Q1328" s="85"/>
      <c r="R1328" s="85"/>
      <c r="S1328" s="85"/>
      <c r="T1328" s="85"/>
      <c r="U1328" s="85"/>
      <c r="V1328" s="85"/>
      <c r="W1328" s="3">
        <f t="shared" si="622"/>
        <v>0</v>
      </c>
      <c r="X1328" s="3"/>
      <c r="Y1328" s="85"/>
      <c r="Z1328" s="3">
        <f t="shared" si="623"/>
        <v>0</v>
      </c>
      <c r="AA1328" s="85"/>
      <c r="AB1328" s="85"/>
      <c r="AC1328" s="85"/>
      <c r="AD1328" s="30">
        <f t="shared" si="624"/>
        <v>0</v>
      </c>
      <c r="AE1328" s="30"/>
      <c r="AF1328" s="30">
        <f t="shared" si="625"/>
        <v>0</v>
      </c>
      <c r="AG1328" s="85"/>
      <c r="AH1328" s="85"/>
      <c r="AI1328" s="85"/>
      <c r="AJ1328" s="85"/>
      <c r="AK1328" s="85"/>
      <c r="AL1328" s="85"/>
      <c r="AM1328" s="85"/>
      <c r="AN1328" s="85"/>
      <c r="AO1328" s="85"/>
      <c r="AP1328" s="85">
        <v>222000</v>
      </c>
      <c r="AR1328" s="85"/>
      <c r="AT1328" s="85"/>
      <c r="AV1328" s="85"/>
      <c r="AX1328" s="85"/>
      <c r="AZ1328" s="85"/>
    </row>
    <row r="1329" spans="1:53" x14ac:dyDescent="0.25">
      <c r="A1329" s="3" t="s">
        <v>918</v>
      </c>
      <c r="E1329" s="3">
        <f t="shared" si="618"/>
        <v>0</v>
      </c>
      <c r="H1329" s="5">
        <f t="shared" si="619"/>
        <v>0</v>
      </c>
      <c r="K1329" s="4">
        <f t="shared" si="620"/>
        <v>0</v>
      </c>
      <c r="L1329" s="4"/>
      <c r="N1329" s="4">
        <f t="shared" si="621"/>
        <v>0</v>
      </c>
      <c r="W1329" s="3">
        <f t="shared" si="622"/>
        <v>0</v>
      </c>
      <c r="X1329" s="3"/>
      <c r="Z1329" s="3">
        <f t="shared" si="623"/>
        <v>0</v>
      </c>
      <c r="AD1329" s="3">
        <f t="shared" si="624"/>
        <v>0</v>
      </c>
      <c r="AE1329" s="3"/>
      <c r="AF1329" s="3">
        <f t="shared" si="625"/>
        <v>0</v>
      </c>
    </row>
    <row r="1330" spans="1:53" s="86" customFormat="1" x14ac:dyDescent="0.25">
      <c r="A1330" s="85" t="s">
        <v>919</v>
      </c>
      <c r="B1330" s="85">
        <v>16250</v>
      </c>
      <c r="C1330" s="4"/>
      <c r="D1330" s="85"/>
      <c r="E1330" s="3">
        <f t="shared" si="618"/>
        <v>16250</v>
      </c>
      <c r="F1330" s="5">
        <v>16250</v>
      </c>
      <c r="G1330" s="3"/>
      <c r="H1330" s="5">
        <f t="shared" si="619"/>
        <v>0</v>
      </c>
      <c r="I1330" s="5"/>
      <c r="J1330" s="5">
        <v>0</v>
      </c>
      <c r="K1330" s="4">
        <f t="shared" si="620"/>
        <v>15000</v>
      </c>
      <c r="L1330" s="4">
        <v>15000</v>
      </c>
      <c r="M1330" s="4"/>
      <c r="N1330" s="4">
        <f t="shared" si="621"/>
        <v>-1250</v>
      </c>
      <c r="O1330" s="4"/>
      <c r="P1330" s="85"/>
      <c r="Q1330" s="85"/>
      <c r="R1330" s="85"/>
      <c r="S1330" s="85"/>
      <c r="T1330" s="85"/>
      <c r="U1330" s="85"/>
      <c r="V1330" s="85"/>
      <c r="W1330" s="3">
        <f t="shared" si="622"/>
        <v>0</v>
      </c>
      <c r="X1330" s="3"/>
      <c r="Y1330" s="85"/>
      <c r="Z1330" s="3">
        <f t="shared" si="623"/>
        <v>0</v>
      </c>
      <c r="AA1330" s="85"/>
      <c r="AB1330" s="85"/>
      <c r="AC1330" s="85">
        <v>2690</v>
      </c>
      <c r="AD1330" s="30">
        <f t="shared" si="624"/>
        <v>10</v>
      </c>
      <c r="AE1330" s="30">
        <v>2700</v>
      </c>
      <c r="AF1330" s="30">
        <f t="shared" si="625"/>
        <v>2700</v>
      </c>
      <c r="AG1330" s="87"/>
      <c r="AH1330" s="85"/>
      <c r="AI1330" s="85"/>
      <c r="AJ1330" s="85"/>
      <c r="AK1330" s="85"/>
      <c r="AL1330" s="85"/>
      <c r="AM1330" s="85"/>
      <c r="AN1330" s="85"/>
      <c r="AO1330" s="85"/>
      <c r="AP1330" s="85"/>
      <c r="AR1330" s="85"/>
      <c r="AT1330" s="85"/>
      <c r="AV1330" s="85"/>
      <c r="AX1330" s="85"/>
      <c r="AZ1330" s="85"/>
    </row>
    <row r="1331" spans="1:53" x14ac:dyDescent="0.25">
      <c r="A1331" s="3" t="s">
        <v>920</v>
      </c>
      <c r="E1331" s="3">
        <f t="shared" si="618"/>
        <v>0</v>
      </c>
      <c r="H1331" s="5">
        <f t="shared" si="619"/>
        <v>0</v>
      </c>
      <c r="K1331" s="4">
        <f t="shared" si="620"/>
        <v>0</v>
      </c>
      <c r="L1331" s="4"/>
      <c r="N1331" s="4">
        <f t="shared" si="621"/>
        <v>0</v>
      </c>
      <c r="W1331" s="3">
        <f t="shared" si="622"/>
        <v>0</v>
      </c>
      <c r="X1331" s="3"/>
      <c r="Z1331" s="3">
        <f t="shared" si="623"/>
        <v>0</v>
      </c>
      <c r="AD1331" s="3">
        <f t="shared" si="624"/>
        <v>0</v>
      </c>
      <c r="AE1331" s="3"/>
      <c r="AF1331" s="3">
        <f t="shared" si="625"/>
        <v>0</v>
      </c>
    </row>
    <row r="1332" spans="1:53" s="86" customFormat="1" x14ac:dyDescent="0.25">
      <c r="A1332" s="85" t="s">
        <v>921</v>
      </c>
      <c r="B1332" s="85"/>
      <c r="C1332" s="4"/>
      <c r="D1332" s="85"/>
      <c r="E1332" s="3">
        <f t="shared" si="618"/>
        <v>0</v>
      </c>
      <c r="F1332" s="5"/>
      <c r="G1332" s="3"/>
      <c r="H1332" s="5">
        <f t="shared" si="619"/>
        <v>0</v>
      </c>
      <c r="I1332" s="5"/>
      <c r="J1332" s="5"/>
      <c r="K1332" s="4">
        <f t="shared" si="620"/>
        <v>0</v>
      </c>
      <c r="L1332" s="4"/>
      <c r="M1332" s="4"/>
      <c r="N1332" s="4">
        <f t="shared" si="621"/>
        <v>0</v>
      </c>
      <c r="O1332" s="4"/>
      <c r="P1332" s="85"/>
      <c r="Q1332" s="85"/>
      <c r="R1332" s="85"/>
      <c r="S1332" s="85"/>
      <c r="T1332" s="85"/>
      <c r="U1332" s="85"/>
      <c r="V1332" s="85"/>
      <c r="W1332" s="3">
        <f t="shared" si="622"/>
        <v>0</v>
      </c>
      <c r="X1332" s="3"/>
      <c r="Y1332" s="85"/>
      <c r="Z1332" s="3">
        <f t="shared" si="623"/>
        <v>0</v>
      </c>
      <c r="AA1332" s="85"/>
      <c r="AB1332" s="85"/>
      <c r="AC1332" s="85"/>
      <c r="AD1332" s="30">
        <f t="shared" si="624"/>
        <v>0</v>
      </c>
      <c r="AE1332" s="30"/>
      <c r="AF1332" s="30">
        <f t="shared" si="625"/>
        <v>0</v>
      </c>
      <c r="AG1332" s="85"/>
      <c r="AH1332" s="85"/>
      <c r="AI1332" s="85"/>
      <c r="AJ1332" s="85"/>
      <c r="AK1332" s="85"/>
      <c r="AL1332" s="85"/>
      <c r="AM1332" s="85"/>
      <c r="AN1332" s="85"/>
      <c r="AO1332" s="85"/>
      <c r="AP1332" s="85"/>
      <c r="AR1332" s="85"/>
      <c r="AT1332" s="85"/>
      <c r="AV1332" s="85"/>
      <c r="AX1332" s="85"/>
      <c r="AZ1332" s="85"/>
    </row>
    <row r="1333" spans="1:53" x14ac:dyDescent="0.25">
      <c r="A1333" s="3" t="s">
        <v>922</v>
      </c>
      <c r="E1333" s="3">
        <f t="shared" si="618"/>
        <v>0</v>
      </c>
      <c r="H1333" s="5">
        <f t="shared" si="619"/>
        <v>0</v>
      </c>
      <c r="K1333" s="4">
        <f t="shared" si="620"/>
        <v>0</v>
      </c>
      <c r="L1333" s="4"/>
      <c r="N1333" s="4">
        <f t="shared" si="621"/>
        <v>0</v>
      </c>
      <c r="W1333" s="3">
        <f t="shared" si="622"/>
        <v>0</v>
      </c>
      <c r="X1333" s="3"/>
      <c r="Z1333" s="3">
        <f t="shared" si="623"/>
        <v>0</v>
      </c>
      <c r="AD1333" s="3">
        <f t="shared" si="624"/>
        <v>0</v>
      </c>
      <c r="AE1333" s="3"/>
      <c r="AF1333" s="3">
        <f t="shared" si="625"/>
        <v>0</v>
      </c>
    </row>
    <row r="1334" spans="1:53" s="86" customFormat="1" x14ac:dyDescent="0.25">
      <c r="A1334" s="85" t="s">
        <v>923</v>
      </c>
      <c r="B1334" s="85"/>
      <c r="C1334" s="4"/>
      <c r="D1334" s="85"/>
      <c r="E1334" s="3">
        <f t="shared" si="618"/>
        <v>0</v>
      </c>
      <c r="F1334" s="5"/>
      <c r="G1334" s="3"/>
      <c r="H1334" s="5">
        <f t="shared" si="619"/>
        <v>0</v>
      </c>
      <c r="I1334" s="5"/>
      <c r="J1334" s="5"/>
      <c r="K1334" s="4">
        <f t="shared" si="620"/>
        <v>0</v>
      </c>
      <c r="L1334" s="4"/>
      <c r="M1334" s="4"/>
      <c r="N1334" s="4">
        <f t="shared" si="621"/>
        <v>0</v>
      </c>
      <c r="O1334" s="4"/>
      <c r="P1334" s="85"/>
      <c r="Q1334" s="85"/>
      <c r="R1334" s="85"/>
      <c r="S1334" s="85"/>
      <c r="T1334" s="85"/>
      <c r="U1334" s="85"/>
      <c r="V1334" s="85"/>
      <c r="W1334" s="3">
        <f t="shared" si="622"/>
        <v>0</v>
      </c>
      <c r="X1334" s="3"/>
      <c r="Y1334" s="85"/>
      <c r="Z1334" s="3">
        <f t="shared" si="623"/>
        <v>0</v>
      </c>
      <c r="AA1334" s="85"/>
      <c r="AB1334" s="85"/>
      <c r="AC1334" s="85"/>
      <c r="AD1334" s="30">
        <f t="shared" si="624"/>
        <v>0</v>
      </c>
      <c r="AE1334" s="30"/>
      <c r="AF1334" s="30">
        <f t="shared" si="625"/>
        <v>0</v>
      </c>
      <c r="AG1334" s="85"/>
      <c r="AH1334" s="85"/>
      <c r="AI1334" s="85"/>
      <c r="AJ1334" s="85"/>
      <c r="AK1334" s="85"/>
      <c r="AL1334" s="85"/>
      <c r="AM1334" s="85"/>
      <c r="AN1334" s="85"/>
      <c r="AO1334" s="85"/>
      <c r="AP1334" s="85"/>
      <c r="AR1334" s="85"/>
      <c r="AT1334" s="85"/>
      <c r="AV1334" s="85"/>
      <c r="AX1334" s="85"/>
      <c r="AZ1334" s="85"/>
    </row>
    <row r="1335" spans="1:53" x14ac:dyDescent="0.25">
      <c r="A1335" s="3" t="s">
        <v>879</v>
      </c>
      <c r="E1335" s="3">
        <f t="shared" si="618"/>
        <v>0</v>
      </c>
      <c r="H1335" s="5">
        <f t="shared" si="619"/>
        <v>0</v>
      </c>
      <c r="K1335" s="4">
        <f t="shared" si="620"/>
        <v>0</v>
      </c>
      <c r="L1335" s="4"/>
      <c r="N1335" s="4">
        <f t="shared" si="621"/>
        <v>0</v>
      </c>
      <c r="W1335" s="3">
        <f t="shared" si="622"/>
        <v>0</v>
      </c>
      <c r="X1335" s="3"/>
      <c r="Z1335" s="3">
        <f t="shared" si="623"/>
        <v>0</v>
      </c>
      <c r="AD1335" s="3">
        <f t="shared" si="624"/>
        <v>0</v>
      </c>
      <c r="AE1335" s="3"/>
      <c r="AF1335" s="3">
        <f t="shared" si="625"/>
        <v>0</v>
      </c>
    </row>
    <row r="1336" spans="1:53" s="86" customFormat="1" x14ac:dyDescent="0.25">
      <c r="A1336" s="85" t="s">
        <v>924</v>
      </c>
      <c r="B1336" s="85"/>
      <c r="C1336" s="4"/>
      <c r="D1336" s="85"/>
      <c r="E1336" s="3">
        <f t="shared" si="618"/>
        <v>0</v>
      </c>
      <c r="F1336" s="5"/>
      <c r="G1336" s="3"/>
      <c r="H1336" s="5">
        <f t="shared" si="619"/>
        <v>0</v>
      </c>
      <c r="I1336" s="5"/>
      <c r="J1336" s="5"/>
      <c r="K1336" s="4">
        <f t="shared" si="620"/>
        <v>0</v>
      </c>
      <c r="L1336" s="4"/>
      <c r="M1336" s="4"/>
      <c r="N1336" s="4">
        <f t="shared" si="621"/>
        <v>0</v>
      </c>
      <c r="O1336" s="4"/>
      <c r="P1336" s="85"/>
      <c r="Q1336" s="85"/>
      <c r="R1336" s="85"/>
      <c r="S1336" s="85"/>
      <c r="T1336" s="85"/>
      <c r="U1336" s="85"/>
      <c r="V1336" s="85"/>
      <c r="W1336" s="3">
        <f t="shared" si="622"/>
        <v>0</v>
      </c>
      <c r="X1336" s="3"/>
      <c r="Y1336" s="85"/>
      <c r="Z1336" s="3">
        <f t="shared" si="623"/>
        <v>0</v>
      </c>
      <c r="AA1336" s="85"/>
      <c r="AB1336" s="85"/>
      <c r="AC1336" s="85"/>
      <c r="AD1336" s="30">
        <f t="shared" si="624"/>
        <v>0</v>
      </c>
      <c r="AE1336" s="30"/>
      <c r="AF1336" s="30">
        <f t="shared" si="625"/>
        <v>0</v>
      </c>
      <c r="AG1336" s="85"/>
      <c r="AH1336" s="85"/>
      <c r="AI1336" s="85"/>
      <c r="AJ1336" s="85"/>
      <c r="AK1336" s="85"/>
      <c r="AL1336" s="85"/>
      <c r="AM1336" s="85"/>
      <c r="AN1336" s="85"/>
      <c r="AO1336" s="85"/>
      <c r="AP1336" s="85"/>
      <c r="AR1336" s="85"/>
      <c r="AT1336" s="85"/>
      <c r="AV1336" s="85"/>
      <c r="AX1336" s="85"/>
      <c r="AZ1336" s="85"/>
    </row>
    <row r="1337" spans="1:53" x14ac:dyDescent="0.25">
      <c r="A1337" s="3" t="s">
        <v>925</v>
      </c>
      <c r="E1337" s="3">
        <f t="shared" si="618"/>
        <v>0</v>
      </c>
      <c r="H1337" s="5">
        <f t="shared" si="619"/>
        <v>0</v>
      </c>
      <c r="K1337" s="4">
        <f t="shared" si="620"/>
        <v>0</v>
      </c>
      <c r="L1337" s="4"/>
      <c r="N1337" s="4">
        <f t="shared" si="621"/>
        <v>0</v>
      </c>
      <c r="W1337" s="3">
        <f t="shared" si="622"/>
        <v>0</v>
      </c>
      <c r="X1337" s="3"/>
      <c r="Z1337" s="3">
        <f t="shared" si="623"/>
        <v>0</v>
      </c>
      <c r="AD1337" s="3">
        <f t="shared" si="624"/>
        <v>0</v>
      </c>
      <c r="AE1337" s="3"/>
      <c r="AF1337" s="3">
        <f t="shared" si="625"/>
        <v>0</v>
      </c>
    </row>
    <row r="1338" spans="1:53" s="86" customFormat="1" x14ac:dyDescent="0.25">
      <c r="A1338" s="85" t="s">
        <v>919</v>
      </c>
      <c r="B1338" s="85"/>
      <c r="C1338" s="4"/>
      <c r="D1338" s="85"/>
      <c r="E1338" s="3">
        <f t="shared" si="618"/>
        <v>0</v>
      </c>
      <c r="F1338" s="5"/>
      <c r="G1338" s="3"/>
      <c r="H1338" s="5">
        <f t="shared" si="619"/>
        <v>0</v>
      </c>
      <c r="I1338" s="5"/>
      <c r="J1338" s="5"/>
      <c r="K1338" s="4">
        <f t="shared" si="620"/>
        <v>0</v>
      </c>
      <c r="L1338" s="4"/>
      <c r="M1338" s="4"/>
      <c r="N1338" s="4">
        <f t="shared" si="621"/>
        <v>0</v>
      </c>
      <c r="O1338" s="4"/>
      <c r="P1338" s="85"/>
      <c r="Q1338" s="85"/>
      <c r="R1338" s="85"/>
      <c r="S1338" s="85"/>
      <c r="T1338" s="85"/>
      <c r="U1338" s="85"/>
      <c r="V1338" s="85"/>
      <c r="W1338" s="3">
        <f t="shared" si="622"/>
        <v>0</v>
      </c>
      <c r="X1338" s="3"/>
      <c r="Y1338" s="85"/>
      <c r="Z1338" s="3">
        <f t="shared" si="623"/>
        <v>0</v>
      </c>
      <c r="AA1338" s="85"/>
      <c r="AB1338" s="85"/>
      <c r="AC1338" s="85"/>
      <c r="AD1338" s="30">
        <f t="shared" si="624"/>
        <v>0</v>
      </c>
      <c r="AE1338" s="30"/>
      <c r="AF1338" s="30">
        <f t="shared" si="625"/>
        <v>0</v>
      </c>
      <c r="AG1338" s="85"/>
      <c r="AH1338" s="85"/>
      <c r="AI1338" s="85"/>
      <c r="AJ1338" s="85"/>
      <c r="AK1338" s="85"/>
      <c r="AL1338" s="85"/>
      <c r="AM1338" s="85"/>
      <c r="AN1338" s="85"/>
      <c r="AO1338" s="85"/>
      <c r="AP1338" s="85"/>
      <c r="AR1338" s="85"/>
      <c r="AT1338" s="85"/>
      <c r="AV1338" s="85"/>
      <c r="AX1338" s="85"/>
      <c r="AZ1338" s="85"/>
      <c r="BA1338" s="6"/>
    </row>
    <row r="1339" spans="1:53" x14ac:dyDescent="0.25">
      <c r="A1339" s="3" t="s">
        <v>926</v>
      </c>
      <c r="E1339" s="3">
        <f t="shared" si="618"/>
        <v>0</v>
      </c>
      <c r="H1339" s="5">
        <f t="shared" si="619"/>
        <v>0</v>
      </c>
      <c r="K1339" s="4">
        <f t="shared" si="620"/>
        <v>0</v>
      </c>
      <c r="L1339" s="4"/>
      <c r="N1339" s="4">
        <f t="shared" si="621"/>
        <v>0</v>
      </c>
      <c r="W1339" s="3">
        <f t="shared" si="622"/>
        <v>0</v>
      </c>
      <c r="X1339" s="3"/>
      <c r="Z1339" s="3">
        <f t="shared" si="623"/>
        <v>0</v>
      </c>
      <c r="AD1339" s="3">
        <f t="shared" si="624"/>
        <v>0</v>
      </c>
      <c r="AE1339" s="3"/>
      <c r="AF1339" s="3">
        <f t="shared" si="625"/>
        <v>0</v>
      </c>
      <c r="BA1339" s="86"/>
    </row>
    <row r="1340" spans="1:53" x14ac:dyDescent="0.25">
      <c r="A1340" s="3" t="s">
        <v>927</v>
      </c>
      <c r="E1340" s="3">
        <f t="shared" si="618"/>
        <v>0</v>
      </c>
      <c r="H1340" s="5">
        <f t="shared" si="619"/>
        <v>0</v>
      </c>
      <c r="K1340" s="4">
        <f t="shared" si="620"/>
        <v>0</v>
      </c>
      <c r="L1340" s="4"/>
      <c r="N1340" s="4">
        <f t="shared" si="621"/>
        <v>0</v>
      </c>
      <c r="W1340" s="3">
        <f t="shared" si="622"/>
        <v>0</v>
      </c>
      <c r="X1340" s="3"/>
      <c r="Z1340" s="3">
        <f t="shared" si="623"/>
        <v>0</v>
      </c>
      <c r="AD1340" s="3">
        <f t="shared" si="624"/>
        <v>0</v>
      </c>
      <c r="AE1340" s="3"/>
      <c r="AF1340" s="3">
        <f t="shared" si="625"/>
        <v>0</v>
      </c>
    </row>
    <row r="1341" spans="1:53" s="86" customFormat="1" x14ac:dyDescent="0.25">
      <c r="A1341" s="85" t="s">
        <v>928</v>
      </c>
      <c r="B1341" s="85"/>
      <c r="C1341" s="4"/>
      <c r="D1341" s="85"/>
      <c r="E1341" s="3">
        <f t="shared" si="618"/>
        <v>0</v>
      </c>
      <c r="F1341" s="5"/>
      <c r="G1341" s="3"/>
      <c r="H1341" s="5">
        <f t="shared" si="619"/>
        <v>0</v>
      </c>
      <c r="I1341" s="5"/>
      <c r="J1341" s="5"/>
      <c r="K1341" s="4">
        <f t="shared" si="620"/>
        <v>0</v>
      </c>
      <c r="L1341" s="4"/>
      <c r="M1341" s="4"/>
      <c r="N1341" s="4">
        <f t="shared" si="621"/>
        <v>0</v>
      </c>
      <c r="O1341" s="4"/>
      <c r="P1341" s="85"/>
      <c r="Q1341" s="85"/>
      <c r="R1341" s="85"/>
      <c r="S1341" s="85"/>
      <c r="T1341" s="85"/>
      <c r="U1341" s="85"/>
      <c r="V1341" s="85"/>
      <c r="W1341" s="3">
        <f t="shared" si="622"/>
        <v>0</v>
      </c>
      <c r="X1341" s="3"/>
      <c r="Y1341" s="85"/>
      <c r="Z1341" s="3">
        <f t="shared" si="623"/>
        <v>0</v>
      </c>
      <c r="AA1341" s="85"/>
      <c r="AB1341" s="85"/>
      <c r="AC1341" s="85"/>
      <c r="AD1341" s="30">
        <f t="shared" si="624"/>
        <v>0</v>
      </c>
      <c r="AE1341" s="30"/>
      <c r="AF1341" s="30">
        <f t="shared" si="625"/>
        <v>0</v>
      </c>
      <c r="AG1341" s="85"/>
      <c r="AH1341" s="85"/>
      <c r="AI1341" s="85"/>
      <c r="AJ1341" s="85">
        <v>175000</v>
      </c>
      <c r="AK1341" s="85"/>
      <c r="AL1341" s="85">
        <v>175000</v>
      </c>
      <c r="AM1341" s="85"/>
      <c r="AN1341" s="85"/>
      <c r="AO1341" s="85"/>
      <c r="AP1341" s="85"/>
      <c r="AR1341" s="85"/>
      <c r="AT1341" s="85"/>
      <c r="AV1341" s="85"/>
      <c r="AX1341" s="85"/>
      <c r="AZ1341" s="85"/>
    </row>
    <row r="1342" spans="1:53" x14ac:dyDescent="0.25">
      <c r="A1342" s="3" t="s">
        <v>929</v>
      </c>
      <c r="B1342" s="5">
        <v>15000</v>
      </c>
      <c r="E1342" s="3">
        <f t="shared" si="618"/>
        <v>15000</v>
      </c>
      <c r="F1342" s="5">
        <v>15000</v>
      </c>
      <c r="H1342" s="5">
        <f t="shared" si="619"/>
        <v>0</v>
      </c>
      <c r="J1342" s="5">
        <v>0</v>
      </c>
      <c r="K1342" s="4">
        <f t="shared" si="620"/>
        <v>15000</v>
      </c>
      <c r="L1342" s="4">
        <v>15000</v>
      </c>
      <c r="N1342" s="4">
        <f t="shared" si="621"/>
        <v>0</v>
      </c>
      <c r="P1342" s="5">
        <v>20000</v>
      </c>
      <c r="S1342" s="3">
        <f>T1342-R1342</f>
        <v>20000</v>
      </c>
      <c r="T1342" s="3">
        <v>20000</v>
      </c>
      <c r="U1342" s="3">
        <f>T1342-P1342</f>
        <v>0</v>
      </c>
      <c r="W1342" s="3">
        <f t="shared" si="622"/>
        <v>20000</v>
      </c>
      <c r="X1342" s="3"/>
      <c r="Y1342" s="5">
        <v>20000</v>
      </c>
      <c r="Z1342" s="3">
        <f t="shared" si="623"/>
        <v>0</v>
      </c>
      <c r="AD1342" s="3">
        <f t="shared" si="624"/>
        <v>10000</v>
      </c>
      <c r="AE1342" s="3">
        <v>10000</v>
      </c>
      <c r="AF1342" s="3">
        <f t="shared" si="625"/>
        <v>-10000</v>
      </c>
      <c r="AH1342" s="5">
        <v>21000</v>
      </c>
      <c r="AJ1342" s="5">
        <v>22000</v>
      </c>
      <c r="AL1342" s="5">
        <v>23000</v>
      </c>
      <c r="AN1342" s="5">
        <v>24000</v>
      </c>
      <c r="AP1342" s="5">
        <v>25000</v>
      </c>
      <c r="AR1342" s="5">
        <v>26000</v>
      </c>
      <c r="AT1342" s="5">
        <v>27000</v>
      </c>
      <c r="AV1342" s="5">
        <v>228000</v>
      </c>
      <c r="AX1342" s="5">
        <v>228000</v>
      </c>
      <c r="AZ1342" s="5">
        <v>228000</v>
      </c>
    </row>
    <row r="1343" spans="1:53" s="86" customFormat="1" x14ac:dyDescent="0.25">
      <c r="A1343" s="85" t="s">
        <v>930</v>
      </c>
      <c r="B1343" s="85">
        <v>20000</v>
      </c>
      <c r="C1343" s="4"/>
      <c r="D1343" s="85"/>
      <c r="E1343" s="3">
        <f t="shared" si="618"/>
        <v>20000</v>
      </c>
      <c r="F1343" s="5">
        <v>20000</v>
      </c>
      <c r="G1343" s="3"/>
      <c r="H1343" s="5">
        <f t="shared" si="619"/>
        <v>0</v>
      </c>
      <c r="I1343" s="5"/>
      <c r="J1343" s="5">
        <v>0</v>
      </c>
      <c r="K1343" s="4">
        <f t="shared" si="620"/>
        <v>20000</v>
      </c>
      <c r="L1343" s="4">
        <v>20000</v>
      </c>
      <c r="M1343" s="4"/>
      <c r="N1343" s="4">
        <f t="shared" si="621"/>
        <v>0</v>
      </c>
      <c r="O1343" s="4"/>
      <c r="P1343" s="85">
        <v>50000</v>
      </c>
      <c r="Q1343" s="85"/>
      <c r="R1343" s="85"/>
      <c r="S1343" s="30">
        <f>T1343-R1343</f>
        <v>50000</v>
      </c>
      <c r="T1343" s="30">
        <v>50000</v>
      </c>
      <c r="U1343" s="30">
        <f>T1343-P1343</f>
        <v>0</v>
      </c>
      <c r="V1343" s="85"/>
      <c r="W1343" s="3">
        <f t="shared" si="622"/>
        <v>50000</v>
      </c>
      <c r="X1343" s="3"/>
      <c r="Y1343" s="85">
        <v>50000</v>
      </c>
      <c r="Z1343" s="3">
        <f t="shared" si="623"/>
        <v>0</v>
      </c>
      <c r="AA1343" s="85"/>
      <c r="AB1343" s="85"/>
      <c r="AC1343" s="85">
        <v>0</v>
      </c>
      <c r="AD1343" s="30">
        <f t="shared" si="624"/>
        <v>50000</v>
      </c>
      <c r="AE1343" s="30">
        <v>50000</v>
      </c>
      <c r="AF1343" s="30">
        <f t="shared" si="625"/>
        <v>0</v>
      </c>
      <c r="AG1343" s="85"/>
      <c r="AH1343" s="85">
        <v>200000</v>
      </c>
      <c r="AI1343" s="85"/>
      <c r="AJ1343" s="85">
        <v>300000</v>
      </c>
      <c r="AK1343" s="85"/>
      <c r="AL1343" s="85">
        <v>175000</v>
      </c>
      <c r="AM1343" s="85"/>
      <c r="AN1343" s="85">
        <v>300000</v>
      </c>
      <c r="AO1343" s="85"/>
      <c r="AP1343" s="85"/>
      <c r="AR1343" s="85">
        <v>400000</v>
      </c>
      <c r="AT1343" s="85">
        <v>250000</v>
      </c>
      <c r="AV1343" s="85">
        <v>250000</v>
      </c>
      <c r="AX1343" s="85">
        <v>125000</v>
      </c>
      <c r="AZ1343" s="85">
        <v>125000</v>
      </c>
      <c r="BA1343" s="6"/>
    </row>
    <row r="1344" spans="1:53" ht="15.75" thickBot="1" x14ac:dyDescent="0.3">
      <c r="A1344" s="3"/>
      <c r="B1344" s="43">
        <f>SUM(B1320:B1343)</f>
        <v>81250</v>
      </c>
      <c r="C1344" s="32"/>
      <c r="D1344" s="43">
        <f>SUM(D1320:D1343)</f>
        <v>0</v>
      </c>
      <c r="E1344" s="43">
        <f>SUM(E1320:E1343)</f>
        <v>81250</v>
      </c>
      <c r="F1344" s="43">
        <f>SUM(F1320:F1343)</f>
        <v>81250</v>
      </c>
      <c r="G1344" s="32"/>
      <c r="H1344" s="43">
        <f>SUM(H1320:H1343)</f>
        <v>0</v>
      </c>
      <c r="I1344" s="36"/>
      <c r="J1344" s="43">
        <f>SUM(J1320:J1343)</f>
        <v>11691</v>
      </c>
      <c r="K1344" s="43">
        <f>SUM(K1320:K1343)</f>
        <v>68309</v>
      </c>
      <c r="L1344" s="43">
        <f>SUM(L1320:L1343)</f>
        <v>80000</v>
      </c>
      <c r="M1344" s="32"/>
      <c r="N1344" s="43">
        <f>SUM(N1320:N1343)</f>
        <v>-1250</v>
      </c>
      <c r="P1344" s="43">
        <f>SUM(P1320:P1343)</f>
        <v>118000</v>
      </c>
      <c r="R1344" s="43">
        <f t="shared" ref="R1344:Z1344" si="626">SUM(R1320:R1343)</f>
        <v>0</v>
      </c>
      <c r="S1344" s="43">
        <f t="shared" si="626"/>
        <v>118000</v>
      </c>
      <c r="T1344" s="43">
        <f t="shared" si="626"/>
        <v>118000</v>
      </c>
      <c r="U1344" s="43">
        <f t="shared" si="626"/>
        <v>0</v>
      </c>
      <c r="V1344" s="43">
        <f t="shared" si="626"/>
        <v>2690</v>
      </c>
      <c r="W1344" s="43">
        <f t="shared" si="626"/>
        <v>115310</v>
      </c>
      <c r="X1344" s="43"/>
      <c r="Y1344" s="43">
        <f t="shared" si="626"/>
        <v>118000</v>
      </c>
      <c r="Z1344" s="43">
        <f t="shared" si="626"/>
        <v>0</v>
      </c>
      <c r="AC1344" s="43">
        <f>SUM(AC1320:AC1343)</f>
        <v>26051</v>
      </c>
      <c r="AD1344" s="43">
        <f>SUM(AD1320:AD1343)</f>
        <v>83149</v>
      </c>
      <c r="AE1344" s="43">
        <f>SUM(AE1320:AE1343)</f>
        <v>109200</v>
      </c>
      <c r="AF1344" s="43">
        <f>SUM(AF1320:AF1343)</f>
        <v>-8800</v>
      </c>
      <c r="AH1344" s="43">
        <f>SUM(AH1320:AH1343)</f>
        <v>221000</v>
      </c>
      <c r="AJ1344" s="43">
        <f>SUM(AJ1320:AJ1343)</f>
        <v>502000</v>
      </c>
      <c r="AL1344" s="43">
        <f>SUM(AL1320:AL1343)</f>
        <v>598700</v>
      </c>
      <c r="AN1344" s="43">
        <f>SUM(AN1320:AN1343)</f>
        <v>329000</v>
      </c>
      <c r="AO1344" s="43"/>
      <c r="AP1344" s="43">
        <f>SUM(AP1320:AP1343)</f>
        <v>640200</v>
      </c>
      <c r="AR1344" s="43">
        <f>SUM(AR1320:AR1343)</f>
        <v>426000</v>
      </c>
      <c r="AT1344" s="43">
        <f>SUM(AT1320:AT1343)</f>
        <v>502700</v>
      </c>
      <c r="AV1344" s="43">
        <f>SUM(AV1320:AV1343)</f>
        <v>478000</v>
      </c>
      <c r="AX1344" s="43">
        <f>SUM(AX1320:AX1343)</f>
        <v>578700</v>
      </c>
      <c r="AZ1344" s="43">
        <f>SUM(AZ1320:AZ1343)</f>
        <v>578700</v>
      </c>
    </row>
    <row r="1345" spans="1:52" ht="15.75" thickTop="1" x14ac:dyDescent="0.25">
      <c r="A1345" s="3"/>
      <c r="B1345" s="7"/>
      <c r="C1345" s="7"/>
      <c r="D1345" s="7"/>
      <c r="E1345" s="7"/>
      <c r="F1345" s="7"/>
      <c r="G1345" s="7"/>
      <c r="H1345" s="7"/>
      <c r="I1345" s="7"/>
      <c r="J1345" s="7"/>
      <c r="K1345" s="7"/>
      <c r="L1345" s="7"/>
      <c r="M1345" s="32"/>
      <c r="N1345" s="7"/>
      <c r="P1345" s="7"/>
      <c r="Q1345" s="3"/>
      <c r="R1345" s="7"/>
      <c r="S1345" s="7"/>
      <c r="T1345" s="7"/>
      <c r="U1345" s="7"/>
      <c r="V1345" s="7"/>
      <c r="W1345" s="7"/>
      <c r="X1345" s="7"/>
      <c r="Y1345" s="7"/>
      <c r="Z1345" s="7"/>
      <c r="AA1345" s="3"/>
      <c r="AB1345" s="3"/>
      <c r="AC1345" s="3"/>
      <c r="AD1345" s="3"/>
      <c r="AE1345" s="3"/>
      <c r="AF1345" s="3"/>
      <c r="AG1345" s="3"/>
      <c r="AH1345" s="7"/>
      <c r="AI1345" s="3"/>
      <c r="AJ1345" s="7"/>
      <c r="AK1345" s="3"/>
      <c r="AL1345" s="7"/>
      <c r="AM1345" s="3"/>
      <c r="AN1345" s="7"/>
      <c r="AO1345" s="7"/>
      <c r="AP1345" s="31"/>
      <c r="AR1345" s="31"/>
      <c r="AT1345" s="31"/>
      <c r="AV1345" s="31"/>
      <c r="AX1345" s="31"/>
      <c r="AZ1345" s="31"/>
    </row>
    <row r="1346" spans="1:52" ht="15.75" thickBot="1" x14ac:dyDescent="0.3">
      <c r="A1346" s="7" t="s">
        <v>883</v>
      </c>
      <c r="B1346" s="43">
        <f>B1344+B1317</f>
        <v>558050</v>
      </c>
      <c r="C1346" s="32"/>
      <c r="D1346" s="43">
        <f>D1344+D1317</f>
        <v>72898</v>
      </c>
      <c r="E1346" s="43">
        <f>E1344+E1317</f>
        <v>485156</v>
      </c>
      <c r="F1346" s="43">
        <f>F1344+F1317</f>
        <v>558052</v>
      </c>
      <c r="G1346" s="32"/>
      <c r="H1346" s="43">
        <f>H1344+H1317</f>
        <v>2</v>
      </c>
      <c r="I1346" s="36"/>
      <c r="J1346" s="43">
        <f>J1344+J1317</f>
        <v>144580</v>
      </c>
      <c r="K1346" s="43">
        <f>K1344+K1317</f>
        <v>422494</v>
      </c>
      <c r="L1346" s="43">
        <f>L1344+L1317</f>
        <v>567072</v>
      </c>
      <c r="M1346" s="32"/>
      <c r="N1346" s="43">
        <f>N1344+N1317</f>
        <v>9022</v>
      </c>
      <c r="P1346" s="43">
        <f>P1344+P1317</f>
        <v>626497.36699999997</v>
      </c>
      <c r="R1346" s="43">
        <f t="shared" ref="R1346:Z1346" si="627">R1344+R1317</f>
        <v>69505</v>
      </c>
      <c r="S1346" s="43">
        <f t="shared" si="627"/>
        <v>575395</v>
      </c>
      <c r="T1346" s="43">
        <f t="shared" si="627"/>
        <v>644900</v>
      </c>
      <c r="U1346" s="43">
        <f t="shared" si="627"/>
        <v>18402.632999999998</v>
      </c>
      <c r="V1346" s="43">
        <f t="shared" si="627"/>
        <v>146608</v>
      </c>
      <c r="W1346" s="43">
        <f t="shared" si="627"/>
        <v>505192</v>
      </c>
      <c r="X1346" s="43"/>
      <c r="Y1346" s="43">
        <f t="shared" si="627"/>
        <v>651800</v>
      </c>
      <c r="Z1346" s="43">
        <f t="shared" si="627"/>
        <v>6900</v>
      </c>
      <c r="AC1346" s="43">
        <f>AC1344+AC1317</f>
        <v>227856</v>
      </c>
      <c r="AD1346" s="43">
        <f>AD1344+AD1317</f>
        <v>412894</v>
      </c>
      <c r="AE1346" s="43">
        <f>AE1344+AE1317</f>
        <v>640750</v>
      </c>
      <c r="AF1346" s="43">
        <f>AF1344+AF1317</f>
        <v>-11050</v>
      </c>
      <c r="AH1346" s="43">
        <f>AH1344+AH1317</f>
        <v>732750.06859999988</v>
      </c>
      <c r="AJ1346" s="43">
        <f>AJ1344+AJ1317</f>
        <v>1028155.5079330001</v>
      </c>
      <c r="AL1346" s="43">
        <f>AL1344+AL1317</f>
        <v>1139034.6155400525</v>
      </c>
      <c r="AN1346" s="43">
        <f>AN1344+AN1317</f>
        <v>900902.92879984598</v>
      </c>
      <c r="AO1346" s="43"/>
      <c r="AP1346" s="43">
        <f>AP1344+AP1317</f>
        <v>1208070.476521336</v>
      </c>
      <c r="AR1346" s="43">
        <f>AR1344+AR1317</f>
        <v>1008343.2030583987</v>
      </c>
      <c r="AT1346" s="43">
        <f>AT1344+AT1317</f>
        <v>1120040.5902073749</v>
      </c>
      <c r="AV1346" s="43">
        <f>AV1344+AV1317</f>
        <v>1110882.921059916</v>
      </c>
      <c r="AX1346" s="43">
        <f>AX1344+AX1317</f>
        <v>1227691.3148982788</v>
      </c>
      <c r="AZ1346" s="43">
        <f>AZ1344+AZ1317</f>
        <v>1244387.7636806981</v>
      </c>
    </row>
    <row r="1347" spans="1:52" ht="15.75" thickTop="1" x14ac:dyDescent="0.25">
      <c r="A1347" s="3"/>
    </row>
    <row r="1348" spans="1:52" x14ac:dyDescent="0.25">
      <c r="A1348" s="3"/>
    </row>
    <row r="1349" spans="1:52" x14ac:dyDescent="0.25">
      <c r="A1349" s="3"/>
      <c r="B1349" s="3"/>
      <c r="D1349" s="3"/>
      <c r="E1349" s="3"/>
      <c r="F1349" s="3"/>
      <c r="H1349" s="3"/>
      <c r="I1349" s="3"/>
      <c r="J1349" s="3"/>
      <c r="K1349" s="3"/>
      <c r="L1349" s="3"/>
      <c r="N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R1349" s="3"/>
      <c r="AT1349" s="3"/>
      <c r="AV1349" s="3"/>
      <c r="AX1349" s="3"/>
      <c r="AZ1349" s="3"/>
    </row>
    <row r="1350" spans="1:52" ht="15.75" thickBot="1" x14ac:dyDescent="0.3">
      <c r="A1350" s="1" t="s">
        <v>931</v>
      </c>
      <c r="B1350" s="3"/>
      <c r="D1350" s="3"/>
      <c r="E1350" s="3"/>
      <c r="F1350" s="3"/>
      <c r="H1350" s="3"/>
      <c r="I1350" s="3"/>
      <c r="J1350" s="3"/>
      <c r="K1350" s="3"/>
      <c r="L1350" s="3"/>
      <c r="N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R1350" s="3"/>
      <c r="AT1350" s="3"/>
      <c r="AV1350" s="3"/>
      <c r="AX1350" s="3"/>
      <c r="AZ1350" s="3"/>
    </row>
    <row r="1351" spans="1:52" x14ac:dyDescent="0.25">
      <c r="A1351" s="3"/>
      <c r="B1351" s="8" t="s">
        <v>8</v>
      </c>
      <c r="C1351" s="9"/>
      <c r="D1351" s="10" t="s">
        <v>9</v>
      </c>
      <c r="E1351" s="11" t="s">
        <v>10</v>
      </c>
      <c r="F1351" s="12" t="s">
        <v>11</v>
      </c>
      <c r="G1351" s="9"/>
      <c r="H1351" s="8" t="s">
        <v>12</v>
      </c>
      <c r="I1351" s="13"/>
      <c r="J1351" s="10" t="s">
        <v>9</v>
      </c>
      <c r="K1351" s="11" t="s">
        <v>10</v>
      </c>
      <c r="L1351" s="11" t="s">
        <v>11</v>
      </c>
      <c r="M1351" s="9"/>
      <c r="N1351" s="12" t="s">
        <v>12</v>
      </c>
      <c r="P1351" s="8" t="s">
        <v>8</v>
      </c>
      <c r="R1351" s="14" t="s">
        <v>9</v>
      </c>
      <c r="S1351" s="15" t="s">
        <v>10</v>
      </c>
      <c r="T1351" s="16" t="s">
        <v>11</v>
      </c>
      <c r="U1351" s="17" t="s">
        <v>13</v>
      </c>
      <c r="V1351" s="14" t="s">
        <v>9</v>
      </c>
      <c r="W1351" s="15" t="s">
        <v>10</v>
      </c>
      <c r="X1351" s="15"/>
      <c r="Y1351" s="16" t="s">
        <v>11</v>
      </c>
      <c r="Z1351" s="17" t="s">
        <v>13</v>
      </c>
      <c r="AC1351" s="14" t="s">
        <v>9</v>
      </c>
      <c r="AD1351" s="15" t="s">
        <v>10</v>
      </c>
      <c r="AE1351" s="16" t="s">
        <v>11</v>
      </c>
      <c r="AF1351" s="17" t="s">
        <v>13</v>
      </c>
      <c r="AH1351" s="8" t="s">
        <v>8</v>
      </c>
      <c r="AJ1351" s="8" t="s">
        <v>8</v>
      </c>
      <c r="AL1351" s="8" t="s">
        <v>8</v>
      </c>
      <c r="AN1351" s="8" t="s">
        <v>8</v>
      </c>
      <c r="AO1351" s="8"/>
      <c r="AP1351" s="8" t="s">
        <v>8</v>
      </c>
      <c r="AR1351" s="8" t="s">
        <v>8</v>
      </c>
      <c r="AT1351" s="8" t="s">
        <v>8</v>
      </c>
      <c r="AV1351" s="8" t="s">
        <v>8</v>
      </c>
      <c r="AX1351" s="8" t="s">
        <v>8</v>
      </c>
      <c r="AZ1351" s="8" t="s">
        <v>8</v>
      </c>
    </row>
    <row r="1352" spans="1:52" ht="15.75" thickBot="1" x14ac:dyDescent="0.3">
      <c r="A1352" s="3"/>
      <c r="B1352" s="19" t="s">
        <v>14</v>
      </c>
      <c r="C1352" s="9"/>
      <c r="D1352" s="20" t="s">
        <v>15</v>
      </c>
      <c r="E1352" s="21"/>
      <c r="F1352" s="22" t="s">
        <v>16</v>
      </c>
      <c r="G1352" s="9"/>
      <c r="H1352" s="19"/>
      <c r="I1352" s="13"/>
      <c r="J1352" s="20" t="s">
        <v>17</v>
      </c>
      <c r="K1352" s="21"/>
      <c r="L1352" s="21" t="s">
        <v>16</v>
      </c>
      <c r="M1352" s="9"/>
      <c r="N1352" s="22"/>
      <c r="P1352" s="19" t="s">
        <v>18</v>
      </c>
      <c r="R1352" s="23" t="s">
        <v>19</v>
      </c>
      <c r="S1352" s="24"/>
      <c r="T1352" s="25" t="s">
        <v>20</v>
      </c>
      <c r="U1352" s="26"/>
      <c r="V1352" s="23" t="s">
        <v>21</v>
      </c>
      <c r="W1352" s="24"/>
      <c r="X1352" s="24"/>
      <c r="Y1352" s="25" t="s">
        <v>21</v>
      </c>
      <c r="Z1352" s="26"/>
      <c r="AC1352" s="23" t="s">
        <v>22</v>
      </c>
      <c r="AD1352" s="24"/>
      <c r="AE1352" s="25" t="s">
        <v>23</v>
      </c>
      <c r="AF1352" s="26"/>
      <c r="AH1352" s="19" t="s">
        <v>24</v>
      </c>
      <c r="AJ1352" s="19" t="s">
        <v>25</v>
      </c>
      <c r="AL1352" s="19" t="s">
        <v>26</v>
      </c>
      <c r="AN1352" s="19" t="s">
        <v>27</v>
      </c>
      <c r="AO1352" s="19"/>
      <c r="AP1352" s="19" t="s">
        <v>28</v>
      </c>
      <c r="AR1352" s="19" t="s">
        <v>29</v>
      </c>
      <c r="AT1352" s="19" t="s">
        <v>30</v>
      </c>
      <c r="AV1352" s="19" t="s">
        <v>31</v>
      </c>
      <c r="AX1352" s="19" t="str">
        <f>AX17</f>
        <v>2021-22</v>
      </c>
      <c r="AZ1352" s="19" t="str">
        <f>AZ17</f>
        <v>2022-23</v>
      </c>
    </row>
    <row r="1353" spans="1:52" x14ac:dyDescent="0.25">
      <c r="A1353" s="28" t="s">
        <v>1</v>
      </c>
      <c r="B1353" s="3"/>
      <c r="D1353" s="3"/>
      <c r="E1353" s="3"/>
      <c r="F1353" s="3"/>
      <c r="H1353" s="3"/>
      <c r="I1353" s="3"/>
      <c r="J1353" s="3"/>
      <c r="K1353" s="3"/>
      <c r="L1353" s="3"/>
      <c r="N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R1353" s="3"/>
      <c r="AT1353" s="3"/>
      <c r="AV1353" s="3"/>
      <c r="AX1353" s="3"/>
      <c r="AZ1353" s="3"/>
    </row>
    <row r="1354" spans="1:52" x14ac:dyDescent="0.25">
      <c r="A1354" s="7"/>
      <c r="B1354" s="3"/>
      <c r="D1354" s="3"/>
      <c r="E1354" s="3"/>
      <c r="F1354" s="3"/>
      <c r="H1354" s="3"/>
      <c r="I1354" s="3"/>
      <c r="J1354" s="3"/>
      <c r="K1354" s="3"/>
      <c r="L1354" s="3"/>
      <c r="N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 t="s">
        <v>374</v>
      </c>
      <c r="AR1354" s="3"/>
      <c r="AS1354" s="42"/>
      <c r="AT1354" s="3"/>
      <c r="AU1354" s="42"/>
      <c r="AV1354" s="3"/>
      <c r="AX1354" s="3"/>
      <c r="AZ1354" s="3"/>
    </row>
    <row r="1355" spans="1:52" x14ac:dyDescent="0.25">
      <c r="A1355" s="7"/>
      <c r="B1355" s="3"/>
      <c r="D1355" s="3"/>
      <c r="E1355" s="3"/>
      <c r="F1355" s="3"/>
      <c r="H1355" s="3"/>
      <c r="I1355" s="3"/>
      <c r="J1355" s="3"/>
      <c r="K1355" s="3"/>
      <c r="L1355" s="3"/>
      <c r="N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R1355" s="3"/>
      <c r="AS1355" s="42"/>
      <c r="AT1355" s="3"/>
      <c r="AU1355" s="42"/>
      <c r="AV1355" s="3"/>
      <c r="AX1355" s="3"/>
      <c r="AZ1355" s="3"/>
    </row>
    <row r="1356" spans="1:52" x14ac:dyDescent="0.25">
      <c r="A1356" s="7" t="s">
        <v>34</v>
      </c>
      <c r="B1356" s="31">
        <v>328951</v>
      </c>
      <c r="C1356" s="7"/>
      <c r="D1356" s="31"/>
      <c r="E1356" s="31"/>
      <c r="F1356" s="31">
        <v>617344</v>
      </c>
      <c r="G1356" s="7"/>
      <c r="H1356" s="31">
        <f>F1356-B1356</f>
        <v>288393</v>
      </c>
      <c r="I1356" s="31"/>
      <c r="J1356" s="31"/>
      <c r="K1356" s="31"/>
      <c r="L1356" s="31">
        <v>617344</v>
      </c>
      <c r="M1356" s="32"/>
      <c r="N1356" s="31">
        <f>L1356-F1356</f>
        <v>0</v>
      </c>
      <c r="P1356" s="31">
        <f>L1367</f>
        <v>557944</v>
      </c>
      <c r="T1356" s="31">
        <v>797376</v>
      </c>
      <c r="U1356" s="3">
        <f t="shared" ref="U1356:U1367" si="628">T1356-P1356</f>
        <v>239432</v>
      </c>
      <c r="Y1356" s="31">
        <v>797376</v>
      </c>
      <c r="Z1356" s="3">
        <f>Y1356-T1356</f>
        <v>0</v>
      </c>
      <c r="AE1356" s="31">
        <v>797376</v>
      </c>
      <c r="AF1356" s="30"/>
      <c r="AH1356" s="31">
        <f>P1367</f>
        <v>519728.5</v>
      </c>
      <c r="AJ1356" s="31">
        <f>AH1367</f>
        <v>521428.95</v>
      </c>
      <c r="AL1356" s="31">
        <f>AJ1367</f>
        <v>787857.88049999974</v>
      </c>
      <c r="AN1356" s="31">
        <f>AL1367</f>
        <v>25872.029659499647</v>
      </c>
      <c r="AO1356" s="31"/>
      <c r="AP1356" s="31">
        <f>AN1367</f>
        <v>-71653.310639646836</v>
      </c>
      <c r="AR1356" s="31">
        <f>AP1367</f>
        <v>-173596.07383451506</v>
      </c>
      <c r="AT1356" s="31">
        <f>AR1367</f>
        <v>-286080.77068405208</v>
      </c>
      <c r="AV1356" s="31">
        <f>AT1367</f>
        <v>-398978.4145333778</v>
      </c>
      <c r="AX1356" s="31">
        <f>AV1367</f>
        <v>-517156.44626658544</v>
      </c>
      <c r="AZ1356" s="31">
        <f>AX1367</f>
        <v>-645478.65905297524</v>
      </c>
    </row>
    <row r="1357" spans="1:52" x14ac:dyDescent="0.25">
      <c r="A1357" s="3"/>
      <c r="B1357" s="31"/>
      <c r="C1357" s="7"/>
      <c r="D1357" s="31"/>
      <c r="E1357" s="31"/>
      <c r="F1357" s="31"/>
      <c r="G1357" s="7"/>
      <c r="H1357" s="31"/>
      <c r="I1357" s="31"/>
      <c r="J1357" s="31"/>
      <c r="K1357" s="31"/>
      <c r="L1357" s="31"/>
      <c r="M1357" s="32"/>
      <c r="N1357" s="31"/>
      <c r="P1357" s="31"/>
      <c r="T1357" s="31"/>
      <c r="U1357" s="3"/>
      <c r="Y1357" s="31"/>
      <c r="Z1357" s="3"/>
      <c r="AE1357" s="31"/>
      <c r="AF1357" s="30"/>
      <c r="AH1357" s="31"/>
      <c r="AJ1357" s="31"/>
      <c r="AL1357" s="31"/>
      <c r="AN1357" s="31"/>
      <c r="AO1357" s="31"/>
      <c r="AP1357" s="31"/>
      <c r="AR1357" s="31"/>
      <c r="AT1357" s="31"/>
      <c r="AV1357" s="31"/>
      <c r="AX1357" s="31"/>
      <c r="AZ1357" s="31"/>
    </row>
    <row r="1358" spans="1:52" x14ac:dyDescent="0.25">
      <c r="A1358" s="7" t="s">
        <v>35</v>
      </c>
      <c r="B1358" s="36">
        <f>B1399</f>
        <v>307901</v>
      </c>
      <c r="C1358" s="32"/>
      <c r="D1358" s="36"/>
      <c r="E1358" s="36"/>
      <c r="F1358" s="36">
        <f>F1399</f>
        <v>309500</v>
      </c>
      <c r="G1358" s="32"/>
      <c r="H1358" s="31">
        <f t="shared" ref="H1358:H1377" si="629">F1358-B1358</f>
        <v>1599</v>
      </c>
      <c r="I1358" s="31"/>
      <c r="J1358" s="31"/>
      <c r="K1358" s="31"/>
      <c r="L1358" s="36">
        <f>L1399</f>
        <v>310000</v>
      </c>
      <c r="M1358" s="32"/>
      <c r="N1358" s="31">
        <f t="shared" ref="N1358:N1367" si="630">L1358-F1358</f>
        <v>500</v>
      </c>
      <c r="P1358" s="36">
        <f>P1399</f>
        <v>318775</v>
      </c>
      <c r="T1358" s="36">
        <f>T1399</f>
        <v>318975</v>
      </c>
      <c r="U1358" s="3">
        <f t="shared" si="628"/>
        <v>200</v>
      </c>
      <c r="Y1358" s="36">
        <f>Y1399</f>
        <v>311975</v>
      </c>
      <c r="Z1358" s="3">
        <f>Y1358-T1358</f>
        <v>-7000</v>
      </c>
      <c r="AE1358" s="36">
        <f>AE1399</f>
        <v>328755</v>
      </c>
      <c r="AF1358" s="33">
        <f>AE1358-Y1358</f>
        <v>16780</v>
      </c>
      <c r="AH1358" s="36">
        <f>AH1399</f>
        <v>321299.15000000002</v>
      </c>
      <c r="AJ1358" s="36">
        <f>AJ1399</f>
        <v>360259.08149999997</v>
      </c>
      <c r="AL1358" s="36">
        <f>AL1399</f>
        <v>397913.45468949998</v>
      </c>
      <c r="AN1358" s="36">
        <f>AN1399</f>
        <v>410647.92689675349</v>
      </c>
      <c r="AO1358" s="36"/>
      <c r="AP1358" s="36">
        <f>AP1399</f>
        <v>422716.5536419088</v>
      </c>
      <c r="AR1358" s="36">
        <f>AR1399</f>
        <v>433880.31369859335</v>
      </c>
      <c r="AT1358" s="36">
        <f>AT1399</f>
        <v>445400.54693181103</v>
      </c>
      <c r="AV1358" s="36">
        <f>AV1399</f>
        <v>457288.96618375392</v>
      </c>
      <c r="AX1358" s="36">
        <f>AX1399</f>
        <v>469557.66955109086</v>
      </c>
      <c r="AZ1358" s="36">
        <f>AZ1399</f>
        <v>482219.1530666317</v>
      </c>
    </row>
    <row r="1359" spans="1:52" x14ac:dyDescent="0.25">
      <c r="A1359" s="7" t="s">
        <v>36</v>
      </c>
      <c r="B1359" s="35">
        <f>B1403+B1402+B1401</f>
        <v>750</v>
      </c>
      <c r="C1359" s="32"/>
      <c r="D1359" s="36"/>
      <c r="E1359" s="36"/>
      <c r="F1359" s="35">
        <f>F1403+F1402+F1401</f>
        <v>750</v>
      </c>
      <c r="G1359" s="32"/>
      <c r="H1359" s="35">
        <f t="shared" si="629"/>
        <v>0</v>
      </c>
      <c r="I1359" s="36"/>
      <c r="J1359" s="36"/>
      <c r="K1359" s="36"/>
      <c r="L1359" s="35">
        <f>L1403+L1402+L1401</f>
        <v>750</v>
      </c>
      <c r="M1359" s="32"/>
      <c r="N1359" s="31">
        <f t="shared" si="630"/>
        <v>0</v>
      </c>
      <c r="P1359" s="35">
        <f>P1403+P1402+P1401</f>
        <v>750</v>
      </c>
      <c r="T1359" s="35">
        <f>T1403+T1402+T1401</f>
        <v>750</v>
      </c>
      <c r="U1359" s="52">
        <f t="shared" si="628"/>
        <v>0</v>
      </c>
      <c r="Y1359" s="35">
        <f>Y1403+Y1402+Y1401</f>
        <v>750</v>
      </c>
      <c r="Z1359" s="52">
        <f>Y1359-T1359</f>
        <v>0</v>
      </c>
      <c r="AE1359" s="35">
        <f>AE1403+AE1402+AE1401</f>
        <v>750</v>
      </c>
      <c r="AF1359" s="71">
        <f>AE1359-Y1359</f>
        <v>0</v>
      </c>
      <c r="AH1359" s="35">
        <f>AH1403+AH1402+AH1401</f>
        <v>750</v>
      </c>
      <c r="AJ1359" s="35">
        <f>AJ1403+AJ1402+AJ1401</f>
        <v>1000750</v>
      </c>
      <c r="AL1359" s="35">
        <f>AL1403+AL1402+AL1401</f>
        <v>750</v>
      </c>
      <c r="AN1359" s="35">
        <f>AN1403+AN1402+AN1401</f>
        <v>750</v>
      </c>
      <c r="AO1359" s="35"/>
      <c r="AP1359" s="35">
        <f>AP1403+AP1402+AP1401</f>
        <v>750</v>
      </c>
      <c r="AR1359" s="35">
        <f>AR1403+AR1402+AR1401</f>
        <v>750</v>
      </c>
      <c r="AT1359" s="35">
        <f>AT1403+AT1402+AT1401</f>
        <v>750</v>
      </c>
      <c r="AV1359" s="35">
        <f>AV1403+AV1402+AV1401</f>
        <v>750</v>
      </c>
      <c r="AX1359" s="35">
        <f>AX1403+AX1402+AX1401</f>
        <v>750</v>
      </c>
      <c r="AZ1359" s="35">
        <f>AZ1403+AZ1402+AZ1401</f>
        <v>750</v>
      </c>
    </row>
    <row r="1360" spans="1:52" x14ac:dyDescent="0.25">
      <c r="A1360" s="3"/>
      <c r="B1360" s="36">
        <f>B1358+B1359</f>
        <v>308651</v>
      </c>
      <c r="C1360" s="32"/>
      <c r="D1360" s="36"/>
      <c r="E1360" s="36"/>
      <c r="F1360" s="36">
        <f>F1358+F1359</f>
        <v>310250</v>
      </c>
      <c r="G1360" s="32"/>
      <c r="H1360" s="31">
        <f t="shared" si="629"/>
        <v>1599</v>
      </c>
      <c r="I1360" s="31"/>
      <c r="J1360" s="31"/>
      <c r="K1360" s="31"/>
      <c r="L1360" s="36">
        <f>L1358+L1359</f>
        <v>310750</v>
      </c>
      <c r="M1360" s="32"/>
      <c r="N1360" s="31">
        <f t="shared" si="630"/>
        <v>500</v>
      </c>
      <c r="P1360" s="36">
        <f>P1358+P1359</f>
        <v>319525</v>
      </c>
      <c r="T1360" s="36">
        <f>T1358+T1359</f>
        <v>319725</v>
      </c>
      <c r="U1360" s="3">
        <f t="shared" si="628"/>
        <v>200</v>
      </c>
      <c r="Y1360" s="36">
        <f>Y1358+Y1359</f>
        <v>312725</v>
      </c>
      <c r="Z1360" s="3">
        <f>Y1360-T1360</f>
        <v>-7000</v>
      </c>
      <c r="AE1360" s="36">
        <f>AE1358+AE1359</f>
        <v>329505</v>
      </c>
      <c r="AF1360" s="33">
        <f>AE1360-Y1360</f>
        <v>16780</v>
      </c>
      <c r="AH1360" s="36">
        <f>AH1358+AH1359</f>
        <v>322049.15000000002</v>
      </c>
      <c r="AJ1360" s="36">
        <f>AJ1358+AJ1359</f>
        <v>1361009.0814999999</v>
      </c>
      <c r="AL1360" s="36">
        <f>AL1358+AL1359</f>
        <v>398663.45468949998</v>
      </c>
      <c r="AN1360" s="36">
        <f>AN1358+AN1359</f>
        <v>411397.92689675349</v>
      </c>
      <c r="AO1360" s="36"/>
      <c r="AP1360" s="36">
        <f>AP1358+AP1359</f>
        <v>423466.5536419088</v>
      </c>
      <c r="AR1360" s="36">
        <f>AR1358+AR1359</f>
        <v>434630.31369859335</v>
      </c>
      <c r="AT1360" s="36">
        <f>AT1358+AT1359</f>
        <v>446150.54693181103</v>
      </c>
      <c r="AV1360" s="36">
        <f>AV1358+AV1359</f>
        <v>458038.96618375392</v>
      </c>
      <c r="AX1360" s="36">
        <f>AX1358+AX1359</f>
        <v>470307.66955109086</v>
      </c>
      <c r="AZ1360" s="36">
        <f>AZ1358+AZ1359</f>
        <v>482969.1530666317</v>
      </c>
    </row>
    <row r="1361" spans="1:52" x14ac:dyDescent="0.25">
      <c r="A1361" s="7"/>
      <c r="B1361" s="36"/>
      <c r="C1361" s="32"/>
      <c r="D1361" s="36"/>
      <c r="E1361" s="36"/>
      <c r="F1361" s="36"/>
      <c r="G1361" s="32"/>
      <c r="H1361" s="31">
        <f t="shared" si="629"/>
        <v>0</v>
      </c>
      <c r="I1361" s="31"/>
      <c r="J1361" s="31"/>
      <c r="K1361" s="31"/>
      <c r="L1361" s="36"/>
      <c r="M1361" s="32"/>
      <c r="N1361" s="31">
        <f t="shared" si="630"/>
        <v>0</v>
      </c>
      <c r="P1361" s="36"/>
      <c r="T1361" s="36"/>
      <c r="U1361" s="3"/>
      <c r="Y1361" s="36"/>
      <c r="Z1361" s="3"/>
      <c r="AE1361" s="36"/>
      <c r="AF1361" s="33"/>
      <c r="AH1361" s="36"/>
      <c r="AJ1361" s="36"/>
      <c r="AL1361" s="36"/>
      <c r="AN1361" s="36"/>
      <c r="AO1361" s="36"/>
      <c r="AP1361" s="36"/>
      <c r="AR1361" s="36"/>
      <c r="AT1361" s="36"/>
      <c r="AV1361" s="36"/>
      <c r="AX1361" s="36"/>
      <c r="AZ1361" s="36"/>
    </row>
    <row r="1362" spans="1:52" x14ac:dyDescent="0.25">
      <c r="A1362" s="7" t="s">
        <v>37</v>
      </c>
      <c r="B1362" s="36">
        <v>369450</v>
      </c>
      <c r="C1362" s="32"/>
      <c r="D1362" s="36"/>
      <c r="E1362" s="36"/>
      <c r="F1362" s="36">
        <f>F1477</f>
        <v>371450</v>
      </c>
      <c r="G1362" s="32"/>
      <c r="H1362" s="31">
        <f t="shared" si="629"/>
        <v>2000</v>
      </c>
      <c r="I1362" s="31"/>
      <c r="J1362" s="31"/>
      <c r="K1362" s="31"/>
      <c r="L1362" s="36">
        <f>L1477</f>
        <v>370150</v>
      </c>
      <c r="M1362" s="32"/>
      <c r="N1362" s="31">
        <f t="shared" si="630"/>
        <v>-1300</v>
      </c>
      <c r="P1362" s="36">
        <f>P1477</f>
        <v>357740.5</v>
      </c>
      <c r="T1362" s="36">
        <f>T1477</f>
        <v>451760</v>
      </c>
      <c r="U1362" s="3">
        <f t="shared" si="628"/>
        <v>94019.5</v>
      </c>
      <c r="Y1362" s="36">
        <f>Y1477</f>
        <v>439060</v>
      </c>
      <c r="Z1362" s="3">
        <f>Y1362-T1362</f>
        <v>-12700</v>
      </c>
      <c r="AE1362" s="36">
        <f>AE1477</f>
        <v>426150</v>
      </c>
      <c r="AF1362" s="33">
        <f>AE1362-Y1362</f>
        <v>-12910</v>
      </c>
      <c r="AH1362" s="36">
        <f>AH1477</f>
        <v>320348.7</v>
      </c>
      <c r="AJ1362" s="36">
        <f>AJ1477</f>
        <v>1094580.1510000001</v>
      </c>
      <c r="AL1362" s="36">
        <f>AL1477</f>
        <v>1160649.30553</v>
      </c>
      <c r="AN1362" s="36">
        <f>AN1477</f>
        <v>508923.26719589997</v>
      </c>
      <c r="AO1362" s="36"/>
      <c r="AP1362" s="36">
        <f>AP1477</f>
        <v>525409.31683677703</v>
      </c>
      <c r="AR1362" s="36">
        <f>AR1477</f>
        <v>547115.01054813038</v>
      </c>
      <c r="AT1362" s="36">
        <f>AT1477</f>
        <v>559048.19078113674</v>
      </c>
      <c r="AV1362" s="36">
        <f>AV1477</f>
        <v>576216.99791696155</v>
      </c>
      <c r="AX1362" s="36">
        <f>AX1477</f>
        <v>598629.88233748067</v>
      </c>
      <c r="AZ1362" s="36">
        <f>AZ1477</f>
        <v>606295.61701476551</v>
      </c>
    </row>
    <row r="1363" spans="1:52" x14ac:dyDescent="0.25">
      <c r="A1363" s="7" t="s">
        <v>38</v>
      </c>
      <c r="B1363" s="35">
        <f>B1479</f>
        <v>0</v>
      </c>
      <c r="C1363" s="32"/>
      <c r="D1363" s="36"/>
      <c r="E1363" s="36"/>
      <c r="F1363" s="35">
        <f>F1479</f>
        <v>0</v>
      </c>
      <c r="G1363" s="32"/>
      <c r="H1363" s="35">
        <f t="shared" si="629"/>
        <v>0</v>
      </c>
      <c r="I1363" s="36"/>
      <c r="J1363" s="36"/>
      <c r="K1363" s="36"/>
      <c r="L1363" s="35">
        <f>L1479</f>
        <v>0</v>
      </c>
      <c r="M1363" s="32"/>
      <c r="N1363" s="31">
        <f t="shared" si="630"/>
        <v>0</v>
      </c>
      <c r="P1363" s="35">
        <f>P1479</f>
        <v>0</v>
      </c>
      <c r="T1363" s="35">
        <f>T1479</f>
        <v>0</v>
      </c>
      <c r="U1363" s="52">
        <f t="shared" si="628"/>
        <v>0</v>
      </c>
      <c r="Y1363" s="35">
        <f>Y1479</f>
        <v>0</v>
      </c>
      <c r="Z1363" s="52">
        <f>Y1363-T1363</f>
        <v>0</v>
      </c>
      <c r="AE1363" s="35">
        <f>AE1479</f>
        <v>0</v>
      </c>
      <c r="AF1363" s="71">
        <f>AE1363-Y1363</f>
        <v>0</v>
      </c>
      <c r="AH1363" s="35">
        <f>AH1479</f>
        <v>0</v>
      </c>
      <c r="AJ1363" s="35">
        <f>AJ1479</f>
        <v>0</v>
      </c>
      <c r="AL1363" s="35">
        <f>AL1479</f>
        <v>0</v>
      </c>
      <c r="AN1363" s="35">
        <f>AN1479</f>
        <v>0</v>
      </c>
      <c r="AO1363" s="35"/>
      <c r="AP1363" s="35">
        <f>AP1479</f>
        <v>0</v>
      </c>
      <c r="AR1363" s="35">
        <f>AR1479</f>
        <v>0</v>
      </c>
      <c r="AT1363" s="35">
        <f>AT1479</f>
        <v>0</v>
      </c>
      <c r="AV1363" s="35">
        <f>AV1479</f>
        <v>0</v>
      </c>
      <c r="AX1363" s="35">
        <f>AX1479</f>
        <v>0</v>
      </c>
      <c r="AZ1363" s="35">
        <f>AZ1479</f>
        <v>0</v>
      </c>
    </row>
    <row r="1364" spans="1:52" x14ac:dyDescent="0.25">
      <c r="A1364" s="3"/>
      <c r="B1364" s="36">
        <f>B1362+B1363</f>
        <v>369450</v>
      </c>
      <c r="C1364" s="32"/>
      <c r="D1364" s="36"/>
      <c r="E1364" s="36"/>
      <c r="F1364" s="36">
        <f>F1362+F1363</f>
        <v>371450</v>
      </c>
      <c r="G1364" s="32"/>
      <c r="H1364" s="31">
        <f t="shared" si="629"/>
        <v>2000</v>
      </c>
      <c r="I1364" s="31"/>
      <c r="J1364" s="31"/>
      <c r="K1364" s="31"/>
      <c r="L1364" s="36">
        <f>L1362+L1363</f>
        <v>370150</v>
      </c>
      <c r="M1364" s="32"/>
      <c r="N1364" s="31">
        <f t="shared" si="630"/>
        <v>-1300</v>
      </c>
      <c r="P1364" s="36">
        <f>P1362+P1363</f>
        <v>357740.5</v>
      </c>
      <c r="T1364" s="36">
        <f>T1362+T1363</f>
        <v>451760</v>
      </c>
      <c r="U1364" s="3">
        <f t="shared" si="628"/>
        <v>94019.5</v>
      </c>
      <c r="Y1364" s="36">
        <f>Y1362+Y1363</f>
        <v>439060</v>
      </c>
      <c r="Z1364" s="3">
        <f>Y1364-T1364</f>
        <v>-12700</v>
      </c>
      <c r="AE1364" s="36">
        <f>AE1362+AE1363</f>
        <v>426150</v>
      </c>
      <c r="AF1364" s="33">
        <f>AE1364-Y1364</f>
        <v>-12910</v>
      </c>
      <c r="AH1364" s="36">
        <f>AH1362+AH1363</f>
        <v>320348.7</v>
      </c>
      <c r="AJ1364" s="36">
        <f>AJ1362+AJ1363</f>
        <v>1094580.1510000001</v>
      </c>
      <c r="AL1364" s="36">
        <f>AL1362+AL1363</f>
        <v>1160649.30553</v>
      </c>
      <c r="AN1364" s="36">
        <f>AN1362+AN1363</f>
        <v>508923.26719589997</v>
      </c>
      <c r="AO1364" s="36"/>
      <c r="AP1364" s="36">
        <f>AP1362+AP1363</f>
        <v>525409.31683677703</v>
      </c>
      <c r="AR1364" s="36">
        <f>AR1362+AR1363</f>
        <v>547115.01054813038</v>
      </c>
      <c r="AT1364" s="36">
        <f>AT1362+AT1363</f>
        <v>559048.19078113674</v>
      </c>
      <c r="AV1364" s="36">
        <f>AV1362+AV1363</f>
        <v>576216.99791696155</v>
      </c>
      <c r="AX1364" s="36">
        <f>AX1362+AX1363</f>
        <v>598629.88233748067</v>
      </c>
      <c r="AZ1364" s="36">
        <f>AZ1362+AZ1363</f>
        <v>606295.61701476551</v>
      </c>
    </row>
    <row r="1365" spans="1:52" x14ac:dyDescent="0.25">
      <c r="A1365" s="7" t="s">
        <v>932</v>
      </c>
      <c r="B1365" s="36"/>
      <c r="C1365" s="32"/>
      <c r="D1365" s="36"/>
      <c r="E1365" s="36"/>
      <c r="F1365" s="36"/>
      <c r="G1365" s="32"/>
      <c r="H1365" s="31">
        <f t="shared" si="629"/>
        <v>0</v>
      </c>
      <c r="I1365" s="31"/>
      <c r="J1365" s="31"/>
      <c r="K1365" s="31"/>
      <c r="L1365" s="36"/>
      <c r="M1365" s="32"/>
      <c r="N1365" s="31">
        <f t="shared" si="630"/>
        <v>0</v>
      </c>
      <c r="P1365" s="36"/>
      <c r="T1365" s="36"/>
      <c r="U1365" s="3"/>
      <c r="Y1365" s="36"/>
      <c r="Z1365" s="3"/>
      <c r="AE1365" s="36"/>
      <c r="AF1365" s="33"/>
      <c r="AH1365" s="36"/>
      <c r="AJ1365" s="36"/>
      <c r="AL1365" s="36"/>
      <c r="AN1365" s="36"/>
      <c r="AO1365" s="36"/>
      <c r="AP1365" s="36"/>
      <c r="AR1365" s="36"/>
      <c r="AT1365" s="36"/>
      <c r="AV1365" s="36"/>
      <c r="AX1365" s="36"/>
      <c r="AZ1365" s="36"/>
    </row>
    <row r="1366" spans="1:52" x14ac:dyDescent="0.25">
      <c r="A1366" s="7" t="s">
        <v>41</v>
      </c>
      <c r="B1366" s="35">
        <f>B1360-B1364</f>
        <v>-60799</v>
      </c>
      <c r="C1366" s="32"/>
      <c r="D1366" s="36"/>
      <c r="E1366" s="36"/>
      <c r="F1366" s="35">
        <f>F1360-F1364</f>
        <v>-61200</v>
      </c>
      <c r="G1366" s="32"/>
      <c r="H1366" s="35">
        <f t="shared" si="629"/>
        <v>-401</v>
      </c>
      <c r="I1366" s="36"/>
      <c r="J1366" s="36"/>
      <c r="K1366" s="36"/>
      <c r="L1366" s="35">
        <f>L1360-L1364</f>
        <v>-59400</v>
      </c>
      <c r="M1366" s="32"/>
      <c r="N1366" s="31">
        <f t="shared" si="630"/>
        <v>1800</v>
      </c>
      <c r="P1366" s="35">
        <f>P1360-P1364</f>
        <v>-38215.5</v>
      </c>
      <c r="T1366" s="35">
        <f>T1360-T1364</f>
        <v>-132035</v>
      </c>
      <c r="U1366" s="52">
        <f t="shared" si="628"/>
        <v>-93819.5</v>
      </c>
      <c r="Y1366" s="35">
        <f>Y1360-Y1364</f>
        <v>-126335</v>
      </c>
      <c r="Z1366" s="52">
        <f>Y1366-T1366</f>
        <v>5700</v>
      </c>
      <c r="AE1366" s="35">
        <f>AE1360-AE1364</f>
        <v>-96645</v>
      </c>
      <c r="AF1366" s="71">
        <f>AE1366-Y1366</f>
        <v>29690</v>
      </c>
      <c r="AH1366" s="35">
        <f>AH1360-AH1364</f>
        <v>1700.4500000000116</v>
      </c>
      <c r="AJ1366" s="35">
        <f>AJ1360-AJ1364</f>
        <v>266428.93049999978</v>
      </c>
      <c r="AL1366" s="35">
        <f>AL1360-AL1364</f>
        <v>-761985.85084050009</v>
      </c>
      <c r="AN1366" s="35">
        <f>AN1360-AN1364</f>
        <v>-97525.340299146483</v>
      </c>
      <c r="AO1366" s="35"/>
      <c r="AP1366" s="35">
        <f>AP1360-AP1364</f>
        <v>-101942.76319486822</v>
      </c>
      <c r="AR1366" s="35">
        <f>AR1360-AR1364</f>
        <v>-112484.69684953702</v>
      </c>
      <c r="AT1366" s="35">
        <f>AT1360-AT1364</f>
        <v>-112897.64384932572</v>
      </c>
      <c r="AV1366" s="35">
        <f>AV1360-AV1364</f>
        <v>-118178.03173320764</v>
      </c>
      <c r="AX1366" s="35">
        <f>AX1360-AX1364</f>
        <v>-128322.21278638981</v>
      </c>
      <c r="AZ1366" s="35">
        <f>AZ1360-AZ1364</f>
        <v>-123326.46394813381</v>
      </c>
    </row>
    <row r="1367" spans="1:52" x14ac:dyDescent="0.25">
      <c r="A1367" s="7" t="s">
        <v>42</v>
      </c>
      <c r="B1367" s="36">
        <f>B1356+B1360-B1364+B1365</f>
        <v>268152</v>
      </c>
      <c r="C1367" s="32"/>
      <c r="D1367" s="36"/>
      <c r="E1367" s="36"/>
      <c r="F1367" s="36">
        <f>F1356+F1360-F1364+F1365</f>
        <v>556144</v>
      </c>
      <c r="G1367" s="32"/>
      <c r="H1367" s="31">
        <f t="shared" si="629"/>
        <v>287992</v>
      </c>
      <c r="I1367" s="31"/>
      <c r="J1367" s="31"/>
      <c r="K1367" s="31"/>
      <c r="L1367" s="36">
        <f>L1356+L1360-L1364+L1365</f>
        <v>557944</v>
      </c>
      <c r="M1367" s="32"/>
      <c r="N1367" s="31">
        <f t="shared" si="630"/>
        <v>1800</v>
      </c>
      <c r="P1367" s="36">
        <f>P1356+P1360-P1364+P1365</f>
        <v>519728.5</v>
      </c>
      <c r="T1367" s="36">
        <f>T1356+T1360-T1364+T1365</f>
        <v>665341</v>
      </c>
      <c r="U1367" s="3">
        <f t="shared" si="628"/>
        <v>145612.5</v>
      </c>
      <c r="Y1367" s="36">
        <f>Y1356+Y1360-Y1364+Y1365</f>
        <v>671041</v>
      </c>
      <c r="Z1367" s="3">
        <f>Y1367-T1367</f>
        <v>5700</v>
      </c>
      <c r="AE1367" s="36">
        <f>AE1356+AE1360-AE1364+AE1365</f>
        <v>700731</v>
      </c>
      <c r="AF1367" s="33">
        <f>AE1367-Y1367</f>
        <v>29690</v>
      </c>
      <c r="AH1367" s="36">
        <f>AH1356+AH1360-AH1364+AH1365</f>
        <v>521428.95</v>
      </c>
      <c r="AJ1367" s="36">
        <f>AJ1356+AJ1360-AJ1364+AJ1365</f>
        <v>787857.88049999974</v>
      </c>
      <c r="AL1367" s="36">
        <f>AL1356+AL1360-AL1364+AL1365</f>
        <v>25872.029659499647</v>
      </c>
      <c r="AN1367" s="36">
        <f>AN1356+AN1360-AN1364+AN1365</f>
        <v>-71653.310639646836</v>
      </c>
      <c r="AO1367" s="36"/>
      <c r="AP1367" s="36">
        <f>AP1356+AP1360-AP1364+AP1365</f>
        <v>-173596.07383451506</v>
      </c>
      <c r="AR1367" s="36">
        <f>AR1356+AR1360-AR1364+AR1365</f>
        <v>-286080.77068405208</v>
      </c>
      <c r="AT1367" s="36">
        <f>AT1356+AT1360-AT1364+AT1365</f>
        <v>-398978.4145333778</v>
      </c>
      <c r="AV1367" s="36">
        <f>AV1356+AV1360-AV1364+AV1365</f>
        <v>-517156.44626658544</v>
      </c>
      <c r="AX1367" s="36">
        <f>AX1356+AX1360-AX1364+AX1365</f>
        <v>-645478.65905297524</v>
      </c>
      <c r="AZ1367" s="36">
        <f>AZ1356+AZ1360-AZ1364+AZ1365</f>
        <v>-768805.12300110911</v>
      </c>
    </row>
    <row r="1368" spans="1:52" x14ac:dyDescent="0.25">
      <c r="A1368" s="3"/>
      <c r="B1368" s="36"/>
      <c r="C1368" s="32"/>
      <c r="D1368" s="36"/>
      <c r="E1368" s="36"/>
      <c r="F1368" s="36"/>
      <c r="G1368" s="32"/>
      <c r="H1368" s="31">
        <f t="shared" si="629"/>
        <v>0</v>
      </c>
      <c r="I1368" s="31"/>
      <c r="J1368" s="31"/>
      <c r="K1368" s="31"/>
      <c r="L1368" s="36"/>
      <c r="M1368" s="32"/>
      <c r="N1368" s="31"/>
      <c r="P1368" s="36"/>
      <c r="T1368" s="36"/>
      <c r="Y1368" s="36"/>
      <c r="AE1368" s="36"/>
      <c r="AF1368" s="33"/>
      <c r="AH1368" s="36"/>
      <c r="AJ1368" s="36"/>
      <c r="AL1368" s="36"/>
      <c r="AN1368" s="36"/>
      <c r="AO1368" s="36"/>
      <c r="AP1368" s="36"/>
      <c r="AR1368" s="36"/>
      <c r="AT1368" s="36"/>
      <c r="AV1368" s="36"/>
      <c r="AX1368" s="36"/>
      <c r="AZ1368" s="36"/>
    </row>
    <row r="1369" spans="1:52" x14ac:dyDescent="0.25">
      <c r="A1369" s="28" t="s">
        <v>7</v>
      </c>
      <c r="B1369" s="36"/>
      <c r="C1369" s="32"/>
      <c r="D1369" s="36"/>
      <c r="E1369" s="36"/>
      <c r="F1369" s="36"/>
      <c r="G1369" s="32"/>
      <c r="H1369" s="31">
        <f t="shared" si="629"/>
        <v>0</v>
      </c>
      <c r="I1369" s="31"/>
      <c r="J1369" s="31"/>
      <c r="K1369" s="31"/>
      <c r="L1369" s="36"/>
      <c r="M1369" s="32"/>
      <c r="N1369" s="31"/>
      <c r="P1369" s="36"/>
      <c r="T1369" s="36"/>
      <c r="Y1369" s="36"/>
      <c r="AE1369" s="36"/>
      <c r="AF1369" s="33"/>
      <c r="AH1369" s="36"/>
      <c r="AJ1369" s="36"/>
      <c r="AL1369" s="36"/>
      <c r="AN1369" s="36"/>
      <c r="AO1369" s="36"/>
      <c r="AP1369" s="36"/>
      <c r="AR1369" s="36"/>
      <c r="AT1369" s="36"/>
      <c r="AV1369" s="36"/>
      <c r="AX1369" s="36"/>
      <c r="AZ1369" s="36"/>
    </row>
    <row r="1370" spans="1:52" x14ac:dyDescent="0.25">
      <c r="A1370" s="7"/>
      <c r="B1370" s="36"/>
      <c r="C1370" s="32"/>
      <c r="D1370" s="36"/>
      <c r="E1370" s="36"/>
      <c r="F1370" s="36"/>
      <c r="G1370" s="32"/>
      <c r="H1370" s="31">
        <f t="shared" si="629"/>
        <v>0</v>
      </c>
      <c r="I1370" s="31"/>
      <c r="J1370" s="31"/>
      <c r="K1370" s="31"/>
      <c r="L1370" s="36"/>
      <c r="M1370" s="32"/>
      <c r="N1370" s="31"/>
      <c r="P1370" s="36"/>
      <c r="T1370" s="36"/>
      <c r="Y1370" s="36"/>
      <c r="AE1370" s="36"/>
      <c r="AF1370" s="33"/>
      <c r="AH1370" s="36"/>
      <c r="AJ1370" s="36"/>
      <c r="AL1370" s="36"/>
      <c r="AN1370" s="36"/>
      <c r="AO1370" s="36"/>
      <c r="AP1370" s="36"/>
      <c r="AR1370" s="36"/>
      <c r="AT1370" s="36"/>
      <c r="AV1370" s="36"/>
      <c r="AX1370" s="36"/>
      <c r="AZ1370" s="36"/>
    </row>
    <row r="1371" spans="1:52" x14ac:dyDescent="0.25">
      <c r="A1371" s="7"/>
      <c r="B1371" s="36"/>
      <c r="C1371" s="32"/>
      <c r="D1371" s="36"/>
      <c r="E1371" s="36"/>
      <c r="F1371" s="36"/>
      <c r="G1371" s="32"/>
      <c r="H1371" s="31">
        <f t="shared" si="629"/>
        <v>0</v>
      </c>
      <c r="I1371" s="31"/>
      <c r="J1371" s="31"/>
      <c r="K1371" s="31"/>
      <c r="L1371" s="36"/>
      <c r="M1371" s="32"/>
      <c r="N1371" s="31"/>
      <c r="P1371" s="36"/>
      <c r="T1371" s="36"/>
      <c r="Y1371" s="36"/>
      <c r="AE1371" s="36"/>
      <c r="AF1371" s="33"/>
      <c r="AH1371" s="36"/>
      <c r="AJ1371" s="36"/>
      <c r="AL1371" s="36"/>
      <c r="AN1371" s="36"/>
      <c r="AO1371" s="36"/>
      <c r="AP1371" s="36"/>
      <c r="AR1371" s="36"/>
      <c r="AT1371" s="36"/>
      <c r="AV1371" s="36"/>
      <c r="AX1371" s="36"/>
      <c r="AZ1371" s="36"/>
    </row>
    <row r="1372" spans="1:52" x14ac:dyDescent="0.25">
      <c r="A1372" s="7" t="s">
        <v>34</v>
      </c>
      <c r="B1372" s="36">
        <v>5970</v>
      </c>
      <c r="C1372" s="32"/>
      <c r="D1372" s="36"/>
      <c r="E1372" s="36"/>
      <c r="F1372" s="36">
        <v>0</v>
      </c>
      <c r="G1372" s="32"/>
      <c r="H1372" s="31">
        <f t="shared" si="629"/>
        <v>-5970</v>
      </c>
      <c r="I1372" s="31"/>
      <c r="J1372" s="31"/>
      <c r="K1372" s="31"/>
      <c r="L1372" s="36">
        <v>0</v>
      </c>
      <c r="M1372" s="32"/>
      <c r="N1372" s="31">
        <f>L1372-F1372</f>
        <v>0</v>
      </c>
      <c r="P1372" s="36">
        <v>0</v>
      </c>
      <c r="T1372" s="36">
        <v>0</v>
      </c>
      <c r="U1372" s="3">
        <f>T1372-P1372</f>
        <v>0</v>
      </c>
      <c r="Y1372" s="36">
        <v>0</v>
      </c>
      <c r="Z1372" s="3">
        <f>Y1372-T1372</f>
        <v>0</v>
      </c>
      <c r="AE1372" s="36">
        <v>0</v>
      </c>
      <c r="AF1372" s="33">
        <f t="shared" ref="AF1372:AF1377" si="631">AE1372-Y1372</f>
        <v>0</v>
      </c>
      <c r="AH1372" s="36">
        <f>P1377</f>
        <v>0</v>
      </c>
      <c r="AJ1372" s="36">
        <f>AH1377</f>
        <v>0</v>
      </c>
      <c r="AL1372" s="36">
        <f>AJ1377</f>
        <v>0</v>
      </c>
      <c r="AN1372" s="36">
        <f>AL1377</f>
        <v>0</v>
      </c>
      <c r="AO1372" s="36"/>
      <c r="AP1372" s="36">
        <f>AN1377</f>
        <v>0</v>
      </c>
      <c r="AR1372" s="36">
        <f>AP1377</f>
        <v>0</v>
      </c>
      <c r="AT1372" s="36">
        <f>AR1377</f>
        <v>0</v>
      </c>
      <c r="AV1372" s="36">
        <f>AT1377</f>
        <v>0</v>
      </c>
      <c r="AX1372" s="36">
        <f>AV1377</f>
        <v>0</v>
      </c>
      <c r="AZ1372" s="36">
        <f>AX1377</f>
        <v>0</v>
      </c>
    </row>
    <row r="1373" spans="1:52" x14ac:dyDescent="0.25">
      <c r="A1373" s="3"/>
      <c r="B1373" s="36"/>
      <c r="C1373" s="32"/>
      <c r="D1373" s="36"/>
      <c r="E1373" s="36"/>
      <c r="F1373" s="36"/>
      <c r="G1373" s="32"/>
      <c r="H1373" s="31">
        <f t="shared" si="629"/>
        <v>0</v>
      </c>
      <c r="I1373" s="31"/>
      <c r="J1373" s="31"/>
      <c r="K1373" s="31"/>
      <c r="L1373" s="36"/>
      <c r="M1373" s="32"/>
      <c r="N1373" s="31"/>
      <c r="P1373" s="36"/>
      <c r="T1373" s="36"/>
      <c r="Y1373" s="36"/>
      <c r="AE1373" s="36"/>
      <c r="AF1373" s="33">
        <f t="shared" si="631"/>
        <v>0</v>
      </c>
      <c r="AH1373" s="36"/>
      <c r="AJ1373" s="36"/>
      <c r="AL1373" s="36"/>
      <c r="AN1373" s="36"/>
      <c r="AO1373" s="36"/>
      <c r="AP1373" s="36"/>
      <c r="AR1373" s="36"/>
      <c r="AT1373" s="36"/>
      <c r="AV1373" s="36"/>
      <c r="AX1373" s="36"/>
      <c r="AZ1373" s="36"/>
    </row>
    <row r="1374" spans="1:52" x14ac:dyDescent="0.25">
      <c r="A1374" s="7" t="s">
        <v>43</v>
      </c>
      <c r="B1374" s="36">
        <v>0</v>
      </c>
      <c r="C1374" s="32"/>
      <c r="D1374" s="36"/>
      <c r="E1374" s="36"/>
      <c r="F1374" s="36">
        <v>0</v>
      </c>
      <c r="G1374" s="32"/>
      <c r="H1374" s="31">
        <f t="shared" si="629"/>
        <v>0</v>
      </c>
      <c r="I1374" s="31"/>
      <c r="J1374" s="31"/>
      <c r="K1374" s="31"/>
      <c r="L1374" s="36">
        <v>0</v>
      </c>
      <c r="M1374" s="32"/>
      <c r="N1374" s="31">
        <f>L1374-H1374</f>
        <v>0</v>
      </c>
      <c r="P1374" s="36">
        <v>0</v>
      </c>
      <c r="T1374" s="36">
        <v>0</v>
      </c>
      <c r="Y1374" s="36">
        <v>0</v>
      </c>
      <c r="AE1374" s="36">
        <v>0</v>
      </c>
      <c r="AF1374" s="33">
        <f t="shared" si="631"/>
        <v>0</v>
      </c>
      <c r="AH1374" s="36">
        <v>0</v>
      </c>
      <c r="AJ1374" s="36">
        <v>0</v>
      </c>
      <c r="AL1374" s="36">
        <v>0</v>
      </c>
      <c r="AN1374" s="36">
        <v>0</v>
      </c>
      <c r="AO1374" s="36"/>
      <c r="AP1374" s="36">
        <v>0</v>
      </c>
      <c r="AR1374" s="36">
        <v>0</v>
      </c>
      <c r="AT1374" s="36">
        <v>0</v>
      </c>
      <c r="AV1374" s="36">
        <v>0</v>
      </c>
      <c r="AX1374" s="36">
        <v>0</v>
      </c>
      <c r="AZ1374" s="36">
        <v>0</v>
      </c>
    </row>
    <row r="1375" spans="1:52" x14ac:dyDescent="0.25">
      <c r="A1375" s="7" t="s">
        <v>44</v>
      </c>
      <c r="B1375" s="35"/>
      <c r="C1375" s="32"/>
      <c r="D1375" s="36"/>
      <c r="E1375" s="36"/>
      <c r="F1375" s="35"/>
      <c r="G1375" s="32"/>
      <c r="H1375" s="35">
        <f t="shared" si="629"/>
        <v>0</v>
      </c>
      <c r="I1375" s="36"/>
      <c r="J1375" s="36"/>
      <c r="K1375" s="36"/>
      <c r="L1375" s="35"/>
      <c r="M1375" s="32"/>
      <c r="N1375" s="35">
        <f>L1375-H1375</f>
        <v>0</v>
      </c>
      <c r="P1375" s="35"/>
      <c r="T1375" s="35"/>
      <c r="U1375" s="61"/>
      <c r="Y1375" s="35"/>
      <c r="Z1375" s="61"/>
      <c r="AE1375" s="35"/>
      <c r="AF1375" s="71">
        <f t="shared" si="631"/>
        <v>0</v>
      </c>
      <c r="AH1375" s="35"/>
      <c r="AJ1375" s="35"/>
      <c r="AL1375" s="35"/>
      <c r="AN1375" s="35"/>
      <c r="AO1375" s="35"/>
      <c r="AP1375" s="35"/>
      <c r="AR1375" s="35"/>
      <c r="AT1375" s="35"/>
      <c r="AV1375" s="35"/>
      <c r="AX1375" s="35"/>
      <c r="AZ1375" s="35"/>
    </row>
    <row r="1376" spans="1:52" x14ac:dyDescent="0.25">
      <c r="A1376" s="7" t="s">
        <v>41</v>
      </c>
      <c r="B1376" s="36">
        <f>B1374+B1375</f>
        <v>0</v>
      </c>
      <c r="C1376" s="32"/>
      <c r="D1376" s="36"/>
      <c r="E1376" s="36"/>
      <c r="F1376" s="36">
        <f>F1374+F1375</f>
        <v>0</v>
      </c>
      <c r="G1376" s="32"/>
      <c r="H1376" s="31">
        <f t="shared" si="629"/>
        <v>0</v>
      </c>
      <c r="I1376" s="31"/>
      <c r="J1376" s="31"/>
      <c r="K1376" s="31"/>
      <c r="L1376" s="36">
        <f>L1374+L1375</f>
        <v>0</v>
      </c>
      <c r="M1376" s="32"/>
      <c r="N1376" s="31">
        <f>L1376-H1376</f>
        <v>0</v>
      </c>
      <c r="P1376" s="36">
        <f>P1374+P1375</f>
        <v>0</v>
      </c>
      <c r="T1376" s="36">
        <f>T1374+T1375</f>
        <v>0</v>
      </c>
      <c r="Y1376" s="36">
        <f>Y1374+Y1375</f>
        <v>0</v>
      </c>
      <c r="AE1376" s="36">
        <f>AE1374+AE1375</f>
        <v>0</v>
      </c>
      <c r="AF1376" s="33">
        <f t="shared" si="631"/>
        <v>0</v>
      </c>
      <c r="AH1376" s="36">
        <f>AH1374+AH1375</f>
        <v>0</v>
      </c>
      <c r="AJ1376" s="36">
        <f>AJ1374+AJ1375</f>
        <v>0</v>
      </c>
      <c r="AL1376" s="36">
        <f>AL1374+AL1375</f>
        <v>0</v>
      </c>
      <c r="AN1376" s="36">
        <f>AN1374+AN1375</f>
        <v>0</v>
      </c>
      <c r="AO1376" s="36"/>
      <c r="AP1376" s="36">
        <f>AP1374+AP1375</f>
        <v>0</v>
      </c>
      <c r="AR1376" s="36">
        <f>AR1374+AR1375</f>
        <v>0</v>
      </c>
      <c r="AT1376" s="36">
        <f>AT1374+AT1375</f>
        <v>0</v>
      </c>
      <c r="AV1376" s="36">
        <f>AV1374+AV1375</f>
        <v>0</v>
      </c>
      <c r="AX1376" s="36">
        <f>AX1374+AX1375</f>
        <v>0</v>
      </c>
      <c r="AZ1376" s="36">
        <f>AZ1374+AZ1375</f>
        <v>0</v>
      </c>
    </row>
    <row r="1377" spans="1:52" x14ac:dyDescent="0.25">
      <c r="A1377" s="7" t="s">
        <v>42</v>
      </c>
      <c r="B1377" s="36">
        <f>B1372+B1376</f>
        <v>5970</v>
      </c>
      <c r="C1377" s="32"/>
      <c r="D1377" s="36"/>
      <c r="E1377" s="36"/>
      <c r="F1377" s="36">
        <f>F1372+F1376</f>
        <v>0</v>
      </c>
      <c r="G1377" s="32"/>
      <c r="H1377" s="31">
        <f t="shared" si="629"/>
        <v>-5970</v>
      </c>
      <c r="I1377" s="31"/>
      <c r="J1377" s="31"/>
      <c r="K1377" s="31"/>
      <c r="L1377" s="36">
        <f>L1372+L1376</f>
        <v>0</v>
      </c>
      <c r="M1377" s="32"/>
      <c r="N1377" s="31">
        <f>L1377-F1377</f>
        <v>0</v>
      </c>
      <c r="P1377" s="36">
        <f>P1372+P1376</f>
        <v>0</v>
      </c>
      <c r="T1377" s="36">
        <f>T1372+T1376</f>
        <v>0</v>
      </c>
      <c r="U1377" s="3">
        <f>T1377-P1377</f>
        <v>0</v>
      </c>
      <c r="Y1377" s="36">
        <f>Y1372+Y1376</f>
        <v>0</v>
      </c>
      <c r="Z1377" s="3">
        <f>Y1377-T1377</f>
        <v>0</v>
      </c>
      <c r="AE1377" s="36">
        <f>AE1372+AE1376</f>
        <v>0</v>
      </c>
      <c r="AF1377" s="33">
        <f t="shared" si="631"/>
        <v>0</v>
      </c>
      <c r="AH1377" s="36">
        <f>AH1372+AH1376</f>
        <v>0</v>
      </c>
      <c r="AJ1377" s="36">
        <f>AJ1372+AJ1376</f>
        <v>0</v>
      </c>
      <c r="AL1377" s="36">
        <f>AL1372+AL1376</f>
        <v>0</v>
      </c>
      <c r="AN1377" s="36">
        <f>AN1372+AN1376</f>
        <v>0</v>
      </c>
      <c r="AO1377" s="36"/>
      <c r="AP1377" s="36">
        <f>AP1372+AP1376</f>
        <v>0</v>
      </c>
      <c r="AR1377" s="36">
        <f>AR1372+AR1376</f>
        <v>0</v>
      </c>
      <c r="AT1377" s="36">
        <f>AT1372+AT1376</f>
        <v>0</v>
      </c>
      <c r="AV1377" s="36">
        <f>AV1372+AV1376</f>
        <v>0</v>
      </c>
      <c r="AX1377" s="36">
        <f>AX1372+AX1376</f>
        <v>0</v>
      </c>
      <c r="AZ1377" s="36">
        <f>AZ1372+AZ1376</f>
        <v>0</v>
      </c>
    </row>
    <row r="1378" spans="1:52" ht="13.5" customHeight="1" x14ac:dyDescent="0.25">
      <c r="A1378" s="4"/>
    </row>
    <row r="1379" spans="1:52" x14ac:dyDescent="0.25">
      <c r="A1379" s="1" t="s">
        <v>933</v>
      </c>
      <c r="B1379" s="2"/>
      <c r="D1379" s="3"/>
      <c r="E1379" s="3"/>
      <c r="F1379" s="3"/>
      <c r="H1379" s="3"/>
      <c r="I1379" s="3"/>
      <c r="J1379" s="3"/>
      <c r="K1379" s="3"/>
      <c r="L1379" s="3"/>
      <c r="N1379" s="3"/>
      <c r="P1379" s="3"/>
    </row>
    <row r="1380" spans="1:52" x14ac:dyDescent="0.25">
      <c r="A1380" s="7" t="s">
        <v>46</v>
      </c>
    </row>
    <row r="1381" spans="1:52" x14ac:dyDescent="0.25">
      <c r="A1381" s="7" t="s">
        <v>934</v>
      </c>
    </row>
    <row r="1382" spans="1:52" x14ac:dyDescent="0.25">
      <c r="A1382" s="3" t="s">
        <v>886</v>
      </c>
      <c r="B1382" s="3">
        <v>213300</v>
      </c>
      <c r="D1382" s="3">
        <v>214937</v>
      </c>
      <c r="E1382" s="3">
        <f>F1382-D1382</f>
        <v>-937</v>
      </c>
      <c r="F1382" s="5">
        <v>214000</v>
      </c>
      <c r="H1382" s="5">
        <f>F1382-B1382</f>
        <v>700</v>
      </c>
      <c r="J1382" s="5">
        <v>217793</v>
      </c>
      <c r="K1382" s="4">
        <f>L1382-J1382</f>
        <v>-3793</v>
      </c>
      <c r="L1382" s="4">
        <v>214000</v>
      </c>
      <c r="N1382" s="4">
        <f>L1382-F1382</f>
        <v>0</v>
      </c>
      <c r="P1382" s="3">
        <f>L1382*1.036+21</f>
        <v>221725</v>
      </c>
      <c r="Q1382" s="3"/>
      <c r="R1382" s="3">
        <v>220287</v>
      </c>
      <c r="S1382" s="3">
        <f>T1382-R1382</f>
        <v>1438</v>
      </c>
      <c r="T1382" s="3">
        <v>221725</v>
      </c>
      <c r="U1382" s="3">
        <f>T1382-P1382</f>
        <v>0</v>
      </c>
      <c r="V1382" s="3">
        <v>220349</v>
      </c>
      <c r="W1382" s="3">
        <f>Y1382-V1382</f>
        <v>1376</v>
      </c>
      <c r="X1382" s="3"/>
      <c r="Y1382" s="3">
        <v>221725</v>
      </c>
      <c r="Z1382" s="3">
        <f>Y1382-T1382</f>
        <v>0</v>
      </c>
      <c r="AA1382" s="3"/>
      <c r="AB1382" s="3"/>
      <c r="AC1382" s="3">
        <v>220083</v>
      </c>
      <c r="AD1382" s="3">
        <f>AE1382-AC1382</f>
        <v>1642</v>
      </c>
      <c r="AE1382" s="3">
        <v>221725</v>
      </c>
      <c r="AF1382" s="3">
        <f>AE1382-Y1382</f>
        <v>0</v>
      </c>
      <c r="AG1382" s="3"/>
      <c r="AH1382" s="3">
        <f>AE1382*1.034-14</f>
        <v>229249.65</v>
      </c>
      <c r="AI1382" s="3"/>
      <c r="AJ1382" s="3">
        <f>AH1382*1.16</f>
        <v>265929.59399999998</v>
      </c>
      <c r="AK1382" s="3"/>
      <c r="AL1382" s="3">
        <f>AJ1382*1.133</f>
        <v>301298.230002</v>
      </c>
      <c r="AM1382" s="3">
        <f>AK1382*1.033</f>
        <v>0</v>
      </c>
      <c r="AN1382" s="3">
        <f>AL1382*1.033</f>
        <v>311241.07159206597</v>
      </c>
      <c r="AO1382" s="3"/>
      <c r="AP1382" s="3">
        <f>AN1382*1.033</f>
        <v>321512.02695460414</v>
      </c>
      <c r="AQ1382" s="3"/>
      <c r="AR1382" s="3">
        <f>AP1382*1.033</f>
        <v>332121.92384410603</v>
      </c>
      <c r="AS1382" s="3">
        <f>AQ1382*1.033</f>
        <v>0</v>
      </c>
      <c r="AT1382" s="3">
        <f>AR1382*1.033</f>
        <v>343081.94733096153</v>
      </c>
      <c r="AU1382" s="3">
        <f>AS1382*1.033</f>
        <v>0</v>
      </c>
      <c r="AV1382" s="3">
        <f>AT1382*1.033</f>
        <v>354403.65159288322</v>
      </c>
      <c r="AW1382" s="3"/>
      <c r="AX1382" s="3">
        <f>AV1382*1.033</f>
        <v>366098.97209544835</v>
      </c>
      <c r="AY1382" s="3">
        <f>AW1382*1.033</f>
        <v>0</v>
      </c>
      <c r="AZ1382" s="3">
        <f>AX1382*1.033</f>
        <v>378180.23817459814</v>
      </c>
    </row>
    <row r="1383" spans="1:52" x14ac:dyDescent="0.25">
      <c r="A1383" s="3" t="s">
        <v>935</v>
      </c>
      <c r="B1383" s="3">
        <v>21800</v>
      </c>
      <c r="D1383" s="3">
        <v>22787</v>
      </c>
      <c r="E1383" s="3">
        <f>F1383-D1383</f>
        <v>-87</v>
      </c>
      <c r="F1383" s="5">
        <v>22700</v>
      </c>
      <c r="H1383" s="5">
        <f>F1383-B1383</f>
        <v>900</v>
      </c>
      <c r="J1383" s="5">
        <v>22787</v>
      </c>
      <c r="K1383" s="4">
        <f>L1383-J1383</f>
        <v>-87</v>
      </c>
      <c r="L1383" s="4">
        <v>22700</v>
      </c>
      <c r="N1383" s="4">
        <f>L1383-F1383</f>
        <v>0</v>
      </c>
      <c r="P1383" s="3">
        <v>23300</v>
      </c>
      <c r="Q1383" s="3"/>
      <c r="R1383" s="3">
        <v>22912</v>
      </c>
      <c r="S1383" s="3">
        <f>T1383-R1383</f>
        <v>88</v>
      </c>
      <c r="T1383" s="3">
        <v>23000</v>
      </c>
      <c r="U1383" s="3">
        <f>T1383-P1383</f>
        <v>-300</v>
      </c>
      <c r="V1383" s="3">
        <v>22913</v>
      </c>
      <c r="W1383" s="3">
        <f>Y1383-V1383</f>
        <v>87</v>
      </c>
      <c r="X1383" s="3"/>
      <c r="Y1383" s="3">
        <v>23000</v>
      </c>
      <c r="Z1383" s="3">
        <f>Y1383-T1383</f>
        <v>0</v>
      </c>
      <c r="AA1383" s="3"/>
      <c r="AB1383" s="3"/>
      <c r="AC1383" s="3">
        <v>22913</v>
      </c>
      <c r="AD1383" s="3">
        <f>AE1383-AC1383</f>
        <v>87</v>
      </c>
      <c r="AE1383" s="3">
        <v>23000</v>
      </c>
      <c r="AF1383" s="3">
        <f>AE1383-Y1383</f>
        <v>0</v>
      </c>
      <c r="AG1383" s="3"/>
      <c r="AH1383" s="3">
        <v>23000</v>
      </c>
      <c r="AI1383" s="3"/>
      <c r="AJ1383" s="3">
        <f>AH1383+100</f>
        <v>23100</v>
      </c>
      <c r="AK1383" s="3"/>
      <c r="AL1383" s="3">
        <f>AJ1383+100</f>
        <v>23200</v>
      </c>
      <c r="AM1383" s="3"/>
      <c r="AN1383" s="3">
        <f>AL1383+100</f>
        <v>23300</v>
      </c>
      <c r="AO1383" s="3"/>
      <c r="AP1383" s="3">
        <f>AN1383+100</f>
        <v>23400</v>
      </c>
      <c r="AQ1383" s="42"/>
      <c r="AR1383" s="3">
        <f>AP1383+100</f>
        <v>23500</v>
      </c>
      <c r="AT1383" s="3">
        <f>AR1383+100</f>
        <v>23600</v>
      </c>
      <c r="AV1383" s="3">
        <f>AT1383+100</f>
        <v>23700</v>
      </c>
      <c r="AX1383" s="3">
        <f>AV1383+100</f>
        <v>23800</v>
      </c>
      <c r="AZ1383" s="3">
        <f>AX1383+100</f>
        <v>23900</v>
      </c>
    </row>
    <row r="1384" spans="1:52" x14ac:dyDescent="0.25">
      <c r="A1384" s="3" t="s">
        <v>55</v>
      </c>
      <c r="B1384" s="3">
        <v>8900</v>
      </c>
      <c r="D1384" s="3"/>
      <c r="E1384" s="3">
        <f>F1384-D1384</f>
        <v>8900</v>
      </c>
      <c r="F1384" s="5">
        <v>8900</v>
      </c>
      <c r="H1384" s="5">
        <f>F1384-B1384</f>
        <v>0</v>
      </c>
      <c r="K1384" s="4">
        <f>L1384-J1384</f>
        <v>8900</v>
      </c>
      <c r="L1384" s="4">
        <v>8900</v>
      </c>
      <c r="N1384" s="4">
        <f>L1384-F1384</f>
        <v>0</v>
      </c>
      <c r="P1384" s="3">
        <f>B1384*1.02+22</f>
        <v>9100</v>
      </c>
      <c r="Q1384" s="3"/>
      <c r="R1384" s="3"/>
      <c r="S1384" s="3">
        <f>T1384-R1384</f>
        <v>9100</v>
      </c>
      <c r="T1384" s="3">
        <v>9100</v>
      </c>
      <c r="U1384" s="3">
        <f>T1384-P1384</f>
        <v>0</v>
      </c>
      <c r="V1384" s="3"/>
      <c r="W1384" s="3">
        <f>Y1384-V1384</f>
        <v>9100</v>
      </c>
      <c r="X1384" s="3"/>
      <c r="Y1384" s="3">
        <v>9100</v>
      </c>
      <c r="Z1384" s="3">
        <f>Y1384-T1384</f>
        <v>0</v>
      </c>
      <c r="AA1384" s="3"/>
      <c r="AB1384" s="3"/>
      <c r="AC1384" s="3">
        <v>8978</v>
      </c>
      <c r="AD1384" s="3">
        <f>AE1384-AC1384</f>
        <v>2</v>
      </c>
      <c r="AE1384" s="3">
        <v>8980</v>
      </c>
      <c r="AF1384" s="3">
        <f>AE1384-Y1384</f>
        <v>-120</v>
      </c>
      <c r="AG1384" s="3"/>
      <c r="AH1384" s="3">
        <f>AE1384*1.025-5</f>
        <v>9199.5</v>
      </c>
      <c r="AI1384" s="3"/>
      <c r="AJ1384" s="3">
        <f>AH1384*1.025</f>
        <v>9429.4874999999993</v>
      </c>
      <c r="AK1384" s="3"/>
      <c r="AL1384" s="3">
        <f>AJ1384*1.025</f>
        <v>9665.2246874999983</v>
      </c>
      <c r="AM1384" s="3"/>
      <c r="AN1384" s="3">
        <f>AL1384*1.025</f>
        <v>9906.8553046874968</v>
      </c>
      <c r="AO1384" s="3"/>
      <c r="AP1384" s="3">
        <f>AN1384*1.025</f>
        <v>10154.526687304684</v>
      </c>
      <c r="AQ1384" s="42"/>
      <c r="AR1384" s="3">
        <f>AP1384*1.025</f>
        <v>10408.389854487301</v>
      </c>
      <c r="AT1384" s="3">
        <f>AR1384*1.025</f>
        <v>10668.599600849482</v>
      </c>
      <c r="AV1384" s="3">
        <f>AT1384*1.025</f>
        <v>10935.314590870717</v>
      </c>
      <c r="AX1384" s="3">
        <f>AV1384*1.025</f>
        <v>11208.697455642485</v>
      </c>
      <c r="AZ1384" s="3">
        <f>AX1384*1.025</f>
        <v>11488.914892033546</v>
      </c>
    </row>
    <row r="1385" spans="1:52" x14ac:dyDescent="0.25">
      <c r="A1385" s="234" t="s">
        <v>936</v>
      </c>
      <c r="B1385" s="3">
        <v>26500</v>
      </c>
      <c r="D1385" s="3"/>
      <c r="E1385" s="3">
        <f>F1385-D1385</f>
        <v>26500</v>
      </c>
      <c r="F1385" s="5">
        <v>26500</v>
      </c>
      <c r="H1385" s="5">
        <f>F1385-B1385</f>
        <v>0</v>
      </c>
      <c r="J1385" s="5">
        <v>156</v>
      </c>
      <c r="K1385" s="4">
        <f>L1385-J1385</f>
        <v>26344</v>
      </c>
      <c r="L1385" s="4">
        <v>26500</v>
      </c>
      <c r="N1385" s="4">
        <f>L1385-F1385</f>
        <v>0</v>
      </c>
      <c r="P1385" s="3">
        <v>27000</v>
      </c>
      <c r="Q1385" s="3"/>
      <c r="R1385" s="3">
        <v>83</v>
      </c>
      <c r="S1385" s="3">
        <f>T1385-R1385</f>
        <v>26917</v>
      </c>
      <c r="T1385" s="3">
        <v>27000</v>
      </c>
      <c r="U1385" s="3">
        <f>T1385-P1385</f>
        <v>0</v>
      </c>
      <c r="V1385" s="3">
        <v>142</v>
      </c>
      <c r="W1385" s="3">
        <f>Y1385-V1385</f>
        <v>19858</v>
      </c>
      <c r="X1385" s="3"/>
      <c r="Y1385" s="3">
        <v>20000</v>
      </c>
      <c r="Z1385" s="3">
        <f>Y1385-T1385</f>
        <v>-7000</v>
      </c>
      <c r="AA1385" s="3"/>
      <c r="AB1385" s="3"/>
      <c r="AC1385" s="3">
        <v>258</v>
      </c>
      <c r="AD1385" s="3">
        <f>AE1385-AC1385</f>
        <v>19742</v>
      </c>
      <c r="AE1385" s="3">
        <v>20000</v>
      </c>
      <c r="AF1385" s="3">
        <f>AE1385-Y1385</f>
        <v>0</v>
      </c>
      <c r="AG1385" s="3"/>
      <c r="AH1385" s="234">
        <f>AE1385*1.025</f>
        <v>20500</v>
      </c>
      <c r="AI1385" s="3"/>
      <c r="AJ1385" s="3">
        <v>21000</v>
      </c>
      <c r="AK1385" s="3"/>
      <c r="AL1385" s="3">
        <f>AJ1385+500</f>
        <v>21500</v>
      </c>
      <c r="AM1385" s="3"/>
      <c r="AN1385" s="3">
        <f>AL1385</f>
        <v>21500</v>
      </c>
      <c r="AO1385" s="3"/>
      <c r="AP1385" s="3">
        <f>AN1385</f>
        <v>21500</v>
      </c>
      <c r="AQ1385" s="42"/>
      <c r="AR1385" s="3">
        <f>AP1385</f>
        <v>21500</v>
      </c>
      <c r="AT1385" s="3">
        <f>AR1385</f>
        <v>21500</v>
      </c>
      <c r="AV1385" s="3">
        <f>AT1385</f>
        <v>21500</v>
      </c>
      <c r="AX1385" s="3">
        <f>AV1385</f>
        <v>21500</v>
      </c>
      <c r="AZ1385" s="3">
        <f>AX1385</f>
        <v>21500</v>
      </c>
    </row>
    <row r="1386" spans="1:52" x14ac:dyDescent="0.25">
      <c r="A1386" s="3" t="s">
        <v>937</v>
      </c>
      <c r="B1386" s="3">
        <v>200</v>
      </c>
      <c r="D1386" s="3">
        <v>70</v>
      </c>
      <c r="E1386" s="3">
        <f>F1386-D1386</f>
        <v>130</v>
      </c>
      <c r="F1386" s="5">
        <v>200</v>
      </c>
      <c r="H1386" s="5">
        <f>F1386-B1386</f>
        <v>0</v>
      </c>
      <c r="K1386" s="4">
        <f>L1386-J1386</f>
        <v>200</v>
      </c>
      <c r="L1386" s="4">
        <v>200</v>
      </c>
      <c r="N1386" s="4">
        <f>L1386-F1386</f>
        <v>0</v>
      </c>
      <c r="P1386" s="3">
        <v>200</v>
      </c>
      <c r="Q1386" s="3"/>
      <c r="R1386" s="3"/>
      <c r="S1386" s="3">
        <f>T1386-R1386</f>
        <v>200</v>
      </c>
      <c r="T1386" s="3">
        <v>200</v>
      </c>
      <c r="U1386" s="3">
        <f>T1386-P1386</f>
        <v>0</v>
      </c>
      <c r="V1386" s="3"/>
      <c r="W1386" s="3">
        <f>Y1386-V1386</f>
        <v>200</v>
      </c>
      <c r="X1386" s="3"/>
      <c r="Y1386" s="3">
        <v>200</v>
      </c>
      <c r="Z1386" s="3">
        <f>Y1386-T1386</f>
        <v>0</v>
      </c>
      <c r="AA1386" s="3"/>
      <c r="AB1386" s="3"/>
      <c r="AC1386" s="3"/>
      <c r="AD1386" s="3">
        <f>AE1386-AC1386</f>
        <v>0</v>
      </c>
      <c r="AE1386" s="3"/>
      <c r="AF1386" s="3">
        <f>AE1386-Y1386</f>
        <v>-200</v>
      </c>
      <c r="AG1386" s="3"/>
      <c r="AH1386" s="3">
        <v>200</v>
      </c>
      <c r="AI1386" s="3"/>
      <c r="AJ1386" s="3">
        <v>200</v>
      </c>
      <c r="AK1386" s="3"/>
      <c r="AL1386" s="3">
        <v>200</v>
      </c>
      <c r="AM1386" s="3"/>
      <c r="AN1386" s="3">
        <v>200</v>
      </c>
      <c r="AO1386" s="3"/>
      <c r="AP1386" s="3">
        <v>200</v>
      </c>
      <c r="AQ1386" s="42"/>
      <c r="AR1386" s="3">
        <v>200</v>
      </c>
      <c r="AT1386" s="3">
        <v>200</v>
      </c>
      <c r="AV1386" s="3">
        <v>200</v>
      </c>
      <c r="AX1386" s="3">
        <v>200</v>
      </c>
      <c r="AZ1386" s="3">
        <v>200</v>
      </c>
    </row>
    <row r="1387" spans="1:52" x14ac:dyDescent="0.25">
      <c r="A1387" s="3"/>
      <c r="B1387" s="48">
        <f>SUM(B1382:B1386)+1</f>
        <v>270701</v>
      </c>
      <c r="C1387" s="32"/>
      <c r="D1387" s="48">
        <f>SUM(D1382:D1386)+1</f>
        <v>237795</v>
      </c>
      <c r="E1387" s="48">
        <f>SUM(E1382:E1386)+1</f>
        <v>34507</v>
      </c>
      <c r="F1387" s="48">
        <f>SUM(F1382:F1386)</f>
        <v>272300</v>
      </c>
      <c r="G1387" s="32"/>
      <c r="H1387" s="48">
        <f>SUM(H1382:H1386)</f>
        <v>1600</v>
      </c>
      <c r="I1387" s="36"/>
      <c r="J1387" s="48">
        <f>SUM(J1382:J1386)</f>
        <v>240736</v>
      </c>
      <c r="K1387" s="48">
        <f>SUM(K1382:K1386)</f>
        <v>31564</v>
      </c>
      <c r="L1387" s="48">
        <f>SUM(L1382:L1386)</f>
        <v>272300</v>
      </c>
      <c r="M1387" s="32"/>
      <c r="N1387" s="48">
        <f>SUM(N1382:N1386)</f>
        <v>0</v>
      </c>
      <c r="P1387" s="48">
        <f>SUM(P1382:P1386)</f>
        <v>281325</v>
      </c>
      <c r="R1387" s="48">
        <f t="shared" ref="R1387:Z1387" si="632">SUM(R1382:R1386)</f>
        <v>243282</v>
      </c>
      <c r="S1387" s="48">
        <f t="shared" si="632"/>
        <v>37743</v>
      </c>
      <c r="T1387" s="48">
        <f t="shared" si="632"/>
        <v>281025</v>
      </c>
      <c r="U1387" s="48">
        <f t="shared" si="632"/>
        <v>-300</v>
      </c>
      <c r="V1387" s="48">
        <f t="shared" si="632"/>
        <v>243404</v>
      </c>
      <c r="W1387" s="48">
        <f t="shared" si="632"/>
        <v>30621</v>
      </c>
      <c r="X1387" s="48"/>
      <c r="Y1387" s="48">
        <f t="shared" si="632"/>
        <v>274025</v>
      </c>
      <c r="Z1387" s="48">
        <f t="shared" si="632"/>
        <v>-7000</v>
      </c>
      <c r="AC1387" s="48">
        <f>SUM(AC1382:AC1386)</f>
        <v>252232</v>
      </c>
      <c r="AD1387" s="48">
        <f>SUM(AD1382:AD1386)</f>
        <v>21473</v>
      </c>
      <c r="AE1387" s="48">
        <f>SUM(AE1382:AE1386)</f>
        <v>273705</v>
      </c>
      <c r="AF1387" s="48">
        <f>SUM(AF1382:AF1386)</f>
        <v>-320</v>
      </c>
      <c r="AH1387" s="48">
        <f>SUM(AH1382:AH1386)</f>
        <v>282149.15000000002</v>
      </c>
      <c r="AJ1387" s="48">
        <f>SUM(AJ1382:AJ1386)</f>
        <v>319659.08149999997</v>
      </c>
      <c r="AL1387" s="48">
        <f>SUM(AL1382:AL1386)</f>
        <v>355863.45468949998</v>
      </c>
      <c r="AN1387" s="48">
        <f>SUM(AN1382:AN1386)</f>
        <v>366147.92689675349</v>
      </c>
      <c r="AO1387" s="48"/>
      <c r="AP1387" s="48">
        <f>SUM(AP1382:AP1386)</f>
        <v>376766.5536419088</v>
      </c>
      <c r="AR1387" s="48">
        <f>SUM(AR1382:AR1386)</f>
        <v>387730.31369859335</v>
      </c>
      <c r="AT1387" s="48">
        <f>SUM(AT1382:AT1386)</f>
        <v>399050.54693181103</v>
      </c>
      <c r="AV1387" s="48">
        <f>SUM(AV1382:AV1386)</f>
        <v>410738.96618375392</v>
      </c>
      <c r="AX1387" s="48">
        <f>SUM(AX1382:AX1386)</f>
        <v>422807.66955109086</v>
      </c>
      <c r="AZ1387" s="48">
        <f>SUM(AZ1382:AZ1386)</f>
        <v>435269.1530666317</v>
      </c>
    </row>
    <row r="1388" spans="1:52" x14ac:dyDescent="0.25">
      <c r="A1388" s="3"/>
    </row>
    <row r="1389" spans="1:52" x14ac:dyDescent="0.25">
      <c r="A1389" s="7" t="s">
        <v>938</v>
      </c>
    </row>
    <row r="1390" spans="1:52" x14ac:dyDescent="0.25">
      <c r="A1390" s="7" t="s">
        <v>939</v>
      </c>
      <c r="W1390" s="3">
        <f t="shared" ref="W1390:W1397" si="633">Y1390-V1390</f>
        <v>0</v>
      </c>
      <c r="X1390" s="3"/>
      <c r="AD1390" s="3">
        <f t="shared" ref="AD1390:AD1397" si="634">AE1390-AC1390</f>
        <v>0</v>
      </c>
      <c r="AE1390" s="3"/>
      <c r="AF1390" s="3">
        <f t="shared" ref="AF1390:AF1397" si="635">AE1390-Y1390</f>
        <v>0</v>
      </c>
    </row>
    <row r="1391" spans="1:52" x14ac:dyDescent="0.25">
      <c r="A1391" s="3" t="s">
        <v>940</v>
      </c>
      <c r="B1391" s="5">
        <v>12500</v>
      </c>
      <c r="E1391" s="3">
        <f t="shared" ref="E1391:E1397" si="636">F1391-D1391</f>
        <v>12500</v>
      </c>
      <c r="F1391" s="5">
        <v>12500</v>
      </c>
      <c r="H1391" s="5">
        <f t="shared" ref="H1391:H1397" si="637">F1391-B1391</f>
        <v>0</v>
      </c>
      <c r="K1391" s="4">
        <f t="shared" ref="K1391:K1397" si="638">L1391-J1391</f>
        <v>12500</v>
      </c>
      <c r="L1391" s="4">
        <v>12500</v>
      </c>
      <c r="N1391" s="4">
        <f t="shared" ref="N1391:N1397" si="639">L1391-F1391</f>
        <v>0</v>
      </c>
      <c r="P1391" s="5">
        <v>12500</v>
      </c>
      <c r="S1391" s="3">
        <f t="shared" ref="S1391:S1397" si="640">T1391-R1391</f>
        <v>12500</v>
      </c>
      <c r="T1391" s="3">
        <v>12500</v>
      </c>
      <c r="U1391" s="3">
        <f t="shared" ref="U1391:U1397" si="641">T1391-P1391</f>
        <v>0</v>
      </c>
      <c r="V1391" s="5">
        <v>6590</v>
      </c>
      <c r="W1391" s="3">
        <f t="shared" si="633"/>
        <v>5910</v>
      </c>
      <c r="X1391" s="3"/>
      <c r="Y1391" s="5">
        <v>12500</v>
      </c>
      <c r="Z1391" s="3">
        <f t="shared" ref="Z1391:Z1397" si="642">Y1391-T1391</f>
        <v>0</v>
      </c>
      <c r="AC1391" s="5">
        <f>6591+18932</f>
        <v>25523</v>
      </c>
      <c r="AD1391" s="3">
        <f t="shared" si="634"/>
        <v>3077</v>
      </c>
      <c r="AE1391" s="3">
        <v>28600</v>
      </c>
      <c r="AF1391" s="3">
        <f t="shared" si="635"/>
        <v>16100</v>
      </c>
      <c r="AH1391" s="5">
        <v>12500</v>
      </c>
      <c r="AJ1391" s="5">
        <v>13750</v>
      </c>
      <c r="AL1391" s="5">
        <v>15000</v>
      </c>
      <c r="AN1391" s="5">
        <v>16250</v>
      </c>
      <c r="AP1391" s="5">
        <v>17500</v>
      </c>
      <c r="AR1391" s="5">
        <v>17500</v>
      </c>
      <c r="AT1391" s="5">
        <v>17500</v>
      </c>
      <c r="AV1391" s="5">
        <v>17500</v>
      </c>
      <c r="AX1391" s="5">
        <v>17500</v>
      </c>
      <c r="AZ1391" s="5">
        <v>17500</v>
      </c>
    </row>
    <row r="1392" spans="1:52" x14ac:dyDescent="0.25">
      <c r="A1392" s="3" t="s">
        <v>941</v>
      </c>
      <c r="E1392" s="3">
        <f t="shared" si="636"/>
        <v>0</v>
      </c>
      <c r="H1392" s="5">
        <f t="shared" si="637"/>
        <v>0</v>
      </c>
      <c r="K1392" s="4">
        <f t="shared" si="638"/>
        <v>0</v>
      </c>
      <c r="L1392" s="4"/>
      <c r="N1392" s="4">
        <f t="shared" si="639"/>
        <v>0</v>
      </c>
      <c r="S1392" s="3">
        <f t="shared" si="640"/>
        <v>0</v>
      </c>
      <c r="T1392" s="3"/>
      <c r="U1392" s="3">
        <f t="shared" si="641"/>
        <v>0</v>
      </c>
      <c r="W1392" s="3">
        <f t="shared" si="633"/>
        <v>0</v>
      </c>
      <c r="X1392" s="3"/>
      <c r="Z1392" s="3">
        <f t="shared" si="642"/>
        <v>0</v>
      </c>
      <c r="AD1392" s="3">
        <f t="shared" si="634"/>
        <v>0</v>
      </c>
      <c r="AE1392" s="3"/>
      <c r="AF1392" s="3">
        <f t="shared" si="635"/>
        <v>0</v>
      </c>
    </row>
    <row r="1393" spans="1:52" x14ac:dyDescent="0.25">
      <c r="A1393" s="7" t="s">
        <v>57</v>
      </c>
      <c r="E1393" s="3">
        <f t="shared" si="636"/>
        <v>0</v>
      </c>
      <c r="H1393" s="5">
        <f t="shared" si="637"/>
        <v>0</v>
      </c>
      <c r="K1393" s="4">
        <f t="shared" si="638"/>
        <v>0</v>
      </c>
      <c r="L1393" s="4"/>
      <c r="N1393" s="4">
        <f t="shared" si="639"/>
        <v>0</v>
      </c>
      <c r="S1393" s="3">
        <f t="shared" si="640"/>
        <v>0</v>
      </c>
      <c r="T1393" s="3"/>
      <c r="U1393" s="3">
        <f t="shared" si="641"/>
        <v>0</v>
      </c>
      <c r="W1393" s="3">
        <f t="shared" si="633"/>
        <v>0</v>
      </c>
      <c r="X1393" s="3"/>
      <c r="Z1393" s="3">
        <f t="shared" si="642"/>
        <v>0</v>
      </c>
      <c r="AD1393" s="3">
        <f t="shared" si="634"/>
        <v>0</v>
      </c>
      <c r="AE1393" s="3"/>
      <c r="AF1393" s="3">
        <f t="shared" si="635"/>
        <v>0</v>
      </c>
    </row>
    <row r="1394" spans="1:52" x14ac:dyDescent="0.25">
      <c r="A1394" s="7" t="s">
        <v>942</v>
      </c>
      <c r="E1394" s="3">
        <f t="shared" si="636"/>
        <v>0</v>
      </c>
      <c r="H1394" s="5">
        <f t="shared" si="637"/>
        <v>0</v>
      </c>
      <c r="K1394" s="4">
        <f t="shared" si="638"/>
        <v>0</v>
      </c>
      <c r="L1394" s="4"/>
      <c r="N1394" s="4">
        <f t="shared" si="639"/>
        <v>0</v>
      </c>
      <c r="S1394" s="3">
        <f t="shared" si="640"/>
        <v>0</v>
      </c>
      <c r="T1394" s="3"/>
      <c r="U1394" s="3">
        <f t="shared" si="641"/>
        <v>0</v>
      </c>
      <c r="W1394" s="3">
        <f t="shared" si="633"/>
        <v>0</v>
      </c>
      <c r="X1394" s="3"/>
      <c r="Z1394" s="3">
        <f t="shared" si="642"/>
        <v>0</v>
      </c>
      <c r="AD1394" s="3">
        <f t="shared" si="634"/>
        <v>0</v>
      </c>
      <c r="AE1394" s="3"/>
      <c r="AF1394" s="3">
        <f t="shared" si="635"/>
        <v>0</v>
      </c>
    </row>
    <row r="1395" spans="1:52" x14ac:dyDescent="0.25">
      <c r="A1395" s="3" t="s">
        <v>943</v>
      </c>
      <c r="E1395" s="3">
        <f t="shared" si="636"/>
        <v>0</v>
      </c>
      <c r="H1395" s="5">
        <f t="shared" si="637"/>
        <v>0</v>
      </c>
      <c r="K1395" s="4">
        <f t="shared" si="638"/>
        <v>0</v>
      </c>
      <c r="L1395" s="4"/>
      <c r="N1395" s="4">
        <f t="shared" si="639"/>
        <v>0</v>
      </c>
      <c r="S1395" s="3">
        <f t="shared" si="640"/>
        <v>0</v>
      </c>
      <c r="T1395" s="3"/>
      <c r="U1395" s="3">
        <f t="shared" si="641"/>
        <v>0</v>
      </c>
      <c r="W1395" s="3">
        <f t="shared" si="633"/>
        <v>0</v>
      </c>
      <c r="X1395" s="3"/>
      <c r="Z1395" s="3">
        <f t="shared" si="642"/>
        <v>0</v>
      </c>
      <c r="AD1395" s="3">
        <f t="shared" si="634"/>
        <v>0</v>
      </c>
      <c r="AE1395" s="3"/>
      <c r="AF1395" s="3">
        <f t="shared" si="635"/>
        <v>0</v>
      </c>
    </row>
    <row r="1396" spans="1:52" x14ac:dyDescent="0.25">
      <c r="A1396" s="3" t="s">
        <v>944</v>
      </c>
      <c r="B1396" s="3">
        <v>18500</v>
      </c>
      <c r="D1396" s="3"/>
      <c r="E1396" s="3">
        <f t="shared" si="636"/>
        <v>18500</v>
      </c>
      <c r="F1396" s="5">
        <v>18500</v>
      </c>
      <c r="H1396" s="5">
        <f t="shared" si="637"/>
        <v>0</v>
      </c>
      <c r="K1396" s="4">
        <f t="shared" si="638"/>
        <v>19000</v>
      </c>
      <c r="L1396" s="4">
        <v>19000</v>
      </c>
      <c r="N1396" s="4">
        <f t="shared" si="639"/>
        <v>500</v>
      </c>
      <c r="P1396" s="3">
        <v>18500</v>
      </c>
      <c r="Q1396" s="3"/>
      <c r="R1396" s="3"/>
      <c r="S1396" s="3">
        <f t="shared" si="640"/>
        <v>19000</v>
      </c>
      <c r="T1396" s="3">
        <v>19000</v>
      </c>
      <c r="U1396" s="3">
        <f t="shared" si="641"/>
        <v>500</v>
      </c>
      <c r="V1396" s="3">
        <v>0</v>
      </c>
      <c r="W1396" s="3">
        <f t="shared" si="633"/>
        <v>19000</v>
      </c>
      <c r="X1396" s="3"/>
      <c r="Y1396" s="3">
        <v>19000</v>
      </c>
      <c r="Z1396" s="3">
        <f t="shared" si="642"/>
        <v>0</v>
      </c>
      <c r="AA1396" s="3"/>
      <c r="AB1396" s="3"/>
      <c r="AC1396" s="3">
        <v>20000</v>
      </c>
      <c r="AD1396" s="3">
        <f t="shared" si="634"/>
        <v>0</v>
      </c>
      <c r="AE1396" s="3">
        <v>20000</v>
      </c>
      <c r="AF1396" s="3">
        <f t="shared" si="635"/>
        <v>1000</v>
      </c>
      <c r="AG1396" s="3"/>
      <c r="AH1396" s="3">
        <v>20000</v>
      </c>
      <c r="AI1396" s="3"/>
      <c r="AJ1396" s="3">
        <v>20000</v>
      </c>
      <c r="AK1396" s="3"/>
      <c r="AL1396" s="3">
        <v>20000</v>
      </c>
      <c r="AM1396" s="3"/>
      <c r="AN1396" s="3">
        <v>21000</v>
      </c>
      <c r="AO1396" s="3"/>
      <c r="AP1396" s="3">
        <v>21000</v>
      </c>
      <c r="AQ1396" s="42"/>
      <c r="AR1396" s="3">
        <v>21000</v>
      </c>
      <c r="AT1396" s="3">
        <v>21000</v>
      </c>
      <c r="AV1396" s="3">
        <v>21000</v>
      </c>
      <c r="AX1396" s="3">
        <v>21000</v>
      </c>
      <c r="AZ1396" s="3">
        <v>21000</v>
      </c>
    </row>
    <row r="1397" spans="1:52" x14ac:dyDescent="0.25">
      <c r="A1397" s="3" t="s">
        <v>945</v>
      </c>
      <c r="B1397" s="3">
        <v>6200</v>
      </c>
      <c r="D1397" s="3"/>
      <c r="E1397" s="3">
        <f t="shared" si="636"/>
        <v>6200</v>
      </c>
      <c r="F1397" s="5">
        <v>6200</v>
      </c>
      <c r="H1397" s="5">
        <f t="shared" si="637"/>
        <v>0</v>
      </c>
      <c r="K1397" s="4">
        <f t="shared" si="638"/>
        <v>6200</v>
      </c>
      <c r="L1397" s="4">
        <v>6200</v>
      </c>
      <c r="N1397" s="4">
        <f t="shared" si="639"/>
        <v>0</v>
      </c>
      <c r="P1397" s="3">
        <f>B1397+200+50</f>
        <v>6450</v>
      </c>
      <c r="Q1397" s="3"/>
      <c r="R1397" s="3"/>
      <c r="S1397" s="3">
        <f t="shared" si="640"/>
        <v>6450</v>
      </c>
      <c r="T1397" s="3">
        <v>6450</v>
      </c>
      <c r="U1397" s="3">
        <f t="shared" si="641"/>
        <v>0</v>
      </c>
      <c r="V1397" s="3">
        <v>0</v>
      </c>
      <c r="W1397" s="3">
        <f t="shared" si="633"/>
        <v>6450</v>
      </c>
      <c r="X1397" s="3"/>
      <c r="Y1397" s="3">
        <v>6450</v>
      </c>
      <c r="Z1397" s="3">
        <f t="shared" si="642"/>
        <v>0</v>
      </c>
      <c r="AA1397" s="3"/>
      <c r="AB1397" s="3"/>
      <c r="AC1397" s="3"/>
      <c r="AD1397" s="3">
        <f t="shared" si="634"/>
        <v>6450</v>
      </c>
      <c r="AE1397" s="3">
        <v>6450</v>
      </c>
      <c r="AF1397" s="3">
        <f t="shared" si="635"/>
        <v>0</v>
      </c>
      <c r="AG1397" s="3"/>
      <c r="AH1397" s="3">
        <f>P1397+200</f>
        <v>6650</v>
      </c>
      <c r="AI1397" s="3"/>
      <c r="AJ1397" s="3">
        <f>AH1397+200</f>
        <v>6850</v>
      </c>
      <c r="AK1397" s="3"/>
      <c r="AL1397" s="3">
        <f>AJ1397+200</f>
        <v>7050</v>
      </c>
      <c r="AM1397" s="3"/>
      <c r="AN1397" s="3">
        <f>AL1397+200</f>
        <v>7250</v>
      </c>
      <c r="AO1397" s="3"/>
      <c r="AP1397" s="3">
        <f>AN1397+200</f>
        <v>7450</v>
      </c>
      <c r="AQ1397" s="42"/>
      <c r="AR1397" s="3">
        <f>AP1397+200</f>
        <v>7650</v>
      </c>
      <c r="AT1397" s="3">
        <f>AR1397+200</f>
        <v>7850</v>
      </c>
      <c r="AV1397" s="3">
        <f>AT1397+200</f>
        <v>8050</v>
      </c>
      <c r="AX1397" s="3">
        <f>AV1397+200</f>
        <v>8250</v>
      </c>
      <c r="AZ1397" s="3">
        <f>AX1397+200</f>
        <v>8450</v>
      </c>
    </row>
    <row r="1398" spans="1:52" ht="15.75" thickBot="1" x14ac:dyDescent="0.3">
      <c r="A1398" s="3"/>
      <c r="B1398" s="48">
        <f>SUM(B1391:B1397)</f>
        <v>37200</v>
      </c>
      <c r="C1398" s="32"/>
      <c r="D1398" s="48">
        <f>SUM(D1391:D1397)</f>
        <v>0</v>
      </c>
      <c r="E1398" s="48">
        <f>SUM(E1391:E1397)</f>
        <v>37200</v>
      </c>
      <c r="F1398" s="48">
        <f>SUM(F1391:F1397)</f>
        <v>37200</v>
      </c>
      <c r="G1398" s="32"/>
      <c r="H1398" s="48">
        <f>SUM(H1391:H1397)</f>
        <v>0</v>
      </c>
      <c r="I1398" s="36"/>
      <c r="J1398" s="48">
        <f>SUM(J1391:J1397)</f>
        <v>0</v>
      </c>
      <c r="K1398" s="48">
        <f>SUM(K1391:K1397)</f>
        <v>37700</v>
      </c>
      <c r="L1398" s="48">
        <f>SUM(L1391:L1397)</f>
        <v>37700</v>
      </c>
      <c r="M1398" s="32"/>
      <c r="N1398" s="48">
        <f>SUM(N1391:N1397)</f>
        <v>500</v>
      </c>
      <c r="P1398" s="48">
        <f>SUM(P1391:P1397)</f>
        <v>37450</v>
      </c>
      <c r="R1398" s="48">
        <f t="shared" ref="R1398:W1398" si="643">SUM(R1391:R1397)</f>
        <v>0</v>
      </c>
      <c r="S1398" s="48">
        <f t="shared" si="643"/>
        <v>37950</v>
      </c>
      <c r="T1398" s="48">
        <f t="shared" si="643"/>
        <v>37950</v>
      </c>
      <c r="U1398" s="48">
        <f t="shared" si="643"/>
        <v>500</v>
      </c>
      <c r="V1398" s="48">
        <f t="shared" si="643"/>
        <v>6590</v>
      </c>
      <c r="W1398" s="48">
        <f t="shared" si="643"/>
        <v>31360</v>
      </c>
      <c r="X1398" s="48"/>
      <c r="Y1398" s="48">
        <f>SUM(Y1391:Y1397)</f>
        <v>37950</v>
      </c>
      <c r="Z1398" s="48">
        <f>SUM(Z1391:Z1397)</f>
        <v>0</v>
      </c>
      <c r="AC1398" s="48">
        <f>SUM(AC1391:AC1397)</f>
        <v>45523</v>
      </c>
      <c r="AD1398" s="48">
        <f>SUM(AD1391:AD1397)</f>
        <v>9527</v>
      </c>
      <c r="AE1398" s="48">
        <f>SUM(AE1391:AE1397)</f>
        <v>55050</v>
      </c>
      <c r="AF1398" s="48">
        <f>SUM(AF1391:AF1397)</f>
        <v>17100</v>
      </c>
      <c r="AH1398" s="48">
        <f>SUM(AH1391:AH1397)</f>
        <v>39150</v>
      </c>
      <c r="AJ1398" s="48">
        <f>SUM(AJ1391:AJ1397)</f>
        <v>40600</v>
      </c>
      <c r="AL1398" s="48">
        <f>SUM(AL1391:AL1397)</f>
        <v>42050</v>
      </c>
      <c r="AN1398" s="48">
        <f>SUM(AN1391:AN1397)</f>
        <v>44500</v>
      </c>
      <c r="AO1398" s="48"/>
      <c r="AP1398" s="48">
        <f>SUM(AP1391:AP1397)</f>
        <v>45950</v>
      </c>
      <c r="AR1398" s="48">
        <f>SUM(AR1391:AR1397)</f>
        <v>46150</v>
      </c>
      <c r="AT1398" s="48">
        <f>SUM(AT1391:AT1397)</f>
        <v>46350</v>
      </c>
      <c r="AV1398" s="48">
        <f>SUM(AV1391:AV1397)</f>
        <v>46550</v>
      </c>
      <c r="AX1398" s="48">
        <f>SUM(AX1391:AX1397)</f>
        <v>46750</v>
      </c>
      <c r="AZ1398" s="48">
        <f>SUM(AZ1391:AZ1397)</f>
        <v>46950</v>
      </c>
    </row>
    <row r="1399" spans="1:52" ht="16.5" thickTop="1" thickBot="1" x14ac:dyDescent="0.3">
      <c r="A1399" s="3"/>
      <c r="B1399" s="65">
        <f>B1398+B1387</f>
        <v>307901</v>
      </c>
      <c r="C1399" s="32"/>
      <c r="D1399" s="65">
        <f>D1398+D1387</f>
        <v>237795</v>
      </c>
      <c r="E1399" s="65">
        <f>E1398+E1387</f>
        <v>71707</v>
      </c>
      <c r="F1399" s="65">
        <f>F1398+F1387</f>
        <v>309500</v>
      </c>
      <c r="G1399" s="32"/>
      <c r="H1399" s="65">
        <f>H1398+H1387</f>
        <v>1600</v>
      </c>
      <c r="I1399" s="36"/>
      <c r="J1399" s="65">
        <f>J1398+J1387</f>
        <v>240736</v>
      </c>
      <c r="K1399" s="65">
        <f>K1398+K1387</f>
        <v>69264</v>
      </c>
      <c r="L1399" s="65">
        <f>L1398+L1387</f>
        <v>310000</v>
      </c>
      <c r="M1399" s="32"/>
      <c r="N1399" s="65">
        <f>N1398+N1387</f>
        <v>500</v>
      </c>
      <c r="P1399" s="65">
        <f>P1398+P1387</f>
        <v>318775</v>
      </c>
      <c r="R1399" s="65">
        <f t="shared" ref="R1399:W1399" si="644">R1398+R1387</f>
        <v>243282</v>
      </c>
      <c r="S1399" s="65">
        <f t="shared" si="644"/>
        <v>75693</v>
      </c>
      <c r="T1399" s="65">
        <f t="shared" si="644"/>
        <v>318975</v>
      </c>
      <c r="U1399" s="65">
        <f t="shared" si="644"/>
        <v>200</v>
      </c>
      <c r="V1399" s="65">
        <f t="shared" si="644"/>
        <v>249994</v>
      </c>
      <c r="W1399" s="65">
        <f t="shared" si="644"/>
        <v>61981</v>
      </c>
      <c r="X1399" s="65"/>
      <c r="Y1399" s="65">
        <f>Y1398+Y1387</f>
        <v>311975</v>
      </c>
      <c r="Z1399" s="65">
        <f>Z1398+Z1387</f>
        <v>-7000</v>
      </c>
      <c r="AC1399" s="65">
        <f>AC1398+AC1387</f>
        <v>297755</v>
      </c>
      <c r="AD1399" s="65">
        <f>AD1398+AD1387</f>
        <v>31000</v>
      </c>
      <c r="AE1399" s="65">
        <f>AE1398+AE1387</f>
        <v>328755</v>
      </c>
      <c r="AF1399" s="65">
        <f>AF1398+AF1387</f>
        <v>16780</v>
      </c>
      <c r="AH1399" s="65">
        <f>AH1398+AH1387</f>
        <v>321299.15000000002</v>
      </c>
      <c r="AJ1399" s="65">
        <f>AJ1398+AJ1387</f>
        <v>360259.08149999997</v>
      </c>
      <c r="AL1399" s="65">
        <f>AL1398+AL1387</f>
        <v>397913.45468949998</v>
      </c>
      <c r="AN1399" s="65">
        <f>AN1398+AN1387</f>
        <v>410647.92689675349</v>
      </c>
      <c r="AO1399" s="65"/>
      <c r="AP1399" s="65">
        <f>AP1398+AP1387</f>
        <v>422716.5536419088</v>
      </c>
      <c r="AR1399" s="65">
        <f>AR1398+AR1387</f>
        <v>433880.31369859335</v>
      </c>
      <c r="AT1399" s="65">
        <f>AT1398+AT1387</f>
        <v>445400.54693181103</v>
      </c>
      <c r="AV1399" s="65">
        <f>AV1398+AV1387</f>
        <v>457288.96618375392</v>
      </c>
      <c r="AX1399" s="65">
        <f>AX1398+AX1387</f>
        <v>469557.66955109086</v>
      </c>
      <c r="AZ1399" s="65">
        <f>AZ1398+AZ1387</f>
        <v>482219.1530666317</v>
      </c>
    </row>
    <row r="1400" spans="1:52" ht="15.75" thickTop="1" x14ac:dyDescent="0.25">
      <c r="A1400" s="7" t="s">
        <v>845</v>
      </c>
    </row>
    <row r="1401" spans="1:52" x14ac:dyDescent="0.25">
      <c r="A1401" s="3" t="s">
        <v>822</v>
      </c>
    </row>
    <row r="1402" spans="1:52" x14ac:dyDescent="0.25">
      <c r="A1402" s="3" t="s">
        <v>946</v>
      </c>
      <c r="AJ1402" s="5">
        <v>1000000</v>
      </c>
    </row>
    <row r="1403" spans="1:52" x14ac:dyDescent="0.25">
      <c r="A1403" s="88" t="s">
        <v>289</v>
      </c>
      <c r="B1403" s="3">
        <v>750</v>
      </c>
      <c r="D1403" s="3"/>
      <c r="E1403" s="3">
        <f>F1403-D1403</f>
        <v>750</v>
      </c>
      <c r="F1403" s="5">
        <v>750</v>
      </c>
      <c r="H1403" s="5">
        <f>F1403-B1403</f>
        <v>0</v>
      </c>
      <c r="K1403" s="4">
        <f>L1403-J1403</f>
        <v>750</v>
      </c>
      <c r="L1403" s="4">
        <v>750</v>
      </c>
      <c r="N1403" s="4">
        <f>L1403-F1403</f>
        <v>0</v>
      </c>
      <c r="P1403" s="3">
        <v>750</v>
      </c>
      <c r="Q1403" s="3"/>
      <c r="R1403" s="3"/>
      <c r="S1403" s="3">
        <f>T1403-R1403</f>
        <v>750</v>
      </c>
      <c r="T1403" s="3">
        <v>750</v>
      </c>
      <c r="U1403" s="3">
        <f>T1403-P1403</f>
        <v>0</v>
      </c>
      <c r="V1403" s="3"/>
      <c r="W1403" s="3">
        <f>Y1403-V1403</f>
        <v>750</v>
      </c>
      <c r="X1403" s="3"/>
      <c r="Y1403" s="3">
        <v>750</v>
      </c>
      <c r="Z1403" s="3">
        <f>Y1403-T1403</f>
        <v>0</v>
      </c>
      <c r="AA1403" s="3"/>
      <c r="AB1403" s="3"/>
      <c r="AC1403" s="3"/>
      <c r="AD1403" s="3">
        <f>AE1403-AC1403</f>
        <v>750</v>
      </c>
      <c r="AE1403" s="3">
        <v>750</v>
      </c>
      <c r="AF1403" s="3">
        <f>AE1403-Y1403</f>
        <v>0</v>
      </c>
      <c r="AG1403" s="3"/>
      <c r="AH1403" s="88">
        <v>750</v>
      </c>
      <c r="AI1403" s="3"/>
      <c r="AJ1403" s="3">
        <v>750</v>
      </c>
      <c r="AK1403" s="3"/>
      <c r="AL1403" s="3">
        <v>750</v>
      </c>
      <c r="AM1403" s="3"/>
      <c r="AN1403" s="3">
        <v>750</v>
      </c>
      <c r="AO1403" s="3"/>
      <c r="AP1403" s="3">
        <v>750</v>
      </c>
      <c r="AQ1403" s="42"/>
      <c r="AR1403" s="3">
        <v>750</v>
      </c>
      <c r="AT1403" s="3">
        <v>750</v>
      </c>
      <c r="AV1403" s="3">
        <v>750</v>
      </c>
      <c r="AX1403" s="3">
        <v>750</v>
      </c>
      <c r="AZ1403" s="3">
        <v>750</v>
      </c>
    </row>
    <row r="1404" spans="1:52" ht="15.75" thickBot="1" x14ac:dyDescent="0.3">
      <c r="A1404" s="3"/>
      <c r="B1404" s="43">
        <f>B1403 +B1402+B1401+B1399</f>
        <v>308651</v>
      </c>
      <c r="C1404" s="32"/>
      <c r="D1404" s="43">
        <f>D1403 +D1402+D1401+D1399</f>
        <v>237795</v>
      </c>
      <c r="E1404" s="43">
        <f>E1403 +E1402+E1401+E1399</f>
        <v>72457</v>
      </c>
      <c r="F1404" s="43">
        <f>F1403 +F1402+F1401+F1399</f>
        <v>310250</v>
      </c>
      <c r="G1404" s="32"/>
      <c r="H1404" s="43">
        <f>H1403 +H1402+H1401+H1399</f>
        <v>1600</v>
      </c>
      <c r="I1404" s="36"/>
      <c r="J1404" s="43">
        <f>J1403 +J1402+J1401+J1399</f>
        <v>240736</v>
      </c>
      <c r="K1404" s="43">
        <f>K1403 +K1402+K1401+K1399</f>
        <v>70014</v>
      </c>
      <c r="L1404" s="43">
        <f>L1403 +L1402+L1401+L1399</f>
        <v>310750</v>
      </c>
      <c r="M1404" s="32"/>
      <c r="N1404" s="43">
        <f>N1403 +N1402+N1401+N1399</f>
        <v>500</v>
      </c>
      <c r="P1404" s="43">
        <f>P1403 +P1402+P1401+P1399</f>
        <v>319525</v>
      </c>
      <c r="R1404" s="43">
        <f t="shared" ref="R1404:Z1404" si="645">R1403 +R1402+R1401+R1399</f>
        <v>243282</v>
      </c>
      <c r="S1404" s="43">
        <f t="shared" si="645"/>
        <v>76443</v>
      </c>
      <c r="T1404" s="43">
        <f t="shared" si="645"/>
        <v>319725</v>
      </c>
      <c r="U1404" s="43">
        <f t="shared" si="645"/>
        <v>200</v>
      </c>
      <c r="V1404" s="43">
        <f t="shared" si="645"/>
        <v>249994</v>
      </c>
      <c r="W1404" s="43">
        <f t="shared" si="645"/>
        <v>62731</v>
      </c>
      <c r="X1404" s="43"/>
      <c r="Y1404" s="43">
        <f t="shared" si="645"/>
        <v>312725</v>
      </c>
      <c r="Z1404" s="43">
        <f t="shared" si="645"/>
        <v>-7000</v>
      </c>
      <c r="AC1404" s="43">
        <f>AC1403 +AC1402+AC1401+AC1399</f>
        <v>297755</v>
      </c>
      <c r="AD1404" s="43">
        <f>AD1403 +AD1402+AD1401+AD1399</f>
        <v>31750</v>
      </c>
      <c r="AE1404" s="43">
        <f>AE1403 +AE1402+AE1401+AE1399</f>
        <v>329505</v>
      </c>
      <c r="AF1404" s="43">
        <f>AF1403 +AF1402+AF1401+AF1399</f>
        <v>16780</v>
      </c>
      <c r="AH1404" s="43">
        <f>AH1403 +AH1402+AH1401+AH1399</f>
        <v>322049.15000000002</v>
      </c>
      <c r="AJ1404" s="43">
        <f>AJ1403 +AJ1402+AJ1401+AJ1399</f>
        <v>1361009.0814999999</v>
      </c>
      <c r="AL1404" s="43">
        <f>AL1403 +AL1402+AL1401+AL1399</f>
        <v>398663.45468949998</v>
      </c>
      <c r="AN1404" s="43">
        <f>AN1403 +AN1402+AN1401+AN1399</f>
        <v>411397.92689675349</v>
      </c>
      <c r="AO1404" s="43"/>
      <c r="AP1404" s="43">
        <f>AP1403 +AP1402+AP1401+AP1399</f>
        <v>423466.5536419088</v>
      </c>
      <c r="AR1404" s="43">
        <f>AR1403 +AR1402+AR1401+AR1399</f>
        <v>434630.31369859335</v>
      </c>
      <c r="AT1404" s="43">
        <f>AT1403 +AT1402+AT1401+AT1399</f>
        <v>446150.54693181103</v>
      </c>
      <c r="AV1404" s="43">
        <f>AV1403 +AV1402+AV1401+AV1399</f>
        <v>458038.96618375392</v>
      </c>
      <c r="AX1404" s="43">
        <f>AX1403 +AX1402+AX1401+AX1399</f>
        <v>470307.66955109086</v>
      </c>
      <c r="AZ1404" s="43">
        <f>AZ1403 +AZ1402+AZ1401+AZ1399</f>
        <v>482969.1530666317</v>
      </c>
    </row>
    <row r="1405" spans="1:52" ht="15.75" thickTop="1" x14ac:dyDescent="0.25">
      <c r="A1405" s="7" t="s">
        <v>823</v>
      </c>
    </row>
    <row r="1406" spans="1:52" x14ac:dyDescent="0.25">
      <c r="A1406" s="7" t="s">
        <v>58</v>
      </c>
    </row>
    <row r="1407" spans="1:52" x14ac:dyDescent="0.25">
      <c r="A1407" s="7" t="s">
        <v>59</v>
      </c>
    </row>
    <row r="1408" spans="1:52" x14ac:dyDescent="0.25">
      <c r="A1408" s="3" t="s">
        <v>947</v>
      </c>
      <c r="B1408" s="3">
        <v>20000</v>
      </c>
      <c r="D1408" s="3"/>
      <c r="E1408" s="3">
        <f>F1408-D1408</f>
        <v>20000</v>
      </c>
      <c r="F1408" s="5">
        <v>20000</v>
      </c>
      <c r="H1408" s="5">
        <f>F1408-B1408</f>
        <v>0</v>
      </c>
      <c r="J1408" s="5">
        <v>0</v>
      </c>
      <c r="K1408" s="4">
        <f>L1408-J1408</f>
        <v>20000</v>
      </c>
      <c r="L1408" s="4">
        <v>20000</v>
      </c>
      <c r="N1408" s="4">
        <f>L1408-F1408</f>
        <v>0</v>
      </c>
      <c r="P1408" s="3">
        <v>20580</v>
      </c>
      <c r="Q1408" s="3"/>
      <c r="R1408" s="3"/>
      <c r="S1408" s="3">
        <f>T1408-R1408</f>
        <v>20580</v>
      </c>
      <c r="T1408" s="3">
        <v>20580</v>
      </c>
      <c r="U1408" s="3">
        <f>T1408-P1408</f>
        <v>0</v>
      </c>
      <c r="V1408" s="3"/>
      <c r="W1408" s="3">
        <f>Y1408-V1408</f>
        <v>20580</v>
      </c>
      <c r="X1408" s="3"/>
      <c r="Y1408" s="3">
        <v>20580</v>
      </c>
      <c r="Z1408" s="3">
        <f>Y1408-T1408</f>
        <v>0</v>
      </c>
      <c r="AA1408" s="3"/>
      <c r="AB1408" s="3"/>
      <c r="AC1408" s="3">
        <v>0</v>
      </c>
      <c r="AD1408" s="3">
        <f>AE1408-AC1408</f>
        <v>20580</v>
      </c>
      <c r="AE1408" s="3">
        <v>20580</v>
      </c>
      <c r="AF1408" s="3">
        <f>AE1408-Y1408</f>
        <v>0</v>
      </c>
      <c r="AG1408" s="3"/>
      <c r="AH1408" s="3">
        <f>AE1408*1.05+41</f>
        <v>21650</v>
      </c>
      <c r="AI1408" s="3"/>
      <c r="AJ1408" s="3">
        <f>AH1408*1.05</f>
        <v>22732.5</v>
      </c>
      <c r="AK1408" s="3"/>
      <c r="AL1408" s="3">
        <f>AJ1408*1.05</f>
        <v>23869.125</v>
      </c>
      <c r="AM1408" s="3"/>
      <c r="AN1408" s="3">
        <f>AL1408*1.05</f>
        <v>25062.581249999999</v>
      </c>
      <c r="AO1408" s="3"/>
      <c r="AP1408" s="3">
        <f>AN1408*1.05</f>
        <v>26315.710312499999</v>
      </c>
      <c r="AQ1408" s="42"/>
      <c r="AR1408" s="3">
        <f>AP1408*1.05</f>
        <v>27631.495828125</v>
      </c>
      <c r="AT1408" s="3">
        <f>AR1408*1.05</f>
        <v>29013.070619531252</v>
      </c>
      <c r="AV1408" s="3">
        <f>AT1408*1.05</f>
        <v>30463.724150507816</v>
      </c>
      <c r="AX1408" s="3">
        <f>AV1408*1.05</f>
        <v>31986.910358033208</v>
      </c>
      <c r="AZ1408" s="3">
        <f>AX1408*1.05</f>
        <v>33586.255875934869</v>
      </c>
    </row>
    <row r="1409" spans="1:52" x14ac:dyDescent="0.25">
      <c r="A1409" s="3" t="s">
        <v>948</v>
      </c>
      <c r="B1409" s="3">
        <v>300</v>
      </c>
      <c r="D1409" s="3"/>
      <c r="E1409" s="3">
        <f>F1409-D1409</f>
        <v>300</v>
      </c>
      <c r="F1409" s="5">
        <v>300</v>
      </c>
      <c r="H1409" s="5">
        <f>F1409-B1409</f>
        <v>0</v>
      </c>
      <c r="K1409" s="4">
        <f>L1409-J1409</f>
        <v>0</v>
      </c>
      <c r="L1409" s="4"/>
      <c r="N1409" s="4">
        <f>L1409-F1409</f>
        <v>-300</v>
      </c>
      <c r="P1409" s="3">
        <f>L1409*1.03</f>
        <v>0</v>
      </c>
      <c r="Q1409" s="3"/>
      <c r="R1409" s="3">
        <v>4280</v>
      </c>
      <c r="S1409" s="3">
        <f>T1409-R1409</f>
        <v>0</v>
      </c>
      <c r="T1409" s="3">
        <v>4280</v>
      </c>
      <c r="U1409" s="3">
        <f>T1409-P1409</f>
        <v>4280</v>
      </c>
      <c r="V1409" s="3">
        <v>4280</v>
      </c>
      <c r="W1409" s="3">
        <f>Y1409-V1409</f>
        <v>0</v>
      </c>
      <c r="X1409" s="3"/>
      <c r="Y1409" s="3">
        <v>4280</v>
      </c>
      <c r="Z1409" s="3">
        <f>Y1409-T1409</f>
        <v>0</v>
      </c>
      <c r="AA1409" s="3"/>
      <c r="AB1409" s="3"/>
      <c r="AC1409" s="3">
        <v>4280</v>
      </c>
      <c r="AD1409" s="3">
        <f>AE1409-AC1409</f>
        <v>0</v>
      </c>
      <c r="AE1409" s="3">
        <v>4280</v>
      </c>
      <c r="AF1409" s="3">
        <f>AE1409-Y1409</f>
        <v>0</v>
      </c>
      <c r="AG1409" s="3"/>
      <c r="AH1409" s="3">
        <f>P1409*1.03</f>
        <v>0</v>
      </c>
      <c r="AI1409" s="3"/>
      <c r="AJ1409" s="3">
        <f>AH1409*1.03</f>
        <v>0</v>
      </c>
      <c r="AK1409" s="3"/>
      <c r="AL1409" s="3">
        <f>AJ1409*1.03</f>
        <v>0</v>
      </c>
      <c r="AM1409" s="3"/>
      <c r="AN1409" s="3">
        <f>AL1409*1.03</f>
        <v>0</v>
      </c>
      <c r="AO1409" s="3"/>
      <c r="AP1409" s="3">
        <f>AN1409*1.03</f>
        <v>0</v>
      </c>
      <c r="AQ1409" s="42"/>
      <c r="AR1409" s="3">
        <f>AP1409*1.03</f>
        <v>0</v>
      </c>
      <c r="AT1409" s="3">
        <f>AR1409*1.03</f>
        <v>0</v>
      </c>
      <c r="AV1409" s="3">
        <f>AT1409*1.03</f>
        <v>0</v>
      </c>
      <c r="AX1409" s="3">
        <f>AV1409*1.03</f>
        <v>0</v>
      </c>
      <c r="AZ1409" s="3">
        <f>AX1409*1.03</f>
        <v>0</v>
      </c>
    </row>
    <row r="1410" spans="1:52" x14ac:dyDescent="0.25">
      <c r="A1410" s="3"/>
      <c r="B1410" s="48">
        <f>SUM(B1408:B1409)</f>
        <v>20300</v>
      </c>
      <c r="C1410" s="32"/>
      <c r="D1410" s="48">
        <f>SUM(D1408:D1409)</f>
        <v>0</v>
      </c>
      <c r="E1410" s="48">
        <f>SUM(E1408:E1409)</f>
        <v>20300</v>
      </c>
      <c r="F1410" s="48">
        <f>SUM(F1408:F1409)</f>
        <v>20300</v>
      </c>
      <c r="G1410" s="32"/>
      <c r="H1410" s="48">
        <f>SUM(H1408:H1409)</f>
        <v>0</v>
      </c>
      <c r="I1410" s="36"/>
      <c r="J1410" s="48">
        <f>SUM(J1408:J1409)</f>
        <v>0</v>
      </c>
      <c r="K1410" s="48">
        <f>SUM(K1408:K1409)</f>
        <v>20000</v>
      </c>
      <c r="L1410" s="48">
        <f>SUM(L1408:L1409)</f>
        <v>20000</v>
      </c>
      <c r="M1410" s="32"/>
      <c r="N1410" s="48">
        <f>SUM(N1408:N1409)</f>
        <v>-300</v>
      </c>
      <c r="P1410" s="48">
        <f>SUM(P1408:P1409)</f>
        <v>20580</v>
      </c>
      <c r="R1410" s="48">
        <f t="shared" ref="R1410:Z1410" si="646">SUM(R1408:R1409)</f>
        <v>4280</v>
      </c>
      <c r="S1410" s="48">
        <f t="shared" si="646"/>
        <v>20580</v>
      </c>
      <c r="T1410" s="48">
        <f t="shared" si="646"/>
        <v>24860</v>
      </c>
      <c r="U1410" s="48">
        <f t="shared" si="646"/>
        <v>4280</v>
      </c>
      <c r="V1410" s="48">
        <f t="shared" si="646"/>
        <v>4280</v>
      </c>
      <c r="W1410" s="48">
        <f t="shared" si="646"/>
        <v>20580</v>
      </c>
      <c r="X1410" s="48"/>
      <c r="Y1410" s="48">
        <f t="shared" si="646"/>
        <v>24860</v>
      </c>
      <c r="Z1410" s="48">
        <f t="shared" si="646"/>
        <v>0</v>
      </c>
      <c r="AC1410" s="48">
        <f>SUM(AC1408:AC1409)</f>
        <v>4280</v>
      </c>
      <c r="AD1410" s="48">
        <f>SUM(AD1408:AD1409)</f>
        <v>20580</v>
      </c>
      <c r="AE1410" s="48">
        <f>SUM(AE1408:AE1409)</f>
        <v>24860</v>
      </c>
      <c r="AF1410" s="48">
        <f>SUM(AF1408:AF1409)</f>
        <v>0</v>
      </c>
      <c r="AH1410" s="48">
        <f>SUM(AH1408:AH1409)</f>
        <v>21650</v>
      </c>
      <c r="AJ1410" s="48">
        <f>SUM(AJ1408:AJ1409)</f>
        <v>22732.5</v>
      </c>
      <c r="AL1410" s="48">
        <f>SUM(AL1408:AL1409)</f>
        <v>23869.125</v>
      </c>
      <c r="AN1410" s="48">
        <f>SUM(AN1408:AN1409)</f>
        <v>25062.581249999999</v>
      </c>
      <c r="AO1410" s="48"/>
      <c r="AP1410" s="48">
        <f>SUM(AP1408:AP1409)</f>
        <v>26315.710312499999</v>
      </c>
      <c r="AR1410" s="48">
        <f>SUM(AR1408:AR1409)</f>
        <v>27631.495828125</v>
      </c>
      <c r="AT1410" s="48">
        <f>SUM(AT1408:AT1409)</f>
        <v>29013.070619531252</v>
      </c>
      <c r="AV1410" s="48">
        <f>SUM(AV1408:AV1409)</f>
        <v>30463.724150507816</v>
      </c>
      <c r="AX1410" s="48">
        <f>SUM(AX1408:AX1409)</f>
        <v>31986.910358033208</v>
      </c>
      <c r="AZ1410" s="48">
        <f>SUM(AZ1408:AZ1409)</f>
        <v>33586.255875934869</v>
      </c>
    </row>
    <row r="1411" spans="1:52" x14ac:dyDescent="0.25">
      <c r="A1411" s="7" t="s">
        <v>77</v>
      </c>
    </row>
    <row r="1412" spans="1:52" x14ac:dyDescent="0.25">
      <c r="A1412" s="7" t="s">
        <v>78</v>
      </c>
    </row>
    <row r="1413" spans="1:52" x14ac:dyDescent="0.25">
      <c r="A1413" s="3" t="s">
        <v>384</v>
      </c>
      <c r="B1413" s="35">
        <v>27000</v>
      </c>
      <c r="C1413" s="32"/>
      <c r="D1413" s="35">
        <v>12104</v>
      </c>
      <c r="E1413" s="35">
        <f>F1413-D1413</f>
        <v>14896</v>
      </c>
      <c r="F1413" s="35">
        <v>27000</v>
      </c>
      <c r="G1413" s="32"/>
      <c r="H1413" s="35">
        <f>F1413-B1413</f>
        <v>0</v>
      </c>
      <c r="I1413" s="36"/>
      <c r="J1413" s="35">
        <v>18214</v>
      </c>
      <c r="K1413" s="35">
        <f>L1413-J1413</f>
        <v>6786</v>
      </c>
      <c r="L1413" s="35">
        <v>25000</v>
      </c>
      <c r="M1413" s="32"/>
      <c r="N1413" s="35">
        <f>L1413-F1413</f>
        <v>-2000</v>
      </c>
      <c r="P1413" s="35">
        <f>L1413*1.0281</f>
        <v>25702.5</v>
      </c>
      <c r="R1413" s="70">
        <v>12162</v>
      </c>
      <c r="S1413" s="70">
        <f>T1413-R1413</f>
        <v>13538</v>
      </c>
      <c r="T1413" s="70">
        <v>25700</v>
      </c>
      <c r="U1413" s="71">
        <f>T1413-P1413</f>
        <v>-2.5</v>
      </c>
      <c r="V1413" s="71">
        <v>18068</v>
      </c>
      <c r="W1413" s="71">
        <f>Y1413-V1413</f>
        <v>5932</v>
      </c>
      <c r="X1413" s="71"/>
      <c r="Y1413" s="71">
        <v>24000</v>
      </c>
      <c r="Z1413" s="71">
        <f>Y1413-T1413</f>
        <v>-1700</v>
      </c>
      <c r="AC1413" s="71">
        <v>24082</v>
      </c>
      <c r="AD1413" s="71">
        <f>AE1413-AC1413</f>
        <v>8</v>
      </c>
      <c r="AE1413" s="71">
        <v>24090</v>
      </c>
      <c r="AF1413" s="71">
        <f>AE1413-Y1413</f>
        <v>90</v>
      </c>
      <c r="AH1413" s="35">
        <f>AE1413*1.03+37</f>
        <v>24849.7</v>
      </c>
      <c r="AJ1413" s="35">
        <f>AH1413*1.03</f>
        <v>25595.191000000003</v>
      </c>
      <c r="AL1413" s="35">
        <f>AJ1413*1.03</f>
        <v>26363.046730000002</v>
      </c>
      <c r="AN1413" s="35">
        <f>AL1413*1.03</f>
        <v>27153.938131900002</v>
      </c>
      <c r="AO1413" s="35"/>
      <c r="AP1413" s="35">
        <f>AN1413*1.03</f>
        <v>27968.556275857001</v>
      </c>
      <c r="AR1413" s="35">
        <f>AP1413*1.03</f>
        <v>28807.612964132713</v>
      </c>
      <c r="AT1413" s="35">
        <f>AR1413*1.03</f>
        <v>29671.841353056694</v>
      </c>
      <c r="AV1413" s="35">
        <f>AT1413*1.03</f>
        <v>30561.996593648397</v>
      </c>
      <c r="AX1413" s="35">
        <f>AV1413*1.03</f>
        <v>31478.856491457849</v>
      </c>
      <c r="AZ1413" s="35">
        <f>AX1413*1.03</f>
        <v>32423.222186201587</v>
      </c>
    </row>
    <row r="1414" spans="1:52" x14ac:dyDescent="0.25">
      <c r="A1414" s="3"/>
      <c r="U1414" s="38"/>
      <c r="V1414" s="38"/>
      <c r="W1414" s="38"/>
      <c r="X1414" s="38"/>
      <c r="Y1414" s="38"/>
      <c r="Z1414" s="38"/>
    </row>
    <row r="1415" spans="1:52" x14ac:dyDescent="0.25">
      <c r="A1415" s="3"/>
      <c r="U1415" s="38"/>
      <c r="V1415" s="38"/>
      <c r="W1415" s="38"/>
      <c r="X1415" s="38"/>
      <c r="Y1415" s="38"/>
      <c r="Z1415" s="38"/>
    </row>
    <row r="1416" spans="1:52" x14ac:dyDescent="0.25">
      <c r="A1416" s="7" t="s">
        <v>113</v>
      </c>
      <c r="U1416" s="38"/>
      <c r="V1416" s="38"/>
      <c r="W1416" s="38"/>
      <c r="X1416" s="38"/>
      <c r="Y1416" s="38"/>
      <c r="Z1416" s="38"/>
    </row>
    <row r="1417" spans="1:52" x14ac:dyDescent="0.25">
      <c r="A1417" s="7" t="s">
        <v>57</v>
      </c>
      <c r="U1417" s="38"/>
      <c r="V1417" s="38"/>
      <c r="W1417" s="38"/>
      <c r="X1417" s="38"/>
      <c r="Y1417" s="38"/>
      <c r="Z1417" s="38"/>
    </row>
    <row r="1418" spans="1:52" x14ac:dyDescent="0.25">
      <c r="A1418" s="3" t="s">
        <v>949</v>
      </c>
      <c r="B1418" s="35">
        <v>3600</v>
      </c>
      <c r="C1418" s="32"/>
      <c r="D1418" s="35">
        <v>265</v>
      </c>
      <c r="E1418" s="35">
        <f>F1418-D1418</f>
        <v>3335</v>
      </c>
      <c r="F1418" s="35">
        <v>3600</v>
      </c>
      <c r="G1418" s="32"/>
      <c r="H1418" s="35">
        <f>F1418-B1418</f>
        <v>0</v>
      </c>
      <c r="I1418" s="36"/>
      <c r="J1418" s="35">
        <v>670</v>
      </c>
      <c r="K1418" s="35">
        <f>L1418-J1418</f>
        <v>3930</v>
      </c>
      <c r="L1418" s="35">
        <v>4600</v>
      </c>
      <c r="M1418" s="32"/>
      <c r="N1418" s="35">
        <f>L1418-F1418</f>
        <v>1000</v>
      </c>
      <c r="P1418" s="35">
        <f>B1418*1.03</f>
        <v>3708</v>
      </c>
      <c r="R1418" s="70">
        <v>696</v>
      </c>
      <c r="S1418" s="70">
        <f>T1418-R1418</f>
        <v>3004</v>
      </c>
      <c r="T1418" s="70">
        <v>3700</v>
      </c>
      <c r="U1418" s="71">
        <f>T1418-P1418</f>
        <v>-8</v>
      </c>
      <c r="V1418" s="71">
        <v>1165</v>
      </c>
      <c r="W1418" s="71">
        <f>Y1418-V1418</f>
        <v>2535</v>
      </c>
      <c r="X1418" s="71"/>
      <c r="Y1418" s="71">
        <v>3700</v>
      </c>
      <c r="Z1418" s="71">
        <f>Y1418-T1418</f>
        <v>0</v>
      </c>
      <c r="AC1418" s="71">
        <v>2348</v>
      </c>
      <c r="AD1418" s="71">
        <f>AE1418-AC1418</f>
        <v>1352</v>
      </c>
      <c r="AE1418" s="71">
        <v>3700</v>
      </c>
      <c r="AF1418" s="71">
        <f>AE1418-Y1418</f>
        <v>0</v>
      </c>
      <c r="AH1418" s="35">
        <f>AE1418*1.03-11</f>
        <v>3800</v>
      </c>
      <c r="AJ1418" s="35">
        <f>AH1418*1.03</f>
        <v>3914</v>
      </c>
      <c r="AL1418" s="35">
        <f>AJ1418*1.03</f>
        <v>4031.42</v>
      </c>
      <c r="AN1418" s="35">
        <f>AL1418*1.03</f>
        <v>4152.3626000000004</v>
      </c>
      <c r="AO1418" s="35"/>
      <c r="AP1418" s="35">
        <f>AN1418*1.03</f>
        <v>4276.9334780000008</v>
      </c>
      <c r="AR1418" s="35">
        <f>AP1418*1.03</f>
        <v>4405.2414823400013</v>
      </c>
      <c r="AT1418" s="35">
        <f>AR1418*1.03</f>
        <v>4537.3987268102019</v>
      </c>
      <c r="AV1418" s="35">
        <f>AT1418*1.03</f>
        <v>4673.5206886145079</v>
      </c>
      <c r="AX1418" s="35">
        <f>AV1418*1.03</f>
        <v>4813.7263092729436</v>
      </c>
      <c r="AZ1418" s="35">
        <f>AX1418*1.03</f>
        <v>4958.1380985511323</v>
      </c>
    </row>
    <row r="1419" spans="1:52" x14ac:dyDescent="0.25">
      <c r="A1419" s="3"/>
    </row>
    <row r="1420" spans="1:52" x14ac:dyDescent="0.25">
      <c r="A1420" s="7" t="s">
        <v>137</v>
      </c>
    </row>
    <row r="1421" spans="1:52" x14ac:dyDescent="0.25">
      <c r="A1421" s="7" t="s">
        <v>164</v>
      </c>
    </row>
    <row r="1422" spans="1:52" x14ac:dyDescent="0.25">
      <c r="A1422" s="3" t="s">
        <v>950</v>
      </c>
      <c r="B1422" s="3">
        <v>15000</v>
      </c>
      <c r="D1422" s="3">
        <v>0</v>
      </c>
      <c r="E1422" s="3">
        <f>F1422-D1422</f>
        <v>15000</v>
      </c>
      <c r="F1422" s="5">
        <v>15000</v>
      </c>
      <c r="H1422" s="5">
        <f>F1422-B1422</f>
        <v>0</v>
      </c>
      <c r="K1422" s="4">
        <f>L1422-J1422</f>
        <v>15000</v>
      </c>
      <c r="L1422" s="4">
        <v>15000</v>
      </c>
      <c r="N1422" s="4">
        <f>L1422-F1422</f>
        <v>0</v>
      </c>
      <c r="P1422" s="3">
        <v>15000</v>
      </c>
      <c r="Q1422" s="3"/>
      <c r="R1422" s="3"/>
      <c r="S1422" s="3">
        <f>T1422-R1422</f>
        <v>15000</v>
      </c>
      <c r="T1422" s="3">
        <v>15000</v>
      </c>
      <c r="U1422" s="3">
        <f>T1422-P1422</f>
        <v>0</v>
      </c>
      <c r="V1422" s="3"/>
      <c r="W1422" s="3"/>
      <c r="X1422" s="3"/>
      <c r="Y1422" s="3">
        <v>15000</v>
      </c>
      <c r="Z1422" s="3">
        <f>Y1422-T1422</f>
        <v>0</v>
      </c>
      <c r="AA1422" s="3"/>
      <c r="AB1422" s="3"/>
      <c r="AC1422" s="3"/>
      <c r="AD1422" s="3">
        <f>AE1422-AC1422</f>
        <v>10000</v>
      </c>
      <c r="AE1422" s="3">
        <v>10000</v>
      </c>
      <c r="AF1422" s="3">
        <f>AE1422-Y1422</f>
        <v>-5000</v>
      </c>
      <c r="AG1422" s="3"/>
      <c r="AH1422" s="3">
        <v>5000</v>
      </c>
      <c r="AI1422" s="3"/>
      <c r="AJ1422" s="3"/>
      <c r="AK1422" s="3"/>
      <c r="AL1422" s="3">
        <v>40000</v>
      </c>
      <c r="AM1422" s="3"/>
      <c r="AN1422" s="3"/>
      <c r="AO1422" s="3"/>
      <c r="AP1422" s="3"/>
      <c r="AQ1422" s="42"/>
      <c r="AR1422" s="3"/>
      <c r="AS1422" s="42"/>
      <c r="AT1422" s="3"/>
      <c r="AU1422" s="42"/>
      <c r="AV1422" s="3"/>
      <c r="AW1422" s="42"/>
      <c r="AX1422" s="3"/>
      <c r="AZ1422" s="3"/>
    </row>
    <row r="1423" spans="1:52" x14ac:dyDescent="0.25">
      <c r="A1423" s="3" t="s">
        <v>951</v>
      </c>
      <c r="B1423" s="3"/>
      <c r="D1423" s="3"/>
      <c r="E1423" s="3"/>
      <c r="K1423" s="4"/>
      <c r="L1423" s="4"/>
      <c r="N1423" s="4"/>
      <c r="P1423" s="3"/>
      <c r="Q1423" s="3"/>
      <c r="R1423" s="3"/>
      <c r="S1423" s="3">
        <f>T1423-R1423</f>
        <v>10750</v>
      </c>
      <c r="T1423" s="3">
        <v>10750</v>
      </c>
      <c r="U1423" s="3">
        <f>T1423-P1423</f>
        <v>10750</v>
      </c>
      <c r="V1423" s="3"/>
      <c r="W1423" s="3"/>
      <c r="X1423" s="3"/>
      <c r="Y1423" s="3">
        <v>10750</v>
      </c>
      <c r="Z1423" s="3">
        <f>Y1423-T1423</f>
        <v>0</v>
      </c>
      <c r="AA1423" s="3"/>
      <c r="AB1423" s="3"/>
      <c r="AC1423" s="3">
        <v>10750</v>
      </c>
      <c r="AD1423" s="3">
        <f>AE1423-AC1423</f>
        <v>0</v>
      </c>
      <c r="AE1423" s="3">
        <v>10750</v>
      </c>
      <c r="AF1423" s="3">
        <f>AE1423-Y1423</f>
        <v>0</v>
      </c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42"/>
      <c r="AR1423" s="3"/>
      <c r="AS1423" s="42"/>
      <c r="AT1423" s="3"/>
      <c r="AU1423" s="42"/>
      <c r="AV1423" s="3"/>
      <c r="AW1423" s="42"/>
      <c r="AX1423" s="3"/>
      <c r="AZ1423" s="3"/>
    </row>
    <row r="1424" spans="1:52" x14ac:dyDescent="0.25">
      <c r="A1424" s="3" t="s">
        <v>952</v>
      </c>
      <c r="Z1424" s="3">
        <f>Y1424-T1424</f>
        <v>0</v>
      </c>
      <c r="AD1424" s="3">
        <f>AE1424-AC1424</f>
        <v>0</v>
      </c>
      <c r="AE1424" s="3"/>
      <c r="AF1424" s="3">
        <f>AE1424-Y1424</f>
        <v>0</v>
      </c>
    </row>
    <row r="1425" spans="1:52" x14ac:dyDescent="0.25">
      <c r="A1425" s="3"/>
      <c r="B1425" s="48">
        <f>B1424+B1422</f>
        <v>15000</v>
      </c>
      <c r="C1425" s="32"/>
      <c r="D1425" s="48">
        <f>D1424+D1422</f>
        <v>0</v>
      </c>
      <c r="E1425" s="48">
        <f>E1424+E1422</f>
        <v>15000</v>
      </c>
      <c r="F1425" s="48">
        <f>F1424+F1422</f>
        <v>15000</v>
      </c>
      <c r="G1425" s="32"/>
      <c r="H1425" s="48">
        <f>H1424+H1422</f>
        <v>0</v>
      </c>
      <c r="I1425" s="36"/>
      <c r="J1425" s="48">
        <f>J1424+J1422</f>
        <v>0</v>
      </c>
      <c r="K1425" s="48">
        <f>K1424+K1422</f>
        <v>15000</v>
      </c>
      <c r="L1425" s="48">
        <f>L1424+L1422</f>
        <v>15000</v>
      </c>
      <c r="M1425" s="32"/>
      <c r="N1425" s="48">
        <f>N1424+N1422</f>
        <v>0</v>
      </c>
      <c r="P1425" s="48">
        <f>SUM(P1422:P1424)</f>
        <v>15000</v>
      </c>
      <c r="R1425" s="48">
        <f t="shared" ref="R1425:Z1425" si="647">SUM(R1422:R1424)</f>
        <v>0</v>
      </c>
      <c r="S1425" s="48">
        <f t="shared" si="647"/>
        <v>25750</v>
      </c>
      <c r="T1425" s="48">
        <f t="shared" si="647"/>
        <v>25750</v>
      </c>
      <c r="U1425" s="48">
        <f t="shared" si="647"/>
        <v>10750</v>
      </c>
      <c r="V1425" s="48">
        <f t="shared" si="647"/>
        <v>0</v>
      </c>
      <c r="W1425" s="48">
        <f t="shared" si="647"/>
        <v>0</v>
      </c>
      <c r="X1425" s="48"/>
      <c r="Y1425" s="48">
        <f t="shared" si="647"/>
        <v>25750</v>
      </c>
      <c r="Z1425" s="48">
        <f t="shared" si="647"/>
        <v>0</v>
      </c>
      <c r="AC1425" s="48">
        <f>SUM(AC1422:AC1424)</f>
        <v>10750</v>
      </c>
      <c r="AD1425" s="48">
        <f>SUM(AD1422:AD1424)</f>
        <v>10000</v>
      </c>
      <c r="AE1425" s="48">
        <f>SUM(AE1422:AE1424)</f>
        <v>20750</v>
      </c>
      <c r="AF1425" s="48">
        <f>SUM(AF1422:AF1424)</f>
        <v>-5000</v>
      </c>
      <c r="AH1425" s="48">
        <f>AH1424+AH1422</f>
        <v>5000</v>
      </c>
      <c r="AJ1425" s="48">
        <f>AJ1424+AJ1422</f>
        <v>0</v>
      </c>
      <c r="AL1425" s="48">
        <f>AL1424+AL1422</f>
        <v>40000</v>
      </c>
      <c r="AN1425" s="48">
        <f>AN1424+AN1422</f>
        <v>0</v>
      </c>
      <c r="AO1425" s="48"/>
      <c r="AP1425" s="48">
        <f>AP1424+AP1422</f>
        <v>0</v>
      </c>
      <c r="AR1425" s="48">
        <f>AR1424+AR1422</f>
        <v>0</v>
      </c>
      <c r="AT1425" s="48">
        <f>AT1424+AT1422</f>
        <v>0</v>
      </c>
      <c r="AV1425" s="48">
        <f>AV1424+AV1422</f>
        <v>0</v>
      </c>
      <c r="AX1425" s="48">
        <f>AX1424+AX1422</f>
        <v>0</v>
      </c>
      <c r="AZ1425" s="48">
        <f>AZ1424+AZ1422</f>
        <v>0</v>
      </c>
    </row>
    <row r="1426" spans="1:52" x14ac:dyDescent="0.25">
      <c r="A1426" s="7" t="s">
        <v>938</v>
      </c>
    </row>
    <row r="1427" spans="1:52" x14ac:dyDescent="0.25">
      <c r="A1427" s="7" t="s">
        <v>495</v>
      </c>
      <c r="Z1427" s="3">
        <f t="shared" ref="Z1427:Z1448" si="648">Y1427-T1427</f>
        <v>0</v>
      </c>
      <c r="AD1427" s="3">
        <f t="shared" ref="AD1427:AD1448" si="649">AE1427-AC1427</f>
        <v>0</v>
      </c>
      <c r="AE1427" s="3"/>
      <c r="AF1427" s="3">
        <f t="shared" ref="AF1427:AF1448" si="650">AE1427-Y1427</f>
        <v>0</v>
      </c>
    </row>
    <row r="1428" spans="1:52" x14ac:dyDescent="0.25">
      <c r="A1428" s="7" t="s">
        <v>953</v>
      </c>
      <c r="Z1428" s="3">
        <f t="shared" si="648"/>
        <v>0</v>
      </c>
      <c r="AD1428" s="3">
        <f t="shared" si="649"/>
        <v>0</v>
      </c>
      <c r="AE1428" s="3"/>
      <c r="AF1428" s="3">
        <f t="shared" si="650"/>
        <v>0</v>
      </c>
    </row>
    <row r="1429" spans="1:52" x14ac:dyDescent="0.25">
      <c r="A1429" s="3" t="s">
        <v>954</v>
      </c>
      <c r="Z1429" s="3">
        <f t="shared" si="648"/>
        <v>0</v>
      </c>
      <c r="AD1429" s="3">
        <f t="shared" si="649"/>
        <v>0</v>
      </c>
      <c r="AE1429" s="3"/>
      <c r="AF1429" s="3">
        <f t="shared" si="650"/>
        <v>0</v>
      </c>
    </row>
    <row r="1430" spans="1:52" x14ac:dyDescent="0.25">
      <c r="A1430" s="3" t="s">
        <v>955</v>
      </c>
      <c r="Z1430" s="3">
        <f t="shared" si="648"/>
        <v>0</v>
      </c>
      <c r="AD1430" s="3">
        <f t="shared" si="649"/>
        <v>0</v>
      </c>
      <c r="AE1430" s="3"/>
      <c r="AF1430" s="3">
        <f t="shared" si="650"/>
        <v>0</v>
      </c>
    </row>
    <row r="1431" spans="1:52" x14ac:dyDescent="0.25">
      <c r="A1431" s="7" t="s">
        <v>956</v>
      </c>
      <c r="B1431" s="3">
        <v>40000</v>
      </c>
      <c r="D1431" s="3">
        <v>0</v>
      </c>
      <c r="E1431" s="3">
        <f t="shared" ref="E1431:E1448" si="651">F1431-D1431</f>
        <v>40000</v>
      </c>
      <c r="F1431" s="5">
        <v>40000</v>
      </c>
      <c r="H1431" s="5">
        <f t="shared" ref="H1431:H1448" si="652">F1431-B1431</f>
        <v>0</v>
      </c>
      <c r="K1431" s="4">
        <f t="shared" ref="K1431:K1448" si="653">L1431-J1431</f>
        <v>40000</v>
      </c>
      <c r="L1431" s="4">
        <v>40000</v>
      </c>
      <c r="N1431" s="4">
        <f t="shared" ref="N1431:N1448" si="654">L1431-F1431</f>
        <v>0</v>
      </c>
      <c r="P1431" s="3">
        <v>105000</v>
      </c>
      <c r="Q1431" s="3"/>
      <c r="R1431" s="3">
        <v>12850</v>
      </c>
      <c r="S1431" s="3">
        <f>T1431-R1431</f>
        <v>92150</v>
      </c>
      <c r="T1431" s="3">
        <v>105000</v>
      </c>
      <c r="U1431" s="3">
        <f>T1431-P1431</f>
        <v>0</v>
      </c>
      <c r="V1431" s="3">
        <v>48815</v>
      </c>
      <c r="W1431" s="3">
        <f t="shared" ref="W1431:W1442" si="655">Y1431-V1431</f>
        <v>56185</v>
      </c>
      <c r="X1431" s="3"/>
      <c r="Y1431" s="3">
        <v>105000</v>
      </c>
      <c r="Z1431" s="3">
        <f t="shared" si="648"/>
        <v>0</v>
      </c>
      <c r="AA1431" s="3"/>
      <c r="AB1431" s="3"/>
      <c r="AC1431" s="3">
        <v>54424</v>
      </c>
      <c r="AD1431" s="3">
        <f t="shared" si="649"/>
        <v>45576</v>
      </c>
      <c r="AE1431" s="3">
        <v>100000</v>
      </c>
      <c r="AF1431" s="3">
        <f t="shared" si="650"/>
        <v>-5000</v>
      </c>
      <c r="AG1431" s="3"/>
      <c r="AH1431" s="63">
        <v>70000</v>
      </c>
      <c r="AI1431" s="3"/>
      <c r="AJ1431" s="3">
        <v>80000</v>
      </c>
      <c r="AK1431" s="3"/>
      <c r="AL1431" s="3">
        <v>90000</v>
      </c>
      <c r="AM1431" s="3"/>
      <c r="AN1431" s="3">
        <v>90000</v>
      </c>
      <c r="AO1431" s="3"/>
      <c r="AP1431" s="3">
        <v>90000</v>
      </c>
      <c r="AQ1431" s="3"/>
      <c r="AR1431" s="3">
        <v>105000</v>
      </c>
      <c r="AS1431" s="42"/>
      <c r="AT1431" s="3">
        <v>105000</v>
      </c>
      <c r="AU1431" s="42"/>
      <c r="AV1431" s="3">
        <v>105000</v>
      </c>
      <c r="AW1431" s="42"/>
      <c r="AX1431" s="3">
        <v>120000</v>
      </c>
      <c r="AZ1431" s="3">
        <v>120000</v>
      </c>
    </row>
    <row r="1432" spans="1:52" x14ac:dyDescent="0.25">
      <c r="A1432" s="3" t="s">
        <v>957</v>
      </c>
      <c r="B1432" s="3"/>
      <c r="D1432" s="3"/>
      <c r="E1432" s="3">
        <f t="shared" si="651"/>
        <v>0</v>
      </c>
      <c r="H1432" s="5">
        <f t="shared" si="652"/>
        <v>0</v>
      </c>
      <c r="K1432" s="4">
        <f t="shared" si="653"/>
        <v>0</v>
      </c>
      <c r="L1432" s="4"/>
      <c r="N1432" s="4">
        <f t="shared" si="654"/>
        <v>0</v>
      </c>
      <c r="P1432" s="3"/>
      <c r="Q1432" s="3"/>
      <c r="R1432" s="3"/>
      <c r="S1432" s="3"/>
      <c r="T1432" s="3"/>
      <c r="U1432" s="3"/>
      <c r="V1432" s="3"/>
      <c r="W1432" s="3">
        <f t="shared" si="655"/>
        <v>0</v>
      </c>
      <c r="X1432" s="3"/>
      <c r="Y1432" s="3"/>
      <c r="Z1432" s="3">
        <f t="shared" si="648"/>
        <v>0</v>
      </c>
      <c r="AA1432" s="3"/>
      <c r="AB1432" s="3"/>
      <c r="AC1432" s="3"/>
      <c r="AD1432" s="3">
        <f t="shared" si="649"/>
        <v>0</v>
      </c>
      <c r="AE1432" s="3"/>
      <c r="AF1432" s="3">
        <f t="shared" si="650"/>
        <v>0</v>
      </c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42"/>
      <c r="AR1432" s="3"/>
      <c r="AS1432" s="42"/>
      <c r="AT1432" s="3"/>
      <c r="AU1432" s="42"/>
      <c r="AV1432" s="3"/>
      <c r="AW1432" s="42"/>
      <c r="AX1432" s="3"/>
      <c r="AZ1432" s="3"/>
    </row>
    <row r="1433" spans="1:52" x14ac:dyDescent="0.25">
      <c r="A1433" s="3" t="s">
        <v>958</v>
      </c>
      <c r="B1433" s="3"/>
      <c r="D1433" s="3"/>
      <c r="E1433" s="3">
        <f t="shared" si="651"/>
        <v>0</v>
      </c>
      <c r="H1433" s="5">
        <f t="shared" si="652"/>
        <v>0</v>
      </c>
      <c r="K1433" s="4">
        <f t="shared" si="653"/>
        <v>0</v>
      </c>
      <c r="L1433" s="4"/>
      <c r="N1433" s="4">
        <f t="shared" si="654"/>
        <v>0</v>
      </c>
      <c r="P1433" s="3"/>
      <c r="Q1433" s="3"/>
      <c r="R1433" s="3"/>
      <c r="S1433" s="3"/>
      <c r="T1433" s="3"/>
      <c r="U1433" s="3"/>
      <c r="V1433" s="3"/>
      <c r="W1433" s="3">
        <f t="shared" si="655"/>
        <v>0</v>
      </c>
      <c r="X1433" s="3"/>
      <c r="Y1433" s="3"/>
      <c r="Z1433" s="3">
        <f t="shared" si="648"/>
        <v>0</v>
      </c>
      <c r="AA1433" s="3"/>
      <c r="AB1433" s="3"/>
      <c r="AC1433" s="3"/>
      <c r="AD1433" s="3">
        <f t="shared" si="649"/>
        <v>0</v>
      </c>
      <c r="AE1433" s="3"/>
      <c r="AF1433" s="3">
        <f t="shared" si="650"/>
        <v>0</v>
      </c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42"/>
      <c r="AR1433" s="3"/>
      <c r="AS1433" s="42"/>
      <c r="AT1433" s="3"/>
      <c r="AU1433" s="42"/>
      <c r="AV1433" s="3"/>
      <c r="AW1433" s="42"/>
      <c r="AX1433" s="3"/>
      <c r="AZ1433" s="3"/>
    </row>
    <row r="1434" spans="1:52" x14ac:dyDescent="0.25">
      <c r="A1434" s="3" t="s">
        <v>959</v>
      </c>
      <c r="B1434" s="3"/>
      <c r="D1434" s="3"/>
      <c r="E1434" s="3">
        <f t="shared" si="651"/>
        <v>0</v>
      </c>
      <c r="H1434" s="5">
        <f t="shared" si="652"/>
        <v>0</v>
      </c>
      <c r="K1434" s="4">
        <f t="shared" si="653"/>
        <v>0</v>
      </c>
      <c r="L1434" s="4"/>
      <c r="N1434" s="4">
        <f t="shared" si="654"/>
        <v>0</v>
      </c>
      <c r="P1434" s="3"/>
      <c r="Q1434" s="3"/>
      <c r="R1434" s="3"/>
      <c r="S1434" s="3"/>
      <c r="T1434" s="3"/>
      <c r="U1434" s="3"/>
      <c r="V1434" s="3"/>
      <c r="W1434" s="3">
        <f t="shared" si="655"/>
        <v>0</v>
      </c>
      <c r="X1434" s="3"/>
      <c r="Y1434" s="3"/>
      <c r="Z1434" s="3">
        <f t="shared" si="648"/>
        <v>0</v>
      </c>
      <c r="AA1434" s="3"/>
      <c r="AB1434" s="3"/>
      <c r="AC1434" s="3"/>
      <c r="AD1434" s="3">
        <f t="shared" si="649"/>
        <v>0</v>
      </c>
      <c r="AE1434" s="3"/>
      <c r="AF1434" s="3">
        <f t="shared" si="650"/>
        <v>0</v>
      </c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42"/>
      <c r="AR1434" s="3"/>
      <c r="AS1434" s="42"/>
      <c r="AT1434" s="3"/>
      <c r="AU1434" s="42"/>
      <c r="AV1434" s="3"/>
      <c r="AW1434" s="42"/>
      <c r="AX1434" s="3"/>
      <c r="AZ1434" s="3"/>
    </row>
    <row r="1435" spans="1:52" x14ac:dyDescent="0.25">
      <c r="A1435" s="3" t="s">
        <v>960</v>
      </c>
      <c r="B1435" s="3"/>
      <c r="D1435" s="3"/>
      <c r="E1435" s="3">
        <f t="shared" si="651"/>
        <v>0</v>
      </c>
      <c r="H1435" s="5">
        <f t="shared" si="652"/>
        <v>0</v>
      </c>
      <c r="K1435" s="4">
        <f t="shared" si="653"/>
        <v>0</v>
      </c>
      <c r="L1435" s="4"/>
      <c r="N1435" s="4">
        <f t="shared" si="654"/>
        <v>0</v>
      </c>
      <c r="P1435" s="3"/>
      <c r="Q1435" s="3"/>
      <c r="R1435" s="3"/>
      <c r="S1435" s="3"/>
      <c r="T1435" s="3"/>
      <c r="U1435" s="3"/>
      <c r="V1435" s="3"/>
      <c r="W1435" s="3">
        <f t="shared" si="655"/>
        <v>0</v>
      </c>
      <c r="X1435" s="3"/>
      <c r="Y1435" s="3"/>
      <c r="Z1435" s="3">
        <f t="shared" si="648"/>
        <v>0</v>
      </c>
      <c r="AA1435" s="3"/>
      <c r="AB1435" s="3"/>
      <c r="AC1435" s="3"/>
      <c r="AD1435" s="3">
        <f t="shared" si="649"/>
        <v>0</v>
      </c>
      <c r="AE1435" s="3"/>
      <c r="AF1435" s="3">
        <f t="shared" si="650"/>
        <v>0</v>
      </c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42"/>
      <c r="AR1435" s="3"/>
      <c r="AS1435" s="42"/>
      <c r="AT1435" s="3"/>
      <c r="AU1435" s="42"/>
      <c r="AV1435" s="3"/>
      <c r="AW1435" s="42"/>
      <c r="AX1435" s="3"/>
      <c r="AZ1435" s="3"/>
    </row>
    <row r="1436" spans="1:52" x14ac:dyDescent="0.25">
      <c r="A1436" s="3" t="s">
        <v>961</v>
      </c>
      <c r="B1436" s="3"/>
      <c r="D1436" s="3"/>
      <c r="E1436" s="3">
        <f t="shared" si="651"/>
        <v>0</v>
      </c>
      <c r="H1436" s="5">
        <f t="shared" si="652"/>
        <v>0</v>
      </c>
      <c r="K1436" s="4">
        <f t="shared" si="653"/>
        <v>0</v>
      </c>
      <c r="L1436" s="4"/>
      <c r="N1436" s="4">
        <f t="shared" si="654"/>
        <v>0</v>
      </c>
      <c r="P1436" s="3"/>
      <c r="Q1436" s="3"/>
      <c r="R1436" s="3"/>
      <c r="S1436" s="3"/>
      <c r="T1436" s="3"/>
      <c r="U1436" s="3"/>
      <c r="V1436" s="3"/>
      <c r="W1436" s="3">
        <f t="shared" si="655"/>
        <v>0</v>
      </c>
      <c r="X1436" s="3"/>
      <c r="Y1436" s="3"/>
      <c r="Z1436" s="3">
        <f t="shared" si="648"/>
        <v>0</v>
      </c>
      <c r="AA1436" s="3"/>
      <c r="AB1436" s="3"/>
      <c r="AC1436" s="3"/>
      <c r="AD1436" s="3">
        <f t="shared" si="649"/>
        <v>0</v>
      </c>
      <c r="AE1436" s="3"/>
      <c r="AF1436" s="3">
        <f t="shared" si="650"/>
        <v>0</v>
      </c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42"/>
      <c r="AR1436" s="3"/>
      <c r="AS1436" s="42"/>
      <c r="AT1436" s="3"/>
      <c r="AU1436" s="42"/>
      <c r="AV1436" s="3"/>
      <c r="AW1436" s="42"/>
      <c r="AX1436" s="3"/>
      <c r="AZ1436" s="3"/>
    </row>
    <row r="1437" spans="1:52" x14ac:dyDescent="0.25">
      <c r="A1437" s="3" t="s">
        <v>962</v>
      </c>
      <c r="B1437" s="3"/>
      <c r="D1437" s="3"/>
      <c r="E1437" s="3">
        <f t="shared" si="651"/>
        <v>0</v>
      </c>
      <c r="H1437" s="5">
        <f t="shared" si="652"/>
        <v>0</v>
      </c>
      <c r="K1437" s="4">
        <f t="shared" si="653"/>
        <v>0</v>
      </c>
      <c r="L1437" s="4"/>
      <c r="N1437" s="4">
        <f t="shared" si="654"/>
        <v>0</v>
      </c>
      <c r="P1437" s="3"/>
      <c r="Q1437" s="3"/>
      <c r="R1437" s="3"/>
      <c r="S1437" s="3"/>
      <c r="T1437" s="3"/>
      <c r="U1437" s="3"/>
      <c r="V1437" s="3"/>
      <c r="W1437" s="3">
        <f t="shared" si="655"/>
        <v>0</v>
      </c>
      <c r="X1437" s="3"/>
      <c r="Y1437" s="3"/>
      <c r="Z1437" s="3">
        <f t="shared" si="648"/>
        <v>0</v>
      </c>
      <c r="AA1437" s="3"/>
      <c r="AB1437" s="3"/>
      <c r="AC1437" s="3"/>
      <c r="AD1437" s="3">
        <f t="shared" si="649"/>
        <v>0</v>
      </c>
      <c r="AE1437" s="3"/>
      <c r="AF1437" s="3">
        <f t="shared" si="650"/>
        <v>0</v>
      </c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42"/>
      <c r="AR1437" s="3"/>
      <c r="AS1437" s="42"/>
      <c r="AT1437" s="3"/>
      <c r="AU1437" s="42"/>
      <c r="AV1437" s="3"/>
      <c r="AW1437" s="42"/>
      <c r="AX1437" s="3"/>
      <c r="AZ1437" s="3"/>
    </row>
    <row r="1438" spans="1:52" x14ac:dyDescent="0.25">
      <c r="A1438" s="3" t="s">
        <v>959</v>
      </c>
      <c r="B1438" s="3"/>
      <c r="D1438" s="3"/>
      <c r="E1438" s="3">
        <f t="shared" si="651"/>
        <v>0</v>
      </c>
      <c r="H1438" s="5">
        <f t="shared" si="652"/>
        <v>0</v>
      </c>
      <c r="K1438" s="4">
        <f t="shared" si="653"/>
        <v>0</v>
      </c>
      <c r="L1438" s="4"/>
      <c r="N1438" s="4">
        <f t="shared" si="654"/>
        <v>0</v>
      </c>
      <c r="P1438" s="3"/>
      <c r="Q1438" s="3"/>
      <c r="R1438" s="3"/>
      <c r="S1438" s="3"/>
      <c r="T1438" s="3"/>
      <c r="U1438" s="3"/>
      <c r="V1438" s="3"/>
      <c r="W1438" s="3">
        <f t="shared" si="655"/>
        <v>0</v>
      </c>
      <c r="X1438" s="3"/>
      <c r="Y1438" s="3"/>
      <c r="Z1438" s="3">
        <f t="shared" si="648"/>
        <v>0</v>
      </c>
      <c r="AA1438" s="3"/>
      <c r="AB1438" s="3"/>
      <c r="AC1438" s="3"/>
      <c r="AD1438" s="3">
        <f t="shared" si="649"/>
        <v>0</v>
      </c>
      <c r="AE1438" s="3"/>
      <c r="AF1438" s="3">
        <f t="shared" si="650"/>
        <v>0</v>
      </c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42"/>
      <c r="AR1438" s="3"/>
      <c r="AS1438" s="42"/>
      <c r="AT1438" s="3"/>
      <c r="AU1438" s="42"/>
      <c r="AV1438" s="3"/>
      <c r="AW1438" s="42"/>
      <c r="AX1438" s="3"/>
      <c r="AZ1438" s="3"/>
    </row>
    <row r="1439" spans="1:52" x14ac:dyDescent="0.25">
      <c r="A1439" s="3" t="s">
        <v>963</v>
      </c>
      <c r="B1439" s="3"/>
      <c r="D1439" s="3"/>
      <c r="E1439" s="3">
        <f t="shared" si="651"/>
        <v>0</v>
      </c>
      <c r="H1439" s="5">
        <f t="shared" si="652"/>
        <v>0</v>
      </c>
      <c r="K1439" s="4">
        <f t="shared" si="653"/>
        <v>0</v>
      </c>
      <c r="L1439" s="4"/>
      <c r="N1439" s="4">
        <f t="shared" si="654"/>
        <v>0</v>
      </c>
      <c r="P1439" s="3"/>
      <c r="Q1439" s="3"/>
      <c r="R1439" s="3"/>
      <c r="S1439" s="3"/>
      <c r="T1439" s="3"/>
      <c r="U1439" s="3"/>
      <c r="V1439" s="3"/>
      <c r="W1439" s="3">
        <f t="shared" si="655"/>
        <v>0</v>
      </c>
      <c r="X1439" s="3"/>
      <c r="Y1439" s="3"/>
      <c r="Z1439" s="3">
        <f t="shared" si="648"/>
        <v>0</v>
      </c>
      <c r="AA1439" s="3"/>
      <c r="AB1439" s="3"/>
      <c r="AC1439" s="3"/>
      <c r="AD1439" s="3">
        <f t="shared" si="649"/>
        <v>0</v>
      </c>
      <c r="AE1439" s="3"/>
      <c r="AF1439" s="3">
        <f t="shared" si="650"/>
        <v>0</v>
      </c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42"/>
      <c r="AR1439" s="3"/>
      <c r="AS1439" s="42"/>
      <c r="AT1439" s="3"/>
      <c r="AU1439" s="42"/>
      <c r="AV1439" s="3"/>
      <c r="AW1439" s="42"/>
      <c r="AX1439" s="3"/>
      <c r="AZ1439" s="3"/>
    </row>
    <row r="1440" spans="1:52" x14ac:dyDescent="0.25">
      <c r="A1440" s="3" t="s">
        <v>964</v>
      </c>
      <c r="B1440" s="3"/>
      <c r="D1440" s="3"/>
      <c r="E1440" s="3">
        <f t="shared" si="651"/>
        <v>0</v>
      </c>
      <c r="H1440" s="5">
        <f t="shared" si="652"/>
        <v>0</v>
      </c>
      <c r="K1440" s="4">
        <f t="shared" si="653"/>
        <v>0</v>
      </c>
      <c r="L1440" s="4"/>
      <c r="N1440" s="4">
        <f t="shared" si="654"/>
        <v>0</v>
      </c>
      <c r="P1440" s="3"/>
      <c r="Q1440" s="3"/>
      <c r="R1440" s="3"/>
      <c r="S1440" s="3"/>
      <c r="T1440" s="3"/>
      <c r="U1440" s="3"/>
      <c r="V1440" s="3"/>
      <c r="W1440" s="3">
        <f t="shared" si="655"/>
        <v>0</v>
      </c>
      <c r="X1440" s="3"/>
      <c r="Y1440" s="3"/>
      <c r="Z1440" s="3">
        <f t="shared" si="648"/>
        <v>0</v>
      </c>
      <c r="AA1440" s="3"/>
      <c r="AB1440" s="3"/>
      <c r="AC1440" s="3"/>
      <c r="AD1440" s="3">
        <f t="shared" si="649"/>
        <v>0</v>
      </c>
      <c r="AE1440" s="3"/>
      <c r="AF1440" s="3">
        <f t="shared" si="650"/>
        <v>0</v>
      </c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42"/>
      <c r="AR1440" s="3"/>
      <c r="AS1440" s="42"/>
      <c r="AT1440" s="3"/>
      <c r="AU1440" s="42"/>
      <c r="AV1440" s="3"/>
      <c r="AW1440" s="42"/>
      <c r="AX1440" s="3"/>
      <c r="AZ1440" s="3"/>
    </row>
    <row r="1441" spans="1:52" x14ac:dyDescent="0.25">
      <c r="A1441" s="3" t="s">
        <v>965</v>
      </c>
      <c r="B1441" s="3"/>
      <c r="D1441" s="3"/>
      <c r="E1441" s="3">
        <f t="shared" si="651"/>
        <v>0</v>
      </c>
      <c r="H1441" s="5">
        <f t="shared" si="652"/>
        <v>0</v>
      </c>
      <c r="K1441" s="4">
        <f t="shared" si="653"/>
        <v>0</v>
      </c>
      <c r="L1441" s="4"/>
      <c r="N1441" s="4">
        <f t="shared" si="654"/>
        <v>0</v>
      </c>
      <c r="P1441" s="3"/>
      <c r="Q1441" s="3"/>
      <c r="R1441" s="3"/>
      <c r="S1441" s="3"/>
      <c r="T1441" s="3"/>
      <c r="U1441" s="3"/>
      <c r="V1441" s="3"/>
      <c r="W1441" s="3">
        <f t="shared" si="655"/>
        <v>0</v>
      </c>
      <c r="X1441" s="3"/>
      <c r="Y1441" s="3"/>
      <c r="Z1441" s="3">
        <f t="shared" si="648"/>
        <v>0</v>
      </c>
      <c r="AA1441" s="3"/>
      <c r="AB1441" s="3"/>
      <c r="AC1441" s="3"/>
      <c r="AD1441" s="3">
        <f t="shared" si="649"/>
        <v>0</v>
      </c>
      <c r="AE1441" s="3"/>
      <c r="AF1441" s="3">
        <f t="shared" si="650"/>
        <v>0</v>
      </c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42"/>
      <c r="AR1441" s="3"/>
      <c r="AS1441" s="42"/>
      <c r="AT1441" s="3"/>
      <c r="AU1441" s="42"/>
      <c r="AV1441" s="3"/>
      <c r="AW1441" s="42"/>
      <c r="AX1441" s="3"/>
      <c r="AZ1441" s="3"/>
    </row>
    <row r="1442" spans="1:52" x14ac:dyDescent="0.25">
      <c r="A1442" s="7" t="s">
        <v>966</v>
      </c>
      <c r="B1442" s="3">
        <v>33000</v>
      </c>
      <c r="D1442" s="3">
        <v>0</v>
      </c>
      <c r="E1442" s="3">
        <f t="shared" si="651"/>
        <v>33000</v>
      </c>
      <c r="F1442" s="5">
        <v>33000</v>
      </c>
      <c r="H1442" s="5">
        <f t="shared" si="652"/>
        <v>0</v>
      </c>
      <c r="K1442" s="4">
        <f t="shared" si="653"/>
        <v>33000</v>
      </c>
      <c r="L1442" s="4">
        <v>33000</v>
      </c>
      <c r="N1442" s="4">
        <f t="shared" si="654"/>
        <v>0</v>
      </c>
      <c r="P1442" s="3">
        <v>20000</v>
      </c>
      <c r="Q1442" s="3"/>
      <c r="R1442" s="3">
        <v>17544</v>
      </c>
      <c r="S1442" s="3">
        <f>T1442-R1442</f>
        <v>2456</v>
      </c>
      <c r="T1442" s="3">
        <v>20000</v>
      </c>
      <c r="U1442" s="3">
        <f>T1442-P1442</f>
        <v>0</v>
      </c>
      <c r="V1442" s="3"/>
      <c r="W1442" s="3">
        <f t="shared" si="655"/>
        <v>20000</v>
      </c>
      <c r="X1442" s="3"/>
      <c r="Y1442" s="3">
        <v>20000</v>
      </c>
      <c r="Z1442" s="3">
        <f t="shared" si="648"/>
        <v>0</v>
      </c>
      <c r="AA1442" s="3"/>
      <c r="AB1442" s="3"/>
      <c r="AC1442" s="3"/>
      <c r="AD1442" s="3">
        <f t="shared" si="649"/>
        <v>17500</v>
      </c>
      <c r="AE1442" s="3">
        <v>17500</v>
      </c>
      <c r="AF1442" s="3">
        <f t="shared" si="650"/>
        <v>-2500</v>
      </c>
      <c r="AG1442" s="3"/>
      <c r="AH1442" s="63">
        <v>50000</v>
      </c>
      <c r="AI1442" s="3"/>
      <c r="AJ1442" s="3">
        <v>50000</v>
      </c>
      <c r="AK1442" s="3"/>
      <c r="AL1442" s="3">
        <v>60000</v>
      </c>
      <c r="AM1442" s="3"/>
      <c r="AN1442" s="3">
        <v>60000</v>
      </c>
      <c r="AO1442" s="3"/>
      <c r="AP1442" s="3">
        <v>70000</v>
      </c>
      <c r="AQ1442" s="3"/>
      <c r="AR1442" s="3">
        <v>70000</v>
      </c>
      <c r="AS1442" s="42"/>
      <c r="AT1442" s="3">
        <v>70000</v>
      </c>
      <c r="AU1442" s="42"/>
      <c r="AV1442" s="3">
        <v>80000</v>
      </c>
      <c r="AW1442" s="42"/>
      <c r="AX1442" s="3">
        <v>80000</v>
      </c>
      <c r="AZ1442" s="3">
        <v>80000</v>
      </c>
    </row>
    <row r="1443" spans="1:52" x14ac:dyDescent="0.25">
      <c r="A1443" s="3" t="s">
        <v>967</v>
      </c>
      <c r="B1443" s="3"/>
      <c r="D1443" s="3"/>
      <c r="E1443" s="3">
        <f t="shared" si="651"/>
        <v>0</v>
      </c>
      <c r="H1443" s="5">
        <f t="shared" si="652"/>
        <v>0</v>
      </c>
      <c r="K1443" s="4">
        <f t="shared" si="653"/>
        <v>0</v>
      </c>
      <c r="L1443" s="4"/>
      <c r="N1443" s="4">
        <f t="shared" si="654"/>
        <v>0</v>
      </c>
      <c r="Z1443" s="3">
        <f t="shared" si="648"/>
        <v>0</v>
      </c>
      <c r="AD1443" s="3">
        <f t="shared" si="649"/>
        <v>0</v>
      </c>
      <c r="AE1443" s="3"/>
      <c r="AF1443" s="3">
        <f t="shared" si="650"/>
        <v>0</v>
      </c>
      <c r="AQ1443" s="5"/>
    </row>
    <row r="1444" spans="1:52" x14ac:dyDescent="0.25">
      <c r="A1444" s="3" t="s">
        <v>968</v>
      </c>
      <c r="E1444" s="3">
        <f t="shared" si="651"/>
        <v>0</v>
      </c>
      <c r="H1444" s="5">
        <f t="shared" si="652"/>
        <v>0</v>
      </c>
      <c r="K1444" s="4">
        <f t="shared" si="653"/>
        <v>0</v>
      </c>
      <c r="L1444" s="4"/>
      <c r="N1444" s="4">
        <f t="shared" si="654"/>
        <v>0</v>
      </c>
      <c r="Z1444" s="3">
        <f t="shared" si="648"/>
        <v>0</v>
      </c>
      <c r="AD1444" s="3">
        <f t="shared" si="649"/>
        <v>0</v>
      </c>
      <c r="AE1444" s="3"/>
      <c r="AF1444" s="3">
        <f t="shared" si="650"/>
        <v>0</v>
      </c>
    </row>
    <row r="1445" spans="1:52" x14ac:dyDescent="0.25">
      <c r="A1445" s="3" t="s">
        <v>969</v>
      </c>
      <c r="E1445" s="3">
        <f t="shared" si="651"/>
        <v>0</v>
      </c>
      <c r="H1445" s="5">
        <f t="shared" si="652"/>
        <v>0</v>
      </c>
      <c r="K1445" s="4">
        <f t="shared" si="653"/>
        <v>0</v>
      </c>
      <c r="L1445" s="4"/>
      <c r="N1445" s="4">
        <f t="shared" si="654"/>
        <v>0</v>
      </c>
      <c r="Z1445" s="3">
        <f t="shared" si="648"/>
        <v>0</v>
      </c>
      <c r="AD1445" s="3">
        <f t="shared" si="649"/>
        <v>0</v>
      </c>
      <c r="AE1445" s="3"/>
      <c r="AF1445" s="3">
        <f t="shared" si="650"/>
        <v>0</v>
      </c>
    </row>
    <row r="1446" spans="1:52" x14ac:dyDescent="0.25">
      <c r="A1446" s="3" t="s">
        <v>970</v>
      </c>
      <c r="E1446" s="3">
        <f t="shared" si="651"/>
        <v>0</v>
      </c>
      <c r="H1446" s="5">
        <f t="shared" si="652"/>
        <v>0</v>
      </c>
      <c r="K1446" s="4">
        <f t="shared" si="653"/>
        <v>0</v>
      </c>
      <c r="L1446" s="4"/>
      <c r="N1446" s="4">
        <f t="shared" si="654"/>
        <v>0</v>
      </c>
      <c r="Z1446" s="3">
        <f t="shared" si="648"/>
        <v>0</v>
      </c>
      <c r="AD1446" s="3">
        <f t="shared" si="649"/>
        <v>0</v>
      </c>
      <c r="AE1446" s="3"/>
      <c r="AF1446" s="3">
        <f t="shared" si="650"/>
        <v>0</v>
      </c>
    </row>
    <row r="1447" spans="1:52" x14ac:dyDescent="0.25">
      <c r="A1447" s="3" t="s">
        <v>971</v>
      </c>
      <c r="E1447" s="3">
        <f t="shared" si="651"/>
        <v>0</v>
      </c>
      <c r="H1447" s="5">
        <f t="shared" si="652"/>
        <v>0</v>
      </c>
      <c r="K1447" s="4">
        <f t="shared" si="653"/>
        <v>0</v>
      </c>
      <c r="L1447" s="4"/>
      <c r="N1447" s="4">
        <f t="shared" si="654"/>
        <v>0</v>
      </c>
      <c r="Z1447" s="3">
        <f t="shared" si="648"/>
        <v>0</v>
      </c>
      <c r="AD1447" s="3">
        <f t="shared" si="649"/>
        <v>0</v>
      </c>
      <c r="AE1447" s="3"/>
      <c r="AF1447" s="3">
        <f t="shared" si="650"/>
        <v>0</v>
      </c>
    </row>
    <row r="1448" spans="1:52" x14ac:dyDescent="0.25">
      <c r="A1448" s="3" t="s">
        <v>972</v>
      </c>
      <c r="E1448" s="3">
        <f t="shared" si="651"/>
        <v>0</v>
      </c>
      <c r="H1448" s="5">
        <f t="shared" si="652"/>
        <v>0</v>
      </c>
      <c r="K1448" s="4">
        <f t="shared" si="653"/>
        <v>0</v>
      </c>
      <c r="L1448" s="4"/>
      <c r="N1448" s="4">
        <f t="shared" si="654"/>
        <v>0</v>
      </c>
      <c r="Z1448" s="3">
        <f t="shared" si="648"/>
        <v>0</v>
      </c>
      <c r="AD1448" s="3">
        <f t="shared" si="649"/>
        <v>0</v>
      </c>
      <c r="AE1448" s="3"/>
      <c r="AF1448" s="3">
        <f t="shared" si="650"/>
        <v>0</v>
      </c>
    </row>
    <row r="1449" spans="1:52" x14ac:dyDescent="0.25">
      <c r="A1449" s="3"/>
      <c r="B1449" s="48">
        <f>SUM(B1428:B1448)</f>
        <v>73000</v>
      </c>
      <c r="C1449" s="32"/>
      <c r="D1449" s="48">
        <f>SUM(D1428:D1448)</f>
        <v>0</v>
      </c>
      <c r="E1449" s="48">
        <f>SUM(E1428:E1448)</f>
        <v>73000</v>
      </c>
      <c r="F1449" s="48">
        <f>SUM(F1428:F1448)</f>
        <v>73000</v>
      </c>
      <c r="G1449" s="32"/>
      <c r="H1449" s="48">
        <f>SUM(H1428:H1448)</f>
        <v>0</v>
      </c>
      <c r="I1449" s="36"/>
      <c r="J1449" s="48">
        <f>SUM(J1428:J1448)</f>
        <v>0</v>
      </c>
      <c r="K1449" s="48">
        <f>SUM(K1428:K1448)</f>
        <v>73000</v>
      </c>
      <c r="L1449" s="48">
        <f>SUM(L1428:L1448)</f>
        <v>73000</v>
      </c>
      <c r="M1449" s="32"/>
      <c r="N1449" s="48">
        <f>SUM(N1428:N1448)</f>
        <v>0</v>
      </c>
      <c r="P1449" s="48">
        <f>SUM(P1428:P1448)</f>
        <v>125000</v>
      </c>
      <c r="R1449" s="48">
        <f t="shared" ref="R1449:Z1449" si="656">SUM(R1428:R1448)</f>
        <v>30394</v>
      </c>
      <c r="S1449" s="48">
        <f t="shared" si="656"/>
        <v>94606</v>
      </c>
      <c r="T1449" s="48">
        <f t="shared" si="656"/>
        <v>125000</v>
      </c>
      <c r="U1449" s="48">
        <f t="shared" si="656"/>
        <v>0</v>
      </c>
      <c r="V1449" s="48">
        <f t="shared" si="656"/>
        <v>48815</v>
      </c>
      <c r="W1449" s="48">
        <f t="shared" si="656"/>
        <v>76185</v>
      </c>
      <c r="X1449" s="48"/>
      <c r="Y1449" s="48">
        <f t="shared" si="656"/>
        <v>125000</v>
      </c>
      <c r="Z1449" s="48">
        <f t="shared" si="656"/>
        <v>0</v>
      </c>
      <c r="AC1449" s="48">
        <f>SUM(AC1428:AC1448)</f>
        <v>54424</v>
      </c>
      <c r="AD1449" s="48">
        <f>SUM(AD1428:AD1448)</f>
        <v>63076</v>
      </c>
      <c r="AE1449" s="48">
        <f>SUM(AE1428:AE1448)</f>
        <v>117500</v>
      </c>
      <c r="AF1449" s="48">
        <f>SUM(AF1428:AF1448)</f>
        <v>-7500</v>
      </c>
      <c r="AH1449" s="48">
        <f>SUM(AH1428:AH1448)</f>
        <v>120000</v>
      </c>
      <c r="AJ1449" s="48">
        <f>SUM(AJ1428:AJ1448)</f>
        <v>130000</v>
      </c>
      <c r="AL1449" s="48">
        <f>SUM(AL1428:AL1448)</f>
        <v>150000</v>
      </c>
      <c r="AN1449" s="48">
        <f>SUM(AN1428:AN1448)</f>
        <v>150000</v>
      </c>
      <c r="AO1449" s="48"/>
      <c r="AP1449" s="48">
        <f>SUM(AP1428:AP1448)</f>
        <v>160000</v>
      </c>
      <c r="AR1449" s="48">
        <f>SUM(AR1428:AR1448)</f>
        <v>175000</v>
      </c>
      <c r="AT1449" s="48">
        <f>SUM(AT1428:AT1448)</f>
        <v>175000</v>
      </c>
      <c r="AV1449" s="48">
        <f>SUM(AV1428:AV1448)</f>
        <v>185000</v>
      </c>
      <c r="AX1449" s="48">
        <f>SUM(AX1428:AX1448)</f>
        <v>200000</v>
      </c>
      <c r="AZ1449" s="48">
        <f>SUM(AZ1428:AZ1448)</f>
        <v>200000</v>
      </c>
    </row>
    <row r="1450" spans="1:52" x14ac:dyDescent="0.25">
      <c r="A1450" s="7" t="s">
        <v>973</v>
      </c>
    </row>
    <row r="1451" spans="1:52" x14ac:dyDescent="0.25">
      <c r="A1451" s="3" t="s">
        <v>974</v>
      </c>
      <c r="Z1451" s="3">
        <f t="shared" ref="Z1451:Z1459" si="657">Y1451-T1451</f>
        <v>0</v>
      </c>
    </row>
    <row r="1452" spans="1:52" x14ac:dyDescent="0.25">
      <c r="A1452" s="3" t="s">
        <v>975</v>
      </c>
      <c r="B1452" s="3">
        <v>26000</v>
      </c>
      <c r="D1452" s="3">
        <v>0</v>
      </c>
      <c r="E1452" s="3">
        <f t="shared" ref="E1452:E1459" si="658">F1452-D1452</f>
        <v>26000</v>
      </c>
      <c r="F1452" s="5">
        <v>26000</v>
      </c>
      <c r="H1452" s="5">
        <f t="shared" ref="H1452:H1459" si="659">F1452-B1452</f>
        <v>0</v>
      </c>
      <c r="K1452" s="4">
        <f t="shared" ref="K1452:K1459" si="660">L1452-J1452</f>
        <v>26000</v>
      </c>
      <c r="L1452" s="4">
        <v>26000</v>
      </c>
      <c r="N1452" s="4">
        <f t="shared" ref="N1452:N1459" si="661">L1452-F1452</f>
        <v>0</v>
      </c>
      <c r="P1452" s="3">
        <v>18000</v>
      </c>
      <c r="Q1452" s="3"/>
      <c r="R1452" s="3"/>
      <c r="S1452" s="3">
        <f>T1452-R1452</f>
        <v>18000</v>
      </c>
      <c r="T1452" s="3">
        <v>18000</v>
      </c>
      <c r="U1452" s="3">
        <f>T1452-P1452</f>
        <v>0</v>
      </c>
      <c r="V1452" s="3">
        <v>39</v>
      </c>
      <c r="W1452" s="3">
        <f>Y1452-V1452</f>
        <v>17961</v>
      </c>
      <c r="X1452" s="3"/>
      <c r="Y1452" s="3">
        <v>18000</v>
      </c>
      <c r="Z1452" s="3">
        <f t="shared" si="657"/>
        <v>0</v>
      </c>
      <c r="AA1452" s="3"/>
      <c r="AB1452" s="3"/>
      <c r="AC1452" s="3">
        <v>5924</v>
      </c>
      <c r="AD1452" s="3">
        <f t="shared" ref="AD1452:AD1459" si="662">AE1452-AC1452</f>
        <v>9076</v>
      </c>
      <c r="AE1452" s="3">
        <v>15000</v>
      </c>
      <c r="AF1452" s="3">
        <f t="shared" ref="AF1452:AF1459" si="663">AE1452-Y1452</f>
        <v>-3000</v>
      </c>
      <c r="AG1452" s="3"/>
      <c r="AH1452" s="63">
        <v>16000</v>
      </c>
      <c r="AI1452" s="3"/>
      <c r="AJ1452" s="3">
        <v>18000</v>
      </c>
      <c r="AK1452" s="3"/>
      <c r="AL1452" s="3">
        <v>18000</v>
      </c>
      <c r="AM1452" s="3"/>
      <c r="AN1452" s="3">
        <v>25000</v>
      </c>
      <c r="AO1452" s="3"/>
      <c r="AP1452" s="3">
        <v>25000</v>
      </c>
      <c r="AQ1452" s="3"/>
      <c r="AR1452" s="3">
        <v>25000</v>
      </c>
      <c r="AS1452" s="42"/>
      <c r="AT1452" s="3">
        <v>30000</v>
      </c>
      <c r="AU1452" s="42"/>
      <c r="AV1452" s="3">
        <v>30000</v>
      </c>
      <c r="AW1452" s="42"/>
      <c r="AX1452" s="3">
        <v>30000</v>
      </c>
      <c r="AZ1452" s="3">
        <v>30000</v>
      </c>
    </row>
    <row r="1453" spans="1:52" x14ac:dyDescent="0.25">
      <c r="A1453" s="3" t="s">
        <v>976</v>
      </c>
      <c r="E1453" s="3">
        <f t="shared" si="658"/>
        <v>0</v>
      </c>
      <c r="H1453" s="5">
        <f t="shared" si="659"/>
        <v>0</v>
      </c>
      <c r="K1453" s="4">
        <f t="shared" si="660"/>
        <v>0</v>
      </c>
      <c r="L1453" s="4"/>
      <c r="N1453" s="4">
        <f t="shared" si="661"/>
        <v>0</v>
      </c>
      <c r="P1453" s="3"/>
      <c r="Z1453" s="3">
        <f t="shared" si="657"/>
        <v>0</v>
      </c>
      <c r="AD1453" s="3">
        <f t="shared" si="662"/>
        <v>0</v>
      </c>
      <c r="AE1453" s="3"/>
      <c r="AF1453" s="3">
        <f t="shared" si="663"/>
        <v>0</v>
      </c>
    </row>
    <row r="1454" spans="1:52" x14ac:dyDescent="0.25">
      <c r="A1454" s="3" t="s">
        <v>977</v>
      </c>
      <c r="E1454" s="3">
        <f t="shared" si="658"/>
        <v>0</v>
      </c>
      <c r="H1454" s="5">
        <f t="shared" si="659"/>
        <v>0</v>
      </c>
      <c r="K1454" s="4">
        <f t="shared" si="660"/>
        <v>0</v>
      </c>
      <c r="L1454" s="4"/>
      <c r="N1454" s="4">
        <f t="shared" si="661"/>
        <v>0</v>
      </c>
      <c r="Z1454" s="3">
        <f t="shared" si="657"/>
        <v>0</v>
      </c>
      <c r="AD1454" s="3">
        <f t="shared" si="662"/>
        <v>0</v>
      </c>
      <c r="AE1454" s="3"/>
      <c r="AF1454" s="3">
        <f t="shared" si="663"/>
        <v>0</v>
      </c>
    </row>
    <row r="1455" spans="1:52" x14ac:dyDescent="0.25">
      <c r="A1455" s="3" t="s">
        <v>978</v>
      </c>
      <c r="E1455" s="3">
        <f t="shared" si="658"/>
        <v>0</v>
      </c>
      <c r="H1455" s="5">
        <f t="shared" si="659"/>
        <v>0</v>
      </c>
      <c r="K1455" s="4">
        <f t="shared" si="660"/>
        <v>0</v>
      </c>
      <c r="L1455" s="4"/>
      <c r="N1455" s="4">
        <f t="shared" si="661"/>
        <v>0</v>
      </c>
      <c r="Z1455" s="3">
        <f t="shared" si="657"/>
        <v>0</v>
      </c>
      <c r="AD1455" s="3">
        <f t="shared" si="662"/>
        <v>0</v>
      </c>
      <c r="AE1455" s="3"/>
      <c r="AF1455" s="3">
        <f t="shared" si="663"/>
        <v>0</v>
      </c>
    </row>
    <row r="1456" spans="1:52" x14ac:dyDescent="0.25">
      <c r="A1456" s="3" t="s">
        <v>979</v>
      </c>
      <c r="E1456" s="3">
        <f t="shared" si="658"/>
        <v>0</v>
      </c>
      <c r="H1456" s="5">
        <f t="shared" si="659"/>
        <v>0</v>
      </c>
      <c r="K1456" s="4">
        <f t="shared" si="660"/>
        <v>0</v>
      </c>
      <c r="L1456" s="4"/>
      <c r="N1456" s="4">
        <f t="shared" si="661"/>
        <v>0</v>
      </c>
      <c r="Z1456" s="3">
        <f t="shared" si="657"/>
        <v>0</v>
      </c>
      <c r="AD1456" s="3">
        <f t="shared" si="662"/>
        <v>0</v>
      </c>
      <c r="AE1456" s="3"/>
      <c r="AF1456" s="3">
        <f t="shared" si="663"/>
        <v>0</v>
      </c>
    </row>
    <row r="1457" spans="1:53" x14ac:dyDescent="0.25">
      <c r="A1457" s="3" t="s">
        <v>980</v>
      </c>
      <c r="E1457" s="3">
        <f t="shared" si="658"/>
        <v>0</v>
      </c>
      <c r="H1457" s="5">
        <f t="shared" si="659"/>
        <v>0</v>
      </c>
      <c r="K1457" s="4">
        <f t="shared" si="660"/>
        <v>0</v>
      </c>
      <c r="L1457" s="4"/>
      <c r="N1457" s="4">
        <f t="shared" si="661"/>
        <v>0</v>
      </c>
      <c r="Z1457" s="3">
        <f t="shared" si="657"/>
        <v>0</v>
      </c>
      <c r="AD1457" s="3">
        <f t="shared" si="662"/>
        <v>0</v>
      </c>
      <c r="AE1457" s="3"/>
      <c r="AF1457" s="3">
        <f t="shared" si="663"/>
        <v>0</v>
      </c>
    </row>
    <row r="1458" spans="1:53" x14ac:dyDescent="0.25">
      <c r="A1458" s="3" t="s">
        <v>977</v>
      </c>
      <c r="E1458" s="3">
        <f t="shared" si="658"/>
        <v>0</v>
      </c>
      <c r="H1458" s="5">
        <f t="shared" si="659"/>
        <v>0</v>
      </c>
      <c r="K1458" s="4">
        <f t="shared" si="660"/>
        <v>0</v>
      </c>
      <c r="L1458" s="4"/>
      <c r="N1458" s="4">
        <f t="shared" si="661"/>
        <v>0</v>
      </c>
      <c r="Z1458" s="3">
        <f t="shared" si="657"/>
        <v>0</v>
      </c>
      <c r="AD1458" s="3">
        <f t="shared" si="662"/>
        <v>0</v>
      </c>
      <c r="AE1458" s="3"/>
      <c r="AF1458" s="3">
        <f t="shared" si="663"/>
        <v>0</v>
      </c>
    </row>
    <row r="1459" spans="1:53" x14ac:dyDescent="0.25">
      <c r="A1459" s="3" t="s">
        <v>981</v>
      </c>
      <c r="E1459" s="3">
        <f t="shared" si="658"/>
        <v>0</v>
      </c>
      <c r="H1459" s="5">
        <f t="shared" si="659"/>
        <v>0</v>
      </c>
      <c r="K1459" s="4">
        <f t="shared" si="660"/>
        <v>0</v>
      </c>
      <c r="L1459" s="4"/>
      <c r="N1459" s="4">
        <f t="shared" si="661"/>
        <v>0</v>
      </c>
      <c r="Z1459" s="3">
        <f t="shared" si="657"/>
        <v>0</v>
      </c>
      <c r="AD1459" s="3">
        <f t="shared" si="662"/>
        <v>0</v>
      </c>
      <c r="AE1459" s="3"/>
      <c r="AF1459" s="3">
        <f t="shared" si="663"/>
        <v>0</v>
      </c>
    </row>
    <row r="1460" spans="1:53" x14ac:dyDescent="0.25">
      <c r="A1460" s="3"/>
      <c r="B1460" s="48">
        <f>SUM(B1451:B1459)</f>
        <v>26000</v>
      </c>
      <c r="C1460" s="32"/>
      <c r="D1460" s="48">
        <f>SUM(D1451:D1459)</f>
        <v>0</v>
      </c>
      <c r="E1460" s="48">
        <f>SUM(E1451:E1459)</f>
        <v>26000</v>
      </c>
      <c r="F1460" s="48">
        <f>SUM(F1451:F1459)</f>
        <v>26000</v>
      </c>
      <c r="G1460" s="32"/>
      <c r="H1460" s="48">
        <f>SUM(H1451:H1459)</f>
        <v>0</v>
      </c>
      <c r="I1460" s="36"/>
      <c r="J1460" s="48">
        <f>SUM(J1451:J1459)</f>
        <v>0</v>
      </c>
      <c r="K1460" s="48">
        <f>SUM(K1451:K1459)</f>
        <v>26000</v>
      </c>
      <c r="L1460" s="48">
        <f>SUM(L1451:L1459)</f>
        <v>26000</v>
      </c>
      <c r="M1460" s="32"/>
      <c r="N1460" s="48">
        <f>SUM(N1451:N1459)</f>
        <v>0</v>
      </c>
      <c r="P1460" s="48">
        <f>SUM(P1451:P1459)</f>
        <v>18000</v>
      </c>
      <c r="R1460" s="48">
        <f t="shared" ref="R1460:Z1460" si="664">SUM(R1451:R1459)</f>
        <v>0</v>
      </c>
      <c r="S1460" s="48">
        <f t="shared" si="664"/>
        <v>18000</v>
      </c>
      <c r="T1460" s="48">
        <f t="shared" si="664"/>
        <v>18000</v>
      </c>
      <c r="U1460" s="48">
        <f t="shared" si="664"/>
        <v>0</v>
      </c>
      <c r="V1460" s="48">
        <f t="shared" si="664"/>
        <v>39</v>
      </c>
      <c r="W1460" s="48">
        <f t="shared" si="664"/>
        <v>17961</v>
      </c>
      <c r="X1460" s="48"/>
      <c r="Y1460" s="48">
        <f t="shared" si="664"/>
        <v>18000</v>
      </c>
      <c r="Z1460" s="48">
        <f t="shared" si="664"/>
        <v>0</v>
      </c>
      <c r="AC1460" s="48">
        <f>SUM(AC1451:AC1459)</f>
        <v>5924</v>
      </c>
      <c r="AD1460" s="48">
        <f>SUM(AD1451:AD1459)</f>
        <v>9076</v>
      </c>
      <c r="AE1460" s="48">
        <f>SUM(AE1451:AE1459)</f>
        <v>15000</v>
      </c>
      <c r="AF1460" s="48">
        <f>SUM(AF1451:AF1459)</f>
        <v>-3000</v>
      </c>
      <c r="AH1460" s="48">
        <f>SUM(AH1451:AH1459)</f>
        <v>16000</v>
      </c>
      <c r="AJ1460" s="48">
        <f>SUM(AJ1451:AJ1459)</f>
        <v>18000</v>
      </c>
      <c r="AL1460" s="48">
        <f>SUM(AL1451:AL1459)</f>
        <v>18000</v>
      </c>
      <c r="AN1460" s="48">
        <f>SUM(AN1451:AN1459)</f>
        <v>25000</v>
      </c>
      <c r="AO1460" s="48"/>
      <c r="AP1460" s="48">
        <f>SUM(AP1451:AP1459)</f>
        <v>25000</v>
      </c>
      <c r="AR1460" s="48">
        <f>SUM(AR1451:AR1459)</f>
        <v>25000</v>
      </c>
      <c r="AT1460" s="48">
        <f>SUM(AT1451:AT1459)</f>
        <v>30000</v>
      </c>
      <c r="AV1460" s="48">
        <f>SUM(AV1451:AV1459)</f>
        <v>30000</v>
      </c>
      <c r="AX1460" s="48">
        <f>SUM(AX1451:AX1459)</f>
        <v>30000</v>
      </c>
      <c r="AZ1460" s="48">
        <f>SUM(AZ1451:AZ1459)</f>
        <v>30000</v>
      </c>
    </row>
    <row r="1461" spans="1:53" x14ac:dyDescent="0.25">
      <c r="A1461" s="7" t="s">
        <v>57</v>
      </c>
    </row>
    <row r="1462" spans="1:53" x14ac:dyDescent="0.25">
      <c r="A1462" s="3" t="s">
        <v>982</v>
      </c>
    </row>
    <row r="1463" spans="1:53" x14ac:dyDescent="0.25">
      <c r="A1463" s="3" t="s">
        <v>983</v>
      </c>
      <c r="B1463" s="5">
        <v>20000</v>
      </c>
      <c r="D1463" s="5">
        <v>0</v>
      </c>
      <c r="E1463" s="3">
        <f t="shared" ref="E1463:E1473" si="665">F1463-D1463</f>
        <v>20000</v>
      </c>
      <c r="F1463" s="5">
        <v>20000</v>
      </c>
      <c r="H1463" s="5">
        <f t="shared" ref="H1463:H1473" si="666">F1463-B1463</f>
        <v>0</v>
      </c>
      <c r="J1463" s="5">
        <v>0</v>
      </c>
      <c r="K1463" s="4">
        <f t="shared" ref="K1463:K1473" si="667">L1463-J1463</f>
        <v>20000</v>
      </c>
      <c r="L1463" s="5">
        <v>20000</v>
      </c>
      <c r="N1463" s="4">
        <f t="shared" ref="N1463:N1473" si="668">L1463-F1463</f>
        <v>0</v>
      </c>
      <c r="P1463" s="5">
        <v>20000</v>
      </c>
      <c r="S1463" s="3">
        <f t="shared" ref="S1463:S1473" si="669">T1463-R1463</f>
        <v>20000</v>
      </c>
      <c r="T1463" s="3">
        <v>20000</v>
      </c>
      <c r="U1463" s="3">
        <f t="shared" ref="U1463:U1473" si="670">T1463-P1463</f>
        <v>0</v>
      </c>
      <c r="W1463" s="3">
        <f t="shared" ref="W1463:W1473" si="671">Y1463-V1463</f>
        <v>20000</v>
      </c>
      <c r="X1463" s="3"/>
      <c r="Y1463" s="5">
        <v>20000</v>
      </c>
      <c r="Z1463" s="3">
        <f t="shared" ref="Z1463:Z1473" si="672">Y1463-T1463</f>
        <v>0</v>
      </c>
      <c r="AD1463" s="3">
        <f t="shared" ref="AD1463:AD1473" si="673">AE1463-AC1463</f>
        <v>20000</v>
      </c>
      <c r="AE1463" s="3">
        <v>20000</v>
      </c>
      <c r="AF1463" s="3">
        <f t="shared" ref="AF1463:AF1473" si="674">AE1463-Y1463</f>
        <v>0</v>
      </c>
      <c r="AJ1463" s="5">
        <v>625000</v>
      </c>
      <c r="AL1463" s="5">
        <v>625000</v>
      </c>
    </row>
    <row r="1464" spans="1:53" x14ac:dyDescent="0.25">
      <c r="A1464" s="3" t="s">
        <v>984</v>
      </c>
      <c r="B1464" s="3"/>
      <c r="D1464" s="3"/>
      <c r="E1464" s="3">
        <f t="shared" si="665"/>
        <v>0</v>
      </c>
      <c r="H1464" s="5">
        <f t="shared" si="666"/>
        <v>0</v>
      </c>
      <c r="K1464" s="4">
        <f t="shared" si="667"/>
        <v>0</v>
      </c>
      <c r="N1464" s="4">
        <f t="shared" si="668"/>
        <v>0</v>
      </c>
      <c r="P1464" s="3"/>
      <c r="Q1464" s="3"/>
      <c r="R1464" s="3"/>
      <c r="S1464" s="3">
        <f t="shared" si="669"/>
        <v>0</v>
      </c>
      <c r="T1464" s="3"/>
      <c r="U1464" s="3">
        <f t="shared" si="670"/>
        <v>0</v>
      </c>
      <c r="V1464" s="3"/>
      <c r="W1464" s="3">
        <f t="shared" si="671"/>
        <v>0</v>
      </c>
      <c r="X1464" s="3"/>
      <c r="Y1464" s="3"/>
      <c r="Z1464" s="3">
        <f t="shared" si="672"/>
        <v>0</v>
      </c>
      <c r="AA1464" s="3"/>
      <c r="AB1464" s="3"/>
      <c r="AC1464" s="3"/>
      <c r="AD1464" s="3">
        <f t="shared" si="673"/>
        <v>0</v>
      </c>
      <c r="AE1464" s="3"/>
      <c r="AF1464" s="3">
        <f t="shared" si="674"/>
        <v>0</v>
      </c>
      <c r="AG1464" s="3"/>
      <c r="AH1464" s="3"/>
      <c r="AI1464" s="3"/>
      <c r="AJ1464" s="3">
        <v>134430</v>
      </c>
      <c r="AK1464" s="3"/>
      <c r="AL1464" s="3">
        <v>134430</v>
      </c>
      <c r="AM1464" s="3"/>
      <c r="AN1464" s="3">
        <v>134430</v>
      </c>
      <c r="AO1464" s="3"/>
      <c r="AP1464" s="3">
        <v>134430</v>
      </c>
      <c r="AQ1464" s="42"/>
      <c r="AR1464" s="3">
        <v>134430</v>
      </c>
      <c r="AT1464" s="3">
        <v>134430</v>
      </c>
      <c r="AV1464" s="3">
        <v>134430</v>
      </c>
      <c r="AX1464" s="3">
        <v>134430</v>
      </c>
      <c r="AZ1464" s="3">
        <v>134430</v>
      </c>
    </row>
    <row r="1465" spans="1:53" x14ac:dyDescent="0.25">
      <c r="A1465" s="3" t="s">
        <v>985</v>
      </c>
      <c r="B1465" s="3">
        <v>27750</v>
      </c>
      <c r="D1465" s="3">
        <v>0</v>
      </c>
      <c r="E1465" s="3">
        <f t="shared" si="665"/>
        <v>27750</v>
      </c>
      <c r="F1465" s="5">
        <v>27750</v>
      </c>
      <c r="H1465" s="5">
        <f t="shared" si="666"/>
        <v>0</v>
      </c>
      <c r="J1465" s="5">
        <v>0</v>
      </c>
      <c r="K1465" s="4">
        <f t="shared" si="667"/>
        <v>27750</v>
      </c>
      <c r="L1465" s="5">
        <v>27750</v>
      </c>
      <c r="N1465" s="4">
        <f t="shared" si="668"/>
        <v>0</v>
      </c>
      <c r="P1465" s="3">
        <f>L1465*1.036+1</f>
        <v>28750</v>
      </c>
      <c r="Q1465" s="3"/>
      <c r="R1465" s="3"/>
      <c r="S1465" s="3">
        <f t="shared" si="669"/>
        <v>28750</v>
      </c>
      <c r="T1465" s="3">
        <v>28750</v>
      </c>
      <c r="U1465" s="3">
        <f t="shared" si="670"/>
        <v>0</v>
      </c>
      <c r="V1465" s="3"/>
      <c r="W1465" s="3">
        <f t="shared" si="671"/>
        <v>28750</v>
      </c>
      <c r="X1465" s="3"/>
      <c r="Y1465" s="3">
        <v>28750</v>
      </c>
      <c r="Z1465" s="3">
        <f t="shared" si="672"/>
        <v>0</v>
      </c>
      <c r="AA1465" s="3"/>
      <c r="AB1465" s="3"/>
      <c r="AC1465" s="3"/>
      <c r="AD1465" s="3">
        <f t="shared" si="673"/>
        <v>28750</v>
      </c>
      <c r="AE1465" s="3">
        <v>28750</v>
      </c>
      <c r="AF1465" s="3">
        <f t="shared" si="674"/>
        <v>0</v>
      </c>
      <c r="AG1465" s="3"/>
      <c r="AH1465" s="3">
        <f>AE1465*1.03+37</f>
        <v>29649.5</v>
      </c>
      <c r="AI1465" s="3"/>
      <c r="AJ1465" s="3">
        <f>AH1465*1.03</f>
        <v>30538.985000000001</v>
      </c>
      <c r="AK1465" s="3"/>
      <c r="AL1465" s="3">
        <f>AJ1465*1.03</f>
        <v>31455.154550000003</v>
      </c>
      <c r="AM1465" s="3"/>
      <c r="AN1465" s="3">
        <f>AL1465*1.03</f>
        <v>32398.809186500002</v>
      </c>
      <c r="AO1465" s="3"/>
      <c r="AP1465" s="3">
        <f>AN1465*1.03</f>
        <v>33370.773462095007</v>
      </c>
      <c r="AQ1465" s="42"/>
      <c r="AR1465" s="3">
        <f>AP1465*1.03</f>
        <v>34371.896665957858</v>
      </c>
      <c r="AS1465" s="42"/>
      <c r="AT1465" s="3">
        <f>AR1465*1.03</f>
        <v>35403.053565936592</v>
      </c>
      <c r="AU1465" s="42"/>
      <c r="AV1465" s="3">
        <f>AT1465*1.03</f>
        <v>36465.145172914694</v>
      </c>
      <c r="AW1465" s="42"/>
      <c r="AX1465" s="3">
        <f>AV1465*1.03</f>
        <v>37559.099528102139</v>
      </c>
      <c r="AZ1465" s="3">
        <f>AX1465*1.03</f>
        <v>38685.872513945207</v>
      </c>
      <c r="BA1465" s="42"/>
    </row>
    <row r="1466" spans="1:53" x14ac:dyDescent="0.25">
      <c r="A1466" s="3" t="s">
        <v>986</v>
      </c>
      <c r="B1466" s="3"/>
      <c r="D1466" s="3"/>
      <c r="E1466" s="3">
        <f t="shared" si="665"/>
        <v>0</v>
      </c>
      <c r="H1466" s="5">
        <f t="shared" si="666"/>
        <v>0</v>
      </c>
      <c r="K1466" s="4">
        <f t="shared" si="667"/>
        <v>0</v>
      </c>
      <c r="N1466" s="4">
        <f t="shared" si="668"/>
        <v>0</v>
      </c>
      <c r="P1466" s="3"/>
      <c r="Q1466" s="3"/>
      <c r="R1466" s="3"/>
      <c r="S1466" s="3">
        <f t="shared" si="669"/>
        <v>0</v>
      </c>
      <c r="T1466" s="3"/>
      <c r="U1466" s="3">
        <f t="shared" si="670"/>
        <v>0</v>
      </c>
      <c r="V1466" s="3"/>
      <c r="W1466" s="3">
        <f t="shared" si="671"/>
        <v>0</v>
      </c>
      <c r="X1466" s="3"/>
      <c r="Y1466" s="3"/>
      <c r="Z1466" s="3">
        <f t="shared" si="672"/>
        <v>0</v>
      </c>
      <c r="AA1466" s="3"/>
      <c r="AB1466" s="3"/>
      <c r="AC1466" s="3"/>
      <c r="AD1466" s="3">
        <f t="shared" si="673"/>
        <v>0</v>
      </c>
      <c r="AE1466" s="3"/>
      <c r="AF1466" s="3">
        <f t="shared" si="674"/>
        <v>0</v>
      </c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42"/>
      <c r="AR1466" s="3"/>
      <c r="AT1466" s="3"/>
      <c r="AV1466" s="3"/>
      <c r="AX1466" s="3"/>
      <c r="AZ1466" s="3"/>
    </row>
    <row r="1467" spans="1:53" s="42" customFormat="1" x14ac:dyDescent="0.25">
      <c r="A1467" s="3" t="s">
        <v>241</v>
      </c>
      <c r="B1467" s="4">
        <v>49000</v>
      </c>
      <c r="C1467" s="4"/>
      <c r="D1467" s="4">
        <v>0</v>
      </c>
      <c r="E1467" s="3">
        <f t="shared" si="665"/>
        <v>49000</v>
      </c>
      <c r="F1467" s="5">
        <v>49000</v>
      </c>
      <c r="G1467" s="3"/>
      <c r="H1467" s="5">
        <f t="shared" si="666"/>
        <v>0</v>
      </c>
      <c r="I1467" s="5"/>
      <c r="J1467" s="5">
        <v>0</v>
      </c>
      <c r="K1467" s="4">
        <f t="shared" si="667"/>
        <v>49000</v>
      </c>
      <c r="L1467" s="5">
        <v>49000</v>
      </c>
      <c r="M1467" s="4"/>
      <c r="N1467" s="4">
        <f t="shared" si="668"/>
        <v>0</v>
      </c>
      <c r="O1467" s="3"/>
      <c r="P1467" s="32"/>
      <c r="Q1467" s="3"/>
      <c r="R1467" s="3"/>
      <c r="S1467" s="3">
        <f t="shared" si="669"/>
        <v>49000</v>
      </c>
      <c r="T1467" s="3">
        <v>49000</v>
      </c>
      <c r="U1467" s="3">
        <f t="shared" si="670"/>
        <v>49000</v>
      </c>
      <c r="V1467" s="3"/>
      <c r="W1467" s="3">
        <f t="shared" si="671"/>
        <v>49000</v>
      </c>
      <c r="X1467" s="3"/>
      <c r="Y1467" s="3">
        <v>49000</v>
      </c>
      <c r="Z1467" s="3">
        <f t="shared" si="672"/>
        <v>0</v>
      </c>
      <c r="AA1467" s="3"/>
      <c r="AB1467" s="3"/>
      <c r="AC1467" s="3"/>
      <c r="AD1467" s="3">
        <f t="shared" si="673"/>
        <v>49000</v>
      </c>
      <c r="AE1467" s="3">
        <v>49000</v>
      </c>
      <c r="AF1467" s="3">
        <f t="shared" si="674"/>
        <v>0</v>
      </c>
      <c r="AG1467" s="3"/>
      <c r="AH1467" s="32"/>
      <c r="AI1467" s="32"/>
      <c r="AJ1467" s="32"/>
      <c r="AK1467" s="3"/>
      <c r="AL1467" s="32"/>
      <c r="AM1467" s="3"/>
      <c r="AN1467" s="32"/>
      <c r="AO1467" s="32"/>
      <c r="AP1467" s="32"/>
      <c r="AR1467" s="32"/>
      <c r="AT1467" s="32"/>
      <c r="AV1467" s="32"/>
      <c r="AX1467" s="32"/>
      <c r="AZ1467" s="32"/>
      <c r="BA1467" s="6"/>
    </row>
    <row r="1468" spans="1:53" x14ac:dyDescent="0.25">
      <c r="A1468" s="3" t="s">
        <v>842</v>
      </c>
      <c r="B1468" s="3"/>
      <c r="D1468" s="3"/>
      <c r="E1468" s="3">
        <f t="shared" si="665"/>
        <v>0</v>
      </c>
      <c r="H1468" s="5">
        <f t="shared" si="666"/>
        <v>0</v>
      </c>
      <c r="K1468" s="4">
        <f t="shared" si="667"/>
        <v>0</v>
      </c>
      <c r="N1468" s="4">
        <f t="shared" si="668"/>
        <v>0</v>
      </c>
      <c r="P1468" s="3"/>
      <c r="Q1468" s="3"/>
      <c r="R1468" s="3"/>
      <c r="S1468" s="3">
        <f t="shared" si="669"/>
        <v>0</v>
      </c>
      <c r="T1468" s="3"/>
      <c r="U1468" s="3">
        <f t="shared" si="670"/>
        <v>0</v>
      </c>
      <c r="V1468" s="3"/>
      <c r="W1468" s="3">
        <f t="shared" si="671"/>
        <v>0</v>
      </c>
      <c r="X1468" s="3"/>
      <c r="Y1468" s="3"/>
      <c r="Z1468" s="3">
        <f t="shared" si="672"/>
        <v>0</v>
      </c>
      <c r="AA1468" s="3"/>
      <c r="AB1468" s="3"/>
      <c r="AC1468" s="3"/>
      <c r="AD1468" s="3">
        <f t="shared" si="673"/>
        <v>0</v>
      </c>
      <c r="AE1468" s="3"/>
      <c r="AF1468" s="3">
        <f t="shared" si="674"/>
        <v>0</v>
      </c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42"/>
      <c r="AR1468" s="3"/>
      <c r="AT1468" s="3"/>
      <c r="AV1468" s="3"/>
      <c r="AX1468" s="3"/>
      <c r="AZ1468" s="3"/>
    </row>
    <row r="1469" spans="1:53" x14ac:dyDescent="0.25">
      <c r="A1469" s="3" t="s">
        <v>987</v>
      </c>
      <c r="B1469" s="3"/>
      <c r="D1469" s="3"/>
      <c r="E1469" s="3"/>
      <c r="K1469" s="4"/>
      <c r="N1469" s="4"/>
      <c r="P1469" s="3"/>
      <c r="Q1469" s="3"/>
      <c r="R1469" s="3"/>
      <c r="S1469" s="3">
        <f t="shared" si="669"/>
        <v>0</v>
      </c>
      <c r="T1469" s="3"/>
      <c r="U1469" s="3">
        <f t="shared" si="670"/>
        <v>0</v>
      </c>
      <c r="V1469" s="3"/>
      <c r="W1469" s="3">
        <f t="shared" si="671"/>
        <v>0</v>
      </c>
      <c r="X1469" s="3"/>
      <c r="Y1469" s="3"/>
      <c r="Z1469" s="3">
        <f t="shared" si="672"/>
        <v>0</v>
      </c>
      <c r="AA1469" s="3"/>
      <c r="AB1469" s="3"/>
      <c r="AC1469" s="3"/>
      <c r="AD1469" s="3">
        <f t="shared" si="673"/>
        <v>0</v>
      </c>
      <c r="AE1469" s="3"/>
      <c r="AF1469" s="3">
        <f t="shared" si="674"/>
        <v>0</v>
      </c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42"/>
      <c r="AR1469" s="3"/>
      <c r="AT1469" s="3"/>
      <c r="AV1469" s="3"/>
      <c r="AX1469" s="3"/>
      <c r="AZ1469" s="3"/>
    </row>
    <row r="1470" spans="1:53" x14ac:dyDescent="0.25">
      <c r="A1470" s="3" t="s">
        <v>988</v>
      </c>
      <c r="B1470" s="3">
        <v>20000</v>
      </c>
      <c r="D1470" s="3">
        <v>0</v>
      </c>
      <c r="E1470" s="3">
        <f t="shared" si="665"/>
        <v>20000</v>
      </c>
      <c r="F1470" s="5">
        <v>20000</v>
      </c>
      <c r="H1470" s="5">
        <f t="shared" si="666"/>
        <v>0</v>
      </c>
      <c r="J1470" s="5">
        <v>0</v>
      </c>
      <c r="K1470" s="4">
        <f t="shared" si="667"/>
        <v>20000</v>
      </c>
      <c r="L1470" s="5">
        <v>20000</v>
      </c>
      <c r="N1470" s="4">
        <f t="shared" si="668"/>
        <v>0</v>
      </c>
      <c r="P1470" s="3"/>
      <c r="Q1470" s="3"/>
      <c r="R1470" s="3"/>
      <c r="S1470" s="3">
        <f t="shared" si="669"/>
        <v>30000</v>
      </c>
      <c r="T1470" s="3">
        <v>30000</v>
      </c>
      <c r="U1470" s="3">
        <f t="shared" si="670"/>
        <v>30000</v>
      </c>
      <c r="V1470" s="3"/>
      <c r="W1470" s="3">
        <f t="shared" si="671"/>
        <v>30000</v>
      </c>
      <c r="X1470" s="3"/>
      <c r="Y1470" s="3">
        <v>30000</v>
      </c>
      <c r="Z1470" s="3">
        <f t="shared" si="672"/>
        <v>0</v>
      </c>
      <c r="AA1470" s="3"/>
      <c r="AB1470" s="3"/>
      <c r="AC1470" s="3"/>
      <c r="AD1470" s="3">
        <f t="shared" si="673"/>
        <v>30000</v>
      </c>
      <c r="AE1470" s="3">
        <v>30000</v>
      </c>
      <c r="AF1470" s="3">
        <f t="shared" si="674"/>
        <v>0</v>
      </c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42"/>
      <c r="AR1470" s="3"/>
      <c r="AT1470" s="3"/>
      <c r="AV1470" s="3"/>
      <c r="AX1470" s="3"/>
      <c r="AZ1470" s="3"/>
    </row>
    <row r="1471" spans="1:53" x14ac:dyDescent="0.25">
      <c r="A1471" s="3" t="s">
        <v>989</v>
      </c>
      <c r="B1471" s="3"/>
      <c r="D1471" s="3"/>
      <c r="E1471" s="3">
        <f t="shared" si="665"/>
        <v>0</v>
      </c>
      <c r="H1471" s="5">
        <f t="shared" si="666"/>
        <v>0</v>
      </c>
      <c r="K1471" s="4">
        <f t="shared" si="667"/>
        <v>0</v>
      </c>
      <c r="N1471" s="4">
        <f t="shared" si="668"/>
        <v>0</v>
      </c>
      <c r="P1471" s="3"/>
      <c r="Q1471" s="3"/>
      <c r="R1471" s="3"/>
      <c r="S1471" s="3">
        <f t="shared" si="669"/>
        <v>0</v>
      </c>
      <c r="T1471" s="3"/>
      <c r="U1471" s="3">
        <f t="shared" si="670"/>
        <v>0</v>
      </c>
      <c r="V1471" s="3"/>
      <c r="W1471" s="3">
        <f t="shared" si="671"/>
        <v>0</v>
      </c>
      <c r="X1471" s="3"/>
      <c r="Y1471" s="3"/>
      <c r="Z1471" s="3">
        <f t="shared" si="672"/>
        <v>0</v>
      </c>
      <c r="AA1471" s="3"/>
      <c r="AB1471" s="3"/>
      <c r="AC1471" s="3"/>
      <c r="AD1471" s="3">
        <f t="shared" si="673"/>
        <v>0</v>
      </c>
      <c r="AE1471" s="3"/>
      <c r="AF1471" s="3">
        <f t="shared" si="674"/>
        <v>0</v>
      </c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42"/>
      <c r="AR1471" s="3"/>
      <c r="AT1471" s="3"/>
      <c r="AV1471" s="3"/>
      <c r="AX1471" s="3"/>
      <c r="AZ1471" s="3"/>
    </row>
    <row r="1472" spans="1:53" x14ac:dyDescent="0.25">
      <c r="A1472" s="3" t="s">
        <v>990</v>
      </c>
      <c r="B1472" s="3"/>
      <c r="D1472" s="3"/>
      <c r="E1472" s="3">
        <f>F1472-D1472</f>
        <v>2000</v>
      </c>
      <c r="F1472" s="5">
        <v>2000</v>
      </c>
      <c r="H1472" s="5">
        <f>F1472-B1472</f>
        <v>2000</v>
      </c>
      <c r="J1472" s="5">
        <v>0</v>
      </c>
      <c r="K1472" s="4">
        <f t="shared" si="667"/>
        <v>2000</v>
      </c>
      <c r="L1472" s="5">
        <v>2000</v>
      </c>
      <c r="N1472" s="4">
        <f t="shared" si="668"/>
        <v>0</v>
      </c>
      <c r="P1472" s="3"/>
      <c r="Q1472" s="3"/>
      <c r="R1472" s="3"/>
      <c r="S1472" s="3">
        <f t="shared" si="669"/>
        <v>0</v>
      </c>
      <c r="T1472" s="3"/>
      <c r="U1472" s="3">
        <f t="shared" si="670"/>
        <v>0</v>
      </c>
      <c r="V1472" s="3"/>
      <c r="W1472" s="3">
        <f t="shared" si="671"/>
        <v>0</v>
      </c>
      <c r="X1472" s="3"/>
      <c r="Y1472" s="3"/>
      <c r="Z1472" s="3">
        <f t="shared" si="672"/>
        <v>0</v>
      </c>
      <c r="AA1472" s="3"/>
      <c r="AB1472" s="3"/>
      <c r="AC1472" s="3"/>
      <c r="AD1472" s="3">
        <f t="shared" si="673"/>
        <v>0</v>
      </c>
      <c r="AE1472" s="3"/>
      <c r="AF1472" s="3">
        <f t="shared" si="674"/>
        <v>0</v>
      </c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42"/>
      <c r="AR1472" s="3"/>
      <c r="AT1472" s="3"/>
      <c r="AV1472" s="3"/>
      <c r="AX1472" s="3"/>
      <c r="AZ1472" s="3"/>
    </row>
    <row r="1473" spans="1:52" x14ac:dyDescent="0.25">
      <c r="A1473" s="3" t="s">
        <v>537</v>
      </c>
      <c r="B1473" s="3">
        <v>87800</v>
      </c>
      <c r="D1473" s="3">
        <v>0</v>
      </c>
      <c r="E1473" s="3">
        <f t="shared" si="665"/>
        <v>87800</v>
      </c>
      <c r="F1473" s="5">
        <v>87800</v>
      </c>
      <c r="H1473" s="5">
        <f t="shared" si="666"/>
        <v>0</v>
      </c>
      <c r="J1473" s="5">
        <v>25938</v>
      </c>
      <c r="K1473" s="4">
        <f t="shared" si="667"/>
        <v>61862</v>
      </c>
      <c r="L1473" s="5">
        <v>87800</v>
      </c>
      <c r="N1473" s="4">
        <f t="shared" si="668"/>
        <v>0</v>
      </c>
      <c r="P1473" s="3">
        <v>101000</v>
      </c>
      <c r="Q1473" s="3"/>
      <c r="R1473" s="3">
        <v>12710</v>
      </c>
      <c r="S1473" s="3">
        <f t="shared" si="669"/>
        <v>88290</v>
      </c>
      <c r="T1473" s="3">
        <v>101000</v>
      </c>
      <c r="U1473" s="3">
        <f t="shared" si="670"/>
        <v>0</v>
      </c>
      <c r="V1473" s="3">
        <v>27897</v>
      </c>
      <c r="W1473" s="3">
        <f t="shared" si="671"/>
        <v>62103</v>
      </c>
      <c r="X1473" s="3"/>
      <c r="Y1473" s="3">
        <v>90000</v>
      </c>
      <c r="Z1473" s="3">
        <f t="shared" si="672"/>
        <v>-11000</v>
      </c>
      <c r="AA1473" s="3"/>
      <c r="AB1473" s="3"/>
      <c r="AC1473" s="3">
        <f>42791+1454</f>
        <v>44245</v>
      </c>
      <c r="AD1473" s="3">
        <f t="shared" si="673"/>
        <v>48255</v>
      </c>
      <c r="AE1473" s="3">
        <v>92500</v>
      </c>
      <c r="AF1473" s="3">
        <f t="shared" si="674"/>
        <v>2500</v>
      </c>
      <c r="AG1473" s="3"/>
      <c r="AH1473" s="3">
        <f>AE1473*1.075-38</f>
        <v>99399.5</v>
      </c>
      <c r="AI1473" s="3"/>
      <c r="AJ1473" s="3">
        <f>AH1473*1.05</f>
        <v>104369.47500000001</v>
      </c>
      <c r="AK1473" s="3"/>
      <c r="AL1473" s="3">
        <f>AJ1473*1.03</f>
        <v>107500.55925000001</v>
      </c>
      <c r="AM1473" s="3"/>
      <c r="AN1473" s="3">
        <f>AL1473*1.03</f>
        <v>110725.57602750001</v>
      </c>
      <c r="AO1473" s="3"/>
      <c r="AP1473" s="3">
        <f>AN1473*1.03</f>
        <v>114047.34330832501</v>
      </c>
      <c r="AQ1473" s="42"/>
      <c r="AR1473" s="3">
        <f>AP1473*1.03</f>
        <v>117468.76360757477</v>
      </c>
      <c r="AT1473" s="3">
        <f>AR1473*1.03</f>
        <v>120992.82651580202</v>
      </c>
      <c r="AV1473" s="3">
        <f>AT1473*1.03</f>
        <v>124622.61131127608</v>
      </c>
      <c r="AX1473" s="3">
        <f>AV1473*1.03</f>
        <v>128361.28965061436</v>
      </c>
      <c r="AZ1473" s="3">
        <f>AX1473*1.03</f>
        <v>132212.1283401328</v>
      </c>
    </row>
    <row r="1474" spans="1:52" x14ac:dyDescent="0.25">
      <c r="A1474" s="3"/>
      <c r="B1474" s="48">
        <f>SUM(B1462:B1473)</f>
        <v>204550</v>
      </c>
      <c r="C1474" s="32"/>
      <c r="D1474" s="48">
        <f>SUM(D1462:D1473)</f>
        <v>0</v>
      </c>
      <c r="E1474" s="48">
        <f>SUM(E1462:E1473)</f>
        <v>206550</v>
      </c>
      <c r="F1474" s="48">
        <f>SUM(F1462:F1473)</f>
        <v>206550</v>
      </c>
      <c r="G1474" s="32"/>
      <c r="H1474" s="48">
        <f>SUM(H1462:H1473)</f>
        <v>2000</v>
      </c>
      <c r="I1474" s="36"/>
      <c r="J1474" s="48">
        <f>SUM(J1462:J1473)</f>
        <v>25938</v>
      </c>
      <c r="K1474" s="48">
        <f>SUM(K1462:K1473)</f>
        <v>180612</v>
      </c>
      <c r="L1474" s="48">
        <f>SUM(L1462:L1473)</f>
        <v>206550</v>
      </c>
      <c r="M1474" s="32"/>
      <c r="N1474" s="48">
        <f>SUM(N1462:N1473)</f>
        <v>0</v>
      </c>
      <c r="P1474" s="48">
        <f>SUM(P1462:P1473)</f>
        <v>149750</v>
      </c>
      <c r="R1474" s="48">
        <f t="shared" ref="R1474:Z1474" si="675">SUM(R1462:R1473)</f>
        <v>12710</v>
      </c>
      <c r="S1474" s="48">
        <f t="shared" si="675"/>
        <v>216040</v>
      </c>
      <c r="T1474" s="48">
        <f t="shared" si="675"/>
        <v>228750</v>
      </c>
      <c r="U1474" s="48">
        <f t="shared" si="675"/>
        <v>79000</v>
      </c>
      <c r="V1474" s="48">
        <f t="shared" si="675"/>
        <v>27897</v>
      </c>
      <c r="W1474" s="48">
        <f t="shared" si="675"/>
        <v>189853</v>
      </c>
      <c r="X1474" s="48"/>
      <c r="Y1474" s="48">
        <f t="shared" si="675"/>
        <v>217750</v>
      </c>
      <c r="Z1474" s="48">
        <f t="shared" si="675"/>
        <v>-11000</v>
      </c>
      <c r="AC1474" s="48">
        <f>SUM(AC1462:AC1473)</f>
        <v>44245</v>
      </c>
      <c r="AD1474" s="48">
        <f>SUM(AD1462:AD1473)</f>
        <v>176005</v>
      </c>
      <c r="AE1474" s="48">
        <f>SUM(AE1462:AE1473)</f>
        <v>220250</v>
      </c>
      <c r="AF1474" s="48">
        <f>SUM(AF1462:AF1473)</f>
        <v>2500</v>
      </c>
      <c r="AH1474" s="48">
        <f>SUM(AH1462:AH1473)</f>
        <v>129049</v>
      </c>
      <c r="AJ1474" s="48">
        <f>SUM(AJ1462:AJ1473)</f>
        <v>894338.46</v>
      </c>
      <c r="AL1474" s="48">
        <f>SUM(AL1462:AL1473)</f>
        <v>898385.71380000003</v>
      </c>
      <c r="AN1474" s="48">
        <f>SUM(AN1462:AN1473)</f>
        <v>277554.38521400001</v>
      </c>
      <c r="AO1474" s="48"/>
      <c r="AP1474" s="48">
        <f>SUM(AP1462:AP1473)</f>
        <v>281848.11677041999</v>
      </c>
      <c r="AR1474" s="48">
        <f>SUM(AR1462:AR1473)</f>
        <v>286270.66027353262</v>
      </c>
      <c r="AT1474" s="48">
        <f>SUM(AT1462:AT1473)</f>
        <v>290825.88008173864</v>
      </c>
      <c r="AV1474" s="48">
        <f>SUM(AV1462:AV1473)</f>
        <v>295517.75648419076</v>
      </c>
      <c r="AX1474" s="48">
        <f>SUM(AX1462:AX1473)</f>
        <v>300350.38917871652</v>
      </c>
      <c r="AZ1474" s="48">
        <f>SUM(AZ1462:AZ1473)</f>
        <v>305328.00085407798</v>
      </c>
    </row>
    <row r="1475" spans="1:52" ht="15.75" thickBot="1" x14ac:dyDescent="0.3">
      <c r="A1475" s="3"/>
      <c r="B1475" s="43">
        <f>B1474+B1460+B1449</f>
        <v>303550</v>
      </c>
      <c r="C1475" s="32"/>
      <c r="D1475" s="43">
        <f>D1474+D1460+D1449</f>
        <v>0</v>
      </c>
      <c r="E1475" s="43">
        <f>E1474+E1460+E1449</f>
        <v>305550</v>
      </c>
      <c r="F1475" s="43">
        <f>F1474+F1460+F1449</f>
        <v>305550</v>
      </c>
      <c r="G1475" s="32"/>
      <c r="H1475" s="43">
        <f>H1474+H1460+H1449</f>
        <v>2000</v>
      </c>
      <c r="I1475" s="36"/>
      <c r="J1475" s="43">
        <f>J1474+J1460+J1449</f>
        <v>25938</v>
      </c>
      <c r="K1475" s="43">
        <f>K1474+K1460+K1449</f>
        <v>279612</v>
      </c>
      <c r="L1475" s="43">
        <f>L1474+L1460+L1449</f>
        <v>305550</v>
      </c>
      <c r="M1475" s="32"/>
      <c r="N1475" s="43">
        <f>N1474+N1460+N1449</f>
        <v>0</v>
      </c>
      <c r="P1475" s="43">
        <f>P1474+P1460+P1449</f>
        <v>292750</v>
      </c>
      <c r="R1475" s="43">
        <f t="shared" ref="R1475:Z1475" si="676">R1474+R1460+R1449</f>
        <v>43104</v>
      </c>
      <c r="S1475" s="43">
        <f t="shared" si="676"/>
        <v>328646</v>
      </c>
      <c r="T1475" s="43">
        <f t="shared" si="676"/>
        <v>371750</v>
      </c>
      <c r="U1475" s="43">
        <f t="shared" si="676"/>
        <v>79000</v>
      </c>
      <c r="V1475" s="43">
        <f t="shared" si="676"/>
        <v>76751</v>
      </c>
      <c r="W1475" s="43">
        <f t="shared" si="676"/>
        <v>283999</v>
      </c>
      <c r="X1475" s="43"/>
      <c r="Y1475" s="43">
        <f t="shared" si="676"/>
        <v>360750</v>
      </c>
      <c r="Z1475" s="43">
        <f t="shared" si="676"/>
        <v>-11000</v>
      </c>
      <c r="AC1475" s="43">
        <f>AC1474+AC1460+AC1449</f>
        <v>104593</v>
      </c>
      <c r="AD1475" s="43">
        <f>AD1474+AD1460+AD1449</f>
        <v>248157</v>
      </c>
      <c r="AE1475" s="43">
        <f>AE1474+AE1460+AE1449</f>
        <v>352750</v>
      </c>
      <c r="AF1475" s="43">
        <f>AF1474+AF1460+AF1449</f>
        <v>-8000</v>
      </c>
      <c r="AH1475" s="43">
        <f>AH1474+AH1460+AH1449</f>
        <v>265049</v>
      </c>
      <c r="AJ1475" s="43">
        <f>AJ1474+AJ1460+AJ1449</f>
        <v>1042338.46</v>
      </c>
      <c r="AL1475" s="43">
        <f>AL1474+AL1460+AL1449</f>
        <v>1066385.7138</v>
      </c>
      <c r="AN1475" s="43">
        <f>AN1474+AN1460+AN1449</f>
        <v>452554.38521400001</v>
      </c>
      <c r="AO1475" s="43"/>
      <c r="AP1475" s="43">
        <f>AP1474+AP1460+AP1449</f>
        <v>466848.11677041999</v>
      </c>
      <c r="AR1475" s="43">
        <f>AR1474+AR1460+AR1449</f>
        <v>486270.66027353262</v>
      </c>
      <c r="AT1475" s="43">
        <f>AT1474+AT1460+AT1449</f>
        <v>495825.88008173864</v>
      </c>
      <c r="AV1475" s="43">
        <f>AV1474+AV1460+AV1449</f>
        <v>510517.75648419076</v>
      </c>
      <c r="AX1475" s="43">
        <f>AX1474+AX1460+AX1449</f>
        <v>530350.38917871658</v>
      </c>
      <c r="AZ1475" s="43">
        <f>AZ1474+AZ1460+AZ1449</f>
        <v>535328.00085407798</v>
      </c>
    </row>
    <row r="1476" spans="1:52" ht="15.75" thickTop="1" x14ac:dyDescent="0.25">
      <c r="A1476" s="3"/>
    </row>
    <row r="1477" spans="1:52" ht="15.75" thickBot="1" x14ac:dyDescent="0.3">
      <c r="A1477" s="3" t="s">
        <v>249</v>
      </c>
      <c r="B1477" s="43">
        <f>B1475+B1418+B1413+B1410+B1425</f>
        <v>369450</v>
      </c>
      <c r="C1477" s="32"/>
      <c r="D1477" s="43">
        <f>D1475+D1418+D1413+D1410+D1425</f>
        <v>12369</v>
      </c>
      <c r="E1477" s="43">
        <f>E1475+E1418+E1413+E1410+E1425</f>
        <v>359081</v>
      </c>
      <c r="F1477" s="43">
        <f>F1475+F1418+F1413+F1410+F1425</f>
        <v>371450</v>
      </c>
      <c r="G1477" s="32"/>
      <c r="H1477" s="43">
        <f>H1475+H1418+H1413+H1410+H1425</f>
        <v>2000</v>
      </c>
      <c r="I1477" s="36"/>
      <c r="J1477" s="43">
        <f>J1475+J1418+J1413+J1410+J1425</f>
        <v>44822</v>
      </c>
      <c r="K1477" s="43">
        <f>K1475+K1418+K1413+K1410+K1425</f>
        <v>325328</v>
      </c>
      <c r="L1477" s="43">
        <f>L1475+L1418+L1413+L1410+L1425</f>
        <v>370150</v>
      </c>
      <c r="M1477" s="32"/>
      <c r="N1477" s="43">
        <f>N1475+N1418+N1413+N1410+N1425</f>
        <v>-1300</v>
      </c>
      <c r="P1477" s="43">
        <f>P1475+P1418+P1413+P1410+P1425</f>
        <v>357740.5</v>
      </c>
      <c r="R1477" s="43">
        <f t="shared" ref="R1477:Z1477" si="677">R1475+R1418+R1413+R1410+R1425</f>
        <v>60242</v>
      </c>
      <c r="S1477" s="43">
        <f t="shared" si="677"/>
        <v>391518</v>
      </c>
      <c r="T1477" s="43">
        <f t="shared" si="677"/>
        <v>451760</v>
      </c>
      <c r="U1477" s="43">
        <f t="shared" si="677"/>
        <v>94019.5</v>
      </c>
      <c r="V1477" s="43">
        <f t="shared" si="677"/>
        <v>100264</v>
      </c>
      <c r="W1477" s="43">
        <f t="shared" si="677"/>
        <v>313046</v>
      </c>
      <c r="X1477" s="43"/>
      <c r="Y1477" s="43">
        <f t="shared" si="677"/>
        <v>439060</v>
      </c>
      <c r="Z1477" s="43">
        <f t="shared" si="677"/>
        <v>-12700</v>
      </c>
      <c r="AC1477" s="43">
        <f>AC1475+AC1418+AC1413+AC1410+AC1425</f>
        <v>146053</v>
      </c>
      <c r="AD1477" s="43">
        <f>AD1475+AD1418+AD1413+AD1410+AD1425</f>
        <v>280097</v>
      </c>
      <c r="AE1477" s="43">
        <f>AE1475+AE1418+AE1413+AE1410+AE1425</f>
        <v>426150</v>
      </c>
      <c r="AF1477" s="43">
        <f>AF1475+AF1418+AF1413+AF1410+AF1425</f>
        <v>-12910</v>
      </c>
      <c r="AH1477" s="43">
        <f>AH1475+AH1418+AH1413+AH1410+AH1425</f>
        <v>320348.7</v>
      </c>
      <c r="AJ1477" s="43">
        <f>AJ1475+AJ1418+AJ1413+AJ1410+AJ1425</f>
        <v>1094580.1510000001</v>
      </c>
      <c r="AL1477" s="43">
        <f>AL1475+AL1418+AL1413+AL1410+AL1425</f>
        <v>1160649.30553</v>
      </c>
      <c r="AN1477" s="43">
        <f>AN1475+AN1418+AN1413+AN1410+AN1425</f>
        <v>508923.26719589997</v>
      </c>
      <c r="AO1477" s="43"/>
      <c r="AP1477" s="43">
        <f>AP1475+AP1418+AP1413+AP1410+AP1425</f>
        <v>525409.31683677703</v>
      </c>
      <c r="AR1477" s="43">
        <f>AR1475+AR1418+AR1413+AR1410+AR1425</f>
        <v>547115.01054813038</v>
      </c>
      <c r="AT1477" s="43">
        <f>AT1475+AT1418+AT1413+AT1410+AT1425</f>
        <v>559048.19078113674</v>
      </c>
      <c r="AV1477" s="43">
        <f>AV1475+AV1418+AV1413+AV1410+AV1425</f>
        <v>576216.99791696155</v>
      </c>
      <c r="AX1477" s="43">
        <f>AX1475+AX1418+AX1413+AX1410+AX1425</f>
        <v>598629.88233748067</v>
      </c>
      <c r="AZ1477" s="43">
        <f>AZ1475+AZ1418+AZ1413+AZ1410+AZ1425</f>
        <v>606295.61701476551</v>
      </c>
    </row>
    <row r="1478" spans="1:52" ht="15.75" thickTop="1" x14ac:dyDescent="0.25">
      <c r="A1478" s="7" t="s">
        <v>845</v>
      </c>
      <c r="B1478" s="7"/>
      <c r="C1478" s="7"/>
      <c r="D1478" s="7"/>
      <c r="E1478" s="7"/>
      <c r="F1478" s="7"/>
      <c r="G1478" s="7"/>
      <c r="H1478" s="7"/>
      <c r="I1478" s="7"/>
      <c r="J1478" s="7"/>
      <c r="K1478" s="7"/>
      <c r="L1478" s="7"/>
      <c r="M1478" s="32"/>
      <c r="N1478" s="7"/>
      <c r="P1478" s="7"/>
      <c r="R1478" s="7"/>
      <c r="S1478" s="7"/>
      <c r="T1478" s="7"/>
      <c r="U1478" s="7"/>
      <c r="V1478" s="7"/>
      <c r="W1478" s="7"/>
      <c r="X1478" s="7"/>
      <c r="Y1478" s="7"/>
      <c r="Z1478" s="7"/>
      <c r="AC1478" s="7"/>
      <c r="AD1478" s="7"/>
      <c r="AE1478" s="7"/>
      <c r="AF1478" s="7"/>
      <c r="AH1478" s="7"/>
      <c r="AJ1478" s="7"/>
      <c r="AL1478" s="7"/>
      <c r="AN1478" s="7"/>
      <c r="AO1478" s="7"/>
      <c r="AP1478" s="7"/>
      <c r="AR1478" s="7"/>
      <c r="AT1478" s="7"/>
      <c r="AV1478" s="7"/>
      <c r="AX1478" s="7"/>
      <c r="AZ1478" s="7"/>
    </row>
    <row r="1479" spans="1:52" x14ac:dyDescent="0.25">
      <c r="A1479" s="3" t="s">
        <v>991</v>
      </c>
      <c r="B1479" s="7"/>
      <c r="C1479" s="7"/>
      <c r="D1479" s="7"/>
      <c r="E1479" s="7"/>
      <c r="F1479" s="7"/>
      <c r="G1479" s="7"/>
      <c r="H1479" s="7"/>
      <c r="I1479" s="7"/>
      <c r="J1479" s="7"/>
      <c r="K1479" s="7"/>
      <c r="L1479" s="7"/>
      <c r="M1479" s="32"/>
      <c r="N1479" s="7"/>
      <c r="P1479" s="7"/>
      <c r="Q1479" s="3"/>
      <c r="R1479" s="7"/>
      <c r="S1479" s="7"/>
      <c r="T1479" s="7"/>
      <c r="U1479" s="7"/>
      <c r="V1479" s="7"/>
      <c r="W1479" s="7"/>
      <c r="X1479" s="7"/>
      <c r="Y1479" s="7"/>
      <c r="Z1479" s="7"/>
      <c r="AA1479" s="3"/>
      <c r="AB1479" s="3"/>
      <c r="AC1479" s="7"/>
      <c r="AD1479" s="7"/>
      <c r="AE1479" s="7"/>
      <c r="AF1479" s="7"/>
      <c r="AG1479" s="3"/>
      <c r="AH1479" s="7"/>
      <c r="AI1479" s="3"/>
      <c r="AJ1479" s="7"/>
      <c r="AK1479" s="3"/>
      <c r="AL1479" s="7"/>
      <c r="AM1479" s="3"/>
      <c r="AN1479" s="7"/>
      <c r="AO1479" s="7"/>
      <c r="AP1479" s="7"/>
      <c r="AQ1479" s="42"/>
      <c r="AR1479" s="7"/>
      <c r="AT1479" s="7"/>
      <c r="AV1479" s="7"/>
      <c r="AX1479" s="7"/>
      <c r="AZ1479" s="7"/>
    </row>
    <row r="1480" spans="1:52" ht="15.75" thickBot="1" x14ac:dyDescent="0.3">
      <c r="A1480" s="7" t="s">
        <v>992</v>
      </c>
      <c r="B1480" s="43">
        <f>B1479+B1477</f>
        <v>369450</v>
      </c>
      <c r="C1480" s="32"/>
      <c r="D1480" s="43">
        <f>D1479+D1477</f>
        <v>12369</v>
      </c>
      <c r="E1480" s="43">
        <f>E1479+E1477</f>
        <v>359081</v>
      </c>
      <c r="F1480" s="43">
        <f>F1479+F1477</f>
        <v>371450</v>
      </c>
      <c r="G1480" s="32"/>
      <c r="H1480" s="43">
        <f>H1479+H1477</f>
        <v>2000</v>
      </c>
      <c r="I1480" s="36"/>
      <c r="J1480" s="43">
        <f>J1479+J1477</f>
        <v>44822</v>
      </c>
      <c r="K1480" s="43">
        <f>K1479+K1477</f>
        <v>325328</v>
      </c>
      <c r="L1480" s="43">
        <f>L1479+L1477</f>
        <v>370150</v>
      </c>
      <c r="M1480" s="32"/>
      <c r="N1480" s="43">
        <f>N1479+N1477</f>
        <v>-1300</v>
      </c>
      <c r="P1480" s="43">
        <f>P1479+P1477</f>
        <v>357740.5</v>
      </c>
      <c r="R1480" s="43">
        <f t="shared" ref="R1480:Z1480" si="678">R1479+R1477</f>
        <v>60242</v>
      </c>
      <c r="S1480" s="43">
        <f t="shared" si="678"/>
        <v>391518</v>
      </c>
      <c r="T1480" s="43">
        <f t="shared" si="678"/>
        <v>451760</v>
      </c>
      <c r="U1480" s="43">
        <f t="shared" si="678"/>
        <v>94019.5</v>
      </c>
      <c r="V1480" s="43">
        <f t="shared" si="678"/>
        <v>100264</v>
      </c>
      <c r="W1480" s="43">
        <f t="shared" si="678"/>
        <v>313046</v>
      </c>
      <c r="X1480" s="43"/>
      <c r="Y1480" s="43">
        <f t="shared" si="678"/>
        <v>439060</v>
      </c>
      <c r="Z1480" s="43">
        <f t="shared" si="678"/>
        <v>-12700</v>
      </c>
      <c r="AC1480" s="43">
        <f>AC1479+AC1477</f>
        <v>146053</v>
      </c>
      <c r="AD1480" s="43">
        <f>AD1479+AD1477</f>
        <v>280097</v>
      </c>
      <c r="AE1480" s="43">
        <f>AE1479+AE1477</f>
        <v>426150</v>
      </c>
      <c r="AF1480" s="43">
        <f>AF1479+AF1477</f>
        <v>-12910</v>
      </c>
      <c r="AH1480" s="43">
        <f>AH1479+AH1477</f>
        <v>320348.7</v>
      </c>
      <c r="AJ1480" s="43">
        <f>AJ1479+AJ1477</f>
        <v>1094580.1510000001</v>
      </c>
      <c r="AL1480" s="43">
        <f>AL1479+AL1477</f>
        <v>1160649.30553</v>
      </c>
      <c r="AN1480" s="43">
        <f>AN1479+AN1477</f>
        <v>508923.26719589997</v>
      </c>
      <c r="AO1480" s="43"/>
      <c r="AP1480" s="43">
        <f>AP1479+AP1477</f>
        <v>525409.31683677703</v>
      </c>
      <c r="AR1480" s="43">
        <f>AR1479+AR1477</f>
        <v>547115.01054813038</v>
      </c>
      <c r="AT1480" s="43">
        <f>AT1479+AT1477</f>
        <v>559048.19078113674</v>
      </c>
      <c r="AV1480" s="43">
        <f>AV1479+AV1477</f>
        <v>576216.99791696155</v>
      </c>
      <c r="AX1480" s="43">
        <f>AX1479+AX1477</f>
        <v>598629.88233748067</v>
      </c>
      <c r="AZ1480" s="43">
        <f>AZ1479+AZ1477</f>
        <v>606295.61701476551</v>
      </c>
    </row>
    <row r="1481" spans="1:52" ht="15.75" thickTop="1" x14ac:dyDescent="0.25">
      <c r="A1481" s="32"/>
    </row>
    <row r="1482" spans="1:52" x14ac:dyDescent="0.25">
      <c r="A1482" s="32"/>
    </row>
    <row r="1483" spans="1:52" x14ac:dyDescent="0.25">
      <c r="A1483" s="32"/>
    </row>
    <row r="1484" spans="1:52" x14ac:dyDescent="0.25">
      <c r="A1484" s="32"/>
      <c r="AF1484" s="63" t="s">
        <v>993</v>
      </c>
    </row>
    <row r="1485" spans="1:52" ht="15.75" thickBot="1" x14ac:dyDescent="0.3">
      <c r="A1485" s="32"/>
    </row>
    <row r="1486" spans="1:52" x14ac:dyDescent="0.25">
      <c r="A1486" s="3" t="str">
        <f ca="1">CELL("filename")</f>
        <v>G:\Gundagai\SRV &amp; LIRS\Scenarios - Final - Council Meeting Reports 101213\[Scenario 1 - BAU LTFP - 041213.xlsx]Gen-TID Com CashFlow &amp; BalSheet</v>
      </c>
      <c r="AH1486" s="8" t="s">
        <v>8</v>
      </c>
      <c r="AJ1486" s="8" t="s">
        <v>8</v>
      </c>
      <c r="AL1486" s="8" t="s">
        <v>8</v>
      </c>
      <c r="AN1486" s="8" t="s">
        <v>8</v>
      </c>
      <c r="AO1486" s="8"/>
      <c r="AP1486" s="8" t="s">
        <v>8</v>
      </c>
      <c r="AR1486" s="8" t="s">
        <v>8</v>
      </c>
      <c r="AT1486" s="8" t="s">
        <v>8</v>
      </c>
      <c r="AV1486" s="8" t="s">
        <v>8</v>
      </c>
      <c r="AX1486" s="8" t="s">
        <v>8</v>
      </c>
      <c r="AZ1486" s="8" t="s">
        <v>8</v>
      </c>
    </row>
    <row r="1487" spans="1:52" ht="15.75" thickBot="1" x14ac:dyDescent="0.3">
      <c r="A1487" s="3"/>
      <c r="AH1487" s="19" t="s">
        <v>24</v>
      </c>
      <c r="AJ1487" s="19" t="s">
        <v>25</v>
      </c>
      <c r="AL1487" s="19" t="s">
        <v>26</v>
      </c>
      <c r="AN1487" s="19" t="s">
        <v>27</v>
      </c>
      <c r="AO1487" s="19"/>
      <c r="AP1487" s="19" t="s">
        <v>28</v>
      </c>
      <c r="AR1487" s="19" t="s">
        <v>29</v>
      </c>
      <c r="AT1487" s="19" t="s">
        <v>30</v>
      </c>
      <c r="AV1487" s="19" t="s">
        <v>31</v>
      </c>
      <c r="AX1487" s="19" t="s">
        <v>32</v>
      </c>
      <c r="AZ1487" s="19" t="s">
        <v>33</v>
      </c>
    </row>
    <row r="1488" spans="1:52" x14ac:dyDescent="0.25">
      <c r="A1488" s="3"/>
    </row>
    <row r="1489" spans="1:52" x14ac:dyDescent="0.25">
      <c r="A1489" s="3"/>
      <c r="AF1489" s="88" t="s">
        <v>994</v>
      </c>
      <c r="AH1489" s="29"/>
      <c r="AI1489" s="3"/>
      <c r="AJ1489" s="29"/>
      <c r="AK1489" s="3"/>
      <c r="AL1489" s="29"/>
      <c r="AM1489" s="3"/>
      <c r="AN1489" s="29"/>
      <c r="AO1489" s="29"/>
      <c r="AP1489" s="29"/>
      <c r="AR1489" s="29"/>
      <c r="AT1489" s="29"/>
      <c r="AV1489" s="29"/>
      <c r="AX1489" s="29"/>
      <c r="AZ1489" s="29"/>
    </row>
    <row r="1490" spans="1:52" x14ac:dyDescent="0.25">
      <c r="A1490" s="3"/>
      <c r="AH1490" s="29"/>
      <c r="AI1490" s="3"/>
      <c r="AJ1490" s="29"/>
      <c r="AK1490" s="3"/>
      <c r="AL1490" s="29"/>
      <c r="AM1490" s="3"/>
      <c r="AN1490" s="29"/>
      <c r="AO1490" s="29"/>
      <c r="AP1490" s="29"/>
      <c r="AR1490" s="29"/>
      <c r="AT1490" s="29"/>
      <c r="AV1490" s="29"/>
      <c r="AX1490" s="29"/>
      <c r="AZ1490" s="29"/>
    </row>
    <row r="1491" spans="1:52" x14ac:dyDescent="0.25">
      <c r="A1491" s="3"/>
      <c r="AF1491" s="5" t="s">
        <v>995</v>
      </c>
      <c r="AH1491" s="31">
        <v>747760</v>
      </c>
      <c r="AI1491" s="7"/>
      <c r="AJ1491" s="31">
        <f>AH1503</f>
        <v>1125426</v>
      </c>
      <c r="AK1491" s="7"/>
      <c r="AL1491" s="31">
        <f>AJ1503</f>
        <v>1159169</v>
      </c>
      <c r="AM1491" s="7"/>
      <c r="AN1491" s="31">
        <f>AL1503</f>
        <v>1555574</v>
      </c>
      <c r="AO1491" s="31"/>
      <c r="AP1491" s="31">
        <f>AN1503</f>
        <v>2086681</v>
      </c>
      <c r="AQ1491" s="34"/>
      <c r="AR1491" s="31">
        <f>AP1503</f>
        <v>2324964</v>
      </c>
      <c r="AS1491" s="34"/>
      <c r="AT1491" s="31">
        <f>AR1503</f>
        <v>2921769</v>
      </c>
      <c r="AU1491" s="34"/>
      <c r="AV1491" s="31">
        <f>AT1503</f>
        <v>3751303</v>
      </c>
      <c r="AW1491" s="34"/>
      <c r="AX1491" s="31">
        <f>AV1503</f>
        <v>4287104</v>
      </c>
      <c r="AZ1491" s="31">
        <f>AX1503</f>
        <v>4718262</v>
      </c>
    </row>
    <row r="1492" spans="1:52" ht="8.25" customHeight="1" x14ac:dyDescent="0.25">
      <c r="A1492" s="3"/>
      <c r="AH1492" s="29"/>
      <c r="AI1492" s="3"/>
      <c r="AJ1492" s="29"/>
      <c r="AK1492" s="3"/>
      <c r="AL1492" s="29"/>
      <c r="AM1492" s="3"/>
      <c r="AN1492" s="29"/>
      <c r="AO1492" s="29"/>
      <c r="AP1492" s="29"/>
      <c r="AR1492" s="29"/>
      <c r="AT1492" s="29"/>
      <c r="AV1492" s="29"/>
      <c r="AX1492" s="29"/>
      <c r="AZ1492" s="29"/>
    </row>
    <row r="1493" spans="1:52" x14ac:dyDescent="0.25">
      <c r="A1493" s="3"/>
      <c r="AF1493" s="5" t="s">
        <v>996</v>
      </c>
      <c r="AH1493" s="89">
        <v>190166</v>
      </c>
      <c r="AI1493" s="4"/>
      <c r="AJ1493" s="89">
        <v>192343</v>
      </c>
      <c r="AK1493" s="4"/>
      <c r="AL1493" s="89">
        <v>492505</v>
      </c>
      <c r="AM1493" s="4"/>
      <c r="AN1493" s="89">
        <v>564707</v>
      </c>
      <c r="AO1493" s="89"/>
      <c r="AP1493" s="35">
        <v>271883</v>
      </c>
      <c r="AQ1493" s="59"/>
      <c r="AR1493" s="89">
        <v>630405</v>
      </c>
      <c r="AS1493" s="59"/>
      <c r="AT1493" s="89">
        <v>863134</v>
      </c>
      <c r="AU1493" s="59"/>
      <c r="AV1493" s="89">
        <v>569401</v>
      </c>
      <c r="AW1493" s="59"/>
      <c r="AX1493" s="89">
        <v>464758</v>
      </c>
      <c r="AZ1493" s="89">
        <v>464758</v>
      </c>
    </row>
    <row r="1494" spans="1:52" ht="6" customHeight="1" x14ac:dyDescent="0.25">
      <c r="A1494" s="3"/>
      <c r="AH1494" s="36"/>
      <c r="AI1494" s="4"/>
      <c r="AJ1494" s="36"/>
      <c r="AK1494" s="4"/>
      <c r="AL1494" s="36"/>
      <c r="AM1494" s="4"/>
      <c r="AN1494" s="36"/>
      <c r="AO1494" s="36"/>
      <c r="AP1494" s="36"/>
      <c r="AQ1494" s="59"/>
      <c r="AR1494" s="36"/>
      <c r="AS1494" s="59"/>
      <c r="AT1494" s="36"/>
      <c r="AU1494" s="59"/>
      <c r="AV1494" s="36"/>
      <c r="AW1494" s="59"/>
      <c r="AX1494" s="36"/>
      <c r="AZ1494" s="36"/>
    </row>
    <row r="1495" spans="1:52" x14ac:dyDescent="0.25">
      <c r="A1495" s="3"/>
      <c r="AF1495" s="5" t="s">
        <v>997</v>
      </c>
      <c r="AH1495" s="36">
        <f>AH1491+AH1493</f>
        <v>937926</v>
      </c>
      <c r="AI1495" s="4"/>
      <c r="AJ1495" s="36">
        <f>AJ1491+AJ1493</f>
        <v>1317769</v>
      </c>
      <c r="AK1495" s="4"/>
      <c r="AL1495" s="36">
        <f>AL1491+AL1493</f>
        <v>1651674</v>
      </c>
      <c r="AM1495" s="4"/>
      <c r="AN1495" s="36">
        <f>AN1491+AN1493</f>
        <v>2120281</v>
      </c>
      <c r="AO1495" s="36"/>
      <c r="AP1495" s="36">
        <f>AP1491+AP1493</f>
        <v>2358564</v>
      </c>
      <c r="AQ1495" s="59"/>
      <c r="AR1495" s="36">
        <f>AR1491+AR1493</f>
        <v>2955369</v>
      </c>
      <c r="AS1495" s="59"/>
      <c r="AT1495" s="36">
        <f>AT1491+AT1493</f>
        <v>3784903</v>
      </c>
      <c r="AU1495" s="59"/>
      <c r="AV1495" s="36">
        <f>AV1491+AV1493</f>
        <v>4320704</v>
      </c>
      <c r="AW1495" s="59"/>
      <c r="AX1495" s="36">
        <f>AX1491+AX1493</f>
        <v>4751862</v>
      </c>
      <c r="AZ1495" s="36">
        <f>AZ1491+AZ1493</f>
        <v>5183020</v>
      </c>
    </row>
    <row r="1496" spans="1:52" ht="8.25" customHeight="1" x14ac:dyDescent="0.25">
      <c r="A1496" s="3"/>
      <c r="AH1496" s="36"/>
      <c r="AI1496" s="58"/>
      <c r="AJ1496" s="36"/>
      <c r="AK1496" s="58"/>
      <c r="AL1496" s="36"/>
      <c r="AM1496" s="58"/>
      <c r="AN1496" s="36"/>
      <c r="AO1496" s="36"/>
      <c r="AP1496" s="36"/>
      <c r="AQ1496" s="59"/>
      <c r="AR1496" s="36"/>
      <c r="AS1496" s="59"/>
      <c r="AT1496" s="36"/>
      <c r="AU1496" s="59"/>
      <c r="AV1496" s="36"/>
      <c r="AW1496" s="59"/>
      <c r="AX1496" s="36"/>
      <c r="AZ1496" s="36"/>
    </row>
    <row r="1497" spans="1:52" x14ac:dyDescent="0.25">
      <c r="A1497" s="3"/>
      <c r="AF1497" s="5" t="s">
        <v>998</v>
      </c>
      <c r="AH1497" s="36">
        <v>250000</v>
      </c>
      <c r="AI1497" s="58"/>
      <c r="AJ1497" s="36"/>
      <c r="AK1497" s="58"/>
      <c r="AL1497" s="36"/>
      <c r="AM1497" s="58"/>
      <c r="AN1497" s="36"/>
      <c r="AO1497" s="36"/>
      <c r="AP1497" s="36"/>
      <c r="AQ1497" s="59"/>
      <c r="AR1497" s="36"/>
      <c r="AS1497" s="59"/>
      <c r="AT1497" s="36"/>
      <c r="AU1497" s="59"/>
      <c r="AV1497" s="36"/>
      <c r="AW1497" s="59"/>
      <c r="AX1497" s="36"/>
      <c r="AZ1497" s="36"/>
    </row>
    <row r="1498" spans="1:52" ht="9" customHeight="1" x14ac:dyDescent="0.25">
      <c r="A1498" s="3"/>
      <c r="AH1498" s="36"/>
      <c r="AI1498" s="58"/>
      <c r="AJ1498" s="36"/>
      <c r="AK1498" s="58"/>
      <c r="AL1498" s="36"/>
      <c r="AM1498" s="58"/>
      <c r="AN1498" s="36"/>
      <c r="AO1498" s="36"/>
      <c r="AP1498" s="36"/>
      <c r="AQ1498" s="59"/>
      <c r="AR1498" s="36"/>
      <c r="AS1498" s="59"/>
      <c r="AT1498" s="36"/>
      <c r="AU1498" s="59"/>
      <c r="AV1498" s="36"/>
      <c r="AW1498" s="59"/>
      <c r="AX1498" s="36"/>
      <c r="AZ1498" s="36"/>
    </row>
    <row r="1499" spans="1:52" x14ac:dyDescent="0.25">
      <c r="A1499" s="3"/>
      <c r="AF1499" s="5" t="s">
        <v>999</v>
      </c>
      <c r="AH1499" s="36">
        <v>-62500</v>
      </c>
      <c r="AI1499" s="58"/>
      <c r="AJ1499" s="36">
        <v>-125000</v>
      </c>
      <c r="AK1499" s="58"/>
      <c r="AL1499" s="36">
        <v>-62500</v>
      </c>
      <c r="AM1499" s="58"/>
      <c r="AN1499" s="36"/>
      <c r="AO1499" s="36"/>
      <c r="AP1499" s="36"/>
      <c r="AQ1499" s="59"/>
      <c r="AR1499" s="36"/>
      <c r="AS1499" s="59"/>
      <c r="AT1499" s="36"/>
      <c r="AU1499" s="59"/>
      <c r="AV1499" s="36"/>
      <c r="AW1499" s="59"/>
      <c r="AX1499" s="36"/>
      <c r="AZ1499" s="36"/>
    </row>
    <row r="1500" spans="1:52" ht="8.25" customHeight="1" x14ac:dyDescent="0.25">
      <c r="A1500" s="3"/>
      <c r="AH1500" s="36"/>
      <c r="AI1500" s="58"/>
      <c r="AJ1500" s="36"/>
      <c r="AK1500" s="58"/>
      <c r="AL1500" s="36"/>
      <c r="AM1500" s="58"/>
      <c r="AN1500" s="36"/>
      <c r="AO1500" s="36"/>
      <c r="AP1500" s="36"/>
      <c r="AQ1500" s="59"/>
      <c r="AR1500" s="36"/>
      <c r="AS1500" s="59"/>
      <c r="AT1500" s="36"/>
      <c r="AU1500" s="59"/>
      <c r="AV1500" s="36"/>
      <c r="AW1500" s="59"/>
      <c r="AX1500" s="36"/>
      <c r="AZ1500" s="36"/>
    </row>
    <row r="1501" spans="1:52" x14ac:dyDescent="0.25">
      <c r="A1501" s="3"/>
      <c r="AF1501" s="5" t="s">
        <v>1000</v>
      </c>
      <c r="AH1501" s="36"/>
      <c r="AI1501" s="58"/>
      <c r="AJ1501" s="36">
        <v>-33600</v>
      </c>
      <c r="AK1501" s="58"/>
      <c r="AL1501" s="36">
        <v>-33600</v>
      </c>
      <c r="AM1501" s="58"/>
      <c r="AN1501" s="36">
        <v>-33600</v>
      </c>
      <c r="AO1501" s="36"/>
      <c r="AP1501" s="36">
        <v>-33600</v>
      </c>
      <c r="AQ1501" s="59"/>
      <c r="AR1501" s="36">
        <v>-33600</v>
      </c>
      <c r="AS1501" s="59"/>
      <c r="AT1501" s="36">
        <v>-33600</v>
      </c>
      <c r="AU1501" s="59"/>
      <c r="AV1501" s="36">
        <v>-33600</v>
      </c>
      <c r="AW1501" s="59"/>
      <c r="AX1501" s="36">
        <v>-33600</v>
      </c>
      <c r="AZ1501" s="36">
        <v>-33600</v>
      </c>
    </row>
    <row r="1502" spans="1:52" ht="9" customHeight="1" x14ac:dyDescent="0.25">
      <c r="A1502" s="3"/>
      <c r="AH1502" s="35"/>
      <c r="AI1502" s="58"/>
      <c r="AJ1502" s="35"/>
      <c r="AK1502" s="58"/>
      <c r="AL1502" s="35"/>
      <c r="AM1502" s="58"/>
      <c r="AN1502" s="35"/>
      <c r="AO1502" s="35"/>
      <c r="AP1502" s="35"/>
      <c r="AQ1502" s="59"/>
      <c r="AR1502" s="35"/>
      <c r="AS1502" s="59"/>
      <c r="AT1502" s="35"/>
      <c r="AU1502" s="59"/>
      <c r="AV1502" s="35"/>
      <c r="AW1502" s="59"/>
      <c r="AX1502" s="35"/>
      <c r="AZ1502" s="35"/>
    </row>
    <row r="1503" spans="1:52" x14ac:dyDescent="0.25">
      <c r="A1503" s="3"/>
      <c r="AF1503" s="5" t="s">
        <v>1001</v>
      </c>
      <c r="AH1503" s="36">
        <f>AH1495+AH1497+AH1499+AH1501</f>
        <v>1125426</v>
      </c>
      <c r="AI1503" s="58"/>
      <c r="AJ1503" s="36">
        <f>AJ1495+AJ1497+AJ1499+AJ1501</f>
        <v>1159169</v>
      </c>
      <c r="AK1503" s="58"/>
      <c r="AL1503" s="36">
        <f>AL1495+AL1497+AL1499+AL1501</f>
        <v>1555574</v>
      </c>
      <c r="AM1503" s="58"/>
      <c r="AN1503" s="36">
        <f>AN1495+AN1497+AN1499+AN1501</f>
        <v>2086681</v>
      </c>
      <c r="AO1503" s="36"/>
      <c r="AP1503" s="36">
        <f>AP1495+AP1497+AP1499+AP1501</f>
        <v>2324964</v>
      </c>
      <c r="AQ1503" s="59"/>
      <c r="AR1503" s="36">
        <f>AR1495+AR1497+AR1499+AR1501</f>
        <v>2921769</v>
      </c>
      <c r="AS1503" s="59"/>
      <c r="AT1503" s="36">
        <f>AT1495+AT1497+AT1499+AT1501</f>
        <v>3751303</v>
      </c>
      <c r="AU1503" s="59"/>
      <c r="AV1503" s="36">
        <f>AV1495+AV1497+AV1499+AV1501</f>
        <v>4287104</v>
      </c>
      <c r="AW1503" s="59"/>
      <c r="AX1503" s="36">
        <f>AX1495+AX1497+AX1499+AX1501</f>
        <v>4718262</v>
      </c>
      <c r="AZ1503" s="36">
        <f>AZ1495+AZ1497+AZ1499+AZ1501</f>
        <v>5149420</v>
      </c>
    </row>
    <row r="1504" spans="1:52" x14ac:dyDescent="0.25">
      <c r="A1504" s="3"/>
      <c r="AH1504" s="36"/>
      <c r="AI1504" s="58"/>
      <c r="AJ1504" s="36"/>
      <c r="AK1504" s="58"/>
      <c r="AL1504" s="36"/>
      <c r="AM1504" s="58"/>
      <c r="AN1504" s="36"/>
      <c r="AO1504" s="36"/>
      <c r="AP1504" s="36"/>
      <c r="AQ1504" s="59"/>
      <c r="AR1504" s="36"/>
      <c r="AS1504" s="59"/>
      <c r="AT1504" s="36"/>
      <c r="AU1504" s="59"/>
      <c r="AV1504" s="36"/>
      <c r="AW1504" s="59"/>
      <c r="AX1504" s="36"/>
      <c r="AZ1504" s="36"/>
    </row>
    <row r="1505" spans="1:52" x14ac:dyDescent="0.25">
      <c r="A1505" s="3"/>
      <c r="AH1505" s="32"/>
      <c r="AI1505" s="4"/>
      <c r="AJ1505" s="32"/>
      <c r="AK1505" s="4"/>
      <c r="AL1505" s="32"/>
      <c r="AM1505" s="4"/>
      <c r="AN1505" s="32"/>
      <c r="AO1505" s="32"/>
      <c r="AP1505" s="32"/>
      <c r="AQ1505" s="51"/>
      <c r="AR1505" s="32"/>
      <c r="AS1505" s="51"/>
      <c r="AT1505" s="32"/>
      <c r="AU1505" s="51"/>
      <c r="AV1505" s="32"/>
      <c r="AW1505" s="51"/>
      <c r="AX1505" s="32"/>
      <c r="AZ1505" s="32"/>
    </row>
    <row r="1506" spans="1:52" x14ac:dyDescent="0.25">
      <c r="A1506" s="3"/>
      <c r="AF1506" s="88" t="s">
        <v>1002</v>
      </c>
      <c r="AH1506" s="85"/>
      <c r="AI1506" s="58"/>
      <c r="AJ1506" s="85"/>
      <c r="AK1506" s="58"/>
      <c r="AL1506" s="85"/>
      <c r="AM1506" s="58"/>
      <c r="AN1506" s="85"/>
      <c r="AO1506" s="85"/>
      <c r="AP1506" s="85"/>
      <c r="AQ1506" s="59"/>
      <c r="AR1506" s="85"/>
      <c r="AS1506" s="59"/>
      <c r="AT1506" s="85"/>
      <c r="AU1506" s="59"/>
      <c r="AV1506" s="85"/>
      <c r="AW1506" s="59"/>
      <c r="AX1506" s="85"/>
      <c r="AZ1506" s="85"/>
    </row>
    <row r="1507" spans="1:52" x14ac:dyDescent="0.25">
      <c r="A1507" s="3"/>
      <c r="AF1507" s="5" t="s">
        <v>995</v>
      </c>
      <c r="AH1507" s="31">
        <v>850034</v>
      </c>
      <c r="AI1507" s="7"/>
      <c r="AJ1507" s="31">
        <f>AH1519</f>
        <v>763696</v>
      </c>
      <c r="AK1507" s="7"/>
      <c r="AL1507" s="31">
        <f>AJ1519</f>
        <v>516312</v>
      </c>
      <c r="AM1507" s="7"/>
      <c r="AN1507" s="31">
        <f>AL1519</f>
        <v>459498</v>
      </c>
      <c r="AO1507" s="31"/>
      <c r="AP1507" s="31">
        <f>AN1519</f>
        <v>451784</v>
      </c>
      <c r="AQ1507" s="34"/>
      <c r="AR1507" s="31">
        <f>AP1519</f>
        <v>409912</v>
      </c>
      <c r="AS1507" s="34"/>
      <c r="AT1507" s="31">
        <f>AR1519</f>
        <v>265552</v>
      </c>
      <c r="AU1507" s="34"/>
      <c r="AV1507" s="31">
        <f>AT1519</f>
        <v>299712</v>
      </c>
      <c r="AW1507" s="34"/>
      <c r="AX1507" s="31">
        <f>AV1519</f>
        <v>45718</v>
      </c>
      <c r="AZ1507" s="31">
        <f>AX1519</f>
        <v>-173030</v>
      </c>
    </row>
    <row r="1508" spans="1:52" ht="6" customHeight="1" x14ac:dyDescent="0.25">
      <c r="A1508" s="3"/>
      <c r="AH1508" s="31"/>
      <c r="AI1508" s="7"/>
      <c r="AJ1508" s="31"/>
      <c r="AK1508" s="7"/>
      <c r="AL1508" s="31"/>
      <c r="AM1508" s="7"/>
      <c r="AN1508" s="31"/>
      <c r="AO1508" s="31"/>
      <c r="AP1508" s="31"/>
      <c r="AQ1508" s="34"/>
      <c r="AR1508" s="31"/>
      <c r="AS1508" s="34"/>
      <c r="AT1508" s="31"/>
      <c r="AU1508" s="34"/>
      <c r="AV1508" s="31"/>
      <c r="AW1508" s="34"/>
      <c r="AX1508" s="31"/>
      <c r="AZ1508" s="31"/>
    </row>
    <row r="1509" spans="1:52" x14ac:dyDescent="0.25">
      <c r="A1509" s="3"/>
      <c r="AF1509" s="5" t="s">
        <v>996</v>
      </c>
      <c r="AH1509" s="35">
        <v>13662</v>
      </c>
      <c r="AI1509" s="32"/>
      <c r="AJ1509" s="35">
        <v>-47384</v>
      </c>
      <c r="AK1509" s="32"/>
      <c r="AL1509" s="35">
        <v>43186</v>
      </c>
      <c r="AM1509" s="32"/>
      <c r="AN1509" s="35">
        <v>-7714</v>
      </c>
      <c r="AO1509" s="35"/>
      <c r="AP1509" s="35">
        <v>-41872</v>
      </c>
      <c r="AQ1509" s="90"/>
      <c r="AR1509" s="35">
        <v>-144360</v>
      </c>
      <c r="AS1509" s="90"/>
      <c r="AT1509" s="35">
        <v>34160</v>
      </c>
      <c r="AU1509" s="90"/>
      <c r="AV1509" s="35">
        <v>-253994</v>
      </c>
      <c r="AW1509" s="90"/>
      <c r="AX1509" s="35">
        <v>-218748</v>
      </c>
      <c r="AZ1509" s="35">
        <v>-218748</v>
      </c>
    </row>
    <row r="1510" spans="1:52" ht="8.25" customHeight="1" x14ac:dyDescent="0.25">
      <c r="A1510" s="3"/>
      <c r="AH1510" s="36"/>
      <c r="AI1510" s="4"/>
      <c r="AJ1510" s="36"/>
      <c r="AK1510" s="4"/>
      <c r="AL1510" s="36"/>
      <c r="AM1510" s="4"/>
      <c r="AN1510" s="36"/>
      <c r="AO1510" s="36"/>
      <c r="AP1510" s="36"/>
      <c r="AQ1510" s="59"/>
      <c r="AR1510" s="36"/>
      <c r="AS1510" s="59"/>
      <c r="AT1510" s="36"/>
      <c r="AU1510" s="59"/>
      <c r="AV1510" s="36"/>
      <c r="AW1510" s="59"/>
      <c r="AX1510" s="36"/>
      <c r="AZ1510" s="36"/>
    </row>
    <row r="1511" spans="1:52" x14ac:dyDescent="0.25">
      <c r="A1511" s="3"/>
      <c r="AF1511" s="5" t="s">
        <v>997</v>
      </c>
      <c r="AH1511" s="36">
        <f>AH1507+AH1509</f>
        <v>863696</v>
      </c>
      <c r="AI1511" s="4"/>
      <c r="AJ1511" s="36">
        <f>AJ1507+AJ1509</f>
        <v>716312</v>
      </c>
      <c r="AK1511" s="4"/>
      <c r="AL1511" s="36">
        <f>AL1507+AL1509</f>
        <v>559498</v>
      </c>
      <c r="AM1511" s="4"/>
      <c r="AN1511" s="36">
        <f>AN1507+AN1509</f>
        <v>451784</v>
      </c>
      <c r="AO1511" s="36"/>
      <c r="AP1511" s="36">
        <f>AP1507+AP1509</f>
        <v>409912</v>
      </c>
      <c r="AQ1511" s="59"/>
      <c r="AR1511" s="36">
        <f>AR1507+AR1509</f>
        <v>265552</v>
      </c>
      <c r="AS1511" s="59"/>
      <c r="AT1511" s="36">
        <f>AT1507+AT1509</f>
        <v>299712</v>
      </c>
      <c r="AU1511" s="59"/>
      <c r="AV1511" s="36">
        <f>AV1507+AV1509</f>
        <v>45718</v>
      </c>
      <c r="AW1511" s="59"/>
      <c r="AX1511" s="36">
        <f>AX1507+AX1509</f>
        <v>-173030</v>
      </c>
      <c r="AZ1511" s="36">
        <f>AZ1507+AZ1509</f>
        <v>-391778</v>
      </c>
    </row>
    <row r="1512" spans="1:52" x14ac:dyDescent="0.25">
      <c r="A1512" s="3"/>
      <c r="AH1512" s="36"/>
      <c r="AI1512" s="58"/>
      <c r="AJ1512" s="36"/>
      <c r="AK1512" s="58"/>
      <c r="AL1512" s="36"/>
      <c r="AM1512" s="58"/>
      <c r="AN1512" s="36"/>
      <c r="AO1512" s="36"/>
      <c r="AP1512" s="36"/>
      <c r="AQ1512" s="59"/>
      <c r="AR1512" s="36"/>
      <c r="AS1512" s="59"/>
      <c r="AT1512" s="36"/>
      <c r="AU1512" s="59"/>
      <c r="AV1512" s="36"/>
      <c r="AW1512" s="59"/>
      <c r="AX1512" s="36"/>
      <c r="AZ1512" s="36"/>
    </row>
    <row r="1513" spans="1:52" x14ac:dyDescent="0.25">
      <c r="A1513" s="3"/>
      <c r="AF1513" s="5" t="s">
        <v>998</v>
      </c>
      <c r="AH1513" s="82"/>
      <c r="AI1513" s="58"/>
      <c r="AJ1513" s="36"/>
      <c r="AK1513" s="58"/>
      <c r="AL1513" s="36"/>
      <c r="AM1513" s="58"/>
      <c r="AN1513" s="36"/>
      <c r="AO1513" s="36"/>
      <c r="AP1513" s="36"/>
      <c r="AQ1513" s="59"/>
      <c r="AR1513" s="36"/>
      <c r="AS1513" s="59"/>
      <c r="AT1513" s="36"/>
      <c r="AU1513" s="59"/>
      <c r="AV1513" s="36"/>
      <c r="AW1513" s="59"/>
      <c r="AX1513" s="36"/>
      <c r="AZ1513" s="36"/>
    </row>
    <row r="1514" spans="1:52" x14ac:dyDescent="0.25">
      <c r="A1514" s="3"/>
      <c r="AH1514" s="82"/>
      <c r="AI1514" s="58"/>
      <c r="AJ1514" s="36"/>
      <c r="AK1514" s="58"/>
      <c r="AL1514" s="36"/>
      <c r="AM1514" s="58"/>
      <c r="AN1514" s="36"/>
      <c r="AO1514" s="36"/>
      <c r="AP1514" s="36"/>
      <c r="AQ1514" s="59"/>
      <c r="AR1514" s="36"/>
      <c r="AS1514" s="59"/>
      <c r="AT1514" s="36"/>
      <c r="AU1514" s="59"/>
      <c r="AV1514" s="36"/>
      <c r="AW1514" s="59"/>
      <c r="AX1514" s="36"/>
      <c r="AZ1514" s="36"/>
    </row>
    <row r="1515" spans="1:52" x14ac:dyDescent="0.25">
      <c r="A1515" s="3"/>
      <c r="AF1515" s="5" t="s">
        <v>999</v>
      </c>
      <c r="AH1515" s="36">
        <v>-100000</v>
      </c>
      <c r="AI1515" s="58"/>
      <c r="AJ1515" s="36">
        <v>-200000</v>
      </c>
      <c r="AK1515" s="58"/>
      <c r="AL1515" s="36">
        <v>-100000</v>
      </c>
      <c r="AM1515" s="58"/>
      <c r="AN1515" s="36"/>
      <c r="AO1515" s="36"/>
      <c r="AP1515" s="36"/>
      <c r="AQ1515" s="59"/>
      <c r="AR1515" s="36"/>
      <c r="AS1515" s="59"/>
      <c r="AT1515" s="36"/>
      <c r="AU1515" s="59"/>
      <c r="AV1515" s="36"/>
      <c r="AW1515" s="59"/>
      <c r="AX1515" s="36"/>
      <c r="AZ1515" s="36"/>
    </row>
    <row r="1516" spans="1:52" x14ac:dyDescent="0.25">
      <c r="A1516" s="3"/>
      <c r="AH1516" s="36"/>
      <c r="AI1516" s="58"/>
      <c r="AJ1516" s="36"/>
      <c r="AK1516" s="58"/>
      <c r="AL1516" s="36"/>
      <c r="AM1516" s="58"/>
      <c r="AN1516" s="36"/>
      <c r="AO1516" s="36"/>
      <c r="AP1516" s="36"/>
      <c r="AQ1516" s="59"/>
      <c r="AR1516" s="36"/>
      <c r="AS1516" s="59"/>
      <c r="AT1516" s="36"/>
      <c r="AU1516" s="59"/>
      <c r="AV1516" s="36"/>
      <c r="AW1516" s="59"/>
      <c r="AX1516" s="36"/>
      <c r="AZ1516" s="36"/>
    </row>
    <row r="1517" spans="1:52" x14ac:dyDescent="0.25">
      <c r="A1517" s="3"/>
      <c r="AF1517" s="5" t="s">
        <v>1000</v>
      </c>
      <c r="AH1517" s="36"/>
      <c r="AI1517" s="58"/>
      <c r="AJ1517" s="36"/>
      <c r="AK1517" s="58"/>
      <c r="AL1517" s="36"/>
      <c r="AM1517" s="58"/>
      <c r="AN1517" s="36"/>
      <c r="AO1517" s="36"/>
      <c r="AP1517" s="36"/>
      <c r="AQ1517" s="59"/>
      <c r="AR1517" s="36"/>
      <c r="AS1517" s="59"/>
      <c r="AT1517" s="36"/>
      <c r="AU1517" s="59"/>
      <c r="AV1517" s="36"/>
      <c r="AW1517" s="59"/>
      <c r="AX1517" s="36"/>
      <c r="AZ1517" s="36"/>
    </row>
    <row r="1518" spans="1:52" x14ac:dyDescent="0.25">
      <c r="A1518" s="3"/>
      <c r="AH1518" s="35"/>
      <c r="AI1518" s="58"/>
      <c r="AJ1518" s="35"/>
      <c r="AK1518" s="58"/>
      <c r="AL1518" s="35"/>
      <c r="AM1518" s="58"/>
      <c r="AN1518" s="35"/>
      <c r="AO1518" s="35"/>
      <c r="AP1518" s="35"/>
      <c r="AQ1518" s="59"/>
      <c r="AR1518" s="35"/>
      <c r="AS1518" s="59"/>
      <c r="AT1518" s="35"/>
      <c r="AU1518" s="59"/>
      <c r="AV1518" s="35"/>
      <c r="AW1518" s="59"/>
      <c r="AX1518" s="35"/>
      <c r="AZ1518" s="35"/>
    </row>
    <row r="1519" spans="1:52" x14ac:dyDescent="0.25">
      <c r="A1519" s="3"/>
      <c r="AF1519" s="5" t="s">
        <v>1001</v>
      </c>
      <c r="AH1519" s="36">
        <f>AH1511+AH1513+AH1515+AH1517</f>
        <v>763696</v>
      </c>
      <c r="AI1519" s="58"/>
      <c r="AJ1519" s="36">
        <f>AJ1511+AJ1513+AJ1515+AJ1517</f>
        <v>516312</v>
      </c>
      <c r="AK1519" s="58"/>
      <c r="AL1519" s="36">
        <f>AL1511+AL1513+AL1515+AL1517</f>
        <v>459498</v>
      </c>
      <c r="AM1519" s="58"/>
      <c r="AN1519" s="36">
        <f>AN1511+AN1513+AN1515+AN1517</f>
        <v>451784</v>
      </c>
      <c r="AO1519" s="36"/>
      <c r="AP1519" s="36">
        <f>AP1511+AP1513+AP1515+AP1517</f>
        <v>409912</v>
      </c>
      <c r="AQ1519" s="59"/>
      <c r="AR1519" s="36">
        <f>AR1511+AR1513+AR1515+AR1517</f>
        <v>265552</v>
      </c>
      <c r="AS1519" s="59"/>
      <c r="AT1519" s="36">
        <f>AT1511+AT1513+AT1515+AT1517</f>
        <v>299712</v>
      </c>
      <c r="AU1519" s="59"/>
      <c r="AV1519" s="36">
        <f>AV1511+AV1513+AV1515+AV1517</f>
        <v>45718</v>
      </c>
      <c r="AW1519" s="59"/>
      <c r="AX1519" s="36">
        <f>AX1511+AX1513+AX1515+AX1517</f>
        <v>-173030</v>
      </c>
      <c r="AZ1519" s="36">
        <f>AZ1511+AZ1513+AZ1515+AZ1517</f>
        <v>-391778</v>
      </c>
    </row>
    <row r="1520" spans="1:52" x14ac:dyDescent="0.25">
      <c r="A1520" s="3"/>
    </row>
    <row r="1522" spans="32:52" s="6" customFormat="1" x14ac:dyDescent="0.25">
      <c r="AF1522" s="88" t="s">
        <v>1003</v>
      </c>
      <c r="AG1522" s="5"/>
      <c r="AH1522" s="85"/>
      <c r="AI1522" s="58"/>
      <c r="AJ1522" s="85"/>
      <c r="AK1522" s="58"/>
      <c r="AL1522" s="85"/>
      <c r="AM1522" s="58"/>
      <c r="AN1522" s="85"/>
      <c r="AO1522" s="85"/>
      <c r="AP1522" s="85"/>
      <c r="AQ1522" s="59"/>
      <c r="AR1522" s="85"/>
      <c r="AS1522" s="59"/>
      <c r="AT1522" s="85"/>
      <c r="AU1522" s="59"/>
      <c r="AV1522" s="85"/>
      <c r="AW1522" s="59"/>
      <c r="AX1522" s="85"/>
      <c r="AZ1522" s="85"/>
    </row>
    <row r="1523" spans="32:52" s="6" customFormat="1" x14ac:dyDescent="0.25">
      <c r="AF1523" s="5" t="s">
        <v>995</v>
      </c>
      <c r="AG1523" s="5"/>
      <c r="AH1523" s="31">
        <v>502101</v>
      </c>
      <c r="AI1523" s="7"/>
      <c r="AJ1523" s="31">
        <f>AH1535</f>
        <v>453607</v>
      </c>
      <c r="AK1523" s="7"/>
      <c r="AL1523" s="31">
        <f>AJ1535</f>
        <v>259397</v>
      </c>
      <c r="AM1523" s="7"/>
      <c r="AN1523" s="31">
        <f>AL1535</f>
        <v>111523</v>
      </c>
      <c r="AO1523" s="31"/>
      <c r="AP1523" s="31">
        <f>AN1535</f>
        <v>195161</v>
      </c>
      <c r="AQ1523" s="34"/>
      <c r="AR1523" s="31">
        <f>AP1535</f>
        <v>34586</v>
      </c>
      <c r="AS1523" s="34"/>
      <c r="AT1523" s="31">
        <f>AR1535</f>
        <v>141297</v>
      </c>
      <c r="AU1523" s="34"/>
      <c r="AV1523" s="31">
        <f>AT1535</f>
        <v>186185</v>
      </c>
      <c r="AW1523" s="34"/>
      <c r="AX1523" s="31">
        <f>AV1535</f>
        <v>289219</v>
      </c>
      <c r="AZ1523" s="31">
        <f>AX1535</f>
        <v>319300</v>
      </c>
    </row>
    <row r="1524" spans="32:52" s="6" customFormat="1" x14ac:dyDescent="0.25">
      <c r="AF1524" s="5"/>
      <c r="AG1524" s="5"/>
      <c r="AH1524" s="29"/>
      <c r="AI1524" s="3"/>
      <c r="AJ1524" s="29"/>
      <c r="AK1524" s="3"/>
      <c r="AL1524" s="29"/>
      <c r="AM1524" s="3"/>
      <c r="AN1524" s="29"/>
      <c r="AO1524" s="29"/>
      <c r="AP1524" s="29"/>
      <c r="AR1524" s="29"/>
      <c r="AT1524" s="29"/>
      <c r="AV1524" s="29"/>
      <c r="AX1524" s="29"/>
      <c r="AZ1524" s="29"/>
    </row>
    <row r="1525" spans="32:52" s="6" customFormat="1" x14ac:dyDescent="0.25">
      <c r="AF1525" s="5" t="s">
        <v>996</v>
      </c>
      <c r="AG1525" s="5"/>
      <c r="AH1525" s="35">
        <v>39006</v>
      </c>
      <c r="AI1525" s="32"/>
      <c r="AJ1525" s="35">
        <v>-19210</v>
      </c>
      <c r="AK1525" s="32"/>
      <c r="AL1525" s="35">
        <v>-60374</v>
      </c>
      <c r="AM1525" s="32"/>
      <c r="AN1525" s="35">
        <v>83638</v>
      </c>
      <c r="AO1525" s="35"/>
      <c r="AP1525" s="35">
        <v>-160575</v>
      </c>
      <c r="AQ1525" s="90"/>
      <c r="AR1525" s="35">
        <v>106711</v>
      </c>
      <c r="AS1525" s="90"/>
      <c r="AT1525" s="35">
        <v>44888</v>
      </c>
      <c r="AU1525" s="90"/>
      <c r="AV1525" s="35">
        <v>103034</v>
      </c>
      <c r="AW1525" s="90"/>
      <c r="AX1525" s="35">
        <v>30081</v>
      </c>
      <c r="AZ1525" s="35">
        <v>30081</v>
      </c>
    </row>
    <row r="1526" spans="32:52" s="6" customFormat="1" x14ac:dyDescent="0.25">
      <c r="AF1526" s="5"/>
      <c r="AG1526" s="5"/>
      <c r="AH1526" s="36"/>
      <c r="AI1526" s="4"/>
      <c r="AJ1526" s="36"/>
      <c r="AK1526" s="4"/>
      <c r="AL1526" s="36"/>
      <c r="AM1526" s="4"/>
      <c r="AN1526" s="36"/>
      <c r="AO1526" s="36"/>
      <c r="AP1526" s="36"/>
      <c r="AQ1526" s="59"/>
      <c r="AR1526" s="36"/>
      <c r="AS1526" s="59"/>
      <c r="AT1526" s="36"/>
      <c r="AU1526" s="59"/>
      <c r="AV1526" s="36"/>
      <c r="AW1526" s="59"/>
      <c r="AX1526" s="36"/>
      <c r="AZ1526" s="36"/>
    </row>
    <row r="1527" spans="32:52" s="6" customFormat="1" x14ac:dyDescent="0.25">
      <c r="AF1527" s="5" t="s">
        <v>997</v>
      </c>
      <c r="AG1527" s="5"/>
      <c r="AH1527" s="36">
        <f>AH1523+AH1525</f>
        <v>541107</v>
      </c>
      <c r="AI1527" s="4"/>
      <c r="AJ1527" s="36">
        <f>AJ1523+AJ1525</f>
        <v>434397</v>
      </c>
      <c r="AK1527" s="4"/>
      <c r="AL1527" s="36">
        <f>AL1523+AL1525</f>
        <v>199023</v>
      </c>
      <c r="AM1527" s="4"/>
      <c r="AN1527" s="36">
        <f>AN1523+AN1525</f>
        <v>195161</v>
      </c>
      <c r="AO1527" s="36"/>
      <c r="AP1527" s="36">
        <f>AP1523+AP1525</f>
        <v>34586</v>
      </c>
      <c r="AQ1527" s="59"/>
      <c r="AR1527" s="36">
        <f>AR1523+AR1525</f>
        <v>141297</v>
      </c>
      <c r="AS1527" s="59"/>
      <c r="AT1527" s="36">
        <f>AT1523+AT1525</f>
        <v>186185</v>
      </c>
      <c r="AU1527" s="59"/>
      <c r="AV1527" s="36">
        <f>AV1523+AV1525</f>
        <v>289219</v>
      </c>
      <c r="AW1527" s="59"/>
      <c r="AX1527" s="36">
        <f>AX1523+AX1525</f>
        <v>319300</v>
      </c>
      <c r="AZ1527" s="36">
        <f>AZ1523+AZ1525</f>
        <v>349381</v>
      </c>
    </row>
    <row r="1528" spans="32:52" s="6" customFormat="1" x14ac:dyDescent="0.25">
      <c r="AF1528" s="5"/>
      <c r="AG1528" s="5"/>
      <c r="AH1528" s="36"/>
      <c r="AI1528" s="58"/>
      <c r="AJ1528" s="36"/>
      <c r="AK1528" s="58"/>
      <c r="AL1528" s="36"/>
      <c r="AM1528" s="58"/>
      <c r="AN1528" s="36"/>
      <c r="AO1528" s="36"/>
      <c r="AP1528" s="36"/>
      <c r="AQ1528" s="59"/>
      <c r="AR1528" s="36"/>
      <c r="AS1528" s="59"/>
      <c r="AT1528" s="36"/>
      <c r="AU1528" s="59"/>
      <c r="AV1528" s="36"/>
      <c r="AW1528" s="59"/>
      <c r="AX1528" s="36"/>
      <c r="AZ1528" s="36"/>
    </row>
    <row r="1529" spans="32:52" s="6" customFormat="1" x14ac:dyDescent="0.25">
      <c r="AF1529" s="5" t="s">
        <v>998</v>
      </c>
      <c r="AG1529" s="5"/>
      <c r="AH1529" s="82"/>
      <c r="AI1529" s="58"/>
      <c r="AJ1529" s="36"/>
      <c r="AK1529" s="58"/>
      <c r="AL1529" s="36"/>
      <c r="AM1529" s="58"/>
      <c r="AN1529" s="36"/>
      <c r="AO1529" s="36"/>
      <c r="AP1529" s="36"/>
      <c r="AQ1529" s="59"/>
      <c r="AR1529" s="36"/>
      <c r="AS1529" s="59"/>
      <c r="AT1529" s="36"/>
      <c r="AU1529" s="59"/>
      <c r="AV1529" s="36"/>
      <c r="AW1529" s="59"/>
      <c r="AX1529" s="36"/>
      <c r="AZ1529" s="36"/>
    </row>
    <row r="1530" spans="32:52" s="6" customFormat="1" x14ac:dyDescent="0.25">
      <c r="AF1530" s="5"/>
      <c r="AG1530" s="5"/>
      <c r="AH1530" s="82"/>
      <c r="AI1530" s="58"/>
      <c r="AJ1530" s="36"/>
      <c r="AK1530" s="58"/>
      <c r="AL1530" s="36"/>
      <c r="AM1530" s="58"/>
      <c r="AN1530" s="36"/>
      <c r="AO1530" s="36"/>
      <c r="AP1530" s="36"/>
      <c r="AQ1530" s="59"/>
      <c r="AR1530" s="36"/>
      <c r="AS1530" s="59"/>
      <c r="AT1530" s="36"/>
      <c r="AU1530" s="59"/>
      <c r="AV1530" s="36"/>
      <c r="AW1530" s="59"/>
      <c r="AX1530" s="36"/>
      <c r="AZ1530" s="36"/>
    </row>
    <row r="1531" spans="32:52" s="6" customFormat="1" x14ac:dyDescent="0.25">
      <c r="AF1531" s="5" t="s">
        <v>999</v>
      </c>
      <c r="AG1531" s="5"/>
      <c r="AH1531" s="36">
        <v>-87500</v>
      </c>
      <c r="AI1531" s="58"/>
      <c r="AJ1531" s="36">
        <v>-175000</v>
      </c>
      <c r="AK1531" s="58"/>
      <c r="AL1531" s="36">
        <v>-87500</v>
      </c>
      <c r="AM1531" s="58"/>
      <c r="AN1531" s="36"/>
      <c r="AO1531" s="36"/>
      <c r="AP1531" s="36"/>
      <c r="AQ1531" s="59"/>
      <c r="AR1531" s="36"/>
      <c r="AS1531" s="59"/>
      <c r="AT1531" s="36"/>
      <c r="AU1531" s="59"/>
      <c r="AV1531" s="36"/>
      <c r="AW1531" s="59"/>
      <c r="AX1531" s="36"/>
      <c r="AZ1531" s="36"/>
    </row>
    <row r="1532" spans="32:52" s="6" customFormat="1" x14ac:dyDescent="0.25">
      <c r="AF1532" s="5"/>
      <c r="AG1532" s="5"/>
      <c r="AH1532" s="36"/>
      <c r="AI1532" s="58"/>
      <c r="AJ1532" s="36"/>
      <c r="AK1532" s="58"/>
      <c r="AL1532" s="36"/>
      <c r="AM1532" s="58"/>
      <c r="AN1532" s="36"/>
      <c r="AO1532" s="36"/>
      <c r="AP1532" s="36"/>
      <c r="AQ1532" s="59"/>
      <c r="AR1532" s="36"/>
      <c r="AS1532" s="59"/>
      <c r="AT1532" s="36"/>
      <c r="AU1532" s="59"/>
      <c r="AV1532" s="36"/>
      <c r="AW1532" s="59"/>
      <c r="AX1532" s="36"/>
      <c r="AZ1532" s="36"/>
    </row>
    <row r="1533" spans="32:52" s="6" customFormat="1" x14ac:dyDescent="0.25">
      <c r="AF1533" s="5" t="s">
        <v>1000</v>
      </c>
      <c r="AG1533" s="5"/>
      <c r="AH1533" s="36"/>
      <c r="AI1533" s="58"/>
      <c r="AJ1533" s="36"/>
      <c r="AK1533" s="58"/>
      <c r="AL1533" s="36"/>
      <c r="AM1533" s="58"/>
      <c r="AN1533" s="36"/>
      <c r="AO1533" s="36"/>
      <c r="AP1533" s="36"/>
      <c r="AQ1533" s="59"/>
      <c r="AR1533" s="36"/>
      <c r="AS1533" s="59"/>
      <c r="AT1533" s="36"/>
      <c r="AU1533" s="59"/>
      <c r="AV1533" s="36"/>
      <c r="AW1533" s="59"/>
      <c r="AX1533" s="36"/>
      <c r="AZ1533" s="36"/>
    </row>
    <row r="1534" spans="32:52" s="6" customFormat="1" x14ac:dyDescent="0.25">
      <c r="AF1534" s="5"/>
      <c r="AG1534" s="5"/>
      <c r="AH1534" s="35"/>
      <c r="AI1534" s="58"/>
      <c r="AJ1534" s="35"/>
      <c r="AK1534" s="58"/>
      <c r="AL1534" s="35"/>
      <c r="AM1534" s="58"/>
      <c r="AN1534" s="35"/>
      <c r="AO1534" s="35"/>
      <c r="AP1534" s="35"/>
      <c r="AQ1534" s="59"/>
      <c r="AR1534" s="35"/>
      <c r="AS1534" s="59"/>
      <c r="AT1534" s="35"/>
      <c r="AU1534" s="59"/>
      <c r="AV1534" s="35"/>
      <c r="AW1534" s="59"/>
      <c r="AX1534" s="35"/>
      <c r="AZ1534" s="35"/>
    </row>
    <row r="1535" spans="32:52" s="6" customFormat="1" x14ac:dyDescent="0.25">
      <c r="AF1535" s="5" t="s">
        <v>1001</v>
      </c>
      <c r="AG1535" s="5"/>
      <c r="AH1535" s="36">
        <f>AH1527+AH1529+AH1531+AH1533</f>
        <v>453607</v>
      </c>
      <c r="AI1535" s="58"/>
      <c r="AJ1535" s="36">
        <f>AJ1527+AJ1529+AJ1531+AJ1533</f>
        <v>259397</v>
      </c>
      <c r="AK1535" s="58"/>
      <c r="AL1535" s="36">
        <f>AL1527+AL1529+AL1531+AL1533</f>
        <v>111523</v>
      </c>
      <c r="AM1535" s="58"/>
      <c r="AN1535" s="36">
        <f>AN1527+AN1529+AN1531+AN1533</f>
        <v>195161</v>
      </c>
      <c r="AO1535" s="36"/>
      <c r="AP1535" s="36">
        <f>AP1527+AP1529+AP1531+AP1533</f>
        <v>34586</v>
      </c>
      <c r="AQ1535" s="59"/>
      <c r="AR1535" s="36">
        <f>AR1527+AR1529+AR1531+AR1533</f>
        <v>141297</v>
      </c>
      <c r="AS1535" s="59"/>
      <c r="AT1535" s="36">
        <f>AT1527+AT1529+AT1531+AT1533</f>
        <v>186185</v>
      </c>
      <c r="AU1535" s="59"/>
      <c r="AV1535" s="36">
        <f>AV1527+AV1529+AV1531+AV1533</f>
        <v>289219</v>
      </c>
      <c r="AW1535" s="59"/>
      <c r="AX1535" s="36">
        <f>AX1527+AX1529+AX1531+AX1533</f>
        <v>319300</v>
      </c>
      <c r="AZ1535" s="36">
        <f>AZ1527+AZ1529+AZ1531+AZ1533</f>
        <v>349381</v>
      </c>
    </row>
    <row r="1538" spans="32:52" s="6" customFormat="1" x14ac:dyDescent="0.25">
      <c r="AF1538" s="88" t="s">
        <v>1004</v>
      </c>
      <c r="AG1538" s="5"/>
      <c r="AH1538" s="85"/>
      <c r="AI1538" s="58"/>
      <c r="AJ1538" s="85"/>
      <c r="AK1538" s="58"/>
      <c r="AL1538" s="85"/>
      <c r="AM1538" s="58"/>
      <c r="AN1538" s="85"/>
      <c r="AO1538" s="85"/>
      <c r="AP1538" s="85"/>
      <c r="AQ1538" s="59"/>
      <c r="AR1538" s="85"/>
      <c r="AS1538" s="59"/>
      <c r="AT1538" s="85"/>
      <c r="AU1538" s="59"/>
      <c r="AV1538" s="85"/>
      <c r="AW1538" s="59"/>
      <c r="AX1538" s="85"/>
      <c r="AZ1538" s="85"/>
    </row>
    <row r="1539" spans="32:52" s="6" customFormat="1" x14ac:dyDescent="0.25">
      <c r="AF1539" s="5" t="s">
        <v>995</v>
      </c>
      <c r="AG1539" s="5"/>
      <c r="AH1539" s="31">
        <v>660291</v>
      </c>
      <c r="AI1539" s="7"/>
      <c r="AJ1539" s="31">
        <f>AH1551</f>
        <v>1156617</v>
      </c>
      <c r="AK1539" s="7"/>
      <c r="AL1539" s="31">
        <f>AJ1551</f>
        <v>539629</v>
      </c>
      <c r="AM1539" s="7"/>
      <c r="AN1539" s="31">
        <f>AL1551</f>
        <v>108631</v>
      </c>
      <c r="AO1539" s="31"/>
      <c r="AP1539" s="31">
        <f>AN1551</f>
        <v>-42101</v>
      </c>
      <c r="AQ1539" s="34"/>
      <c r="AR1539" s="31">
        <f>AP1551</f>
        <v>-199479</v>
      </c>
      <c r="AS1539" s="34"/>
      <c r="AT1539" s="31">
        <f>AR1551</f>
        <v>-373180</v>
      </c>
      <c r="AU1539" s="34"/>
      <c r="AV1539" s="31">
        <f>AT1551</f>
        <v>-533139</v>
      </c>
      <c r="AW1539" s="34"/>
      <c r="AX1539" s="31">
        <f>AV1551</f>
        <v>-724807</v>
      </c>
      <c r="AZ1539" s="31">
        <f>AX1551</f>
        <v>-933396</v>
      </c>
    </row>
    <row r="1540" spans="32:52" s="6" customFormat="1" x14ac:dyDescent="0.25">
      <c r="AF1540" s="5"/>
      <c r="AG1540" s="5"/>
      <c r="AH1540" s="31"/>
      <c r="AI1540" s="7"/>
      <c r="AJ1540" s="31"/>
      <c r="AK1540" s="7"/>
      <c r="AL1540" s="31"/>
      <c r="AM1540" s="7"/>
      <c r="AN1540" s="31"/>
      <c r="AO1540" s="31"/>
      <c r="AP1540" s="31"/>
      <c r="AQ1540" s="34"/>
      <c r="AR1540" s="31"/>
      <c r="AS1540" s="34"/>
      <c r="AT1540" s="31"/>
      <c r="AU1540" s="34"/>
      <c r="AV1540" s="31"/>
      <c r="AW1540" s="34"/>
      <c r="AX1540" s="31"/>
      <c r="AZ1540" s="31"/>
    </row>
    <row r="1541" spans="32:52" s="6" customFormat="1" x14ac:dyDescent="0.25">
      <c r="AF1541" s="5" t="s">
        <v>996</v>
      </c>
      <c r="AG1541" s="5"/>
      <c r="AH1541" s="35">
        <v>-3674</v>
      </c>
      <c r="AI1541" s="32"/>
      <c r="AJ1541" s="35">
        <v>-16164</v>
      </c>
      <c r="AK1541" s="32"/>
      <c r="AL1541" s="35">
        <v>-80174</v>
      </c>
      <c r="AM1541" s="32"/>
      <c r="AN1541" s="35">
        <v>-49908</v>
      </c>
      <c r="AO1541" s="35"/>
      <c r="AP1541" s="35">
        <v>-56554</v>
      </c>
      <c r="AQ1541" s="90"/>
      <c r="AR1541" s="35">
        <v>-72877</v>
      </c>
      <c r="AS1541" s="90"/>
      <c r="AT1541" s="35">
        <v>-59135</v>
      </c>
      <c r="AU1541" s="90"/>
      <c r="AV1541" s="35">
        <v>-90844</v>
      </c>
      <c r="AW1541" s="90"/>
      <c r="AX1541" s="35">
        <v>-107765</v>
      </c>
      <c r="AZ1541" s="35">
        <v>-107765</v>
      </c>
    </row>
    <row r="1542" spans="32:52" s="6" customFormat="1" x14ac:dyDescent="0.25">
      <c r="AF1542" s="5"/>
      <c r="AG1542" s="5"/>
      <c r="AH1542" s="36"/>
      <c r="AI1542" s="4"/>
      <c r="AJ1542" s="36"/>
      <c r="AK1542" s="4"/>
      <c r="AL1542" s="36"/>
      <c r="AM1542" s="4"/>
      <c r="AN1542" s="36"/>
      <c r="AO1542" s="36"/>
      <c r="AP1542" s="36"/>
      <c r="AQ1542" s="59"/>
      <c r="AR1542" s="36"/>
      <c r="AS1542" s="59"/>
      <c r="AT1542" s="36"/>
      <c r="AU1542" s="59"/>
      <c r="AV1542" s="36"/>
      <c r="AW1542" s="59"/>
      <c r="AX1542" s="36"/>
      <c r="AZ1542" s="36"/>
    </row>
    <row r="1543" spans="32:52" s="6" customFormat="1" x14ac:dyDescent="0.25">
      <c r="AF1543" s="5" t="s">
        <v>997</v>
      </c>
      <c r="AG1543" s="5"/>
      <c r="AH1543" s="36">
        <f>AH1539+AH1541</f>
        <v>656617</v>
      </c>
      <c r="AI1543" s="4"/>
      <c r="AJ1543" s="36">
        <f>AJ1539+AJ1541</f>
        <v>1140453</v>
      </c>
      <c r="AK1543" s="4"/>
      <c r="AL1543" s="36">
        <f>AL1539+AL1541</f>
        <v>459455</v>
      </c>
      <c r="AM1543" s="4"/>
      <c r="AN1543" s="36">
        <f>AN1539+AN1541</f>
        <v>58723</v>
      </c>
      <c r="AO1543" s="36"/>
      <c r="AP1543" s="36">
        <f>AP1539+AP1541</f>
        <v>-98655</v>
      </c>
      <c r="AQ1543" s="59"/>
      <c r="AR1543" s="36">
        <f>AR1539+AR1541</f>
        <v>-272356</v>
      </c>
      <c r="AS1543" s="59"/>
      <c r="AT1543" s="36">
        <f>AT1539+AT1541</f>
        <v>-432315</v>
      </c>
      <c r="AU1543" s="59"/>
      <c r="AV1543" s="36">
        <f>AV1539+AV1541</f>
        <v>-623983</v>
      </c>
      <c r="AW1543" s="59"/>
      <c r="AX1543" s="36">
        <f>AX1539+AX1541</f>
        <v>-832572</v>
      </c>
      <c r="AZ1543" s="36">
        <f>AZ1539+AZ1541</f>
        <v>-1041161</v>
      </c>
    </row>
    <row r="1544" spans="32:52" s="6" customFormat="1" x14ac:dyDescent="0.25">
      <c r="AF1544" s="5"/>
      <c r="AG1544" s="5"/>
      <c r="AH1544" s="36"/>
      <c r="AI1544" s="58"/>
      <c r="AJ1544" s="36"/>
      <c r="AK1544" s="58"/>
      <c r="AL1544" s="36"/>
      <c r="AM1544" s="58"/>
      <c r="AN1544" s="36"/>
      <c r="AO1544" s="36"/>
      <c r="AP1544" s="36"/>
      <c r="AQ1544" s="59"/>
      <c r="AR1544" s="36"/>
      <c r="AS1544" s="59"/>
      <c r="AT1544" s="36"/>
      <c r="AU1544" s="59"/>
      <c r="AV1544" s="36"/>
      <c r="AW1544" s="59"/>
      <c r="AX1544" s="36"/>
      <c r="AZ1544" s="36"/>
    </row>
    <row r="1545" spans="32:52" s="6" customFormat="1" x14ac:dyDescent="0.25">
      <c r="AF1545" s="5" t="s">
        <v>998</v>
      </c>
      <c r="AG1545" s="5"/>
      <c r="AH1545" s="82">
        <v>750000</v>
      </c>
      <c r="AI1545" s="58"/>
      <c r="AJ1545" s="36"/>
      <c r="AK1545" s="58"/>
      <c r="AL1545" s="36"/>
      <c r="AM1545" s="58"/>
      <c r="AN1545" s="36"/>
      <c r="AO1545" s="36"/>
      <c r="AP1545" s="36"/>
      <c r="AQ1545" s="59"/>
      <c r="AR1545" s="36"/>
      <c r="AS1545" s="59"/>
      <c r="AT1545" s="36"/>
      <c r="AU1545" s="59"/>
      <c r="AV1545" s="36"/>
      <c r="AW1545" s="59"/>
      <c r="AX1545" s="36"/>
      <c r="AZ1545" s="36"/>
    </row>
    <row r="1546" spans="32:52" s="6" customFormat="1" x14ac:dyDescent="0.25">
      <c r="AF1546" s="5"/>
      <c r="AG1546" s="5"/>
      <c r="AH1546" s="82"/>
      <c r="AI1546" s="58"/>
      <c r="AJ1546" s="36"/>
      <c r="AK1546" s="58"/>
      <c r="AL1546" s="36"/>
      <c r="AM1546" s="58"/>
      <c r="AN1546" s="36"/>
      <c r="AO1546" s="36"/>
      <c r="AP1546" s="36"/>
      <c r="AQ1546" s="59"/>
      <c r="AR1546" s="36"/>
      <c r="AS1546" s="59"/>
      <c r="AT1546" s="36"/>
      <c r="AU1546" s="59"/>
      <c r="AV1546" s="36"/>
      <c r="AW1546" s="59"/>
      <c r="AX1546" s="36"/>
      <c r="AZ1546" s="36"/>
    </row>
    <row r="1547" spans="32:52" s="6" customFormat="1" x14ac:dyDescent="0.25">
      <c r="AF1547" s="5" t="s">
        <v>999</v>
      </c>
      <c r="AG1547" s="5"/>
      <c r="AH1547" s="36">
        <v>-250000</v>
      </c>
      <c r="AI1547" s="58"/>
      <c r="AJ1547" s="36">
        <v>-500000</v>
      </c>
      <c r="AK1547" s="58"/>
      <c r="AL1547" s="36">
        <v>-250000</v>
      </c>
      <c r="AM1547" s="58"/>
      <c r="AN1547" s="36"/>
      <c r="AO1547" s="36"/>
      <c r="AP1547" s="36"/>
      <c r="AQ1547" s="59"/>
      <c r="AR1547" s="36"/>
      <c r="AS1547" s="59"/>
      <c r="AT1547" s="36"/>
      <c r="AU1547" s="59"/>
      <c r="AV1547" s="36"/>
      <c r="AW1547" s="59"/>
      <c r="AX1547" s="36"/>
      <c r="AZ1547" s="36"/>
    </row>
    <row r="1548" spans="32:52" s="6" customFormat="1" x14ac:dyDescent="0.25">
      <c r="AF1548" s="5"/>
      <c r="AG1548" s="5"/>
      <c r="AH1548" s="36"/>
      <c r="AI1548" s="58"/>
      <c r="AJ1548" s="36"/>
      <c r="AK1548" s="58"/>
      <c r="AL1548" s="36"/>
      <c r="AM1548" s="58"/>
      <c r="AN1548" s="36"/>
      <c r="AO1548" s="36"/>
      <c r="AP1548" s="36"/>
      <c r="AQ1548" s="59"/>
      <c r="AR1548" s="36"/>
      <c r="AS1548" s="59"/>
      <c r="AT1548" s="36"/>
      <c r="AU1548" s="59"/>
      <c r="AV1548" s="36"/>
      <c r="AW1548" s="59"/>
      <c r="AX1548" s="36"/>
      <c r="AZ1548" s="36"/>
    </row>
    <row r="1549" spans="32:52" s="6" customFormat="1" x14ac:dyDescent="0.25">
      <c r="AF1549" s="5" t="s">
        <v>1000</v>
      </c>
      <c r="AG1549" s="5"/>
      <c r="AH1549" s="36"/>
      <c r="AI1549" s="58"/>
      <c r="AJ1549" s="36">
        <v>-100824</v>
      </c>
      <c r="AK1549" s="58"/>
      <c r="AL1549" s="36">
        <v>-100824</v>
      </c>
      <c r="AM1549" s="58"/>
      <c r="AN1549" s="36">
        <v>-100824</v>
      </c>
      <c r="AO1549" s="36"/>
      <c r="AP1549" s="36">
        <v>-100824</v>
      </c>
      <c r="AQ1549" s="59"/>
      <c r="AR1549" s="36">
        <v>-100824</v>
      </c>
      <c r="AS1549" s="59"/>
      <c r="AT1549" s="36">
        <v>-100824</v>
      </c>
      <c r="AU1549" s="59"/>
      <c r="AV1549" s="36">
        <v>-100824</v>
      </c>
      <c r="AW1549" s="59"/>
      <c r="AX1549" s="36">
        <v>-100824</v>
      </c>
      <c r="AZ1549" s="36">
        <v>-100824</v>
      </c>
    </row>
    <row r="1550" spans="32:52" s="6" customFormat="1" x14ac:dyDescent="0.25">
      <c r="AF1550" s="5"/>
      <c r="AG1550" s="5"/>
      <c r="AH1550" s="35"/>
      <c r="AI1550" s="58"/>
      <c r="AJ1550" s="35"/>
      <c r="AK1550" s="58"/>
      <c r="AL1550" s="35"/>
      <c r="AM1550" s="58"/>
      <c r="AN1550" s="35"/>
      <c r="AO1550" s="35"/>
      <c r="AP1550" s="35"/>
      <c r="AQ1550" s="59"/>
      <c r="AR1550" s="35"/>
      <c r="AS1550" s="59"/>
      <c r="AT1550" s="35"/>
      <c r="AU1550" s="59"/>
      <c r="AV1550" s="35"/>
      <c r="AW1550" s="59"/>
      <c r="AX1550" s="35"/>
      <c r="AZ1550" s="35"/>
    </row>
    <row r="1551" spans="32:52" s="6" customFormat="1" x14ac:dyDescent="0.25">
      <c r="AF1551" s="5" t="s">
        <v>1001</v>
      </c>
      <c r="AG1551" s="5"/>
      <c r="AH1551" s="36">
        <f>AH1543+AH1545+AH1547+AH1549</f>
        <v>1156617</v>
      </c>
      <c r="AI1551" s="58"/>
      <c r="AJ1551" s="36">
        <f>AJ1543+AJ1545+AJ1547+AJ1549</f>
        <v>539629</v>
      </c>
      <c r="AK1551" s="58"/>
      <c r="AL1551" s="36">
        <f>AL1543+AL1545+AL1547+AL1549</f>
        <v>108631</v>
      </c>
      <c r="AM1551" s="58"/>
      <c r="AN1551" s="36">
        <f>AN1543+AN1545+AN1547+AN1549</f>
        <v>-42101</v>
      </c>
      <c r="AO1551" s="36"/>
      <c r="AP1551" s="36">
        <f>AP1543+AP1545+AP1547+AP1549</f>
        <v>-199479</v>
      </c>
      <c r="AQ1551" s="59"/>
      <c r="AR1551" s="36">
        <f>AR1543+AR1545+AR1547+AR1549</f>
        <v>-373180</v>
      </c>
      <c r="AS1551" s="59"/>
      <c r="AT1551" s="36">
        <f>AT1543+AT1545+AT1547+AT1549</f>
        <v>-533139</v>
      </c>
      <c r="AU1551" s="59"/>
      <c r="AV1551" s="36">
        <f>AV1543+AV1545+AV1547+AV1549</f>
        <v>-724807</v>
      </c>
      <c r="AW1551" s="59"/>
      <c r="AX1551" s="36">
        <f>AX1543+AX1545+AX1547+AX1549</f>
        <v>-933396</v>
      </c>
      <c r="AZ1551" s="36">
        <f>AZ1543+AZ1545+AZ1547+AZ1549</f>
        <v>-1141985</v>
      </c>
    </row>
    <row r="1553" spans="31:52" s="6" customFormat="1" x14ac:dyDescent="0.25">
      <c r="AE1553" s="5"/>
      <c r="AF1553" s="63" t="s">
        <v>1005</v>
      </c>
      <c r="AG1553" s="5"/>
      <c r="AH1553" s="5"/>
      <c r="AI1553" s="5"/>
      <c r="AJ1553" s="5"/>
      <c r="AK1553" s="5"/>
      <c r="AL1553" s="5"/>
      <c r="AM1553" s="5"/>
      <c r="AN1553" s="5"/>
      <c r="AO1553" s="5"/>
      <c r="AP1553" s="5"/>
      <c r="AR1553" s="5"/>
      <c r="AT1553" s="5"/>
      <c r="AV1553" s="5"/>
      <c r="AX1553" s="5"/>
      <c r="AZ1553" s="5"/>
    </row>
    <row r="1554" spans="31:52" s="6" customFormat="1" ht="15.75" thickBot="1" x14ac:dyDescent="0.3">
      <c r="AE1554" s="5"/>
      <c r="AF1554" s="5"/>
      <c r="AG1554" s="5"/>
      <c r="AH1554" s="5"/>
      <c r="AI1554" s="5"/>
      <c r="AJ1554" s="5"/>
      <c r="AK1554" s="5"/>
      <c r="AL1554" s="5"/>
      <c r="AM1554" s="5"/>
      <c r="AN1554" s="5"/>
      <c r="AO1554" s="5"/>
      <c r="AP1554" s="5"/>
      <c r="AR1554" s="5"/>
      <c r="AT1554" s="5"/>
      <c r="AV1554" s="5"/>
      <c r="AX1554" s="5"/>
      <c r="AZ1554" s="5"/>
    </row>
    <row r="1555" spans="31:52" s="6" customFormat="1" x14ac:dyDescent="0.25">
      <c r="AE1555" s="5"/>
      <c r="AF1555" s="5"/>
      <c r="AG1555" s="5"/>
      <c r="AH1555" s="8" t="s">
        <v>8</v>
      </c>
      <c r="AI1555" s="5"/>
      <c r="AJ1555" s="8" t="s">
        <v>8</v>
      </c>
      <c r="AK1555" s="5"/>
      <c r="AL1555" s="8" t="s">
        <v>8</v>
      </c>
      <c r="AM1555" s="5"/>
      <c r="AN1555" s="8" t="s">
        <v>8</v>
      </c>
      <c r="AO1555" s="8"/>
      <c r="AP1555" s="8" t="s">
        <v>8</v>
      </c>
      <c r="AR1555" s="8" t="s">
        <v>8</v>
      </c>
      <c r="AT1555" s="8" t="s">
        <v>8</v>
      </c>
      <c r="AV1555" s="8" t="s">
        <v>8</v>
      </c>
      <c r="AX1555" s="8" t="s">
        <v>8</v>
      </c>
      <c r="AZ1555" s="8" t="s">
        <v>8</v>
      </c>
    </row>
    <row r="1556" spans="31:52" s="6" customFormat="1" ht="15.75" thickBot="1" x14ac:dyDescent="0.3">
      <c r="AE1556" s="5"/>
      <c r="AF1556" s="5"/>
      <c r="AG1556" s="5"/>
      <c r="AH1556" s="19" t="s">
        <v>24</v>
      </c>
      <c r="AI1556" s="5"/>
      <c r="AJ1556" s="19" t="s">
        <v>25</v>
      </c>
      <c r="AK1556" s="5"/>
      <c r="AL1556" s="19" t="s">
        <v>26</v>
      </c>
      <c r="AM1556" s="5"/>
      <c r="AN1556" s="19" t="s">
        <v>27</v>
      </c>
      <c r="AO1556" s="19"/>
      <c r="AP1556" s="19" t="s">
        <v>28</v>
      </c>
      <c r="AR1556" s="19" t="s">
        <v>29</v>
      </c>
      <c r="AT1556" s="19" t="s">
        <v>30</v>
      </c>
      <c r="AV1556" s="19" t="s">
        <v>31</v>
      </c>
      <c r="AX1556" s="19" t="s">
        <v>32</v>
      </c>
      <c r="AZ1556" s="19" t="s">
        <v>32</v>
      </c>
    </row>
    <row r="1558" spans="31:52" s="6" customFormat="1" x14ac:dyDescent="0.25">
      <c r="AE1558" s="5"/>
      <c r="AF1558" s="88" t="s">
        <v>994</v>
      </c>
      <c r="AG1558" s="5"/>
      <c r="AH1558" s="29"/>
      <c r="AI1558" s="3"/>
      <c r="AJ1558" s="29"/>
      <c r="AK1558" s="3"/>
      <c r="AL1558" s="29"/>
      <c r="AM1558" s="3"/>
      <c r="AN1558" s="29"/>
      <c r="AO1558" s="29"/>
      <c r="AP1558" s="29"/>
      <c r="AR1558" s="29"/>
      <c r="AT1558" s="29"/>
      <c r="AV1558" s="29"/>
      <c r="AX1558" s="29"/>
      <c r="AZ1558" s="29"/>
    </row>
    <row r="1559" spans="31:52" s="6" customFormat="1" x14ac:dyDescent="0.25">
      <c r="AE1559" s="5"/>
      <c r="AF1559" s="5"/>
      <c r="AG1559" s="5"/>
      <c r="AH1559" s="29"/>
      <c r="AI1559" s="3"/>
      <c r="AJ1559" s="29"/>
      <c r="AK1559" s="3"/>
      <c r="AL1559" s="29"/>
      <c r="AM1559" s="3"/>
      <c r="AN1559" s="29"/>
      <c r="AO1559" s="29"/>
      <c r="AP1559" s="29"/>
      <c r="AR1559" s="29"/>
      <c r="AT1559" s="29"/>
      <c r="AV1559" s="29"/>
      <c r="AX1559" s="29"/>
      <c r="AZ1559" s="29"/>
    </row>
    <row r="1560" spans="31:52" s="6" customFormat="1" x14ac:dyDescent="0.25">
      <c r="AE1560" s="5"/>
      <c r="AF1560" s="5" t="s">
        <v>995</v>
      </c>
      <c r="AG1560" s="5"/>
      <c r="AH1560" s="31">
        <v>747760</v>
      </c>
      <c r="AI1560" s="7"/>
      <c r="AJ1560" s="31">
        <f>AH1572</f>
        <v>1312926</v>
      </c>
      <c r="AK1560" s="7"/>
      <c r="AL1560" s="31">
        <f>AJ1572</f>
        <v>1188053</v>
      </c>
      <c r="AM1560" s="7"/>
      <c r="AN1560" s="31">
        <f>AL1572</f>
        <v>1488342</v>
      </c>
      <c r="AO1560" s="31"/>
      <c r="AP1560" s="31">
        <f>AN1572</f>
        <v>1985833</v>
      </c>
      <c r="AQ1560" s="34"/>
      <c r="AR1560" s="31">
        <f>AP1572</f>
        <v>2190500</v>
      </c>
      <c r="AS1560" s="34"/>
      <c r="AT1560" s="31">
        <f>AR1572</f>
        <v>2753689</v>
      </c>
      <c r="AU1560" s="34"/>
      <c r="AV1560" s="31">
        <f>AT1572</f>
        <v>3549607</v>
      </c>
      <c r="AW1560" s="34"/>
      <c r="AX1560" s="31">
        <f>AV1572</f>
        <v>4160440</v>
      </c>
      <c r="AZ1560" s="31">
        <f>AX1572</f>
        <v>4557982</v>
      </c>
    </row>
    <row r="1561" spans="31:52" s="6" customFormat="1" x14ac:dyDescent="0.25">
      <c r="AE1561" s="5"/>
      <c r="AF1561" s="5"/>
      <c r="AG1561" s="5"/>
      <c r="AH1561" s="29"/>
      <c r="AI1561" s="3"/>
      <c r="AJ1561" s="29"/>
      <c r="AK1561" s="3"/>
      <c r="AL1561" s="29"/>
      <c r="AM1561" s="3"/>
      <c r="AN1561" s="29"/>
      <c r="AO1561" s="29"/>
      <c r="AP1561" s="29"/>
      <c r="AR1561" s="29"/>
      <c r="AT1561" s="29"/>
      <c r="AV1561" s="29"/>
      <c r="AX1561" s="29"/>
      <c r="AZ1561" s="29"/>
    </row>
    <row r="1562" spans="31:52" s="6" customFormat="1" x14ac:dyDescent="0.25">
      <c r="AE1562" s="5"/>
      <c r="AF1562" s="5" t="s">
        <v>996</v>
      </c>
      <c r="AG1562" s="5"/>
      <c r="AH1562" s="35">
        <v>190166</v>
      </c>
      <c r="AI1562" s="32"/>
      <c r="AJ1562" s="35">
        <v>192343</v>
      </c>
      <c r="AK1562" s="32"/>
      <c r="AL1562" s="35">
        <v>492505</v>
      </c>
      <c r="AM1562" s="32"/>
      <c r="AN1562" s="35">
        <v>564707</v>
      </c>
      <c r="AO1562" s="35"/>
      <c r="AP1562" s="35">
        <v>271883</v>
      </c>
      <c r="AQ1562" s="90"/>
      <c r="AR1562" s="35">
        <v>630405</v>
      </c>
      <c r="AS1562" s="90"/>
      <c r="AT1562" s="35">
        <v>863134</v>
      </c>
      <c r="AU1562" s="90"/>
      <c r="AV1562" s="35">
        <v>678049</v>
      </c>
      <c r="AW1562" s="90"/>
      <c r="AX1562" s="35">
        <v>464758</v>
      </c>
      <c r="AZ1562" s="35">
        <v>464758</v>
      </c>
    </row>
    <row r="1563" spans="31:52" s="6" customFormat="1" x14ac:dyDescent="0.25">
      <c r="AE1563" s="5"/>
      <c r="AF1563" s="5"/>
      <c r="AG1563" s="5"/>
      <c r="AH1563" s="72"/>
      <c r="AI1563" s="4"/>
      <c r="AJ1563" s="36"/>
      <c r="AK1563" s="4"/>
      <c r="AL1563" s="36"/>
      <c r="AM1563" s="4"/>
      <c r="AN1563" s="36"/>
      <c r="AO1563" s="36"/>
      <c r="AP1563" s="36"/>
      <c r="AQ1563" s="59"/>
      <c r="AR1563" s="36"/>
      <c r="AS1563" s="59"/>
      <c r="AT1563" s="36"/>
      <c r="AU1563" s="59"/>
      <c r="AV1563" s="36"/>
      <c r="AW1563" s="59"/>
      <c r="AX1563" s="36"/>
      <c r="AZ1563" s="36"/>
    </row>
    <row r="1564" spans="31:52" s="6" customFormat="1" x14ac:dyDescent="0.25">
      <c r="AE1564" s="5"/>
      <c r="AF1564" s="5" t="s">
        <v>997</v>
      </c>
      <c r="AG1564" s="5"/>
      <c r="AH1564" s="36">
        <f>AH1560+AH1562</f>
        <v>937926</v>
      </c>
      <c r="AI1564" s="4"/>
      <c r="AJ1564" s="36">
        <f>AJ1560+AJ1562</f>
        <v>1505269</v>
      </c>
      <c r="AK1564" s="4"/>
      <c r="AL1564" s="36">
        <f>AL1560+AL1562</f>
        <v>1680558</v>
      </c>
      <c r="AM1564" s="4"/>
      <c r="AN1564" s="36">
        <f>AN1560+AN1562</f>
        <v>2053049</v>
      </c>
      <c r="AO1564" s="36"/>
      <c r="AP1564" s="36">
        <f>AP1560+AP1562</f>
        <v>2257716</v>
      </c>
      <c r="AQ1564" s="59"/>
      <c r="AR1564" s="36">
        <f>AR1560+AR1562</f>
        <v>2820905</v>
      </c>
      <c r="AS1564" s="59"/>
      <c r="AT1564" s="36">
        <f>AT1560+AT1562</f>
        <v>3616823</v>
      </c>
      <c r="AU1564" s="59"/>
      <c r="AV1564" s="36">
        <f>AV1560+AV1562</f>
        <v>4227656</v>
      </c>
      <c r="AW1564" s="59"/>
      <c r="AX1564" s="36">
        <f>AX1560+AX1562</f>
        <v>4625198</v>
      </c>
      <c r="AZ1564" s="36">
        <f>AZ1560+AZ1562</f>
        <v>5022740</v>
      </c>
    </row>
    <row r="1565" spans="31:52" s="6" customFormat="1" x14ac:dyDescent="0.25">
      <c r="AE1565" s="5"/>
      <c r="AF1565" s="5"/>
      <c r="AG1565" s="5"/>
      <c r="AH1565" s="36"/>
      <c r="AI1565" s="58"/>
      <c r="AJ1565" s="36"/>
      <c r="AK1565" s="58"/>
      <c r="AL1565" s="36"/>
      <c r="AM1565" s="58"/>
      <c r="AN1565" s="36"/>
      <c r="AO1565" s="36"/>
      <c r="AP1565" s="36"/>
      <c r="AQ1565" s="59"/>
      <c r="AR1565" s="36"/>
      <c r="AS1565" s="59"/>
      <c r="AT1565" s="36"/>
      <c r="AU1565" s="59"/>
      <c r="AV1565" s="36"/>
      <c r="AW1565" s="59"/>
      <c r="AX1565" s="36"/>
      <c r="AZ1565" s="36"/>
    </row>
    <row r="1566" spans="31:52" s="6" customFormat="1" x14ac:dyDescent="0.25">
      <c r="AE1566" s="5"/>
      <c r="AF1566" s="5" t="s">
        <v>998</v>
      </c>
      <c r="AG1566" s="5"/>
      <c r="AH1566" s="36">
        <v>500000</v>
      </c>
      <c r="AI1566" s="58"/>
      <c r="AJ1566" s="36"/>
      <c r="AK1566" s="58"/>
      <c r="AL1566" s="36"/>
      <c r="AM1566" s="58"/>
      <c r="AN1566" s="36"/>
      <c r="AO1566" s="36"/>
      <c r="AP1566" s="36"/>
      <c r="AQ1566" s="59"/>
      <c r="AR1566" s="36"/>
      <c r="AS1566" s="59"/>
      <c r="AT1566" s="36"/>
      <c r="AU1566" s="59"/>
      <c r="AV1566" s="36"/>
      <c r="AW1566" s="59"/>
      <c r="AX1566" s="36"/>
      <c r="AZ1566" s="36"/>
    </row>
    <row r="1567" spans="31:52" s="6" customFormat="1" x14ac:dyDescent="0.25">
      <c r="AE1567" s="5" t="s">
        <v>374</v>
      </c>
      <c r="AF1567" s="5"/>
      <c r="AG1567" s="5"/>
      <c r="AH1567" s="36"/>
      <c r="AI1567" s="58"/>
      <c r="AJ1567" s="36"/>
      <c r="AK1567" s="58"/>
      <c r="AL1567" s="36"/>
      <c r="AM1567" s="58"/>
      <c r="AN1567" s="36"/>
      <c r="AO1567" s="36"/>
      <c r="AP1567" s="36"/>
      <c r="AQ1567" s="59"/>
      <c r="AR1567" s="36"/>
      <c r="AS1567" s="59"/>
      <c r="AT1567" s="36"/>
      <c r="AU1567" s="59"/>
      <c r="AV1567" s="36"/>
      <c r="AW1567" s="59"/>
      <c r="AX1567" s="36"/>
      <c r="AZ1567" s="36"/>
    </row>
    <row r="1568" spans="31:52" s="6" customFormat="1" x14ac:dyDescent="0.25">
      <c r="AE1568" s="5"/>
      <c r="AF1568" s="5" t="s">
        <v>999</v>
      </c>
      <c r="AG1568" s="5"/>
      <c r="AH1568" s="36">
        <v>-125000</v>
      </c>
      <c r="AI1568" s="58"/>
      <c r="AJ1568" s="36">
        <v>-250000</v>
      </c>
      <c r="AK1568" s="58"/>
      <c r="AL1568" s="36">
        <v>-125000</v>
      </c>
      <c r="AM1568" s="58"/>
      <c r="AN1568" s="36"/>
      <c r="AO1568" s="36"/>
      <c r="AP1568" s="36"/>
      <c r="AQ1568" s="59"/>
      <c r="AR1568" s="36"/>
      <c r="AS1568" s="59"/>
      <c r="AT1568" s="36"/>
      <c r="AU1568" s="59"/>
      <c r="AV1568" s="36"/>
      <c r="AW1568" s="59"/>
      <c r="AX1568" s="36"/>
      <c r="AZ1568" s="36"/>
    </row>
    <row r="1569" spans="32:52" s="6" customFormat="1" x14ac:dyDescent="0.25">
      <c r="AF1569" s="5"/>
      <c r="AG1569" s="5"/>
      <c r="AH1569" s="36"/>
      <c r="AI1569" s="58"/>
      <c r="AJ1569" s="36"/>
      <c r="AK1569" s="58"/>
      <c r="AL1569" s="36"/>
      <c r="AM1569" s="58"/>
      <c r="AN1569" s="36"/>
      <c r="AO1569" s="36"/>
      <c r="AP1569" s="36"/>
      <c r="AQ1569" s="59"/>
      <c r="AR1569" s="36"/>
      <c r="AS1569" s="59"/>
      <c r="AT1569" s="36"/>
      <c r="AU1569" s="59"/>
      <c r="AV1569" s="36"/>
      <c r="AW1569" s="59"/>
      <c r="AX1569" s="36"/>
      <c r="AZ1569" s="36"/>
    </row>
    <row r="1570" spans="32:52" s="6" customFormat="1" x14ac:dyDescent="0.25">
      <c r="AF1570" s="5" t="s">
        <v>1000</v>
      </c>
      <c r="AG1570" s="5"/>
      <c r="AH1570" s="36"/>
      <c r="AI1570" s="58"/>
      <c r="AJ1570" s="36">
        <v>-67216</v>
      </c>
      <c r="AK1570" s="58"/>
      <c r="AL1570" s="36">
        <v>-67216</v>
      </c>
      <c r="AM1570" s="58"/>
      <c r="AN1570" s="36">
        <v>-67216</v>
      </c>
      <c r="AO1570" s="36"/>
      <c r="AP1570" s="36">
        <v>-67216</v>
      </c>
      <c r="AQ1570" s="59"/>
      <c r="AR1570" s="36">
        <v>-67216</v>
      </c>
      <c r="AS1570" s="59"/>
      <c r="AT1570" s="36">
        <v>-67216</v>
      </c>
      <c r="AU1570" s="59"/>
      <c r="AV1570" s="36">
        <v>-67216</v>
      </c>
      <c r="AW1570" s="59"/>
      <c r="AX1570" s="36">
        <v>-67216</v>
      </c>
      <c r="AZ1570" s="36">
        <v>-67216</v>
      </c>
    </row>
    <row r="1571" spans="32:52" s="6" customFormat="1" x14ac:dyDescent="0.25">
      <c r="AF1571" s="5"/>
      <c r="AG1571" s="5"/>
      <c r="AH1571" s="35"/>
      <c r="AI1571" s="58"/>
      <c r="AJ1571" s="35"/>
      <c r="AK1571" s="58"/>
      <c r="AL1571" s="35"/>
      <c r="AM1571" s="58"/>
      <c r="AN1571" s="35"/>
      <c r="AO1571" s="35"/>
      <c r="AP1571" s="35"/>
      <c r="AQ1571" s="59"/>
      <c r="AR1571" s="35"/>
      <c r="AS1571" s="59"/>
      <c r="AT1571" s="35"/>
      <c r="AU1571" s="59"/>
      <c r="AV1571" s="35"/>
      <c r="AW1571" s="59"/>
      <c r="AX1571" s="35"/>
      <c r="AZ1571" s="35"/>
    </row>
    <row r="1572" spans="32:52" s="6" customFormat="1" x14ac:dyDescent="0.25">
      <c r="AF1572" s="5" t="s">
        <v>1001</v>
      </c>
      <c r="AG1572" s="5"/>
      <c r="AH1572" s="36">
        <f>AH1564+AH1566+AH1568+AH1570</f>
        <v>1312926</v>
      </c>
      <c r="AI1572" s="58"/>
      <c r="AJ1572" s="36">
        <f>AJ1564+AJ1566+AJ1568+AJ1570</f>
        <v>1188053</v>
      </c>
      <c r="AK1572" s="58"/>
      <c r="AL1572" s="36">
        <f>AL1564+AL1566+AL1568+AL1570</f>
        <v>1488342</v>
      </c>
      <c r="AM1572" s="58"/>
      <c r="AN1572" s="36">
        <f>AN1564+AN1566+AN1568+AN1570</f>
        <v>1985833</v>
      </c>
      <c r="AO1572" s="36"/>
      <c r="AP1572" s="36">
        <f>AP1564+AP1566+AP1568+AP1570</f>
        <v>2190500</v>
      </c>
      <c r="AQ1572" s="59"/>
      <c r="AR1572" s="36">
        <f>AR1564+AR1566+AR1568+AR1570</f>
        <v>2753689</v>
      </c>
      <c r="AS1572" s="59"/>
      <c r="AT1572" s="36">
        <f>AT1564+AT1566+AT1568+AT1570</f>
        <v>3549607</v>
      </c>
      <c r="AU1572" s="59"/>
      <c r="AV1572" s="36">
        <f>AV1564+AV1566+AV1568+AV1570</f>
        <v>4160440</v>
      </c>
      <c r="AW1572" s="59"/>
      <c r="AX1572" s="36">
        <f>AX1564+AX1566+AX1568+AX1570</f>
        <v>4557982</v>
      </c>
      <c r="AZ1572" s="36">
        <f>AZ1564+AZ1566+AZ1568+AZ1570</f>
        <v>4955524</v>
      </c>
    </row>
    <row r="1573" spans="32:52" s="6" customFormat="1" x14ac:dyDescent="0.25">
      <c r="AF1573" s="5"/>
      <c r="AG1573" s="5"/>
      <c r="AH1573" s="36"/>
      <c r="AI1573" s="58"/>
      <c r="AJ1573" s="36"/>
      <c r="AK1573" s="58"/>
      <c r="AL1573" s="36"/>
      <c r="AM1573" s="58"/>
      <c r="AN1573" s="36"/>
      <c r="AO1573" s="36"/>
      <c r="AP1573" s="36"/>
      <c r="AQ1573" s="59"/>
      <c r="AR1573" s="36"/>
      <c r="AS1573" s="59"/>
      <c r="AT1573" s="36"/>
      <c r="AU1573" s="59"/>
      <c r="AV1573" s="36"/>
      <c r="AW1573" s="59"/>
      <c r="AX1573" s="36"/>
      <c r="AZ1573" s="36"/>
    </row>
    <row r="1574" spans="32:52" s="6" customFormat="1" x14ac:dyDescent="0.25">
      <c r="AF1574" s="5"/>
      <c r="AG1574" s="5"/>
      <c r="AH1574" s="32"/>
      <c r="AI1574" s="4"/>
      <c r="AJ1574" s="32"/>
      <c r="AK1574" s="4"/>
      <c r="AL1574" s="32"/>
      <c r="AM1574" s="4"/>
      <c r="AN1574" s="32"/>
      <c r="AO1574" s="32"/>
      <c r="AP1574" s="32"/>
      <c r="AQ1574" s="51"/>
      <c r="AR1574" s="32"/>
      <c r="AS1574" s="51"/>
      <c r="AT1574" s="32"/>
      <c r="AU1574" s="51"/>
      <c r="AV1574" s="32"/>
      <c r="AW1574" s="51"/>
      <c r="AX1574" s="32"/>
      <c r="AZ1574" s="32"/>
    </row>
    <row r="1575" spans="32:52" s="6" customFormat="1" x14ac:dyDescent="0.25">
      <c r="AF1575" s="88" t="s">
        <v>1002</v>
      </c>
      <c r="AG1575" s="5"/>
      <c r="AH1575" s="85"/>
      <c r="AI1575" s="58"/>
      <c r="AJ1575" s="85"/>
      <c r="AK1575" s="58"/>
      <c r="AL1575" s="85"/>
      <c r="AM1575" s="58"/>
      <c r="AN1575" s="85"/>
      <c r="AO1575" s="85"/>
      <c r="AP1575" s="85"/>
      <c r="AQ1575" s="59"/>
      <c r="AR1575" s="85"/>
      <c r="AS1575" s="59"/>
      <c r="AT1575" s="85"/>
      <c r="AU1575" s="59"/>
      <c r="AV1575" s="85"/>
      <c r="AW1575" s="59"/>
      <c r="AX1575" s="85"/>
      <c r="AZ1575" s="85"/>
    </row>
    <row r="1576" spans="32:52" s="6" customFormat="1" x14ac:dyDescent="0.25">
      <c r="AF1576" s="5" t="s">
        <v>995</v>
      </c>
      <c r="AG1576" s="5"/>
      <c r="AH1576" s="31">
        <v>850034</v>
      </c>
      <c r="AI1576" s="7"/>
      <c r="AJ1576" s="31">
        <f>AH1588</f>
        <v>763696</v>
      </c>
      <c r="AK1576" s="7"/>
      <c r="AL1576" s="31">
        <f>AJ1588</f>
        <v>516312</v>
      </c>
      <c r="AM1576" s="7"/>
      <c r="AN1576" s="31">
        <f>AL1588</f>
        <v>459498</v>
      </c>
      <c r="AO1576" s="31"/>
      <c r="AP1576" s="31">
        <f>AN1588</f>
        <v>451784</v>
      </c>
      <c r="AQ1576" s="34"/>
      <c r="AR1576" s="31">
        <f>AP1588</f>
        <v>409912</v>
      </c>
      <c r="AS1576" s="34"/>
      <c r="AT1576" s="31">
        <f>AR1588</f>
        <v>265552</v>
      </c>
      <c r="AU1576" s="34"/>
      <c r="AV1576" s="31">
        <f>AT1588</f>
        <v>299712</v>
      </c>
      <c r="AW1576" s="34"/>
      <c r="AX1576" s="31">
        <f>AV1588</f>
        <v>45718</v>
      </c>
      <c r="AZ1576" s="31">
        <f>AX1588</f>
        <v>-173030</v>
      </c>
    </row>
    <row r="1577" spans="32:52" s="6" customFormat="1" x14ac:dyDescent="0.25">
      <c r="AF1577" s="5"/>
      <c r="AG1577" s="5"/>
      <c r="AH1577" s="29"/>
      <c r="AI1577" s="3"/>
      <c r="AJ1577" s="29"/>
      <c r="AK1577" s="3"/>
      <c r="AL1577" s="29"/>
      <c r="AM1577" s="3"/>
      <c r="AN1577" s="29"/>
      <c r="AO1577" s="29"/>
      <c r="AP1577" s="29"/>
      <c r="AR1577" s="29"/>
      <c r="AT1577" s="29"/>
      <c r="AV1577" s="29"/>
      <c r="AX1577" s="29"/>
      <c r="AZ1577" s="29"/>
    </row>
    <row r="1578" spans="32:52" s="6" customFormat="1" x14ac:dyDescent="0.25">
      <c r="AF1578" s="5" t="s">
        <v>996</v>
      </c>
      <c r="AG1578" s="5"/>
      <c r="AH1578" s="35">
        <v>13662</v>
      </c>
      <c r="AI1578" s="32"/>
      <c r="AJ1578" s="35">
        <v>-47384</v>
      </c>
      <c r="AK1578" s="32"/>
      <c r="AL1578" s="35">
        <v>43186</v>
      </c>
      <c r="AM1578" s="32"/>
      <c r="AN1578" s="35">
        <v>-7714</v>
      </c>
      <c r="AO1578" s="35"/>
      <c r="AP1578" s="35">
        <v>-41872</v>
      </c>
      <c r="AQ1578" s="90"/>
      <c r="AR1578" s="35">
        <v>-144360</v>
      </c>
      <c r="AS1578" s="90"/>
      <c r="AT1578" s="35">
        <v>34160</v>
      </c>
      <c r="AU1578" s="90"/>
      <c r="AV1578" s="35">
        <v>-253994</v>
      </c>
      <c r="AW1578" s="90"/>
      <c r="AX1578" s="35">
        <v>-218748</v>
      </c>
      <c r="AZ1578" s="35">
        <v>-218748</v>
      </c>
    </row>
    <row r="1579" spans="32:52" s="6" customFormat="1" x14ac:dyDescent="0.25">
      <c r="AF1579" s="5"/>
      <c r="AG1579" s="5"/>
      <c r="AH1579" s="36"/>
      <c r="AI1579" s="4"/>
      <c r="AJ1579" s="36"/>
      <c r="AK1579" s="4"/>
      <c r="AL1579" s="36"/>
      <c r="AM1579" s="4"/>
      <c r="AN1579" s="36"/>
      <c r="AO1579" s="36"/>
      <c r="AP1579" s="36"/>
      <c r="AQ1579" s="59"/>
      <c r="AR1579" s="36"/>
      <c r="AS1579" s="59"/>
      <c r="AT1579" s="36"/>
      <c r="AU1579" s="59"/>
      <c r="AV1579" s="36"/>
      <c r="AW1579" s="59"/>
      <c r="AX1579" s="36"/>
      <c r="AZ1579" s="36"/>
    </row>
    <row r="1580" spans="32:52" s="6" customFormat="1" x14ac:dyDescent="0.25">
      <c r="AF1580" s="5" t="s">
        <v>997</v>
      </c>
      <c r="AG1580" s="5"/>
      <c r="AH1580" s="36">
        <f>AH1576+AH1578</f>
        <v>863696</v>
      </c>
      <c r="AI1580" s="4"/>
      <c r="AJ1580" s="36">
        <f>AJ1576+AJ1578</f>
        <v>716312</v>
      </c>
      <c r="AK1580" s="4"/>
      <c r="AL1580" s="36">
        <f>AL1576+AL1578</f>
        <v>559498</v>
      </c>
      <c r="AM1580" s="4"/>
      <c r="AN1580" s="36">
        <f>AN1576+AN1578</f>
        <v>451784</v>
      </c>
      <c r="AO1580" s="36"/>
      <c r="AP1580" s="36">
        <f>AP1576+AP1578</f>
        <v>409912</v>
      </c>
      <c r="AQ1580" s="59"/>
      <c r="AR1580" s="36">
        <f>AR1576+AR1578</f>
        <v>265552</v>
      </c>
      <c r="AS1580" s="59"/>
      <c r="AT1580" s="36">
        <f>AT1576+AT1578</f>
        <v>299712</v>
      </c>
      <c r="AU1580" s="59"/>
      <c r="AV1580" s="36">
        <f>AV1576+AV1578</f>
        <v>45718</v>
      </c>
      <c r="AW1580" s="59"/>
      <c r="AX1580" s="36">
        <f>AX1576+AX1578</f>
        <v>-173030</v>
      </c>
      <c r="AZ1580" s="36">
        <f>AZ1576+AZ1578</f>
        <v>-391778</v>
      </c>
    </row>
    <row r="1581" spans="32:52" s="6" customFormat="1" x14ac:dyDescent="0.25">
      <c r="AF1581" s="5"/>
      <c r="AG1581" s="5"/>
      <c r="AH1581" s="36"/>
      <c r="AI1581" s="58"/>
      <c r="AJ1581" s="36"/>
      <c r="AK1581" s="58"/>
      <c r="AL1581" s="36"/>
      <c r="AM1581" s="58"/>
      <c r="AN1581" s="36"/>
      <c r="AO1581" s="36"/>
      <c r="AP1581" s="36"/>
      <c r="AQ1581" s="59"/>
      <c r="AR1581" s="36"/>
      <c r="AS1581" s="59"/>
      <c r="AT1581" s="36"/>
      <c r="AU1581" s="59"/>
      <c r="AV1581" s="36"/>
      <c r="AW1581" s="59"/>
      <c r="AX1581" s="36"/>
      <c r="AZ1581" s="36"/>
    </row>
    <row r="1582" spans="32:52" s="6" customFormat="1" x14ac:dyDescent="0.25">
      <c r="AF1582" s="5" t="s">
        <v>998</v>
      </c>
      <c r="AG1582" s="5"/>
      <c r="AH1582" s="82"/>
      <c r="AI1582" s="58"/>
      <c r="AJ1582" s="36"/>
      <c r="AK1582" s="58"/>
      <c r="AL1582" s="36"/>
      <c r="AM1582" s="58"/>
      <c r="AN1582" s="36"/>
      <c r="AO1582" s="36"/>
      <c r="AP1582" s="36"/>
      <c r="AQ1582" s="59"/>
      <c r="AR1582" s="36"/>
      <c r="AS1582" s="59"/>
      <c r="AT1582" s="36"/>
      <c r="AU1582" s="59"/>
      <c r="AV1582" s="36"/>
      <c r="AW1582" s="59"/>
      <c r="AX1582" s="36"/>
      <c r="AZ1582" s="36"/>
    </row>
    <row r="1583" spans="32:52" s="6" customFormat="1" x14ac:dyDescent="0.25">
      <c r="AF1583" s="5"/>
      <c r="AG1583" s="5"/>
      <c r="AH1583" s="82"/>
      <c r="AI1583" s="58"/>
      <c r="AJ1583" s="36"/>
      <c r="AK1583" s="58"/>
      <c r="AL1583" s="36"/>
      <c r="AM1583" s="58"/>
      <c r="AN1583" s="36"/>
      <c r="AO1583" s="36"/>
      <c r="AP1583" s="36"/>
      <c r="AQ1583" s="59"/>
      <c r="AR1583" s="36"/>
      <c r="AS1583" s="59"/>
      <c r="AT1583" s="36"/>
      <c r="AU1583" s="59"/>
      <c r="AV1583" s="36"/>
      <c r="AW1583" s="59"/>
      <c r="AX1583" s="36"/>
      <c r="AZ1583" s="36"/>
    </row>
    <row r="1584" spans="32:52" s="6" customFormat="1" x14ac:dyDescent="0.25">
      <c r="AF1584" s="5" t="s">
        <v>999</v>
      </c>
      <c r="AG1584" s="5"/>
      <c r="AH1584" s="36">
        <v>-100000</v>
      </c>
      <c r="AI1584" s="58"/>
      <c r="AJ1584" s="36">
        <v>-200000</v>
      </c>
      <c r="AK1584" s="58"/>
      <c r="AL1584" s="36">
        <v>-100000</v>
      </c>
      <c r="AM1584" s="58"/>
      <c r="AN1584" s="36"/>
      <c r="AO1584" s="36"/>
      <c r="AP1584" s="36"/>
      <c r="AQ1584" s="59"/>
      <c r="AR1584" s="36"/>
      <c r="AS1584" s="59"/>
      <c r="AT1584" s="36"/>
      <c r="AU1584" s="59"/>
      <c r="AV1584" s="36"/>
      <c r="AW1584" s="59"/>
      <c r="AX1584" s="36"/>
      <c r="AZ1584" s="36"/>
    </row>
    <row r="1585" spans="32:52" s="6" customFormat="1" x14ac:dyDescent="0.25">
      <c r="AF1585" s="5"/>
      <c r="AG1585" s="5"/>
      <c r="AH1585" s="36"/>
      <c r="AI1585" s="58"/>
      <c r="AJ1585" s="36"/>
      <c r="AK1585" s="58"/>
      <c r="AL1585" s="36"/>
      <c r="AM1585" s="58"/>
      <c r="AN1585" s="36"/>
      <c r="AO1585" s="36"/>
      <c r="AP1585" s="36"/>
      <c r="AQ1585" s="59"/>
      <c r="AR1585" s="36"/>
      <c r="AS1585" s="59"/>
      <c r="AT1585" s="36"/>
      <c r="AU1585" s="59"/>
      <c r="AV1585" s="36"/>
      <c r="AW1585" s="59"/>
      <c r="AX1585" s="36"/>
      <c r="AZ1585" s="36"/>
    </row>
    <row r="1586" spans="32:52" s="6" customFormat="1" x14ac:dyDescent="0.25">
      <c r="AF1586" s="5" t="s">
        <v>1000</v>
      </c>
      <c r="AG1586" s="5"/>
      <c r="AH1586" s="36"/>
      <c r="AI1586" s="58"/>
      <c r="AJ1586" s="36"/>
      <c r="AK1586" s="58"/>
      <c r="AL1586" s="36"/>
      <c r="AM1586" s="58"/>
      <c r="AN1586" s="36"/>
      <c r="AO1586" s="36"/>
      <c r="AP1586" s="36"/>
      <c r="AQ1586" s="59"/>
      <c r="AR1586" s="36"/>
      <c r="AS1586" s="59"/>
      <c r="AT1586" s="36"/>
      <c r="AU1586" s="59"/>
      <c r="AV1586" s="36"/>
      <c r="AW1586" s="59"/>
      <c r="AX1586" s="36"/>
      <c r="AZ1586" s="36"/>
    </row>
    <row r="1587" spans="32:52" s="6" customFormat="1" x14ac:dyDescent="0.25">
      <c r="AF1587" s="5"/>
      <c r="AG1587" s="5"/>
      <c r="AH1587" s="35"/>
      <c r="AI1587" s="58"/>
      <c r="AJ1587" s="35"/>
      <c r="AK1587" s="58"/>
      <c r="AL1587" s="35"/>
      <c r="AM1587" s="58"/>
      <c r="AN1587" s="35"/>
      <c r="AO1587" s="35"/>
      <c r="AP1587" s="35"/>
      <c r="AQ1587" s="59"/>
      <c r="AR1587" s="35"/>
      <c r="AS1587" s="59"/>
      <c r="AT1587" s="35"/>
      <c r="AU1587" s="59"/>
      <c r="AV1587" s="35"/>
      <c r="AW1587" s="59"/>
      <c r="AX1587" s="35"/>
      <c r="AZ1587" s="35"/>
    </row>
    <row r="1588" spans="32:52" s="6" customFormat="1" x14ac:dyDescent="0.25">
      <c r="AF1588" s="5" t="s">
        <v>1001</v>
      </c>
      <c r="AG1588" s="5"/>
      <c r="AH1588" s="36">
        <f>AH1580+AH1582+AH1584+AH1586</f>
        <v>763696</v>
      </c>
      <c r="AI1588" s="58"/>
      <c r="AJ1588" s="36">
        <f>AJ1580+AJ1582+AJ1584+AJ1586</f>
        <v>516312</v>
      </c>
      <c r="AK1588" s="58"/>
      <c r="AL1588" s="36">
        <f>AL1580+AL1582+AL1584+AL1586</f>
        <v>459498</v>
      </c>
      <c r="AM1588" s="58"/>
      <c r="AN1588" s="36">
        <f>AN1580+AN1582+AN1584+AN1586</f>
        <v>451784</v>
      </c>
      <c r="AO1588" s="36"/>
      <c r="AP1588" s="36">
        <f>AP1580+AP1582+AP1584+AP1586</f>
        <v>409912</v>
      </c>
      <c r="AQ1588" s="59"/>
      <c r="AR1588" s="36">
        <f>AR1580+AR1582+AR1584+AR1586</f>
        <v>265552</v>
      </c>
      <c r="AS1588" s="59"/>
      <c r="AT1588" s="36">
        <f>AT1580+AT1582+AT1584+AT1586</f>
        <v>299712</v>
      </c>
      <c r="AU1588" s="59"/>
      <c r="AV1588" s="36">
        <f>AV1580+AV1582+AV1584+AV1586</f>
        <v>45718</v>
      </c>
      <c r="AW1588" s="59"/>
      <c r="AX1588" s="36">
        <f>AX1580+AX1582+AX1584+AX1586</f>
        <v>-173030</v>
      </c>
      <c r="AZ1588" s="36">
        <f>AZ1580+AZ1582+AZ1584+AZ1586</f>
        <v>-391778</v>
      </c>
    </row>
    <row r="1591" spans="32:52" s="6" customFormat="1" x14ac:dyDescent="0.25">
      <c r="AF1591" s="88" t="s">
        <v>1003</v>
      </c>
      <c r="AG1591" s="5"/>
      <c r="AH1591" s="85"/>
      <c r="AI1591" s="58"/>
      <c r="AJ1591" s="85"/>
      <c r="AK1591" s="58"/>
      <c r="AL1591" s="85"/>
      <c r="AM1591" s="58"/>
      <c r="AN1591" s="85"/>
      <c r="AO1591" s="85"/>
      <c r="AP1591" s="85"/>
      <c r="AQ1591" s="59"/>
      <c r="AR1591" s="85"/>
      <c r="AS1591" s="59"/>
      <c r="AT1591" s="85"/>
      <c r="AU1591" s="59"/>
      <c r="AV1591" s="85"/>
      <c r="AW1591" s="59"/>
      <c r="AX1591" s="85"/>
      <c r="AZ1591" s="85"/>
    </row>
    <row r="1592" spans="32:52" s="6" customFormat="1" x14ac:dyDescent="0.25">
      <c r="AF1592" s="5" t="s">
        <v>995</v>
      </c>
      <c r="AG1592" s="5"/>
      <c r="AH1592" s="31">
        <v>502101</v>
      </c>
      <c r="AI1592" s="7"/>
      <c r="AJ1592" s="31">
        <f>AH1604</f>
        <v>453607</v>
      </c>
      <c r="AK1592" s="7"/>
      <c r="AL1592" s="31">
        <f>AJ1604</f>
        <v>259397</v>
      </c>
      <c r="AM1592" s="7"/>
      <c r="AN1592" s="31">
        <f>AL1604</f>
        <v>111523</v>
      </c>
      <c r="AO1592" s="31"/>
      <c r="AP1592" s="31">
        <f>AN1604</f>
        <v>195161</v>
      </c>
      <c r="AQ1592" s="34"/>
      <c r="AR1592" s="31">
        <f>AP1604</f>
        <v>34586</v>
      </c>
      <c r="AS1592" s="34"/>
      <c r="AT1592" s="31">
        <f>AR1604</f>
        <v>141297</v>
      </c>
      <c r="AU1592" s="34"/>
      <c r="AV1592" s="31">
        <f>AT1604</f>
        <v>186185</v>
      </c>
      <c r="AW1592" s="34"/>
      <c r="AX1592" s="31">
        <f>AV1604</f>
        <v>289219</v>
      </c>
      <c r="AZ1592" s="31">
        <f>AX1604</f>
        <v>319300</v>
      </c>
    </row>
    <row r="1593" spans="32:52" s="6" customFormat="1" x14ac:dyDescent="0.25">
      <c r="AF1593" s="5"/>
      <c r="AG1593" s="5"/>
      <c r="AH1593" s="29"/>
      <c r="AI1593" s="3"/>
      <c r="AJ1593" s="29"/>
      <c r="AK1593" s="3"/>
      <c r="AL1593" s="29"/>
      <c r="AM1593" s="3"/>
      <c r="AN1593" s="29"/>
      <c r="AO1593" s="29"/>
      <c r="AP1593" s="29"/>
      <c r="AR1593" s="29"/>
      <c r="AT1593" s="29"/>
      <c r="AV1593" s="29"/>
      <c r="AX1593" s="29"/>
      <c r="AZ1593" s="29"/>
    </row>
    <row r="1594" spans="32:52" s="6" customFormat="1" x14ac:dyDescent="0.25">
      <c r="AF1594" s="5" t="s">
        <v>996</v>
      </c>
      <c r="AG1594" s="5"/>
      <c r="AH1594" s="35">
        <v>39006</v>
      </c>
      <c r="AI1594" s="32"/>
      <c r="AJ1594" s="35">
        <v>-19210</v>
      </c>
      <c r="AK1594" s="32"/>
      <c r="AL1594" s="35">
        <v>-60374</v>
      </c>
      <c r="AM1594" s="32"/>
      <c r="AN1594" s="35">
        <v>83638</v>
      </c>
      <c r="AO1594" s="35"/>
      <c r="AP1594" s="35">
        <v>-160575</v>
      </c>
      <c r="AQ1594" s="90"/>
      <c r="AR1594" s="35">
        <v>106711</v>
      </c>
      <c r="AS1594" s="90"/>
      <c r="AT1594" s="35">
        <v>44888</v>
      </c>
      <c r="AU1594" s="90"/>
      <c r="AV1594" s="35">
        <v>103034</v>
      </c>
      <c r="AW1594" s="90"/>
      <c r="AX1594" s="35">
        <v>30081</v>
      </c>
      <c r="AZ1594" s="35">
        <v>30081</v>
      </c>
    </row>
    <row r="1595" spans="32:52" s="6" customFormat="1" x14ac:dyDescent="0.25">
      <c r="AF1595" s="5"/>
      <c r="AG1595" s="5"/>
      <c r="AH1595" s="36"/>
      <c r="AI1595" s="4"/>
      <c r="AJ1595" s="36"/>
      <c r="AK1595" s="4"/>
      <c r="AL1595" s="36"/>
      <c r="AM1595" s="4"/>
      <c r="AN1595" s="36"/>
      <c r="AO1595" s="36"/>
      <c r="AP1595" s="36"/>
      <c r="AQ1595" s="59"/>
      <c r="AR1595" s="36"/>
      <c r="AS1595" s="59"/>
      <c r="AT1595" s="36"/>
      <c r="AU1595" s="59"/>
      <c r="AV1595" s="36"/>
      <c r="AW1595" s="59"/>
      <c r="AX1595" s="36"/>
      <c r="AZ1595" s="36"/>
    </row>
    <row r="1596" spans="32:52" s="6" customFormat="1" x14ac:dyDescent="0.25">
      <c r="AF1596" s="5" t="s">
        <v>997</v>
      </c>
      <c r="AG1596" s="5"/>
      <c r="AH1596" s="36">
        <f>AH1592+AH1594</f>
        <v>541107</v>
      </c>
      <c r="AI1596" s="4"/>
      <c r="AJ1596" s="36">
        <f>AJ1592+AJ1594</f>
        <v>434397</v>
      </c>
      <c r="AK1596" s="4"/>
      <c r="AL1596" s="36">
        <f>AL1592+AL1594</f>
        <v>199023</v>
      </c>
      <c r="AM1596" s="4"/>
      <c r="AN1596" s="36">
        <f>AN1592+AN1594</f>
        <v>195161</v>
      </c>
      <c r="AO1596" s="36"/>
      <c r="AP1596" s="36">
        <f>AP1592+AP1594</f>
        <v>34586</v>
      </c>
      <c r="AQ1596" s="59"/>
      <c r="AR1596" s="36">
        <f>AR1592+AR1594</f>
        <v>141297</v>
      </c>
      <c r="AS1596" s="59"/>
      <c r="AT1596" s="36">
        <f>AT1592+AT1594</f>
        <v>186185</v>
      </c>
      <c r="AU1596" s="59"/>
      <c r="AV1596" s="36">
        <f>AV1592+AV1594</f>
        <v>289219</v>
      </c>
      <c r="AW1596" s="59"/>
      <c r="AX1596" s="36">
        <f>AX1592+AX1594</f>
        <v>319300</v>
      </c>
      <c r="AZ1596" s="36">
        <f>AZ1592+AZ1594</f>
        <v>349381</v>
      </c>
    </row>
    <row r="1597" spans="32:52" s="6" customFormat="1" x14ac:dyDescent="0.25">
      <c r="AF1597" s="5"/>
      <c r="AG1597" s="5"/>
      <c r="AH1597" s="36"/>
      <c r="AI1597" s="58"/>
      <c r="AJ1597" s="36"/>
      <c r="AK1597" s="58"/>
      <c r="AL1597" s="36"/>
      <c r="AM1597" s="58"/>
      <c r="AN1597" s="36"/>
      <c r="AO1597" s="36"/>
      <c r="AP1597" s="36"/>
      <c r="AQ1597" s="59"/>
      <c r="AR1597" s="36"/>
      <c r="AS1597" s="59"/>
      <c r="AT1597" s="36"/>
      <c r="AU1597" s="59"/>
      <c r="AV1597" s="36"/>
      <c r="AW1597" s="59"/>
      <c r="AX1597" s="36"/>
      <c r="AZ1597" s="36"/>
    </row>
    <row r="1598" spans="32:52" s="6" customFormat="1" x14ac:dyDescent="0.25">
      <c r="AF1598" s="5" t="s">
        <v>998</v>
      </c>
      <c r="AG1598" s="5"/>
      <c r="AH1598" s="82"/>
      <c r="AI1598" s="58"/>
      <c r="AJ1598" s="36"/>
      <c r="AK1598" s="58"/>
      <c r="AL1598" s="36"/>
      <c r="AM1598" s="58"/>
      <c r="AN1598" s="36"/>
      <c r="AO1598" s="36"/>
      <c r="AP1598" s="36"/>
      <c r="AQ1598" s="59"/>
      <c r="AR1598" s="36"/>
      <c r="AS1598" s="59"/>
      <c r="AT1598" s="36"/>
      <c r="AU1598" s="59"/>
      <c r="AV1598" s="36"/>
      <c r="AW1598" s="59"/>
      <c r="AX1598" s="36"/>
      <c r="AZ1598" s="36"/>
    </row>
    <row r="1599" spans="32:52" s="6" customFormat="1" x14ac:dyDescent="0.25">
      <c r="AF1599" s="5"/>
      <c r="AG1599" s="5"/>
      <c r="AH1599" s="82"/>
      <c r="AI1599" s="58"/>
      <c r="AJ1599" s="36"/>
      <c r="AK1599" s="58"/>
      <c r="AL1599" s="36"/>
      <c r="AM1599" s="58"/>
      <c r="AN1599" s="36"/>
      <c r="AO1599" s="36"/>
      <c r="AP1599" s="36"/>
      <c r="AQ1599" s="59"/>
      <c r="AR1599" s="36"/>
      <c r="AS1599" s="59"/>
      <c r="AT1599" s="36"/>
      <c r="AU1599" s="59"/>
      <c r="AV1599" s="36"/>
      <c r="AW1599" s="59"/>
      <c r="AX1599" s="36"/>
      <c r="AZ1599" s="36"/>
    </row>
    <row r="1600" spans="32:52" s="6" customFormat="1" x14ac:dyDescent="0.25">
      <c r="AF1600" s="5" t="s">
        <v>999</v>
      </c>
      <c r="AG1600" s="5"/>
      <c r="AH1600" s="36">
        <v>-87500</v>
      </c>
      <c r="AI1600" s="58"/>
      <c r="AJ1600" s="36">
        <v>-175000</v>
      </c>
      <c r="AK1600" s="58"/>
      <c r="AL1600" s="36">
        <v>-87500</v>
      </c>
      <c r="AM1600" s="58"/>
      <c r="AN1600" s="36"/>
      <c r="AO1600" s="36"/>
      <c r="AP1600" s="36"/>
      <c r="AQ1600" s="59"/>
      <c r="AR1600" s="36"/>
      <c r="AS1600" s="59"/>
      <c r="AT1600" s="36"/>
      <c r="AU1600" s="59"/>
      <c r="AV1600" s="36"/>
      <c r="AW1600" s="59"/>
      <c r="AX1600" s="36"/>
      <c r="AZ1600" s="36"/>
    </row>
    <row r="1601" spans="32:52" s="6" customFormat="1" x14ac:dyDescent="0.25">
      <c r="AF1601" s="5"/>
      <c r="AG1601" s="5"/>
      <c r="AH1601" s="36"/>
      <c r="AI1601" s="58"/>
      <c r="AJ1601" s="36"/>
      <c r="AK1601" s="58"/>
      <c r="AL1601" s="36"/>
      <c r="AM1601" s="58"/>
      <c r="AN1601" s="36"/>
      <c r="AO1601" s="36"/>
      <c r="AP1601" s="36"/>
      <c r="AQ1601" s="59"/>
      <c r="AR1601" s="36"/>
      <c r="AS1601" s="59"/>
      <c r="AT1601" s="36"/>
      <c r="AU1601" s="59"/>
      <c r="AV1601" s="36"/>
      <c r="AW1601" s="59"/>
      <c r="AX1601" s="36"/>
      <c r="AZ1601" s="36"/>
    </row>
    <row r="1602" spans="32:52" s="6" customFormat="1" x14ac:dyDescent="0.25">
      <c r="AF1602" s="5" t="s">
        <v>1000</v>
      </c>
      <c r="AG1602" s="5"/>
      <c r="AH1602" s="36"/>
      <c r="AI1602" s="58"/>
      <c r="AJ1602" s="36"/>
      <c r="AK1602" s="58"/>
      <c r="AL1602" s="36"/>
      <c r="AM1602" s="58"/>
      <c r="AN1602" s="36"/>
      <c r="AO1602" s="36"/>
      <c r="AP1602" s="36"/>
      <c r="AQ1602" s="59"/>
      <c r="AR1602" s="36"/>
      <c r="AS1602" s="59"/>
      <c r="AT1602" s="36"/>
      <c r="AU1602" s="59"/>
      <c r="AV1602" s="36"/>
      <c r="AW1602" s="59"/>
      <c r="AX1602" s="36"/>
      <c r="AZ1602" s="36"/>
    </row>
    <row r="1603" spans="32:52" s="6" customFormat="1" x14ac:dyDescent="0.25">
      <c r="AF1603" s="5"/>
      <c r="AG1603" s="5"/>
      <c r="AH1603" s="35"/>
      <c r="AI1603" s="58"/>
      <c r="AJ1603" s="35"/>
      <c r="AK1603" s="58"/>
      <c r="AL1603" s="35"/>
      <c r="AM1603" s="58"/>
      <c r="AN1603" s="35"/>
      <c r="AO1603" s="35"/>
      <c r="AP1603" s="35"/>
      <c r="AQ1603" s="59"/>
      <c r="AR1603" s="35"/>
      <c r="AS1603" s="59"/>
      <c r="AT1603" s="35"/>
      <c r="AU1603" s="59"/>
      <c r="AV1603" s="35"/>
      <c r="AW1603" s="59"/>
      <c r="AX1603" s="35"/>
      <c r="AZ1603" s="35"/>
    </row>
    <row r="1604" spans="32:52" s="6" customFormat="1" x14ac:dyDescent="0.25">
      <c r="AF1604" s="5" t="s">
        <v>1001</v>
      </c>
      <c r="AG1604" s="5"/>
      <c r="AH1604" s="36">
        <f>AH1596+AH1598+AH1600+AH1602</f>
        <v>453607</v>
      </c>
      <c r="AI1604" s="58"/>
      <c r="AJ1604" s="36">
        <f>AJ1596+AJ1598+AJ1600+AJ1602</f>
        <v>259397</v>
      </c>
      <c r="AK1604" s="58"/>
      <c r="AL1604" s="36">
        <f>AL1596+AL1598+AL1600+AL1602</f>
        <v>111523</v>
      </c>
      <c r="AM1604" s="58"/>
      <c r="AN1604" s="36">
        <f>AN1596+AN1598+AN1600+AN1602</f>
        <v>195161</v>
      </c>
      <c r="AO1604" s="36"/>
      <c r="AP1604" s="36">
        <f>AP1596+AP1598+AP1600+AP1602</f>
        <v>34586</v>
      </c>
      <c r="AQ1604" s="59"/>
      <c r="AR1604" s="36">
        <f>AR1596+AR1598+AR1600+AR1602</f>
        <v>141297</v>
      </c>
      <c r="AS1604" s="59"/>
      <c r="AT1604" s="36">
        <f>AT1596+AT1598+AT1600+AT1602</f>
        <v>186185</v>
      </c>
      <c r="AU1604" s="59"/>
      <c r="AV1604" s="36">
        <f>AV1596+AV1598+AV1600+AV1602</f>
        <v>289219</v>
      </c>
      <c r="AW1604" s="59"/>
      <c r="AX1604" s="36">
        <f>AX1596+AX1598+AX1600+AX1602</f>
        <v>319300</v>
      </c>
      <c r="AZ1604" s="36">
        <f>AZ1596+AZ1598+AZ1600+AZ1602</f>
        <v>349381</v>
      </c>
    </row>
    <row r="1607" spans="32:52" s="6" customFormat="1" x14ac:dyDescent="0.25">
      <c r="AF1607" s="88" t="s">
        <v>1004</v>
      </c>
      <c r="AG1607" s="5"/>
      <c r="AH1607" s="85"/>
      <c r="AI1607" s="58"/>
      <c r="AJ1607" s="85"/>
      <c r="AK1607" s="58"/>
      <c r="AL1607" s="85"/>
      <c r="AM1607" s="58"/>
      <c r="AN1607" s="85"/>
      <c r="AO1607" s="85"/>
      <c r="AP1607" s="85"/>
      <c r="AQ1607" s="59"/>
      <c r="AR1607" s="85"/>
      <c r="AS1607" s="59"/>
      <c r="AT1607" s="85"/>
      <c r="AU1607" s="59"/>
      <c r="AV1607" s="85"/>
      <c r="AW1607" s="59"/>
      <c r="AX1607" s="85"/>
      <c r="AZ1607" s="85"/>
    </row>
    <row r="1608" spans="32:52" s="6" customFormat="1" x14ac:dyDescent="0.25">
      <c r="AF1608" s="5" t="s">
        <v>995</v>
      </c>
      <c r="AG1608" s="5"/>
      <c r="AH1608" s="31">
        <v>660291</v>
      </c>
      <c r="AI1608" s="7"/>
      <c r="AJ1608" s="31">
        <f>AH1620</f>
        <v>969117</v>
      </c>
      <c r="AK1608" s="7"/>
      <c r="AL1608" s="31">
        <f>AJ1620</f>
        <v>510737</v>
      </c>
      <c r="AM1608" s="7"/>
      <c r="AN1608" s="31">
        <f>AL1620</f>
        <v>175847</v>
      </c>
      <c r="AO1608" s="31"/>
      <c r="AP1608" s="31">
        <f>AN1620</f>
        <v>58723</v>
      </c>
      <c r="AQ1608" s="34"/>
      <c r="AR1608" s="31">
        <f>AP1620</f>
        <v>-65047</v>
      </c>
      <c r="AS1608" s="34"/>
      <c r="AT1608" s="31">
        <f>AR1620</f>
        <v>-205140</v>
      </c>
      <c r="AU1608" s="34"/>
      <c r="AV1608" s="31">
        <f>AT1620</f>
        <v>-331491</v>
      </c>
      <c r="AW1608" s="34"/>
      <c r="AX1608" s="31">
        <f>AV1620</f>
        <v>-489551</v>
      </c>
      <c r="AZ1608" s="31">
        <f>AX1620</f>
        <v>-664532</v>
      </c>
    </row>
    <row r="1609" spans="32:52" s="6" customFormat="1" x14ac:dyDescent="0.25">
      <c r="AF1609" s="5"/>
      <c r="AG1609" s="5"/>
      <c r="AH1609" s="31"/>
      <c r="AI1609" s="7"/>
      <c r="AJ1609" s="31"/>
      <c r="AK1609" s="7"/>
      <c r="AL1609" s="31"/>
      <c r="AM1609" s="7"/>
      <c r="AN1609" s="31"/>
      <c r="AO1609" s="31"/>
      <c r="AP1609" s="31"/>
      <c r="AQ1609" s="34"/>
      <c r="AR1609" s="31"/>
      <c r="AS1609" s="34"/>
      <c r="AT1609" s="31"/>
      <c r="AU1609" s="34"/>
      <c r="AV1609" s="31"/>
      <c r="AW1609" s="34"/>
      <c r="AX1609" s="31"/>
      <c r="AZ1609" s="31"/>
    </row>
    <row r="1610" spans="32:52" s="6" customFormat="1" x14ac:dyDescent="0.25">
      <c r="AF1610" s="5" t="s">
        <v>996</v>
      </c>
      <c r="AG1610" s="5"/>
      <c r="AH1610" s="35">
        <v>-3674</v>
      </c>
      <c r="AI1610" s="32"/>
      <c r="AJ1610" s="35">
        <v>-16164</v>
      </c>
      <c r="AK1610" s="32"/>
      <c r="AL1610" s="35">
        <v>-80174</v>
      </c>
      <c r="AM1610" s="32"/>
      <c r="AN1610" s="35">
        <v>-49908</v>
      </c>
      <c r="AO1610" s="35"/>
      <c r="AP1610" s="35">
        <v>-56554</v>
      </c>
      <c r="AQ1610" s="90"/>
      <c r="AR1610" s="35">
        <v>-72877</v>
      </c>
      <c r="AS1610" s="90"/>
      <c r="AT1610" s="35">
        <v>-59135</v>
      </c>
      <c r="AU1610" s="90"/>
      <c r="AV1610" s="35">
        <v>-90844</v>
      </c>
      <c r="AW1610" s="90"/>
      <c r="AX1610" s="35">
        <v>-107765</v>
      </c>
      <c r="AZ1610" s="35">
        <v>-107765</v>
      </c>
    </row>
    <row r="1611" spans="32:52" s="6" customFormat="1" x14ac:dyDescent="0.25">
      <c r="AF1611" s="5"/>
      <c r="AG1611" s="5"/>
      <c r="AH1611" s="36"/>
      <c r="AI1611" s="32"/>
      <c r="AJ1611" s="36"/>
      <c r="AK1611" s="32"/>
      <c r="AL1611" s="36"/>
      <c r="AM1611" s="32"/>
      <c r="AN1611" s="36"/>
      <c r="AO1611" s="36"/>
      <c r="AP1611" s="36"/>
      <c r="AQ1611" s="90"/>
      <c r="AR1611" s="36"/>
      <c r="AS1611" s="90"/>
      <c r="AT1611" s="36"/>
      <c r="AU1611" s="90"/>
      <c r="AV1611" s="36"/>
      <c r="AW1611" s="90"/>
      <c r="AX1611" s="36"/>
      <c r="AZ1611" s="36"/>
    </row>
    <row r="1612" spans="32:52" s="6" customFormat="1" x14ac:dyDescent="0.25">
      <c r="AF1612" s="5" t="s">
        <v>997</v>
      </c>
      <c r="AG1612" s="5"/>
      <c r="AH1612" s="36">
        <f>AH1608+AH1610</f>
        <v>656617</v>
      </c>
      <c r="AI1612" s="32"/>
      <c r="AJ1612" s="36">
        <f>AJ1608+AJ1610</f>
        <v>952953</v>
      </c>
      <c r="AK1612" s="32"/>
      <c r="AL1612" s="36">
        <f>AL1608+AL1610</f>
        <v>430563</v>
      </c>
      <c r="AM1612" s="32"/>
      <c r="AN1612" s="36">
        <f>AN1608+AN1610</f>
        <v>125939</v>
      </c>
      <c r="AO1612" s="36"/>
      <c r="AP1612" s="36">
        <f>AP1608+AP1610</f>
        <v>2169</v>
      </c>
      <c r="AQ1612" s="90"/>
      <c r="AR1612" s="36">
        <f>AR1608+AR1610</f>
        <v>-137924</v>
      </c>
      <c r="AS1612" s="90"/>
      <c r="AT1612" s="36">
        <f>AT1608+AT1610</f>
        <v>-264275</v>
      </c>
      <c r="AU1612" s="90"/>
      <c r="AV1612" s="36">
        <f>AV1608+AV1610</f>
        <v>-422335</v>
      </c>
      <c r="AW1612" s="90"/>
      <c r="AX1612" s="36">
        <f>AX1608+AX1610</f>
        <v>-597316</v>
      </c>
      <c r="AZ1612" s="36">
        <f>AZ1608+AZ1610</f>
        <v>-772297</v>
      </c>
    </row>
    <row r="1613" spans="32:52" s="6" customFormat="1" x14ac:dyDescent="0.25">
      <c r="AF1613" s="5"/>
      <c r="AG1613" s="5"/>
      <c r="AH1613" s="36"/>
      <c r="AI1613" s="91"/>
      <c r="AJ1613" s="36"/>
      <c r="AK1613" s="91"/>
      <c r="AL1613" s="36"/>
      <c r="AM1613" s="91"/>
      <c r="AN1613" s="36"/>
      <c r="AO1613" s="36"/>
      <c r="AP1613" s="36"/>
      <c r="AQ1613" s="90"/>
      <c r="AR1613" s="36"/>
      <c r="AS1613" s="90"/>
      <c r="AT1613" s="36"/>
      <c r="AU1613" s="90"/>
      <c r="AV1613" s="36"/>
      <c r="AW1613" s="90"/>
      <c r="AX1613" s="36"/>
      <c r="AZ1613" s="36"/>
    </row>
    <row r="1614" spans="32:52" s="6" customFormat="1" x14ac:dyDescent="0.25">
      <c r="AF1614" s="5" t="s">
        <v>998</v>
      </c>
      <c r="AG1614" s="5"/>
      <c r="AH1614" s="82">
        <v>500000</v>
      </c>
      <c r="AI1614" s="91"/>
      <c r="AJ1614" s="36"/>
      <c r="AK1614" s="91"/>
      <c r="AL1614" s="36"/>
      <c r="AM1614" s="91"/>
      <c r="AN1614" s="36"/>
      <c r="AO1614" s="36"/>
      <c r="AP1614" s="36"/>
      <c r="AQ1614" s="90"/>
      <c r="AR1614" s="36"/>
      <c r="AS1614" s="90"/>
      <c r="AT1614" s="36"/>
      <c r="AU1614" s="90"/>
      <c r="AV1614" s="36"/>
      <c r="AW1614" s="90"/>
      <c r="AX1614" s="36"/>
      <c r="AZ1614" s="36"/>
    </row>
    <row r="1615" spans="32:52" s="6" customFormat="1" x14ac:dyDescent="0.25">
      <c r="AF1615" s="5"/>
      <c r="AG1615" s="5"/>
      <c r="AH1615" s="82"/>
      <c r="AI1615" s="91"/>
      <c r="AJ1615" s="36"/>
      <c r="AK1615" s="91"/>
      <c r="AL1615" s="36"/>
      <c r="AM1615" s="91"/>
      <c r="AN1615" s="36"/>
      <c r="AO1615" s="36"/>
      <c r="AP1615" s="36"/>
      <c r="AQ1615" s="90"/>
      <c r="AR1615" s="36"/>
      <c r="AS1615" s="90"/>
      <c r="AT1615" s="36"/>
      <c r="AU1615" s="90"/>
      <c r="AV1615" s="36"/>
      <c r="AW1615" s="90"/>
      <c r="AX1615" s="36"/>
      <c r="AZ1615" s="36"/>
    </row>
    <row r="1616" spans="32:52" s="6" customFormat="1" x14ac:dyDescent="0.25">
      <c r="AF1616" s="5" t="s">
        <v>999</v>
      </c>
      <c r="AG1616" s="5"/>
      <c r="AH1616" s="36">
        <v>-187500</v>
      </c>
      <c r="AI1616" s="91"/>
      <c r="AJ1616" s="36">
        <v>-375000</v>
      </c>
      <c r="AK1616" s="91"/>
      <c r="AL1616" s="36">
        <v>-187500</v>
      </c>
      <c r="AM1616" s="91"/>
      <c r="AN1616" s="36"/>
      <c r="AO1616" s="36"/>
      <c r="AP1616" s="36"/>
      <c r="AQ1616" s="90"/>
      <c r="AR1616" s="36"/>
      <c r="AS1616" s="90"/>
      <c r="AT1616" s="36"/>
      <c r="AU1616" s="90"/>
      <c r="AV1616" s="36"/>
      <c r="AW1616" s="90"/>
      <c r="AX1616" s="36"/>
      <c r="AZ1616" s="36"/>
    </row>
    <row r="1617" spans="32:52" s="6" customFormat="1" x14ac:dyDescent="0.25">
      <c r="AF1617" s="5"/>
      <c r="AG1617" s="5"/>
      <c r="AH1617" s="36"/>
      <c r="AI1617" s="91"/>
      <c r="AJ1617" s="36"/>
      <c r="AK1617" s="91"/>
      <c r="AL1617" s="36"/>
      <c r="AM1617" s="91"/>
      <c r="AN1617" s="36"/>
      <c r="AO1617" s="36"/>
      <c r="AP1617" s="36"/>
      <c r="AQ1617" s="90"/>
      <c r="AR1617" s="36"/>
      <c r="AS1617" s="90"/>
      <c r="AT1617" s="36"/>
      <c r="AU1617" s="90"/>
      <c r="AV1617" s="36"/>
      <c r="AW1617" s="90"/>
      <c r="AX1617" s="36"/>
      <c r="AZ1617" s="36"/>
    </row>
    <row r="1618" spans="32:52" s="6" customFormat="1" x14ac:dyDescent="0.25">
      <c r="AF1618" s="5" t="s">
        <v>1000</v>
      </c>
      <c r="AG1618" s="5"/>
      <c r="AH1618" s="36"/>
      <c r="AI1618" s="91"/>
      <c r="AJ1618" s="36">
        <v>-67216</v>
      </c>
      <c r="AK1618" s="91"/>
      <c r="AL1618" s="36">
        <v>-67216</v>
      </c>
      <c r="AM1618" s="91"/>
      <c r="AN1618" s="36">
        <v>-67216</v>
      </c>
      <c r="AO1618" s="36"/>
      <c r="AP1618" s="36">
        <v>-67216</v>
      </c>
      <c r="AQ1618" s="90"/>
      <c r="AR1618" s="36">
        <v>-67216</v>
      </c>
      <c r="AS1618" s="90"/>
      <c r="AT1618" s="36">
        <v>-67216</v>
      </c>
      <c r="AU1618" s="90"/>
      <c r="AV1618" s="36">
        <v>-67216</v>
      </c>
      <c r="AW1618" s="90"/>
      <c r="AX1618" s="36">
        <v>-67216</v>
      </c>
      <c r="AZ1618" s="36">
        <v>-67216</v>
      </c>
    </row>
    <row r="1619" spans="32:52" s="6" customFormat="1" x14ac:dyDescent="0.25">
      <c r="AF1619" s="5"/>
      <c r="AG1619" s="5"/>
      <c r="AH1619" s="35"/>
      <c r="AI1619" s="58"/>
      <c r="AJ1619" s="35"/>
      <c r="AK1619" s="58"/>
      <c r="AL1619" s="35"/>
      <c r="AM1619" s="58"/>
      <c r="AN1619" s="35"/>
      <c r="AO1619" s="35"/>
      <c r="AP1619" s="35"/>
      <c r="AQ1619" s="59"/>
      <c r="AR1619" s="35"/>
      <c r="AS1619" s="59"/>
      <c r="AT1619" s="35"/>
      <c r="AU1619" s="59"/>
      <c r="AV1619" s="35"/>
      <c r="AW1619" s="59"/>
      <c r="AX1619" s="35"/>
      <c r="AZ1619" s="35"/>
    </row>
    <row r="1620" spans="32:52" s="6" customFormat="1" x14ac:dyDescent="0.25">
      <c r="AF1620" s="5" t="s">
        <v>1001</v>
      </c>
      <c r="AG1620" s="5"/>
      <c r="AH1620" s="36">
        <f>AH1612+AH1614+AH1616+AH1618</f>
        <v>969117</v>
      </c>
      <c r="AI1620" s="58"/>
      <c r="AJ1620" s="36">
        <f>AJ1612+AJ1614+AJ1616+AJ1618</f>
        <v>510737</v>
      </c>
      <c r="AK1620" s="58"/>
      <c r="AL1620" s="36">
        <f>AL1612+AL1614+AL1616+AL1618</f>
        <v>175847</v>
      </c>
      <c r="AM1620" s="58"/>
      <c r="AN1620" s="36">
        <f>AN1612+AN1614+AN1616+AN1618</f>
        <v>58723</v>
      </c>
      <c r="AO1620" s="36"/>
      <c r="AP1620" s="36">
        <f>AP1612+AP1614+AP1616+AP1618</f>
        <v>-65047</v>
      </c>
      <c r="AQ1620" s="59"/>
      <c r="AR1620" s="36">
        <f>AR1612+AR1614+AR1616+AR1618</f>
        <v>-205140</v>
      </c>
      <c r="AS1620" s="59"/>
      <c r="AT1620" s="36">
        <f>AT1612+AT1614+AT1616+AT1618</f>
        <v>-331491</v>
      </c>
      <c r="AU1620" s="59"/>
      <c r="AV1620" s="36">
        <f>AV1612+AV1614+AV1616+AV1618</f>
        <v>-489551</v>
      </c>
      <c r="AW1620" s="59"/>
      <c r="AX1620" s="36">
        <f>AX1612+AX1614+AX1616+AX1618</f>
        <v>-664532</v>
      </c>
      <c r="AZ1620" s="36">
        <f>AZ1612+AZ1614+AZ1616+AZ1618</f>
        <v>-839513</v>
      </c>
    </row>
    <row r="1621" spans="32:52" s="6" customFormat="1" x14ac:dyDescent="0.25">
      <c r="AF1621" s="5"/>
      <c r="AG1621" s="5"/>
      <c r="AH1621" s="5"/>
      <c r="AI1621" s="5"/>
      <c r="AJ1621" s="5"/>
      <c r="AK1621" s="5"/>
      <c r="AL1621" s="5"/>
      <c r="AM1621" s="5"/>
      <c r="AN1621" s="5"/>
      <c r="AO1621" s="5"/>
      <c r="AP1621" s="5"/>
      <c r="AQ1621" s="5"/>
      <c r="AR1621" s="5"/>
      <c r="AS1621" s="5"/>
      <c r="AT1621" s="5"/>
      <c r="AU1621" s="5"/>
      <c r="AV1621" s="5"/>
      <c r="AW1621" s="5"/>
      <c r="AX1621" s="5"/>
      <c r="AZ1621" s="5"/>
    </row>
    <row r="1622" spans="32:52" s="6" customFormat="1" x14ac:dyDescent="0.25">
      <c r="AF1622" s="5"/>
      <c r="AG1622" s="5"/>
      <c r="AH1622" s="5"/>
      <c r="AI1622" s="5"/>
      <c r="AJ1622" s="5"/>
      <c r="AK1622" s="5"/>
      <c r="AL1622" s="5"/>
      <c r="AM1622" s="5"/>
      <c r="AN1622" s="5"/>
      <c r="AO1622" s="5"/>
      <c r="AP1622" s="5"/>
      <c r="AQ1622" s="5"/>
      <c r="AR1622" s="5"/>
      <c r="AS1622" s="5"/>
      <c r="AT1622" s="5"/>
      <c r="AU1622" s="5"/>
      <c r="AV1622" s="5"/>
      <c r="AW1622" s="5"/>
      <c r="AX1622" s="5"/>
      <c r="AZ1622" s="5"/>
    </row>
    <row r="1623" spans="32:52" s="6" customFormat="1" x14ac:dyDescent="0.25">
      <c r="AF1623" s="5"/>
      <c r="AG1623" s="5"/>
      <c r="AH1623" s="5"/>
      <c r="AI1623" s="5"/>
      <c r="AJ1623" s="5"/>
      <c r="AK1623" s="5"/>
      <c r="AL1623" s="5"/>
      <c r="AM1623" s="5"/>
      <c r="AN1623" s="5"/>
      <c r="AO1623" s="5"/>
      <c r="AP1623" s="5"/>
      <c r="AQ1623" s="5"/>
      <c r="AR1623" s="5"/>
      <c r="AS1623" s="5"/>
      <c r="AT1623" s="5"/>
      <c r="AU1623" s="5"/>
      <c r="AV1623" s="5"/>
      <c r="AW1623" s="5"/>
      <c r="AX1623" s="5"/>
      <c r="AZ1623" s="5"/>
    </row>
    <row r="1624" spans="32:52" s="6" customFormat="1" x14ac:dyDescent="0.25">
      <c r="AF1624" s="5"/>
      <c r="AG1624" s="5"/>
      <c r="AH1624" s="5"/>
      <c r="AI1624" s="5"/>
      <c r="AJ1624" s="5">
        <f>+AJ1464+AJ1049</f>
        <v>403290</v>
      </c>
      <c r="AK1624" s="5">
        <f t="shared" ref="AK1624:AZ1624" si="679">+AK1464+AK1049</f>
        <v>0</v>
      </c>
      <c r="AL1624" s="5">
        <f t="shared" si="679"/>
        <v>403290</v>
      </c>
      <c r="AM1624" s="5">
        <f t="shared" si="679"/>
        <v>0</v>
      </c>
      <c r="AN1624" s="5">
        <f t="shared" si="679"/>
        <v>403290</v>
      </c>
      <c r="AO1624" s="5">
        <f t="shared" si="679"/>
        <v>0</v>
      </c>
      <c r="AP1624" s="5">
        <f t="shared" si="679"/>
        <v>403290</v>
      </c>
      <c r="AQ1624" s="5">
        <f t="shared" si="679"/>
        <v>0</v>
      </c>
      <c r="AR1624" s="5">
        <f t="shared" si="679"/>
        <v>403290</v>
      </c>
      <c r="AS1624" s="5">
        <f t="shared" si="679"/>
        <v>0</v>
      </c>
      <c r="AT1624" s="5">
        <f t="shared" si="679"/>
        <v>403290</v>
      </c>
      <c r="AU1624" s="5">
        <f t="shared" si="679"/>
        <v>0</v>
      </c>
      <c r="AV1624" s="5">
        <f t="shared" si="679"/>
        <v>403290</v>
      </c>
      <c r="AW1624" s="5">
        <f t="shared" si="679"/>
        <v>0</v>
      </c>
      <c r="AX1624" s="5">
        <f t="shared" si="679"/>
        <v>403290</v>
      </c>
      <c r="AY1624" s="5">
        <f t="shared" si="679"/>
        <v>0</v>
      </c>
      <c r="AZ1624" s="5">
        <f t="shared" si="679"/>
        <v>403290</v>
      </c>
    </row>
    <row r="1625" spans="32:52" s="6" customFormat="1" x14ac:dyDescent="0.25">
      <c r="AF1625" s="5"/>
      <c r="AG1625" s="5"/>
      <c r="AH1625" s="5"/>
      <c r="AI1625" s="5"/>
      <c r="AJ1625" s="5"/>
      <c r="AK1625" s="5"/>
      <c r="AL1625" s="5"/>
      <c r="AM1625" s="5"/>
      <c r="AN1625" s="5"/>
      <c r="AO1625" s="5"/>
      <c r="AP1625" s="5"/>
      <c r="AQ1625" s="5"/>
      <c r="AR1625" s="5"/>
      <c r="AS1625" s="5"/>
      <c r="AT1625" s="5"/>
      <c r="AU1625" s="5"/>
      <c r="AV1625" s="5"/>
      <c r="AW1625" s="5"/>
      <c r="AX1625" s="5"/>
      <c r="AZ1625" s="5"/>
    </row>
    <row r="1626" spans="32:52" s="6" customFormat="1" x14ac:dyDescent="0.25">
      <c r="AF1626" s="5"/>
      <c r="AG1626" s="5"/>
      <c r="AH1626" s="5"/>
      <c r="AI1626" s="5"/>
      <c r="AJ1626" s="5"/>
      <c r="AK1626" s="5"/>
      <c r="AL1626" s="5"/>
      <c r="AM1626" s="5"/>
      <c r="AN1626" s="5"/>
      <c r="AO1626" s="5"/>
      <c r="AP1626" s="5"/>
      <c r="AQ1626" s="5"/>
      <c r="AR1626" s="5"/>
      <c r="AS1626" s="5"/>
      <c r="AT1626" s="5"/>
      <c r="AU1626" s="5"/>
      <c r="AV1626" s="5"/>
      <c r="AW1626" s="5"/>
      <c r="AX1626" s="5"/>
      <c r="AZ1626" s="5"/>
    </row>
    <row r="1627" spans="32:52" s="6" customFormat="1" x14ac:dyDescent="0.25">
      <c r="AF1627" s="5"/>
      <c r="AG1627" s="5"/>
      <c r="AH1627" s="5"/>
      <c r="AI1627" s="5"/>
      <c r="AJ1627" s="5"/>
      <c r="AK1627" s="5"/>
      <c r="AL1627" s="5"/>
      <c r="AM1627" s="5"/>
      <c r="AN1627" s="5"/>
      <c r="AO1627" s="5"/>
      <c r="AP1627" s="5"/>
      <c r="AQ1627" s="5"/>
      <c r="AR1627" s="5"/>
      <c r="AS1627" s="5"/>
      <c r="AT1627" s="5"/>
      <c r="AU1627" s="5"/>
      <c r="AV1627" s="5"/>
      <c r="AW1627" s="5"/>
      <c r="AX1627" s="5"/>
      <c r="AZ1627" s="5"/>
    </row>
    <row r="1628" spans="32:52" s="6" customFormat="1" x14ac:dyDescent="0.25">
      <c r="AF1628" s="5"/>
      <c r="AG1628" s="5"/>
      <c r="AH1628" s="5"/>
      <c r="AI1628" s="5"/>
      <c r="AJ1628" s="5"/>
      <c r="AK1628" s="5"/>
      <c r="AL1628" s="5"/>
      <c r="AM1628" s="5"/>
      <c r="AN1628" s="5"/>
      <c r="AO1628" s="5"/>
      <c r="AP1628" s="5"/>
      <c r="AQ1628" s="5"/>
      <c r="AR1628" s="5"/>
      <c r="AS1628" s="5"/>
      <c r="AT1628" s="5"/>
      <c r="AU1628" s="5"/>
      <c r="AV1628" s="5"/>
      <c r="AW1628" s="5"/>
      <c r="AX1628" s="5"/>
      <c r="AZ1628" s="5"/>
    </row>
    <row r="1629" spans="32:52" s="6" customFormat="1" x14ac:dyDescent="0.25">
      <c r="AF1629" s="5"/>
      <c r="AG1629" s="5"/>
      <c r="AH1629" s="5"/>
      <c r="AI1629" s="5"/>
      <c r="AJ1629" s="5"/>
      <c r="AK1629" s="5"/>
      <c r="AL1629" s="5"/>
      <c r="AM1629" s="5"/>
      <c r="AN1629" s="5"/>
      <c r="AO1629" s="5"/>
      <c r="AP1629" s="5"/>
      <c r="AQ1629" s="5"/>
      <c r="AR1629" s="5"/>
      <c r="AS1629" s="5"/>
      <c r="AT1629" s="5"/>
      <c r="AU1629" s="5"/>
      <c r="AV1629" s="5"/>
      <c r="AW1629" s="5"/>
      <c r="AX1629" s="5"/>
      <c r="AZ1629" s="5"/>
    </row>
    <row r="1630" spans="32:52" s="6" customFormat="1" x14ac:dyDescent="0.25">
      <c r="AF1630" s="5"/>
      <c r="AG1630" s="5"/>
      <c r="AH1630" s="5"/>
      <c r="AI1630" s="5"/>
      <c r="AJ1630" s="5"/>
      <c r="AK1630" s="5"/>
      <c r="AL1630" s="5"/>
      <c r="AM1630" s="5"/>
      <c r="AN1630" s="5"/>
      <c r="AO1630" s="5"/>
      <c r="AP1630" s="5"/>
      <c r="AQ1630" s="5"/>
      <c r="AR1630" s="5"/>
      <c r="AS1630" s="5"/>
      <c r="AT1630" s="5"/>
      <c r="AU1630" s="5"/>
      <c r="AV1630" s="5"/>
      <c r="AW1630" s="5"/>
      <c r="AX1630" s="5"/>
      <c r="AZ1630" s="5"/>
    </row>
    <row r="1631" spans="32:52" s="6" customFormat="1" x14ac:dyDescent="0.25">
      <c r="AF1631" s="5"/>
      <c r="AG1631" s="5"/>
      <c r="AH1631" s="5"/>
      <c r="AI1631" s="5"/>
      <c r="AJ1631" s="5"/>
      <c r="AK1631" s="5"/>
      <c r="AL1631" s="5"/>
      <c r="AM1631" s="5"/>
      <c r="AN1631" s="5"/>
      <c r="AO1631" s="5"/>
      <c r="AP1631" s="5"/>
      <c r="AQ1631" s="5"/>
      <c r="AR1631" s="5"/>
      <c r="AS1631" s="5"/>
      <c r="AT1631" s="5"/>
      <c r="AU1631" s="5"/>
      <c r="AV1631" s="5"/>
      <c r="AW1631" s="5"/>
      <c r="AX1631" s="5"/>
      <c r="AZ1631" s="5"/>
    </row>
  </sheetData>
  <autoFilter ref="AJ1:AJ1631"/>
  <pageMargins left="0.7" right="0.7" top="0.75" bottom="0.75" header="0.3" footer="0.3"/>
  <pageSetup paperSize="8" scale="47" orientation="portrait" r:id="rId1"/>
  <rowBreaks count="9" manualBreakCount="9">
    <brk id="173" max="16383" man="1"/>
    <brk id="350" max="51" man="1"/>
    <brk id="504" max="16383" man="1"/>
    <brk id="662" max="16383" man="1"/>
    <brk id="846" max="16383" man="1"/>
    <brk id="1072" max="16383" man="1"/>
    <brk id="1210" max="16383" man="1"/>
    <brk id="1348" max="16383" man="1"/>
    <brk id="1483" max="16383" man="1"/>
  </rowBreaks>
  <colBreaks count="1" manualBreakCount="1">
    <brk id="52" max="1048575" man="1"/>
  </col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"/>
  <sheetViews>
    <sheetView workbookViewId="0">
      <selection activeCell="E23" sqref="E23"/>
    </sheetView>
  </sheetViews>
  <sheetFormatPr defaultRowHeight="12.75" x14ac:dyDescent="0.2"/>
  <cols>
    <col min="1" max="1" width="28.140625" style="332" customWidth="1"/>
    <col min="2" max="4" width="12.140625" style="332" customWidth="1"/>
    <col min="5" max="5" width="94.140625" style="332" bestFit="1" customWidth="1"/>
    <col min="6" max="6" width="10.140625" style="332" bestFit="1" customWidth="1"/>
    <col min="7" max="16384" width="9.140625" style="332"/>
  </cols>
  <sheetData>
    <row r="1" spans="1:4" ht="13.5" thickBot="1" x14ac:dyDescent="0.25"/>
    <row r="2" spans="1:4" ht="15" x14ac:dyDescent="0.25">
      <c r="B2" s="237" t="s">
        <v>8</v>
      </c>
      <c r="C2" s="237" t="s">
        <v>8</v>
      </c>
      <c r="D2" s="237" t="s">
        <v>8</v>
      </c>
    </row>
    <row r="3" spans="1:4" ht="15.75" thickBot="1" x14ac:dyDescent="0.3">
      <c r="B3" s="241" t="s">
        <v>25</v>
      </c>
      <c r="C3" s="241" t="s">
        <v>26</v>
      </c>
      <c r="D3" s="241" t="s">
        <v>26</v>
      </c>
    </row>
    <row r="4" spans="1:4" x14ac:dyDescent="0.2">
      <c r="A4" s="444" t="s">
        <v>1344</v>
      </c>
    </row>
    <row r="5" spans="1:4" x14ac:dyDescent="0.2">
      <c r="A5" s="332" t="s">
        <v>1271</v>
      </c>
      <c r="B5" s="332">
        <f>+General!AK957</f>
        <v>0</v>
      </c>
      <c r="C5" s="332">
        <f>+General!AM957</f>
        <v>0</v>
      </c>
      <c r="D5" s="332">
        <f>+General!AO957</f>
        <v>0</v>
      </c>
    </row>
    <row r="6" spans="1:4" x14ac:dyDescent="0.2">
      <c r="A6" s="332" t="s">
        <v>1364</v>
      </c>
      <c r="D6" s="332">
        <f>SUM(B5:D5)</f>
        <v>0</v>
      </c>
    </row>
    <row r="8" spans="1:4" x14ac:dyDescent="0.2">
      <c r="A8" s="444" t="s">
        <v>1351</v>
      </c>
    </row>
    <row r="9" spans="1:4" x14ac:dyDescent="0.2">
      <c r="A9" s="332" t="s">
        <v>1345</v>
      </c>
      <c r="B9" s="332">
        <f>+General!AK343</f>
        <v>0</v>
      </c>
    </row>
    <row r="10" spans="1:4" x14ac:dyDescent="0.2">
      <c r="A10" s="332" t="s">
        <v>1346</v>
      </c>
      <c r="B10" s="332">
        <f>+Water!AK135</f>
        <v>0</v>
      </c>
      <c r="C10" s="332">
        <f>+Water!AM135</f>
        <v>0</v>
      </c>
      <c r="D10" s="332">
        <f>+Water!AO135</f>
        <v>0</v>
      </c>
    </row>
    <row r="11" spans="1:4" x14ac:dyDescent="0.2">
      <c r="A11" s="332" t="s">
        <v>1347</v>
      </c>
      <c r="B11" s="332">
        <f>+Sewer!AK129</f>
        <v>0</v>
      </c>
      <c r="C11" s="332">
        <f>+Sewer!AM129</f>
        <v>0</v>
      </c>
      <c r="D11" s="332">
        <f>+Sewer!AO129</f>
        <v>0</v>
      </c>
    </row>
    <row r="12" spans="1:4" x14ac:dyDescent="0.2">
      <c r="A12" s="332" t="s">
        <v>1348</v>
      </c>
      <c r="B12" s="332">
        <f>+TID!AK130</f>
        <v>0</v>
      </c>
      <c r="C12" s="332">
        <f>+TID!AM130</f>
        <v>0</v>
      </c>
      <c r="D12" s="332">
        <f>+TID!AO130</f>
        <v>0</v>
      </c>
    </row>
    <row r="13" spans="1:4" x14ac:dyDescent="0.2">
      <c r="B13" s="332">
        <f>SUM(B9:B12)</f>
        <v>0</v>
      </c>
      <c r="C13" s="332">
        <f>SUM(C9:C12)</f>
        <v>0</v>
      </c>
      <c r="D13" s="332">
        <f>SUM(D9:D12)</f>
        <v>0</v>
      </c>
    </row>
    <row r="14" spans="1:4" x14ac:dyDescent="0.2">
      <c r="A14" s="332" t="s">
        <v>1365</v>
      </c>
      <c r="D14" s="332">
        <f>SUM(B13:D13)</f>
        <v>0</v>
      </c>
    </row>
    <row r="16" spans="1:4" x14ac:dyDescent="0.2">
      <c r="A16" s="332" t="s">
        <v>1237</v>
      </c>
    </row>
    <row r="17" spans="1:3" x14ac:dyDescent="0.2">
      <c r="A17" s="332" t="s">
        <v>1349</v>
      </c>
      <c r="C17" s="332">
        <f>+D6</f>
        <v>0</v>
      </c>
    </row>
    <row r="18" spans="1:3" x14ac:dyDescent="0.2">
      <c r="A18" s="332" t="s">
        <v>1350</v>
      </c>
      <c r="B18" s="332">
        <f>+B10+C10+D10</f>
        <v>0</v>
      </c>
    </row>
    <row r="19" spans="1:3" x14ac:dyDescent="0.2">
      <c r="A19" s="332" t="s">
        <v>1352</v>
      </c>
      <c r="B19" s="332">
        <f t="shared" ref="B19:B20" si="0">+B11+C11+D11</f>
        <v>0</v>
      </c>
    </row>
    <row r="20" spans="1:3" x14ac:dyDescent="0.2">
      <c r="A20" s="332" t="s">
        <v>1353</v>
      </c>
      <c r="B20" s="332">
        <f t="shared" si="0"/>
        <v>0</v>
      </c>
    </row>
    <row r="21" spans="1:3" x14ac:dyDescent="0.2">
      <c r="A21" s="332" t="s">
        <v>1345</v>
      </c>
      <c r="B21" s="332">
        <f>+B9</f>
        <v>0</v>
      </c>
      <c r="C21" s="332">
        <f>SUM(B18:B21)</f>
        <v>0</v>
      </c>
    </row>
    <row r="22" spans="1:3" x14ac:dyDescent="0.2">
      <c r="A22" s="332" t="s">
        <v>1354</v>
      </c>
      <c r="C22" s="332">
        <f>+C17-C21</f>
        <v>0</v>
      </c>
    </row>
    <row r="26" spans="1:3" x14ac:dyDescent="0.2">
      <c r="A26" s="332" t="s">
        <v>1355</v>
      </c>
    </row>
    <row r="27" spans="1:3" x14ac:dyDescent="0.2">
      <c r="A27" s="332" t="s">
        <v>1356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6"/>
  <sheetViews>
    <sheetView topLeftCell="A49" workbookViewId="0">
      <selection activeCell="A18" sqref="A18"/>
    </sheetView>
  </sheetViews>
  <sheetFormatPr defaultRowHeight="12.75" outlineLevelRow="1" x14ac:dyDescent="0.2"/>
  <cols>
    <col min="1" max="1" width="39.85546875" style="334" bestFit="1" customWidth="1"/>
    <col min="2" max="2" width="10.85546875" style="334" bestFit="1" customWidth="1"/>
    <col min="3" max="3" width="10.42578125" style="334" customWidth="1"/>
    <col min="4" max="4" width="9.140625" style="334" bestFit="1" customWidth="1"/>
    <col min="5" max="9" width="12.42578125" style="334" bestFit="1" customWidth="1"/>
    <col min="10" max="10" width="9.42578125" style="334" bestFit="1" customWidth="1"/>
    <col min="11" max="11" width="10.42578125" style="334" customWidth="1"/>
    <col min="12" max="12" width="10" style="334" bestFit="1" customWidth="1"/>
    <col min="13" max="13" width="12" style="334" customWidth="1"/>
    <col min="14" max="14" width="9.85546875" style="334" bestFit="1" customWidth="1"/>
    <col min="15" max="15" width="11" style="334" bestFit="1" customWidth="1"/>
    <col min="16" max="16" width="9.140625" style="334"/>
    <col min="17" max="17" width="10.7109375" style="334" customWidth="1"/>
    <col min="18" max="18" width="9.140625" style="334"/>
    <col min="19" max="19" width="10.140625" style="334" customWidth="1"/>
    <col min="20" max="20" width="1.5703125" style="334" customWidth="1"/>
    <col min="21" max="26" width="9.140625" style="334"/>
    <col min="27" max="27" width="10" style="334" bestFit="1" customWidth="1"/>
    <col min="28" max="16384" width="9.140625" style="334"/>
  </cols>
  <sheetData>
    <row r="1" spans="1:27" ht="15.75" x14ac:dyDescent="0.25">
      <c r="A1" s="339" t="s">
        <v>1260</v>
      </c>
      <c r="B1" s="339"/>
      <c r="C1" s="462" t="s">
        <v>1341</v>
      </c>
      <c r="D1" s="462"/>
      <c r="E1" s="462"/>
      <c r="F1" s="462"/>
      <c r="G1" s="462"/>
    </row>
    <row r="2" spans="1:27" x14ac:dyDescent="0.2">
      <c r="A2" s="335" t="s">
        <v>1261</v>
      </c>
      <c r="B2" s="335"/>
      <c r="C2" s="333"/>
      <c r="D2" s="333"/>
      <c r="E2" s="333"/>
      <c r="F2" s="333"/>
      <c r="G2" s="333"/>
    </row>
    <row r="3" spans="1:27" x14ac:dyDescent="0.2">
      <c r="C3" s="333"/>
      <c r="D3" s="333"/>
      <c r="E3" s="333"/>
      <c r="F3" s="333"/>
      <c r="G3" s="333"/>
      <c r="M3" s="463" t="s">
        <v>1271</v>
      </c>
      <c r="N3" s="463"/>
      <c r="O3" s="463"/>
      <c r="P3" s="463"/>
      <c r="Q3" s="463"/>
      <c r="R3" s="463"/>
      <c r="S3" s="463"/>
      <c r="T3" s="445"/>
      <c r="U3" s="463" t="s">
        <v>1272</v>
      </c>
      <c r="V3" s="463"/>
      <c r="W3" s="463"/>
      <c r="X3" s="463"/>
      <c r="Y3" s="463"/>
      <c r="Z3" s="463"/>
      <c r="AA3" s="463"/>
    </row>
    <row r="4" spans="1:27" s="336" customFormat="1" ht="51" x14ac:dyDescent="0.25">
      <c r="A4" s="336" t="s">
        <v>718</v>
      </c>
      <c r="C4" s="336" t="s">
        <v>1262</v>
      </c>
      <c r="D4" s="336" t="s">
        <v>1263</v>
      </c>
      <c r="E4" s="336" t="s">
        <v>1264</v>
      </c>
      <c r="F4" s="336" t="s">
        <v>815</v>
      </c>
      <c r="G4" s="336" t="s">
        <v>1270</v>
      </c>
      <c r="H4" s="336" t="s">
        <v>1265</v>
      </c>
      <c r="I4" s="336" t="s">
        <v>1266</v>
      </c>
      <c r="J4" s="336" t="s">
        <v>1278</v>
      </c>
      <c r="K4" s="336" t="s">
        <v>1269</v>
      </c>
      <c r="M4" s="336" t="s">
        <v>1264</v>
      </c>
      <c r="N4" s="336" t="s">
        <v>815</v>
      </c>
      <c r="O4" s="336" t="s">
        <v>1270</v>
      </c>
      <c r="P4" s="336" t="s">
        <v>1265</v>
      </c>
      <c r="Q4" s="336" t="s">
        <v>1266</v>
      </c>
      <c r="R4" s="336" t="s">
        <v>1278</v>
      </c>
      <c r="S4" s="336" t="s">
        <v>1269</v>
      </c>
      <c r="T4" s="446"/>
      <c r="U4" s="336" t="s">
        <v>1264</v>
      </c>
      <c r="V4" s="336" t="s">
        <v>815</v>
      </c>
      <c r="W4" s="336" t="s">
        <v>1270</v>
      </c>
      <c r="X4" s="336" t="s">
        <v>1265</v>
      </c>
      <c r="Y4" s="336" t="s">
        <v>1266</v>
      </c>
      <c r="Z4" s="336" t="s">
        <v>1278</v>
      </c>
      <c r="AA4" s="336" t="s">
        <v>1269</v>
      </c>
    </row>
    <row r="5" spans="1:27" x14ac:dyDescent="0.2">
      <c r="A5" s="334" t="s">
        <v>1267</v>
      </c>
      <c r="B5" s="383">
        <v>3000000</v>
      </c>
      <c r="C5" s="337"/>
      <c r="D5" s="337">
        <v>1</v>
      </c>
      <c r="E5" s="442">
        <f>+B5</f>
        <v>3000000</v>
      </c>
      <c r="F5" s="442">
        <f>ROUND(+E5*$B$6/2,2)</f>
        <v>84750</v>
      </c>
      <c r="G5" s="368">
        <f>-$B$7</f>
        <v>-198398.69154925016</v>
      </c>
      <c r="H5" s="368">
        <f>SUM(E5:G5)</f>
        <v>2886351.3084507501</v>
      </c>
      <c r="I5" s="442"/>
      <c r="J5" s="442"/>
      <c r="K5" s="442"/>
      <c r="M5" s="442">
        <f>+E5/3*2</f>
        <v>2000000</v>
      </c>
      <c r="N5" s="442">
        <f t="shared" ref="N5:O5" si="0">+F5/3*2</f>
        <v>56500</v>
      </c>
      <c r="O5" s="442">
        <f t="shared" si="0"/>
        <v>-132265.79436616678</v>
      </c>
      <c r="P5" s="442">
        <f>+H5/3*2</f>
        <v>1924234.2056338333</v>
      </c>
      <c r="Q5" s="442"/>
      <c r="R5" s="442"/>
      <c r="S5" s="442"/>
      <c r="T5" s="447"/>
      <c r="U5" s="368">
        <f>+E5-M5</f>
        <v>1000000</v>
      </c>
      <c r="V5" s="368">
        <f t="shared" ref="V5:X5" si="1">+F5-N5</f>
        <v>28250</v>
      </c>
      <c r="W5" s="368">
        <f t="shared" si="1"/>
        <v>-66132.897183083376</v>
      </c>
      <c r="X5" s="368">
        <f t="shared" si="1"/>
        <v>962117.10281691677</v>
      </c>
    </row>
    <row r="6" spans="1:27" x14ac:dyDescent="0.2">
      <c r="A6" s="334" t="s">
        <v>1268</v>
      </c>
      <c r="B6" s="384">
        <v>5.6500000000000002E-2</v>
      </c>
      <c r="C6" s="337">
        <v>1</v>
      </c>
      <c r="D6" s="337">
        <f>1+D5</f>
        <v>2</v>
      </c>
      <c r="E6" s="442">
        <f>+H5</f>
        <v>2886351.3084507501</v>
      </c>
      <c r="F6" s="442">
        <f>ROUND(+E6*$B$6/2,2)</f>
        <v>81539.42</v>
      </c>
      <c r="G6" s="368">
        <f t="shared" ref="G6:G24" si="2">-$B$7</f>
        <v>-198398.69154925016</v>
      </c>
      <c r="H6" s="368">
        <f>SUM(E6:G6)</f>
        <v>2769492.0369015001</v>
      </c>
      <c r="I6" s="442">
        <f>+F5+F6</f>
        <v>166289.41999999998</v>
      </c>
      <c r="J6" s="442">
        <f>-G5-G6-F5-F6</f>
        <v>230507.96309850033</v>
      </c>
      <c r="K6" s="442">
        <f>SUM(I6:J6)</f>
        <v>396797.38309850032</v>
      </c>
      <c r="M6" s="442">
        <f>+E6/3*2</f>
        <v>1924234.2056338333</v>
      </c>
      <c r="N6" s="442">
        <f t="shared" ref="N6" si="3">+F6/3*2</f>
        <v>54359.613333333335</v>
      </c>
      <c r="O6" s="442">
        <f t="shared" ref="O6" si="4">+G6/3*2</f>
        <v>-132265.79436616678</v>
      </c>
      <c r="P6" s="442">
        <f>+H6/3*2</f>
        <v>1846328.0246010001</v>
      </c>
      <c r="Q6" s="442">
        <f t="shared" ref="Q6:R6" si="5">+I6/3*2</f>
        <v>110859.61333333333</v>
      </c>
      <c r="R6" s="442">
        <f t="shared" si="5"/>
        <v>153671.97539900022</v>
      </c>
      <c r="S6" s="442">
        <f>+K6/3*2</f>
        <v>264531.58873233356</v>
      </c>
      <c r="T6" s="445"/>
      <c r="U6" s="368">
        <f t="shared" ref="U6:U24" si="6">+E6-M6</f>
        <v>962117.10281691677</v>
      </c>
      <c r="V6" s="368">
        <f t="shared" ref="V6:V24" si="7">+F6-N6</f>
        <v>27179.806666666664</v>
      </c>
      <c r="W6" s="368">
        <f t="shared" ref="W6:W24" si="8">+G6-O6</f>
        <v>-66132.897183083376</v>
      </c>
      <c r="X6" s="368">
        <f t="shared" ref="X6:X24" si="9">+H6-P6</f>
        <v>923164.01230049995</v>
      </c>
      <c r="Y6" s="368">
        <f t="shared" ref="Y6" si="10">+I6-Q6</f>
        <v>55429.806666666656</v>
      </c>
      <c r="Z6" s="368">
        <f t="shared" ref="Z6" si="11">+J6-R6</f>
        <v>76835.98769950011</v>
      </c>
      <c r="AA6" s="368">
        <f t="shared" ref="AA6" si="12">+K6-S6</f>
        <v>132265.79436616675</v>
      </c>
    </row>
    <row r="7" spans="1:27" x14ac:dyDescent="0.2">
      <c r="A7" s="334" t="s">
        <v>1269</v>
      </c>
      <c r="B7" s="338">
        <f>-PMT(B6/2,B8*2,B5)</f>
        <v>198398.69154925016</v>
      </c>
      <c r="C7" s="337"/>
      <c r="D7" s="337">
        <f t="shared" ref="D7:D24" si="13">1+D6</f>
        <v>3</v>
      </c>
      <c r="E7" s="442">
        <f t="shared" ref="E7:E24" si="14">+H6</f>
        <v>2769492.0369015001</v>
      </c>
      <c r="F7" s="442">
        <f t="shared" ref="F7:F24" si="15">ROUND(+E7*$B$6/2,2)</f>
        <v>78238.149999999994</v>
      </c>
      <c r="G7" s="368">
        <f t="shared" si="2"/>
        <v>-198398.69154925016</v>
      </c>
      <c r="H7" s="368">
        <f t="shared" ref="H7:H18" si="16">SUM(E7:G7)</f>
        <v>2649331.4953522496</v>
      </c>
      <c r="I7" s="442"/>
      <c r="J7" s="442"/>
      <c r="K7" s="442"/>
      <c r="M7" s="442">
        <f t="shared" ref="M7:M23" si="17">+E7/3*2</f>
        <v>1846328.0246010001</v>
      </c>
      <c r="N7" s="442">
        <f t="shared" ref="N7:N23" si="18">+F7/3*2</f>
        <v>52158.766666666663</v>
      </c>
      <c r="O7" s="442">
        <f t="shared" ref="O7:O23" si="19">+G7/3*2</f>
        <v>-132265.79436616678</v>
      </c>
      <c r="P7" s="442">
        <f t="shared" ref="P7:P23" si="20">+H7/3*2</f>
        <v>1766220.9969014998</v>
      </c>
      <c r="Q7" s="442"/>
      <c r="R7" s="442"/>
      <c r="S7" s="442"/>
      <c r="T7" s="445"/>
      <c r="U7" s="368">
        <f t="shared" si="6"/>
        <v>923164.01230049995</v>
      </c>
      <c r="V7" s="368">
        <f t="shared" si="7"/>
        <v>26079.383333333331</v>
      </c>
      <c r="W7" s="368">
        <f t="shared" si="8"/>
        <v>-66132.897183083376</v>
      </c>
      <c r="X7" s="368">
        <f t="shared" si="9"/>
        <v>883110.49845074979</v>
      </c>
    </row>
    <row r="8" spans="1:27" x14ac:dyDescent="0.2">
      <c r="A8" s="334" t="s">
        <v>1262</v>
      </c>
      <c r="B8" s="337">
        <v>10</v>
      </c>
      <c r="C8" s="337">
        <v>2</v>
      </c>
      <c r="D8" s="337">
        <f t="shared" si="13"/>
        <v>4</v>
      </c>
      <c r="E8" s="442">
        <f t="shared" si="14"/>
        <v>2649331.4953522496</v>
      </c>
      <c r="F8" s="442">
        <f t="shared" si="15"/>
        <v>74843.61</v>
      </c>
      <c r="G8" s="368">
        <f t="shared" si="2"/>
        <v>-198398.69154925016</v>
      </c>
      <c r="H8" s="368">
        <f t="shared" si="16"/>
        <v>2525776.4138029991</v>
      </c>
      <c r="I8" s="442">
        <f>+F7+F8</f>
        <v>153081.76</v>
      </c>
      <c r="J8" s="442">
        <f>-G7-G8-F7-F8</f>
        <v>243715.62309850031</v>
      </c>
      <c r="K8" s="442">
        <f>SUM(I8:J8)</f>
        <v>396797.38309850032</v>
      </c>
      <c r="M8" s="442">
        <f t="shared" si="17"/>
        <v>1766220.9969014998</v>
      </c>
      <c r="N8" s="442">
        <f t="shared" si="18"/>
        <v>49895.74</v>
      </c>
      <c r="O8" s="442">
        <f t="shared" si="19"/>
        <v>-132265.79436616678</v>
      </c>
      <c r="P8" s="442">
        <f t="shared" si="20"/>
        <v>1683850.9425353326</v>
      </c>
      <c r="Q8" s="442">
        <f t="shared" ref="Q8:Q22" si="21">+I8/3*2</f>
        <v>102054.50666666667</v>
      </c>
      <c r="R8" s="442">
        <f t="shared" ref="R8:R22" si="22">+J8/3*2</f>
        <v>162477.08206566688</v>
      </c>
      <c r="S8" s="442">
        <f t="shared" ref="S8:S22" si="23">+K8/3*2</f>
        <v>264531.58873233356</v>
      </c>
      <c r="T8" s="445"/>
      <c r="U8" s="368">
        <f t="shared" si="6"/>
        <v>883110.49845074979</v>
      </c>
      <c r="V8" s="368">
        <f t="shared" si="7"/>
        <v>24947.870000000003</v>
      </c>
      <c r="W8" s="368">
        <f t="shared" si="8"/>
        <v>-66132.897183083376</v>
      </c>
      <c r="X8" s="368">
        <f t="shared" si="9"/>
        <v>841925.47126766643</v>
      </c>
      <c r="Y8" s="368">
        <f t="shared" ref="Y8" si="24">+I8-Q8</f>
        <v>51027.253333333341</v>
      </c>
      <c r="Z8" s="368">
        <f t="shared" ref="Z8" si="25">+J8-R8</f>
        <v>81238.541032833426</v>
      </c>
      <c r="AA8" s="368">
        <f t="shared" ref="AA8" si="26">+K8-S8</f>
        <v>132265.79436616675</v>
      </c>
    </row>
    <row r="9" spans="1:27" x14ac:dyDescent="0.2">
      <c r="B9" s="333"/>
      <c r="C9" s="337"/>
      <c r="D9" s="337">
        <f t="shared" si="13"/>
        <v>5</v>
      </c>
      <c r="E9" s="442">
        <f t="shared" si="14"/>
        <v>2525776.4138029991</v>
      </c>
      <c r="F9" s="442">
        <f t="shared" si="15"/>
        <v>71353.179999999993</v>
      </c>
      <c r="G9" s="368">
        <f t="shared" si="2"/>
        <v>-198398.69154925016</v>
      </c>
      <c r="H9" s="368">
        <f t="shared" si="16"/>
        <v>2398730.9022537488</v>
      </c>
      <c r="I9" s="442"/>
      <c r="J9" s="442"/>
      <c r="K9" s="442"/>
      <c r="M9" s="442">
        <f t="shared" si="17"/>
        <v>1683850.9425353326</v>
      </c>
      <c r="N9" s="442">
        <f t="shared" si="18"/>
        <v>47568.78666666666</v>
      </c>
      <c r="O9" s="442">
        <f t="shared" si="19"/>
        <v>-132265.79436616678</v>
      </c>
      <c r="P9" s="442">
        <f t="shared" si="20"/>
        <v>1599153.9348358326</v>
      </c>
      <c r="Q9" s="442"/>
      <c r="R9" s="442"/>
      <c r="S9" s="442"/>
      <c r="T9" s="445"/>
      <c r="U9" s="368">
        <f t="shared" si="6"/>
        <v>841925.47126766643</v>
      </c>
      <c r="V9" s="368">
        <f t="shared" si="7"/>
        <v>23784.393333333333</v>
      </c>
      <c r="W9" s="368">
        <f t="shared" si="8"/>
        <v>-66132.897183083376</v>
      </c>
      <c r="X9" s="368">
        <f t="shared" si="9"/>
        <v>799576.96741791628</v>
      </c>
    </row>
    <row r="10" spans="1:27" x14ac:dyDescent="0.2">
      <c r="B10" s="333"/>
      <c r="C10" s="337">
        <v>3</v>
      </c>
      <c r="D10" s="337">
        <f t="shared" si="13"/>
        <v>6</v>
      </c>
      <c r="E10" s="442">
        <f t="shared" si="14"/>
        <v>2398730.9022537488</v>
      </c>
      <c r="F10" s="442">
        <f t="shared" si="15"/>
        <v>67764.149999999994</v>
      </c>
      <c r="G10" s="368">
        <f t="shared" si="2"/>
        <v>-198398.69154925016</v>
      </c>
      <c r="H10" s="368">
        <f t="shared" si="16"/>
        <v>2268096.3607044984</v>
      </c>
      <c r="I10" s="442">
        <f>+F9+F10</f>
        <v>139117.32999999999</v>
      </c>
      <c r="J10" s="442">
        <f>-G9-G10-F9-F10</f>
        <v>257680.05309850033</v>
      </c>
      <c r="K10" s="442">
        <f>SUM(I10:J10)</f>
        <v>396797.38309850032</v>
      </c>
      <c r="M10" s="442">
        <f t="shared" si="17"/>
        <v>1599153.9348358326</v>
      </c>
      <c r="N10" s="442">
        <f t="shared" si="18"/>
        <v>45176.1</v>
      </c>
      <c r="O10" s="442">
        <f t="shared" si="19"/>
        <v>-132265.79436616678</v>
      </c>
      <c r="P10" s="442">
        <f t="shared" si="20"/>
        <v>1512064.2404696655</v>
      </c>
      <c r="Q10" s="442">
        <f t="shared" si="21"/>
        <v>92744.886666666658</v>
      </c>
      <c r="R10" s="442">
        <f t="shared" si="22"/>
        <v>171786.70206566688</v>
      </c>
      <c r="S10" s="442">
        <f t="shared" si="23"/>
        <v>264531.58873233356</v>
      </c>
      <c r="T10" s="445"/>
      <c r="U10" s="368">
        <f t="shared" si="6"/>
        <v>799576.96741791628</v>
      </c>
      <c r="V10" s="368">
        <f t="shared" si="7"/>
        <v>22588.049999999996</v>
      </c>
      <c r="W10" s="368">
        <f t="shared" si="8"/>
        <v>-66132.897183083376</v>
      </c>
      <c r="X10" s="368">
        <f t="shared" si="9"/>
        <v>756032.12023483287</v>
      </c>
      <c r="Y10" s="368">
        <f t="shared" ref="Y10" si="27">+I10-Q10</f>
        <v>46372.443333333329</v>
      </c>
      <c r="Z10" s="368">
        <f t="shared" ref="Z10" si="28">+J10-R10</f>
        <v>85893.351032833452</v>
      </c>
      <c r="AA10" s="368">
        <f t="shared" ref="AA10" si="29">+K10-S10</f>
        <v>132265.79436616675</v>
      </c>
    </row>
    <row r="11" spans="1:27" x14ac:dyDescent="0.2">
      <c r="B11" s="333"/>
      <c r="C11" s="337"/>
      <c r="D11" s="337">
        <f t="shared" si="13"/>
        <v>7</v>
      </c>
      <c r="E11" s="442">
        <f t="shared" si="14"/>
        <v>2268096.3607044984</v>
      </c>
      <c r="F11" s="442">
        <f t="shared" si="15"/>
        <v>64073.72</v>
      </c>
      <c r="G11" s="368">
        <f t="shared" si="2"/>
        <v>-198398.69154925016</v>
      </c>
      <c r="H11" s="368">
        <f t="shared" si="16"/>
        <v>2133771.3891552482</v>
      </c>
      <c r="I11" s="442"/>
      <c r="J11" s="442"/>
      <c r="K11" s="442"/>
      <c r="M11" s="442">
        <f t="shared" si="17"/>
        <v>1512064.2404696655</v>
      </c>
      <c r="N11" s="442">
        <f t="shared" si="18"/>
        <v>42715.813333333332</v>
      </c>
      <c r="O11" s="442">
        <f t="shared" si="19"/>
        <v>-132265.79436616678</v>
      </c>
      <c r="P11" s="442">
        <f t="shared" si="20"/>
        <v>1422514.259436832</v>
      </c>
      <c r="Q11" s="442"/>
      <c r="R11" s="442"/>
      <c r="S11" s="442"/>
      <c r="T11" s="445"/>
      <c r="U11" s="368">
        <f t="shared" si="6"/>
        <v>756032.12023483287</v>
      </c>
      <c r="V11" s="368">
        <f t="shared" si="7"/>
        <v>21357.906666666669</v>
      </c>
      <c r="W11" s="368">
        <f t="shared" si="8"/>
        <v>-66132.897183083376</v>
      </c>
      <c r="X11" s="368">
        <f t="shared" si="9"/>
        <v>711257.12971841614</v>
      </c>
    </row>
    <row r="12" spans="1:27" x14ac:dyDescent="0.2">
      <c r="B12" s="333"/>
      <c r="C12" s="337">
        <v>4</v>
      </c>
      <c r="D12" s="337">
        <f t="shared" si="13"/>
        <v>8</v>
      </c>
      <c r="E12" s="442">
        <f t="shared" si="14"/>
        <v>2133771.3891552482</v>
      </c>
      <c r="F12" s="442">
        <f t="shared" si="15"/>
        <v>60279.040000000001</v>
      </c>
      <c r="G12" s="368">
        <f t="shared" si="2"/>
        <v>-198398.69154925016</v>
      </c>
      <c r="H12" s="368">
        <f t="shared" si="16"/>
        <v>1995651.7376059981</v>
      </c>
      <c r="I12" s="442">
        <f>+F11+F12</f>
        <v>124352.76000000001</v>
      </c>
      <c r="J12" s="442">
        <f>-G11-G12-F11-F12</f>
        <v>272444.62309850036</v>
      </c>
      <c r="K12" s="442">
        <f>SUM(I12:J12)</f>
        <v>396797.38309850037</v>
      </c>
      <c r="M12" s="442">
        <f t="shared" si="17"/>
        <v>1422514.259436832</v>
      </c>
      <c r="N12" s="442">
        <f t="shared" si="18"/>
        <v>40186.026666666665</v>
      </c>
      <c r="O12" s="442">
        <f t="shared" si="19"/>
        <v>-132265.79436616678</v>
      </c>
      <c r="P12" s="442">
        <f t="shared" si="20"/>
        <v>1330434.491737332</v>
      </c>
      <c r="Q12" s="442">
        <f t="shared" si="21"/>
        <v>82901.840000000011</v>
      </c>
      <c r="R12" s="442">
        <f t="shared" si="22"/>
        <v>181629.74873233357</v>
      </c>
      <c r="S12" s="442">
        <f t="shared" si="23"/>
        <v>264531.58873233356</v>
      </c>
      <c r="T12" s="445"/>
      <c r="U12" s="368">
        <f t="shared" si="6"/>
        <v>711257.12971841614</v>
      </c>
      <c r="V12" s="368">
        <f t="shared" si="7"/>
        <v>20093.013333333336</v>
      </c>
      <c r="W12" s="368">
        <f t="shared" si="8"/>
        <v>-66132.897183083376</v>
      </c>
      <c r="X12" s="368">
        <f t="shared" si="9"/>
        <v>665217.2458686661</v>
      </c>
      <c r="Y12" s="368">
        <f t="shared" ref="Y12" si="30">+I12-Q12</f>
        <v>41450.92</v>
      </c>
      <c r="Z12" s="368">
        <f t="shared" ref="Z12" si="31">+J12-R12</f>
        <v>90814.874366166798</v>
      </c>
      <c r="AA12" s="368">
        <f t="shared" ref="AA12" si="32">+K12-S12</f>
        <v>132265.79436616681</v>
      </c>
    </row>
    <row r="13" spans="1:27" x14ac:dyDescent="0.2">
      <c r="B13" s="333"/>
      <c r="C13" s="337"/>
      <c r="D13" s="337">
        <f t="shared" si="13"/>
        <v>9</v>
      </c>
      <c r="E13" s="442">
        <f t="shared" si="14"/>
        <v>1995651.7376059981</v>
      </c>
      <c r="F13" s="442">
        <f t="shared" si="15"/>
        <v>56377.16</v>
      </c>
      <c r="G13" s="368">
        <f t="shared" si="2"/>
        <v>-198398.69154925016</v>
      </c>
      <c r="H13" s="368">
        <f t="shared" si="16"/>
        <v>1853630.2060567478</v>
      </c>
      <c r="I13" s="442"/>
      <c r="J13" s="442"/>
      <c r="K13" s="442"/>
      <c r="M13" s="442">
        <f t="shared" si="17"/>
        <v>1330434.491737332</v>
      </c>
      <c r="N13" s="442">
        <f t="shared" si="18"/>
        <v>37584.773333333338</v>
      </c>
      <c r="O13" s="442">
        <f t="shared" si="19"/>
        <v>-132265.79436616678</v>
      </c>
      <c r="P13" s="442">
        <f t="shared" si="20"/>
        <v>1235753.4707044985</v>
      </c>
      <c r="Q13" s="442"/>
      <c r="R13" s="442"/>
      <c r="S13" s="442"/>
      <c r="T13" s="445"/>
      <c r="U13" s="368">
        <f t="shared" si="6"/>
        <v>665217.2458686661</v>
      </c>
      <c r="V13" s="368">
        <f t="shared" si="7"/>
        <v>18792.386666666665</v>
      </c>
      <c r="W13" s="368">
        <f t="shared" si="8"/>
        <v>-66132.897183083376</v>
      </c>
      <c r="X13" s="368">
        <f t="shared" si="9"/>
        <v>617876.73535224935</v>
      </c>
    </row>
    <row r="14" spans="1:27" x14ac:dyDescent="0.2">
      <c r="B14" s="333"/>
      <c r="C14" s="337">
        <v>5</v>
      </c>
      <c r="D14" s="337">
        <f t="shared" si="13"/>
        <v>10</v>
      </c>
      <c r="E14" s="442">
        <f t="shared" si="14"/>
        <v>1853630.2060567478</v>
      </c>
      <c r="F14" s="442">
        <f t="shared" si="15"/>
        <v>52365.05</v>
      </c>
      <c r="G14" s="368">
        <f t="shared" si="2"/>
        <v>-198398.69154925016</v>
      </c>
      <c r="H14" s="368">
        <f t="shared" si="16"/>
        <v>1707596.5645074977</v>
      </c>
      <c r="I14" s="442">
        <f>+F13+F14</f>
        <v>108742.21</v>
      </c>
      <c r="J14" s="442">
        <f>-G13-G14-F13-F14</f>
        <v>288055.17309850029</v>
      </c>
      <c r="K14" s="442">
        <f>SUM(I14:J14)</f>
        <v>396797.38309850032</v>
      </c>
      <c r="M14" s="442">
        <f t="shared" si="17"/>
        <v>1235753.4707044985</v>
      </c>
      <c r="N14" s="442">
        <f t="shared" si="18"/>
        <v>34910.033333333333</v>
      </c>
      <c r="O14" s="442">
        <f t="shared" si="19"/>
        <v>-132265.79436616678</v>
      </c>
      <c r="P14" s="442">
        <f t="shared" si="20"/>
        <v>1138397.7096716652</v>
      </c>
      <c r="Q14" s="442">
        <f t="shared" si="21"/>
        <v>72494.806666666671</v>
      </c>
      <c r="R14" s="442">
        <f t="shared" si="22"/>
        <v>192036.78206566686</v>
      </c>
      <c r="S14" s="442">
        <f t="shared" si="23"/>
        <v>264531.58873233356</v>
      </c>
      <c r="T14" s="445"/>
      <c r="U14" s="368">
        <f t="shared" si="6"/>
        <v>617876.73535224935</v>
      </c>
      <c r="V14" s="368">
        <f t="shared" si="7"/>
        <v>17455.01666666667</v>
      </c>
      <c r="W14" s="368">
        <f t="shared" si="8"/>
        <v>-66132.897183083376</v>
      </c>
      <c r="X14" s="368">
        <f t="shared" si="9"/>
        <v>569198.85483583249</v>
      </c>
      <c r="Y14" s="368">
        <f t="shared" ref="Y14" si="33">+I14-Q14</f>
        <v>36247.403333333335</v>
      </c>
      <c r="Z14" s="368">
        <f t="shared" ref="Z14" si="34">+J14-R14</f>
        <v>96018.391032833431</v>
      </c>
      <c r="AA14" s="368">
        <f t="shared" ref="AA14" si="35">+K14-S14</f>
        <v>132265.79436616675</v>
      </c>
    </row>
    <row r="15" spans="1:27" x14ac:dyDescent="0.2">
      <c r="B15" s="333"/>
      <c r="C15" s="337"/>
      <c r="D15" s="337">
        <f t="shared" si="13"/>
        <v>11</v>
      </c>
      <c r="E15" s="442">
        <f t="shared" si="14"/>
        <v>1707596.5645074977</v>
      </c>
      <c r="F15" s="442">
        <f t="shared" si="15"/>
        <v>48239.6</v>
      </c>
      <c r="G15" s="368">
        <f t="shared" si="2"/>
        <v>-198398.69154925016</v>
      </c>
      <c r="H15" s="368">
        <f t="shared" si="16"/>
        <v>1557437.4729582476</v>
      </c>
      <c r="I15" s="442"/>
      <c r="J15" s="442"/>
      <c r="K15" s="442"/>
      <c r="M15" s="442">
        <f t="shared" si="17"/>
        <v>1138397.7096716652</v>
      </c>
      <c r="N15" s="442">
        <f t="shared" si="18"/>
        <v>32159.733333333334</v>
      </c>
      <c r="O15" s="442">
        <f t="shared" si="19"/>
        <v>-132265.79436616678</v>
      </c>
      <c r="P15" s="442">
        <f t="shared" si="20"/>
        <v>1038291.6486388318</v>
      </c>
      <c r="Q15" s="442"/>
      <c r="R15" s="442"/>
      <c r="S15" s="442"/>
      <c r="T15" s="445"/>
      <c r="U15" s="368">
        <f t="shared" si="6"/>
        <v>569198.85483583249</v>
      </c>
      <c r="V15" s="368">
        <f t="shared" si="7"/>
        <v>16079.866666666665</v>
      </c>
      <c r="W15" s="368">
        <f t="shared" si="8"/>
        <v>-66132.897183083376</v>
      </c>
      <c r="X15" s="368">
        <f t="shared" si="9"/>
        <v>519145.82431941584</v>
      </c>
    </row>
    <row r="16" spans="1:27" x14ac:dyDescent="0.2">
      <c r="B16" s="333"/>
      <c r="C16" s="337">
        <v>6</v>
      </c>
      <c r="D16" s="337">
        <f t="shared" si="13"/>
        <v>12</v>
      </c>
      <c r="E16" s="442">
        <f t="shared" si="14"/>
        <v>1557437.4729582476</v>
      </c>
      <c r="F16" s="442">
        <f t="shared" si="15"/>
        <v>43997.61</v>
      </c>
      <c r="G16" s="368">
        <f t="shared" si="2"/>
        <v>-198398.69154925016</v>
      </c>
      <c r="H16" s="368">
        <f t="shared" si="16"/>
        <v>1403036.3914089976</v>
      </c>
      <c r="I16" s="442">
        <f>+F15+F16</f>
        <v>92237.209999999992</v>
      </c>
      <c r="J16" s="442">
        <f>-G15-G16-F15-F16</f>
        <v>304560.17309850035</v>
      </c>
      <c r="K16" s="442">
        <f>SUM(I16:J16)</f>
        <v>396797.38309850032</v>
      </c>
      <c r="M16" s="442">
        <f t="shared" si="17"/>
        <v>1038291.6486388318</v>
      </c>
      <c r="N16" s="442">
        <f t="shared" si="18"/>
        <v>29331.74</v>
      </c>
      <c r="O16" s="442">
        <f t="shared" si="19"/>
        <v>-132265.79436616678</v>
      </c>
      <c r="P16" s="442">
        <f t="shared" si="20"/>
        <v>935357.5942726651</v>
      </c>
      <c r="Q16" s="442">
        <f t="shared" si="21"/>
        <v>61491.473333333328</v>
      </c>
      <c r="R16" s="442">
        <f t="shared" si="22"/>
        <v>203040.11539900023</v>
      </c>
      <c r="S16" s="442">
        <f t="shared" si="23"/>
        <v>264531.58873233356</v>
      </c>
      <c r="T16" s="445"/>
      <c r="U16" s="368">
        <f t="shared" si="6"/>
        <v>519145.82431941584</v>
      </c>
      <c r="V16" s="368">
        <f t="shared" si="7"/>
        <v>14665.869999999999</v>
      </c>
      <c r="W16" s="368">
        <f t="shared" si="8"/>
        <v>-66132.897183083376</v>
      </c>
      <c r="X16" s="368">
        <f t="shared" si="9"/>
        <v>467678.79713633249</v>
      </c>
      <c r="Y16" s="368">
        <f t="shared" ref="Y16" si="36">+I16-Q16</f>
        <v>30745.736666666664</v>
      </c>
      <c r="Z16" s="368">
        <f t="shared" ref="Z16" si="37">+J16-R16</f>
        <v>101520.05769950012</v>
      </c>
      <c r="AA16" s="368">
        <f t="shared" ref="AA16" si="38">+K16-S16</f>
        <v>132265.79436616675</v>
      </c>
    </row>
    <row r="17" spans="1:27" x14ac:dyDescent="0.2">
      <c r="B17" s="333"/>
      <c r="C17" s="337"/>
      <c r="D17" s="337">
        <f t="shared" si="13"/>
        <v>13</v>
      </c>
      <c r="E17" s="442">
        <f t="shared" si="14"/>
        <v>1403036.3914089976</v>
      </c>
      <c r="F17" s="442">
        <f t="shared" si="15"/>
        <v>39635.78</v>
      </c>
      <c r="G17" s="368">
        <f t="shared" si="2"/>
        <v>-198398.69154925016</v>
      </c>
      <c r="H17" s="368">
        <f t="shared" si="16"/>
        <v>1244273.4798597475</v>
      </c>
      <c r="I17" s="442"/>
      <c r="J17" s="442"/>
      <c r="K17" s="442"/>
      <c r="M17" s="442">
        <f t="shared" si="17"/>
        <v>935357.5942726651</v>
      </c>
      <c r="N17" s="442">
        <f t="shared" si="18"/>
        <v>26423.853333333333</v>
      </c>
      <c r="O17" s="442">
        <f t="shared" si="19"/>
        <v>-132265.79436616678</v>
      </c>
      <c r="P17" s="442">
        <f t="shared" si="20"/>
        <v>829515.65323983168</v>
      </c>
      <c r="Q17" s="442"/>
      <c r="R17" s="442"/>
      <c r="S17" s="442"/>
      <c r="T17" s="445"/>
      <c r="U17" s="368">
        <f t="shared" si="6"/>
        <v>467678.79713633249</v>
      </c>
      <c r="V17" s="368">
        <f t="shared" si="7"/>
        <v>13211.926666666666</v>
      </c>
      <c r="W17" s="368">
        <f t="shared" si="8"/>
        <v>-66132.897183083376</v>
      </c>
      <c r="X17" s="368">
        <f t="shared" si="9"/>
        <v>414757.82661991578</v>
      </c>
    </row>
    <row r="18" spans="1:27" x14ac:dyDescent="0.2">
      <c r="B18" s="333"/>
      <c r="C18" s="337">
        <v>7</v>
      </c>
      <c r="D18" s="337">
        <f t="shared" si="13"/>
        <v>14</v>
      </c>
      <c r="E18" s="442">
        <f t="shared" si="14"/>
        <v>1244273.4798597475</v>
      </c>
      <c r="F18" s="442">
        <f t="shared" si="15"/>
        <v>35150.730000000003</v>
      </c>
      <c r="G18" s="368">
        <f t="shared" si="2"/>
        <v>-198398.69154925016</v>
      </c>
      <c r="H18" s="368">
        <f t="shared" si="16"/>
        <v>1081025.5183104973</v>
      </c>
      <c r="I18" s="442">
        <f>+F17+F18</f>
        <v>74786.510000000009</v>
      </c>
      <c r="J18" s="442">
        <f>-G17-G18-F17-F18</f>
        <v>322010.87309850031</v>
      </c>
      <c r="K18" s="442">
        <f>SUM(I18:J18)</f>
        <v>396797.38309850032</v>
      </c>
      <c r="M18" s="442">
        <f t="shared" si="17"/>
        <v>829515.65323983168</v>
      </c>
      <c r="N18" s="442">
        <f t="shared" si="18"/>
        <v>23433.820000000003</v>
      </c>
      <c r="O18" s="442">
        <f t="shared" si="19"/>
        <v>-132265.79436616678</v>
      </c>
      <c r="P18" s="442">
        <f t="shared" si="20"/>
        <v>720683.67887366482</v>
      </c>
      <c r="Q18" s="442">
        <f t="shared" si="21"/>
        <v>49857.67333333334</v>
      </c>
      <c r="R18" s="442">
        <f t="shared" si="22"/>
        <v>214673.91539900019</v>
      </c>
      <c r="S18" s="442">
        <f t="shared" si="23"/>
        <v>264531.58873233356</v>
      </c>
      <c r="T18" s="445"/>
      <c r="U18" s="368">
        <f t="shared" si="6"/>
        <v>414757.82661991578</v>
      </c>
      <c r="V18" s="368">
        <f t="shared" si="7"/>
        <v>11716.91</v>
      </c>
      <c r="W18" s="368">
        <f t="shared" si="8"/>
        <v>-66132.897183083376</v>
      </c>
      <c r="X18" s="368">
        <f t="shared" si="9"/>
        <v>360341.83943683247</v>
      </c>
      <c r="Y18" s="368">
        <f t="shared" ref="Y18" si="39">+I18-Q18</f>
        <v>24928.83666666667</v>
      </c>
      <c r="Z18" s="368">
        <f t="shared" ref="Z18" si="40">+J18-R18</f>
        <v>107336.95769950011</v>
      </c>
      <c r="AA18" s="368">
        <f t="shared" ref="AA18" si="41">+K18-S18</f>
        <v>132265.79436616675</v>
      </c>
    </row>
    <row r="19" spans="1:27" x14ac:dyDescent="0.2">
      <c r="B19" s="333"/>
      <c r="C19" s="337"/>
      <c r="D19" s="337">
        <f t="shared" si="13"/>
        <v>15</v>
      </c>
      <c r="E19" s="442">
        <f t="shared" si="14"/>
        <v>1081025.5183104973</v>
      </c>
      <c r="F19" s="442">
        <f t="shared" si="15"/>
        <v>30538.97</v>
      </c>
      <c r="G19" s="368">
        <f t="shared" si="2"/>
        <v>-198398.69154925016</v>
      </c>
      <c r="H19" s="368">
        <f t="shared" ref="H19:H24" si="42">SUM(E19:G19)</f>
        <v>913165.7967612471</v>
      </c>
      <c r="I19" s="442"/>
      <c r="J19" s="442"/>
      <c r="K19" s="442"/>
      <c r="M19" s="442">
        <f t="shared" si="17"/>
        <v>720683.67887366482</v>
      </c>
      <c r="N19" s="442">
        <f t="shared" si="18"/>
        <v>20359.313333333335</v>
      </c>
      <c r="O19" s="442">
        <f t="shared" si="19"/>
        <v>-132265.79436616678</v>
      </c>
      <c r="P19" s="442">
        <f t="shared" si="20"/>
        <v>608777.19784083136</v>
      </c>
      <c r="Q19" s="442"/>
      <c r="R19" s="442"/>
      <c r="S19" s="442"/>
      <c r="T19" s="445"/>
      <c r="U19" s="368">
        <f t="shared" si="6"/>
        <v>360341.83943683247</v>
      </c>
      <c r="V19" s="368">
        <f t="shared" si="7"/>
        <v>10179.656666666666</v>
      </c>
      <c r="W19" s="368">
        <f t="shared" si="8"/>
        <v>-66132.897183083376</v>
      </c>
      <c r="X19" s="368">
        <f t="shared" si="9"/>
        <v>304388.59892041574</v>
      </c>
    </row>
    <row r="20" spans="1:27" x14ac:dyDescent="0.2">
      <c r="B20" s="333"/>
      <c r="C20" s="337">
        <v>8</v>
      </c>
      <c r="D20" s="337">
        <f t="shared" si="13"/>
        <v>16</v>
      </c>
      <c r="E20" s="442">
        <f t="shared" si="14"/>
        <v>913165.7967612471</v>
      </c>
      <c r="F20" s="442">
        <f t="shared" si="15"/>
        <v>25796.93</v>
      </c>
      <c r="G20" s="368">
        <f t="shared" si="2"/>
        <v>-198398.69154925016</v>
      </c>
      <c r="H20" s="368">
        <f t="shared" si="42"/>
        <v>740564.03521199699</v>
      </c>
      <c r="I20" s="442">
        <f>+F19+F20</f>
        <v>56335.9</v>
      </c>
      <c r="J20" s="442">
        <f>-G19-G20-F19-F20</f>
        <v>340461.48309850035</v>
      </c>
      <c r="K20" s="442">
        <f>SUM(I20:J20)</f>
        <v>396797.38309850037</v>
      </c>
      <c r="M20" s="442">
        <f t="shared" si="17"/>
        <v>608777.19784083136</v>
      </c>
      <c r="N20" s="442">
        <f t="shared" si="18"/>
        <v>17197.953333333335</v>
      </c>
      <c r="O20" s="442">
        <f t="shared" si="19"/>
        <v>-132265.79436616678</v>
      </c>
      <c r="P20" s="442">
        <f t="shared" si="20"/>
        <v>493709.35680799797</v>
      </c>
      <c r="Q20" s="442">
        <f t="shared" si="21"/>
        <v>37557.26666666667</v>
      </c>
      <c r="R20" s="442">
        <f t="shared" si="22"/>
        <v>226974.3220656669</v>
      </c>
      <c r="S20" s="442">
        <f t="shared" si="23"/>
        <v>264531.58873233356</v>
      </c>
      <c r="T20" s="445"/>
      <c r="U20" s="368">
        <f t="shared" si="6"/>
        <v>304388.59892041574</v>
      </c>
      <c r="V20" s="368">
        <f t="shared" si="7"/>
        <v>8598.9766666666656</v>
      </c>
      <c r="W20" s="368">
        <f t="shared" si="8"/>
        <v>-66132.897183083376</v>
      </c>
      <c r="X20" s="368">
        <f t="shared" si="9"/>
        <v>246854.67840399902</v>
      </c>
      <c r="Y20" s="368">
        <f t="shared" ref="Y20" si="43">+I20-Q20</f>
        <v>18778.633333333331</v>
      </c>
      <c r="Z20" s="368">
        <f t="shared" ref="Z20" si="44">+J20-R20</f>
        <v>113487.16103283345</v>
      </c>
      <c r="AA20" s="368">
        <f t="shared" ref="AA20" si="45">+K20-S20</f>
        <v>132265.79436616681</v>
      </c>
    </row>
    <row r="21" spans="1:27" x14ac:dyDescent="0.2">
      <c r="B21" s="333"/>
      <c r="C21" s="337"/>
      <c r="D21" s="337">
        <f t="shared" si="13"/>
        <v>17</v>
      </c>
      <c r="E21" s="442">
        <f t="shared" si="14"/>
        <v>740564.03521199699</v>
      </c>
      <c r="F21" s="442">
        <f t="shared" si="15"/>
        <v>20920.93</v>
      </c>
      <c r="G21" s="368">
        <f t="shared" si="2"/>
        <v>-198398.69154925016</v>
      </c>
      <c r="H21" s="368">
        <f t="shared" si="42"/>
        <v>563086.27366274688</v>
      </c>
      <c r="I21" s="442"/>
      <c r="J21" s="442"/>
      <c r="K21" s="442"/>
      <c r="M21" s="442">
        <f t="shared" si="17"/>
        <v>493709.35680799797</v>
      </c>
      <c r="N21" s="442">
        <f t="shared" si="18"/>
        <v>13947.286666666667</v>
      </c>
      <c r="O21" s="442">
        <f t="shared" si="19"/>
        <v>-132265.79436616678</v>
      </c>
      <c r="P21" s="442">
        <f t="shared" si="20"/>
        <v>375390.8491084979</v>
      </c>
      <c r="Q21" s="442"/>
      <c r="R21" s="442"/>
      <c r="S21" s="442"/>
      <c r="T21" s="445"/>
      <c r="U21" s="368">
        <f t="shared" si="6"/>
        <v>246854.67840399902</v>
      </c>
      <c r="V21" s="368">
        <f t="shared" si="7"/>
        <v>6973.6433333333334</v>
      </c>
      <c r="W21" s="368">
        <f t="shared" si="8"/>
        <v>-66132.897183083376</v>
      </c>
      <c r="X21" s="368">
        <f t="shared" si="9"/>
        <v>187695.42455424898</v>
      </c>
    </row>
    <row r="22" spans="1:27" x14ac:dyDescent="0.2">
      <c r="B22" s="333"/>
      <c r="C22" s="337">
        <v>9</v>
      </c>
      <c r="D22" s="337">
        <f t="shared" si="13"/>
        <v>18</v>
      </c>
      <c r="E22" s="442">
        <f t="shared" si="14"/>
        <v>563086.27366274688</v>
      </c>
      <c r="F22" s="442">
        <f t="shared" si="15"/>
        <v>15907.19</v>
      </c>
      <c r="G22" s="368">
        <f t="shared" si="2"/>
        <v>-198398.69154925016</v>
      </c>
      <c r="H22" s="368">
        <f t="shared" si="42"/>
        <v>380594.77211349667</v>
      </c>
      <c r="I22" s="442">
        <f>+F21+F22</f>
        <v>36828.120000000003</v>
      </c>
      <c r="J22" s="442">
        <f>-G21-G22-F21-F22</f>
        <v>359969.26309850032</v>
      </c>
      <c r="K22" s="442">
        <f>SUM(I22:J22)</f>
        <v>396797.38309850032</v>
      </c>
      <c r="M22" s="442">
        <f t="shared" si="17"/>
        <v>375390.8491084979</v>
      </c>
      <c r="N22" s="442">
        <f t="shared" si="18"/>
        <v>10604.793333333333</v>
      </c>
      <c r="O22" s="442">
        <f t="shared" si="19"/>
        <v>-132265.79436616678</v>
      </c>
      <c r="P22" s="442">
        <f t="shared" si="20"/>
        <v>253729.84807566446</v>
      </c>
      <c r="Q22" s="442">
        <f t="shared" si="21"/>
        <v>24552.080000000002</v>
      </c>
      <c r="R22" s="442">
        <f t="shared" si="22"/>
        <v>239979.50873233355</v>
      </c>
      <c r="S22" s="442">
        <f t="shared" si="23"/>
        <v>264531.58873233356</v>
      </c>
      <c r="T22" s="445"/>
      <c r="U22" s="368">
        <f t="shared" si="6"/>
        <v>187695.42455424898</v>
      </c>
      <c r="V22" s="368">
        <f t="shared" si="7"/>
        <v>5302.3966666666674</v>
      </c>
      <c r="W22" s="368">
        <f t="shared" si="8"/>
        <v>-66132.897183083376</v>
      </c>
      <c r="X22" s="368">
        <f t="shared" si="9"/>
        <v>126864.92403783221</v>
      </c>
      <c r="Y22" s="368">
        <f t="shared" ref="Y22" si="46">+I22-Q22</f>
        <v>12276.04</v>
      </c>
      <c r="Z22" s="368">
        <f t="shared" ref="Z22" si="47">+J22-R22</f>
        <v>119989.75436616677</v>
      </c>
      <c r="AA22" s="368">
        <f t="shared" ref="AA22" si="48">+K22-S22</f>
        <v>132265.79436616675</v>
      </c>
    </row>
    <row r="23" spans="1:27" x14ac:dyDescent="0.2">
      <c r="B23" s="333"/>
      <c r="C23" s="337"/>
      <c r="D23" s="337">
        <f t="shared" si="13"/>
        <v>19</v>
      </c>
      <c r="E23" s="442">
        <f t="shared" si="14"/>
        <v>380594.77211349667</v>
      </c>
      <c r="F23" s="442">
        <f t="shared" si="15"/>
        <v>10751.8</v>
      </c>
      <c r="G23" s="368">
        <f t="shared" si="2"/>
        <v>-198398.69154925016</v>
      </c>
      <c r="H23" s="368">
        <f t="shared" si="42"/>
        <v>192947.8805642465</v>
      </c>
      <c r="I23" s="442"/>
      <c r="J23" s="442"/>
      <c r="K23" s="442"/>
      <c r="M23" s="442">
        <f t="shared" si="17"/>
        <v>253729.84807566446</v>
      </c>
      <c r="N23" s="442">
        <f t="shared" si="18"/>
        <v>7167.8666666666659</v>
      </c>
      <c r="O23" s="442">
        <f t="shared" si="19"/>
        <v>-132265.79436616678</v>
      </c>
      <c r="P23" s="442">
        <f t="shared" si="20"/>
        <v>128631.92037616433</v>
      </c>
      <c r="Q23" s="442"/>
      <c r="R23" s="442"/>
      <c r="S23" s="442"/>
      <c r="T23" s="445"/>
      <c r="U23" s="368">
        <f t="shared" si="6"/>
        <v>126864.92403783221</v>
      </c>
      <c r="V23" s="368">
        <f t="shared" si="7"/>
        <v>3583.9333333333334</v>
      </c>
      <c r="W23" s="368">
        <f t="shared" si="8"/>
        <v>-66132.897183083376</v>
      </c>
      <c r="X23" s="368">
        <f t="shared" si="9"/>
        <v>64315.960188082172</v>
      </c>
    </row>
    <row r="24" spans="1:27" x14ac:dyDescent="0.2">
      <c r="B24" s="333"/>
      <c r="C24" s="337">
        <v>10</v>
      </c>
      <c r="D24" s="337">
        <f t="shared" si="13"/>
        <v>20</v>
      </c>
      <c r="E24" s="442">
        <f t="shared" si="14"/>
        <v>192947.8805642465</v>
      </c>
      <c r="F24" s="442">
        <f t="shared" si="15"/>
        <v>5450.78</v>
      </c>
      <c r="G24" s="368">
        <f t="shared" si="2"/>
        <v>-198398.69154925016</v>
      </c>
      <c r="H24" s="368">
        <f t="shared" si="42"/>
        <v>-3.0985003657406196E-2</v>
      </c>
      <c r="I24" s="442">
        <f>+F23+F24</f>
        <v>16202.579999999998</v>
      </c>
      <c r="J24" s="442">
        <f>-G23-G24-F23-F24</f>
        <v>380594.8030985003</v>
      </c>
      <c r="K24" s="442">
        <f>SUM(I24:J24)</f>
        <v>396797.38309850032</v>
      </c>
      <c r="M24" s="442">
        <f t="shared" ref="M24" si="49">+E24/3*2</f>
        <v>128631.92037616433</v>
      </c>
      <c r="N24" s="442">
        <f t="shared" ref="N24" si="50">+F24/3*2</f>
        <v>3633.853333333333</v>
      </c>
      <c r="O24" s="442">
        <f t="shared" ref="O24" si="51">+G24/3*2</f>
        <v>-132265.79436616678</v>
      </c>
      <c r="P24" s="442">
        <f t="shared" ref="P24" si="52">+H24/3*2</f>
        <v>-2.0656669104937464E-2</v>
      </c>
      <c r="Q24" s="442">
        <f t="shared" ref="Q24" si="53">+I24/3*2</f>
        <v>10801.72</v>
      </c>
      <c r="R24" s="442">
        <f t="shared" ref="R24" si="54">+J24/3*2</f>
        <v>253729.86873233353</v>
      </c>
      <c r="S24" s="442">
        <f t="shared" ref="S24" si="55">+K24/3*2</f>
        <v>264531.58873233356</v>
      </c>
      <c r="T24" s="445"/>
      <c r="U24" s="368">
        <f t="shared" si="6"/>
        <v>64315.960188082172</v>
      </c>
      <c r="V24" s="368">
        <f t="shared" si="7"/>
        <v>1816.9266666666667</v>
      </c>
      <c r="W24" s="368">
        <f t="shared" si="8"/>
        <v>-66132.897183083376</v>
      </c>
      <c r="X24" s="368">
        <f t="shared" si="9"/>
        <v>-1.0328334552468732E-2</v>
      </c>
      <c r="Y24" s="368">
        <f t="shared" ref="Y24" si="56">+I24-Q24</f>
        <v>5400.8599999999988</v>
      </c>
      <c r="Z24" s="368">
        <f t="shared" ref="Z24" si="57">+J24-R24</f>
        <v>126864.93436616677</v>
      </c>
      <c r="AA24" s="368">
        <f t="shared" ref="AA24" si="58">+K24-S24</f>
        <v>132265.79436616675</v>
      </c>
    </row>
    <row r="25" spans="1:27" x14ac:dyDescent="0.2">
      <c r="B25" s="333"/>
      <c r="C25" s="337"/>
      <c r="D25" s="333"/>
      <c r="E25" s="442"/>
      <c r="F25" s="442"/>
      <c r="G25" s="368"/>
      <c r="H25" s="368"/>
      <c r="I25" s="442"/>
      <c r="J25" s="442"/>
      <c r="K25" s="442"/>
      <c r="T25" s="445"/>
    </row>
    <row r="26" spans="1:27" x14ac:dyDescent="0.2">
      <c r="B26" s="333"/>
      <c r="C26" s="337"/>
      <c r="D26" s="333"/>
      <c r="E26" s="442"/>
      <c r="F26" s="442">
        <f>SUM(F5:F25)</f>
        <v>967973.80000000016</v>
      </c>
      <c r="G26" s="442">
        <f>SUM(G5:G25)</f>
        <v>-3967973.8309850013</v>
      </c>
      <c r="H26" s="368"/>
      <c r="I26" s="442">
        <f>SUM(I5:I25)</f>
        <v>967973.79999999993</v>
      </c>
      <c r="J26" s="442">
        <f>SUM(J5:J25)</f>
        <v>3000000.0309850029</v>
      </c>
      <c r="K26" s="442">
        <f>SUM(K5:K25)</f>
        <v>3967973.8309850032</v>
      </c>
      <c r="Q26" s="442">
        <f>SUM(Q5:Q25)</f>
        <v>645315.8666666667</v>
      </c>
      <c r="R26" s="442">
        <f>SUM(R5:R25)</f>
        <v>2000000.020656669</v>
      </c>
      <c r="S26" s="442">
        <f>SUM(S5:S25)</f>
        <v>2645315.8873233353</v>
      </c>
      <c r="T26" s="445"/>
      <c r="Y26" s="442">
        <f>SUM(Y5:Y25)</f>
        <v>322657.93333333329</v>
      </c>
      <c r="Z26" s="442">
        <f>SUM(Z5:Z25)</f>
        <v>1000000.0103283345</v>
      </c>
      <c r="AA26" s="442">
        <f>SUM(AA5:AA25)</f>
        <v>1322657.9436616674</v>
      </c>
    </row>
    <row r="27" spans="1:27" x14ac:dyDescent="0.2">
      <c r="C27" s="333"/>
      <c r="D27" s="333"/>
      <c r="E27" s="333"/>
      <c r="F27" s="333"/>
      <c r="G27" s="333"/>
    </row>
    <row r="29" spans="1:27" ht="13.5" thickBot="1" x14ac:dyDescent="0.25"/>
    <row r="30" spans="1:27" s="341" customFormat="1" x14ac:dyDescent="0.2">
      <c r="A30" s="414"/>
      <c r="B30" s="415"/>
      <c r="C30" s="416" t="s">
        <v>8</v>
      </c>
      <c r="D30" s="416" t="s">
        <v>8</v>
      </c>
      <c r="E30" s="416" t="s">
        <v>8</v>
      </c>
      <c r="F30" s="416" t="s">
        <v>8</v>
      </c>
      <c r="G30" s="416" t="s">
        <v>8</v>
      </c>
      <c r="H30" s="416" t="s">
        <v>8</v>
      </c>
      <c r="I30" s="416" t="s">
        <v>8</v>
      </c>
      <c r="J30" s="416" t="s">
        <v>8</v>
      </c>
      <c r="K30" s="416" t="s">
        <v>8</v>
      </c>
      <c r="L30" s="416" t="s">
        <v>8</v>
      </c>
      <c r="M30" s="416" t="s">
        <v>8</v>
      </c>
      <c r="N30" s="417" t="s">
        <v>8</v>
      </c>
    </row>
    <row r="31" spans="1:27" s="341" customFormat="1" x14ac:dyDescent="0.2">
      <c r="A31" s="418"/>
      <c r="B31" s="419"/>
      <c r="C31" s="420" t="s">
        <v>24</v>
      </c>
      <c r="D31" s="420" t="s">
        <v>25</v>
      </c>
      <c r="E31" s="420" t="s">
        <v>26</v>
      </c>
      <c r="F31" s="420" t="s">
        <v>27</v>
      </c>
      <c r="G31" s="420" t="s">
        <v>28</v>
      </c>
      <c r="H31" s="420" t="s">
        <v>29</v>
      </c>
      <c r="I31" s="420" t="s">
        <v>30</v>
      </c>
      <c r="J31" s="420" t="s">
        <v>31</v>
      </c>
      <c r="K31" s="420" t="s">
        <v>32</v>
      </c>
      <c r="L31" s="420" t="s">
        <v>33</v>
      </c>
      <c r="M31" s="420" t="s">
        <v>1276</v>
      </c>
      <c r="N31" s="421" t="s">
        <v>1277</v>
      </c>
    </row>
    <row r="32" spans="1:27" x14ac:dyDescent="0.2">
      <c r="A32" s="405"/>
      <c r="B32" s="403"/>
      <c r="C32" s="403"/>
      <c r="D32" s="403"/>
      <c r="E32" s="409"/>
      <c r="F32" s="409"/>
      <c r="G32" s="409"/>
      <c r="H32" s="409"/>
      <c r="I32" s="409"/>
      <c r="J32" s="409"/>
      <c r="K32" s="409"/>
      <c r="L32" s="409"/>
      <c r="M32" s="409"/>
      <c r="N32" s="410"/>
    </row>
    <row r="33" spans="1:17" s="340" customFormat="1" x14ac:dyDescent="0.2">
      <c r="A33" s="401" t="s">
        <v>1273</v>
      </c>
      <c r="B33" s="402"/>
      <c r="C33" s="402">
        <f>+General!AI39</f>
        <v>2354000</v>
      </c>
      <c r="D33" s="402">
        <f>+General!AK39</f>
        <v>2408142</v>
      </c>
      <c r="E33" s="402">
        <f>+General!AM39</f>
        <v>2487610.6859999998</v>
      </c>
      <c r="F33" s="402">
        <f>+General!AO39</f>
        <v>2569701.8386379997</v>
      </c>
      <c r="G33" s="402">
        <f>+General!AQ39</f>
        <v>2654501.9993130537</v>
      </c>
      <c r="H33" s="402">
        <f>+General!AS39</f>
        <v>2742100.5652903845</v>
      </c>
      <c r="I33" s="402">
        <f>+General!AU39</f>
        <v>2832589.8839449668</v>
      </c>
      <c r="J33" s="402">
        <f>+General!AW39</f>
        <v>2926065.3501151507</v>
      </c>
      <c r="K33" s="402">
        <f>+General!AY39</f>
        <v>3022625.5066689504</v>
      </c>
      <c r="L33" s="402">
        <f>+General!BA39</f>
        <v>3122372.1483890256</v>
      </c>
      <c r="M33" s="402">
        <f t="shared" ref="M33:N33" si="59">+L33*1.033</f>
        <v>3225410.4292858629</v>
      </c>
      <c r="N33" s="404">
        <f t="shared" si="59"/>
        <v>3331848.9734522961</v>
      </c>
    </row>
    <row r="34" spans="1:17" s="340" customFormat="1" x14ac:dyDescent="0.2">
      <c r="A34" s="401"/>
      <c r="B34" s="402"/>
      <c r="C34" s="402"/>
      <c r="D34" s="402"/>
      <c r="E34" s="402"/>
      <c r="F34" s="402"/>
      <c r="G34" s="402"/>
      <c r="H34" s="402"/>
      <c r="I34" s="402"/>
      <c r="J34" s="402"/>
      <c r="K34" s="402"/>
      <c r="L34" s="402"/>
      <c r="M34" s="402"/>
      <c r="N34" s="404"/>
    </row>
    <row r="35" spans="1:17" s="343" customFormat="1" outlineLevel="1" x14ac:dyDescent="0.2">
      <c r="A35" s="422" t="s">
        <v>1282</v>
      </c>
      <c r="B35" s="423"/>
      <c r="C35" s="424" t="s">
        <v>9</v>
      </c>
      <c r="D35" s="424" t="s">
        <v>8</v>
      </c>
      <c r="E35" s="424" t="s">
        <v>8</v>
      </c>
      <c r="F35" s="424" t="s">
        <v>8</v>
      </c>
      <c r="G35" s="424" t="s">
        <v>8</v>
      </c>
      <c r="H35" s="424" t="s">
        <v>8</v>
      </c>
      <c r="I35" s="424" t="s">
        <v>8</v>
      </c>
      <c r="J35" s="424" t="s">
        <v>8</v>
      </c>
      <c r="K35" s="424" t="s">
        <v>8</v>
      </c>
      <c r="L35" s="424" t="s">
        <v>8</v>
      </c>
      <c r="M35" s="424" t="s">
        <v>8</v>
      </c>
      <c r="N35" s="425" t="s">
        <v>8</v>
      </c>
    </row>
    <row r="36" spans="1:17" s="340" customFormat="1" outlineLevel="1" x14ac:dyDescent="0.2">
      <c r="A36" s="401" t="s">
        <v>1279</v>
      </c>
      <c r="B36" s="402"/>
      <c r="C36" s="402">
        <v>1866614.56</v>
      </c>
      <c r="D36" s="402">
        <f>+C36*1.16</f>
        <v>2165272.8895999999</v>
      </c>
      <c r="E36" s="402">
        <f>+D36*1.033</f>
        <v>2236726.8949567997</v>
      </c>
      <c r="F36" s="402">
        <f t="shared" ref="F36:N36" si="60">+E36*1.033</f>
        <v>2310538.8824903737</v>
      </c>
      <c r="G36" s="402">
        <f t="shared" si="60"/>
        <v>2386786.665612556</v>
      </c>
      <c r="H36" s="402">
        <f t="shared" si="60"/>
        <v>2465550.6255777702</v>
      </c>
      <c r="I36" s="402">
        <f t="shared" si="60"/>
        <v>2546913.7962218365</v>
      </c>
      <c r="J36" s="402">
        <f t="shared" si="60"/>
        <v>2630961.9514971566</v>
      </c>
      <c r="K36" s="402">
        <f t="shared" si="60"/>
        <v>2717783.6958965627</v>
      </c>
      <c r="L36" s="402">
        <f t="shared" si="60"/>
        <v>2807470.5578611488</v>
      </c>
      <c r="M36" s="402">
        <f t="shared" si="60"/>
        <v>2900117.0862705666</v>
      </c>
      <c r="N36" s="404">
        <f t="shared" si="60"/>
        <v>2995820.9501174949</v>
      </c>
    </row>
    <row r="37" spans="1:17" s="340" customFormat="1" outlineLevel="1" x14ac:dyDescent="0.2">
      <c r="A37" s="401" t="s">
        <v>1280</v>
      </c>
      <c r="B37" s="402"/>
      <c r="C37" s="402">
        <v>415333.59</v>
      </c>
      <c r="D37" s="402">
        <f>+C37*1.16</f>
        <v>481786.9644</v>
      </c>
      <c r="E37" s="402">
        <f>+D37*1.033</f>
        <v>497685.93422519998</v>
      </c>
      <c r="F37" s="402">
        <f t="shared" ref="F37:N37" si="61">+E37*1.033</f>
        <v>514109.57005463156</v>
      </c>
      <c r="G37" s="402">
        <f t="shared" si="61"/>
        <v>531075.18586643436</v>
      </c>
      <c r="H37" s="402">
        <f t="shared" si="61"/>
        <v>548600.66700002667</v>
      </c>
      <c r="I37" s="402">
        <f t="shared" si="61"/>
        <v>566704.4890110275</v>
      </c>
      <c r="J37" s="402">
        <f t="shared" si="61"/>
        <v>585405.73714839132</v>
      </c>
      <c r="K37" s="402">
        <f t="shared" si="61"/>
        <v>604724.12647428818</v>
      </c>
      <c r="L37" s="402">
        <f t="shared" si="61"/>
        <v>624680.02264793962</v>
      </c>
      <c r="M37" s="402">
        <f t="shared" si="61"/>
        <v>645294.46339532163</v>
      </c>
      <c r="N37" s="404">
        <f t="shared" si="61"/>
        <v>666589.18068736722</v>
      </c>
    </row>
    <row r="38" spans="1:17" s="340" customFormat="1" outlineLevel="1" x14ac:dyDescent="0.2">
      <c r="A38" s="401" t="s">
        <v>1281</v>
      </c>
      <c r="B38" s="402"/>
      <c r="C38" s="402">
        <v>113885.95</v>
      </c>
      <c r="D38" s="402">
        <f>+C38*1.16</f>
        <v>132107.70199999999</v>
      </c>
      <c r="E38" s="402">
        <f>+D38*1.033</f>
        <v>136467.25616599998</v>
      </c>
      <c r="F38" s="402">
        <f t="shared" ref="F38:N38" si="62">+E38*1.033</f>
        <v>140970.67561947796</v>
      </c>
      <c r="G38" s="402">
        <f t="shared" si="62"/>
        <v>145622.70791492073</v>
      </c>
      <c r="H38" s="402">
        <f t="shared" si="62"/>
        <v>150428.25727611309</v>
      </c>
      <c r="I38" s="402">
        <f t="shared" si="62"/>
        <v>155392.38976622481</v>
      </c>
      <c r="J38" s="402">
        <f t="shared" si="62"/>
        <v>160520.33862851022</v>
      </c>
      <c r="K38" s="402">
        <f t="shared" si="62"/>
        <v>165817.50980325104</v>
      </c>
      <c r="L38" s="402">
        <f t="shared" si="62"/>
        <v>171289.48762675832</v>
      </c>
      <c r="M38" s="402">
        <f t="shared" si="62"/>
        <v>176942.04071844133</v>
      </c>
      <c r="N38" s="404">
        <f t="shared" si="62"/>
        <v>182781.12806214989</v>
      </c>
    </row>
    <row r="39" spans="1:17" s="343" customFormat="1" outlineLevel="1" x14ac:dyDescent="0.2">
      <c r="A39" s="422" t="s">
        <v>1283</v>
      </c>
      <c r="B39" s="423"/>
      <c r="C39" s="423">
        <f>SUM(C36:C38)</f>
        <v>2395834.1</v>
      </c>
      <c r="D39" s="423">
        <f t="shared" ref="D39:N39" si="63">SUM(D36:D38)</f>
        <v>2779167.5559999999</v>
      </c>
      <c r="E39" s="423">
        <f t="shared" si="63"/>
        <v>2870880.0853479998</v>
      </c>
      <c r="F39" s="423">
        <f t="shared" si="63"/>
        <v>2965619.1281644832</v>
      </c>
      <c r="G39" s="423">
        <f t="shared" si="63"/>
        <v>3063484.5593939107</v>
      </c>
      <c r="H39" s="423">
        <f t="shared" si="63"/>
        <v>3164579.5498539098</v>
      </c>
      <c r="I39" s="423">
        <f t="shared" si="63"/>
        <v>3269010.6749990885</v>
      </c>
      <c r="J39" s="423">
        <f t="shared" si="63"/>
        <v>3376888.0272740582</v>
      </c>
      <c r="K39" s="423">
        <f t="shared" si="63"/>
        <v>3488325.3321741018</v>
      </c>
      <c r="L39" s="423">
        <f t="shared" si="63"/>
        <v>3603440.0681358469</v>
      </c>
      <c r="M39" s="423">
        <f t="shared" si="63"/>
        <v>3722353.5903843297</v>
      </c>
      <c r="N39" s="426">
        <f t="shared" si="63"/>
        <v>3845191.2588670119</v>
      </c>
    </row>
    <row r="40" spans="1:17" s="344" customFormat="1" outlineLevel="1" x14ac:dyDescent="0.2">
      <c r="A40" s="427" t="s">
        <v>1340</v>
      </c>
      <c r="B40" s="428"/>
      <c r="C40" s="428">
        <f>+C33-C39</f>
        <v>-41834.100000000093</v>
      </c>
      <c r="D40" s="428">
        <f t="shared" ref="D40:N40" si="64">+D33-D39</f>
        <v>-371025.55599999987</v>
      </c>
      <c r="E40" s="428">
        <f t="shared" si="64"/>
        <v>-383269.39934800006</v>
      </c>
      <c r="F40" s="428">
        <f t="shared" si="64"/>
        <v>-395917.28952648351</v>
      </c>
      <c r="G40" s="428">
        <f t="shared" si="64"/>
        <v>-408982.56008085702</v>
      </c>
      <c r="H40" s="428">
        <f t="shared" si="64"/>
        <v>-422478.9845635253</v>
      </c>
      <c r="I40" s="428">
        <f t="shared" si="64"/>
        <v>-436420.79105412168</v>
      </c>
      <c r="J40" s="428">
        <f t="shared" si="64"/>
        <v>-450822.67715890752</v>
      </c>
      <c r="K40" s="428">
        <f t="shared" si="64"/>
        <v>-465699.82550515141</v>
      </c>
      <c r="L40" s="428">
        <f t="shared" si="64"/>
        <v>-481067.91974682128</v>
      </c>
      <c r="M40" s="428">
        <f t="shared" si="64"/>
        <v>-496943.16109846672</v>
      </c>
      <c r="N40" s="429">
        <f t="shared" si="64"/>
        <v>-513342.28541471576</v>
      </c>
    </row>
    <row r="41" spans="1:17" s="340" customFormat="1" ht="13.5" thickBot="1" x14ac:dyDescent="0.25">
      <c r="A41" s="401"/>
      <c r="B41" s="402"/>
      <c r="C41" s="402"/>
      <c r="D41" s="402"/>
      <c r="E41" s="402"/>
      <c r="F41" s="402"/>
      <c r="G41" s="402"/>
      <c r="H41" s="402"/>
      <c r="I41" s="402"/>
      <c r="J41" s="402"/>
      <c r="K41" s="402"/>
      <c r="L41" s="402"/>
      <c r="M41" s="402"/>
      <c r="N41" s="404"/>
    </row>
    <row r="42" spans="1:17" x14ac:dyDescent="0.2">
      <c r="A42" s="438" t="s">
        <v>1274</v>
      </c>
      <c r="B42" s="439">
        <v>0.112</v>
      </c>
      <c r="C42" s="433"/>
      <c r="D42" s="433">
        <f>+D33*$B$42</f>
        <v>269711.90399999998</v>
      </c>
      <c r="E42" s="433">
        <f>+E33*$B$42</f>
        <v>278612.396832</v>
      </c>
      <c r="F42" s="433">
        <f t="shared" ref="F42:N42" si="65">+F33*$B$42</f>
        <v>287806.605927456</v>
      </c>
      <c r="G42" s="433">
        <f t="shared" si="65"/>
        <v>297304.22392306203</v>
      </c>
      <c r="H42" s="433">
        <f t="shared" si="65"/>
        <v>307115.26331252308</v>
      </c>
      <c r="I42" s="433">
        <f t="shared" si="65"/>
        <v>317250.06700183632</v>
      </c>
      <c r="J42" s="433">
        <f t="shared" si="65"/>
        <v>327719.31921289687</v>
      </c>
      <c r="K42" s="433">
        <f t="shared" si="65"/>
        <v>338534.05674692243</v>
      </c>
      <c r="L42" s="433">
        <f t="shared" si="65"/>
        <v>349705.68061957089</v>
      </c>
      <c r="M42" s="433">
        <f t="shared" si="65"/>
        <v>361245.96808001667</v>
      </c>
      <c r="N42" s="440">
        <f t="shared" si="65"/>
        <v>373167.08502665715</v>
      </c>
      <c r="O42" s="436">
        <f>SUM(C42:N42)</f>
        <v>3508172.5706829415</v>
      </c>
      <c r="P42" s="437"/>
      <c r="Q42" s="434" t="s">
        <v>1342</v>
      </c>
    </row>
    <row r="43" spans="1:17" x14ac:dyDescent="0.2">
      <c r="A43" s="405"/>
      <c r="B43" s="403"/>
      <c r="C43" s="403"/>
      <c r="D43" s="403"/>
      <c r="E43" s="403"/>
      <c r="F43" s="403"/>
      <c r="G43" s="403"/>
      <c r="H43" s="403"/>
      <c r="I43" s="403"/>
      <c r="J43" s="403"/>
      <c r="K43" s="403"/>
      <c r="L43" s="403"/>
      <c r="M43" s="403"/>
      <c r="N43" s="430"/>
      <c r="O43" s="405"/>
      <c r="P43" s="403"/>
      <c r="Q43" s="430"/>
    </row>
    <row r="44" spans="1:17" x14ac:dyDescent="0.2">
      <c r="A44" s="405" t="s">
        <v>1275</v>
      </c>
      <c r="B44" s="403"/>
      <c r="C44" s="403"/>
      <c r="D44" s="402">
        <f>+B7</f>
        <v>198398.69154925016</v>
      </c>
      <c r="E44" s="402">
        <f t="shared" ref="E44:M44" si="66">+$B$7*2</f>
        <v>396797.38309850032</v>
      </c>
      <c r="F44" s="402">
        <f t="shared" si="66"/>
        <v>396797.38309850032</v>
      </c>
      <c r="G44" s="402">
        <f t="shared" si="66"/>
        <v>396797.38309850032</v>
      </c>
      <c r="H44" s="402">
        <f t="shared" si="66"/>
        <v>396797.38309850032</v>
      </c>
      <c r="I44" s="402">
        <f t="shared" si="66"/>
        <v>396797.38309850032</v>
      </c>
      <c r="J44" s="402">
        <f t="shared" si="66"/>
        <v>396797.38309850032</v>
      </c>
      <c r="K44" s="402">
        <f t="shared" si="66"/>
        <v>396797.38309850032</v>
      </c>
      <c r="L44" s="402">
        <f t="shared" si="66"/>
        <v>396797.38309850032</v>
      </c>
      <c r="M44" s="402">
        <f t="shared" si="66"/>
        <v>396797.38309850032</v>
      </c>
      <c r="N44" s="404">
        <f>+B7</f>
        <v>198398.69154925016</v>
      </c>
      <c r="O44" s="401">
        <f>SUM(D44:N44)</f>
        <v>3967973.8309850032</v>
      </c>
      <c r="P44" s="402">
        <f>+O44+G26</f>
        <v>0</v>
      </c>
      <c r="Q44" s="430" t="s">
        <v>1357</v>
      </c>
    </row>
    <row r="45" spans="1:17" ht="13.5" thickBot="1" x14ac:dyDescent="0.25">
      <c r="A45" s="411" t="s">
        <v>1242</v>
      </c>
      <c r="B45" s="412"/>
      <c r="C45" s="412"/>
      <c r="D45" s="431">
        <f>+D42-D44</f>
        <v>71313.212450749823</v>
      </c>
      <c r="E45" s="431">
        <f t="shared" ref="E45:M45" si="67">+E42-E44</f>
        <v>-118184.98626650032</v>
      </c>
      <c r="F45" s="431">
        <f t="shared" si="67"/>
        <v>-108990.77717104432</v>
      </c>
      <c r="G45" s="431">
        <f t="shared" si="67"/>
        <v>-99493.159175438283</v>
      </c>
      <c r="H45" s="431">
        <f t="shared" si="67"/>
        <v>-89682.119785977236</v>
      </c>
      <c r="I45" s="431">
        <f t="shared" si="67"/>
        <v>-79547.316096663999</v>
      </c>
      <c r="J45" s="431">
        <f t="shared" si="67"/>
        <v>-69078.063885603449</v>
      </c>
      <c r="K45" s="431">
        <f t="shared" si="67"/>
        <v>-58263.326351577882</v>
      </c>
      <c r="L45" s="431">
        <f t="shared" si="67"/>
        <v>-47091.702478929423</v>
      </c>
      <c r="M45" s="431">
        <f t="shared" si="67"/>
        <v>-35551.415018483647</v>
      </c>
      <c r="N45" s="432">
        <f>+N42-N44</f>
        <v>174768.39347740699</v>
      </c>
      <c r="O45" s="435">
        <f>SUM(D45:N45)</f>
        <v>-459801.26030206174</v>
      </c>
      <c r="P45" s="412"/>
      <c r="Q45" s="413" t="s">
        <v>1358</v>
      </c>
    </row>
    <row r="46" spans="1:17" x14ac:dyDescent="0.2">
      <c r="E46" s="340"/>
      <c r="F46" s="340"/>
      <c r="G46" s="340"/>
      <c r="H46" s="340"/>
      <c r="I46" s="340"/>
      <c r="J46" s="340"/>
      <c r="K46" s="340"/>
      <c r="L46" s="340"/>
      <c r="M46" s="340"/>
      <c r="N46" s="340"/>
      <c r="O46" s="340"/>
    </row>
    <row r="47" spans="1:17" x14ac:dyDescent="0.2">
      <c r="E47" s="340"/>
      <c r="F47" s="340"/>
      <c r="G47" s="340"/>
      <c r="H47" s="340"/>
      <c r="I47" s="340"/>
      <c r="J47" s="340"/>
      <c r="K47" s="340"/>
      <c r="L47" s="340"/>
      <c r="M47" s="340"/>
      <c r="N47" s="340"/>
      <c r="O47" s="340"/>
    </row>
    <row r="48" spans="1:17" x14ac:dyDescent="0.2">
      <c r="E48" s="340"/>
      <c r="F48" s="340"/>
      <c r="G48" s="340"/>
      <c r="H48" s="340"/>
      <c r="I48" s="340"/>
      <c r="J48" s="340"/>
      <c r="K48" s="340"/>
      <c r="L48" s="340"/>
      <c r="M48" s="340"/>
      <c r="N48" s="340"/>
      <c r="O48" s="340"/>
    </row>
    <row r="49" spans="1:15" ht="13.5" thickBot="1" x14ac:dyDescent="0.25">
      <c r="E49" s="340"/>
      <c r="F49" s="340"/>
      <c r="G49" s="340"/>
      <c r="H49" s="340"/>
      <c r="I49" s="340"/>
      <c r="J49" s="340"/>
      <c r="K49" s="340"/>
      <c r="L49" s="340"/>
      <c r="M49" s="340"/>
      <c r="N49" s="340"/>
      <c r="O49" s="340"/>
    </row>
    <row r="50" spans="1:15" ht="25.5" x14ac:dyDescent="0.2">
      <c r="A50" s="398" t="s">
        <v>1285</v>
      </c>
      <c r="B50" s="399" t="s">
        <v>1286</v>
      </c>
      <c r="C50" s="399" t="s">
        <v>1300</v>
      </c>
      <c r="D50" s="399" t="s">
        <v>1300</v>
      </c>
      <c r="E50" s="399" t="s">
        <v>1300</v>
      </c>
      <c r="F50" s="399" t="s">
        <v>1300</v>
      </c>
      <c r="G50" s="399" t="s">
        <v>1300</v>
      </c>
      <c r="H50" s="399" t="s">
        <v>1300</v>
      </c>
      <c r="I50" s="399" t="s">
        <v>1300</v>
      </c>
      <c r="J50" s="399" t="s">
        <v>1300</v>
      </c>
      <c r="K50" s="399" t="s">
        <v>1300</v>
      </c>
      <c r="L50" s="399" t="s">
        <v>1300</v>
      </c>
      <c r="M50" s="399" t="s">
        <v>1300</v>
      </c>
      <c r="N50" s="400" t="s">
        <v>1300</v>
      </c>
      <c r="O50" s="340"/>
    </row>
    <row r="51" spans="1:15" x14ac:dyDescent="0.2">
      <c r="A51" s="401" t="s">
        <v>1279</v>
      </c>
      <c r="B51" s="403">
        <v>935</v>
      </c>
      <c r="C51" s="402">
        <f t="shared" ref="C51:N51" si="68">+C36/$B$51</f>
        <v>1996.3792085561497</v>
      </c>
      <c r="D51" s="402">
        <f t="shared" si="68"/>
        <v>2315.7998819251334</v>
      </c>
      <c r="E51" s="402">
        <f t="shared" si="68"/>
        <v>2392.2212780286627</v>
      </c>
      <c r="F51" s="402">
        <f t="shared" si="68"/>
        <v>2471.1645802036082</v>
      </c>
      <c r="G51" s="402">
        <f t="shared" si="68"/>
        <v>2552.7130113503272</v>
      </c>
      <c r="H51" s="402">
        <f t="shared" si="68"/>
        <v>2636.952540724888</v>
      </c>
      <c r="I51" s="402">
        <f t="shared" si="68"/>
        <v>2723.9719745688089</v>
      </c>
      <c r="J51" s="402">
        <f t="shared" si="68"/>
        <v>2813.8630497295794</v>
      </c>
      <c r="K51" s="402">
        <f t="shared" si="68"/>
        <v>2906.7205303706551</v>
      </c>
      <c r="L51" s="402">
        <f t="shared" si="68"/>
        <v>3002.6423078728862</v>
      </c>
      <c r="M51" s="402">
        <f t="shared" si="68"/>
        <v>3101.7295040326917</v>
      </c>
      <c r="N51" s="404">
        <f t="shared" si="68"/>
        <v>3204.0865776657702</v>
      </c>
      <c r="O51" s="340"/>
    </row>
    <row r="52" spans="1:15" x14ac:dyDescent="0.2">
      <c r="A52" s="401" t="s">
        <v>1280</v>
      </c>
      <c r="B52" s="403">
        <v>1438</v>
      </c>
      <c r="C52" s="402">
        <f t="shared" ref="C52:N52" si="69">+C37/$B$52</f>
        <v>288.82725312934633</v>
      </c>
      <c r="D52" s="402">
        <f t="shared" si="69"/>
        <v>335.03961363004174</v>
      </c>
      <c r="E52" s="402">
        <f t="shared" si="69"/>
        <v>346.0959208798331</v>
      </c>
      <c r="F52" s="402">
        <f t="shared" si="69"/>
        <v>357.51708626886756</v>
      </c>
      <c r="G52" s="402">
        <f t="shared" si="69"/>
        <v>369.31515011574015</v>
      </c>
      <c r="H52" s="402">
        <f t="shared" si="69"/>
        <v>381.50255006955956</v>
      </c>
      <c r="I52" s="402">
        <f t="shared" si="69"/>
        <v>394.09213422185502</v>
      </c>
      <c r="J52" s="402">
        <f t="shared" si="69"/>
        <v>407.09717465117615</v>
      </c>
      <c r="K52" s="402">
        <f t="shared" si="69"/>
        <v>420.53138141466491</v>
      </c>
      <c r="L52" s="402">
        <f t="shared" si="69"/>
        <v>434.40891700134881</v>
      </c>
      <c r="M52" s="402">
        <f t="shared" si="69"/>
        <v>448.74441126239333</v>
      </c>
      <c r="N52" s="404">
        <f t="shared" si="69"/>
        <v>463.55297683405229</v>
      </c>
      <c r="O52" s="340"/>
    </row>
    <row r="53" spans="1:15" x14ac:dyDescent="0.2">
      <c r="A53" s="401" t="s">
        <v>1281</v>
      </c>
      <c r="B53" s="403">
        <v>168</v>
      </c>
      <c r="C53" s="402">
        <f t="shared" ref="C53:N53" si="70">+C38/$B$53</f>
        <v>677.8925595238095</v>
      </c>
      <c r="D53" s="402">
        <f t="shared" si="70"/>
        <v>786.35536904761898</v>
      </c>
      <c r="E53" s="402">
        <f t="shared" si="70"/>
        <v>812.30509622619036</v>
      </c>
      <c r="F53" s="402">
        <f t="shared" si="70"/>
        <v>839.11116440165449</v>
      </c>
      <c r="G53" s="402">
        <f t="shared" si="70"/>
        <v>866.80183282690905</v>
      </c>
      <c r="H53" s="402">
        <f t="shared" si="70"/>
        <v>895.40629331019693</v>
      </c>
      <c r="I53" s="402">
        <f t="shared" si="70"/>
        <v>924.95470098943338</v>
      </c>
      <c r="J53" s="402">
        <f t="shared" si="70"/>
        <v>955.47820612208466</v>
      </c>
      <c r="K53" s="402">
        <f t="shared" si="70"/>
        <v>987.0089869241134</v>
      </c>
      <c r="L53" s="402">
        <f t="shared" si="70"/>
        <v>1019.5802834926091</v>
      </c>
      <c r="M53" s="402">
        <f t="shared" si="70"/>
        <v>1053.226432847865</v>
      </c>
      <c r="N53" s="404">
        <f t="shared" si="70"/>
        <v>1087.9829051318445</v>
      </c>
      <c r="O53" s="340"/>
    </row>
    <row r="54" spans="1:15" x14ac:dyDescent="0.2">
      <c r="A54" s="405"/>
      <c r="B54" s="403"/>
      <c r="C54" s="403"/>
      <c r="D54" s="403"/>
      <c r="E54" s="402"/>
      <c r="F54" s="402"/>
      <c r="G54" s="402"/>
      <c r="H54" s="402"/>
      <c r="I54" s="402"/>
      <c r="J54" s="402"/>
      <c r="K54" s="402"/>
      <c r="L54" s="402"/>
      <c r="M54" s="402"/>
      <c r="N54" s="404"/>
      <c r="O54" s="340"/>
    </row>
    <row r="55" spans="1:15" ht="38.25" x14ac:dyDescent="0.2">
      <c r="A55" s="406" t="s">
        <v>1285</v>
      </c>
      <c r="B55" s="407" t="s">
        <v>1286</v>
      </c>
      <c r="C55" s="407" t="s">
        <v>1339</v>
      </c>
      <c r="D55" s="407" t="s">
        <v>1339</v>
      </c>
      <c r="E55" s="407" t="s">
        <v>1339</v>
      </c>
      <c r="F55" s="407" t="s">
        <v>1339</v>
      </c>
      <c r="G55" s="407" t="s">
        <v>1339</v>
      </c>
      <c r="H55" s="407" t="s">
        <v>1339</v>
      </c>
      <c r="I55" s="407" t="s">
        <v>1339</v>
      </c>
      <c r="J55" s="407" t="s">
        <v>1339</v>
      </c>
      <c r="K55" s="407" t="s">
        <v>1339</v>
      </c>
      <c r="L55" s="407" t="s">
        <v>1339</v>
      </c>
      <c r="M55" s="407" t="s">
        <v>1339</v>
      </c>
      <c r="N55" s="408" t="s">
        <v>1339</v>
      </c>
      <c r="O55" s="340"/>
    </row>
    <row r="56" spans="1:15" x14ac:dyDescent="0.2">
      <c r="A56" s="401" t="s">
        <v>1279</v>
      </c>
      <c r="B56" s="403">
        <v>935</v>
      </c>
      <c r="C56" s="402"/>
      <c r="D56" s="402">
        <f>+D51*$B$42</f>
        <v>259.36958677561495</v>
      </c>
      <c r="E56" s="402">
        <f t="shared" ref="E56:N56" si="71">+E51*$B$42</f>
        <v>267.92878313921022</v>
      </c>
      <c r="F56" s="402">
        <f t="shared" si="71"/>
        <v>276.77043298280415</v>
      </c>
      <c r="G56" s="402">
        <f t="shared" si="71"/>
        <v>285.90385727123663</v>
      </c>
      <c r="H56" s="402">
        <f t="shared" si="71"/>
        <v>295.33868456118745</v>
      </c>
      <c r="I56" s="402">
        <f t="shared" si="71"/>
        <v>305.0848611517066</v>
      </c>
      <c r="J56" s="402">
        <f t="shared" si="71"/>
        <v>315.1526615697129</v>
      </c>
      <c r="K56" s="402">
        <f t="shared" si="71"/>
        <v>325.55269940151339</v>
      </c>
      <c r="L56" s="402">
        <f t="shared" si="71"/>
        <v>336.29593848176324</v>
      </c>
      <c r="M56" s="402">
        <f t="shared" si="71"/>
        <v>347.39370445166145</v>
      </c>
      <c r="N56" s="404">
        <f t="shared" si="71"/>
        <v>358.85769669856626</v>
      </c>
      <c r="O56" s="340"/>
    </row>
    <row r="57" spans="1:15" x14ac:dyDescent="0.2">
      <c r="A57" s="401" t="s">
        <v>1280</v>
      </c>
      <c r="B57" s="403">
        <v>1438</v>
      </c>
      <c r="C57" s="402"/>
      <c r="D57" s="402">
        <f t="shared" ref="D57:D58" si="72">+D52*$B$42</f>
        <v>37.524436726564673</v>
      </c>
      <c r="E57" s="402">
        <f t="shared" ref="E57:N57" si="73">+E52*$B$42</f>
        <v>38.76274313854131</v>
      </c>
      <c r="F57" s="402">
        <f t="shared" si="73"/>
        <v>40.041913662113167</v>
      </c>
      <c r="G57" s="402">
        <f t="shared" si="73"/>
        <v>41.363296812962901</v>
      </c>
      <c r="H57" s="402">
        <f t="shared" si="73"/>
        <v>42.728285607790674</v>
      </c>
      <c r="I57" s="402">
        <f t="shared" si="73"/>
        <v>44.138319032847761</v>
      </c>
      <c r="J57" s="402">
        <f t="shared" si="73"/>
        <v>45.594883560931727</v>
      </c>
      <c r="K57" s="402">
        <f t="shared" si="73"/>
        <v>47.099514718442471</v>
      </c>
      <c r="L57" s="402">
        <f t="shared" si="73"/>
        <v>48.653798704151065</v>
      </c>
      <c r="M57" s="402">
        <f t="shared" si="73"/>
        <v>50.259374061388051</v>
      </c>
      <c r="N57" s="404">
        <f t="shared" si="73"/>
        <v>51.917933405413855</v>
      </c>
      <c r="O57" s="340"/>
    </row>
    <row r="58" spans="1:15" x14ac:dyDescent="0.2">
      <c r="A58" s="401" t="s">
        <v>1281</v>
      </c>
      <c r="B58" s="403">
        <v>168</v>
      </c>
      <c r="C58" s="402"/>
      <c r="D58" s="402">
        <f t="shared" si="72"/>
        <v>88.071801333333326</v>
      </c>
      <c r="E58" s="402">
        <f t="shared" ref="E58:N58" si="74">+E53*$B$42</f>
        <v>90.978170777333318</v>
      </c>
      <c r="F58" s="402">
        <f t="shared" si="74"/>
        <v>93.980450412985306</v>
      </c>
      <c r="G58" s="402">
        <f t="shared" si="74"/>
        <v>97.081805276613821</v>
      </c>
      <c r="H58" s="402">
        <f t="shared" si="74"/>
        <v>100.28550485074206</v>
      </c>
      <c r="I58" s="402">
        <f t="shared" si="74"/>
        <v>103.59492651081653</v>
      </c>
      <c r="J58" s="402">
        <f t="shared" si="74"/>
        <v>107.01355908567348</v>
      </c>
      <c r="K58" s="402">
        <f t="shared" si="74"/>
        <v>110.5450065355007</v>
      </c>
      <c r="L58" s="402">
        <f t="shared" si="74"/>
        <v>114.19299175117222</v>
      </c>
      <c r="M58" s="402">
        <f t="shared" si="74"/>
        <v>117.96136047896088</v>
      </c>
      <c r="N58" s="404">
        <f t="shared" si="74"/>
        <v>121.85408537476658</v>
      </c>
      <c r="O58" s="340"/>
    </row>
    <row r="59" spans="1:15" x14ac:dyDescent="0.2">
      <c r="A59" s="405"/>
      <c r="B59" s="403"/>
      <c r="C59" s="403"/>
      <c r="D59" s="403"/>
      <c r="E59" s="402"/>
      <c r="F59" s="402"/>
      <c r="G59" s="402"/>
      <c r="H59" s="402"/>
      <c r="I59" s="402"/>
      <c r="J59" s="402"/>
      <c r="K59" s="402"/>
      <c r="L59" s="402"/>
      <c r="M59" s="402"/>
      <c r="N59" s="404"/>
      <c r="O59" s="340"/>
    </row>
    <row r="60" spans="1:15" ht="38.25" x14ac:dyDescent="0.2">
      <c r="A60" s="406" t="s">
        <v>1285</v>
      </c>
      <c r="B60" s="407" t="s">
        <v>1286</v>
      </c>
      <c r="C60" s="407" t="s">
        <v>1338</v>
      </c>
      <c r="D60" s="407" t="s">
        <v>1338</v>
      </c>
      <c r="E60" s="407" t="s">
        <v>1338</v>
      </c>
      <c r="F60" s="407" t="s">
        <v>1338</v>
      </c>
      <c r="G60" s="407" t="s">
        <v>1338</v>
      </c>
      <c r="H60" s="407" t="s">
        <v>1338</v>
      </c>
      <c r="I60" s="407" t="s">
        <v>1338</v>
      </c>
      <c r="J60" s="407" t="s">
        <v>1338</v>
      </c>
      <c r="K60" s="407" t="s">
        <v>1338</v>
      </c>
      <c r="L60" s="407" t="s">
        <v>1338</v>
      </c>
      <c r="M60" s="407" t="s">
        <v>1338</v>
      </c>
      <c r="N60" s="408" t="s">
        <v>1338</v>
      </c>
    </row>
    <row r="61" spans="1:15" x14ac:dyDescent="0.2">
      <c r="A61" s="401" t="s">
        <v>1279</v>
      </c>
      <c r="B61" s="403">
        <v>935</v>
      </c>
      <c r="C61" s="402">
        <f>+C56*$B$61</f>
        <v>0</v>
      </c>
      <c r="D61" s="402">
        <f>+D56*$B$61</f>
        <v>242510.56363519997</v>
      </c>
      <c r="E61" s="402">
        <f t="shared" ref="E61:N61" si="75">+E56*$B$61</f>
        <v>250513.41223516155</v>
      </c>
      <c r="F61" s="402">
        <f>+F56*$B$61</f>
        <v>258780.35483892189</v>
      </c>
      <c r="G61" s="402">
        <f t="shared" si="75"/>
        <v>267320.10654860624</v>
      </c>
      <c r="H61" s="402">
        <f t="shared" si="75"/>
        <v>276141.67006471026</v>
      </c>
      <c r="I61" s="402">
        <f t="shared" si="75"/>
        <v>285254.34517684567</v>
      </c>
      <c r="J61" s="402">
        <f t="shared" si="75"/>
        <v>294667.73856768158</v>
      </c>
      <c r="K61" s="402">
        <f t="shared" si="75"/>
        <v>304391.77394041501</v>
      </c>
      <c r="L61" s="402">
        <f t="shared" si="75"/>
        <v>314436.70248044864</v>
      </c>
      <c r="M61" s="402">
        <f t="shared" si="75"/>
        <v>324813.11366230348</v>
      </c>
      <c r="N61" s="404">
        <f t="shared" si="75"/>
        <v>335531.94641315943</v>
      </c>
    </row>
    <row r="62" spans="1:15" x14ac:dyDescent="0.2">
      <c r="A62" s="401" t="s">
        <v>1280</v>
      </c>
      <c r="B62" s="403">
        <v>1438</v>
      </c>
      <c r="C62" s="402">
        <f>+C57*$B$62</f>
        <v>0</v>
      </c>
      <c r="D62" s="402">
        <f t="shared" ref="D62:N62" si="76">+D57*$B$62</f>
        <v>53960.140012800002</v>
      </c>
      <c r="E62" s="402">
        <f t="shared" si="76"/>
        <v>55740.824633222401</v>
      </c>
      <c r="F62" s="402">
        <f t="shared" si="76"/>
        <v>57580.271846118732</v>
      </c>
      <c r="G62" s="402">
        <f t="shared" si="76"/>
        <v>59480.420817040649</v>
      </c>
      <c r="H62" s="402">
        <f t="shared" si="76"/>
        <v>61443.274704002986</v>
      </c>
      <c r="I62" s="402">
        <f t="shared" si="76"/>
        <v>63470.902769235079</v>
      </c>
      <c r="J62" s="402">
        <f t="shared" si="76"/>
        <v>65565.44256061982</v>
      </c>
      <c r="K62" s="402">
        <f t="shared" si="76"/>
        <v>67729.102165120275</v>
      </c>
      <c r="L62" s="402">
        <f t="shared" si="76"/>
        <v>69964.162536569231</v>
      </c>
      <c r="M62" s="402">
        <f t="shared" si="76"/>
        <v>72272.979900276012</v>
      </c>
      <c r="N62" s="404">
        <f t="shared" si="76"/>
        <v>74657.988236985126</v>
      </c>
    </row>
    <row r="63" spans="1:15" x14ac:dyDescent="0.2">
      <c r="A63" s="401" t="s">
        <v>1281</v>
      </c>
      <c r="B63" s="403">
        <v>168</v>
      </c>
      <c r="C63" s="402">
        <f>+C58*$B$63</f>
        <v>0</v>
      </c>
      <c r="D63" s="402">
        <f t="shared" ref="D63:N63" si="77">+D58*$B$63</f>
        <v>14796.062623999998</v>
      </c>
      <c r="E63" s="402">
        <f t="shared" si="77"/>
        <v>15284.332690591997</v>
      </c>
      <c r="F63" s="402">
        <f t="shared" si="77"/>
        <v>15788.71566938153</v>
      </c>
      <c r="G63" s="402">
        <f t="shared" si="77"/>
        <v>16309.743286471123</v>
      </c>
      <c r="H63" s="402">
        <f t="shared" si="77"/>
        <v>16847.964814924664</v>
      </c>
      <c r="I63" s="402">
        <f t="shared" si="77"/>
        <v>17403.947653817177</v>
      </c>
      <c r="J63" s="402">
        <f t="shared" si="77"/>
        <v>17978.277926393144</v>
      </c>
      <c r="K63" s="402">
        <f t="shared" si="77"/>
        <v>18571.561097964117</v>
      </c>
      <c r="L63" s="402">
        <f t="shared" si="77"/>
        <v>19184.422614196934</v>
      </c>
      <c r="M63" s="402">
        <f t="shared" si="77"/>
        <v>19817.508560465427</v>
      </c>
      <c r="N63" s="404">
        <f t="shared" si="77"/>
        <v>20471.486342960787</v>
      </c>
    </row>
    <row r="64" spans="1:15" x14ac:dyDescent="0.2">
      <c r="A64" s="405" t="s">
        <v>1283</v>
      </c>
      <c r="B64" s="403"/>
      <c r="C64" s="409">
        <f>SUM(C61:C63)</f>
        <v>0</v>
      </c>
      <c r="D64" s="409">
        <f t="shared" ref="D64:N64" si="78">SUM(D61:D63)</f>
        <v>311266.76627199998</v>
      </c>
      <c r="E64" s="409">
        <f t="shared" si="78"/>
        <v>321538.56955897593</v>
      </c>
      <c r="F64" s="409">
        <f t="shared" si="78"/>
        <v>332149.3423544222</v>
      </c>
      <c r="G64" s="409">
        <f t="shared" si="78"/>
        <v>343110.27065211802</v>
      </c>
      <c r="H64" s="409">
        <f t="shared" si="78"/>
        <v>354432.90958363796</v>
      </c>
      <c r="I64" s="409">
        <f t="shared" si="78"/>
        <v>366129.19559989794</v>
      </c>
      <c r="J64" s="409">
        <f t="shared" si="78"/>
        <v>378211.45905469457</v>
      </c>
      <c r="K64" s="409">
        <f t="shared" si="78"/>
        <v>390692.43720349943</v>
      </c>
      <c r="L64" s="409">
        <f t="shared" si="78"/>
        <v>403585.28763121483</v>
      </c>
      <c r="M64" s="409">
        <f t="shared" si="78"/>
        <v>416903.6021230449</v>
      </c>
      <c r="N64" s="410">
        <f t="shared" si="78"/>
        <v>430661.42099310533</v>
      </c>
    </row>
    <row r="65" spans="1:14" x14ac:dyDescent="0.2">
      <c r="A65" s="405"/>
      <c r="B65" s="403"/>
      <c r="C65" s="409"/>
      <c r="D65" s="409">
        <f>+D42-D64</f>
        <v>-41554.862271999998</v>
      </c>
      <c r="E65" s="409">
        <f t="shared" ref="E65:M65" si="79">+E42-E64</f>
        <v>-42926.172726975929</v>
      </c>
      <c r="F65" s="409">
        <f t="shared" si="79"/>
        <v>-44342.736426966207</v>
      </c>
      <c r="G65" s="409">
        <f t="shared" si="79"/>
        <v>-45806.04672905599</v>
      </c>
      <c r="H65" s="409">
        <f t="shared" si="79"/>
        <v>-47317.646271114878</v>
      </c>
      <c r="I65" s="409">
        <f t="shared" si="79"/>
        <v>-48879.128598061623</v>
      </c>
      <c r="J65" s="409">
        <f t="shared" si="79"/>
        <v>-50492.139841797703</v>
      </c>
      <c r="K65" s="409">
        <f t="shared" si="79"/>
        <v>-52158.380456576997</v>
      </c>
      <c r="L65" s="409">
        <f t="shared" si="79"/>
        <v>-53879.607011643937</v>
      </c>
      <c r="M65" s="409">
        <f t="shared" si="79"/>
        <v>-55657.634043028229</v>
      </c>
      <c r="N65" s="410"/>
    </row>
    <row r="66" spans="1:14" ht="13.5" thickBot="1" x14ac:dyDescent="0.25">
      <c r="A66" s="411"/>
      <c r="B66" s="412"/>
      <c r="C66" s="412"/>
      <c r="D66" s="412"/>
      <c r="E66" s="412"/>
      <c r="F66" s="412"/>
      <c r="G66" s="412"/>
      <c r="H66" s="412"/>
      <c r="I66" s="412"/>
      <c r="J66" s="412"/>
      <c r="K66" s="412"/>
      <c r="L66" s="412"/>
      <c r="M66" s="412"/>
      <c r="N66" s="413"/>
    </row>
  </sheetData>
  <mergeCells count="3">
    <mergeCell ref="C1:G1"/>
    <mergeCell ref="U3:AA3"/>
    <mergeCell ref="M3:S3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39"/>
  <sheetViews>
    <sheetView topLeftCell="A16" zoomScale="75" zoomScaleNormal="75" workbookViewId="0">
      <selection activeCell="H41" sqref="H41"/>
    </sheetView>
  </sheetViews>
  <sheetFormatPr defaultRowHeight="12.75" outlineLevelRow="1" outlineLevelCol="1" x14ac:dyDescent="0.2"/>
  <cols>
    <col min="1" max="1" width="6.140625" style="334" customWidth="1"/>
    <col min="2" max="2" width="21.5703125" style="334" customWidth="1"/>
    <col min="3" max="3" width="10.42578125" style="334" bestFit="1" customWidth="1"/>
    <col min="4" max="4" width="16.140625" style="334" bestFit="1" customWidth="1" outlineLevel="1"/>
    <col min="5" max="5" width="10.140625" style="369" customWidth="1" outlineLevel="1"/>
    <col min="6" max="6" width="16.28515625" style="366" bestFit="1" customWidth="1" outlineLevel="1"/>
    <col min="7" max="7" width="11.7109375" style="366" customWidth="1" outlineLevel="1"/>
    <col min="8" max="8" width="15.7109375" style="334" bestFit="1" customWidth="1"/>
    <col min="9" max="9" width="12.5703125" style="334" customWidth="1" outlineLevel="1"/>
    <col min="10" max="10" width="12.85546875" style="366" customWidth="1" outlineLevel="1"/>
    <col min="11" max="11" width="13.85546875" style="334" customWidth="1" outlineLevel="1"/>
    <col min="12" max="12" width="13.42578125" style="334" bestFit="1" customWidth="1" outlineLevel="1"/>
    <col min="13" max="13" width="21.42578125" style="366" bestFit="1" customWidth="1"/>
    <col min="14" max="14" width="12" style="369" customWidth="1"/>
    <col min="15" max="15" width="16.140625" style="369" bestFit="1" customWidth="1"/>
    <col min="16" max="16" width="7.85546875" style="334" customWidth="1"/>
    <col min="17" max="17" width="13.28515625" style="366" customWidth="1"/>
    <col min="18" max="18" width="12.5703125" style="366" customWidth="1"/>
    <col min="19" max="19" width="13.42578125" style="366" customWidth="1"/>
    <col min="20" max="20" width="10.140625" style="366" customWidth="1"/>
    <col min="21" max="21" width="11.5703125" style="366" customWidth="1"/>
    <col min="22" max="22" width="10.5703125" style="366" customWidth="1"/>
    <col min="23" max="23" width="10" style="369" customWidth="1"/>
    <col min="24" max="24" width="14.28515625" style="366" customWidth="1"/>
    <col min="25" max="25" width="12.85546875" style="334" customWidth="1"/>
    <col min="26" max="26" width="9.140625" style="367"/>
    <col min="27" max="27" width="14.28515625" style="334" customWidth="1"/>
    <col min="28" max="28" width="12.5703125" style="334" customWidth="1"/>
    <col min="29" max="29" width="17.42578125" style="334" bestFit="1" customWidth="1"/>
    <col min="30" max="30" width="9.140625" style="334"/>
    <col min="31" max="31" width="12.5703125" style="334" bestFit="1" customWidth="1"/>
    <col min="32" max="16384" width="9.140625" style="334"/>
  </cols>
  <sheetData>
    <row r="1" spans="1:34" s="358" customFormat="1" ht="38.25" customHeight="1" x14ac:dyDescent="0.2">
      <c r="A1" s="346" t="s">
        <v>1284</v>
      </c>
      <c r="B1" s="347" t="s">
        <v>1285</v>
      </c>
      <c r="C1" s="346" t="s">
        <v>1286</v>
      </c>
      <c r="D1" s="348" t="s">
        <v>1287</v>
      </c>
      <c r="E1" s="348" t="s">
        <v>1288</v>
      </c>
      <c r="F1" s="349" t="s">
        <v>1289</v>
      </c>
      <c r="G1" s="346" t="s">
        <v>1290</v>
      </c>
      <c r="H1" s="350" t="s">
        <v>1291</v>
      </c>
      <c r="I1" s="346" t="s">
        <v>1292</v>
      </c>
      <c r="J1" s="348" t="s">
        <v>1293</v>
      </c>
      <c r="K1" s="351" t="s">
        <v>1294</v>
      </c>
      <c r="L1" s="346" t="s">
        <v>1295</v>
      </c>
      <c r="M1" s="348" t="s">
        <v>1296</v>
      </c>
      <c r="N1" s="352" t="s">
        <v>1297</v>
      </c>
      <c r="O1" s="353" t="s">
        <v>1298</v>
      </c>
      <c r="P1" s="346" t="s">
        <v>1299</v>
      </c>
      <c r="Q1" s="354" t="s">
        <v>1300</v>
      </c>
      <c r="R1" s="354" t="s">
        <v>1301</v>
      </c>
      <c r="S1" s="354" t="s">
        <v>1302</v>
      </c>
      <c r="T1" s="354" t="s">
        <v>1303</v>
      </c>
      <c r="U1" s="354" t="s">
        <v>1304</v>
      </c>
      <c r="V1" s="354" t="s">
        <v>1305</v>
      </c>
      <c r="W1" s="355" t="s">
        <v>1306</v>
      </c>
      <c r="X1" s="356" t="s">
        <v>1307</v>
      </c>
      <c r="Y1" s="351" t="s">
        <v>1308</v>
      </c>
      <c r="Z1" s="357" t="s">
        <v>1309</v>
      </c>
      <c r="AA1" s="348" t="s">
        <v>1310</v>
      </c>
      <c r="AB1" s="352" t="s">
        <v>1311</v>
      </c>
      <c r="AC1" s="352" t="s">
        <v>1312</v>
      </c>
      <c r="AD1" s="351" t="s">
        <v>1313</v>
      </c>
      <c r="AE1" s="351" t="s">
        <v>1314</v>
      </c>
    </row>
    <row r="2" spans="1:34" outlineLevel="1" x14ac:dyDescent="0.2">
      <c r="A2" s="359" t="s">
        <v>1315</v>
      </c>
      <c r="B2" s="334" t="s">
        <v>1279</v>
      </c>
      <c r="C2" s="334">
        <v>935</v>
      </c>
      <c r="D2" s="342">
        <v>1865257.9999999939</v>
      </c>
      <c r="E2" s="366">
        <v>0</v>
      </c>
      <c r="F2" s="342">
        <f>+D2+E2</f>
        <v>1865257.9999999939</v>
      </c>
      <c r="G2" s="367">
        <f>E2/F2</f>
        <v>0</v>
      </c>
      <c r="H2" s="342">
        <v>422197829</v>
      </c>
      <c r="I2" s="376">
        <v>1805221.6999999923</v>
      </c>
      <c r="J2" s="366">
        <v>0</v>
      </c>
      <c r="K2" s="342">
        <f>I2+J2</f>
        <v>1805221.6999999923</v>
      </c>
      <c r="L2" s="367">
        <f>J2/K2</f>
        <v>0</v>
      </c>
      <c r="M2" s="342">
        <v>1866614.5599999938</v>
      </c>
      <c r="N2" s="369">
        <v>0</v>
      </c>
      <c r="O2" s="377">
        <f>M2+N2</f>
        <v>1866614.5599999938</v>
      </c>
      <c r="P2" s="367">
        <f>N2/O2</f>
        <v>0</v>
      </c>
      <c r="Q2" s="342">
        <f>O2/C2</f>
        <v>1996.3792085561431</v>
      </c>
      <c r="R2" s="368">
        <v>389</v>
      </c>
      <c r="S2" s="342">
        <v>12745491</v>
      </c>
      <c r="T2" s="368">
        <v>389</v>
      </c>
      <c r="U2" s="342">
        <v>12745491</v>
      </c>
      <c r="V2" s="370">
        <f>T2/C2</f>
        <v>0.41604278074866308</v>
      </c>
      <c r="W2" s="342">
        <f>SUM($Q$2:$Q$2)/1</f>
        <v>1996.3792085561431</v>
      </c>
      <c r="X2" s="342">
        <f>W2*C2</f>
        <v>1866614.5599999938</v>
      </c>
      <c r="Y2" s="342">
        <f>K2/C2</f>
        <v>1930.718395721917</v>
      </c>
      <c r="Z2" s="367">
        <f t="shared" ref="Z2:Z7" si="0">(W2/Y2)-1</f>
        <v>3.4008487710956326E-2</v>
      </c>
      <c r="AA2" s="342">
        <v>1930077.4399999978</v>
      </c>
      <c r="AB2" s="342">
        <v>0</v>
      </c>
      <c r="AC2" s="342">
        <f>AA2+AB2</f>
        <v>1930077.4399999978</v>
      </c>
      <c r="AD2" s="367">
        <f>AB2/AC2</f>
        <v>0</v>
      </c>
      <c r="AE2" s="342">
        <f>AC2/C2</f>
        <v>2064.253946524062</v>
      </c>
      <c r="AF2" s="342">
        <f>+AE2*4%</f>
        <v>82.570157860962482</v>
      </c>
      <c r="AG2" s="342">
        <f>+AF2+C2</f>
        <v>1017.5701578609625</v>
      </c>
      <c r="AH2" s="342">
        <f>+AG2*10</f>
        <v>10175.701578609625</v>
      </c>
    </row>
    <row r="3" spans="1:34" outlineLevel="1" x14ac:dyDescent="0.2">
      <c r="A3" s="359" t="s">
        <v>1316</v>
      </c>
      <c r="B3" s="334" t="s">
        <v>1280</v>
      </c>
      <c r="C3" s="334">
        <v>1438</v>
      </c>
      <c r="D3" s="342">
        <v>414511.27000000118</v>
      </c>
      <c r="E3" s="366">
        <v>0</v>
      </c>
      <c r="F3" s="342">
        <f t="shared" ref="F3:F7" si="1">+D3+E3</f>
        <v>414511.27000000118</v>
      </c>
      <c r="G3" s="367">
        <f t="shared" ref="G3:G7" si="2">E3/F3</f>
        <v>0</v>
      </c>
      <c r="H3" s="342">
        <v>66227820</v>
      </c>
      <c r="I3" s="376">
        <v>401551.79000000196</v>
      </c>
      <c r="J3" s="366">
        <v>0</v>
      </c>
      <c r="K3" s="342">
        <f t="shared" ref="K3:K7" si="3">I3+J3</f>
        <v>401551.79000000196</v>
      </c>
      <c r="L3" s="367">
        <f t="shared" ref="L3:L7" si="4">J3/K3</f>
        <v>0</v>
      </c>
      <c r="M3" s="342">
        <v>415333.59000000119</v>
      </c>
      <c r="N3" s="369">
        <v>0</v>
      </c>
      <c r="O3" s="377">
        <f t="shared" ref="O3:O7" si="5">M3+N3</f>
        <v>415333.59000000119</v>
      </c>
      <c r="P3" s="367">
        <f t="shared" ref="P3:P7" si="6">N3/O3</f>
        <v>0</v>
      </c>
      <c r="Q3" s="342">
        <f t="shared" ref="Q3:Q7" si="7">O3/C3</f>
        <v>288.82725312934713</v>
      </c>
      <c r="R3" s="368">
        <v>474</v>
      </c>
      <c r="S3" s="342">
        <v>16032113</v>
      </c>
      <c r="T3" s="368">
        <v>474</v>
      </c>
      <c r="U3" s="342">
        <v>16032113</v>
      </c>
      <c r="V3" s="370">
        <f t="shared" ref="V3:V7" si="8">T3/C3</f>
        <v>0.32962447844228093</v>
      </c>
      <c r="W3" s="342">
        <f>SUM($Q$3:$Q$3)/1</f>
        <v>288.82725312934713</v>
      </c>
      <c r="X3" s="342">
        <f t="shared" ref="X3:X7" si="9">W3*C3</f>
        <v>415333.59000000119</v>
      </c>
      <c r="Y3" s="342">
        <f t="shared" ref="Y3:Y7" si="10">K3/C3</f>
        <v>279.24324756606535</v>
      </c>
      <c r="Z3" s="367">
        <f t="shared" si="0"/>
        <v>3.4321351176143766E-2</v>
      </c>
      <c r="AA3" s="342">
        <v>429452.31000000203</v>
      </c>
      <c r="AB3" s="342">
        <v>0</v>
      </c>
      <c r="AC3" s="342">
        <f t="shared" ref="AC3:AC7" si="11">AA3+AB3</f>
        <v>429452.31000000203</v>
      </c>
      <c r="AD3" s="367">
        <f t="shared" ref="AD3:AD8" si="12">AB3/AC3</f>
        <v>0</v>
      </c>
      <c r="AE3" s="342">
        <f t="shared" ref="AE3:AE4" si="13">AC3/C3</f>
        <v>298.64555632823505</v>
      </c>
      <c r="AF3" s="342">
        <f t="shared" ref="AF3:AF7" si="14">+AE3*4%</f>
        <v>11.945822253129402</v>
      </c>
      <c r="AG3" s="342">
        <f t="shared" ref="AG3:AG4" si="15">+AF3+C3</f>
        <v>1449.9458222531293</v>
      </c>
      <c r="AH3" s="342">
        <f t="shared" ref="AH3:AH4" si="16">+AG3*10</f>
        <v>14499.458222531293</v>
      </c>
    </row>
    <row r="4" spans="1:34" outlineLevel="1" x14ac:dyDescent="0.2">
      <c r="A4" s="359" t="s">
        <v>1317</v>
      </c>
      <c r="B4" s="334" t="s">
        <v>1281</v>
      </c>
      <c r="C4" s="334">
        <v>168</v>
      </c>
      <c r="D4" s="342">
        <v>113657.20999999982</v>
      </c>
      <c r="E4" s="366">
        <v>0</v>
      </c>
      <c r="F4" s="342">
        <f t="shared" si="1"/>
        <v>113657.20999999982</v>
      </c>
      <c r="G4" s="367">
        <f t="shared" si="2"/>
        <v>0</v>
      </c>
      <c r="H4" s="342">
        <v>9091040</v>
      </c>
      <c r="I4" s="376">
        <v>110141.07999999977</v>
      </c>
      <c r="J4" s="366">
        <v>0</v>
      </c>
      <c r="K4" s="342">
        <f t="shared" si="3"/>
        <v>110141.07999999977</v>
      </c>
      <c r="L4" s="367">
        <f t="shared" si="4"/>
        <v>0</v>
      </c>
      <c r="M4" s="342">
        <v>113885.94999999982</v>
      </c>
      <c r="N4" s="369">
        <v>0</v>
      </c>
      <c r="O4" s="377">
        <f t="shared" si="5"/>
        <v>113885.94999999982</v>
      </c>
      <c r="P4" s="367">
        <f t="shared" si="6"/>
        <v>0</v>
      </c>
      <c r="Q4" s="342">
        <f t="shared" si="7"/>
        <v>677.89255952380847</v>
      </c>
      <c r="R4" s="368">
        <v>2</v>
      </c>
      <c r="S4" s="342">
        <v>29810</v>
      </c>
      <c r="T4" s="368">
        <v>2</v>
      </c>
      <c r="U4" s="342">
        <v>29810</v>
      </c>
      <c r="V4" s="370">
        <f t="shared" si="8"/>
        <v>1.1904761904761904E-2</v>
      </c>
      <c r="W4" s="342">
        <f>SUM($Q$4:$Q$4)/1</f>
        <v>677.89255952380847</v>
      </c>
      <c r="X4" s="342">
        <f t="shared" si="9"/>
        <v>113885.94999999982</v>
      </c>
      <c r="Y4" s="342">
        <f t="shared" si="10"/>
        <v>655.60166666666532</v>
      </c>
      <c r="Z4" s="367">
        <f t="shared" si="0"/>
        <v>3.4000665328504542E-2</v>
      </c>
      <c r="AA4" s="342">
        <v>117758.10000000021</v>
      </c>
      <c r="AB4" s="342">
        <v>0</v>
      </c>
      <c r="AC4" s="342">
        <f t="shared" si="11"/>
        <v>117758.10000000021</v>
      </c>
      <c r="AD4" s="367">
        <f t="shared" si="12"/>
        <v>0</v>
      </c>
      <c r="AE4" s="342">
        <f t="shared" si="13"/>
        <v>700.94107142857263</v>
      </c>
      <c r="AF4" s="342">
        <f t="shared" si="14"/>
        <v>28.037642857142906</v>
      </c>
      <c r="AG4" s="342">
        <f t="shared" si="15"/>
        <v>196.03764285714291</v>
      </c>
      <c r="AH4" s="342">
        <f t="shared" si="16"/>
        <v>1960.3764285714292</v>
      </c>
    </row>
    <row r="5" spans="1:34" outlineLevel="1" x14ac:dyDescent="0.2">
      <c r="A5" s="359"/>
      <c r="D5" s="342">
        <f>SUM(D2:D4)</f>
        <v>2393426.4799999949</v>
      </c>
      <c r="E5" s="366"/>
      <c r="F5" s="342">
        <f>SUM(F2:F4)</f>
        <v>2393426.4799999949</v>
      </c>
      <c r="G5" s="367"/>
      <c r="H5" s="342">
        <f>SUM(H2:H4)</f>
        <v>497516689</v>
      </c>
      <c r="I5" s="376"/>
      <c r="K5" s="342">
        <f>SUM(K2:K4)</f>
        <v>2316914.5699999938</v>
      </c>
      <c r="L5" s="367"/>
      <c r="M5" s="342">
        <f>SUM(M2:M4)</f>
        <v>2395834.0999999945</v>
      </c>
      <c r="O5" s="377">
        <f>SUM(O2:O4)</f>
        <v>2395834.0999999945</v>
      </c>
      <c r="P5" s="367"/>
      <c r="Q5" s="342"/>
      <c r="R5" s="368"/>
      <c r="S5" s="342"/>
      <c r="T5" s="368"/>
      <c r="U5" s="342"/>
      <c r="V5" s="370"/>
      <c r="W5" s="342"/>
      <c r="X5" s="342">
        <f>SUM(X2:X4)</f>
        <v>2395834.0999999945</v>
      </c>
      <c r="Y5" s="342"/>
      <c r="AA5" s="342">
        <f>SUM(AA2:AA4)</f>
        <v>2477287.85</v>
      </c>
      <c r="AB5" s="342"/>
      <c r="AC5" s="342">
        <f>SUM(AC2:AC4)</f>
        <v>2477287.85</v>
      </c>
      <c r="AD5" s="367"/>
      <c r="AE5" s="342"/>
      <c r="AF5" s="342"/>
      <c r="AG5" s="342"/>
      <c r="AH5" s="342"/>
    </row>
    <row r="6" spans="1:34" outlineLevel="1" x14ac:dyDescent="0.2">
      <c r="A6" s="359"/>
      <c r="D6" s="342"/>
      <c r="E6" s="366"/>
      <c r="F6" s="342"/>
      <c r="G6" s="367"/>
      <c r="H6" s="342"/>
      <c r="I6" s="376"/>
      <c r="K6" s="342"/>
      <c r="L6" s="367"/>
      <c r="M6" s="342"/>
      <c r="O6" s="377"/>
      <c r="P6" s="367"/>
      <c r="Q6" s="342"/>
      <c r="R6" s="368"/>
      <c r="S6" s="342"/>
      <c r="T6" s="368"/>
      <c r="U6" s="342"/>
      <c r="V6" s="370"/>
      <c r="W6" s="342"/>
      <c r="X6" s="342"/>
      <c r="Y6" s="342"/>
      <c r="AA6" s="342"/>
      <c r="AB6" s="342"/>
      <c r="AC6" s="342"/>
      <c r="AD6" s="367"/>
      <c r="AE6" s="342"/>
      <c r="AF6" s="342"/>
      <c r="AG6" s="342"/>
      <c r="AH6" s="342"/>
    </row>
    <row r="7" spans="1:34" outlineLevel="1" x14ac:dyDescent="0.2">
      <c r="A7" s="359" t="s">
        <v>1318</v>
      </c>
      <c r="B7" s="361" t="s">
        <v>1319</v>
      </c>
      <c r="C7" s="334">
        <v>1074</v>
      </c>
      <c r="D7" s="342">
        <v>249797.3300000029</v>
      </c>
      <c r="E7" s="366">
        <v>0</v>
      </c>
      <c r="F7" s="342">
        <f t="shared" si="1"/>
        <v>249797.3300000029</v>
      </c>
      <c r="G7" s="367">
        <f t="shared" si="2"/>
        <v>0</v>
      </c>
      <c r="H7" s="342">
        <v>45128910</v>
      </c>
      <c r="I7" s="376">
        <v>241706.97999999771</v>
      </c>
      <c r="J7" s="366">
        <v>0</v>
      </c>
      <c r="K7" s="342">
        <f t="shared" si="3"/>
        <v>241706.97999999771</v>
      </c>
      <c r="L7" s="367">
        <f t="shared" si="4"/>
        <v>0</v>
      </c>
      <c r="M7" s="342">
        <v>249886.6500000029</v>
      </c>
      <c r="N7" s="369">
        <v>0</v>
      </c>
      <c r="O7" s="377">
        <f t="shared" si="5"/>
        <v>249886.6500000029</v>
      </c>
      <c r="P7" s="367">
        <f t="shared" si="6"/>
        <v>0</v>
      </c>
      <c r="Q7" s="342">
        <f t="shared" si="7"/>
        <v>232.669134078215</v>
      </c>
      <c r="R7" s="368">
        <v>86</v>
      </c>
      <c r="S7" s="342">
        <v>2052836</v>
      </c>
      <c r="T7" s="368">
        <v>86</v>
      </c>
      <c r="U7" s="342">
        <v>2052836</v>
      </c>
      <c r="V7" s="370">
        <f t="shared" si="8"/>
        <v>8.0074487895716945E-2</v>
      </c>
      <c r="W7" s="342">
        <f>SUM($Q$7:$Q$7)/1</f>
        <v>232.669134078215</v>
      </c>
      <c r="X7" s="342">
        <f t="shared" si="9"/>
        <v>249886.6500000029</v>
      </c>
      <c r="Y7" s="342">
        <f t="shared" si="10"/>
        <v>225.05305400372225</v>
      </c>
      <c r="Z7" s="367">
        <f t="shared" si="0"/>
        <v>3.3841265155045486E-2</v>
      </c>
      <c r="AA7" s="342">
        <v>258384.4099999966</v>
      </c>
      <c r="AB7" s="342">
        <v>0</v>
      </c>
      <c r="AC7" s="342">
        <f t="shared" si="11"/>
        <v>258384.4099999966</v>
      </c>
      <c r="AD7" s="367">
        <f t="shared" si="12"/>
        <v>0</v>
      </c>
      <c r="AE7" s="342">
        <f>AC7/C7</f>
        <v>240.58138733705457</v>
      </c>
      <c r="AF7" s="342">
        <f t="shared" si="14"/>
        <v>9.6232554934821835</v>
      </c>
      <c r="AG7" s="342"/>
      <c r="AH7" s="342"/>
    </row>
    <row r="8" spans="1:34" s="378" customFormat="1" x14ac:dyDescent="0.2">
      <c r="C8" s="378">
        <v>3615</v>
      </c>
      <c r="D8" s="379">
        <f>+D5+D7</f>
        <v>2643223.8099999977</v>
      </c>
      <c r="E8" s="380"/>
      <c r="F8" s="379">
        <f>+F5+F7</f>
        <v>2643223.8099999977</v>
      </c>
      <c r="G8" s="380"/>
      <c r="H8" s="379">
        <f>+H5+H7</f>
        <v>542645599</v>
      </c>
      <c r="I8" s="379"/>
      <c r="J8" s="380"/>
      <c r="K8" s="379">
        <f>+K5+K7</f>
        <v>2558621.5499999914</v>
      </c>
      <c r="M8" s="379">
        <f>+M5+M7</f>
        <v>2645720.7499999972</v>
      </c>
      <c r="N8" s="379">
        <f>+N5+N7</f>
        <v>0</v>
      </c>
      <c r="O8" s="382">
        <f>+O5+O7</f>
        <v>2645720.7499999972</v>
      </c>
      <c r="Q8" s="379"/>
      <c r="R8" s="380"/>
      <c r="S8" s="380"/>
      <c r="T8" s="380"/>
      <c r="U8" s="380"/>
      <c r="V8" s="380"/>
      <c r="W8" s="379"/>
      <c r="X8" s="379">
        <f>+X5+X7</f>
        <v>2645720.7499999972</v>
      </c>
      <c r="Y8" s="379"/>
      <c r="Z8" s="381"/>
      <c r="AA8" s="379">
        <f>+AA5+AA7</f>
        <v>2735672.2599999965</v>
      </c>
      <c r="AB8" s="379">
        <v>0</v>
      </c>
      <c r="AC8" s="379">
        <f>+AC5+AC7</f>
        <v>2735672.2599999965</v>
      </c>
      <c r="AD8" s="367">
        <f t="shared" si="12"/>
        <v>0</v>
      </c>
      <c r="AE8" s="342"/>
    </row>
    <row r="9" spans="1:34" x14ac:dyDescent="0.2">
      <c r="N9" s="355" t="s">
        <v>1320</v>
      </c>
      <c r="O9" s="345">
        <f>O22-O8</f>
        <v>352.93269999371842</v>
      </c>
      <c r="P9" s="362" t="s">
        <v>1321</v>
      </c>
      <c r="AA9" s="342"/>
      <c r="AB9" s="363" t="s">
        <v>1320</v>
      </c>
      <c r="AC9" s="342">
        <f>O27-AC8</f>
        <v>-9863.4341190122068</v>
      </c>
    </row>
    <row r="10" spans="1:34" ht="38.25" x14ac:dyDescent="0.2">
      <c r="A10" s="349" t="s">
        <v>1309</v>
      </c>
      <c r="D10" s="346" t="s">
        <v>1322</v>
      </c>
      <c r="E10" s="352" t="s">
        <v>1323</v>
      </c>
      <c r="F10" s="348" t="s">
        <v>1324</v>
      </c>
      <c r="G10" s="364" t="s">
        <v>1325</v>
      </c>
      <c r="H10" s="353" t="s">
        <v>1326</v>
      </c>
      <c r="I10" s="365" t="s">
        <v>1327</v>
      </c>
      <c r="J10" s="354" t="s">
        <v>1328</v>
      </c>
      <c r="K10" s="354" t="s">
        <v>1329</v>
      </c>
      <c r="L10" s="361" t="s">
        <v>1330</v>
      </c>
      <c r="M10" s="361" t="s">
        <v>1311</v>
      </c>
      <c r="N10" s="360" t="s">
        <v>1331</v>
      </c>
      <c r="O10" s="366"/>
    </row>
    <row r="11" spans="1:34" x14ac:dyDescent="0.2">
      <c r="A11" s="359" t="s">
        <v>1315</v>
      </c>
      <c r="B11" s="334" t="s">
        <v>1279</v>
      </c>
      <c r="D11" s="334">
        <v>4.2320999999999999E-3</v>
      </c>
      <c r="E11" s="334">
        <v>0</v>
      </c>
      <c r="F11" s="366">
        <v>249.4</v>
      </c>
      <c r="G11" s="371">
        <v>4.3759899999999997E-3</v>
      </c>
      <c r="H11" s="372">
        <f t="shared" ref="H11:H14" si="17">ROUND(E11*(1+$C$17),2)</f>
        <v>0</v>
      </c>
      <c r="I11" s="372">
        <v>258</v>
      </c>
      <c r="J11" s="373">
        <f>ROUND(D11*(1+$C$17),8)</f>
        <v>4.3759899999999997E-3</v>
      </c>
      <c r="K11" s="334">
        <f>ROUND(F11*(1+$C$17),2)</f>
        <v>257.88</v>
      </c>
      <c r="L11" s="373">
        <f>ROUND(G11*(1+$C$18),8)</f>
        <v>4.52477E-3</v>
      </c>
      <c r="M11" s="374">
        <f>ROUND(H11*(1+$C$17),2)</f>
        <v>0</v>
      </c>
      <c r="N11" s="374">
        <f>ROUND(I11*(1+$C$17),2)</f>
        <v>266.77</v>
      </c>
      <c r="O11" s="368"/>
    </row>
    <row r="12" spans="1:34" x14ac:dyDescent="0.2">
      <c r="A12" s="359" t="s">
        <v>1316</v>
      </c>
      <c r="B12" s="334" t="s">
        <v>1280</v>
      </c>
      <c r="D12" s="334">
        <v>4.2322000000000002E-3</v>
      </c>
      <c r="E12" s="334">
        <v>0</v>
      </c>
      <c r="F12" s="366">
        <v>249.4</v>
      </c>
      <c r="G12" s="371">
        <v>4.3759999999999997E-3</v>
      </c>
      <c r="H12" s="372">
        <f t="shared" si="17"/>
        <v>0</v>
      </c>
      <c r="I12" s="372">
        <v>258</v>
      </c>
      <c r="J12" s="373">
        <f t="shared" ref="J12:J14" si="18">ROUND(D12*(1+$C$17),8)</f>
        <v>4.37609E-3</v>
      </c>
      <c r="K12" s="334">
        <f t="shared" ref="K12:K14" si="19">ROUND(F12*(1+$C$17),2)</f>
        <v>257.88</v>
      </c>
      <c r="L12" s="373">
        <f t="shared" ref="L12:L14" si="20">ROUND(G12*(1+$C$18),8)</f>
        <v>4.5247799999999999E-3</v>
      </c>
      <c r="M12" s="374">
        <f t="shared" ref="M12:M14" si="21">ROUND(H12*(1+$C$17),2)</f>
        <v>0</v>
      </c>
      <c r="N12" s="374">
        <f t="shared" ref="N12:N14" si="22">ROUND(I12*(1+$C$17),2)</f>
        <v>266.77</v>
      </c>
      <c r="O12" s="368"/>
      <c r="Q12" s="366">
        <f>+O2*4%</f>
        <v>74664.582399999752</v>
      </c>
      <c r="R12" s="366">
        <f>+Q12/C2</f>
        <v>79.855168342245719</v>
      </c>
    </row>
    <row r="13" spans="1:34" x14ac:dyDescent="0.2">
      <c r="A13" s="359" t="s">
        <v>1317</v>
      </c>
      <c r="B13" s="334" t="s">
        <v>1281</v>
      </c>
      <c r="D13" s="334">
        <v>9.8229000000000007E-3</v>
      </c>
      <c r="E13" s="334">
        <v>0</v>
      </c>
      <c r="F13" s="366">
        <v>441.15</v>
      </c>
      <c r="G13" s="371">
        <v>1.015688E-2</v>
      </c>
      <c r="H13" s="372">
        <f t="shared" si="17"/>
        <v>0</v>
      </c>
      <c r="I13" s="372">
        <v>456.15</v>
      </c>
      <c r="J13" s="373">
        <f t="shared" si="18"/>
        <v>1.015688E-2</v>
      </c>
      <c r="K13" s="334">
        <f t="shared" si="19"/>
        <v>456.15</v>
      </c>
      <c r="L13" s="373">
        <f t="shared" si="20"/>
        <v>1.050221E-2</v>
      </c>
      <c r="M13" s="374">
        <f t="shared" si="21"/>
        <v>0</v>
      </c>
      <c r="N13" s="374">
        <f t="shared" si="22"/>
        <v>471.66</v>
      </c>
      <c r="O13" s="375"/>
      <c r="Q13" s="366">
        <f t="shared" ref="Q13:Q15" si="23">+O3*4%</f>
        <v>16613.343600000047</v>
      </c>
      <c r="R13" s="366">
        <f t="shared" ref="R13:R14" si="24">+Q13/C3</f>
        <v>11.553090125173886</v>
      </c>
    </row>
    <row r="14" spans="1:34" outlineLevel="1" x14ac:dyDescent="0.2">
      <c r="A14" s="359" t="s">
        <v>1318</v>
      </c>
      <c r="B14" s="361" t="s">
        <v>1319</v>
      </c>
      <c r="D14" s="334">
        <v>4.4026999999999998E-3</v>
      </c>
      <c r="E14" s="334">
        <v>0</v>
      </c>
      <c r="F14" s="366">
        <v>191.4</v>
      </c>
      <c r="G14" s="371">
        <v>4.5523899999999999E-3</v>
      </c>
      <c r="H14" s="372">
        <f t="shared" si="17"/>
        <v>0</v>
      </c>
      <c r="I14" s="372">
        <v>197.85</v>
      </c>
      <c r="J14" s="373">
        <f t="shared" si="18"/>
        <v>4.5523899999999999E-3</v>
      </c>
      <c r="K14" s="334">
        <f t="shared" si="19"/>
        <v>197.91</v>
      </c>
      <c r="L14" s="373">
        <f t="shared" si="20"/>
        <v>4.7071700000000001E-3</v>
      </c>
      <c r="M14" s="374">
        <f t="shared" si="21"/>
        <v>0</v>
      </c>
      <c r="N14" s="374">
        <f t="shared" si="22"/>
        <v>204.58</v>
      </c>
      <c r="Q14" s="366">
        <f t="shared" si="23"/>
        <v>4555.4379999999928</v>
      </c>
      <c r="R14" s="366">
        <f t="shared" si="24"/>
        <v>27.115702380952339</v>
      </c>
    </row>
    <row r="15" spans="1:34" outlineLevel="1" x14ac:dyDescent="0.2">
      <c r="A15" s="375"/>
      <c r="B15" s="361"/>
      <c r="G15" s="373"/>
      <c r="H15" s="369"/>
      <c r="I15" s="366"/>
      <c r="J15" s="373"/>
      <c r="K15" s="373"/>
      <c r="L15" s="373"/>
      <c r="N15" s="366"/>
      <c r="O15" s="368"/>
      <c r="P15" s="369"/>
      <c r="Q15" s="366">
        <f t="shared" si="23"/>
        <v>95833.363999999783</v>
      </c>
    </row>
    <row r="16" spans="1:34" x14ac:dyDescent="0.2">
      <c r="N16" s="366"/>
      <c r="O16" s="368"/>
      <c r="P16" s="363"/>
    </row>
    <row r="17" spans="2:26" x14ac:dyDescent="0.2">
      <c r="B17" s="334" t="s">
        <v>1332</v>
      </c>
      <c r="C17" s="367">
        <v>3.4000000000000002E-2</v>
      </c>
    </row>
    <row r="18" spans="2:26" x14ac:dyDescent="0.2">
      <c r="B18" s="361" t="s">
        <v>1333</v>
      </c>
      <c r="C18" s="367">
        <v>3.4000000000000002E-2</v>
      </c>
      <c r="L18" s="375">
        <v>2013</v>
      </c>
      <c r="M18" s="360" t="s">
        <v>1294</v>
      </c>
      <c r="N18" s="334"/>
      <c r="O18" s="342">
        <f>K8</f>
        <v>2558621.5499999914</v>
      </c>
    </row>
    <row r="19" spans="2:26" x14ac:dyDescent="0.2">
      <c r="L19" s="366"/>
      <c r="M19" s="360" t="s">
        <v>1334</v>
      </c>
      <c r="N19" s="367">
        <v>3.4000000000000002E-2</v>
      </c>
      <c r="O19" s="342">
        <f>O18*C17</f>
        <v>86993.132699999711</v>
      </c>
      <c r="S19" s="334"/>
      <c r="T19" s="334"/>
      <c r="U19" s="334"/>
      <c r="V19" s="334"/>
      <c r="W19" s="334"/>
      <c r="X19" s="334"/>
      <c r="Z19" s="334"/>
    </row>
    <row r="20" spans="2:26" x14ac:dyDescent="0.2">
      <c r="L20" s="366"/>
      <c r="M20" s="360" t="s">
        <v>1335</v>
      </c>
      <c r="N20" s="334"/>
      <c r="O20" s="342">
        <v>459</v>
      </c>
      <c r="S20" s="334"/>
      <c r="T20" s="334"/>
      <c r="U20" s="334"/>
      <c r="V20" s="334"/>
      <c r="W20" s="334"/>
      <c r="X20" s="334"/>
      <c r="Z20" s="334"/>
    </row>
    <row r="21" spans="2:26" x14ac:dyDescent="0.2">
      <c r="E21" s="366"/>
      <c r="F21" s="334"/>
      <c r="G21" s="360"/>
      <c r="L21" s="366"/>
      <c r="M21" s="360"/>
      <c r="O21" s="366"/>
      <c r="S21" s="334"/>
      <c r="T21" s="334"/>
      <c r="U21" s="334"/>
      <c r="V21" s="334"/>
      <c r="W21" s="334"/>
      <c r="X21" s="334"/>
      <c r="Z21" s="334"/>
    </row>
    <row r="22" spans="2:26" x14ac:dyDescent="0.2">
      <c r="D22" s="366"/>
      <c r="E22" s="366"/>
      <c r="G22" s="360"/>
      <c r="L22" s="366"/>
      <c r="M22" s="356" t="s">
        <v>1336</v>
      </c>
      <c r="N22" s="334"/>
      <c r="O22" s="379">
        <v>2646073.6826999909</v>
      </c>
      <c r="S22" s="334"/>
      <c r="T22" s="334"/>
      <c r="U22" s="334"/>
      <c r="V22" s="334"/>
      <c r="W22" s="334"/>
      <c r="X22" s="334"/>
      <c r="Z22" s="334"/>
    </row>
    <row r="23" spans="2:26" x14ac:dyDescent="0.2">
      <c r="E23" s="366"/>
      <c r="G23" s="361"/>
      <c r="L23" s="366"/>
      <c r="S23" s="334"/>
      <c r="T23" s="334"/>
      <c r="U23" s="334"/>
      <c r="V23" s="334"/>
      <c r="W23" s="334"/>
      <c r="X23" s="334"/>
      <c r="Z23" s="334"/>
    </row>
    <row r="24" spans="2:26" x14ac:dyDescent="0.2">
      <c r="L24" s="375">
        <v>2014</v>
      </c>
      <c r="M24" s="366" t="s">
        <v>1294</v>
      </c>
      <c r="N24" s="334"/>
      <c r="O24" s="342">
        <f>O22</f>
        <v>2646073.6826999909</v>
      </c>
      <c r="S24" s="334"/>
      <c r="T24" s="334"/>
      <c r="U24" s="334"/>
      <c r="V24" s="334"/>
      <c r="W24" s="334"/>
      <c r="X24" s="334"/>
      <c r="Z24" s="334"/>
    </row>
    <row r="25" spans="2:26" x14ac:dyDescent="0.2">
      <c r="L25" s="366"/>
      <c r="M25" s="360" t="s">
        <v>1334</v>
      </c>
      <c r="N25" s="367">
        <v>3.4000000000000002E-2</v>
      </c>
      <c r="O25" s="342">
        <f>O24*0.03</f>
        <v>79382.210480999725</v>
      </c>
      <c r="S25" s="334"/>
      <c r="T25" s="334"/>
      <c r="U25" s="334"/>
      <c r="V25" s="334"/>
      <c r="W25" s="334"/>
      <c r="X25" s="334"/>
      <c r="Z25" s="334"/>
    </row>
    <row r="26" spans="2:26" x14ac:dyDescent="0.2">
      <c r="L26" s="366"/>
      <c r="M26" s="360" t="s">
        <v>1337</v>
      </c>
      <c r="N26" s="334"/>
      <c r="O26" s="342">
        <f>O9</f>
        <v>352.93269999371842</v>
      </c>
      <c r="S26" s="334"/>
      <c r="T26" s="334"/>
      <c r="U26" s="334"/>
      <c r="V26" s="334"/>
      <c r="W26" s="334"/>
      <c r="X26" s="334"/>
      <c r="Z26" s="334"/>
    </row>
    <row r="27" spans="2:26" x14ac:dyDescent="0.2">
      <c r="L27" s="366"/>
      <c r="M27" s="356" t="s">
        <v>1336</v>
      </c>
      <c r="N27" s="334"/>
      <c r="O27" s="379">
        <v>2725808.8258809843</v>
      </c>
      <c r="S27" s="334"/>
      <c r="T27" s="334"/>
      <c r="U27" s="334"/>
      <c r="V27" s="334"/>
      <c r="W27" s="334"/>
      <c r="X27" s="334"/>
      <c r="Z27" s="334"/>
    </row>
    <row r="31" spans="2:26" customFormat="1" ht="15" x14ac:dyDescent="0.25">
      <c r="B31" s="334"/>
      <c r="C31" t="s">
        <v>8</v>
      </c>
      <c r="D31" t="s">
        <v>8</v>
      </c>
      <c r="E31" t="s">
        <v>8</v>
      </c>
      <c r="F31" t="s">
        <v>8</v>
      </c>
      <c r="G31" t="s">
        <v>8</v>
      </c>
      <c r="H31" t="s">
        <v>8</v>
      </c>
      <c r="I31" t="s">
        <v>8</v>
      </c>
      <c r="J31" t="s">
        <v>8</v>
      </c>
      <c r="K31" t="s">
        <v>8</v>
      </c>
      <c r="L31" t="s">
        <v>8</v>
      </c>
    </row>
    <row r="32" spans="2:26" customFormat="1" ht="15" x14ac:dyDescent="0.25">
      <c r="B32" s="334"/>
      <c r="C32" t="s">
        <v>24</v>
      </c>
      <c r="D32" t="s">
        <v>25</v>
      </c>
      <c r="E32" t="s">
        <v>26</v>
      </c>
      <c r="F32" t="s">
        <v>27</v>
      </c>
      <c r="G32" t="s">
        <v>28</v>
      </c>
      <c r="H32" t="s">
        <v>29</v>
      </c>
      <c r="I32" t="s">
        <v>30</v>
      </c>
      <c r="J32" t="s">
        <v>31</v>
      </c>
      <c r="K32" t="s">
        <v>32</v>
      </c>
      <c r="L32" t="s">
        <v>33</v>
      </c>
    </row>
    <row r="33" spans="1:18" s="451" customFormat="1" ht="15" x14ac:dyDescent="0.25">
      <c r="A33" s="259" t="s">
        <v>46</v>
      </c>
    </row>
    <row r="34" spans="1:18" s="451" customFormat="1" ht="15" x14ac:dyDescent="0.25">
      <c r="A34" s="7" t="s">
        <v>47</v>
      </c>
      <c r="D34" s="452">
        <v>1.0229999999999999</v>
      </c>
      <c r="E34" s="452">
        <v>1.0329999999999999</v>
      </c>
      <c r="F34" s="452">
        <v>1.0329999999999999</v>
      </c>
      <c r="G34" s="452">
        <v>1.0329999999999999</v>
      </c>
      <c r="H34" s="452">
        <v>1.0329999999999999</v>
      </c>
      <c r="I34" s="452">
        <v>1.0329999999999999</v>
      </c>
      <c r="J34" s="452">
        <v>1.0329999999999999</v>
      </c>
      <c r="K34" s="452">
        <v>1.0329999999999999</v>
      </c>
      <c r="L34" s="452">
        <v>1.0329999999999999</v>
      </c>
    </row>
    <row r="35" spans="1:18" s="451" customFormat="1" ht="15" x14ac:dyDescent="0.25">
      <c r="A35" s="3" t="s">
        <v>48</v>
      </c>
      <c r="C35" s="451">
        <v>2354000</v>
      </c>
      <c r="D35" s="451">
        <f>+C35*D34</f>
        <v>2408142</v>
      </c>
      <c r="E35" s="451">
        <f t="shared" ref="E35:L35" si="25">+D35*E34</f>
        <v>2487610.6859999998</v>
      </c>
      <c r="F35" s="451">
        <f t="shared" si="25"/>
        <v>2569701.8386379997</v>
      </c>
      <c r="G35" s="451">
        <f t="shared" si="25"/>
        <v>2654501.9993130537</v>
      </c>
      <c r="H35" s="451">
        <f t="shared" si="25"/>
        <v>2742100.5652903845</v>
      </c>
      <c r="I35" s="451">
        <f t="shared" si="25"/>
        <v>2832589.8839449668</v>
      </c>
      <c r="J35" s="451">
        <f t="shared" si="25"/>
        <v>2926065.3501151507</v>
      </c>
      <c r="K35" s="451">
        <f t="shared" si="25"/>
        <v>3022625.5066689504</v>
      </c>
      <c r="L35" s="451">
        <f t="shared" si="25"/>
        <v>3122372.1483890256</v>
      </c>
    </row>
    <row r="36" spans="1:18" s="451" customFormat="1" ht="15" x14ac:dyDescent="0.25">
      <c r="A36" s="3"/>
    </row>
    <row r="37" spans="1:18" customFormat="1" ht="15" x14ac:dyDescent="0.25">
      <c r="A37" t="s">
        <v>1374</v>
      </c>
      <c r="B37" s="334"/>
      <c r="C37" s="451"/>
      <c r="D37" s="452">
        <v>1.1599999999999999</v>
      </c>
      <c r="E37" s="452">
        <v>1.0329999999999999</v>
      </c>
      <c r="F37" s="452">
        <v>1.0329999999999999</v>
      </c>
      <c r="G37" s="452">
        <v>1.0329999999999999</v>
      </c>
      <c r="H37" s="452">
        <v>1.0329999999999999</v>
      </c>
      <c r="I37" s="452">
        <v>1.0329999999999999</v>
      </c>
      <c r="J37" s="452">
        <v>1.0329999999999999</v>
      </c>
      <c r="K37" s="452">
        <v>1.0329999999999999</v>
      </c>
      <c r="L37" s="452">
        <v>1.0329999999999999</v>
      </c>
      <c r="M37" s="451"/>
      <c r="N37" s="451"/>
      <c r="O37" s="451"/>
      <c r="P37" s="451"/>
      <c r="Q37" s="451"/>
      <c r="R37" s="451"/>
    </row>
    <row r="38" spans="1:18" customFormat="1" ht="15" x14ac:dyDescent="0.25">
      <c r="B38" s="334"/>
      <c r="C38" s="451">
        <v>2354000</v>
      </c>
      <c r="D38" s="451">
        <f>+C38*D37</f>
        <v>2730640</v>
      </c>
      <c r="E38" s="451">
        <f t="shared" ref="E38:L38" si="26">+D38*E37</f>
        <v>2820751.1199999996</v>
      </c>
      <c r="F38" s="451">
        <f t="shared" si="26"/>
        <v>2913835.9069599994</v>
      </c>
      <c r="G38" s="451">
        <f t="shared" si="26"/>
        <v>3009992.4918896789</v>
      </c>
      <c r="H38" s="451">
        <f t="shared" si="26"/>
        <v>3109322.2441220381</v>
      </c>
      <c r="I38" s="451">
        <f t="shared" si="26"/>
        <v>3211929.8781780652</v>
      </c>
      <c r="J38" s="451">
        <f t="shared" si="26"/>
        <v>3317923.5641579409</v>
      </c>
      <c r="K38" s="451">
        <f t="shared" si="26"/>
        <v>3427415.0417751526</v>
      </c>
      <c r="L38" s="451">
        <f t="shared" si="26"/>
        <v>3540519.7381537324</v>
      </c>
      <c r="M38" s="451"/>
      <c r="N38" s="451"/>
      <c r="O38" s="451"/>
      <c r="P38" s="451"/>
      <c r="Q38" s="451"/>
      <c r="R38" s="451"/>
    </row>
    <row r="39" spans="1:18" customFormat="1" ht="15" x14ac:dyDescent="0.25">
      <c r="B39" s="334"/>
      <c r="C39" s="443"/>
      <c r="D39" s="453">
        <f>+D35-D38</f>
        <v>-322498</v>
      </c>
      <c r="E39" s="453">
        <f t="shared" ref="E39:L39" si="27">+E35-E38</f>
        <v>-333140.43399999989</v>
      </c>
      <c r="F39" s="453">
        <f t="shared" si="27"/>
        <v>-344134.06832199963</v>
      </c>
      <c r="G39" s="453">
        <f t="shared" si="27"/>
        <v>-355490.4925766252</v>
      </c>
      <c r="H39" s="453">
        <f t="shared" si="27"/>
        <v>-367221.67883165367</v>
      </c>
      <c r="I39" s="453">
        <f t="shared" si="27"/>
        <v>-379339.99423309835</v>
      </c>
      <c r="J39" s="453">
        <f t="shared" si="27"/>
        <v>-391858.21404279023</v>
      </c>
      <c r="K39" s="453">
        <f t="shared" si="27"/>
        <v>-404789.53510620212</v>
      </c>
      <c r="L39" s="453">
        <f t="shared" si="27"/>
        <v>-418147.58976470679</v>
      </c>
      <c r="M39" s="451">
        <f>SUM(D39:L39)</f>
        <v>-3316620.0068770759</v>
      </c>
    </row>
  </sheetData>
  <conditionalFormatting sqref="P2:P7">
    <cfRule type="cellIs" dxfId="3" priority="5" operator="greaterThanOrEqual">
      <formula>0.5</formula>
    </cfRule>
    <cfRule type="cellIs" dxfId="2" priority="6" operator="lessThan">
      <formula>0.5</formula>
    </cfRule>
  </conditionalFormatting>
  <conditionalFormatting sqref="V2:V7">
    <cfRule type="cellIs" dxfId="1" priority="1" operator="lessThan">
      <formula>0.5</formula>
    </cfRule>
    <cfRule type="cellIs" dxfId="0" priority="2" operator="greaterThan">
      <formula>0.5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6" workbookViewId="0">
      <selection activeCell="D26" sqref="D26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BQ202"/>
  <sheetViews>
    <sheetView zoomScale="80" zoomScaleNormal="80" zoomScaleSheetLayoutView="40" workbookViewId="0">
      <selection activeCell="R144" sqref="R144"/>
    </sheetView>
  </sheetViews>
  <sheetFormatPr defaultRowHeight="15" x14ac:dyDescent="0.25"/>
  <cols>
    <col min="1" max="1" width="1.28515625" style="98" customWidth="1"/>
    <col min="2" max="2" width="26.85546875" style="98" customWidth="1"/>
    <col min="3" max="3" width="26" style="98" hidden="1" customWidth="1"/>
    <col min="4" max="4" width="15" style="99" hidden="1" customWidth="1"/>
    <col min="5" max="5" width="11.5703125" style="94" hidden="1" customWidth="1"/>
    <col min="6" max="6" width="24.5703125" style="94" hidden="1" customWidth="1"/>
    <col min="7" max="7" width="9.28515625" style="94" hidden="1" customWidth="1"/>
    <col min="8" max="8" width="15.85546875" style="94" customWidth="1"/>
    <col min="9" max="9" width="12.85546875" style="95" customWidth="1"/>
    <col min="10" max="10" width="19.85546875" style="94" bestFit="1" customWidth="1"/>
    <col min="11" max="11" width="10.85546875" style="94" customWidth="1"/>
    <col min="12" max="12" width="24" style="94" bestFit="1" customWidth="1"/>
    <col min="13" max="13" width="15.28515625" style="94" customWidth="1"/>
    <col min="14" max="14" width="13.5703125" style="95" customWidth="1"/>
    <col min="15" max="15" width="15.85546875" style="94" customWidth="1"/>
    <col min="16" max="16" width="20.5703125" style="94" customWidth="1"/>
    <col min="17" max="17" width="19.42578125" style="94" customWidth="1"/>
    <col min="18" max="18" width="14.7109375" style="94" customWidth="1"/>
    <col min="19" max="19" width="30.140625" style="95" customWidth="1"/>
    <col min="20" max="20" width="15" style="98" customWidth="1"/>
    <col min="21" max="21" width="11.42578125" style="100" customWidth="1"/>
    <col min="22" max="22" width="15" style="94" customWidth="1"/>
    <col min="23" max="23" width="10.85546875" style="94" customWidth="1"/>
    <col min="24" max="24" width="16.140625" style="94" customWidth="1"/>
    <col min="25" max="25" width="15" style="94" customWidth="1"/>
    <col min="26" max="26" width="14.28515625" style="95" customWidth="1"/>
    <col min="27" max="27" width="16.42578125" style="94" customWidth="1"/>
    <col min="28" max="28" width="9" style="94" bestFit="1" customWidth="1"/>
    <col min="29" max="29" width="17.140625" style="94" customWidth="1"/>
    <col min="30" max="30" width="15.5703125" style="94" customWidth="1"/>
    <col min="31" max="31" width="11.28515625" style="95" bestFit="1" customWidth="1"/>
    <col min="32" max="32" width="21.140625" style="94" bestFit="1" customWidth="1"/>
    <col min="33" max="33" width="9.140625" style="94" customWidth="1"/>
    <col min="34" max="34" width="16.140625" style="94" bestFit="1" customWidth="1"/>
    <col min="35" max="35" width="13.28515625" style="94" bestFit="1" customWidth="1"/>
    <col min="36" max="36" width="25.5703125" style="95" customWidth="1"/>
    <col min="37" max="37" width="17.140625" style="98" customWidth="1"/>
    <col min="38" max="38" width="12" style="101" customWidth="1"/>
    <col min="39" max="39" width="19" style="94" customWidth="1"/>
    <col min="40" max="40" width="9" style="94" bestFit="1" customWidth="1"/>
    <col min="41" max="41" width="20.7109375" style="94" customWidth="1"/>
    <col min="42" max="42" width="15" style="94" customWidth="1"/>
    <col min="43" max="43" width="13.42578125" style="95" customWidth="1"/>
    <col min="44" max="44" width="19.7109375" style="98" customWidth="1"/>
    <col min="45" max="45" width="9" style="98" bestFit="1" customWidth="1"/>
    <col min="46" max="46" width="16.140625" style="98" customWidth="1"/>
    <col min="47" max="47" width="14" style="98" bestFit="1" customWidth="1"/>
    <col min="48" max="48" width="14.140625" style="98" bestFit="1" customWidth="1"/>
    <col min="49" max="49" width="21.140625" style="98" bestFit="1" customWidth="1"/>
    <col min="50" max="50" width="9" style="98" bestFit="1" customWidth="1"/>
    <col min="51" max="51" width="16.140625" style="98" bestFit="1" customWidth="1"/>
    <col min="52" max="52" width="13.42578125" style="98" bestFit="1" customWidth="1"/>
    <col min="53" max="53" width="22.42578125" style="98" customWidth="1"/>
    <col min="54" max="54" width="16.5703125" style="98" customWidth="1"/>
    <col min="55" max="55" width="15" style="98" customWidth="1"/>
    <col min="56" max="56" width="16.28515625" style="98" customWidth="1"/>
    <col min="57" max="57" width="9.5703125" style="98" customWidth="1"/>
    <col min="58" max="58" width="15.7109375" style="98" customWidth="1"/>
    <col min="59" max="59" width="14.140625" style="98" bestFit="1" customWidth="1"/>
    <col min="60" max="60" width="12.7109375" style="98" customWidth="1"/>
    <col min="61" max="61" width="23.85546875" style="94" customWidth="1"/>
    <col min="62" max="62" width="9.28515625" style="94" bestFit="1" customWidth="1"/>
    <col min="63" max="63" width="17.140625" style="94" customWidth="1"/>
    <col min="64" max="64" width="16.140625" style="95" customWidth="1"/>
    <col min="65" max="65" width="12.7109375" style="98" customWidth="1"/>
    <col min="66" max="66" width="23.85546875" style="94" customWidth="1"/>
    <col min="67" max="67" width="12.7109375" style="94" customWidth="1"/>
    <col min="68" max="68" width="17.140625" style="94" customWidth="1"/>
    <col min="69" max="69" width="16.140625" style="95" customWidth="1"/>
    <col min="70" max="256" width="9.140625" style="98"/>
    <col min="257" max="257" width="1.28515625" style="98" customWidth="1"/>
    <col min="258" max="258" width="26.85546875" style="98" customWidth="1"/>
    <col min="259" max="263" width="0" style="98" hidden="1" customWidth="1"/>
    <col min="264" max="264" width="15.85546875" style="98" customWidth="1"/>
    <col min="265" max="265" width="12.85546875" style="98" customWidth="1"/>
    <col min="266" max="266" width="19.85546875" style="98" bestFit="1" customWidth="1"/>
    <col min="267" max="267" width="10.85546875" style="98" customWidth="1"/>
    <col min="268" max="268" width="24" style="98" bestFit="1" customWidth="1"/>
    <col min="269" max="269" width="15.28515625" style="98" customWidth="1"/>
    <col min="270" max="270" width="13.5703125" style="98" customWidth="1"/>
    <col min="271" max="271" width="15.85546875" style="98" customWidth="1"/>
    <col min="272" max="272" width="20.5703125" style="98" customWidth="1"/>
    <col min="273" max="273" width="19.42578125" style="98" customWidth="1"/>
    <col min="274" max="274" width="14.7109375" style="98" customWidth="1"/>
    <col min="275" max="275" width="30.140625" style="98" customWidth="1"/>
    <col min="276" max="276" width="15" style="98" customWidth="1"/>
    <col min="277" max="277" width="11.42578125" style="98" customWidth="1"/>
    <col min="278" max="278" width="15" style="98" customWidth="1"/>
    <col min="279" max="279" width="10.85546875" style="98" customWidth="1"/>
    <col min="280" max="280" width="16.140625" style="98" customWidth="1"/>
    <col min="281" max="281" width="15" style="98" customWidth="1"/>
    <col min="282" max="282" width="14.28515625" style="98" customWidth="1"/>
    <col min="283" max="283" width="16.42578125" style="98" customWidth="1"/>
    <col min="284" max="284" width="9" style="98" bestFit="1" customWidth="1"/>
    <col min="285" max="285" width="17.140625" style="98" customWidth="1"/>
    <col min="286" max="286" width="15.5703125" style="98" customWidth="1"/>
    <col min="287" max="287" width="11.28515625" style="98" bestFit="1" customWidth="1"/>
    <col min="288" max="288" width="21.140625" style="98" bestFit="1" customWidth="1"/>
    <col min="289" max="289" width="9.140625" style="98" customWidth="1"/>
    <col min="290" max="290" width="16.140625" style="98" bestFit="1" customWidth="1"/>
    <col min="291" max="291" width="13.28515625" style="98" bestFit="1" customWidth="1"/>
    <col min="292" max="292" width="25.5703125" style="98" customWidth="1"/>
    <col min="293" max="293" width="17.140625" style="98" customWidth="1"/>
    <col min="294" max="294" width="12" style="98" customWidth="1"/>
    <col min="295" max="295" width="19" style="98" customWidth="1"/>
    <col min="296" max="296" width="9" style="98" bestFit="1" customWidth="1"/>
    <col min="297" max="297" width="20.7109375" style="98" customWidth="1"/>
    <col min="298" max="298" width="15" style="98" customWidth="1"/>
    <col min="299" max="299" width="13.42578125" style="98" customWidth="1"/>
    <col min="300" max="300" width="19.7109375" style="98" customWidth="1"/>
    <col min="301" max="301" width="9" style="98" bestFit="1" customWidth="1"/>
    <col min="302" max="302" width="16.140625" style="98" customWidth="1"/>
    <col min="303" max="303" width="14" style="98" bestFit="1" customWidth="1"/>
    <col min="304" max="304" width="14.140625" style="98" bestFit="1" customWidth="1"/>
    <col min="305" max="305" width="21.140625" style="98" bestFit="1" customWidth="1"/>
    <col min="306" max="306" width="9" style="98" bestFit="1" customWidth="1"/>
    <col min="307" max="307" width="16.140625" style="98" bestFit="1" customWidth="1"/>
    <col min="308" max="308" width="13.42578125" style="98" bestFit="1" customWidth="1"/>
    <col min="309" max="309" width="22.42578125" style="98" customWidth="1"/>
    <col min="310" max="310" width="16.5703125" style="98" customWidth="1"/>
    <col min="311" max="311" width="15" style="98" customWidth="1"/>
    <col min="312" max="312" width="16.28515625" style="98" customWidth="1"/>
    <col min="313" max="313" width="9.5703125" style="98" customWidth="1"/>
    <col min="314" max="314" width="15.7109375" style="98" customWidth="1"/>
    <col min="315" max="315" width="14.140625" style="98" bestFit="1" customWidth="1"/>
    <col min="316" max="316" width="12.7109375" style="98" customWidth="1"/>
    <col min="317" max="317" width="23.85546875" style="98" customWidth="1"/>
    <col min="318" max="318" width="9.28515625" style="98" bestFit="1" customWidth="1"/>
    <col min="319" max="319" width="17.140625" style="98" customWidth="1"/>
    <col min="320" max="320" width="16.140625" style="98" customWidth="1"/>
    <col min="321" max="321" width="12.7109375" style="98" customWidth="1"/>
    <col min="322" max="322" width="23.85546875" style="98" customWidth="1"/>
    <col min="323" max="323" width="12.7109375" style="98" customWidth="1"/>
    <col min="324" max="324" width="17.140625" style="98" customWidth="1"/>
    <col min="325" max="325" width="16.140625" style="98" customWidth="1"/>
    <col min="326" max="512" width="9.140625" style="98"/>
    <col min="513" max="513" width="1.28515625" style="98" customWidth="1"/>
    <col min="514" max="514" width="26.85546875" style="98" customWidth="1"/>
    <col min="515" max="519" width="0" style="98" hidden="1" customWidth="1"/>
    <col min="520" max="520" width="15.85546875" style="98" customWidth="1"/>
    <col min="521" max="521" width="12.85546875" style="98" customWidth="1"/>
    <col min="522" max="522" width="19.85546875" style="98" bestFit="1" customWidth="1"/>
    <col min="523" max="523" width="10.85546875" style="98" customWidth="1"/>
    <col min="524" max="524" width="24" style="98" bestFit="1" customWidth="1"/>
    <col min="525" max="525" width="15.28515625" style="98" customWidth="1"/>
    <col min="526" max="526" width="13.5703125" style="98" customWidth="1"/>
    <col min="527" max="527" width="15.85546875" style="98" customWidth="1"/>
    <col min="528" max="528" width="20.5703125" style="98" customWidth="1"/>
    <col min="529" max="529" width="19.42578125" style="98" customWidth="1"/>
    <col min="530" max="530" width="14.7109375" style="98" customWidth="1"/>
    <col min="531" max="531" width="30.140625" style="98" customWidth="1"/>
    <col min="532" max="532" width="15" style="98" customWidth="1"/>
    <col min="533" max="533" width="11.42578125" style="98" customWidth="1"/>
    <col min="534" max="534" width="15" style="98" customWidth="1"/>
    <col min="535" max="535" width="10.85546875" style="98" customWidth="1"/>
    <col min="536" max="536" width="16.140625" style="98" customWidth="1"/>
    <col min="537" max="537" width="15" style="98" customWidth="1"/>
    <col min="538" max="538" width="14.28515625" style="98" customWidth="1"/>
    <col min="539" max="539" width="16.42578125" style="98" customWidth="1"/>
    <col min="540" max="540" width="9" style="98" bestFit="1" customWidth="1"/>
    <col min="541" max="541" width="17.140625" style="98" customWidth="1"/>
    <col min="542" max="542" width="15.5703125" style="98" customWidth="1"/>
    <col min="543" max="543" width="11.28515625" style="98" bestFit="1" customWidth="1"/>
    <col min="544" max="544" width="21.140625" style="98" bestFit="1" customWidth="1"/>
    <col min="545" max="545" width="9.140625" style="98" customWidth="1"/>
    <col min="546" max="546" width="16.140625" style="98" bestFit="1" customWidth="1"/>
    <col min="547" max="547" width="13.28515625" style="98" bestFit="1" customWidth="1"/>
    <col min="548" max="548" width="25.5703125" style="98" customWidth="1"/>
    <col min="549" max="549" width="17.140625" style="98" customWidth="1"/>
    <col min="550" max="550" width="12" style="98" customWidth="1"/>
    <col min="551" max="551" width="19" style="98" customWidth="1"/>
    <col min="552" max="552" width="9" style="98" bestFit="1" customWidth="1"/>
    <col min="553" max="553" width="20.7109375" style="98" customWidth="1"/>
    <col min="554" max="554" width="15" style="98" customWidth="1"/>
    <col min="555" max="555" width="13.42578125" style="98" customWidth="1"/>
    <col min="556" max="556" width="19.7109375" style="98" customWidth="1"/>
    <col min="557" max="557" width="9" style="98" bestFit="1" customWidth="1"/>
    <col min="558" max="558" width="16.140625" style="98" customWidth="1"/>
    <col min="559" max="559" width="14" style="98" bestFit="1" customWidth="1"/>
    <col min="560" max="560" width="14.140625" style="98" bestFit="1" customWidth="1"/>
    <col min="561" max="561" width="21.140625" style="98" bestFit="1" customWidth="1"/>
    <col min="562" max="562" width="9" style="98" bestFit="1" customWidth="1"/>
    <col min="563" max="563" width="16.140625" style="98" bestFit="1" customWidth="1"/>
    <col min="564" max="564" width="13.42578125" style="98" bestFit="1" customWidth="1"/>
    <col min="565" max="565" width="22.42578125" style="98" customWidth="1"/>
    <col min="566" max="566" width="16.5703125" style="98" customWidth="1"/>
    <col min="567" max="567" width="15" style="98" customWidth="1"/>
    <col min="568" max="568" width="16.28515625" style="98" customWidth="1"/>
    <col min="569" max="569" width="9.5703125" style="98" customWidth="1"/>
    <col min="570" max="570" width="15.7109375" style="98" customWidth="1"/>
    <col min="571" max="571" width="14.140625" style="98" bestFit="1" customWidth="1"/>
    <col min="572" max="572" width="12.7109375" style="98" customWidth="1"/>
    <col min="573" max="573" width="23.85546875" style="98" customWidth="1"/>
    <col min="574" max="574" width="9.28515625" style="98" bestFit="1" customWidth="1"/>
    <col min="575" max="575" width="17.140625" style="98" customWidth="1"/>
    <col min="576" max="576" width="16.140625" style="98" customWidth="1"/>
    <col min="577" max="577" width="12.7109375" style="98" customWidth="1"/>
    <col min="578" max="578" width="23.85546875" style="98" customWidth="1"/>
    <col min="579" max="579" width="12.7109375" style="98" customWidth="1"/>
    <col min="580" max="580" width="17.140625" style="98" customWidth="1"/>
    <col min="581" max="581" width="16.140625" style="98" customWidth="1"/>
    <col min="582" max="768" width="9.140625" style="98"/>
    <col min="769" max="769" width="1.28515625" style="98" customWidth="1"/>
    <col min="770" max="770" width="26.85546875" style="98" customWidth="1"/>
    <col min="771" max="775" width="0" style="98" hidden="1" customWidth="1"/>
    <col min="776" max="776" width="15.85546875" style="98" customWidth="1"/>
    <col min="777" max="777" width="12.85546875" style="98" customWidth="1"/>
    <col min="778" max="778" width="19.85546875" style="98" bestFit="1" customWidth="1"/>
    <col min="779" max="779" width="10.85546875" style="98" customWidth="1"/>
    <col min="780" max="780" width="24" style="98" bestFit="1" customWidth="1"/>
    <col min="781" max="781" width="15.28515625" style="98" customWidth="1"/>
    <col min="782" max="782" width="13.5703125" style="98" customWidth="1"/>
    <col min="783" max="783" width="15.85546875" style="98" customWidth="1"/>
    <col min="784" max="784" width="20.5703125" style="98" customWidth="1"/>
    <col min="785" max="785" width="19.42578125" style="98" customWidth="1"/>
    <col min="786" max="786" width="14.7109375" style="98" customWidth="1"/>
    <col min="787" max="787" width="30.140625" style="98" customWidth="1"/>
    <col min="788" max="788" width="15" style="98" customWidth="1"/>
    <col min="789" max="789" width="11.42578125" style="98" customWidth="1"/>
    <col min="790" max="790" width="15" style="98" customWidth="1"/>
    <col min="791" max="791" width="10.85546875" style="98" customWidth="1"/>
    <col min="792" max="792" width="16.140625" style="98" customWidth="1"/>
    <col min="793" max="793" width="15" style="98" customWidth="1"/>
    <col min="794" max="794" width="14.28515625" style="98" customWidth="1"/>
    <col min="795" max="795" width="16.42578125" style="98" customWidth="1"/>
    <col min="796" max="796" width="9" style="98" bestFit="1" customWidth="1"/>
    <col min="797" max="797" width="17.140625" style="98" customWidth="1"/>
    <col min="798" max="798" width="15.5703125" style="98" customWidth="1"/>
    <col min="799" max="799" width="11.28515625" style="98" bestFit="1" customWidth="1"/>
    <col min="800" max="800" width="21.140625" style="98" bestFit="1" customWidth="1"/>
    <col min="801" max="801" width="9.140625" style="98" customWidth="1"/>
    <col min="802" max="802" width="16.140625" style="98" bestFit="1" customWidth="1"/>
    <col min="803" max="803" width="13.28515625" style="98" bestFit="1" customWidth="1"/>
    <col min="804" max="804" width="25.5703125" style="98" customWidth="1"/>
    <col min="805" max="805" width="17.140625" style="98" customWidth="1"/>
    <col min="806" max="806" width="12" style="98" customWidth="1"/>
    <col min="807" max="807" width="19" style="98" customWidth="1"/>
    <col min="808" max="808" width="9" style="98" bestFit="1" customWidth="1"/>
    <col min="809" max="809" width="20.7109375" style="98" customWidth="1"/>
    <col min="810" max="810" width="15" style="98" customWidth="1"/>
    <col min="811" max="811" width="13.42578125" style="98" customWidth="1"/>
    <col min="812" max="812" width="19.7109375" style="98" customWidth="1"/>
    <col min="813" max="813" width="9" style="98" bestFit="1" customWidth="1"/>
    <col min="814" max="814" width="16.140625" style="98" customWidth="1"/>
    <col min="815" max="815" width="14" style="98" bestFit="1" customWidth="1"/>
    <col min="816" max="816" width="14.140625" style="98" bestFit="1" customWidth="1"/>
    <col min="817" max="817" width="21.140625" style="98" bestFit="1" customWidth="1"/>
    <col min="818" max="818" width="9" style="98" bestFit="1" customWidth="1"/>
    <col min="819" max="819" width="16.140625" style="98" bestFit="1" customWidth="1"/>
    <col min="820" max="820" width="13.42578125" style="98" bestFit="1" customWidth="1"/>
    <col min="821" max="821" width="22.42578125" style="98" customWidth="1"/>
    <col min="822" max="822" width="16.5703125" style="98" customWidth="1"/>
    <col min="823" max="823" width="15" style="98" customWidth="1"/>
    <col min="824" max="824" width="16.28515625" style="98" customWidth="1"/>
    <col min="825" max="825" width="9.5703125" style="98" customWidth="1"/>
    <col min="826" max="826" width="15.7109375" style="98" customWidth="1"/>
    <col min="827" max="827" width="14.140625" style="98" bestFit="1" customWidth="1"/>
    <col min="828" max="828" width="12.7109375" style="98" customWidth="1"/>
    <col min="829" max="829" width="23.85546875" style="98" customWidth="1"/>
    <col min="830" max="830" width="9.28515625" style="98" bestFit="1" customWidth="1"/>
    <col min="831" max="831" width="17.140625" style="98" customWidth="1"/>
    <col min="832" max="832" width="16.140625" style="98" customWidth="1"/>
    <col min="833" max="833" width="12.7109375" style="98" customWidth="1"/>
    <col min="834" max="834" width="23.85546875" style="98" customWidth="1"/>
    <col min="835" max="835" width="12.7109375" style="98" customWidth="1"/>
    <col min="836" max="836" width="17.140625" style="98" customWidth="1"/>
    <col min="837" max="837" width="16.140625" style="98" customWidth="1"/>
    <col min="838" max="1024" width="9.140625" style="98"/>
    <col min="1025" max="1025" width="1.28515625" style="98" customWidth="1"/>
    <col min="1026" max="1026" width="26.85546875" style="98" customWidth="1"/>
    <col min="1027" max="1031" width="0" style="98" hidden="1" customWidth="1"/>
    <col min="1032" max="1032" width="15.85546875" style="98" customWidth="1"/>
    <col min="1033" max="1033" width="12.85546875" style="98" customWidth="1"/>
    <col min="1034" max="1034" width="19.85546875" style="98" bestFit="1" customWidth="1"/>
    <col min="1035" max="1035" width="10.85546875" style="98" customWidth="1"/>
    <col min="1036" max="1036" width="24" style="98" bestFit="1" customWidth="1"/>
    <col min="1037" max="1037" width="15.28515625" style="98" customWidth="1"/>
    <col min="1038" max="1038" width="13.5703125" style="98" customWidth="1"/>
    <col min="1039" max="1039" width="15.85546875" style="98" customWidth="1"/>
    <col min="1040" max="1040" width="20.5703125" style="98" customWidth="1"/>
    <col min="1041" max="1041" width="19.42578125" style="98" customWidth="1"/>
    <col min="1042" max="1042" width="14.7109375" style="98" customWidth="1"/>
    <col min="1043" max="1043" width="30.140625" style="98" customWidth="1"/>
    <col min="1044" max="1044" width="15" style="98" customWidth="1"/>
    <col min="1045" max="1045" width="11.42578125" style="98" customWidth="1"/>
    <col min="1046" max="1046" width="15" style="98" customWidth="1"/>
    <col min="1047" max="1047" width="10.85546875" style="98" customWidth="1"/>
    <col min="1048" max="1048" width="16.140625" style="98" customWidth="1"/>
    <col min="1049" max="1049" width="15" style="98" customWidth="1"/>
    <col min="1050" max="1050" width="14.28515625" style="98" customWidth="1"/>
    <col min="1051" max="1051" width="16.42578125" style="98" customWidth="1"/>
    <col min="1052" max="1052" width="9" style="98" bestFit="1" customWidth="1"/>
    <col min="1053" max="1053" width="17.140625" style="98" customWidth="1"/>
    <col min="1054" max="1054" width="15.5703125" style="98" customWidth="1"/>
    <col min="1055" max="1055" width="11.28515625" style="98" bestFit="1" customWidth="1"/>
    <col min="1056" max="1056" width="21.140625" style="98" bestFit="1" customWidth="1"/>
    <col min="1057" max="1057" width="9.140625" style="98" customWidth="1"/>
    <col min="1058" max="1058" width="16.140625" style="98" bestFit="1" customWidth="1"/>
    <col min="1059" max="1059" width="13.28515625" style="98" bestFit="1" customWidth="1"/>
    <col min="1060" max="1060" width="25.5703125" style="98" customWidth="1"/>
    <col min="1061" max="1061" width="17.140625" style="98" customWidth="1"/>
    <col min="1062" max="1062" width="12" style="98" customWidth="1"/>
    <col min="1063" max="1063" width="19" style="98" customWidth="1"/>
    <col min="1064" max="1064" width="9" style="98" bestFit="1" customWidth="1"/>
    <col min="1065" max="1065" width="20.7109375" style="98" customWidth="1"/>
    <col min="1066" max="1066" width="15" style="98" customWidth="1"/>
    <col min="1067" max="1067" width="13.42578125" style="98" customWidth="1"/>
    <col min="1068" max="1068" width="19.7109375" style="98" customWidth="1"/>
    <col min="1069" max="1069" width="9" style="98" bestFit="1" customWidth="1"/>
    <col min="1070" max="1070" width="16.140625" style="98" customWidth="1"/>
    <col min="1071" max="1071" width="14" style="98" bestFit="1" customWidth="1"/>
    <col min="1072" max="1072" width="14.140625" style="98" bestFit="1" customWidth="1"/>
    <col min="1073" max="1073" width="21.140625" style="98" bestFit="1" customWidth="1"/>
    <col min="1074" max="1074" width="9" style="98" bestFit="1" customWidth="1"/>
    <col min="1075" max="1075" width="16.140625" style="98" bestFit="1" customWidth="1"/>
    <col min="1076" max="1076" width="13.42578125" style="98" bestFit="1" customWidth="1"/>
    <col min="1077" max="1077" width="22.42578125" style="98" customWidth="1"/>
    <col min="1078" max="1078" width="16.5703125" style="98" customWidth="1"/>
    <col min="1079" max="1079" width="15" style="98" customWidth="1"/>
    <col min="1080" max="1080" width="16.28515625" style="98" customWidth="1"/>
    <col min="1081" max="1081" width="9.5703125" style="98" customWidth="1"/>
    <col min="1082" max="1082" width="15.7109375" style="98" customWidth="1"/>
    <col min="1083" max="1083" width="14.140625" style="98" bestFit="1" customWidth="1"/>
    <col min="1084" max="1084" width="12.7109375" style="98" customWidth="1"/>
    <col min="1085" max="1085" width="23.85546875" style="98" customWidth="1"/>
    <col min="1086" max="1086" width="9.28515625" style="98" bestFit="1" customWidth="1"/>
    <col min="1087" max="1087" width="17.140625" style="98" customWidth="1"/>
    <col min="1088" max="1088" width="16.140625" style="98" customWidth="1"/>
    <col min="1089" max="1089" width="12.7109375" style="98" customWidth="1"/>
    <col min="1090" max="1090" width="23.85546875" style="98" customWidth="1"/>
    <col min="1091" max="1091" width="12.7109375" style="98" customWidth="1"/>
    <col min="1092" max="1092" width="17.140625" style="98" customWidth="1"/>
    <col min="1093" max="1093" width="16.140625" style="98" customWidth="1"/>
    <col min="1094" max="1280" width="9.140625" style="98"/>
    <col min="1281" max="1281" width="1.28515625" style="98" customWidth="1"/>
    <col min="1282" max="1282" width="26.85546875" style="98" customWidth="1"/>
    <col min="1283" max="1287" width="0" style="98" hidden="1" customWidth="1"/>
    <col min="1288" max="1288" width="15.85546875" style="98" customWidth="1"/>
    <col min="1289" max="1289" width="12.85546875" style="98" customWidth="1"/>
    <col min="1290" max="1290" width="19.85546875" style="98" bestFit="1" customWidth="1"/>
    <col min="1291" max="1291" width="10.85546875" style="98" customWidth="1"/>
    <col min="1292" max="1292" width="24" style="98" bestFit="1" customWidth="1"/>
    <col min="1293" max="1293" width="15.28515625" style="98" customWidth="1"/>
    <col min="1294" max="1294" width="13.5703125" style="98" customWidth="1"/>
    <col min="1295" max="1295" width="15.85546875" style="98" customWidth="1"/>
    <col min="1296" max="1296" width="20.5703125" style="98" customWidth="1"/>
    <col min="1297" max="1297" width="19.42578125" style="98" customWidth="1"/>
    <col min="1298" max="1298" width="14.7109375" style="98" customWidth="1"/>
    <col min="1299" max="1299" width="30.140625" style="98" customWidth="1"/>
    <col min="1300" max="1300" width="15" style="98" customWidth="1"/>
    <col min="1301" max="1301" width="11.42578125" style="98" customWidth="1"/>
    <col min="1302" max="1302" width="15" style="98" customWidth="1"/>
    <col min="1303" max="1303" width="10.85546875" style="98" customWidth="1"/>
    <col min="1304" max="1304" width="16.140625" style="98" customWidth="1"/>
    <col min="1305" max="1305" width="15" style="98" customWidth="1"/>
    <col min="1306" max="1306" width="14.28515625" style="98" customWidth="1"/>
    <col min="1307" max="1307" width="16.42578125" style="98" customWidth="1"/>
    <col min="1308" max="1308" width="9" style="98" bestFit="1" customWidth="1"/>
    <col min="1309" max="1309" width="17.140625" style="98" customWidth="1"/>
    <col min="1310" max="1310" width="15.5703125" style="98" customWidth="1"/>
    <col min="1311" max="1311" width="11.28515625" style="98" bestFit="1" customWidth="1"/>
    <col min="1312" max="1312" width="21.140625" style="98" bestFit="1" customWidth="1"/>
    <col min="1313" max="1313" width="9.140625" style="98" customWidth="1"/>
    <col min="1314" max="1314" width="16.140625" style="98" bestFit="1" customWidth="1"/>
    <col min="1315" max="1315" width="13.28515625" style="98" bestFit="1" customWidth="1"/>
    <col min="1316" max="1316" width="25.5703125" style="98" customWidth="1"/>
    <col min="1317" max="1317" width="17.140625" style="98" customWidth="1"/>
    <col min="1318" max="1318" width="12" style="98" customWidth="1"/>
    <col min="1319" max="1319" width="19" style="98" customWidth="1"/>
    <col min="1320" max="1320" width="9" style="98" bestFit="1" customWidth="1"/>
    <col min="1321" max="1321" width="20.7109375" style="98" customWidth="1"/>
    <col min="1322" max="1322" width="15" style="98" customWidth="1"/>
    <col min="1323" max="1323" width="13.42578125" style="98" customWidth="1"/>
    <col min="1324" max="1324" width="19.7109375" style="98" customWidth="1"/>
    <col min="1325" max="1325" width="9" style="98" bestFit="1" customWidth="1"/>
    <col min="1326" max="1326" width="16.140625" style="98" customWidth="1"/>
    <col min="1327" max="1327" width="14" style="98" bestFit="1" customWidth="1"/>
    <col min="1328" max="1328" width="14.140625" style="98" bestFit="1" customWidth="1"/>
    <col min="1329" max="1329" width="21.140625" style="98" bestFit="1" customWidth="1"/>
    <col min="1330" max="1330" width="9" style="98" bestFit="1" customWidth="1"/>
    <col min="1331" max="1331" width="16.140625" style="98" bestFit="1" customWidth="1"/>
    <col min="1332" max="1332" width="13.42578125" style="98" bestFit="1" customWidth="1"/>
    <col min="1333" max="1333" width="22.42578125" style="98" customWidth="1"/>
    <col min="1334" max="1334" width="16.5703125" style="98" customWidth="1"/>
    <col min="1335" max="1335" width="15" style="98" customWidth="1"/>
    <col min="1336" max="1336" width="16.28515625" style="98" customWidth="1"/>
    <col min="1337" max="1337" width="9.5703125" style="98" customWidth="1"/>
    <col min="1338" max="1338" width="15.7109375" style="98" customWidth="1"/>
    <col min="1339" max="1339" width="14.140625" style="98" bestFit="1" customWidth="1"/>
    <col min="1340" max="1340" width="12.7109375" style="98" customWidth="1"/>
    <col min="1341" max="1341" width="23.85546875" style="98" customWidth="1"/>
    <col min="1342" max="1342" width="9.28515625" style="98" bestFit="1" customWidth="1"/>
    <col min="1343" max="1343" width="17.140625" style="98" customWidth="1"/>
    <col min="1344" max="1344" width="16.140625" style="98" customWidth="1"/>
    <col min="1345" max="1345" width="12.7109375" style="98" customWidth="1"/>
    <col min="1346" max="1346" width="23.85546875" style="98" customWidth="1"/>
    <col min="1347" max="1347" width="12.7109375" style="98" customWidth="1"/>
    <col min="1348" max="1348" width="17.140625" style="98" customWidth="1"/>
    <col min="1349" max="1349" width="16.140625" style="98" customWidth="1"/>
    <col min="1350" max="1536" width="9.140625" style="98"/>
    <col min="1537" max="1537" width="1.28515625" style="98" customWidth="1"/>
    <col min="1538" max="1538" width="26.85546875" style="98" customWidth="1"/>
    <col min="1539" max="1543" width="0" style="98" hidden="1" customWidth="1"/>
    <col min="1544" max="1544" width="15.85546875" style="98" customWidth="1"/>
    <col min="1545" max="1545" width="12.85546875" style="98" customWidth="1"/>
    <col min="1546" max="1546" width="19.85546875" style="98" bestFit="1" customWidth="1"/>
    <col min="1547" max="1547" width="10.85546875" style="98" customWidth="1"/>
    <col min="1548" max="1548" width="24" style="98" bestFit="1" customWidth="1"/>
    <col min="1549" max="1549" width="15.28515625" style="98" customWidth="1"/>
    <col min="1550" max="1550" width="13.5703125" style="98" customWidth="1"/>
    <col min="1551" max="1551" width="15.85546875" style="98" customWidth="1"/>
    <col min="1552" max="1552" width="20.5703125" style="98" customWidth="1"/>
    <col min="1553" max="1553" width="19.42578125" style="98" customWidth="1"/>
    <col min="1554" max="1554" width="14.7109375" style="98" customWidth="1"/>
    <col min="1555" max="1555" width="30.140625" style="98" customWidth="1"/>
    <col min="1556" max="1556" width="15" style="98" customWidth="1"/>
    <col min="1557" max="1557" width="11.42578125" style="98" customWidth="1"/>
    <col min="1558" max="1558" width="15" style="98" customWidth="1"/>
    <col min="1559" max="1559" width="10.85546875" style="98" customWidth="1"/>
    <col min="1560" max="1560" width="16.140625" style="98" customWidth="1"/>
    <col min="1561" max="1561" width="15" style="98" customWidth="1"/>
    <col min="1562" max="1562" width="14.28515625" style="98" customWidth="1"/>
    <col min="1563" max="1563" width="16.42578125" style="98" customWidth="1"/>
    <col min="1564" max="1564" width="9" style="98" bestFit="1" customWidth="1"/>
    <col min="1565" max="1565" width="17.140625" style="98" customWidth="1"/>
    <col min="1566" max="1566" width="15.5703125" style="98" customWidth="1"/>
    <col min="1567" max="1567" width="11.28515625" style="98" bestFit="1" customWidth="1"/>
    <col min="1568" max="1568" width="21.140625" style="98" bestFit="1" customWidth="1"/>
    <col min="1569" max="1569" width="9.140625" style="98" customWidth="1"/>
    <col min="1570" max="1570" width="16.140625" style="98" bestFit="1" customWidth="1"/>
    <col min="1571" max="1571" width="13.28515625" style="98" bestFit="1" customWidth="1"/>
    <col min="1572" max="1572" width="25.5703125" style="98" customWidth="1"/>
    <col min="1573" max="1573" width="17.140625" style="98" customWidth="1"/>
    <col min="1574" max="1574" width="12" style="98" customWidth="1"/>
    <col min="1575" max="1575" width="19" style="98" customWidth="1"/>
    <col min="1576" max="1576" width="9" style="98" bestFit="1" customWidth="1"/>
    <col min="1577" max="1577" width="20.7109375" style="98" customWidth="1"/>
    <col min="1578" max="1578" width="15" style="98" customWidth="1"/>
    <col min="1579" max="1579" width="13.42578125" style="98" customWidth="1"/>
    <col min="1580" max="1580" width="19.7109375" style="98" customWidth="1"/>
    <col min="1581" max="1581" width="9" style="98" bestFit="1" customWidth="1"/>
    <col min="1582" max="1582" width="16.140625" style="98" customWidth="1"/>
    <col min="1583" max="1583" width="14" style="98" bestFit="1" customWidth="1"/>
    <col min="1584" max="1584" width="14.140625" style="98" bestFit="1" customWidth="1"/>
    <col min="1585" max="1585" width="21.140625" style="98" bestFit="1" customWidth="1"/>
    <col min="1586" max="1586" width="9" style="98" bestFit="1" customWidth="1"/>
    <col min="1587" max="1587" width="16.140625" style="98" bestFit="1" customWidth="1"/>
    <col min="1588" max="1588" width="13.42578125" style="98" bestFit="1" customWidth="1"/>
    <col min="1589" max="1589" width="22.42578125" style="98" customWidth="1"/>
    <col min="1590" max="1590" width="16.5703125" style="98" customWidth="1"/>
    <col min="1591" max="1591" width="15" style="98" customWidth="1"/>
    <col min="1592" max="1592" width="16.28515625" style="98" customWidth="1"/>
    <col min="1593" max="1593" width="9.5703125" style="98" customWidth="1"/>
    <col min="1594" max="1594" width="15.7109375" style="98" customWidth="1"/>
    <col min="1595" max="1595" width="14.140625" style="98" bestFit="1" customWidth="1"/>
    <col min="1596" max="1596" width="12.7109375" style="98" customWidth="1"/>
    <col min="1597" max="1597" width="23.85546875" style="98" customWidth="1"/>
    <col min="1598" max="1598" width="9.28515625" style="98" bestFit="1" customWidth="1"/>
    <col min="1599" max="1599" width="17.140625" style="98" customWidth="1"/>
    <col min="1600" max="1600" width="16.140625" style="98" customWidth="1"/>
    <col min="1601" max="1601" width="12.7109375" style="98" customWidth="1"/>
    <col min="1602" max="1602" width="23.85546875" style="98" customWidth="1"/>
    <col min="1603" max="1603" width="12.7109375" style="98" customWidth="1"/>
    <col min="1604" max="1604" width="17.140625" style="98" customWidth="1"/>
    <col min="1605" max="1605" width="16.140625" style="98" customWidth="1"/>
    <col min="1606" max="1792" width="9.140625" style="98"/>
    <col min="1793" max="1793" width="1.28515625" style="98" customWidth="1"/>
    <col min="1794" max="1794" width="26.85546875" style="98" customWidth="1"/>
    <col min="1795" max="1799" width="0" style="98" hidden="1" customWidth="1"/>
    <col min="1800" max="1800" width="15.85546875" style="98" customWidth="1"/>
    <col min="1801" max="1801" width="12.85546875" style="98" customWidth="1"/>
    <col min="1802" max="1802" width="19.85546875" style="98" bestFit="1" customWidth="1"/>
    <col min="1803" max="1803" width="10.85546875" style="98" customWidth="1"/>
    <col min="1804" max="1804" width="24" style="98" bestFit="1" customWidth="1"/>
    <col min="1805" max="1805" width="15.28515625" style="98" customWidth="1"/>
    <col min="1806" max="1806" width="13.5703125" style="98" customWidth="1"/>
    <col min="1807" max="1807" width="15.85546875" style="98" customWidth="1"/>
    <col min="1808" max="1808" width="20.5703125" style="98" customWidth="1"/>
    <col min="1809" max="1809" width="19.42578125" style="98" customWidth="1"/>
    <col min="1810" max="1810" width="14.7109375" style="98" customWidth="1"/>
    <col min="1811" max="1811" width="30.140625" style="98" customWidth="1"/>
    <col min="1812" max="1812" width="15" style="98" customWidth="1"/>
    <col min="1813" max="1813" width="11.42578125" style="98" customWidth="1"/>
    <col min="1814" max="1814" width="15" style="98" customWidth="1"/>
    <col min="1815" max="1815" width="10.85546875" style="98" customWidth="1"/>
    <col min="1816" max="1816" width="16.140625" style="98" customWidth="1"/>
    <col min="1817" max="1817" width="15" style="98" customWidth="1"/>
    <col min="1818" max="1818" width="14.28515625" style="98" customWidth="1"/>
    <col min="1819" max="1819" width="16.42578125" style="98" customWidth="1"/>
    <col min="1820" max="1820" width="9" style="98" bestFit="1" customWidth="1"/>
    <col min="1821" max="1821" width="17.140625" style="98" customWidth="1"/>
    <col min="1822" max="1822" width="15.5703125" style="98" customWidth="1"/>
    <col min="1823" max="1823" width="11.28515625" style="98" bestFit="1" customWidth="1"/>
    <col min="1824" max="1824" width="21.140625" style="98" bestFit="1" customWidth="1"/>
    <col min="1825" max="1825" width="9.140625" style="98" customWidth="1"/>
    <col min="1826" max="1826" width="16.140625" style="98" bestFit="1" customWidth="1"/>
    <col min="1827" max="1827" width="13.28515625" style="98" bestFit="1" customWidth="1"/>
    <col min="1828" max="1828" width="25.5703125" style="98" customWidth="1"/>
    <col min="1829" max="1829" width="17.140625" style="98" customWidth="1"/>
    <col min="1830" max="1830" width="12" style="98" customWidth="1"/>
    <col min="1831" max="1831" width="19" style="98" customWidth="1"/>
    <col min="1832" max="1832" width="9" style="98" bestFit="1" customWidth="1"/>
    <col min="1833" max="1833" width="20.7109375" style="98" customWidth="1"/>
    <col min="1834" max="1834" width="15" style="98" customWidth="1"/>
    <col min="1835" max="1835" width="13.42578125" style="98" customWidth="1"/>
    <col min="1836" max="1836" width="19.7109375" style="98" customWidth="1"/>
    <col min="1837" max="1837" width="9" style="98" bestFit="1" customWidth="1"/>
    <col min="1838" max="1838" width="16.140625" style="98" customWidth="1"/>
    <col min="1839" max="1839" width="14" style="98" bestFit="1" customWidth="1"/>
    <col min="1840" max="1840" width="14.140625" style="98" bestFit="1" customWidth="1"/>
    <col min="1841" max="1841" width="21.140625" style="98" bestFit="1" customWidth="1"/>
    <col min="1842" max="1842" width="9" style="98" bestFit="1" customWidth="1"/>
    <col min="1843" max="1843" width="16.140625" style="98" bestFit="1" customWidth="1"/>
    <col min="1844" max="1844" width="13.42578125" style="98" bestFit="1" customWidth="1"/>
    <col min="1845" max="1845" width="22.42578125" style="98" customWidth="1"/>
    <col min="1846" max="1846" width="16.5703125" style="98" customWidth="1"/>
    <col min="1847" max="1847" width="15" style="98" customWidth="1"/>
    <col min="1848" max="1848" width="16.28515625" style="98" customWidth="1"/>
    <col min="1849" max="1849" width="9.5703125" style="98" customWidth="1"/>
    <col min="1850" max="1850" width="15.7109375" style="98" customWidth="1"/>
    <col min="1851" max="1851" width="14.140625" style="98" bestFit="1" customWidth="1"/>
    <col min="1852" max="1852" width="12.7109375" style="98" customWidth="1"/>
    <col min="1853" max="1853" width="23.85546875" style="98" customWidth="1"/>
    <col min="1854" max="1854" width="9.28515625" style="98" bestFit="1" customWidth="1"/>
    <col min="1855" max="1855" width="17.140625" style="98" customWidth="1"/>
    <col min="1856" max="1856" width="16.140625" style="98" customWidth="1"/>
    <col min="1857" max="1857" width="12.7109375" style="98" customWidth="1"/>
    <col min="1858" max="1858" width="23.85546875" style="98" customWidth="1"/>
    <col min="1859" max="1859" width="12.7109375" style="98" customWidth="1"/>
    <col min="1860" max="1860" width="17.140625" style="98" customWidth="1"/>
    <col min="1861" max="1861" width="16.140625" style="98" customWidth="1"/>
    <col min="1862" max="2048" width="9.140625" style="98"/>
    <col min="2049" max="2049" width="1.28515625" style="98" customWidth="1"/>
    <col min="2050" max="2050" width="26.85546875" style="98" customWidth="1"/>
    <col min="2051" max="2055" width="0" style="98" hidden="1" customWidth="1"/>
    <col min="2056" max="2056" width="15.85546875" style="98" customWidth="1"/>
    <col min="2057" max="2057" width="12.85546875" style="98" customWidth="1"/>
    <col min="2058" max="2058" width="19.85546875" style="98" bestFit="1" customWidth="1"/>
    <col min="2059" max="2059" width="10.85546875" style="98" customWidth="1"/>
    <col min="2060" max="2060" width="24" style="98" bestFit="1" customWidth="1"/>
    <col min="2061" max="2061" width="15.28515625" style="98" customWidth="1"/>
    <col min="2062" max="2062" width="13.5703125" style="98" customWidth="1"/>
    <col min="2063" max="2063" width="15.85546875" style="98" customWidth="1"/>
    <col min="2064" max="2064" width="20.5703125" style="98" customWidth="1"/>
    <col min="2065" max="2065" width="19.42578125" style="98" customWidth="1"/>
    <col min="2066" max="2066" width="14.7109375" style="98" customWidth="1"/>
    <col min="2067" max="2067" width="30.140625" style="98" customWidth="1"/>
    <col min="2068" max="2068" width="15" style="98" customWidth="1"/>
    <col min="2069" max="2069" width="11.42578125" style="98" customWidth="1"/>
    <col min="2070" max="2070" width="15" style="98" customWidth="1"/>
    <col min="2071" max="2071" width="10.85546875" style="98" customWidth="1"/>
    <col min="2072" max="2072" width="16.140625" style="98" customWidth="1"/>
    <col min="2073" max="2073" width="15" style="98" customWidth="1"/>
    <col min="2074" max="2074" width="14.28515625" style="98" customWidth="1"/>
    <col min="2075" max="2075" width="16.42578125" style="98" customWidth="1"/>
    <col min="2076" max="2076" width="9" style="98" bestFit="1" customWidth="1"/>
    <col min="2077" max="2077" width="17.140625" style="98" customWidth="1"/>
    <col min="2078" max="2078" width="15.5703125" style="98" customWidth="1"/>
    <col min="2079" max="2079" width="11.28515625" style="98" bestFit="1" customWidth="1"/>
    <col min="2080" max="2080" width="21.140625" style="98" bestFit="1" customWidth="1"/>
    <col min="2081" max="2081" width="9.140625" style="98" customWidth="1"/>
    <col min="2082" max="2082" width="16.140625" style="98" bestFit="1" customWidth="1"/>
    <col min="2083" max="2083" width="13.28515625" style="98" bestFit="1" customWidth="1"/>
    <col min="2084" max="2084" width="25.5703125" style="98" customWidth="1"/>
    <col min="2085" max="2085" width="17.140625" style="98" customWidth="1"/>
    <col min="2086" max="2086" width="12" style="98" customWidth="1"/>
    <col min="2087" max="2087" width="19" style="98" customWidth="1"/>
    <col min="2088" max="2088" width="9" style="98" bestFit="1" customWidth="1"/>
    <col min="2089" max="2089" width="20.7109375" style="98" customWidth="1"/>
    <col min="2090" max="2090" width="15" style="98" customWidth="1"/>
    <col min="2091" max="2091" width="13.42578125" style="98" customWidth="1"/>
    <col min="2092" max="2092" width="19.7109375" style="98" customWidth="1"/>
    <col min="2093" max="2093" width="9" style="98" bestFit="1" customWidth="1"/>
    <col min="2094" max="2094" width="16.140625" style="98" customWidth="1"/>
    <col min="2095" max="2095" width="14" style="98" bestFit="1" customWidth="1"/>
    <col min="2096" max="2096" width="14.140625" style="98" bestFit="1" customWidth="1"/>
    <col min="2097" max="2097" width="21.140625" style="98" bestFit="1" customWidth="1"/>
    <col min="2098" max="2098" width="9" style="98" bestFit="1" customWidth="1"/>
    <col min="2099" max="2099" width="16.140625" style="98" bestFit="1" customWidth="1"/>
    <col min="2100" max="2100" width="13.42578125" style="98" bestFit="1" customWidth="1"/>
    <col min="2101" max="2101" width="22.42578125" style="98" customWidth="1"/>
    <col min="2102" max="2102" width="16.5703125" style="98" customWidth="1"/>
    <col min="2103" max="2103" width="15" style="98" customWidth="1"/>
    <col min="2104" max="2104" width="16.28515625" style="98" customWidth="1"/>
    <col min="2105" max="2105" width="9.5703125" style="98" customWidth="1"/>
    <col min="2106" max="2106" width="15.7109375" style="98" customWidth="1"/>
    <col min="2107" max="2107" width="14.140625" style="98" bestFit="1" customWidth="1"/>
    <col min="2108" max="2108" width="12.7109375" style="98" customWidth="1"/>
    <col min="2109" max="2109" width="23.85546875" style="98" customWidth="1"/>
    <col min="2110" max="2110" width="9.28515625" style="98" bestFit="1" customWidth="1"/>
    <col min="2111" max="2111" width="17.140625" style="98" customWidth="1"/>
    <col min="2112" max="2112" width="16.140625" style="98" customWidth="1"/>
    <col min="2113" max="2113" width="12.7109375" style="98" customWidth="1"/>
    <col min="2114" max="2114" width="23.85546875" style="98" customWidth="1"/>
    <col min="2115" max="2115" width="12.7109375" style="98" customWidth="1"/>
    <col min="2116" max="2116" width="17.140625" style="98" customWidth="1"/>
    <col min="2117" max="2117" width="16.140625" style="98" customWidth="1"/>
    <col min="2118" max="2304" width="9.140625" style="98"/>
    <col min="2305" max="2305" width="1.28515625" style="98" customWidth="1"/>
    <col min="2306" max="2306" width="26.85546875" style="98" customWidth="1"/>
    <col min="2307" max="2311" width="0" style="98" hidden="1" customWidth="1"/>
    <col min="2312" max="2312" width="15.85546875" style="98" customWidth="1"/>
    <col min="2313" max="2313" width="12.85546875" style="98" customWidth="1"/>
    <col min="2314" max="2314" width="19.85546875" style="98" bestFit="1" customWidth="1"/>
    <col min="2315" max="2315" width="10.85546875" style="98" customWidth="1"/>
    <col min="2316" max="2316" width="24" style="98" bestFit="1" customWidth="1"/>
    <col min="2317" max="2317" width="15.28515625" style="98" customWidth="1"/>
    <col min="2318" max="2318" width="13.5703125" style="98" customWidth="1"/>
    <col min="2319" max="2319" width="15.85546875" style="98" customWidth="1"/>
    <col min="2320" max="2320" width="20.5703125" style="98" customWidth="1"/>
    <col min="2321" max="2321" width="19.42578125" style="98" customWidth="1"/>
    <col min="2322" max="2322" width="14.7109375" style="98" customWidth="1"/>
    <col min="2323" max="2323" width="30.140625" style="98" customWidth="1"/>
    <col min="2324" max="2324" width="15" style="98" customWidth="1"/>
    <col min="2325" max="2325" width="11.42578125" style="98" customWidth="1"/>
    <col min="2326" max="2326" width="15" style="98" customWidth="1"/>
    <col min="2327" max="2327" width="10.85546875" style="98" customWidth="1"/>
    <col min="2328" max="2328" width="16.140625" style="98" customWidth="1"/>
    <col min="2329" max="2329" width="15" style="98" customWidth="1"/>
    <col min="2330" max="2330" width="14.28515625" style="98" customWidth="1"/>
    <col min="2331" max="2331" width="16.42578125" style="98" customWidth="1"/>
    <col min="2332" max="2332" width="9" style="98" bestFit="1" customWidth="1"/>
    <col min="2333" max="2333" width="17.140625" style="98" customWidth="1"/>
    <col min="2334" max="2334" width="15.5703125" style="98" customWidth="1"/>
    <col min="2335" max="2335" width="11.28515625" style="98" bestFit="1" customWidth="1"/>
    <col min="2336" max="2336" width="21.140625" style="98" bestFit="1" customWidth="1"/>
    <col min="2337" max="2337" width="9.140625" style="98" customWidth="1"/>
    <col min="2338" max="2338" width="16.140625" style="98" bestFit="1" customWidth="1"/>
    <col min="2339" max="2339" width="13.28515625" style="98" bestFit="1" customWidth="1"/>
    <col min="2340" max="2340" width="25.5703125" style="98" customWidth="1"/>
    <col min="2341" max="2341" width="17.140625" style="98" customWidth="1"/>
    <col min="2342" max="2342" width="12" style="98" customWidth="1"/>
    <col min="2343" max="2343" width="19" style="98" customWidth="1"/>
    <col min="2344" max="2344" width="9" style="98" bestFit="1" customWidth="1"/>
    <col min="2345" max="2345" width="20.7109375" style="98" customWidth="1"/>
    <col min="2346" max="2346" width="15" style="98" customWidth="1"/>
    <col min="2347" max="2347" width="13.42578125" style="98" customWidth="1"/>
    <col min="2348" max="2348" width="19.7109375" style="98" customWidth="1"/>
    <col min="2349" max="2349" width="9" style="98" bestFit="1" customWidth="1"/>
    <col min="2350" max="2350" width="16.140625" style="98" customWidth="1"/>
    <col min="2351" max="2351" width="14" style="98" bestFit="1" customWidth="1"/>
    <col min="2352" max="2352" width="14.140625" style="98" bestFit="1" customWidth="1"/>
    <col min="2353" max="2353" width="21.140625" style="98" bestFit="1" customWidth="1"/>
    <col min="2354" max="2354" width="9" style="98" bestFit="1" customWidth="1"/>
    <col min="2355" max="2355" width="16.140625" style="98" bestFit="1" customWidth="1"/>
    <col min="2356" max="2356" width="13.42578125" style="98" bestFit="1" customWidth="1"/>
    <col min="2357" max="2357" width="22.42578125" style="98" customWidth="1"/>
    <col min="2358" max="2358" width="16.5703125" style="98" customWidth="1"/>
    <col min="2359" max="2359" width="15" style="98" customWidth="1"/>
    <col min="2360" max="2360" width="16.28515625" style="98" customWidth="1"/>
    <col min="2361" max="2361" width="9.5703125" style="98" customWidth="1"/>
    <col min="2362" max="2362" width="15.7109375" style="98" customWidth="1"/>
    <col min="2363" max="2363" width="14.140625" style="98" bestFit="1" customWidth="1"/>
    <col min="2364" max="2364" width="12.7109375" style="98" customWidth="1"/>
    <col min="2365" max="2365" width="23.85546875" style="98" customWidth="1"/>
    <col min="2366" max="2366" width="9.28515625" style="98" bestFit="1" customWidth="1"/>
    <col min="2367" max="2367" width="17.140625" style="98" customWidth="1"/>
    <col min="2368" max="2368" width="16.140625" style="98" customWidth="1"/>
    <col min="2369" max="2369" width="12.7109375" style="98" customWidth="1"/>
    <col min="2370" max="2370" width="23.85546875" style="98" customWidth="1"/>
    <col min="2371" max="2371" width="12.7109375" style="98" customWidth="1"/>
    <col min="2372" max="2372" width="17.140625" style="98" customWidth="1"/>
    <col min="2373" max="2373" width="16.140625" style="98" customWidth="1"/>
    <col min="2374" max="2560" width="9.140625" style="98"/>
    <col min="2561" max="2561" width="1.28515625" style="98" customWidth="1"/>
    <col min="2562" max="2562" width="26.85546875" style="98" customWidth="1"/>
    <col min="2563" max="2567" width="0" style="98" hidden="1" customWidth="1"/>
    <col min="2568" max="2568" width="15.85546875" style="98" customWidth="1"/>
    <col min="2569" max="2569" width="12.85546875" style="98" customWidth="1"/>
    <col min="2570" max="2570" width="19.85546875" style="98" bestFit="1" customWidth="1"/>
    <col min="2571" max="2571" width="10.85546875" style="98" customWidth="1"/>
    <col min="2572" max="2572" width="24" style="98" bestFit="1" customWidth="1"/>
    <col min="2573" max="2573" width="15.28515625" style="98" customWidth="1"/>
    <col min="2574" max="2574" width="13.5703125" style="98" customWidth="1"/>
    <col min="2575" max="2575" width="15.85546875" style="98" customWidth="1"/>
    <col min="2576" max="2576" width="20.5703125" style="98" customWidth="1"/>
    <col min="2577" max="2577" width="19.42578125" style="98" customWidth="1"/>
    <col min="2578" max="2578" width="14.7109375" style="98" customWidth="1"/>
    <col min="2579" max="2579" width="30.140625" style="98" customWidth="1"/>
    <col min="2580" max="2580" width="15" style="98" customWidth="1"/>
    <col min="2581" max="2581" width="11.42578125" style="98" customWidth="1"/>
    <col min="2582" max="2582" width="15" style="98" customWidth="1"/>
    <col min="2583" max="2583" width="10.85546875" style="98" customWidth="1"/>
    <col min="2584" max="2584" width="16.140625" style="98" customWidth="1"/>
    <col min="2585" max="2585" width="15" style="98" customWidth="1"/>
    <col min="2586" max="2586" width="14.28515625" style="98" customWidth="1"/>
    <col min="2587" max="2587" width="16.42578125" style="98" customWidth="1"/>
    <col min="2588" max="2588" width="9" style="98" bestFit="1" customWidth="1"/>
    <col min="2589" max="2589" width="17.140625" style="98" customWidth="1"/>
    <col min="2590" max="2590" width="15.5703125" style="98" customWidth="1"/>
    <col min="2591" max="2591" width="11.28515625" style="98" bestFit="1" customWidth="1"/>
    <col min="2592" max="2592" width="21.140625" style="98" bestFit="1" customWidth="1"/>
    <col min="2593" max="2593" width="9.140625" style="98" customWidth="1"/>
    <col min="2594" max="2594" width="16.140625" style="98" bestFit="1" customWidth="1"/>
    <col min="2595" max="2595" width="13.28515625" style="98" bestFit="1" customWidth="1"/>
    <col min="2596" max="2596" width="25.5703125" style="98" customWidth="1"/>
    <col min="2597" max="2597" width="17.140625" style="98" customWidth="1"/>
    <col min="2598" max="2598" width="12" style="98" customWidth="1"/>
    <col min="2599" max="2599" width="19" style="98" customWidth="1"/>
    <col min="2600" max="2600" width="9" style="98" bestFit="1" customWidth="1"/>
    <col min="2601" max="2601" width="20.7109375" style="98" customWidth="1"/>
    <col min="2602" max="2602" width="15" style="98" customWidth="1"/>
    <col min="2603" max="2603" width="13.42578125" style="98" customWidth="1"/>
    <col min="2604" max="2604" width="19.7109375" style="98" customWidth="1"/>
    <col min="2605" max="2605" width="9" style="98" bestFit="1" customWidth="1"/>
    <col min="2606" max="2606" width="16.140625" style="98" customWidth="1"/>
    <col min="2607" max="2607" width="14" style="98" bestFit="1" customWidth="1"/>
    <col min="2608" max="2608" width="14.140625" style="98" bestFit="1" customWidth="1"/>
    <col min="2609" max="2609" width="21.140625" style="98" bestFit="1" customWidth="1"/>
    <col min="2610" max="2610" width="9" style="98" bestFit="1" customWidth="1"/>
    <col min="2611" max="2611" width="16.140625" style="98" bestFit="1" customWidth="1"/>
    <col min="2612" max="2612" width="13.42578125" style="98" bestFit="1" customWidth="1"/>
    <col min="2613" max="2613" width="22.42578125" style="98" customWidth="1"/>
    <col min="2614" max="2614" width="16.5703125" style="98" customWidth="1"/>
    <col min="2615" max="2615" width="15" style="98" customWidth="1"/>
    <col min="2616" max="2616" width="16.28515625" style="98" customWidth="1"/>
    <col min="2617" max="2617" width="9.5703125" style="98" customWidth="1"/>
    <col min="2618" max="2618" width="15.7109375" style="98" customWidth="1"/>
    <col min="2619" max="2619" width="14.140625" style="98" bestFit="1" customWidth="1"/>
    <col min="2620" max="2620" width="12.7109375" style="98" customWidth="1"/>
    <col min="2621" max="2621" width="23.85546875" style="98" customWidth="1"/>
    <col min="2622" max="2622" width="9.28515625" style="98" bestFit="1" customWidth="1"/>
    <col min="2623" max="2623" width="17.140625" style="98" customWidth="1"/>
    <col min="2624" max="2624" width="16.140625" style="98" customWidth="1"/>
    <col min="2625" max="2625" width="12.7109375" style="98" customWidth="1"/>
    <col min="2626" max="2626" width="23.85546875" style="98" customWidth="1"/>
    <col min="2627" max="2627" width="12.7109375" style="98" customWidth="1"/>
    <col min="2628" max="2628" width="17.140625" style="98" customWidth="1"/>
    <col min="2629" max="2629" width="16.140625" style="98" customWidth="1"/>
    <col min="2630" max="2816" width="9.140625" style="98"/>
    <col min="2817" max="2817" width="1.28515625" style="98" customWidth="1"/>
    <col min="2818" max="2818" width="26.85546875" style="98" customWidth="1"/>
    <col min="2819" max="2823" width="0" style="98" hidden="1" customWidth="1"/>
    <col min="2824" max="2824" width="15.85546875" style="98" customWidth="1"/>
    <col min="2825" max="2825" width="12.85546875" style="98" customWidth="1"/>
    <col min="2826" max="2826" width="19.85546875" style="98" bestFit="1" customWidth="1"/>
    <col min="2827" max="2827" width="10.85546875" style="98" customWidth="1"/>
    <col min="2828" max="2828" width="24" style="98" bestFit="1" customWidth="1"/>
    <col min="2829" max="2829" width="15.28515625" style="98" customWidth="1"/>
    <col min="2830" max="2830" width="13.5703125" style="98" customWidth="1"/>
    <col min="2831" max="2831" width="15.85546875" style="98" customWidth="1"/>
    <col min="2832" max="2832" width="20.5703125" style="98" customWidth="1"/>
    <col min="2833" max="2833" width="19.42578125" style="98" customWidth="1"/>
    <col min="2834" max="2834" width="14.7109375" style="98" customWidth="1"/>
    <col min="2835" max="2835" width="30.140625" style="98" customWidth="1"/>
    <col min="2836" max="2836" width="15" style="98" customWidth="1"/>
    <col min="2837" max="2837" width="11.42578125" style="98" customWidth="1"/>
    <col min="2838" max="2838" width="15" style="98" customWidth="1"/>
    <col min="2839" max="2839" width="10.85546875" style="98" customWidth="1"/>
    <col min="2840" max="2840" width="16.140625" style="98" customWidth="1"/>
    <col min="2841" max="2841" width="15" style="98" customWidth="1"/>
    <col min="2842" max="2842" width="14.28515625" style="98" customWidth="1"/>
    <col min="2843" max="2843" width="16.42578125" style="98" customWidth="1"/>
    <col min="2844" max="2844" width="9" style="98" bestFit="1" customWidth="1"/>
    <col min="2845" max="2845" width="17.140625" style="98" customWidth="1"/>
    <col min="2846" max="2846" width="15.5703125" style="98" customWidth="1"/>
    <col min="2847" max="2847" width="11.28515625" style="98" bestFit="1" customWidth="1"/>
    <col min="2848" max="2848" width="21.140625" style="98" bestFit="1" customWidth="1"/>
    <col min="2849" max="2849" width="9.140625" style="98" customWidth="1"/>
    <col min="2850" max="2850" width="16.140625" style="98" bestFit="1" customWidth="1"/>
    <col min="2851" max="2851" width="13.28515625" style="98" bestFit="1" customWidth="1"/>
    <col min="2852" max="2852" width="25.5703125" style="98" customWidth="1"/>
    <col min="2853" max="2853" width="17.140625" style="98" customWidth="1"/>
    <col min="2854" max="2854" width="12" style="98" customWidth="1"/>
    <col min="2855" max="2855" width="19" style="98" customWidth="1"/>
    <col min="2856" max="2856" width="9" style="98" bestFit="1" customWidth="1"/>
    <col min="2857" max="2857" width="20.7109375" style="98" customWidth="1"/>
    <col min="2858" max="2858" width="15" style="98" customWidth="1"/>
    <col min="2859" max="2859" width="13.42578125" style="98" customWidth="1"/>
    <col min="2860" max="2860" width="19.7109375" style="98" customWidth="1"/>
    <col min="2861" max="2861" width="9" style="98" bestFit="1" customWidth="1"/>
    <col min="2862" max="2862" width="16.140625" style="98" customWidth="1"/>
    <col min="2863" max="2863" width="14" style="98" bestFit="1" customWidth="1"/>
    <col min="2864" max="2864" width="14.140625" style="98" bestFit="1" customWidth="1"/>
    <col min="2865" max="2865" width="21.140625" style="98" bestFit="1" customWidth="1"/>
    <col min="2866" max="2866" width="9" style="98" bestFit="1" customWidth="1"/>
    <col min="2867" max="2867" width="16.140625" style="98" bestFit="1" customWidth="1"/>
    <col min="2868" max="2868" width="13.42578125" style="98" bestFit="1" customWidth="1"/>
    <col min="2869" max="2869" width="22.42578125" style="98" customWidth="1"/>
    <col min="2870" max="2870" width="16.5703125" style="98" customWidth="1"/>
    <col min="2871" max="2871" width="15" style="98" customWidth="1"/>
    <col min="2872" max="2872" width="16.28515625" style="98" customWidth="1"/>
    <col min="2873" max="2873" width="9.5703125" style="98" customWidth="1"/>
    <col min="2874" max="2874" width="15.7109375" style="98" customWidth="1"/>
    <col min="2875" max="2875" width="14.140625" style="98" bestFit="1" customWidth="1"/>
    <col min="2876" max="2876" width="12.7109375" style="98" customWidth="1"/>
    <col min="2877" max="2877" width="23.85546875" style="98" customWidth="1"/>
    <col min="2878" max="2878" width="9.28515625" style="98" bestFit="1" customWidth="1"/>
    <col min="2879" max="2879" width="17.140625" style="98" customWidth="1"/>
    <col min="2880" max="2880" width="16.140625" style="98" customWidth="1"/>
    <col min="2881" max="2881" width="12.7109375" style="98" customWidth="1"/>
    <col min="2882" max="2882" width="23.85546875" style="98" customWidth="1"/>
    <col min="2883" max="2883" width="12.7109375" style="98" customWidth="1"/>
    <col min="2884" max="2884" width="17.140625" style="98" customWidth="1"/>
    <col min="2885" max="2885" width="16.140625" style="98" customWidth="1"/>
    <col min="2886" max="3072" width="9.140625" style="98"/>
    <col min="3073" max="3073" width="1.28515625" style="98" customWidth="1"/>
    <col min="3074" max="3074" width="26.85546875" style="98" customWidth="1"/>
    <col min="3075" max="3079" width="0" style="98" hidden="1" customWidth="1"/>
    <col min="3080" max="3080" width="15.85546875" style="98" customWidth="1"/>
    <col min="3081" max="3081" width="12.85546875" style="98" customWidth="1"/>
    <col min="3082" max="3082" width="19.85546875" style="98" bestFit="1" customWidth="1"/>
    <col min="3083" max="3083" width="10.85546875" style="98" customWidth="1"/>
    <col min="3084" max="3084" width="24" style="98" bestFit="1" customWidth="1"/>
    <col min="3085" max="3085" width="15.28515625" style="98" customWidth="1"/>
    <col min="3086" max="3086" width="13.5703125" style="98" customWidth="1"/>
    <col min="3087" max="3087" width="15.85546875" style="98" customWidth="1"/>
    <col min="3088" max="3088" width="20.5703125" style="98" customWidth="1"/>
    <col min="3089" max="3089" width="19.42578125" style="98" customWidth="1"/>
    <col min="3090" max="3090" width="14.7109375" style="98" customWidth="1"/>
    <col min="3091" max="3091" width="30.140625" style="98" customWidth="1"/>
    <col min="3092" max="3092" width="15" style="98" customWidth="1"/>
    <col min="3093" max="3093" width="11.42578125" style="98" customWidth="1"/>
    <col min="3094" max="3094" width="15" style="98" customWidth="1"/>
    <col min="3095" max="3095" width="10.85546875" style="98" customWidth="1"/>
    <col min="3096" max="3096" width="16.140625" style="98" customWidth="1"/>
    <col min="3097" max="3097" width="15" style="98" customWidth="1"/>
    <col min="3098" max="3098" width="14.28515625" style="98" customWidth="1"/>
    <col min="3099" max="3099" width="16.42578125" style="98" customWidth="1"/>
    <col min="3100" max="3100" width="9" style="98" bestFit="1" customWidth="1"/>
    <col min="3101" max="3101" width="17.140625" style="98" customWidth="1"/>
    <col min="3102" max="3102" width="15.5703125" style="98" customWidth="1"/>
    <col min="3103" max="3103" width="11.28515625" style="98" bestFit="1" customWidth="1"/>
    <col min="3104" max="3104" width="21.140625" style="98" bestFit="1" customWidth="1"/>
    <col min="3105" max="3105" width="9.140625" style="98" customWidth="1"/>
    <col min="3106" max="3106" width="16.140625" style="98" bestFit="1" customWidth="1"/>
    <col min="3107" max="3107" width="13.28515625" style="98" bestFit="1" customWidth="1"/>
    <col min="3108" max="3108" width="25.5703125" style="98" customWidth="1"/>
    <col min="3109" max="3109" width="17.140625" style="98" customWidth="1"/>
    <col min="3110" max="3110" width="12" style="98" customWidth="1"/>
    <col min="3111" max="3111" width="19" style="98" customWidth="1"/>
    <col min="3112" max="3112" width="9" style="98" bestFit="1" customWidth="1"/>
    <col min="3113" max="3113" width="20.7109375" style="98" customWidth="1"/>
    <col min="3114" max="3114" width="15" style="98" customWidth="1"/>
    <col min="3115" max="3115" width="13.42578125" style="98" customWidth="1"/>
    <col min="3116" max="3116" width="19.7109375" style="98" customWidth="1"/>
    <col min="3117" max="3117" width="9" style="98" bestFit="1" customWidth="1"/>
    <col min="3118" max="3118" width="16.140625" style="98" customWidth="1"/>
    <col min="3119" max="3119" width="14" style="98" bestFit="1" customWidth="1"/>
    <col min="3120" max="3120" width="14.140625" style="98" bestFit="1" customWidth="1"/>
    <col min="3121" max="3121" width="21.140625" style="98" bestFit="1" customWidth="1"/>
    <col min="3122" max="3122" width="9" style="98" bestFit="1" customWidth="1"/>
    <col min="3123" max="3123" width="16.140625" style="98" bestFit="1" customWidth="1"/>
    <col min="3124" max="3124" width="13.42578125" style="98" bestFit="1" customWidth="1"/>
    <col min="3125" max="3125" width="22.42578125" style="98" customWidth="1"/>
    <col min="3126" max="3126" width="16.5703125" style="98" customWidth="1"/>
    <col min="3127" max="3127" width="15" style="98" customWidth="1"/>
    <col min="3128" max="3128" width="16.28515625" style="98" customWidth="1"/>
    <col min="3129" max="3129" width="9.5703125" style="98" customWidth="1"/>
    <col min="3130" max="3130" width="15.7109375" style="98" customWidth="1"/>
    <col min="3131" max="3131" width="14.140625" style="98" bestFit="1" customWidth="1"/>
    <col min="3132" max="3132" width="12.7109375" style="98" customWidth="1"/>
    <col min="3133" max="3133" width="23.85546875" style="98" customWidth="1"/>
    <col min="3134" max="3134" width="9.28515625" style="98" bestFit="1" customWidth="1"/>
    <col min="3135" max="3135" width="17.140625" style="98" customWidth="1"/>
    <col min="3136" max="3136" width="16.140625" style="98" customWidth="1"/>
    <col min="3137" max="3137" width="12.7109375" style="98" customWidth="1"/>
    <col min="3138" max="3138" width="23.85546875" style="98" customWidth="1"/>
    <col min="3139" max="3139" width="12.7109375" style="98" customWidth="1"/>
    <col min="3140" max="3140" width="17.140625" style="98" customWidth="1"/>
    <col min="3141" max="3141" width="16.140625" style="98" customWidth="1"/>
    <col min="3142" max="3328" width="9.140625" style="98"/>
    <col min="3329" max="3329" width="1.28515625" style="98" customWidth="1"/>
    <col min="3330" max="3330" width="26.85546875" style="98" customWidth="1"/>
    <col min="3331" max="3335" width="0" style="98" hidden="1" customWidth="1"/>
    <col min="3336" max="3336" width="15.85546875" style="98" customWidth="1"/>
    <col min="3337" max="3337" width="12.85546875" style="98" customWidth="1"/>
    <col min="3338" max="3338" width="19.85546875" style="98" bestFit="1" customWidth="1"/>
    <col min="3339" max="3339" width="10.85546875" style="98" customWidth="1"/>
    <col min="3340" max="3340" width="24" style="98" bestFit="1" customWidth="1"/>
    <col min="3341" max="3341" width="15.28515625" style="98" customWidth="1"/>
    <col min="3342" max="3342" width="13.5703125" style="98" customWidth="1"/>
    <col min="3343" max="3343" width="15.85546875" style="98" customWidth="1"/>
    <col min="3344" max="3344" width="20.5703125" style="98" customWidth="1"/>
    <col min="3345" max="3345" width="19.42578125" style="98" customWidth="1"/>
    <col min="3346" max="3346" width="14.7109375" style="98" customWidth="1"/>
    <col min="3347" max="3347" width="30.140625" style="98" customWidth="1"/>
    <col min="3348" max="3348" width="15" style="98" customWidth="1"/>
    <col min="3349" max="3349" width="11.42578125" style="98" customWidth="1"/>
    <col min="3350" max="3350" width="15" style="98" customWidth="1"/>
    <col min="3351" max="3351" width="10.85546875" style="98" customWidth="1"/>
    <col min="3352" max="3352" width="16.140625" style="98" customWidth="1"/>
    <col min="3353" max="3353" width="15" style="98" customWidth="1"/>
    <col min="3354" max="3354" width="14.28515625" style="98" customWidth="1"/>
    <col min="3355" max="3355" width="16.42578125" style="98" customWidth="1"/>
    <col min="3356" max="3356" width="9" style="98" bestFit="1" customWidth="1"/>
    <col min="3357" max="3357" width="17.140625" style="98" customWidth="1"/>
    <col min="3358" max="3358" width="15.5703125" style="98" customWidth="1"/>
    <col min="3359" max="3359" width="11.28515625" style="98" bestFit="1" customWidth="1"/>
    <col min="3360" max="3360" width="21.140625" style="98" bestFit="1" customWidth="1"/>
    <col min="3361" max="3361" width="9.140625" style="98" customWidth="1"/>
    <col min="3362" max="3362" width="16.140625" style="98" bestFit="1" customWidth="1"/>
    <col min="3363" max="3363" width="13.28515625" style="98" bestFit="1" customWidth="1"/>
    <col min="3364" max="3364" width="25.5703125" style="98" customWidth="1"/>
    <col min="3365" max="3365" width="17.140625" style="98" customWidth="1"/>
    <col min="3366" max="3366" width="12" style="98" customWidth="1"/>
    <col min="3367" max="3367" width="19" style="98" customWidth="1"/>
    <col min="3368" max="3368" width="9" style="98" bestFit="1" customWidth="1"/>
    <col min="3369" max="3369" width="20.7109375" style="98" customWidth="1"/>
    <col min="3370" max="3370" width="15" style="98" customWidth="1"/>
    <col min="3371" max="3371" width="13.42578125" style="98" customWidth="1"/>
    <col min="3372" max="3372" width="19.7109375" style="98" customWidth="1"/>
    <col min="3373" max="3373" width="9" style="98" bestFit="1" customWidth="1"/>
    <col min="3374" max="3374" width="16.140625" style="98" customWidth="1"/>
    <col min="3375" max="3375" width="14" style="98" bestFit="1" customWidth="1"/>
    <col min="3376" max="3376" width="14.140625" style="98" bestFit="1" customWidth="1"/>
    <col min="3377" max="3377" width="21.140625" style="98" bestFit="1" customWidth="1"/>
    <col min="3378" max="3378" width="9" style="98" bestFit="1" customWidth="1"/>
    <col min="3379" max="3379" width="16.140625" style="98" bestFit="1" customWidth="1"/>
    <col min="3380" max="3380" width="13.42578125" style="98" bestFit="1" customWidth="1"/>
    <col min="3381" max="3381" width="22.42578125" style="98" customWidth="1"/>
    <col min="3382" max="3382" width="16.5703125" style="98" customWidth="1"/>
    <col min="3383" max="3383" width="15" style="98" customWidth="1"/>
    <col min="3384" max="3384" width="16.28515625" style="98" customWidth="1"/>
    <col min="3385" max="3385" width="9.5703125" style="98" customWidth="1"/>
    <col min="3386" max="3386" width="15.7109375" style="98" customWidth="1"/>
    <col min="3387" max="3387" width="14.140625" style="98" bestFit="1" customWidth="1"/>
    <col min="3388" max="3388" width="12.7109375" style="98" customWidth="1"/>
    <col min="3389" max="3389" width="23.85546875" style="98" customWidth="1"/>
    <col min="3390" max="3390" width="9.28515625" style="98" bestFit="1" customWidth="1"/>
    <col min="3391" max="3391" width="17.140625" style="98" customWidth="1"/>
    <col min="3392" max="3392" width="16.140625" style="98" customWidth="1"/>
    <col min="3393" max="3393" width="12.7109375" style="98" customWidth="1"/>
    <col min="3394" max="3394" width="23.85546875" style="98" customWidth="1"/>
    <col min="3395" max="3395" width="12.7109375" style="98" customWidth="1"/>
    <col min="3396" max="3396" width="17.140625" style="98" customWidth="1"/>
    <col min="3397" max="3397" width="16.140625" style="98" customWidth="1"/>
    <col min="3398" max="3584" width="9.140625" style="98"/>
    <col min="3585" max="3585" width="1.28515625" style="98" customWidth="1"/>
    <col min="3586" max="3586" width="26.85546875" style="98" customWidth="1"/>
    <col min="3587" max="3591" width="0" style="98" hidden="1" customWidth="1"/>
    <col min="3592" max="3592" width="15.85546875" style="98" customWidth="1"/>
    <col min="3593" max="3593" width="12.85546875" style="98" customWidth="1"/>
    <col min="3594" max="3594" width="19.85546875" style="98" bestFit="1" customWidth="1"/>
    <col min="3595" max="3595" width="10.85546875" style="98" customWidth="1"/>
    <col min="3596" max="3596" width="24" style="98" bestFit="1" customWidth="1"/>
    <col min="3597" max="3597" width="15.28515625" style="98" customWidth="1"/>
    <col min="3598" max="3598" width="13.5703125" style="98" customWidth="1"/>
    <col min="3599" max="3599" width="15.85546875" style="98" customWidth="1"/>
    <col min="3600" max="3600" width="20.5703125" style="98" customWidth="1"/>
    <col min="3601" max="3601" width="19.42578125" style="98" customWidth="1"/>
    <col min="3602" max="3602" width="14.7109375" style="98" customWidth="1"/>
    <col min="3603" max="3603" width="30.140625" style="98" customWidth="1"/>
    <col min="3604" max="3604" width="15" style="98" customWidth="1"/>
    <col min="3605" max="3605" width="11.42578125" style="98" customWidth="1"/>
    <col min="3606" max="3606" width="15" style="98" customWidth="1"/>
    <col min="3607" max="3607" width="10.85546875" style="98" customWidth="1"/>
    <col min="3608" max="3608" width="16.140625" style="98" customWidth="1"/>
    <col min="3609" max="3609" width="15" style="98" customWidth="1"/>
    <col min="3610" max="3610" width="14.28515625" style="98" customWidth="1"/>
    <col min="3611" max="3611" width="16.42578125" style="98" customWidth="1"/>
    <col min="3612" max="3612" width="9" style="98" bestFit="1" customWidth="1"/>
    <col min="3613" max="3613" width="17.140625" style="98" customWidth="1"/>
    <col min="3614" max="3614" width="15.5703125" style="98" customWidth="1"/>
    <col min="3615" max="3615" width="11.28515625" style="98" bestFit="1" customWidth="1"/>
    <col min="3616" max="3616" width="21.140625" style="98" bestFit="1" customWidth="1"/>
    <col min="3617" max="3617" width="9.140625" style="98" customWidth="1"/>
    <col min="3618" max="3618" width="16.140625" style="98" bestFit="1" customWidth="1"/>
    <col min="3619" max="3619" width="13.28515625" style="98" bestFit="1" customWidth="1"/>
    <col min="3620" max="3620" width="25.5703125" style="98" customWidth="1"/>
    <col min="3621" max="3621" width="17.140625" style="98" customWidth="1"/>
    <col min="3622" max="3622" width="12" style="98" customWidth="1"/>
    <col min="3623" max="3623" width="19" style="98" customWidth="1"/>
    <col min="3624" max="3624" width="9" style="98" bestFit="1" customWidth="1"/>
    <col min="3625" max="3625" width="20.7109375" style="98" customWidth="1"/>
    <col min="3626" max="3626" width="15" style="98" customWidth="1"/>
    <col min="3627" max="3627" width="13.42578125" style="98" customWidth="1"/>
    <col min="3628" max="3628" width="19.7109375" style="98" customWidth="1"/>
    <col min="3629" max="3629" width="9" style="98" bestFit="1" customWidth="1"/>
    <col min="3630" max="3630" width="16.140625" style="98" customWidth="1"/>
    <col min="3631" max="3631" width="14" style="98" bestFit="1" customWidth="1"/>
    <col min="3632" max="3632" width="14.140625" style="98" bestFit="1" customWidth="1"/>
    <col min="3633" max="3633" width="21.140625" style="98" bestFit="1" customWidth="1"/>
    <col min="3634" max="3634" width="9" style="98" bestFit="1" customWidth="1"/>
    <col min="3635" max="3635" width="16.140625" style="98" bestFit="1" customWidth="1"/>
    <col min="3636" max="3636" width="13.42578125" style="98" bestFit="1" customWidth="1"/>
    <col min="3637" max="3637" width="22.42578125" style="98" customWidth="1"/>
    <col min="3638" max="3638" width="16.5703125" style="98" customWidth="1"/>
    <col min="3639" max="3639" width="15" style="98" customWidth="1"/>
    <col min="3640" max="3640" width="16.28515625" style="98" customWidth="1"/>
    <col min="3641" max="3641" width="9.5703125" style="98" customWidth="1"/>
    <col min="3642" max="3642" width="15.7109375" style="98" customWidth="1"/>
    <col min="3643" max="3643" width="14.140625" style="98" bestFit="1" customWidth="1"/>
    <col min="3644" max="3644" width="12.7109375" style="98" customWidth="1"/>
    <col min="3645" max="3645" width="23.85546875" style="98" customWidth="1"/>
    <col min="3646" max="3646" width="9.28515625" style="98" bestFit="1" customWidth="1"/>
    <col min="3647" max="3647" width="17.140625" style="98" customWidth="1"/>
    <col min="3648" max="3648" width="16.140625" style="98" customWidth="1"/>
    <col min="3649" max="3649" width="12.7109375" style="98" customWidth="1"/>
    <col min="3650" max="3650" width="23.85546875" style="98" customWidth="1"/>
    <col min="3651" max="3651" width="12.7109375" style="98" customWidth="1"/>
    <col min="3652" max="3652" width="17.140625" style="98" customWidth="1"/>
    <col min="3653" max="3653" width="16.140625" style="98" customWidth="1"/>
    <col min="3654" max="3840" width="9.140625" style="98"/>
    <col min="3841" max="3841" width="1.28515625" style="98" customWidth="1"/>
    <col min="3842" max="3842" width="26.85546875" style="98" customWidth="1"/>
    <col min="3843" max="3847" width="0" style="98" hidden="1" customWidth="1"/>
    <col min="3848" max="3848" width="15.85546875" style="98" customWidth="1"/>
    <col min="3849" max="3849" width="12.85546875" style="98" customWidth="1"/>
    <col min="3850" max="3850" width="19.85546875" style="98" bestFit="1" customWidth="1"/>
    <col min="3851" max="3851" width="10.85546875" style="98" customWidth="1"/>
    <col min="3852" max="3852" width="24" style="98" bestFit="1" customWidth="1"/>
    <col min="3853" max="3853" width="15.28515625" style="98" customWidth="1"/>
    <col min="3854" max="3854" width="13.5703125" style="98" customWidth="1"/>
    <col min="3855" max="3855" width="15.85546875" style="98" customWidth="1"/>
    <col min="3856" max="3856" width="20.5703125" style="98" customWidth="1"/>
    <col min="3857" max="3857" width="19.42578125" style="98" customWidth="1"/>
    <col min="3858" max="3858" width="14.7109375" style="98" customWidth="1"/>
    <col min="3859" max="3859" width="30.140625" style="98" customWidth="1"/>
    <col min="3860" max="3860" width="15" style="98" customWidth="1"/>
    <col min="3861" max="3861" width="11.42578125" style="98" customWidth="1"/>
    <col min="3862" max="3862" width="15" style="98" customWidth="1"/>
    <col min="3863" max="3863" width="10.85546875" style="98" customWidth="1"/>
    <col min="3864" max="3864" width="16.140625" style="98" customWidth="1"/>
    <col min="3865" max="3865" width="15" style="98" customWidth="1"/>
    <col min="3866" max="3866" width="14.28515625" style="98" customWidth="1"/>
    <col min="3867" max="3867" width="16.42578125" style="98" customWidth="1"/>
    <col min="3868" max="3868" width="9" style="98" bestFit="1" customWidth="1"/>
    <col min="3869" max="3869" width="17.140625" style="98" customWidth="1"/>
    <col min="3870" max="3870" width="15.5703125" style="98" customWidth="1"/>
    <col min="3871" max="3871" width="11.28515625" style="98" bestFit="1" customWidth="1"/>
    <col min="3872" max="3872" width="21.140625" style="98" bestFit="1" customWidth="1"/>
    <col min="3873" max="3873" width="9.140625" style="98" customWidth="1"/>
    <col min="3874" max="3874" width="16.140625" style="98" bestFit="1" customWidth="1"/>
    <col min="3875" max="3875" width="13.28515625" style="98" bestFit="1" customWidth="1"/>
    <col min="3876" max="3876" width="25.5703125" style="98" customWidth="1"/>
    <col min="3877" max="3877" width="17.140625" style="98" customWidth="1"/>
    <col min="3878" max="3878" width="12" style="98" customWidth="1"/>
    <col min="3879" max="3879" width="19" style="98" customWidth="1"/>
    <col min="3880" max="3880" width="9" style="98" bestFit="1" customWidth="1"/>
    <col min="3881" max="3881" width="20.7109375" style="98" customWidth="1"/>
    <col min="3882" max="3882" width="15" style="98" customWidth="1"/>
    <col min="3883" max="3883" width="13.42578125" style="98" customWidth="1"/>
    <col min="3884" max="3884" width="19.7109375" style="98" customWidth="1"/>
    <col min="3885" max="3885" width="9" style="98" bestFit="1" customWidth="1"/>
    <col min="3886" max="3886" width="16.140625" style="98" customWidth="1"/>
    <col min="3887" max="3887" width="14" style="98" bestFit="1" customWidth="1"/>
    <col min="3888" max="3888" width="14.140625" style="98" bestFit="1" customWidth="1"/>
    <col min="3889" max="3889" width="21.140625" style="98" bestFit="1" customWidth="1"/>
    <col min="3890" max="3890" width="9" style="98" bestFit="1" customWidth="1"/>
    <col min="3891" max="3891" width="16.140625" style="98" bestFit="1" customWidth="1"/>
    <col min="3892" max="3892" width="13.42578125" style="98" bestFit="1" customWidth="1"/>
    <col min="3893" max="3893" width="22.42578125" style="98" customWidth="1"/>
    <col min="3894" max="3894" width="16.5703125" style="98" customWidth="1"/>
    <col min="3895" max="3895" width="15" style="98" customWidth="1"/>
    <col min="3896" max="3896" width="16.28515625" style="98" customWidth="1"/>
    <col min="3897" max="3897" width="9.5703125" style="98" customWidth="1"/>
    <col min="3898" max="3898" width="15.7109375" style="98" customWidth="1"/>
    <col min="3899" max="3899" width="14.140625" style="98" bestFit="1" customWidth="1"/>
    <col min="3900" max="3900" width="12.7109375" style="98" customWidth="1"/>
    <col min="3901" max="3901" width="23.85546875" style="98" customWidth="1"/>
    <col min="3902" max="3902" width="9.28515625" style="98" bestFit="1" customWidth="1"/>
    <col min="3903" max="3903" width="17.140625" style="98" customWidth="1"/>
    <col min="3904" max="3904" width="16.140625" style="98" customWidth="1"/>
    <col min="3905" max="3905" width="12.7109375" style="98" customWidth="1"/>
    <col min="3906" max="3906" width="23.85546875" style="98" customWidth="1"/>
    <col min="3907" max="3907" width="12.7109375" style="98" customWidth="1"/>
    <col min="3908" max="3908" width="17.140625" style="98" customWidth="1"/>
    <col min="3909" max="3909" width="16.140625" style="98" customWidth="1"/>
    <col min="3910" max="4096" width="9.140625" style="98"/>
    <col min="4097" max="4097" width="1.28515625" style="98" customWidth="1"/>
    <col min="4098" max="4098" width="26.85546875" style="98" customWidth="1"/>
    <col min="4099" max="4103" width="0" style="98" hidden="1" customWidth="1"/>
    <col min="4104" max="4104" width="15.85546875" style="98" customWidth="1"/>
    <col min="4105" max="4105" width="12.85546875" style="98" customWidth="1"/>
    <col min="4106" max="4106" width="19.85546875" style="98" bestFit="1" customWidth="1"/>
    <col min="4107" max="4107" width="10.85546875" style="98" customWidth="1"/>
    <col min="4108" max="4108" width="24" style="98" bestFit="1" customWidth="1"/>
    <col min="4109" max="4109" width="15.28515625" style="98" customWidth="1"/>
    <col min="4110" max="4110" width="13.5703125" style="98" customWidth="1"/>
    <col min="4111" max="4111" width="15.85546875" style="98" customWidth="1"/>
    <col min="4112" max="4112" width="20.5703125" style="98" customWidth="1"/>
    <col min="4113" max="4113" width="19.42578125" style="98" customWidth="1"/>
    <col min="4114" max="4114" width="14.7109375" style="98" customWidth="1"/>
    <col min="4115" max="4115" width="30.140625" style="98" customWidth="1"/>
    <col min="4116" max="4116" width="15" style="98" customWidth="1"/>
    <col min="4117" max="4117" width="11.42578125" style="98" customWidth="1"/>
    <col min="4118" max="4118" width="15" style="98" customWidth="1"/>
    <col min="4119" max="4119" width="10.85546875" style="98" customWidth="1"/>
    <col min="4120" max="4120" width="16.140625" style="98" customWidth="1"/>
    <col min="4121" max="4121" width="15" style="98" customWidth="1"/>
    <col min="4122" max="4122" width="14.28515625" style="98" customWidth="1"/>
    <col min="4123" max="4123" width="16.42578125" style="98" customWidth="1"/>
    <col min="4124" max="4124" width="9" style="98" bestFit="1" customWidth="1"/>
    <col min="4125" max="4125" width="17.140625" style="98" customWidth="1"/>
    <col min="4126" max="4126" width="15.5703125" style="98" customWidth="1"/>
    <col min="4127" max="4127" width="11.28515625" style="98" bestFit="1" customWidth="1"/>
    <col min="4128" max="4128" width="21.140625" style="98" bestFit="1" customWidth="1"/>
    <col min="4129" max="4129" width="9.140625" style="98" customWidth="1"/>
    <col min="4130" max="4130" width="16.140625" style="98" bestFit="1" customWidth="1"/>
    <col min="4131" max="4131" width="13.28515625" style="98" bestFit="1" customWidth="1"/>
    <col min="4132" max="4132" width="25.5703125" style="98" customWidth="1"/>
    <col min="4133" max="4133" width="17.140625" style="98" customWidth="1"/>
    <col min="4134" max="4134" width="12" style="98" customWidth="1"/>
    <col min="4135" max="4135" width="19" style="98" customWidth="1"/>
    <col min="4136" max="4136" width="9" style="98" bestFit="1" customWidth="1"/>
    <col min="4137" max="4137" width="20.7109375" style="98" customWidth="1"/>
    <col min="4138" max="4138" width="15" style="98" customWidth="1"/>
    <col min="4139" max="4139" width="13.42578125" style="98" customWidth="1"/>
    <col min="4140" max="4140" width="19.7109375" style="98" customWidth="1"/>
    <col min="4141" max="4141" width="9" style="98" bestFit="1" customWidth="1"/>
    <col min="4142" max="4142" width="16.140625" style="98" customWidth="1"/>
    <col min="4143" max="4143" width="14" style="98" bestFit="1" customWidth="1"/>
    <col min="4144" max="4144" width="14.140625" style="98" bestFit="1" customWidth="1"/>
    <col min="4145" max="4145" width="21.140625" style="98" bestFit="1" customWidth="1"/>
    <col min="4146" max="4146" width="9" style="98" bestFit="1" customWidth="1"/>
    <col min="4147" max="4147" width="16.140625" style="98" bestFit="1" customWidth="1"/>
    <col min="4148" max="4148" width="13.42578125" style="98" bestFit="1" customWidth="1"/>
    <col min="4149" max="4149" width="22.42578125" style="98" customWidth="1"/>
    <col min="4150" max="4150" width="16.5703125" style="98" customWidth="1"/>
    <col min="4151" max="4151" width="15" style="98" customWidth="1"/>
    <col min="4152" max="4152" width="16.28515625" style="98" customWidth="1"/>
    <col min="4153" max="4153" width="9.5703125" style="98" customWidth="1"/>
    <col min="4154" max="4154" width="15.7109375" style="98" customWidth="1"/>
    <col min="4155" max="4155" width="14.140625" style="98" bestFit="1" customWidth="1"/>
    <col min="4156" max="4156" width="12.7109375" style="98" customWidth="1"/>
    <col min="4157" max="4157" width="23.85546875" style="98" customWidth="1"/>
    <col min="4158" max="4158" width="9.28515625" style="98" bestFit="1" customWidth="1"/>
    <col min="4159" max="4159" width="17.140625" style="98" customWidth="1"/>
    <col min="4160" max="4160" width="16.140625" style="98" customWidth="1"/>
    <col min="4161" max="4161" width="12.7109375" style="98" customWidth="1"/>
    <col min="4162" max="4162" width="23.85546875" style="98" customWidth="1"/>
    <col min="4163" max="4163" width="12.7109375" style="98" customWidth="1"/>
    <col min="4164" max="4164" width="17.140625" style="98" customWidth="1"/>
    <col min="4165" max="4165" width="16.140625" style="98" customWidth="1"/>
    <col min="4166" max="4352" width="9.140625" style="98"/>
    <col min="4353" max="4353" width="1.28515625" style="98" customWidth="1"/>
    <col min="4354" max="4354" width="26.85546875" style="98" customWidth="1"/>
    <col min="4355" max="4359" width="0" style="98" hidden="1" customWidth="1"/>
    <col min="4360" max="4360" width="15.85546875" style="98" customWidth="1"/>
    <col min="4361" max="4361" width="12.85546875" style="98" customWidth="1"/>
    <col min="4362" max="4362" width="19.85546875" style="98" bestFit="1" customWidth="1"/>
    <col min="4363" max="4363" width="10.85546875" style="98" customWidth="1"/>
    <col min="4364" max="4364" width="24" style="98" bestFit="1" customWidth="1"/>
    <col min="4365" max="4365" width="15.28515625" style="98" customWidth="1"/>
    <col min="4366" max="4366" width="13.5703125" style="98" customWidth="1"/>
    <col min="4367" max="4367" width="15.85546875" style="98" customWidth="1"/>
    <col min="4368" max="4368" width="20.5703125" style="98" customWidth="1"/>
    <col min="4369" max="4369" width="19.42578125" style="98" customWidth="1"/>
    <col min="4370" max="4370" width="14.7109375" style="98" customWidth="1"/>
    <col min="4371" max="4371" width="30.140625" style="98" customWidth="1"/>
    <col min="4372" max="4372" width="15" style="98" customWidth="1"/>
    <col min="4373" max="4373" width="11.42578125" style="98" customWidth="1"/>
    <col min="4374" max="4374" width="15" style="98" customWidth="1"/>
    <col min="4375" max="4375" width="10.85546875" style="98" customWidth="1"/>
    <col min="4376" max="4376" width="16.140625" style="98" customWidth="1"/>
    <col min="4377" max="4377" width="15" style="98" customWidth="1"/>
    <col min="4378" max="4378" width="14.28515625" style="98" customWidth="1"/>
    <col min="4379" max="4379" width="16.42578125" style="98" customWidth="1"/>
    <col min="4380" max="4380" width="9" style="98" bestFit="1" customWidth="1"/>
    <col min="4381" max="4381" width="17.140625" style="98" customWidth="1"/>
    <col min="4382" max="4382" width="15.5703125" style="98" customWidth="1"/>
    <col min="4383" max="4383" width="11.28515625" style="98" bestFit="1" customWidth="1"/>
    <col min="4384" max="4384" width="21.140625" style="98" bestFit="1" customWidth="1"/>
    <col min="4385" max="4385" width="9.140625" style="98" customWidth="1"/>
    <col min="4386" max="4386" width="16.140625" style="98" bestFit="1" customWidth="1"/>
    <col min="4387" max="4387" width="13.28515625" style="98" bestFit="1" customWidth="1"/>
    <col min="4388" max="4388" width="25.5703125" style="98" customWidth="1"/>
    <col min="4389" max="4389" width="17.140625" style="98" customWidth="1"/>
    <col min="4390" max="4390" width="12" style="98" customWidth="1"/>
    <col min="4391" max="4391" width="19" style="98" customWidth="1"/>
    <col min="4392" max="4392" width="9" style="98" bestFit="1" customWidth="1"/>
    <col min="4393" max="4393" width="20.7109375" style="98" customWidth="1"/>
    <col min="4394" max="4394" width="15" style="98" customWidth="1"/>
    <col min="4395" max="4395" width="13.42578125" style="98" customWidth="1"/>
    <col min="4396" max="4396" width="19.7109375" style="98" customWidth="1"/>
    <col min="4397" max="4397" width="9" style="98" bestFit="1" customWidth="1"/>
    <col min="4398" max="4398" width="16.140625" style="98" customWidth="1"/>
    <col min="4399" max="4399" width="14" style="98" bestFit="1" customWidth="1"/>
    <col min="4400" max="4400" width="14.140625" style="98" bestFit="1" customWidth="1"/>
    <col min="4401" max="4401" width="21.140625" style="98" bestFit="1" customWidth="1"/>
    <col min="4402" max="4402" width="9" style="98" bestFit="1" customWidth="1"/>
    <col min="4403" max="4403" width="16.140625" style="98" bestFit="1" customWidth="1"/>
    <col min="4404" max="4404" width="13.42578125" style="98" bestFit="1" customWidth="1"/>
    <col min="4405" max="4405" width="22.42578125" style="98" customWidth="1"/>
    <col min="4406" max="4406" width="16.5703125" style="98" customWidth="1"/>
    <col min="4407" max="4407" width="15" style="98" customWidth="1"/>
    <col min="4408" max="4408" width="16.28515625" style="98" customWidth="1"/>
    <col min="4409" max="4409" width="9.5703125" style="98" customWidth="1"/>
    <col min="4410" max="4410" width="15.7109375" style="98" customWidth="1"/>
    <col min="4411" max="4411" width="14.140625" style="98" bestFit="1" customWidth="1"/>
    <col min="4412" max="4412" width="12.7109375" style="98" customWidth="1"/>
    <col min="4413" max="4413" width="23.85546875" style="98" customWidth="1"/>
    <col min="4414" max="4414" width="9.28515625" style="98" bestFit="1" customWidth="1"/>
    <col min="4415" max="4415" width="17.140625" style="98" customWidth="1"/>
    <col min="4416" max="4416" width="16.140625" style="98" customWidth="1"/>
    <col min="4417" max="4417" width="12.7109375" style="98" customWidth="1"/>
    <col min="4418" max="4418" width="23.85546875" style="98" customWidth="1"/>
    <col min="4419" max="4419" width="12.7109375" style="98" customWidth="1"/>
    <col min="4420" max="4420" width="17.140625" style="98" customWidth="1"/>
    <col min="4421" max="4421" width="16.140625" style="98" customWidth="1"/>
    <col min="4422" max="4608" width="9.140625" style="98"/>
    <col min="4609" max="4609" width="1.28515625" style="98" customWidth="1"/>
    <col min="4610" max="4610" width="26.85546875" style="98" customWidth="1"/>
    <col min="4611" max="4615" width="0" style="98" hidden="1" customWidth="1"/>
    <col min="4616" max="4616" width="15.85546875" style="98" customWidth="1"/>
    <col min="4617" max="4617" width="12.85546875" style="98" customWidth="1"/>
    <col min="4618" max="4618" width="19.85546875" style="98" bestFit="1" customWidth="1"/>
    <col min="4619" max="4619" width="10.85546875" style="98" customWidth="1"/>
    <col min="4620" max="4620" width="24" style="98" bestFit="1" customWidth="1"/>
    <col min="4621" max="4621" width="15.28515625" style="98" customWidth="1"/>
    <col min="4622" max="4622" width="13.5703125" style="98" customWidth="1"/>
    <col min="4623" max="4623" width="15.85546875" style="98" customWidth="1"/>
    <col min="4624" max="4624" width="20.5703125" style="98" customWidth="1"/>
    <col min="4625" max="4625" width="19.42578125" style="98" customWidth="1"/>
    <col min="4626" max="4626" width="14.7109375" style="98" customWidth="1"/>
    <col min="4627" max="4627" width="30.140625" style="98" customWidth="1"/>
    <col min="4628" max="4628" width="15" style="98" customWidth="1"/>
    <col min="4629" max="4629" width="11.42578125" style="98" customWidth="1"/>
    <col min="4630" max="4630" width="15" style="98" customWidth="1"/>
    <col min="4631" max="4631" width="10.85546875" style="98" customWidth="1"/>
    <col min="4632" max="4632" width="16.140625" style="98" customWidth="1"/>
    <col min="4633" max="4633" width="15" style="98" customWidth="1"/>
    <col min="4634" max="4634" width="14.28515625" style="98" customWidth="1"/>
    <col min="4635" max="4635" width="16.42578125" style="98" customWidth="1"/>
    <col min="4636" max="4636" width="9" style="98" bestFit="1" customWidth="1"/>
    <col min="4637" max="4637" width="17.140625" style="98" customWidth="1"/>
    <col min="4638" max="4638" width="15.5703125" style="98" customWidth="1"/>
    <col min="4639" max="4639" width="11.28515625" style="98" bestFit="1" customWidth="1"/>
    <col min="4640" max="4640" width="21.140625" style="98" bestFit="1" customWidth="1"/>
    <col min="4641" max="4641" width="9.140625" style="98" customWidth="1"/>
    <col min="4642" max="4642" width="16.140625" style="98" bestFit="1" customWidth="1"/>
    <col min="4643" max="4643" width="13.28515625" style="98" bestFit="1" customWidth="1"/>
    <col min="4644" max="4644" width="25.5703125" style="98" customWidth="1"/>
    <col min="4645" max="4645" width="17.140625" style="98" customWidth="1"/>
    <col min="4646" max="4646" width="12" style="98" customWidth="1"/>
    <col min="4647" max="4647" width="19" style="98" customWidth="1"/>
    <col min="4648" max="4648" width="9" style="98" bestFit="1" customWidth="1"/>
    <col min="4649" max="4649" width="20.7109375" style="98" customWidth="1"/>
    <col min="4650" max="4650" width="15" style="98" customWidth="1"/>
    <col min="4651" max="4651" width="13.42578125" style="98" customWidth="1"/>
    <col min="4652" max="4652" width="19.7109375" style="98" customWidth="1"/>
    <col min="4653" max="4653" width="9" style="98" bestFit="1" customWidth="1"/>
    <col min="4654" max="4654" width="16.140625" style="98" customWidth="1"/>
    <col min="4655" max="4655" width="14" style="98" bestFit="1" customWidth="1"/>
    <col min="4656" max="4656" width="14.140625" style="98" bestFit="1" customWidth="1"/>
    <col min="4657" max="4657" width="21.140625" style="98" bestFit="1" customWidth="1"/>
    <col min="4658" max="4658" width="9" style="98" bestFit="1" customWidth="1"/>
    <col min="4659" max="4659" width="16.140625" style="98" bestFit="1" customWidth="1"/>
    <col min="4660" max="4660" width="13.42578125" style="98" bestFit="1" customWidth="1"/>
    <col min="4661" max="4661" width="22.42578125" style="98" customWidth="1"/>
    <col min="4662" max="4662" width="16.5703125" style="98" customWidth="1"/>
    <col min="4663" max="4663" width="15" style="98" customWidth="1"/>
    <col min="4664" max="4664" width="16.28515625" style="98" customWidth="1"/>
    <col min="4665" max="4665" width="9.5703125" style="98" customWidth="1"/>
    <col min="4666" max="4666" width="15.7109375" style="98" customWidth="1"/>
    <col min="4667" max="4667" width="14.140625" style="98" bestFit="1" customWidth="1"/>
    <col min="4668" max="4668" width="12.7109375" style="98" customWidth="1"/>
    <col min="4669" max="4669" width="23.85546875" style="98" customWidth="1"/>
    <col min="4670" max="4670" width="9.28515625" style="98" bestFit="1" customWidth="1"/>
    <col min="4671" max="4671" width="17.140625" style="98" customWidth="1"/>
    <col min="4672" max="4672" width="16.140625" style="98" customWidth="1"/>
    <col min="4673" max="4673" width="12.7109375" style="98" customWidth="1"/>
    <col min="4674" max="4674" width="23.85546875" style="98" customWidth="1"/>
    <col min="4675" max="4675" width="12.7109375" style="98" customWidth="1"/>
    <col min="4676" max="4676" width="17.140625" style="98" customWidth="1"/>
    <col min="4677" max="4677" width="16.140625" style="98" customWidth="1"/>
    <col min="4678" max="4864" width="9.140625" style="98"/>
    <col min="4865" max="4865" width="1.28515625" style="98" customWidth="1"/>
    <col min="4866" max="4866" width="26.85546875" style="98" customWidth="1"/>
    <col min="4867" max="4871" width="0" style="98" hidden="1" customWidth="1"/>
    <col min="4872" max="4872" width="15.85546875" style="98" customWidth="1"/>
    <col min="4873" max="4873" width="12.85546875" style="98" customWidth="1"/>
    <col min="4874" max="4874" width="19.85546875" style="98" bestFit="1" customWidth="1"/>
    <col min="4875" max="4875" width="10.85546875" style="98" customWidth="1"/>
    <col min="4876" max="4876" width="24" style="98" bestFit="1" customWidth="1"/>
    <col min="4877" max="4877" width="15.28515625" style="98" customWidth="1"/>
    <col min="4878" max="4878" width="13.5703125" style="98" customWidth="1"/>
    <col min="4879" max="4879" width="15.85546875" style="98" customWidth="1"/>
    <col min="4880" max="4880" width="20.5703125" style="98" customWidth="1"/>
    <col min="4881" max="4881" width="19.42578125" style="98" customWidth="1"/>
    <col min="4882" max="4882" width="14.7109375" style="98" customWidth="1"/>
    <col min="4883" max="4883" width="30.140625" style="98" customWidth="1"/>
    <col min="4884" max="4884" width="15" style="98" customWidth="1"/>
    <col min="4885" max="4885" width="11.42578125" style="98" customWidth="1"/>
    <col min="4886" max="4886" width="15" style="98" customWidth="1"/>
    <col min="4887" max="4887" width="10.85546875" style="98" customWidth="1"/>
    <col min="4888" max="4888" width="16.140625" style="98" customWidth="1"/>
    <col min="4889" max="4889" width="15" style="98" customWidth="1"/>
    <col min="4890" max="4890" width="14.28515625" style="98" customWidth="1"/>
    <col min="4891" max="4891" width="16.42578125" style="98" customWidth="1"/>
    <col min="4892" max="4892" width="9" style="98" bestFit="1" customWidth="1"/>
    <col min="4893" max="4893" width="17.140625" style="98" customWidth="1"/>
    <col min="4894" max="4894" width="15.5703125" style="98" customWidth="1"/>
    <col min="4895" max="4895" width="11.28515625" style="98" bestFit="1" customWidth="1"/>
    <col min="4896" max="4896" width="21.140625" style="98" bestFit="1" customWidth="1"/>
    <col min="4897" max="4897" width="9.140625" style="98" customWidth="1"/>
    <col min="4898" max="4898" width="16.140625" style="98" bestFit="1" customWidth="1"/>
    <col min="4899" max="4899" width="13.28515625" style="98" bestFit="1" customWidth="1"/>
    <col min="4900" max="4900" width="25.5703125" style="98" customWidth="1"/>
    <col min="4901" max="4901" width="17.140625" style="98" customWidth="1"/>
    <col min="4902" max="4902" width="12" style="98" customWidth="1"/>
    <col min="4903" max="4903" width="19" style="98" customWidth="1"/>
    <col min="4904" max="4904" width="9" style="98" bestFit="1" customWidth="1"/>
    <col min="4905" max="4905" width="20.7109375" style="98" customWidth="1"/>
    <col min="4906" max="4906" width="15" style="98" customWidth="1"/>
    <col min="4907" max="4907" width="13.42578125" style="98" customWidth="1"/>
    <col min="4908" max="4908" width="19.7109375" style="98" customWidth="1"/>
    <col min="4909" max="4909" width="9" style="98" bestFit="1" customWidth="1"/>
    <col min="4910" max="4910" width="16.140625" style="98" customWidth="1"/>
    <col min="4911" max="4911" width="14" style="98" bestFit="1" customWidth="1"/>
    <col min="4912" max="4912" width="14.140625" style="98" bestFit="1" customWidth="1"/>
    <col min="4913" max="4913" width="21.140625" style="98" bestFit="1" customWidth="1"/>
    <col min="4914" max="4914" width="9" style="98" bestFit="1" customWidth="1"/>
    <col min="4915" max="4915" width="16.140625" style="98" bestFit="1" customWidth="1"/>
    <col min="4916" max="4916" width="13.42578125" style="98" bestFit="1" customWidth="1"/>
    <col min="4917" max="4917" width="22.42578125" style="98" customWidth="1"/>
    <col min="4918" max="4918" width="16.5703125" style="98" customWidth="1"/>
    <col min="4919" max="4919" width="15" style="98" customWidth="1"/>
    <col min="4920" max="4920" width="16.28515625" style="98" customWidth="1"/>
    <col min="4921" max="4921" width="9.5703125" style="98" customWidth="1"/>
    <col min="4922" max="4922" width="15.7109375" style="98" customWidth="1"/>
    <col min="4923" max="4923" width="14.140625" style="98" bestFit="1" customWidth="1"/>
    <col min="4924" max="4924" width="12.7109375" style="98" customWidth="1"/>
    <col min="4925" max="4925" width="23.85546875" style="98" customWidth="1"/>
    <col min="4926" max="4926" width="9.28515625" style="98" bestFit="1" customWidth="1"/>
    <col min="4927" max="4927" width="17.140625" style="98" customWidth="1"/>
    <col min="4928" max="4928" width="16.140625" style="98" customWidth="1"/>
    <col min="4929" max="4929" width="12.7109375" style="98" customWidth="1"/>
    <col min="4930" max="4930" width="23.85546875" style="98" customWidth="1"/>
    <col min="4931" max="4931" width="12.7109375" style="98" customWidth="1"/>
    <col min="4932" max="4932" width="17.140625" style="98" customWidth="1"/>
    <col min="4933" max="4933" width="16.140625" style="98" customWidth="1"/>
    <col min="4934" max="5120" width="9.140625" style="98"/>
    <col min="5121" max="5121" width="1.28515625" style="98" customWidth="1"/>
    <col min="5122" max="5122" width="26.85546875" style="98" customWidth="1"/>
    <col min="5123" max="5127" width="0" style="98" hidden="1" customWidth="1"/>
    <col min="5128" max="5128" width="15.85546875" style="98" customWidth="1"/>
    <col min="5129" max="5129" width="12.85546875" style="98" customWidth="1"/>
    <col min="5130" max="5130" width="19.85546875" style="98" bestFit="1" customWidth="1"/>
    <col min="5131" max="5131" width="10.85546875" style="98" customWidth="1"/>
    <col min="5132" max="5132" width="24" style="98" bestFit="1" customWidth="1"/>
    <col min="5133" max="5133" width="15.28515625" style="98" customWidth="1"/>
    <col min="5134" max="5134" width="13.5703125" style="98" customWidth="1"/>
    <col min="5135" max="5135" width="15.85546875" style="98" customWidth="1"/>
    <col min="5136" max="5136" width="20.5703125" style="98" customWidth="1"/>
    <col min="5137" max="5137" width="19.42578125" style="98" customWidth="1"/>
    <col min="5138" max="5138" width="14.7109375" style="98" customWidth="1"/>
    <col min="5139" max="5139" width="30.140625" style="98" customWidth="1"/>
    <col min="5140" max="5140" width="15" style="98" customWidth="1"/>
    <col min="5141" max="5141" width="11.42578125" style="98" customWidth="1"/>
    <col min="5142" max="5142" width="15" style="98" customWidth="1"/>
    <col min="5143" max="5143" width="10.85546875" style="98" customWidth="1"/>
    <col min="5144" max="5144" width="16.140625" style="98" customWidth="1"/>
    <col min="5145" max="5145" width="15" style="98" customWidth="1"/>
    <col min="5146" max="5146" width="14.28515625" style="98" customWidth="1"/>
    <col min="5147" max="5147" width="16.42578125" style="98" customWidth="1"/>
    <col min="5148" max="5148" width="9" style="98" bestFit="1" customWidth="1"/>
    <col min="5149" max="5149" width="17.140625" style="98" customWidth="1"/>
    <col min="5150" max="5150" width="15.5703125" style="98" customWidth="1"/>
    <col min="5151" max="5151" width="11.28515625" style="98" bestFit="1" customWidth="1"/>
    <col min="5152" max="5152" width="21.140625" style="98" bestFit="1" customWidth="1"/>
    <col min="5153" max="5153" width="9.140625" style="98" customWidth="1"/>
    <col min="5154" max="5154" width="16.140625" style="98" bestFit="1" customWidth="1"/>
    <col min="5155" max="5155" width="13.28515625" style="98" bestFit="1" customWidth="1"/>
    <col min="5156" max="5156" width="25.5703125" style="98" customWidth="1"/>
    <col min="5157" max="5157" width="17.140625" style="98" customWidth="1"/>
    <col min="5158" max="5158" width="12" style="98" customWidth="1"/>
    <col min="5159" max="5159" width="19" style="98" customWidth="1"/>
    <col min="5160" max="5160" width="9" style="98" bestFit="1" customWidth="1"/>
    <col min="5161" max="5161" width="20.7109375" style="98" customWidth="1"/>
    <col min="5162" max="5162" width="15" style="98" customWidth="1"/>
    <col min="5163" max="5163" width="13.42578125" style="98" customWidth="1"/>
    <col min="5164" max="5164" width="19.7109375" style="98" customWidth="1"/>
    <col min="5165" max="5165" width="9" style="98" bestFit="1" customWidth="1"/>
    <col min="5166" max="5166" width="16.140625" style="98" customWidth="1"/>
    <col min="5167" max="5167" width="14" style="98" bestFit="1" customWidth="1"/>
    <col min="5168" max="5168" width="14.140625" style="98" bestFit="1" customWidth="1"/>
    <col min="5169" max="5169" width="21.140625" style="98" bestFit="1" customWidth="1"/>
    <col min="5170" max="5170" width="9" style="98" bestFit="1" customWidth="1"/>
    <col min="5171" max="5171" width="16.140625" style="98" bestFit="1" customWidth="1"/>
    <col min="5172" max="5172" width="13.42578125" style="98" bestFit="1" customWidth="1"/>
    <col min="5173" max="5173" width="22.42578125" style="98" customWidth="1"/>
    <col min="5174" max="5174" width="16.5703125" style="98" customWidth="1"/>
    <col min="5175" max="5175" width="15" style="98" customWidth="1"/>
    <col min="5176" max="5176" width="16.28515625" style="98" customWidth="1"/>
    <col min="5177" max="5177" width="9.5703125" style="98" customWidth="1"/>
    <col min="5178" max="5178" width="15.7109375" style="98" customWidth="1"/>
    <col min="5179" max="5179" width="14.140625" style="98" bestFit="1" customWidth="1"/>
    <col min="5180" max="5180" width="12.7109375" style="98" customWidth="1"/>
    <col min="5181" max="5181" width="23.85546875" style="98" customWidth="1"/>
    <col min="5182" max="5182" width="9.28515625" style="98" bestFit="1" customWidth="1"/>
    <col min="5183" max="5183" width="17.140625" style="98" customWidth="1"/>
    <col min="5184" max="5184" width="16.140625" style="98" customWidth="1"/>
    <col min="5185" max="5185" width="12.7109375" style="98" customWidth="1"/>
    <col min="5186" max="5186" width="23.85546875" style="98" customWidth="1"/>
    <col min="5187" max="5187" width="12.7109375" style="98" customWidth="1"/>
    <col min="5188" max="5188" width="17.140625" style="98" customWidth="1"/>
    <col min="5189" max="5189" width="16.140625" style="98" customWidth="1"/>
    <col min="5190" max="5376" width="9.140625" style="98"/>
    <col min="5377" max="5377" width="1.28515625" style="98" customWidth="1"/>
    <col min="5378" max="5378" width="26.85546875" style="98" customWidth="1"/>
    <col min="5379" max="5383" width="0" style="98" hidden="1" customWidth="1"/>
    <col min="5384" max="5384" width="15.85546875" style="98" customWidth="1"/>
    <col min="5385" max="5385" width="12.85546875" style="98" customWidth="1"/>
    <col min="5386" max="5386" width="19.85546875" style="98" bestFit="1" customWidth="1"/>
    <col min="5387" max="5387" width="10.85546875" style="98" customWidth="1"/>
    <col min="5388" max="5388" width="24" style="98" bestFit="1" customWidth="1"/>
    <col min="5389" max="5389" width="15.28515625" style="98" customWidth="1"/>
    <col min="5390" max="5390" width="13.5703125" style="98" customWidth="1"/>
    <col min="5391" max="5391" width="15.85546875" style="98" customWidth="1"/>
    <col min="5392" max="5392" width="20.5703125" style="98" customWidth="1"/>
    <col min="5393" max="5393" width="19.42578125" style="98" customWidth="1"/>
    <col min="5394" max="5394" width="14.7109375" style="98" customWidth="1"/>
    <col min="5395" max="5395" width="30.140625" style="98" customWidth="1"/>
    <col min="5396" max="5396" width="15" style="98" customWidth="1"/>
    <col min="5397" max="5397" width="11.42578125" style="98" customWidth="1"/>
    <col min="5398" max="5398" width="15" style="98" customWidth="1"/>
    <col min="5399" max="5399" width="10.85546875" style="98" customWidth="1"/>
    <col min="5400" max="5400" width="16.140625" style="98" customWidth="1"/>
    <col min="5401" max="5401" width="15" style="98" customWidth="1"/>
    <col min="5402" max="5402" width="14.28515625" style="98" customWidth="1"/>
    <col min="5403" max="5403" width="16.42578125" style="98" customWidth="1"/>
    <col min="5404" max="5404" width="9" style="98" bestFit="1" customWidth="1"/>
    <col min="5405" max="5405" width="17.140625" style="98" customWidth="1"/>
    <col min="5406" max="5406" width="15.5703125" style="98" customWidth="1"/>
    <col min="5407" max="5407" width="11.28515625" style="98" bestFit="1" customWidth="1"/>
    <col min="5408" max="5408" width="21.140625" style="98" bestFit="1" customWidth="1"/>
    <col min="5409" max="5409" width="9.140625" style="98" customWidth="1"/>
    <col min="5410" max="5410" width="16.140625" style="98" bestFit="1" customWidth="1"/>
    <col min="5411" max="5411" width="13.28515625" style="98" bestFit="1" customWidth="1"/>
    <col min="5412" max="5412" width="25.5703125" style="98" customWidth="1"/>
    <col min="5413" max="5413" width="17.140625" style="98" customWidth="1"/>
    <col min="5414" max="5414" width="12" style="98" customWidth="1"/>
    <col min="5415" max="5415" width="19" style="98" customWidth="1"/>
    <col min="5416" max="5416" width="9" style="98" bestFit="1" customWidth="1"/>
    <col min="5417" max="5417" width="20.7109375" style="98" customWidth="1"/>
    <col min="5418" max="5418" width="15" style="98" customWidth="1"/>
    <col min="5419" max="5419" width="13.42578125" style="98" customWidth="1"/>
    <col min="5420" max="5420" width="19.7109375" style="98" customWidth="1"/>
    <col min="5421" max="5421" width="9" style="98" bestFit="1" customWidth="1"/>
    <col min="5422" max="5422" width="16.140625" style="98" customWidth="1"/>
    <col min="5423" max="5423" width="14" style="98" bestFit="1" customWidth="1"/>
    <col min="5424" max="5424" width="14.140625" style="98" bestFit="1" customWidth="1"/>
    <col min="5425" max="5425" width="21.140625" style="98" bestFit="1" customWidth="1"/>
    <col min="5426" max="5426" width="9" style="98" bestFit="1" customWidth="1"/>
    <col min="5427" max="5427" width="16.140625" style="98" bestFit="1" customWidth="1"/>
    <col min="5428" max="5428" width="13.42578125" style="98" bestFit="1" customWidth="1"/>
    <col min="5429" max="5429" width="22.42578125" style="98" customWidth="1"/>
    <col min="5430" max="5430" width="16.5703125" style="98" customWidth="1"/>
    <col min="5431" max="5431" width="15" style="98" customWidth="1"/>
    <col min="5432" max="5432" width="16.28515625" style="98" customWidth="1"/>
    <col min="5433" max="5433" width="9.5703125" style="98" customWidth="1"/>
    <col min="5434" max="5434" width="15.7109375" style="98" customWidth="1"/>
    <col min="5435" max="5435" width="14.140625" style="98" bestFit="1" customWidth="1"/>
    <col min="5436" max="5436" width="12.7109375" style="98" customWidth="1"/>
    <col min="5437" max="5437" width="23.85546875" style="98" customWidth="1"/>
    <col min="5438" max="5438" width="9.28515625" style="98" bestFit="1" customWidth="1"/>
    <col min="5439" max="5439" width="17.140625" style="98" customWidth="1"/>
    <col min="5440" max="5440" width="16.140625" style="98" customWidth="1"/>
    <col min="5441" max="5441" width="12.7109375" style="98" customWidth="1"/>
    <col min="5442" max="5442" width="23.85546875" style="98" customWidth="1"/>
    <col min="5443" max="5443" width="12.7109375" style="98" customWidth="1"/>
    <col min="5444" max="5444" width="17.140625" style="98" customWidth="1"/>
    <col min="5445" max="5445" width="16.140625" style="98" customWidth="1"/>
    <col min="5446" max="5632" width="9.140625" style="98"/>
    <col min="5633" max="5633" width="1.28515625" style="98" customWidth="1"/>
    <col min="5634" max="5634" width="26.85546875" style="98" customWidth="1"/>
    <col min="5635" max="5639" width="0" style="98" hidden="1" customWidth="1"/>
    <col min="5640" max="5640" width="15.85546875" style="98" customWidth="1"/>
    <col min="5641" max="5641" width="12.85546875" style="98" customWidth="1"/>
    <col min="5642" max="5642" width="19.85546875" style="98" bestFit="1" customWidth="1"/>
    <col min="5643" max="5643" width="10.85546875" style="98" customWidth="1"/>
    <col min="5644" max="5644" width="24" style="98" bestFit="1" customWidth="1"/>
    <col min="5645" max="5645" width="15.28515625" style="98" customWidth="1"/>
    <col min="5646" max="5646" width="13.5703125" style="98" customWidth="1"/>
    <col min="5647" max="5647" width="15.85546875" style="98" customWidth="1"/>
    <col min="5648" max="5648" width="20.5703125" style="98" customWidth="1"/>
    <col min="5649" max="5649" width="19.42578125" style="98" customWidth="1"/>
    <col min="5650" max="5650" width="14.7109375" style="98" customWidth="1"/>
    <col min="5651" max="5651" width="30.140625" style="98" customWidth="1"/>
    <col min="5652" max="5652" width="15" style="98" customWidth="1"/>
    <col min="5653" max="5653" width="11.42578125" style="98" customWidth="1"/>
    <col min="5654" max="5654" width="15" style="98" customWidth="1"/>
    <col min="5655" max="5655" width="10.85546875" style="98" customWidth="1"/>
    <col min="5656" max="5656" width="16.140625" style="98" customWidth="1"/>
    <col min="5657" max="5657" width="15" style="98" customWidth="1"/>
    <col min="5658" max="5658" width="14.28515625" style="98" customWidth="1"/>
    <col min="5659" max="5659" width="16.42578125" style="98" customWidth="1"/>
    <col min="5660" max="5660" width="9" style="98" bestFit="1" customWidth="1"/>
    <col min="5661" max="5661" width="17.140625" style="98" customWidth="1"/>
    <col min="5662" max="5662" width="15.5703125" style="98" customWidth="1"/>
    <col min="5663" max="5663" width="11.28515625" style="98" bestFit="1" customWidth="1"/>
    <col min="5664" max="5664" width="21.140625" style="98" bestFit="1" customWidth="1"/>
    <col min="5665" max="5665" width="9.140625" style="98" customWidth="1"/>
    <col min="5666" max="5666" width="16.140625" style="98" bestFit="1" customWidth="1"/>
    <col min="5667" max="5667" width="13.28515625" style="98" bestFit="1" customWidth="1"/>
    <col min="5668" max="5668" width="25.5703125" style="98" customWidth="1"/>
    <col min="5669" max="5669" width="17.140625" style="98" customWidth="1"/>
    <col min="5670" max="5670" width="12" style="98" customWidth="1"/>
    <col min="5671" max="5671" width="19" style="98" customWidth="1"/>
    <col min="5672" max="5672" width="9" style="98" bestFit="1" customWidth="1"/>
    <col min="5673" max="5673" width="20.7109375" style="98" customWidth="1"/>
    <col min="5674" max="5674" width="15" style="98" customWidth="1"/>
    <col min="5675" max="5675" width="13.42578125" style="98" customWidth="1"/>
    <col min="5676" max="5676" width="19.7109375" style="98" customWidth="1"/>
    <col min="5677" max="5677" width="9" style="98" bestFit="1" customWidth="1"/>
    <col min="5678" max="5678" width="16.140625" style="98" customWidth="1"/>
    <col min="5679" max="5679" width="14" style="98" bestFit="1" customWidth="1"/>
    <col min="5680" max="5680" width="14.140625" style="98" bestFit="1" customWidth="1"/>
    <col min="5681" max="5681" width="21.140625" style="98" bestFit="1" customWidth="1"/>
    <col min="5682" max="5682" width="9" style="98" bestFit="1" customWidth="1"/>
    <col min="5683" max="5683" width="16.140625" style="98" bestFit="1" customWidth="1"/>
    <col min="5684" max="5684" width="13.42578125" style="98" bestFit="1" customWidth="1"/>
    <col min="5685" max="5685" width="22.42578125" style="98" customWidth="1"/>
    <col min="5686" max="5686" width="16.5703125" style="98" customWidth="1"/>
    <col min="5687" max="5687" width="15" style="98" customWidth="1"/>
    <col min="5688" max="5688" width="16.28515625" style="98" customWidth="1"/>
    <col min="5689" max="5689" width="9.5703125" style="98" customWidth="1"/>
    <col min="5690" max="5690" width="15.7109375" style="98" customWidth="1"/>
    <col min="5691" max="5691" width="14.140625" style="98" bestFit="1" customWidth="1"/>
    <col min="5692" max="5692" width="12.7109375" style="98" customWidth="1"/>
    <col min="5693" max="5693" width="23.85546875" style="98" customWidth="1"/>
    <col min="5694" max="5694" width="9.28515625" style="98" bestFit="1" customWidth="1"/>
    <col min="5695" max="5695" width="17.140625" style="98" customWidth="1"/>
    <col min="5696" max="5696" width="16.140625" style="98" customWidth="1"/>
    <col min="5697" max="5697" width="12.7109375" style="98" customWidth="1"/>
    <col min="5698" max="5698" width="23.85546875" style="98" customWidth="1"/>
    <col min="5699" max="5699" width="12.7109375" style="98" customWidth="1"/>
    <col min="5700" max="5700" width="17.140625" style="98" customWidth="1"/>
    <col min="5701" max="5701" width="16.140625" style="98" customWidth="1"/>
    <col min="5702" max="5888" width="9.140625" style="98"/>
    <col min="5889" max="5889" width="1.28515625" style="98" customWidth="1"/>
    <col min="5890" max="5890" width="26.85546875" style="98" customWidth="1"/>
    <col min="5891" max="5895" width="0" style="98" hidden="1" customWidth="1"/>
    <col min="5896" max="5896" width="15.85546875" style="98" customWidth="1"/>
    <col min="5897" max="5897" width="12.85546875" style="98" customWidth="1"/>
    <col min="5898" max="5898" width="19.85546875" style="98" bestFit="1" customWidth="1"/>
    <col min="5899" max="5899" width="10.85546875" style="98" customWidth="1"/>
    <col min="5900" max="5900" width="24" style="98" bestFit="1" customWidth="1"/>
    <col min="5901" max="5901" width="15.28515625" style="98" customWidth="1"/>
    <col min="5902" max="5902" width="13.5703125" style="98" customWidth="1"/>
    <col min="5903" max="5903" width="15.85546875" style="98" customWidth="1"/>
    <col min="5904" max="5904" width="20.5703125" style="98" customWidth="1"/>
    <col min="5905" max="5905" width="19.42578125" style="98" customWidth="1"/>
    <col min="5906" max="5906" width="14.7109375" style="98" customWidth="1"/>
    <col min="5907" max="5907" width="30.140625" style="98" customWidth="1"/>
    <col min="5908" max="5908" width="15" style="98" customWidth="1"/>
    <col min="5909" max="5909" width="11.42578125" style="98" customWidth="1"/>
    <col min="5910" max="5910" width="15" style="98" customWidth="1"/>
    <col min="5911" max="5911" width="10.85546875" style="98" customWidth="1"/>
    <col min="5912" max="5912" width="16.140625" style="98" customWidth="1"/>
    <col min="5913" max="5913" width="15" style="98" customWidth="1"/>
    <col min="5914" max="5914" width="14.28515625" style="98" customWidth="1"/>
    <col min="5915" max="5915" width="16.42578125" style="98" customWidth="1"/>
    <col min="5916" max="5916" width="9" style="98" bestFit="1" customWidth="1"/>
    <col min="5917" max="5917" width="17.140625" style="98" customWidth="1"/>
    <col min="5918" max="5918" width="15.5703125" style="98" customWidth="1"/>
    <col min="5919" max="5919" width="11.28515625" style="98" bestFit="1" customWidth="1"/>
    <col min="5920" max="5920" width="21.140625" style="98" bestFit="1" customWidth="1"/>
    <col min="5921" max="5921" width="9.140625" style="98" customWidth="1"/>
    <col min="5922" max="5922" width="16.140625" style="98" bestFit="1" customWidth="1"/>
    <col min="5923" max="5923" width="13.28515625" style="98" bestFit="1" customWidth="1"/>
    <col min="5924" max="5924" width="25.5703125" style="98" customWidth="1"/>
    <col min="5925" max="5925" width="17.140625" style="98" customWidth="1"/>
    <col min="5926" max="5926" width="12" style="98" customWidth="1"/>
    <col min="5927" max="5927" width="19" style="98" customWidth="1"/>
    <col min="5928" max="5928" width="9" style="98" bestFit="1" customWidth="1"/>
    <col min="5929" max="5929" width="20.7109375" style="98" customWidth="1"/>
    <col min="5930" max="5930" width="15" style="98" customWidth="1"/>
    <col min="5931" max="5931" width="13.42578125" style="98" customWidth="1"/>
    <col min="5932" max="5932" width="19.7109375" style="98" customWidth="1"/>
    <col min="5933" max="5933" width="9" style="98" bestFit="1" customWidth="1"/>
    <col min="5934" max="5934" width="16.140625" style="98" customWidth="1"/>
    <col min="5935" max="5935" width="14" style="98" bestFit="1" customWidth="1"/>
    <col min="5936" max="5936" width="14.140625" style="98" bestFit="1" customWidth="1"/>
    <col min="5937" max="5937" width="21.140625" style="98" bestFit="1" customWidth="1"/>
    <col min="5938" max="5938" width="9" style="98" bestFit="1" customWidth="1"/>
    <col min="5939" max="5939" width="16.140625" style="98" bestFit="1" customWidth="1"/>
    <col min="5940" max="5940" width="13.42578125" style="98" bestFit="1" customWidth="1"/>
    <col min="5941" max="5941" width="22.42578125" style="98" customWidth="1"/>
    <col min="5942" max="5942" width="16.5703125" style="98" customWidth="1"/>
    <col min="5943" max="5943" width="15" style="98" customWidth="1"/>
    <col min="5944" max="5944" width="16.28515625" style="98" customWidth="1"/>
    <col min="5945" max="5945" width="9.5703125" style="98" customWidth="1"/>
    <col min="5946" max="5946" width="15.7109375" style="98" customWidth="1"/>
    <col min="5947" max="5947" width="14.140625" style="98" bestFit="1" customWidth="1"/>
    <col min="5948" max="5948" width="12.7109375" style="98" customWidth="1"/>
    <col min="5949" max="5949" width="23.85546875" style="98" customWidth="1"/>
    <col min="5950" max="5950" width="9.28515625" style="98" bestFit="1" customWidth="1"/>
    <col min="5951" max="5951" width="17.140625" style="98" customWidth="1"/>
    <col min="5952" max="5952" width="16.140625" style="98" customWidth="1"/>
    <col min="5953" max="5953" width="12.7109375" style="98" customWidth="1"/>
    <col min="5954" max="5954" width="23.85546875" style="98" customWidth="1"/>
    <col min="5955" max="5955" width="12.7109375" style="98" customWidth="1"/>
    <col min="5956" max="5956" width="17.140625" style="98" customWidth="1"/>
    <col min="5957" max="5957" width="16.140625" style="98" customWidth="1"/>
    <col min="5958" max="6144" width="9.140625" style="98"/>
    <col min="6145" max="6145" width="1.28515625" style="98" customWidth="1"/>
    <col min="6146" max="6146" width="26.85546875" style="98" customWidth="1"/>
    <col min="6147" max="6151" width="0" style="98" hidden="1" customWidth="1"/>
    <col min="6152" max="6152" width="15.85546875" style="98" customWidth="1"/>
    <col min="6153" max="6153" width="12.85546875" style="98" customWidth="1"/>
    <col min="6154" max="6154" width="19.85546875" style="98" bestFit="1" customWidth="1"/>
    <col min="6155" max="6155" width="10.85546875" style="98" customWidth="1"/>
    <col min="6156" max="6156" width="24" style="98" bestFit="1" customWidth="1"/>
    <col min="6157" max="6157" width="15.28515625" style="98" customWidth="1"/>
    <col min="6158" max="6158" width="13.5703125" style="98" customWidth="1"/>
    <col min="6159" max="6159" width="15.85546875" style="98" customWidth="1"/>
    <col min="6160" max="6160" width="20.5703125" style="98" customWidth="1"/>
    <col min="6161" max="6161" width="19.42578125" style="98" customWidth="1"/>
    <col min="6162" max="6162" width="14.7109375" style="98" customWidth="1"/>
    <col min="6163" max="6163" width="30.140625" style="98" customWidth="1"/>
    <col min="6164" max="6164" width="15" style="98" customWidth="1"/>
    <col min="6165" max="6165" width="11.42578125" style="98" customWidth="1"/>
    <col min="6166" max="6166" width="15" style="98" customWidth="1"/>
    <col min="6167" max="6167" width="10.85546875" style="98" customWidth="1"/>
    <col min="6168" max="6168" width="16.140625" style="98" customWidth="1"/>
    <col min="6169" max="6169" width="15" style="98" customWidth="1"/>
    <col min="6170" max="6170" width="14.28515625" style="98" customWidth="1"/>
    <col min="6171" max="6171" width="16.42578125" style="98" customWidth="1"/>
    <col min="6172" max="6172" width="9" style="98" bestFit="1" customWidth="1"/>
    <col min="6173" max="6173" width="17.140625" style="98" customWidth="1"/>
    <col min="6174" max="6174" width="15.5703125" style="98" customWidth="1"/>
    <col min="6175" max="6175" width="11.28515625" style="98" bestFit="1" customWidth="1"/>
    <col min="6176" max="6176" width="21.140625" style="98" bestFit="1" customWidth="1"/>
    <col min="6177" max="6177" width="9.140625" style="98" customWidth="1"/>
    <col min="6178" max="6178" width="16.140625" style="98" bestFit="1" customWidth="1"/>
    <col min="6179" max="6179" width="13.28515625" style="98" bestFit="1" customWidth="1"/>
    <col min="6180" max="6180" width="25.5703125" style="98" customWidth="1"/>
    <col min="6181" max="6181" width="17.140625" style="98" customWidth="1"/>
    <col min="6182" max="6182" width="12" style="98" customWidth="1"/>
    <col min="6183" max="6183" width="19" style="98" customWidth="1"/>
    <col min="6184" max="6184" width="9" style="98" bestFit="1" customWidth="1"/>
    <col min="6185" max="6185" width="20.7109375" style="98" customWidth="1"/>
    <col min="6186" max="6186" width="15" style="98" customWidth="1"/>
    <col min="6187" max="6187" width="13.42578125" style="98" customWidth="1"/>
    <col min="6188" max="6188" width="19.7109375" style="98" customWidth="1"/>
    <col min="6189" max="6189" width="9" style="98" bestFit="1" customWidth="1"/>
    <col min="6190" max="6190" width="16.140625" style="98" customWidth="1"/>
    <col min="6191" max="6191" width="14" style="98" bestFit="1" customWidth="1"/>
    <col min="6192" max="6192" width="14.140625" style="98" bestFit="1" customWidth="1"/>
    <col min="6193" max="6193" width="21.140625" style="98" bestFit="1" customWidth="1"/>
    <col min="6194" max="6194" width="9" style="98" bestFit="1" customWidth="1"/>
    <col min="6195" max="6195" width="16.140625" style="98" bestFit="1" customWidth="1"/>
    <col min="6196" max="6196" width="13.42578125" style="98" bestFit="1" customWidth="1"/>
    <col min="6197" max="6197" width="22.42578125" style="98" customWidth="1"/>
    <col min="6198" max="6198" width="16.5703125" style="98" customWidth="1"/>
    <col min="6199" max="6199" width="15" style="98" customWidth="1"/>
    <col min="6200" max="6200" width="16.28515625" style="98" customWidth="1"/>
    <col min="6201" max="6201" width="9.5703125" style="98" customWidth="1"/>
    <col min="6202" max="6202" width="15.7109375" style="98" customWidth="1"/>
    <col min="6203" max="6203" width="14.140625" style="98" bestFit="1" customWidth="1"/>
    <col min="6204" max="6204" width="12.7109375" style="98" customWidth="1"/>
    <col min="6205" max="6205" width="23.85546875" style="98" customWidth="1"/>
    <col min="6206" max="6206" width="9.28515625" style="98" bestFit="1" customWidth="1"/>
    <col min="6207" max="6207" width="17.140625" style="98" customWidth="1"/>
    <col min="6208" max="6208" width="16.140625" style="98" customWidth="1"/>
    <col min="6209" max="6209" width="12.7109375" style="98" customWidth="1"/>
    <col min="6210" max="6210" width="23.85546875" style="98" customWidth="1"/>
    <col min="6211" max="6211" width="12.7109375" style="98" customWidth="1"/>
    <col min="6212" max="6212" width="17.140625" style="98" customWidth="1"/>
    <col min="6213" max="6213" width="16.140625" style="98" customWidth="1"/>
    <col min="6214" max="6400" width="9.140625" style="98"/>
    <col min="6401" max="6401" width="1.28515625" style="98" customWidth="1"/>
    <col min="6402" max="6402" width="26.85546875" style="98" customWidth="1"/>
    <col min="6403" max="6407" width="0" style="98" hidden="1" customWidth="1"/>
    <col min="6408" max="6408" width="15.85546875" style="98" customWidth="1"/>
    <col min="6409" max="6409" width="12.85546875" style="98" customWidth="1"/>
    <col min="6410" max="6410" width="19.85546875" style="98" bestFit="1" customWidth="1"/>
    <col min="6411" max="6411" width="10.85546875" style="98" customWidth="1"/>
    <col min="6412" max="6412" width="24" style="98" bestFit="1" customWidth="1"/>
    <col min="6413" max="6413" width="15.28515625" style="98" customWidth="1"/>
    <col min="6414" max="6414" width="13.5703125" style="98" customWidth="1"/>
    <col min="6415" max="6415" width="15.85546875" style="98" customWidth="1"/>
    <col min="6416" max="6416" width="20.5703125" style="98" customWidth="1"/>
    <col min="6417" max="6417" width="19.42578125" style="98" customWidth="1"/>
    <col min="6418" max="6418" width="14.7109375" style="98" customWidth="1"/>
    <col min="6419" max="6419" width="30.140625" style="98" customWidth="1"/>
    <col min="6420" max="6420" width="15" style="98" customWidth="1"/>
    <col min="6421" max="6421" width="11.42578125" style="98" customWidth="1"/>
    <col min="6422" max="6422" width="15" style="98" customWidth="1"/>
    <col min="6423" max="6423" width="10.85546875" style="98" customWidth="1"/>
    <col min="6424" max="6424" width="16.140625" style="98" customWidth="1"/>
    <col min="6425" max="6425" width="15" style="98" customWidth="1"/>
    <col min="6426" max="6426" width="14.28515625" style="98" customWidth="1"/>
    <col min="6427" max="6427" width="16.42578125" style="98" customWidth="1"/>
    <col min="6428" max="6428" width="9" style="98" bestFit="1" customWidth="1"/>
    <col min="6429" max="6429" width="17.140625" style="98" customWidth="1"/>
    <col min="6430" max="6430" width="15.5703125" style="98" customWidth="1"/>
    <col min="6431" max="6431" width="11.28515625" style="98" bestFit="1" customWidth="1"/>
    <col min="6432" max="6432" width="21.140625" style="98" bestFit="1" customWidth="1"/>
    <col min="6433" max="6433" width="9.140625" style="98" customWidth="1"/>
    <col min="6434" max="6434" width="16.140625" style="98" bestFit="1" customWidth="1"/>
    <col min="6435" max="6435" width="13.28515625" style="98" bestFit="1" customWidth="1"/>
    <col min="6436" max="6436" width="25.5703125" style="98" customWidth="1"/>
    <col min="6437" max="6437" width="17.140625" style="98" customWidth="1"/>
    <col min="6438" max="6438" width="12" style="98" customWidth="1"/>
    <col min="6439" max="6439" width="19" style="98" customWidth="1"/>
    <col min="6440" max="6440" width="9" style="98" bestFit="1" customWidth="1"/>
    <col min="6441" max="6441" width="20.7109375" style="98" customWidth="1"/>
    <col min="6442" max="6442" width="15" style="98" customWidth="1"/>
    <col min="6443" max="6443" width="13.42578125" style="98" customWidth="1"/>
    <col min="6444" max="6444" width="19.7109375" style="98" customWidth="1"/>
    <col min="6445" max="6445" width="9" style="98" bestFit="1" customWidth="1"/>
    <col min="6446" max="6446" width="16.140625" style="98" customWidth="1"/>
    <col min="6447" max="6447" width="14" style="98" bestFit="1" customWidth="1"/>
    <col min="6448" max="6448" width="14.140625" style="98" bestFit="1" customWidth="1"/>
    <col min="6449" max="6449" width="21.140625" style="98" bestFit="1" customWidth="1"/>
    <col min="6450" max="6450" width="9" style="98" bestFit="1" customWidth="1"/>
    <col min="6451" max="6451" width="16.140625" style="98" bestFit="1" customWidth="1"/>
    <col min="6452" max="6452" width="13.42578125" style="98" bestFit="1" customWidth="1"/>
    <col min="6453" max="6453" width="22.42578125" style="98" customWidth="1"/>
    <col min="6454" max="6454" width="16.5703125" style="98" customWidth="1"/>
    <col min="6455" max="6455" width="15" style="98" customWidth="1"/>
    <col min="6456" max="6456" width="16.28515625" style="98" customWidth="1"/>
    <col min="6457" max="6457" width="9.5703125" style="98" customWidth="1"/>
    <col min="6458" max="6458" width="15.7109375" style="98" customWidth="1"/>
    <col min="6459" max="6459" width="14.140625" style="98" bestFit="1" customWidth="1"/>
    <col min="6460" max="6460" width="12.7109375" style="98" customWidth="1"/>
    <col min="6461" max="6461" width="23.85546875" style="98" customWidth="1"/>
    <col min="6462" max="6462" width="9.28515625" style="98" bestFit="1" customWidth="1"/>
    <col min="6463" max="6463" width="17.140625" style="98" customWidth="1"/>
    <col min="6464" max="6464" width="16.140625" style="98" customWidth="1"/>
    <col min="6465" max="6465" width="12.7109375" style="98" customWidth="1"/>
    <col min="6466" max="6466" width="23.85546875" style="98" customWidth="1"/>
    <col min="6467" max="6467" width="12.7109375" style="98" customWidth="1"/>
    <col min="6468" max="6468" width="17.140625" style="98" customWidth="1"/>
    <col min="6469" max="6469" width="16.140625" style="98" customWidth="1"/>
    <col min="6470" max="6656" width="9.140625" style="98"/>
    <col min="6657" max="6657" width="1.28515625" style="98" customWidth="1"/>
    <col min="6658" max="6658" width="26.85546875" style="98" customWidth="1"/>
    <col min="6659" max="6663" width="0" style="98" hidden="1" customWidth="1"/>
    <col min="6664" max="6664" width="15.85546875" style="98" customWidth="1"/>
    <col min="6665" max="6665" width="12.85546875" style="98" customWidth="1"/>
    <col min="6666" max="6666" width="19.85546875" style="98" bestFit="1" customWidth="1"/>
    <col min="6667" max="6667" width="10.85546875" style="98" customWidth="1"/>
    <col min="6668" max="6668" width="24" style="98" bestFit="1" customWidth="1"/>
    <col min="6669" max="6669" width="15.28515625" style="98" customWidth="1"/>
    <col min="6670" max="6670" width="13.5703125" style="98" customWidth="1"/>
    <col min="6671" max="6671" width="15.85546875" style="98" customWidth="1"/>
    <col min="6672" max="6672" width="20.5703125" style="98" customWidth="1"/>
    <col min="6673" max="6673" width="19.42578125" style="98" customWidth="1"/>
    <col min="6674" max="6674" width="14.7109375" style="98" customWidth="1"/>
    <col min="6675" max="6675" width="30.140625" style="98" customWidth="1"/>
    <col min="6676" max="6676" width="15" style="98" customWidth="1"/>
    <col min="6677" max="6677" width="11.42578125" style="98" customWidth="1"/>
    <col min="6678" max="6678" width="15" style="98" customWidth="1"/>
    <col min="6679" max="6679" width="10.85546875" style="98" customWidth="1"/>
    <col min="6680" max="6680" width="16.140625" style="98" customWidth="1"/>
    <col min="6681" max="6681" width="15" style="98" customWidth="1"/>
    <col min="6682" max="6682" width="14.28515625" style="98" customWidth="1"/>
    <col min="6683" max="6683" width="16.42578125" style="98" customWidth="1"/>
    <col min="6684" max="6684" width="9" style="98" bestFit="1" customWidth="1"/>
    <col min="6685" max="6685" width="17.140625" style="98" customWidth="1"/>
    <col min="6686" max="6686" width="15.5703125" style="98" customWidth="1"/>
    <col min="6687" max="6687" width="11.28515625" style="98" bestFit="1" customWidth="1"/>
    <col min="6688" max="6688" width="21.140625" style="98" bestFit="1" customWidth="1"/>
    <col min="6689" max="6689" width="9.140625" style="98" customWidth="1"/>
    <col min="6690" max="6690" width="16.140625" style="98" bestFit="1" customWidth="1"/>
    <col min="6691" max="6691" width="13.28515625" style="98" bestFit="1" customWidth="1"/>
    <col min="6692" max="6692" width="25.5703125" style="98" customWidth="1"/>
    <col min="6693" max="6693" width="17.140625" style="98" customWidth="1"/>
    <col min="6694" max="6694" width="12" style="98" customWidth="1"/>
    <col min="6695" max="6695" width="19" style="98" customWidth="1"/>
    <col min="6696" max="6696" width="9" style="98" bestFit="1" customWidth="1"/>
    <col min="6697" max="6697" width="20.7109375" style="98" customWidth="1"/>
    <col min="6698" max="6698" width="15" style="98" customWidth="1"/>
    <col min="6699" max="6699" width="13.42578125" style="98" customWidth="1"/>
    <col min="6700" max="6700" width="19.7109375" style="98" customWidth="1"/>
    <col min="6701" max="6701" width="9" style="98" bestFit="1" customWidth="1"/>
    <col min="6702" max="6702" width="16.140625" style="98" customWidth="1"/>
    <col min="6703" max="6703" width="14" style="98" bestFit="1" customWidth="1"/>
    <col min="6704" max="6704" width="14.140625" style="98" bestFit="1" customWidth="1"/>
    <col min="6705" max="6705" width="21.140625" style="98" bestFit="1" customWidth="1"/>
    <col min="6706" max="6706" width="9" style="98" bestFit="1" customWidth="1"/>
    <col min="6707" max="6707" width="16.140625" style="98" bestFit="1" customWidth="1"/>
    <col min="6708" max="6708" width="13.42578125" style="98" bestFit="1" customWidth="1"/>
    <col min="6709" max="6709" width="22.42578125" style="98" customWidth="1"/>
    <col min="6710" max="6710" width="16.5703125" style="98" customWidth="1"/>
    <col min="6711" max="6711" width="15" style="98" customWidth="1"/>
    <col min="6712" max="6712" width="16.28515625" style="98" customWidth="1"/>
    <col min="6713" max="6713" width="9.5703125" style="98" customWidth="1"/>
    <col min="6714" max="6714" width="15.7109375" style="98" customWidth="1"/>
    <col min="6715" max="6715" width="14.140625" style="98" bestFit="1" customWidth="1"/>
    <col min="6716" max="6716" width="12.7109375" style="98" customWidth="1"/>
    <col min="6717" max="6717" width="23.85546875" style="98" customWidth="1"/>
    <col min="6718" max="6718" width="9.28515625" style="98" bestFit="1" customWidth="1"/>
    <col min="6719" max="6719" width="17.140625" style="98" customWidth="1"/>
    <col min="6720" max="6720" width="16.140625" style="98" customWidth="1"/>
    <col min="6721" max="6721" width="12.7109375" style="98" customWidth="1"/>
    <col min="6722" max="6722" width="23.85546875" style="98" customWidth="1"/>
    <col min="6723" max="6723" width="12.7109375" style="98" customWidth="1"/>
    <col min="6724" max="6724" width="17.140625" style="98" customWidth="1"/>
    <col min="6725" max="6725" width="16.140625" style="98" customWidth="1"/>
    <col min="6726" max="6912" width="9.140625" style="98"/>
    <col min="6913" max="6913" width="1.28515625" style="98" customWidth="1"/>
    <col min="6914" max="6914" width="26.85546875" style="98" customWidth="1"/>
    <col min="6915" max="6919" width="0" style="98" hidden="1" customWidth="1"/>
    <col min="6920" max="6920" width="15.85546875" style="98" customWidth="1"/>
    <col min="6921" max="6921" width="12.85546875" style="98" customWidth="1"/>
    <col min="6922" max="6922" width="19.85546875" style="98" bestFit="1" customWidth="1"/>
    <col min="6923" max="6923" width="10.85546875" style="98" customWidth="1"/>
    <col min="6924" max="6924" width="24" style="98" bestFit="1" customWidth="1"/>
    <col min="6925" max="6925" width="15.28515625" style="98" customWidth="1"/>
    <col min="6926" max="6926" width="13.5703125" style="98" customWidth="1"/>
    <col min="6927" max="6927" width="15.85546875" style="98" customWidth="1"/>
    <col min="6928" max="6928" width="20.5703125" style="98" customWidth="1"/>
    <col min="6929" max="6929" width="19.42578125" style="98" customWidth="1"/>
    <col min="6930" max="6930" width="14.7109375" style="98" customWidth="1"/>
    <col min="6931" max="6931" width="30.140625" style="98" customWidth="1"/>
    <col min="6932" max="6932" width="15" style="98" customWidth="1"/>
    <col min="6933" max="6933" width="11.42578125" style="98" customWidth="1"/>
    <col min="6934" max="6934" width="15" style="98" customWidth="1"/>
    <col min="6935" max="6935" width="10.85546875" style="98" customWidth="1"/>
    <col min="6936" max="6936" width="16.140625" style="98" customWidth="1"/>
    <col min="6937" max="6937" width="15" style="98" customWidth="1"/>
    <col min="6938" max="6938" width="14.28515625" style="98" customWidth="1"/>
    <col min="6939" max="6939" width="16.42578125" style="98" customWidth="1"/>
    <col min="6940" max="6940" width="9" style="98" bestFit="1" customWidth="1"/>
    <col min="6941" max="6941" width="17.140625" style="98" customWidth="1"/>
    <col min="6942" max="6942" width="15.5703125" style="98" customWidth="1"/>
    <col min="6943" max="6943" width="11.28515625" style="98" bestFit="1" customWidth="1"/>
    <col min="6944" max="6944" width="21.140625" style="98" bestFit="1" customWidth="1"/>
    <col min="6945" max="6945" width="9.140625" style="98" customWidth="1"/>
    <col min="6946" max="6946" width="16.140625" style="98" bestFit="1" customWidth="1"/>
    <col min="6947" max="6947" width="13.28515625" style="98" bestFit="1" customWidth="1"/>
    <col min="6948" max="6948" width="25.5703125" style="98" customWidth="1"/>
    <col min="6949" max="6949" width="17.140625" style="98" customWidth="1"/>
    <col min="6950" max="6950" width="12" style="98" customWidth="1"/>
    <col min="6951" max="6951" width="19" style="98" customWidth="1"/>
    <col min="6952" max="6952" width="9" style="98" bestFit="1" customWidth="1"/>
    <col min="6953" max="6953" width="20.7109375" style="98" customWidth="1"/>
    <col min="6954" max="6954" width="15" style="98" customWidth="1"/>
    <col min="6955" max="6955" width="13.42578125" style="98" customWidth="1"/>
    <col min="6956" max="6956" width="19.7109375" style="98" customWidth="1"/>
    <col min="6957" max="6957" width="9" style="98" bestFit="1" customWidth="1"/>
    <col min="6958" max="6958" width="16.140625" style="98" customWidth="1"/>
    <col min="6959" max="6959" width="14" style="98" bestFit="1" customWidth="1"/>
    <col min="6960" max="6960" width="14.140625" style="98" bestFit="1" customWidth="1"/>
    <col min="6961" max="6961" width="21.140625" style="98" bestFit="1" customWidth="1"/>
    <col min="6962" max="6962" width="9" style="98" bestFit="1" customWidth="1"/>
    <col min="6963" max="6963" width="16.140625" style="98" bestFit="1" customWidth="1"/>
    <col min="6964" max="6964" width="13.42578125" style="98" bestFit="1" customWidth="1"/>
    <col min="6965" max="6965" width="22.42578125" style="98" customWidth="1"/>
    <col min="6966" max="6966" width="16.5703125" style="98" customWidth="1"/>
    <col min="6967" max="6967" width="15" style="98" customWidth="1"/>
    <col min="6968" max="6968" width="16.28515625" style="98" customWidth="1"/>
    <col min="6969" max="6969" width="9.5703125" style="98" customWidth="1"/>
    <col min="6970" max="6970" width="15.7109375" style="98" customWidth="1"/>
    <col min="6971" max="6971" width="14.140625" style="98" bestFit="1" customWidth="1"/>
    <col min="6972" max="6972" width="12.7109375" style="98" customWidth="1"/>
    <col min="6973" max="6973" width="23.85546875" style="98" customWidth="1"/>
    <col min="6974" max="6974" width="9.28515625" style="98" bestFit="1" customWidth="1"/>
    <col min="6975" max="6975" width="17.140625" style="98" customWidth="1"/>
    <col min="6976" max="6976" width="16.140625" style="98" customWidth="1"/>
    <col min="6977" max="6977" width="12.7109375" style="98" customWidth="1"/>
    <col min="6978" max="6978" width="23.85546875" style="98" customWidth="1"/>
    <col min="6979" max="6979" width="12.7109375" style="98" customWidth="1"/>
    <col min="6980" max="6980" width="17.140625" style="98" customWidth="1"/>
    <col min="6981" max="6981" width="16.140625" style="98" customWidth="1"/>
    <col min="6982" max="7168" width="9.140625" style="98"/>
    <col min="7169" max="7169" width="1.28515625" style="98" customWidth="1"/>
    <col min="7170" max="7170" width="26.85546875" style="98" customWidth="1"/>
    <col min="7171" max="7175" width="0" style="98" hidden="1" customWidth="1"/>
    <col min="7176" max="7176" width="15.85546875" style="98" customWidth="1"/>
    <col min="7177" max="7177" width="12.85546875" style="98" customWidth="1"/>
    <col min="7178" max="7178" width="19.85546875" style="98" bestFit="1" customWidth="1"/>
    <col min="7179" max="7179" width="10.85546875" style="98" customWidth="1"/>
    <col min="7180" max="7180" width="24" style="98" bestFit="1" customWidth="1"/>
    <col min="7181" max="7181" width="15.28515625" style="98" customWidth="1"/>
    <col min="7182" max="7182" width="13.5703125" style="98" customWidth="1"/>
    <col min="7183" max="7183" width="15.85546875" style="98" customWidth="1"/>
    <col min="7184" max="7184" width="20.5703125" style="98" customWidth="1"/>
    <col min="7185" max="7185" width="19.42578125" style="98" customWidth="1"/>
    <col min="7186" max="7186" width="14.7109375" style="98" customWidth="1"/>
    <col min="7187" max="7187" width="30.140625" style="98" customWidth="1"/>
    <col min="7188" max="7188" width="15" style="98" customWidth="1"/>
    <col min="7189" max="7189" width="11.42578125" style="98" customWidth="1"/>
    <col min="7190" max="7190" width="15" style="98" customWidth="1"/>
    <col min="7191" max="7191" width="10.85546875" style="98" customWidth="1"/>
    <col min="7192" max="7192" width="16.140625" style="98" customWidth="1"/>
    <col min="7193" max="7193" width="15" style="98" customWidth="1"/>
    <col min="7194" max="7194" width="14.28515625" style="98" customWidth="1"/>
    <col min="7195" max="7195" width="16.42578125" style="98" customWidth="1"/>
    <col min="7196" max="7196" width="9" style="98" bestFit="1" customWidth="1"/>
    <col min="7197" max="7197" width="17.140625" style="98" customWidth="1"/>
    <col min="7198" max="7198" width="15.5703125" style="98" customWidth="1"/>
    <col min="7199" max="7199" width="11.28515625" style="98" bestFit="1" customWidth="1"/>
    <col min="7200" max="7200" width="21.140625" style="98" bestFit="1" customWidth="1"/>
    <col min="7201" max="7201" width="9.140625" style="98" customWidth="1"/>
    <col min="7202" max="7202" width="16.140625" style="98" bestFit="1" customWidth="1"/>
    <col min="7203" max="7203" width="13.28515625" style="98" bestFit="1" customWidth="1"/>
    <col min="7204" max="7204" width="25.5703125" style="98" customWidth="1"/>
    <col min="7205" max="7205" width="17.140625" style="98" customWidth="1"/>
    <col min="7206" max="7206" width="12" style="98" customWidth="1"/>
    <col min="7207" max="7207" width="19" style="98" customWidth="1"/>
    <col min="7208" max="7208" width="9" style="98" bestFit="1" customWidth="1"/>
    <col min="7209" max="7209" width="20.7109375" style="98" customWidth="1"/>
    <col min="7210" max="7210" width="15" style="98" customWidth="1"/>
    <col min="7211" max="7211" width="13.42578125" style="98" customWidth="1"/>
    <col min="7212" max="7212" width="19.7109375" style="98" customWidth="1"/>
    <col min="7213" max="7213" width="9" style="98" bestFit="1" customWidth="1"/>
    <col min="7214" max="7214" width="16.140625" style="98" customWidth="1"/>
    <col min="7215" max="7215" width="14" style="98" bestFit="1" customWidth="1"/>
    <col min="7216" max="7216" width="14.140625" style="98" bestFit="1" customWidth="1"/>
    <col min="7217" max="7217" width="21.140625" style="98" bestFit="1" customWidth="1"/>
    <col min="7218" max="7218" width="9" style="98" bestFit="1" customWidth="1"/>
    <col min="7219" max="7219" width="16.140625" style="98" bestFit="1" customWidth="1"/>
    <col min="7220" max="7220" width="13.42578125" style="98" bestFit="1" customWidth="1"/>
    <col min="7221" max="7221" width="22.42578125" style="98" customWidth="1"/>
    <col min="7222" max="7222" width="16.5703125" style="98" customWidth="1"/>
    <col min="7223" max="7223" width="15" style="98" customWidth="1"/>
    <col min="7224" max="7224" width="16.28515625" style="98" customWidth="1"/>
    <col min="7225" max="7225" width="9.5703125" style="98" customWidth="1"/>
    <col min="7226" max="7226" width="15.7109375" style="98" customWidth="1"/>
    <col min="7227" max="7227" width="14.140625" style="98" bestFit="1" customWidth="1"/>
    <col min="7228" max="7228" width="12.7109375" style="98" customWidth="1"/>
    <col min="7229" max="7229" width="23.85546875" style="98" customWidth="1"/>
    <col min="7230" max="7230" width="9.28515625" style="98" bestFit="1" customWidth="1"/>
    <col min="7231" max="7231" width="17.140625" style="98" customWidth="1"/>
    <col min="7232" max="7232" width="16.140625" style="98" customWidth="1"/>
    <col min="7233" max="7233" width="12.7109375" style="98" customWidth="1"/>
    <col min="7234" max="7234" width="23.85546875" style="98" customWidth="1"/>
    <col min="7235" max="7235" width="12.7109375" style="98" customWidth="1"/>
    <col min="7236" max="7236" width="17.140625" style="98" customWidth="1"/>
    <col min="7237" max="7237" width="16.140625" style="98" customWidth="1"/>
    <col min="7238" max="7424" width="9.140625" style="98"/>
    <col min="7425" max="7425" width="1.28515625" style="98" customWidth="1"/>
    <col min="7426" max="7426" width="26.85546875" style="98" customWidth="1"/>
    <col min="7427" max="7431" width="0" style="98" hidden="1" customWidth="1"/>
    <col min="7432" max="7432" width="15.85546875" style="98" customWidth="1"/>
    <col min="7433" max="7433" width="12.85546875" style="98" customWidth="1"/>
    <col min="7434" max="7434" width="19.85546875" style="98" bestFit="1" customWidth="1"/>
    <col min="7435" max="7435" width="10.85546875" style="98" customWidth="1"/>
    <col min="7436" max="7436" width="24" style="98" bestFit="1" customWidth="1"/>
    <col min="7437" max="7437" width="15.28515625" style="98" customWidth="1"/>
    <col min="7438" max="7438" width="13.5703125" style="98" customWidth="1"/>
    <col min="7439" max="7439" width="15.85546875" style="98" customWidth="1"/>
    <col min="7440" max="7440" width="20.5703125" style="98" customWidth="1"/>
    <col min="7441" max="7441" width="19.42578125" style="98" customWidth="1"/>
    <col min="7442" max="7442" width="14.7109375" style="98" customWidth="1"/>
    <col min="7443" max="7443" width="30.140625" style="98" customWidth="1"/>
    <col min="7444" max="7444" width="15" style="98" customWidth="1"/>
    <col min="7445" max="7445" width="11.42578125" style="98" customWidth="1"/>
    <col min="7446" max="7446" width="15" style="98" customWidth="1"/>
    <col min="7447" max="7447" width="10.85546875" style="98" customWidth="1"/>
    <col min="7448" max="7448" width="16.140625" style="98" customWidth="1"/>
    <col min="7449" max="7449" width="15" style="98" customWidth="1"/>
    <col min="7450" max="7450" width="14.28515625" style="98" customWidth="1"/>
    <col min="7451" max="7451" width="16.42578125" style="98" customWidth="1"/>
    <col min="7452" max="7452" width="9" style="98" bestFit="1" customWidth="1"/>
    <col min="7453" max="7453" width="17.140625" style="98" customWidth="1"/>
    <col min="7454" max="7454" width="15.5703125" style="98" customWidth="1"/>
    <col min="7455" max="7455" width="11.28515625" style="98" bestFit="1" customWidth="1"/>
    <col min="7456" max="7456" width="21.140625" style="98" bestFit="1" customWidth="1"/>
    <col min="7457" max="7457" width="9.140625" style="98" customWidth="1"/>
    <col min="7458" max="7458" width="16.140625" style="98" bestFit="1" customWidth="1"/>
    <col min="7459" max="7459" width="13.28515625" style="98" bestFit="1" customWidth="1"/>
    <col min="7460" max="7460" width="25.5703125" style="98" customWidth="1"/>
    <col min="7461" max="7461" width="17.140625" style="98" customWidth="1"/>
    <col min="7462" max="7462" width="12" style="98" customWidth="1"/>
    <col min="7463" max="7463" width="19" style="98" customWidth="1"/>
    <col min="7464" max="7464" width="9" style="98" bestFit="1" customWidth="1"/>
    <col min="7465" max="7465" width="20.7109375" style="98" customWidth="1"/>
    <col min="7466" max="7466" width="15" style="98" customWidth="1"/>
    <col min="7467" max="7467" width="13.42578125" style="98" customWidth="1"/>
    <col min="7468" max="7468" width="19.7109375" style="98" customWidth="1"/>
    <col min="7469" max="7469" width="9" style="98" bestFit="1" customWidth="1"/>
    <col min="7470" max="7470" width="16.140625" style="98" customWidth="1"/>
    <col min="7471" max="7471" width="14" style="98" bestFit="1" customWidth="1"/>
    <col min="7472" max="7472" width="14.140625" style="98" bestFit="1" customWidth="1"/>
    <col min="7473" max="7473" width="21.140625" style="98" bestFit="1" customWidth="1"/>
    <col min="7474" max="7474" width="9" style="98" bestFit="1" customWidth="1"/>
    <col min="7475" max="7475" width="16.140625" style="98" bestFit="1" customWidth="1"/>
    <col min="7476" max="7476" width="13.42578125" style="98" bestFit="1" customWidth="1"/>
    <col min="7477" max="7477" width="22.42578125" style="98" customWidth="1"/>
    <col min="7478" max="7478" width="16.5703125" style="98" customWidth="1"/>
    <col min="7479" max="7479" width="15" style="98" customWidth="1"/>
    <col min="7480" max="7480" width="16.28515625" style="98" customWidth="1"/>
    <col min="7481" max="7481" width="9.5703125" style="98" customWidth="1"/>
    <col min="7482" max="7482" width="15.7109375" style="98" customWidth="1"/>
    <col min="7483" max="7483" width="14.140625" style="98" bestFit="1" customWidth="1"/>
    <col min="7484" max="7484" width="12.7109375" style="98" customWidth="1"/>
    <col min="7485" max="7485" width="23.85546875" style="98" customWidth="1"/>
    <col min="7486" max="7486" width="9.28515625" style="98" bestFit="1" customWidth="1"/>
    <col min="7487" max="7487" width="17.140625" style="98" customWidth="1"/>
    <col min="7488" max="7488" width="16.140625" style="98" customWidth="1"/>
    <col min="7489" max="7489" width="12.7109375" style="98" customWidth="1"/>
    <col min="7490" max="7490" width="23.85546875" style="98" customWidth="1"/>
    <col min="7491" max="7491" width="12.7109375" style="98" customWidth="1"/>
    <col min="7492" max="7492" width="17.140625" style="98" customWidth="1"/>
    <col min="7493" max="7493" width="16.140625" style="98" customWidth="1"/>
    <col min="7494" max="7680" width="9.140625" style="98"/>
    <col min="7681" max="7681" width="1.28515625" style="98" customWidth="1"/>
    <col min="7682" max="7682" width="26.85546875" style="98" customWidth="1"/>
    <col min="7683" max="7687" width="0" style="98" hidden="1" customWidth="1"/>
    <col min="7688" max="7688" width="15.85546875" style="98" customWidth="1"/>
    <col min="7689" max="7689" width="12.85546875" style="98" customWidth="1"/>
    <col min="7690" max="7690" width="19.85546875" style="98" bestFit="1" customWidth="1"/>
    <col min="7691" max="7691" width="10.85546875" style="98" customWidth="1"/>
    <col min="7692" max="7692" width="24" style="98" bestFit="1" customWidth="1"/>
    <col min="7693" max="7693" width="15.28515625" style="98" customWidth="1"/>
    <col min="7694" max="7694" width="13.5703125" style="98" customWidth="1"/>
    <col min="7695" max="7695" width="15.85546875" style="98" customWidth="1"/>
    <col min="7696" max="7696" width="20.5703125" style="98" customWidth="1"/>
    <col min="7697" max="7697" width="19.42578125" style="98" customWidth="1"/>
    <col min="7698" max="7698" width="14.7109375" style="98" customWidth="1"/>
    <col min="7699" max="7699" width="30.140625" style="98" customWidth="1"/>
    <col min="7700" max="7700" width="15" style="98" customWidth="1"/>
    <col min="7701" max="7701" width="11.42578125" style="98" customWidth="1"/>
    <col min="7702" max="7702" width="15" style="98" customWidth="1"/>
    <col min="7703" max="7703" width="10.85546875" style="98" customWidth="1"/>
    <col min="7704" max="7704" width="16.140625" style="98" customWidth="1"/>
    <col min="7705" max="7705" width="15" style="98" customWidth="1"/>
    <col min="7706" max="7706" width="14.28515625" style="98" customWidth="1"/>
    <col min="7707" max="7707" width="16.42578125" style="98" customWidth="1"/>
    <col min="7708" max="7708" width="9" style="98" bestFit="1" customWidth="1"/>
    <col min="7709" max="7709" width="17.140625" style="98" customWidth="1"/>
    <col min="7710" max="7710" width="15.5703125" style="98" customWidth="1"/>
    <col min="7711" max="7711" width="11.28515625" style="98" bestFit="1" customWidth="1"/>
    <col min="7712" max="7712" width="21.140625" style="98" bestFit="1" customWidth="1"/>
    <col min="7713" max="7713" width="9.140625" style="98" customWidth="1"/>
    <col min="7714" max="7714" width="16.140625" style="98" bestFit="1" customWidth="1"/>
    <col min="7715" max="7715" width="13.28515625" style="98" bestFit="1" customWidth="1"/>
    <col min="7716" max="7716" width="25.5703125" style="98" customWidth="1"/>
    <col min="7717" max="7717" width="17.140625" style="98" customWidth="1"/>
    <col min="7718" max="7718" width="12" style="98" customWidth="1"/>
    <col min="7719" max="7719" width="19" style="98" customWidth="1"/>
    <col min="7720" max="7720" width="9" style="98" bestFit="1" customWidth="1"/>
    <col min="7721" max="7721" width="20.7109375" style="98" customWidth="1"/>
    <col min="7722" max="7722" width="15" style="98" customWidth="1"/>
    <col min="7723" max="7723" width="13.42578125" style="98" customWidth="1"/>
    <col min="7724" max="7724" width="19.7109375" style="98" customWidth="1"/>
    <col min="7725" max="7725" width="9" style="98" bestFit="1" customWidth="1"/>
    <col min="7726" max="7726" width="16.140625" style="98" customWidth="1"/>
    <col min="7727" max="7727" width="14" style="98" bestFit="1" customWidth="1"/>
    <col min="7728" max="7728" width="14.140625" style="98" bestFit="1" customWidth="1"/>
    <col min="7729" max="7729" width="21.140625" style="98" bestFit="1" customWidth="1"/>
    <col min="7730" max="7730" width="9" style="98" bestFit="1" customWidth="1"/>
    <col min="7731" max="7731" width="16.140625" style="98" bestFit="1" customWidth="1"/>
    <col min="7732" max="7732" width="13.42578125" style="98" bestFit="1" customWidth="1"/>
    <col min="7733" max="7733" width="22.42578125" style="98" customWidth="1"/>
    <col min="7734" max="7734" width="16.5703125" style="98" customWidth="1"/>
    <col min="7735" max="7735" width="15" style="98" customWidth="1"/>
    <col min="7736" max="7736" width="16.28515625" style="98" customWidth="1"/>
    <col min="7737" max="7737" width="9.5703125" style="98" customWidth="1"/>
    <col min="7738" max="7738" width="15.7109375" style="98" customWidth="1"/>
    <col min="7739" max="7739" width="14.140625" style="98" bestFit="1" customWidth="1"/>
    <col min="7740" max="7740" width="12.7109375" style="98" customWidth="1"/>
    <col min="7741" max="7741" width="23.85546875" style="98" customWidth="1"/>
    <col min="7742" max="7742" width="9.28515625" style="98" bestFit="1" customWidth="1"/>
    <col min="7743" max="7743" width="17.140625" style="98" customWidth="1"/>
    <col min="7744" max="7744" width="16.140625" style="98" customWidth="1"/>
    <col min="7745" max="7745" width="12.7109375" style="98" customWidth="1"/>
    <col min="7746" max="7746" width="23.85546875" style="98" customWidth="1"/>
    <col min="7747" max="7747" width="12.7109375" style="98" customWidth="1"/>
    <col min="7748" max="7748" width="17.140625" style="98" customWidth="1"/>
    <col min="7749" max="7749" width="16.140625" style="98" customWidth="1"/>
    <col min="7750" max="7936" width="9.140625" style="98"/>
    <col min="7937" max="7937" width="1.28515625" style="98" customWidth="1"/>
    <col min="7938" max="7938" width="26.85546875" style="98" customWidth="1"/>
    <col min="7939" max="7943" width="0" style="98" hidden="1" customWidth="1"/>
    <col min="7944" max="7944" width="15.85546875" style="98" customWidth="1"/>
    <col min="7945" max="7945" width="12.85546875" style="98" customWidth="1"/>
    <col min="7946" max="7946" width="19.85546875" style="98" bestFit="1" customWidth="1"/>
    <col min="7947" max="7947" width="10.85546875" style="98" customWidth="1"/>
    <col min="7948" max="7948" width="24" style="98" bestFit="1" customWidth="1"/>
    <col min="7949" max="7949" width="15.28515625" style="98" customWidth="1"/>
    <col min="7950" max="7950" width="13.5703125" style="98" customWidth="1"/>
    <col min="7951" max="7951" width="15.85546875" style="98" customWidth="1"/>
    <col min="7952" max="7952" width="20.5703125" style="98" customWidth="1"/>
    <col min="7953" max="7953" width="19.42578125" style="98" customWidth="1"/>
    <col min="7954" max="7954" width="14.7109375" style="98" customWidth="1"/>
    <col min="7955" max="7955" width="30.140625" style="98" customWidth="1"/>
    <col min="7956" max="7956" width="15" style="98" customWidth="1"/>
    <col min="7957" max="7957" width="11.42578125" style="98" customWidth="1"/>
    <col min="7958" max="7958" width="15" style="98" customWidth="1"/>
    <col min="7959" max="7959" width="10.85546875" style="98" customWidth="1"/>
    <col min="7960" max="7960" width="16.140625" style="98" customWidth="1"/>
    <col min="7961" max="7961" width="15" style="98" customWidth="1"/>
    <col min="7962" max="7962" width="14.28515625" style="98" customWidth="1"/>
    <col min="7963" max="7963" width="16.42578125" style="98" customWidth="1"/>
    <col min="7964" max="7964" width="9" style="98" bestFit="1" customWidth="1"/>
    <col min="7965" max="7965" width="17.140625" style="98" customWidth="1"/>
    <col min="7966" max="7966" width="15.5703125" style="98" customWidth="1"/>
    <col min="7967" max="7967" width="11.28515625" style="98" bestFit="1" customWidth="1"/>
    <col min="7968" max="7968" width="21.140625" style="98" bestFit="1" customWidth="1"/>
    <col min="7969" max="7969" width="9.140625" style="98" customWidth="1"/>
    <col min="7970" max="7970" width="16.140625" style="98" bestFit="1" customWidth="1"/>
    <col min="7971" max="7971" width="13.28515625" style="98" bestFit="1" customWidth="1"/>
    <col min="7972" max="7972" width="25.5703125" style="98" customWidth="1"/>
    <col min="7973" max="7973" width="17.140625" style="98" customWidth="1"/>
    <col min="7974" max="7974" width="12" style="98" customWidth="1"/>
    <col min="7975" max="7975" width="19" style="98" customWidth="1"/>
    <col min="7976" max="7976" width="9" style="98" bestFit="1" customWidth="1"/>
    <col min="7977" max="7977" width="20.7109375" style="98" customWidth="1"/>
    <col min="7978" max="7978" width="15" style="98" customWidth="1"/>
    <col min="7979" max="7979" width="13.42578125" style="98" customWidth="1"/>
    <col min="7980" max="7980" width="19.7109375" style="98" customWidth="1"/>
    <col min="7981" max="7981" width="9" style="98" bestFit="1" customWidth="1"/>
    <col min="7982" max="7982" width="16.140625" style="98" customWidth="1"/>
    <col min="7983" max="7983" width="14" style="98" bestFit="1" customWidth="1"/>
    <col min="7984" max="7984" width="14.140625" style="98" bestFit="1" customWidth="1"/>
    <col min="7985" max="7985" width="21.140625" style="98" bestFit="1" customWidth="1"/>
    <col min="7986" max="7986" width="9" style="98" bestFit="1" customWidth="1"/>
    <col min="7987" max="7987" width="16.140625" style="98" bestFit="1" customWidth="1"/>
    <col min="7988" max="7988" width="13.42578125" style="98" bestFit="1" customWidth="1"/>
    <col min="7989" max="7989" width="22.42578125" style="98" customWidth="1"/>
    <col min="7990" max="7990" width="16.5703125" style="98" customWidth="1"/>
    <col min="7991" max="7991" width="15" style="98" customWidth="1"/>
    <col min="7992" max="7992" width="16.28515625" style="98" customWidth="1"/>
    <col min="7993" max="7993" width="9.5703125" style="98" customWidth="1"/>
    <col min="7994" max="7994" width="15.7109375" style="98" customWidth="1"/>
    <col min="7995" max="7995" width="14.140625" style="98" bestFit="1" customWidth="1"/>
    <col min="7996" max="7996" width="12.7109375" style="98" customWidth="1"/>
    <col min="7997" max="7997" width="23.85546875" style="98" customWidth="1"/>
    <col min="7998" max="7998" width="9.28515625" style="98" bestFit="1" customWidth="1"/>
    <col min="7999" max="7999" width="17.140625" style="98" customWidth="1"/>
    <col min="8000" max="8000" width="16.140625" style="98" customWidth="1"/>
    <col min="8001" max="8001" width="12.7109375" style="98" customWidth="1"/>
    <col min="8002" max="8002" width="23.85546875" style="98" customWidth="1"/>
    <col min="8003" max="8003" width="12.7109375" style="98" customWidth="1"/>
    <col min="8004" max="8004" width="17.140625" style="98" customWidth="1"/>
    <col min="8005" max="8005" width="16.140625" style="98" customWidth="1"/>
    <col min="8006" max="8192" width="9.140625" style="98"/>
    <col min="8193" max="8193" width="1.28515625" style="98" customWidth="1"/>
    <col min="8194" max="8194" width="26.85546875" style="98" customWidth="1"/>
    <col min="8195" max="8199" width="0" style="98" hidden="1" customWidth="1"/>
    <col min="8200" max="8200" width="15.85546875" style="98" customWidth="1"/>
    <col min="8201" max="8201" width="12.85546875" style="98" customWidth="1"/>
    <col min="8202" max="8202" width="19.85546875" style="98" bestFit="1" customWidth="1"/>
    <col min="8203" max="8203" width="10.85546875" style="98" customWidth="1"/>
    <col min="8204" max="8204" width="24" style="98" bestFit="1" customWidth="1"/>
    <col min="8205" max="8205" width="15.28515625" style="98" customWidth="1"/>
    <col min="8206" max="8206" width="13.5703125" style="98" customWidth="1"/>
    <col min="8207" max="8207" width="15.85546875" style="98" customWidth="1"/>
    <col min="8208" max="8208" width="20.5703125" style="98" customWidth="1"/>
    <col min="8209" max="8209" width="19.42578125" style="98" customWidth="1"/>
    <col min="8210" max="8210" width="14.7109375" style="98" customWidth="1"/>
    <col min="8211" max="8211" width="30.140625" style="98" customWidth="1"/>
    <col min="8212" max="8212" width="15" style="98" customWidth="1"/>
    <col min="8213" max="8213" width="11.42578125" style="98" customWidth="1"/>
    <col min="8214" max="8214" width="15" style="98" customWidth="1"/>
    <col min="8215" max="8215" width="10.85546875" style="98" customWidth="1"/>
    <col min="8216" max="8216" width="16.140625" style="98" customWidth="1"/>
    <col min="8217" max="8217" width="15" style="98" customWidth="1"/>
    <col min="8218" max="8218" width="14.28515625" style="98" customWidth="1"/>
    <col min="8219" max="8219" width="16.42578125" style="98" customWidth="1"/>
    <col min="8220" max="8220" width="9" style="98" bestFit="1" customWidth="1"/>
    <col min="8221" max="8221" width="17.140625" style="98" customWidth="1"/>
    <col min="8222" max="8222" width="15.5703125" style="98" customWidth="1"/>
    <col min="8223" max="8223" width="11.28515625" style="98" bestFit="1" customWidth="1"/>
    <col min="8224" max="8224" width="21.140625" style="98" bestFit="1" customWidth="1"/>
    <col min="8225" max="8225" width="9.140625" style="98" customWidth="1"/>
    <col min="8226" max="8226" width="16.140625" style="98" bestFit="1" customWidth="1"/>
    <col min="8227" max="8227" width="13.28515625" style="98" bestFit="1" customWidth="1"/>
    <col min="8228" max="8228" width="25.5703125" style="98" customWidth="1"/>
    <col min="8229" max="8229" width="17.140625" style="98" customWidth="1"/>
    <col min="8230" max="8230" width="12" style="98" customWidth="1"/>
    <col min="8231" max="8231" width="19" style="98" customWidth="1"/>
    <col min="8232" max="8232" width="9" style="98" bestFit="1" customWidth="1"/>
    <col min="8233" max="8233" width="20.7109375" style="98" customWidth="1"/>
    <col min="8234" max="8234" width="15" style="98" customWidth="1"/>
    <col min="8235" max="8235" width="13.42578125" style="98" customWidth="1"/>
    <col min="8236" max="8236" width="19.7109375" style="98" customWidth="1"/>
    <col min="8237" max="8237" width="9" style="98" bestFit="1" customWidth="1"/>
    <col min="8238" max="8238" width="16.140625" style="98" customWidth="1"/>
    <col min="8239" max="8239" width="14" style="98" bestFit="1" customWidth="1"/>
    <col min="8240" max="8240" width="14.140625" style="98" bestFit="1" customWidth="1"/>
    <col min="8241" max="8241" width="21.140625" style="98" bestFit="1" customWidth="1"/>
    <col min="8242" max="8242" width="9" style="98" bestFit="1" customWidth="1"/>
    <col min="8243" max="8243" width="16.140625" style="98" bestFit="1" customWidth="1"/>
    <col min="8244" max="8244" width="13.42578125" style="98" bestFit="1" customWidth="1"/>
    <col min="8245" max="8245" width="22.42578125" style="98" customWidth="1"/>
    <col min="8246" max="8246" width="16.5703125" style="98" customWidth="1"/>
    <col min="8247" max="8247" width="15" style="98" customWidth="1"/>
    <col min="8248" max="8248" width="16.28515625" style="98" customWidth="1"/>
    <col min="8249" max="8249" width="9.5703125" style="98" customWidth="1"/>
    <col min="8250" max="8250" width="15.7109375" style="98" customWidth="1"/>
    <col min="8251" max="8251" width="14.140625" style="98" bestFit="1" customWidth="1"/>
    <col min="8252" max="8252" width="12.7109375" style="98" customWidth="1"/>
    <col min="8253" max="8253" width="23.85546875" style="98" customWidth="1"/>
    <col min="8254" max="8254" width="9.28515625" style="98" bestFit="1" customWidth="1"/>
    <col min="8255" max="8255" width="17.140625" style="98" customWidth="1"/>
    <col min="8256" max="8256" width="16.140625" style="98" customWidth="1"/>
    <col min="8257" max="8257" width="12.7109375" style="98" customWidth="1"/>
    <col min="8258" max="8258" width="23.85546875" style="98" customWidth="1"/>
    <col min="8259" max="8259" width="12.7109375" style="98" customWidth="1"/>
    <col min="8260" max="8260" width="17.140625" style="98" customWidth="1"/>
    <col min="8261" max="8261" width="16.140625" style="98" customWidth="1"/>
    <col min="8262" max="8448" width="9.140625" style="98"/>
    <col min="8449" max="8449" width="1.28515625" style="98" customWidth="1"/>
    <col min="8450" max="8450" width="26.85546875" style="98" customWidth="1"/>
    <col min="8451" max="8455" width="0" style="98" hidden="1" customWidth="1"/>
    <col min="8456" max="8456" width="15.85546875" style="98" customWidth="1"/>
    <col min="8457" max="8457" width="12.85546875" style="98" customWidth="1"/>
    <col min="8458" max="8458" width="19.85546875" style="98" bestFit="1" customWidth="1"/>
    <col min="8459" max="8459" width="10.85546875" style="98" customWidth="1"/>
    <col min="8460" max="8460" width="24" style="98" bestFit="1" customWidth="1"/>
    <col min="8461" max="8461" width="15.28515625" style="98" customWidth="1"/>
    <col min="8462" max="8462" width="13.5703125" style="98" customWidth="1"/>
    <col min="8463" max="8463" width="15.85546875" style="98" customWidth="1"/>
    <col min="8464" max="8464" width="20.5703125" style="98" customWidth="1"/>
    <col min="8465" max="8465" width="19.42578125" style="98" customWidth="1"/>
    <col min="8466" max="8466" width="14.7109375" style="98" customWidth="1"/>
    <col min="8467" max="8467" width="30.140625" style="98" customWidth="1"/>
    <col min="8468" max="8468" width="15" style="98" customWidth="1"/>
    <col min="8469" max="8469" width="11.42578125" style="98" customWidth="1"/>
    <col min="8470" max="8470" width="15" style="98" customWidth="1"/>
    <col min="8471" max="8471" width="10.85546875" style="98" customWidth="1"/>
    <col min="8472" max="8472" width="16.140625" style="98" customWidth="1"/>
    <col min="8473" max="8473" width="15" style="98" customWidth="1"/>
    <col min="8474" max="8474" width="14.28515625" style="98" customWidth="1"/>
    <col min="8475" max="8475" width="16.42578125" style="98" customWidth="1"/>
    <col min="8476" max="8476" width="9" style="98" bestFit="1" customWidth="1"/>
    <col min="8477" max="8477" width="17.140625" style="98" customWidth="1"/>
    <col min="8478" max="8478" width="15.5703125" style="98" customWidth="1"/>
    <col min="8479" max="8479" width="11.28515625" style="98" bestFit="1" customWidth="1"/>
    <col min="8480" max="8480" width="21.140625" style="98" bestFit="1" customWidth="1"/>
    <col min="8481" max="8481" width="9.140625" style="98" customWidth="1"/>
    <col min="8482" max="8482" width="16.140625" style="98" bestFit="1" customWidth="1"/>
    <col min="8483" max="8483" width="13.28515625" style="98" bestFit="1" customWidth="1"/>
    <col min="8484" max="8484" width="25.5703125" style="98" customWidth="1"/>
    <col min="8485" max="8485" width="17.140625" style="98" customWidth="1"/>
    <col min="8486" max="8486" width="12" style="98" customWidth="1"/>
    <col min="8487" max="8487" width="19" style="98" customWidth="1"/>
    <col min="8488" max="8488" width="9" style="98" bestFit="1" customWidth="1"/>
    <col min="8489" max="8489" width="20.7109375" style="98" customWidth="1"/>
    <col min="8490" max="8490" width="15" style="98" customWidth="1"/>
    <col min="8491" max="8491" width="13.42578125" style="98" customWidth="1"/>
    <col min="8492" max="8492" width="19.7109375" style="98" customWidth="1"/>
    <col min="8493" max="8493" width="9" style="98" bestFit="1" customWidth="1"/>
    <col min="8494" max="8494" width="16.140625" style="98" customWidth="1"/>
    <col min="8495" max="8495" width="14" style="98" bestFit="1" customWidth="1"/>
    <col min="8496" max="8496" width="14.140625" style="98" bestFit="1" customWidth="1"/>
    <col min="8497" max="8497" width="21.140625" style="98" bestFit="1" customWidth="1"/>
    <col min="8498" max="8498" width="9" style="98" bestFit="1" customWidth="1"/>
    <col min="8499" max="8499" width="16.140625" style="98" bestFit="1" customWidth="1"/>
    <col min="8500" max="8500" width="13.42578125" style="98" bestFit="1" customWidth="1"/>
    <col min="8501" max="8501" width="22.42578125" style="98" customWidth="1"/>
    <col min="8502" max="8502" width="16.5703125" style="98" customWidth="1"/>
    <col min="8503" max="8503" width="15" style="98" customWidth="1"/>
    <col min="8504" max="8504" width="16.28515625" style="98" customWidth="1"/>
    <col min="8505" max="8505" width="9.5703125" style="98" customWidth="1"/>
    <col min="8506" max="8506" width="15.7109375" style="98" customWidth="1"/>
    <col min="8507" max="8507" width="14.140625" style="98" bestFit="1" customWidth="1"/>
    <col min="8508" max="8508" width="12.7109375" style="98" customWidth="1"/>
    <col min="8509" max="8509" width="23.85546875" style="98" customWidth="1"/>
    <col min="8510" max="8510" width="9.28515625" style="98" bestFit="1" customWidth="1"/>
    <col min="8511" max="8511" width="17.140625" style="98" customWidth="1"/>
    <col min="8512" max="8512" width="16.140625" style="98" customWidth="1"/>
    <col min="8513" max="8513" width="12.7109375" style="98" customWidth="1"/>
    <col min="8514" max="8514" width="23.85546875" style="98" customWidth="1"/>
    <col min="8515" max="8515" width="12.7109375" style="98" customWidth="1"/>
    <col min="8516" max="8516" width="17.140625" style="98" customWidth="1"/>
    <col min="8517" max="8517" width="16.140625" style="98" customWidth="1"/>
    <col min="8518" max="8704" width="9.140625" style="98"/>
    <col min="8705" max="8705" width="1.28515625" style="98" customWidth="1"/>
    <col min="8706" max="8706" width="26.85546875" style="98" customWidth="1"/>
    <col min="8707" max="8711" width="0" style="98" hidden="1" customWidth="1"/>
    <col min="8712" max="8712" width="15.85546875" style="98" customWidth="1"/>
    <col min="8713" max="8713" width="12.85546875" style="98" customWidth="1"/>
    <col min="8714" max="8714" width="19.85546875" style="98" bestFit="1" customWidth="1"/>
    <col min="8715" max="8715" width="10.85546875" style="98" customWidth="1"/>
    <col min="8716" max="8716" width="24" style="98" bestFit="1" customWidth="1"/>
    <col min="8717" max="8717" width="15.28515625" style="98" customWidth="1"/>
    <col min="8718" max="8718" width="13.5703125" style="98" customWidth="1"/>
    <col min="8719" max="8719" width="15.85546875" style="98" customWidth="1"/>
    <col min="8720" max="8720" width="20.5703125" style="98" customWidth="1"/>
    <col min="8721" max="8721" width="19.42578125" style="98" customWidth="1"/>
    <col min="8722" max="8722" width="14.7109375" style="98" customWidth="1"/>
    <col min="8723" max="8723" width="30.140625" style="98" customWidth="1"/>
    <col min="8724" max="8724" width="15" style="98" customWidth="1"/>
    <col min="8725" max="8725" width="11.42578125" style="98" customWidth="1"/>
    <col min="8726" max="8726" width="15" style="98" customWidth="1"/>
    <col min="8727" max="8727" width="10.85546875" style="98" customWidth="1"/>
    <col min="8728" max="8728" width="16.140625" style="98" customWidth="1"/>
    <col min="8729" max="8729" width="15" style="98" customWidth="1"/>
    <col min="8730" max="8730" width="14.28515625" style="98" customWidth="1"/>
    <col min="8731" max="8731" width="16.42578125" style="98" customWidth="1"/>
    <col min="8732" max="8732" width="9" style="98" bestFit="1" customWidth="1"/>
    <col min="8733" max="8733" width="17.140625" style="98" customWidth="1"/>
    <col min="8734" max="8734" width="15.5703125" style="98" customWidth="1"/>
    <col min="8735" max="8735" width="11.28515625" style="98" bestFit="1" customWidth="1"/>
    <col min="8736" max="8736" width="21.140625" style="98" bestFit="1" customWidth="1"/>
    <col min="8737" max="8737" width="9.140625" style="98" customWidth="1"/>
    <col min="8738" max="8738" width="16.140625" style="98" bestFit="1" customWidth="1"/>
    <col min="8739" max="8739" width="13.28515625" style="98" bestFit="1" customWidth="1"/>
    <col min="8740" max="8740" width="25.5703125" style="98" customWidth="1"/>
    <col min="8741" max="8741" width="17.140625" style="98" customWidth="1"/>
    <col min="8742" max="8742" width="12" style="98" customWidth="1"/>
    <col min="8743" max="8743" width="19" style="98" customWidth="1"/>
    <col min="8744" max="8744" width="9" style="98" bestFit="1" customWidth="1"/>
    <col min="8745" max="8745" width="20.7109375" style="98" customWidth="1"/>
    <col min="8746" max="8746" width="15" style="98" customWidth="1"/>
    <col min="8747" max="8747" width="13.42578125" style="98" customWidth="1"/>
    <col min="8748" max="8748" width="19.7109375" style="98" customWidth="1"/>
    <col min="8749" max="8749" width="9" style="98" bestFit="1" customWidth="1"/>
    <col min="8750" max="8750" width="16.140625" style="98" customWidth="1"/>
    <col min="8751" max="8751" width="14" style="98" bestFit="1" customWidth="1"/>
    <col min="8752" max="8752" width="14.140625" style="98" bestFit="1" customWidth="1"/>
    <col min="8753" max="8753" width="21.140625" style="98" bestFit="1" customWidth="1"/>
    <col min="8754" max="8754" width="9" style="98" bestFit="1" customWidth="1"/>
    <col min="8755" max="8755" width="16.140625" style="98" bestFit="1" customWidth="1"/>
    <col min="8756" max="8756" width="13.42578125" style="98" bestFit="1" customWidth="1"/>
    <col min="8757" max="8757" width="22.42578125" style="98" customWidth="1"/>
    <col min="8758" max="8758" width="16.5703125" style="98" customWidth="1"/>
    <col min="8759" max="8759" width="15" style="98" customWidth="1"/>
    <col min="8760" max="8760" width="16.28515625" style="98" customWidth="1"/>
    <col min="8761" max="8761" width="9.5703125" style="98" customWidth="1"/>
    <col min="8762" max="8762" width="15.7109375" style="98" customWidth="1"/>
    <col min="8763" max="8763" width="14.140625" style="98" bestFit="1" customWidth="1"/>
    <col min="8764" max="8764" width="12.7109375" style="98" customWidth="1"/>
    <col min="8765" max="8765" width="23.85546875" style="98" customWidth="1"/>
    <col min="8766" max="8766" width="9.28515625" style="98" bestFit="1" customWidth="1"/>
    <col min="8767" max="8767" width="17.140625" style="98" customWidth="1"/>
    <col min="8768" max="8768" width="16.140625" style="98" customWidth="1"/>
    <col min="8769" max="8769" width="12.7109375" style="98" customWidth="1"/>
    <col min="8770" max="8770" width="23.85546875" style="98" customWidth="1"/>
    <col min="8771" max="8771" width="12.7109375" style="98" customWidth="1"/>
    <col min="8772" max="8772" width="17.140625" style="98" customWidth="1"/>
    <col min="8773" max="8773" width="16.140625" style="98" customWidth="1"/>
    <col min="8774" max="8960" width="9.140625" style="98"/>
    <col min="8961" max="8961" width="1.28515625" style="98" customWidth="1"/>
    <col min="8962" max="8962" width="26.85546875" style="98" customWidth="1"/>
    <col min="8963" max="8967" width="0" style="98" hidden="1" customWidth="1"/>
    <col min="8968" max="8968" width="15.85546875" style="98" customWidth="1"/>
    <col min="8969" max="8969" width="12.85546875" style="98" customWidth="1"/>
    <col min="8970" max="8970" width="19.85546875" style="98" bestFit="1" customWidth="1"/>
    <col min="8971" max="8971" width="10.85546875" style="98" customWidth="1"/>
    <col min="8972" max="8972" width="24" style="98" bestFit="1" customWidth="1"/>
    <col min="8973" max="8973" width="15.28515625" style="98" customWidth="1"/>
    <col min="8974" max="8974" width="13.5703125" style="98" customWidth="1"/>
    <col min="8975" max="8975" width="15.85546875" style="98" customWidth="1"/>
    <col min="8976" max="8976" width="20.5703125" style="98" customWidth="1"/>
    <col min="8977" max="8977" width="19.42578125" style="98" customWidth="1"/>
    <col min="8978" max="8978" width="14.7109375" style="98" customWidth="1"/>
    <col min="8979" max="8979" width="30.140625" style="98" customWidth="1"/>
    <col min="8980" max="8980" width="15" style="98" customWidth="1"/>
    <col min="8981" max="8981" width="11.42578125" style="98" customWidth="1"/>
    <col min="8982" max="8982" width="15" style="98" customWidth="1"/>
    <col min="8983" max="8983" width="10.85546875" style="98" customWidth="1"/>
    <col min="8984" max="8984" width="16.140625" style="98" customWidth="1"/>
    <col min="8985" max="8985" width="15" style="98" customWidth="1"/>
    <col min="8986" max="8986" width="14.28515625" style="98" customWidth="1"/>
    <col min="8987" max="8987" width="16.42578125" style="98" customWidth="1"/>
    <col min="8988" max="8988" width="9" style="98" bestFit="1" customWidth="1"/>
    <col min="8989" max="8989" width="17.140625" style="98" customWidth="1"/>
    <col min="8990" max="8990" width="15.5703125" style="98" customWidth="1"/>
    <col min="8991" max="8991" width="11.28515625" style="98" bestFit="1" customWidth="1"/>
    <col min="8992" max="8992" width="21.140625" style="98" bestFit="1" customWidth="1"/>
    <col min="8993" max="8993" width="9.140625" style="98" customWidth="1"/>
    <col min="8994" max="8994" width="16.140625" style="98" bestFit="1" customWidth="1"/>
    <col min="8995" max="8995" width="13.28515625" style="98" bestFit="1" customWidth="1"/>
    <col min="8996" max="8996" width="25.5703125" style="98" customWidth="1"/>
    <col min="8997" max="8997" width="17.140625" style="98" customWidth="1"/>
    <col min="8998" max="8998" width="12" style="98" customWidth="1"/>
    <col min="8999" max="8999" width="19" style="98" customWidth="1"/>
    <col min="9000" max="9000" width="9" style="98" bestFit="1" customWidth="1"/>
    <col min="9001" max="9001" width="20.7109375" style="98" customWidth="1"/>
    <col min="9002" max="9002" width="15" style="98" customWidth="1"/>
    <col min="9003" max="9003" width="13.42578125" style="98" customWidth="1"/>
    <col min="9004" max="9004" width="19.7109375" style="98" customWidth="1"/>
    <col min="9005" max="9005" width="9" style="98" bestFit="1" customWidth="1"/>
    <col min="9006" max="9006" width="16.140625" style="98" customWidth="1"/>
    <col min="9007" max="9007" width="14" style="98" bestFit="1" customWidth="1"/>
    <col min="9008" max="9008" width="14.140625" style="98" bestFit="1" customWidth="1"/>
    <col min="9009" max="9009" width="21.140625" style="98" bestFit="1" customWidth="1"/>
    <col min="9010" max="9010" width="9" style="98" bestFit="1" customWidth="1"/>
    <col min="9011" max="9011" width="16.140625" style="98" bestFit="1" customWidth="1"/>
    <col min="9012" max="9012" width="13.42578125" style="98" bestFit="1" customWidth="1"/>
    <col min="9013" max="9013" width="22.42578125" style="98" customWidth="1"/>
    <col min="9014" max="9014" width="16.5703125" style="98" customWidth="1"/>
    <col min="9015" max="9015" width="15" style="98" customWidth="1"/>
    <col min="9016" max="9016" width="16.28515625" style="98" customWidth="1"/>
    <col min="9017" max="9017" width="9.5703125" style="98" customWidth="1"/>
    <col min="9018" max="9018" width="15.7109375" style="98" customWidth="1"/>
    <col min="9019" max="9019" width="14.140625" style="98" bestFit="1" customWidth="1"/>
    <col min="9020" max="9020" width="12.7109375" style="98" customWidth="1"/>
    <col min="9021" max="9021" width="23.85546875" style="98" customWidth="1"/>
    <col min="9022" max="9022" width="9.28515625" style="98" bestFit="1" customWidth="1"/>
    <col min="9023" max="9023" width="17.140625" style="98" customWidth="1"/>
    <col min="9024" max="9024" width="16.140625" style="98" customWidth="1"/>
    <col min="9025" max="9025" width="12.7109375" style="98" customWidth="1"/>
    <col min="9026" max="9026" width="23.85546875" style="98" customWidth="1"/>
    <col min="9027" max="9027" width="12.7109375" style="98" customWidth="1"/>
    <col min="9028" max="9028" width="17.140625" style="98" customWidth="1"/>
    <col min="9029" max="9029" width="16.140625" style="98" customWidth="1"/>
    <col min="9030" max="9216" width="9.140625" style="98"/>
    <col min="9217" max="9217" width="1.28515625" style="98" customWidth="1"/>
    <col min="9218" max="9218" width="26.85546875" style="98" customWidth="1"/>
    <col min="9219" max="9223" width="0" style="98" hidden="1" customWidth="1"/>
    <col min="9224" max="9224" width="15.85546875" style="98" customWidth="1"/>
    <col min="9225" max="9225" width="12.85546875" style="98" customWidth="1"/>
    <col min="9226" max="9226" width="19.85546875" style="98" bestFit="1" customWidth="1"/>
    <col min="9227" max="9227" width="10.85546875" style="98" customWidth="1"/>
    <col min="9228" max="9228" width="24" style="98" bestFit="1" customWidth="1"/>
    <col min="9229" max="9229" width="15.28515625" style="98" customWidth="1"/>
    <col min="9230" max="9230" width="13.5703125" style="98" customWidth="1"/>
    <col min="9231" max="9231" width="15.85546875" style="98" customWidth="1"/>
    <col min="9232" max="9232" width="20.5703125" style="98" customWidth="1"/>
    <col min="9233" max="9233" width="19.42578125" style="98" customWidth="1"/>
    <col min="9234" max="9234" width="14.7109375" style="98" customWidth="1"/>
    <col min="9235" max="9235" width="30.140625" style="98" customWidth="1"/>
    <col min="9236" max="9236" width="15" style="98" customWidth="1"/>
    <col min="9237" max="9237" width="11.42578125" style="98" customWidth="1"/>
    <col min="9238" max="9238" width="15" style="98" customWidth="1"/>
    <col min="9239" max="9239" width="10.85546875" style="98" customWidth="1"/>
    <col min="9240" max="9240" width="16.140625" style="98" customWidth="1"/>
    <col min="9241" max="9241" width="15" style="98" customWidth="1"/>
    <col min="9242" max="9242" width="14.28515625" style="98" customWidth="1"/>
    <col min="9243" max="9243" width="16.42578125" style="98" customWidth="1"/>
    <col min="9244" max="9244" width="9" style="98" bestFit="1" customWidth="1"/>
    <col min="9245" max="9245" width="17.140625" style="98" customWidth="1"/>
    <col min="9246" max="9246" width="15.5703125" style="98" customWidth="1"/>
    <col min="9247" max="9247" width="11.28515625" style="98" bestFit="1" customWidth="1"/>
    <col min="9248" max="9248" width="21.140625" style="98" bestFit="1" customWidth="1"/>
    <col min="9249" max="9249" width="9.140625" style="98" customWidth="1"/>
    <col min="9250" max="9250" width="16.140625" style="98" bestFit="1" customWidth="1"/>
    <col min="9251" max="9251" width="13.28515625" style="98" bestFit="1" customWidth="1"/>
    <col min="9252" max="9252" width="25.5703125" style="98" customWidth="1"/>
    <col min="9253" max="9253" width="17.140625" style="98" customWidth="1"/>
    <col min="9254" max="9254" width="12" style="98" customWidth="1"/>
    <col min="9255" max="9255" width="19" style="98" customWidth="1"/>
    <col min="9256" max="9256" width="9" style="98" bestFit="1" customWidth="1"/>
    <col min="9257" max="9257" width="20.7109375" style="98" customWidth="1"/>
    <col min="9258" max="9258" width="15" style="98" customWidth="1"/>
    <col min="9259" max="9259" width="13.42578125" style="98" customWidth="1"/>
    <col min="9260" max="9260" width="19.7109375" style="98" customWidth="1"/>
    <col min="9261" max="9261" width="9" style="98" bestFit="1" customWidth="1"/>
    <col min="9262" max="9262" width="16.140625" style="98" customWidth="1"/>
    <col min="9263" max="9263" width="14" style="98" bestFit="1" customWidth="1"/>
    <col min="9264" max="9264" width="14.140625" style="98" bestFit="1" customWidth="1"/>
    <col min="9265" max="9265" width="21.140625" style="98" bestFit="1" customWidth="1"/>
    <col min="9266" max="9266" width="9" style="98" bestFit="1" customWidth="1"/>
    <col min="9267" max="9267" width="16.140625" style="98" bestFit="1" customWidth="1"/>
    <col min="9268" max="9268" width="13.42578125" style="98" bestFit="1" customWidth="1"/>
    <col min="9269" max="9269" width="22.42578125" style="98" customWidth="1"/>
    <col min="9270" max="9270" width="16.5703125" style="98" customWidth="1"/>
    <col min="9271" max="9271" width="15" style="98" customWidth="1"/>
    <col min="9272" max="9272" width="16.28515625" style="98" customWidth="1"/>
    <col min="9273" max="9273" width="9.5703125" style="98" customWidth="1"/>
    <col min="9274" max="9274" width="15.7109375" style="98" customWidth="1"/>
    <col min="9275" max="9275" width="14.140625" style="98" bestFit="1" customWidth="1"/>
    <col min="9276" max="9276" width="12.7109375" style="98" customWidth="1"/>
    <col min="9277" max="9277" width="23.85546875" style="98" customWidth="1"/>
    <col min="9278" max="9278" width="9.28515625" style="98" bestFit="1" customWidth="1"/>
    <col min="9279" max="9279" width="17.140625" style="98" customWidth="1"/>
    <col min="9280" max="9280" width="16.140625" style="98" customWidth="1"/>
    <col min="9281" max="9281" width="12.7109375" style="98" customWidth="1"/>
    <col min="9282" max="9282" width="23.85546875" style="98" customWidth="1"/>
    <col min="9283" max="9283" width="12.7109375" style="98" customWidth="1"/>
    <col min="9284" max="9284" width="17.140625" style="98" customWidth="1"/>
    <col min="9285" max="9285" width="16.140625" style="98" customWidth="1"/>
    <col min="9286" max="9472" width="9.140625" style="98"/>
    <col min="9473" max="9473" width="1.28515625" style="98" customWidth="1"/>
    <col min="9474" max="9474" width="26.85546875" style="98" customWidth="1"/>
    <col min="9475" max="9479" width="0" style="98" hidden="1" customWidth="1"/>
    <col min="9480" max="9480" width="15.85546875" style="98" customWidth="1"/>
    <col min="9481" max="9481" width="12.85546875" style="98" customWidth="1"/>
    <col min="9482" max="9482" width="19.85546875" style="98" bestFit="1" customWidth="1"/>
    <col min="9483" max="9483" width="10.85546875" style="98" customWidth="1"/>
    <col min="9484" max="9484" width="24" style="98" bestFit="1" customWidth="1"/>
    <col min="9485" max="9485" width="15.28515625" style="98" customWidth="1"/>
    <col min="9486" max="9486" width="13.5703125" style="98" customWidth="1"/>
    <col min="9487" max="9487" width="15.85546875" style="98" customWidth="1"/>
    <col min="9488" max="9488" width="20.5703125" style="98" customWidth="1"/>
    <col min="9489" max="9489" width="19.42578125" style="98" customWidth="1"/>
    <col min="9490" max="9490" width="14.7109375" style="98" customWidth="1"/>
    <col min="9491" max="9491" width="30.140625" style="98" customWidth="1"/>
    <col min="9492" max="9492" width="15" style="98" customWidth="1"/>
    <col min="9493" max="9493" width="11.42578125" style="98" customWidth="1"/>
    <col min="9494" max="9494" width="15" style="98" customWidth="1"/>
    <col min="9495" max="9495" width="10.85546875" style="98" customWidth="1"/>
    <col min="9496" max="9496" width="16.140625" style="98" customWidth="1"/>
    <col min="9497" max="9497" width="15" style="98" customWidth="1"/>
    <col min="9498" max="9498" width="14.28515625" style="98" customWidth="1"/>
    <col min="9499" max="9499" width="16.42578125" style="98" customWidth="1"/>
    <col min="9500" max="9500" width="9" style="98" bestFit="1" customWidth="1"/>
    <col min="9501" max="9501" width="17.140625" style="98" customWidth="1"/>
    <col min="9502" max="9502" width="15.5703125" style="98" customWidth="1"/>
    <col min="9503" max="9503" width="11.28515625" style="98" bestFit="1" customWidth="1"/>
    <col min="9504" max="9504" width="21.140625" style="98" bestFit="1" customWidth="1"/>
    <col min="9505" max="9505" width="9.140625" style="98" customWidth="1"/>
    <col min="9506" max="9506" width="16.140625" style="98" bestFit="1" customWidth="1"/>
    <col min="9507" max="9507" width="13.28515625" style="98" bestFit="1" customWidth="1"/>
    <col min="9508" max="9508" width="25.5703125" style="98" customWidth="1"/>
    <col min="9509" max="9509" width="17.140625" style="98" customWidth="1"/>
    <col min="9510" max="9510" width="12" style="98" customWidth="1"/>
    <col min="9511" max="9511" width="19" style="98" customWidth="1"/>
    <col min="9512" max="9512" width="9" style="98" bestFit="1" customWidth="1"/>
    <col min="9513" max="9513" width="20.7109375" style="98" customWidth="1"/>
    <col min="9514" max="9514" width="15" style="98" customWidth="1"/>
    <col min="9515" max="9515" width="13.42578125" style="98" customWidth="1"/>
    <col min="9516" max="9516" width="19.7109375" style="98" customWidth="1"/>
    <col min="9517" max="9517" width="9" style="98" bestFit="1" customWidth="1"/>
    <col min="9518" max="9518" width="16.140625" style="98" customWidth="1"/>
    <col min="9519" max="9519" width="14" style="98" bestFit="1" customWidth="1"/>
    <col min="9520" max="9520" width="14.140625" style="98" bestFit="1" customWidth="1"/>
    <col min="9521" max="9521" width="21.140625" style="98" bestFit="1" customWidth="1"/>
    <col min="9522" max="9522" width="9" style="98" bestFit="1" customWidth="1"/>
    <col min="9523" max="9523" width="16.140625" style="98" bestFit="1" customWidth="1"/>
    <col min="9524" max="9524" width="13.42578125" style="98" bestFit="1" customWidth="1"/>
    <col min="9525" max="9525" width="22.42578125" style="98" customWidth="1"/>
    <col min="9526" max="9526" width="16.5703125" style="98" customWidth="1"/>
    <col min="9527" max="9527" width="15" style="98" customWidth="1"/>
    <col min="9528" max="9528" width="16.28515625" style="98" customWidth="1"/>
    <col min="9529" max="9529" width="9.5703125" style="98" customWidth="1"/>
    <col min="9530" max="9530" width="15.7109375" style="98" customWidth="1"/>
    <col min="9531" max="9531" width="14.140625" style="98" bestFit="1" customWidth="1"/>
    <col min="9532" max="9532" width="12.7109375" style="98" customWidth="1"/>
    <col min="9533" max="9533" width="23.85546875" style="98" customWidth="1"/>
    <col min="9534" max="9534" width="9.28515625" style="98" bestFit="1" customWidth="1"/>
    <col min="9535" max="9535" width="17.140625" style="98" customWidth="1"/>
    <col min="9536" max="9536" width="16.140625" style="98" customWidth="1"/>
    <col min="9537" max="9537" width="12.7109375" style="98" customWidth="1"/>
    <col min="9538" max="9538" width="23.85546875" style="98" customWidth="1"/>
    <col min="9539" max="9539" width="12.7109375" style="98" customWidth="1"/>
    <col min="9540" max="9540" width="17.140625" style="98" customWidth="1"/>
    <col min="9541" max="9541" width="16.140625" style="98" customWidth="1"/>
    <col min="9542" max="9728" width="9.140625" style="98"/>
    <col min="9729" max="9729" width="1.28515625" style="98" customWidth="1"/>
    <col min="9730" max="9730" width="26.85546875" style="98" customWidth="1"/>
    <col min="9731" max="9735" width="0" style="98" hidden="1" customWidth="1"/>
    <col min="9736" max="9736" width="15.85546875" style="98" customWidth="1"/>
    <col min="9737" max="9737" width="12.85546875" style="98" customWidth="1"/>
    <col min="9738" max="9738" width="19.85546875" style="98" bestFit="1" customWidth="1"/>
    <col min="9739" max="9739" width="10.85546875" style="98" customWidth="1"/>
    <col min="9740" max="9740" width="24" style="98" bestFit="1" customWidth="1"/>
    <col min="9741" max="9741" width="15.28515625" style="98" customWidth="1"/>
    <col min="9742" max="9742" width="13.5703125" style="98" customWidth="1"/>
    <col min="9743" max="9743" width="15.85546875" style="98" customWidth="1"/>
    <col min="9744" max="9744" width="20.5703125" style="98" customWidth="1"/>
    <col min="9745" max="9745" width="19.42578125" style="98" customWidth="1"/>
    <col min="9746" max="9746" width="14.7109375" style="98" customWidth="1"/>
    <col min="9747" max="9747" width="30.140625" style="98" customWidth="1"/>
    <col min="9748" max="9748" width="15" style="98" customWidth="1"/>
    <col min="9749" max="9749" width="11.42578125" style="98" customWidth="1"/>
    <col min="9750" max="9750" width="15" style="98" customWidth="1"/>
    <col min="9751" max="9751" width="10.85546875" style="98" customWidth="1"/>
    <col min="9752" max="9752" width="16.140625" style="98" customWidth="1"/>
    <col min="9753" max="9753" width="15" style="98" customWidth="1"/>
    <col min="9754" max="9754" width="14.28515625" style="98" customWidth="1"/>
    <col min="9755" max="9755" width="16.42578125" style="98" customWidth="1"/>
    <col min="9756" max="9756" width="9" style="98" bestFit="1" customWidth="1"/>
    <col min="9757" max="9757" width="17.140625" style="98" customWidth="1"/>
    <col min="9758" max="9758" width="15.5703125" style="98" customWidth="1"/>
    <col min="9759" max="9759" width="11.28515625" style="98" bestFit="1" customWidth="1"/>
    <col min="9760" max="9760" width="21.140625" style="98" bestFit="1" customWidth="1"/>
    <col min="9761" max="9761" width="9.140625" style="98" customWidth="1"/>
    <col min="9762" max="9762" width="16.140625" style="98" bestFit="1" customWidth="1"/>
    <col min="9763" max="9763" width="13.28515625" style="98" bestFit="1" customWidth="1"/>
    <col min="9764" max="9764" width="25.5703125" style="98" customWidth="1"/>
    <col min="9765" max="9765" width="17.140625" style="98" customWidth="1"/>
    <col min="9766" max="9766" width="12" style="98" customWidth="1"/>
    <col min="9767" max="9767" width="19" style="98" customWidth="1"/>
    <col min="9768" max="9768" width="9" style="98" bestFit="1" customWidth="1"/>
    <col min="9769" max="9769" width="20.7109375" style="98" customWidth="1"/>
    <col min="9770" max="9770" width="15" style="98" customWidth="1"/>
    <col min="9771" max="9771" width="13.42578125" style="98" customWidth="1"/>
    <col min="9772" max="9772" width="19.7109375" style="98" customWidth="1"/>
    <col min="9773" max="9773" width="9" style="98" bestFit="1" customWidth="1"/>
    <col min="9774" max="9774" width="16.140625" style="98" customWidth="1"/>
    <col min="9775" max="9775" width="14" style="98" bestFit="1" customWidth="1"/>
    <col min="9776" max="9776" width="14.140625" style="98" bestFit="1" customWidth="1"/>
    <col min="9777" max="9777" width="21.140625" style="98" bestFit="1" customWidth="1"/>
    <col min="9778" max="9778" width="9" style="98" bestFit="1" customWidth="1"/>
    <col min="9779" max="9779" width="16.140625" style="98" bestFit="1" customWidth="1"/>
    <col min="9780" max="9780" width="13.42578125" style="98" bestFit="1" customWidth="1"/>
    <col min="9781" max="9781" width="22.42578125" style="98" customWidth="1"/>
    <col min="9782" max="9782" width="16.5703125" style="98" customWidth="1"/>
    <col min="9783" max="9783" width="15" style="98" customWidth="1"/>
    <col min="9784" max="9784" width="16.28515625" style="98" customWidth="1"/>
    <col min="9785" max="9785" width="9.5703125" style="98" customWidth="1"/>
    <col min="9786" max="9786" width="15.7109375" style="98" customWidth="1"/>
    <col min="9787" max="9787" width="14.140625" style="98" bestFit="1" customWidth="1"/>
    <col min="9788" max="9788" width="12.7109375" style="98" customWidth="1"/>
    <col min="9789" max="9789" width="23.85546875" style="98" customWidth="1"/>
    <col min="9790" max="9790" width="9.28515625" style="98" bestFit="1" customWidth="1"/>
    <col min="9791" max="9791" width="17.140625" style="98" customWidth="1"/>
    <col min="9792" max="9792" width="16.140625" style="98" customWidth="1"/>
    <col min="9793" max="9793" width="12.7109375" style="98" customWidth="1"/>
    <col min="9794" max="9794" width="23.85546875" style="98" customWidth="1"/>
    <col min="9795" max="9795" width="12.7109375" style="98" customWidth="1"/>
    <col min="9796" max="9796" width="17.140625" style="98" customWidth="1"/>
    <col min="9797" max="9797" width="16.140625" style="98" customWidth="1"/>
    <col min="9798" max="9984" width="9.140625" style="98"/>
    <col min="9985" max="9985" width="1.28515625" style="98" customWidth="1"/>
    <col min="9986" max="9986" width="26.85546875" style="98" customWidth="1"/>
    <col min="9987" max="9991" width="0" style="98" hidden="1" customWidth="1"/>
    <col min="9992" max="9992" width="15.85546875" style="98" customWidth="1"/>
    <col min="9993" max="9993" width="12.85546875" style="98" customWidth="1"/>
    <col min="9994" max="9994" width="19.85546875" style="98" bestFit="1" customWidth="1"/>
    <col min="9995" max="9995" width="10.85546875" style="98" customWidth="1"/>
    <col min="9996" max="9996" width="24" style="98" bestFit="1" customWidth="1"/>
    <col min="9997" max="9997" width="15.28515625" style="98" customWidth="1"/>
    <col min="9998" max="9998" width="13.5703125" style="98" customWidth="1"/>
    <col min="9999" max="9999" width="15.85546875" style="98" customWidth="1"/>
    <col min="10000" max="10000" width="20.5703125" style="98" customWidth="1"/>
    <col min="10001" max="10001" width="19.42578125" style="98" customWidth="1"/>
    <col min="10002" max="10002" width="14.7109375" style="98" customWidth="1"/>
    <col min="10003" max="10003" width="30.140625" style="98" customWidth="1"/>
    <col min="10004" max="10004" width="15" style="98" customWidth="1"/>
    <col min="10005" max="10005" width="11.42578125" style="98" customWidth="1"/>
    <col min="10006" max="10006" width="15" style="98" customWidth="1"/>
    <col min="10007" max="10007" width="10.85546875" style="98" customWidth="1"/>
    <col min="10008" max="10008" width="16.140625" style="98" customWidth="1"/>
    <col min="10009" max="10009" width="15" style="98" customWidth="1"/>
    <col min="10010" max="10010" width="14.28515625" style="98" customWidth="1"/>
    <col min="10011" max="10011" width="16.42578125" style="98" customWidth="1"/>
    <col min="10012" max="10012" width="9" style="98" bestFit="1" customWidth="1"/>
    <col min="10013" max="10013" width="17.140625" style="98" customWidth="1"/>
    <col min="10014" max="10014" width="15.5703125" style="98" customWidth="1"/>
    <col min="10015" max="10015" width="11.28515625" style="98" bestFit="1" customWidth="1"/>
    <col min="10016" max="10016" width="21.140625" style="98" bestFit="1" customWidth="1"/>
    <col min="10017" max="10017" width="9.140625" style="98" customWidth="1"/>
    <col min="10018" max="10018" width="16.140625" style="98" bestFit="1" customWidth="1"/>
    <col min="10019" max="10019" width="13.28515625" style="98" bestFit="1" customWidth="1"/>
    <col min="10020" max="10020" width="25.5703125" style="98" customWidth="1"/>
    <col min="10021" max="10021" width="17.140625" style="98" customWidth="1"/>
    <col min="10022" max="10022" width="12" style="98" customWidth="1"/>
    <col min="10023" max="10023" width="19" style="98" customWidth="1"/>
    <col min="10024" max="10024" width="9" style="98" bestFit="1" customWidth="1"/>
    <col min="10025" max="10025" width="20.7109375" style="98" customWidth="1"/>
    <col min="10026" max="10026" width="15" style="98" customWidth="1"/>
    <col min="10027" max="10027" width="13.42578125" style="98" customWidth="1"/>
    <col min="10028" max="10028" width="19.7109375" style="98" customWidth="1"/>
    <col min="10029" max="10029" width="9" style="98" bestFit="1" customWidth="1"/>
    <col min="10030" max="10030" width="16.140625" style="98" customWidth="1"/>
    <col min="10031" max="10031" width="14" style="98" bestFit="1" customWidth="1"/>
    <col min="10032" max="10032" width="14.140625" style="98" bestFit="1" customWidth="1"/>
    <col min="10033" max="10033" width="21.140625" style="98" bestFit="1" customWidth="1"/>
    <col min="10034" max="10034" width="9" style="98" bestFit="1" customWidth="1"/>
    <col min="10035" max="10035" width="16.140625" style="98" bestFit="1" customWidth="1"/>
    <col min="10036" max="10036" width="13.42578125" style="98" bestFit="1" customWidth="1"/>
    <col min="10037" max="10037" width="22.42578125" style="98" customWidth="1"/>
    <col min="10038" max="10038" width="16.5703125" style="98" customWidth="1"/>
    <col min="10039" max="10039" width="15" style="98" customWidth="1"/>
    <col min="10040" max="10040" width="16.28515625" style="98" customWidth="1"/>
    <col min="10041" max="10041" width="9.5703125" style="98" customWidth="1"/>
    <col min="10042" max="10042" width="15.7109375" style="98" customWidth="1"/>
    <col min="10043" max="10043" width="14.140625" style="98" bestFit="1" customWidth="1"/>
    <col min="10044" max="10044" width="12.7109375" style="98" customWidth="1"/>
    <col min="10045" max="10045" width="23.85546875" style="98" customWidth="1"/>
    <col min="10046" max="10046" width="9.28515625" style="98" bestFit="1" customWidth="1"/>
    <col min="10047" max="10047" width="17.140625" style="98" customWidth="1"/>
    <col min="10048" max="10048" width="16.140625" style="98" customWidth="1"/>
    <col min="10049" max="10049" width="12.7109375" style="98" customWidth="1"/>
    <col min="10050" max="10050" width="23.85546875" style="98" customWidth="1"/>
    <col min="10051" max="10051" width="12.7109375" style="98" customWidth="1"/>
    <col min="10052" max="10052" width="17.140625" style="98" customWidth="1"/>
    <col min="10053" max="10053" width="16.140625" style="98" customWidth="1"/>
    <col min="10054" max="10240" width="9.140625" style="98"/>
    <col min="10241" max="10241" width="1.28515625" style="98" customWidth="1"/>
    <col min="10242" max="10242" width="26.85546875" style="98" customWidth="1"/>
    <col min="10243" max="10247" width="0" style="98" hidden="1" customWidth="1"/>
    <col min="10248" max="10248" width="15.85546875" style="98" customWidth="1"/>
    <col min="10249" max="10249" width="12.85546875" style="98" customWidth="1"/>
    <col min="10250" max="10250" width="19.85546875" style="98" bestFit="1" customWidth="1"/>
    <col min="10251" max="10251" width="10.85546875" style="98" customWidth="1"/>
    <col min="10252" max="10252" width="24" style="98" bestFit="1" customWidth="1"/>
    <col min="10253" max="10253" width="15.28515625" style="98" customWidth="1"/>
    <col min="10254" max="10254" width="13.5703125" style="98" customWidth="1"/>
    <col min="10255" max="10255" width="15.85546875" style="98" customWidth="1"/>
    <col min="10256" max="10256" width="20.5703125" style="98" customWidth="1"/>
    <col min="10257" max="10257" width="19.42578125" style="98" customWidth="1"/>
    <col min="10258" max="10258" width="14.7109375" style="98" customWidth="1"/>
    <col min="10259" max="10259" width="30.140625" style="98" customWidth="1"/>
    <col min="10260" max="10260" width="15" style="98" customWidth="1"/>
    <col min="10261" max="10261" width="11.42578125" style="98" customWidth="1"/>
    <col min="10262" max="10262" width="15" style="98" customWidth="1"/>
    <col min="10263" max="10263" width="10.85546875" style="98" customWidth="1"/>
    <col min="10264" max="10264" width="16.140625" style="98" customWidth="1"/>
    <col min="10265" max="10265" width="15" style="98" customWidth="1"/>
    <col min="10266" max="10266" width="14.28515625" style="98" customWidth="1"/>
    <col min="10267" max="10267" width="16.42578125" style="98" customWidth="1"/>
    <col min="10268" max="10268" width="9" style="98" bestFit="1" customWidth="1"/>
    <col min="10269" max="10269" width="17.140625" style="98" customWidth="1"/>
    <col min="10270" max="10270" width="15.5703125" style="98" customWidth="1"/>
    <col min="10271" max="10271" width="11.28515625" style="98" bestFit="1" customWidth="1"/>
    <col min="10272" max="10272" width="21.140625" style="98" bestFit="1" customWidth="1"/>
    <col min="10273" max="10273" width="9.140625" style="98" customWidth="1"/>
    <col min="10274" max="10274" width="16.140625" style="98" bestFit="1" customWidth="1"/>
    <col min="10275" max="10275" width="13.28515625" style="98" bestFit="1" customWidth="1"/>
    <col min="10276" max="10276" width="25.5703125" style="98" customWidth="1"/>
    <col min="10277" max="10277" width="17.140625" style="98" customWidth="1"/>
    <col min="10278" max="10278" width="12" style="98" customWidth="1"/>
    <col min="10279" max="10279" width="19" style="98" customWidth="1"/>
    <col min="10280" max="10280" width="9" style="98" bestFit="1" customWidth="1"/>
    <col min="10281" max="10281" width="20.7109375" style="98" customWidth="1"/>
    <col min="10282" max="10282" width="15" style="98" customWidth="1"/>
    <col min="10283" max="10283" width="13.42578125" style="98" customWidth="1"/>
    <col min="10284" max="10284" width="19.7109375" style="98" customWidth="1"/>
    <col min="10285" max="10285" width="9" style="98" bestFit="1" customWidth="1"/>
    <col min="10286" max="10286" width="16.140625" style="98" customWidth="1"/>
    <col min="10287" max="10287" width="14" style="98" bestFit="1" customWidth="1"/>
    <col min="10288" max="10288" width="14.140625" style="98" bestFit="1" customWidth="1"/>
    <col min="10289" max="10289" width="21.140625" style="98" bestFit="1" customWidth="1"/>
    <col min="10290" max="10290" width="9" style="98" bestFit="1" customWidth="1"/>
    <col min="10291" max="10291" width="16.140625" style="98" bestFit="1" customWidth="1"/>
    <col min="10292" max="10292" width="13.42578125" style="98" bestFit="1" customWidth="1"/>
    <col min="10293" max="10293" width="22.42578125" style="98" customWidth="1"/>
    <col min="10294" max="10294" width="16.5703125" style="98" customWidth="1"/>
    <col min="10295" max="10295" width="15" style="98" customWidth="1"/>
    <col min="10296" max="10296" width="16.28515625" style="98" customWidth="1"/>
    <col min="10297" max="10297" width="9.5703125" style="98" customWidth="1"/>
    <col min="10298" max="10298" width="15.7109375" style="98" customWidth="1"/>
    <col min="10299" max="10299" width="14.140625" style="98" bestFit="1" customWidth="1"/>
    <col min="10300" max="10300" width="12.7109375" style="98" customWidth="1"/>
    <col min="10301" max="10301" width="23.85546875" style="98" customWidth="1"/>
    <col min="10302" max="10302" width="9.28515625" style="98" bestFit="1" customWidth="1"/>
    <col min="10303" max="10303" width="17.140625" style="98" customWidth="1"/>
    <col min="10304" max="10304" width="16.140625" style="98" customWidth="1"/>
    <col min="10305" max="10305" width="12.7109375" style="98" customWidth="1"/>
    <col min="10306" max="10306" width="23.85546875" style="98" customWidth="1"/>
    <col min="10307" max="10307" width="12.7109375" style="98" customWidth="1"/>
    <col min="10308" max="10308" width="17.140625" style="98" customWidth="1"/>
    <col min="10309" max="10309" width="16.140625" style="98" customWidth="1"/>
    <col min="10310" max="10496" width="9.140625" style="98"/>
    <col min="10497" max="10497" width="1.28515625" style="98" customWidth="1"/>
    <col min="10498" max="10498" width="26.85546875" style="98" customWidth="1"/>
    <col min="10499" max="10503" width="0" style="98" hidden="1" customWidth="1"/>
    <col min="10504" max="10504" width="15.85546875" style="98" customWidth="1"/>
    <col min="10505" max="10505" width="12.85546875" style="98" customWidth="1"/>
    <col min="10506" max="10506" width="19.85546875" style="98" bestFit="1" customWidth="1"/>
    <col min="10507" max="10507" width="10.85546875" style="98" customWidth="1"/>
    <col min="10508" max="10508" width="24" style="98" bestFit="1" customWidth="1"/>
    <col min="10509" max="10509" width="15.28515625" style="98" customWidth="1"/>
    <col min="10510" max="10510" width="13.5703125" style="98" customWidth="1"/>
    <col min="10511" max="10511" width="15.85546875" style="98" customWidth="1"/>
    <col min="10512" max="10512" width="20.5703125" style="98" customWidth="1"/>
    <col min="10513" max="10513" width="19.42578125" style="98" customWidth="1"/>
    <col min="10514" max="10514" width="14.7109375" style="98" customWidth="1"/>
    <col min="10515" max="10515" width="30.140625" style="98" customWidth="1"/>
    <col min="10516" max="10516" width="15" style="98" customWidth="1"/>
    <col min="10517" max="10517" width="11.42578125" style="98" customWidth="1"/>
    <col min="10518" max="10518" width="15" style="98" customWidth="1"/>
    <col min="10519" max="10519" width="10.85546875" style="98" customWidth="1"/>
    <col min="10520" max="10520" width="16.140625" style="98" customWidth="1"/>
    <col min="10521" max="10521" width="15" style="98" customWidth="1"/>
    <col min="10522" max="10522" width="14.28515625" style="98" customWidth="1"/>
    <col min="10523" max="10523" width="16.42578125" style="98" customWidth="1"/>
    <col min="10524" max="10524" width="9" style="98" bestFit="1" customWidth="1"/>
    <col min="10525" max="10525" width="17.140625" style="98" customWidth="1"/>
    <col min="10526" max="10526" width="15.5703125" style="98" customWidth="1"/>
    <col min="10527" max="10527" width="11.28515625" style="98" bestFit="1" customWidth="1"/>
    <col min="10528" max="10528" width="21.140625" style="98" bestFit="1" customWidth="1"/>
    <col min="10529" max="10529" width="9.140625" style="98" customWidth="1"/>
    <col min="10530" max="10530" width="16.140625" style="98" bestFit="1" customWidth="1"/>
    <col min="10531" max="10531" width="13.28515625" style="98" bestFit="1" customWidth="1"/>
    <col min="10532" max="10532" width="25.5703125" style="98" customWidth="1"/>
    <col min="10533" max="10533" width="17.140625" style="98" customWidth="1"/>
    <col min="10534" max="10534" width="12" style="98" customWidth="1"/>
    <col min="10535" max="10535" width="19" style="98" customWidth="1"/>
    <col min="10536" max="10536" width="9" style="98" bestFit="1" customWidth="1"/>
    <col min="10537" max="10537" width="20.7109375" style="98" customWidth="1"/>
    <col min="10538" max="10538" width="15" style="98" customWidth="1"/>
    <col min="10539" max="10539" width="13.42578125" style="98" customWidth="1"/>
    <col min="10540" max="10540" width="19.7109375" style="98" customWidth="1"/>
    <col min="10541" max="10541" width="9" style="98" bestFit="1" customWidth="1"/>
    <col min="10542" max="10542" width="16.140625" style="98" customWidth="1"/>
    <col min="10543" max="10543" width="14" style="98" bestFit="1" customWidth="1"/>
    <col min="10544" max="10544" width="14.140625" style="98" bestFit="1" customWidth="1"/>
    <col min="10545" max="10545" width="21.140625" style="98" bestFit="1" customWidth="1"/>
    <col min="10546" max="10546" width="9" style="98" bestFit="1" customWidth="1"/>
    <col min="10547" max="10547" width="16.140625" style="98" bestFit="1" customWidth="1"/>
    <col min="10548" max="10548" width="13.42578125" style="98" bestFit="1" customWidth="1"/>
    <col min="10549" max="10549" width="22.42578125" style="98" customWidth="1"/>
    <col min="10550" max="10550" width="16.5703125" style="98" customWidth="1"/>
    <col min="10551" max="10551" width="15" style="98" customWidth="1"/>
    <col min="10552" max="10552" width="16.28515625" style="98" customWidth="1"/>
    <col min="10553" max="10553" width="9.5703125" style="98" customWidth="1"/>
    <col min="10554" max="10554" width="15.7109375" style="98" customWidth="1"/>
    <col min="10555" max="10555" width="14.140625" style="98" bestFit="1" customWidth="1"/>
    <col min="10556" max="10556" width="12.7109375" style="98" customWidth="1"/>
    <col min="10557" max="10557" width="23.85546875" style="98" customWidth="1"/>
    <col min="10558" max="10558" width="9.28515625" style="98" bestFit="1" customWidth="1"/>
    <col min="10559" max="10559" width="17.140625" style="98" customWidth="1"/>
    <col min="10560" max="10560" width="16.140625" style="98" customWidth="1"/>
    <col min="10561" max="10561" width="12.7109375" style="98" customWidth="1"/>
    <col min="10562" max="10562" width="23.85546875" style="98" customWidth="1"/>
    <col min="10563" max="10563" width="12.7109375" style="98" customWidth="1"/>
    <col min="10564" max="10564" width="17.140625" style="98" customWidth="1"/>
    <col min="10565" max="10565" width="16.140625" style="98" customWidth="1"/>
    <col min="10566" max="10752" width="9.140625" style="98"/>
    <col min="10753" max="10753" width="1.28515625" style="98" customWidth="1"/>
    <col min="10754" max="10754" width="26.85546875" style="98" customWidth="1"/>
    <col min="10755" max="10759" width="0" style="98" hidden="1" customWidth="1"/>
    <col min="10760" max="10760" width="15.85546875" style="98" customWidth="1"/>
    <col min="10761" max="10761" width="12.85546875" style="98" customWidth="1"/>
    <col min="10762" max="10762" width="19.85546875" style="98" bestFit="1" customWidth="1"/>
    <col min="10763" max="10763" width="10.85546875" style="98" customWidth="1"/>
    <col min="10764" max="10764" width="24" style="98" bestFit="1" customWidth="1"/>
    <col min="10765" max="10765" width="15.28515625" style="98" customWidth="1"/>
    <col min="10766" max="10766" width="13.5703125" style="98" customWidth="1"/>
    <col min="10767" max="10767" width="15.85546875" style="98" customWidth="1"/>
    <col min="10768" max="10768" width="20.5703125" style="98" customWidth="1"/>
    <col min="10769" max="10769" width="19.42578125" style="98" customWidth="1"/>
    <col min="10770" max="10770" width="14.7109375" style="98" customWidth="1"/>
    <col min="10771" max="10771" width="30.140625" style="98" customWidth="1"/>
    <col min="10772" max="10772" width="15" style="98" customWidth="1"/>
    <col min="10773" max="10773" width="11.42578125" style="98" customWidth="1"/>
    <col min="10774" max="10774" width="15" style="98" customWidth="1"/>
    <col min="10775" max="10775" width="10.85546875" style="98" customWidth="1"/>
    <col min="10776" max="10776" width="16.140625" style="98" customWidth="1"/>
    <col min="10777" max="10777" width="15" style="98" customWidth="1"/>
    <col min="10778" max="10778" width="14.28515625" style="98" customWidth="1"/>
    <col min="10779" max="10779" width="16.42578125" style="98" customWidth="1"/>
    <col min="10780" max="10780" width="9" style="98" bestFit="1" customWidth="1"/>
    <col min="10781" max="10781" width="17.140625" style="98" customWidth="1"/>
    <col min="10782" max="10782" width="15.5703125" style="98" customWidth="1"/>
    <col min="10783" max="10783" width="11.28515625" style="98" bestFit="1" customWidth="1"/>
    <col min="10784" max="10784" width="21.140625" style="98" bestFit="1" customWidth="1"/>
    <col min="10785" max="10785" width="9.140625" style="98" customWidth="1"/>
    <col min="10786" max="10786" width="16.140625" style="98" bestFit="1" customWidth="1"/>
    <col min="10787" max="10787" width="13.28515625" style="98" bestFit="1" customWidth="1"/>
    <col min="10788" max="10788" width="25.5703125" style="98" customWidth="1"/>
    <col min="10789" max="10789" width="17.140625" style="98" customWidth="1"/>
    <col min="10790" max="10790" width="12" style="98" customWidth="1"/>
    <col min="10791" max="10791" width="19" style="98" customWidth="1"/>
    <col min="10792" max="10792" width="9" style="98" bestFit="1" customWidth="1"/>
    <col min="10793" max="10793" width="20.7109375" style="98" customWidth="1"/>
    <col min="10794" max="10794" width="15" style="98" customWidth="1"/>
    <col min="10795" max="10795" width="13.42578125" style="98" customWidth="1"/>
    <col min="10796" max="10796" width="19.7109375" style="98" customWidth="1"/>
    <col min="10797" max="10797" width="9" style="98" bestFit="1" customWidth="1"/>
    <col min="10798" max="10798" width="16.140625" style="98" customWidth="1"/>
    <col min="10799" max="10799" width="14" style="98" bestFit="1" customWidth="1"/>
    <col min="10800" max="10800" width="14.140625" style="98" bestFit="1" customWidth="1"/>
    <col min="10801" max="10801" width="21.140625" style="98" bestFit="1" customWidth="1"/>
    <col min="10802" max="10802" width="9" style="98" bestFit="1" customWidth="1"/>
    <col min="10803" max="10803" width="16.140625" style="98" bestFit="1" customWidth="1"/>
    <col min="10804" max="10804" width="13.42578125" style="98" bestFit="1" customWidth="1"/>
    <col min="10805" max="10805" width="22.42578125" style="98" customWidth="1"/>
    <col min="10806" max="10806" width="16.5703125" style="98" customWidth="1"/>
    <col min="10807" max="10807" width="15" style="98" customWidth="1"/>
    <col min="10808" max="10808" width="16.28515625" style="98" customWidth="1"/>
    <col min="10809" max="10809" width="9.5703125" style="98" customWidth="1"/>
    <col min="10810" max="10810" width="15.7109375" style="98" customWidth="1"/>
    <col min="10811" max="10811" width="14.140625" style="98" bestFit="1" customWidth="1"/>
    <col min="10812" max="10812" width="12.7109375" style="98" customWidth="1"/>
    <col min="10813" max="10813" width="23.85546875" style="98" customWidth="1"/>
    <col min="10814" max="10814" width="9.28515625" style="98" bestFit="1" customWidth="1"/>
    <col min="10815" max="10815" width="17.140625" style="98" customWidth="1"/>
    <col min="10816" max="10816" width="16.140625" style="98" customWidth="1"/>
    <col min="10817" max="10817" width="12.7109375" style="98" customWidth="1"/>
    <col min="10818" max="10818" width="23.85546875" style="98" customWidth="1"/>
    <col min="10819" max="10819" width="12.7109375" style="98" customWidth="1"/>
    <col min="10820" max="10820" width="17.140625" style="98" customWidth="1"/>
    <col min="10821" max="10821" width="16.140625" style="98" customWidth="1"/>
    <col min="10822" max="11008" width="9.140625" style="98"/>
    <col min="11009" max="11009" width="1.28515625" style="98" customWidth="1"/>
    <col min="11010" max="11010" width="26.85546875" style="98" customWidth="1"/>
    <col min="11011" max="11015" width="0" style="98" hidden="1" customWidth="1"/>
    <col min="11016" max="11016" width="15.85546875" style="98" customWidth="1"/>
    <col min="11017" max="11017" width="12.85546875" style="98" customWidth="1"/>
    <col min="11018" max="11018" width="19.85546875" style="98" bestFit="1" customWidth="1"/>
    <col min="11019" max="11019" width="10.85546875" style="98" customWidth="1"/>
    <col min="11020" max="11020" width="24" style="98" bestFit="1" customWidth="1"/>
    <col min="11021" max="11021" width="15.28515625" style="98" customWidth="1"/>
    <col min="11022" max="11022" width="13.5703125" style="98" customWidth="1"/>
    <col min="11023" max="11023" width="15.85546875" style="98" customWidth="1"/>
    <col min="11024" max="11024" width="20.5703125" style="98" customWidth="1"/>
    <col min="11025" max="11025" width="19.42578125" style="98" customWidth="1"/>
    <col min="11026" max="11026" width="14.7109375" style="98" customWidth="1"/>
    <col min="11027" max="11027" width="30.140625" style="98" customWidth="1"/>
    <col min="11028" max="11028" width="15" style="98" customWidth="1"/>
    <col min="11029" max="11029" width="11.42578125" style="98" customWidth="1"/>
    <col min="11030" max="11030" width="15" style="98" customWidth="1"/>
    <col min="11031" max="11031" width="10.85546875" style="98" customWidth="1"/>
    <col min="11032" max="11032" width="16.140625" style="98" customWidth="1"/>
    <col min="11033" max="11033" width="15" style="98" customWidth="1"/>
    <col min="11034" max="11034" width="14.28515625" style="98" customWidth="1"/>
    <col min="11035" max="11035" width="16.42578125" style="98" customWidth="1"/>
    <col min="11036" max="11036" width="9" style="98" bestFit="1" customWidth="1"/>
    <col min="11037" max="11037" width="17.140625" style="98" customWidth="1"/>
    <col min="11038" max="11038" width="15.5703125" style="98" customWidth="1"/>
    <col min="11039" max="11039" width="11.28515625" style="98" bestFit="1" customWidth="1"/>
    <col min="11040" max="11040" width="21.140625" style="98" bestFit="1" customWidth="1"/>
    <col min="11041" max="11041" width="9.140625" style="98" customWidth="1"/>
    <col min="11042" max="11042" width="16.140625" style="98" bestFit="1" customWidth="1"/>
    <col min="11043" max="11043" width="13.28515625" style="98" bestFit="1" customWidth="1"/>
    <col min="11044" max="11044" width="25.5703125" style="98" customWidth="1"/>
    <col min="11045" max="11045" width="17.140625" style="98" customWidth="1"/>
    <col min="11046" max="11046" width="12" style="98" customWidth="1"/>
    <col min="11047" max="11047" width="19" style="98" customWidth="1"/>
    <col min="11048" max="11048" width="9" style="98" bestFit="1" customWidth="1"/>
    <col min="11049" max="11049" width="20.7109375" style="98" customWidth="1"/>
    <col min="11050" max="11050" width="15" style="98" customWidth="1"/>
    <col min="11051" max="11051" width="13.42578125" style="98" customWidth="1"/>
    <col min="11052" max="11052" width="19.7109375" style="98" customWidth="1"/>
    <col min="11053" max="11053" width="9" style="98" bestFit="1" customWidth="1"/>
    <col min="11054" max="11054" width="16.140625" style="98" customWidth="1"/>
    <col min="11055" max="11055" width="14" style="98" bestFit="1" customWidth="1"/>
    <col min="11056" max="11056" width="14.140625" style="98" bestFit="1" customWidth="1"/>
    <col min="11057" max="11057" width="21.140625" style="98" bestFit="1" customWidth="1"/>
    <col min="11058" max="11058" width="9" style="98" bestFit="1" customWidth="1"/>
    <col min="11059" max="11059" width="16.140625" style="98" bestFit="1" customWidth="1"/>
    <col min="11060" max="11060" width="13.42578125" style="98" bestFit="1" customWidth="1"/>
    <col min="11061" max="11061" width="22.42578125" style="98" customWidth="1"/>
    <col min="11062" max="11062" width="16.5703125" style="98" customWidth="1"/>
    <col min="11063" max="11063" width="15" style="98" customWidth="1"/>
    <col min="11064" max="11064" width="16.28515625" style="98" customWidth="1"/>
    <col min="11065" max="11065" width="9.5703125" style="98" customWidth="1"/>
    <col min="11066" max="11066" width="15.7109375" style="98" customWidth="1"/>
    <col min="11067" max="11067" width="14.140625" style="98" bestFit="1" customWidth="1"/>
    <col min="11068" max="11068" width="12.7109375" style="98" customWidth="1"/>
    <col min="11069" max="11069" width="23.85546875" style="98" customWidth="1"/>
    <col min="11070" max="11070" width="9.28515625" style="98" bestFit="1" customWidth="1"/>
    <col min="11071" max="11071" width="17.140625" style="98" customWidth="1"/>
    <col min="11072" max="11072" width="16.140625" style="98" customWidth="1"/>
    <col min="11073" max="11073" width="12.7109375" style="98" customWidth="1"/>
    <col min="11074" max="11074" width="23.85546875" style="98" customWidth="1"/>
    <col min="11075" max="11075" width="12.7109375" style="98" customWidth="1"/>
    <col min="11076" max="11076" width="17.140625" style="98" customWidth="1"/>
    <col min="11077" max="11077" width="16.140625" style="98" customWidth="1"/>
    <col min="11078" max="11264" width="9.140625" style="98"/>
    <col min="11265" max="11265" width="1.28515625" style="98" customWidth="1"/>
    <col min="11266" max="11266" width="26.85546875" style="98" customWidth="1"/>
    <col min="11267" max="11271" width="0" style="98" hidden="1" customWidth="1"/>
    <col min="11272" max="11272" width="15.85546875" style="98" customWidth="1"/>
    <col min="11273" max="11273" width="12.85546875" style="98" customWidth="1"/>
    <col min="11274" max="11274" width="19.85546875" style="98" bestFit="1" customWidth="1"/>
    <col min="11275" max="11275" width="10.85546875" style="98" customWidth="1"/>
    <col min="11276" max="11276" width="24" style="98" bestFit="1" customWidth="1"/>
    <col min="11277" max="11277" width="15.28515625" style="98" customWidth="1"/>
    <col min="11278" max="11278" width="13.5703125" style="98" customWidth="1"/>
    <col min="11279" max="11279" width="15.85546875" style="98" customWidth="1"/>
    <col min="11280" max="11280" width="20.5703125" style="98" customWidth="1"/>
    <col min="11281" max="11281" width="19.42578125" style="98" customWidth="1"/>
    <col min="11282" max="11282" width="14.7109375" style="98" customWidth="1"/>
    <col min="11283" max="11283" width="30.140625" style="98" customWidth="1"/>
    <col min="11284" max="11284" width="15" style="98" customWidth="1"/>
    <col min="11285" max="11285" width="11.42578125" style="98" customWidth="1"/>
    <col min="11286" max="11286" width="15" style="98" customWidth="1"/>
    <col min="11287" max="11287" width="10.85546875" style="98" customWidth="1"/>
    <col min="11288" max="11288" width="16.140625" style="98" customWidth="1"/>
    <col min="11289" max="11289" width="15" style="98" customWidth="1"/>
    <col min="11290" max="11290" width="14.28515625" style="98" customWidth="1"/>
    <col min="11291" max="11291" width="16.42578125" style="98" customWidth="1"/>
    <col min="11292" max="11292" width="9" style="98" bestFit="1" customWidth="1"/>
    <col min="11293" max="11293" width="17.140625" style="98" customWidth="1"/>
    <col min="11294" max="11294" width="15.5703125" style="98" customWidth="1"/>
    <col min="11295" max="11295" width="11.28515625" style="98" bestFit="1" customWidth="1"/>
    <col min="11296" max="11296" width="21.140625" style="98" bestFit="1" customWidth="1"/>
    <col min="11297" max="11297" width="9.140625" style="98" customWidth="1"/>
    <col min="11298" max="11298" width="16.140625" style="98" bestFit="1" customWidth="1"/>
    <col min="11299" max="11299" width="13.28515625" style="98" bestFit="1" customWidth="1"/>
    <col min="11300" max="11300" width="25.5703125" style="98" customWidth="1"/>
    <col min="11301" max="11301" width="17.140625" style="98" customWidth="1"/>
    <col min="11302" max="11302" width="12" style="98" customWidth="1"/>
    <col min="11303" max="11303" width="19" style="98" customWidth="1"/>
    <col min="11304" max="11304" width="9" style="98" bestFit="1" customWidth="1"/>
    <col min="11305" max="11305" width="20.7109375" style="98" customWidth="1"/>
    <col min="11306" max="11306" width="15" style="98" customWidth="1"/>
    <col min="11307" max="11307" width="13.42578125" style="98" customWidth="1"/>
    <col min="11308" max="11308" width="19.7109375" style="98" customWidth="1"/>
    <col min="11309" max="11309" width="9" style="98" bestFit="1" customWidth="1"/>
    <col min="11310" max="11310" width="16.140625" style="98" customWidth="1"/>
    <col min="11311" max="11311" width="14" style="98" bestFit="1" customWidth="1"/>
    <col min="11312" max="11312" width="14.140625" style="98" bestFit="1" customWidth="1"/>
    <col min="11313" max="11313" width="21.140625" style="98" bestFit="1" customWidth="1"/>
    <col min="11314" max="11314" width="9" style="98" bestFit="1" customWidth="1"/>
    <col min="11315" max="11315" width="16.140625" style="98" bestFit="1" customWidth="1"/>
    <col min="11316" max="11316" width="13.42578125" style="98" bestFit="1" customWidth="1"/>
    <col min="11317" max="11317" width="22.42578125" style="98" customWidth="1"/>
    <col min="11318" max="11318" width="16.5703125" style="98" customWidth="1"/>
    <col min="11319" max="11319" width="15" style="98" customWidth="1"/>
    <col min="11320" max="11320" width="16.28515625" style="98" customWidth="1"/>
    <col min="11321" max="11321" width="9.5703125" style="98" customWidth="1"/>
    <col min="11322" max="11322" width="15.7109375" style="98" customWidth="1"/>
    <col min="11323" max="11323" width="14.140625" style="98" bestFit="1" customWidth="1"/>
    <col min="11324" max="11324" width="12.7109375" style="98" customWidth="1"/>
    <col min="11325" max="11325" width="23.85546875" style="98" customWidth="1"/>
    <col min="11326" max="11326" width="9.28515625" style="98" bestFit="1" customWidth="1"/>
    <col min="11327" max="11327" width="17.140625" style="98" customWidth="1"/>
    <col min="11328" max="11328" width="16.140625" style="98" customWidth="1"/>
    <col min="11329" max="11329" width="12.7109375" style="98" customWidth="1"/>
    <col min="11330" max="11330" width="23.85546875" style="98" customWidth="1"/>
    <col min="11331" max="11331" width="12.7109375" style="98" customWidth="1"/>
    <col min="11332" max="11332" width="17.140625" style="98" customWidth="1"/>
    <col min="11333" max="11333" width="16.140625" style="98" customWidth="1"/>
    <col min="11334" max="11520" width="9.140625" style="98"/>
    <col min="11521" max="11521" width="1.28515625" style="98" customWidth="1"/>
    <col min="11522" max="11522" width="26.85546875" style="98" customWidth="1"/>
    <col min="11523" max="11527" width="0" style="98" hidden="1" customWidth="1"/>
    <col min="11528" max="11528" width="15.85546875" style="98" customWidth="1"/>
    <col min="11529" max="11529" width="12.85546875" style="98" customWidth="1"/>
    <col min="11530" max="11530" width="19.85546875" style="98" bestFit="1" customWidth="1"/>
    <col min="11531" max="11531" width="10.85546875" style="98" customWidth="1"/>
    <col min="11532" max="11532" width="24" style="98" bestFit="1" customWidth="1"/>
    <col min="11533" max="11533" width="15.28515625" style="98" customWidth="1"/>
    <col min="11534" max="11534" width="13.5703125" style="98" customWidth="1"/>
    <col min="11535" max="11535" width="15.85546875" style="98" customWidth="1"/>
    <col min="11536" max="11536" width="20.5703125" style="98" customWidth="1"/>
    <col min="11537" max="11537" width="19.42578125" style="98" customWidth="1"/>
    <col min="11538" max="11538" width="14.7109375" style="98" customWidth="1"/>
    <col min="11539" max="11539" width="30.140625" style="98" customWidth="1"/>
    <col min="11540" max="11540" width="15" style="98" customWidth="1"/>
    <col min="11541" max="11541" width="11.42578125" style="98" customWidth="1"/>
    <col min="11542" max="11542" width="15" style="98" customWidth="1"/>
    <col min="11543" max="11543" width="10.85546875" style="98" customWidth="1"/>
    <col min="11544" max="11544" width="16.140625" style="98" customWidth="1"/>
    <col min="11545" max="11545" width="15" style="98" customWidth="1"/>
    <col min="11546" max="11546" width="14.28515625" style="98" customWidth="1"/>
    <col min="11547" max="11547" width="16.42578125" style="98" customWidth="1"/>
    <col min="11548" max="11548" width="9" style="98" bestFit="1" customWidth="1"/>
    <col min="11549" max="11549" width="17.140625" style="98" customWidth="1"/>
    <col min="11550" max="11550" width="15.5703125" style="98" customWidth="1"/>
    <col min="11551" max="11551" width="11.28515625" style="98" bestFit="1" customWidth="1"/>
    <col min="11552" max="11552" width="21.140625" style="98" bestFit="1" customWidth="1"/>
    <col min="11553" max="11553" width="9.140625" style="98" customWidth="1"/>
    <col min="11554" max="11554" width="16.140625" style="98" bestFit="1" customWidth="1"/>
    <col min="11555" max="11555" width="13.28515625" style="98" bestFit="1" customWidth="1"/>
    <col min="11556" max="11556" width="25.5703125" style="98" customWidth="1"/>
    <col min="11557" max="11557" width="17.140625" style="98" customWidth="1"/>
    <col min="11558" max="11558" width="12" style="98" customWidth="1"/>
    <col min="11559" max="11559" width="19" style="98" customWidth="1"/>
    <col min="11560" max="11560" width="9" style="98" bestFit="1" customWidth="1"/>
    <col min="11561" max="11561" width="20.7109375" style="98" customWidth="1"/>
    <col min="11562" max="11562" width="15" style="98" customWidth="1"/>
    <col min="11563" max="11563" width="13.42578125" style="98" customWidth="1"/>
    <col min="11564" max="11564" width="19.7109375" style="98" customWidth="1"/>
    <col min="11565" max="11565" width="9" style="98" bestFit="1" customWidth="1"/>
    <col min="11566" max="11566" width="16.140625" style="98" customWidth="1"/>
    <col min="11567" max="11567" width="14" style="98" bestFit="1" customWidth="1"/>
    <col min="11568" max="11568" width="14.140625" style="98" bestFit="1" customWidth="1"/>
    <col min="11569" max="11569" width="21.140625" style="98" bestFit="1" customWidth="1"/>
    <col min="11570" max="11570" width="9" style="98" bestFit="1" customWidth="1"/>
    <col min="11571" max="11571" width="16.140625" style="98" bestFit="1" customWidth="1"/>
    <col min="11572" max="11572" width="13.42578125" style="98" bestFit="1" customWidth="1"/>
    <col min="11573" max="11573" width="22.42578125" style="98" customWidth="1"/>
    <col min="11574" max="11574" width="16.5703125" style="98" customWidth="1"/>
    <col min="11575" max="11575" width="15" style="98" customWidth="1"/>
    <col min="11576" max="11576" width="16.28515625" style="98" customWidth="1"/>
    <col min="11577" max="11577" width="9.5703125" style="98" customWidth="1"/>
    <col min="11578" max="11578" width="15.7109375" style="98" customWidth="1"/>
    <col min="11579" max="11579" width="14.140625" style="98" bestFit="1" customWidth="1"/>
    <col min="11580" max="11580" width="12.7109375" style="98" customWidth="1"/>
    <col min="11581" max="11581" width="23.85546875" style="98" customWidth="1"/>
    <col min="11582" max="11582" width="9.28515625" style="98" bestFit="1" customWidth="1"/>
    <col min="11583" max="11583" width="17.140625" style="98" customWidth="1"/>
    <col min="11584" max="11584" width="16.140625" style="98" customWidth="1"/>
    <col min="11585" max="11585" width="12.7109375" style="98" customWidth="1"/>
    <col min="11586" max="11586" width="23.85546875" style="98" customWidth="1"/>
    <col min="11587" max="11587" width="12.7109375" style="98" customWidth="1"/>
    <col min="11588" max="11588" width="17.140625" style="98" customWidth="1"/>
    <col min="11589" max="11589" width="16.140625" style="98" customWidth="1"/>
    <col min="11590" max="11776" width="9.140625" style="98"/>
    <col min="11777" max="11777" width="1.28515625" style="98" customWidth="1"/>
    <col min="11778" max="11778" width="26.85546875" style="98" customWidth="1"/>
    <col min="11779" max="11783" width="0" style="98" hidden="1" customWidth="1"/>
    <col min="11784" max="11784" width="15.85546875" style="98" customWidth="1"/>
    <col min="11785" max="11785" width="12.85546875" style="98" customWidth="1"/>
    <col min="11786" max="11786" width="19.85546875" style="98" bestFit="1" customWidth="1"/>
    <col min="11787" max="11787" width="10.85546875" style="98" customWidth="1"/>
    <col min="11788" max="11788" width="24" style="98" bestFit="1" customWidth="1"/>
    <col min="11789" max="11789" width="15.28515625" style="98" customWidth="1"/>
    <col min="11790" max="11790" width="13.5703125" style="98" customWidth="1"/>
    <col min="11791" max="11791" width="15.85546875" style="98" customWidth="1"/>
    <col min="11792" max="11792" width="20.5703125" style="98" customWidth="1"/>
    <col min="11793" max="11793" width="19.42578125" style="98" customWidth="1"/>
    <col min="11794" max="11794" width="14.7109375" style="98" customWidth="1"/>
    <col min="11795" max="11795" width="30.140625" style="98" customWidth="1"/>
    <col min="11796" max="11796" width="15" style="98" customWidth="1"/>
    <col min="11797" max="11797" width="11.42578125" style="98" customWidth="1"/>
    <col min="11798" max="11798" width="15" style="98" customWidth="1"/>
    <col min="11799" max="11799" width="10.85546875" style="98" customWidth="1"/>
    <col min="11800" max="11800" width="16.140625" style="98" customWidth="1"/>
    <col min="11801" max="11801" width="15" style="98" customWidth="1"/>
    <col min="11802" max="11802" width="14.28515625" style="98" customWidth="1"/>
    <col min="11803" max="11803" width="16.42578125" style="98" customWidth="1"/>
    <col min="11804" max="11804" width="9" style="98" bestFit="1" customWidth="1"/>
    <col min="11805" max="11805" width="17.140625" style="98" customWidth="1"/>
    <col min="11806" max="11806" width="15.5703125" style="98" customWidth="1"/>
    <col min="11807" max="11807" width="11.28515625" style="98" bestFit="1" customWidth="1"/>
    <col min="11808" max="11808" width="21.140625" style="98" bestFit="1" customWidth="1"/>
    <col min="11809" max="11809" width="9.140625" style="98" customWidth="1"/>
    <col min="11810" max="11810" width="16.140625" style="98" bestFit="1" customWidth="1"/>
    <col min="11811" max="11811" width="13.28515625" style="98" bestFit="1" customWidth="1"/>
    <col min="11812" max="11812" width="25.5703125" style="98" customWidth="1"/>
    <col min="11813" max="11813" width="17.140625" style="98" customWidth="1"/>
    <col min="11814" max="11814" width="12" style="98" customWidth="1"/>
    <col min="11815" max="11815" width="19" style="98" customWidth="1"/>
    <col min="11816" max="11816" width="9" style="98" bestFit="1" customWidth="1"/>
    <col min="11817" max="11817" width="20.7109375" style="98" customWidth="1"/>
    <col min="11818" max="11818" width="15" style="98" customWidth="1"/>
    <col min="11819" max="11819" width="13.42578125" style="98" customWidth="1"/>
    <col min="11820" max="11820" width="19.7109375" style="98" customWidth="1"/>
    <col min="11821" max="11821" width="9" style="98" bestFit="1" customWidth="1"/>
    <col min="11822" max="11822" width="16.140625" style="98" customWidth="1"/>
    <col min="11823" max="11823" width="14" style="98" bestFit="1" customWidth="1"/>
    <col min="11824" max="11824" width="14.140625" style="98" bestFit="1" customWidth="1"/>
    <col min="11825" max="11825" width="21.140625" style="98" bestFit="1" customWidth="1"/>
    <col min="11826" max="11826" width="9" style="98" bestFit="1" customWidth="1"/>
    <col min="11827" max="11827" width="16.140625" style="98" bestFit="1" customWidth="1"/>
    <col min="11828" max="11828" width="13.42578125" style="98" bestFit="1" customWidth="1"/>
    <col min="11829" max="11829" width="22.42578125" style="98" customWidth="1"/>
    <col min="11830" max="11830" width="16.5703125" style="98" customWidth="1"/>
    <col min="11831" max="11831" width="15" style="98" customWidth="1"/>
    <col min="11832" max="11832" width="16.28515625" style="98" customWidth="1"/>
    <col min="11833" max="11833" width="9.5703125" style="98" customWidth="1"/>
    <col min="11834" max="11834" width="15.7109375" style="98" customWidth="1"/>
    <col min="11835" max="11835" width="14.140625" style="98" bestFit="1" customWidth="1"/>
    <col min="11836" max="11836" width="12.7109375" style="98" customWidth="1"/>
    <col min="11837" max="11837" width="23.85546875" style="98" customWidth="1"/>
    <col min="11838" max="11838" width="9.28515625" style="98" bestFit="1" customWidth="1"/>
    <col min="11839" max="11839" width="17.140625" style="98" customWidth="1"/>
    <col min="11840" max="11840" width="16.140625" style="98" customWidth="1"/>
    <col min="11841" max="11841" width="12.7109375" style="98" customWidth="1"/>
    <col min="11842" max="11842" width="23.85546875" style="98" customWidth="1"/>
    <col min="11843" max="11843" width="12.7109375" style="98" customWidth="1"/>
    <col min="11844" max="11844" width="17.140625" style="98" customWidth="1"/>
    <col min="11845" max="11845" width="16.140625" style="98" customWidth="1"/>
    <col min="11846" max="12032" width="9.140625" style="98"/>
    <col min="12033" max="12033" width="1.28515625" style="98" customWidth="1"/>
    <col min="12034" max="12034" width="26.85546875" style="98" customWidth="1"/>
    <col min="12035" max="12039" width="0" style="98" hidden="1" customWidth="1"/>
    <col min="12040" max="12040" width="15.85546875" style="98" customWidth="1"/>
    <col min="12041" max="12041" width="12.85546875" style="98" customWidth="1"/>
    <col min="12042" max="12042" width="19.85546875" style="98" bestFit="1" customWidth="1"/>
    <col min="12043" max="12043" width="10.85546875" style="98" customWidth="1"/>
    <col min="12044" max="12044" width="24" style="98" bestFit="1" customWidth="1"/>
    <col min="12045" max="12045" width="15.28515625" style="98" customWidth="1"/>
    <col min="12046" max="12046" width="13.5703125" style="98" customWidth="1"/>
    <col min="12047" max="12047" width="15.85546875" style="98" customWidth="1"/>
    <col min="12048" max="12048" width="20.5703125" style="98" customWidth="1"/>
    <col min="12049" max="12049" width="19.42578125" style="98" customWidth="1"/>
    <col min="12050" max="12050" width="14.7109375" style="98" customWidth="1"/>
    <col min="12051" max="12051" width="30.140625" style="98" customWidth="1"/>
    <col min="12052" max="12052" width="15" style="98" customWidth="1"/>
    <col min="12053" max="12053" width="11.42578125" style="98" customWidth="1"/>
    <col min="12054" max="12054" width="15" style="98" customWidth="1"/>
    <col min="12055" max="12055" width="10.85546875" style="98" customWidth="1"/>
    <col min="12056" max="12056" width="16.140625" style="98" customWidth="1"/>
    <col min="12057" max="12057" width="15" style="98" customWidth="1"/>
    <col min="12058" max="12058" width="14.28515625" style="98" customWidth="1"/>
    <col min="12059" max="12059" width="16.42578125" style="98" customWidth="1"/>
    <col min="12060" max="12060" width="9" style="98" bestFit="1" customWidth="1"/>
    <col min="12061" max="12061" width="17.140625" style="98" customWidth="1"/>
    <col min="12062" max="12062" width="15.5703125" style="98" customWidth="1"/>
    <col min="12063" max="12063" width="11.28515625" style="98" bestFit="1" customWidth="1"/>
    <col min="12064" max="12064" width="21.140625" style="98" bestFit="1" customWidth="1"/>
    <col min="12065" max="12065" width="9.140625" style="98" customWidth="1"/>
    <col min="12066" max="12066" width="16.140625" style="98" bestFit="1" customWidth="1"/>
    <col min="12067" max="12067" width="13.28515625" style="98" bestFit="1" customWidth="1"/>
    <col min="12068" max="12068" width="25.5703125" style="98" customWidth="1"/>
    <col min="12069" max="12069" width="17.140625" style="98" customWidth="1"/>
    <col min="12070" max="12070" width="12" style="98" customWidth="1"/>
    <col min="12071" max="12071" width="19" style="98" customWidth="1"/>
    <col min="12072" max="12072" width="9" style="98" bestFit="1" customWidth="1"/>
    <col min="12073" max="12073" width="20.7109375" style="98" customWidth="1"/>
    <col min="12074" max="12074" width="15" style="98" customWidth="1"/>
    <col min="12075" max="12075" width="13.42578125" style="98" customWidth="1"/>
    <col min="12076" max="12076" width="19.7109375" style="98" customWidth="1"/>
    <col min="12077" max="12077" width="9" style="98" bestFit="1" customWidth="1"/>
    <col min="12078" max="12078" width="16.140625" style="98" customWidth="1"/>
    <col min="12079" max="12079" width="14" style="98" bestFit="1" customWidth="1"/>
    <col min="12080" max="12080" width="14.140625" style="98" bestFit="1" customWidth="1"/>
    <col min="12081" max="12081" width="21.140625" style="98" bestFit="1" customWidth="1"/>
    <col min="12082" max="12082" width="9" style="98" bestFit="1" customWidth="1"/>
    <col min="12083" max="12083" width="16.140625" style="98" bestFit="1" customWidth="1"/>
    <col min="12084" max="12084" width="13.42578125" style="98" bestFit="1" customWidth="1"/>
    <col min="12085" max="12085" width="22.42578125" style="98" customWidth="1"/>
    <col min="12086" max="12086" width="16.5703125" style="98" customWidth="1"/>
    <col min="12087" max="12087" width="15" style="98" customWidth="1"/>
    <col min="12088" max="12088" width="16.28515625" style="98" customWidth="1"/>
    <col min="12089" max="12089" width="9.5703125" style="98" customWidth="1"/>
    <col min="12090" max="12090" width="15.7109375" style="98" customWidth="1"/>
    <col min="12091" max="12091" width="14.140625" style="98" bestFit="1" customWidth="1"/>
    <col min="12092" max="12092" width="12.7109375" style="98" customWidth="1"/>
    <col min="12093" max="12093" width="23.85546875" style="98" customWidth="1"/>
    <col min="12094" max="12094" width="9.28515625" style="98" bestFit="1" customWidth="1"/>
    <col min="12095" max="12095" width="17.140625" style="98" customWidth="1"/>
    <col min="12096" max="12096" width="16.140625" style="98" customWidth="1"/>
    <col min="12097" max="12097" width="12.7109375" style="98" customWidth="1"/>
    <col min="12098" max="12098" width="23.85546875" style="98" customWidth="1"/>
    <col min="12099" max="12099" width="12.7109375" style="98" customWidth="1"/>
    <col min="12100" max="12100" width="17.140625" style="98" customWidth="1"/>
    <col min="12101" max="12101" width="16.140625" style="98" customWidth="1"/>
    <col min="12102" max="12288" width="9.140625" style="98"/>
    <col min="12289" max="12289" width="1.28515625" style="98" customWidth="1"/>
    <col min="12290" max="12290" width="26.85546875" style="98" customWidth="1"/>
    <col min="12291" max="12295" width="0" style="98" hidden="1" customWidth="1"/>
    <col min="12296" max="12296" width="15.85546875" style="98" customWidth="1"/>
    <col min="12297" max="12297" width="12.85546875" style="98" customWidth="1"/>
    <col min="12298" max="12298" width="19.85546875" style="98" bestFit="1" customWidth="1"/>
    <col min="12299" max="12299" width="10.85546875" style="98" customWidth="1"/>
    <col min="12300" max="12300" width="24" style="98" bestFit="1" customWidth="1"/>
    <col min="12301" max="12301" width="15.28515625" style="98" customWidth="1"/>
    <col min="12302" max="12302" width="13.5703125" style="98" customWidth="1"/>
    <col min="12303" max="12303" width="15.85546875" style="98" customWidth="1"/>
    <col min="12304" max="12304" width="20.5703125" style="98" customWidth="1"/>
    <col min="12305" max="12305" width="19.42578125" style="98" customWidth="1"/>
    <col min="12306" max="12306" width="14.7109375" style="98" customWidth="1"/>
    <col min="12307" max="12307" width="30.140625" style="98" customWidth="1"/>
    <col min="12308" max="12308" width="15" style="98" customWidth="1"/>
    <col min="12309" max="12309" width="11.42578125" style="98" customWidth="1"/>
    <col min="12310" max="12310" width="15" style="98" customWidth="1"/>
    <col min="12311" max="12311" width="10.85546875" style="98" customWidth="1"/>
    <col min="12312" max="12312" width="16.140625" style="98" customWidth="1"/>
    <col min="12313" max="12313" width="15" style="98" customWidth="1"/>
    <col min="12314" max="12314" width="14.28515625" style="98" customWidth="1"/>
    <col min="12315" max="12315" width="16.42578125" style="98" customWidth="1"/>
    <col min="12316" max="12316" width="9" style="98" bestFit="1" customWidth="1"/>
    <col min="12317" max="12317" width="17.140625" style="98" customWidth="1"/>
    <col min="12318" max="12318" width="15.5703125" style="98" customWidth="1"/>
    <col min="12319" max="12319" width="11.28515625" style="98" bestFit="1" customWidth="1"/>
    <col min="12320" max="12320" width="21.140625" style="98" bestFit="1" customWidth="1"/>
    <col min="12321" max="12321" width="9.140625" style="98" customWidth="1"/>
    <col min="12322" max="12322" width="16.140625" style="98" bestFit="1" customWidth="1"/>
    <col min="12323" max="12323" width="13.28515625" style="98" bestFit="1" customWidth="1"/>
    <col min="12324" max="12324" width="25.5703125" style="98" customWidth="1"/>
    <col min="12325" max="12325" width="17.140625" style="98" customWidth="1"/>
    <col min="12326" max="12326" width="12" style="98" customWidth="1"/>
    <col min="12327" max="12327" width="19" style="98" customWidth="1"/>
    <col min="12328" max="12328" width="9" style="98" bestFit="1" customWidth="1"/>
    <col min="12329" max="12329" width="20.7109375" style="98" customWidth="1"/>
    <col min="12330" max="12330" width="15" style="98" customWidth="1"/>
    <col min="12331" max="12331" width="13.42578125" style="98" customWidth="1"/>
    <col min="12332" max="12332" width="19.7109375" style="98" customWidth="1"/>
    <col min="12333" max="12333" width="9" style="98" bestFit="1" customWidth="1"/>
    <col min="12334" max="12334" width="16.140625" style="98" customWidth="1"/>
    <col min="12335" max="12335" width="14" style="98" bestFit="1" customWidth="1"/>
    <col min="12336" max="12336" width="14.140625" style="98" bestFit="1" customWidth="1"/>
    <col min="12337" max="12337" width="21.140625" style="98" bestFit="1" customWidth="1"/>
    <col min="12338" max="12338" width="9" style="98" bestFit="1" customWidth="1"/>
    <col min="12339" max="12339" width="16.140625" style="98" bestFit="1" customWidth="1"/>
    <col min="12340" max="12340" width="13.42578125" style="98" bestFit="1" customWidth="1"/>
    <col min="12341" max="12341" width="22.42578125" style="98" customWidth="1"/>
    <col min="12342" max="12342" width="16.5703125" style="98" customWidth="1"/>
    <col min="12343" max="12343" width="15" style="98" customWidth="1"/>
    <col min="12344" max="12344" width="16.28515625" style="98" customWidth="1"/>
    <col min="12345" max="12345" width="9.5703125" style="98" customWidth="1"/>
    <col min="12346" max="12346" width="15.7109375" style="98" customWidth="1"/>
    <col min="12347" max="12347" width="14.140625" style="98" bestFit="1" customWidth="1"/>
    <col min="12348" max="12348" width="12.7109375" style="98" customWidth="1"/>
    <col min="12349" max="12349" width="23.85546875" style="98" customWidth="1"/>
    <col min="12350" max="12350" width="9.28515625" style="98" bestFit="1" customWidth="1"/>
    <col min="12351" max="12351" width="17.140625" style="98" customWidth="1"/>
    <col min="12352" max="12352" width="16.140625" style="98" customWidth="1"/>
    <col min="12353" max="12353" width="12.7109375" style="98" customWidth="1"/>
    <col min="12354" max="12354" width="23.85546875" style="98" customWidth="1"/>
    <col min="12355" max="12355" width="12.7109375" style="98" customWidth="1"/>
    <col min="12356" max="12356" width="17.140625" style="98" customWidth="1"/>
    <col min="12357" max="12357" width="16.140625" style="98" customWidth="1"/>
    <col min="12358" max="12544" width="9.140625" style="98"/>
    <col min="12545" max="12545" width="1.28515625" style="98" customWidth="1"/>
    <col min="12546" max="12546" width="26.85546875" style="98" customWidth="1"/>
    <col min="12547" max="12551" width="0" style="98" hidden="1" customWidth="1"/>
    <col min="12552" max="12552" width="15.85546875" style="98" customWidth="1"/>
    <col min="12553" max="12553" width="12.85546875" style="98" customWidth="1"/>
    <col min="12554" max="12554" width="19.85546875" style="98" bestFit="1" customWidth="1"/>
    <col min="12555" max="12555" width="10.85546875" style="98" customWidth="1"/>
    <col min="12556" max="12556" width="24" style="98" bestFit="1" customWidth="1"/>
    <col min="12557" max="12557" width="15.28515625" style="98" customWidth="1"/>
    <col min="12558" max="12558" width="13.5703125" style="98" customWidth="1"/>
    <col min="12559" max="12559" width="15.85546875" style="98" customWidth="1"/>
    <col min="12560" max="12560" width="20.5703125" style="98" customWidth="1"/>
    <col min="12561" max="12561" width="19.42578125" style="98" customWidth="1"/>
    <col min="12562" max="12562" width="14.7109375" style="98" customWidth="1"/>
    <col min="12563" max="12563" width="30.140625" style="98" customWidth="1"/>
    <col min="12564" max="12564" width="15" style="98" customWidth="1"/>
    <col min="12565" max="12565" width="11.42578125" style="98" customWidth="1"/>
    <col min="12566" max="12566" width="15" style="98" customWidth="1"/>
    <col min="12567" max="12567" width="10.85546875" style="98" customWidth="1"/>
    <col min="12568" max="12568" width="16.140625" style="98" customWidth="1"/>
    <col min="12569" max="12569" width="15" style="98" customWidth="1"/>
    <col min="12570" max="12570" width="14.28515625" style="98" customWidth="1"/>
    <col min="12571" max="12571" width="16.42578125" style="98" customWidth="1"/>
    <col min="12572" max="12572" width="9" style="98" bestFit="1" customWidth="1"/>
    <col min="12573" max="12573" width="17.140625" style="98" customWidth="1"/>
    <col min="12574" max="12574" width="15.5703125" style="98" customWidth="1"/>
    <col min="12575" max="12575" width="11.28515625" style="98" bestFit="1" customWidth="1"/>
    <col min="12576" max="12576" width="21.140625" style="98" bestFit="1" customWidth="1"/>
    <col min="12577" max="12577" width="9.140625" style="98" customWidth="1"/>
    <col min="12578" max="12578" width="16.140625" style="98" bestFit="1" customWidth="1"/>
    <col min="12579" max="12579" width="13.28515625" style="98" bestFit="1" customWidth="1"/>
    <col min="12580" max="12580" width="25.5703125" style="98" customWidth="1"/>
    <col min="12581" max="12581" width="17.140625" style="98" customWidth="1"/>
    <col min="12582" max="12582" width="12" style="98" customWidth="1"/>
    <col min="12583" max="12583" width="19" style="98" customWidth="1"/>
    <col min="12584" max="12584" width="9" style="98" bestFit="1" customWidth="1"/>
    <col min="12585" max="12585" width="20.7109375" style="98" customWidth="1"/>
    <col min="12586" max="12586" width="15" style="98" customWidth="1"/>
    <col min="12587" max="12587" width="13.42578125" style="98" customWidth="1"/>
    <col min="12588" max="12588" width="19.7109375" style="98" customWidth="1"/>
    <col min="12589" max="12589" width="9" style="98" bestFit="1" customWidth="1"/>
    <col min="12590" max="12590" width="16.140625" style="98" customWidth="1"/>
    <col min="12591" max="12591" width="14" style="98" bestFit="1" customWidth="1"/>
    <col min="12592" max="12592" width="14.140625" style="98" bestFit="1" customWidth="1"/>
    <col min="12593" max="12593" width="21.140625" style="98" bestFit="1" customWidth="1"/>
    <col min="12594" max="12594" width="9" style="98" bestFit="1" customWidth="1"/>
    <col min="12595" max="12595" width="16.140625" style="98" bestFit="1" customWidth="1"/>
    <col min="12596" max="12596" width="13.42578125" style="98" bestFit="1" customWidth="1"/>
    <col min="12597" max="12597" width="22.42578125" style="98" customWidth="1"/>
    <col min="12598" max="12598" width="16.5703125" style="98" customWidth="1"/>
    <col min="12599" max="12599" width="15" style="98" customWidth="1"/>
    <col min="12600" max="12600" width="16.28515625" style="98" customWidth="1"/>
    <col min="12601" max="12601" width="9.5703125" style="98" customWidth="1"/>
    <col min="12602" max="12602" width="15.7109375" style="98" customWidth="1"/>
    <col min="12603" max="12603" width="14.140625" style="98" bestFit="1" customWidth="1"/>
    <col min="12604" max="12604" width="12.7109375" style="98" customWidth="1"/>
    <col min="12605" max="12605" width="23.85546875" style="98" customWidth="1"/>
    <col min="12606" max="12606" width="9.28515625" style="98" bestFit="1" customWidth="1"/>
    <col min="12607" max="12607" width="17.140625" style="98" customWidth="1"/>
    <col min="12608" max="12608" width="16.140625" style="98" customWidth="1"/>
    <col min="12609" max="12609" width="12.7109375" style="98" customWidth="1"/>
    <col min="12610" max="12610" width="23.85546875" style="98" customWidth="1"/>
    <col min="12611" max="12611" width="12.7109375" style="98" customWidth="1"/>
    <col min="12612" max="12612" width="17.140625" style="98" customWidth="1"/>
    <col min="12613" max="12613" width="16.140625" style="98" customWidth="1"/>
    <col min="12614" max="12800" width="9.140625" style="98"/>
    <col min="12801" max="12801" width="1.28515625" style="98" customWidth="1"/>
    <col min="12802" max="12802" width="26.85546875" style="98" customWidth="1"/>
    <col min="12803" max="12807" width="0" style="98" hidden="1" customWidth="1"/>
    <col min="12808" max="12808" width="15.85546875" style="98" customWidth="1"/>
    <col min="12809" max="12809" width="12.85546875" style="98" customWidth="1"/>
    <col min="12810" max="12810" width="19.85546875" style="98" bestFit="1" customWidth="1"/>
    <col min="12811" max="12811" width="10.85546875" style="98" customWidth="1"/>
    <col min="12812" max="12812" width="24" style="98" bestFit="1" customWidth="1"/>
    <col min="12813" max="12813" width="15.28515625" style="98" customWidth="1"/>
    <col min="12814" max="12814" width="13.5703125" style="98" customWidth="1"/>
    <col min="12815" max="12815" width="15.85546875" style="98" customWidth="1"/>
    <col min="12816" max="12816" width="20.5703125" style="98" customWidth="1"/>
    <col min="12817" max="12817" width="19.42578125" style="98" customWidth="1"/>
    <col min="12818" max="12818" width="14.7109375" style="98" customWidth="1"/>
    <col min="12819" max="12819" width="30.140625" style="98" customWidth="1"/>
    <col min="12820" max="12820" width="15" style="98" customWidth="1"/>
    <col min="12821" max="12821" width="11.42578125" style="98" customWidth="1"/>
    <col min="12822" max="12822" width="15" style="98" customWidth="1"/>
    <col min="12823" max="12823" width="10.85546875" style="98" customWidth="1"/>
    <col min="12824" max="12824" width="16.140625" style="98" customWidth="1"/>
    <col min="12825" max="12825" width="15" style="98" customWidth="1"/>
    <col min="12826" max="12826" width="14.28515625" style="98" customWidth="1"/>
    <col min="12827" max="12827" width="16.42578125" style="98" customWidth="1"/>
    <col min="12828" max="12828" width="9" style="98" bestFit="1" customWidth="1"/>
    <col min="12829" max="12829" width="17.140625" style="98" customWidth="1"/>
    <col min="12830" max="12830" width="15.5703125" style="98" customWidth="1"/>
    <col min="12831" max="12831" width="11.28515625" style="98" bestFit="1" customWidth="1"/>
    <col min="12832" max="12832" width="21.140625" style="98" bestFit="1" customWidth="1"/>
    <col min="12833" max="12833" width="9.140625" style="98" customWidth="1"/>
    <col min="12834" max="12834" width="16.140625" style="98" bestFit="1" customWidth="1"/>
    <col min="12835" max="12835" width="13.28515625" style="98" bestFit="1" customWidth="1"/>
    <col min="12836" max="12836" width="25.5703125" style="98" customWidth="1"/>
    <col min="12837" max="12837" width="17.140625" style="98" customWidth="1"/>
    <col min="12838" max="12838" width="12" style="98" customWidth="1"/>
    <col min="12839" max="12839" width="19" style="98" customWidth="1"/>
    <col min="12840" max="12840" width="9" style="98" bestFit="1" customWidth="1"/>
    <col min="12841" max="12841" width="20.7109375" style="98" customWidth="1"/>
    <col min="12842" max="12842" width="15" style="98" customWidth="1"/>
    <col min="12843" max="12843" width="13.42578125" style="98" customWidth="1"/>
    <col min="12844" max="12844" width="19.7109375" style="98" customWidth="1"/>
    <col min="12845" max="12845" width="9" style="98" bestFit="1" customWidth="1"/>
    <col min="12846" max="12846" width="16.140625" style="98" customWidth="1"/>
    <col min="12847" max="12847" width="14" style="98" bestFit="1" customWidth="1"/>
    <col min="12848" max="12848" width="14.140625" style="98" bestFit="1" customWidth="1"/>
    <col min="12849" max="12849" width="21.140625" style="98" bestFit="1" customWidth="1"/>
    <col min="12850" max="12850" width="9" style="98" bestFit="1" customWidth="1"/>
    <col min="12851" max="12851" width="16.140625" style="98" bestFit="1" customWidth="1"/>
    <col min="12852" max="12852" width="13.42578125" style="98" bestFit="1" customWidth="1"/>
    <col min="12853" max="12853" width="22.42578125" style="98" customWidth="1"/>
    <col min="12854" max="12854" width="16.5703125" style="98" customWidth="1"/>
    <col min="12855" max="12855" width="15" style="98" customWidth="1"/>
    <col min="12856" max="12856" width="16.28515625" style="98" customWidth="1"/>
    <col min="12857" max="12857" width="9.5703125" style="98" customWidth="1"/>
    <col min="12858" max="12858" width="15.7109375" style="98" customWidth="1"/>
    <col min="12859" max="12859" width="14.140625" style="98" bestFit="1" customWidth="1"/>
    <col min="12860" max="12860" width="12.7109375" style="98" customWidth="1"/>
    <col min="12861" max="12861" width="23.85546875" style="98" customWidth="1"/>
    <col min="12862" max="12862" width="9.28515625" style="98" bestFit="1" customWidth="1"/>
    <col min="12863" max="12863" width="17.140625" style="98" customWidth="1"/>
    <col min="12864" max="12864" width="16.140625" style="98" customWidth="1"/>
    <col min="12865" max="12865" width="12.7109375" style="98" customWidth="1"/>
    <col min="12866" max="12866" width="23.85546875" style="98" customWidth="1"/>
    <col min="12867" max="12867" width="12.7109375" style="98" customWidth="1"/>
    <col min="12868" max="12868" width="17.140625" style="98" customWidth="1"/>
    <col min="12869" max="12869" width="16.140625" style="98" customWidth="1"/>
    <col min="12870" max="13056" width="9.140625" style="98"/>
    <col min="13057" max="13057" width="1.28515625" style="98" customWidth="1"/>
    <col min="13058" max="13058" width="26.85546875" style="98" customWidth="1"/>
    <col min="13059" max="13063" width="0" style="98" hidden="1" customWidth="1"/>
    <col min="13064" max="13064" width="15.85546875" style="98" customWidth="1"/>
    <col min="13065" max="13065" width="12.85546875" style="98" customWidth="1"/>
    <col min="13066" max="13066" width="19.85546875" style="98" bestFit="1" customWidth="1"/>
    <col min="13067" max="13067" width="10.85546875" style="98" customWidth="1"/>
    <col min="13068" max="13068" width="24" style="98" bestFit="1" customWidth="1"/>
    <col min="13069" max="13069" width="15.28515625" style="98" customWidth="1"/>
    <col min="13070" max="13070" width="13.5703125" style="98" customWidth="1"/>
    <col min="13071" max="13071" width="15.85546875" style="98" customWidth="1"/>
    <col min="13072" max="13072" width="20.5703125" style="98" customWidth="1"/>
    <col min="13073" max="13073" width="19.42578125" style="98" customWidth="1"/>
    <col min="13074" max="13074" width="14.7109375" style="98" customWidth="1"/>
    <col min="13075" max="13075" width="30.140625" style="98" customWidth="1"/>
    <col min="13076" max="13076" width="15" style="98" customWidth="1"/>
    <col min="13077" max="13077" width="11.42578125" style="98" customWidth="1"/>
    <col min="13078" max="13078" width="15" style="98" customWidth="1"/>
    <col min="13079" max="13079" width="10.85546875" style="98" customWidth="1"/>
    <col min="13080" max="13080" width="16.140625" style="98" customWidth="1"/>
    <col min="13081" max="13081" width="15" style="98" customWidth="1"/>
    <col min="13082" max="13082" width="14.28515625" style="98" customWidth="1"/>
    <col min="13083" max="13083" width="16.42578125" style="98" customWidth="1"/>
    <col min="13084" max="13084" width="9" style="98" bestFit="1" customWidth="1"/>
    <col min="13085" max="13085" width="17.140625" style="98" customWidth="1"/>
    <col min="13086" max="13086" width="15.5703125" style="98" customWidth="1"/>
    <col min="13087" max="13087" width="11.28515625" style="98" bestFit="1" customWidth="1"/>
    <col min="13088" max="13088" width="21.140625" style="98" bestFit="1" customWidth="1"/>
    <col min="13089" max="13089" width="9.140625" style="98" customWidth="1"/>
    <col min="13090" max="13090" width="16.140625" style="98" bestFit="1" customWidth="1"/>
    <col min="13091" max="13091" width="13.28515625" style="98" bestFit="1" customWidth="1"/>
    <col min="13092" max="13092" width="25.5703125" style="98" customWidth="1"/>
    <col min="13093" max="13093" width="17.140625" style="98" customWidth="1"/>
    <col min="13094" max="13094" width="12" style="98" customWidth="1"/>
    <col min="13095" max="13095" width="19" style="98" customWidth="1"/>
    <col min="13096" max="13096" width="9" style="98" bestFit="1" customWidth="1"/>
    <col min="13097" max="13097" width="20.7109375" style="98" customWidth="1"/>
    <col min="13098" max="13098" width="15" style="98" customWidth="1"/>
    <col min="13099" max="13099" width="13.42578125" style="98" customWidth="1"/>
    <col min="13100" max="13100" width="19.7109375" style="98" customWidth="1"/>
    <col min="13101" max="13101" width="9" style="98" bestFit="1" customWidth="1"/>
    <col min="13102" max="13102" width="16.140625" style="98" customWidth="1"/>
    <col min="13103" max="13103" width="14" style="98" bestFit="1" customWidth="1"/>
    <col min="13104" max="13104" width="14.140625" style="98" bestFit="1" customWidth="1"/>
    <col min="13105" max="13105" width="21.140625" style="98" bestFit="1" customWidth="1"/>
    <col min="13106" max="13106" width="9" style="98" bestFit="1" customWidth="1"/>
    <col min="13107" max="13107" width="16.140625" style="98" bestFit="1" customWidth="1"/>
    <col min="13108" max="13108" width="13.42578125" style="98" bestFit="1" customWidth="1"/>
    <col min="13109" max="13109" width="22.42578125" style="98" customWidth="1"/>
    <col min="13110" max="13110" width="16.5703125" style="98" customWidth="1"/>
    <col min="13111" max="13111" width="15" style="98" customWidth="1"/>
    <col min="13112" max="13112" width="16.28515625" style="98" customWidth="1"/>
    <col min="13113" max="13113" width="9.5703125" style="98" customWidth="1"/>
    <col min="13114" max="13114" width="15.7109375" style="98" customWidth="1"/>
    <col min="13115" max="13115" width="14.140625" style="98" bestFit="1" customWidth="1"/>
    <col min="13116" max="13116" width="12.7109375" style="98" customWidth="1"/>
    <col min="13117" max="13117" width="23.85546875" style="98" customWidth="1"/>
    <col min="13118" max="13118" width="9.28515625" style="98" bestFit="1" customWidth="1"/>
    <col min="13119" max="13119" width="17.140625" style="98" customWidth="1"/>
    <col min="13120" max="13120" width="16.140625" style="98" customWidth="1"/>
    <col min="13121" max="13121" width="12.7109375" style="98" customWidth="1"/>
    <col min="13122" max="13122" width="23.85546875" style="98" customWidth="1"/>
    <col min="13123" max="13123" width="12.7109375" style="98" customWidth="1"/>
    <col min="13124" max="13124" width="17.140625" style="98" customWidth="1"/>
    <col min="13125" max="13125" width="16.140625" style="98" customWidth="1"/>
    <col min="13126" max="13312" width="9.140625" style="98"/>
    <col min="13313" max="13313" width="1.28515625" style="98" customWidth="1"/>
    <col min="13314" max="13314" width="26.85546875" style="98" customWidth="1"/>
    <col min="13315" max="13319" width="0" style="98" hidden="1" customWidth="1"/>
    <col min="13320" max="13320" width="15.85546875" style="98" customWidth="1"/>
    <col min="13321" max="13321" width="12.85546875" style="98" customWidth="1"/>
    <col min="13322" max="13322" width="19.85546875" style="98" bestFit="1" customWidth="1"/>
    <col min="13323" max="13323" width="10.85546875" style="98" customWidth="1"/>
    <col min="13324" max="13324" width="24" style="98" bestFit="1" customWidth="1"/>
    <col min="13325" max="13325" width="15.28515625" style="98" customWidth="1"/>
    <col min="13326" max="13326" width="13.5703125" style="98" customWidth="1"/>
    <col min="13327" max="13327" width="15.85546875" style="98" customWidth="1"/>
    <col min="13328" max="13328" width="20.5703125" style="98" customWidth="1"/>
    <col min="13329" max="13329" width="19.42578125" style="98" customWidth="1"/>
    <col min="13330" max="13330" width="14.7109375" style="98" customWidth="1"/>
    <col min="13331" max="13331" width="30.140625" style="98" customWidth="1"/>
    <col min="13332" max="13332" width="15" style="98" customWidth="1"/>
    <col min="13333" max="13333" width="11.42578125" style="98" customWidth="1"/>
    <col min="13334" max="13334" width="15" style="98" customWidth="1"/>
    <col min="13335" max="13335" width="10.85546875" style="98" customWidth="1"/>
    <col min="13336" max="13336" width="16.140625" style="98" customWidth="1"/>
    <col min="13337" max="13337" width="15" style="98" customWidth="1"/>
    <col min="13338" max="13338" width="14.28515625" style="98" customWidth="1"/>
    <col min="13339" max="13339" width="16.42578125" style="98" customWidth="1"/>
    <col min="13340" max="13340" width="9" style="98" bestFit="1" customWidth="1"/>
    <col min="13341" max="13341" width="17.140625" style="98" customWidth="1"/>
    <col min="13342" max="13342" width="15.5703125" style="98" customWidth="1"/>
    <col min="13343" max="13343" width="11.28515625" style="98" bestFit="1" customWidth="1"/>
    <col min="13344" max="13344" width="21.140625" style="98" bestFit="1" customWidth="1"/>
    <col min="13345" max="13345" width="9.140625" style="98" customWidth="1"/>
    <col min="13346" max="13346" width="16.140625" style="98" bestFit="1" customWidth="1"/>
    <col min="13347" max="13347" width="13.28515625" style="98" bestFit="1" customWidth="1"/>
    <col min="13348" max="13348" width="25.5703125" style="98" customWidth="1"/>
    <col min="13349" max="13349" width="17.140625" style="98" customWidth="1"/>
    <col min="13350" max="13350" width="12" style="98" customWidth="1"/>
    <col min="13351" max="13351" width="19" style="98" customWidth="1"/>
    <col min="13352" max="13352" width="9" style="98" bestFit="1" customWidth="1"/>
    <col min="13353" max="13353" width="20.7109375" style="98" customWidth="1"/>
    <col min="13354" max="13354" width="15" style="98" customWidth="1"/>
    <col min="13355" max="13355" width="13.42578125" style="98" customWidth="1"/>
    <col min="13356" max="13356" width="19.7109375" style="98" customWidth="1"/>
    <col min="13357" max="13357" width="9" style="98" bestFit="1" customWidth="1"/>
    <col min="13358" max="13358" width="16.140625" style="98" customWidth="1"/>
    <col min="13359" max="13359" width="14" style="98" bestFit="1" customWidth="1"/>
    <col min="13360" max="13360" width="14.140625" style="98" bestFit="1" customWidth="1"/>
    <col min="13361" max="13361" width="21.140625" style="98" bestFit="1" customWidth="1"/>
    <col min="13362" max="13362" width="9" style="98" bestFit="1" customWidth="1"/>
    <col min="13363" max="13363" width="16.140625" style="98" bestFit="1" customWidth="1"/>
    <col min="13364" max="13364" width="13.42578125" style="98" bestFit="1" customWidth="1"/>
    <col min="13365" max="13365" width="22.42578125" style="98" customWidth="1"/>
    <col min="13366" max="13366" width="16.5703125" style="98" customWidth="1"/>
    <col min="13367" max="13367" width="15" style="98" customWidth="1"/>
    <col min="13368" max="13368" width="16.28515625" style="98" customWidth="1"/>
    <col min="13369" max="13369" width="9.5703125" style="98" customWidth="1"/>
    <col min="13370" max="13370" width="15.7109375" style="98" customWidth="1"/>
    <col min="13371" max="13371" width="14.140625" style="98" bestFit="1" customWidth="1"/>
    <col min="13372" max="13372" width="12.7109375" style="98" customWidth="1"/>
    <col min="13373" max="13373" width="23.85546875" style="98" customWidth="1"/>
    <col min="13374" max="13374" width="9.28515625" style="98" bestFit="1" customWidth="1"/>
    <col min="13375" max="13375" width="17.140625" style="98" customWidth="1"/>
    <col min="13376" max="13376" width="16.140625" style="98" customWidth="1"/>
    <col min="13377" max="13377" width="12.7109375" style="98" customWidth="1"/>
    <col min="13378" max="13378" width="23.85546875" style="98" customWidth="1"/>
    <col min="13379" max="13379" width="12.7109375" style="98" customWidth="1"/>
    <col min="13380" max="13380" width="17.140625" style="98" customWidth="1"/>
    <col min="13381" max="13381" width="16.140625" style="98" customWidth="1"/>
    <col min="13382" max="13568" width="9.140625" style="98"/>
    <col min="13569" max="13569" width="1.28515625" style="98" customWidth="1"/>
    <col min="13570" max="13570" width="26.85546875" style="98" customWidth="1"/>
    <col min="13571" max="13575" width="0" style="98" hidden="1" customWidth="1"/>
    <col min="13576" max="13576" width="15.85546875" style="98" customWidth="1"/>
    <col min="13577" max="13577" width="12.85546875" style="98" customWidth="1"/>
    <col min="13578" max="13578" width="19.85546875" style="98" bestFit="1" customWidth="1"/>
    <col min="13579" max="13579" width="10.85546875" style="98" customWidth="1"/>
    <col min="13580" max="13580" width="24" style="98" bestFit="1" customWidth="1"/>
    <col min="13581" max="13581" width="15.28515625" style="98" customWidth="1"/>
    <col min="13582" max="13582" width="13.5703125" style="98" customWidth="1"/>
    <col min="13583" max="13583" width="15.85546875" style="98" customWidth="1"/>
    <col min="13584" max="13584" width="20.5703125" style="98" customWidth="1"/>
    <col min="13585" max="13585" width="19.42578125" style="98" customWidth="1"/>
    <col min="13586" max="13586" width="14.7109375" style="98" customWidth="1"/>
    <col min="13587" max="13587" width="30.140625" style="98" customWidth="1"/>
    <col min="13588" max="13588" width="15" style="98" customWidth="1"/>
    <col min="13589" max="13589" width="11.42578125" style="98" customWidth="1"/>
    <col min="13590" max="13590" width="15" style="98" customWidth="1"/>
    <col min="13591" max="13591" width="10.85546875" style="98" customWidth="1"/>
    <col min="13592" max="13592" width="16.140625" style="98" customWidth="1"/>
    <col min="13593" max="13593" width="15" style="98" customWidth="1"/>
    <col min="13594" max="13594" width="14.28515625" style="98" customWidth="1"/>
    <col min="13595" max="13595" width="16.42578125" style="98" customWidth="1"/>
    <col min="13596" max="13596" width="9" style="98" bestFit="1" customWidth="1"/>
    <col min="13597" max="13597" width="17.140625" style="98" customWidth="1"/>
    <col min="13598" max="13598" width="15.5703125" style="98" customWidth="1"/>
    <col min="13599" max="13599" width="11.28515625" style="98" bestFit="1" customWidth="1"/>
    <col min="13600" max="13600" width="21.140625" style="98" bestFit="1" customWidth="1"/>
    <col min="13601" max="13601" width="9.140625" style="98" customWidth="1"/>
    <col min="13602" max="13602" width="16.140625" style="98" bestFit="1" customWidth="1"/>
    <col min="13603" max="13603" width="13.28515625" style="98" bestFit="1" customWidth="1"/>
    <col min="13604" max="13604" width="25.5703125" style="98" customWidth="1"/>
    <col min="13605" max="13605" width="17.140625" style="98" customWidth="1"/>
    <col min="13606" max="13606" width="12" style="98" customWidth="1"/>
    <col min="13607" max="13607" width="19" style="98" customWidth="1"/>
    <col min="13608" max="13608" width="9" style="98" bestFit="1" customWidth="1"/>
    <col min="13609" max="13609" width="20.7109375" style="98" customWidth="1"/>
    <col min="13610" max="13610" width="15" style="98" customWidth="1"/>
    <col min="13611" max="13611" width="13.42578125" style="98" customWidth="1"/>
    <col min="13612" max="13612" width="19.7109375" style="98" customWidth="1"/>
    <col min="13613" max="13613" width="9" style="98" bestFit="1" customWidth="1"/>
    <col min="13614" max="13614" width="16.140625" style="98" customWidth="1"/>
    <col min="13615" max="13615" width="14" style="98" bestFit="1" customWidth="1"/>
    <col min="13616" max="13616" width="14.140625" style="98" bestFit="1" customWidth="1"/>
    <col min="13617" max="13617" width="21.140625" style="98" bestFit="1" customWidth="1"/>
    <col min="13618" max="13618" width="9" style="98" bestFit="1" customWidth="1"/>
    <col min="13619" max="13619" width="16.140625" style="98" bestFit="1" customWidth="1"/>
    <col min="13620" max="13620" width="13.42578125" style="98" bestFit="1" customWidth="1"/>
    <col min="13621" max="13621" width="22.42578125" style="98" customWidth="1"/>
    <col min="13622" max="13622" width="16.5703125" style="98" customWidth="1"/>
    <col min="13623" max="13623" width="15" style="98" customWidth="1"/>
    <col min="13624" max="13624" width="16.28515625" style="98" customWidth="1"/>
    <col min="13625" max="13625" width="9.5703125" style="98" customWidth="1"/>
    <col min="13626" max="13626" width="15.7109375" style="98" customWidth="1"/>
    <col min="13627" max="13627" width="14.140625" style="98" bestFit="1" customWidth="1"/>
    <col min="13628" max="13628" width="12.7109375" style="98" customWidth="1"/>
    <col min="13629" max="13629" width="23.85546875" style="98" customWidth="1"/>
    <col min="13630" max="13630" width="9.28515625" style="98" bestFit="1" customWidth="1"/>
    <col min="13631" max="13631" width="17.140625" style="98" customWidth="1"/>
    <col min="13632" max="13632" width="16.140625" style="98" customWidth="1"/>
    <col min="13633" max="13633" width="12.7109375" style="98" customWidth="1"/>
    <col min="13634" max="13634" width="23.85546875" style="98" customWidth="1"/>
    <col min="13635" max="13635" width="12.7109375" style="98" customWidth="1"/>
    <col min="13636" max="13636" width="17.140625" style="98" customWidth="1"/>
    <col min="13637" max="13637" width="16.140625" style="98" customWidth="1"/>
    <col min="13638" max="13824" width="9.140625" style="98"/>
    <col min="13825" max="13825" width="1.28515625" style="98" customWidth="1"/>
    <col min="13826" max="13826" width="26.85546875" style="98" customWidth="1"/>
    <col min="13827" max="13831" width="0" style="98" hidden="1" customWidth="1"/>
    <col min="13832" max="13832" width="15.85546875" style="98" customWidth="1"/>
    <col min="13833" max="13833" width="12.85546875" style="98" customWidth="1"/>
    <col min="13834" max="13834" width="19.85546875" style="98" bestFit="1" customWidth="1"/>
    <col min="13835" max="13835" width="10.85546875" style="98" customWidth="1"/>
    <col min="13836" max="13836" width="24" style="98" bestFit="1" customWidth="1"/>
    <col min="13837" max="13837" width="15.28515625" style="98" customWidth="1"/>
    <col min="13838" max="13838" width="13.5703125" style="98" customWidth="1"/>
    <col min="13839" max="13839" width="15.85546875" style="98" customWidth="1"/>
    <col min="13840" max="13840" width="20.5703125" style="98" customWidth="1"/>
    <col min="13841" max="13841" width="19.42578125" style="98" customWidth="1"/>
    <col min="13842" max="13842" width="14.7109375" style="98" customWidth="1"/>
    <col min="13843" max="13843" width="30.140625" style="98" customWidth="1"/>
    <col min="13844" max="13844" width="15" style="98" customWidth="1"/>
    <col min="13845" max="13845" width="11.42578125" style="98" customWidth="1"/>
    <col min="13846" max="13846" width="15" style="98" customWidth="1"/>
    <col min="13847" max="13847" width="10.85546875" style="98" customWidth="1"/>
    <col min="13848" max="13848" width="16.140625" style="98" customWidth="1"/>
    <col min="13849" max="13849" width="15" style="98" customWidth="1"/>
    <col min="13850" max="13850" width="14.28515625" style="98" customWidth="1"/>
    <col min="13851" max="13851" width="16.42578125" style="98" customWidth="1"/>
    <col min="13852" max="13852" width="9" style="98" bestFit="1" customWidth="1"/>
    <col min="13853" max="13853" width="17.140625" style="98" customWidth="1"/>
    <col min="13854" max="13854" width="15.5703125" style="98" customWidth="1"/>
    <col min="13855" max="13855" width="11.28515625" style="98" bestFit="1" customWidth="1"/>
    <col min="13856" max="13856" width="21.140625" style="98" bestFit="1" customWidth="1"/>
    <col min="13857" max="13857" width="9.140625" style="98" customWidth="1"/>
    <col min="13858" max="13858" width="16.140625" style="98" bestFit="1" customWidth="1"/>
    <col min="13859" max="13859" width="13.28515625" style="98" bestFit="1" customWidth="1"/>
    <col min="13860" max="13860" width="25.5703125" style="98" customWidth="1"/>
    <col min="13861" max="13861" width="17.140625" style="98" customWidth="1"/>
    <col min="13862" max="13862" width="12" style="98" customWidth="1"/>
    <col min="13863" max="13863" width="19" style="98" customWidth="1"/>
    <col min="13864" max="13864" width="9" style="98" bestFit="1" customWidth="1"/>
    <col min="13865" max="13865" width="20.7109375" style="98" customWidth="1"/>
    <col min="13866" max="13866" width="15" style="98" customWidth="1"/>
    <col min="13867" max="13867" width="13.42578125" style="98" customWidth="1"/>
    <col min="13868" max="13868" width="19.7109375" style="98" customWidth="1"/>
    <col min="13869" max="13869" width="9" style="98" bestFit="1" customWidth="1"/>
    <col min="13870" max="13870" width="16.140625" style="98" customWidth="1"/>
    <col min="13871" max="13871" width="14" style="98" bestFit="1" customWidth="1"/>
    <col min="13872" max="13872" width="14.140625" style="98" bestFit="1" customWidth="1"/>
    <col min="13873" max="13873" width="21.140625" style="98" bestFit="1" customWidth="1"/>
    <col min="13874" max="13874" width="9" style="98" bestFit="1" customWidth="1"/>
    <col min="13875" max="13875" width="16.140625" style="98" bestFit="1" customWidth="1"/>
    <col min="13876" max="13876" width="13.42578125" style="98" bestFit="1" customWidth="1"/>
    <col min="13877" max="13877" width="22.42578125" style="98" customWidth="1"/>
    <col min="13878" max="13878" width="16.5703125" style="98" customWidth="1"/>
    <col min="13879" max="13879" width="15" style="98" customWidth="1"/>
    <col min="13880" max="13880" width="16.28515625" style="98" customWidth="1"/>
    <col min="13881" max="13881" width="9.5703125" style="98" customWidth="1"/>
    <col min="13882" max="13882" width="15.7109375" style="98" customWidth="1"/>
    <col min="13883" max="13883" width="14.140625" style="98" bestFit="1" customWidth="1"/>
    <col min="13884" max="13884" width="12.7109375" style="98" customWidth="1"/>
    <col min="13885" max="13885" width="23.85546875" style="98" customWidth="1"/>
    <col min="13886" max="13886" width="9.28515625" style="98" bestFit="1" customWidth="1"/>
    <col min="13887" max="13887" width="17.140625" style="98" customWidth="1"/>
    <col min="13888" max="13888" width="16.140625" style="98" customWidth="1"/>
    <col min="13889" max="13889" width="12.7109375" style="98" customWidth="1"/>
    <col min="13890" max="13890" width="23.85546875" style="98" customWidth="1"/>
    <col min="13891" max="13891" width="12.7109375" style="98" customWidth="1"/>
    <col min="13892" max="13892" width="17.140625" style="98" customWidth="1"/>
    <col min="13893" max="13893" width="16.140625" style="98" customWidth="1"/>
    <col min="13894" max="14080" width="9.140625" style="98"/>
    <col min="14081" max="14081" width="1.28515625" style="98" customWidth="1"/>
    <col min="14082" max="14082" width="26.85546875" style="98" customWidth="1"/>
    <col min="14083" max="14087" width="0" style="98" hidden="1" customWidth="1"/>
    <col min="14088" max="14088" width="15.85546875" style="98" customWidth="1"/>
    <col min="14089" max="14089" width="12.85546875" style="98" customWidth="1"/>
    <col min="14090" max="14090" width="19.85546875" style="98" bestFit="1" customWidth="1"/>
    <col min="14091" max="14091" width="10.85546875" style="98" customWidth="1"/>
    <col min="14092" max="14092" width="24" style="98" bestFit="1" customWidth="1"/>
    <col min="14093" max="14093" width="15.28515625" style="98" customWidth="1"/>
    <col min="14094" max="14094" width="13.5703125" style="98" customWidth="1"/>
    <col min="14095" max="14095" width="15.85546875" style="98" customWidth="1"/>
    <col min="14096" max="14096" width="20.5703125" style="98" customWidth="1"/>
    <col min="14097" max="14097" width="19.42578125" style="98" customWidth="1"/>
    <col min="14098" max="14098" width="14.7109375" style="98" customWidth="1"/>
    <col min="14099" max="14099" width="30.140625" style="98" customWidth="1"/>
    <col min="14100" max="14100" width="15" style="98" customWidth="1"/>
    <col min="14101" max="14101" width="11.42578125" style="98" customWidth="1"/>
    <col min="14102" max="14102" width="15" style="98" customWidth="1"/>
    <col min="14103" max="14103" width="10.85546875" style="98" customWidth="1"/>
    <col min="14104" max="14104" width="16.140625" style="98" customWidth="1"/>
    <col min="14105" max="14105" width="15" style="98" customWidth="1"/>
    <col min="14106" max="14106" width="14.28515625" style="98" customWidth="1"/>
    <col min="14107" max="14107" width="16.42578125" style="98" customWidth="1"/>
    <col min="14108" max="14108" width="9" style="98" bestFit="1" customWidth="1"/>
    <col min="14109" max="14109" width="17.140625" style="98" customWidth="1"/>
    <col min="14110" max="14110" width="15.5703125" style="98" customWidth="1"/>
    <col min="14111" max="14111" width="11.28515625" style="98" bestFit="1" customWidth="1"/>
    <col min="14112" max="14112" width="21.140625" style="98" bestFit="1" customWidth="1"/>
    <col min="14113" max="14113" width="9.140625" style="98" customWidth="1"/>
    <col min="14114" max="14114" width="16.140625" style="98" bestFit="1" customWidth="1"/>
    <col min="14115" max="14115" width="13.28515625" style="98" bestFit="1" customWidth="1"/>
    <col min="14116" max="14116" width="25.5703125" style="98" customWidth="1"/>
    <col min="14117" max="14117" width="17.140625" style="98" customWidth="1"/>
    <col min="14118" max="14118" width="12" style="98" customWidth="1"/>
    <col min="14119" max="14119" width="19" style="98" customWidth="1"/>
    <col min="14120" max="14120" width="9" style="98" bestFit="1" customWidth="1"/>
    <col min="14121" max="14121" width="20.7109375" style="98" customWidth="1"/>
    <col min="14122" max="14122" width="15" style="98" customWidth="1"/>
    <col min="14123" max="14123" width="13.42578125" style="98" customWidth="1"/>
    <col min="14124" max="14124" width="19.7109375" style="98" customWidth="1"/>
    <col min="14125" max="14125" width="9" style="98" bestFit="1" customWidth="1"/>
    <col min="14126" max="14126" width="16.140625" style="98" customWidth="1"/>
    <col min="14127" max="14127" width="14" style="98" bestFit="1" customWidth="1"/>
    <col min="14128" max="14128" width="14.140625" style="98" bestFit="1" customWidth="1"/>
    <col min="14129" max="14129" width="21.140625" style="98" bestFit="1" customWidth="1"/>
    <col min="14130" max="14130" width="9" style="98" bestFit="1" customWidth="1"/>
    <col min="14131" max="14131" width="16.140625" style="98" bestFit="1" customWidth="1"/>
    <col min="14132" max="14132" width="13.42578125" style="98" bestFit="1" customWidth="1"/>
    <col min="14133" max="14133" width="22.42578125" style="98" customWidth="1"/>
    <col min="14134" max="14134" width="16.5703125" style="98" customWidth="1"/>
    <col min="14135" max="14135" width="15" style="98" customWidth="1"/>
    <col min="14136" max="14136" width="16.28515625" style="98" customWidth="1"/>
    <col min="14137" max="14137" width="9.5703125" style="98" customWidth="1"/>
    <col min="14138" max="14138" width="15.7109375" style="98" customWidth="1"/>
    <col min="14139" max="14139" width="14.140625" style="98" bestFit="1" customWidth="1"/>
    <col min="14140" max="14140" width="12.7109375" style="98" customWidth="1"/>
    <col min="14141" max="14141" width="23.85546875" style="98" customWidth="1"/>
    <col min="14142" max="14142" width="9.28515625" style="98" bestFit="1" customWidth="1"/>
    <col min="14143" max="14143" width="17.140625" style="98" customWidth="1"/>
    <col min="14144" max="14144" width="16.140625" style="98" customWidth="1"/>
    <col min="14145" max="14145" width="12.7109375" style="98" customWidth="1"/>
    <col min="14146" max="14146" width="23.85546875" style="98" customWidth="1"/>
    <col min="14147" max="14147" width="12.7109375" style="98" customWidth="1"/>
    <col min="14148" max="14148" width="17.140625" style="98" customWidth="1"/>
    <col min="14149" max="14149" width="16.140625" style="98" customWidth="1"/>
    <col min="14150" max="14336" width="9.140625" style="98"/>
    <col min="14337" max="14337" width="1.28515625" style="98" customWidth="1"/>
    <col min="14338" max="14338" width="26.85546875" style="98" customWidth="1"/>
    <col min="14339" max="14343" width="0" style="98" hidden="1" customWidth="1"/>
    <col min="14344" max="14344" width="15.85546875" style="98" customWidth="1"/>
    <col min="14345" max="14345" width="12.85546875" style="98" customWidth="1"/>
    <col min="14346" max="14346" width="19.85546875" style="98" bestFit="1" customWidth="1"/>
    <col min="14347" max="14347" width="10.85546875" style="98" customWidth="1"/>
    <col min="14348" max="14348" width="24" style="98" bestFit="1" customWidth="1"/>
    <col min="14349" max="14349" width="15.28515625" style="98" customWidth="1"/>
    <col min="14350" max="14350" width="13.5703125" style="98" customWidth="1"/>
    <col min="14351" max="14351" width="15.85546875" style="98" customWidth="1"/>
    <col min="14352" max="14352" width="20.5703125" style="98" customWidth="1"/>
    <col min="14353" max="14353" width="19.42578125" style="98" customWidth="1"/>
    <col min="14354" max="14354" width="14.7109375" style="98" customWidth="1"/>
    <col min="14355" max="14355" width="30.140625" style="98" customWidth="1"/>
    <col min="14356" max="14356" width="15" style="98" customWidth="1"/>
    <col min="14357" max="14357" width="11.42578125" style="98" customWidth="1"/>
    <col min="14358" max="14358" width="15" style="98" customWidth="1"/>
    <col min="14359" max="14359" width="10.85546875" style="98" customWidth="1"/>
    <col min="14360" max="14360" width="16.140625" style="98" customWidth="1"/>
    <col min="14361" max="14361" width="15" style="98" customWidth="1"/>
    <col min="14362" max="14362" width="14.28515625" style="98" customWidth="1"/>
    <col min="14363" max="14363" width="16.42578125" style="98" customWidth="1"/>
    <col min="14364" max="14364" width="9" style="98" bestFit="1" customWidth="1"/>
    <col min="14365" max="14365" width="17.140625" style="98" customWidth="1"/>
    <col min="14366" max="14366" width="15.5703125" style="98" customWidth="1"/>
    <col min="14367" max="14367" width="11.28515625" style="98" bestFit="1" customWidth="1"/>
    <col min="14368" max="14368" width="21.140625" style="98" bestFit="1" customWidth="1"/>
    <col min="14369" max="14369" width="9.140625" style="98" customWidth="1"/>
    <col min="14370" max="14370" width="16.140625" style="98" bestFit="1" customWidth="1"/>
    <col min="14371" max="14371" width="13.28515625" style="98" bestFit="1" customWidth="1"/>
    <col min="14372" max="14372" width="25.5703125" style="98" customWidth="1"/>
    <col min="14373" max="14373" width="17.140625" style="98" customWidth="1"/>
    <col min="14374" max="14374" width="12" style="98" customWidth="1"/>
    <col min="14375" max="14375" width="19" style="98" customWidth="1"/>
    <col min="14376" max="14376" width="9" style="98" bestFit="1" customWidth="1"/>
    <col min="14377" max="14377" width="20.7109375" style="98" customWidth="1"/>
    <col min="14378" max="14378" width="15" style="98" customWidth="1"/>
    <col min="14379" max="14379" width="13.42578125" style="98" customWidth="1"/>
    <col min="14380" max="14380" width="19.7109375" style="98" customWidth="1"/>
    <col min="14381" max="14381" width="9" style="98" bestFit="1" customWidth="1"/>
    <col min="14382" max="14382" width="16.140625" style="98" customWidth="1"/>
    <col min="14383" max="14383" width="14" style="98" bestFit="1" customWidth="1"/>
    <col min="14384" max="14384" width="14.140625" style="98" bestFit="1" customWidth="1"/>
    <col min="14385" max="14385" width="21.140625" style="98" bestFit="1" customWidth="1"/>
    <col min="14386" max="14386" width="9" style="98" bestFit="1" customWidth="1"/>
    <col min="14387" max="14387" width="16.140625" style="98" bestFit="1" customWidth="1"/>
    <col min="14388" max="14388" width="13.42578125" style="98" bestFit="1" customWidth="1"/>
    <col min="14389" max="14389" width="22.42578125" style="98" customWidth="1"/>
    <col min="14390" max="14390" width="16.5703125" style="98" customWidth="1"/>
    <col min="14391" max="14391" width="15" style="98" customWidth="1"/>
    <col min="14392" max="14392" width="16.28515625" style="98" customWidth="1"/>
    <col min="14393" max="14393" width="9.5703125" style="98" customWidth="1"/>
    <col min="14394" max="14394" width="15.7109375" style="98" customWidth="1"/>
    <col min="14395" max="14395" width="14.140625" style="98" bestFit="1" customWidth="1"/>
    <col min="14396" max="14396" width="12.7109375" style="98" customWidth="1"/>
    <col min="14397" max="14397" width="23.85546875" style="98" customWidth="1"/>
    <col min="14398" max="14398" width="9.28515625" style="98" bestFit="1" customWidth="1"/>
    <col min="14399" max="14399" width="17.140625" style="98" customWidth="1"/>
    <col min="14400" max="14400" width="16.140625" style="98" customWidth="1"/>
    <col min="14401" max="14401" width="12.7109375" style="98" customWidth="1"/>
    <col min="14402" max="14402" width="23.85546875" style="98" customWidth="1"/>
    <col min="14403" max="14403" width="12.7109375" style="98" customWidth="1"/>
    <col min="14404" max="14404" width="17.140625" style="98" customWidth="1"/>
    <col min="14405" max="14405" width="16.140625" style="98" customWidth="1"/>
    <col min="14406" max="14592" width="9.140625" style="98"/>
    <col min="14593" max="14593" width="1.28515625" style="98" customWidth="1"/>
    <col min="14594" max="14594" width="26.85546875" style="98" customWidth="1"/>
    <col min="14595" max="14599" width="0" style="98" hidden="1" customWidth="1"/>
    <col min="14600" max="14600" width="15.85546875" style="98" customWidth="1"/>
    <col min="14601" max="14601" width="12.85546875" style="98" customWidth="1"/>
    <col min="14602" max="14602" width="19.85546875" style="98" bestFit="1" customWidth="1"/>
    <col min="14603" max="14603" width="10.85546875" style="98" customWidth="1"/>
    <col min="14604" max="14604" width="24" style="98" bestFit="1" customWidth="1"/>
    <col min="14605" max="14605" width="15.28515625" style="98" customWidth="1"/>
    <col min="14606" max="14606" width="13.5703125" style="98" customWidth="1"/>
    <col min="14607" max="14607" width="15.85546875" style="98" customWidth="1"/>
    <col min="14608" max="14608" width="20.5703125" style="98" customWidth="1"/>
    <col min="14609" max="14609" width="19.42578125" style="98" customWidth="1"/>
    <col min="14610" max="14610" width="14.7109375" style="98" customWidth="1"/>
    <col min="14611" max="14611" width="30.140625" style="98" customWidth="1"/>
    <col min="14612" max="14612" width="15" style="98" customWidth="1"/>
    <col min="14613" max="14613" width="11.42578125" style="98" customWidth="1"/>
    <col min="14614" max="14614" width="15" style="98" customWidth="1"/>
    <col min="14615" max="14615" width="10.85546875" style="98" customWidth="1"/>
    <col min="14616" max="14616" width="16.140625" style="98" customWidth="1"/>
    <col min="14617" max="14617" width="15" style="98" customWidth="1"/>
    <col min="14618" max="14618" width="14.28515625" style="98" customWidth="1"/>
    <col min="14619" max="14619" width="16.42578125" style="98" customWidth="1"/>
    <col min="14620" max="14620" width="9" style="98" bestFit="1" customWidth="1"/>
    <col min="14621" max="14621" width="17.140625" style="98" customWidth="1"/>
    <col min="14622" max="14622" width="15.5703125" style="98" customWidth="1"/>
    <col min="14623" max="14623" width="11.28515625" style="98" bestFit="1" customWidth="1"/>
    <col min="14624" max="14624" width="21.140625" style="98" bestFit="1" customWidth="1"/>
    <col min="14625" max="14625" width="9.140625" style="98" customWidth="1"/>
    <col min="14626" max="14626" width="16.140625" style="98" bestFit="1" customWidth="1"/>
    <col min="14627" max="14627" width="13.28515625" style="98" bestFit="1" customWidth="1"/>
    <col min="14628" max="14628" width="25.5703125" style="98" customWidth="1"/>
    <col min="14629" max="14629" width="17.140625" style="98" customWidth="1"/>
    <col min="14630" max="14630" width="12" style="98" customWidth="1"/>
    <col min="14631" max="14631" width="19" style="98" customWidth="1"/>
    <col min="14632" max="14632" width="9" style="98" bestFit="1" customWidth="1"/>
    <col min="14633" max="14633" width="20.7109375" style="98" customWidth="1"/>
    <col min="14634" max="14634" width="15" style="98" customWidth="1"/>
    <col min="14635" max="14635" width="13.42578125" style="98" customWidth="1"/>
    <col min="14636" max="14636" width="19.7109375" style="98" customWidth="1"/>
    <col min="14637" max="14637" width="9" style="98" bestFit="1" customWidth="1"/>
    <col min="14638" max="14638" width="16.140625" style="98" customWidth="1"/>
    <col min="14639" max="14639" width="14" style="98" bestFit="1" customWidth="1"/>
    <col min="14640" max="14640" width="14.140625" style="98" bestFit="1" customWidth="1"/>
    <col min="14641" max="14641" width="21.140625" style="98" bestFit="1" customWidth="1"/>
    <col min="14642" max="14642" width="9" style="98" bestFit="1" customWidth="1"/>
    <col min="14643" max="14643" width="16.140625" style="98" bestFit="1" customWidth="1"/>
    <col min="14644" max="14644" width="13.42578125" style="98" bestFit="1" customWidth="1"/>
    <col min="14645" max="14645" width="22.42578125" style="98" customWidth="1"/>
    <col min="14646" max="14646" width="16.5703125" style="98" customWidth="1"/>
    <col min="14647" max="14647" width="15" style="98" customWidth="1"/>
    <col min="14648" max="14648" width="16.28515625" style="98" customWidth="1"/>
    <col min="14649" max="14649" width="9.5703125" style="98" customWidth="1"/>
    <col min="14650" max="14650" width="15.7109375" style="98" customWidth="1"/>
    <col min="14651" max="14651" width="14.140625" style="98" bestFit="1" customWidth="1"/>
    <col min="14652" max="14652" width="12.7109375" style="98" customWidth="1"/>
    <col min="14653" max="14653" width="23.85546875" style="98" customWidth="1"/>
    <col min="14654" max="14654" width="9.28515625" style="98" bestFit="1" customWidth="1"/>
    <col min="14655" max="14655" width="17.140625" style="98" customWidth="1"/>
    <col min="14656" max="14656" width="16.140625" style="98" customWidth="1"/>
    <col min="14657" max="14657" width="12.7109375" style="98" customWidth="1"/>
    <col min="14658" max="14658" width="23.85546875" style="98" customWidth="1"/>
    <col min="14659" max="14659" width="12.7109375" style="98" customWidth="1"/>
    <col min="14660" max="14660" width="17.140625" style="98" customWidth="1"/>
    <col min="14661" max="14661" width="16.140625" style="98" customWidth="1"/>
    <col min="14662" max="14848" width="9.140625" style="98"/>
    <col min="14849" max="14849" width="1.28515625" style="98" customWidth="1"/>
    <col min="14850" max="14850" width="26.85546875" style="98" customWidth="1"/>
    <col min="14851" max="14855" width="0" style="98" hidden="1" customWidth="1"/>
    <col min="14856" max="14856" width="15.85546875" style="98" customWidth="1"/>
    <col min="14857" max="14857" width="12.85546875" style="98" customWidth="1"/>
    <col min="14858" max="14858" width="19.85546875" style="98" bestFit="1" customWidth="1"/>
    <col min="14859" max="14859" width="10.85546875" style="98" customWidth="1"/>
    <col min="14860" max="14860" width="24" style="98" bestFit="1" customWidth="1"/>
    <col min="14861" max="14861" width="15.28515625" style="98" customWidth="1"/>
    <col min="14862" max="14862" width="13.5703125" style="98" customWidth="1"/>
    <col min="14863" max="14863" width="15.85546875" style="98" customWidth="1"/>
    <col min="14864" max="14864" width="20.5703125" style="98" customWidth="1"/>
    <col min="14865" max="14865" width="19.42578125" style="98" customWidth="1"/>
    <col min="14866" max="14866" width="14.7109375" style="98" customWidth="1"/>
    <col min="14867" max="14867" width="30.140625" style="98" customWidth="1"/>
    <col min="14868" max="14868" width="15" style="98" customWidth="1"/>
    <col min="14869" max="14869" width="11.42578125" style="98" customWidth="1"/>
    <col min="14870" max="14870" width="15" style="98" customWidth="1"/>
    <col min="14871" max="14871" width="10.85546875" style="98" customWidth="1"/>
    <col min="14872" max="14872" width="16.140625" style="98" customWidth="1"/>
    <col min="14873" max="14873" width="15" style="98" customWidth="1"/>
    <col min="14874" max="14874" width="14.28515625" style="98" customWidth="1"/>
    <col min="14875" max="14875" width="16.42578125" style="98" customWidth="1"/>
    <col min="14876" max="14876" width="9" style="98" bestFit="1" customWidth="1"/>
    <col min="14877" max="14877" width="17.140625" style="98" customWidth="1"/>
    <col min="14878" max="14878" width="15.5703125" style="98" customWidth="1"/>
    <col min="14879" max="14879" width="11.28515625" style="98" bestFit="1" customWidth="1"/>
    <col min="14880" max="14880" width="21.140625" style="98" bestFit="1" customWidth="1"/>
    <col min="14881" max="14881" width="9.140625" style="98" customWidth="1"/>
    <col min="14882" max="14882" width="16.140625" style="98" bestFit="1" customWidth="1"/>
    <col min="14883" max="14883" width="13.28515625" style="98" bestFit="1" customWidth="1"/>
    <col min="14884" max="14884" width="25.5703125" style="98" customWidth="1"/>
    <col min="14885" max="14885" width="17.140625" style="98" customWidth="1"/>
    <col min="14886" max="14886" width="12" style="98" customWidth="1"/>
    <col min="14887" max="14887" width="19" style="98" customWidth="1"/>
    <col min="14888" max="14888" width="9" style="98" bestFit="1" customWidth="1"/>
    <col min="14889" max="14889" width="20.7109375" style="98" customWidth="1"/>
    <col min="14890" max="14890" width="15" style="98" customWidth="1"/>
    <col min="14891" max="14891" width="13.42578125" style="98" customWidth="1"/>
    <col min="14892" max="14892" width="19.7109375" style="98" customWidth="1"/>
    <col min="14893" max="14893" width="9" style="98" bestFit="1" customWidth="1"/>
    <col min="14894" max="14894" width="16.140625" style="98" customWidth="1"/>
    <col min="14895" max="14895" width="14" style="98" bestFit="1" customWidth="1"/>
    <col min="14896" max="14896" width="14.140625" style="98" bestFit="1" customWidth="1"/>
    <col min="14897" max="14897" width="21.140625" style="98" bestFit="1" customWidth="1"/>
    <col min="14898" max="14898" width="9" style="98" bestFit="1" customWidth="1"/>
    <col min="14899" max="14899" width="16.140625" style="98" bestFit="1" customWidth="1"/>
    <col min="14900" max="14900" width="13.42578125" style="98" bestFit="1" customWidth="1"/>
    <col min="14901" max="14901" width="22.42578125" style="98" customWidth="1"/>
    <col min="14902" max="14902" width="16.5703125" style="98" customWidth="1"/>
    <col min="14903" max="14903" width="15" style="98" customWidth="1"/>
    <col min="14904" max="14904" width="16.28515625" style="98" customWidth="1"/>
    <col min="14905" max="14905" width="9.5703125" style="98" customWidth="1"/>
    <col min="14906" max="14906" width="15.7109375" style="98" customWidth="1"/>
    <col min="14907" max="14907" width="14.140625" style="98" bestFit="1" customWidth="1"/>
    <col min="14908" max="14908" width="12.7109375" style="98" customWidth="1"/>
    <col min="14909" max="14909" width="23.85546875" style="98" customWidth="1"/>
    <col min="14910" max="14910" width="9.28515625" style="98" bestFit="1" customWidth="1"/>
    <col min="14911" max="14911" width="17.140625" style="98" customWidth="1"/>
    <col min="14912" max="14912" width="16.140625" style="98" customWidth="1"/>
    <col min="14913" max="14913" width="12.7109375" style="98" customWidth="1"/>
    <col min="14914" max="14914" width="23.85546875" style="98" customWidth="1"/>
    <col min="14915" max="14915" width="12.7109375" style="98" customWidth="1"/>
    <col min="14916" max="14916" width="17.140625" style="98" customWidth="1"/>
    <col min="14917" max="14917" width="16.140625" style="98" customWidth="1"/>
    <col min="14918" max="15104" width="9.140625" style="98"/>
    <col min="15105" max="15105" width="1.28515625" style="98" customWidth="1"/>
    <col min="15106" max="15106" width="26.85546875" style="98" customWidth="1"/>
    <col min="15107" max="15111" width="0" style="98" hidden="1" customWidth="1"/>
    <col min="15112" max="15112" width="15.85546875" style="98" customWidth="1"/>
    <col min="15113" max="15113" width="12.85546875" style="98" customWidth="1"/>
    <col min="15114" max="15114" width="19.85546875" style="98" bestFit="1" customWidth="1"/>
    <col min="15115" max="15115" width="10.85546875" style="98" customWidth="1"/>
    <col min="15116" max="15116" width="24" style="98" bestFit="1" customWidth="1"/>
    <col min="15117" max="15117" width="15.28515625" style="98" customWidth="1"/>
    <col min="15118" max="15118" width="13.5703125" style="98" customWidth="1"/>
    <col min="15119" max="15119" width="15.85546875" style="98" customWidth="1"/>
    <col min="15120" max="15120" width="20.5703125" style="98" customWidth="1"/>
    <col min="15121" max="15121" width="19.42578125" style="98" customWidth="1"/>
    <col min="15122" max="15122" width="14.7109375" style="98" customWidth="1"/>
    <col min="15123" max="15123" width="30.140625" style="98" customWidth="1"/>
    <col min="15124" max="15124" width="15" style="98" customWidth="1"/>
    <col min="15125" max="15125" width="11.42578125" style="98" customWidth="1"/>
    <col min="15126" max="15126" width="15" style="98" customWidth="1"/>
    <col min="15127" max="15127" width="10.85546875" style="98" customWidth="1"/>
    <col min="15128" max="15128" width="16.140625" style="98" customWidth="1"/>
    <col min="15129" max="15129" width="15" style="98" customWidth="1"/>
    <col min="15130" max="15130" width="14.28515625" style="98" customWidth="1"/>
    <col min="15131" max="15131" width="16.42578125" style="98" customWidth="1"/>
    <col min="15132" max="15132" width="9" style="98" bestFit="1" customWidth="1"/>
    <col min="15133" max="15133" width="17.140625" style="98" customWidth="1"/>
    <col min="15134" max="15134" width="15.5703125" style="98" customWidth="1"/>
    <col min="15135" max="15135" width="11.28515625" style="98" bestFit="1" customWidth="1"/>
    <col min="15136" max="15136" width="21.140625" style="98" bestFit="1" customWidth="1"/>
    <col min="15137" max="15137" width="9.140625" style="98" customWidth="1"/>
    <col min="15138" max="15138" width="16.140625" style="98" bestFit="1" customWidth="1"/>
    <col min="15139" max="15139" width="13.28515625" style="98" bestFit="1" customWidth="1"/>
    <col min="15140" max="15140" width="25.5703125" style="98" customWidth="1"/>
    <col min="15141" max="15141" width="17.140625" style="98" customWidth="1"/>
    <col min="15142" max="15142" width="12" style="98" customWidth="1"/>
    <col min="15143" max="15143" width="19" style="98" customWidth="1"/>
    <col min="15144" max="15144" width="9" style="98" bestFit="1" customWidth="1"/>
    <col min="15145" max="15145" width="20.7109375" style="98" customWidth="1"/>
    <col min="15146" max="15146" width="15" style="98" customWidth="1"/>
    <col min="15147" max="15147" width="13.42578125" style="98" customWidth="1"/>
    <col min="15148" max="15148" width="19.7109375" style="98" customWidth="1"/>
    <col min="15149" max="15149" width="9" style="98" bestFit="1" customWidth="1"/>
    <col min="15150" max="15150" width="16.140625" style="98" customWidth="1"/>
    <col min="15151" max="15151" width="14" style="98" bestFit="1" customWidth="1"/>
    <col min="15152" max="15152" width="14.140625" style="98" bestFit="1" customWidth="1"/>
    <col min="15153" max="15153" width="21.140625" style="98" bestFit="1" customWidth="1"/>
    <col min="15154" max="15154" width="9" style="98" bestFit="1" customWidth="1"/>
    <col min="15155" max="15155" width="16.140625" style="98" bestFit="1" customWidth="1"/>
    <col min="15156" max="15156" width="13.42578125" style="98" bestFit="1" customWidth="1"/>
    <col min="15157" max="15157" width="22.42578125" style="98" customWidth="1"/>
    <col min="15158" max="15158" width="16.5703125" style="98" customWidth="1"/>
    <col min="15159" max="15159" width="15" style="98" customWidth="1"/>
    <col min="15160" max="15160" width="16.28515625" style="98" customWidth="1"/>
    <col min="15161" max="15161" width="9.5703125" style="98" customWidth="1"/>
    <col min="15162" max="15162" width="15.7109375" style="98" customWidth="1"/>
    <col min="15163" max="15163" width="14.140625" style="98" bestFit="1" customWidth="1"/>
    <col min="15164" max="15164" width="12.7109375" style="98" customWidth="1"/>
    <col min="15165" max="15165" width="23.85546875" style="98" customWidth="1"/>
    <col min="15166" max="15166" width="9.28515625" style="98" bestFit="1" customWidth="1"/>
    <col min="15167" max="15167" width="17.140625" style="98" customWidth="1"/>
    <col min="15168" max="15168" width="16.140625" style="98" customWidth="1"/>
    <col min="15169" max="15169" width="12.7109375" style="98" customWidth="1"/>
    <col min="15170" max="15170" width="23.85546875" style="98" customWidth="1"/>
    <col min="15171" max="15171" width="12.7109375" style="98" customWidth="1"/>
    <col min="15172" max="15172" width="17.140625" style="98" customWidth="1"/>
    <col min="15173" max="15173" width="16.140625" style="98" customWidth="1"/>
    <col min="15174" max="15360" width="9.140625" style="98"/>
    <col min="15361" max="15361" width="1.28515625" style="98" customWidth="1"/>
    <col min="15362" max="15362" width="26.85546875" style="98" customWidth="1"/>
    <col min="15363" max="15367" width="0" style="98" hidden="1" customWidth="1"/>
    <col min="15368" max="15368" width="15.85546875" style="98" customWidth="1"/>
    <col min="15369" max="15369" width="12.85546875" style="98" customWidth="1"/>
    <col min="15370" max="15370" width="19.85546875" style="98" bestFit="1" customWidth="1"/>
    <col min="15371" max="15371" width="10.85546875" style="98" customWidth="1"/>
    <col min="15372" max="15372" width="24" style="98" bestFit="1" customWidth="1"/>
    <col min="15373" max="15373" width="15.28515625" style="98" customWidth="1"/>
    <col min="15374" max="15374" width="13.5703125" style="98" customWidth="1"/>
    <col min="15375" max="15375" width="15.85546875" style="98" customWidth="1"/>
    <col min="15376" max="15376" width="20.5703125" style="98" customWidth="1"/>
    <col min="15377" max="15377" width="19.42578125" style="98" customWidth="1"/>
    <col min="15378" max="15378" width="14.7109375" style="98" customWidth="1"/>
    <col min="15379" max="15379" width="30.140625" style="98" customWidth="1"/>
    <col min="15380" max="15380" width="15" style="98" customWidth="1"/>
    <col min="15381" max="15381" width="11.42578125" style="98" customWidth="1"/>
    <col min="15382" max="15382" width="15" style="98" customWidth="1"/>
    <col min="15383" max="15383" width="10.85546875" style="98" customWidth="1"/>
    <col min="15384" max="15384" width="16.140625" style="98" customWidth="1"/>
    <col min="15385" max="15385" width="15" style="98" customWidth="1"/>
    <col min="15386" max="15386" width="14.28515625" style="98" customWidth="1"/>
    <col min="15387" max="15387" width="16.42578125" style="98" customWidth="1"/>
    <col min="15388" max="15388" width="9" style="98" bestFit="1" customWidth="1"/>
    <col min="15389" max="15389" width="17.140625" style="98" customWidth="1"/>
    <col min="15390" max="15390" width="15.5703125" style="98" customWidth="1"/>
    <col min="15391" max="15391" width="11.28515625" style="98" bestFit="1" customWidth="1"/>
    <col min="15392" max="15392" width="21.140625" style="98" bestFit="1" customWidth="1"/>
    <col min="15393" max="15393" width="9.140625" style="98" customWidth="1"/>
    <col min="15394" max="15394" width="16.140625" style="98" bestFit="1" customWidth="1"/>
    <col min="15395" max="15395" width="13.28515625" style="98" bestFit="1" customWidth="1"/>
    <col min="15396" max="15396" width="25.5703125" style="98" customWidth="1"/>
    <col min="15397" max="15397" width="17.140625" style="98" customWidth="1"/>
    <col min="15398" max="15398" width="12" style="98" customWidth="1"/>
    <col min="15399" max="15399" width="19" style="98" customWidth="1"/>
    <col min="15400" max="15400" width="9" style="98" bestFit="1" customWidth="1"/>
    <col min="15401" max="15401" width="20.7109375" style="98" customWidth="1"/>
    <col min="15402" max="15402" width="15" style="98" customWidth="1"/>
    <col min="15403" max="15403" width="13.42578125" style="98" customWidth="1"/>
    <col min="15404" max="15404" width="19.7109375" style="98" customWidth="1"/>
    <col min="15405" max="15405" width="9" style="98" bestFit="1" customWidth="1"/>
    <col min="15406" max="15406" width="16.140625" style="98" customWidth="1"/>
    <col min="15407" max="15407" width="14" style="98" bestFit="1" customWidth="1"/>
    <col min="15408" max="15408" width="14.140625" style="98" bestFit="1" customWidth="1"/>
    <col min="15409" max="15409" width="21.140625" style="98" bestFit="1" customWidth="1"/>
    <col min="15410" max="15410" width="9" style="98" bestFit="1" customWidth="1"/>
    <col min="15411" max="15411" width="16.140625" style="98" bestFit="1" customWidth="1"/>
    <col min="15412" max="15412" width="13.42578125" style="98" bestFit="1" customWidth="1"/>
    <col min="15413" max="15413" width="22.42578125" style="98" customWidth="1"/>
    <col min="15414" max="15414" width="16.5703125" style="98" customWidth="1"/>
    <col min="15415" max="15415" width="15" style="98" customWidth="1"/>
    <col min="15416" max="15416" width="16.28515625" style="98" customWidth="1"/>
    <col min="15417" max="15417" width="9.5703125" style="98" customWidth="1"/>
    <col min="15418" max="15418" width="15.7109375" style="98" customWidth="1"/>
    <col min="15419" max="15419" width="14.140625" style="98" bestFit="1" customWidth="1"/>
    <col min="15420" max="15420" width="12.7109375" style="98" customWidth="1"/>
    <col min="15421" max="15421" width="23.85546875" style="98" customWidth="1"/>
    <col min="15422" max="15422" width="9.28515625" style="98" bestFit="1" customWidth="1"/>
    <col min="15423" max="15423" width="17.140625" style="98" customWidth="1"/>
    <col min="15424" max="15424" width="16.140625" style="98" customWidth="1"/>
    <col min="15425" max="15425" width="12.7109375" style="98" customWidth="1"/>
    <col min="15426" max="15426" width="23.85546875" style="98" customWidth="1"/>
    <col min="15427" max="15427" width="12.7109375" style="98" customWidth="1"/>
    <col min="15428" max="15428" width="17.140625" style="98" customWidth="1"/>
    <col min="15429" max="15429" width="16.140625" style="98" customWidth="1"/>
    <col min="15430" max="15616" width="9.140625" style="98"/>
    <col min="15617" max="15617" width="1.28515625" style="98" customWidth="1"/>
    <col min="15618" max="15618" width="26.85546875" style="98" customWidth="1"/>
    <col min="15619" max="15623" width="0" style="98" hidden="1" customWidth="1"/>
    <col min="15624" max="15624" width="15.85546875" style="98" customWidth="1"/>
    <col min="15625" max="15625" width="12.85546875" style="98" customWidth="1"/>
    <col min="15626" max="15626" width="19.85546875" style="98" bestFit="1" customWidth="1"/>
    <col min="15627" max="15627" width="10.85546875" style="98" customWidth="1"/>
    <col min="15628" max="15628" width="24" style="98" bestFit="1" customWidth="1"/>
    <col min="15629" max="15629" width="15.28515625" style="98" customWidth="1"/>
    <col min="15630" max="15630" width="13.5703125" style="98" customWidth="1"/>
    <col min="15631" max="15631" width="15.85546875" style="98" customWidth="1"/>
    <col min="15632" max="15632" width="20.5703125" style="98" customWidth="1"/>
    <col min="15633" max="15633" width="19.42578125" style="98" customWidth="1"/>
    <col min="15634" max="15634" width="14.7109375" style="98" customWidth="1"/>
    <col min="15635" max="15635" width="30.140625" style="98" customWidth="1"/>
    <col min="15636" max="15636" width="15" style="98" customWidth="1"/>
    <col min="15637" max="15637" width="11.42578125" style="98" customWidth="1"/>
    <col min="15638" max="15638" width="15" style="98" customWidth="1"/>
    <col min="15639" max="15639" width="10.85546875" style="98" customWidth="1"/>
    <col min="15640" max="15640" width="16.140625" style="98" customWidth="1"/>
    <col min="15641" max="15641" width="15" style="98" customWidth="1"/>
    <col min="15642" max="15642" width="14.28515625" style="98" customWidth="1"/>
    <col min="15643" max="15643" width="16.42578125" style="98" customWidth="1"/>
    <col min="15644" max="15644" width="9" style="98" bestFit="1" customWidth="1"/>
    <col min="15645" max="15645" width="17.140625" style="98" customWidth="1"/>
    <col min="15646" max="15646" width="15.5703125" style="98" customWidth="1"/>
    <col min="15647" max="15647" width="11.28515625" style="98" bestFit="1" customWidth="1"/>
    <col min="15648" max="15648" width="21.140625" style="98" bestFit="1" customWidth="1"/>
    <col min="15649" max="15649" width="9.140625" style="98" customWidth="1"/>
    <col min="15650" max="15650" width="16.140625" style="98" bestFit="1" customWidth="1"/>
    <col min="15651" max="15651" width="13.28515625" style="98" bestFit="1" customWidth="1"/>
    <col min="15652" max="15652" width="25.5703125" style="98" customWidth="1"/>
    <col min="15653" max="15653" width="17.140625" style="98" customWidth="1"/>
    <col min="15654" max="15654" width="12" style="98" customWidth="1"/>
    <col min="15655" max="15655" width="19" style="98" customWidth="1"/>
    <col min="15656" max="15656" width="9" style="98" bestFit="1" customWidth="1"/>
    <col min="15657" max="15657" width="20.7109375" style="98" customWidth="1"/>
    <col min="15658" max="15658" width="15" style="98" customWidth="1"/>
    <col min="15659" max="15659" width="13.42578125" style="98" customWidth="1"/>
    <col min="15660" max="15660" width="19.7109375" style="98" customWidth="1"/>
    <col min="15661" max="15661" width="9" style="98" bestFit="1" customWidth="1"/>
    <col min="15662" max="15662" width="16.140625" style="98" customWidth="1"/>
    <col min="15663" max="15663" width="14" style="98" bestFit="1" customWidth="1"/>
    <col min="15664" max="15664" width="14.140625" style="98" bestFit="1" customWidth="1"/>
    <col min="15665" max="15665" width="21.140625" style="98" bestFit="1" customWidth="1"/>
    <col min="15666" max="15666" width="9" style="98" bestFit="1" customWidth="1"/>
    <col min="15667" max="15667" width="16.140625" style="98" bestFit="1" customWidth="1"/>
    <col min="15668" max="15668" width="13.42578125" style="98" bestFit="1" customWidth="1"/>
    <col min="15669" max="15669" width="22.42578125" style="98" customWidth="1"/>
    <col min="15670" max="15670" width="16.5703125" style="98" customWidth="1"/>
    <col min="15671" max="15671" width="15" style="98" customWidth="1"/>
    <col min="15672" max="15672" width="16.28515625" style="98" customWidth="1"/>
    <col min="15673" max="15673" width="9.5703125" style="98" customWidth="1"/>
    <col min="15674" max="15674" width="15.7109375" style="98" customWidth="1"/>
    <col min="15675" max="15675" width="14.140625" style="98" bestFit="1" customWidth="1"/>
    <col min="15676" max="15676" width="12.7109375" style="98" customWidth="1"/>
    <col min="15677" max="15677" width="23.85546875" style="98" customWidth="1"/>
    <col min="15678" max="15678" width="9.28515625" style="98" bestFit="1" customWidth="1"/>
    <col min="15679" max="15679" width="17.140625" style="98" customWidth="1"/>
    <col min="15680" max="15680" width="16.140625" style="98" customWidth="1"/>
    <col min="15681" max="15681" width="12.7109375" style="98" customWidth="1"/>
    <col min="15682" max="15682" width="23.85546875" style="98" customWidth="1"/>
    <col min="15683" max="15683" width="12.7109375" style="98" customWidth="1"/>
    <col min="15684" max="15684" width="17.140625" style="98" customWidth="1"/>
    <col min="15685" max="15685" width="16.140625" style="98" customWidth="1"/>
    <col min="15686" max="15872" width="9.140625" style="98"/>
    <col min="15873" max="15873" width="1.28515625" style="98" customWidth="1"/>
    <col min="15874" max="15874" width="26.85546875" style="98" customWidth="1"/>
    <col min="15875" max="15879" width="0" style="98" hidden="1" customWidth="1"/>
    <col min="15880" max="15880" width="15.85546875" style="98" customWidth="1"/>
    <col min="15881" max="15881" width="12.85546875" style="98" customWidth="1"/>
    <col min="15882" max="15882" width="19.85546875" style="98" bestFit="1" customWidth="1"/>
    <col min="15883" max="15883" width="10.85546875" style="98" customWidth="1"/>
    <col min="15884" max="15884" width="24" style="98" bestFit="1" customWidth="1"/>
    <col min="15885" max="15885" width="15.28515625" style="98" customWidth="1"/>
    <col min="15886" max="15886" width="13.5703125" style="98" customWidth="1"/>
    <col min="15887" max="15887" width="15.85546875" style="98" customWidth="1"/>
    <col min="15888" max="15888" width="20.5703125" style="98" customWidth="1"/>
    <col min="15889" max="15889" width="19.42578125" style="98" customWidth="1"/>
    <col min="15890" max="15890" width="14.7109375" style="98" customWidth="1"/>
    <col min="15891" max="15891" width="30.140625" style="98" customWidth="1"/>
    <col min="15892" max="15892" width="15" style="98" customWidth="1"/>
    <col min="15893" max="15893" width="11.42578125" style="98" customWidth="1"/>
    <col min="15894" max="15894" width="15" style="98" customWidth="1"/>
    <col min="15895" max="15895" width="10.85546875" style="98" customWidth="1"/>
    <col min="15896" max="15896" width="16.140625" style="98" customWidth="1"/>
    <col min="15897" max="15897" width="15" style="98" customWidth="1"/>
    <col min="15898" max="15898" width="14.28515625" style="98" customWidth="1"/>
    <col min="15899" max="15899" width="16.42578125" style="98" customWidth="1"/>
    <col min="15900" max="15900" width="9" style="98" bestFit="1" customWidth="1"/>
    <col min="15901" max="15901" width="17.140625" style="98" customWidth="1"/>
    <col min="15902" max="15902" width="15.5703125" style="98" customWidth="1"/>
    <col min="15903" max="15903" width="11.28515625" style="98" bestFit="1" customWidth="1"/>
    <col min="15904" max="15904" width="21.140625" style="98" bestFit="1" customWidth="1"/>
    <col min="15905" max="15905" width="9.140625" style="98" customWidth="1"/>
    <col min="15906" max="15906" width="16.140625" style="98" bestFit="1" customWidth="1"/>
    <col min="15907" max="15907" width="13.28515625" style="98" bestFit="1" customWidth="1"/>
    <col min="15908" max="15908" width="25.5703125" style="98" customWidth="1"/>
    <col min="15909" max="15909" width="17.140625" style="98" customWidth="1"/>
    <col min="15910" max="15910" width="12" style="98" customWidth="1"/>
    <col min="15911" max="15911" width="19" style="98" customWidth="1"/>
    <col min="15912" max="15912" width="9" style="98" bestFit="1" customWidth="1"/>
    <col min="15913" max="15913" width="20.7109375" style="98" customWidth="1"/>
    <col min="15914" max="15914" width="15" style="98" customWidth="1"/>
    <col min="15915" max="15915" width="13.42578125" style="98" customWidth="1"/>
    <col min="15916" max="15916" width="19.7109375" style="98" customWidth="1"/>
    <col min="15917" max="15917" width="9" style="98" bestFit="1" customWidth="1"/>
    <col min="15918" max="15918" width="16.140625" style="98" customWidth="1"/>
    <col min="15919" max="15919" width="14" style="98" bestFit="1" customWidth="1"/>
    <col min="15920" max="15920" width="14.140625" style="98" bestFit="1" customWidth="1"/>
    <col min="15921" max="15921" width="21.140625" style="98" bestFit="1" customWidth="1"/>
    <col min="15922" max="15922" width="9" style="98" bestFit="1" customWidth="1"/>
    <col min="15923" max="15923" width="16.140625" style="98" bestFit="1" customWidth="1"/>
    <col min="15924" max="15924" width="13.42578125" style="98" bestFit="1" customWidth="1"/>
    <col min="15925" max="15925" width="22.42578125" style="98" customWidth="1"/>
    <col min="15926" max="15926" width="16.5703125" style="98" customWidth="1"/>
    <col min="15927" max="15927" width="15" style="98" customWidth="1"/>
    <col min="15928" max="15928" width="16.28515625" style="98" customWidth="1"/>
    <col min="15929" max="15929" width="9.5703125" style="98" customWidth="1"/>
    <col min="15930" max="15930" width="15.7109375" style="98" customWidth="1"/>
    <col min="15931" max="15931" width="14.140625" style="98" bestFit="1" customWidth="1"/>
    <col min="15932" max="15932" width="12.7109375" style="98" customWidth="1"/>
    <col min="15933" max="15933" width="23.85546875" style="98" customWidth="1"/>
    <col min="15934" max="15934" width="9.28515625" style="98" bestFit="1" customWidth="1"/>
    <col min="15935" max="15935" width="17.140625" style="98" customWidth="1"/>
    <col min="15936" max="15936" width="16.140625" style="98" customWidth="1"/>
    <col min="15937" max="15937" width="12.7109375" style="98" customWidth="1"/>
    <col min="15938" max="15938" width="23.85546875" style="98" customWidth="1"/>
    <col min="15939" max="15939" width="12.7109375" style="98" customWidth="1"/>
    <col min="15940" max="15940" width="17.140625" style="98" customWidth="1"/>
    <col min="15941" max="15941" width="16.140625" style="98" customWidth="1"/>
    <col min="15942" max="16128" width="9.140625" style="98"/>
    <col min="16129" max="16129" width="1.28515625" style="98" customWidth="1"/>
    <col min="16130" max="16130" width="26.85546875" style="98" customWidth="1"/>
    <col min="16131" max="16135" width="0" style="98" hidden="1" customWidth="1"/>
    <col min="16136" max="16136" width="15.85546875" style="98" customWidth="1"/>
    <col min="16137" max="16137" width="12.85546875" style="98" customWidth="1"/>
    <col min="16138" max="16138" width="19.85546875" style="98" bestFit="1" customWidth="1"/>
    <col min="16139" max="16139" width="10.85546875" style="98" customWidth="1"/>
    <col min="16140" max="16140" width="24" style="98" bestFit="1" customWidth="1"/>
    <col min="16141" max="16141" width="15.28515625" style="98" customWidth="1"/>
    <col min="16142" max="16142" width="13.5703125" style="98" customWidth="1"/>
    <col min="16143" max="16143" width="15.85546875" style="98" customWidth="1"/>
    <col min="16144" max="16144" width="20.5703125" style="98" customWidth="1"/>
    <col min="16145" max="16145" width="19.42578125" style="98" customWidth="1"/>
    <col min="16146" max="16146" width="14.7109375" style="98" customWidth="1"/>
    <col min="16147" max="16147" width="30.140625" style="98" customWidth="1"/>
    <col min="16148" max="16148" width="15" style="98" customWidth="1"/>
    <col min="16149" max="16149" width="11.42578125" style="98" customWidth="1"/>
    <col min="16150" max="16150" width="15" style="98" customWidth="1"/>
    <col min="16151" max="16151" width="10.85546875" style="98" customWidth="1"/>
    <col min="16152" max="16152" width="16.140625" style="98" customWidth="1"/>
    <col min="16153" max="16153" width="15" style="98" customWidth="1"/>
    <col min="16154" max="16154" width="14.28515625" style="98" customWidth="1"/>
    <col min="16155" max="16155" width="16.42578125" style="98" customWidth="1"/>
    <col min="16156" max="16156" width="9" style="98" bestFit="1" customWidth="1"/>
    <col min="16157" max="16157" width="17.140625" style="98" customWidth="1"/>
    <col min="16158" max="16158" width="15.5703125" style="98" customWidth="1"/>
    <col min="16159" max="16159" width="11.28515625" style="98" bestFit="1" customWidth="1"/>
    <col min="16160" max="16160" width="21.140625" style="98" bestFit="1" customWidth="1"/>
    <col min="16161" max="16161" width="9.140625" style="98" customWidth="1"/>
    <col min="16162" max="16162" width="16.140625" style="98" bestFit="1" customWidth="1"/>
    <col min="16163" max="16163" width="13.28515625" style="98" bestFit="1" customWidth="1"/>
    <col min="16164" max="16164" width="25.5703125" style="98" customWidth="1"/>
    <col min="16165" max="16165" width="17.140625" style="98" customWidth="1"/>
    <col min="16166" max="16166" width="12" style="98" customWidth="1"/>
    <col min="16167" max="16167" width="19" style="98" customWidth="1"/>
    <col min="16168" max="16168" width="9" style="98" bestFit="1" customWidth="1"/>
    <col min="16169" max="16169" width="20.7109375" style="98" customWidth="1"/>
    <col min="16170" max="16170" width="15" style="98" customWidth="1"/>
    <col min="16171" max="16171" width="13.42578125" style="98" customWidth="1"/>
    <col min="16172" max="16172" width="19.7109375" style="98" customWidth="1"/>
    <col min="16173" max="16173" width="9" style="98" bestFit="1" customWidth="1"/>
    <col min="16174" max="16174" width="16.140625" style="98" customWidth="1"/>
    <col min="16175" max="16175" width="14" style="98" bestFit="1" customWidth="1"/>
    <col min="16176" max="16176" width="14.140625" style="98" bestFit="1" customWidth="1"/>
    <col min="16177" max="16177" width="21.140625" style="98" bestFit="1" customWidth="1"/>
    <col min="16178" max="16178" width="9" style="98" bestFit="1" customWidth="1"/>
    <col min="16179" max="16179" width="16.140625" style="98" bestFit="1" customWidth="1"/>
    <col min="16180" max="16180" width="13.42578125" style="98" bestFit="1" customWidth="1"/>
    <col min="16181" max="16181" width="22.42578125" style="98" customWidth="1"/>
    <col min="16182" max="16182" width="16.5703125" style="98" customWidth="1"/>
    <col min="16183" max="16183" width="15" style="98" customWidth="1"/>
    <col min="16184" max="16184" width="16.28515625" style="98" customWidth="1"/>
    <col min="16185" max="16185" width="9.5703125" style="98" customWidth="1"/>
    <col min="16186" max="16186" width="15.7109375" style="98" customWidth="1"/>
    <col min="16187" max="16187" width="14.140625" style="98" bestFit="1" customWidth="1"/>
    <col min="16188" max="16188" width="12.7109375" style="98" customWidth="1"/>
    <col min="16189" max="16189" width="23.85546875" style="98" customWidth="1"/>
    <col min="16190" max="16190" width="9.28515625" style="98" bestFit="1" customWidth="1"/>
    <col min="16191" max="16191" width="17.140625" style="98" customWidth="1"/>
    <col min="16192" max="16192" width="16.140625" style="98" customWidth="1"/>
    <col min="16193" max="16193" width="12.7109375" style="98" customWidth="1"/>
    <col min="16194" max="16194" width="23.85546875" style="98" customWidth="1"/>
    <col min="16195" max="16195" width="12.7109375" style="98" customWidth="1"/>
    <col min="16196" max="16196" width="17.140625" style="98" customWidth="1"/>
    <col min="16197" max="16197" width="16.140625" style="98" customWidth="1"/>
    <col min="16198" max="16384" width="9.140625" style="98"/>
  </cols>
  <sheetData>
    <row r="1" spans="2:69" ht="15.75" thickBot="1" x14ac:dyDescent="0.3">
      <c r="B1" s="92" t="s">
        <v>1006</v>
      </c>
      <c r="C1" s="93"/>
      <c r="D1" s="94"/>
      <c r="H1" s="95"/>
      <c r="I1" s="94"/>
      <c r="M1" s="92" t="s">
        <v>1006</v>
      </c>
      <c r="N1" s="94"/>
      <c r="R1" s="95"/>
      <c r="S1" s="92" t="s">
        <v>1006</v>
      </c>
      <c r="T1" s="96"/>
      <c r="U1" s="94"/>
      <c r="Y1" s="95"/>
      <c r="Z1" s="94"/>
      <c r="AD1" s="95"/>
      <c r="AE1" s="94"/>
      <c r="AI1" s="95"/>
      <c r="AJ1" s="92" t="s">
        <v>1006</v>
      </c>
      <c r="AK1" s="97"/>
      <c r="AL1" s="94"/>
      <c r="AP1" s="95"/>
      <c r="AQ1" s="98"/>
      <c r="BA1" s="92" t="s">
        <v>1006</v>
      </c>
    </row>
    <row r="2" spans="2:69" ht="8.25" customHeight="1" thickBot="1" x14ac:dyDescent="0.3">
      <c r="C2" s="99"/>
      <c r="D2" s="94"/>
      <c r="H2" s="95"/>
      <c r="I2" s="94"/>
      <c r="M2" s="95"/>
      <c r="N2" s="94"/>
      <c r="R2" s="95"/>
      <c r="S2" s="98"/>
      <c r="T2" s="100"/>
      <c r="U2" s="94"/>
      <c r="Y2" s="95"/>
      <c r="Z2" s="94"/>
      <c r="AD2" s="95"/>
      <c r="AE2" s="94"/>
      <c r="AI2" s="95"/>
      <c r="AJ2" s="98"/>
      <c r="AK2" s="101"/>
      <c r="AL2" s="94"/>
      <c r="AP2" s="95"/>
      <c r="AQ2" s="98"/>
    </row>
    <row r="3" spans="2:69" s="110" customFormat="1" x14ac:dyDescent="0.25">
      <c r="B3" s="102" t="s">
        <v>1007</v>
      </c>
      <c r="C3" s="103" t="s">
        <v>10</v>
      </c>
      <c r="D3" s="104" t="s">
        <v>1008</v>
      </c>
      <c r="E3" s="105"/>
      <c r="F3" s="106" t="s">
        <v>1009</v>
      </c>
      <c r="G3" s="105"/>
      <c r="H3" s="107" t="s">
        <v>10</v>
      </c>
      <c r="I3" s="104" t="s">
        <v>1008</v>
      </c>
      <c r="J3" s="105"/>
      <c r="K3" s="106" t="s">
        <v>1009</v>
      </c>
      <c r="L3" s="105"/>
      <c r="M3" s="107" t="s">
        <v>10</v>
      </c>
      <c r="N3" s="104" t="s">
        <v>1008</v>
      </c>
      <c r="O3" s="105"/>
      <c r="P3" s="106" t="s">
        <v>1009</v>
      </c>
      <c r="Q3" s="105"/>
      <c r="R3" s="107" t="s">
        <v>10</v>
      </c>
      <c r="S3" s="102" t="s">
        <v>1007</v>
      </c>
      <c r="T3" s="108"/>
      <c r="U3" s="104" t="s">
        <v>1008</v>
      </c>
      <c r="V3" s="105"/>
      <c r="W3" s="106" t="s">
        <v>1009</v>
      </c>
      <c r="X3" s="105"/>
      <c r="Y3" s="107" t="s">
        <v>10</v>
      </c>
      <c r="Z3" s="104" t="s">
        <v>1008</v>
      </c>
      <c r="AA3" s="105"/>
      <c r="AB3" s="106" t="s">
        <v>1009</v>
      </c>
      <c r="AC3" s="105"/>
      <c r="AD3" s="107" t="s">
        <v>10</v>
      </c>
      <c r="AE3" s="104" t="s">
        <v>1008</v>
      </c>
      <c r="AF3" s="105"/>
      <c r="AG3" s="106" t="s">
        <v>1009</v>
      </c>
      <c r="AH3" s="105"/>
      <c r="AI3" s="107" t="s">
        <v>10</v>
      </c>
      <c r="AJ3" s="102" t="s">
        <v>1007</v>
      </c>
      <c r="AK3" s="109" t="s">
        <v>10</v>
      </c>
      <c r="AL3" s="104" t="s">
        <v>1008</v>
      </c>
      <c r="AM3" s="105"/>
      <c r="AN3" s="106" t="s">
        <v>1009</v>
      </c>
      <c r="AO3" s="105"/>
      <c r="AP3" s="107" t="s">
        <v>10</v>
      </c>
      <c r="AQ3" s="104" t="s">
        <v>1008</v>
      </c>
      <c r="AR3" s="105"/>
      <c r="AS3" s="106" t="s">
        <v>1009</v>
      </c>
      <c r="AT3" s="105"/>
      <c r="AU3" s="107" t="s">
        <v>10</v>
      </c>
      <c r="AV3" s="104" t="s">
        <v>1008</v>
      </c>
      <c r="AW3" s="105"/>
      <c r="AX3" s="106" t="s">
        <v>1009</v>
      </c>
      <c r="AY3" s="105"/>
      <c r="AZ3" s="107" t="s">
        <v>10</v>
      </c>
      <c r="BA3" s="102" t="s">
        <v>1007</v>
      </c>
      <c r="BB3" s="109" t="s">
        <v>10</v>
      </c>
      <c r="BC3" s="104" t="s">
        <v>1008</v>
      </c>
      <c r="BD3" s="105"/>
      <c r="BE3" s="106" t="s">
        <v>1009</v>
      </c>
      <c r="BF3" s="105"/>
      <c r="BG3" s="107" t="s">
        <v>10</v>
      </c>
      <c r="BH3" s="104" t="s">
        <v>1008</v>
      </c>
      <c r="BI3" s="105"/>
      <c r="BJ3" s="106" t="s">
        <v>1009</v>
      </c>
      <c r="BK3" s="105"/>
      <c r="BL3" s="107" t="s">
        <v>10</v>
      </c>
      <c r="BM3" s="104" t="s">
        <v>1008</v>
      </c>
      <c r="BN3" s="105"/>
      <c r="BO3" s="106" t="s">
        <v>1009</v>
      </c>
      <c r="BP3" s="105"/>
      <c r="BQ3" s="107" t="s">
        <v>10</v>
      </c>
    </row>
    <row r="4" spans="2:69" s="110" customFormat="1" ht="15.75" thickBot="1" x14ac:dyDescent="0.3">
      <c r="B4" s="111"/>
      <c r="C4" s="112" t="s">
        <v>1010</v>
      </c>
      <c r="D4" s="113"/>
      <c r="E4" s="114"/>
      <c r="F4" s="115"/>
      <c r="G4" s="114"/>
      <c r="H4" s="116" t="s">
        <v>1011</v>
      </c>
      <c r="I4" s="113"/>
      <c r="J4" s="114"/>
      <c r="K4" s="115"/>
      <c r="L4" s="114"/>
      <c r="M4" s="116" t="s">
        <v>1012</v>
      </c>
      <c r="N4" s="113"/>
      <c r="O4" s="114"/>
      <c r="P4" s="115"/>
      <c r="Q4" s="114"/>
      <c r="R4" s="116" t="s">
        <v>1013</v>
      </c>
      <c r="S4" s="111"/>
      <c r="T4" s="117"/>
      <c r="U4" s="113"/>
      <c r="V4" s="114"/>
      <c r="W4" s="115"/>
      <c r="X4" s="114"/>
      <c r="Y4" s="116" t="s">
        <v>1014</v>
      </c>
      <c r="Z4" s="113"/>
      <c r="AA4" s="114"/>
      <c r="AB4" s="115"/>
      <c r="AC4" s="114"/>
      <c r="AD4" s="116" t="s">
        <v>1015</v>
      </c>
      <c r="AE4" s="113"/>
      <c r="AF4" s="114"/>
      <c r="AG4" s="115"/>
      <c r="AH4" s="114"/>
      <c r="AI4" s="116" t="s">
        <v>1016</v>
      </c>
      <c r="AJ4" s="111"/>
      <c r="AK4" s="118" t="s">
        <v>1016</v>
      </c>
      <c r="AL4" s="113"/>
      <c r="AM4" s="114"/>
      <c r="AN4" s="115"/>
      <c r="AO4" s="114"/>
      <c r="AP4" s="116" t="s">
        <v>1017</v>
      </c>
      <c r="AQ4" s="113"/>
      <c r="AR4" s="114"/>
      <c r="AS4" s="115"/>
      <c r="AT4" s="114"/>
      <c r="AU4" s="116" t="s">
        <v>1018</v>
      </c>
      <c r="AV4" s="113"/>
      <c r="AW4" s="114"/>
      <c r="AX4" s="115"/>
      <c r="AY4" s="114"/>
      <c r="AZ4" s="116" t="s">
        <v>1019</v>
      </c>
      <c r="BA4" s="111"/>
      <c r="BB4" s="119" t="s">
        <v>1019</v>
      </c>
      <c r="BC4" s="113"/>
      <c r="BD4" s="114"/>
      <c r="BE4" s="115"/>
      <c r="BF4" s="114"/>
      <c r="BG4" s="116" t="s">
        <v>1020</v>
      </c>
      <c r="BH4" s="113"/>
      <c r="BI4" s="114"/>
      <c r="BJ4" s="115"/>
      <c r="BK4" s="114"/>
      <c r="BL4" s="116" t="s">
        <v>1021</v>
      </c>
      <c r="BM4" s="113"/>
      <c r="BN4" s="114"/>
      <c r="BO4" s="115"/>
      <c r="BP4" s="114"/>
      <c r="BQ4" s="116" t="s">
        <v>1021</v>
      </c>
    </row>
    <row r="5" spans="2:69" s="131" customFormat="1" ht="8.25" customHeight="1" x14ac:dyDescent="0.25">
      <c r="B5" s="120"/>
      <c r="C5" s="121"/>
      <c r="D5" s="122"/>
      <c r="E5" s="123"/>
      <c r="F5" s="124"/>
      <c r="G5" s="123"/>
      <c r="H5" s="125"/>
      <c r="I5" s="122"/>
      <c r="J5" s="123"/>
      <c r="K5" s="124"/>
      <c r="L5" s="123"/>
      <c r="M5" s="125"/>
      <c r="N5" s="126"/>
      <c r="O5" s="127"/>
      <c r="P5" s="128"/>
      <c r="Q5" s="127"/>
      <c r="R5" s="125"/>
      <c r="S5" s="120"/>
      <c r="T5" s="129"/>
      <c r="U5" s="126"/>
      <c r="V5" s="127"/>
      <c r="W5" s="128"/>
      <c r="X5" s="127"/>
      <c r="Y5" s="125"/>
      <c r="Z5" s="126"/>
      <c r="AA5" s="127"/>
      <c r="AB5" s="128"/>
      <c r="AC5" s="127"/>
      <c r="AD5" s="125"/>
      <c r="AE5" s="126"/>
      <c r="AF5" s="127"/>
      <c r="AG5" s="128"/>
      <c r="AH5" s="127"/>
      <c r="AI5" s="125"/>
      <c r="AJ5" s="120"/>
      <c r="AK5" s="130"/>
      <c r="AL5" s="126"/>
      <c r="AM5" s="127"/>
      <c r="AN5" s="128"/>
      <c r="AO5" s="127"/>
      <c r="AP5" s="125"/>
      <c r="AQ5" s="126"/>
      <c r="AR5" s="127"/>
      <c r="AS5" s="128"/>
      <c r="AT5" s="127"/>
      <c r="AU5" s="125"/>
      <c r="AV5" s="126"/>
      <c r="AW5" s="127"/>
      <c r="AX5" s="128"/>
      <c r="AY5" s="127"/>
      <c r="AZ5" s="125"/>
      <c r="BA5" s="120"/>
      <c r="BB5" s="130"/>
      <c r="BC5" s="126"/>
      <c r="BD5" s="127"/>
      <c r="BE5" s="128"/>
      <c r="BF5" s="127"/>
      <c r="BG5" s="125"/>
      <c r="BH5" s="126"/>
      <c r="BI5" s="127"/>
      <c r="BJ5" s="128"/>
      <c r="BK5" s="127"/>
      <c r="BL5" s="125"/>
      <c r="BM5" s="126"/>
      <c r="BN5" s="127"/>
      <c r="BO5" s="128"/>
      <c r="BP5" s="127"/>
      <c r="BQ5" s="125"/>
    </row>
    <row r="6" spans="2:69" s="131" customFormat="1" x14ac:dyDescent="0.25">
      <c r="B6" s="132" t="s">
        <v>1022</v>
      </c>
      <c r="C6" s="133">
        <v>1023070</v>
      </c>
      <c r="D6" s="122">
        <v>300000</v>
      </c>
      <c r="E6" s="123" t="s">
        <v>1023</v>
      </c>
      <c r="F6" s="124">
        <v>15000</v>
      </c>
      <c r="G6" s="123" t="s">
        <v>1024</v>
      </c>
      <c r="H6" s="125">
        <v>1271070</v>
      </c>
      <c r="I6" s="122">
        <v>10000</v>
      </c>
      <c r="J6" s="123"/>
      <c r="K6" s="124">
        <v>75000</v>
      </c>
      <c r="L6" s="123" t="s">
        <v>1024</v>
      </c>
      <c r="M6" s="125">
        <v>978570</v>
      </c>
      <c r="N6" s="134">
        <v>10000</v>
      </c>
      <c r="O6" s="135" t="s">
        <v>1025</v>
      </c>
      <c r="P6" s="220">
        <v>145000</v>
      </c>
      <c r="Q6" s="137" t="s">
        <v>1024</v>
      </c>
      <c r="R6" s="125">
        <f>M6+N11-P11</f>
        <v>726770</v>
      </c>
      <c r="S6" s="132" t="s">
        <v>1022</v>
      </c>
      <c r="T6" s="138">
        <f>R6</f>
        <v>726770</v>
      </c>
      <c r="U6" s="134">
        <v>10000</v>
      </c>
      <c r="V6" s="135" t="s">
        <v>1025</v>
      </c>
      <c r="W6" s="136">
        <v>130000</v>
      </c>
      <c r="X6" s="137" t="s">
        <v>1024</v>
      </c>
      <c r="Y6" s="125">
        <f>R6+U11-W11</f>
        <v>651770</v>
      </c>
      <c r="Z6" s="134">
        <v>10000</v>
      </c>
      <c r="AA6" s="135" t="s">
        <v>1025</v>
      </c>
      <c r="AB6" s="136">
        <v>70000</v>
      </c>
      <c r="AC6" s="137" t="s">
        <v>1024</v>
      </c>
      <c r="AD6" s="125">
        <f>Y6+Z11-AB11</f>
        <v>636770</v>
      </c>
      <c r="AE6" s="134">
        <v>10000</v>
      </c>
      <c r="AF6" s="135" t="s">
        <v>1025</v>
      </c>
      <c r="AG6" s="128"/>
      <c r="AH6" s="127"/>
      <c r="AI6" s="125">
        <f>AD6+AE11-AG11</f>
        <v>691770</v>
      </c>
      <c r="AJ6" s="132" t="s">
        <v>1022</v>
      </c>
      <c r="AK6" s="139">
        <f>AI6</f>
        <v>691770</v>
      </c>
      <c r="AL6" s="134">
        <v>10000</v>
      </c>
      <c r="AM6" s="135" t="s">
        <v>1026</v>
      </c>
      <c r="AN6" s="128"/>
      <c r="AO6" s="127"/>
      <c r="AP6" s="125">
        <f>AI6+AL11-AN11</f>
        <v>726770</v>
      </c>
      <c r="AQ6" s="134">
        <v>10000</v>
      </c>
      <c r="AR6" s="135" t="s">
        <v>1026</v>
      </c>
      <c r="AS6" s="128"/>
      <c r="AT6" s="127"/>
      <c r="AU6" s="125">
        <f>AP6+AQ11-AS11</f>
        <v>761770</v>
      </c>
      <c r="AV6" s="134">
        <v>10000</v>
      </c>
      <c r="AW6" s="135" t="s">
        <v>1026</v>
      </c>
      <c r="AX6" s="136">
        <v>25000</v>
      </c>
      <c r="AY6" s="137" t="s">
        <v>1024</v>
      </c>
      <c r="AZ6" s="125">
        <f>AU6+AV11-AX11</f>
        <v>771770</v>
      </c>
      <c r="BA6" s="132" t="s">
        <v>1022</v>
      </c>
      <c r="BB6" s="140">
        <f>AZ6</f>
        <v>771770</v>
      </c>
      <c r="BC6" s="134">
        <v>10000</v>
      </c>
      <c r="BD6" s="135" t="s">
        <v>1026</v>
      </c>
      <c r="BE6" s="128"/>
      <c r="BF6" s="127"/>
      <c r="BG6" s="125">
        <f>AZ6+BC11-BE11</f>
        <v>811770</v>
      </c>
      <c r="BH6" s="134">
        <v>10000</v>
      </c>
      <c r="BI6" s="135" t="s">
        <v>1026</v>
      </c>
      <c r="BJ6" s="126"/>
      <c r="BK6" s="127"/>
      <c r="BL6" s="125">
        <f>BG6+BH11-BJ11</f>
        <v>821770</v>
      </c>
      <c r="BM6" s="134">
        <v>10000</v>
      </c>
      <c r="BN6" s="135" t="s">
        <v>1026</v>
      </c>
      <c r="BO6" s="128"/>
      <c r="BP6" s="127"/>
      <c r="BQ6" s="125">
        <f>BL6+BM11-BO11</f>
        <v>831770</v>
      </c>
    </row>
    <row r="7" spans="2:69" s="131" customFormat="1" x14ac:dyDescent="0.25">
      <c r="B7" s="132"/>
      <c r="C7" s="133"/>
      <c r="D7" s="122"/>
      <c r="E7" s="123"/>
      <c r="F7" s="124"/>
      <c r="G7" s="123"/>
      <c r="H7" s="125"/>
      <c r="I7" s="122"/>
      <c r="J7" s="123"/>
      <c r="K7" s="141">
        <v>60000</v>
      </c>
      <c r="L7" s="123" t="s">
        <v>1027</v>
      </c>
      <c r="M7" s="125"/>
      <c r="N7" s="134">
        <v>20000</v>
      </c>
      <c r="O7" s="135" t="s">
        <v>1027</v>
      </c>
      <c r="P7" s="220">
        <v>140000</v>
      </c>
      <c r="Q7" s="135" t="s">
        <v>1028</v>
      </c>
      <c r="R7" s="125"/>
      <c r="S7" s="132"/>
      <c r="T7" s="138"/>
      <c r="U7" s="134">
        <v>20000</v>
      </c>
      <c r="V7" s="135" t="s">
        <v>1027</v>
      </c>
      <c r="W7" s="128"/>
      <c r="X7" s="127"/>
      <c r="Y7" s="125"/>
      <c r="Z7" s="134">
        <v>20000</v>
      </c>
      <c r="AA7" s="135" t="s">
        <v>1027</v>
      </c>
      <c r="AB7" s="128"/>
      <c r="AC7" s="127"/>
      <c r="AD7" s="125"/>
      <c r="AE7" s="142">
        <v>25000</v>
      </c>
      <c r="AF7" s="135" t="s">
        <v>1028</v>
      </c>
      <c r="AG7" s="128"/>
      <c r="AH7" s="127"/>
      <c r="AI7" s="125"/>
      <c r="AJ7" s="132"/>
      <c r="AK7" s="139"/>
      <c r="AL7" s="136">
        <v>25000</v>
      </c>
      <c r="AM7" s="137" t="s">
        <v>1028</v>
      </c>
      <c r="AN7" s="128"/>
      <c r="AO7" s="127"/>
      <c r="AP7" s="125"/>
      <c r="AQ7" s="136">
        <v>25000</v>
      </c>
      <c r="AR7" s="137" t="s">
        <v>1028</v>
      </c>
      <c r="AS7" s="128"/>
      <c r="AT7" s="127"/>
      <c r="AU7" s="125"/>
      <c r="AV7" s="136">
        <v>25000</v>
      </c>
      <c r="AW7" s="137" t="s">
        <v>1028</v>
      </c>
      <c r="AX7" s="128"/>
      <c r="AY7" s="127"/>
      <c r="AZ7" s="125"/>
      <c r="BA7" s="132"/>
      <c r="BB7" s="140"/>
      <c r="BC7" s="136">
        <v>30000</v>
      </c>
      <c r="BD7" s="137" t="s">
        <v>1028</v>
      </c>
      <c r="BE7" s="128"/>
      <c r="BF7" s="127"/>
      <c r="BG7" s="125"/>
      <c r="BH7" s="126"/>
      <c r="BI7" s="127"/>
      <c r="BJ7" s="128"/>
      <c r="BK7" s="127"/>
      <c r="BL7" s="125"/>
      <c r="BM7" s="126"/>
      <c r="BN7" s="127"/>
      <c r="BO7" s="128"/>
      <c r="BP7" s="127"/>
      <c r="BQ7" s="125"/>
    </row>
    <row r="8" spans="2:69" s="131" customFormat="1" x14ac:dyDescent="0.25">
      <c r="B8" s="132"/>
      <c r="C8" s="133"/>
      <c r="D8" s="122"/>
      <c r="E8" s="123"/>
      <c r="F8" s="124"/>
      <c r="G8" s="123"/>
      <c r="H8" s="125"/>
      <c r="I8" s="122"/>
      <c r="J8" s="123"/>
      <c r="K8" s="141">
        <v>100000</v>
      </c>
      <c r="L8" s="123" t="s">
        <v>1028</v>
      </c>
      <c r="M8" s="125"/>
      <c r="N8" s="134">
        <v>3200</v>
      </c>
      <c r="O8" s="135" t="s">
        <v>1029</v>
      </c>
      <c r="P8" s="128"/>
      <c r="Q8" s="127"/>
      <c r="R8" s="125"/>
      <c r="S8" s="132"/>
      <c r="T8" s="138"/>
      <c r="U8" s="142">
        <v>25000</v>
      </c>
      <c r="V8" s="135" t="s">
        <v>1028</v>
      </c>
      <c r="W8" s="128"/>
      <c r="X8" s="127"/>
      <c r="Y8" s="125"/>
      <c r="Z8" s="142">
        <v>25000</v>
      </c>
      <c r="AA8" s="135" t="s">
        <v>1028</v>
      </c>
      <c r="AB8" s="128"/>
      <c r="AC8" s="127"/>
      <c r="AD8" s="125"/>
      <c r="AE8" s="134">
        <v>20000</v>
      </c>
      <c r="AF8" s="135" t="s">
        <v>1027</v>
      </c>
      <c r="AG8" s="128"/>
      <c r="AH8" s="127"/>
      <c r="AI8" s="125"/>
      <c r="AJ8" s="132"/>
      <c r="AK8" s="139"/>
      <c r="AL8" s="126"/>
      <c r="AM8" s="127"/>
      <c r="AN8" s="128"/>
      <c r="AO8" s="127"/>
      <c r="AP8" s="125"/>
      <c r="AQ8" s="126"/>
      <c r="AR8" s="127"/>
      <c r="AS8" s="128"/>
      <c r="AT8" s="127"/>
      <c r="AU8" s="125"/>
      <c r="AV8" s="126"/>
      <c r="AW8" s="127"/>
      <c r="AX8" s="128"/>
      <c r="AY8" s="127"/>
      <c r="AZ8" s="125"/>
      <c r="BA8" s="132"/>
      <c r="BB8" s="140"/>
      <c r="BC8" s="126"/>
      <c r="BD8" s="127"/>
      <c r="BE8" s="128"/>
      <c r="BF8" s="127"/>
      <c r="BG8" s="125"/>
      <c r="BH8" s="126"/>
      <c r="BI8" s="127"/>
      <c r="BJ8" s="128"/>
      <c r="BK8" s="127"/>
      <c r="BL8" s="125"/>
      <c r="BM8" s="126"/>
      <c r="BN8" s="127"/>
      <c r="BO8" s="128"/>
      <c r="BP8" s="127"/>
      <c r="BQ8" s="125"/>
    </row>
    <row r="9" spans="2:69" s="131" customFormat="1" x14ac:dyDescent="0.25">
      <c r="B9" s="132"/>
      <c r="C9" s="133"/>
      <c r="D9" s="122"/>
      <c r="E9" s="123"/>
      <c r="F9" s="124"/>
      <c r="G9" s="123"/>
      <c r="H9" s="125"/>
      <c r="I9" s="122"/>
      <c r="J9" s="123"/>
      <c r="K9" s="124"/>
      <c r="L9" s="123"/>
      <c r="M9" s="125"/>
      <c r="N9" s="126"/>
      <c r="O9" s="127"/>
      <c r="P9" s="128"/>
      <c r="Q9" s="127"/>
      <c r="R9" s="125"/>
      <c r="S9" s="132"/>
      <c r="T9" s="138"/>
      <c r="U9" s="126"/>
      <c r="V9" s="127"/>
      <c r="W9" s="128"/>
      <c r="X9" s="127"/>
      <c r="Y9" s="125"/>
      <c r="Z9" s="126"/>
      <c r="AA9" s="127"/>
      <c r="AB9" s="128"/>
      <c r="AC9" s="127"/>
      <c r="AD9" s="125"/>
      <c r="AE9" s="126"/>
      <c r="AF9" s="127"/>
      <c r="AG9" s="128"/>
      <c r="AH9" s="127"/>
      <c r="AI9" s="125"/>
      <c r="AJ9" s="132"/>
      <c r="AK9" s="139"/>
      <c r="AL9" s="126"/>
      <c r="AM9" s="127"/>
      <c r="AN9" s="128"/>
      <c r="AO9" s="127"/>
      <c r="AP9" s="125"/>
      <c r="AQ9" s="126"/>
      <c r="AR9" s="127"/>
      <c r="AS9" s="128"/>
      <c r="AT9" s="127"/>
      <c r="AU9" s="125"/>
      <c r="AV9" s="126"/>
      <c r="AW9" s="127"/>
      <c r="AX9" s="128"/>
      <c r="AY9" s="127"/>
      <c r="AZ9" s="125"/>
      <c r="BA9" s="132"/>
      <c r="BB9" s="140"/>
      <c r="BC9" s="126"/>
      <c r="BD9" s="127"/>
      <c r="BE9" s="128"/>
      <c r="BF9" s="127"/>
      <c r="BG9" s="125"/>
      <c r="BH9" s="126"/>
      <c r="BI9" s="127"/>
      <c r="BJ9" s="128"/>
      <c r="BK9" s="127"/>
      <c r="BL9" s="125"/>
      <c r="BM9" s="126"/>
      <c r="BN9" s="127"/>
      <c r="BO9" s="128"/>
      <c r="BP9" s="127"/>
      <c r="BQ9" s="125"/>
    </row>
    <row r="10" spans="2:69" s="131" customFormat="1" x14ac:dyDescent="0.25">
      <c r="B10" s="132"/>
      <c r="C10" s="133"/>
      <c r="D10" s="122"/>
      <c r="E10" s="123"/>
      <c r="F10" s="124"/>
      <c r="G10" s="123"/>
      <c r="H10" s="125"/>
      <c r="I10" s="122"/>
      <c r="J10" s="123"/>
      <c r="K10" s="124"/>
      <c r="L10" s="123"/>
      <c r="M10" s="125"/>
      <c r="N10" s="126"/>
      <c r="O10" s="127"/>
      <c r="P10" s="128"/>
      <c r="Q10" s="127"/>
      <c r="R10" s="125"/>
      <c r="S10" s="132"/>
      <c r="T10" s="138"/>
      <c r="U10" s="126"/>
      <c r="V10" s="127"/>
      <c r="W10" s="128"/>
      <c r="X10" s="127"/>
      <c r="Y10" s="125"/>
      <c r="Z10" s="126"/>
      <c r="AA10" s="127"/>
      <c r="AB10" s="128"/>
      <c r="AC10" s="127"/>
      <c r="AD10" s="125"/>
      <c r="AE10" s="126"/>
      <c r="AF10" s="127"/>
      <c r="AG10" s="128"/>
      <c r="AH10" s="127"/>
      <c r="AI10" s="125"/>
      <c r="AJ10" s="132"/>
      <c r="AK10" s="139"/>
      <c r="AL10" s="126"/>
      <c r="AM10" s="127"/>
      <c r="AN10" s="128"/>
      <c r="AO10" s="127"/>
      <c r="AP10" s="125"/>
      <c r="AQ10" s="126"/>
      <c r="AR10" s="127"/>
      <c r="AS10" s="128"/>
      <c r="AT10" s="127"/>
      <c r="AU10" s="125"/>
      <c r="AV10" s="126"/>
      <c r="AW10" s="127"/>
      <c r="AX10" s="128"/>
      <c r="AY10" s="127"/>
      <c r="AZ10" s="125"/>
      <c r="BA10" s="132"/>
      <c r="BB10" s="140"/>
      <c r="BC10" s="126"/>
      <c r="BD10" s="127"/>
      <c r="BE10" s="128"/>
      <c r="BF10" s="127"/>
      <c r="BG10" s="125"/>
      <c r="BH10" s="126"/>
      <c r="BI10" s="127"/>
      <c r="BJ10" s="128"/>
      <c r="BK10" s="127"/>
      <c r="BL10" s="125"/>
      <c r="BM10" s="126"/>
      <c r="BN10" s="127"/>
      <c r="BO10" s="128"/>
      <c r="BP10" s="127"/>
      <c r="BQ10" s="125"/>
    </row>
    <row r="11" spans="2:69" s="131" customFormat="1" x14ac:dyDescent="0.25">
      <c r="B11" s="132"/>
      <c r="C11" s="133"/>
      <c r="D11" s="143">
        <f>SUM(D6:D10)</f>
        <v>300000</v>
      </c>
      <c r="E11" s="144"/>
      <c r="F11" s="145">
        <f>SUM(F6:F10)</f>
        <v>15000</v>
      </c>
      <c r="G11" s="144"/>
      <c r="H11" s="146"/>
      <c r="I11" s="143">
        <f>SUM(I6:I10)</f>
        <v>10000</v>
      </c>
      <c r="J11" s="144"/>
      <c r="K11" s="145">
        <f>SUM(K6:K10)</f>
        <v>235000</v>
      </c>
      <c r="L11" s="144"/>
      <c r="M11" s="146"/>
      <c r="N11" s="147">
        <f>SUM(N6:N10)</f>
        <v>33200</v>
      </c>
      <c r="O11" s="148"/>
      <c r="P11" s="149">
        <f>SUM(P6:P10)</f>
        <v>285000</v>
      </c>
      <c r="Q11" s="148"/>
      <c r="R11" s="146"/>
      <c r="S11" s="132"/>
      <c r="T11" s="138"/>
      <c r="U11" s="147">
        <f>SUM(U6:U10)</f>
        <v>55000</v>
      </c>
      <c r="V11" s="148"/>
      <c r="W11" s="149">
        <f>SUM(W6:W10)</f>
        <v>130000</v>
      </c>
      <c r="X11" s="148"/>
      <c r="Y11" s="146"/>
      <c r="Z11" s="147">
        <f>SUM(Z6:Z10)</f>
        <v>55000</v>
      </c>
      <c r="AA11" s="148"/>
      <c r="AB11" s="149">
        <f>SUM(AB6:AB10)</f>
        <v>70000</v>
      </c>
      <c r="AC11" s="148"/>
      <c r="AD11" s="146"/>
      <c r="AE11" s="147">
        <f>SUM(AE6:AE10)</f>
        <v>55000</v>
      </c>
      <c r="AF11" s="148"/>
      <c r="AG11" s="149">
        <f>SUM(AG6:AG10)</f>
        <v>0</v>
      </c>
      <c r="AH11" s="148"/>
      <c r="AI11" s="146"/>
      <c r="AJ11" s="132"/>
      <c r="AK11" s="139"/>
      <c r="AL11" s="147">
        <f>SUM(AL6:AL10)</f>
        <v>35000</v>
      </c>
      <c r="AM11" s="148"/>
      <c r="AN11" s="149">
        <f>SUM(AN6:AN10)</f>
        <v>0</v>
      </c>
      <c r="AO11" s="148"/>
      <c r="AP11" s="146"/>
      <c r="AQ11" s="147">
        <f>SUM(AQ6:AQ10)</f>
        <v>35000</v>
      </c>
      <c r="AR11" s="148"/>
      <c r="AS11" s="149">
        <f>SUM(AS6:AS10)</f>
        <v>0</v>
      </c>
      <c r="AT11" s="148"/>
      <c r="AU11" s="146"/>
      <c r="AV11" s="147">
        <f>SUM(AV6:AV10)</f>
        <v>35000</v>
      </c>
      <c r="AW11" s="148"/>
      <c r="AX11" s="149">
        <f>SUM(AX6:AX10)</f>
        <v>25000</v>
      </c>
      <c r="AY11" s="148"/>
      <c r="AZ11" s="146"/>
      <c r="BA11" s="132"/>
      <c r="BB11" s="140"/>
      <c r="BC11" s="147">
        <f>SUM(BC6:BC10)</f>
        <v>40000</v>
      </c>
      <c r="BD11" s="148"/>
      <c r="BE11" s="149">
        <f>SUM(BE6:BE10)</f>
        <v>0</v>
      </c>
      <c r="BF11" s="148"/>
      <c r="BG11" s="146"/>
      <c r="BH11" s="147">
        <f>SUM(BH6:BH10)</f>
        <v>10000</v>
      </c>
      <c r="BI11" s="148"/>
      <c r="BJ11" s="149">
        <f>SUM(BJ6:BJ10)</f>
        <v>0</v>
      </c>
      <c r="BK11" s="148"/>
      <c r="BL11" s="146"/>
      <c r="BM11" s="147">
        <f>SUM(BM6:BM10)</f>
        <v>10000</v>
      </c>
      <c r="BN11" s="148"/>
      <c r="BO11" s="149">
        <f>SUM(BO6:BO10)</f>
        <v>0</v>
      </c>
      <c r="BP11" s="148"/>
      <c r="BQ11" s="146"/>
    </row>
    <row r="12" spans="2:69" s="131" customFormat="1" x14ac:dyDescent="0.25">
      <c r="B12" s="150" t="s">
        <v>1030</v>
      </c>
      <c r="C12" s="133">
        <v>83205</v>
      </c>
      <c r="D12" s="122">
        <v>5825</v>
      </c>
      <c r="E12" s="123" t="s">
        <v>1031</v>
      </c>
      <c r="F12" s="124">
        <v>5000</v>
      </c>
      <c r="G12" s="123" t="s">
        <v>1032</v>
      </c>
      <c r="H12" s="125">
        <v>81420</v>
      </c>
      <c r="I12" s="122">
        <v>6150</v>
      </c>
      <c r="J12" s="123" t="s">
        <v>1031</v>
      </c>
      <c r="K12" s="124">
        <v>2000</v>
      </c>
      <c r="L12" s="123" t="s">
        <v>1033</v>
      </c>
      <c r="M12" s="125">
        <v>51865</v>
      </c>
      <c r="N12" s="151">
        <v>6400</v>
      </c>
      <c r="O12" s="137" t="s">
        <v>1031</v>
      </c>
      <c r="P12" s="136">
        <v>2000</v>
      </c>
      <c r="Q12" s="137" t="s">
        <v>1033</v>
      </c>
      <c r="R12" s="125">
        <f>M12+N17-P17</f>
        <v>4265</v>
      </c>
      <c r="S12" s="150" t="s">
        <v>1030</v>
      </c>
      <c r="T12" s="138">
        <f>R12</f>
        <v>4265</v>
      </c>
      <c r="U12" s="151">
        <v>6650</v>
      </c>
      <c r="V12" s="137" t="s">
        <v>1031</v>
      </c>
      <c r="W12" s="152">
        <v>5000</v>
      </c>
      <c r="X12" s="137" t="s">
        <v>1032</v>
      </c>
      <c r="Y12" s="125">
        <f>R12+U17-W17</f>
        <v>3915</v>
      </c>
      <c r="Z12" s="151">
        <v>6900</v>
      </c>
      <c r="AA12" s="137" t="s">
        <v>1031</v>
      </c>
      <c r="AB12" s="136">
        <v>2000</v>
      </c>
      <c r="AC12" s="137" t="s">
        <v>1034</v>
      </c>
      <c r="AD12" s="125">
        <f>Y12+Z17-AB17</f>
        <v>6815</v>
      </c>
      <c r="AE12" s="151">
        <v>7150</v>
      </c>
      <c r="AF12" s="137" t="s">
        <v>1031</v>
      </c>
      <c r="AG12" s="136">
        <v>2000</v>
      </c>
      <c r="AH12" s="137" t="s">
        <v>1034</v>
      </c>
      <c r="AI12" s="125">
        <f>AD12+AE17-AG17</f>
        <v>11965</v>
      </c>
      <c r="AJ12" s="150" t="s">
        <v>1030</v>
      </c>
      <c r="AK12" s="153">
        <v>-4330</v>
      </c>
      <c r="AL12" s="151">
        <v>7400</v>
      </c>
      <c r="AM12" s="137" t="s">
        <v>1031</v>
      </c>
      <c r="AN12" s="136">
        <v>2000</v>
      </c>
      <c r="AO12" s="137" t="s">
        <v>1034</v>
      </c>
      <c r="AP12" s="125">
        <f>AI12+AL17-AN17</f>
        <v>15365</v>
      </c>
      <c r="AQ12" s="151">
        <v>2840</v>
      </c>
      <c r="AR12" s="137" t="s">
        <v>1031</v>
      </c>
      <c r="AS12" s="136">
        <v>2000</v>
      </c>
      <c r="AT12" s="137" t="s">
        <v>1034</v>
      </c>
      <c r="AU12" s="125">
        <f>AP12+AQ17-AS17</f>
        <v>16205</v>
      </c>
      <c r="AV12" s="151">
        <v>2960</v>
      </c>
      <c r="AW12" s="137" t="s">
        <v>1031</v>
      </c>
      <c r="AX12" s="136">
        <v>2000</v>
      </c>
      <c r="AY12" s="137" t="s">
        <v>1034</v>
      </c>
      <c r="AZ12" s="125">
        <f>AU12+AV17-AX17</f>
        <v>15165</v>
      </c>
      <c r="BA12" s="150" t="s">
        <v>1030</v>
      </c>
      <c r="BB12" s="140">
        <f>AZ12</f>
        <v>15165</v>
      </c>
      <c r="BC12" s="151">
        <v>3100</v>
      </c>
      <c r="BD12" s="137" t="s">
        <v>1031</v>
      </c>
      <c r="BE12" s="136">
        <v>2000</v>
      </c>
      <c r="BF12" s="137" t="s">
        <v>1034</v>
      </c>
      <c r="BG12" s="125">
        <f>AZ12+BC17-BE17</f>
        <v>14265</v>
      </c>
      <c r="BH12" s="151">
        <v>3350</v>
      </c>
      <c r="BI12" s="137" t="s">
        <v>1031</v>
      </c>
      <c r="BJ12" s="136">
        <v>2000</v>
      </c>
      <c r="BK12" s="137" t="s">
        <v>1034</v>
      </c>
      <c r="BL12" s="125">
        <f>BG12+BH17-BJ17</f>
        <v>15615</v>
      </c>
      <c r="BM12" s="151">
        <v>3350</v>
      </c>
      <c r="BN12" s="137" t="s">
        <v>1031</v>
      </c>
      <c r="BO12" s="136">
        <v>2000</v>
      </c>
      <c r="BP12" s="137" t="s">
        <v>1034</v>
      </c>
      <c r="BQ12" s="125">
        <f>BL12+BM17-BO17</f>
        <v>14965</v>
      </c>
    </row>
    <row r="13" spans="2:69" s="131" customFormat="1" x14ac:dyDescent="0.25">
      <c r="B13" s="150"/>
      <c r="C13" s="133"/>
      <c r="D13" s="122"/>
      <c r="E13" s="123" t="s">
        <v>1035</v>
      </c>
      <c r="F13" s="124">
        <v>2000</v>
      </c>
      <c r="G13" s="123" t="s">
        <v>1033</v>
      </c>
      <c r="H13" s="125"/>
      <c r="I13" s="122"/>
      <c r="J13" s="123"/>
      <c r="K13" s="124">
        <v>2000</v>
      </c>
      <c r="L13" s="123" t="s">
        <v>1034</v>
      </c>
      <c r="M13" s="125"/>
      <c r="N13" s="126"/>
      <c r="O13" s="127"/>
      <c r="P13" s="136">
        <v>2000</v>
      </c>
      <c r="Q13" s="137" t="s">
        <v>1034</v>
      </c>
      <c r="R13" s="125"/>
      <c r="S13" s="150"/>
      <c r="T13" s="138"/>
      <c r="U13" s="126"/>
      <c r="V13" s="127"/>
      <c r="W13" s="136">
        <v>2000</v>
      </c>
      <c r="X13" s="137" t="s">
        <v>1034</v>
      </c>
      <c r="Y13" s="125"/>
      <c r="Z13" s="126"/>
      <c r="AA13" s="127"/>
      <c r="AB13" s="136">
        <v>2000</v>
      </c>
      <c r="AC13" s="137" t="s">
        <v>1036</v>
      </c>
      <c r="AD13" s="125"/>
      <c r="AE13" s="126"/>
      <c r="AF13" s="127"/>
      <c r="AG13" s="128"/>
      <c r="AH13" s="127"/>
      <c r="AI13" s="125"/>
      <c r="AJ13" s="150"/>
      <c r="AK13" s="154"/>
      <c r="AL13" s="126"/>
      <c r="AM13" s="127"/>
      <c r="AN13" s="136">
        <v>2000</v>
      </c>
      <c r="AO13" s="137" t="s">
        <v>1036</v>
      </c>
      <c r="AP13" s="125"/>
      <c r="AQ13" s="126"/>
      <c r="AR13" s="127"/>
      <c r="AS13" s="128"/>
      <c r="AT13" s="127"/>
      <c r="AU13" s="125"/>
      <c r="AV13" s="126"/>
      <c r="AW13" s="127"/>
      <c r="AX13" s="136">
        <v>2000</v>
      </c>
      <c r="AY13" s="137" t="s">
        <v>1036</v>
      </c>
      <c r="AZ13" s="125"/>
      <c r="BA13" s="150"/>
      <c r="BB13" s="155"/>
      <c r="BC13" s="126"/>
      <c r="BD13" s="127"/>
      <c r="BE13" s="136">
        <v>2000</v>
      </c>
      <c r="BF13" s="137" t="s">
        <v>1036</v>
      </c>
      <c r="BG13" s="125"/>
      <c r="BH13" s="126"/>
      <c r="BI13" s="127"/>
      <c r="BJ13" s="128"/>
      <c r="BK13" s="127"/>
      <c r="BL13" s="125"/>
      <c r="BM13" s="126"/>
      <c r="BN13" s="127"/>
      <c r="BO13" s="136">
        <v>2000</v>
      </c>
      <c r="BP13" s="137" t="s">
        <v>1036</v>
      </c>
      <c r="BQ13" s="125"/>
    </row>
    <row r="14" spans="2:69" s="131" customFormat="1" x14ac:dyDescent="0.25">
      <c r="B14" s="150"/>
      <c r="C14" s="133"/>
      <c r="D14" s="122"/>
      <c r="E14" s="123"/>
      <c r="F14" s="124">
        <v>10000</v>
      </c>
      <c r="G14" s="123" t="s">
        <v>1037</v>
      </c>
      <c r="H14" s="125"/>
      <c r="I14" s="122"/>
      <c r="J14" s="123"/>
      <c r="K14" s="124">
        <v>80000</v>
      </c>
      <c r="L14" s="123" t="s">
        <v>1034</v>
      </c>
      <c r="M14" s="125"/>
      <c r="N14" s="126"/>
      <c r="O14" s="127"/>
      <c r="P14" s="136">
        <v>10000</v>
      </c>
      <c r="Q14" s="137" t="s">
        <v>1036</v>
      </c>
      <c r="R14" s="125"/>
      <c r="S14" s="150"/>
      <c r="T14" s="138"/>
      <c r="U14" s="126"/>
      <c r="V14" s="127"/>
      <c r="W14" s="128"/>
      <c r="X14" s="127"/>
      <c r="Y14" s="125"/>
      <c r="Z14" s="126"/>
      <c r="AA14" s="127"/>
      <c r="AB14" s="128"/>
      <c r="AC14" s="127"/>
      <c r="AD14" s="125"/>
      <c r="AE14" s="126"/>
      <c r="AF14" s="127"/>
      <c r="AG14" s="128"/>
      <c r="AH14" s="127"/>
      <c r="AI14" s="125"/>
      <c r="AJ14" s="150"/>
      <c r="AK14" s="154"/>
      <c r="AL14" s="126"/>
      <c r="AM14" s="127"/>
      <c r="AN14" s="128"/>
      <c r="AO14" s="127"/>
      <c r="AP14" s="125"/>
      <c r="AQ14" s="126"/>
      <c r="AR14" s="127"/>
      <c r="AS14" s="128"/>
      <c r="AT14" s="127"/>
      <c r="AU14" s="125"/>
      <c r="AV14" s="126"/>
      <c r="AW14" s="127"/>
      <c r="AX14" s="128"/>
      <c r="AY14" s="127"/>
      <c r="AZ14" s="125"/>
      <c r="BA14" s="150"/>
      <c r="BB14" s="155"/>
      <c r="BC14" s="126"/>
      <c r="BD14" s="127"/>
      <c r="BE14" s="128"/>
      <c r="BF14" s="127"/>
      <c r="BG14" s="125"/>
      <c r="BH14" s="126"/>
      <c r="BI14" s="127"/>
      <c r="BJ14" s="128"/>
      <c r="BK14" s="127"/>
      <c r="BL14" s="125"/>
      <c r="BM14" s="126"/>
      <c r="BN14" s="127"/>
      <c r="BO14" s="128"/>
      <c r="BP14" s="127"/>
      <c r="BQ14" s="125"/>
    </row>
    <row r="15" spans="2:69" s="131" customFormat="1" x14ac:dyDescent="0.25">
      <c r="B15" s="150"/>
      <c r="C15" s="133"/>
      <c r="D15" s="122"/>
      <c r="E15" s="123"/>
      <c r="F15" s="124"/>
      <c r="G15" s="123"/>
      <c r="H15" s="125"/>
      <c r="I15" s="122"/>
      <c r="J15" s="123"/>
      <c r="K15" s="124">
        <v>0</v>
      </c>
      <c r="L15" s="123" t="s">
        <v>1038</v>
      </c>
      <c r="M15" s="125"/>
      <c r="N15" s="126"/>
      <c r="O15" s="127"/>
      <c r="P15" s="136">
        <v>15000</v>
      </c>
      <c r="Q15" s="137" t="s">
        <v>1039</v>
      </c>
      <c r="R15" s="125"/>
      <c r="S15" s="150"/>
      <c r="T15" s="138"/>
      <c r="U15" s="126"/>
      <c r="V15" s="127"/>
      <c r="W15" s="128"/>
      <c r="X15" s="127"/>
      <c r="Y15" s="125"/>
      <c r="Z15" s="126"/>
      <c r="AA15" s="127"/>
      <c r="AB15" s="128"/>
      <c r="AC15" s="127"/>
      <c r="AD15" s="125"/>
      <c r="AE15" s="126"/>
      <c r="AF15" s="127"/>
      <c r="AG15" s="128"/>
      <c r="AH15" s="127"/>
      <c r="AI15" s="125"/>
      <c r="AJ15" s="150"/>
      <c r="AK15" s="154"/>
      <c r="AL15" s="126"/>
      <c r="AM15" s="127"/>
      <c r="AN15" s="128"/>
      <c r="AO15" s="127"/>
      <c r="AP15" s="125"/>
      <c r="AQ15" s="126"/>
      <c r="AR15" s="127"/>
      <c r="AS15" s="128"/>
      <c r="AT15" s="127"/>
      <c r="AU15" s="125"/>
      <c r="AV15" s="126"/>
      <c r="AW15" s="127"/>
      <c r="AX15" s="128"/>
      <c r="AY15" s="127"/>
      <c r="AZ15" s="125"/>
      <c r="BA15" s="150"/>
      <c r="BB15" s="155"/>
      <c r="BC15" s="126"/>
      <c r="BD15" s="127"/>
      <c r="BE15" s="128"/>
      <c r="BF15" s="127"/>
      <c r="BG15" s="125"/>
      <c r="BH15" s="126"/>
      <c r="BI15" s="127"/>
      <c r="BJ15" s="128"/>
      <c r="BK15" s="127"/>
      <c r="BL15" s="125"/>
      <c r="BM15" s="126"/>
      <c r="BN15" s="127"/>
      <c r="BO15" s="128"/>
      <c r="BP15" s="127"/>
      <c r="BQ15" s="125"/>
    </row>
    <row r="16" spans="2:69" s="131" customFormat="1" x14ac:dyDescent="0.25">
      <c r="B16" s="150"/>
      <c r="C16" s="133"/>
      <c r="D16" s="122"/>
      <c r="E16" s="123"/>
      <c r="F16" s="124">
        <v>2000</v>
      </c>
      <c r="G16" s="123" t="s">
        <v>1034</v>
      </c>
      <c r="H16" s="125"/>
      <c r="I16" s="122"/>
      <c r="J16" s="123"/>
      <c r="K16" s="124">
        <v>20000</v>
      </c>
      <c r="L16" s="123" t="s">
        <v>1040</v>
      </c>
      <c r="M16" s="125"/>
      <c r="N16" s="126"/>
      <c r="O16" s="127"/>
      <c r="P16" s="128">
        <v>25000</v>
      </c>
      <c r="Q16" s="127" t="s">
        <v>1041</v>
      </c>
      <c r="R16" s="125"/>
      <c r="S16" s="150"/>
      <c r="T16" s="138"/>
      <c r="U16" s="126"/>
      <c r="V16" s="127"/>
      <c r="W16" s="128"/>
      <c r="X16" s="127"/>
      <c r="Y16" s="125"/>
      <c r="Z16" s="126"/>
      <c r="AA16" s="127"/>
      <c r="AB16" s="128"/>
      <c r="AC16" s="127"/>
      <c r="AD16" s="125"/>
      <c r="AE16" s="126"/>
      <c r="AF16" s="127"/>
      <c r="AG16" s="128"/>
      <c r="AH16" s="127"/>
      <c r="AI16" s="125"/>
      <c r="AJ16" s="150"/>
      <c r="AK16" s="154"/>
      <c r="AL16" s="126"/>
      <c r="AM16" s="127"/>
      <c r="AN16" s="128"/>
      <c r="AO16" s="127"/>
      <c r="AP16" s="125"/>
      <c r="AQ16" s="126"/>
      <c r="AR16" s="127"/>
      <c r="AS16" s="128"/>
      <c r="AT16" s="127"/>
      <c r="AU16" s="125"/>
      <c r="AV16" s="126"/>
      <c r="AW16" s="127"/>
      <c r="AX16" s="128"/>
      <c r="AY16" s="127"/>
      <c r="AZ16" s="125"/>
      <c r="BA16" s="150"/>
      <c r="BB16" s="155"/>
      <c r="BC16" s="126"/>
      <c r="BD16" s="127"/>
      <c r="BE16" s="128"/>
      <c r="BF16" s="127"/>
      <c r="BG16" s="125"/>
      <c r="BH16" s="126"/>
      <c r="BI16" s="127"/>
      <c r="BJ16" s="128"/>
      <c r="BK16" s="127"/>
      <c r="BL16" s="125"/>
      <c r="BM16" s="126"/>
      <c r="BN16" s="127"/>
      <c r="BO16" s="128"/>
      <c r="BP16" s="127"/>
      <c r="BQ16" s="125"/>
    </row>
    <row r="17" spans="2:69" s="131" customFormat="1" x14ac:dyDescent="0.25">
      <c r="B17" s="132"/>
      <c r="C17" s="133"/>
      <c r="D17" s="143">
        <f>SUM(D12:D16)</f>
        <v>5825</v>
      </c>
      <c r="E17" s="144"/>
      <c r="F17" s="145">
        <f>SUM(F12:F16)</f>
        <v>19000</v>
      </c>
      <c r="G17" s="144"/>
      <c r="H17" s="146"/>
      <c r="I17" s="143">
        <f>SUM(I12:I16)</f>
        <v>6150</v>
      </c>
      <c r="J17" s="144"/>
      <c r="K17" s="145">
        <f>SUM(K12:K16)</f>
        <v>104000</v>
      </c>
      <c r="L17" s="144"/>
      <c r="M17" s="146"/>
      <c r="N17" s="147">
        <f>SUM(N12:N16)</f>
        <v>6400</v>
      </c>
      <c r="O17" s="148"/>
      <c r="P17" s="149">
        <f>SUM(P12:P16)</f>
        <v>54000</v>
      </c>
      <c r="Q17" s="148"/>
      <c r="R17" s="146"/>
      <c r="S17" s="132"/>
      <c r="T17" s="138"/>
      <c r="U17" s="147">
        <f>SUM(U12:U16)</f>
        <v>6650</v>
      </c>
      <c r="V17" s="148"/>
      <c r="W17" s="149">
        <f>SUM(W12:W16)</f>
        <v>7000</v>
      </c>
      <c r="X17" s="148"/>
      <c r="Y17" s="146"/>
      <c r="Z17" s="147">
        <f>SUM(Z12:Z16)</f>
        <v>6900</v>
      </c>
      <c r="AA17" s="148"/>
      <c r="AB17" s="149">
        <f>SUM(AB12:AB16)</f>
        <v>4000</v>
      </c>
      <c r="AC17" s="148"/>
      <c r="AD17" s="146"/>
      <c r="AE17" s="147">
        <f>SUM(AE12:AE16)</f>
        <v>7150</v>
      </c>
      <c r="AF17" s="148"/>
      <c r="AG17" s="149">
        <f>SUM(AG12:AG16)</f>
        <v>2000</v>
      </c>
      <c r="AH17" s="148"/>
      <c r="AI17" s="146"/>
      <c r="AJ17" s="132"/>
      <c r="AK17" s="139"/>
      <c r="AL17" s="147">
        <f>SUM(AL12:AL16)</f>
        <v>7400</v>
      </c>
      <c r="AM17" s="148"/>
      <c r="AN17" s="149">
        <f>SUM(AN12:AN16)</f>
        <v>4000</v>
      </c>
      <c r="AO17" s="148"/>
      <c r="AP17" s="146"/>
      <c r="AQ17" s="147">
        <f>SUM(AQ12:AQ16)</f>
        <v>2840</v>
      </c>
      <c r="AR17" s="148"/>
      <c r="AS17" s="149">
        <f>SUM(AS12:AS16)</f>
        <v>2000</v>
      </c>
      <c r="AT17" s="148"/>
      <c r="AU17" s="146"/>
      <c r="AV17" s="147">
        <f>SUM(AV12:AV16)</f>
        <v>2960</v>
      </c>
      <c r="AW17" s="148"/>
      <c r="AX17" s="149">
        <f>SUM(AX12:AX16)</f>
        <v>4000</v>
      </c>
      <c r="AY17" s="148"/>
      <c r="AZ17" s="146"/>
      <c r="BA17" s="132"/>
      <c r="BB17" s="140"/>
      <c r="BC17" s="147">
        <f>SUM(BC12:BC16)</f>
        <v>3100</v>
      </c>
      <c r="BD17" s="148"/>
      <c r="BE17" s="149">
        <f>SUM(BE12:BE16)</f>
        <v>4000</v>
      </c>
      <c r="BF17" s="148"/>
      <c r="BG17" s="146"/>
      <c r="BH17" s="147">
        <f>SUM(BH12:BH16)</f>
        <v>3350</v>
      </c>
      <c r="BI17" s="148"/>
      <c r="BJ17" s="149">
        <f>SUM(BJ12:BJ16)</f>
        <v>2000</v>
      </c>
      <c r="BK17" s="148"/>
      <c r="BL17" s="146"/>
      <c r="BM17" s="147">
        <f>SUM(BM12:BM16)</f>
        <v>3350</v>
      </c>
      <c r="BN17" s="148"/>
      <c r="BO17" s="149">
        <f>SUM(BO12:BO16)</f>
        <v>4000</v>
      </c>
      <c r="BP17" s="148"/>
      <c r="BQ17" s="146"/>
    </row>
    <row r="18" spans="2:69" s="131" customFormat="1" x14ac:dyDescent="0.25">
      <c r="B18" s="132" t="s">
        <v>1042</v>
      </c>
      <c r="C18" s="133">
        <v>969410</v>
      </c>
      <c r="D18" s="122">
        <v>1450000</v>
      </c>
      <c r="E18" s="123" t="s">
        <v>1043</v>
      </c>
      <c r="F18" s="124">
        <v>500000</v>
      </c>
      <c r="G18" s="123" t="s">
        <v>1044</v>
      </c>
      <c r="H18" s="125">
        <v>1230180</v>
      </c>
      <c r="I18" s="122">
        <v>1600400</v>
      </c>
      <c r="J18" s="123" t="s">
        <v>1043</v>
      </c>
      <c r="K18" s="124">
        <v>467000</v>
      </c>
      <c r="L18" s="123" t="s">
        <v>1044</v>
      </c>
      <c r="M18" s="125">
        <v>1457355</v>
      </c>
      <c r="N18" s="151">
        <v>1652420</v>
      </c>
      <c r="O18" s="137" t="s">
        <v>1043</v>
      </c>
      <c r="P18" s="136">
        <v>407512</v>
      </c>
      <c r="Q18" s="137" t="s">
        <v>1044</v>
      </c>
      <c r="R18" s="125">
        <f>M18+N27-P27</f>
        <v>1015763</v>
      </c>
      <c r="S18" s="132" t="s">
        <v>1042</v>
      </c>
      <c r="T18" s="138">
        <f>R18</f>
        <v>1015763</v>
      </c>
      <c r="U18" s="151">
        <v>1706124</v>
      </c>
      <c r="V18" s="137" t="s">
        <v>1043</v>
      </c>
      <c r="W18" s="136">
        <v>474066</v>
      </c>
      <c r="X18" s="137" t="s">
        <v>1044</v>
      </c>
      <c r="Y18" s="125">
        <f>R18+U27-W27</f>
        <v>1248507</v>
      </c>
      <c r="Z18" s="151">
        <v>1761573</v>
      </c>
      <c r="AA18" s="137" t="s">
        <v>1043</v>
      </c>
      <c r="AB18" s="136">
        <v>176664</v>
      </c>
      <c r="AC18" s="137" t="s">
        <v>1044</v>
      </c>
      <c r="AD18" s="125">
        <f>Y18+Z27-AB27</f>
        <v>1718717</v>
      </c>
      <c r="AE18" s="151">
        <v>1818824</v>
      </c>
      <c r="AF18" s="137" t="s">
        <v>1043</v>
      </c>
      <c r="AG18" s="136">
        <v>338307</v>
      </c>
      <c r="AH18" s="137" t="s">
        <v>1044</v>
      </c>
      <c r="AI18" s="125">
        <f>AD18+AE27-AG27</f>
        <v>2068434</v>
      </c>
      <c r="AJ18" s="132" t="s">
        <v>1042</v>
      </c>
      <c r="AK18" s="139">
        <v>2776651</v>
      </c>
      <c r="AL18" s="151">
        <v>1877936</v>
      </c>
      <c r="AM18" s="137" t="s">
        <v>1043</v>
      </c>
      <c r="AN18" s="136">
        <v>440779</v>
      </c>
      <c r="AO18" s="137" t="s">
        <v>1044</v>
      </c>
      <c r="AP18" s="125">
        <f>AI18+AL27-AN27</f>
        <v>2236033</v>
      </c>
      <c r="AQ18" s="151">
        <v>1934279</v>
      </c>
      <c r="AR18" s="137" t="s">
        <v>1043</v>
      </c>
      <c r="AS18" s="136">
        <v>493321</v>
      </c>
      <c r="AT18" s="137" t="s">
        <v>1044</v>
      </c>
      <c r="AU18" s="125">
        <f>AP18+AQ27-AS27</f>
        <v>2471448</v>
      </c>
      <c r="AV18" s="151">
        <v>1992312</v>
      </c>
      <c r="AW18" s="137" t="s">
        <v>1043</v>
      </c>
      <c r="AX18" s="136">
        <v>245934</v>
      </c>
      <c r="AY18" s="137" t="s">
        <v>1044</v>
      </c>
      <c r="AZ18" s="125">
        <f>AU18+AV27-AX27</f>
        <v>2946813</v>
      </c>
      <c r="BA18" s="132" t="s">
        <v>1042</v>
      </c>
      <c r="BB18" s="140">
        <f>AZ18</f>
        <v>2946813</v>
      </c>
      <c r="BC18" s="151">
        <v>2052086</v>
      </c>
      <c r="BD18" s="137" t="s">
        <v>1043</v>
      </c>
      <c r="BE18" s="136">
        <v>548620</v>
      </c>
      <c r="BF18" s="137" t="s">
        <v>1044</v>
      </c>
      <c r="BG18" s="125">
        <f>AZ18+BC27-BE27</f>
        <v>3146567</v>
      </c>
      <c r="BH18" s="151">
        <v>2113654</v>
      </c>
      <c r="BI18" s="137" t="s">
        <v>1043</v>
      </c>
      <c r="BJ18" s="136">
        <v>361382</v>
      </c>
      <c r="BK18" s="137" t="s">
        <v>1044</v>
      </c>
      <c r="BL18" s="125">
        <f>BG18+BH27-BJ27</f>
        <v>3543255</v>
      </c>
      <c r="BM18" s="151">
        <v>2177069</v>
      </c>
      <c r="BN18" s="137" t="s">
        <v>1043</v>
      </c>
      <c r="BO18" s="136">
        <v>361382</v>
      </c>
      <c r="BP18" s="137" t="s">
        <v>1044</v>
      </c>
      <c r="BQ18" s="125">
        <f>BL18+BM27-BO27</f>
        <v>3742270</v>
      </c>
    </row>
    <row r="19" spans="2:69" s="131" customFormat="1" x14ac:dyDescent="0.25">
      <c r="B19" s="132"/>
      <c r="C19" s="133"/>
      <c r="D19" s="122">
        <v>42500</v>
      </c>
      <c r="E19" s="123" t="s">
        <v>1045</v>
      </c>
      <c r="F19" s="124">
        <v>30000</v>
      </c>
      <c r="G19" s="123" t="s">
        <v>1046</v>
      </c>
      <c r="H19" s="125"/>
      <c r="I19" s="122">
        <v>48000</v>
      </c>
      <c r="J19" s="123" t="s">
        <v>1045</v>
      </c>
      <c r="K19" s="124">
        <v>10000</v>
      </c>
      <c r="L19" s="123" t="s">
        <v>613</v>
      </c>
      <c r="M19" s="125"/>
      <c r="N19" s="151">
        <v>48000</v>
      </c>
      <c r="O19" s="137" t="s">
        <v>1045</v>
      </c>
      <c r="P19" s="136">
        <v>10300</v>
      </c>
      <c r="Q19" s="137" t="s">
        <v>613</v>
      </c>
      <c r="R19" s="125"/>
      <c r="S19" s="132"/>
      <c r="T19" s="138"/>
      <c r="U19" s="151">
        <v>48000</v>
      </c>
      <c r="V19" s="137" t="s">
        <v>1045</v>
      </c>
      <c r="W19" s="136">
        <v>10589</v>
      </c>
      <c r="X19" s="137" t="s">
        <v>613</v>
      </c>
      <c r="Y19" s="125"/>
      <c r="Z19" s="151">
        <v>48000</v>
      </c>
      <c r="AA19" s="137" t="s">
        <v>1045</v>
      </c>
      <c r="AB19" s="136">
        <v>10887</v>
      </c>
      <c r="AC19" s="137" t="s">
        <v>613</v>
      </c>
      <c r="AD19" s="125"/>
      <c r="AE19" s="151">
        <v>48000</v>
      </c>
      <c r="AF19" s="137" t="s">
        <v>1045</v>
      </c>
      <c r="AG19" s="136">
        <v>11193</v>
      </c>
      <c r="AH19" s="137" t="s">
        <v>613</v>
      </c>
      <c r="AI19" s="125"/>
      <c r="AJ19" s="132"/>
      <c r="AK19" s="139"/>
      <c r="AL19" s="151">
        <v>48000</v>
      </c>
      <c r="AM19" s="137" t="s">
        <v>1045</v>
      </c>
      <c r="AN19" s="136">
        <v>11504</v>
      </c>
      <c r="AO19" s="137" t="s">
        <v>613</v>
      </c>
      <c r="AP19" s="125"/>
      <c r="AQ19" s="151">
        <v>48000</v>
      </c>
      <c r="AR19" s="137" t="s">
        <v>1045</v>
      </c>
      <c r="AS19" s="136">
        <v>11831</v>
      </c>
      <c r="AT19" s="137" t="s">
        <v>613</v>
      </c>
      <c r="AU19" s="125"/>
      <c r="AV19" s="151">
        <v>48000</v>
      </c>
      <c r="AW19" s="137" t="s">
        <v>1045</v>
      </c>
      <c r="AX19" s="136">
        <v>12163</v>
      </c>
      <c r="AY19" s="137" t="s">
        <v>613</v>
      </c>
      <c r="AZ19" s="125"/>
      <c r="BA19" s="132"/>
      <c r="BB19" s="140"/>
      <c r="BC19" s="151">
        <v>48000</v>
      </c>
      <c r="BD19" s="137" t="s">
        <v>1045</v>
      </c>
      <c r="BE19" s="136">
        <v>12505</v>
      </c>
      <c r="BF19" s="137" t="s">
        <v>613</v>
      </c>
      <c r="BG19" s="125"/>
      <c r="BH19" s="151">
        <v>48000</v>
      </c>
      <c r="BI19" s="137" t="s">
        <v>1045</v>
      </c>
      <c r="BJ19" s="136">
        <v>12856</v>
      </c>
      <c r="BK19" s="137" t="s">
        <v>613</v>
      </c>
      <c r="BL19" s="125"/>
      <c r="BM19" s="151">
        <v>48000</v>
      </c>
      <c r="BN19" s="137" t="s">
        <v>1045</v>
      </c>
      <c r="BO19" s="136">
        <v>113218</v>
      </c>
      <c r="BP19" s="137" t="s">
        <v>613</v>
      </c>
      <c r="BQ19" s="125"/>
    </row>
    <row r="20" spans="2:69" s="131" customFormat="1" x14ac:dyDescent="0.25">
      <c r="B20" s="132"/>
      <c r="C20" s="133"/>
      <c r="D20" s="122">
        <v>-1210000</v>
      </c>
      <c r="E20" s="123" t="s">
        <v>1047</v>
      </c>
      <c r="F20" s="124">
        <v>125000</v>
      </c>
      <c r="G20" s="123" t="s">
        <v>1048</v>
      </c>
      <c r="H20" s="125"/>
      <c r="I20" s="122">
        <v>-1249350</v>
      </c>
      <c r="J20" s="123" t="s">
        <v>1047</v>
      </c>
      <c r="K20" s="124">
        <v>11900</v>
      </c>
      <c r="L20" s="123" t="s">
        <v>1049</v>
      </c>
      <c r="M20" s="125"/>
      <c r="N20" s="151">
        <v>-1290000</v>
      </c>
      <c r="O20" s="137" t="s">
        <v>1047</v>
      </c>
      <c r="P20" s="136">
        <v>9200</v>
      </c>
      <c r="Q20" s="137" t="s">
        <v>1049</v>
      </c>
      <c r="R20" s="125"/>
      <c r="S20" s="132"/>
      <c r="T20" s="138"/>
      <c r="U20" s="151">
        <v>-1331925</v>
      </c>
      <c r="V20" s="137" t="s">
        <v>1047</v>
      </c>
      <c r="W20" s="136">
        <v>9800</v>
      </c>
      <c r="X20" s="137" t="s">
        <v>1049</v>
      </c>
      <c r="Y20" s="125"/>
      <c r="Z20" s="151">
        <v>-1375212</v>
      </c>
      <c r="AA20" s="137" t="s">
        <v>1047</v>
      </c>
      <c r="AB20" s="136">
        <v>9600</v>
      </c>
      <c r="AC20" s="137" t="s">
        <v>1049</v>
      </c>
      <c r="AD20" s="125"/>
      <c r="AE20" s="151">
        <v>-1419907</v>
      </c>
      <c r="AF20" s="137" t="s">
        <v>1047</v>
      </c>
      <c r="AG20" s="136">
        <v>12700</v>
      </c>
      <c r="AH20" s="137" t="s">
        <v>1049</v>
      </c>
      <c r="AI20" s="125"/>
      <c r="AJ20" s="132"/>
      <c r="AK20" s="139"/>
      <c r="AL20" s="151">
        <v>-1466054</v>
      </c>
      <c r="AM20" s="137" t="s">
        <v>1047</v>
      </c>
      <c r="AN20" s="136">
        <v>10000</v>
      </c>
      <c r="AO20" s="137" t="s">
        <v>1049</v>
      </c>
      <c r="AP20" s="125"/>
      <c r="AQ20" s="151">
        <v>-1512012</v>
      </c>
      <c r="AR20" s="137" t="s">
        <v>1047</v>
      </c>
      <c r="AS20" s="136">
        <v>10700</v>
      </c>
      <c r="AT20" s="137" t="s">
        <v>1049</v>
      </c>
      <c r="AU20" s="125"/>
      <c r="AV20" s="151">
        <v>-1559350</v>
      </c>
      <c r="AW20" s="137" t="s">
        <v>1047</v>
      </c>
      <c r="AX20" s="136">
        <v>10500</v>
      </c>
      <c r="AY20" s="137" t="s">
        <v>1049</v>
      </c>
      <c r="AZ20" s="125"/>
      <c r="BA20" s="132"/>
      <c r="BB20" s="140"/>
      <c r="BC20" s="151">
        <v>-1608107</v>
      </c>
      <c r="BD20" s="137" t="s">
        <v>1047</v>
      </c>
      <c r="BE20" s="136">
        <v>11100</v>
      </c>
      <c r="BF20" s="137" t="s">
        <v>1049</v>
      </c>
      <c r="BG20" s="125"/>
      <c r="BH20" s="151">
        <v>-1658328</v>
      </c>
      <c r="BI20" s="137" t="s">
        <v>1047</v>
      </c>
      <c r="BJ20" s="136">
        <v>11400</v>
      </c>
      <c r="BK20" s="137" t="s">
        <v>1049</v>
      </c>
      <c r="BL20" s="125"/>
      <c r="BM20" s="151">
        <v>-1710054</v>
      </c>
      <c r="BN20" s="137" t="s">
        <v>1047</v>
      </c>
      <c r="BO20" s="136">
        <v>11400</v>
      </c>
      <c r="BP20" s="137" t="s">
        <v>1049</v>
      </c>
      <c r="BQ20" s="125"/>
    </row>
    <row r="21" spans="2:69" s="131" customFormat="1" x14ac:dyDescent="0.25">
      <c r="B21" s="132"/>
      <c r="C21" s="133"/>
      <c r="D21" s="122">
        <v>305000</v>
      </c>
      <c r="E21" s="123" t="s">
        <v>1050</v>
      </c>
      <c r="F21" s="124">
        <v>10000</v>
      </c>
      <c r="G21" s="123" t="s">
        <v>613</v>
      </c>
      <c r="H21" s="125"/>
      <c r="I21" s="122">
        <v>305000</v>
      </c>
      <c r="J21" s="123" t="s">
        <v>1050</v>
      </c>
      <c r="K21" s="124">
        <v>20000</v>
      </c>
      <c r="L21" s="123" t="s">
        <v>611</v>
      </c>
      <c r="M21" s="125"/>
      <c r="N21" s="151">
        <v>305000</v>
      </c>
      <c r="O21" s="137" t="s">
        <v>1050</v>
      </c>
      <c r="P21" s="136">
        <v>15000</v>
      </c>
      <c r="Q21" s="137" t="s">
        <v>1051</v>
      </c>
      <c r="R21" s="125"/>
      <c r="S21" s="132"/>
      <c r="T21" s="138"/>
      <c r="U21" s="151">
        <v>305000</v>
      </c>
      <c r="V21" s="137" t="s">
        <v>1050</v>
      </c>
      <c r="W21" s="128"/>
      <c r="X21" s="127"/>
      <c r="Y21" s="125"/>
      <c r="Z21" s="151">
        <v>305000</v>
      </c>
      <c r="AA21" s="137" t="s">
        <v>1050</v>
      </c>
      <c r="AB21" s="136">
        <v>25000</v>
      </c>
      <c r="AC21" s="137" t="s">
        <v>1052</v>
      </c>
      <c r="AD21" s="125"/>
      <c r="AE21" s="151">
        <v>305000</v>
      </c>
      <c r="AF21" s="137" t="s">
        <v>1050</v>
      </c>
      <c r="AG21" s="136">
        <v>15000</v>
      </c>
      <c r="AH21" s="137" t="s">
        <v>1051</v>
      </c>
      <c r="AI21" s="125"/>
      <c r="AJ21" s="132"/>
      <c r="AK21" s="139"/>
      <c r="AL21" s="151">
        <v>305000</v>
      </c>
      <c r="AM21" s="137" t="s">
        <v>1050</v>
      </c>
      <c r="AN21" s="136">
        <v>135000</v>
      </c>
      <c r="AO21" s="137" t="s">
        <v>1048</v>
      </c>
      <c r="AP21" s="125"/>
      <c r="AQ21" s="151">
        <v>305000</v>
      </c>
      <c r="AR21" s="137" t="s">
        <v>1050</v>
      </c>
      <c r="AS21" s="136">
        <v>24000</v>
      </c>
      <c r="AT21" s="137" t="s">
        <v>611</v>
      </c>
      <c r="AU21" s="125"/>
      <c r="AV21" s="151">
        <v>305000</v>
      </c>
      <c r="AW21" s="137" t="s">
        <v>1050</v>
      </c>
      <c r="AX21" s="136">
        <v>15000</v>
      </c>
      <c r="AY21" s="137" t="s">
        <v>1051</v>
      </c>
      <c r="AZ21" s="125"/>
      <c r="BA21" s="132"/>
      <c r="BB21" s="140"/>
      <c r="BC21" s="151">
        <v>305000</v>
      </c>
      <c r="BD21" s="137" t="s">
        <v>1050</v>
      </c>
      <c r="BE21" s="136">
        <v>25000</v>
      </c>
      <c r="BF21" s="137" t="s">
        <v>1053</v>
      </c>
      <c r="BG21" s="125"/>
      <c r="BH21" s="151">
        <v>305000</v>
      </c>
      <c r="BI21" s="137" t="s">
        <v>1050</v>
      </c>
      <c r="BJ21" s="136">
        <v>26000</v>
      </c>
      <c r="BK21" s="137" t="s">
        <v>611</v>
      </c>
      <c r="BL21" s="125"/>
      <c r="BM21" s="151">
        <v>305000</v>
      </c>
      <c r="BN21" s="137" t="s">
        <v>1050</v>
      </c>
      <c r="BO21" s="136"/>
      <c r="BP21" s="137"/>
      <c r="BQ21" s="125"/>
    </row>
    <row r="22" spans="2:69" s="131" customFormat="1" x14ac:dyDescent="0.25">
      <c r="B22" s="132"/>
      <c r="C22" s="133"/>
      <c r="D22" s="122"/>
      <c r="E22" s="123"/>
      <c r="F22" s="124">
        <v>10000</v>
      </c>
      <c r="G22" s="123" t="s">
        <v>1049</v>
      </c>
      <c r="H22" s="125"/>
      <c r="I22" s="122"/>
      <c r="J22" s="123"/>
      <c r="K22" s="124">
        <v>300000</v>
      </c>
      <c r="L22" s="123" t="s">
        <v>1054</v>
      </c>
      <c r="M22" s="125"/>
      <c r="N22" s="151">
        <v>-80000</v>
      </c>
      <c r="O22" s="137" t="s">
        <v>1055</v>
      </c>
      <c r="P22" s="136">
        <v>25000</v>
      </c>
      <c r="Q22" s="137" t="s">
        <v>1053</v>
      </c>
      <c r="R22" s="125"/>
      <c r="S22" s="132"/>
      <c r="T22" s="138"/>
      <c r="U22" s="126"/>
      <c r="V22" s="127"/>
      <c r="W22" s="128"/>
      <c r="X22" s="127"/>
      <c r="Y22" s="125"/>
      <c r="Z22" s="126"/>
      <c r="AA22" s="127"/>
      <c r="AB22" s="136">
        <v>22000</v>
      </c>
      <c r="AC22" s="137" t="s">
        <v>611</v>
      </c>
      <c r="AD22" s="125"/>
      <c r="AE22" s="126"/>
      <c r="AF22" s="127"/>
      <c r="AG22" s="136">
        <v>25000</v>
      </c>
      <c r="AH22" s="137" t="s">
        <v>1053</v>
      </c>
      <c r="AI22" s="125"/>
      <c r="AJ22" s="132"/>
      <c r="AK22" s="139"/>
      <c r="AL22" s="126"/>
      <c r="AM22" s="127"/>
      <c r="AN22" s="128"/>
      <c r="AO22" s="127"/>
      <c r="AP22" s="125"/>
      <c r="AQ22" s="126"/>
      <c r="AR22" s="127"/>
      <c r="AS22" s="128"/>
      <c r="AT22" s="127"/>
      <c r="AU22" s="125"/>
      <c r="AV22" s="126"/>
      <c r="AW22" s="127"/>
      <c r="AX22" s="136">
        <v>27000</v>
      </c>
      <c r="AY22" s="137" t="s">
        <v>1056</v>
      </c>
      <c r="AZ22" s="125"/>
      <c r="BA22" s="132"/>
      <c r="BB22" s="140"/>
      <c r="BC22" s="126"/>
      <c r="BD22" s="127"/>
      <c r="BE22" s="128"/>
      <c r="BF22" s="127"/>
      <c r="BG22" s="125"/>
      <c r="BH22" s="126"/>
      <c r="BI22" s="127"/>
      <c r="BJ22" s="128"/>
      <c r="BK22" s="127"/>
      <c r="BL22" s="125"/>
      <c r="BM22" s="126"/>
      <c r="BN22" s="127"/>
      <c r="BO22" s="136">
        <v>135000</v>
      </c>
      <c r="BP22" s="137" t="s">
        <v>614</v>
      </c>
      <c r="BQ22" s="125"/>
    </row>
    <row r="23" spans="2:69" s="131" customFormat="1" x14ac:dyDescent="0.25">
      <c r="B23" s="132"/>
      <c r="C23" s="133"/>
      <c r="D23" s="122"/>
      <c r="E23" s="123"/>
      <c r="F23" s="124"/>
      <c r="G23" s="123"/>
      <c r="H23" s="125"/>
      <c r="I23" s="122"/>
      <c r="J23" s="123"/>
      <c r="K23" s="124"/>
      <c r="L23" s="123"/>
      <c r="M23" s="125"/>
      <c r="N23" s="126"/>
      <c r="O23" s="127"/>
      <c r="P23" s="136">
        <v>60000</v>
      </c>
      <c r="Q23" s="137" t="s">
        <v>796</v>
      </c>
      <c r="R23" s="125"/>
      <c r="S23" s="132"/>
      <c r="T23" s="138"/>
      <c r="U23" s="126"/>
      <c r="V23" s="127"/>
      <c r="W23" s="128"/>
      <c r="X23" s="127"/>
      <c r="Y23" s="125"/>
      <c r="Z23" s="126"/>
      <c r="AA23" s="127"/>
      <c r="AB23" s="156"/>
      <c r="AC23" s="137"/>
      <c r="AD23" s="125"/>
      <c r="AE23" s="126"/>
      <c r="AF23" s="127"/>
      <c r="AG23" s="136"/>
      <c r="AH23" s="137"/>
      <c r="AI23" s="125"/>
      <c r="AJ23" s="132"/>
      <c r="AK23" s="139"/>
      <c r="AL23" s="126"/>
      <c r="AM23" s="127"/>
      <c r="AN23" s="128"/>
      <c r="AO23" s="127"/>
      <c r="AP23" s="125"/>
      <c r="AQ23" s="126"/>
      <c r="AR23" s="127"/>
      <c r="AS23" s="128"/>
      <c r="AT23" s="127"/>
      <c r="AU23" s="125"/>
      <c r="AV23" s="126"/>
      <c r="AW23" s="127"/>
      <c r="AX23" s="136"/>
      <c r="AY23" s="137"/>
      <c r="AZ23" s="125"/>
      <c r="BA23" s="132"/>
      <c r="BB23" s="140"/>
      <c r="BC23" s="126"/>
      <c r="BD23" s="127"/>
      <c r="BE23" s="128"/>
      <c r="BF23" s="127"/>
      <c r="BG23" s="125"/>
      <c r="BH23" s="126"/>
      <c r="BI23" s="127"/>
      <c r="BJ23" s="128"/>
      <c r="BK23" s="127"/>
      <c r="BL23" s="125"/>
      <c r="BM23" s="126"/>
      <c r="BN23" s="127"/>
      <c r="BO23" s="136"/>
      <c r="BP23" s="137"/>
      <c r="BQ23" s="125"/>
    </row>
    <row r="24" spans="2:69" s="131" customFormat="1" x14ac:dyDescent="0.25">
      <c r="B24" s="132"/>
      <c r="C24" s="133"/>
      <c r="D24" s="122"/>
      <c r="E24" s="123"/>
      <c r="F24" s="124"/>
      <c r="G24" s="123"/>
      <c r="H24" s="125"/>
      <c r="I24" s="122"/>
      <c r="J24" s="123"/>
      <c r="K24" s="124"/>
      <c r="L24" s="123"/>
      <c r="M24" s="125"/>
      <c r="N24" s="126"/>
      <c r="O24" s="127"/>
      <c r="P24" s="136">
        <v>500000</v>
      </c>
      <c r="Q24" s="137" t="s">
        <v>1057</v>
      </c>
      <c r="R24" s="125"/>
      <c r="S24" s="132"/>
      <c r="T24" s="138"/>
      <c r="U24" s="126"/>
      <c r="V24" s="127"/>
      <c r="W24" s="128"/>
      <c r="X24" s="127"/>
      <c r="Y24" s="125"/>
      <c r="Z24" s="126"/>
      <c r="AA24" s="127"/>
      <c r="AB24" s="156"/>
      <c r="AC24" s="137"/>
      <c r="AD24" s="125"/>
      <c r="AE24" s="126"/>
      <c r="AF24" s="127"/>
      <c r="AG24" s="136"/>
      <c r="AH24" s="137"/>
      <c r="AI24" s="125"/>
      <c r="AJ24" s="132"/>
      <c r="AK24" s="139"/>
      <c r="AL24" s="126"/>
      <c r="AM24" s="127"/>
      <c r="AN24" s="128"/>
      <c r="AO24" s="127"/>
      <c r="AP24" s="125"/>
      <c r="AQ24" s="126"/>
      <c r="AR24" s="127"/>
      <c r="AS24" s="128"/>
      <c r="AT24" s="127"/>
      <c r="AU24" s="125"/>
      <c r="AV24" s="126"/>
      <c r="AW24" s="127"/>
      <c r="AX24" s="136"/>
      <c r="AY24" s="137"/>
      <c r="AZ24" s="125"/>
      <c r="BA24" s="132"/>
      <c r="BB24" s="140"/>
      <c r="BC24" s="126"/>
      <c r="BD24" s="127"/>
      <c r="BE24" s="128"/>
      <c r="BF24" s="127"/>
      <c r="BG24" s="125"/>
      <c r="BH24" s="126"/>
      <c r="BI24" s="127"/>
      <c r="BJ24" s="128"/>
      <c r="BK24" s="127"/>
      <c r="BL24" s="125"/>
      <c r="BM24" s="126"/>
      <c r="BN24" s="127"/>
      <c r="BO24" s="136"/>
      <c r="BP24" s="137"/>
      <c r="BQ24" s="125"/>
    </row>
    <row r="25" spans="2:69" s="131" customFormat="1" x14ac:dyDescent="0.25">
      <c r="B25" s="132"/>
      <c r="C25" s="133"/>
      <c r="D25" s="122"/>
      <c r="E25" s="123"/>
      <c r="F25" s="124">
        <v>2000</v>
      </c>
      <c r="G25" s="123" t="s">
        <v>1058</v>
      </c>
      <c r="H25" s="125"/>
      <c r="I25" s="122"/>
      <c r="J25" s="123"/>
      <c r="K25" s="124"/>
      <c r="L25" s="123"/>
      <c r="M25" s="125"/>
      <c r="N25" s="126"/>
      <c r="O25" s="127"/>
      <c r="P25" s="136">
        <v>20000</v>
      </c>
      <c r="Q25" s="137" t="s">
        <v>1059</v>
      </c>
      <c r="R25" s="125"/>
      <c r="S25" s="132"/>
      <c r="T25" s="138"/>
      <c r="U25" s="126"/>
      <c r="V25" s="127"/>
      <c r="W25" s="128"/>
      <c r="X25" s="127"/>
      <c r="Y25" s="125"/>
      <c r="Z25" s="126"/>
      <c r="AA25" s="127"/>
      <c r="AB25" s="151">
        <v>25000</v>
      </c>
      <c r="AC25" s="137" t="s">
        <v>1060</v>
      </c>
      <c r="AD25" s="125"/>
      <c r="AE25" s="126"/>
      <c r="AF25" s="127"/>
      <c r="AG25" s="128"/>
      <c r="AH25" s="127"/>
      <c r="AI25" s="125"/>
      <c r="AJ25" s="132"/>
      <c r="AK25" s="139"/>
      <c r="AL25" s="126"/>
      <c r="AM25" s="127"/>
      <c r="AN25" s="128"/>
      <c r="AO25" s="127"/>
      <c r="AP25" s="125"/>
      <c r="AQ25" s="126"/>
      <c r="AR25" s="127"/>
      <c r="AS25" s="128"/>
      <c r="AT25" s="127"/>
      <c r="AU25" s="125"/>
      <c r="AV25" s="126"/>
      <c r="AW25" s="127"/>
      <c r="AX25" s="128"/>
      <c r="AY25" s="127"/>
      <c r="AZ25" s="125"/>
      <c r="BA25" s="132"/>
      <c r="BB25" s="140"/>
      <c r="BC25" s="126"/>
      <c r="BD25" s="127"/>
      <c r="BE25" s="128"/>
      <c r="BF25" s="127"/>
      <c r="BG25" s="125"/>
      <c r="BH25" s="126"/>
      <c r="BI25" s="127"/>
      <c r="BJ25" s="128"/>
      <c r="BK25" s="127"/>
      <c r="BL25" s="125"/>
      <c r="BM25" s="126"/>
      <c r="BN25" s="127"/>
      <c r="BO25" s="128"/>
      <c r="BP25" s="127"/>
      <c r="BQ25" s="125"/>
    </row>
    <row r="26" spans="2:69" s="131" customFormat="1" x14ac:dyDescent="0.25">
      <c r="B26" s="132"/>
      <c r="C26" s="133"/>
      <c r="D26" s="122"/>
      <c r="E26" s="123"/>
      <c r="F26" s="124"/>
      <c r="G26" s="123"/>
      <c r="H26" s="125"/>
      <c r="I26" s="122"/>
      <c r="J26" s="123"/>
      <c r="K26" s="124"/>
      <c r="L26" s="123"/>
      <c r="M26" s="125"/>
      <c r="N26" s="126"/>
      <c r="O26" s="127"/>
      <c r="P26" s="220">
        <v>30000</v>
      </c>
      <c r="Q26" s="137" t="s">
        <v>1096</v>
      </c>
      <c r="R26" s="125"/>
      <c r="S26" s="132"/>
      <c r="T26" s="138"/>
      <c r="U26" s="126"/>
      <c r="V26" s="127"/>
      <c r="W26" s="128"/>
      <c r="X26" s="127"/>
      <c r="Y26" s="125"/>
      <c r="Z26" s="126"/>
      <c r="AA26" s="127"/>
      <c r="AB26" s="156"/>
      <c r="AC26" s="137"/>
      <c r="AD26" s="125"/>
      <c r="AE26" s="126"/>
      <c r="AF26" s="127"/>
      <c r="AG26" s="128"/>
      <c r="AH26" s="127"/>
      <c r="AI26" s="125"/>
      <c r="AJ26" s="132"/>
      <c r="AK26" s="139"/>
      <c r="AL26" s="126"/>
      <c r="AM26" s="127"/>
      <c r="AN26" s="128"/>
      <c r="AO26" s="127"/>
      <c r="AP26" s="125"/>
      <c r="AQ26" s="126"/>
      <c r="AR26" s="127"/>
      <c r="AS26" s="128"/>
      <c r="AT26" s="127"/>
      <c r="AU26" s="125"/>
      <c r="AV26" s="126"/>
      <c r="AW26" s="127"/>
      <c r="AX26" s="128"/>
      <c r="AY26" s="127"/>
      <c r="AZ26" s="125"/>
      <c r="BA26" s="132"/>
      <c r="BB26" s="140"/>
      <c r="BC26" s="126"/>
      <c r="BD26" s="127"/>
      <c r="BE26" s="128"/>
      <c r="BF26" s="127"/>
      <c r="BG26" s="125"/>
      <c r="BH26" s="126"/>
      <c r="BI26" s="127"/>
      <c r="BJ26" s="128"/>
      <c r="BK26" s="127"/>
      <c r="BL26" s="125"/>
      <c r="BM26" s="126"/>
      <c r="BN26" s="127"/>
      <c r="BO26" s="128"/>
      <c r="BP26" s="127"/>
      <c r="BQ26" s="125"/>
    </row>
    <row r="27" spans="2:69" s="131" customFormat="1" x14ac:dyDescent="0.25">
      <c r="B27" s="132"/>
      <c r="C27" s="133"/>
      <c r="D27" s="143">
        <f>SUM(D18:D25)</f>
        <v>587500</v>
      </c>
      <c r="E27" s="144"/>
      <c r="F27" s="145">
        <f>SUM(F18:F25)</f>
        <v>677000</v>
      </c>
      <c r="G27" s="144"/>
      <c r="H27" s="146"/>
      <c r="I27" s="143">
        <f>SUM(I18:I25)</f>
        <v>704050</v>
      </c>
      <c r="J27" s="144"/>
      <c r="K27" s="145">
        <f>SUM(K18:K25)</f>
        <v>808900</v>
      </c>
      <c r="L27" s="144"/>
      <c r="M27" s="146"/>
      <c r="N27" s="147">
        <f>SUM(N18:N25)</f>
        <v>635420</v>
      </c>
      <c r="O27" s="148"/>
      <c r="P27" s="149">
        <f>SUM(P18:P26)</f>
        <v>1077012</v>
      </c>
      <c r="Q27" s="148"/>
      <c r="R27" s="146"/>
      <c r="S27" s="132"/>
      <c r="T27" s="138"/>
      <c r="U27" s="147">
        <f>SUM(U18:U25)</f>
        <v>727199</v>
      </c>
      <c r="V27" s="148"/>
      <c r="W27" s="149">
        <f>SUM(W18:W25)</f>
        <v>494455</v>
      </c>
      <c r="X27" s="148"/>
      <c r="Y27" s="146"/>
      <c r="Z27" s="147">
        <f>SUM(Z18:Z25)</f>
        <v>739361</v>
      </c>
      <c r="AA27" s="148"/>
      <c r="AB27" s="149">
        <f>SUM(AB18:AB25)</f>
        <v>269151</v>
      </c>
      <c r="AC27" s="148"/>
      <c r="AD27" s="146"/>
      <c r="AE27" s="147">
        <f>SUM(AE18:AE25)</f>
        <v>751917</v>
      </c>
      <c r="AF27" s="148"/>
      <c r="AG27" s="149">
        <f>SUM(AG18:AG25)</f>
        <v>402200</v>
      </c>
      <c r="AH27" s="148"/>
      <c r="AI27" s="146"/>
      <c r="AJ27" s="132"/>
      <c r="AK27" s="139"/>
      <c r="AL27" s="147">
        <f>SUM(AL18:AL25)</f>
        <v>764882</v>
      </c>
      <c r="AM27" s="148"/>
      <c r="AN27" s="149">
        <f>SUM(AN18:AN25)</f>
        <v>597283</v>
      </c>
      <c r="AO27" s="148"/>
      <c r="AP27" s="146"/>
      <c r="AQ27" s="147">
        <f>SUM(AQ18:AQ25)</f>
        <v>775267</v>
      </c>
      <c r="AR27" s="148"/>
      <c r="AS27" s="149">
        <f>SUM(AS18:AS25)</f>
        <v>539852</v>
      </c>
      <c r="AT27" s="148"/>
      <c r="AU27" s="146"/>
      <c r="AV27" s="147">
        <f>SUM(AV18:AV25)</f>
        <v>785962</v>
      </c>
      <c r="AW27" s="148"/>
      <c r="AX27" s="149">
        <f>SUM(AX18:AX25)</f>
        <v>310597</v>
      </c>
      <c r="AY27" s="148"/>
      <c r="AZ27" s="146"/>
      <c r="BA27" s="132"/>
      <c r="BB27" s="140"/>
      <c r="BC27" s="147">
        <f>SUM(BC18:BC25)</f>
        <v>796979</v>
      </c>
      <c r="BD27" s="148"/>
      <c r="BE27" s="149">
        <f>SUM(BE18:BE25)</f>
        <v>597225</v>
      </c>
      <c r="BF27" s="148"/>
      <c r="BG27" s="146"/>
      <c r="BH27" s="147">
        <f>SUM(BH18:BH25)</f>
        <v>808326</v>
      </c>
      <c r="BI27" s="148"/>
      <c r="BJ27" s="149">
        <f>SUM(BJ18:BJ25)</f>
        <v>411638</v>
      </c>
      <c r="BK27" s="148"/>
      <c r="BL27" s="146"/>
      <c r="BM27" s="147">
        <f>SUM(BM18:BM25)</f>
        <v>820015</v>
      </c>
      <c r="BN27" s="148"/>
      <c r="BO27" s="149">
        <f>SUM(BO18:BO25)</f>
        <v>621000</v>
      </c>
      <c r="BP27" s="148"/>
      <c r="BQ27" s="146"/>
    </row>
    <row r="28" spans="2:69" s="131" customFormat="1" x14ac:dyDescent="0.25">
      <c r="B28" s="132" t="s">
        <v>1061</v>
      </c>
      <c r="C28" s="133">
        <v>131310</v>
      </c>
      <c r="D28" s="122">
        <f>399850+5800</f>
        <v>405650</v>
      </c>
      <c r="E28" s="123" t="s">
        <v>1062</v>
      </c>
      <c r="F28" s="124">
        <v>125000</v>
      </c>
      <c r="G28" s="123" t="s">
        <v>1048</v>
      </c>
      <c r="H28" s="125">
        <v>136500</v>
      </c>
      <c r="I28" s="122">
        <v>430400</v>
      </c>
      <c r="J28" s="123" t="s">
        <v>1062</v>
      </c>
      <c r="K28" s="124">
        <v>10000</v>
      </c>
      <c r="L28" s="123" t="s">
        <v>1063</v>
      </c>
      <c r="M28" s="125">
        <v>29340</v>
      </c>
      <c r="N28" s="151">
        <v>494750</v>
      </c>
      <c r="O28" s="137" t="s">
        <v>1062</v>
      </c>
      <c r="P28" s="136">
        <v>30000</v>
      </c>
      <c r="Q28" s="136" t="s">
        <v>1064</v>
      </c>
      <c r="R28" s="125">
        <f>M28+N32-P32</f>
        <v>9240</v>
      </c>
      <c r="S28" s="132" t="s">
        <v>1061</v>
      </c>
      <c r="T28" s="138">
        <f>R28</f>
        <v>9240</v>
      </c>
      <c r="U28" s="151">
        <v>566003</v>
      </c>
      <c r="V28" s="137" t="s">
        <v>1062</v>
      </c>
      <c r="W28" s="136">
        <v>10000</v>
      </c>
      <c r="X28" s="137" t="s">
        <v>1065</v>
      </c>
      <c r="Y28" s="125">
        <f>R28+U32-W32</f>
        <v>37599</v>
      </c>
      <c r="Z28" s="151">
        <v>592773</v>
      </c>
      <c r="AA28" s="137" t="s">
        <v>1062</v>
      </c>
      <c r="AB28" s="136">
        <v>10000</v>
      </c>
      <c r="AC28" s="137" t="s">
        <v>1065</v>
      </c>
      <c r="AD28" s="125">
        <f>Y28+Z32-AB32</f>
        <v>76377</v>
      </c>
      <c r="AE28" s="151">
        <v>620908</v>
      </c>
      <c r="AF28" s="137" t="s">
        <v>1062</v>
      </c>
      <c r="AG28" s="128"/>
      <c r="AH28" s="127"/>
      <c r="AI28" s="125">
        <f>AD28+AE32-AG32</f>
        <v>141401</v>
      </c>
      <c r="AJ28" s="132" t="s">
        <v>1061</v>
      </c>
      <c r="AK28" s="139">
        <v>297420</v>
      </c>
      <c r="AL28" s="151">
        <v>650383</v>
      </c>
      <c r="AM28" s="137" t="s">
        <v>1062</v>
      </c>
      <c r="AN28" s="136">
        <v>135000</v>
      </c>
      <c r="AO28" s="137" t="s">
        <v>1048</v>
      </c>
      <c r="AP28" s="125">
        <f>AI28+AL32-AN32</f>
        <v>83452</v>
      </c>
      <c r="AQ28" s="151">
        <v>681294</v>
      </c>
      <c r="AR28" s="137" t="s">
        <v>1062</v>
      </c>
      <c r="AS28" s="128"/>
      <c r="AT28" s="127"/>
      <c r="AU28" s="125">
        <f>AP28+AQ32-AS32</f>
        <v>173390</v>
      </c>
      <c r="AV28" s="151">
        <v>713713</v>
      </c>
      <c r="AW28" s="137" t="s">
        <v>1062</v>
      </c>
      <c r="AX28" s="128"/>
      <c r="AY28" s="127"/>
      <c r="AZ28" s="125">
        <f>AU28+AV32-AX32</f>
        <v>277126</v>
      </c>
      <c r="BA28" s="132" t="s">
        <v>1061</v>
      </c>
      <c r="BB28" s="140">
        <f>AZ28</f>
        <v>277126</v>
      </c>
      <c r="BC28" s="151">
        <v>747714</v>
      </c>
      <c r="BD28" s="137" t="s">
        <v>1062</v>
      </c>
      <c r="BE28" s="128"/>
      <c r="BF28" s="127"/>
      <c r="BG28" s="125">
        <f>AZ28+BC32-BE32</f>
        <v>395624</v>
      </c>
      <c r="BH28" s="151">
        <v>783376</v>
      </c>
      <c r="BI28" s="137" t="s">
        <v>1062</v>
      </c>
      <c r="BJ28" s="128"/>
      <c r="BK28" s="127"/>
      <c r="BL28" s="125">
        <f>BG28+BH32-BJ32</f>
        <v>529906</v>
      </c>
      <c r="BM28" s="151">
        <v>820781</v>
      </c>
      <c r="BN28" s="137" t="s">
        <v>1062</v>
      </c>
      <c r="BO28" s="136">
        <v>135000</v>
      </c>
      <c r="BP28" s="137" t="s">
        <v>614</v>
      </c>
      <c r="BQ28" s="125">
        <f>BL28+BM32-BO32</f>
        <v>546053</v>
      </c>
    </row>
    <row r="29" spans="2:69" s="131" customFormat="1" x14ac:dyDescent="0.25">
      <c r="B29" s="132"/>
      <c r="C29" s="133"/>
      <c r="D29" s="122">
        <v>-353490</v>
      </c>
      <c r="E29" s="123" t="s">
        <v>1066</v>
      </c>
      <c r="F29" s="124">
        <v>10000</v>
      </c>
      <c r="G29" s="123" t="s">
        <v>1063</v>
      </c>
      <c r="H29" s="125"/>
      <c r="I29" s="122">
        <v>-443759</v>
      </c>
      <c r="J29" s="123" t="s">
        <v>1066</v>
      </c>
      <c r="K29" s="124">
        <v>40000</v>
      </c>
      <c r="L29" s="123" t="s">
        <v>1067</v>
      </c>
      <c r="M29" s="125"/>
      <c r="N29" s="151">
        <v>-488350</v>
      </c>
      <c r="O29" s="137" t="s">
        <v>1066</v>
      </c>
      <c r="P29" s="220">
        <v>0</v>
      </c>
      <c r="Q29" s="137" t="s">
        <v>1068</v>
      </c>
      <c r="R29" s="125"/>
      <c r="S29" s="132"/>
      <c r="T29" s="138"/>
      <c r="U29" s="151">
        <v>-526144</v>
      </c>
      <c r="V29" s="137" t="s">
        <v>1066</v>
      </c>
      <c r="W29" s="136">
        <v>5000</v>
      </c>
      <c r="X29" s="137" t="s">
        <v>1068</v>
      </c>
      <c r="Y29" s="125"/>
      <c r="Z29" s="151">
        <v>-542495</v>
      </c>
      <c r="AA29" s="137" t="s">
        <v>1066</v>
      </c>
      <c r="AB29" s="136">
        <v>5000</v>
      </c>
      <c r="AC29" s="137" t="s">
        <v>1068</v>
      </c>
      <c r="AD29" s="125"/>
      <c r="AE29" s="151">
        <v>-559384</v>
      </c>
      <c r="AF29" s="137" t="s">
        <v>1066</v>
      </c>
      <c r="AG29" s="128"/>
      <c r="AH29" s="127"/>
      <c r="AI29" s="125"/>
      <c r="AJ29" s="132"/>
      <c r="AK29" s="139"/>
      <c r="AL29" s="151">
        <v>-576832</v>
      </c>
      <c r="AM29" s="137" t="s">
        <v>1066</v>
      </c>
      <c r="AN29" s="128"/>
      <c r="AO29" s="127"/>
      <c r="AP29" s="125"/>
      <c r="AQ29" s="151">
        <v>-594856</v>
      </c>
      <c r="AR29" s="137" t="s">
        <v>1066</v>
      </c>
      <c r="AS29" s="128"/>
      <c r="AT29" s="127"/>
      <c r="AU29" s="125"/>
      <c r="AV29" s="151">
        <v>-613477</v>
      </c>
      <c r="AW29" s="137" t="s">
        <v>1066</v>
      </c>
      <c r="AX29" s="128"/>
      <c r="AY29" s="127"/>
      <c r="AZ29" s="125"/>
      <c r="BA29" s="132"/>
      <c r="BB29" s="140"/>
      <c r="BC29" s="151">
        <v>-632716</v>
      </c>
      <c r="BD29" s="137" t="s">
        <v>1066</v>
      </c>
      <c r="BE29" s="128"/>
      <c r="BF29" s="127"/>
      <c r="BG29" s="125"/>
      <c r="BH29" s="151">
        <v>-652594</v>
      </c>
      <c r="BI29" s="137" t="s">
        <v>1066</v>
      </c>
      <c r="BJ29" s="128"/>
      <c r="BK29" s="127"/>
      <c r="BL29" s="125"/>
      <c r="BM29" s="151">
        <v>-673134</v>
      </c>
      <c r="BN29" s="137" t="s">
        <v>1066</v>
      </c>
      <c r="BO29" s="128"/>
      <c r="BP29" s="127"/>
      <c r="BQ29" s="125"/>
    </row>
    <row r="30" spans="2:69" s="131" customFormat="1" x14ac:dyDescent="0.25">
      <c r="B30" s="132"/>
      <c r="C30" s="133"/>
      <c r="D30" s="122">
        <v>3500</v>
      </c>
      <c r="E30" s="123" t="s">
        <v>1050</v>
      </c>
      <c r="F30" s="124"/>
      <c r="G30" s="123"/>
      <c r="H30" s="125"/>
      <c r="I30" s="122">
        <v>3500</v>
      </c>
      <c r="J30" s="123" t="s">
        <v>1050</v>
      </c>
      <c r="K30" s="124"/>
      <c r="L30" s="123"/>
      <c r="M30" s="125"/>
      <c r="N30" s="151">
        <v>3500</v>
      </c>
      <c r="O30" s="137" t="s">
        <v>1050</v>
      </c>
      <c r="P30" s="128"/>
      <c r="Q30" s="127"/>
      <c r="R30" s="125"/>
      <c r="S30" s="132"/>
      <c r="T30" s="138"/>
      <c r="U30" s="151">
        <v>3500</v>
      </c>
      <c r="V30" s="137" t="s">
        <v>1050</v>
      </c>
      <c r="W30" s="128"/>
      <c r="X30" s="127"/>
      <c r="Y30" s="125"/>
      <c r="Z30" s="151">
        <v>3500</v>
      </c>
      <c r="AA30" s="137" t="s">
        <v>1050</v>
      </c>
      <c r="AB30" s="128"/>
      <c r="AC30" s="127"/>
      <c r="AD30" s="125"/>
      <c r="AE30" s="151">
        <v>3500</v>
      </c>
      <c r="AF30" s="137" t="s">
        <v>1050</v>
      </c>
      <c r="AG30" s="128"/>
      <c r="AH30" s="127"/>
      <c r="AI30" s="125"/>
      <c r="AJ30" s="132"/>
      <c r="AK30" s="139"/>
      <c r="AL30" s="151">
        <v>3500</v>
      </c>
      <c r="AM30" s="137" t="s">
        <v>1050</v>
      </c>
      <c r="AN30" s="128"/>
      <c r="AO30" s="127"/>
      <c r="AP30" s="125"/>
      <c r="AQ30" s="151">
        <v>3500</v>
      </c>
      <c r="AR30" s="137" t="s">
        <v>1050</v>
      </c>
      <c r="AS30" s="128"/>
      <c r="AT30" s="127"/>
      <c r="AU30" s="125"/>
      <c r="AV30" s="151">
        <v>3500</v>
      </c>
      <c r="AW30" s="137" t="s">
        <v>1050</v>
      </c>
      <c r="AX30" s="128"/>
      <c r="AY30" s="127"/>
      <c r="AZ30" s="125"/>
      <c r="BA30" s="132"/>
      <c r="BB30" s="140"/>
      <c r="BC30" s="151">
        <v>3500</v>
      </c>
      <c r="BD30" s="137" t="s">
        <v>1050</v>
      </c>
      <c r="BE30" s="128"/>
      <c r="BF30" s="127"/>
      <c r="BG30" s="125"/>
      <c r="BH30" s="151">
        <v>3500</v>
      </c>
      <c r="BI30" s="137" t="s">
        <v>1050</v>
      </c>
      <c r="BJ30" s="128"/>
      <c r="BK30" s="127"/>
      <c r="BL30" s="125"/>
      <c r="BM30" s="151">
        <v>3500</v>
      </c>
      <c r="BN30" s="137" t="s">
        <v>1050</v>
      </c>
      <c r="BO30" s="128"/>
      <c r="BP30" s="127"/>
      <c r="BQ30" s="125"/>
    </row>
    <row r="31" spans="2:69" s="131" customFormat="1" x14ac:dyDescent="0.25">
      <c r="B31" s="132"/>
      <c r="C31" s="133"/>
      <c r="D31" s="122">
        <v>30000</v>
      </c>
      <c r="E31" s="123" t="s">
        <v>1069</v>
      </c>
      <c r="F31" s="124"/>
      <c r="G31" s="123"/>
      <c r="H31" s="125"/>
      <c r="I31" s="122"/>
      <c r="J31" s="123"/>
      <c r="K31" s="124"/>
      <c r="L31" s="123"/>
      <c r="M31" s="125"/>
      <c r="N31" s="126"/>
      <c r="O31" s="127"/>
      <c r="P31" s="128"/>
      <c r="Q31" s="127"/>
      <c r="R31" s="125"/>
      <c r="S31" s="132"/>
      <c r="T31" s="138"/>
      <c r="U31" s="126"/>
      <c r="V31" s="127"/>
      <c r="W31" s="128"/>
      <c r="X31" s="127"/>
      <c r="Y31" s="125"/>
      <c r="Z31" s="126"/>
      <c r="AA31" s="127"/>
      <c r="AB31" s="128"/>
      <c r="AC31" s="127"/>
      <c r="AD31" s="125"/>
      <c r="AE31" s="126"/>
      <c r="AF31" s="127"/>
      <c r="AG31" s="128"/>
      <c r="AH31" s="127"/>
      <c r="AI31" s="125"/>
      <c r="AJ31" s="132"/>
      <c r="AK31" s="139"/>
      <c r="AL31" s="126"/>
      <c r="AM31" s="127"/>
      <c r="AN31" s="128"/>
      <c r="AO31" s="127"/>
      <c r="AP31" s="125"/>
      <c r="AQ31" s="126"/>
      <c r="AR31" s="127"/>
      <c r="AS31" s="128"/>
      <c r="AT31" s="127"/>
      <c r="AU31" s="125"/>
      <c r="AV31" s="126"/>
      <c r="AW31" s="127"/>
      <c r="AX31" s="128"/>
      <c r="AY31" s="127"/>
      <c r="AZ31" s="125"/>
      <c r="BA31" s="132"/>
      <c r="BB31" s="140"/>
      <c r="BC31" s="126"/>
      <c r="BD31" s="127"/>
      <c r="BE31" s="128"/>
      <c r="BF31" s="127"/>
      <c r="BG31" s="125"/>
      <c r="BH31" s="126"/>
      <c r="BI31" s="127"/>
      <c r="BJ31" s="128"/>
      <c r="BK31" s="127"/>
      <c r="BL31" s="125"/>
      <c r="BM31" s="126"/>
      <c r="BN31" s="127"/>
      <c r="BO31" s="128"/>
      <c r="BP31" s="127"/>
      <c r="BQ31" s="125"/>
    </row>
    <row r="32" spans="2:69" s="131" customFormat="1" x14ac:dyDescent="0.25">
      <c r="B32" s="132"/>
      <c r="C32" s="133"/>
      <c r="D32" s="143">
        <f>SUM(D28:D31)</f>
        <v>85660</v>
      </c>
      <c r="E32" s="144"/>
      <c r="F32" s="145">
        <f>SUM(F28:F31)</f>
        <v>135000</v>
      </c>
      <c r="G32" s="144"/>
      <c r="H32" s="146"/>
      <c r="I32" s="143">
        <f>SUM(I28:I31)</f>
        <v>-9859</v>
      </c>
      <c r="J32" s="144"/>
      <c r="K32" s="145">
        <f>SUM(K28:K31)</f>
        <v>50000</v>
      </c>
      <c r="L32" s="144"/>
      <c r="M32" s="146"/>
      <c r="N32" s="147">
        <f>SUM(N28:N31)</f>
        <v>9900</v>
      </c>
      <c r="O32" s="148"/>
      <c r="P32" s="149">
        <f>SUM(P28:P31)</f>
        <v>30000</v>
      </c>
      <c r="Q32" s="148"/>
      <c r="R32" s="146"/>
      <c r="S32" s="132"/>
      <c r="T32" s="138"/>
      <c r="U32" s="147">
        <f>SUM(U28:U31)</f>
        <v>43359</v>
      </c>
      <c r="V32" s="148"/>
      <c r="W32" s="149">
        <f>SUM(W28:W31)</f>
        <v>15000</v>
      </c>
      <c r="X32" s="148"/>
      <c r="Y32" s="146"/>
      <c r="Z32" s="147">
        <f>SUM(Z28:Z31)</f>
        <v>53778</v>
      </c>
      <c r="AA32" s="148"/>
      <c r="AB32" s="149">
        <f>SUM(AB28:AB31)</f>
        <v>15000</v>
      </c>
      <c r="AC32" s="148"/>
      <c r="AD32" s="146"/>
      <c r="AE32" s="147">
        <f>SUM(AE28:AE31)</f>
        <v>65024</v>
      </c>
      <c r="AF32" s="148"/>
      <c r="AG32" s="149">
        <f>SUM(AG28:AG31)</f>
        <v>0</v>
      </c>
      <c r="AH32" s="148"/>
      <c r="AI32" s="146"/>
      <c r="AJ32" s="132"/>
      <c r="AK32" s="139"/>
      <c r="AL32" s="147">
        <f>SUM(AL28:AL31)</f>
        <v>77051</v>
      </c>
      <c r="AM32" s="148"/>
      <c r="AN32" s="149">
        <f>SUM(AN28:AN31)</f>
        <v>135000</v>
      </c>
      <c r="AO32" s="148"/>
      <c r="AP32" s="146"/>
      <c r="AQ32" s="147">
        <f>SUM(AQ28:AQ31)</f>
        <v>89938</v>
      </c>
      <c r="AR32" s="148"/>
      <c r="AS32" s="149">
        <f>SUM(AS28:AS31)</f>
        <v>0</v>
      </c>
      <c r="AT32" s="148"/>
      <c r="AU32" s="146"/>
      <c r="AV32" s="147">
        <f>SUM(AV28:AV31)</f>
        <v>103736</v>
      </c>
      <c r="AW32" s="148"/>
      <c r="AX32" s="149">
        <f>SUM(AX28:AX31)</f>
        <v>0</v>
      </c>
      <c r="AY32" s="148"/>
      <c r="AZ32" s="146"/>
      <c r="BA32" s="132"/>
      <c r="BB32" s="140"/>
      <c r="BC32" s="147">
        <f>SUM(BC28:BC31)</f>
        <v>118498</v>
      </c>
      <c r="BD32" s="148"/>
      <c r="BE32" s="149">
        <f>SUM(BE28:BE31)</f>
        <v>0</v>
      </c>
      <c r="BF32" s="148"/>
      <c r="BG32" s="146"/>
      <c r="BH32" s="147">
        <f>SUM(BH28:BH31)</f>
        <v>134282</v>
      </c>
      <c r="BI32" s="148"/>
      <c r="BJ32" s="149">
        <f>SUM(BJ28:BJ31)</f>
        <v>0</v>
      </c>
      <c r="BK32" s="148"/>
      <c r="BL32" s="146"/>
      <c r="BM32" s="147">
        <f>SUM(BM28:BM31)</f>
        <v>151147</v>
      </c>
      <c r="BN32" s="148"/>
      <c r="BO32" s="149">
        <f>SUM(BO28:BO31)</f>
        <v>135000</v>
      </c>
      <c r="BP32" s="148"/>
      <c r="BQ32" s="146"/>
    </row>
    <row r="33" spans="2:69" s="131" customFormat="1" x14ac:dyDescent="0.25">
      <c r="B33" s="132" t="s">
        <v>1070</v>
      </c>
      <c r="C33" s="133">
        <v>21830</v>
      </c>
      <c r="D33" s="122">
        <v>5650</v>
      </c>
      <c r="E33" s="123" t="s">
        <v>1071</v>
      </c>
      <c r="F33" s="124"/>
      <c r="G33" s="123"/>
      <c r="H33" s="125">
        <v>28360</v>
      </c>
      <c r="I33" s="122">
        <v>14850</v>
      </c>
      <c r="J33" s="123"/>
      <c r="K33" s="124"/>
      <c r="L33" s="123"/>
      <c r="M33" s="125">
        <v>42540</v>
      </c>
      <c r="N33" s="126"/>
      <c r="O33" s="127"/>
      <c r="P33" s="220">
        <v>40000</v>
      </c>
      <c r="Q33" s="127"/>
      <c r="R33" s="125">
        <f>M33+N35-P35</f>
        <v>2540</v>
      </c>
      <c r="S33" s="132" t="s">
        <v>1070</v>
      </c>
      <c r="T33" s="157">
        <f>R33</f>
        <v>2540</v>
      </c>
      <c r="U33" s="127"/>
      <c r="V33" s="127"/>
      <c r="W33" s="128">
        <v>1280</v>
      </c>
      <c r="X33" s="127"/>
      <c r="Y33" s="125">
        <f>R33+U35-W35</f>
        <v>1260</v>
      </c>
      <c r="Z33" s="126"/>
      <c r="AA33" s="127"/>
      <c r="AB33" s="128">
        <v>821</v>
      </c>
      <c r="AC33" s="127"/>
      <c r="AD33" s="125">
        <f>Y33+Z35-AB35</f>
        <v>439</v>
      </c>
      <c r="AE33" s="126"/>
      <c r="AF33" s="127"/>
      <c r="AG33" s="128">
        <v>354</v>
      </c>
      <c r="AH33" s="127"/>
      <c r="AI33" s="125">
        <f>AD33+AE35-AG35</f>
        <v>85</v>
      </c>
      <c r="AJ33" s="132" t="s">
        <v>1070</v>
      </c>
      <c r="AK33" s="139">
        <v>25517</v>
      </c>
      <c r="AL33" s="126">
        <v>119</v>
      </c>
      <c r="AM33" s="127"/>
      <c r="AN33" s="128"/>
      <c r="AO33" s="127"/>
      <c r="AP33" s="125">
        <f>AI33+AL35-AN35</f>
        <v>204</v>
      </c>
      <c r="AQ33" s="126">
        <v>601</v>
      </c>
      <c r="AR33" s="127"/>
      <c r="AS33" s="128"/>
      <c r="AT33" s="127"/>
      <c r="AU33" s="125">
        <f>AP33+AQ35-AS35</f>
        <v>805</v>
      </c>
      <c r="AV33" s="126">
        <v>1091</v>
      </c>
      <c r="AW33" s="127"/>
      <c r="AX33" s="128"/>
      <c r="AY33" s="127"/>
      <c r="AZ33" s="125">
        <f>AU33+AV35-AX35</f>
        <v>1896</v>
      </c>
      <c r="BA33" s="132" t="s">
        <v>1070</v>
      </c>
      <c r="BB33" s="140">
        <f>AZ33</f>
        <v>1896</v>
      </c>
      <c r="BC33" s="126"/>
      <c r="BD33" s="127"/>
      <c r="BE33" s="128">
        <v>3412</v>
      </c>
      <c r="BF33" s="127"/>
      <c r="BG33" s="125">
        <f>AZ33+BC35-BE35</f>
        <v>-1516</v>
      </c>
      <c r="BH33" s="126">
        <v>27093</v>
      </c>
      <c r="BI33" s="127"/>
      <c r="BJ33" s="128"/>
      <c r="BK33" s="127"/>
      <c r="BL33" s="125">
        <f>BG33+BH35-BJ35</f>
        <v>25577</v>
      </c>
      <c r="BM33" s="126">
        <v>27605</v>
      </c>
      <c r="BN33" s="127"/>
      <c r="BO33" s="128"/>
      <c r="BP33" s="127"/>
      <c r="BQ33" s="125">
        <f>BL33+BM35-BO35</f>
        <v>53182</v>
      </c>
    </row>
    <row r="34" spans="2:69" s="131" customFormat="1" x14ac:dyDescent="0.25">
      <c r="B34" s="132"/>
      <c r="C34" s="133"/>
      <c r="D34" s="122"/>
      <c r="E34" s="123"/>
      <c r="F34" s="124"/>
      <c r="G34" s="123"/>
      <c r="H34" s="125"/>
      <c r="I34" s="122"/>
      <c r="J34" s="123"/>
      <c r="K34" s="124"/>
      <c r="L34" s="123"/>
      <c r="M34" s="125"/>
      <c r="N34" s="126"/>
      <c r="O34" s="127"/>
      <c r="P34" s="128"/>
      <c r="Q34" s="127"/>
      <c r="R34" s="125"/>
      <c r="S34" s="132"/>
      <c r="T34" s="138"/>
      <c r="U34" s="126"/>
      <c r="V34" s="127"/>
      <c r="W34" s="128"/>
      <c r="X34" s="127"/>
      <c r="Y34" s="125"/>
      <c r="Z34" s="126"/>
      <c r="AA34" s="127"/>
      <c r="AB34" s="128"/>
      <c r="AC34" s="127"/>
      <c r="AD34" s="125"/>
      <c r="AE34" s="126"/>
      <c r="AF34" s="127"/>
      <c r="AG34" s="128"/>
      <c r="AH34" s="127"/>
      <c r="AI34" s="125"/>
      <c r="AJ34" s="132"/>
      <c r="AK34" s="139"/>
      <c r="AL34" s="126"/>
      <c r="AM34" s="127"/>
      <c r="AN34" s="128"/>
      <c r="AO34" s="127"/>
      <c r="AP34" s="125"/>
      <c r="AQ34" s="126"/>
      <c r="AR34" s="127"/>
      <c r="AS34" s="128"/>
      <c r="AT34" s="127"/>
      <c r="AU34" s="125"/>
      <c r="AV34" s="126"/>
      <c r="AW34" s="127"/>
      <c r="AX34" s="128"/>
      <c r="AY34" s="127"/>
      <c r="AZ34" s="125"/>
      <c r="BA34" s="132"/>
      <c r="BB34" s="140"/>
      <c r="BC34" s="126"/>
      <c r="BD34" s="127"/>
      <c r="BE34" s="128"/>
      <c r="BF34" s="127"/>
      <c r="BG34" s="125"/>
      <c r="BH34" s="126"/>
      <c r="BI34" s="127"/>
      <c r="BJ34" s="128"/>
      <c r="BK34" s="127"/>
      <c r="BL34" s="125"/>
      <c r="BM34" s="126"/>
      <c r="BN34" s="127"/>
      <c r="BO34" s="128"/>
      <c r="BP34" s="127"/>
      <c r="BQ34" s="125"/>
    </row>
    <row r="35" spans="2:69" s="131" customFormat="1" x14ac:dyDescent="0.25">
      <c r="B35" s="132"/>
      <c r="C35" s="133"/>
      <c r="D35" s="143">
        <f>SUM(D33:D34)</f>
        <v>5650</v>
      </c>
      <c r="E35" s="144"/>
      <c r="F35" s="145">
        <f>SUM(F33:F34)</f>
        <v>0</v>
      </c>
      <c r="G35" s="144"/>
      <c r="H35" s="146"/>
      <c r="I35" s="143">
        <f>SUM(I33:I34)</f>
        <v>14850</v>
      </c>
      <c r="J35" s="144"/>
      <c r="K35" s="145">
        <f>SUM(K33:K34)</f>
        <v>0</v>
      </c>
      <c r="L35" s="144"/>
      <c r="M35" s="146"/>
      <c r="N35" s="147">
        <f>SUM(N33:N34)</f>
        <v>0</v>
      </c>
      <c r="O35" s="148"/>
      <c r="P35" s="149">
        <f>SUM(P33:P34)</f>
        <v>40000</v>
      </c>
      <c r="Q35" s="148"/>
      <c r="R35" s="146"/>
      <c r="S35" s="132"/>
      <c r="T35" s="138"/>
      <c r="U35" s="147">
        <f>SUM(U33:U34)</f>
        <v>0</v>
      </c>
      <c r="V35" s="148"/>
      <c r="W35" s="149">
        <f>SUM(W33:W34)</f>
        <v>1280</v>
      </c>
      <c r="X35" s="148"/>
      <c r="Y35" s="146"/>
      <c r="Z35" s="147">
        <f>SUM(Z33:Z34)</f>
        <v>0</v>
      </c>
      <c r="AA35" s="148"/>
      <c r="AB35" s="149">
        <f>SUM(AB33:AB34)</f>
        <v>821</v>
      </c>
      <c r="AC35" s="148"/>
      <c r="AD35" s="146"/>
      <c r="AE35" s="147">
        <f>SUM(AE33:AE34)</f>
        <v>0</v>
      </c>
      <c r="AF35" s="148"/>
      <c r="AG35" s="149">
        <f>SUM(AG33:AG34)</f>
        <v>354</v>
      </c>
      <c r="AH35" s="148"/>
      <c r="AI35" s="146"/>
      <c r="AJ35" s="132"/>
      <c r="AK35" s="139"/>
      <c r="AL35" s="147">
        <f>SUM(AL33:AL34)</f>
        <v>119</v>
      </c>
      <c r="AM35" s="148"/>
      <c r="AN35" s="149">
        <f>SUM(AN33:AN34)</f>
        <v>0</v>
      </c>
      <c r="AO35" s="148"/>
      <c r="AP35" s="146"/>
      <c r="AQ35" s="147">
        <f>SUM(AQ33:AQ34)</f>
        <v>601</v>
      </c>
      <c r="AR35" s="148"/>
      <c r="AS35" s="149">
        <f>SUM(AS33:AS34)</f>
        <v>0</v>
      </c>
      <c r="AT35" s="148"/>
      <c r="AU35" s="146"/>
      <c r="AV35" s="147">
        <f>SUM(AV33:AV34)</f>
        <v>1091</v>
      </c>
      <c r="AW35" s="148"/>
      <c r="AX35" s="149">
        <f>SUM(AX33:AX34)</f>
        <v>0</v>
      </c>
      <c r="AY35" s="148"/>
      <c r="AZ35" s="146"/>
      <c r="BA35" s="132"/>
      <c r="BB35" s="140"/>
      <c r="BC35" s="147">
        <f>SUM(BC33:BC34)</f>
        <v>0</v>
      </c>
      <c r="BD35" s="148"/>
      <c r="BE35" s="149">
        <f>SUM(BE33:BE34)</f>
        <v>3412</v>
      </c>
      <c r="BF35" s="148"/>
      <c r="BG35" s="146"/>
      <c r="BH35" s="147">
        <f>SUM(BH33:BH34)</f>
        <v>27093</v>
      </c>
      <c r="BI35" s="148"/>
      <c r="BJ35" s="149">
        <f>SUM(BJ33:BJ34)</f>
        <v>0</v>
      </c>
      <c r="BK35" s="148"/>
      <c r="BL35" s="146"/>
      <c r="BM35" s="147">
        <f>SUM(BM33:BM34)</f>
        <v>27605</v>
      </c>
      <c r="BN35" s="148"/>
      <c r="BO35" s="149">
        <f>SUM(BO33:BO34)</f>
        <v>0</v>
      </c>
      <c r="BP35" s="148"/>
      <c r="BQ35" s="146"/>
    </row>
    <row r="36" spans="2:69" s="131" customFormat="1" x14ac:dyDescent="0.25">
      <c r="B36" s="132" t="s">
        <v>1072</v>
      </c>
      <c r="C36" s="133">
        <v>146565</v>
      </c>
      <c r="D36" s="122">
        <v>718000</v>
      </c>
      <c r="E36" s="123" t="s">
        <v>1073</v>
      </c>
      <c r="F36" s="124">
        <v>14000</v>
      </c>
      <c r="G36" s="123" t="s">
        <v>1074</v>
      </c>
      <c r="H36" s="125">
        <v>167870</v>
      </c>
      <c r="I36" s="122">
        <v>744650</v>
      </c>
      <c r="J36" s="123" t="s">
        <v>1073</v>
      </c>
      <c r="K36" s="124">
        <v>15000</v>
      </c>
      <c r="L36" s="123" t="s">
        <v>1074</v>
      </c>
      <c r="M36" s="125">
        <v>455310</v>
      </c>
      <c r="N36" s="151">
        <v>762000</v>
      </c>
      <c r="O36" s="137" t="s">
        <v>1073</v>
      </c>
      <c r="P36" s="136">
        <v>18550</v>
      </c>
      <c r="Q36" s="137" t="s">
        <v>1074</v>
      </c>
      <c r="R36" s="125">
        <f>M36+N41-P41</f>
        <v>413140</v>
      </c>
      <c r="S36" s="132" t="s">
        <v>1072</v>
      </c>
      <c r="T36" s="138">
        <f>R36</f>
        <v>413140</v>
      </c>
      <c r="U36" s="151">
        <v>781050</v>
      </c>
      <c r="V36" s="137" t="s">
        <v>1073</v>
      </c>
      <c r="W36" s="136">
        <v>19107</v>
      </c>
      <c r="X36" s="137" t="s">
        <v>1074</v>
      </c>
      <c r="Y36" s="125">
        <f>R36+U41-W41</f>
        <v>396713</v>
      </c>
      <c r="Z36" s="151">
        <v>800576</v>
      </c>
      <c r="AA36" s="137" t="s">
        <v>1073</v>
      </c>
      <c r="AB36" s="136">
        <f>W36*1.03</f>
        <v>19680.21</v>
      </c>
      <c r="AC36" s="137" t="s">
        <v>1074</v>
      </c>
      <c r="AD36" s="125">
        <f>Y36+Z41-AB41</f>
        <v>389608.79</v>
      </c>
      <c r="AE36" s="151">
        <v>820591</v>
      </c>
      <c r="AF36" s="137" t="s">
        <v>1073</v>
      </c>
      <c r="AG36" s="136">
        <f>AB36*1.03</f>
        <v>20270.616299999998</v>
      </c>
      <c r="AH36" s="137" t="s">
        <v>1074</v>
      </c>
      <c r="AI36" s="125">
        <f>AD36+AE41-AG41</f>
        <v>414429.17369999998</v>
      </c>
      <c r="AJ36" s="132" t="s">
        <v>1072</v>
      </c>
      <c r="AK36" s="139">
        <v>-315264</v>
      </c>
      <c r="AL36" s="158">
        <v>841105</v>
      </c>
      <c r="AM36" s="137" t="s">
        <v>1073</v>
      </c>
      <c r="AN36" s="136">
        <f>AG36*1.03</f>
        <v>20878.734788999998</v>
      </c>
      <c r="AO36" s="137" t="s">
        <v>1074</v>
      </c>
      <c r="AP36" s="125">
        <f>AI36+AL41-AN41</f>
        <v>435655.43891099998</v>
      </c>
      <c r="AQ36" s="151">
        <v>862133</v>
      </c>
      <c r="AR36" s="137" t="s">
        <v>1073</v>
      </c>
      <c r="AS36" s="136">
        <f>AN36*1.03</f>
        <v>21505.096832669999</v>
      </c>
      <c r="AT36" s="137" t="s">
        <v>1074</v>
      </c>
      <c r="AU36" s="125">
        <f>AP36+AQ41-AS41</f>
        <v>427783.34207833</v>
      </c>
      <c r="AV36" s="137">
        <v>883686</v>
      </c>
      <c r="AW36" s="137" t="s">
        <v>1073</v>
      </c>
      <c r="AX36" s="136">
        <f>AS36*1.03</f>
        <v>22150.249737650098</v>
      </c>
      <c r="AY36" s="137" t="s">
        <v>1074</v>
      </c>
      <c r="AZ36" s="125">
        <f>AU36+AV41-AX41</f>
        <v>403319.0923406799</v>
      </c>
      <c r="BA36" s="132" t="s">
        <v>1072</v>
      </c>
      <c r="BB36" s="140">
        <f>AZ36</f>
        <v>403319.0923406799</v>
      </c>
      <c r="BC36" s="151">
        <v>905779</v>
      </c>
      <c r="BD36" s="137" t="s">
        <v>1073</v>
      </c>
      <c r="BE36" s="136">
        <f>AX36*1.03</f>
        <v>22814.7572297796</v>
      </c>
      <c r="BF36" s="137" t="s">
        <v>1074</v>
      </c>
      <c r="BG36" s="125">
        <f>AZ36+BC41-BE41</f>
        <v>378783.33511090028</v>
      </c>
      <c r="BH36" s="151">
        <v>928423</v>
      </c>
      <c r="BI36" s="137" t="s">
        <v>1073</v>
      </c>
      <c r="BJ36" s="136">
        <f>BE36*1.03</f>
        <v>23499.199946672987</v>
      </c>
      <c r="BK36" s="137" t="s">
        <v>1074</v>
      </c>
      <c r="BL36" s="125">
        <f>BG36+BH41-BJ41</f>
        <v>391207.13516422728</v>
      </c>
      <c r="BM36" s="151">
        <v>951634</v>
      </c>
      <c r="BN36" s="137" t="s">
        <v>1073</v>
      </c>
      <c r="BO36" s="136">
        <f>BJ36*1.03</f>
        <v>24204.175945073177</v>
      </c>
      <c r="BP36" s="137" t="s">
        <v>1074</v>
      </c>
      <c r="BQ36" s="125">
        <f>BL36+BM41-BO41</f>
        <v>426136.95921915409</v>
      </c>
    </row>
    <row r="37" spans="2:69" s="131" customFormat="1" x14ac:dyDescent="0.25">
      <c r="B37" s="132"/>
      <c r="C37" s="133"/>
      <c r="D37" s="122">
        <v>-345700</v>
      </c>
      <c r="E37" s="123" t="s">
        <v>1075</v>
      </c>
      <c r="F37" s="124"/>
      <c r="G37" s="123"/>
      <c r="H37" s="125">
        <v>-180693</v>
      </c>
      <c r="I37" s="122">
        <v>-460740</v>
      </c>
      <c r="J37" s="123" t="s">
        <v>1075</v>
      </c>
      <c r="K37" s="124"/>
      <c r="L37" s="123"/>
      <c r="M37" s="125"/>
      <c r="N37" s="151">
        <v>-446620</v>
      </c>
      <c r="O37" s="137" t="s">
        <v>1075</v>
      </c>
      <c r="P37" s="128">
        <v>20000</v>
      </c>
      <c r="Q37" s="127" t="s">
        <v>1076</v>
      </c>
      <c r="R37" s="125"/>
      <c r="S37" s="132"/>
      <c r="T37" s="138"/>
      <c r="U37" s="151">
        <v>-442370</v>
      </c>
      <c r="V37" s="137" t="s">
        <v>1075</v>
      </c>
      <c r="W37" s="128"/>
      <c r="X37" s="127"/>
      <c r="Y37" s="125"/>
      <c r="Z37" s="151">
        <v>-425000</v>
      </c>
      <c r="AA37" s="137" t="s">
        <v>1075</v>
      </c>
      <c r="AB37" s="128"/>
      <c r="AC37" s="127"/>
      <c r="AD37" s="125"/>
      <c r="AE37" s="151">
        <v>-425000</v>
      </c>
      <c r="AF37" s="137" t="s">
        <v>1075</v>
      </c>
      <c r="AG37" s="128"/>
      <c r="AH37" s="127"/>
      <c r="AI37" s="125"/>
      <c r="AJ37" s="132"/>
      <c r="AK37" s="139"/>
      <c r="AL37" s="151">
        <v>-425000</v>
      </c>
      <c r="AM37" s="137" t="s">
        <v>1075</v>
      </c>
      <c r="AN37" s="128"/>
      <c r="AO37" s="127"/>
      <c r="AP37" s="125"/>
      <c r="AQ37" s="151">
        <v>-445000</v>
      </c>
      <c r="AR37" s="137" t="s">
        <v>1075</v>
      </c>
      <c r="AS37" s="128"/>
      <c r="AT37" s="127"/>
      <c r="AU37" s="125"/>
      <c r="AV37" s="151">
        <v>-490000</v>
      </c>
      <c r="AW37" s="137" t="s">
        <v>1075</v>
      </c>
      <c r="AX37" s="128"/>
      <c r="AY37" s="127"/>
      <c r="AZ37" s="125"/>
      <c r="BA37" s="132"/>
      <c r="BB37" s="140"/>
      <c r="BC37" s="151">
        <v>-490000</v>
      </c>
      <c r="BD37" s="137" t="s">
        <v>1075</v>
      </c>
      <c r="BE37" s="128"/>
      <c r="BF37" s="127"/>
      <c r="BG37" s="125"/>
      <c r="BH37" s="151">
        <v>-490000</v>
      </c>
      <c r="BI37" s="137" t="s">
        <v>1075</v>
      </c>
      <c r="BJ37" s="128"/>
      <c r="BK37" s="127"/>
      <c r="BL37" s="125"/>
      <c r="BM37" s="151">
        <v>-490000</v>
      </c>
      <c r="BN37" s="137" t="s">
        <v>1075</v>
      </c>
      <c r="BO37" s="128"/>
      <c r="BP37" s="127"/>
      <c r="BQ37" s="125"/>
    </row>
    <row r="38" spans="2:69" s="131" customFormat="1" x14ac:dyDescent="0.25">
      <c r="B38" s="132"/>
      <c r="C38" s="133"/>
      <c r="D38" s="122">
        <v>-329000</v>
      </c>
      <c r="E38" s="123" t="s">
        <v>1077</v>
      </c>
      <c r="F38" s="124"/>
      <c r="G38" s="123"/>
      <c r="H38" s="125"/>
      <c r="I38" s="122">
        <v>-277000</v>
      </c>
      <c r="J38" s="123" t="s">
        <v>1077</v>
      </c>
      <c r="K38" s="124"/>
      <c r="L38" s="123"/>
      <c r="M38" s="125"/>
      <c r="N38" s="151">
        <v>-311000</v>
      </c>
      <c r="O38" s="137" t="s">
        <v>1077</v>
      </c>
      <c r="P38" s="220">
        <v>8000</v>
      </c>
      <c r="Q38" s="127" t="s">
        <v>1095</v>
      </c>
      <c r="R38" s="125"/>
      <c r="S38" s="132"/>
      <c r="T38" s="138"/>
      <c r="U38" s="151">
        <v>-336000</v>
      </c>
      <c r="V38" s="137" t="s">
        <v>1077</v>
      </c>
      <c r="W38" s="128"/>
      <c r="X38" s="127"/>
      <c r="Y38" s="125"/>
      <c r="Z38" s="151">
        <v>-363000</v>
      </c>
      <c r="AA38" s="137" t="s">
        <v>1077</v>
      </c>
      <c r="AB38" s="128"/>
      <c r="AC38" s="127"/>
      <c r="AD38" s="125"/>
      <c r="AE38" s="151">
        <v>-350500</v>
      </c>
      <c r="AF38" s="137" t="s">
        <v>1077</v>
      </c>
      <c r="AG38" s="128"/>
      <c r="AH38" s="127"/>
      <c r="AI38" s="125"/>
      <c r="AJ38" s="132"/>
      <c r="AK38" s="139"/>
      <c r="AL38" s="151">
        <v>-374000</v>
      </c>
      <c r="AM38" s="137" t="s">
        <v>1077</v>
      </c>
      <c r="AN38" s="128"/>
      <c r="AO38" s="127"/>
      <c r="AP38" s="125"/>
      <c r="AQ38" s="151">
        <v>-403500</v>
      </c>
      <c r="AR38" s="137" t="s">
        <v>1077</v>
      </c>
      <c r="AS38" s="128"/>
      <c r="AT38" s="127"/>
      <c r="AU38" s="125"/>
      <c r="AV38" s="151">
        <v>-396000</v>
      </c>
      <c r="AW38" s="137" t="s">
        <v>1077</v>
      </c>
      <c r="AX38" s="128"/>
      <c r="AY38" s="127"/>
      <c r="AZ38" s="125"/>
      <c r="BA38" s="132"/>
      <c r="BB38" s="140"/>
      <c r="BC38" s="151">
        <v>-417500</v>
      </c>
      <c r="BD38" s="137" t="s">
        <v>1077</v>
      </c>
      <c r="BE38" s="128"/>
      <c r="BF38" s="127"/>
      <c r="BG38" s="125"/>
      <c r="BH38" s="151">
        <v>-402500</v>
      </c>
      <c r="BI38" s="137" t="s">
        <v>1077</v>
      </c>
      <c r="BJ38" s="128"/>
      <c r="BK38" s="127"/>
      <c r="BL38" s="125"/>
      <c r="BM38" s="151">
        <v>-402500</v>
      </c>
      <c r="BN38" s="137" t="s">
        <v>1077</v>
      </c>
      <c r="BO38" s="128"/>
      <c r="BP38" s="127"/>
      <c r="BQ38" s="125"/>
    </row>
    <row r="39" spans="2:69" s="131" customFormat="1" x14ac:dyDescent="0.25">
      <c r="B39" s="132"/>
      <c r="C39" s="133"/>
      <c r="D39" s="122"/>
      <c r="E39" s="123"/>
      <c r="F39" s="124"/>
      <c r="G39" s="123"/>
      <c r="H39" s="125"/>
      <c r="I39" s="122"/>
      <c r="J39" s="123"/>
      <c r="K39" s="124"/>
      <c r="L39" s="123"/>
      <c r="M39" s="125"/>
      <c r="N39" s="126"/>
      <c r="O39" s="127"/>
      <c r="P39" s="128"/>
      <c r="Q39" s="127"/>
      <c r="R39" s="125"/>
      <c r="S39" s="132"/>
      <c r="T39" s="138"/>
      <c r="U39" s="126"/>
      <c r="V39" s="127"/>
      <c r="W39" s="128"/>
      <c r="X39" s="127"/>
      <c r="Y39" s="125"/>
      <c r="Z39" s="126"/>
      <c r="AA39" s="127"/>
      <c r="AB39" s="128"/>
      <c r="AC39" s="127"/>
      <c r="AD39" s="125"/>
      <c r="AE39" s="126"/>
      <c r="AF39" s="127"/>
      <c r="AG39" s="128"/>
      <c r="AH39" s="127"/>
      <c r="AI39" s="125"/>
      <c r="AJ39" s="132"/>
      <c r="AK39" s="139"/>
      <c r="AL39" s="126"/>
      <c r="AM39" s="127"/>
      <c r="AN39" s="128"/>
      <c r="AO39" s="127"/>
      <c r="AP39" s="125"/>
      <c r="AQ39" s="126"/>
      <c r="AR39" s="127"/>
      <c r="AS39" s="128"/>
      <c r="AT39" s="127"/>
      <c r="AU39" s="125"/>
      <c r="AV39" s="126"/>
      <c r="AW39" s="127"/>
      <c r="AX39" s="128"/>
      <c r="AY39" s="127"/>
      <c r="AZ39" s="125"/>
      <c r="BA39" s="132"/>
      <c r="BB39" s="140"/>
      <c r="BC39" s="126"/>
      <c r="BD39" s="127"/>
      <c r="BE39" s="128"/>
      <c r="BF39" s="127"/>
      <c r="BG39" s="125"/>
      <c r="BH39" s="126"/>
      <c r="BI39" s="127"/>
      <c r="BJ39" s="128"/>
      <c r="BK39" s="127"/>
      <c r="BL39" s="125"/>
      <c r="BM39" s="126"/>
      <c r="BN39" s="127"/>
      <c r="BO39" s="128"/>
      <c r="BP39" s="127"/>
      <c r="BQ39" s="125"/>
    </row>
    <row r="40" spans="2:69" s="131" customFormat="1" x14ac:dyDescent="0.25">
      <c r="B40" s="132"/>
      <c r="C40" s="133"/>
      <c r="D40" s="122"/>
      <c r="E40" s="123"/>
      <c r="F40" s="124"/>
      <c r="G40" s="123"/>
      <c r="H40" s="125"/>
      <c r="I40" s="122"/>
      <c r="J40" s="123"/>
      <c r="K40" s="124"/>
      <c r="L40" s="123"/>
      <c r="M40" s="125"/>
      <c r="N40" s="126"/>
      <c r="O40" s="127"/>
      <c r="P40" s="128"/>
      <c r="Q40" s="127"/>
      <c r="R40" s="125"/>
      <c r="S40" s="132"/>
      <c r="T40" s="138"/>
      <c r="U40" s="126"/>
      <c r="V40" s="127"/>
      <c r="W40" s="128"/>
      <c r="X40" s="127"/>
      <c r="Y40" s="125"/>
      <c r="Z40" s="126"/>
      <c r="AA40" s="127"/>
      <c r="AB40" s="128"/>
      <c r="AC40" s="127"/>
      <c r="AD40" s="125"/>
      <c r="AE40" s="126"/>
      <c r="AF40" s="127"/>
      <c r="AG40" s="128"/>
      <c r="AH40" s="127"/>
      <c r="AI40" s="125"/>
      <c r="AJ40" s="132"/>
      <c r="AK40" s="139"/>
      <c r="AL40" s="126"/>
      <c r="AM40" s="127"/>
      <c r="AN40" s="128"/>
      <c r="AO40" s="127"/>
      <c r="AP40" s="125"/>
      <c r="AQ40" s="126"/>
      <c r="AR40" s="127"/>
      <c r="AS40" s="128"/>
      <c r="AT40" s="127"/>
      <c r="AU40" s="125"/>
      <c r="AV40" s="126"/>
      <c r="AW40" s="127"/>
      <c r="AX40" s="128"/>
      <c r="AY40" s="127"/>
      <c r="AZ40" s="125"/>
      <c r="BA40" s="132"/>
      <c r="BB40" s="140"/>
      <c r="BC40" s="126"/>
      <c r="BD40" s="127"/>
      <c r="BE40" s="128"/>
      <c r="BF40" s="127"/>
      <c r="BG40" s="125"/>
      <c r="BH40" s="126"/>
      <c r="BI40" s="127"/>
      <c r="BJ40" s="128"/>
      <c r="BK40" s="127"/>
      <c r="BL40" s="125"/>
      <c r="BM40" s="126"/>
      <c r="BN40" s="127"/>
      <c r="BO40" s="128"/>
      <c r="BP40" s="127"/>
      <c r="BQ40" s="125"/>
    </row>
    <row r="41" spans="2:69" s="131" customFormat="1" x14ac:dyDescent="0.25">
      <c r="B41" s="132"/>
      <c r="C41" s="133"/>
      <c r="D41" s="143">
        <f>SUM(D36:D40)</f>
        <v>43300</v>
      </c>
      <c r="E41" s="144"/>
      <c r="F41" s="145">
        <f>SUM(F36:F40)</f>
        <v>14000</v>
      </c>
      <c r="G41" s="144"/>
      <c r="H41" s="146"/>
      <c r="I41" s="143">
        <f>SUM(I36:I40)</f>
        <v>6910</v>
      </c>
      <c r="J41" s="144"/>
      <c r="K41" s="145">
        <f>SUM(K36:K40)</f>
        <v>15000</v>
      </c>
      <c r="L41" s="144"/>
      <c r="M41" s="146"/>
      <c r="N41" s="147">
        <f>SUM(N36:N40)</f>
        <v>4380</v>
      </c>
      <c r="O41" s="148"/>
      <c r="P41" s="149">
        <f>SUM(P36:P40)</f>
        <v>46550</v>
      </c>
      <c r="Q41" s="148"/>
      <c r="R41" s="146"/>
      <c r="S41" s="132"/>
      <c r="T41" s="138"/>
      <c r="U41" s="147">
        <f>SUM(U36:U40)</f>
        <v>2680</v>
      </c>
      <c r="V41" s="148"/>
      <c r="W41" s="149">
        <f>SUM(W36:W40)</f>
        <v>19107</v>
      </c>
      <c r="X41" s="148"/>
      <c r="Y41" s="146"/>
      <c r="Z41" s="147">
        <f>SUM(Z36:Z40)</f>
        <v>12576</v>
      </c>
      <c r="AA41" s="148"/>
      <c r="AB41" s="149">
        <f>SUM(AB36:AB40)</f>
        <v>19680.21</v>
      </c>
      <c r="AC41" s="148"/>
      <c r="AD41" s="146"/>
      <c r="AE41" s="147">
        <f>SUM(AE36:AE40)</f>
        <v>45091</v>
      </c>
      <c r="AF41" s="148"/>
      <c r="AG41" s="149">
        <f>SUM(AG36:AG40)</f>
        <v>20270.616299999998</v>
      </c>
      <c r="AH41" s="148"/>
      <c r="AI41" s="146"/>
      <c r="AJ41" s="132"/>
      <c r="AK41" s="139"/>
      <c r="AL41" s="147">
        <f>SUM(AL36:AL40)</f>
        <v>42105</v>
      </c>
      <c r="AM41" s="148"/>
      <c r="AN41" s="149">
        <f>SUM(AN36:AN40)</f>
        <v>20878.734788999998</v>
      </c>
      <c r="AO41" s="148"/>
      <c r="AP41" s="146"/>
      <c r="AQ41" s="147">
        <f>SUM(AQ36:AQ40)</f>
        <v>13633</v>
      </c>
      <c r="AR41" s="148"/>
      <c r="AS41" s="149">
        <f>SUM(AS36:AS40)</f>
        <v>21505.096832669999</v>
      </c>
      <c r="AT41" s="148"/>
      <c r="AU41" s="146"/>
      <c r="AV41" s="147">
        <f>SUM(AV36:AV40)</f>
        <v>-2314</v>
      </c>
      <c r="AW41" s="148"/>
      <c r="AX41" s="149">
        <f>SUM(AX36:AX40)</f>
        <v>22150.249737650098</v>
      </c>
      <c r="AY41" s="148"/>
      <c r="AZ41" s="146"/>
      <c r="BA41" s="132"/>
      <c r="BB41" s="140"/>
      <c r="BC41" s="147">
        <f>SUM(BC36:BC40)</f>
        <v>-1721</v>
      </c>
      <c r="BD41" s="148"/>
      <c r="BE41" s="149">
        <f>SUM(BE36:BE40)</f>
        <v>22814.7572297796</v>
      </c>
      <c r="BF41" s="148"/>
      <c r="BG41" s="146"/>
      <c r="BH41" s="147">
        <f>SUM(BH36:BH40)</f>
        <v>35923</v>
      </c>
      <c r="BI41" s="148"/>
      <c r="BJ41" s="149">
        <f>SUM(BJ36:BJ40)</f>
        <v>23499.199946672987</v>
      </c>
      <c r="BK41" s="148"/>
      <c r="BL41" s="146"/>
      <c r="BM41" s="147">
        <f>SUM(BM36:BM40)</f>
        <v>59134</v>
      </c>
      <c r="BN41" s="148"/>
      <c r="BO41" s="149">
        <f>SUM(BO36:BO40)</f>
        <v>24204.175945073177</v>
      </c>
      <c r="BP41" s="148"/>
      <c r="BQ41" s="146"/>
    </row>
    <row r="42" spans="2:69" s="131" customFormat="1" x14ac:dyDescent="0.25">
      <c r="B42" s="132" t="s">
        <v>1078</v>
      </c>
      <c r="C42" s="159">
        <v>-376258</v>
      </c>
      <c r="D42" s="122">
        <v>205585</v>
      </c>
      <c r="E42" s="123" t="s">
        <v>1079</v>
      </c>
      <c r="F42" s="124">
        <v>15027</v>
      </c>
      <c r="G42" s="123" t="s">
        <v>1080</v>
      </c>
      <c r="H42" s="125">
        <v>-177125</v>
      </c>
      <c r="I42" s="122">
        <v>147860</v>
      </c>
      <c r="J42" s="123" t="s">
        <v>1079</v>
      </c>
      <c r="K42" s="124">
        <v>15000</v>
      </c>
      <c r="L42" s="123" t="s">
        <v>1080</v>
      </c>
      <c r="M42" s="125">
        <v>-411110</v>
      </c>
      <c r="N42" s="151">
        <v>147860</v>
      </c>
      <c r="O42" s="137" t="s">
        <v>1079</v>
      </c>
      <c r="P42" s="136">
        <v>7750</v>
      </c>
      <c r="Q42" s="137" t="s">
        <v>1080</v>
      </c>
      <c r="R42" s="125">
        <f>M42+N45-P45</f>
        <v>-271000</v>
      </c>
      <c r="S42" s="132" t="s">
        <v>1078</v>
      </c>
      <c r="T42" s="157">
        <f>R42</f>
        <v>-271000</v>
      </c>
      <c r="U42" s="151">
        <v>147860</v>
      </c>
      <c r="V42" s="137" t="s">
        <v>1079</v>
      </c>
      <c r="W42" s="136">
        <v>6750</v>
      </c>
      <c r="X42" s="137" t="s">
        <v>1080</v>
      </c>
      <c r="Y42" s="125">
        <f>R42+U45-W45</f>
        <v>-129890</v>
      </c>
      <c r="Z42" s="151">
        <v>147860</v>
      </c>
      <c r="AA42" s="137" t="s">
        <v>1079</v>
      </c>
      <c r="AB42" s="136">
        <v>5750</v>
      </c>
      <c r="AC42" s="137" t="s">
        <v>1080</v>
      </c>
      <c r="AD42" s="125">
        <f>Y42+Z45-AB45</f>
        <v>12220</v>
      </c>
      <c r="AE42" s="151">
        <v>200720</v>
      </c>
      <c r="AF42" s="137" t="s">
        <v>1079</v>
      </c>
      <c r="AG42" s="136">
        <v>4750</v>
      </c>
      <c r="AH42" s="137" t="s">
        <v>1080</v>
      </c>
      <c r="AI42" s="125">
        <f>AD42+AE45-AG45</f>
        <v>208190</v>
      </c>
      <c r="AJ42" s="132" t="s">
        <v>1078</v>
      </c>
      <c r="AK42" s="139">
        <v>559535</v>
      </c>
      <c r="AL42" s="151">
        <v>200720</v>
      </c>
      <c r="AM42" s="137" t="s">
        <v>1079</v>
      </c>
      <c r="AN42" s="136">
        <v>3750</v>
      </c>
      <c r="AO42" s="137" t="s">
        <v>1080</v>
      </c>
      <c r="AP42" s="125">
        <f>AI42+AL45-AN45</f>
        <v>405160</v>
      </c>
      <c r="AQ42" s="151">
        <v>200720</v>
      </c>
      <c r="AR42" s="137" t="s">
        <v>1079</v>
      </c>
      <c r="AS42" s="136">
        <v>2750</v>
      </c>
      <c r="AT42" s="137" t="s">
        <v>1080</v>
      </c>
      <c r="AU42" s="125">
        <f>AP42+AQ45-AS45</f>
        <v>603130</v>
      </c>
      <c r="AV42" s="151">
        <v>200720</v>
      </c>
      <c r="AW42" s="137" t="s">
        <v>1079</v>
      </c>
      <c r="AX42" s="136">
        <v>1750</v>
      </c>
      <c r="AY42" s="137" t="s">
        <v>1080</v>
      </c>
      <c r="AZ42" s="125">
        <f>AU42+AV45-AX45</f>
        <v>802100</v>
      </c>
      <c r="BA42" s="132" t="s">
        <v>1078</v>
      </c>
      <c r="BB42" s="140">
        <f>AZ42</f>
        <v>802100</v>
      </c>
      <c r="BC42" s="151">
        <v>150540</v>
      </c>
      <c r="BD42" s="137" t="s">
        <v>1079</v>
      </c>
      <c r="BE42" s="136">
        <v>750</v>
      </c>
      <c r="BF42" s="137" t="s">
        <v>1080</v>
      </c>
      <c r="BG42" s="125">
        <f>AZ42+BC45-BE45</f>
        <v>951890</v>
      </c>
      <c r="BH42" s="126"/>
      <c r="BI42" s="127"/>
      <c r="BJ42" s="128"/>
      <c r="BK42" s="127"/>
      <c r="BL42" s="125">
        <f>BG42+BH45-BJ45</f>
        <v>951890</v>
      </c>
      <c r="BM42" s="126"/>
      <c r="BN42" s="127"/>
      <c r="BO42" s="128"/>
      <c r="BP42" s="127"/>
      <c r="BQ42" s="125">
        <f>BL42+BM45-BO45</f>
        <v>951890</v>
      </c>
    </row>
    <row r="43" spans="2:69" s="131" customFormat="1" x14ac:dyDescent="0.25">
      <c r="B43" s="132"/>
      <c r="C43" s="133"/>
      <c r="D43" s="122">
        <v>-368450</v>
      </c>
      <c r="E43" s="123" t="s">
        <v>1081</v>
      </c>
      <c r="F43" s="124"/>
      <c r="G43" s="123"/>
      <c r="H43" s="125"/>
      <c r="I43" s="122"/>
      <c r="J43" s="123"/>
      <c r="K43" s="124"/>
      <c r="L43" s="123"/>
      <c r="M43" s="125"/>
      <c r="N43" s="126"/>
      <c r="O43" s="127"/>
      <c r="P43" s="128"/>
      <c r="Q43" s="127"/>
      <c r="R43" s="125"/>
      <c r="S43" s="132"/>
      <c r="T43" s="138"/>
      <c r="U43" s="126"/>
      <c r="V43" s="127"/>
      <c r="W43" s="128"/>
      <c r="X43" s="127"/>
      <c r="Y43" s="125"/>
      <c r="Z43" s="126"/>
      <c r="AA43" s="127"/>
      <c r="AB43" s="128"/>
      <c r="AC43" s="127"/>
      <c r="AD43" s="125"/>
      <c r="AE43" s="126"/>
      <c r="AF43" s="127"/>
      <c r="AG43" s="128"/>
      <c r="AH43" s="127"/>
      <c r="AI43" s="125"/>
      <c r="AJ43" s="132"/>
      <c r="AK43" s="139"/>
      <c r="AL43" s="126"/>
      <c r="AM43" s="127"/>
      <c r="AN43" s="128"/>
      <c r="AO43" s="127"/>
      <c r="AP43" s="125"/>
      <c r="AQ43" s="126"/>
      <c r="AR43" s="127"/>
      <c r="AS43" s="128"/>
      <c r="AT43" s="127"/>
      <c r="AU43" s="125"/>
      <c r="AV43" s="126"/>
      <c r="AW43" s="127"/>
      <c r="AX43" s="128"/>
      <c r="AY43" s="127"/>
      <c r="AZ43" s="125"/>
      <c r="BA43" s="132"/>
      <c r="BB43" s="140"/>
      <c r="BC43" s="126"/>
      <c r="BD43" s="127"/>
      <c r="BE43" s="128"/>
      <c r="BF43" s="127"/>
      <c r="BG43" s="125"/>
      <c r="BH43" s="126"/>
      <c r="BI43" s="127"/>
      <c r="BJ43" s="128"/>
      <c r="BK43" s="127"/>
      <c r="BL43" s="125"/>
      <c r="BM43" s="126"/>
      <c r="BN43" s="127"/>
      <c r="BO43" s="128"/>
      <c r="BP43" s="127"/>
      <c r="BQ43" s="125"/>
    </row>
    <row r="44" spans="2:69" s="131" customFormat="1" x14ac:dyDescent="0.25">
      <c r="B44" s="132"/>
      <c r="C44" s="133"/>
      <c r="D44" s="122"/>
      <c r="E44" s="123"/>
      <c r="F44" s="124"/>
      <c r="G44" s="123"/>
      <c r="H44" s="125"/>
      <c r="I44" s="122"/>
      <c r="J44" s="123"/>
      <c r="K44" s="124"/>
      <c r="L44" s="123"/>
      <c r="M44" s="125"/>
      <c r="N44" s="126"/>
      <c r="O44" s="127"/>
      <c r="P44" s="128"/>
      <c r="Q44" s="127"/>
      <c r="R44" s="125"/>
      <c r="S44" s="132"/>
      <c r="T44" s="138"/>
      <c r="U44" s="126"/>
      <c r="V44" s="127"/>
      <c r="W44" s="128"/>
      <c r="X44" s="127"/>
      <c r="Y44" s="125"/>
      <c r="Z44" s="126"/>
      <c r="AA44" s="127"/>
      <c r="AB44" s="128"/>
      <c r="AC44" s="127"/>
      <c r="AD44" s="125"/>
      <c r="AE44" s="126"/>
      <c r="AF44" s="127"/>
      <c r="AG44" s="128"/>
      <c r="AH44" s="127"/>
      <c r="AI44" s="125"/>
      <c r="AJ44" s="132"/>
      <c r="AK44" s="139"/>
      <c r="AL44" s="126"/>
      <c r="AM44" s="127"/>
      <c r="AN44" s="128"/>
      <c r="AO44" s="127"/>
      <c r="AP44" s="125"/>
      <c r="AQ44" s="126"/>
      <c r="AR44" s="127"/>
      <c r="AS44" s="128"/>
      <c r="AT44" s="127"/>
      <c r="AU44" s="125"/>
      <c r="AV44" s="126"/>
      <c r="AW44" s="127"/>
      <c r="AX44" s="128"/>
      <c r="AY44" s="127"/>
      <c r="AZ44" s="125"/>
      <c r="BA44" s="132"/>
      <c r="BB44" s="140"/>
      <c r="BC44" s="126"/>
      <c r="BD44" s="127"/>
      <c r="BE44" s="128"/>
      <c r="BF44" s="127"/>
      <c r="BG44" s="125"/>
      <c r="BH44" s="126"/>
      <c r="BI44" s="127"/>
      <c r="BJ44" s="128"/>
      <c r="BK44" s="127"/>
      <c r="BL44" s="125"/>
      <c r="BM44" s="126"/>
      <c r="BN44" s="127"/>
      <c r="BO44" s="128"/>
      <c r="BP44" s="127"/>
      <c r="BQ44" s="125"/>
    </row>
    <row r="45" spans="2:69" s="131" customFormat="1" x14ac:dyDescent="0.25">
      <c r="B45" s="132"/>
      <c r="C45" s="133"/>
      <c r="D45" s="143">
        <f>SUM(D42:D44)</f>
        <v>-162865</v>
      </c>
      <c r="E45" s="144"/>
      <c r="F45" s="145">
        <f>SUM(F42:F44)</f>
        <v>15027</v>
      </c>
      <c r="G45" s="144"/>
      <c r="H45" s="146"/>
      <c r="I45" s="143">
        <f>SUM(I42:I44)</f>
        <v>147860</v>
      </c>
      <c r="J45" s="144"/>
      <c r="K45" s="145">
        <f>SUM(K42:K44)</f>
        <v>15000</v>
      </c>
      <c r="L45" s="144"/>
      <c r="M45" s="146"/>
      <c r="N45" s="147">
        <f>SUM(N42:N44)</f>
        <v>147860</v>
      </c>
      <c r="O45" s="148"/>
      <c r="P45" s="149">
        <f>SUM(P42:P44)</f>
        <v>7750</v>
      </c>
      <c r="Q45" s="148"/>
      <c r="R45" s="146"/>
      <c r="S45" s="132"/>
      <c r="T45" s="138"/>
      <c r="U45" s="147">
        <f>SUM(U42:U44)</f>
        <v>147860</v>
      </c>
      <c r="V45" s="148"/>
      <c r="W45" s="149">
        <f>SUM(W42:W44)</f>
        <v>6750</v>
      </c>
      <c r="X45" s="148"/>
      <c r="Y45" s="146"/>
      <c r="Z45" s="147">
        <f>SUM(Z42:Z44)</f>
        <v>147860</v>
      </c>
      <c r="AA45" s="148"/>
      <c r="AB45" s="149">
        <f>SUM(AB42:AB44)</f>
        <v>5750</v>
      </c>
      <c r="AC45" s="148"/>
      <c r="AD45" s="146"/>
      <c r="AE45" s="147">
        <f>SUM(AE42:AE44)</f>
        <v>200720</v>
      </c>
      <c r="AF45" s="148"/>
      <c r="AG45" s="149">
        <f>SUM(AG42:AG44)</f>
        <v>4750</v>
      </c>
      <c r="AH45" s="148"/>
      <c r="AI45" s="146"/>
      <c r="AJ45" s="132"/>
      <c r="AK45" s="139"/>
      <c r="AL45" s="147">
        <f>SUM(AL42:AL44)</f>
        <v>200720</v>
      </c>
      <c r="AM45" s="148"/>
      <c r="AN45" s="149">
        <f>SUM(AN42:AN44)</f>
        <v>3750</v>
      </c>
      <c r="AO45" s="148"/>
      <c r="AP45" s="146"/>
      <c r="AQ45" s="147">
        <f>SUM(AQ42:AQ44)</f>
        <v>200720</v>
      </c>
      <c r="AR45" s="148"/>
      <c r="AS45" s="149">
        <f>SUM(AS42:AS44)</f>
        <v>2750</v>
      </c>
      <c r="AT45" s="148"/>
      <c r="AU45" s="146"/>
      <c r="AV45" s="147">
        <f>SUM(AV42:AV44)</f>
        <v>200720</v>
      </c>
      <c r="AW45" s="148"/>
      <c r="AX45" s="149">
        <f>SUM(AX42:AX44)</f>
        <v>1750</v>
      </c>
      <c r="AY45" s="148"/>
      <c r="AZ45" s="146"/>
      <c r="BA45" s="132"/>
      <c r="BB45" s="140"/>
      <c r="BC45" s="147">
        <f>SUM(BC42:BC44)</f>
        <v>150540</v>
      </c>
      <c r="BD45" s="148"/>
      <c r="BE45" s="149">
        <f>SUM(BE42:BE44)</f>
        <v>750</v>
      </c>
      <c r="BF45" s="148"/>
      <c r="BG45" s="146"/>
      <c r="BH45" s="147">
        <f>SUM(BH42:BH44)</f>
        <v>0</v>
      </c>
      <c r="BI45" s="148"/>
      <c r="BJ45" s="149">
        <f>SUM(BJ42:BJ44)</f>
        <v>0</v>
      </c>
      <c r="BK45" s="148"/>
      <c r="BL45" s="146"/>
      <c r="BM45" s="147">
        <f>SUM(BM42:BM44)</f>
        <v>0</v>
      </c>
      <c r="BN45" s="148"/>
      <c r="BO45" s="149">
        <f>SUM(BO42:BO44)</f>
        <v>0</v>
      </c>
      <c r="BP45" s="148"/>
      <c r="BQ45" s="146"/>
    </row>
    <row r="46" spans="2:69" s="131" customFormat="1" x14ac:dyDescent="0.25">
      <c r="B46" s="132" t="s">
        <v>1082</v>
      </c>
      <c r="C46" s="133">
        <v>410</v>
      </c>
      <c r="D46" s="122"/>
      <c r="E46" s="123"/>
      <c r="F46" s="124"/>
      <c r="G46" s="123"/>
      <c r="H46" s="125">
        <v>0</v>
      </c>
      <c r="I46" s="122"/>
      <c r="J46" s="123"/>
      <c r="K46" s="124"/>
      <c r="L46" s="123"/>
      <c r="M46" s="125"/>
      <c r="N46" s="126"/>
      <c r="O46" s="127"/>
      <c r="P46" s="128"/>
      <c r="Q46" s="127"/>
      <c r="R46" s="125">
        <f>M46+N48-P48</f>
        <v>0</v>
      </c>
      <c r="S46" s="132" t="s">
        <v>1082</v>
      </c>
      <c r="T46" s="138">
        <f>R46</f>
        <v>0</v>
      </c>
      <c r="U46" s="126"/>
      <c r="V46" s="127"/>
      <c r="W46" s="128"/>
      <c r="X46" s="127"/>
      <c r="Y46" s="125">
        <f>R46+U48-W48</f>
        <v>0</v>
      </c>
      <c r="Z46" s="126"/>
      <c r="AA46" s="127"/>
      <c r="AB46" s="128"/>
      <c r="AC46" s="127"/>
      <c r="AD46" s="125">
        <f>Y46+Z48-AB48</f>
        <v>0</v>
      </c>
      <c r="AE46" s="126"/>
      <c r="AF46" s="127"/>
      <c r="AG46" s="128"/>
      <c r="AH46" s="127"/>
      <c r="AI46" s="125">
        <f>AD46+AE48-AG48</f>
        <v>0</v>
      </c>
      <c r="AJ46" s="132" t="s">
        <v>1082</v>
      </c>
      <c r="AK46" s="139">
        <f>AI46</f>
        <v>0</v>
      </c>
      <c r="AL46" s="126"/>
      <c r="AM46" s="127"/>
      <c r="AN46" s="128"/>
      <c r="AO46" s="127"/>
      <c r="AP46" s="125">
        <f>AI46+AL48-AN48</f>
        <v>0</v>
      </c>
      <c r="AQ46" s="126"/>
      <c r="AR46" s="127"/>
      <c r="AS46" s="128"/>
      <c r="AT46" s="127"/>
      <c r="AU46" s="125">
        <f>AP46+AQ48-AS48</f>
        <v>0</v>
      </c>
      <c r="AV46" s="126"/>
      <c r="AW46" s="127"/>
      <c r="AX46" s="128"/>
      <c r="AY46" s="127"/>
      <c r="AZ46" s="125">
        <f>AU46+AV48-AX48</f>
        <v>0</v>
      </c>
      <c r="BA46" s="132" t="s">
        <v>1082</v>
      </c>
      <c r="BB46" s="140">
        <f>AZ46</f>
        <v>0</v>
      </c>
      <c r="BC46" s="126"/>
      <c r="BD46" s="127"/>
      <c r="BE46" s="128"/>
      <c r="BF46" s="127"/>
      <c r="BG46" s="125">
        <f>AZ46+BC48-BE48</f>
        <v>0</v>
      </c>
      <c r="BH46" s="126"/>
      <c r="BI46" s="127"/>
      <c r="BJ46" s="128"/>
      <c r="BK46" s="127"/>
      <c r="BL46" s="125">
        <f>BG45+BH48-BJ48</f>
        <v>0</v>
      </c>
      <c r="BM46" s="126"/>
      <c r="BN46" s="127"/>
      <c r="BO46" s="128"/>
      <c r="BP46" s="127"/>
      <c r="BQ46" s="125">
        <f>BL45+BM48-BO48</f>
        <v>0</v>
      </c>
    </row>
    <row r="47" spans="2:69" s="131" customFormat="1" x14ac:dyDescent="0.25">
      <c r="B47" s="132"/>
      <c r="C47" s="133"/>
      <c r="D47" s="122"/>
      <c r="E47" s="123"/>
      <c r="F47" s="124"/>
      <c r="G47" s="123"/>
      <c r="H47" s="125"/>
      <c r="I47" s="122"/>
      <c r="J47" s="123"/>
      <c r="K47" s="124"/>
      <c r="L47" s="123"/>
      <c r="M47" s="125"/>
      <c r="N47" s="126"/>
      <c r="O47" s="127"/>
      <c r="P47" s="128"/>
      <c r="Q47" s="127"/>
      <c r="R47" s="125"/>
      <c r="S47" s="132"/>
      <c r="T47" s="138"/>
      <c r="U47" s="126"/>
      <c r="V47" s="127"/>
      <c r="W47" s="128"/>
      <c r="X47" s="127"/>
      <c r="Y47" s="125"/>
      <c r="Z47" s="126"/>
      <c r="AA47" s="127"/>
      <c r="AB47" s="128"/>
      <c r="AC47" s="127"/>
      <c r="AD47" s="125"/>
      <c r="AE47" s="126"/>
      <c r="AF47" s="127"/>
      <c r="AG47" s="128"/>
      <c r="AH47" s="127"/>
      <c r="AI47" s="125"/>
      <c r="AJ47" s="132"/>
      <c r="AK47" s="139"/>
      <c r="AL47" s="126"/>
      <c r="AM47" s="127"/>
      <c r="AN47" s="128"/>
      <c r="AO47" s="127"/>
      <c r="AP47" s="125"/>
      <c r="AQ47" s="126"/>
      <c r="AR47" s="127"/>
      <c r="AS47" s="128"/>
      <c r="AT47" s="127"/>
      <c r="AU47" s="125"/>
      <c r="AV47" s="126"/>
      <c r="AW47" s="127"/>
      <c r="AX47" s="128"/>
      <c r="AY47" s="127"/>
      <c r="AZ47" s="125"/>
      <c r="BA47" s="132"/>
      <c r="BB47" s="140"/>
      <c r="BC47" s="126"/>
      <c r="BD47" s="127"/>
      <c r="BE47" s="128"/>
      <c r="BF47" s="127"/>
      <c r="BG47" s="125"/>
      <c r="BH47" s="126"/>
      <c r="BI47" s="127"/>
      <c r="BJ47" s="128"/>
      <c r="BK47" s="127"/>
      <c r="BL47" s="125"/>
      <c r="BM47" s="126"/>
      <c r="BN47" s="127"/>
      <c r="BO47" s="128"/>
      <c r="BP47" s="127"/>
      <c r="BQ47" s="125"/>
    </row>
    <row r="48" spans="2:69" s="131" customFormat="1" x14ac:dyDescent="0.25">
      <c r="B48" s="132"/>
      <c r="C48" s="133"/>
      <c r="D48" s="143">
        <f>SUM(D46:D47)</f>
        <v>0</v>
      </c>
      <c r="E48" s="144"/>
      <c r="F48" s="145">
        <f>SUM(F46:F47)</f>
        <v>0</v>
      </c>
      <c r="G48" s="144"/>
      <c r="H48" s="146"/>
      <c r="I48" s="143">
        <f>SUM(I46:I47)</f>
        <v>0</v>
      </c>
      <c r="J48" s="144"/>
      <c r="K48" s="145">
        <f>SUM(K46:K47)</f>
        <v>0</v>
      </c>
      <c r="L48" s="144"/>
      <c r="M48" s="146"/>
      <c r="N48" s="147">
        <f>SUM(N46:N47)</f>
        <v>0</v>
      </c>
      <c r="O48" s="148"/>
      <c r="P48" s="149">
        <f>SUM(P46:P47)</f>
        <v>0</v>
      </c>
      <c r="Q48" s="148"/>
      <c r="R48" s="146"/>
      <c r="S48" s="132" t="s">
        <v>1083</v>
      </c>
      <c r="T48" s="138"/>
      <c r="U48" s="147">
        <f>SUM(U46:U47)</f>
        <v>0</v>
      </c>
      <c r="V48" s="148"/>
      <c r="W48" s="149">
        <f>SUM(W46:W47)</f>
        <v>0</v>
      </c>
      <c r="X48" s="148"/>
      <c r="Y48" s="146"/>
      <c r="Z48" s="147">
        <f>SUM(Z46:Z47)</f>
        <v>0</v>
      </c>
      <c r="AA48" s="148"/>
      <c r="AB48" s="149">
        <f>SUM(AB46:AB47)</f>
        <v>0</v>
      </c>
      <c r="AC48" s="148"/>
      <c r="AD48" s="146"/>
      <c r="AE48" s="147">
        <f>SUM(AE46:AE47)</f>
        <v>0</v>
      </c>
      <c r="AF48" s="148"/>
      <c r="AG48" s="149">
        <f>SUM(AG46:AG47)</f>
        <v>0</v>
      </c>
      <c r="AH48" s="148"/>
      <c r="AI48" s="146"/>
      <c r="AJ48" s="132" t="s">
        <v>1083</v>
      </c>
      <c r="AK48" s="139"/>
      <c r="AL48" s="147">
        <f>SUM(AL46:AL47)</f>
        <v>0</v>
      </c>
      <c r="AM48" s="148"/>
      <c r="AN48" s="149">
        <f>SUM(AN46:AN47)</f>
        <v>0</v>
      </c>
      <c r="AO48" s="148"/>
      <c r="AP48" s="146"/>
      <c r="AQ48" s="147">
        <f>SUM(AQ46:AQ47)</f>
        <v>0</v>
      </c>
      <c r="AR48" s="148"/>
      <c r="AS48" s="149">
        <f>SUM(AS46:AS47)</f>
        <v>0</v>
      </c>
      <c r="AT48" s="148"/>
      <c r="AU48" s="146"/>
      <c r="AV48" s="147">
        <f>SUM(AV46:AV47)</f>
        <v>0</v>
      </c>
      <c r="AW48" s="148"/>
      <c r="AX48" s="149">
        <f>SUM(AX46:AX47)</f>
        <v>0</v>
      </c>
      <c r="AY48" s="148"/>
      <c r="AZ48" s="146"/>
      <c r="BA48" s="132" t="s">
        <v>1083</v>
      </c>
      <c r="BB48" s="140"/>
      <c r="BC48" s="147">
        <f>SUM(BC46:BC47)</f>
        <v>0</v>
      </c>
      <c r="BD48" s="148"/>
      <c r="BE48" s="149">
        <f>SUM(BE46:BE47)</f>
        <v>0</v>
      </c>
      <c r="BF48" s="148"/>
      <c r="BG48" s="146"/>
      <c r="BH48" s="147">
        <f>SUM(BH46:BH47)</f>
        <v>0</v>
      </c>
      <c r="BI48" s="148"/>
      <c r="BJ48" s="149">
        <f>SUM(BJ46:BJ47)</f>
        <v>0</v>
      </c>
      <c r="BK48" s="148"/>
      <c r="BL48" s="146"/>
      <c r="BM48" s="147">
        <f>SUM(BM46:BM47)</f>
        <v>0</v>
      </c>
      <c r="BN48" s="148"/>
      <c r="BO48" s="149">
        <f>SUM(BO46:BO47)</f>
        <v>0</v>
      </c>
      <c r="BP48" s="148"/>
      <c r="BQ48" s="146"/>
    </row>
    <row r="49" spans="2:69" s="131" customFormat="1" x14ac:dyDescent="0.25">
      <c r="B49" s="132" t="s">
        <v>1084</v>
      </c>
      <c r="C49" s="133">
        <v>0</v>
      </c>
      <c r="D49" s="122"/>
      <c r="E49" s="123"/>
      <c r="F49" s="124"/>
      <c r="G49" s="123"/>
      <c r="H49" s="125">
        <v>10000</v>
      </c>
      <c r="I49" s="122"/>
      <c r="J49" s="160"/>
      <c r="K49" s="124">
        <v>10000</v>
      </c>
      <c r="L49" s="123"/>
      <c r="M49" s="125">
        <f>H49+I51-K51</f>
        <v>0</v>
      </c>
      <c r="N49" s="126"/>
      <c r="O49" s="127"/>
      <c r="P49" s="128"/>
      <c r="Q49" s="127"/>
      <c r="R49" s="125">
        <f>M49+N51-P51</f>
        <v>0</v>
      </c>
      <c r="S49" s="132" t="s">
        <v>1084</v>
      </c>
      <c r="T49" s="138">
        <f>R49</f>
        <v>0</v>
      </c>
      <c r="U49" s="126"/>
      <c r="V49" s="127"/>
      <c r="W49" s="128"/>
      <c r="X49" s="127"/>
      <c r="Y49" s="125">
        <f>R49+U51-W51</f>
        <v>0</v>
      </c>
      <c r="Z49" s="126"/>
      <c r="AA49" s="127"/>
      <c r="AB49" s="128"/>
      <c r="AC49" s="127"/>
      <c r="AD49" s="125">
        <f>Y49+Z51-AB51</f>
        <v>0</v>
      </c>
      <c r="AE49" s="126"/>
      <c r="AF49" s="127"/>
      <c r="AG49" s="128"/>
      <c r="AH49" s="127"/>
      <c r="AI49" s="125">
        <f>AD49+AE51-AG51</f>
        <v>0</v>
      </c>
      <c r="AJ49" s="132" t="s">
        <v>1084</v>
      </c>
      <c r="AK49" s="139">
        <f>AI49</f>
        <v>0</v>
      </c>
      <c r="AL49" s="126"/>
      <c r="AM49" s="127"/>
      <c r="AN49" s="128"/>
      <c r="AO49" s="127"/>
      <c r="AP49" s="125">
        <f>AI49+AL51-AN51</f>
        <v>0</v>
      </c>
      <c r="AQ49" s="126"/>
      <c r="AR49" s="127"/>
      <c r="AS49" s="128"/>
      <c r="AT49" s="127"/>
      <c r="AU49" s="125">
        <f>AP49+AQ51-AS51</f>
        <v>0</v>
      </c>
      <c r="AV49" s="126"/>
      <c r="AW49" s="127"/>
      <c r="AX49" s="128"/>
      <c r="AY49" s="127"/>
      <c r="AZ49" s="125">
        <f>AU49+AV51-AX51</f>
        <v>0</v>
      </c>
      <c r="BA49" s="132" t="s">
        <v>1084</v>
      </c>
      <c r="BB49" s="140">
        <f>AZ49</f>
        <v>0</v>
      </c>
      <c r="BC49" s="126"/>
      <c r="BD49" s="127"/>
      <c r="BE49" s="128"/>
      <c r="BF49" s="127"/>
      <c r="BG49" s="125">
        <f>AZ49+BC51-BE51</f>
        <v>0</v>
      </c>
      <c r="BH49" s="126"/>
      <c r="BI49" s="127"/>
      <c r="BJ49" s="128"/>
      <c r="BK49" s="127"/>
      <c r="BL49" s="125">
        <f>BG49+BH51-BJ51</f>
        <v>0</v>
      </c>
      <c r="BM49" s="126"/>
      <c r="BN49" s="127"/>
      <c r="BO49" s="128"/>
      <c r="BP49" s="127"/>
      <c r="BQ49" s="125">
        <f>BL49+BM51-BO51</f>
        <v>0</v>
      </c>
    </row>
    <row r="50" spans="2:69" s="131" customFormat="1" x14ac:dyDescent="0.25">
      <c r="B50" s="132"/>
      <c r="C50" s="133"/>
      <c r="D50" s="122"/>
      <c r="E50" s="123"/>
      <c r="F50" s="124"/>
      <c r="G50" s="123"/>
      <c r="H50" s="125"/>
      <c r="I50" s="122"/>
      <c r="J50" s="123"/>
      <c r="K50" s="124"/>
      <c r="L50" s="123"/>
      <c r="M50" s="125"/>
      <c r="N50" s="126"/>
      <c r="O50" s="127"/>
      <c r="P50" s="128"/>
      <c r="Q50" s="127"/>
      <c r="R50" s="125"/>
      <c r="S50" s="132"/>
      <c r="T50" s="138"/>
      <c r="U50" s="126"/>
      <c r="V50" s="127"/>
      <c r="W50" s="128"/>
      <c r="X50" s="127"/>
      <c r="Y50" s="125"/>
      <c r="Z50" s="126"/>
      <c r="AA50" s="127"/>
      <c r="AB50" s="128"/>
      <c r="AC50" s="127"/>
      <c r="AD50" s="125"/>
      <c r="AE50" s="126"/>
      <c r="AF50" s="127"/>
      <c r="AG50" s="128"/>
      <c r="AH50" s="127"/>
      <c r="AI50" s="125"/>
      <c r="AJ50" s="132"/>
      <c r="AK50" s="139"/>
      <c r="AL50" s="126"/>
      <c r="AM50" s="127"/>
      <c r="AN50" s="128"/>
      <c r="AO50" s="127"/>
      <c r="AP50" s="125"/>
      <c r="AQ50" s="126"/>
      <c r="AR50" s="127"/>
      <c r="AS50" s="128"/>
      <c r="AT50" s="127"/>
      <c r="AU50" s="125"/>
      <c r="AV50" s="126"/>
      <c r="AW50" s="127"/>
      <c r="AX50" s="128"/>
      <c r="AY50" s="127"/>
      <c r="AZ50" s="125"/>
      <c r="BA50" s="132"/>
      <c r="BB50" s="140"/>
      <c r="BC50" s="126"/>
      <c r="BD50" s="127"/>
      <c r="BE50" s="128"/>
      <c r="BF50" s="127"/>
      <c r="BG50" s="125"/>
      <c r="BH50" s="126"/>
      <c r="BI50" s="127"/>
      <c r="BJ50" s="128"/>
      <c r="BK50" s="127"/>
      <c r="BL50" s="125"/>
      <c r="BM50" s="126"/>
      <c r="BN50" s="127"/>
      <c r="BO50" s="128"/>
      <c r="BP50" s="127"/>
      <c r="BQ50" s="125"/>
    </row>
    <row r="51" spans="2:69" s="131" customFormat="1" x14ac:dyDescent="0.25">
      <c r="B51" s="132"/>
      <c r="C51" s="133"/>
      <c r="D51" s="143">
        <f>SUM(D49:D50)</f>
        <v>0</v>
      </c>
      <c r="E51" s="144"/>
      <c r="F51" s="145">
        <f>SUM(F49:F50)</f>
        <v>0</v>
      </c>
      <c r="G51" s="144"/>
      <c r="H51" s="146"/>
      <c r="I51" s="143">
        <f>SUM(I49:I50)</f>
        <v>0</v>
      </c>
      <c r="J51" s="144"/>
      <c r="K51" s="145">
        <f>SUM(K49:K50)</f>
        <v>10000</v>
      </c>
      <c r="L51" s="144"/>
      <c r="M51" s="146"/>
      <c r="N51" s="147">
        <f>SUM(N49:N50)</f>
        <v>0</v>
      </c>
      <c r="O51" s="148"/>
      <c r="P51" s="149">
        <f>SUM(P49:P50)</f>
        <v>0</v>
      </c>
      <c r="Q51" s="148"/>
      <c r="R51" s="146"/>
      <c r="S51" s="132"/>
      <c r="T51" s="138"/>
      <c r="U51" s="147">
        <f>SUM(U49:U50)</f>
        <v>0</v>
      </c>
      <c r="V51" s="148"/>
      <c r="W51" s="149">
        <f>SUM(W49:W50)</f>
        <v>0</v>
      </c>
      <c r="X51" s="148"/>
      <c r="Y51" s="146"/>
      <c r="Z51" s="147">
        <f>SUM(Z49:Z50)</f>
        <v>0</v>
      </c>
      <c r="AA51" s="148"/>
      <c r="AB51" s="149">
        <f>SUM(AB49:AB50)</f>
        <v>0</v>
      </c>
      <c r="AC51" s="148"/>
      <c r="AD51" s="146"/>
      <c r="AE51" s="147">
        <f>SUM(AE49:AE50)</f>
        <v>0</v>
      </c>
      <c r="AF51" s="148"/>
      <c r="AG51" s="149">
        <f>SUM(AG49:AG50)</f>
        <v>0</v>
      </c>
      <c r="AH51" s="148"/>
      <c r="AI51" s="146"/>
      <c r="AJ51" s="132"/>
      <c r="AK51" s="139"/>
      <c r="AL51" s="147">
        <f>SUM(AL49:AL50)</f>
        <v>0</v>
      </c>
      <c r="AM51" s="148"/>
      <c r="AN51" s="149">
        <f>SUM(AN49:AN50)</f>
        <v>0</v>
      </c>
      <c r="AO51" s="148"/>
      <c r="AP51" s="146"/>
      <c r="AQ51" s="147">
        <f>SUM(AQ49:AQ50)</f>
        <v>0</v>
      </c>
      <c r="AR51" s="148"/>
      <c r="AS51" s="149">
        <f>SUM(AS49:AS50)</f>
        <v>0</v>
      </c>
      <c r="AT51" s="148"/>
      <c r="AU51" s="146"/>
      <c r="AV51" s="147">
        <f>SUM(AV49:AV50)</f>
        <v>0</v>
      </c>
      <c r="AW51" s="148"/>
      <c r="AX51" s="149">
        <f>SUM(AX49:AX50)</f>
        <v>0</v>
      </c>
      <c r="AY51" s="148"/>
      <c r="AZ51" s="146"/>
      <c r="BA51" s="132"/>
      <c r="BB51" s="140"/>
      <c r="BC51" s="147">
        <f>SUM(BC49:BC50)</f>
        <v>0</v>
      </c>
      <c r="BD51" s="148"/>
      <c r="BE51" s="149">
        <f>SUM(BE49:BE50)</f>
        <v>0</v>
      </c>
      <c r="BF51" s="148"/>
      <c r="BG51" s="146"/>
      <c r="BH51" s="147">
        <f>SUM(BH49:BH50)</f>
        <v>0</v>
      </c>
      <c r="BI51" s="148"/>
      <c r="BJ51" s="149">
        <f>SUM(BJ49:BJ50)</f>
        <v>0</v>
      </c>
      <c r="BK51" s="148"/>
      <c r="BL51" s="146"/>
      <c r="BM51" s="147">
        <f>SUM(BM49:BM50)</f>
        <v>0</v>
      </c>
      <c r="BN51" s="148"/>
      <c r="BO51" s="149">
        <f>SUM(BO49:BO50)</f>
        <v>0</v>
      </c>
      <c r="BP51" s="148"/>
      <c r="BQ51" s="146"/>
    </row>
    <row r="52" spans="2:69" s="131" customFormat="1" x14ac:dyDescent="0.25">
      <c r="B52" s="132" t="s">
        <v>1085</v>
      </c>
      <c r="C52" s="133">
        <v>0</v>
      </c>
      <c r="D52" s="122"/>
      <c r="E52" s="123"/>
      <c r="F52" s="124"/>
      <c r="G52" s="123"/>
      <c r="H52" s="125">
        <v>0</v>
      </c>
      <c r="I52" s="122"/>
      <c r="J52" s="123"/>
      <c r="K52" s="124"/>
      <c r="L52" s="123"/>
      <c r="M52" s="125">
        <f>H52+I54-K54</f>
        <v>0</v>
      </c>
      <c r="N52" s="126"/>
      <c r="O52" s="127"/>
      <c r="P52" s="128"/>
      <c r="Q52" s="127"/>
      <c r="R52" s="125">
        <f>M52+N54-P54</f>
        <v>0</v>
      </c>
      <c r="S52" s="132" t="s">
        <v>1085</v>
      </c>
      <c r="T52" s="138">
        <f>R52</f>
        <v>0</v>
      </c>
      <c r="U52" s="126"/>
      <c r="V52" s="127"/>
      <c r="W52" s="128"/>
      <c r="X52" s="127"/>
      <c r="Y52" s="125">
        <f>R52+U54-W54</f>
        <v>0</v>
      </c>
      <c r="Z52" s="126"/>
      <c r="AA52" s="127"/>
      <c r="AB52" s="128"/>
      <c r="AC52" s="127"/>
      <c r="AD52" s="125">
        <f>Y52+Z54-AB54</f>
        <v>0</v>
      </c>
      <c r="AE52" s="126"/>
      <c r="AF52" s="127"/>
      <c r="AG52" s="128"/>
      <c r="AH52" s="127"/>
      <c r="AI52" s="125">
        <f>AD52+AE54-AG54</f>
        <v>0</v>
      </c>
      <c r="AJ52" s="132" t="s">
        <v>1085</v>
      </c>
      <c r="AK52" s="139">
        <f>AI52</f>
        <v>0</v>
      </c>
      <c r="AL52" s="126"/>
      <c r="AM52" s="127"/>
      <c r="AN52" s="128"/>
      <c r="AO52" s="127"/>
      <c r="AP52" s="125">
        <f>AI52+AL54-AN54</f>
        <v>0</v>
      </c>
      <c r="AQ52" s="126"/>
      <c r="AR52" s="127"/>
      <c r="AS52" s="128"/>
      <c r="AT52" s="127"/>
      <c r="AU52" s="125">
        <f>AP52+AQ54-AS54</f>
        <v>0</v>
      </c>
      <c r="AV52" s="126"/>
      <c r="AW52" s="127"/>
      <c r="AX52" s="128"/>
      <c r="AY52" s="127"/>
      <c r="AZ52" s="125">
        <f>AU52+AV54-AX54</f>
        <v>0</v>
      </c>
      <c r="BA52" s="132" t="s">
        <v>1085</v>
      </c>
      <c r="BB52" s="140">
        <f>AZ52</f>
        <v>0</v>
      </c>
      <c r="BC52" s="126"/>
      <c r="BD52" s="127"/>
      <c r="BE52" s="128"/>
      <c r="BF52" s="127"/>
      <c r="BG52" s="125">
        <f>AZ52+BC54-BE54</f>
        <v>0</v>
      </c>
      <c r="BH52" s="126"/>
      <c r="BI52" s="127"/>
      <c r="BJ52" s="128"/>
      <c r="BK52" s="127"/>
      <c r="BL52" s="125">
        <f>BE52+BH54-BJ54</f>
        <v>0</v>
      </c>
      <c r="BM52" s="126"/>
      <c r="BN52" s="127"/>
      <c r="BO52" s="128"/>
      <c r="BP52" s="127"/>
      <c r="BQ52" s="125">
        <f>BJ52+BM54-BO54</f>
        <v>0</v>
      </c>
    </row>
    <row r="53" spans="2:69" s="131" customFormat="1" x14ac:dyDescent="0.25">
      <c r="B53" s="132"/>
      <c r="C53" s="133"/>
      <c r="D53" s="122"/>
      <c r="E53" s="123"/>
      <c r="F53" s="124"/>
      <c r="G53" s="123"/>
      <c r="H53" s="125"/>
      <c r="I53" s="122"/>
      <c r="J53" s="123"/>
      <c r="K53" s="124"/>
      <c r="L53" s="123"/>
      <c r="M53" s="125"/>
      <c r="N53" s="126"/>
      <c r="O53" s="127"/>
      <c r="P53" s="128"/>
      <c r="Q53" s="127"/>
      <c r="R53" s="125"/>
      <c r="S53" s="132"/>
      <c r="T53" s="138"/>
      <c r="U53" s="126"/>
      <c r="V53" s="127"/>
      <c r="W53" s="128"/>
      <c r="X53" s="127"/>
      <c r="Y53" s="125"/>
      <c r="Z53" s="126"/>
      <c r="AA53" s="127"/>
      <c r="AB53" s="128"/>
      <c r="AC53" s="127"/>
      <c r="AD53" s="125"/>
      <c r="AE53" s="126"/>
      <c r="AF53" s="127"/>
      <c r="AG53" s="128"/>
      <c r="AH53" s="127"/>
      <c r="AI53" s="125"/>
      <c r="AJ53" s="132"/>
      <c r="AK53" s="139"/>
      <c r="AL53" s="126"/>
      <c r="AM53" s="127"/>
      <c r="AN53" s="128"/>
      <c r="AO53" s="127"/>
      <c r="AP53" s="125"/>
      <c r="AQ53" s="126"/>
      <c r="AR53" s="127"/>
      <c r="AS53" s="128"/>
      <c r="AT53" s="127"/>
      <c r="AU53" s="125"/>
      <c r="AV53" s="126"/>
      <c r="AW53" s="127"/>
      <c r="AX53" s="128"/>
      <c r="AY53" s="127"/>
      <c r="AZ53" s="125"/>
      <c r="BA53" s="132"/>
      <c r="BB53" s="140"/>
      <c r="BC53" s="126"/>
      <c r="BD53" s="127"/>
      <c r="BE53" s="128"/>
      <c r="BF53" s="127"/>
      <c r="BG53" s="125"/>
      <c r="BH53" s="126"/>
      <c r="BI53" s="127"/>
      <c r="BJ53" s="128"/>
      <c r="BK53" s="127"/>
      <c r="BL53" s="125"/>
      <c r="BM53" s="126"/>
      <c r="BN53" s="127"/>
      <c r="BO53" s="128"/>
      <c r="BP53" s="127"/>
      <c r="BQ53" s="125"/>
    </row>
    <row r="54" spans="2:69" s="131" customFormat="1" x14ac:dyDescent="0.25">
      <c r="B54" s="132"/>
      <c r="C54" s="133"/>
      <c r="D54" s="143">
        <f>SUM(D52:D53)</f>
        <v>0</v>
      </c>
      <c r="E54" s="144"/>
      <c r="F54" s="145">
        <f>SUM(F52:F53)</f>
        <v>0</v>
      </c>
      <c r="G54" s="144"/>
      <c r="H54" s="146"/>
      <c r="I54" s="143">
        <f>SUM(I52:I53)</f>
        <v>0</v>
      </c>
      <c r="J54" s="144"/>
      <c r="K54" s="145">
        <f>SUM(K52:K53)</f>
        <v>0</v>
      </c>
      <c r="L54" s="144"/>
      <c r="M54" s="146"/>
      <c r="N54" s="147">
        <f>SUM(N52:N53)</f>
        <v>0</v>
      </c>
      <c r="O54" s="148"/>
      <c r="P54" s="149">
        <f>SUM(P52:P53)</f>
        <v>0</v>
      </c>
      <c r="Q54" s="148"/>
      <c r="R54" s="146"/>
      <c r="S54" s="132"/>
      <c r="T54" s="138"/>
      <c r="U54" s="147">
        <f>SUM(U52:U53)</f>
        <v>0</v>
      </c>
      <c r="V54" s="148"/>
      <c r="W54" s="149">
        <f>SUM(W52:W53)</f>
        <v>0</v>
      </c>
      <c r="X54" s="148"/>
      <c r="Y54" s="146"/>
      <c r="Z54" s="147">
        <f>SUM(Z52:Z53)</f>
        <v>0</v>
      </c>
      <c r="AA54" s="148"/>
      <c r="AB54" s="149">
        <f>SUM(AB52:AB53)</f>
        <v>0</v>
      </c>
      <c r="AC54" s="148"/>
      <c r="AD54" s="146"/>
      <c r="AE54" s="147">
        <f>SUM(AE52:AE53)</f>
        <v>0</v>
      </c>
      <c r="AF54" s="148"/>
      <c r="AG54" s="149">
        <f>SUM(AG52:AG53)</f>
        <v>0</v>
      </c>
      <c r="AH54" s="148"/>
      <c r="AI54" s="146"/>
      <c r="AJ54" s="132"/>
      <c r="AK54" s="139"/>
      <c r="AL54" s="147">
        <f>SUM(AL52:AL53)</f>
        <v>0</v>
      </c>
      <c r="AM54" s="148"/>
      <c r="AN54" s="149">
        <f>SUM(AN52:AN53)</f>
        <v>0</v>
      </c>
      <c r="AO54" s="148"/>
      <c r="AP54" s="146"/>
      <c r="AQ54" s="147">
        <f>SUM(AQ52:AQ53)</f>
        <v>0</v>
      </c>
      <c r="AR54" s="148"/>
      <c r="AS54" s="149">
        <f>SUM(AS52:AS53)</f>
        <v>0</v>
      </c>
      <c r="AT54" s="148"/>
      <c r="AU54" s="146"/>
      <c r="AV54" s="147">
        <f>SUM(AV52:AV53)</f>
        <v>0</v>
      </c>
      <c r="AW54" s="148"/>
      <c r="AX54" s="149">
        <f>SUM(AX52:AX53)</f>
        <v>0</v>
      </c>
      <c r="AY54" s="148"/>
      <c r="AZ54" s="146"/>
      <c r="BA54" s="132"/>
      <c r="BB54" s="140"/>
      <c r="BC54" s="147">
        <f>SUM(BC52:BC53)</f>
        <v>0</v>
      </c>
      <c r="BD54" s="148"/>
      <c r="BE54" s="149">
        <f>SUM(BE52:BE53)</f>
        <v>0</v>
      </c>
      <c r="BF54" s="148"/>
      <c r="BG54" s="146"/>
      <c r="BH54" s="147">
        <f>SUM(BH52:BH53)</f>
        <v>0</v>
      </c>
      <c r="BI54" s="148"/>
      <c r="BJ54" s="149">
        <f>SUM(BJ52:BJ53)</f>
        <v>0</v>
      </c>
      <c r="BK54" s="148"/>
      <c r="BL54" s="146"/>
      <c r="BM54" s="147">
        <f>SUM(BM52:BM53)</f>
        <v>0</v>
      </c>
      <c r="BN54" s="148"/>
      <c r="BO54" s="149">
        <f>SUM(BO52:BO53)</f>
        <v>0</v>
      </c>
      <c r="BP54" s="148"/>
      <c r="BQ54" s="146"/>
    </row>
    <row r="55" spans="2:69" s="131" customFormat="1" x14ac:dyDescent="0.25">
      <c r="B55" s="132"/>
      <c r="C55" s="133"/>
      <c r="D55" s="122"/>
      <c r="E55" s="161"/>
      <c r="F55" s="124"/>
      <c r="G55" s="161"/>
      <c r="H55" s="125"/>
      <c r="I55" s="122"/>
      <c r="J55" s="161"/>
      <c r="K55" s="124"/>
      <c r="L55" s="161"/>
      <c r="M55" s="125"/>
      <c r="N55" s="126"/>
      <c r="O55" s="162"/>
      <c r="P55" s="128"/>
      <c r="Q55" s="162"/>
      <c r="R55" s="125"/>
      <c r="S55" s="132"/>
      <c r="T55" s="138"/>
      <c r="U55" s="126"/>
      <c r="V55" s="162"/>
      <c r="W55" s="128"/>
      <c r="X55" s="162"/>
      <c r="Y55" s="125"/>
      <c r="Z55" s="126"/>
      <c r="AA55" s="162"/>
      <c r="AB55" s="128"/>
      <c r="AC55" s="162"/>
      <c r="AD55" s="125"/>
      <c r="AE55" s="126"/>
      <c r="AF55" s="162"/>
      <c r="AG55" s="128"/>
      <c r="AH55" s="162"/>
      <c r="AI55" s="125"/>
      <c r="AJ55" s="132"/>
      <c r="AK55" s="139"/>
      <c r="AL55" s="126"/>
      <c r="AM55" s="162"/>
      <c r="AN55" s="128"/>
      <c r="AO55" s="162"/>
      <c r="AP55" s="125"/>
      <c r="AQ55" s="126"/>
      <c r="AR55" s="162"/>
      <c r="AS55" s="128"/>
      <c r="AT55" s="162"/>
      <c r="AU55" s="125"/>
      <c r="AV55" s="126"/>
      <c r="AW55" s="162"/>
      <c r="AX55" s="128"/>
      <c r="AY55" s="162"/>
      <c r="AZ55" s="125"/>
      <c r="BA55" s="132"/>
      <c r="BB55" s="140"/>
      <c r="BC55" s="126"/>
      <c r="BD55" s="162"/>
      <c r="BE55" s="128"/>
      <c r="BF55" s="162"/>
      <c r="BG55" s="125"/>
      <c r="BH55" s="126"/>
      <c r="BI55" s="162"/>
      <c r="BJ55" s="128"/>
      <c r="BK55" s="162"/>
      <c r="BL55" s="125"/>
      <c r="BM55" s="126"/>
      <c r="BN55" s="162"/>
      <c r="BO55" s="128"/>
      <c r="BP55" s="162"/>
      <c r="BQ55" s="125"/>
    </row>
    <row r="56" spans="2:69" s="131" customFormat="1" x14ac:dyDescent="0.25">
      <c r="B56" s="132" t="s">
        <v>1086</v>
      </c>
      <c r="C56" s="133">
        <v>40000</v>
      </c>
      <c r="D56" s="122"/>
      <c r="E56" s="123"/>
      <c r="F56" s="124"/>
      <c r="G56" s="123"/>
      <c r="H56" s="125">
        <f>C56+D56-F56</f>
        <v>40000</v>
      </c>
      <c r="I56" s="122"/>
      <c r="J56" s="123"/>
      <c r="K56" s="124"/>
      <c r="L56" s="123"/>
      <c r="M56" s="125">
        <f>H56+I56-K56</f>
        <v>40000</v>
      </c>
      <c r="N56" s="126"/>
      <c r="O56" s="127"/>
      <c r="P56" s="128"/>
      <c r="Q56" s="127"/>
      <c r="R56" s="125">
        <f>M56+N56-P56</f>
        <v>40000</v>
      </c>
      <c r="S56" s="132" t="s">
        <v>1086</v>
      </c>
      <c r="T56" s="138">
        <f>R56</f>
        <v>40000</v>
      </c>
      <c r="U56" s="126"/>
      <c r="V56" s="127"/>
      <c r="W56" s="128"/>
      <c r="X56" s="127"/>
      <c r="Y56" s="125">
        <f>T56+U56-W56</f>
        <v>40000</v>
      </c>
      <c r="Z56" s="126">
        <v>0</v>
      </c>
      <c r="AA56" s="127"/>
      <c r="AB56" s="128">
        <v>0</v>
      </c>
      <c r="AC56" s="127"/>
      <c r="AD56" s="125">
        <f>Y56+Z56-AB56</f>
        <v>40000</v>
      </c>
      <c r="AE56" s="126"/>
      <c r="AF56" s="127"/>
      <c r="AG56" s="128"/>
      <c r="AH56" s="127"/>
      <c r="AI56" s="125">
        <f>AD56+AE56-AG56</f>
        <v>40000</v>
      </c>
      <c r="AJ56" s="132" t="s">
        <v>1086</v>
      </c>
      <c r="AK56" s="139">
        <f>AI56</f>
        <v>40000</v>
      </c>
      <c r="AL56" s="126"/>
      <c r="AM56" s="127"/>
      <c r="AN56" s="128"/>
      <c r="AO56" s="127"/>
      <c r="AP56" s="125">
        <f>AK56+AL56-AN56</f>
        <v>40000</v>
      </c>
      <c r="AQ56" s="126"/>
      <c r="AR56" s="127"/>
      <c r="AS56" s="128"/>
      <c r="AT56" s="127"/>
      <c r="AU56" s="125">
        <f>AP56+AQ56-AS56</f>
        <v>40000</v>
      </c>
      <c r="AV56" s="126"/>
      <c r="AW56" s="127"/>
      <c r="AX56" s="128"/>
      <c r="AY56" s="127"/>
      <c r="AZ56" s="125">
        <f>AU56+AV56-AX56</f>
        <v>40000</v>
      </c>
      <c r="BA56" s="132" t="s">
        <v>1086</v>
      </c>
      <c r="BB56" s="140">
        <f>AZ56</f>
        <v>40000</v>
      </c>
      <c r="BC56" s="126"/>
      <c r="BD56" s="127"/>
      <c r="BE56" s="128"/>
      <c r="BF56" s="127"/>
      <c r="BG56" s="125">
        <f>BB56+BC56-BE56</f>
        <v>40000</v>
      </c>
      <c r="BH56" s="126"/>
      <c r="BI56" s="127"/>
      <c r="BJ56" s="128"/>
      <c r="BK56" s="127"/>
      <c r="BL56" s="125">
        <f>BG56+BH56-BJ56</f>
        <v>40000</v>
      </c>
      <c r="BM56" s="126"/>
      <c r="BN56" s="127"/>
      <c r="BO56" s="128"/>
      <c r="BP56" s="127"/>
      <c r="BQ56" s="125">
        <f>BL56+BM56-BO56</f>
        <v>40000</v>
      </c>
    </row>
    <row r="57" spans="2:69" s="131" customFormat="1" x14ac:dyDescent="0.25">
      <c r="B57" s="132"/>
      <c r="C57" s="133"/>
      <c r="D57" s="122"/>
      <c r="E57" s="123"/>
      <c r="F57" s="124"/>
      <c r="G57" s="123"/>
      <c r="H57" s="125"/>
      <c r="I57" s="122"/>
      <c r="J57" s="123"/>
      <c r="K57" s="124"/>
      <c r="L57" s="123"/>
      <c r="M57" s="125"/>
      <c r="N57" s="126"/>
      <c r="O57" s="127"/>
      <c r="P57" s="128"/>
      <c r="Q57" s="127"/>
      <c r="R57" s="125"/>
      <c r="S57" s="132"/>
      <c r="T57" s="138"/>
      <c r="U57" s="126"/>
      <c r="V57" s="127"/>
      <c r="W57" s="128"/>
      <c r="X57" s="127"/>
      <c r="Y57" s="125"/>
      <c r="Z57" s="126"/>
      <c r="AA57" s="127"/>
      <c r="AB57" s="128"/>
      <c r="AC57" s="127"/>
      <c r="AD57" s="125"/>
      <c r="AE57" s="126"/>
      <c r="AF57" s="127"/>
      <c r="AG57" s="128"/>
      <c r="AH57" s="127"/>
      <c r="AI57" s="125"/>
      <c r="AJ57" s="132"/>
      <c r="AK57" s="139"/>
      <c r="AL57" s="126"/>
      <c r="AM57" s="127"/>
      <c r="AN57" s="128"/>
      <c r="AO57" s="127"/>
      <c r="AP57" s="125"/>
      <c r="AQ57" s="126"/>
      <c r="AR57" s="127"/>
      <c r="AS57" s="128"/>
      <c r="AT57" s="127"/>
      <c r="AU57" s="125"/>
      <c r="AV57" s="126"/>
      <c r="AW57" s="127"/>
      <c r="AX57" s="128"/>
      <c r="AY57" s="127"/>
      <c r="AZ57" s="125"/>
      <c r="BA57" s="132"/>
      <c r="BB57" s="140"/>
      <c r="BC57" s="126"/>
      <c r="BD57" s="127"/>
      <c r="BE57" s="128"/>
      <c r="BF57" s="127"/>
      <c r="BG57" s="125"/>
      <c r="BH57" s="126"/>
      <c r="BI57" s="127"/>
      <c r="BJ57" s="128"/>
      <c r="BK57" s="127"/>
      <c r="BL57" s="125"/>
      <c r="BM57" s="126"/>
      <c r="BN57" s="127"/>
      <c r="BO57" s="128"/>
      <c r="BP57" s="127"/>
      <c r="BQ57" s="125"/>
    </row>
    <row r="58" spans="2:69" s="131" customFormat="1" x14ac:dyDescent="0.25">
      <c r="B58" s="132" t="s">
        <v>1087</v>
      </c>
      <c r="C58" s="133"/>
      <c r="D58" s="122"/>
      <c r="E58" s="123"/>
      <c r="F58" s="124"/>
      <c r="G58" s="123"/>
      <c r="H58" s="125"/>
      <c r="I58" s="122"/>
      <c r="J58" s="123"/>
      <c r="K58" s="124"/>
      <c r="L58" s="123"/>
      <c r="M58" s="125">
        <f>H58+I58-K58</f>
        <v>0</v>
      </c>
      <c r="N58" s="126"/>
      <c r="O58" s="127"/>
      <c r="P58" s="128"/>
      <c r="Q58" s="127"/>
      <c r="R58" s="125">
        <f>M58+N58-P58</f>
        <v>0</v>
      </c>
      <c r="S58" s="132" t="s">
        <v>1087</v>
      </c>
      <c r="T58" s="138">
        <f>R58</f>
        <v>0</v>
      </c>
      <c r="U58" s="126"/>
      <c r="V58" s="127"/>
      <c r="W58" s="128"/>
      <c r="X58" s="127"/>
      <c r="Y58" s="125">
        <f>T58+U58-W58</f>
        <v>0</v>
      </c>
      <c r="Z58" s="126"/>
      <c r="AA58" s="127"/>
      <c r="AB58" s="128"/>
      <c r="AC58" s="127"/>
      <c r="AD58" s="125">
        <f>Y58+Z58-AB58</f>
        <v>0</v>
      </c>
      <c r="AE58" s="126"/>
      <c r="AF58" s="127"/>
      <c r="AG58" s="128"/>
      <c r="AH58" s="127"/>
      <c r="AI58" s="125">
        <f>AD58+AE58-AG58</f>
        <v>0</v>
      </c>
      <c r="AJ58" s="132" t="s">
        <v>1087</v>
      </c>
      <c r="AK58" s="139">
        <f>AI58</f>
        <v>0</v>
      </c>
      <c r="AL58" s="126"/>
      <c r="AM58" s="127"/>
      <c r="AN58" s="128"/>
      <c r="AO58" s="127"/>
      <c r="AP58" s="125">
        <f>AK58+AL58-AN58</f>
        <v>0</v>
      </c>
      <c r="AQ58" s="126"/>
      <c r="AR58" s="127"/>
      <c r="AS58" s="128"/>
      <c r="AT58" s="127"/>
      <c r="AU58" s="125">
        <f>AP58+AQ58-AS58</f>
        <v>0</v>
      </c>
      <c r="AV58" s="126"/>
      <c r="AW58" s="127"/>
      <c r="AX58" s="128"/>
      <c r="AY58" s="127"/>
      <c r="AZ58" s="125">
        <f>AU58+AV58-AX58</f>
        <v>0</v>
      </c>
      <c r="BA58" s="132" t="s">
        <v>1087</v>
      </c>
      <c r="BB58" s="140">
        <f>AZ58</f>
        <v>0</v>
      </c>
      <c r="BC58" s="126"/>
      <c r="BD58" s="127"/>
      <c r="BE58" s="128"/>
      <c r="BF58" s="127"/>
      <c r="BG58" s="125">
        <f>BB58+BC58-BE58</f>
        <v>0</v>
      </c>
      <c r="BH58" s="126"/>
      <c r="BI58" s="127"/>
      <c r="BJ58" s="128"/>
      <c r="BK58" s="127"/>
      <c r="BL58" s="125">
        <f>BG58+BH58-BJ58</f>
        <v>0</v>
      </c>
      <c r="BM58" s="126"/>
      <c r="BN58" s="127"/>
      <c r="BO58" s="128"/>
      <c r="BP58" s="127"/>
      <c r="BQ58" s="125">
        <f>BL58+BM58-BO58</f>
        <v>0</v>
      </c>
    </row>
    <row r="59" spans="2:69" s="131" customFormat="1" x14ac:dyDescent="0.25">
      <c r="B59" s="132"/>
      <c r="C59" s="133"/>
      <c r="D59" s="122"/>
      <c r="E59" s="123"/>
      <c r="F59" s="124"/>
      <c r="G59" s="123"/>
      <c r="H59" s="125"/>
      <c r="I59" s="122"/>
      <c r="J59" s="123"/>
      <c r="K59" s="124"/>
      <c r="L59" s="123"/>
      <c r="M59" s="125"/>
      <c r="N59" s="126"/>
      <c r="O59" s="127"/>
      <c r="P59" s="128"/>
      <c r="Q59" s="127"/>
      <c r="R59" s="125"/>
      <c r="S59" s="132"/>
      <c r="T59" s="138"/>
      <c r="U59" s="126"/>
      <c r="V59" s="127"/>
      <c r="W59" s="128"/>
      <c r="X59" s="127"/>
      <c r="Y59" s="125"/>
      <c r="Z59" s="126"/>
      <c r="AA59" s="127"/>
      <c r="AB59" s="128"/>
      <c r="AC59" s="127"/>
      <c r="AD59" s="125"/>
      <c r="AE59" s="126"/>
      <c r="AF59" s="127"/>
      <c r="AG59" s="128"/>
      <c r="AH59" s="127"/>
      <c r="AI59" s="125"/>
      <c r="AJ59" s="132"/>
      <c r="AK59" s="139"/>
      <c r="AL59" s="126"/>
      <c r="AM59" s="127"/>
      <c r="AN59" s="128"/>
      <c r="AO59" s="127"/>
      <c r="AP59" s="125"/>
      <c r="AQ59" s="126"/>
      <c r="AR59" s="127"/>
      <c r="AS59" s="128"/>
      <c r="AT59" s="127"/>
      <c r="AU59" s="125"/>
      <c r="AV59" s="126"/>
      <c r="AW59" s="127"/>
      <c r="AX59" s="128"/>
      <c r="AY59" s="127"/>
      <c r="AZ59" s="125"/>
      <c r="BA59" s="132"/>
      <c r="BB59" s="140"/>
      <c r="BC59" s="126"/>
      <c r="BD59" s="127"/>
      <c r="BE59" s="128"/>
      <c r="BF59" s="127"/>
      <c r="BG59" s="125"/>
      <c r="BH59" s="126"/>
      <c r="BI59" s="127"/>
      <c r="BJ59" s="128"/>
      <c r="BK59" s="127"/>
      <c r="BL59" s="125"/>
      <c r="BM59" s="126"/>
      <c r="BN59" s="127"/>
      <c r="BO59" s="128"/>
      <c r="BP59" s="127"/>
      <c r="BQ59" s="125"/>
    </row>
    <row r="60" spans="2:69" s="131" customFormat="1" x14ac:dyDescent="0.25">
      <c r="B60" s="132" t="s">
        <v>1088</v>
      </c>
      <c r="C60" s="133">
        <v>206235</v>
      </c>
      <c r="D60" s="122"/>
      <c r="E60" s="123"/>
      <c r="F60" s="124">
        <v>20000</v>
      </c>
      <c r="G60" s="123" t="s">
        <v>1089</v>
      </c>
      <c r="H60" s="125">
        <v>196790</v>
      </c>
      <c r="I60" s="122"/>
      <c r="J60" s="123"/>
      <c r="K60" s="124">
        <v>25000</v>
      </c>
      <c r="L60" s="123" t="s">
        <v>1089</v>
      </c>
      <c r="M60" s="125">
        <f>H60+I60-K60</f>
        <v>171790</v>
      </c>
      <c r="N60" s="126"/>
      <c r="O60" s="127"/>
      <c r="P60" s="136">
        <v>25000</v>
      </c>
      <c r="Q60" s="137" t="s">
        <v>1089</v>
      </c>
      <c r="R60" s="125">
        <f>M60+N60-P60</f>
        <v>146790</v>
      </c>
      <c r="S60" s="132" t="s">
        <v>1088</v>
      </c>
      <c r="T60" s="138">
        <f>R60</f>
        <v>146790</v>
      </c>
      <c r="U60" s="126"/>
      <c r="V60" s="127"/>
      <c r="W60" s="136">
        <v>25000</v>
      </c>
      <c r="X60" s="137" t="s">
        <v>1089</v>
      </c>
      <c r="Y60" s="125">
        <f>T60+U60-W60</f>
        <v>121790</v>
      </c>
      <c r="Z60" s="126"/>
      <c r="AA60" s="127"/>
      <c r="AB60" s="136">
        <v>25000</v>
      </c>
      <c r="AC60" s="137" t="s">
        <v>1089</v>
      </c>
      <c r="AD60" s="125">
        <f>Y60+Z60-AB60</f>
        <v>96790</v>
      </c>
      <c r="AE60" s="126"/>
      <c r="AF60" s="127"/>
      <c r="AG60" s="136">
        <v>25000</v>
      </c>
      <c r="AH60" s="137" t="s">
        <v>1089</v>
      </c>
      <c r="AI60" s="125">
        <f>AD60+AE60-AG60</f>
        <v>71790</v>
      </c>
      <c r="AJ60" s="132" t="s">
        <v>1088</v>
      </c>
      <c r="AK60" s="139">
        <f>AI60</f>
        <v>71790</v>
      </c>
      <c r="AL60" s="126"/>
      <c r="AM60" s="127"/>
      <c r="AN60" s="136">
        <v>25000</v>
      </c>
      <c r="AO60" s="137" t="s">
        <v>1089</v>
      </c>
      <c r="AP60" s="125">
        <f>AK60+AL60-AN60</f>
        <v>46790</v>
      </c>
      <c r="AQ60" s="126"/>
      <c r="AR60" s="127"/>
      <c r="AS60" s="136">
        <v>25000</v>
      </c>
      <c r="AT60" s="137" t="s">
        <v>1089</v>
      </c>
      <c r="AU60" s="125">
        <f>AP60+AQ60-AS60</f>
        <v>21790</v>
      </c>
      <c r="AV60" s="126"/>
      <c r="AW60" s="127"/>
      <c r="AX60" s="136">
        <v>21790</v>
      </c>
      <c r="AY60" s="137" t="s">
        <v>1089</v>
      </c>
      <c r="AZ60" s="125">
        <f>AU60+AV60-AX60</f>
        <v>0</v>
      </c>
      <c r="BA60" s="132" t="s">
        <v>1088</v>
      </c>
      <c r="BB60" s="140">
        <f>AZ60</f>
        <v>0</v>
      </c>
      <c r="BC60" s="126"/>
      <c r="BD60" s="127"/>
      <c r="BE60" s="128"/>
      <c r="BF60" s="127"/>
      <c r="BG60" s="125">
        <f>BB60+BC60-BE60</f>
        <v>0</v>
      </c>
      <c r="BH60" s="126"/>
      <c r="BI60" s="127"/>
      <c r="BJ60" s="128"/>
      <c r="BK60" s="127"/>
      <c r="BL60" s="125">
        <f>BG60+BH60-BJ60</f>
        <v>0</v>
      </c>
      <c r="BM60" s="126"/>
      <c r="BN60" s="127"/>
      <c r="BO60" s="128"/>
      <c r="BP60" s="127"/>
      <c r="BQ60" s="125">
        <f>BL60+BM60-BO60</f>
        <v>0</v>
      </c>
    </row>
    <row r="61" spans="2:69" s="131" customFormat="1" x14ac:dyDescent="0.25">
      <c r="B61" s="132"/>
      <c r="C61" s="133"/>
      <c r="D61" s="122"/>
      <c r="E61" s="123"/>
      <c r="F61" s="124"/>
      <c r="G61" s="123"/>
      <c r="H61" s="125"/>
      <c r="I61" s="122"/>
      <c r="J61" s="123"/>
      <c r="K61" s="124"/>
      <c r="L61" s="123"/>
      <c r="M61" s="125"/>
      <c r="N61" s="126"/>
      <c r="O61" s="127"/>
      <c r="P61" s="128"/>
      <c r="Q61" s="127"/>
      <c r="R61" s="125"/>
      <c r="S61" s="132"/>
      <c r="T61" s="138"/>
      <c r="U61" s="126"/>
      <c r="V61" s="127"/>
      <c r="W61" s="128"/>
      <c r="X61" s="127"/>
      <c r="Y61" s="125"/>
      <c r="Z61" s="126"/>
      <c r="AA61" s="127"/>
      <c r="AB61" s="128"/>
      <c r="AC61" s="127"/>
      <c r="AD61" s="125"/>
      <c r="AE61" s="126"/>
      <c r="AF61" s="127"/>
      <c r="AG61" s="128"/>
      <c r="AH61" s="127"/>
      <c r="AI61" s="125"/>
      <c r="AJ61" s="132"/>
      <c r="AK61" s="139"/>
      <c r="AL61" s="126"/>
      <c r="AM61" s="127"/>
      <c r="AN61" s="128"/>
      <c r="AO61" s="127"/>
      <c r="AP61" s="125"/>
      <c r="AQ61" s="126"/>
      <c r="AR61" s="127"/>
      <c r="AS61" s="128"/>
      <c r="AT61" s="127"/>
      <c r="AU61" s="125"/>
      <c r="AV61" s="126"/>
      <c r="AW61" s="127"/>
      <c r="AX61" s="128"/>
      <c r="AY61" s="127"/>
      <c r="AZ61" s="125"/>
      <c r="BA61" s="132"/>
      <c r="BB61" s="140"/>
      <c r="BC61" s="126"/>
      <c r="BD61" s="127"/>
      <c r="BE61" s="128"/>
      <c r="BF61" s="127"/>
      <c r="BG61" s="125"/>
      <c r="BH61" s="126"/>
      <c r="BI61" s="127"/>
      <c r="BJ61" s="128"/>
      <c r="BK61" s="127"/>
      <c r="BL61" s="125"/>
      <c r="BM61" s="126"/>
      <c r="BN61" s="127"/>
      <c r="BO61" s="128"/>
      <c r="BP61" s="127"/>
      <c r="BQ61" s="125"/>
    </row>
    <row r="62" spans="2:69" s="131" customFormat="1" x14ac:dyDescent="0.25">
      <c r="B62" s="132" t="s">
        <v>1090</v>
      </c>
      <c r="C62" s="133"/>
      <c r="D62" s="122"/>
      <c r="E62" s="123"/>
      <c r="F62" s="124"/>
      <c r="G62" s="123"/>
      <c r="H62" s="125">
        <f>C62+D62-F62</f>
        <v>0</v>
      </c>
      <c r="I62" s="122"/>
      <c r="J62" s="123"/>
      <c r="K62" s="124"/>
      <c r="L62" s="123"/>
      <c r="M62" s="125">
        <f>H62+I62-K62</f>
        <v>0</v>
      </c>
      <c r="N62" s="126"/>
      <c r="O62" s="127"/>
      <c r="P62" s="128"/>
      <c r="Q62" s="127"/>
      <c r="R62" s="125">
        <f>M62+N62-P62</f>
        <v>0</v>
      </c>
      <c r="S62" s="132" t="s">
        <v>1090</v>
      </c>
      <c r="T62" s="138">
        <f>R62</f>
        <v>0</v>
      </c>
      <c r="U62" s="126"/>
      <c r="V62" s="127"/>
      <c r="W62" s="128"/>
      <c r="X62" s="127"/>
      <c r="Y62" s="125">
        <f>T62+U62-W62</f>
        <v>0</v>
      </c>
      <c r="Z62" s="126"/>
      <c r="AA62" s="127"/>
      <c r="AB62" s="128"/>
      <c r="AC62" s="127"/>
      <c r="AD62" s="125">
        <f>Y62+Z62-AB62</f>
        <v>0</v>
      </c>
      <c r="AE62" s="126"/>
      <c r="AF62" s="127"/>
      <c r="AG62" s="128"/>
      <c r="AH62" s="127"/>
      <c r="AI62" s="125">
        <f>AD62+AE62-AG62</f>
        <v>0</v>
      </c>
      <c r="AJ62" s="132" t="s">
        <v>1090</v>
      </c>
      <c r="AK62" s="139">
        <f>AI62</f>
        <v>0</v>
      </c>
      <c r="AL62" s="126"/>
      <c r="AM62" s="127"/>
      <c r="AN62" s="128"/>
      <c r="AO62" s="127"/>
      <c r="AP62" s="125">
        <f>AK62+AL62-AN62</f>
        <v>0</v>
      </c>
      <c r="AQ62" s="126"/>
      <c r="AR62" s="127"/>
      <c r="AS62" s="128"/>
      <c r="AT62" s="127"/>
      <c r="AU62" s="125">
        <f>AP62+AQ62-AS62</f>
        <v>0</v>
      </c>
      <c r="AV62" s="126"/>
      <c r="AW62" s="127"/>
      <c r="AX62" s="128"/>
      <c r="AY62" s="127"/>
      <c r="AZ62" s="125">
        <f>AU62+AV62-AX62</f>
        <v>0</v>
      </c>
      <c r="BA62" s="132" t="s">
        <v>1090</v>
      </c>
      <c r="BB62" s="140">
        <f>AZ62</f>
        <v>0</v>
      </c>
      <c r="BC62" s="126"/>
      <c r="BD62" s="127"/>
      <c r="BE62" s="128"/>
      <c r="BF62" s="127"/>
      <c r="BG62" s="125">
        <f>BB62+BC62-BE62</f>
        <v>0</v>
      </c>
      <c r="BH62" s="126"/>
      <c r="BI62" s="127"/>
      <c r="BJ62" s="128"/>
      <c r="BK62" s="127"/>
      <c r="BL62" s="125">
        <f>BG62+BH62-BJ62</f>
        <v>0</v>
      </c>
      <c r="BM62" s="126"/>
      <c r="BN62" s="127"/>
      <c r="BO62" s="128"/>
      <c r="BP62" s="127"/>
      <c r="BQ62" s="125">
        <f>BL62+BM62-BO62</f>
        <v>0</v>
      </c>
    </row>
    <row r="63" spans="2:69" s="131" customFormat="1" x14ac:dyDescent="0.25">
      <c r="B63" s="132"/>
      <c r="C63" s="133"/>
      <c r="D63" s="122"/>
      <c r="E63" s="123"/>
      <c r="F63" s="124"/>
      <c r="G63" s="123"/>
      <c r="H63" s="125"/>
      <c r="I63" s="122"/>
      <c r="J63" s="123"/>
      <c r="K63" s="124"/>
      <c r="L63" s="123"/>
      <c r="M63" s="125"/>
      <c r="N63" s="126"/>
      <c r="O63" s="127"/>
      <c r="P63" s="128"/>
      <c r="Q63" s="127"/>
      <c r="R63" s="125"/>
      <c r="S63" s="132"/>
      <c r="T63" s="138"/>
      <c r="U63" s="126"/>
      <c r="V63" s="127"/>
      <c r="W63" s="128"/>
      <c r="X63" s="127"/>
      <c r="Y63" s="125"/>
      <c r="Z63" s="126"/>
      <c r="AA63" s="127"/>
      <c r="AB63" s="128"/>
      <c r="AC63" s="127"/>
      <c r="AD63" s="125"/>
      <c r="AE63" s="126"/>
      <c r="AF63" s="127"/>
      <c r="AG63" s="128"/>
      <c r="AH63" s="127"/>
      <c r="AI63" s="125"/>
      <c r="AJ63" s="132"/>
      <c r="AK63" s="139"/>
      <c r="AL63" s="126"/>
      <c r="AM63" s="127"/>
      <c r="AN63" s="128"/>
      <c r="AO63" s="127"/>
      <c r="AP63" s="125"/>
      <c r="AQ63" s="126"/>
      <c r="AR63" s="127"/>
      <c r="AS63" s="128"/>
      <c r="AT63" s="127"/>
      <c r="AU63" s="125"/>
      <c r="AV63" s="126"/>
      <c r="AW63" s="127"/>
      <c r="AX63" s="128"/>
      <c r="AY63" s="127"/>
      <c r="AZ63" s="125"/>
      <c r="BA63" s="132"/>
      <c r="BB63" s="140"/>
      <c r="BC63" s="126"/>
      <c r="BD63" s="127"/>
      <c r="BE63" s="128"/>
      <c r="BF63" s="127"/>
      <c r="BG63" s="125"/>
      <c r="BH63" s="126"/>
      <c r="BI63" s="127"/>
      <c r="BJ63" s="128"/>
      <c r="BK63" s="127"/>
      <c r="BL63" s="125"/>
      <c r="BM63" s="126"/>
      <c r="BN63" s="127"/>
      <c r="BO63" s="128"/>
      <c r="BP63" s="127"/>
      <c r="BQ63" s="125"/>
    </row>
    <row r="64" spans="2:69" s="164" customFormat="1" x14ac:dyDescent="0.25">
      <c r="B64" s="132" t="s">
        <v>1091</v>
      </c>
      <c r="C64" s="133">
        <v>40680</v>
      </c>
      <c r="D64" s="122"/>
      <c r="E64" s="161"/>
      <c r="F64" s="124"/>
      <c r="G64" s="161"/>
      <c r="H64" s="125">
        <v>49610</v>
      </c>
      <c r="I64" s="122"/>
      <c r="J64" s="161"/>
      <c r="K64" s="124"/>
      <c r="L64" s="161"/>
      <c r="M64" s="125">
        <v>55780</v>
      </c>
      <c r="N64" s="151"/>
      <c r="O64" s="163"/>
      <c r="P64" s="136"/>
      <c r="Q64" s="163"/>
      <c r="R64" s="125">
        <f>M64+N64-P64</f>
        <v>55780</v>
      </c>
      <c r="S64" s="132" t="s">
        <v>1091</v>
      </c>
      <c r="T64" s="138">
        <f>R64</f>
        <v>55780</v>
      </c>
      <c r="U64" s="151"/>
      <c r="V64" s="163"/>
      <c r="W64" s="136"/>
      <c r="X64" s="163"/>
      <c r="Y64" s="125">
        <f>T64+U64-W64</f>
        <v>55780</v>
      </c>
      <c r="Z64" s="151"/>
      <c r="AA64" s="163"/>
      <c r="AB64" s="136"/>
      <c r="AC64" s="163"/>
      <c r="AD64" s="125">
        <f>Y64+Z64-AB64</f>
        <v>55780</v>
      </c>
      <c r="AE64" s="151"/>
      <c r="AF64" s="163"/>
      <c r="AG64" s="136"/>
      <c r="AH64" s="163"/>
      <c r="AI64" s="125">
        <f>AD64+AE64-AG64</f>
        <v>55780</v>
      </c>
      <c r="AJ64" s="132" t="s">
        <v>1091</v>
      </c>
      <c r="AK64" s="139">
        <f>AI64</f>
        <v>55780</v>
      </c>
      <c r="AL64" s="151"/>
      <c r="AM64" s="163"/>
      <c r="AN64" s="136"/>
      <c r="AO64" s="163"/>
      <c r="AP64" s="125">
        <f>AK64+AL64-AN64</f>
        <v>55780</v>
      </c>
      <c r="AQ64" s="151"/>
      <c r="AR64" s="163"/>
      <c r="AS64" s="136"/>
      <c r="AT64" s="163"/>
      <c r="AU64" s="125">
        <f>AP64+AQ64-AS64</f>
        <v>55780</v>
      </c>
      <c r="AV64" s="126"/>
      <c r="AW64" s="163"/>
      <c r="AX64" s="136"/>
      <c r="AY64" s="163"/>
      <c r="AZ64" s="125">
        <f>AU64+AV64-AX64</f>
        <v>55780</v>
      </c>
      <c r="BA64" s="132" t="s">
        <v>1091</v>
      </c>
      <c r="BB64" s="140">
        <f>AZ64</f>
        <v>55780</v>
      </c>
      <c r="BC64" s="126"/>
      <c r="BD64" s="162"/>
      <c r="BE64" s="128"/>
      <c r="BF64" s="162"/>
      <c r="BG64" s="125">
        <f>BB64+BC64-BE64</f>
        <v>55780</v>
      </c>
      <c r="BH64" s="126"/>
      <c r="BI64" s="162"/>
      <c r="BJ64" s="128"/>
      <c r="BK64" s="162"/>
      <c r="BL64" s="125">
        <f>BG64+BH64-BJ64</f>
        <v>55780</v>
      </c>
      <c r="BM64" s="126"/>
      <c r="BN64" s="162"/>
      <c r="BO64" s="128"/>
      <c r="BP64" s="162"/>
      <c r="BQ64" s="125">
        <f>BL64+BM64-BO64</f>
        <v>55780</v>
      </c>
    </row>
    <row r="65" spans="2:69" s="131" customFormat="1" ht="15.75" thickBot="1" x14ac:dyDescent="0.3">
      <c r="B65" s="165"/>
      <c r="C65" s="133"/>
      <c r="D65" s="166"/>
      <c r="E65" s="167"/>
      <c r="F65" s="168"/>
      <c r="G65" s="167"/>
      <c r="H65" s="169"/>
      <c r="I65" s="166"/>
      <c r="J65" s="167"/>
      <c r="K65" s="168"/>
      <c r="L65" s="167"/>
      <c r="M65" s="169"/>
      <c r="N65" s="170"/>
      <c r="O65" s="171"/>
      <c r="P65" s="172"/>
      <c r="Q65" s="171"/>
      <c r="R65" s="169"/>
      <c r="S65" s="165"/>
      <c r="T65" s="138"/>
      <c r="U65" s="170"/>
      <c r="V65" s="171"/>
      <c r="W65" s="172"/>
      <c r="X65" s="171"/>
      <c r="Y65" s="169"/>
      <c r="Z65" s="170"/>
      <c r="AA65" s="171"/>
      <c r="AB65" s="172"/>
      <c r="AC65" s="171"/>
      <c r="AD65" s="169"/>
      <c r="AE65" s="170"/>
      <c r="AF65" s="171"/>
      <c r="AG65" s="172"/>
      <c r="AH65" s="171"/>
      <c r="AI65" s="169"/>
      <c r="AJ65" s="165"/>
      <c r="AK65" s="139"/>
      <c r="AL65" s="170"/>
      <c r="AM65" s="171"/>
      <c r="AN65" s="172"/>
      <c r="AO65" s="171"/>
      <c r="AP65" s="169"/>
      <c r="AQ65" s="170"/>
      <c r="AR65" s="171"/>
      <c r="AS65" s="172"/>
      <c r="AT65" s="171"/>
      <c r="AU65" s="169"/>
      <c r="AV65" s="170"/>
      <c r="AW65" s="171"/>
      <c r="AX65" s="172"/>
      <c r="AY65" s="171"/>
      <c r="AZ65" s="169"/>
      <c r="BA65" s="165"/>
      <c r="BB65" s="140"/>
      <c r="BC65" s="170"/>
      <c r="BD65" s="171"/>
      <c r="BE65" s="172"/>
      <c r="BF65" s="171"/>
      <c r="BG65" s="169"/>
      <c r="BH65" s="170"/>
      <c r="BI65" s="171"/>
      <c r="BJ65" s="172"/>
      <c r="BK65" s="171"/>
      <c r="BL65" s="169"/>
      <c r="BM65" s="170"/>
      <c r="BN65" s="171"/>
      <c r="BO65" s="172"/>
      <c r="BP65" s="171"/>
      <c r="BQ65" s="169"/>
    </row>
    <row r="66" spans="2:69" s="131" customFormat="1" x14ac:dyDescent="0.25">
      <c r="B66" s="173"/>
      <c r="C66" s="174">
        <f>SUM(C6:C65)</f>
        <v>2286457</v>
      </c>
      <c r="D66" s="175">
        <f>D11+D17+D27+D32+D35+D41+D45+D48+D51+D54+D56+D58+D60+D62+D64</f>
        <v>865070</v>
      </c>
      <c r="E66" s="176"/>
      <c r="F66" s="177">
        <f>F11+F17+F27+F32+F35+F41+F45+F48+F51+F54+F56+F58+F60+F62+F64</f>
        <v>895027</v>
      </c>
      <c r="G66" s="176"/>
      <c r="H66" s="178">
        <f>SUM(H6:H65)</f>
        <v>2853982</v>
      </c>
      <c r="I66" s="175">
        <f>I11+I17+I27+I32+I35+I41+I45+I48+I51+I54+I56+I58+I60+I62+I64</f>
        <v>879961</v>
      </c>
      <c r="J66" s="176"/>
      <c r="K66" s="177">
        <f>K11+K17+K27+K32+K35+K41+K45+K48+K51+K54+K56+K58+K60+K62+K64</f>
        <v>1262900</v>
      </c>
      <c r="L66" s="176"/>
      <c r="M66" s="178">
        <f>SUM(M6:M65)</f>
        <v>2871440</v>
      </c>
      <c r="N66" s="175">
        <f>N11+N17+N27+N32+N35+N41+N45+N48++N51+N54+N56+N58+N60+N62+N64</f>
        <v>837160</v>
      </c>
      <c r="O66" s="176"/>
      <c r="P66" s="177">
        <f>P11+P17+P27+P32+P35+P41+P45+P48++P51+P54+P56+P58+P60+P62+P64</f>
        <v>1565312</v>
      </c>
      <c r="Q66" s="176"/>
      <c r="R66" s="178">
        <f>SUM(R6:R65)</f>
        <v>2143288</v>
      </c>
      <c r="S66" s="173"/>
      <c r="T66" s="178">
        <f>SUM(T6:T65)</f>
        <v>2143288</v>
      </c>
      <c r="U66" s="175">
        <f>U11+U17+U27+U32+U35+U41+U45+U48++U51+U54+U56+U58+U60+U62+U64</f>
        <v>982748</v>
      </c>
      <c r="V66" s="176"/>
      <c r="W66" s="177">
        <f>W11+W17+W27+W32+W35+W41+W45+W48++W51+W54+W56+W58+W60+W62+W64</f>
        <v>698592</v>
      </c>
      <c r="X66" s="176"/>
      <c r="Y66" s="178">
        <f>SUM(Y6:Y65)</f>
        <v>2427444</v>
      </c>
      <c r="Z66" s="175">
        <f>Z11+Z17+Z27+Z32+Z35+Z41+Z45+Z48++Z51+Z54+Z56+Z58+Z60+Z62+Z64</f>
        <v>1015475</v>
      </c>
      <c r="AA66" s="176"/>
      <c r="AB66" s="177">
        <f>AB11+AB17+AB27+AB32+AB35+AB41+AB45+AB48++AB51+AB54+AB56+AB58+AB60+AB62+AB64</f>
        <v>409402.21</v>
      </c>
      <c r="AC66" s="176"/>
      <c r="AD66" s="178">
        <f>SUM(AD6:AD65)</f>
        <v>3033516.79</v>
      </c>
      <c r="AE66" s="175">
        <f>AE11+AE17+AE27+AE32+AE35+AE41+AE45+AE48++AE51+AE54+AE56+AE58+AE60+AE62+AE64</f>
        <v>1124902</v>
      </c>
      <c r="AF66" s="176"/>
      <c r="AG66" s="177">
        <f>AG11+AG17+AG27+AG32+AG35+AG41+AG45+AG48++AG51+AG54+AG56+AG58+AG60+AG62+AG64</f>
        <v>454574.61629999999</v>
      </c>
      <c r="AH66" s="176"/>
      <c r="AI66" s="178">
        <f>SUM(AI6:AI65)</f>
        <v>3703844.1737000002</v>
      </c>
      <c r="AJ66" s="173"/>
      <c r="AK66" s="179">
        <f>SUM(AK6:AK65)</f>
        <v>4198869</v>
      </c>
      <c r="AL66" s="175">
        <f>AL11+AL17+AL27+AL32+AL35+AL41+AL45+AL48++AL51+AL54+AL56+AL58+AL60+AL62+AL64</f>
        <v>1127277</v>
      </c>
      <c r="AM66" s="176"/>
      <c r="AN66" s="177">
        <f>AN11+AN17+AN27+AN32+AN35+AN41+AN45+AN48++AN51+AN54+AN56+AN58+AN60+AN62+AN64</f>
        <v>785911.73478900001</v>
      </c>
      <c r="AO66" s="176"/>
      <c r="AP66" s="178">
        <f>SUM(AP6:AP65)</f>
        <v>4045209.4389109998</v>
      </c>
      <c r="AQ66" s="175">
        <f>AQ11+AQ17+AQ27+AQ32+AQ35+AQ41+AQ45+AQ48++AQ51+AQ54+AQ56+AQ58+AQ60+AQ62+AQ64</f>
        <v>1117999</v>
      </c>
      <c r="AR66" s="176"/>
      <c r="AS66" s="177">
        <f>AS11+AS17+AS27+AS32+AS35+AS41+AS45+AS48++AS51+AS54+AS56+AS58+AS60+AS62+AS64</f>
        <v>591107.09683267004</v>
      </c>
      <c r="AT66" s="176"/>
      <c r="AU66" s="178">
        <f>SUM(AU6:AU65)</f>
        <v>4572101.34207833</v>
      </c>
      <c r="AV66" s="175">
        <f>AV11+AV17+AV27+AV32+AV35+AV41+AV45+AV48++AV51+AV54+AV56+AV58+AV60+AV62+AV64</f>
        <v>1127155</v>
      </c>
      <c r="AW66" s="176"/>
      <c r="AX66" s="177">
        <f>AX11+AX17+AX27+AX32+AX35+AX41+AX45+AX48++AX51+AX54+AX56+AX58+AX60+AX62+AX64</f>
        <v>385287.2497376501</v>
      </c>
      <c r="AY66" s="176"/>
      <c r="AZ66" s="178">
        <f>SUM(AZ6:AZ65)</f>
        <v>5313969.0923406798</v>
      </c>
      <c r="BA66" s="173"/>
      <c r="BB66" s="178">
        <f>SUM(BB6:BB65)</f>
        <v>5313969.0923406798</v>
      </c>
      <c r="BC66" s="175">
        <f>BC11+BC17+BC27+BC32+BC35+BC41+BC45+BC48++BC51+BC54+BC56+BC58+BC60+BC62+BC64</f>
        <v>1107396</v>
      </c>
      <c r="BD66" s="176"/>
      <c r="BE66" s="177">
        <f>BE11+BE17+BE27+BE32+BE35+BE41+BE45+BE48++BE51+BE54+BE56+BE58+BE60+BE62+BE64</f>
        <v>628201.75722977961</v>
      </c>
      <c r="BF66" s="176"/>
      <c r="BG66" s="178">
        <f>SUM(BG6:BG65)</f>
        <v>5793163.3351109</v>
      </c>
      <c r="BH66" s="175">
        <f>BH11+BH17+BH27+BH32+BH35+BH41+BH45+BH48++BH51+BH54+BH56+BH58+BH60+BH62+BH64</f>
        <v>1018974</v>
      </c>
      <c r="BI66" s="176"/>
      <c r="BJ66" s="177">
        <f>BJ11+BJ17+BJ27+BJ32+BJ35+BJ41+BJ45+BJ48++BJ51+BJ54+BJ56+BJ58+BJ60+BJ62+BJ64</f>
        <v>437137.199946673</v>
      </c>
      <c r="BK66" s="176"/>
      <c r="BL66" s="178">
        <f>SUM(BL6:BL65)</f>
        <v>6375000.1351642273</v>
      </c>
      <c r="BM66" s="175">
        <f>BM11+BM17+BM27+BM32+BM35+BM41+BM45+BM48++BM51+BM54+BM56+BM58+BM60+BM62+BM64</f>
        <v>1071251</v>
      </c>
      <c r="BN66" s="176"/>
      <c r="BO66" s="177">
        <f>BO11+BO17+BO27+BO32+BO35+BO41+BO45+BO48++BO51+BO54+BO56+BO58+BO60+BO62+BO64</f>
        <v>784204.17594507313</v>
      </c>
      <c r="BP66" s="176"/>
      <c r="BQ66" s="178">
        <f>SUM(BQ6:BQ65)</f>
        <v>6662046.959219154</v>
      </c>
    </row>
    <row r="67" spans="2:69" s="131" customFormat="1" ht="15.75" thickBot="1" x14ac:dyDescent="0.3">
      <c r="B67" s="173"/>
      <c r="C67" s="180"/>
      <c r="D67" s="181"/>
      <c r="E67" s="182">
        <f>D66-F66</f>
        <v>-29957</v>
      </c>
      <c r="F67" s="183"/>
      <c r="G67" s="182"/>
      <c r="H67" s="184"/>
      <c r="I67" s="181"/>
      <c r="J67" s="182">
        <f>I66-K66</f>
        <v>-382939</v>
      </c>
      <c r="K67" s="183"/>
      <c r="L67" s="182"/>
      <c r="M67" s="184"/>
      <c r="N67" s="181"/>
      <c r="O67" s="182">
        <f>N66-P66</f>
        <v>-728152</v>
      </c>
      <c r="P67" s="183"/>
      <c r="Q67" s="182"/>
      <c r="R67" s="184"/>
      <c r="S67" s="173"/>
      <c r="T67" s="184"/>
      <c r="U67" s="181"/>
      <c r="V67" s="182">
        <f>U66-W66</f>
        <v>284156</v>
      </c>
      <c r="W67" s="183"/>
      <c r="X67" s="182"/>
      <c r="Y67" s="184"/>
      <c r="Z67" s="181"/>
      <c r="AA67" s="182">
        <f>Z66-AB66</f>
        <v>606072.79</v>
      </c>
      <c r="AB67" s="183"/>
      <c r="AC67" s="182"/>
      <c r="AD67" s="184"/>
      <c r="AE67" s="181"/>
      <c r="AF67" s="182">
        <f>AE66-AG66</f>
        <v>670327.38370000001</v>
      </c>
      <c r="AG67" s="183"/>
      <c r="AH67" s="182"/>
      <c r="AI67" s="184"/>
      <c r="AJ67" s="173"/>
      <c r="AK67" s="185"/>
      <c r="AL67" s="181"/>
      <c r="AM67" s="182">
        <f>AL66-AN66</f>
        <v>341365.26521099999</v>
      </c>
      <c r="AN67" s="183"/>
      <c r="AO67" s="182"/>
      <c r="AP67" s="184"/>
      <c r="AQ67" s="181"/>
      <c r="AR67" s="182">
        <f>AQ66-AS66</f>
        <v>526891.90316732996</v>
      </c>
      <c r="AS67" s="183"/>
      <c r="AT67" s="182"/>
      <c r="AU67" s="184"/>
      <c r="AV67" s="181"/>
      <c r="AW67" s="182">
        <f>AV66-AX66</f>
        <v>741867.75026234984</v>
      </c>
      <c r="AX67" s="183"/>
      <c r="AY67" s="182"/>
      <c r="AZ67" s="184"/>
      <c r="BA67" s="173"/>
      <c r="BB67" s="186"/>
      <c r="BC67" s="181"/>
      <c r="BD67" s="182">
        <f>BC66-BE66</f>
        <v>479194.24277022039</v>
      </c>
      <c r="BE67" s="183"/>
      <c r="BF67" s="182"/>
      <c r="BG67" s="184"/>
      <c r="BH67" s="181"/>
      <c r="BI67" s="182">
        <f>BH66-BJ66</f>
        <v>581836.800053327</v>
      </c>
      <c r="BJ67" s="183"/>
      <c r="BK67" s="182"/>
      <c r="BL67" s="184"/>
      <c r="BM67" s="181"/>
      <c r="BN67" s="182">
        <f>BM66-BO66</f>
        <v>287046.82405492687</v>
      </c>
      <c r="BO67" s="183"/>
      <c r="BP67" s="182"/>
      <c r="BQ67" s="184"/>
    </row>
    <row r="68" spans="2:69" s="131" customFormat="1" x14ac:dyDescent="0.25">
      <c r="C68" s="187"/>
      <c r="D68" s="127"/>
      <c r="E68" s="127"/>
      <c r="F68" s="127"/>
      <c r="G68" s="127"/>
      <c r="H68" s="188"/>
      <c r="I68" s="127"/>
      <c r="J68" s="127"/>
      <c r="K68" s="127"/>
      <c r="L68" s="127"/>
      <c r="M68" s="188"/>
      <c r="N68" s="127"/>
      <c r="O68" s="127"/>
      <c r="P68" s="127"/>
      <c r="Q68" s="127"/>
      <c r="R68" s="188"/>
      <c r="T68" s="189"/>
      <c r="U68" s="127"/>
      <c r="V68" s="127"/>
      <c r="W68" s="127"/>
      <c r="X68" s="127"/>
      <c r="Y68" s="188"/>
      <c r="Z68" s="127"/>
      <c r="AA68" s="127"/>
      <c r="AB68" s="127"/>
      <c r="AC68" s="127"/>
      <c r="AD68" s="188"/>
      <c r="AE68" s="127"/>
      <c r="AF68" s="127"/>
      <c r="AG68" s="127"/>
      <c r="AH68" s="127"/>
      <c r="AI68" s="188"/>
      <c r="AK68" s="190"/>
      <c r="AL68" s="127"/>
      <c r="AM68" s="127"/>
      <c r="AN68" s="127"/>
      <c r="AO68" s="127"/>
      <c r="AP68" s="188"/>
      <c r="AQ68" s="127"/>
      <c r="AR68" s="127"/>
      <c r="AS68" s="127"/>
      <c r="AT68" s="127"/>
      <c r="AU68" s="188"/>
      <c r="AV68" s="127"/>
      <c r="AW68" s="127"/>
      <c r="AX68" s="127"/>
      <c r="AY68" s="127"/>
      <c r="AZ68" s="188"/>
    </row>
    <row r="69" spans="2:69" x14ac:dyDescent="0.25">
      <c r="C69" s="99"/>
      <c r="D69" s="94"/>
      <c r="H69" s="95"/>
      <c r="I69" s="94"/>
      <c r="M69" s="95"/>
      <c r="N69" s="94"/>
      <c r="R69" s="95"/>
      <c r="S69" s="98"/>
      <c r="T69" s="100"/>
      <c r="U69" s="94"/>
      <c r="Y69" s="95"/>
      <c r="Z69" s="94"/>
      <c r="AD69" s="95"/>
      <c r="AE69" s="94"/>
      <c r="AI69" s="95"/>
      <c r="AJ69" s="98"/>
      <c r="AK69" s="101"/>
      <c r="AL69" s="94"/>
      <c r="AP69" s="95"/>
      <c r="AQ69" s="94"/>
      <c r="AR69" s="94"/>
      <c r="AS69" s="94"/>
      <c r="AT69" s="94"/>
      <c r="AU69" s="95"/>
      <c r="AV69" s="94"/>
      <c r="AW69" s="94"/>
      <c r="AX69" s="94"/>
      <c r="AY69" s="94"/>
      <c r="AZ69" s="95"/>
      <c r="BI69" s="98"/>
      <c r="BJ69" s="98"/>
      <c r="BK69" s="98"/>
      <c r="BL69" s="98"/>
      <c r="BN69" s="98"/>
      <c r="BO69" s="98"/>
      <c r="BP69" s="98"/>
      <c r="BQ69" s="98"/>
    </row>
    <row r="70" spans="2:69" x14ac:dyDescent="0.25">
      <c r="B70" s="98" t="str">
        <f ca="1">CELL("filename")</f>
        <v>G:\Gundagai\SRV &amp; LIRS\Scenarios - Final - Council Meeting Reports 101213\[Scenario 1 - BAU LTFP - 041213.xlsx]Gen-TID Com CashFlow &amp; BalSheet</v>
      </c>
      <c r="C70" s="99"/>
      <c r="D70" s="94"/>
      <c r="H70" s="95"/>
      <c r="I70" s="94"/>
      <c r="M70" s="95"/>
      <c r="N70" s="94"/>
      <c r="R70" s="95"/>
      <c r="S70" s="98" t="str">
        <f ca="1">CELL("filename")</f>
        <v>G:\Gundagai\SRV &amp; LIRS\Scenarios - Final - Council Meeting Reports 101213\[Scenario 1 - BAU LTFP - 041213.xlsx]Gen-TID Com CashFlow &amp; BalSheet</v>
      </c>
      <c r="T70" s="100"/>
      <c r="U70" s="94"/>
      <c r="Y70" s="95"/>
      <c r="Z70" s="94"/>
      <c r="AD70" s="95"/>
      <c r="AE70" s="94"/>
      <c r="AI70" s="95"/>
      <c r="AJ70" s="98" t="str">
        <f ca="1">CELL("filename")</f>
        <v>G:\Gundagai\SRV &amp; LIRS\Scenarios - Final - Council Meeting Reports 101213\[Scenario 1 - BAU LTFP - 041213.xlsx]Gen-TID Com CashFlow &amp; BalSheet</v>
      </c>
      <c r="AK70" s="101"/>
      <c r="AL70" s="94"/>
      <c r="AP70" s="95"/>
      <c r="AQ70" s="94"/>
      <c r="AR70" s="94"/>
      <c r="AS70" s="94"/>
      <c r="AT70" s="94"/>
      <c r="AU70" s="95"/>
      <c r="AV70" s="94"/>
      <c r="AW70" s="94"/>
      <c r="AX70" s="94"/>
      <c r="AY70" s="94"/>
      <c r="AZ70" s="95"/>
    </row>
    <row r="71" spans="2:69" ht="15.75" thickBot="1" x14ac:dyDescent="0.3">
      <c r="C71" s="99"/>
      <c r="D71" s="94"/>
      <c r="H71" s="95"/>
      <c r="I71" s="94"/>
      <c r="M71" s="95"/>
      <c r="N71" s="94"/>
      <c r="R71" s="95"/>
      <c r="S71" s="98"/>
      <c r="T71" s="100"/>
      <c r="U71" s="94"/>
      <c r="Y71" s="95"/>
      <c r="Z71" s="94"/>
      <c r="AD71" s="95"/>
      <c r="AE71" s="94"/>
      <c r="AI71" s="95"/>
      <c r="AJ71" s="98"/>
      <c r="AK71" s="101"/>
      <c r="AL71" s="94"/>
      <c r="AP71" s="95"/>
      <c r="AQ71" s="94"/>
      <c r="AR71" s="94"/>
      <c r="AS71" s="94"/>
      <c r="AT71" s="94"/>
      <c r="AU71" s="95"/>
      <c r="AV71" s="94"/>
      <c r="AW71" s="94"/>
      <c r="AX71" s="94"/>
      <c r="AY71" s="94"/>
      <c r="AZ71" s="95"/>
    </row>
    <row r="72" spans="2:69" x14ac:dyDescent="0.25">
      <c r="B72" s="102" t="s">
        <v>1007</v>
      </c>
      <c r="H72" s="107" t="s">
        <v>10</v>
      </c>
      <c r="I72" s="104" t="s">
        <v>1008</v>
      </c>
      <c r="J72" s="105"/>
      <c r="K72" s="106" t="s">
        <v>1009</v>
      </c>
      <c r="L72" s="105"/>
      <c r="M72" s="107" t="s">
        <v>10</v>
      </c>
      <c r="AR72" s="94"/>
      <c r="AS72" s="94"/>
      <c r="AT72" s="94"/>
      <c r="AU72" s="94"/>
      <c r="AV72" s="95"/>
      <c r="AW72" s="94"/>
      <c r="AX72" s="94"/>
      <c r="AY72" s="94"/>
      <c r="AZ72" s="94"/>
      <c r="BA72" s="95"/>
    </row>
    <row r="73" spans="2:69" ht="15.75" thickBot="1" x14ac:dyDescent="0.3">
      <c r="B73" s="111"/>
      <c r="H73" s="116" t="s">
        <v>1011</v>
      </c>
      <c r="I73" s="113"/>
      <c r="J73" s="114"/>
      <c r="K73" s="115"/>
      <c r="L73" s="114"/>
      <c r="M73" s="116" t="s">
        <v>1012</v>
      </c>
      <c r="AR73" s="94"/>
      <c r="AS73" s="94"/>
      <c r="AT73" s="94"/>
      <c r="AU73" s="94"/>
      <c r="AV73" s="95"/>
      <c r="AW73" s="94"/>
      <c r="AX73" s="94"/>
      <c r="AY73" s="94"/>
      <c r="AZ73" s="94"/>
      <c r="BA73" s="95"/>
    </row>
    <row r="74" spans="2:69" s="191" customFormat="1" x14ac:dyDescent="0.25">
      <c r="B74" s="120"/>
      <c r="D74" s="192"/>
      <c r="E74" s="193"/>
      <c r="F74" s="193"/>
      <c r="G74" s="193"/>
      <c r="H74" s="125"/>
      <c r="I74" s="194"/>
      <c r="J74" s="195"/>
      <c r="K74" s="196"/>
      <c r="L74" s="195"/>
      <c r="M74" s="125"/>
      <c r="N74" s="197"/>
      <c r="O74" s="193"/>
      <c r="P74" s="193"/>
      <c r="Q74" s="193"/>
      <c r="R74" s="193"/>
      <c r="S74" s="197"/>
      <c r="U74" s="198"/>
      <c r="V74" s="193"/>
      <c r="W74" s="193"/>
      <c r="X74" s="193"/>
      <c r="Y74" s="193"/>
      <c r="Z74" s="197"/>
      <c r="AA74" s="193"/>
      <c r="AB74" s="193"/>
      <c r="AC74" s="193"/>
      <c r="AD74" s="193"/>
      <c r="AE74" s="197"/>
      <c r="AF74" s="193"/>
      <c r="AG74" s="193"/>
      <c r="AH74" s="193"/>
      <c r="AI74" s="193"/>
      <c r="AJ74" s="197"/>
      <c r="AL74" s="199"/>
      <c r="AM74" s="193"/>
      <c r="AN74" s="193"/>
      <c r="AO74" s="193"/>
      <c r="AP74" s="193"/>
      <c r="AQ74" s="197"/>
      <c r="BI74" s="193"/>
      <c r="BJ74" s="193"/>
      <c r="BK74" s="193"/>
      <c r="BL74" s="197"/>
      <c r="BN74" s="193"/>
      <c r="BO74" s="193"/>
      <c r="BP74" s="193"/>
      <c r="BQ74" s="197"/>
    </row>
    <row r="75" spans="2:69" s="191" customFormat="1" x14ac:dyDescent="0.25">
      <c r="B75" s="132" t="s">
        <v>1022</v>
      </c>
      <c r="D75" s="192"/>
      <c r="E75" s="193"/>
      <c r="F75" s="193"/>
      <c r="G75" s="193"/>
      <c r="H75" s="125">
        <v>1210570</v>
      </c>
      <c r="I75" s="194"/>
      <c r="J75" s="195"/>
      <c r="K75" s="196">
        <v>130000</v>
      </c>
      <c r="L75" s="195" t="s">
        <v>1024</v>
      </c>
      <c r="M75" s="125">
        <f>H75+I80-K80</f>
        <v>920570</v>
      </c>
      <c r="N75" s="197"/>
      <c r="O75" s="193"/>
      <c r="P75" s="193"/>
      <c r="Q75" s="193"/>
      <c r="R75" s="193"/>
      <c r="S75" s="197"/>
      <c r="U75" s="198"/>
      <c r="V75" s="193"/>
      <c r="W75" s="193"/>
      <c r="X75" s="193"/>
      <c r="Y75" s="193"/>
      <c r="Z75" s="197"/>
      <c r="AA75" s="193"/>
      <c r="AB75" s="193"/>
      <c r="AC75" s="193"/>
      <c r="AD75" s="193"/>
      <c r="AE75" s="197"/>
      <c r="AF75" s="193"/>
      <c r="AG75" s="193"/>
      <c r="AH75" s="193"/>
      <c r="AI75" s="193"/>
      <c r="AJ75" s="197"/>
      <c r="AL75" s="199"/>
      <c r="AM75" s="193"/>
      <c r="AN75" s="193"/>
      <c r="AO75" s="193"/>
      <c r="AP75" s="193"/>
      <c r="AQ75" s="197"/>
      <c r="BI75" s="193"/>
      <c r="BJ75" s="193"/>
      <c r="BK75" s="193"/>
      <c r="BL75" s="197"/>
      <c r="BN75" s="193"/>
      <c r="BO75" s="193"/>
      <c r="BP75" s="193"/>
      <c r="BQ75" s="197"/>
    </row>
    <row r="76" spans="2:69" s="191" customFormat="1" x14ac:dyDescent="0.25">
      <c r="B76" s="132"/>
      <c r="D76" s="192"/>
      <c r="E76" s="193"/>
      <c r="F76" s="193"/>
      <c r="G76" s="193"/>
      <c r="H76" s="125"/>
      <c r="I76" s="194"/>
      <c r="J76" s="195"/>
      <c r="K76" s="196">
        <v>80000</v>
      </c>
      <c r="L76" s="195" t="s">
        <v>1027</v>
      </c>
      <c r="M76" s="125"/>
      <c r="N76" s="197"/>
      <c r="O76" s="193"/>
      <c r="P76" s="193"/>
      <c r="Q76" s="193"/>
      <c r="R76" s="193"/>
      <c r="S76" s="197"/>
      <c r="U76" s="198"/>
      <c r="V76" s="193"/>
      <c r="W76" s="193"/>
      <c r="X76" s="193"/>
      <c r="Y76" s="193"/>
      <c r="Z76" s="197"/>
      <c r="AA76" s="193"/>
      <c r="AB76" s="193"/>
      <c r="AC76" s="193"/>
      <c r="AD76" s="193"/>
      <c r="AE76" s="197"/>
      <c r="AF76" s="193"/>
      <c r="AG76" s="193"/>
      <c r="AH76" s="193"/>
      <c r="AI76" s="193"/>
      <c r="AJ76" s="197"/>
      <c r="AL76" s="199"/>
      <c r="AM76" s="193"/>
      <c r="AN76" s="193"/>
      <c r="AO76" s="193"/>
      <c r="AP76" s="193"/>
      <c r="AQ76" s="197"/>
      <c r="BI76" s="193"/>
      <c r="BJ76" s="193"/>
      <c r="BK76" s="193"/>
      <c r="BL76" s="197"/>
      <c r="BN76" s="193"/>
      <c r="BO76" s="193"/>
      <c r="BP76" s="193"/>
      <c r="BQ76" s="197"/>
    </row>
    <row r="77" spans="2:69" s="191" customFormat="1" x14ac:dyDescent="0.25">
      <c r="B77" s="132"/>
      <c r="D77" s="192"/>
      <c r="E77" s="193"/>
      <c r="F77" s="193"/>
      <c r="G77" s="193"/>
      <c r="H77" s="125"/>
      <c r="I77" s="194"/>
      <c r="J77" s="195"/>
      <c r="K77" s="196">
        <v>80000</v>
      </c>
      <c r="L77" s="195" t="s">
        <v>1028</v>
      </c>
      <c r="M77" s="125"/>
      <c r="N77" s="197"/>
      <c r="O77" s="193"/>
      <c r="P77" s="193"/>
      <c r="Q77" s="193"/>
      <c r="R77" s="193"/>
      <c r="S77" s="197"/>
      <c r="U77" s="198"/>
      <c r="V77" s="193"/>
      <c r="W77" s="193"/>
      <c r="X77" s="193"/>
      <c r="Y77" s="193"/>
      <c r="Z77" s="197"/>
      <c r="AA77" s="193"/>
      <c r="AB77" s="193"/>
      <c r="AC77" s="193"/>
      <c r="AD77" s="193"/>
      <c r="AE77" s="197"/>
      <c r="AF77" s="193"/>
      <c r="AG77" s="193"/>
      <c r="AH77" s="193"/>
      <c r="AI77" s="193"/>
      <c r="AJ77" s="197"/>
      <c r="AL77" s="199"/>
      <c r="AM77" s="193"/>
      <c r="AN77" s="193"/>
      <c r="AO77" s="193"/>
      <c r="AP77" s="193"/>
      <c r="AQ77" s="197"/>
      <c r="BI77" s="193"/>
      <c r="BJ77" s="193"/>
      <c r="BK77" s="193"/>
      <c r="BL77" s="197"/>
      <c r="BN77" s="193"/>
      <c r="BO77" s="193"/>
      <c r="BP77" s="193"/>
      <c r="BQ77" s="197"/>
    </row>
    <row r="78" spans="2:69" s="191" customFormat="1" x14ac:dyDescent="0.25">
      <c r="B78" s="132"/>
      <c r="D78" s="192"/>
      <c r="E78" s="193"/>
      <c r="F78" s="193"/>
      <c r="G78" s="193"/>
      <c r="H78" s="125"/>
      <c r="I78" s="194"/>
      <c r="J78" s="195"/>
      <c r="K78" s="196"/>
      <c r="L78" s="195"/>
      <c r="M78" s="125"/>
      <c r="N78" s="197"/>
      <c r="O78" s="193"/>
      <c r="P78" s="193"/>
      <c r="Q78" s="193"/>
      <c r="R78" s="193"/>
      <c r="S78" s="197"/>
      <c r="U78" s="198"/>
      <c r="V78" s="193"/>
      <c r="W78" s="193"/>
      <c r="X78" s="193"/>
      <c r="Y78" s="193"/>
      <c r="Z78" s="197"/>
      <c r="AA78" s="193"/>
      <c r="AB78" s="193"/>
      <c r="AC78" s="193"/>
      <c r="AD78" s="193"/>
      <c r="AE78" s="197"/>
      <c r="AF78" s="193"/>
      <c r="AG78" s="193"/>
      <c r="AH78" s="193"/>
      <c r="AI78" s="193"/>
      <c r="AJ78" s="197"/>
      <c r="AL78" s="199"/>
      <c r="AM78" s="193"/>
      <c r="AN78" s="193"/>
      <c r="AO78" s="193"/>
      <c r="AP78" s="193"/>
      <c r="AQ78" s="197"/>
      <c r="BI78" s="193"/>
      <c r="BJ78" s="193"/>
      <c r="BK78" s="193"/>
      <c r="BL78" s="197"/>
      <c r="BN78" s="193"/>
      <c r="BO78" s="193"/>
      <c r="BP78" s="193"/>
      <c r="BQ78" s="197"/>
    </row>
    <row r="79" spans="2:69" s="191" customFormat="1" x14ac:dyDescent="0.25">
      <c r="B79" s="132"/>
      <c r="D79" s="192"/>
      <c r="E79" s="193"/>
      <c r="F79" s="193"/>
      <c r="G79" s="193"/>
      <c r="H79" s="125"/>
      <c r="I79" s="194"/>
      <c r="J79" s="195"/>
      <c r="K79" s="196"/>
      <c r="L79" s="195"/>
      <c r="M79" s="125"/>
      <c r="N79" s="197"/>
      <c r="O79" s="193"/>
      <c r="P79" s="193"/>
      <c r="Q79" s="193"/>
      <c r="R79" s="193"/>
      <c r="S79" s="197"/>
      <c r="U79" s="198"/>
      <c r="V79" s="193"/>
      <c r="W79" s="193"/>
      <c r="X79" s="193"/>
      <c r="Y79" s="193"/>
      <c r="Z79" s="197"/>
      <c r="AA79" s="193"/>
      <c r="AB79" s="193"/>
      <c r="AC79" s="193"/>
      <c r="AD79" s="193"/>
      <c r="AE79" s="197"/>
      <c r="AF79" s="193"/>
      <c r="AG79" s="193"/>
      <c r="AH79" s="193"/>
      <c r="AI79" s="193"/>
      <c r="AJ79" s="197"/>
      <c r="AL79" s="199"/>
      <c r="AM79" s="193"/>
      <c r="AN79" s="193"/>
      <c r="AO79" s="193"/>
      <c r="AP79" s="193"/>
      <c r="AQ79" s="197"/>
      <c r="BI79" s="193"/>
      <c r="BJ79" s="193"/>
      <c r="BK79" s="193"/>
      <c r="BL79" s="197"/>
      <c r="BN79" s="193"/>
      <c r="BO79" s="193"/>
      <c r="BP79" s="193"/>
      <c r="BQ79" s="197"/>
    </row>
    <row r="80" spans="2:69" s="191" customFormat="1" x14ac:dyDescent="0.25">
      <c r="B80" s="132"/>
      <c r="D80" s="192"/>
      <c r="E80" s="193"/>
      <c r="F80" s="193"/>
      <c r="G80" s="193"/>
      <c r="H80" s="146"/>
      <c r="I80" s="200">
        <f>SUM(I75:I79)</f>
        <v>0</v>
      </c>
      <c r="J80" s="201"/>
      <c r="K80" s="202">
        <f>SUM(K75:K79)</f>
        <v>290000</v>
      </c>
      <c r="L80" s="201"/>
      <c r="M80" s="146"/>
      <c r="N80" s="197"/>
      <c r="O80" s="193"/>
      <c r="P80" s="193"/>
      <c r="Q80" s="193"/>
      <c r="R80" s="193"/>
      <c r="S80" s="197"/>
      <c r="U80" s="198"/>
      <c r="V80" s="193"/>
      <c r="W80" s="193"/>
      <c r="X80" s="193"/>
      <c r="Y80" s="193"/>
      <c r="Z80" s="197"/>
      <c r="AA80" s="193"/>
      <c r="AB80" s="193"/>
      <c r="AC80" s="193"/>
      <c r="AD80" s="193"/>
      <c r="AE80" s="197"/>
      <c r="AF80" s="193"/>
      <c r="AG80" s="193"/>
      <c r="AH80" s="193"/>
      <c r="AI80" s="193"/>
      <c r="AJ80" s="197"/>
      <c r="AL80" s="199"/>
      <c r="AM80" s="193"/>
      <c r="AN80" s="193"/>
      <c r="AO80" s="193"/>
      <c r="AP80" s="193"/>
      <c r="AQ80" s="197"/>
      <c r="BI80" s="193"/>
      <c r="BJ80" s="193"/>
      <c r="BK80" s="193"/>
      <c r="BL80" s="197"/>
      <c r="BN80" s="193"/>
      <c r="BO80" s="193"/>
      <c r="BP80" s="193"/>
      <c r="BQ80" s="197"/>
    </row>
    <row r="81" spans="2:69" s="191" customFormat="1" x14ac:dyDescent="0.25">
      <c r="B81" s="150" t="s">
        <v>1030</v>
      </c>
      <c r="D81" s="192"/>
      <c r="E81" s="193"/>
      <c r="F81" s="193"/>
      <c r="G81" s="193"/>
      <c r="H81" s="125">
        <v>108495</v>
      </c>
      <c r="I81" s="194">
        <v>6150</v>
      </c>
      <c r="J81" s="195" t="s">
        <v>1031</v>
      </c>
      <c r="K81" s="196">
        <v>2000</v>
      </c>
      <c r="L81" s="195" t="s">
        <v>1033</v>
      </c>
      <c r="M81" s="125">
        <f>H81+I86-K86</f>
        <v>34895</v>
      </c>
      <c r="N81" s="197"/>
      <c r="O81" s="193"/>
      <c r="P81" s="193"/>
      <c r="Q81" s="193"/>
      <c r="R81" s="193"/>
      <c r="S81" s="197"/>
      <c r="U81" s="198"/>
      <c r="V81" s="193"/>
      <c r="W81" s="193"/>
      <c r="X81" s="193"/>
      <c r="Y81" s="193"/>
      <c r="Z81" s="197"/>
      <c r="AA81" s="193"/>
      <c r="AB81" s="193"/>
      <c r="AC81" s="193"/>
      <c r="AD81" s="193"/>
      <c r="AE81" s="197"/>
      <c r="AF81" s="193"/>
      <c r="AG81" s="193"/>
      <c r="AH81" s="193"/>
      <c r="AI81" s="193"/>
      <c r="AJ81" s="197"/>
      <c r="AL81" s="199"/>
      <c r="AM81" s="193"/>
      <c r="AN81" s="193"/>
      <c r="AO81" s="193"/>
      <c r="AP81" s="193"/>
      <c r="AQ81" s="197"/>
      <c r="BI81" s="193"/>
      <c r="BJ81" s="193"/>
      <c r="BK81" s="193"/>
      <c r="BL81" s="197"/>
      <c r="BN81" s="193"/>
      <c r="BO81" s="193"/>
      <c r="BP81" s="193"/>
      <c r="BQ81" s="197"/>
    </row>
    <row r="82" spans="2:69" s="191" customFormat="1" x14ac:dyDescent="0.25">
      <c r="B82" s="150"/>
      <c r="D82" s="192"/>
      <c r="E82" s="193"/>
      <c r="F82" s="193"/>
      <c r="G82" s="193"/>
      <c r="H82" s="125"/>
      <c r="I82" s="196">
        <v>80000</v>
      </c>
      <c r="J82" s="195" t="s">
        <v>1027</v>
      </c>
      <c r="K82" s="196">
        <v>2000</v>
      </c>
      <c r="L82" s="195" t="s">
        <v>1034</v>
      </c>
      <c r="M82" s="125"/>
      <c r="N82" s="197"/>
      <c r="O82" s="193"/>
      <c r="P82" s="193"/>
      <c r="Q82" s="193"/>
      <c r="R82" s="193"/>
      <c r="S82" s="197"/>
      <c r="U82" s="198"/>
      <c r="V82" s="193"/>
      <c r="W82" s="193"/>
      <c r="X82" s="193"/>
      <c r="Y82" s="193"/>
      <c r="Z82" s="197"/>
      <c r="AA82" s="193"/>
      <c r="AB82" s="193"/>
      <c r="AC82" s="193"/>
      <c r="AD82" s="193"/>
      <c r="AE82" s="197"/>
      <c r="AF82" s="193"/>
      <c r="AG82" s="193"/>
      <c r="AH82" s="193"/>
      <c r="AI82" s="193"/>
      <c r="AJ82" s="197"/>
      <c r="AL82" s="199"/>
      <c r="AM82" s="193"/>
      <c r="AN82" s="193"/>
      <c r="AO82" s="193"/>
      <c r="AP82" s="193"/>
      <c r="AQ82" s="197"/>
      <c r="BI82" s="193"/>
      <c r="BJ82" s="193"/>
      <c r="BK82" s="193"/>
      <c r="BL82" s="197"/>
      <c r="BN82" s="193"/>
      <c r="BO82" s="193"/>
      <c r="BP82" s="193"/>
      <c r="BQ82" s="197"/>
    </row>
    <row r="83" spans="2:69" x14ac:dyDescent="0.25">
      <c r="B83" s="150"/>
      <c r="H83" s="125"/>
      <c r="I83" s="194">
        <v>-10750</v>
      </c>
      <c r="J83" s="195" t="s">
        <v>1092</v>
      </c>
      <c r="K83" s="196">
        <v>80000</v>
      </c>
      <c r="L83" s="195" t="s">
        <v>1034</v>
      </c>
      <c r="M83" s="125"/>
    </row>
    <row r="84" spans="2:69" x14ac:dyDescent="0.25">
      <c r="B84" s="150"/>
      <c r="H84" s="125"/>
      <c r="I84" s="194"/>
      <c r="J84" s="195"/>
      <c r="K84" s="196">
        <v>45000</v>
      </c>
      <c r="L84" s="195" t="s">
        <v>1038</v>
      </c>
      <c r="M84" s="125"/>
    </row>
    <row r="85" spans="2:69" x14ac:dyDescent="0.25">
      <c r="B85" s="150"/>
      <c r="H85" s="125"/>
      <c r="I85" s="194"/>
      <c r="J85" s="195"/>
      <c r="K85" s="196">
        <v>20000</v>
      </c>
      <c r="L85" s="195" t="s">
        <v>1040</v>
      </c>
      <c r="M85" s="125"/>
    </row>
    <row r="86" spans="2:69" x14ac:dyDescent="0.25">
      <c r="B86" s="132"/>
      <c r="H86" s="146"/>
      <c r="I86" s="200">
        <f>SUM(I81:I85)</f>
        <v>75400</v>
      </c>
      <c r="J86" s="201"/>
      <c r="K86" s="202">
        <f>SUM(K81:K85)</f>
        <v>149000</v>
      </c>
      <c r="L86" s="201"/>
      <c r="M86" s="146"/>
    </row>
    <row r="87" spans="2:69" x14ac:dyDescent="0.25">
      <c r="B87" s="132" t="s">
        <v>1042</v>
      </c>
      <c r="H87" s="125">
        <v>1183245</v>
      </c>
      <c r="I87" s="194">
        <v>1600400</v>
      </c>
      <c r="J87" s="195" t="s">
        <v>1043</v>
      </c>
      <c r="K87" s="196">
        <v>467000</v>
      </c>
      <c r="L87" s="195" t="s">
        <v>1044</v>
      </c>
      <c r="M87" s="125">
        <f>H87+H88+I93-K93</f>
        <v>1411395</v>
      </c>
    </row>
    <row r="88" spans="2:69" x14ac:dyDescent="0.25">
      <c r="B88" s="132"/>
      <c r="H88" s="125">
        <v>333000</v>
      </c>
      <c r="I88" s="194">
        <v>48000</v>
      </c>
      <c r="J88" s="195" t="s">
        <v>1045</v>
      </c>
      <c r="K88" s="196">
        <v>10000</v>
      </c>
      <c r="L88" s="195" t="s">
        <v>613</v>
      </c>
      <c r="M88" s="125"/>
    </row>
    <row r="89" spans="2:69" x14ac:dyDescent="0.25">
      <c r="B89" s="132"/>
      <c r="H89" s="125"/>
      <c r="I89" s="194">
        <v>-1249350</v>
      </c>
      <c r="J89" s="195" t="s">
        <v>1047</v>
      </c>
      <c r="K89" s="196">
        <v>11900</v>
      </c>
      <c r="L89" s="195" t="s">
        <v>1049</v>
      </c>
      <c r="M89" s="125"/>
    </row>
    <row r="90" spans="2:69" x14ac:dyDescent="0.25">
      <c r="B90" s="132"/>
      <c r="H90" s="125"/>
      <c r="I90" s="194">
        <v>305000</v>
      </c>
      <c r="J90" s="195" t="s">
        <v>1050</v>
      </c>
      <c r="K90" s="196">
        <v>20000</v>
      </c>
      <c r="L90" s="195" t="s">
        <v>611</v>
      </c>
      <c r="M90" s="125"/>
    </row>
    <row r="91" spans="2:69" x14ac:dyDescent="0.25">
      <c r="B91" s="132"/>
      <c r="H91" s="125"/>
      <c r="I91" s="194"/>
      <c r="J91" s="195"/>
      <c r="K91" s="196">
        <v>300000</v>
      </c>
      <c r="L91" s="195" t="s">
        <v>1054</v>
      </c>
      <c r="M91" s="125"/>
    </row>
    <row r="92" spans="2:69" x14ac:dyDescent="0.25">
      <c r="B92" s="132">
        <v>85</v>
      </c>
      <c r="H92" s="125"/>
      <c r="I92" s="194"/>
      <c r="J92" s="195"/>
      <c r="K92" s="196"/>
      <c r="L92" s="195"/>
      <c r="M92" s="125"/>
    </row>
    <row r="93" spans="2:69" x14ac:dyDescent="0.25">
      <c r="B93" s="132"/>
      <c r="H93" s="146"/>
      <c r="I93" s="200">
        <f>SUM(I87:I92)</f>
        <v>704050</v>
      </c>
      <c r="J93" s="201"/>
      <c r="K93" s="202">
        <f>SUM(K87:K92)</f>
        <v>808900</v>
      </c>
      <c r="L93" s="201"/>
      <c r="M93" s="146"/>
    </row>
    <row r="94" spans="2:69" x14ac:dyDescent="0.25">
      <c r="B94" s="132" t="s">
        <v>1061</v>
      </c>
      <c r="H94" s="125">
        <v>69495</v>
      </c>
      <c r="I94" s="194">
        <v>436314</v>
      </c>
      <c r="J94" s="195" t="s">
        <v>1062</v>
      </c>
      <c r="K94" s="196">
        <v>10000</v>
      </c>
      <c r="L94" s="195" t="s">
        <v>1063</v>
      </c>
      <c r="M94" s="125">
        <f>H94+I98-K98</f>
        <v>15550</v>
      </c>
    </row>
    <row r="95" spans="2:69" x14ac:dyDescent="0.25">
      <c r="B95" s="132"/>
      <c r="H95" s="125"/>
      <c r="I95" s="194">
        <v>-443759</v>
      </c>
      <c r="J95" s="195" t="s">
        <v>1066</v>
      </c>
      <c r="K95" s="196">
        <v>40000</v>
      </c>
      <c r="L95" s="195" t="s">
        <v>1067</v>
      </c>
      <c r="M95" s="125"/>
    </row>
    <row r="96" spans="2:69" x14ac:dyDescent="0.25">
      <c r="B96" s="132"/>
      <c r="H96" s="125"/>
      <c r="I96" s="194">
        <v>3500</v>
      </c>
      <c r="J96" s="195" t="s">
        <v>1050</v>
      </c>
      <c r="K96" s="196"/>
      <c r="L96" s="195"/>
      <c r="M96" s="125"/>
    </row>
    <row r="97" spans="2:13" x14ac:dyDescent="0.25">
      <c r="B97" s="132"/>
      <c r="H97" s="125"/>
      <c r="I97" s="194"/>
      <c r="J97" s="195"/>
      <c r="K97" s="196"/>
      <c r="L97" s="195"/>
      <c r="M97" s="125"/>
    </row>
    <row r="98" spans="2:13" x14ac:dyDescent="0.25">
      <c r="B98" s="132"/>
      <c r="H98" s="146"/>
      <c r="I98" s="200">
        <f>SUM(I94:I97)</f>
        <v>-3945</v>
      </c>
      <c r="J98" s="201"/>
      <c r="K98" s="202">
        <f>SUM(K94:K97)</f>
        <v>50000</v>
      </c>
      <c r="L98" s="201"/>
      <c r="M98" s="146"/>
    </row>
    <row r="99" spans="2:13" x14ac:dyDescent="0.25">
      <c r="B99" s="132" t="s">
        <v>1070</v>
      </c>
      <c r="H99" s="125">
        <v>26890</v>
      </c>
      <c r="I99" s="194"/>
      <c r="J99" s="195"/>
      <c r="K99" s="196">
        <v>20000</v>
      </c>
      <c r="L99" s="195"/>
      <c r="M99" s="125">
        <f>H99+I101-K101</f>
        <v>6890</v>
      </c>
    </row>
    <row r="100" spans="2:13" x14ac:dyDescent="0.25">
      <c r="B100" s="132"/>
      <c r="H100" s="125"/>
      <c r="I100" s="194"/>
      <c r="J100" s="195"/>
      <c r="K100" s="196"/>
      <c r="L100" s="195"/>
      <c r="M100" s="125"/>
    </row>
    <row r="101" spans="2:13" x14ac:dyDescent="0.25">
      <c r="B101" s="132"/>
      <c r="H101" s="146"/>
      <c r="I101" s="200">
        <f>SUM(I99:I100)</f>
        <v>0</v>
      </c>
      <c r="J101" s="201"/>
      <c r="K101" s="202">
        <f>SUM(K99:K100)</f>
        <v>20000</v>
      </c>
      <c r="L101" s="201"/>
      <c r="M101" s="146"/>
    </row>
    <row r="102" spans="2:13" x14ac:dyDescent="0.25">
      <c r="B102" s="132" t="s">
        <v>1072</v>
      </c>
      <c r="H102" s="125">
        <v>513890</v>
      </c>
      <c r="I102" s="194">
        <v>721820</v>
      </c>
      <c r="J102" s="195" t="s">
        <v>1073</v>
      </c>
      <c r="K102" s="196">
        <v>15000</v>
      </c>
      <c r="L102" s="195" t="s">
        <v>1074</v>
      </c>
      <c r="M102" s="125">
        <f>H102+H103+I105-K105</f>
        <v>482970</v>
      </c>
    </row>
    <row r="103" spans="2:13" x14ac:dyDescent="0.25">
      <c r="B103" s="132"/>
      <c r="H103" s="125"/>
      <c r="I103" s="194">
        <v>-460740</v>
      </c>
      <c r="J103" s="195" t="s">
        <v>1075</v>
      </c>
      <c r="K103" s="196"/>
      <c r="L103" s="195"/>
      <c r="M103" s="125"/>
    </row>
    <row r="104" spans="2:13" x14ac:dyDescent="0.25">
      <c r="B104" s="132"/>
      <c r="H104" s="125"/>
      <c r="I104" s="194">
        <v>-277000</v>
      </c>
      <c r="J104" s="195" t="s">
        <v>1077</v>
      </c>
      <c r="K104" s="196"/>
      <c r="L104" s="195"/>
      <c r="M104" s="125"/>
    </row>
    <row r="105" spans="2:13" x14ac:dyDescent="0.25">
      <c r="B105" s="132"/>
      <c r="H105" s="146"/>
      <c r="I105" s="200">
        <f>SUM(I102:I104)</f>
        <v>-15920</v>
      </c>
      <c r="J105" s="201"/>
      <c r="K105" s="202">
        <f>SUM(K102:K104)</f>
        <v>15000</v>
      </c>
      <c r="L105" s="201"/>
      <c r="M105" s="146"/>
    </row>
    <row r="106" spans="2:13" x14ac:dyDescent="0.25">
      <c r="B106" s="132" t="s">
        <v>1078</v>
      </c>
      <c r="H106" s="125">
        <v>590</v>
      </c>
      <c r="I106" s="194">
        <v>147860</v>
      </c>
      <c r="J106" s="195" t="s">
        <v>1079</v>
      </c>
      <c r="K106" s="196">
        <v>15000</v>
      </c>
      <c r="L106" s="195" t="s">
        <v>1080</v>
      </c>
      <c r="M106" s="125">
        <f>H106+H107+I109-K109</f>
        <v>-309550</v>
      </c>
    </row>
    <row r="107" spans="2:13" x14ac:dyDescent="0.25">
      <c r="B107" s="132"/>
      <c r="H107" s="125">
        <v>-333000</v>
      </c>
      <c r="I107" s="194"/>
      <c r="J107" s="195"/>
      <c r="K107" s="196">
        <v>110000</v>
      </c>
      <c r="L107" s="195" t="s">
        <v>1093</v>
      </c>
      <c r="M107" s="125"/>
    </row>
    <row r="108" spans="2:13" x14ac:dyDescent="0.25">
      <c r="B108" s="132"/>
      <c r="H108" s="125"/>
      <c r="I108" s="194"/>
      <c r="J108" s="195"/>
      <c r="K108" s="196"/>
      <c r="L108" s="195"/>
      <c r="M108" s="125"/>
    </row>
    <row r="109" spans="2:13" x14ac:dyDescent="0.25">
      <c r="B109" s="132"/>
      <c r="H109" s="146"/>
      <c r="I109" s="200">
        <f>SUM(I106:I108)</f>
        <v>147860</v>
      </c>
      <c r="J109" s="201"/>
      <c r="K109" s="202">
        <f>SUM(K106:K108)</f>
        <v>125000</v>
      </c>
      <c r="L109" s="201"/>
      <c r="M109" s="146"/>
    </row>
    <row r="110" spans="2:13" x14ac:dyDescent="0.25">
      <c r="B110" s="132" t="s">
        <v>1082</v>
      </c>
      <c r="H110" s="125">
        <v>5420</v>
      </c>
      <c r="I110" s="194"/>
      <c r="J110" s="195"/>
      <c r="K110" s="196"/>
      <c r="L110" s="195"/>
      <c r="M110" s="125">
        <f>H110+I112-K112</f>
        <v>5420</v>
      </c>
    </row>
    <row r="111" spans="2:13" x14ac:dyDescent="0.25">
      <c r="B111" s="132"/>
      <c r="H111" s="125"/>
      <c r="I111" s="194"/>
      <c r="J111" s="195"/>
      <c r="K111" s="196"/>
      <c r="L111" s="195"/>
      <c r="M111" s="125"/>
    </row>
    <row r="112" spans="2:13" x14ac:dyDescent="0.25">
      <c r="B112" s="132" t="s">
        <v>1083</v>
      </c>
      <c r="H112" s="146"/>
      <c r="I112" s="200">
        <f>SUM(I110:I111)</f>
        <v>0</v>
      </c>
      <c r="J112" s="201"/>
      <c r="K112" s="202">
        <f>SUM(K110:K111)</f>
        <v>0</v>
      </c>
      <c r="L112" s="201"/>
      <c r="M112" s="146"/>
    </row>
    <row r="113" spans="2:13" x14ac:dyDescent="0.25">
      <c r="B113" s="132" t="s">
        <v>1084</v>
      </c>
      <c r="H113" s="125">
        <v>0</v>
      </c>
      <c r="I113" s="194"/>
      <c r="J113" s="195"/>
      <c r="K113" s="196"/>
      <c r="L113" s="195"/>
      <c r="M113" s="125">
        <f>H113+I115-K115</f>
        <v>0</v>
      </c>
    </row>
    <row r="114" spans="2:13" x14ac:dyDescent="0.25">
      <c r="B114" s="132"/>
      <c r="H114" s="125"/>
      <c r="I114" s="194"/>
      <c r="J114" s="195"/>
      <c r="K114" s="196"/>
      <c r="L114" s="195"/>
      <c r="M114" s="125"/>
    </row>
    <row r="115" spans="2:13" x14ac:dyDescent="0.25">
      <c r="B115" s="132"/>
      <c r="H115" s="146"/>
      <c r="I115" s="200">
        <f>SUM(I113:I114)</f>
        <v>0</v>
      </c>
      <c r="J115" s="201"/>
      <c r="K115" s="202">
        <f>SUM(K113:K114)</f>
        <v>0</v>
      </c>
      <c r="L115" s="201"/>
      <c r="M115" s="146"/>
    </row>
    <row r="116" spans="2:13" x14ac:dyDescent="0.25">
      <c r="B116" s="132" t="s">
        <v>1085</v>
      </c>
      <c r="H116" s="125">
        <v>0</v>
      </c>
      <c r="I116" s="194"/>
      <c r="J116" s="195"/>
      <c r="K116" s="196"/>
      <c r="L116" s="195"/>
      <c r="M116" s="125">
        <f>H116+I118-K118</f>
        <v>0</v>
      </c>
    </row>
    <row r="117" spans="2:13" x14ac:dyDescent="0.25">
      <c r="B117" s="132"/>
      <c r="H117" s="125"/>
      <c r="I117" s="194"/>
      <c r="J117" s="195"/>
      <c r="K117" s="196"/>
      <c r="L117" s="195"/>
      <c r="M117" s="125"/>
    </row>
    <row r="118" spans="2:13" x14ac:dyDescent="0.25">
      <c r="B118" s="132"/>
      <c r="H118" s="146"/>
      <c r="I118" s="200">
        <f>SUM(I116:I117)</f>
        <v>0</v>
      </c>
      <c r="J118" s="201"/>
      <c r="K118" s="202">
        <f>SUM(K116:K117)</f>
        <v>0</v>
      </c>
      <c r="L118" s="201"/>
      <c r="M118" s="146"/>
    </row>
    <row r="119" spans="2:13" x14ac:dyDescent="0.25">
      <c r="B119" s="132"/>
      <c r="H119" s="125"/>
      <c r="I119" s="194"/>
      <c r="J119" s="203"/>
      <c r="K119" s="196"/>
      <c r="L119" s="203"/>
      <c r="M119" s="125"/>
    </row>
    <row r="120" spans="2:13" x14ac:dyDescent="0.25">
      <c r="B120" s="132" t="s">
        <v>1086</v>
      </c>
      <c r="H120" s="125">
        <v>40000</v>
      </c>
      <c r="I120" s="194"/>
      <c r="J120" s="195"/>
      <c r="K120" s="196"/>
      <c r="L120" s="195"/>
      <c r="M120" s="125">
        <f>H120+I120-K120</f>
        <v>40000</v>
      </c>
    </row>
    <row r="121" spans="2:13" x14ac:dyDescent="0.25">
      <c r="B121" s="132"/>
      <c r="H121" s="125"/>
      <c r="I121" s="194"/>
      <c r="J121" s="195"/>
      <c r="K121" s="196"/>
      <c r="L121" s="195"/>
      <c r="M121" s="125"/>
    </row>
    <row r="122" spans="2:13" x14ac:dyDescent="0.25">
      <c r="B122" s="132" t="s">
        <v>1087</v>
      </c>
      <c r="H122" s="125"/>
      <c r="I122" s="194"/>
      <c r="J122" s="195"/>
      <c r="K122" s="196"/>
      <c r="L122" s="195"/>
      <c r="M122" s="125">
        <f>H122+I122-K122</f>
        <v>0</v>
      </c>
    </row>
    <row r="123" spans="2:13" x14ac:dyDescent="0.25">
      <c r="B123" s="132"/>
      <c r="H123" s="125"/>
      <c r="I123" s="194"/>
      <c r="J123" s="195"/>
      <c r="K123" s="196"/>
      <c r="L123" s="195"/>
      <c r="M123" s="125"/>
    </row>
    <row r="124" spans="2:13" x14ac:dyDescent="0.25">
      <c r="B124" s="132" t="s">
        <v>1088</v>
      </c>
      <c r="H124" s="125">
        <v>196790</v>
      </c>
      <c r="I124" s="194"/>
      <c r="J124" s="195"/>
      <c r="K124" s="196">
        <v>25000</v>
      </c>
      <c r="L124" s="195" t="s">
        <v>1089</v>
      </c>
      <c r="M124" s="125">
        <f>H124+I124-K124</f>
        <v>171790</v>
      </c>
    </row>
    <row r="125" spans="2:13" x14ac:dyDescent="0.25">
      <c r="B125" s="132"/>
      <c r="H125" s="125"/>
      <c r="I125" s="194"/>
      <c r="J125" s="195"/>
      <c r="K125" s="196"/>
      <c r="L125" s="195"/>
      <c r="M125" s="125"/>
    </row>
    <row r="126" spans="2:13" x14ac:dyDescent="0.25">
      <c r="B126" s="132" t="s">
        <v>1090</v>
      </c>
      <c r="H126" s="125">
        <f>C126+D126-F126</f>
        <v>0</v>
      </c>
      <c r="I126" s="194"/>
      <c r="J126" s="195"/>
      <c r="K126" s="196"/>
      <c r="L126" s="195"/>
      <c r="M126" s="125">
        <f>H126+I126-K126</f>
        <v>0</v>
      </c>
    </row>
    <row r="127" spans="2:13" x14ac:dyDescent="0.25">
      <c r="B127" s="132"/>
      <c r="H127" s="125"/>
      <c r="I127" s="194"/>
      <c r="J127" s="195"/>
      <c r="K127" s="196"/>
      <c r="L127" s="195"/>
      <c r="M127" s="125"/>
    </row>
    <row r="128" spans="2:13" x14ac:dyDescent="0.25">
      <c r="B128" s="132" t="s">
        <v>1091</v>
      </c>
      <c r="H128" s="125">
        <v>55780</v>
      </c>
      <c r="I128" s="194"/>
      <c r="J128" s="203"/>
      <c r="K128" s="196"/>
      <c r="L128" s="203"/>
      <c r="M128" s="125">
        <f>H128+I128-K128</f>
        <v>55780</v>
      </c>
    </row>
    <row r="129" spans="2:13" ht="15.75" thickBot="1" x14ac:dyDescent="0.3">
      <c r="B129" s="165"/>
      <c r="H129" s="169"/>
      <c r="I129" s="204"/>
      <c r="J129" s="205"/>
      <c r="K129" s="206"/>
      <c r="L129" s="205"/>
      <c r="M129" s="169"/>
    </row>
    <row r="130" spans="2:13" x14ac:dyDescent="0.25">
      <c r="B130" s="173"/>
      <c r="H130" s="178">
        <f>SUM(H75:H129)</f>
        <v>3411165</v>
      </c>
      <c r="I130" s="175">
        <f>I80+I86+I93+I98+I101+I105+I109+I112+I115+I118+I120+I122+I124+I126+I128</f>
        <v>907445</v>
      </c>
      <c r="J130" s="176"/>
      <c r="K130" s="177">
        <f>K80+K86+K93+K98+K101+K105+K109+K112+K115+K118+K120+K122+K124+K126+K128</f>
        <v>1482900</v>
      </c>
      <c r="L130" s="176"/>
      <c r="M130" s="178">
        <f>SUM(M75:M129)</f>
        <v>2835710</v>
      </c>
    </row>
    <row r="131" spans="2:13" ht="15.75" thickBot="1" x14ac:dyDescent="0.3">
      <c r="B131" s="173"/>
      <c r="H131" s="184"/>
      <c r="I131" s="181"/>
      <c r="J131" s="182">
        <f>I130-K130</f>
        <v>-575455</v>
      </c>
      <c r="K131" s="183"/>
      <c r="L131" s="182"/>
      <c r="M131" s="184"/>
    </row>
    <row r="132" spans="2:13" x14ac:dyDescent="0.25">
      <c r="B132" s="131"/>
      <c r="H132" s="188"/>
      <c r="I132" s="127"/>
      <c r="J132" s="127"/>
      <c r="K132" s="127"/>
      <c r="L132" s="127"/>
      <c r="M132" s="188"/>
    </row>
    <row r="133" spans="2:13" x14ac:dyDescent="0.25">
      <c r="H133" s="95"/>
      <c r="I133" s="94"/>
      <c r="M133" s="95"/>
    </row>
    <row r="134" spans="2:13" x14ac:dyDescent="0.25">
      <c r="B134" s="98" t="str">
        <f ca="1">CELL("filename")</f>
        <v>G:\Gundagai\SRV &amp; LIRS\Scenarios - Final - Council Meeting Reports 101213\[Scenario 1 - BAU LTFP - 041213.xlsx]Gen-TID Com CashFlow &amp; BalSheet</v>
      </c>
      <c r="H134" s="95"/>
      <c r="I134" s="94"/>
      <c r="M134" s="95"/>
    </row>
    <row r="135" spans="2:13" ht="15.75" thickBot="1" x14ac:dyDescent="0.3"/>
    <row r="136" spans="2:13" ht="15.75" thickBot="1" x14ac:dyDescent="0.3">
      <c r="H136" s="92" t="s">
        <v>1006</v>
      </c>
      <c r="I136" s="94"/>
      <c r="M136" s="95"/>
    </row>
    <row r="137" spans="2:13" ht="15.75" thickBot="1" x14ac:dyDescent="0.3">
      <c r="H137" s="95"/>
      <c r="I137" s="94"/>
      <c r="M137" s="95"/>
    </row>
    <row r="138" spans="2:13" x14ac:dyDescent="0.25">
      <c r="B138" s="102" t="s">
        <v>1007</v>
      </c>
      <c r="H138" s="107" t="s">
        <v>10</v>
      </c>
      <c r="I138" s="104" t="s">
        <v>1008</v>
      </c>
      <c r="J138" s="105"/>
      <c r="K138" s="106" t="s">
        <v>1009</v>
      </c>
      <c r="L138" s="105"/>
      <c r="M138" s="107" t="s">
        <v>10</v>
      </c>
    </row>
    <row r="139" spans="2:13" ht="15.75" thickBot="1" x14ac:dyDescent="0.3">
      <c r="B139" s="111"/>
      <c r="H139" s="116" t="s">
        <v>1012</v>
      </c>
      <c r="I139" s="113"/>
      <c r="J139" s="114"/>
      <c r="K139" s="115"/>
      <c r="L139" s="114"/>
      <c r="M139" s="116" t="s">
        <v>1013</v>
      </c>
    </row>
    <row r="140" spans="2:13" x14ac:dyDescent="0.25">
      <c r="B140" s="120"/>
      <c r="H140" s="125"/>
      <c r="I140" s="126"/>
      <c r="J140" s="127"/>
      <c r="K140" s="128"/>
      <c r="L140" s="127"/>
      <c r="M140" s="125"/>
    </row>
    <row r="141" spans="2:13" x14ac:dyDescent="0.25">
      <c r="B141" s="132" t="s">
        <v>1022</v>
      </c>
      <c r="H141" s="125">
        <v>1089445</v>
      </c>
      <c r="I141" s="151">
        <v>10000</v>
      </c>
      <c r="J141" s="137" t="s">
        <v>1025</v>
      </c>
      <c r="K141" s="136">
        <v>140000</v>
      </c>
      <c r="L141" s="137" t="s">
        <v>1024</v>
      </c>
      <c r="M141" s="125">
        <f>H141+I146-K146</f>
        <v>779785</v>
      </c>
    </row>
    <row r="142" spans="2:13" x14ac:dyDescent="0.25">
      <c r="B142" s="132"/>
      <c r="H142" s="125"/>
      <c r="I142" s="151">
        <v>40340</v>
      </c>
      <c r="J142" s="137" t="s">
        <v>1153</v>
      </c>
      <c r="K142" s="136">
        <v>140000</v>
      </c>
      <c r="L142" s="137" t="s">
        <v>1028</v>
      </c>
      <c r="M142" s="125"/>
    </row>
    <row r="143" spans="2:13" x14ac:dyDescent="0.25">
      <c r="B143" s="132"/>
      <c r="H143" s="125"/>
      <c r="I143" s="151"/>
      <c r="J143" s="137"/>
      <c r="K143" s="136">
        <v>80000</v>
      </c>
      <c r="L143" s="137" t="s">
        <v>1034</v>
      </c>
      <c r="M143" s="125"/>
    </row>
    <row r="144" spans="2:13" x14ac:dyDescent="0.25">
      <c r="B144" s="132"/>
      <c r="H144" s="125"/>
      <c r="I144" s="126"/>
      <c r="J144" s="127"/>
      <c r="K144" s="128"/>
      <c r="L144" s="127"/>
      <c r="M144" s="125"/>
    </row>
    <row r="145" spans="2:13" x14ac:dyDescent="0.25">
      <c r="B145" s="132"/>
      <c r="H145" s="125"/>
      <c r="I145" s="126"/>
      <c r="J145" s="127"/>
      <c r="K145" s="128"/>
      <c r="L145" s="127"/>
      <c r="M145" s="125"/>
    </row>
    <row r="146" spans="2:13" x14ac:dyDescent="0.25">
      <c r="B146" s="132"/>
      <c r="H146" s="146"/>
      <c r="I146" s="147">
        <f>SUM(I141:I145)</f>
        <v>50340</v>
      </c>
      <c r="J146" s="148"/>
      <c r="K146" s="149">
        <f>SUM(K141:K145)</f>
        <v>360000</v>
      </c>
      <c r="L146" s="148"/>
      <c r="M146" s="146"/>
    </row>
    <row r="147" spans="2:13" x14ac:dyDescent="0.25">
      <c r="B147" s="150" t="s">
        <v>1030</v>
      </c>
      <c r="H147" s="125">
        <v>38040</v>
      </c>
      <c r="I147" s="151">
        <v>6400</v>
      </c>
      <c r="J147" s="137" t="s">
        <v>1031</v>
      </c>
      <c r="K147" s="136"/>
      <c r="L147" s="137"/>
      <c r="M147" s="125">
        <f>H147+I152-K152</f>
        <v>17440</v>
      </c>
    </row>
    <row r="148" spans="2:13" x14ac:dyDescent="0.25">
      <c r="B148" s="150"/>
      <c r="H148" s="125"/>
      <c r="I148" s="126"/>
      <c r="J148" s="127"/>
      <c r="K148" s="136">
        <v>2000</v>
      </c>
      <c r="L148" s="137" t="s">
        <v>1034</v>
      </c>
      <c r="M148" s="125"/>
    </row>
    <row r="149" spans="2:13" x14ac:dyDescent="0.25">
      <c r="B149" s="150"/>
      <c r="H149" s="125"/>
      <c r="I149" s="126"/>
      <c r="J149" s="127"/>
      <c r="K149" s="136">
        <v>10000</v>
      </c>
      <c r="L149" s="137" t="s">
        <v>1036</v>
      </c>
      <c r="M149" s="125"/>
    </row>
    <row r="150" spans="2:13" x14ac:dyDescent="0.25">
      <c r="B150" s="150"/>
      <c r="H150" s="125"/>
      <c r="I150" s="126"/>
      <c r="J150" s="127"/>
      <c r="K150" s="136">
        <v>15000</v>
      </c>
      <c r="L150" s="137" t="s">
        <v>1039</v>
      </c>
      <c r="M150" s="125"/>
    </row>
    <row r="151" spans="2:13" x14ac:dyDescent="0.25">
      <c r="B151" s="150"/>
      <c r="H151" s="125"/>
      <c r="I151" s="126"/>
      <c r="J151" s="127"/>
      <c r="K151" s="128"/>
      <c r="L151" s="127"/>
      <c r="M151" s="125"/>
    </row>
    <row r="152" spans="2:13" x14ac:dyDescent="0.25">
      <c r="B152" s="132"/>
      <c r="H152" s="146"/>
      <c r="I152" s="147">
        <f>SUM(I147:I151)</f>
        <v>6400</v>
      </c>
      <c r="J152" s="148"/>
      <c r="K152" s="149">
        <f>SUM(K147:K151)</f>
        <v>27000</v>
      </c>
      <c r="L152" s="148"/>
      <c r="M152" s="146"/>
    </row>
    <row r="153" spans="2:13" x14ac:dyDescent="0.25">
      <c r="B153" s="132" t="s">
        <v>1042</v>
      </c>
      <c r="H153" s="125">
        <v>1275375</v>
      </c>
      <c r="I153" s="151">
        <v>1652420</v>
      </c>
      <c r="J153" s="137" t="s">
        <v>1043</v>
      </c>
      <c r="K153" s="136">
        <v>407512</v>
      </c>
      <c r="L153" s="137" t="s">
        <v>1044</v>
      </c>
      <c r="M153" s="125">
        <f>H153+I162-K162</f>
        <v>729783</v>
      </c>
    </row>
    <row r="154" spans="2:13" x14ac:dyDescent="0.25">
      <c r="B154" s="132"/>
      <c r="H154" s="125"/>
      <c r="I154" s="151">
        <v>48000</v>
      </c>
      <c r="J154" s="137" t="s">
        <v>1045</v>
      </c>
      <c r="K154" s="136">
        <v>10300</v>
      </c>
      <c r="L154" s="137" t="s">
        <v>613</v>
      </c>
      <c r="M154" s="125"/>
    </row>
    <row r="155" spans="2:13" x14ac:dyDescent="0.25">
      <c r="B155" s="132"/>
      <c r="H155" s="125"/>
      <c r="I155" s="151">
        <v>-1290000</v>
      </c>
      <c r="J155" s="137" t="s">
        <v>1047</v>
      </c>
      <c r="K155" s="136">
        <v>9200</v>
      </c>
      <c r="L155" s="137" t="s">
        <v>1049</v>
      </c>
      <c r="M155" s="125"/>
    </row>
    <row r="156" spans="2:13" x14ac:dyDescent="0.25">
      <c r="B156" s="132"/>
      <c r="H156" s="125"/>
      <c r="I156" s="151">
        <v>305000</v>
      </c>
      <c r="J156" s="137" t="s">
        <v>1050</v>
      </c>
      <c r="K156" s="136">
        <v>15000</v>
      </c>
      <c r="L156" s="137" t="s">
        <v>1051</v>
      </c>
      <c r="M156" s="125"/>
    </row>
    <row r="157" spans="2:13" x14ac:dyDescent="0.25">
      <c r="B157" s="132"/>
      <c r="H157" s="125"/>
      <c r="I157" s="151">
        <v>-80000</v>
      </c>
      <c r="J157" s="137" t="s">
        <v>1154</v>
      </c>
      <c r="K157" s="136">
        <v>25000</v>
      </c>
      <c r="L157" s="137" t="s">
        <v>1053</v>
      </c>
      <c r="M157" s="125"/>
    </row>
    <row r="158" spans="2:13" x14ac:dyDescent="0.25">
      <c r="B158" s="132"/>
      <c r="H158" s="125"/>
      <c r="I158" s="151">
        <v>-75000</v>
      </c>
      <c r="J158" s="137" t="s">
        <v>559</v>
      </c>
      <c r="K158" s="136">
        <v>60000</v>
      </c>
      <c r="L158" s="137" t="s">
        <v>796</v>
      </c>
      <c r="M158" s="125"/>
    </row>
    <row r="159" spans="2:13" x14ac:dyDescent="0.25">
      <c r="B159" s="132"/>
      <c r="H159" s="125"/>
      <c r="I159" s="126"/>
      <c r="J159" s="127"/>
      <c r="K159" s="136">
        <v>500000</v>
      </c>
      <c r="L159" s="137" t="s">
        <v>1057</v>
      </c>
      <c r="M159" s="125"/>
    </row>
    <row r="160" spans="2:13" x14ac:dyDescent="0.25">
      <c r="B160" s="132"/>
      <c r="H160" s="125"/>
      <c r="I160" s="126"/>
      <c r="J160" s="127"/>
      <c r="K160" s="136">
        <v>29000</v>
      </c>
      <c r="L160" s="137" t="s">
        <v>1059</v>
      </c>
      <c r="M160" s="125"/>
    </row>
    <row r="161" spans="2:13" x14ac:dyDescent="0.25">
      <c r="B161" s="132"/>
      <c r="H161" s="125"/>
      <c r="I161" s="126"/>
      <c r="J161" s="127"/>
      <c r="K161" s="136">
        <v>50000</v>
      </c>
      <c r="L161" s="137" t="s">
        <v>1096</v>
      </c>
      <c r="M161" s="125"/>
    </row>
    <row r="162" spans="2:13" x14ac:dyDescent="0.25">
      <c r="B162" s="132"/>
      <c r="H162" s="146"/>
      <c r="I162" s="147">
        <f>SUM(I153:I160)</f>
        <v>560420</v>
      </c>
      <c r="J162" s="148"/>
      <c r="K162" s="149">
        <f>SUM(K153:K161)</f>
        <v>1106012</v>
      </c>
      <c r="L162" s="148"/>
      <c r="M162" s="146"/>
    </row>
    <row r="163" spans="2:13" x14ac:dyDescent="0.25">
      <c r="B163" s="132" t="s">
        <v>1061</v>
      </c>
      <c r="H163" s="125">
        <v>70630</v>
      </c>
      <c r="I163" s="151">
        <v>494750</v>
      </c>
      <c r="J163" s="137" t="s">
        <v>1062</v>
      </c>
      <c r="K163" s="136">
        <v>30000</v>
      </c>
      <c r="L163" s="136" t="s">
        <v>1064</v>
      </c>
      <c r="M163" s="125">
        <f>H163+I167-K167</f>
        <v>64280</v>
      </c>
    </row>
    <row r="164" spans="2:13" x14ac:dyDescent="0.25">
      <c r="B164" s="132"/>
      <c r="H164" s="125"/>
      <c r="I164" s="151">
        <v>-474600</v>
      </c>
      <c r="J164" s="137" t="s">
        <v>1066</v>
      </c>
      <c r="K164" s="128"/>
      <c r="L164" s="127"/>
      <c r="M164" s="125"/>
    </row>
    <row r="165" spans="2:13" x14ac:dyDescent="0.25">
      <c r="B165" s="132"/>
      <c r="H165" s="125"/>
      <c r="I165" s="151">
        <v>3500</v>
      </c>
      <c r="J165" s="137" t="s">
        <v>1050</v>
      </c>
      <c r="K165" s="128"/>
      <c r="L165" s="127"/>
      <c r="M165" s="125"/>
    </row>
    <row r="166" spans="2:13" x14ac:dyDescent="0.25">
      <c r="B166" s="132"/>
      <c r="H166" s="125"/>
      <c r="I166" s="126"/>
      <c r="J166" s="127"/>
      <c r="K166" s="128"/>
      <c r="L166" s="127"/>
      <c r="M166" s="125"/>
    </row>
    <row r="167" spans="2:13" x14ac:dyDescent="0.25">
      <c r="B167" s="132"/>
      <c r="H167" s="146"/>
      <c r="I167" s="147">
        <f>SUM(I163:I166)</f>
        <v>23650</v>
      </c>
      <c r="J167" s="148"/>
      <c r="K167" s="149">
        <f>SUM(K163:K166)</f>
        <v>30000</v>
      </c>
      <c r="L167" s="148"/>
      <c r="M167" s="146"/>
    </row>
    <row r="168" spans="2:13" x14ac:dyDescent="0.25">
      <c r="B168" s="132" t="s">
        <v>1070</v>
      </c>
      <c r="H168" s="125">
        <v>41855</v>
      </c>
      <c r="I168" s="151">
        <v>-4500</v>
      </c>
      <c r="J168" s="137" t="s">
        <v>830</v>
      </c>
      <c r="K168" s="136">
        <v>95380</v>
      </c>
      <c r="L168" s="137" t="s">
        <v>1156</v>
      </c>
      <c r="M168" s="125">
        <f>H168+I170-K170</f>
        <v>1975</v>
      </c>
    </row>
    <row r="169" spans="2:13" x14ac:dyDescent="0.25">
      <c r="B169" s="132"/>
      <c r="H169" s="125"/>
      <c r="I169" s="151">
        <v>60000</v>
      </c>
      <c r="J169" s="137" t="s">
        <v>1155</v>
      </c>
      <c r="K169" s="128"/>
      <c r="L169" s="127"/>
      <c r="M169" s="125"/>
    </row>
    <row r="170" spans="2:13" x14ac:dyDescent="0.25">
      <c r="B170" s="132"/>
      <c r="H170" s="146"/>
      <c r="I170" s="147">
        <f>SUM(I168:I169)</f>
        <v>55500</v>
      </c>
      <c r="J170" s="148"/>
      <c r="K170" s="149">
        <f>SUM(K168:K169)</f>
        <v>95380</v>
      </c>
      <c r="L170" s="148"/>
      <c r="M170" s="146"/>
    </row>
    <row r="171" spans="2:13" x14ac:dyDescent="0.25">
      <c r="B171" s="132" t="s">
        <v>1072</v>
      </c>
      <c r="H171" s="125">
        <v>724555</v>
      </c>
      <c r="I171" s="151">
        <v>762000</v>
      </c>
      <c r="J171" s="137" t="s">
        <v>1073</v>
      </c>
      <c r="K171" s="136">
        <v>18550</v>
      </c>
      <c r="L171" s="137" t="s">
        <v>1074</v>
      </c>
      <c r="M171" s="125">
        <f>H171+I176-K176</f>
        <v>682385</v>
      </c>
    </row>
    <row r="172" spans="2:13" x14ac:dyDescent="0.25">
      <c r="B172" s="132"/>
      <c r="H172" s="125"/>
      <c r="I172" s="151">
        <v>-446620</v>
      </c>
      <c r="J172" s="137" t="s">
        <v>1075</v>
      </c>
      <c r="K172" s="136">
        <v>20000</v>
      </c>
      <c r="L172" s="137" t="s">
        <v>1076</v>
      </c>
      <c r="M172" s="125"/>
    </row>
    <row r="173" spans="2:13" x14ac:dyDescent="0.25">
      <c r="B173" s="132"/>
      <c r="H173" s="125"/>
      <c r="I173" s="151">
        <v>-311000</v>
      </c>
      <c r="J173" s="137" t="s">
        <v>1077</v>
      </c>
      <c r="K173" s="136">
        <v>8000</v>
      </c>
      <c r="L173" s="137" t="s">
        <v>1095</v>
      </c>
      <c r="M173" s="125"/>
    </row>
    <row r="174" spans="2:13" x14ac:dyDescent="0.25">
      <c r="B174" s="132"/>
      <c r="H174" s="125"/>
      <c r="I174" s="126"/>
      <c r="J174" s="127"/>
      <c r="K174" s="128"/>
      <c r="L174" s="127"/>
      <c r="M174" s="125"/>
    </row>
    <row r="175" spans="2:13" x14ac:dyDescent="0.25">
      <c r="B175" s="132"/>
      <c r="H175" s="125"/>
      <c r="I175" s="126"/>
      <c r="J175" s="127"/>
      <c r="K175" s="128"/>
      <c r="L175" s="127"/>
      <c r="M175" s="125"/>
    </row>
    <row r="176" spans="2:13" x14ac:dyDescent="0.25">
      <c r="B176" s="132"/>
      <c r="H176" s="146"/>
      <c r="I176" s="147">
        <f>SUM(I171:I175)</f>
        <v>4380</v>
      </c>
      <c r="J176" s="148"/>
      <c r="K176" s="149">
        <f>SUM(K171:K175)</f>
        <v>46550</v>
      </c>
      <c r="L176" s="148"/>
      <c r="M176" s="146"/>
    </row>
    <row r="177" spans="2:13" x14ac:dyDescent="0.25">
      <c r="B177" s="132" t="s">
        <v>1078</v>
      </c>
      <c r="H177" s="125">
        <v>590</v>
      </c>
      <c r="I177" s="151">
        <v>147860</v>
      </c>
      <c r="J177" s="137" t="s">
        <v>1079</v>
      </c>
      <c r="K177" s="136">
        <v>7750</v>
      </c>
      <c r="L177" s="137" t="s">
        <v>1080</v>
      </c>
      <c r="M177" s="125">
        <f>H177+I180-K180</f>
        <v>140700</v>
      </c>
    </row>
    <row r="178" spans="2:13" x14ac:dyDescent="0.25">
      <c r="B178" s="132"/>
      <c r="H178" s="125"/>
      <c r="I178" s="126"/>
      <c r="J178" s="127"/>
      <c r="K178" s="128"/>
      <c r="L178" s="127"/>
      <c r="M178" s="125"/>
    </row>
    <row r="179" spans="2:13" x14ac:dyDescent="0.25">
      <c r="B179" s="132"/>
      <c r="H179" s="125"/>
      <c r="I179" s="126"/>
      <c r="J179" s="127"/>
      <c r="K179" s="128"/>
      <c r="L179" s="127"/>
      <c r="M179" s="125"/>
    </row>
    <row r="180" spans="2:13" x14ac:dyDescent="0.25">
      <c r="B180" s="132"/>
      <c r="H180" s="146"/>
      <c r="I180" s="147">
        <f>SUM(I177:I179)</f>
        <v>147860</v>
      </c>
      <c r="J180" s="148"/>
      <c r="K180" s="149">
        <f>SUM(K177:K179)</f>
        <v>7750</v>
      </c>
      <c r="L180" s="148"/>
      <c r="M180" s="146"/>
    </row>
    <row r="181" spans="2:13" x14ac:dyDescent="0.25">
      <c r="B181" s="132" t="s">
        <v>1082</v>
      </c>
      <c r="H181" s="125"/>
      <c r="I181" s="126"/>
      <c r="J181" s="127"/>
      <c r="K181" s="128"/>
      <c r="L181" s="127"/>
      <c r="M181" s="125">
        <f>H181+I183-K183</f>
        <v>0</v>
      </c>
    </row>
    <row r="182" spans="2:13" x14ac:dyDescent="0.25">
      <c r="B182" s="132"/>
      <c r="H182" s="125"/>
      <c r="I182" s="126"/>
      <c r="J182" s="127"/>
      <c r="K182" s="128"/>
      <c r="L182" s="127"/>
      <c r="M182" s="125"/>
    </row>
    <row r="183" spans="2:13" x14ac:dyDescent="0.25">
      <c r="B183" s="132"/>
      <c r="H183" s="146"/>
      <c r="I183" s="147">
        <f>SUM(I181:I182)</f>
        <v>0</v>
      </c>
      <c r="J183" s="148"/>
      <c r="K183" s="149">
        <f>SUM(K181:K182)</f>
        <v>0</v>
      </c>
      <c r="L183" s="148"/>
      <c r="M183" s="146"/>
    </row>
    <row r="184" spans="2:13" x14ac:dyDescent="0.25">
      <c r="B184" s="132" t="s">
        <v>1084</v>
      </c>
      <c r="H184" s="125">
        <f>C184+D186-F186</f>
        <v>0</v>
      </c>
      <c r="I184" s="126"/>
      <c r="J184" s="127"/>
      <c r="K184" s="128"/>
      <c r="L184" s="127"/>
      <c r="M184" s="125">
        <f>H184+I186-K186</f>
        <v>0</v>
      </c>
    </row>
    <row r="185" spans="2:13" x14ac:dyDescent="0.25">
      <c r="B185" s="132"/>
      <c r="H185" s="125"/>
      <c r="I185" s="126"/>
      <c r="J185" s="127"/>
      <c r="K185" s="128"/>
      <c r="L185" s="127"/>
      <c r="M185" s="125"/>
    </row>
    <row r="186" spans="2:13" x14ac:dyDescent="0.25">
      <c r="B186" s="132"/>
      <c r="H186" s="146"/>
      <c r="I186" s="147">
        <f>SUM(I184:I185)</f>
        <v>0</v>
      </c>
      <c r="J186" s="148"/>
      <c r="K186" s="149">
        <f>SUM(K184:K185)</f>
        <v>0</v>
      </c>
      <c r="L186" s="148"/>
      <c r="M186" s="146"/>
    </row>
    <row r="187" spans="2:13" x14ac:dyDescent="0.25">
      <c r="B187" s="132" t="s">
        <v>1085</v>
      </c>
      <c r="H187" s="125">
        <f>C187+D189-F189</f>
        <v>0</v>
      </c>
      <c r="I187" s="126"/>
      <c r="J187" s="127"/>
      <c r="K187" s="128"/>
      <c r="L187" s="127"/>
      <c r="M187" s="125">
        <f>H187+I189-K189</f>
        <v>0</v>
      </c>
    </row>
    <row r="188" spans="2:13" x14ac:dyDescent="0.25">
      <c r="B188" s="132"/>
      <c r="H188" s="125"/>
      <c r="I188" s="126"/>
      <c r="J188" s="127"/>
      <c r="K188" s="128"/>
      <c r="L188" s="127"/>
      <c r="M188" s="125"/>
    </row>
    <row r="189" spans="2:13" x14ac:dyDescent="0.25">
      <c r="B189" s="132"/>
      <c r="H189" s="146"/>
      <c r="I189" s="147">
        <f>SUM(I187:I188)</f>
        <v>0</v>
      </c>
      <c r="J189" s="148"/>
      <c r="K189" s="149">
        <f>SUM(K187:K188)</f>
        <v>0</v>
      </c>
      <c r="L189" s="148"/>
      <c r="M189" s="146"/>
    </row>
    <row r="190" spans="2:13" x14ac:dyDescent="0.25">
      <c r="B190" s="132"/>
      <c r="H190" s="125"/>
      <c r="I190" s="126"/>
      <c r="J190" s="162"/>
      <c r="K190" s="128"/>
      <c r="L190" s="162"/>
      <c r="M190" s="125"/>
    </row>
    <row r="191" spans="2:13" x14ac:dyDescent="0.25">
      <c r="B191" s="132" t="s">
        <v>1086</v>
      </c>
      <c r="H191" s="125">
        <v>40000</v>
      </c>
      <c r="I191" s="126"/>
      <c r="J191" s="127"/>
      <c r="K191" s="128"/>
      <c r="L191" s="127"/>
      <c r="M191" s="125">
        <f>H191+I191-K191</f>
        <v>40000</v>
      </c>
    </row>
    <row r="192" spans="2:13" x14ac:dyDescent="0.25">
      <c r="B192" s="132"/>
      <c r="H192" s="125"/>
      <c r="I192" s="126"/>
      <c r="J192" s="127"/>
      <c r="K192" s="128"/>
      <c r="L192" s="127"/>
      <c r="M192" s="125"/>
    </row>
    <row r="193" spans="2:13" x14ac:dyDescent="0.25">
      <c r="B193" s="132" t="s">
        <v>1087</v>
      </c>
      <c r="H193" s="125">
        <f>C193+D193-F193</f>
        <v>0</v>
      </c>
      <c r="I193" s="126"/>
      <c r="J193" s="127"/>
      <c r="K193" s="128"/>
      <c r="L193" s="127"/>
      <c r="M193" s="125">
        <f>H193+I193-K193</f>
        <v>0</v>
      </c>
    </row>
    <row r="194" spans="2:13" x14ac:dyDescent="0.25">
      <c r="B194" s="132"/>
      <c r="H194" s="125"/>
      <c r="I194" s="126"/>
      <c r="J194" s="127"/>
      <c r="K194" s="128"/>
      <c r="L194" s="127"/>
      <c r="M194" s="125"/>
    </row>
    <row r="195" spans="2:13" x14ac:dyDescent="0.25">
      <c r="B195" s="132" t="s">
        <v>1088</v>
      </c>
      <c r="H195" s="125">
        <v>171790</v>
      </c>
      <c r="I195" s="126"/>
      <c r="J195" s="127"/>
      <c r="K195" s="136">
        <v>25000</v>
      </c>
      <c r="L195" s="137" t="s">
        <v>1089</v>
      </c>
      <c r="M195" s="125">
        <f>H195+I195-K195</f>
        <v>146790</v>
      </c>
    </row>
    <row r="196" spans="2:13" x14ac:dyDescent="0.25">
      <c r="B196" s="132"/>
      <c r="H196" s="125"/>
      <c r="I196" s="126"/>
      <c r="J196" s="127"/>
      <c r="K196" s="128"/>
      <c r="L196" s="127"/>
      <c r="M196" s="125"/>
    </row>
    <row r="197" spans="2:13" x14ac:dyDescent="0.25">
      <c r="B197" s="132" t="s">
        <v>1090</v>
      </c>
      <c r="H197" s="125">
        <f>C197+D197-F197</f>
        <v>0</v>
      </c>
      <c r="I197" s="126"/>
      <c r="J197" s="127"/>
      <c r="K197" s="128"/>
      <c r="L197" s="127"/>
      <c r="M197" s="125">
        <f>H197+I197-K197</f>
        <v>0</v>
      </c>
    </row>
    <row r="198" spans="2:13" x14ac:dyDescent="0.25">
      <c r="B198" s="132"/>
      <c r="H198" s="125"/>
      <c r="I198" s="126"/>
      <c r="J198" s="127"/>
      <c r="K198" s="128"/>
      <c r="L198" s="127"/>
      <c r="M198" s="125"/>
    </row>
    <row r="199" spans="2:13" x14ac:dyDescent="0.25">
      <c r="B199" s="132" t="s">
        <v>1091</v>
      </c>
      <c r="H199" s="125">
        <v>58410</v>
      </c>
      <c r="I199" s="126"/>
      <c r="J199" s="162"/>
      <c r="K199" s="128"/>
      <c r="L199" s="162"/>
      <c r="M199" s="125">
        <f>H199+I199-K199</f>
        <v>58410</v>
      </c>
    </row>
    <row r="200" spans="2:13" ht="15.75" thickBot="1" x14ac:dyDescent="0.3">
      <c r="B200" s="165"/>
      <c r="H200" s="169"/>
      <c r="I200" s="170"/>
      <c r="J200" s="171"/>
      <c r="K200" s="172"/>
      <c r="L200" s="171"/>
      <c r="M200" s="169"/>
    </row>
    <row r="201" spans="2:13" x14ac:dyDescent="0.25">
      <c r="B201" s="173"/>
      <c r="H201" s="178">
        <f>SUM(H141:H200)</f>
        <v>3510690</v>
      </c>
      <c r="I201" s="175">
        <f>I146+I152+I162+I167+I170+I176+I180+I183++I186+I189+I191+I193+I195+I197+I199</f>
        <v>848550</v>
      </c>
      <c r="J201" s="176"/>
      <c r="K201" s="177">
        <f>K146+K152+K162+K167+K170+K176+K180+K183++K186+K189+K191+K193+K195+K197+K199</f>
        <v>1697692</v>
      </c>
      <c r="L201" s="176"/>
      <c r="M201" s="178">
        <f>SUM(M141:M200)</f>
        <v>2661548</v>
      </c>
    </row>
    <row r="202" spans="2:13" ht="15.75" thickBot="1" x14ac:dyDescent="0.3">
      <c r="B202" s="173"/>
      <c r="H202" s="184"/>
      <c r="I202" s="181"/>
      <c r="J202" s="182">
        <f>I201-K201</f>
        <v>-849142</v>
      </c>
      <c r="K202" s="183"/>
      <c r="L202" s="182"/>
      <c r="M202" s="184"/>
    </row>
  </sheetData>
  <pageMargins left="0.25" right="0.25" top="0.75" bottom="0.75" header="0.3" footer="0.3"/>
  <pageSetup paperSize="8" scale="65" orientation="landscape" r:id="rId1"/>
  <rowBreaks count="1" manualBreakCount="1">
    <brk id="67" max="16383" man="1"/>
  </rowBreaks>
  <colBreaks count="3" manualBreakCount="3">
    <brk id="18" max="1048575" man="1"/>
    <brk id="35" max="1048575" man="1"/>
    <brk id="52" max="1048575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7"/>
  <sheetViews>
    <sheetView zoomScaleNormal="100" workbookViewId="0">
      <selection activeCell="G22" sqref="G22"/>
    </sheetView>
  </sheetViews>
  <sheetFormatPr defaultRowHeight="15" x14ac:dyDescent="0.25"/>
  <cols>
    <col min="1" max="1" width="23" customWidth="1"/>
    <col min="2" max="2" width="12.5703125" style="207" bestFit="1" customWidth="1"/>
    <col min="3" max="3" width="16.7109375" style="207" hidden="1" customWidth="1"/>
    <col min="4" max="4" width="16.28515625" style="221" bestFit="1" customWidth="1"/>
    <col min="5" max="5" width="12.5703125" style="213" bestFit="1" customWidth="1"/>
    <col min="6" max="6" width="12.5703125" bestFit="1" customWidth="1"/>
    <col min="7" max="7" width="11.140625" bestFit="1" customWidth="1"/>
  </cols>
  <sheetData>
    <row r="1" spans="1:6" x14ac:dyDescent="0.25">
      <c r="A1" s="230" t="s">
        <v>1143</v>
      </c>
    </row>
    <row r="2" spans="1:6" x14ac:dyDescent="0.25">
      <c r="B2" s="210" t="s">
        <v>1099</v>
      </c>
      <c r="C2" s="210" t="s">
        <v>1100</v>
      </c>
      <c r="D2" s="223" t="s">
        <v>1101</v>
      </c>
      <c r="E2" s="228" t="s">
        <v>1102</v>
      </c>
    </row>
    <row r="3" spans="1:6" ht="17.25" x14ac:dyDescent="0.3">
      <c r="A3" s="219" t="s">
        <v>1136</v>
      </c>
    </row>
    <row r="4" spans="1:6" x14ac:dyDescent="0.25">
      <c r="A4" s="214" t="s">
        <v>1122</v>
      </c>
      <c r="E4" s="208">
        <v>-5000</v>
      </c>
    </row>
    <row r="5" spans="1:6" ht="17.25" x14ac:dyDescent="0.3">
      <c r="A5" s="219" t="s">
        <v>1137</v>
      </c>
    </row>
    <row r="6" spans="1:6" x14ac:dyDescent="0.25">
      <c r="A6" s="209" t="s">
        <v>1098</v>
      </c>
    </row>
    <row r="7" spans="1:6" x14ac:dyDescent="0.25">
      <c r="A7" t="s">
        <v>292</v>
      </c>
      <c r="B7" s="207">
        <v>360000</v>
      </c>
      <c r="C7" s="207">
        <v>312851</v>
      </c>
      <c r="D7" s="221">
        <v>320000</v>
      </c>
      <c r="E7" s="213">
        <f>D7-B7</f>
        <v>-40000</v>
      </c>
    </row>
    <row r="8" spans="1:6" x14ac:dyDescent="0.25">
      <c r="A8" t="s">
        <v>1103</v>
      </c>
      <c r="B8" s="207">
        <v>387700</v>
      </c>
      <c r="C8" s="207">
        <v>388696</v>
      </c>
      <c r="D8" s="221">
        <v>393000</v>
      </c>
      <c r="E8" s="213">
        <f t="shared" ref="E8:E14" si="0">D8-B8</f>
        <v>5300</v>
      </c>
    </row>
    <row r="9" spans="1:6" x14ac:dyDescent="0.25">
      <c r="A9" t="s">
        <v>1104</v>
      </c>
      <c r="B9" s="207">
        <v>646500</v>
      </c>
      <c r="C9" s="207">
        <v>606225</v>
      </c>
      <c r="D9" s="221">
        <v>610000</v>
      </c>
      <c r="E9" s="213">
        <f t="shared" si="0"/>
        <v>-36500</v>
      </c>
    </row>
    <row r="10" spans="1:6" x14ac:dyDescent="0.25">
      <c r="A10" t="s">
        <v>1105</v>
      </c>
      <c r="B10" s="207">
        <v>61650</v>
      </c>
      <c r="C10" s="207">
        <v>72589</v>
      </c>
      <c r="D10" s="221">
        <v>74000</v>
      </c>
      <c r="E10" s="213">
        <f t="shared" si="0"/>
        <v>12350</v>
      </c>
    </row>
    <row r="11" spans="1:6" x14ac:dyDescent="0.25">
      <c r="A11" t="s">
        <v>96</v>
      </c>
      <c r="B11" s="207">
        <f>105600+55000+70000</f>
        <v>230600</v>
      </c>
      <c r="C11" s="207">
        <v>217085</v>
      </c>
      <c r="D11" s="221">
        <v>220600</v>
      </c>
      <c r="E11" s="213">
        <f t="shared" si="0"/>
        <v>-10000</v>
      </c>
    </row>
    <row r="12" spans="1:6" x14ac:dyDescent="0.25">
      <c r="A12" t="s">
        <v>1106</v>
      </c>
      <c r="B12" s="207">
        <v>74350</v>
      </c>
      <c r="C12" s="207">
        <v>75865</v>
      </c>
      <c r="D12" s="221">
        <v>75000</v>
      </c>
      <c r="E12" s="213">
        <f t="shared" si="0"/>
        <v>650</v>
      </c>
    </row>
    <row r="13" spans="1:6" x14ac:dyDescent="0.25">
      <c r="A13" t="s">
        <v>1107</v>
      </c>
      <c r="B13" s="207">
        <v>59900</v>
      </c>
      <c r="C13" s="207">
        <v>53305</v>
      </c>
      <c r="D13" s="221">
        <v>54900</v>
      </c>
      <c r="E13" s="213">
        <f t="shared" si="0"/>
        <v>-5000</v>
      </c>
    </row>
    <row r="14" spans="1:6" x14ac:dyDescent="0.25">
      <c r="A14" t="s">
        <v>1108</v>
      </c>
      <c r="B14" s="207">
        <v>221650</v>
      </c>
      <c r="C14" s="207">
        <v>211406</v>
      </c>
      <c r="D14" s="221">
        <v>216650</v>
      </c>
      <c r="E14" s="213">
        <f t="shared" si="0"/>
        <v>-5000</v>
      </c>
      <c r="F14" s="212"/>
    </row>
    <row r="15" spans="1:6" x14ac:dyDescent="0.25">
      <c r="A15" s="209" t="s">
        <v>306</v>
      </c>
    </row>
    <row r="16" spans="1:6" x14ac:dyDescent="0.25">
      <c r="A16" t="s">
        <v>1109</v>
      </c>
      <c r="B16" s="207">
        <v>15000</v>
      </c>
      <c r="C16" s="207">
        <v>8200</v>
      </c>
      <c r="D16" s="221">
        <v>12000</v>
      </c>
      <c r="E16" s="213">
        <f t="shared" ref="E16:E28" si="1">D16-B16</f>
        <v>-3000</v>
      </c>
    </row>
    <row r="17" spans="1:6" x14ac:dyDescent="0.25">
      <c r="A17" t="s">
        <v>1110</v>
      </c>
      <c r="B17" s="207">
        <v>28750</v>
      </c>
      <c r="C17" s="207">
        <v>26605</v>
      </c>
      <c r="D17" s="221">
        <v>27750</v>
      </c>
      <c r="E17" s="213">
        <f t="shared" si="1"/>
        <v>-1000</v>
      </c>
    </row>
    <row r="18" spans="1:6" x14ac:dyDescent="0.25">
      <c r="A18" t="s">
        <v>1105</v>
      </c>
      <c r="B18" s="207">
        <v>29000</v>
      </c>
      <c r="C18" s="207">
        <v>17751</v>
      </c>
      <c r="D18" s="221">
        <v>22500</v>
      </c>
      <c r="E18" s="213">
        <f t="shared" si="1"/>
        <v>-6500</v>
      </c>
    </row>
    <row r="19" spans="1:6" x14ac:dyDescent="0.25">
      <c r="A19" t="s">
        <v>96</v>
      </c>
      <c r="B19" s="207">
        <v>9800</v>
      </c>
      <c r="C19" s="207">
        <v>485</v>
      </c>
      <c r="D19" s="221">
        <v>8800</v>
      </c>
      <c r="E19" s="213">
        <f t="shared" si="1"/>
        <v>-1000</v>
      </c>
    </row>
    <row r="20" spans="1:6" x14ac:dyDescent="0.25">
      <c r="A20" t="s">
        <v>1106</v>
      </c>
      <c r="B20" s="207">
        <v>28000</v>
      </c>
      <c r="C20" s="207">
        <v>28291</v>
      </c>
      <c r="D20" s="221">
        <v>28000</v>
      </c>
      <c r="E20" s="213">
        <f t="shared" si="1"/>
        <v>0</v>
      </c>
      <c r="F20" s="212"/>
    </row>
    <row r="21" spans="1:6" x14ac:dyDescent="0.25">
      <c r="A21" s="209" t="s">
        <v>299</v>
      </c>
    </row>
    <row r="22" spans="1:6" x14ac:dyDescent="0.25">
      <c r="A22" t="s">
        <v>292</v>
      </c>
      <c r="B22" s="207">
        <v>4500</v>
      </c>
      <c r="C22" s="207">
        <v>9806</v>
      </c>
      <c r="D22" s="221">
        <v>2000</v>
      </c>
      <c r="E22" s="213">
        <f t="shared" si="1"/>
        <v>-2500</v>
      </c>
    </row>
    <row r="23" spans="1:6" x14ac:dyDescent="0.25">
      <c r="A23" t="s">
        <v>1109</v>
      </c>
      <c r="B23" s="207">
        <v>8500</v>
      </c>
      <c r="C23" s="207">
        <v>10083</v>
      </c>
      <c r="D23" s="221">
        <v>9000</v>
      </c>
      <c r="E23" s="213">
        <f t="shared" si="1"/>
        <v>500</v>
      </c>
    </row>
    <row r="24" spans="1:6" x14ac:dyDescent="0.25">
      <c r="A24" t="s">
        <v>1110</v>
      </c>
      <c r="B24" s="207">
        <v>22500</v>
      </c>
      <c r="C24" s="207">
        <v>28100</v>
      </c>
      <c r="D24" s="221">
        <v>22500</v>
      </c>
      <c r="E24" s="213">
        <f t="shared" si="1"/>
        <v>0</v>
      </c>
    </row>
    <row r="25" spans="1:6" x14ac:dyDescent="0.25">
      <c r="A25" t="s">
        <v>1105</v>
      </c>
      <c r="B25" s="207">
        <v>5000</v>
      </c>
      <c r="C25" s="207">
        <v>0</v>
      </c>
      <c r="D25" s="221">
        <v>2500</v>
      </c>
      <c r="E25" s="213">
        <f t="shared" si="1"/>
        <v>-2500</v>
      </c>
    </row>
    <row r="26" spans="1:6" x14ac:dyDescent="0.25">
      <c r="A26" t="s">
        <v>96</v>
      </c>
      <c r="B26" s="207">
        <v>15000</v>
      </c>
      <c r="C26" s="207">
        <v>0</v>
      </c>
      <c r="D26" s="221">
        <v>8000</v>
      </c>
      <c r="E26" s="213">
        <f t="shared" si="1"/>
        <v>-7000</v>
      </c>
    </row>
    <row r="27" spans="1:6" x14ac:dyDescent="0.25">
      <c r="A27" t="s">
        <v>1107</v>
      </c>
      <c r="B27" s="207">
        <v>1100</v>
      </c>
      <c r="C27" s="207">
        <v>1100</v>
      </c>
      <c r="D27" s="221">
        <v>1100</v>
      </c>
      <c r="E27" s="213">
        <f t="shared" si="1"/>
        <v>0</v>
      </c>
    </row>
    <row r="28" spans="1:6" x14ac:dyDescent="0.25">
      <c r="A28" t="s">
        <v>1108</v>
      </c>
      <c r="B28" s="207">
        <v>4000</v>
      </c>
      <c r="C28" s="207">
        <v>4000</v>
      </c>
      <c r="D28" s="221">
        <v>3500</v>
      </c>
      <c r="E28" s="213">
        <f t="shared" si="1"/>
        <v>-500</v>
      </c>
      <c r="F28" s="212"/>
    </row>
    <row r="29" spans="1:6" x14ac:dyDescent="0.25">
      <c r="A29" s="209" t="s">
        <v>1111</v>
      </c>
      <c r="B29" s="207">
        <v>364100</v>
      </c>
      <c r="C29" s="207">
        <v>334100</v>
      </c>
      <c r="D29" s="221">
        <v>332500</v>
      </c>
      <c r="E29" s="208">
        <f t="shared" ref="E29:E36" si="2">D29-B29</f>
        <v>-31600</v>
      </c>
    </row>
    <row r="30" spans="1:6" x14ac:dyDescent="0.25">
      <c r="A30" s="209" t="s">
        <v>1112</v>
      </c>
      <c r="B30" s="207">
        <v>100000</v>
      </c>
      <c r="C30" s="207">
        <v>78647</v>
      </c>
      <c r="D30" s="221">
        <v>95000</v>
      </c>
      <c r="E30" s="208">
        <f t="shared" si="2"/>
        <v>-5000</v>
      </c>
    </row>
    <row r="31" spans="1:6" x14ac:dyDescent="0.25">
      <c r="A31" s="209" t="s">
        <v>1134</v>
      </c>
      <c r="B31" s="207">
        <v>0</v>
      </c>
      <c r="D31" s="221">
        <v>15000</v>
      </c>
      <c r="E31" s="208">
        <f t="shared" si="2"/>
        <v>15000</v>
      </c>
    </row>
    <row r="32" spans="1:6" x14ac:dyDescent="0.25">
      <c r="A32" s="209" t="s">
        <v>1135</v>
      </c>
      <c r="B32" s="207">
        <v>0</v>
      </c>
      <c r="D32" s="221">
        <v>30000</v>
      </c>
      <c r="E32" s="208">
        <f t="shared" si="2"/>
        <v>30000</v>
      </c>
    </row>
    <row r="33" spans="1:5" x14ac:dyDescent="0.25">
      <c r="A33" s="209" t="s">
        <v>1113</v>
      </c>
      <c r="B33" s="207">
        <v>66100</v>
      </c>
      <c r="C33" s="207">
        <v>23634</v>
      </c>
      <c r="D33" s="221">
        <v>60100</v>
      </c>
      <c r="E33" s="208">
        <f t="shared" si="2"/>
        <v>-6000</v>
      </c>
    </row>
    <row r="34" spans="1:5" x14ac:dyDescent="0.25">
      <c r="A34" s="209" t="s">
        <v>382</v>
      </c>
      <c r="B34" s="207">
        <v>12000</v>
      </c>
      <c r="C34" s="207">
        <v>7689</v>
      </c>
      <c r="D34" s="221">
        <v>8000</v>
      </c>
      <c r="E34" s="208">
        <f t="shared" si="2"/>
        <v>-4000</v>
      </c>
    </row>
    <row r="35" spans="1:5" x14ac:dyDescent="0.25">
      <c r="A35" s="209" t="s">
        <v>1114</v>
      </c>
      <c r="B35" s="207">
        <v>11350</v>
      </c>
      <c r="C35" s="207">
        <v>8172</v>
      </c>
      <c r="D35" s="221">
        <v>10000</v>
      </c>
      <c r="E35" s="208">
        <f t="shared" si="2"/>
        <v>-1350</v>
      </c>
    </row>
    <row r="36" spans="1:5" x14ac:dyDescent="0.25">
      <c r="A36" s="209" t="s">
        <v>1115</v>
      </c>
      <c r="B36" s="207">
        <v>14400</v>
      </c>
      <c r="C36" s="207">
        <v>13000</v>
      </c>
      <c r="D36" s="221">
        <v>13000</v>
      </c>
      <c r="E36" s="208">
        <f t="shared" si="2"/>
        <v>-1400</v>
      </c>
    </row>
    <row r="37" spans="1:5" x14ac:dyDescent="0.25">
      <c r="A37" s="209" t="s">
        <v>1116</v>
      </c>
    </row>
    <row r="38" spans="1:5" x14ac:dyDescent="0.25">
      <c r="A38" s="214" t="s">
        <v>1117</v>
      </c>
      <c r="B38" s="207">
        <v>222000</v>
      </c>
      <c r="C38" s="207">
        <v>192428</v>
      </c>
    </row>
    <row r="39" spans="1:5" x14ac:dyDescent="0.25">
      <c r="A39" s="214" t="s">
        <v>1118</v>
      </c>
      <c r="B39" s="207">
        <v>26000</v>
      </c>
      <c r="C39" s="207">
        <v>31133</v>
      </c>
    </row>
    <row r="40" spans="1:5" x14ac:dyDescent="0.25">
      <c r="B40" s="215">
        <f>SUM(B38:B39)</f>
        <v>248000</v>
      </c>
      <c r="C40" s="215">
        <f>SUM(C38:C39)</f>
        <v>223561</v>
      </c>
      <c r="D40" s="221">
        <v>230000</v>
      </c>
      <c r="E40" s="208">
        <f t="shared" ref="E40:E45" si="3">D40-B40</f>
        <v>-18000</v>
      </c>
    </row>
    <row r="41" spans="1:5" x14ac:dyDescent="0.25">
      <c r="A41" s="216" t="s">
        <v>1119</v>
      </c>
      <c r="B41" s="207">
        <v>10000</v>
      </c>
      <c r="D41" s="221">
        <v>8000</v>
      </c>
      <c r="E41" s="208">
        <f t="shared" si="3"/>
        <v>-2000</v>
      </c>
    </row>
    <row r="42" spans="1:5" x14ac:dyDescent="0.25">
      <c r="A42" s="216" t="s">
        <v>142</v>
      </c>
      <c r="B42" s="207">
        <v>11000</v>
      </c>
      <c r="D42" s="221">
        <v>10000</v>
      </c>
      <c r="E42" s="208">
        <f t="shared" si="3"/>
        <v>-1000</v>
      </c>
    </row>
    <row r="43" spans="1:5" x14ac:dyDescent="0.25">
      <c r="A43" s="216" t="s">
        <v>1120</v>
      </c>
      <c r="B43" s="207">
        <v>85000</v>
      </c>
      <c r="D43" s="221">
        <v>82500</v>
      </c>
      <c r="E43" s="208">
        <f t="shared" si="3"/>
        <v>-2500</v>
      </c>
    </row>
    <row r="44" spans="1:5" x14ac:dyDescent="0.25">
      <c r="A44" s="216" t="s">
        <v>1121</v>
      </c>
      <c r="B44" s="207">
        <v>3750</v>
      </c>
      <c r="D44" s="221">
        <v>0</v>
      </c>
      <c r="E44" s="208">
        <f t="shared" si="3"/>
        <v>-3750</v>
      </c>
    </row>
    <row r="45" spans="1:5" x14ac:dyDescent="0.25">
      <c r="A45" s="209" t="s">
        <v>541</v>
      </c>
      <c r="B45" s="207">
        <v>15000</v>
      </c>
      <c r="C45" s="207">
        <v>0</v>
      </c>
      <c r="D45" s="221">
        <v>8000</v>
      </c>
      <c r="E45" s="208">
        <f t="shared" si="3"/>
        <v>-7000</v>
      </c>
    </row>
    <row r="46" spans="1:5" x14ac:dyDescent="0.25">
      <c r="A46" t="s">
        <v>1130</v>
      </c>
    </row>
    <row r="47" spans="1:5" x14ac:dyDescent="0.25">
      <c r="A47" s="216" t="s">
        <v>502</v>
      </c>
      <c r="B47" s="207">
        <v>195700</v>
      </c>
      <c r="D47" s="221">
        <v>165700</v>
      </c>
      <c r="E47" s="208">
        <f>D47-B47</f>
        <v>-30000</v>
      </c>
    </row>
    <row r="48" spans="1:5" x14ac:dyDescent="0.25">
      <c r="A48" s="216" t="s">
        <v>1140</v>
      </c>
      <c r="B48" s="207">
        <v>2000</v>
      </c>
      <c r="D48" s="221">
        <v>5000</v>
      </c>
      <c r="E48" s="208">
        <f>D48-B48</f>
        <v>3000</v>
      </c>
    </row>
    <row r="49" spans="1:6" x14ac:dyDescent="0.25">
      <c r="A49" s="216" t="s">
        <v>685</v>
      </c>
      <c r="B49" s="207">
        <v>20000</v>
      </c>
      <c r="D49" s="221">
        <v>30000</v>
      </c>
      <c r="E49" s="208">
        <f>D49-B49</f>
        <v>10000</v>
      </c>
    </row>
    <row r="50" spans="1:6" x14ac:dyDescent="0.25">
      <c r="A50" s="216" t="s">
        <v>1141</v>
      </c>
      <c r="B50" s="207">
        <v>0</v>
      </c>
      <c r="D50" s="221">
        <v>2400</v>
      </c>
      <c r="E50" s="208">
        <f>D50-B50</f>
        <v>2400</v>
      </c>
    </row>
    <row r="51" spans="1:6" ht="17.25" x14ac:dyDescent="0.3">
      <c r="A51" s="219" t="s">
        <v>275</v>
      </c>
    </row>
    <row r="52" spans="1:6" s="214" customFormat="1" x14ac:dyDescent="0.25">
      <c r="A52" s="214" t="s">
        <v>1138</v>
      </c>
      <c r="B52" s="222">
        <v>-696152</v>
      </c>
      <c r="C52" s="207"/>
      <c r="D52" s="224">
        <v>-728152</v>
      </c>
      <c r="E52" s="208">
        <f>D52-B52</f>
        <v>-32000</v>
      </c>
    </row>
    <row r="53" spans="1:6" ht="17.25" x14ac:dyDescent="0.3">
      <c r="A53" s="219" t="s">
        <v>1131</v>
      </c>
    </row>
    <row r="54" spans="1:6" x14ac:dyDescent="0.25">
      <c r="A54" t="s">
        <v>1132</v>
      </c>
      <c r="B54" s="207">
        <v>2500</v>
      </c>
      <c r="D54" s="221">
        <v>0</v>
      </c>
      <c r="E54" s="208">
        <f>D54-B54</f>
        <v>-2500</v>
      </c>
    </row>
    <row r="55" spans="1:6" x14ac:dyDescent="0.25">
      <c r="A55" t="s">
        <v>1133</v>
      </c>
      <c r="B55" s="207">
        <v>30000</v>
      </c>
      <c r="D55" s="221">
        <v>25000</v>
      </c>
      <c r="E55" s="208">
        <f>D55-B55</f>
        <v>-5000</v>
      </c>
    </row>
    <row r="56" spans="1:6" x14ac:dyDescent="0.25">
      <c r="D56" s="226" t="s">
        <v>1139</v>
      </c>
      <c r="E56" s="229">
        <f>SUM(E4:E55)</f>
        <v>-199400</v>
      </c>
    </row>
    <row r="57" spans="1:6" ht="15.75" thickBot="1" x14ac:dyDescent="0.3">
      <c r="D57" s="225" t="s">
        <v>1123</v>
      </c>
      <c r="E57" s="227">
        <v>-193928</v>
      </c>
    </row>
    <row r="58" spans="1:6" ht="15.75" thickBot="1" x14ac:dyDescent="0.3">
      <c r="D58" s="226" t="s">
        <v>1124</v>
      </c>
      <c r="E58" s="217">
        <f>E57-E56</f>
        <v>5472</v>
      </c>
    </row>
    <row r="59" spans="1:6" ht="17.25" x14ac:dyDescent="0.3">
      <c r="A59" s="219" t="s">
        <v>1006</v>
      </c>
    </row>
    <row r="60" spans="1:6" x14ac:dyDescent="0.25">
      <c r="A60" s="209" t="s">
        <v>541</v>
      </c>
      <c r="B60" s="207">
        <v>0</v>
      </c>
      <c r="C60" s="207">
        <v>0</v>
      </c>
      <c r="D60" s="221">
        <v>8000</v>
      </c>
      <c r="E60" s="208">
        <f>D60-B60</f>
        <v>8000</v>
      </c>
    </row>
    <row r="61" spans="1:6" x14ac:dyDescent="0.25">
      <c r="A61" t="s">
        <v>1129</v>
      </c>
      <c r="F61" s="208"/>
    </row>
    <row r="62" spans="1:6" x14ac:dyDescent="0.25">
      <c r="A62" s="209" t="s">
        <v>1125</v>
      </c>
      <c r="B62" s="207">
        <v>130000</v>
      </c>
      <c r="D62" s="221">
        <v>145000</v>
      </c>
      <c r="E62" s="208">
        <f>D62-B62</f>
        <v>15000</v>
      </c>
    </row>
    <row r="63" spans="1:6" x14ac:dyDescent="0.25">
      <c r="A63" s="209" t="s">
        <v>1126</v>
      </c>
      <c r="B63" s="207">
        <v>180000</v>
      </c>
      <c r="D63" s="221">
        <v>140000</v>
      </c>
      <c r="E63" s="208">
        <f>D63-B63</f>
        <v>-40000</v>
      </c>
    </row>
    <row r="64" spans="1:6" x14ac:dyDescent="0.25">
      <c r="A64" s="209" t="s">
        <v>1127</v>
      </c>
      <c r="B64" s="207">
        <v>0</v>
      </c>
      <c r="D64" s="221">
        <v>30000</v>
      </c>
      <c r="E64" s="208">
        <f>D64-B64</f>
        <v>30000</v>
      </c>
    </row>
    <row r="65" spans="1:5" x14ac:dyDescent="0.25">
      <c r="A65" s="209" t="s">
        <v>1128</v>
      </c>
      <c r="B65" s="207">
        <v>5000</v>
      </c>
      <c r="D65" s="221">
        <v>0</v>
      </c>
      <c r="E65" s="208">
        <f>D65-B65</f>
        <v>-5000</v>
      </c>
    </row>
    <row r="66" spans="1:5" ht="15.75" thickBot="1" x14ac:dyDescent="0.3">
      <c r="A66" s="209" t="s">
        <v>261</v>
      </c>
      <c r="B66" s="207">
        <v>16000</v>
      </c>
      <c r="D66" s="221">
        <v>40000</v>
      </c>
      <c r="E66" s="211">
        <f>D66-B66</f>
        <v>24000</v>
      </c>
    </row>
    <row r="67" spans="1:5" ht="15.75" thickBot="1" x14ac:dyDescent="0.3">
      <c r="E67" s="217">
        <f>SUM(E60:E66)</f>
        <v>32000</v>
      </c>
    </row>
  </sheetData>
  <pageMargins left="0.7" right="0.7" top="0.75" bottom="0.75" header="0.3" footer="0.3"/>
  <pageSetup paperSize="9" scale="63" orientation="portrait" r:id="rId1"/>
  <headerFooter>
    <oddHeader>&amp;C&amp;"-,Bold Italic"&amp;13&amp;USuggested revisions/adjustments to Draft Budget 2013/14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T1629"/>
  <sheetViews>
    <sheetView zoomScaleNormal="100" workbookViewId="0">
      <selection activeCell="AJ1377" sqref="AJ1377"/>
    </sheetView>
  </sheetViews>
  <sheetFormatPr defaultRowHeight="15" x14ac:dyDescent="0.25"/>
  <cols>
    <col min="1" max="1" width="26.5703125" style="42" customWidth="1"/>
    <col min="2" max="2" width="17.7109375" style="5" hidden="1" customWidth="1"/>
    <col min="3" max="3" width="2.85546875" style="3" hidden="1" customWidth="1"/>
    <col min="4" max="6" width="15.5703125" style="5" hidden="1" customWidth="1"/>
    <col min="7" max="7" width="3" style="3" hidden="1" customWidth="1"/>
    <col min="8" max="8" width="15.5703125" style="5" hidden="1" customWidth="1"/>
    <col min="9" max="9" width="3" style="5" hidden="1" customWidth="1"/>
    <col min="10" max="12" width="15.5703125" style="5" hidden="1" customWidth="1"/>
    <col min="13" max="13" width="3" style="4" hidden="1" customWidth="1"/>
    <col min="14" max="14" width="15.5703125" style="5" hidden="1" customWidth="1"/>
    <col min="15" max="15" width="1.7109375" style="4" customWidth="1"/>
    <col min="16" max="16" width="17.42578125" style="5" hidden="1" customWidth="1"/>
    <col min="17" max="17" width="1.140625" style="5" hidden="1" customWidth="1"/>
    <col min="18" max="19" width="15.28515625" style="5" hidden="1" customWidth="1"/>
    <col min="20" max="20" width="15.5703125" style="5" hidden="1" customWidth="1"/>
    <col min="21" max="21" width="15.28515625" style="5" hidden="1" customWidth="1"/>
    <col min="22" max="22" width="15.140625" style="5" hidden="1" customWidth="1"/>
    <col min="23" max="23" width="14.42578125" style="5" hidden="1" customWidth="1"/>
    <col min="24" max="24" width="1.7109375" style="5" hidden="1" customWidth="1"/>
    <col min="25" max="25" width="16.85546875" style="5" hidden="1" customWidth="1"/>
    <col min="26" max="26" width="17.140625" style="5" hidden="1" customWidth="1"/>
    <col min="27" max="27" width="2.140625" style="5" hidden="1" customWidth="1"/>
    <col min="28" max="28" width="2.7109375" style="5" hidden="1" customWidth="1"/>
    <col min="29" max="29" width="15.5703125" style="5" hidden="1" customWidth="1"/>
    <col min="30" max="30" width="16.42578125" style="5" hidden="1" customWidth="1"/>
    <col min="31" max="31" width="19.85546875" style="5" hidden="1" customWidth="1"/>
    <col min="32" max="32" width="18" style="5" hidden="1" customWidth="1"/>
    <col min="33" max="33" width="2.85546875" style="58" customWidth="1"/>
    <col min="34" max="34" width="15.5703125" style="58" customWidth="1"/>
    <col min="35" max="35" width="1.7109375" style="4" customWidth="1"/>
    <col min="36" max="38" width="15.85546875" style="5" customWidth="1"/>
    <col min="39" max="39" width="13.7109375" style="5" customWidth="1"/>
    <col min="40" max="40" width="2.7109375" style="4" customWidth="1"/>
    <col min="41" max="41" width="15.5703125" style="5" hidden="1" customWidth="1"/>
    <col min="42" max="42" width="1.7109375" style="5" hidden="1" customWidth="1"/>
    <col min="43" max="43" width="15.5703125" style="5" hidden="1" customWidth="1"/>
    <col min="44" max="44" width="1.5703125" style="5" hidden="1" customWidth="1"/>
    <col min="45" max="45" width="15.5703125" style="5" hidden="1" customWidth="1"/>
    <col min="46" max="46" width="1.42578125" style="5" hidden="1" customWidth="1"/>
    <col min="47" max="47" width="15.5703125" style="5" hidden="1" customWidth="1"/>
    <col min="48" max="48" width="1.85546875" style="6" hidden="1" customWidth="1"/>
    <col min="49" max="49" width="15.5703125" style="5" hidden="1" customWidth="1"/>
    <col min="50" max="50" width="1.28515625" style="6" hidden="1" customWidth="1"/>
    <col min="51" max="51" width="15.85546875" style="5" hidden="1" customWidth="1"/>
    <col min="52" max="52" width="1.5703125" style="6" hidden="1" customWidth="1"/>
    <col min="53" max="53" width="15.5703125" style="5" hidden="1" customWidth="1"/>
    <col min="54" max="54" width="1.85546875" style="6" hidden="1" customWidth="1"/>
    <col min="55" max="55" width="15.5703125" style="5" hidden="1" customWidth="1"/>
    <col min="56" max="56" width="1.5703125" style="6" hidden="1" customWidth="1"/>
    <col min="57" max="57" width="15.5703125" style="5" hidden="1" customWidth="1"/>
    <col min="58" max="58" width="9.140625" style="6"/>
    <col min="59" max="59" width="15.140625" style="6" hidden="1" customWidth="1"/>
    <col min="60" max="60" width="0" style="6" hidden="1" customWidth="1"/>
    <col min="61" max="61" width="13.42578125" style="6" hidden="1" customWidth="1"/>
    <col min="62" max="62" width="0" style="6" hidden="1" customWidth="1"/>
    <col min="63" max="64" width="13.42578125" style="6" hidden="1" customWidth="1"/>
    <col min="65" max="65" width="0" style="6" hidden="1" customWidth="1"/>
    <col min="66" max="66" width="13.42578125" style="6" hidden="1" customWidth="1"/>
    <col min="67" max="67" width="0" style="6" hidden="1" customWidth="1"/>
    <col min="68" max="68" width="13.42578125" style="6" hidden="1" customWidth="1"/>
    <col min="69" max="69" width="0" style="6" hidden="1" customWidth="1"/>
    <col min="70" max="70" width="13.42578125" style="6" hidden="1" customWidth="1"/>
    <col min="71" max="71" width="0" style="6" hidden="1" customWidth="1"/>
    <col min="72" max="72" width="13.42578125" style="6" hidden="1" customWidth="1"/>
    <col min="73" max="261" width="9.140625" style="6"/>
    <col min="262" max="262" width="26.5703125" style="6" customWidth="1"/>
    <col min="263" max="275" width="0" style="6" hidden="1" customWidth="1"/>
    <col min="276" max="276" width="1.7109375" style="6" customWidth="1"/>
    <col min="277" max="277" width="17.42578125" style="6" customWidth="1"/>
    <col min="278" max="278" width="1.140625" style="6" customWidth="1"/>
    <col min="279" max="291" width="0" style="6" hidden="1" customWidth="1"/>
    <col min="292" max="292" width="19.85546875" style="6" customWidth="1"/>
    <col min="293" max="293" width="0" style="6" hidden="1" customWidth="1"/>
    <col min="294" max="294" width="2.85546875" style="6" customWidth="1"/>
    <col min="295" max="295" width="15.5703125" style="6" customWidth="1"/>
    <col min="296" max="296" width="2" style="6" customWidth="1"/>
    <col min="297" max="297" width="15.5703125" style="6" customWidth="1"/>
    <col min="298" max="298" width="1.7109375" style="6" customWidth="1"/>
    <col min="299" max="299" width="15.5703125" style="6" customWidth="1"/>
    <col min="300" max="300" width="1.5703125" style="6" customWidth="1"/>
    <col min="301" max="301" width="15.5703125" style="6" customWidth="1"/>
    <col min="302" max="302" width="1.42578125" style="6" customWidth="1"/>
    <col min="303" max="303" width="15.5703125" style="6" customWidth="1"/>
    <col min="304" max="304" width="1.85546875" style="6" customWidth="1"/>
    <col min="305" max="305" width="15.5703125" style="6" customWidth="1"/>
    <col min="306" max="306" width="1.28515625" style="6" customWidth="1"/>
    <col min="307" max="307" width="15.85546875" style="6" customWidth="1"/>
    <col min="308" max="308" width="1.5703125" style="6" customWidth="1"/>
    <col min="309" max="309" width="15.5703125" style="6" customWidth="1"/>
    <col min="310" max="310" width="1.85546875" style="6" customWidth="1"/>
    <col min="311" max="311" width="15.5703125" style="6" customWidth="1"/>
    <col min="312" max="312" width="1.5703125" style="6" customWidth="1"/>
    <col min="313" max="313" width="15.5703125" style="6" customWidth="1"/>
    <col min="314" max="314" width="9.140625" style="6"/>
    <col min="315" max="315" width="15.140625" style="6" customWidth="1"/>
    <col min="316" max="517" width="9.140625" style="6"/>
    <col min="518" max="518" width="26.5703125" style="6" customWidth="1"/>
    <col min="519" max="531" width="0" style="6" hidden="1" customWidth="1"/>
    <col min="532" max="532" width="1.7109375" style="6" customWidth="1"/>
    <col min="533" max="533" width="17.42578125" style="6" customWidth="1"/>
    <col min="534" max="534" width="1.140625" style="6" customWidth="1"/>
    <col min="535" max="547" width="0" style="6" hidden="1" customWidth="1"/>
    <col min="548" max="548" width="19.85546875" style="6" customWidth="1"/>
    <col min="549" max="549" width="0" style="6" hidden="1" customWidth="1"/>
    <col min="550" max="550" width="2.85546875" style="6" customWidth="1"/>
    <col min="551" max="551" width="15.5703125" style="6" customWidth="1"/>
    <col min="552" max="552" width="2" style="6" customWidth="1"/>
    <col min="553" max="553" width="15.5703125" style="6" customWidth="1"/>
    <col min="554" max="554" width="1.7109375" style="6" customWidth="1"/>
    <col min="555" max="555" width="15.5703125" style="6" customWidth="1"/>
    <col min="556" max="556" width="1.5703125" style="6" customWidth="1"/>
    <col min="557" max="557" width="15.5703125" style="6" customWidth="1"/>
    <col min="558" max="558" width="1.42578125" style="6" customWidth="1"/>
    <col min="559" max="559" width="15.5703125" style="6" customWidth="1"/>
    <col min="560" max="560" width="1.85546875" style="6" customWidth="1"/>
    <col min="561" max="561" width="15.5703125" style="6" customWidth="1"/>
    <col min="562" max="562" width="1.28515625" style="6" customWidth="1"/>
    <col min="563" max="563" width="15.85546875" style="6" customWidth="1"/>
    <col min="564" max="564" width="1.5703125" style="6" customWidth="1"/>
    <col min="565" max="565" width="15.5703125" style="6" customWidth="1"/>
    <col min="566" max="566" width="1.85546875" style="6" customWidth="1"/>
    <col min="567" max="567" width="15.5703125" style="6" customWidth="1"/>
    <col min="568" max="568" width="1.5703125" style="6" customWidth="1"/>
    <col min="569" max="569" width="15.5703125" style="6" customWidth="1"/>
    <col min="570" max="570" width="9.140625" style="6"/>
    <col min="571" max="571" width="15.140625" style="6" customWidth="1"/>
    <col min="572" max="773" width="9.140625" style="6"/>
    <col min="774" max="774" width="26.5703125" style="6" customWidth="1"/>
    <col min="775" max="787" width="0" style="6" hidden="1" customWidth="1"/>
    <col min="788" max="788" width="1.7109375" style="6" customWidth="1"/>
    <col min="789" max="789" width="17.42578125" style="6" customWidth="1"/>
    <col min="790" max="790" width="1.140625" style="6" customWidth="1"/>
    <col min="791" max="803" width="0" style="6" hidden="1" customWidth="1"/>
    <col min="804" max="804" width="19.85546875" style="6" customWidth="1"/>
    <col min="805" max="805" width="0" style="6" hidden="1" customWidth="1"/>
    <col min="806" max="806" width="2.85546875" style="6" customWidth="1"/>
    <col min="807" max="807" width="15.5703125" style="6" customWidth="1"/>
    <col min="808" max="808" width="2" style="6" customWidth="1"/>
    <col min="809" max="809" width="15.5703125" style="6" customWidth="1"/>
    <col min="810" max="810" width="1.7109375" style="6" customWidth="1"/>
    <col min="811" max="811" width="15.5703125" style="6" customWidth="1"/>
    <col min="812" max="812" width="1.5703125" style="6" customWidth="1"/>
    <col min="813" max="813" width="15.5703125" style="6" customWidth="1"/>
    <col min="814" max="814" width="1.42578125" style="6" customWidth="1"/>
    <col min="815" max="815" width="15.5703125" style="6" customWidth="1"/>
    <col min="816" max="816" width="1.85546875" style="6" customWidth="1"/>
    <col min="817" max="817" width="15.5703125" style="6" customWidth="1"/>
    <col min="818" max="818" width="1.28515625" style="6" customWidth="1"/>
    <col min="819" max="819" width="15.85546875" style="6" customWidth="1"/>
    <col min="820" max="820" width="1.5703125" style="6" customWidth="1"/>
    <col min="821" max="821" width="15.5703125" style="6" customWidth="1"/>
    <col min="822" max="822" width="1.85546875" style="6" customWidth="1"/>
    <col min="823" max="823" width="15.5703125" style="6" customWidth="1"/>
    <col min="824" max="824" width="1.5703125" style="6" customWidth="1"/>
    <col min="825" max="825" width="15.5703125" style="6" customWidth="1"/>
    <col min="826" max="826" width="9.140625" style="6"/>
    <col min="827" max="827" width="15.140625" style="6" customWidth="1"/>
    <col min="828" max="1029" width="9.140625" style="6"/>
    <col min="1030" max="1030" width="26.5703125" style="6" customWidth="1"/>
    <col min="1031" max="1043" width="0" style="6" hidden="1" customWidth="1"/>
    <col min="1044" max="1044" width="1.7109375" style="6" customWidth="1"/>
    <col min="1045" max="1045" width="17.42578125" style="6" customWidth="1"/>
    <col min="1046" max="1046" width="1.140625" style="6" customWidth="1"/>
    <col min="1047" max="1059" width="0" style="6" hidden="1" customWidth="1"/>
    <col min="1060" max="1060" width="19.85546875" style="6" customWidth="1"/>
    <col min="1061" max="1061" width="0" style="6" hidden="1" customWidth="1"/>
    <col min="1062" max="1062" width="2.85546875" style="6" customWidth="1"/>
    <col min="1063" max="1063" width="15.5703125" style="6" customWidth="1"/>
    <col min="1064" max="1064" width="2" style="6" customWidth="1"/>
    <col min="1065" max="1065" width="15.5703125" style="6" customWidth="1"/>
    <col min="1066" max="1066" width="1.7109375" style="6" customWidth="1"/>
    <col min="1067" max="1067" width="15.5703125" style="6" customWidth="1"/>
    <col min="1068" max="1068" width="1.5703125" style="6" customWidth="1"/>
    <col min="1069" max="1069" width="15.5703125" style="6" customWidth="1"/>
    <col min="1070" max="1070" width="1.42578125" style="6" customWidth="1"/>
    <col min="1071" max="1071" width="15.5703125" style="6" customWidth="1"/>
    <col min="1072" max="1072" width="1.85546875" style="6" customWidth="1"/>
    <col min="1073" max="1073" width="15.5703125" style="6" customWidth="1"/>
    <col min="1074" max="1074" width="1.28515625" style="6" customWidth="1"/>
    <col min="1075" max="1075" width="15.85546875" style="6" customWidth="1"/>
    <col min="1076" max="1076" width="1.5703125" style="6" customWidth="1"/>
    <col min="1077" max="1077" width="15.5703125" style="6" customWidth="1"/>
    <col min="1078" max="1078" width="1.85546875" style="6" customWidth="1"/>
    <col min="1079" max="1079" width="15.5703125" style="6" customWidth="1"/>
    <col min="1080" max="1080" width="1.5703125" style="6" customWidth="1"/>
    <col min="1081" max="1081" width="15.5703125" style="6" customWidth="1"/>
    <col min="1082" max="1082" width="9.140625" style="6"/>
    <col min="1083" max="1083" width="15.140625" style="6" customWidth="1"/>
    <col min="1084" max="1285" width="9.140625" style="6"/>
    <col min="1286" max="1286" width="26.5703125" style="6" customWidth="1"/>
    <col min="1287" max="1299" width="0" style="6" hidden="1" customWidth="1"/>
    <col min="1300" max="1300" width="1.7109375" style="6" customWidth="1"/>
    <col min="1301" max="1301" width="17.42578125" style="6" customWidth="1"/>
    <col min="1302" max="1302" width="1.140625" style="6" customWidth="1"/>
    <col min="1303" max="1315" width="0" style="6" hidden="1" customWidth="1"/>
    <col min="1316" max="1316" width="19.85546875" style="6" customWidth="1"/>
    <col min="1317" max="1317" width="0" style="6" hidden="1" customWidth="1"/>
    <col min="1318" max="1318" width="2.85546875" style="6" customWidth="1"/>
    <col min="1319" max="1319" width="15.5703125" style="6" customWidth="1"/>
    <col min="1320" max="1320" width="2" style="6" customWidth="1"/>
    <col min="1321" max="1321" width="15.5703125" style="6" customWidth="1"/>
    <col min="1322" max="1322" width="1.7109375" style="6" customWidth="1"/>
    <col min="1323" max="1323" width="15.5703125" style="6" customWidth="1"/>
    <col min="1324" max="1324" width="1.5703125" style="6" customWidth="1"/>
    <col min="1325" max="1325" width="15.5703125" style="6" customWidth="1"/>
    <col min="1326" max="1326" width="1.42578125" style="6" customWidth="1"/>
    <col min="1327" max="1327" width="15.5703125" style="6" customWidth="1"/>
    <col min="1328" max="1328" width="1.85546875" style="6" customWidth="1"/>
    <col min="1329" max="1329" width="15.5703125" style="6" customWidth="1"/>
    <col min="1330" max="1330" width="1.28515625" style="6" customWidth="1"/>
    <col min="1331" max="1331" width="15.85546875" style="6" customWidth="1"/>
    <col min="1332" max="1332" width="1.5703125" style="6" customWidth="1"/>
    <col min="1333" max="1333" width="15.5703125" style="6" customWidth="1"/>
    <col min="1334" max="1334" width="1.85546875" style="6" customWidth="1"/>
    <col min="1335" max="1335" width="15.5703125" style="6" customWidth="1"/>
    <col min="1336" max="1336" width="1.5703125" style="6" customWidth="1"/>
    <col min="1337" max="1337" width="15.5703125" style="6" customWidth="1"/>
    <col min="1338" max="1338" width="9.140625" style="6"/>
    <col min="1339" max="1339" width="15.140625" style="6" customWidth="1"/>
    <col min="1340" max="1541" width="9.140625" style="6"/>
    <col min="1542" max="1542" width="26.5703125" style="6" customWidth="1"/>
    <col min="1543" max="1555" width="0" style="6" hidden="1" customWidth="1"/>
    <col min="1556" max="1556" width="1.7109375" style="6" customWidth="1"/>
    <col min="1557" max="1557" width="17.42578125" style="6" customWidth="1"/>
    <col min="1558" max="1558" width="1.140625" style="6" customWidth="1"/>
    <col min="1559" max="1571" width="0" style="6" hidden="1" customWidth="1"/>
    <col min="1572" max="1572" width="19.85546875" style="6" customWidth="1"/>
    <col min="1573" max="1573" width="0" style="6" hidden="1" customWidth="1"/>
    <col min="1574" max="1574" width="2.85546875" style="6" customWidth="1"/>
    <col min="1575" max="1575" width="15.5703125" style="6" customWidth="1"/>
    <col min="1576" max="1576" width="2" style="6" customWidth="1"/>
    <col min="1577" max="1577" width="15.5703125" style="6" customWidth="1"/>
    <col min="1578" max="1578" width="1.7109375" style="6" customWidth="1"/>
    <col min="1579" max="1579" width="15.5703125" style="6" customWidth="1"/>
    <col min="1580" max="1580" width="1.5703125" style="6" customWidth="1"/>
    <col min="1581" max="1581" width="15.5703125" style="6" customWidth="1"/>
    <col min="1582" max="1582" width="1.42578125" style="6" customWidth="1"/>
    <col min="1583" max="1583" width="15.5703125" style="6" customWidth="1"/>
    <col min="1584" max="1584" width="1.85546875" style="6" customWidth="1"/>
    <col min="1585" max="1585" width="15.5703125" style="6" customWidth="1"/>
    <col min="1586" max="1586" width="1.28515625" style="6" customWidth="1"/>
    <col min="1587" max="1587" width="15.85546875" style="6" customWidth="1"/>
    <col min="1588" max="1588" width="1.5703125" style="6" customWidth="1"/>
    <col min="1589" max="1589" width="15.5703125" style="6" customWidth="1"/>
    <col min="1590" max="1590" width="1.85546875" style="6" customWidth="1"/>
    <col min="1591" max="1591" width="15.5703125" style="6" customWidth="1"/>
    <col min="1592" max="1592" width="1.5703125" style="6" customWidth="1"/>
    <col min="1593" max="1593" width="15.5703125" style="6" customWidth="1"/>
    <col min="1594" max="1594" width="9.140625" style="6"/>
    <col min="1595" max="1595" width="15.140625" style="6" customWidth="1"/>
    <col min="1596" max="1797" width="9.140625" style="6"/>
    <col min="1798" max="1798" width="26.5703125" style="6" customWidth="1"/>
    <col min="1799" max="1811" width="0" style="6" hidden="1" customWidth="1"/>
    <col min="1812" max="1812" width="1.7109375" style="6" customWidth="1"/>
    <col min="1813" max="1813" width="17.42578125" style="6" customWidth="1"/>
    <col min="1814" max="1814" width="1.140625" style="6" customWidth="1"/>
    <col min="1815" max="1827" width="0" style="6" hidden="1" customWidth="1"/>
    <col min="1828" max="1828" width="19.85546875" style="6" customWidth="1"/>
    <col min="1829" max="1829" width="0" style="6" hidden="1" customWidth="1"/>
    <col min="1830" max="1830" width="2.85546875" style="6" customWidth="1"/>
    <col min="1831" max="1831" width="15.5703125" style="6" customWidth="1"/>
    <col min="1832" max="1832" width="2" style="6" customWidth="1"/>
    <col min="1833" max="1833" width="15.5703125" style="6" customWidth="1"/>
    <col min="1834" max="1834" width="1.7109375" style="6" customWidth="1"/>
    <col min="1835" max="1835" width="15.5703125" style="6" customWidth="1"/>
    <col min="1836" max="1836" width="1.5703125" style="6" customWidth="1"/>
    <col min="1837" max="1837" width="15.5703125" style="6" customWidth="1"/>
    <col min="1838" max="1838" width="1.42578125" style="6" customWidth="1"/>
    <col min="1839" max="1839" width="15.5703125" style="6" customWidth="1"/>
    <col min="1840" max="1840" width="1.85546875" style="6" customWidth="1"/>
    <col min="1841" max="1841" width="15.5703125" style="6" customWidth="1"/>
    <col min="1842" max="1842" width="1.28515625" style="6" customWidth="1"/>
    <col min="1843" max="1843" width="15.85546875" style="6" customWidth="1"/>
    <col min="1844" max="1844" width="1.5703125" style="6" customWidth="1"/>
    <col min="1845" max="1845" width="15.5703125" style="6" customWidth="1"/>
    <col min="1846" max="1846" width="1.85546875" style="6" customWidth="1"/>
    <col min="1847" max="1847" width="15.5703125" style="6" customWidth="1"/>
    <col min="1848" max="1848" width="1.5703125" style="6" customWidth="1"/>
    <col min="1849" max="1849" width="15.5703125" style="6" customWidth="1"/>
    <col min="1850" max="1850" width="9.140625" style="6"/>
    <col min="1851" max="1851" width="15.140625" style="6" customWidth="1"/>
    <col min="1852" max="2053" width="9.140625" style="6"/>
    <col min="2054" max="2054" width="26.5703125" style="6" customWidth="1"/>
    <col min="2055" max="2067" width="0" style="6" hidden="1" customWidth="1"/>
    <col min="2068" max="2068" width="1.7109375" style="6" customWidth="1"/>
    <col min="2069" max="2069" width="17.42578125" style="6" customWidth="1"/>
    <col min="2070" max="2070" width="1.140625" style="6" customWidth="1"/>
    <col min="2071" max="2083" width="0" style="6" hidden="1" customWidth="1"/>
    <col min="2084" max="2084" width="19.85546875" style="6" customWidth="1"/>
    <col min="2085" max="2085" width="0" style="6" hidden="1" customWidth="1"/>
    <col min="2086" max="2086" width="2.85546875" style="6" customWidth="1"/>
    <col min="2087" max="2087" width="15.5703125" style="6" customWidth="1"/>
    <col min="2088" max="2088" width="2" style="6" customWidth="1"/>
    <col min="2089" max="2089" width="15.5703125" style="6" customWidth="1"/>
    <col min="2090" max="2090" width="1.7109375" style="6" customWidth="1"/>
    <col min="2091" max="2091" width="15.5703125" style="6" customWidth="1"/>
    <col min="2092" max="2092" width="1.5703125" style="6" customWidth="1"/>
    <col min="2093" max="2093" width="15.5703125" style="6" customWidth="1"/>
    <col min="2094" max="2094" width="1.42578125" style="6" customWidth="1"/>
    <col min="2095" max="2095" width="15.5703125" style="6" customWidth="1"/>
    <col min="2096" max="2096" width="1.85546875" style="6" customWidth="1"/>
    <col min="2097" max="2097" width="15.5703125" style="6" customWidth="1"/>
    <col min="2098" max="2098" width="1.28515625" style="6" customWidth="1"/>
    <col min="2099" max="2099" width="15.85546875" style="6" customWidth="1"/>
    <col min="2100" max="2100" width="1.5703125" style="6" customWidth="1"/>
    <col min="2101" max="2101" width="15.5703125" style="6" customWidth="1"/>
    <col min="2102" max="2102" width="1.85546875" style="6" customWidth="1"/>
    <col min="2103" max="2103" width="15.5703125" style="6" customWidth="1"/>
    <col min="2104" max="2104" width="1.5703125" style="6" customWidth="1"/>
    <col min="2105" max="2105" width="15.5703125" style="6" customWidth="1"/>
    <col min="2106" max="2106" width="9.140625" style="6"/>
    <col min="2107" max="2107" width="15.140625" style="6" customWidth="1"/>
    <col min="2108" max="2309" width="9.140625" style="6"/>
    <col min="2310" max="2310" width="26.5703125" style="6" customWidth="1"/>
    <col min="2311" max="2323" width="0" style="6" hidden="1" customWidth="1"/>
    <col min="2324" max="2324" width="1.7109375" style="6" customWidth="1"/>
    <col min="2325" max="2325" width="17.42578125" style="6" customWidth="1"/>
    <col min="2326" max="2326" width="1.140625" style="6" customWidth="1"/>
    <col min="2327" max="2339" width="0" style="6" hidden="1" customWidth="1"/>
    <col min="2340" max="2340" width="19.85546875" style="6" customWidth="1"/>
    <col min="2341" max="2341" width="0" style="6" hidden="1" customWidth="1"/>
    <col min="2342" max="2342" width="2.85546875" style="6" customWidth="1"/>
    <col min="2343" max="2343" width="15.5703125" style="6" customWidth="1"/>
    <col min="2344" max="2344" width="2" style="6" customWidth="1"/>
    <col min="2345" max="2345" width="15.5703125" style="6" customWidth="1"/>
    <col min="2346" max="2346" width="1.7109375" style="6" customWidth="1"/>
    <col min="2347" max="2347" width="15.5703125" style="6" customWidth="1"/>
    <col min="2348" max="2348" width="1.5703125" style="6" customWidth="1"/>
    <col min="2349" max="2349" width="15.5703125" style="6" customWidth="1"/>
    <col min="2350" max="2350" width="1.42578125" style="6" customWidth="1"/>
    <col min="2351" max="2351" width="15.5703125" style="6" customWidth="1"/>
    <col min="2352" max="2352" width="1.85546875" style="6" customWidth="1"/>
    <col min="2353" max="2353" width="15.5703125" style="6" customWidth="1"/>
    <col min="2354" max="2354" width="1.28515625" style="6" customWidth="1"/>
    <col min="2355" max="2355" width="15.85546875" style="6" customWidth="1"/>
    <col min="2356" max="2356" width="1.5703125" style="6" customWidth="1"/>
    <col min="2357" max="2357" width="15.5703125" style="6" customWidth="1"/>
    <col min="2358" max="2358" width="1.85546875" style="6" customWidth="1"/>
    <col min="2359" max="2359" width="15.5703125" style="6" customWidth="1"/>
    <col min="2360" max="2360" width="1.5703125" style="6" customWidth="1"/>
    <col min="2361" max="2361" width="15.5703125" style="6" customWidth="1"/>
    <col min="2362" max="2362" width="9.140625" style="6"/>
    <col min="2363" max="2363" width="15.140625" style="6" customWidth="1"/>
    <col min="2364" max="2565" width="9.140625" style="6"/>
    <col min="2566" max="2566" width="26.5703125" style="6" customWidth="1"/>
    <col min="2567" max="2579" width="0" style="6" hidden="1" customWidth="1"/>
    <col min="2580" max="2580" width="1.7109375" style="6" customWidth="1"/>
    <col min="2581" max="2581" width="17.42578125" style="6" customWidth="1"/>
    <col min="2582" max="2582" width="1.140625" style="6" customWidth="1"/>
    <col min="2583" max="2595" width="0" style="6" hidden="1" customWidth="1"/>
    <col min="2596" max="2596" width="19.85546875" style="6" customWidth="1"/>
    <col min="2597" max="2597" width="0" style="6" hidden="1" customWidth="1"/>
    <col min="2598" max="2598" width="2.85546875" style="6" customWidth="1"/>
    <col min="2599" max="2599" width="15.5703125" style="6" customWidth="1"/>
    <col min="2600" max="2600" width="2" style="6" customWidth="1"/>
    <col min="2601" max="2601" width="15.5703125" style="6" customWidth="1"/>
    <col min="2602" max="2602" width="1.7109375" style="6" customWidth="1"/>
    <col min="2603" max="2603" width="15.5703125" style="6" customWidth="1"/>
    <col min="2604" max="2604" width="1.5703125" style="6" customWidth="1"/>
    <col min="2605" max="2605" width="15.5703125" style="6" customWidth="1"/>
    <col min="2606" max="2606" width="1.42578125" style="6" customWidth="1"/>
    <col min="2607" max="2607" width="15.5703125" style="6" customWidth="1"/>
    <col min="2608" max="2608" width="1.85546875" style="6" customWidth="1"/>
    <col min="2609" max="2609" width="15.5703125" style="6" customWidth="1"/>
    <col min="2610" max="2610" width="1.28515625" style="6" customWidth="1"/>
    <col min="2611" max="2611" width="15.85546875" style="6" customWidth="1"/>
    <col min="2612" max="2612" width="1.5703125" style="6" customWidth="1"/>
    <col min="2613" max="2613" width="15.5703125" style="6" customWidth="1"/>
    <col min="2614" max="2614" width="1.85546875" style="6" customWidth="1"/>
    <col min="2615" max="2615" width="15.5703125" style="6" customWidth="1"/>
    <col min="2616" max="2616" width="1.5703125" style="6" customWidth="1"/>
    <col min="2617" max="2617" width="15.5703125" style="6" customWidth="1"/>
    <col min="2618" max="2618" width="9.140625" style="6"/>
    <col min="2619" max="2619" width="15.140625" style="6" customWidth="1"/>
    <col min="2620" max="2821" width="9.140625" style="6"/>
    <col min="2822" max="2822" width="26.5703125" style="6" customWidth="1"/>
    <col min="2823" max="2835" width="0" style="6" hidden="1" customWidth="1"/>
    <col min="2836" max="2836" width="1.7109375" style="6" customWidth="1"/>
    <col min="2837" max="2837" width="17.42578125" style="6" customWidth="1"/>
    <col min="2838" max="2838" width="1.140625" style="6" customWidth="1"/>
    <col min="2839" max="2851" width="0" style="6" hidden="1" customWidth="1"/>
    <col min="2852" max="2852" width="19.85546875" style="6" customWidth="1"/>
    <col min="2853" max="2853" width="0" style="6" hidden="1" customWidth="1"/>
    <col min="2854" max="2854" width="2.85546875" style="6" customWidth="1"/>
    <col min="2855" max="2855" width="15.5703125" style="6" customWidth="1"/>
    <col min="2856" max="2856" width="2" style="6" customWidth="1"/>
    <col min="2857" max="2857" width="15.5703125" style="6" customWidth="1"/>
    <col min="2858" max="2858" width="1.7109375" style="6" customWidth="1"/>
    <col min="2859" max="2859" width="15.5703125" style="6" customWidth="1"/>
    <col min="2860" max="2860" width="1.5703125" style="6" customWidth="1"/>
    <col min="2861" max="2861" width="15.5703125" style="6" customWidth="1"/>
    <col min="2862" max="2862" width="1.42578125" style="6" customWidth="1"/>
    <col min="2863" max="2863" width="15.5703125" style="6" customWidth="1"/>
    <col min="2864" max="2864" width="1.85546875" style="6" customWidth="1"/>
    <col min="2865" max="2865" width="15.5703125" style="6" customWidth="1"/>
    <col min="2866" max="2866" width="1.28515625" style="6" customWidth="1"/>
    <col min="2867" max="2867" width="15.85546875" style="6" customWidth="1"/>
    <col min="2868" max="2868" width="1.5703125" style="6" customWidth="1"/>
    <col min="2869" max="2869" width="15.5703125" style="6" customWidth="1"/>
    <col min="2870" max="2870" width="1.85546875" style="6" customWidth="1"/>
    <col min="2871" max="2871" width="15.5703125" style="6" customWidth="1"/>
    <col min="2872" max="2872" width="1.5703125" style="6" customWidth="1"/>
    <col min="2873" max="2873" width="15.5703125" style="6" customWidth="1"/>
    <col min="2874" max="2874" width="9.140625" style="6"/>
    <col min="2875" max="2875" width="15.140625" style="6" customWidth="1"/>
    <col min="2876" max="3077" width="9.140625" style="6"/>
    <col min="3078" max="3078" width="26.5703125" style="6" customWidth="1"/>
    <col min="3079" max="3091" width="0" style="6" hidden="1" customWidth="1"/>
    <col min="3092" max="3092" width="1.7109375" style="6" customWidth="1"/>
    <col min="3093" max="3093" width="17.42578125" style="6" customWidth="1"/>
    <col min="3094" max="3094" width="1.140625" style="6" customWidth="1"/>
    <col min="3095" max="3107" width="0" style="6" hidden="1" customWidth="1"/>
    <col min="3108" max="3108" width="19.85546875" style="6" customWidth="1"/>
    <col min="3109" max="3109" width="0" style="6" hidden="1" customWidth="1"/>
    <col min="3110" max="3110" width="2.85546875" style="6" customWidth="1"/>
    <col min="3111" max="3111" width="15.5703125" style="6" customWidth="1"/>
    <col min="3112" max="3112" width="2" style="6" customWidth="1"/>
    <col min="3113" max="3113" width="15.5703125" style="6" customWidth="1"/>
    <col min="3114" max="3114" width="1.7109375" style="6" customWidth="1"/>
    <col min="3115" max="3115" width="15.5703125" style="6" customWidth="1"/>
    <col min="3116" max="3116" width="1.5703125" style="6" customWidth="1"/>
    <col min="3117" max="3117" width="15.5703125" style="6" customWidth="1"/>
    <col min="3118" max="3118" width="1.42578125" style="6" customWidth="1"/>
    <col min="3119" max="3119" width="15.5703125" style="6" customWidth="1"/>
    <col min="3120" max="3120" width="1.85546875" style="6" customWidth="1"/>
    <col min="3121" max="3121" width="15.5703125" style="6" customWidth="1"/>
    <col min="3122" max="3122" width="1.28515625" style="6" customWidth="1"/>
    <col min="3123" max="3123" width="15.85546875" style="6" customWidth="1"/>
    <col min="3124" max="3124" width="1.5703125" style="6" customWidth="1"/>
    <col min="3125" max="3125" width="15.5703125" style="6" customWidth="1"/>
    <col min="3126" max="3126" width="1.85546875" style="6" customWidth="1"/>
    <col min="3127" max="3127" width="15.5703125" style="6" customWidth="1"/>
    <col min="3128" max="3128" width="1.5703125" style="6" customWidth="1"/>
    <col min="3129" max="3129" width="15.5703125" style="6" customWidth="1"/>
    <col min="3130" max="3130" width="9.140625" style="6"/>
    <col min="3131" max="3131" width="15.140625" style="6" customWidth="1"/>
    <col min="3132" max="3333" width="9.140625" style="6"/>
    <col min="3334" max="3334" width="26.5703125" style="6" customWidth="1"/>
    <col min="3335" max="3347" width="0" style="6" hidden="1" customWidth="1"/>
    <col min="3348" max="3348" width="1.7109375" style="6" customWidth="1"/>
    <col min="3349" max="3349" width="17.42578125" style="6" customWidth="1"/>
    <col min="3350" max="3350" width="1.140625" style="6" customWidth="1"/>
    <col min="3351" max="3363" width="0" style="6" hidden="1" customWidth="1"/>
    <col min="3364" max="3364" width="19.85546875" style="6" customWidth="1"/>
    <col min="3365" max="3365" width="0" style="6" hidden="1" customWidth="1"/>
    <col min="3366" max="3366" width="2.85546875" style="6" customWidth="1"/>
    <col min="3367" max="3367" width="15.5703125" style="6" customWidth="1"/>
    <col min="3368" max="3368" width="2" style="6" customWidth="1"/>
    <col min="3369" max="3369" width="15.5703125" style="6" customWidth="1"/>
    <col min="3370" max="3370" width="1.7109375" style="6" customWidth="1"/>
    <col min="3371" max="3371" width="15.5703125" style="6" customWidth="1"/>
    <col min="3372" max="3372" width="1.5703125" style="6" customWidth="1"/>
    <col min="3373" max="3373" width="15.5703125" style="6" customWidth="1"/>
    <col min="3374" max="3374" width="1.42578125" style="6" customWidth="1"/>
    <col min="3375" max="3375" width="15.5703125" style="6" customWidth="1"/>
    <col min="3376" max="3376" width="1.85546875" style="6" customWidth="1"/>
    <col min="3377" max="3377" width="15.5703125" style="6" customWidth="1"/>
    <col min="3378" max="3378" width="1.28515625" style="6" customWidth="1"/>
    <col min="3379" max="3379" width="15.85546875" style="6" customWidth="1"/>
    <col min="3380" max="3380" width="1.5703125" style="6" customWidth="1"/>
    <col min="3381" max="3381" width="15.5703125" style="6" customWidth="1"/>
    <col min="3382" max="3382" width="1.85546875" style="6" customWidth="1"/>
    <col min="3383" max="3383" width="15.5703125" style="6" customWidth="1"/>
    <col min="3384" max="3384" width="1.5703125" style="6" customWidth="1"/>
    <col min="3385" max="3385" width="15.5703125" style="6" customWidth="1"/>
    <col min="3386" max="3386" width="9.140625" style="6"/>
    <col min="3387" max="3387" width="15.140625" style="6" customWidth="1"/>
    <col min="3388" max="3589" width="9.140625" style="6"/>
    <col min="3590" max="3590" width="26.5703125" style="6" customWidth="1"/>
    <col min="3591" max="3603" width="0" style="6" hidden="1" customWidth="1"/>
    <col min="3604" max="3604" width="1.7109375" style="6" customWidth="1"/>
    <col min="3605" max="3605" width="17.42578125" style="6" customWidth="1"/>
    <col min="3606" max="3606" width="1.140625" style="6" customWidth="1"/>
    <col min="3607" max="3619" width="0" style="6" hidden="1" customWidth="1"/>
    <col min="3620" max="3620" width="19.85546875" style="6" customWidth="1"/>
    <col min="3621" max="3621" width="0" style="6" hidden="1" customWidth="1"/>
    <col min="3622" max="3622" width="2.85546875" style="6" customWidth="1"/>
    <col min="3623" max="3623" width="15.5703125" style="6" customWidth="1"/>
    <col min="3624" max="3624" width="2" style="6" customWidth="1"/>
    <col min="3625" max="3625" width="15.5703125" style="6" customWidth="1"/>
    <col min="3626" max="3626" width="1.7109375" style="6" customWidth="1"/>
    <col min="3627" max="3627" width="15.5703125" style="6" customWidth="1"/>
    <col min="3628" max="3628" width="1.5703125" style="6" customWidth="1"/>
    <col min="3629" max="3629" width="15.5703125" style="6" customWidth="1"/>
    <col min="3630" max="3630" width="1.42578125" style="6" customWidth="1"/>
    <col min="3631" max="3631" width="15.5703125" style="6" customWidth="1"/>
    <col min="3632" max="3632" width="1.85546875" style="6" customWidth="1"/>
    <col min="3633" max="3633" width="15.5703125" style="6" customWidth="1"/>
    <col min="3634" max="3634" width="1.28515625" style="6" customWidth="1"/>
    <col min="3635" max="3635" width="15.85546875" style="6" customWidth="1"/>
    <col min="3636" max="3636" width="1.5703125" style="6" customWidth="1"/>
    <col min="3637" max="3637" width="15.5703125" style="6" customWidth="1"/>
    <col min="3638" max="3638" width="1.85546875" style="6" customWidth="1"/>
    <col min="3639" max="3639" width="15.5703125" style="6" customWidth="1"/>
    <col min="3640" max="3640" width="1.5703125" style="6" customWidth="1"/>
    <col min="3641" max="3641" width="15.5703125" style="6" customWidth="1"/>
    <col min="3642" max="3642" width="9.140625" style="6"/>
    <col min="3643" max="3643" width="15.140625" style="6" customWidth="1"/>
    <col min="3644" max="3845" width="9.140625" style="6"/>
    <col min="3846" max="3846" width="26.5703125" style="6" customWidth="1"/>
    <col min="3847" max="3859" width="0" style="6" hidden="1" customWidth="1"/>
    <col min="3860" max="3860" width="1.7109375" style="6" customWidth="1"/>
    <col min="3861" max="3861" width="17.42578125" style="6" customWidth="1"/>
    <col min="3862" max="3862" width="1.140625" style="6" customWidth="1"/>
    <col min="3863" max="3875" width="0" style="6" hidden="1" customWidth="1"/>
    <col min="3876" max="3876" width="19.85546875" style="6" customWidth="1"/>
    <col min="3877" max="3877" width="0" style="6" hidden="1" customWidth="1"/>
    <col min="3878" max="3878" width="2.85546875" style="6" customWidth="1"/>
    <col min="3879" max="3879" width="15.5703125" style="6" customWidth="1"/>
    <col min="3880" max="3880" width="2" style="6" customWidth="1"/>
    <col min="3881" max="3881" width="15.5703125" style="6" customWidth="1"/>
    <col min="3882" max="3882" width="1.7109375" style="6" customWidth="1"/>
    <col min="3883" max="3883" width="15.5703125" style="6" customWidth="1"/>
    <col min="3884" max="3884" width="1.5703125" style="6" customWidth="1"/>
    <col min="3885" max="3885" width="15.5703125" style="6" customWidth="1"/>
    <col min="3886" max="3886" width="1.42578125" style="6" customWidth="1"/>
    <col min="3887" max="3887" width="15.5703125" style="6" customWidth="1"/>
    <col min="3888" max="3888" width="1.85546875" style="6" customWidth="1"/>
    <col min="3889" max="3889" width="15.5703125" style="6" customWidth="1"/>
    <col min="3890" max="3890" width="1.28515625" style="6" customWidth="1"/>
    <col min="3891" max="3891" width="15.85546875" style="6" customWidth="1"/>
    <col min="3892" max="3892" width="1.5703125" style="6" customWidth="1"/>
    <col min="3893" max="3893" width="15.5703125" style="6" customWidth="1"/>
    <col min="3894" max="3894" width="1.85546875" style="6" customWidth="1"/>
    <col min="3895" max="3895" width="15.5703125" style="6" customWidth="1"/>
    <col min="3896" max="3896" width="1.5703125" style="6" customWidth="1"/>
    <col min="3897" max="3897" width="15.5703125" style="6" customWidth="1"/>
    <col min="3898" max="3898" width="9.140625" style="6"/>
    <col min="3899" max="3899" width="15.140625" style="6" customWidth="1"/>
    <col min="3900" max="4101" width="9.140625" style="6"/>
    <col min="4102" max="4102" width="26.5703125" style="6" customWidth="1"/>
    <col min="4103" max="4115" width="0" style="6" hidden="1" customWidth="1"/>
    <col min="4116" max="4116" width="1.7109375" style="6" customWidth="1"/>
    <col min="4117" max="4117" width="17.42578125" style="6" customWidth="1"/>
    <col min="4118" max="4118" width="1.140625" style="6" customWidth="1"/>
    <col min="4119" max="4131" width="0" style="6" hidden="1" customWidth="1"/>
    <col min="4132" max="4132" width="19.85546875" style="6" customWidth="1"/>
    <col min="4133" max="4133" width="0" style="6" hidden="1" customWidth="1"/>
    <col min="4134" max="4134" width="2.85546875" style="6" customWidth="1"/>
    <col min="4135" max="4135" width="15.5703125" style="6" customWidth="1"/>
    <col min="4136" max="4136" width="2" style="6" customWidth="1"/>
    <col min="4137" max="4137" width="15.5703125" style="6" customWidth="1"/>
    <col min="4138" max="4138" width="1.7109375" style="6" customWidth="1"/>
    <col min="4139" max="4139" width="15.5703125" style="6" customWidth="1"/>
    <col min="4140" max="4140" width="1.5703125" style="6" customWidth="1"/>
    <col min="4141" max="4141" width="15.5703125" style="6" customWidth="1"/>
    <col min="4142" max="4142" width="1.42578125" style="6" customWidth="1"/>
    <col min="4143" max="4143" width="15.5703125" style="6" customWidth="1"/>
    <col min="4144" max="4144" width="1.85546875" style="6" customWidth="1"/>
    <col min="4145" max="4145" width="15.5703125" style="6" customWidth="1"/>
    <col min="4146" max="4146" width="1.28515625" style="6" customWidth="1"/>
    <col min="4147" max="4147" width="15.85546875" style="6" customWidth="1"/>
    <col min="4148" max="4148" width="1.5703125" style="6" customWidth="1"/>
    <col min="4149" max="4149" width="15.5703125" style="6" customWidth="1"/>
    <col min="4150" max="4150" width="1.85546875" style="6" customWidth="1"/>
    <col min="4151" max="4151" width="15.5703125" style="6" customWidth="1"/>
    <col min="4152" max="4152" width="1.5703125" style="6" customWidth="1"/>
    <col min="4153" max="4153" width="15.5703125" style="6" customWidth="1"/>
    <col min="4154" max="4154" width="9.140625" style="6"/>
    <col min="4155" max="4155" width="15.140625" style="6" customWidth="1"/>
    <col min="4156" max="4357" width="9.140625" style="6"/>
    <col min="4358" max="4358" width="26.5703125" style="6" customWidth="1"/>
    <col min="4359" max="4371" width="0" style="6" hidden="1" customWidth="1"/>
    <col min="4372" max="4372" width="1.7109375" style="6" customWidth="1"/>
    <col min="4373" max="4373" width="17.42578125" style="6" customWidth="1"/>
    <col min="4374" max="4374" width="1.140625" style="6" customWidth="1"/>
    <col min="4375" max="4387" width="0" style="6" hidden="1" customWidth="1"/>
    <col min="4388" max="4388" width="19.85546875" style="6" customWidth="1"/>
    <col min="4389" max="4389" width="0" style="6" hidden="1" customWidth="1"/>
    <col min="4390" max="4390" width="2.85546875" style="6" customWidth="1"/>
    <col min="4391" max="4391" width="15.5703125" style="6" customWidth="1"/>
    <col min="4392" max="4392" width="2" style="6" customWidth="1"/>
    <col min="4393" max="4393" width="15.5703125" style="6" customWidth="1"/>
    <col min="4394" max="4394" width="1.7109375" style="6" customWidth="1"/>
    <col min="4395" max="4395" width="15.5703125" style="6" customWidth="1"/>
    <col min="4396" max="4396" width="1.5703125" style="6" customWidth="1"/>
    <col min="4397" max="4397" width="15.5703125" style="6" customWidth="1"/>
    <col min="4398" max="4398" width="1.42578125" style="6" customWidth="1"/>
    <col min="4399" max="4399" width="15.5703125" style="6" customWidth="1"/>
    <col min="4400" max="4400" width="1.85546875" style="6" customWidth="1"/>
    <col min="4401" max="4401" width="15.5703125" style="6" customWidth="1"/>
    <col min="4402" max="4402" width="1.28515625" style="6" customWidth="1"/>
    <col min="4403" max="4403" width="15.85546875" style="6" customWidth="1"/>
    <col min="4404" max="4404" width="1.5703125" style="6" customWidth="1"/>
    <col min="4405" max="4405" width="15.5703125" style="6" customWidth="1"/>
    <col min="4406" max="4406" width="1.85546875" style="6" customWidth="1"/>
    <col min="4407" max="4407" width="15.5703125" style="6" customWidth="1"/>
    <col min="4408" max="4408" width="1.5703125" style="6" customWidth="1"/>
    <col min="4409" max="4409" width="15.5703125" style="6" customWidth="1"/>
    <col min="4410" max="4410" width="9.140625" style="6"/>
    <col min="4411" max="4411" width="15.140625" style="6" customWidth="1"/>
    <col min="4412" max="4613" width="9.140625" style="6"/>
    <col min="4614" max="4614" width="26.5703125" style="6" customWidth="1"/>
    <col min="4615" max="4627" width="0" style="6" hidden="1" customWidth="1"/>
    <col min="4628" max="4628" width="1.7109375" style="6" customWidth="1"/>
    <col min="4629" max="4629" width="17.42578125" style="6" customWidth="1"/>
    <col min="4630" max="4630" width="1.140625" style="6" customWidth="1"/>
    <col min="4631" max="4643" width="0" style="6" hidden="1" customWidth="1"/>
    <col min="4644" max="4644" width="19.85546875" style="6" customWidth="1"/>
    <col min="4645" max="4645" width="0" style="6" hidden="1" customWidth="1"/>
    <col min="4646" max="4646" width="2.85546875" style="6" customWidth="1"/>
    <col min="4647" max="4647" width="15.5703125" style="6" customWidth="1"/>
    <col min="4648" max="4648" width="2" style="6" customWidth="1"/>
    <col min="4649" max="4649" width="15.5703125" style="6" customWidth="1"/>
    <col min="4650" max="4650" width="1.7109375" style="6" customWidth="1"/>
    <col min="4651" max="4651" width="15.5703125" style="6" customWidth="1"/>
    <col min="4652" max="4652" width="1.5703125" style="6" customWidth="1"/>
    <col min="4653" max="4653" width="15.5703125" style="6" customWidth="1"/>
    <col min="4654" max="4654" width="1.42578125" style="6" customWidth="1"/>
    <col min="4655" max="4655" width="15.5703125" style="6" customWidth="1"/>
    <col min="4656" max="4656" width="1.85546875" style="6" customWidth="1"/>
    <col min="4657" max="4657" width="15.5703125" style="6" customWidth="1"/>
    <col min="4658" max="4658" width="1.28515625" style="6" customWidth="1"/>
    <col min="4659" max="4659" width="15.85546875" style="6" customWidth="1"/>
    <col min="4660" max="4660" width="1.5703125" style="6" customWidth="1"/>
    <col min="4661" max="4661" width="15.5703125" style="6" customWidth="1"/>
    <col min="4662" max="4662" width="1.85546875" style="6" customWidth="1"/>
    <col min="4663" max="4663" width="15.5703125" style="6" customWidth="1"/>
    <col min="4664" max="4664" width="1.5703125" style="6" customWidth="1"/>
    <col min="4665" max="4665" width="15.5703125" style="6" customWidth="1"/>
    <col min="4666" max="4666" width="9.140625" style="6"/>
    <col min="4667" max="4667" width="15.140625" style="6" customWidth="1"/>
    <col min="4668" max="4869" width="9.140625" style="6"/>
    <col min="4870" max="4870" width="26.5703125" style="6" customWidth="1"/>
    <col min="4871" max="4883" width="0" style="6" hidden="1" customWidth="1"/>
    <col min="4884" max="4884" width="1.7109375" style="6" customWidth="1"/>
    <col min="4885" max="4885" width="17.42578125" style="6" customWidth="1"/>
    <col min="4886" max="4886" width="1.140625" style="6" customWidth="1"/>
    <col min="4887" max="4899" width="0" style="6" hidden="1" customWidth="1"/>
    <col min="4900" max="4900" width="19.85546875" style="6" customWidth="1"/>
    <col min="4901" max="4901" width="0" style="6" hidden="1" customWidth="1"/>
    <col min="4902" max="4902" width="2.85546875" style="6" customWidth="1"/>
    <col min="4903" max="4903" width="15.5703125" style="6" customWidth="1"/>
    <col min="4904" max="4904" width="2" style="6" customWidth="1"/>
    <col min="4905" max="4905" width="15.5703125" style="6" customWidth="1"/>
    <col min="4906" max="4906" width="1.7109375" style="6" customWidth="1"/>
    <col min="4907" max="4907" width="15.5703125" style="6" customWidth="1"/>
    <col min="4908" max="4908" width="1.5703125" style="6" customWidth="1"/>
    <col min="4909" max="4909" width="15.5703125" style="6" customWidth="1"/>
    <col min="4910" max="4910" width="1.42578125" style="6" customWidth="1"/>
    <col min="4911" max="4911" width="15.5703125" style="6" customWidth="1"/>
    <col min="4912" max="4912" width="1.85546875" style="6" customWidth="1"/>
    <col min="4913" max="4913" width="15.5703125" style="6" customWidth="1"/>
    <col min="4914" max="4914" width="1.28515625" style="6" customWidth="1"/>
    <col min="4915" max="4915" width="15.85546875" style="6" customWidth="1"/>
    <col min="4916" max="4916" width="1.5703125" style="6" customWidth="1"/>
    <col min="4917" max="4917" width="15.5703125" style="6" customWidth="1"/>
    <col min="4918" max="4918" width="1.85546875" style="6" customWidth="1"/>
    <col min="4919" max="4919" width="15.5703125" style="6" customWidth="1"/>
    <col min="4920" max="4920" width="1.5703125" style="6" customWidth="1"/>
    <col min="4921" max="4921" width="15.5703125" style="6" customWidth="1"/>
    <col min="4922" max="4922" width="9.140625" style="6"/>
    <col min="4923" max="4923" width="15.140625" style="6" customWidth="1"/>
    <col min="4924" max="5125" width="9.140625" style="6"/>
    <col min="5126" max="5126" width="26.5703125" style="6" customWidth="1"/>
    <col min="5127" max="5139" width="0" style="6" hidden="1" customWidth="1"/>
    <col min="5140" max="5140" width="1.7109375" style="6" customWidth="1"/>
    <col min="5141" max="5141" width="17.42578125" style="6" customWidth="1"/>
    <col min="5142" max="5142" width="1.140625" style="6" customWidth="1"/>
    <col min="5143" max="5155" width="0" style="6" hidden="1" customWidth="1"/>
    <col min="5156" max="5156" width="19.85546875" style="6" customWidth="1"/>
    <col min="5157" max="5157" width="0" style="6" hidden="1" customWidth="1"/>
    <col min="5158" max="5158" width="2.85546875" style="6" customWidth="1"/>
    <col min="5159" max="5159" width="15.5703125" style="6" customWidth="1"/>
    <col min="5160" max="5160" width="2" style="6" customWidth="1"/>
    <col min="5161" max="5161" width="15.5703125" style="6" customWidth="1"/>
    <col min="5162" max="5162" width="1.7109375" style="6" customWidth="1"/>
    <col min="5163" max="5163" width="15.5703125" style="6" customWidth="1"/>
    <col min="5164" max="5164" width="1.5703125" style="6" customWidth="1"/>
    <col min="5165" max="5165" width="15.5703125" style="6" customWidth="1"/>
    <col min="5166" max="5166" width="1.42578125" style="6" customWidth="1"/>
    <col min="5167" max="5167" width="15.5703125" style="6" customWidth="1"/>
    <col min="5168" max="5168" width="1.85546875" style="6" customWidth="1"/>
    <col min="5169" max="5169" width="15.5703125" style="6" customWidth="1"/>
    <col min="5170" max="5170" width="1.28515625" style="6" customWidth="1"/>
    <col min="5171" max="5171" width="15.85546875" style="6" customWidth="1"/>
    <col min="5172" max="5172" width="1.5703125" style="6" customWidth="1"/>
    <col min="5173" max="5173" width="15.5703125" style="6" customWidth="1"/>
    <col min="5174" max="5174" width="1.85546875" style="6" customWidth="1"/>
    <col min="5175" max="5175" width="15.5703125" style="6" customWidth="1"/>
    <col min="5176" max="5176" width="1.5703125" style="6" customWidth="1"/>
    <col min="5177" max="5177" width="15.5703125" style="6" customWidth="1"/>
    <col min="5178" max="5178" width="9.140625" style="6"/>
    <col min="5179" max="5179" width="15.140625" style="6" customWidth="1"/>
    <col min="5180" max="5381" width="9.140625" style="6"/>
    <col min="5382" max="5382" width="26.5703125" style="6" customWidth="1"/>
    <col min="5383" max="5395" width="0" style="6" hidden="1" customWidth="1"/>
    <col min="5396" max="5396" width="1.7109375" style="6" customWidth="1"/>
    <col min="5397" max="5397" width="17.42578125" style="6" customWidth="1"/>
    <col min="5398" max="5398" width="1.140625" style="6" customWidth="1"/>
    <col min="5399" max="5411" width="0" style="6" hidden="1" customWidth="1"/>
    <col min="5412" max="5412" width="19.85546875" style="6" customWidth="1"/>
    <col min="5413" max="5413" width="0" style="6" hidden="1" customWidth="1"/>
    <col min="5414" max="5414" width="2.85546875" style="6" customWidth="1"/>
    <col min="5415" max="5415" width="15.5703125" style="6" customWidth="1"/>
    <col min="5416" max="5416" width="2" style="6" customWidth="1"/>
    <col min="5417" max="5417" width="15.5703125" style="6" customWidth="1"/>
    <col min="5418" max="5418" width="1.7109375" style="6" customWidth="1"/>
    <col min="5419" max="5419" width="15.5703125" style="6" customWidth="1"/>
    <col min="5420" max="5420" width="1.5703125" style="6" customWidth="1"/>
    <col min="5421" max="5421" width="15.5703125" style="6" customWidth="1"/>
    <col min="5422" max="5422" width="1.42578125" style="6" customWidth="1"/>
    <col min="5423" max="5423" width="15.5703125" style="6" customWidth="1"/>
    <col min="5424" max="5424" width="1.85546875" style="6" customWidth="1"/>
    <col min="5425" max="5425" width="15.5703125" style="6" customWidth="1"/>
    <col min="5426" max="5426" width="1.28515625" style="6" customWidth="1"/>
    <col min="5427" max="5427" width="15.85546875" style="6" customWidth="1"/>
    <col min="5428" max="5428" width="1.5703125" style="6" customWidth="1"/>
    <col min="5429" max="5429" width="15.5703125" style="6" customWidth="1"/>
    <col min="5430" max="5430" width="1.85546875" style="6" customWidth="1"/>
    <col min="5431" max="5431" width="15.5703125" style="6" customWidth="1"/>
    <col min="5432" max="5432" width="1.5703125" style="6" customWidth="1"/>
    <col min="5433" max="5433" width="15.5703125" style="6" customWidth="1"/>
    <col min="5434" max="5434" width="9.140625" style="6"/>
    <col min="5435" max="5435" width="15.140625" style="6" customWidth="1"/>
    <col min="5436" max="5637" width="9.140625" style="6"/>
    <col min="5638" max="5638" width="26.5703125" style="6" customWidth="1"/>
    <col min="5639" max="5651" width="0" style="6" hidden="1" customWidth="1"/>
    <col min="5652" max="5652" width="1.7109375" style="6" customWidth="1"/>
    <col min="5653" max="5653" width="17.42578125" style="6" customWidth="1"/>
    <col min="5654" max="5654" width="1.140625" style="6" customWidth="1"/>
    <col min="5655" max="5667" width="0" style="6" hidden="1" customWidth="1"/>
    <col min="5668" max="5668" width="19.85546875" style="6" customWidth="1"/>
    <col min="5669" max="5669" width="0" style="6" hidden="1" customWidth="1"/>
    <col min="5670" max="5670" width="2.85546875" style="6" customWidth="1"/>
    <col min="5671" max="5671" width="15.5703125" style="6" customWidth="1"/>
    <col min="5672" max="5672" width="2" style="6" customWidth="1"/>
    <col min="5673" max="5673" width="15.5703125" style="6" customWidth="1"/>
    <col min="5674" max="5674" width="1.7109375" style="6" customWidth="1"/>
    <col min="5675" max="5675" width="15.5703125" style="6" customWidth="1"/>
    <col min="5676" max="5676" width="1.5703125" style="6" customWidth="1"/>
    <col min="5677" max="5677" width="15.5703125" style="6" customWidth="1"/>
    <col min="5678" max="5678" width="1.42578125" style="6" customWidth="1"/>
    <col min="5679" max="5679" width="15.5703125" style="6" customWidth="1"/>
    <col min="5680" max="5680" width="1.85546875" style="6" customWidth="1"/>
    <col min="5681" max="5681" width="15.5703125" style="6" customWidth="1"/>
    <col min="5682" max="5682" width="1.28515625" style="6" customWidth="1"/>
    <col min="5683" max="5683" width="15.85546875" style="6" customWidth="1"/>
    <col min="5684" max="5684" width="1.5703125" style="6" customWidth="1"/>
    <col min="5685" max="5685" width="15.5703125" style="6" customWidth="1"/>
    <col min="5686" max="5686" width="1.85546875" style="6" customWidth="1"/>
    <col min="5687" max="5687" width="15.5703125" style="6" customWidth="1"/>
    <col min="5688" max="5688" width="1.5703125" style="6" customWidth="1"/>
    <col min="5689" max="5689" width="15.5703125" style="6" customWidth="1"/>
    <col min="5690" max="5690" width="9.140625" style="6"/>
    <col min="5691" max="5691" width="15.140625" style="6" customWidth="1"/>
    <col min="5692" max="5893" width="9.140625" style="6"/>
    <col min="5894" max="5894" width="26.5703125" style="6" customWidth="1"/>
    <col min="5895" max="5907" width="0" style="6" hidden="1" customWidth="1"/>
    <col min="5908" max="5908" width="1.7109375" style="6" customWidth="1"/>
    <col min="5909" max="5909" width="17.42578125" style="6" customWidth="1"/>
    <col min="5910" max="5910" width="1.140625" style="6" customWidth="1"/>
    <col min="5911" max="5923" width="0" style="6" hidden="1" customWidth="1"/>
    <col min="5924" max="5924" width="19.85546875" style="6" customWidth="1"/>
    <col min="5925" max="5925" width="0" style="6" hidden="1" customWidth="1"/>
    <col min="5926" max="5926" width="2.85546875" style="6" customWidth="1"/>
    <col min="5927" max="5927" width="15.5703125" style="6" customWidth="1"/>
    <col min="5928" max="5928" width="2" style="6" customWidth="1"/>
    <col min="5929" max="5929" width="15.5703125" style="6" customWidth="1"/>
    <col min="5930" max="5930" width="1.7109375" style="6" customWidth="1"/>
    <col min="5931" max="5931" width="15.5703125" style="6" customWidth="1"/>
    <col min="5932" max="5932" width="1.5703125" style="6" customWidth="1"/>
    <col min="5933" max="5933" width="15.5703125" style="6" customWidth="1"/>
    <col min="5934" max="5934" width="1.42578125" style="6" customWidth="1"/>
    <col min="5935" max="5935" width="15.5703125" style="6" customWidth="1"/>
    <col min="5936" max="5936" width="1.85546875" style="6" customWidth="1"/>
    <col min="5937" max="5937" width="15.5703125" style="6" customWidth="1"/>
    <col min="5938" max="5938" width="1.28515625" style="6" customWidth="1"/>
    <col min="5939" max="5939" width="15.85546875" style="6" customWidth="1"/>
    <col min="5940" max="5940" width="1.5703125" style="6" customWidth="1"/>
    <col min="5941" max="5941" width="15.5703125" style="6" customWidth="1"/>
    <col min="5942" max="5942" width="1.85546875" style="6" customWidth="1"/>
    <col min="5943" max="5943" width="15.5703125" style="6" customWidth="1"/>
    <col min="5944" max="5944" width="1.5703125" style="6" customWidth="1"/>
    <col min="5945" max="5945" width="15.5703125" style="6" customWidth="1"/>
    <col min="5946" max="5946" width="9.140625" style="6"/>
    <col min="5947" max="5947" width="15.140625" style="6" customWidth="1"/>
    <col min="5948" max="6149" width="9.140625" style="6"/>
    <col min="6150" max="6150" width="26.5703125" style="6" customWidth="1"/>
    <col min="6151" max="6163" width="0" style="6" hidden="1" customWidth="1"/>
    <col min="6164" max="6164" width="1.7109375" style="6" customWidth="1"/>
    <col min="6165" max="6165" width="17.42578125" style="6" customWidth="1"/>
    <col min="6166" max="6166" width="1.140625" style="6" customWidth="1"/>
    <col min="6167" max="6179" width="0" style="6" hidden="1" customWidth="1"/>
    <col min="6180" max="6180" width="19.85546875" style="6" customWidth="1"/>
    <col min="6181" max="6181" width="0" style="6" hidden="1" customWidth="1"/>
    <col min="6182" max="6182" width="2.85546875" style="6" customWidth="1"/>
    <col min="6183" max="6183" width="15.5703125" style="6" customWidth="1"/>
    <col min="6184" max="6184" width="2" style="6" customWidth="1"/>
    <col min="6185" max="6185" width="15.5703125" style="6" customWidth="1"/>
    <col min="6186" max="6186" width="1.7109375" style="6" customWidth="1"/>
    <col min="6187" max="6187" width="15.5703125" style="6" customWidth="1"/>
    <col min="6188" max="6188" width="1.5703125" style="6" customWidth="1"/>
    <col min="6189" max="6189" width="15.5703125" style="6" customWidth="1"/>
    <col min="6190" max="6190" width="1.42578125" style="6" customWidth="1"/>
    <col min="6191" max="6191" width="15.5703125" style="6" customWidth="1"/>
    <col min="6192" max="6192" width="1.85546875" style="6" customWidth="1"/>
    <col min="6193" max="6193" width="15.5703125" style="6" customWidth="1"/>
    <col min="6194" max="6194" width="1.28515625" style="6" customWidth="1"/>
    <col min="6195" max="6195" width="15.85546875" style="6" customWidth="1"/>
    <col min="6196" max="6196" width="1.5703125" style="6" customWidth="1"/>
    <col min="6197" max="6197" width="15.5703125" style="6" customWidth="1"/>
    <col min="6198" max="6198" width="1.85546875" style="6" customWidth="1"/>
    <col min="6199" max="6199" width="15.5703125" style="6" customWidth="1"/>
    <col min="6200" max="6200" width="1.5703125" style="6" customWidth="1"/>
    <col min="6201" max="6201" width="15.5703125" style="6" customWidth="1"/>
    <col min="6202" max="6202" width="9.140625" style="6"/>
    <col min="6203" max="6203" width="15.140625" style="6" customWidth="1"/>
    <col min="6204" max="6405" width="9.140625" style="6"/>
    <col min="6406" max="6406" width="26.5703125" style="6" customWidth="1"/>
    <col min="6407" max="6419" width="0" style="6" hidden="1" customWidth="1"/>
    <col min="6420" max="6420" width="1.7109375" style="6" customWidth="1"/>
    <col min="6421" max="6421" width="17.42578125" style="6" customWidth="1"/>
    <col min="6422" max="6422" width="1.140625" style="6" customWidth="1"/>
    <col min="6423" max="6435" width="0" style="6" hidden="1" customWidth="1"/>
    <col min="6436" max="6436" width="19.85546875" style="6" customWidth="1"/>
    <col min="6437" max="6437" width="0" style="6" hidden="1" customWidth="1"/>
    <col min="6438" max="6438" width="2.85546875" style="6" customWidth="1"/>
    <col min="6439" max="6439" width="15.5703125" style="6" customWidth="1"/>
    <col min="6440" max="6440" width="2" style="6" customWidth="1"/>
    <col min="6441" max="6441" width="15.5703125" style="6" customWidth="1"/>
    <col min="6442" max="6442" width="1.7109375" style="6" customWidth="1"/>
    <col min="6443" max="6443" width="15.5703125" style="6" customWidth="1"/>
    <col min="6444" max="6444" width="1.5703125" style="6" customWidth="1"/>
    <col min="6445" max="6445" width="15.5703125" style="6" customWidth="1"/>
    <col min="6446" max="6446" width="1.42578125" style="6" customWidth="1"/>
    <col min="6447" max="6447" width="15.5703125" style="6" customWidth="1"/>
    <col min="6448" max="6448" width="1.85546875" style="6" customWidth="1"/>
    <col min="6449" max="6449" width="15.5703125" style="6" customWidth="1"/>
    <col min="6450" max="6450" width="1.28515625" style="6" customWidth="1"/>
    <col min="6451" max="6451" width="15.85546875" style="6" customWidth="1"/>
    <col min="6452" max="6452" width="1.5703125" style="6" customWidth="1"/>
    <col min="6453" max="6453" width="15.5703125" style="6" customWidth="1"/>
    <col min="6454" max="6454" width="1.85546875" style="6" customWidth="1"/>
    <col min="6455" max="6455" width="15.5703125" style="6" customWidth="1"/>
    <col min="6456" max="6456" width="1.5703125" style="6" customWidth="1"/>
    <col min="6457" max="6457" width="15.5703125" style="6" customWidth="1"/>
    <col min="6458" max="6458" width="9.140625" style="6"/>
    <col min="6459" max="6459" width="15.140625" style="6" customWidth="1"/>
    <col min="6460" max="6661" width="9.140625" style="6"/>
    <col min="6662" max="6662" width="26.5703125" style="6" customWidth="1"/>
    <col min="6663" max="6675" width="0" style="6" hidden="1" customWidth="1"/>
    <col min="6676" max="6676" width="1.7109375" style="6" customWidth="1"/>
    <col min="6677" max="6677" width="17.42578125" style="6" customWidth="1"/>
    <col min="6678" max="6678" width="1.140625" style="6" customWidth="1"/>
    <col min="6679" max="6691" width="0" style="6" hidden="1" customWidth="1"/>
    <col min="6692" max="6692" width="19.85546875" style="6" customWidth="1"/>
    <col min="6693" max="6693" width="0" style="6" hidden="1" customWidth="1"/>
    <col min="6694" max="6694" width="2.85546875" style="6" customWidth="1"/>
    <col min="6695" max="6695" width="15.5703125" style="6" customWidth="1"/>
    <col min="6696" max="6696" width="2" style="6" customWidth="1"/>
    <col min="6697" max="6697" width="15.5703125" style="6" customWidth="1"/>
    <col min="6698" max="6698" width="1.7109375" style="6" customWidth="1"/>
    <col min="6699" max="6699" width="15.5703125" style="6" customWidth="1"/>
    <col min="6700" max="6700" width="1.5703125" style="6" customWidth="1"/>
    <col min="6701" max="6701" width="15.5703125" style="6" customWidth="1"/>
    <col min="6702" max="6702" width="1.42578125" style="6" customWidth="1"/>
    <col min="6703" max="6703" width="15.5703125" style="6" customWidth="1"/>
    <col min="6704" max="6704" width="1.85546875" style="6" customWidth="1"/>
    <col min="6705" max="6705" width="15.5703125" style="6" customWidth="1"/>
    <col min="6706" max="6706" width="1.28515625" style="6" customWidth="1"/>
    <col min="6707" max="6707" width="15.85546875" style="6" customWidth="1"/>
    <col min="6708" max="6708" width="1.5703125" style="6" customWidth="1"/>
    <col min="6709" max="6709" width="15.5703125" style="6" customWidth="1"/>
    <col min="6710" max="6710" width="1.85546875" style="6" customWidth="1"/>
    <col min="6711" max="6711" width="15.5703125" style="6" customWidth="1"/>
    <col min="6712" max="6712" width="1.5703125" style="6" customWidth="1"/>
    <col min="6713" max="6713" width="15.5703125" style="6" customWidth="1"/>
    <col min="6714" max="6714" width="9.140625" style="6"/>
    <col min="6715" max="6715" width="15.140625" style="6" customWidth="1"/>
    <col min="6716" max="6917" width="9.140625" style="6"/>
    <col min="6918" max="6918" width="26.5703125" style="6" customWidth="1"/>
    <col min="6919" max="6931" width="0" style="6" hidden="1" customWidth="1"/>
    <col min="6932" max="6932" width="1.7109375" style="6" customWidth="1"/>
    <col min="6933" max="6933" width="17.42578125" style="6" customWidth="1"/>
    <col min="6934" max="6934" width="1.140625" style="6" customWidth="1"/>
    <col min="6935" max="6947" width="0" style="6" hidden="1" customWidth="1"/>
    <col min="6948" max="6948" width="19.85546875" style="6" customWidth="1"/>
    <col min="6949" max="6949" width="0" style="6" hidden="1" customWidth="1"/>
    <col min="6950" max="6950" width="2.85546875" style="6" customWidth="1"/>
    <col min="6951" max="6951" width="15.5703125" style="6" customWidth="1"/>
    <col min="6952" max="6952" width="2" style="6" customWidth="1"/>
    <col min="6953" max="6953" width="15.5703125" style="6" customWidth="1"/>
    <col min="6954" max="6954" width="1.7109375" style="6" customWidth="1"/>
    <col min="6955" max="6955" width="15.5703125" style="6" customWidth="1"/>
    <col min="6956" max="6956" width="1.5703125" style="6" customWidth="1"/>
    <col min="6957" max="6957" width="15.5703125" style="6" customWidth="1"/>
    <col min="6958" max="6958" width="1.42578125" style="6" customWidth="1"/>
    <col min="6959" max="6959" width="15.5703125" style="6" customWidth="1"/>
    <col min="6960" max="6960" width="1.85546875" style="6" customWidth="1"/>
    <col min="6961" max="6961" width="15.5703125" style="6" customWidth="1"/>
    <col min="6962" max="6962" width="1.28515625" style="6" customWidth="1"/>
    <col min="6963" max="6963" width="15.85546875" style="6" customWidth="1"/>
    <col min="6964" max="6964" width="1.5703125" style="6" customWidth="1"/>
    <col min="6965" max="6965" width="15.5703125" style="6" customWidth="1"/>
    <col min="6966" max="6966" width="1.85546875" style="6" customWidth="1"/>
    <col min="6967" max="6967" width="15.5703125" style="6" customWidth="1"/>
    <col min="6968" max="6968" width="1.5703125" style="6" customWidth="1"/>
    <col min="6969" max="6969" width="15.5703125" style="6" customWidth="1"/>
    <col min="6970" max="6970" width="9.140625" style="6"/>
    <col min="6971" max="6971" width="15.140625" style="6" customWidth="1"/>
    <col min="6972" max="7173" width="9.140625" style="6"/>
    <col min="7174" max="7174" width="26.5703125" style="6" customWidth="1"/>
    <col min="7175" max="7187" width="0" style="6" hidden="1" customWidth="1"/>
    <col min="7188" max="7188" width="1.7109375" style="6" customWidth="1"/>
    <col min="7189" max="7189" width="17.42578125" style="6" customWidth="1"/>
    <col min="7190" max="7190" width="1.140625" style="6" customWidth="1"/>
    <col min="7191" max="7203" width="0" style="6" hidden="1" customWidth="1"/>
    <col min="7204" max="7204" width="19.85546875" style="6" customWidth="1"/>
    <col min="7205" max="7205" width="0" style="6" hidden="1" customWidth="1"/>
    <col min="7206" max="7206" width="2.85546875" style="6" customWidth="1"/>
    <col min="7207" max="7207" width="15.5703125" style="6" customWidth="1"/>
    <col min="7208" max="7208" width="2" style="6" customWidth="1"/>
    <col min="7209" max="7209" width="15.5703125" style="6" customWidth="1"/>
    <col min="7210" max="7210" width="1.7109375" style="6" customWidth="1"/>
    <col min="7211" max="7211" width="15.5703125" style="6" customWidth="1"/>
    <col min="7212" max="7212" width="1.5703125" style="6" customWidth="1"/>
    <col min="7213" max="7213" width="15.5703125" style="6" customWidth="1"/>
    <col min="7214" max="7214" width="1.42578125" style="6" customWidth="1"/>
    <col min="7215" max="7215" width="15.5703125" style="6" customWidth="1"/>
    <col min="7216" max="7216" width="1.85546875" style="6" customWidth="1"/>
    <col min="7217" max="7217" width="15.5703125" style="6" customWidth="1"/>
    <col min="7218" max="7218" width="1.28515625" style="6" customWidth="1"/>
    <col min="7219" max="7219" width="15.85546875" style="6" customWidth="1"/>
    <col min="7220" max="7220" width="1.5703125" style="6" customWidth="1"/>
    <col min="7221" max="7221" width="15.5703125" style="6" customWidth="1"/>
    <col min="7222" max="7222" width="1.85546875" style="6" customWidth="1"/>
    <col min="7223" max="7223" width="15.5703125" style="6" customWidth="1"/>
    <col min="7224" max="7224" width="1.5703125" style="6" customWidth="1"/>
    <col min="7225" max="7225" width="15.5703125" style="6" customWidth="1"/>
    <col min="7226" max="7226" width="9.140625" style="6"/>
    <col min="7227" max="7227" width="15.140625" style="6" customWidth="1"/>
    <col min="7228" max="7429" width="9.140625" style="6"/>
    <col min="7430" max="7430" width="26.5703125" style="6" customWidth="1"/>
    <col min="7431" max="7443" width="0" style="6" hidden="1" customWidth="1"/>
    <col min="7444" max="7444" width="1.7109375" style="6" customWidth="1"/>
    <col min="7445" max="7445" width="17.42578125" style="6" customWidth="1"/>
    <col min="7446" max="7446" width="1.140625" style="6" customWidth="1"/>
    <col min="7447" max="7459" width="0" style="6" hidden="1" customWidth="1"/>
    <col min="7460" max="7460" width="19.85546875" style="6" customWidth="1"/>
    <col min="7461" max="7461" width="0" style="6" hidden="1" customWidth="1"/>
    <col min="7462" max="7462" width="2.85546875" style="6" customWidth="1"/>
    <col min="7463" max="7463" width="15.5703125" style="6" customWidth="1"/>
    <col min="7464" max="7464" width="2" style="6" customWidth="1"/>
    <col min="7465" max="7465" width="15.5703125" style="6" customWidth="1"/>
    <col min="7466" max="7466" width="1.7109375" style="6" customWidth="1"/>
    <col min="7467" max="7467" width="15.5703125" style="6" customWidth="1"/>
    <col min="7468" max="7468" width="1.5703125" style="6" customWidth="1"/>
    <col min="7469" max="7469" width="15.5703125" style="6" customWidth="1"/>
    <col min="7470" max="7470" width="1.42578125" style="6" customWidth="1"/>
    <col min="7471" max="7471" width="15.5703125" style="6" customWidth="1"/>
    <col min="7472" max="7472" width="1.85546875" style="6" customWidth="1"/>
    <col min="7473" max="7473" width="15.5703125" style="6" customWidth="1"/>
    <col min="7474" max="7474" width="1.28515625" style="6" customWidth="1"/>
    <col min="7475" max="7475" width="15.85546875" style="6" customWidth="1"/>
    <col min="7476" max="7476" width="1.5703125" style="6" customWidth="1"/>
    <col min="7477" max="7477" width="15.5703125" style="6" customWidth="1"/>
    <col min="7478" max="7478" width="1.85546875" style="6" customWidth="1"/>
    <col min="7479" max="7479" width="15.5703125" style="6" customWidth="1"/>
    <col min="7480" max="7480" width="1.5703125" style="6" customWidth="1"/>
    <col min="7481" max="7481" width="15.5703125" style="6" customWidth="1"/>
    <col min="7482" max="7482" width="9.140625" style="6"/>
    <col min="7483" max="7483" width="15.140625" style="6" customWidth="1"/>
    <col min="7484" max="7685" width="9.140625" style="6"/>
    <col min="7686" max="7686" width="26.5703125" style="6" customWidth="1"/>
    <col min="7687" max="7699" width="0" style="6" hidden="1" customWidth="1"/>
    <col min="7700" max="7700" width="1.7109375" style="6" customWidth="1"/>
    <col min="7701" max="7701" width="17.42578125" style="6" customWidth="1"/>
    <col min="7702" max="7702" width="1.140625" style="6" customWidth="1"/>
    <col min="7703" max="7715" width="0" style="6" hidden="1" customWidth="1"/>
    <col min="7716" max="7716" width="19.85546875" style="6" customWidth="1"/>
    <col min="7717" max="7717" width="0" style="6" hidden="1" customWidth="1"/>
    <col min="7718" max="7718" width="2.85546875" style="6" customWidth="1"/>
    <col min="7719" max="7719" width="15.5703125" style="6" customWidth="1"/>
    <col min="7720" max="7720" width="2" style="6" customWidth="1"/>
    <col min="7721" max="7721" width="15.5703125" style="6" customWidth="1"/>
    <col min="7722" max="7722" width="1.7109375" style="6" customWidth="1"/>
    <col min="7723" max="7723" width="15.5703125" style="6" customWidth="1"/>
    <col min="7724" max="7724" width="1.5703125" style="6" customWidth="1"/>
    <col min="7725" max="7725" width="15.5703125" style="6" customWidth="1"/>
    <col min="7726" max="7726" width="1.42578125" style="6" customWidth="1"/>
    <col min="7727" max="7727" width="15.5703125" style="6" customWidth="1"/>
    <col min="7728" max="7728" width="1.85546875" style="6" customWidth="1"/>
    <col min="7729" max="7729" width="15.5703125" style="6" customWidth="1"/>
    <col min="7730" max="7730" width="1.28515625" style="6" customWidth="1"/>
    <col min="7731" max="7731" width="15.85546875" style="6" customWidth="1"/>
    <col min="7732" max="7732" width="1.5703125" style="6" customWidth="1"/>
    <col min="7733" max="7733" width="15.5703125" style="6" customWidth="1"/>
    <col min="7734" max="7734" width="1.85546875" style="6" customWidth="1"/>
    <col min="7735" max="7735" width="15.5703125" style="6" customWidth="1"/>
    <col min="7736" max="7736" width="1.5703125" style="6" customWidth="1"/>
    <col min="7737" max="7737" width="15.5703125" style="6" customWidth="1"/>
    <col min="7738" max="7738" width="9.140625" style="6"/>
    <col min="7739" max="7739" width="15.140625" style="6" customWidth="1"/>
    <col min="7740" max="7941" width="9.140625" style="6"/>
    <col min="7942" max="7942" width="26.5703125" style="6" customWidth="1"/>
    <col min="7943" max="7955" width="0" style="6" hidden="1" customWidth="1"/>
    <col min="7956" max="7956" width="1.7109375" style="6" customWidth="1"/>
    <col min="7957" max="7957" width="17.42578125" style="6" customWidth="1"/>
    <col min="7958" max="7958" width="1.140625" style="6" customWidth="1"/>
    <col min="7959" max="7971" width="0" style="6" hidden="1" customWidth="1"/>
    <col min="7972" max="7972" width="19.85546875" style="6" customWidth="1"/>
    <col min="7973" max="7973" width="0" style="6" hidden="1" customWidth="1"/>
    <col min="7974" max="7974" width="2.85546875" style="6" customWidth="1"/>
    <col min="7975" max="7975" width="15.5703125" style="6" customWidth="1"/>
    <col min="7976" max="7976" width="2" style="6" customWidth="1"/>
    <col min="7977" max="7977" width="15.5703125" style="6" customWidth="1"/>
    <col min="7978" max="7978" width="1.7109375" style="6" customWidth="1"/>
    <col min="7979" max="7979" width="15.5703125" style="6" customWidth="1"/>
    <col min="7980" max="7980" width="1.5703125" style="6" customWidth="1"/>
    <col min="7981" max="7981" width="15.5703125" style="6" customWidth="1"/>
    <col min="7982" max="7982" width="1.42578125" style="6" customWidth="1"/>
    <col min="7983" max="7983" width="15.5703125" style="6" customWidth="1"/>
    <col min="7984" max="7984" width="1.85546875" style="6" customWidth="1"/>
    <col min="7985" max="7985" width="15.5703125" style="6" customWidth="1"/>
    <col min="7986" max="7986" width="1.28515625" style="6" customWidth="1"/>
    <col min="7987" max="7987" width="15.85546875" style="6" customWidth="1"/>
    <col min="7988" max="7988" width="1.5703125" style="6" customWidth="1"/>
    <col min="7989" max="7989" width="15.5703125" style="6" customWidth="1"/>
    <col min="7990" max="7990" width="1.85546875" style="6" customWidth="1"/>
    <col min="7991" max="7991" width="15.5703125" style="6" customWidth="1"/>
    <col min="7992" max="7992" width="1.5703125" style="6" customWidth="1"/>
    <col min="7993" max="7993" width="15.5703125" style="6" customWidth="1"/>
    <col min="7994" max="7994" width="9.140625" style="6"/>
    <col min="7995" max="7995" width="15.140625" style="6" customWidth="1"/>
    <col min="7996" max="8197" width="9.140625" style="6"/>
    <col min="8198" max="8198" width="26.5703125" style="6" customWidth="1"/>
    <col min="8199" max="8211" width="0" style="6" hidden="1" customWidth="1"/>
    <col min="8212" max="8212" width="1.7109375" style="6" customWidth="1"/>
    <col min="8213" max="8213" width="17.42578125" style="6" customWidth="1"/>
    <col min="8214" max="8214" width="1.140625" style="6" customWidth="1"/>
    <col min="8215" max="8227" width="0" style="6" hidden="1" customWidth="1"/>
    <col min="8228" max="8228" width="19.85546875" style="6" customWidth="1"/>
    <col min="8229" max="8229" width="0" style="6" hidden="1" customWidth="1"/>
    <col min="8230" max="8230" width="2.85546875" style="6" customWidth="1"/>
    <col min="8231" max="8231" width="15.5703125" style="6" customWidth="1"/>
    <col min="8232" max="8232" width="2" style="6" customWidth="1"/>
    <col min="8233" max="8233" width="15.5703125" style="6" customWidth="1"/>
    <col min="8234" max="8234" width="1.7109375" style="6" customWidth="1"/>
    <col min="8235" max="8235" width="15.5703125" style="6" customWidth="1"/>
    <col min="8236" max="8236" width="1.5703125" style="6" customWidth="1"/>
    <col min="8237" max="8237" width="15.5703125" style="6" customWidth="1"/>
    <col min="8238" max="8238" width="1.42578125" style="6" customWidth="1"/>
    <col min="8239" max="8239" width="15.5703125" style="6" customWidth="1"/>
    <col min="8240" max="8240" width="1.85546875" style="6" customWidth="1"/>
    <col min="8241" max="8241" width="15.5703125" style="6" customWidth="1"/>
    <col min="8242" max="8242" width="1.28515625" style="6" customWidth="1"/>
    <col min="8243" max="8243" width="15.85546875" style="6" customWidth="1"/>
    <col min="8244" max="8244" width="1.5703125" style="6" customWidth="1"/>
    <col min="8245" max="8245" width="15.5703125" style="6" customWidth="1"/>
    <col min="8246" max="8246" width="1.85546875" style="6" customWidth="1"/>
    <col min="8247" max="8247" width="15.5703125" style="6" customWidth="1"/>
    <col min="8248" max="8248" width="1.5703125" style="6" customWidth="1"/>
    <col min="8249" max="8249" width="15.5703125" style="6" customWidth="1"/>
    <col min="8250" max="8250" width="9.140625" style="6"/>
    <col min="8251" max="8251" width="15.140625" style="6" customWidth="1"/>
    <col min="8252" max="8453" width="9.140625" style="6"/>
    <col min="8454" max="8454" width="26.5703125" style="6" customWidth="1"/>
    <col min="8455" max="8467" width="0" style="6" hidden="1" customWidth="1"/>
    <col min="8468" max="8468" width="1.7109375" style="6" customWidth="1"/>
    <col min="8469" max="8469" width="17.42578125" style="6" customWidth="1"/>
    <col min="8470" max="8470" width="1.140625" style="6" customWidth="1"/>
    <col min="8471" max="8483" width="0" style="6" hidden="1" customWidth="1"/>
    <col min="8484" max="8484" width="19.85546875" style="6" customWidth="1"/>
    <col min="8485" max="8485" width="0" style="6" hidden="1" customWidth="1"/>
    <col min="8486" max="8486" width="2.85546875" style="6" customWidth="1"/>
    <col min="8487" max="8487" width="15.5703125" style="6" customWidth="1"/>
    <col min="8488" max="8488" width="2" style="6" customWidth="1"/>
    <col min="8489" max="8489" width="15.5703125" style="6" customWidth="1"/>
    <col min="8490" max="8490" width="1.7109375" style="6" customWidth="1"/>
    <col min="8491" max="8491" width="15.5703125" style="6" customWidth="1"/>
    <col min="8492" max="8492" width="1.5703125" style="6" customWidth="1"/>
    <col min="8493" max="8493" width="15.5703125" style="6" customWidth="1"/>
    <col min="8494" max="8494" width="1.42578125" style="6" customWidth="1"/>
    <col min="8495" max="8495" width="15.5703125" style="6" customWidth="1"/>
    <col min="8496" max="8496" width="1.85546875" style="6" customWidth="1"/>
    <col min="8497" max="8497" width="15.5703125" style="6" customWidth="1"/>
    <col min="8498" max="8498" width="1.28515625" style="6" customWidth="1"/>
    <col min="8499" max="8499" width="15.85546875" style="6" customWidth="1"/>
    <col min="8500" max="8500" width="1.5703125" style="6" customWidth="1"/>
    <col min="8501" max="8501" width="15.5703125" style="6" customWidth="1"/>
    <col min="8502" max="8502" width="1.85546875" style="6" customWidth="1"/>
    <col min="8503" max="8503" width="15.5703125" style="6" customWidth="1"/>
    <col min="8504" max="8504" width="1.5703125" style="6" customWidth="1"/>
    <col min="8505" max="8505" width="15.5703125" style="6" customWidth="1"/>
    <col min="8506" max="8506" width="9.140625" style="6"/>
    <col min="8507" max="8507" width="15.140625" style="6" customWidth="1"/>
    <col min="8508" max="8709" width="9.140625" style="6"/>
    <col min="8710" max="8710" width="26.5703125" style="6" customWidth="1"/>
    <col min="8711" max="8723" width="0" style="6" hidden="1" customWidth="1"/>
    <col min="8724" max="8724" width="1.7109375" style="6" customWidth="1"/>
    <col min="8725" max="8725" width="17.42578125" style="6" customWidth="1"/>
    <col min="8726" max="8726" width="1.140625" style="6" customWidth="1"/>
    <col min="8727" max="8739" width="0" style="6" hidden="1" customWidth="1"/>
    <col min="8740" max="8740" width="19.85546875" style="6" customWidth="1"/>
    <col min="8741" max="8741" width="0" style="6" hidden="1" customWidth="1"/>
    <col min="8742" max="8742" width="2.85546875" style="6" customWidth="1"/>
    <col min="8743" max="8743" width="15.5703125" style="6" customWidth="1"/>
    <col min="8744" max="8744" width="2" style="6" customWidth="1"/>
    <col min="8745" max="8745" width="15.5703125" style="6" customWidth="1"/>
    <col min="8746" max="8746" width="1.7109375" style="6" customWidth="1"/>
    <col min="8747" max="8747" width="15.5703125" style="6" customWidth="1"/>
    <col min="8748" max="8748" width="1.5703125" style="6" customWidth="1"/>
    <col min="8749" max="8749" width="15.5703125" style="6" customWidth="1"/>
    <col min="8750" max="8750" width="1.42578125" style="6" customWidth="1"/>
    <col min="8751" max="8751" width="15.5703125" style="6" customWidth="1"/>
    <col min="8752" max="8752" width="1.85546875" style="6" customWidth="1"/>
    <col min="8753" max="8753" width="15.5703125" style="6" customWidth="1"/>
    <col min="8754" max="8754" width="1.28515625" style="6" customWidth="1"/>
    <col min="8755" max="8755" width="15.85546875" style="6" customWidth="1"/>
    <col min="8756" max="8756" width="1.5703125" style="6" customWidth="1"/>
    <col min="8757" max="8757" width="15.5703125" style="6" customWidth="1"/>
    <col min="8758" max="8758" width="1.85546875" style="6" customWidth="1"/>
    <col min="8759" max="8759" width="15.5703125" style="6" customWidth="1"/>
    <col min="8760" max="8760" width="1.5703125" style="6" customWidth="1"/>
    <col min="8761" max="8761" width="15.5703125" style="6" customWidth="1"/>
    <col min="8762" max="8762" width="9.140625" style="6"/>
    <col min="8763" max="8763" width="15.140625" style="6" customWidth="1"/>
    <col min="8764" max="8965" width="9.140625" style="6"/>
    <col min="8966" max="8966" width="26.5703125" style="6" customWidth="1"/>
    <col min="8967" max="8979" width="0" style="6" hidden="1" customWidth="1"/>
    <col min="8980" max="8980" width="1.7109375" style="6" customWidth="1"/>
    <col min="8981" max="8981" width="17.42578125" style="6" customWidth="1"/>
    <col min="8982" max="8982" width="1.140625" style="6" customWidth="1"/>
    <col min="8983" max="8995" width="0" style="6" hidden="1" customWidth="1"/>
    <col min="8996" max="8996" width="19.85546875" style="6" customWidth="1"/>
    <col min="8997" max="8997" width="0" style="6" hidden="1" customWidth="1"/>
    <col min="8998" max="8998" width="2.85546875" style="6" customWidth="1"/>
    <col min="8999" max="8999" width="15.5703125" style="6" customWidth="1"/>
    <col min="9000" max="9000" width="2" style="6" customWidth="1"/>
    <col min="9001" max="9001" width="15.5703125" style="6" customWidth="1"/>
    <col min="9002" max="9002" width="1.7109375" style="6" customWidth="1"/>
    <col min="9003" max="9003" width="15.5703125" style="6" customWidth="1"/>
    <col min="9004" max="9004" width="1.5703125" style="6" customWidth="1"/>
    <col min="9005" max="9005" width="15.5703125" style="6" customWidth="1"/>
    <col min="9006" max="9006" width="1.42578125" style="6" customWidth="1"/>
    <col min="9007" max="9007" width="15.5703125" style="6" customWidth="1"/>
    <col min="9008" max="9008" width="1.85546875" style="6" customWidth="1"/>
    <col min="9009" max="9009" width="15.5703125" style="6" customWidth="1"/>
    <col min="9010" max="9010" width="1.28515625" style="6" customWidth="1"/>
    <col min="9011" max="9011" width="15.85546875" style="6" customWidth="1"/>
    <col min="9012" max="9012" width="1.5703125" style="6" customWidth="1"/>
    <col min="9013" max="9013" width="15.5703125" style="6" customWidth="1"/>
    <col min="9014" max="9014" width="1.85546875" style="6" customWidth="1"/>
    <col min="9015" max="9015" width="15.5703125" style="6" customWidth="1"/>
    <col min="9016" max="9016" width="1.5703125" style="6" customWidth="1"/>
    <col min="9017" max="9017" width="15.5703125" style="6" customWidth="1"/>
    <col min="9018" max="9018" width="9.140625" style="6"/>
    <col min="9019" max="9019" width="15.140625" style="6" customWidth="1"/>
    <col min="9020" max="9221" width="9.140625" style="6"/>
    <col min="9222" max="9222" width="26.5703125" style="6" customWidth="1"/>
    <col min="9223" max="9235" width="0" style="6" hidden="1" customWidth="1"/>
    <col min="9236" max="9236" width="1.7109375" style="6" customWidth="1"/>
    <col min="9237" max="9237" width="17.42578125" style="6" customWidth="1"/>
    <col min="9238" max="9238" width="1.140625" style="6" customWidth="1"/>
    <col min="9239" max="9251" width="0" style="6" hidden="1" customWidth="1"/>
    <col min="9252" max="9252" width="19.85546875" style="6" customWidth="1"/>
    <col min="9253" max="9253" width="0" style="6" hidden="1" customWidth="1"/>
    <col min="9254" max="9254" width="2.85546875" style="6" customWidth="1"/>
    <col min="9255" max="9255" width="15.5703125" style="6" customWidth="1"/>
    <col min="9256" max="9256" width="2" style="6" customWidth="1"/>
    <col min="9257" max="9257" width="15.5703125" style="6" customWidth="1"/>
    <col min="9258" max="9258" width="1.7109375" style="6" customWidth="1"/>
    <col min="9259" max="9259" width="15.5703125" style="6" customWidth="1"/>
    <col min="9260" max="9260" width="1.5703125" style="6" customWidth="1"/>
    <col min="9261" max="9261" width="15.5703125" style="6" customWidth="1"/>
    <col min="9262" max="9262" width="1.42578125" style="6" customWidth="1"/>
    <col min="9263" max="9263" width="15.5703125" style="6" customWidth="1"/>
    <col min="9264" max="9264" width="1.85546875" style="6" customWidth="1"/>
    <col min="9265" max="9265" width="15.5703125" style="6" customWidth="1"/>
    <col min="9266" max="9266" width="1.28515625" style="6" customWidth="1"/>
    <col min="9267" max="9267" width="15.85546875" style="6" customWidth="1"/>
    <col min="9268" max="9268" width="1.5703125" style="6" customWidth="1"/>
    <col min="9269" max="9269" width="15.5703125" style="6" customWidth="1"/>
    <col min="9270" max="9270" width="1.85546875" style="6" customWidth="1"/>
    <col min="9271" max="9271" width="15.5703125" style="6" customWidth="1"/>
    <col min="9272" max="9272" width="1.5703125" style="6" customWidth="1"/>
    <col min="9273" max="9273" width="15.5703125" style="6" customWidth="1"/>
    <col min="9274" max="9274" width="9.140625" style="6"/>
    <col min="9275" max="9275" width="15.140625" style="6" customWidth="1"/>
    <col min="9276" max="9477" width="9.140625" style="6"/>
    <col min="9478" max="9478" width="26.5703125" style="6" customWidth="1"/>
    <col min="9479" max="9491" width="0" style="6" hidden="1" customWidth="1"/>
    <col min="9492" max="9492" width="1.7109375" style="6" customWidth="1"/>
    <col min="9493" max="9493" width="17.42578125" style="6" customWidth="1"/>
    <col min="9494" max="9494" width="1.140625" style="6" customWidth="1"/>
    <col min="9495" max="9507" width="0" style="6" hidden="1" customWidth="1"/>
    <col min="9508" max="9508" width="19.85546875" style="6" customWidth="1"/>
    <col min="9509" max="9509" width="0" style="6" hidden="1" customWidth="1"/>
    <col min="9510" max="9510" width="2.85546875" style="6" customWidth="1"/>
    <col min="9511" max="9511" width="15.5703125" style="6" customWidth="1"/>
    <col min="9512" max="9512" width="2" style="6" customWidth="1"/>
    <col min="9513" max="9513" width="15.5703125" style="6" customWidth="1"/>
    <col min="9514" max="9514" width="1.7109375" style="6" customWidth="1"/>
    <col min="9515" max="9515" width="15.5703125" style="6" customWidth="1"/>
    <col min="9516" max="9516" width="1.5703125" style="6" customWidth="1"/>
    <col min="9517" max="9517" width="15.5703125" style="6" customWidth="1"/>
    <col min="9518" max="9518" width="1.42578125" style="6" customWidth="1"/>
    <col min="9519" max="9519" width="15.5703125" style="6" customWidth="1"/>
    <col min="9520" max="9520" width="1.85546875" style="6" customWidth="1"/>
    <col min="9521" max="9521" width="15.5703125" style="6" customWidth="1"/>
    <col min="9522" max="9522" width="1.28515625" style="6" customWidth="1"/>
    <col min="9523" max="9523" width="15.85546875" style="6" customWidth="1"/>
    <col min="9524" max="9524" width="1.5703125" style="6" customWidth="1"/>
    <col min="9525" max="9525" width="15.5703125" style="6" customWidth="1"/>
    <col min="9526" max="9526" width="1.85546875" style="6" customWidth="1"/>
    <col min="9527" max="9527" width="15.5703125" style="6" customWidth="1"/>
    <col min="9528" max="9528" width="1.5703125" style="6" customWidth="1"/>
    <col min="9529" max="9529" width="15.5703125" style="6" customWidth="1"/>
    <col min="9530" max="9530" width="9.140625" style="6"/>
    <col min="9531" max="9531" width="15.140625" style="6" customWidth="1"/>
    <col min="9532" max="9733" width="9.140625" style="6"/>
    <col min="9734" max="9734" width="26.5703125" style="6" customWidth="1"/>
    <col min="9735" max="9747" width="0" style="6" hidden="1" customWidth="1"/>
    <col min="9748" max="9748" width="1.7109375" style="6" customWidth="1"/>
    <col min="9749" max="9749" width="17.42578125" style="6" customWidth="1"/>
    <col min="9750" max="9750" width="1.140625" style="6" customWidth="1"/>
    <col min="9751" max="9763" width="0" style="6" hidden="1" customWidth="1"/>
    <col min="9764" max="9764" width="19.85546875" style="6" customWidth="1"/>
    <col min="9765" max="9765" width="0" style="6" hidden="1" customWidth="1"/>
    <col min="9766" max="9766" width="2.85546875" style="6" customWidth="1"/>
    <col min="9767" max="9767" width="15.5703125" style="6" customWidth="1"/>
    <col min="9768" max="9768" width="2" style="6" customWidth="1"/>
    <col min="9769" max="9769" width="15.5703125" style="6" customWidth="1"/>
    <col min="9770" max="9770" width="1.7109375" style="6" customWidth="1"/>
    <col min="9771" max="9771" width="15.5703125" style="6" customWidth="1"/>
    <col min="9772" max="9772" width="1.5703125" style="6" customWidth="1"/>
    <col min="9773" max="9773" width="15.5703125" style="6" customWidth="1"/>
    <col min="9774" max="9774" width="1.42578125" style="6" customWidth="1"/>
    <col min="9775" max="9775" width="15.5703125" style="6" customWidth="1"/>
    <col min="9776" max="9776" width="1.85546875" style="6" customWidth="1"/>
    <col min="9777" max="9777" width="15.5703125" style="6" customWidth="1"/>
    <col min="9778" max="9778" width="1.28515625" style="6" customWidth="1"/>
    <col min="9779" max="9779" width="15.85546875" style="6" customWidth="1"/>
    <col min="9780" max="9780" width="1.5703125" style="6" customWidth="1"/>
    <col min="9781" max="9781" width="15.5703125" style="6" customWidth="1"/>
    <col min="9782" max="9782" width="1.85546875" style="6" customWidth="1"/>
    <col min="9783" max="9783" width="15.5703125" style="6" customWidth="1"/>
    <col min="9784" max="9784" width="1.5703125" style="6" customWidth="1"/>
    <col min="9785" max="9785" width="15.5703125" style="6" customWidth="1"/>
    <col min="9786" max="9786" width="9.140625" style="6"/>
    <col min="9787" max="9787" width="15.140625" style="6" customWidth="1"/>
    <col min="9788" max="9989" width="9.140625" style="6"/>
    <col min="9990" max="9990" width="26.5703125" style="6" customWidth="1"/>
    <col min="9991" max="10003" width="0" style="6" hidden="1" customWidth="1"/>
    <col min="10004" max="10004" width="1.7109375" style="6" customWidth="1"/>
    <col min="10005" max="10005" width="17.42578125" style="6" customWidth="1"/>
    <col min="10006" max="10006" width="1.140625" style="6" customWidth="1"/>
    <col min="10007" max="10019" width="0" style="6" hidden="1" customWidth="1"/>
    <col min="10020" max="10020" width="19.85546875" style="6" customWidth="1"/>
    <col min="10021" max="10021" width="0" style="6" hidden="1" customWidth="1"/>
    <col min="10022" max="10022" width="2.85546875" style="6" customWidth="1"/>
    <col min="10023" max="10023" width="15.5703125" style="6" customWidth="1"/>
    <col min="10024" max="10024" width="2" style="6" customWidth="1"/>
    <col min="10025" max="10025" width="15.5703125" style="6" customWidth="1"/>
    <col min="10026" max="10026" width="1.7109375" style="6" customWidth="1"/>
    <col min="10027" max="10027" width="15.5703125" style="6" customWidth="1"/>
    <col min="10028" max="10028" width="1.5703125" style="6" customWidth="1"/>
    <col min="10029" max="10029" width="15.5703125" style="6" customWidth="1"/>
    <col min="10030" max="10030" width="1.42578125" style="6" customWidth="1"/>
    <col min="10031" max="10031" width="15.5703125" style="6" customWidth="1"/>
    <col min="10032" max="10032" width="1.85546875" style="6" customWidth="1"/>
    <col min="10033" max="10033" width="15.5703125" style="6" customWidth="1"/>
    <col min="10034" max="10034" width="1.28515625" style="6" customWidth="1"/>
    <col min="10035" max="10035" width="15.85546875" style="6" customWidth="1"/>
    <col min="10036" max="10036" width="1.5703125" style="6" customWidth="1"/>
    <col min="10037" max="10037" width="15.5703125" style="6" customWidth="1"/>
    <col min="10038" max="10038" width="1.85546875" style="6" customWidth="1"/>
    <col min="10039" max="10039" width="15.5703125" style="6" customWidth="1"/>
    <col min="10040" max="10040" width="1.5703125" style="6" customWidth="1"/>
    <col min="10041" max="10041" width="15.5703125" style="6" customWidth="1"/>
    <col min="10042" max="10042" width="9.140625" style="6"/>
    <col min="10043" max="10043" width="15.140625" style="6" customWidth="1"/>
    <col min="10044" max="10245" width="9.140625" style="6"/>
    <col min="10246" max="10246" width="26.5703125" style="6" customWidth="1"/>
    <col min="10247" max="10259" width="0" style="6" hidden="1" customWidth="1"/>
    <col min="10260" max="10260" width="1.7109375" style="6" customWidth="1"/>
    <col min="10261" max="10261" width="17.42578125" style="6" customWidth="1"/>
    <col min="10262" max="10262" width="1.140625" style="6" customWidth="1"/>
    <col min="10263" max="10275" width="0" style="6" hidden="1" customWidth="1"/>
    <col min="10276" max="10276" width="19.85546875" style="6" customWidth="1"/>
    <col min="10277" max="10277" width="0" style="6" hidden="1" customWidth="1"/>
    <col min="10278" max="10278" width="2.85546875" style="6" customWidth="1"/>
    <col min="10279" max="10279" width="15.5703125" style="6" customWidth="1"/>
    <col min="10280" max="10280" width="2" style="6" customWidth="1"/>
    <col min="10281" max="10281" width="15.5703125" style="6" customWidth="1"/>
    <col min="10282" max="10282" width="1.7109375" style="6" customWidth="1"/>
    <col min="10283" max="10283" width="15.5703125" style="6" customWidth="1"/>
    <col min="10284" max="10284" width="1.5703125" style="6" customWidth="1"/>
    <col min="10285" max="10285" width="15.5703125" style="6" customWidth="1"/>
    <col min="10286" max="10286" width="1.42578125" style="6" customWidth="1"/>
    <col min="10287" max="10287" width="15.5703125" style="6" customWidth="1"/>
    <col min="10288" max="10288" width="1.85546875" style="6" customWidth="1"/>
    <col min="10289" max="10289" width="15.5703125" style="6" customWidth="1"/>
    <col min="10290" max="10290" width="1.28515625" style="6" customWidth="1"/>
    <col min="10291" max="10291" width="15.85546875" style="6" customWidth="1"/>
    <col min="10292" max="10292" width="1.5703125" style="6" customWidth="1"/>
    <col min="10293" max="10293" width="15.5703125" style="6" customWidth="1"/>
    <col min="10294" max="10294" width="1.85546875" style="6" customWidth="1"/>
    <col min="10295" max="10295" width="15.5703125" style="6" customWidth="1"/>
    <col min="10296" max="10296" width="1.5703125" style="6" customWidth="1"/>
    <col min="10297" max="10297" width="15.5703125" style="6" customWidth="1"/>
    <col min="10298" max="10298" width="9.140625" style="6"/>
    <col min="10299" max="10299" width="15.140625" style="6" customWidth="1"/>
    <col min="10300" max="10501" width="9.140625" style="6"/>
    <col min="10502" max="10502" width="26.5703125" style="6" customWidth="1"/>
    <col min="10503" max="10515" width="0" style="6" hidden="1" customWidth="1"/>
    <col min="10516" max="10516" width="1.7109375" style="6" customWidth="1"/>
    <col min="10517" max="10517" width="17.42578125" style="6" customWidth="1"/>
    <col min="10518" max="10518" width="1.140625" style="6" customWidth="1"/>
    <col min="10519" max="10531" width="0" style="6" hidden="1" customWidth="1"/>
    <col min="10532" max="10532" width="19.85546875" style="6" customWidth="1"/>
    <col min="10533" max="10533" width="0" style="6" hidden="1" customWidth="1"/>
    <col min="10534" max="10534" width="2.85546875" style="6" customWidth="1"/>
    <col min="10535" max="10535" width="15.5703125" style="6" customWidth="1"/>
    <col min="10536" max="10536" width="2" style="6" customWidth="1"/>
    <col min="10537" max="10537" width="15.5703125" style="6" customWidth="1"/>
    <col min="10538" max="10538" width="1.7109375" style="6" customWidth="1"/>
    <col min="10539" max="10539" width="15.5703125" style="6" customWidth="1"/>
    <col min="10540" max="10540" width="1.5703125" style="6" customWidth="1"/>
    <col min="10541" max="10541" width="15.5703125" style="6" customWidth="1"/>
    <col min="10542" max="10542" width="1.42578125" style="6" customWidth="1"/>
    <col min="10543" max="10543" width="15.5703125" style="6" customWidth="1"/>
    <col min="10544" max="10544" width="1.85546875" style="6" customWidth="1"/>
    <col min="10545" max="10545" width="15.5703125" style="6" customWidth="1"/>
    <col min="10546" max="10546" width="1.28515625" style="6" customWidth="1"/>
    <col min="10547" max="10547" width="15.85546875" style="6" customWidth="1"/>
    <col min="10548" max="10548" width="1.5703125" style="6" customWidth="1"/>
    <col min="10549" max="10549" width="15.5703125" style="6" customWidth="1"/>
    <col min="10550" max="10550" width="1.85546875" style="6" customWidth="1"/>
    <col min="10551" max="10551" width="15.5703125" style="6" customWidth="1"/>
    <col min="10552" max="10552" width="1.5703125" style="6" customWidth="1"/>
    <col min="10553" max="10553" width="15.5703125" style="6" customWidth="1"/>
    <col min="10554" max="10554" width="9.140625" style="6"/>
    <col min="10555" max="10555" width="15.140625" style="6" customWidth="1"/>
    <col min="10556" max="10757" width="9.140625" style="6"/>
    <col min="10758" max="10758" width="26.5703125" style="6" customWidth="1"/>
    <col min="10759" max="10771" width="0" style="6" hidden="1" customWidth="1"/>
    <col min="10772" max="10772" width="1.7109375" style="6" customWidth="1"/>
    <col min="10773" max="10773" width="17.42578125" style="6" customWidth="1"/>
    <col min="10774" max="10774" width="1.140625" style="6" customWidth="1"/>
    <col min="10775" max="10787" width="0" style="6" hidden="1" customWidth="1"/>
    <col min="10788" max="10788" width="19.85546875" style="6" customWidth="1"/>
    <col min="10789" max="10789" width="0" style="6" hidden="1" customWidth="1"/>
    <col min="10790" max="10790" width="2.85546875" style="6" customWidth="1"/>
    <col min="10791" max="10791" width="15.5703125" style="6" customWidth="1"/>
    <col min="10792" max="10792" width="2" style="6" customWidth="1"/>
    <col min="10793" max="10793" width="15.5703125" style="6" customWidth="1"/>
    <col min="10794" max="10794" width="1.7109375" style="6" customWidth="1"/>
    <col min="10795" max="10795" width="15.5703125" style="6" customWidth="1"/>
    <col min="10796" max="10796" width="1.5703125" style="6" customWidth="1"/>
    <col min="10797" max="10797" width="15.5703125" style="6" customWidth="1"/>
    <col min="10798" max="10798" width="1.42578125" style="6" customWidth="1"/>
    <col min="10799" max="10799" width="15.5703125" style="6" customWidth="1"/>
    <col min="10800" max="10800" width="1.85546875" style="6" customWidth="1"/>
    <col min="10801" max="10801" width="15.5703125" style="6" customWidth="1"/>
    <col min="10802" max="10802" width="1.28515625" style="6" customWidth="1"/>
    <col min="10803" max="10803" width="15.85546875" style="6" customWidth="1"/>
    <col min="10804" max="10804" width="1.5703125" style="6" customWidth="1"/>
    <col min="10805" max="10805" width="15.5703125" style="6" customWidth="1"/>
    <col min="10806" max="10806" width="1.85546875" style="6" customWidth="1"/>
    <col min="10807" max="10807" width="15.5703125" style="6" customWidth="1"/>
    <col min="10808" max="10808" width="1.5703125" style="6" customWidth="1"/>
    <col min="10809" max="10809" width="15.5703125" style="6" customWidth="1"/>
    <col min="10810" max="10810" width="9.140625" style="6"/>
    <col min="10811" max="10811" width="15.140625" style="6" customWidth="1"/>
    <col min="10812" max="11013" width="9.140625" style="6"/>
    <col min="11014" max="11014" width="26.5703125" style="6" customWidth="1"/>
    <col min="11015" max="11027" width="0" style="6" hidden="1" customWidth="1"/>
    <col min="11028" max="11028" width="1.7109375" style="6" customWidth="1"/>
    <col min="11029" max="11029" width="17.42578125" style="6" customWidth="1"/>
    <col min="11030" max="11030" width="1.140625" style="6" customWidth="1"/>
    <col min="11031" max="11043" width="0" style="6" hidden="1" customWidth="1"/>
    <col min="11044" max="11044" width="19.85546875" style="6" customWidth="1"/>
    <col min="11045" max="11045" width="0" style="6" hidden="1" customWidth="1"/>
    <col min="11046" max="11046" width="2.85546875" style="6" customWidth="1"/>
    <col min="11047" max="11047" width="15.5703125" style="6" customWidth="1"/>
    <col min="11048" max="11048" width="2" style="6" customWidth="1"/>
    <col min="11049" max="11049" width="15.5703125" style="6" customWidth="1"/>
    <col min="11050" max="11050" width="1.7109375" style="6" customWidth="1"/>
    <col min="11051" max="11051" width="15.5703125" style="6" customWidth="1"/>
    <col min="11052" max="11052" width="1.5703125" style="6" customWidth="1"/>
    <col min="11053" max="11053" width="15.5703125" style="6" customWidth="1"/>
    <col min="11054" max="11054" width="1.42578125" style="6" customWidth="1"/>
    <col min="11055" max="11055" width="15.5703125" style="6" customWidth="1"/>
    <col min="11056" max="11056" width="1.85546875" style="6" customWidth="1"/>
    <col min="11057" max="11057" width="15.5703125" style="6" customWidth="1"/>
    <col min="11058" max="11058" width="1.28515625" style="6" customWidth="1"/>
    <col min="11059" max="11059" width="15.85546875" style="6" customWidth="1"/>
    <col min="11060" max="11060" width="1.5703125" style="6" customWidth="1"/>
    <col min="11061" max="11061" width="15.5703125" style="6" customWidth="1"/>
    <col min="11062" max="11062" width="1.85546875" style="6" customWidth="1"/>
    <col min="11063" max="11063" width="15.5703125" style="6" customWidth="1"/>
    <col min="11064" max="11064" width="1.5703125" style="6" customWidth="1"/>
    <col min="11065" max="11065" width="15.5703125" style="6" customWidth="1"/>
    <col min="11066" max="11066" width="9.140625" style="6"/>
    <col min="11067" max="11067" width="15.140625" style="6" customWidth="1"/>
    <col min="11068" max="11269" width="9.140625" style="6"/>
    <col min="11270" max="11270" width="26.5703125" style="6" customWidth="1"/>
    <col min="11271" max="11283" width="0" style="6" hidden="1" customWidth="1"/>
    <col min="11284" max="11284" width="1.7109375" style="6" customWidth="1"/>
    <col min="11285" max="11285" width="17.42578125" style="6" customWidth="1"/>
    <col min="11286" max="11286" width="1.140625" style="6" customWidth="1"/>
    <col min="11287" max="11299" width="0" style="6" hidden="1" customWidth="1"/>
    <col min="11300" max="11300" width="19.85546875" style="6" customWidth="1"/>
    <col min="11301" max="11301" width="0" style="6" hidden="1" customWidth="1"/>
    <col min="11302" max="11302" width="2.85546875" style="6" customWidth="1"/>
    <col min="11303" max="11303" width="15.5703125" style="6" customWidth="1"/>
    <col min="11304" max="11304" width="2" style="6" customWidth="1"/>
    <col min="11305" max="11305" width="15.5703125" style="6" customWidth="1"/>
    <col min="11306" max="11306" width="1.7109375" style="6" customWidth="1"/>
    <col min="11307" max="11307" width="15.5703125" style="6" customWidth="1"/>
    <col min="11308" max="11308" width="1.5703125" style="6" customWidth="1"/>
    <col min="11309" max="11309" width="15.5703125" style="6" customWidth="1"/>
    <col min="11310" max="11310" width="1.42578125" style="6" customWidth="1"/>
    <col min="11311" max="11311" width="15.5703125" style="6" customWidth="1"/>
    <col min="11312" max="11312" width="1.85546875" style="6" customWidth="1"/>
    <col min="11313" max="11313" width="15.5703125" style="6" customWidth="1"/>
    <col min="11314" max="11314" width="1.28515625" style="6" customWidth="1"/>
    <col min="11315" max="11315" width="15.85546875" style="6" customWidth="1"/>
    <col min="11316" max="11316" width="1.5703125" style="6" customWidth="1"/>
    <col min="11317" max="11317" width="15.5703125" style="6" customWidth="1"/>
    <col min="11318" max="11318" width="1.85546875" style="6" customWidth="1"/>
    <col min="11319" max="11319" width="15.5703125" style="6" customWidth="1"/>
    <col min="11320" max="11320" width="1.5703125" style="6" customWidth="1"/>
    <col min="11321" max="11321" width="15.5703125" style="6" customWidth="1"/>
    <col min="11322" max="11322" width="9.140625" style="6"/>
    <col min="11323" max="11323" width="15.140625" style="6" customWidth="1"/>
    <col min="11324" max="11525" width="9.140625" style="6"/>
    <col min="11526" max="11526" width="26.5703125" style="6" customWidth="1"/>
    <col min="11527" max="11539" width="0" style="6" hidden="1" customWidth="1"/>
    <col min="11540" max="11540" width="1.7109375" style="6" customWidth="1"/>
    <col min="11541" max="11541" width="17.42578125" style="6" customWidth="1"/>
    <col min="11542" max="11542" width="1.140625" style="6" customWidth="1"/>
    <col min="11543" max="11555" width="0" style="6" hidden="1" customWidth="1"/>
    <col min="11556" max="11556" width="19.85546875" style="6" customWidth="1"/>
    <col min="11557" max="11557" width="0" style="6" hidden="1" customWidth="1"/>
    <col min="11558" max="11558" width="2.85546875" style="6" customWidth="1"/>
    <col min="11559" max="11559" width="15.5703125" style="6" customWidth="1"/>
    <col min="11560" max="11560" width="2" style="6" customWidth="1"/>
    <col min="11561" max="11561" width="15.5703125" style="6" customWidth="1"/>
    <col min="11562" max="11562" width="1.7109375" style="6" customWidth="1"/>
    <col min="11563" max="11563" width="15.5703125" style="6" customWidth="1"/>
    <col min="11564" max="11564" width="1.5703125" style="6" customWidth="1"/>
    <col min="11565" max="11565" width="15.5703125" style="6" customWidth="1"/>
    <col min="11566" max="11566" width="1.42578125" style="6" customWidth="1"/>
    <col min="11567" max="11567" width="15.5703125" style="6" customWidth="1"/>
    <col min="11568" max="11568" width="1.85546875" style="6" customWidth="1"/>
    <col min="11569" max="11569" width="15.5703125" style="6" customWidth="1"/>
    <col min="11570" max="11570" width="1.28515625" style="6" customWidth="1"/>
    <col min="11571" max="11571" width="15.85546875" style="6" customWidth="1"/>
    <col min="11572" max="11572" width="1.5703125" style="6" customWidth="1"/>
    <col min="11573" max="11573" width="15.5703125" style="6" customWidth="1"/>
    <col min="11574" max="11574" width="1.85546875" style="6" customWidth="1"/>
    <col min="11575" max="11575" width="15.5703125" style="6" customWidth="1"/>
    <col min="11576" max="11576" width="1.5703125" style="6" customWidth="1"/>
    <col min="11577" max="11577" width="15.5703125" style="6" customWidth="1"/>
    <col min="11578" max="11578" width="9.140625" style="6"/>
    <col min="11579" max="11579" width="15.140625" style="6" customWidth="1"/>
    <col min="11580" max="11781" width="9.140625" style="6"/>
    <col min="11782" max="11782" width="26.5703125" style="6" customWidth="1"/>
    <col min="11783" max="11795" width="0" style="6" hidden="1" customWidth="1"/>
    <col min="11796" max="11796" width="1.7109375" style="6" customWidth="1"/>
    <col min="11797" max="11797" width="17.42578125" style="6" customWidth="1"/>
    <col min="11798" max="11798" width="1.140625" style="6" customWidth="1"/>
    <col min="11799" max="11811" width="0" style="6" hidden="1" customWidth="1"/>
    <col min="11812" max="11812" width="19.85546875" style="6" customWidth="1"/>
    <col min="11813" max="11813" width="0" style="6" hidden="1" customWidth="1"/>
    <col min="11814" max="11814" width="2.85546875" style="6" customWidth="1"/>
    <col min="11815" max="11815" width="15.5703125" style="6" customWidth="1"/>
    <col min="11816" max="11816" width="2" style="6" customWidth="1"/>
    <col min="11817" max="11817" width="15.5703125" style="6" customWidth="1"/>
    <col min="11818" max="11818" width="1.7109375" style="6" customWidth="1"/>
    <col min="11819" max="11819" width="15.5703125" style="6" customWidth="1"/>
    <col min="11820" max="11820" width="1.5703125" style="6" customWidth="1"/>
    <col min="11821" max="11821" width="15.5703125" style="6" customWidth="1"/>
    <col min="11822" max="11822" width="1.42578125" style="6" customWidth="1"/>
    <col min="11823" max="11823" width="15.5703125" style="6" customWidth="1"/>
    <col min="11824" max="11824" width="1.85546875" style="6" customWidth="1"/>
    <col min="11825" max="11825" width="15.5703125" style="6" customWidth="1"/>
    <col min="11826" max="11826" width="1.28515625" style="6" customWidth="1"/>
    <col min="11827" max="11827" width="15.85546875" style="6" customWidth="1"/>
    <col min="11828" max="11828" width="1.5703125" style="6" customWidth="1"/>
    <col min="11829" max="11829" width="15.5703125" style="6" customWidth="1"/>
    <col min="11830" max="11830" width="1.85546875" style="6" customWidth="1"/>
    <col min="11831" max="11831" width="15.5703125" style="6" customWidth="1"/>
    <col min="11832" max="11832" width="1.5703125" style="6" customWidth="1"/>
    <col min="11833" max="11833" width="15.5703125" style="6" customWidth="1"/>
    <col min="11834" max="11834" width="9.140625" style="6"/>
    <col min="11835" max="11835" width="15.140625" style="6" customWidth="1"/>
    <col min="11836" max="12037" width="9.140625" style="6"/>
    <col min="12038" max="12038" width="26.5703125" style="6" customWidth="1"/>
    <col min="12039" max="12051" width="0" style="6" hidden="1" customWidth="1"/>
    <col min="12052" max="12052" width="1.7109375" style="6" customWidth="1"/>
    <col min="12053" max="12053" width="17.42578125" style="6" customWidth="1"/>
    <col min="12054" max="12054" width="1.140625" style="6" customWidth="1"/>
    <col min="12055" max="12067" width="0" style="6" hidden="1" customWidth="1"/>
    <col min="12068" max="12068" width="19.85546875" style="6" customWidth="1"/>
    <col min="12069" max="12069" width="0" style="6" hidden="1" customWidth="1"/>
    <col min="12070" max="12070" width="2.85546875" style="6" customWidth="1"/>
    <col min="12071" max="12071" width="15.5703125" style="6" customWidth="1"/>
    <col min="12072" max="12072" width="2" style="6" customWidth="1"/>
    <col min="12073" max="12073" width="15.5703125" style="6" customWidth="1"/>
    <col min="12074" max="12074" width="1.7109375" style="6" customWidth="1"/>
    <col min="12075" max="12075" width="15.5703125" style="6" customWidth="1"/>
    <col min="12076" max="12076" width="1.5703125" style="6" customWidth="1"/>
    <col min="12077" max="12077" width="15.5703125" style="6" customWidth="1"/>
    <col min="12078" max="12078" width="1.42578125" style="6" customWidth="1"/>
    <col min="12079" max="12079" width="15.5703125" style="6" customWidth="1"/>
    <col min="12080" max="12080" width="1.85546875" style="6" customWidth="1"/>
    <col min="12081" max="12081" width="15.5703125" style="6" customWidth="1"/>
    <col min="12082" max="12082" width="1.28515625" style="6" customWidth="1"/>
    <col min="12083" max="12083" width="15.85546875" style="6" customWidth="1"/>
    <col min="12084" max="12084" width="1.5703125" style="6" customWidth="1"/>
    <col min="12085" max="12085" width="15.5703125" style="6" customWidth="1"/>
    <col min="12086" max="12086" width="1.85546875" style="6" customWidth="1"/>
    <col min="12087" max="12087" width="15.5703125" style="6" customWidth="1"/>
    <col min="12088" max="12088" width="1.5703125" style="6" customWidth="1"/>
    <col min="12089" max="12089" width="15.5703125" style="6" customWidth="1"/>
    <col min="12090" max="12090" width="9.140625" style="6"/>
    <col min="12091" max="12091" width="15.140625" style="6" customWidth="1"/>
    <col min="12092" max="12293" width="9.140625" style="6"/>
    <col min="12294" max="12294" width="26.5703125" style="6" customWidth="1"/>
    <col min="12295" max="12307" width="0" style="6" hidden="1" customWidth="1"/>
    <col min="12308" max="12308" width="1.7109375" style="6" customWidth="1"/>
    <col min="12309" max="12309" width="17.42578125" style="6" customWidth="1"/>
    <col min="12310" max="12310" width="1.140625" style="6" customWidth="1"/>
    <col min="12311" max="12323" width="0" style="6" hidden="1" customWidth="1"/>
    <col min="12324" max="12324" width="19.85546875" style="6" customWidth="1"/>
    <col min="12325" max="12325" width="0" style="6" hidden="1" customWidth="1"/>
    <col min="12326" max="12326" width="2.85546875" style="6" customWidth="1"/>
    <col min="12327" max="12327" width="15.5703125" style="6" customWidth="1"/>
    <col min="12328" max="12328" width="2" style="6" customWidth="1"/>
    <col min="12329" max="12329" width="15.5703125" style="6" customWidth="1"/>
    <col min="12330" max="12330" width="1.7109375" style="6" customWidth="1"/>
    <col min="12331" max="12331" width="15.5703125" style="6" customWidth="1"/>
    <col min="12332" max="12332" width="1.5703125" style="6" customWidth="1"/>
    <col min="12333" max="12333" width="15.5703125" style="6" customWidth="1"/>
    <col min="12334" max="12334" width="1.42578125" style="6" customWidth="1"/>
    <col min="12335" max="12335" width="15.5703125" style="6" customWidth="1"/>
    <col min="12336" max="12336" width="1.85546875" style="6" customWidth="1"/>
    <col min="12337" max="12337" width="15.5703125" style="6" customWidth="1"/>
    <col min="12338" max="12338" width="1.28515625" style="6" customWidth="1"/>
    <col min="12339" max="12339" width="15.85546875" style="6" customWidth="1"/>
    <col min="12340" max="12340" width="1.5703125" style="6" customWidth="1"/>
    <col min="12341" max="12341" width="15.5703125" style="6" customWidth="1"/>
    <col min="12342" max="12342" width="1.85546875" style="6" customWidth="1"/>
    <col min="12343" max="12343" width="15.5703125" style="6" customWidth="1"/>
    <col min="12344" max="12344" width="1.5703125" style="6" customWidth="1"/>
    <col min="12345" max="12345" width="15.5703125" style="6" customWidth="1"/>
    <col min="12346" max="12346" width="9.140625" style="6"/>
    <col min="12347" max="12347" width="15.140625" style="6" customWidth="1"/>
    <col min="12348" max="12549" width="9.140625" style="6"/>
    <col min="12550" max="12550" width="26.5703125" style="6" customWidth="1"/>
    <col min="12551" max="12563" width="0" style="6" hidden="1" customWidth="1"/>
    <col min="12564" max="12564" width="1.7109375" style="6" customWidth="1"/>
    <col min="12565" max="12565" width="17.42578125" style="6" customWidth="1"/>
    <col min="12566" max="12566" width="1.140625" style="6" customWidth="1"/>
    <col min="12567" max="12579" width="0" style="6" hidden="1" customWidth="1"/>
    <col min="12580" max="12580" width="19.85546875" style="6" customWidth="1"/>
    <col min="12581" max="12581" width="0" style="6" hidden="1" customWidth="1"/>
    <col min="12582" max="12582" width="2.85546875" style="6" customWidth="1"/>
    <col min="12583" max="12583" width="15.5703125" style="6" customWidth="1"/>
    <col min="12584" max="12584" width="2" style="6" customWidth="1"/>
    <col min="12585" max="12585" width="15.5703125" style="6" customWidth="1"/>
    <col min="12586" max="12586" width="1.7109375" style="6" customWidth="1"/>
    <col min="12587" max="12587" width="15.5703125" style="6" customWidth="1"/>
    <col min="12588" max="12588" width="1.5703125" style="6" customWidth="1"/>
    <col min="12589" max="12589" width="15.5703125" style="6" customWidth="1"/>
    <col min="12590" max="12590" width="1.42578125" style="6" customWidth="1"/>
    <col min="12591" max="12591" width="15.5703125" style="6" customWidth="1"/>
    <col min="12592" max="12592" width="1.85546875" style="6" customWidth="1"/>
    <col min="12593" max="12593" width="15.5703125" style="6" customWidth="1"/>
    <col min="12594" max="12594" width="1.28515625" style="6" customWidth="1"/>
    <col min="12595" max="12595" width="15.85546875" style="6" customWidth="1"/>
    <col min="12596" max="12596" width="1.5703125" style="6" customWidth="1"/>
    <col min="12597" max="12597" width="15.5703125" style="6" customWidth="1"/>
    <col min="12598" max="12598" width="1.85546875" style="6" customWidth="1"/>
    <col min="12599" max="12599" width="15.5703125" style="6" customWidth="1"/>
    <col min="12600" max="12600" width="1.5703125" style="6" customWidth="1"/>
    <col min="12601" max="12601" width="15.5703125" style="6" customWidth="1"/>
    <col min="12602" max="12602" width="9.140625" style="6"/>
    <col min="12603" max="12603" width="15.140625" style="6" customWidth="1"/>
    <col min="12604" max="12805" width="9.140625" style="6"/>
    <col min="12806" max="12806" width="26.5703125" style="6" customWidth="1"/>
    <col min="12807" max="12819" width="0" style="6" hidden="1" customWidth="1"/>
    <col min="12820" max="12820" width="1.7109375" style="6" customWidth="1"/>
    <col min="12821" max="12821" width="17.42578125" style="6" customWidth="1"/>
    <col min="12822" max="12822" width="1.140625" style="6" customWidth="1"/>
    <col min="12823" max="12835" width="0" style="6" hidden="1" customWidth="1"/>
    <col min="12836" max="12836" width="19.85546875" style="6" customWidth="1"/>
    <col min="12837" max="12837" width="0" style="6" hidden="1" customWidth="1"/>
    <col min="12838" max="12838" width="2.85546875" style="6" customWidth="1"/>
    <col min="12839" max="12839" width="15.5703125" style="6" customWidth="1"/>
    <col min="12840" max="12840" width="2" style="6" customWidth="1"/>
    <col min="12841" max="12841" width="15.5703125" style="6" customWidth="1"/>
    <col min="12842" max="12842" width="1.7109375" style="6" customWidth="1"/>
    <col min="12843" max="12843" width="15.5703125" style="6" customWidth="1"/>
    <col min="12844" max="12844" width="1.5703125" style="6" customWidth="1"/>
    <col min="12845" max="12845" width="15.5703125" style="6" customWidth="1"/>
    <col min="12846" max="12846" width="1.42578125" style="6" customWidth="1"/>
    <col min="12847" max="12847" width="15.5703125" style="6" customWidth="1"/>
    <col min="12848" max="12848" width="1.85546875" style="6" customWidth="1"/>
    <col min="12849" max="12849" width="15.5703125" style="6" customWidth="1"/>
    <col min="12850" max="12850" width="1.28515625" style="6" customWidth="1"/>
    <col min="12851" max="12851" width="15.85546875" style="6" customWidth="1"/>
    <col min="12852" max="12852" width="1.5703125" style="6" customWidth="1"/>
    <col min="12853" max="12853" width="15.5703125" style="6" customWidth="1"/>
    <col min="12854" max="12854" width="1.85546875" style="6" customWidth="1"/>
    <col min="12855" max="12855" width="15.5703125" style="6" customWidth="1"/>
    <col min="12856" max="12856" width="1.5703125" style="6" customWidth="1"/>
    <col min="12857" max="12857" width="15.5703125" style="6" customWidth="1"/>
    <col min="12858" max="12858" width="9.140625" style="6"/>
    <col min="12859" max="12859" width="15.140625" style="6" customWidth="1"/>
    <col min="12860" max="13061" width="9.140625" style="6"/>
    <col min="13062" max="13062" width="26.5703125" style="6" customWidth="1"/>
    <col min="13063" max="13075" width="0" style="6" hidden="1" customWidth="1"/>
    <col min="13076" max="13076" width="1.7109375" style="6" customWidth="1"/>
    <col min="13077" max="13077" width="17.42578125" style="6" customWidth="1"/>
    <col min="13078" max="13078" width="1.140625" style="6" customWidth="1"/>
    <col min="13079" max="13091" width="0" style="6" hidden="1" customWidth="1"/>
    <col min="13092" max="13092" width="19.85546875" style="6" customWidth="1"/>
    <col min="13093" max="13093" width="0" style="6" hidden="1" customWidth="1"/>
    <col min="13094" max="13094" width="2.85546875" style="6" customWidth="1"/>
    <col min="13095" max="13095" width="15.5703125" style="6" customWidth="1"/>
    <col min="13096" max="13096" width="2" style="6" customWidth="1"/>
    <col min="13097" max="13097" width="15.5703125" style="6" customWidth="1"/>
    <col min="13098" max="13098" width="1.7109375" style="6" customWidth="1"/>
    <col min="13099" max="13099" width="15.5703125" style="6" customWidth="1"/>
    <col min="13100" max="13100" width="1.5703125" style="6" customWidth="1"/>
    <col min="13101" max="13101" width="15.5703125" style="6" customWidth="1"/>
    <col min="13102" max="13102" width="1.42578125" style="6" customWidth="1"/>
    <col min="13103" max="13103" width="15.5703125" style="6" customWidth="1"/>
    <col min="13104" max="13104" width="1.85546875" style="6" customWidth="1"/>
    <col min="13105" max="13105" width="15.5703125" style="6" customWidth="1"/>
    <col min="13106" max="13106" width="1.28515625" style="6" customWidth="1"/>
    <col min="13107" max="13107" width="15.85546875" style="6" customWidth="1"/>
    <col min="13108" max="13108" width="1.5703125" style="6" customWidth="1"/>
    <col min="13109" max="13109" width="15.5703125" style="6" customWidth="1"/>
    <col min="13110" max="13110" width="1.85546875" style="6" customWidth="1"/>
    <col min="13111" max="13111" width="15.5703125" style="6" customWidth="1"/>
    <col min="13112" max="13112" width="1.5703125" style="6" customWidth="1"/>
    <col min="13113" max="13113" width="15.5703125" style="6" customWidth="1"/>
    <col min="13114" max="13114" width="9.140625" style="6"/>
    <col min="13115" max="13115" width="15.140625" style="6" customWidth="1"/>
    <col min="13116" max="13317" width="9.140625" style="6"/>
    <col min="13318" max="13318" width="26.5703125" style="6" customWidth="1"/>
    <col min="13319" max="13331" width="0" style="6" hidden="1" customWidth="1"/>
    <col min="13332" max="13332" width="1.7109375" style="6" customWidth="1"/>
    <col min="13333" max="13333" width="17.42578125" style="6" customWidth="1"/>
    <col min="13334" max="13334" width="1.140625" style="6" customWidth="1"/>
    <col min="13335" max="13347" width="0" style="6" hidden="1" customWidth="1"/>
    <col min="13348" max="13348" width="19.85546875" style="6" customWidth="1"/>
    <col min="13349" max="13349" width="0" style="6" hidden="1" customWidth="1"/>
    <col min="13350" max="13350" width="2.85546875" style="6" customWidth="1"/>
    <col min="13351" max="13351" width="15.5703125" style="6" customWidth="1"/>
    <col min="13352" max="13352" width="2" style="6" customWidth="1"/>
    <col min="13353" max="13353" width="15.5703125" style="6" customWidth="1"/>
    <col min="13354" max="13354" width="1.7109375" style="6" customWidth="1"/>
    <col min="13355" max="13355" width="15.5703125" style="6" customWidth="1"/>
    <col min="13356" max="13356" width="1.5703125" style="6" customWidth="1"/>
    <col min="13357" max="13357" width="15.5703125" style="6" customWidth="1"/>
    <col min="13358" max="13358" width="1.42578125" style="6" customWidth="1"/>
    <col min="13359" max="13359" width="15.5703125" style="6" customWidth="1"/>
    <col min="13360" max="13360" width="1.85546875" style="6" customWidth="1"/>
    <col min="13361" max="13361" width="15.5703125" style="6" customWidth="1"/>
    <col min="13362" max="13362" width="1.28515625" style="6" customWidth="1"/>
    <col min="13363" max="13363" width="15.85546875" style="6" customWidth="1"/>
    <col min="13364" max="13364" width="1.5703125" style="6" customWidth="1"/>
    <col min="13365" max="13365" width="15.5703125" style="6" customWidth="1"/>
    <col min="13366" max="13366" width="1.85546875" style="6" customWidth="1"/>
    <col min="13367" max="13367" width="15.5703125" style="6" customWidth="1"/>
    <col min="13368" max="13368" width="1.5703125" style="6" customWidth="1"/>
    <col min="13369" max="13369" width="15.5703125" style="6" customWidth="1"/>
    <col min="13370" max="13370" width="9.140625" style="6"/>
    <col min="13371" max="13371" width="15.140625" style="6" customWidth="1"/>
    <col min="13372" max="13573" width="9.140625" style="6"/>
    <col min="13574" max="13574" width="26.5703125" style="6" customWidth="1"/>
    <col min="13575" max="13587" width="0" style="6" hidden="1" customWidth="1"/>
    <col min="13588" max="13588" width="1.7109375" style="6" customWidth="1"/>
    <col min="13589" max="13589" width="17.42578125" style="6" customWidth="1"/>
    <col min="13590" max="13590" width="1.140625" style="6" customWidth="1"/>
    <col min="13591" max="13603" width="0" style="6" hidden="1" customWidth="1"/>
    <col min="13604" max="13604" width="19.85546875" style="6" customWidth="1"/>
    <col min="13605" max="13605" width="0" style="6" hidden="1" customWidth="1"/>
    <col min="13606" max="13606" width="2.85546875" style="6" customWidth="1"/>
    <col min="13607" max="13607" width="15.5703125" style="6" customWidth="1"/>
    <col min="13608" max="13608" width="2" style="6" customWidth="1"/>
    <col min="13609" max="13609" width="15.5703125" style="6" customWidth="1"/>
    <col min="13610" max="13610" width="1.7109375" style="6" customWidth="1"/>
    <col min="13611" max="13611" width="15.5703125" style="6" customWidth="1"/>
    <col min="13612" max="13612" width="1.5703125" style="6" customWidth="1"/>
    <col min="13613" max="13613" width="15.5703125" style="6" customWidth="1"/>
    <col min="13614" max="13614" width="1.42578125" style="6" customWidth="1"/>
    <col min="13615" max="13615" width="15.5703125" style="6" customWidth="1"/>
    <col min="13616" max="13616" width="1.85546875" style="6" customWidth="1"/>
    <col min="13617" max="13617" width="15.5703125" style="6" customWidth="1"/>
    <col min="13618" max="13618" width="1.28515625" style="6" customWidth="1"/>
    <col min="13619" max="13619" width="15.85546875" style="6" customWidth="1"/>
    <col min="13620" max="13620" width="1.5703125" style="6" customWidth="1"/>
    <col min="13621" max="13621" width="15.5703125" style="6" customWidth="1"/>
    <col min="13622" max="13622" width="1.85546875" style="6" customWidth="1"/>
    <col min="13623" max="13623" width="15.5703125" style="6" customWidth="1"/>
    <col min="13624" max="13624" width="1.5703125" style="6" customWidth="1"/>
    <col min="13625" max="13625" width="15.5703125" style="6" customWidth="1"/>
    <col min="13626" max="13626" width="9.140625" style="6"/>
    <col min="13627" max="13627" width="15.140625" style="6" customWidth="1"/>
    <col min="13628" max="13829" width="9.140625" style="6"/>
    <col min="13830" max="13830" width="26.5703125" style="6" customWidth="1"/>
    <col min="13831" max="13843" width="0" style="6" hidden="1" customWidth="1"/>
    <col min="13844" max="13844" width="1.7109375" style="6" customWidth="1"/>
    <col min="13845" max="13845" width="17.42578125" style="6" customWidth="1"/>
    <col min="13846" max="13846" width="1.140625" style="6" customWidth="1"/>
    <col min="13847" max="13859" width="0" style="6" hidden="1" customWidth="1"/>
    <col min="13860" max="13860" width="19.85546875" style="6" customWidth="1"/>
    <col min="13861" max="13861" width="0" style="6" hidden="1" customWidth="1"/>
    <col min="13862" max="13862" width="2.85546875" style="6" customWidth="1"/>
    <col min="13863" max="13863" width="15.5703125" style="6" customWidth="1"/>
    <col min="13864" max="13864" width="2" style="6" customWidth="1"/>
    <col min="13865" max="13865" width="15.5703125" style="6" customWidth="1"/>
    <col min="13866" max="13866" width="1.7109375" style="6" customWidth="1"/>
    <col min="13867" max="13867" width="15.5703125" style="6" customWidth="1"/>
    <col min="13868" max="13868" width="1.5703125" style="6" customWidth="1"/>
    <col min="13869" max="13869" width="15.5703125" style="6" customWidth="1"/>
    <col min="13870" max="13870" width="1.42578125" style="6" customWidth="1"/>
    <col min="13871" max="13871" width="15.5703125" style="6" customWidth="1"/>
    <col min="13872" max="13872" width="1.85546875" style="6" customWidth="1"/>
    <col min="13873" max="13873" width="15.5703125" style="6" customWidth="1"/>
    <col min="13874" max="13874" width="1.28515625" style="6" customWidth="1"/>
    <col min="13875" max="13875" width="15.85546875" style="6" customWidth="1"/>
    <col min="13876" max="13876" width="1.5703125" style="6" customWidth="1"/>
    <col min="13877" max="13877" width="15.5703125" style="6" customWidth="1"/>
    <col min="13878" max="13878" width="1.85546875" style="6" customWidth="1"/>
    <col min="13879" max="13879" width="15.5703125" style="6" customWidth="1"/>
    <col min="13880" max="13880" width="1.5703125" style="6" customWidth="1"/>
    <col min="13881" max="13881" width="15.5703125" style="6" customWidth="1"/>
    <col min="13882" max="13882" width="9.140625" style="6"/>
    <col min="13883" max="13883" width="15.140625" style="6" customWidth="1"/>
    <col min="13884" max="14085" width="9.140625" style="6"/>
    <col min="14086" max="14086" width="26.5703125" style="6" customWidth="1"/>
    <col min="14087" max="14099" width="0" style="6" hidden="1" customWidth="1"/>
    <col min="14100" max="14100" width="1.7109375" style="6" customWidth="1"/>
    <col min="14101" max="14101" width="17.42578125" style="6" customWidth="1"/>
    <col min="14102" max="14102" width="1.140625" style="6" customWidth="1"/>
    <col min="14103" max="14115" width="0" style="6" hidden="1" customWidth="1"/>
    <col min="14116" max="14116" width="19.85546875" style="6" customWidth="1"/>
    <col min="14117" max="14117" width="0" style="6" hidden="1" customWidth="1"/>
    <col min="14118" max="14118" width="2.85546875" style="6" customWidth="1"/>
    <col min="14119" max="14119" width="15.5703125" style="6" customWidth="1"/>
    <col min="14120" max="14120" width="2" style="6" customWidth="1"/>
    <col min="14121" max="14121" width="15.5703125" style="6" customWidth="1"/>
    <col min="14122" max="14122" width="1.7109375" style="6" customWidth="1"/>
    <col min="14123" max="14123" width="15.5703125" style="6" customWidth="1"/>
    <col min="14124" max="14124" width="1.5703125" style="6" customWidth="1"/>
    <col min="14125" max="14125" width="15.5703125" style="6" customWidth="1"/>
    <col min="14126" max="14126" width="1.42578125" style="6" customWidth="1"/>
    <col min="14127" max="14127" width="15.5703125" style="6" customWidth="1"/>
    <col min="14128" max="14128" width="1.85546875" style="6" customWidth="1"/>
    <col min="14129" max="14129" width="15.5703125" style="6" customWidth="1"/>
    <col min="14130" max="14130" width="1.28515625" style="6" customWidth="1"/>
    <col min="14131" max="14131" width="15.85546875" style="6" customWidth="1"/>
    <col min="14132" max="14132" width="1.5703125" style="6" customWidth="1"/>
    <col min="14133" max="14133" width="15.5703125" style="6" customWidth="1"/>
    <col min="14134" max="14134" width="1.85546875" style="6" customWidth="1"/>
    <col min="14135" max="14135" width="15.5703125" style="6" customWidth="1"/>
    <col min="14136" max="14136" width="1.5703125" style="6" customWidth="1"/>
    <col min="14137" max="14137" width="15.5703125" style="6" customWidth="1"/>
    <col min="14138" max="14138" width="9.140625" style="6"/>
    <col min="14139" max="14139" width="15.140625" style="6" customWidth="1"/>
    <col min="14140" max="14341" width="9.140625" style="6"/>
    <col min="14342" max="14342" width="26.5703125" style="6" customWidth="1"/>
    <col min="14343" max="14355" width="0" style="6" hidden="1" customWidth="1"/>
    <col min="14356" max="14356" width="1.7109375" style="6" customWidth="1"/>
    <col min="14357" max="14357" width="17.42578125" style="6" customWidth="1"/>
    <col min="14358" max="14358" width="1.140625" style="6" customWidth="1"/>
    <col min="14359" max="14371" width="0" style="6" hidden="1" customWidth="1"/>
    <col min="14372" max="14372" width="19.85546875" style="6" customWidth="1"/>
    <col min="14373" max="14373" width="0" style="6" hidden="1" customWidth="1"/>
    <col min="14374" max="14374" width="2.85546875" style="6" customWidth="1"/>
    <col min="14375" max="14375" width="15.5703125" style="6" customWidth="1"/>
    <col min="14376" max="14376" width="2" style="6" customWidth="1"/>
    <col min="14377" max="14377" width="15.5703125" style="6" customWidth="1"/>
    <col min="14378" max="14378" width="1.7109375" style="6" customWidth="1"/>
    <col min="14379" max="14379" width="15.5703125" style="6" customWidth="1"/>
    <col min="14380" max="14380" width="1.5703125" style="6" customWidth="1"/>
    <col min="14381" max="14381" width="15.5703125" style="6" customWidth="1"/>
    <col min="14382" max="14382" width="1.42578125" style="6" customWidth="1"/>
    <col min="14383" max="14383" width="15.5703125" style="6" customWidth="1"/>
    <col min="14384" max="14384" width="1.85546875" style="6" customWidth="1"/>
    <col min="14385" max="14385" width="15.5703125" style="6" customWidth="1"/>
    <col min="14386" max="14386" width="1.28515625" style="6" customWidth="1"/>
    <col min="14387" max="14387" width="15.85546875" style="6" customWidth="1"/>
    <col min="14388" max="14388" width="1.5703125" style="6" customWidth="1"/>
    <col min="14389" max="14389" width="15.5703125" style="6" customWidth="1"/>
    <col min="14390" max="14390" width="1.85546875" style="6" customWidth="1"/>
    <col min="14391" max="14391" width="15.5703125" style="6" customWidth="1"/>
    <col min="14392" max="14392" width="1.5703125" style="6" customWidth="1"/>
    <col min="14393" max="14393" width="15.5703125" style="6" customWidth="1"/>
    <col min="14394" max="14394" width="9.140625" style="6"/>
    <col min="14395" max="14395" width="15.140625" style="6" customWidth="1"/>
    <col min="14396" max="14597" width="9.140625" style="6"/>
    <col min="14598" max="14598" width="26.5703125" style="6" customWidth="1"/>
    <col min="14599" max="14611" width="0" style="6" hidden="1" customWidth="1"/>
    <col min="14612" max="14612" width="1.7109375" style="6" customWidth="1"/>
    <col min="14613" max="14613" width="17.42578125" style="6" customWidth="1"/>
    <col min="14614" max="14614" width="1.140625" style="6" customWidth="1"/>
    <col min="14615" max="14627" width="0" style="6" hidden="1" customWidth="1"/>
    <col min="14628" max="14628" width="19.85546875" style="6" customWidth="1"/>
    <col min="14629" max="14629" width="0" style="6" hidden="1" customWidth="1"/>
    <col min="14630" max="14630" width="2.85546875" style="6" customWidth="1"/>
    <col min="14631" max="14631" width="15.5703125" style="6" customWidth="1"/>
    <col min="14632" max="14632" width="2" style="6" customWidth="1"/>
    <col min="14633" max="14633" width="15.5703125" style="6" customWidth="1"/>
    <col min="14634" max="14634" width="1.7109375" style="6" customWidth="1"/>
    <col min="14635" max="14635" width="15.5703125" style="6" customWidth="1"/>
    <col min="14636" max="14636" width="1.5703125" style="6" customWidth="1"/>
    <col min="14637" max="14637" width="15.5703125" style="6" customWidth="1"/>
    <col min="14638" max="14638" width="1.42578125" style="6" customWidth="1"/>
    <col min="14639" max="14639" width="15.5703125" style="6" customWidth="1"/>
    <col min="14640" max="14640" width="1.85546875" style="6" customWidth="1"/>
    <col min="14641" max="14641" width="15.5703125" style="6" customWidth="1"/>
    <col min="14642" max="14642" width="1.28515625" style="6" customWidth="1"/>
    <col min="14643" max="14643" width="15.85546875" style="6" customWidth="1"/>
    <col min="14644" max="14644" width="1.5703125" style="6" customWidth="1"/>
    <col min="14645" max="14645" width="15.5703125" style="6" customWidth="1"/>
    <col min="14646" max="14646" width="1.85546875" style="6" customWidth="1"/>
    <col min="14647" max="14647" width="15.5703125" style="6" customWidth="1"/>
    <col min="14648" max="14648" width="1.5703125" style="6" customWidth="1"/>
    <col min="14649" max="14649" width="15.5703125" style="6" customWidth="1"/>
    <col min="14650" max="14650" width="9.140625" style="6"/>
    <col min="14651" max="14651" width="15.140625" style="6" customWidth="1"/>
    <col min="14652" max="14853" width="9.140625" style="6"/>
    <col min="14854" max="14854" width="26.5703125" style="6" customWidth="1"/>
    <col min="14855" max="14867" width="0" style="6" hidden="1" customWidth="1"/>
    <col min="14868" max="14868" width="1.7109375" style="6" customWidth="1"/>
    <col min="14869" max="14869" width="17.42578125" style="6" customWidth="1"/>
    <col min="14870" max="14870" width="1.140625" style="6" customWidth="1"/>
    <col min="14871" max="14883" width="0" style="6" hidden="1" customWidth="1"/>
    <col min="14884" max="14884" width="19.85546875" style="6" customWidth="1"/>
    <col min="14885" max="14885" width="0" style="6" hidden="1" customWidth="1"/>
    <col min="14886" max="14886" width="2.85546875" style="6" customWidth="1"/>
    <col min="14887" max="14887" width="15.5703125" style="6" customWidth="1"/>
    <col min="14888" max="14888" width="2" style="6" customWidth="1"/>
    <col min="14889" max="14889" width="15.5703125" style="6" customWidth="1"/>
    <col min="14890" max="14890" width="1.7109375" style="6" customWidth="1"/>
    <col min="14891" max="14891" width="15.5703125" style="6" customWidth="1"/>
    <col min="14892" max="14892" width="1.5703125" style="6" customWidth="1"/>
    <col min="14893" max="14893" width="15.5703125" style="6" customWidth="1"/>
    <col min="14894" max="14894" width="1.42578125" style="6" customWidth="1"/>
    <col min="14895" max="14895" width="15.5703125" style="6" customWidth="1"/>
    <col min="14896" max="14896" width="1.85546875" style="6" customWidth="1"/>
    <col min="14897" max="14897" width="15.5703125" style="6" customWidth="1"/>
    <col min="14898" max="14898" width="1.28515625" style="6" customWidth="1"/>
    <col min="14899" max="14899" width="15.85546875" style="6" customWidth="1"/>
    <col min="14900" max="14900" width="1.5703125" style="6" customWidth="1"/>
    <col min="14901" max="14901" width="15.5703125" style="6" customWidth="1"/>
    <col min="14902" max="14902" width="1.85546875" style="6" customWidth="1"/>
    <col min="14903" max="14903" width="15.5703125" style="6" customWidth="1"/>
    <col min="14904" max="14904" width="1.5703125" style="6" customWidth="1"/>
    <col min="14905" max="14905" width="15.5703125" style="6" customWidth="1"/>
    <col min="14906" max="14906" width="9.140625" style="6"/>
    <col min="14907" max="14907" width="15.140625" style="6" customWidth="1"/>
    <col min="14908" max="15109" width="9.140625" style="6"/>
    <col min="15110" max="15110" width="26.5703125" style="6" customWidth="1"/>
    <col min="15111" max="15123" width="0" style="6" hidden="1" customWidth="1"/>
    <col min="15124" max="15124" width="1.7109375" style="6" customWidth="1"/>
    <col min="15125" max="15125" width="17.42578125" style="6" customWidth="1"/>
    <col min="15126" max="15126" width="1.140625" style="6" customWidth="1"/>
    <col min="15127" max="15139" width="0" style="6" hidden="1" customWidth="1"/>
    <col min="15140" max="15140" width="19.85546875" style="6" customWidth="1"/>
    <col min="15141" max="15141" width="0" style="6" hidden="1" customWidth="1"/>
    <col min="15142" max="15142" width="2.85546875" style="6" customWidth="1"/>
    <col min="15143" max="15143" width="15.5703125" style="6" customWidth="1"/>
    <col min="15144" max="15144" width="2" style="6" customWidth="1"/>
    <col min="15145" max="15145" width="15.5703125" style="6" customWidth="1"/>
    <col min="15146" max="15146" width="1.7109375" style="6" customWidth="1"/>
    <col min="15147" max="15147" width="15.5703125" style="6" customWidth="1"/>
    <col min="15148" max="15148" width="1.5703125" style="6" customWidth="1"/>
    <col min="15149" max="15149" width="15.5703125" style="6" customWidth="1"/>
    <col min="15150" max="15150" width="1.42578125" style="6" customWidth="1"/>
    <col min="15151" max="15151" width="15.5703125" style="6" customWidth="1"/>
    <col min="15152" max="15152" width="1.85546875" style="6" customWidth="1"/>
    <col min="15153" max="15153" width="15.5703125" style="6" customWidth="1"/>
    <col min="15154" max="15154" width="1.28515625" style="6" customWidth="1"/>
    <col min="15155" max="15155" width="15.85546875" style="6" customWidth="1"/>
    <col min="15156" max="15156" width="1.5703125" style="6" customWidth="1"/>
    <col min="15157" max="15157" width="15.5703125" style="6" customWidth="1"/>
    <col min="15158" max="15158" width="1.85546875" style="6" customWidth="1"/>
    <col min="15159" max="15159" width="15.5703125" style="6" customWidth="1"/>
    <col min="15160" max="15160" width="1.5703125" style="6" customWidth="1"/>
    <col min="15161" max="15161" width="15.5703125" style="6" customWidth="1"/>
    <col min="15162" max="15162" width="9.140625" style="6"/>
    <col min="15163" max="15163" width="15.140625" style="6" customWidth="1"/>
    <col min="15164" max="15365" width="9.140625" style="6"/>
    <col min="15366" max="15366" width="26.5703125" style="6" customWidth="1"/>
    <col min="15367" max="15379" width="0" style="6" hidden="1" customWidth="1"/>
    <col min="15380" max="15380" width="1.7109375" style="6" customWidth="1"/>
    <col min="15381" max="15381" width="17.42578125" style="6" customWidth="1"/>
    <col min="15382" max="15382" width="1.140625" style="6" customWidth="1"/>
    <col min="15383" max="15395" width="0" style="6" hidden="1" customWidth="1"/>
    <col min="15396" max="15396" width="19.85546875" style="6" customWidth="1"/>
    <col min="15397" max="15397" width="0" style="6" hidden="1" customWidth="1"/>
    <col min="15398" max="15398" width="2.85546875" style="6" customWidth="1"/>
    <col min="15399" max="15399" width="15.5703125" style="6" customWidth="1"/>
    <col min="15400" max="15400" width="2" style="6" customWidth="1"/>
    <col min="15401" max="15401" width="15.5703125" style="6" customWidth="1"/>
    <col min="15402" max="15402" width="1.7109375" style="6" customWidth="1"/>
    <col min="15403" max="15403" width="15.5703125" style="6" customWidth="1"/>
    <col min="15404" max="15404" width="1.5703125" style="6" customWidth="1"/>
    <col min="15405" max="15405" width="15.5703125" style="6" customWidth="1"/>
    <col min="15406" max="15406" width="1.42578125" style="6" customWidth="1"/>
    <col min="15407" max="15407" width="15.5703125" style="6" customWidth="1"/>
    <col min="15408" max="15408" width="1.85546875" style="6" customWidth="1"/>
    <col min="15409" max="15409" width="15.5703125" style="6" customWidth="1"/>
    <col min="15410" max="15410" width="1.28515625" style="6" customWidth="1"/>
    <col min="15411" max="15411" width="15.85546875" style="6" customWidth="1"/>
    <col min="15412" max="15412" width="1.5703125" style="6" customWidth="1"/>
    <col min="15413" max="15413" width="15.5703125" style="6" customWidth="1"/>
    <col min="15414" max="15414" width="1.85546875" style="6" customWidth="1"/>
    <col min="15415" max="15415" width="15.5703125" style="6" customWidth="1"/>
    <col min="15416" max="15416" width="1.5703125" style="6" customWidth="1"/>
    <col min="15417" max="15417" width="15.5703125" style="6" customWidth="1"/>
    <col min="15418" max="15418" width="9.140625" style="6"/>
    <col min="15419" max="15419" width="15.140625" style="6" customWidth="1"/>
    <col min="15420" max="15621" width="9.140625" style="6"/>
    <col min="15622" max="15622" width="26.5703125" style="6" customWidth="1"/>
    <col min="15623" max="15635" width="0" style="6" hidden="1" customWidth="1"/>
    <col min="15636" max="15636" width="1.7109375" style="6" customWidth="1"/>
    <col min="15637" max="15637" width="17.42578125" style="6" customWidth="1"/>
    <col min="15638" max="15638" width="1.140625" style="6" customWidth="1"/>
    <col min="15639" max="15651" width="0" style="6" hidden="1" customWidth="1"/>
    <col min="15652" max="15652" width="19.85546875" style="6" customWidth="1"/>
    <col min="15653" max="15653" width="0" style="6" hidden="1" customWidth="1"/>
    <col min="15654" max="15654" width="2.85546875" style="6" customWidth="1"/>
    <col min="15655" max="15655" width="15.5703125" style="6" customWidth="1"/>
    <col min="15656" max="15656" width="2" style="6" customWidth="1"/>
    <col min="15657" max="15657" width="15.5703125" style="6" customWidth="1"/>
    <col min="15658" max="15658" width="1.7109375" style="6" customWidth="1"/>
    <col min="15659" max="15659" width="15.5703125" style="6" customWidth="1"/>
    <col min="15660" max="15660" width="1.5703125" style="6" customWidth="1"/>
    <col min="15661" max="15661" width="15.5703125" style="6" customWidth="1"/>
    <col min="15662" max="15662" width="1.42578125" style="6" customWidth="1"/>
    <col min="15663" max="15663" width="15.5703125" style="6" customWidth="1"/>
    <col min="15664" max="15664" width="1.85546875" style="6" customWidth="1"/>
    <col min="15665" max="15665" width="15.5703125" style="6" customWidth="1"/>
    <col min="15666" max="15666" width="1.28515625" style="6" customWidth="1"/>
    <col min="15667" max="15667" width="15.85546875" style="6" customWidth="1"/>
    <col min="15668" max="15668" width="1.5703125" style="6" customWidth="1"/>
    <col min="15669" max="15669" width="15.5703125" style="6" customWidth="1"/>
    <col min="15670" max="15670" width="1.85546875" style="6" customWidth="1"/>
    <col min="15671" max="15671" width="15.5703125" style="6" customWidth="1"/>
    <col min="15672" max="15672" width="1.5703125" style="6" customWidth="1"/>
    <col min="15673" max="15673" width="15.5703125" style="6" customWidth="1"/>
    <col min="15674" max="15674" width="9.140625" style="6"/>
    <col min="15675" max="15675" width="15.140625" style="6" customWidth="1"/>
    <col min="15676" max="15877" width="9.140625" style="6"/>
    <col min="15878" max="15878" width="26.5703125" style="6" customWidth="1"/>
    <col min="15879" max="15891" width="0" style="6" hidden="1" customWidth="1"/>
    <col min="15892" max="15892" width="1.7109375" style="6" customWidth="1"/>
    <col min="15893" max="15893" width="17.42578125" style="6" customWidth="1"/>
    <col min="15894" max="15894" width="1.140625" style="6" customWidth="1"/>
    <col min="15895" max="15907" width="0" style="6" hidden="1" customWidth="1"/>
    <col min="15908" max="15908" width="19.85546875" style="6" customWidth="1"/>
    <col min="15909" max="15909" width="0" style="6" hidden="1" customWidth="1"/>
    <col min="15910" max="15910" width="2.85546875" style="6" customWidth="1"/>
    <col min="15911" max="15911" width="15.5703125" style="6" customWidth="1"/>
    <col min="15912" max="15912" width="2" style="6" customWidth="1"/>
    <col min="15913" max="15913" width="15.5703125" style="6" customWidth="1"/>
    <col min="15914" max="15914" width="1.7109375" style="6" customWidth="1"/>
    <col min="15915" max="15915" width="15.5703125" style="6" customWidth="1"/>
    <col min="15916" max="15916" width="1.5703125" style="6" customWidth="1"/>
    <col min="15917" max="15917" width="15.5703125" style="6" customWidth="1"/>
    <col min="15918" max="15918" width="1.42578125" style="6" customWidth="1"/>
    <col min="15919" max="15919" width="15.5703125" style="6" customWidth="1"/>
    <col min="15920" max="15920" width="1.85546875" style="6" customWidth="1"/>
    <col min="15921" max="15921" width="15.5703125" style="6" customWidth="1"/>
    <col min="15922" max="15922" width="1.28515625" style="6" customWidth="1"/>
    <col min="15923" max="15923" width="15.85546875" style="6" customWidth="1"/>
    <col min="15924" max="15924" width="1.5703125" style="6" customWidth="1"/>
    <col min="15925" max="15925" width="15.5703125" style="6" customWidth="1"/>
    <col min="15926" max="15926" width="1.85546875" style="6" customWidth="1"/>
    <col min="15927" max="15927" width="15.5703125" style="6" customWidth="1"/>
    <col min="15928" max="15928" width="1.5703125" style="6" customWidth="1"/>
    <col min="15929" max="15929" width="15.5703125" style="6" customWidth="1"/>
    <col min="15930" max="15930" width="9.140625" style="6"/>
    <col min="15931" max="15931" width="15.140625" style="6" customWidth="1"/>
    <col min="15932" max="16133" width="9.140625" style="6"/>
    <col min="16134" max="16134" width="26.5703125" style="6" customWidth="1"/>
    <col min="16135" max="16147" width="0" style="6" hidden="1" customWidth="1"/>
    <col min="16148" max="16148" width="1.7109375" style="6" customWidth="1"/>
    <col min="16149" max="16149" width="17.42578125" style="6" customWidth="1"/>
    <col min="16150" max="16150" width="1.140625" style="6" customWidth="1"/>
    <col min="16151" max="16163" width="0" style="6" hidden="1" customWidth="1"/>
    <col min="16164" max="16164" width="19.85546875" style="6" customWidth="1"/>
    <col min="16165" max="16165" width="0" style="6" hidden="1" customWidth="1"/>
    <col min="16166" max="16166" width="2.85546875" style="6" customWidth="1"/>
    <col min="16167" max="16167" width="15.5703125" style="6" customWidth="1"/>
    <col min="16168" max="16168" width="2" style="6" customWidth="1"/>
    <col min="16169" max="16169" width="15.5703125" style="6" customWidth="1"/>
    <col min="16170" max="16170" width="1.7109375" style="6" customWidth="1"/>
    <col min="16171" max="16171" width="15.5703125" style="6" customWidth="1"/>
    <col min="16172" max="16172" width="1.5703125" style="6" customWidth="1"/>
    <col min="16173" max="16173" width="15.5703125" style="6" customWidth="1"/>
    <col min="16174" max="16174" width="1.42578125" style="6" customWidth="1"/>
    <col min="16175" max="16175" width="15.5703125" style="6" customWidth="1"/>
    <col min="16176" max="16176" width="1.85546875" style="6" customWidth="1"/>
    <col min="16177" max="16177" width="15.5703125" style="6" customWidth="1"/>
    <col min="16178" max="16178" width="1.28515625" style="6" customWidth="1"/>
    <col min="16179" max="16179" width="15.85546875" style="6" customWidth="1"/>
    <col min="16180" max="16180" width="1.5703125" style="6" customWidth="1"/>
    <col min="16181" max="16181" width="15.5703125" style="6" customWidth="1"/>
    <col min="16182" max="16182" width="1.85546875" style="6" customWidth="1"/>
    <col min="16183" max="16183" width="15.5703125" style="6" customWidth="1"/>
    <col min="16184" max="16184" width="1.5703125" style="6" customWidth="1"/>
    <col min="16185" max="16185" width="15.5703125" style="6" customWidth="1"/>
    <col min="16186" max="16186" width="9.140625" style="6"/>
    <col min="16187" max="16187" width="15.140625" style="6" customWidth="1"/>
    <col min="16188" max="16384" width="9.140625" style="6"/>
  </cols>
  <sheetData>
    <row r="1" spans="1:72" x14ac:dyDescent="0.25">
      <c r="A1" s="1" t="s">
        <v>0</v>
      </c>
      <c r="B1" s="2"/>
      <c r="D1" s="2"/>
      <c r="E1" s="2"/>
      <c r="F1" s="2"/>
      <c r="H1" s="2"/>
      <c r="I1" s="2"/>
      <c r="J1" s="2"/>
      <c r="K1" s="2"/>
      <c r="L1" s="2"/>
      <c r="N1" s="2"/>
    </row>
    <row r="2" spans="1:72" ht="15.75" thickBot="1" x14ac:dyDescent="0.3">
      <c r="A2" s="3"/>
    </row>
    <row r="3" spans="1:72" x14ac:dyDescent="0.25">
      <c r="A3" s="3"/>
      <c r="B3" s="8" t="s">
        <v>8</v>
      </c>
      <c r="C3" s="9"/>
      <c r="D3" s="10" t="s">
        <v>9</v>
      </c>
      <c r="E3" s="11" t="s">
        <v>10</v>
      </c>
      <c r="F3" s="12" t="s">
        <v>11</v>
      </c>
      <c r="G3" s="9"/>
      <c r="H3" s="8" t="s">
        <v>12</v>
      </c>
      <c r="I3" s="13"/>
      <c r="J3" s="10" t="s">
        <v>9</v>
      </c>
      <c r="K3" s="11" t="s">
        <v>10</v>
      </c>
      <c r="L3" s="11" t="s">
        <v>11</v>
      </c>
      <c r="M3" s="9"/>
      <c r="N3" s="11" t="s">
        <v>12</v>
      </c>
      <c r="P3" s="12" t="s">
        <v>8</v>
      </c>
      <c r="R3" s="14" t="s">
        <v>9</v>
      </c>
      <c r="S3" s="15" t="s">
        <v>10</v>
      </c>
      <c r="T3" s="16" t="s">
        <v>11</v>
      </c>
      <c r="U3" s="17" t="s">
        <v>13</v>
      </c>
      <c r="V3" s="14" t="s">
        <v>9</v>
      </c>
      <c r="W3" s="15" t="s">
        <v>10</v>
      </c>
      <c r="X3" s="15"/>
      <c r="Y3" s="16" t="s">
        <v>11</v>
      </c>
      <c r="Z3" s="17" t="s">
        <v>13</v>
      </c>
      <c r="AC3" s="14" t="s">
        <v>9</v>
      </c>
      <c r="AD3" s="15" t="s">
        <v>10</v>
      </c>
      <c r="AE3" s="16" t="s">
        <v>11</v>
      </c>
      <c r="AF3" s="15" t="s">
        <v>13</v>
      </c>
      <c r="AG3" s="233"/>
      <c r="AH3" s="13" t="s">
        <v>8</v>
      </c>
      <c r="AI3" s="9"/>
      <c r="AJ3" s="10" t="s">
        <v>9</v>
      </c>
      <c r="AK3" s="11" t="s">
        <v>10</v>
      </c>
      <c r="AL3" s="12" t="s">
        <v>11</v>
      </c>
      <c r="AM3" s="8" t="s">
        <v>13</v>
      </c>
      <c r="AN3" s="9"/>
      <c r="AO3" s="12" t="s">
        <v>8</v>
      </c>
      <c r="AQ3" s="8" t="s">
        <v>8</v>
      </c>
      <c r="AS3" s="8" t="s">
        <v>8</v>
      </c>
      <c r="AT3" s="8"/>
      <c r="AU3" s="8" t="s">
        <v>8</v>
      </c>
      <c r="AW3" s="8" t="s">
        <v>8</v>
      </c>
      <c r="AY3" s="8" t="s">
        <v>8</v>
      </c>
      <c r="BA3" s="8" t="s">
        <v>8</v>
      </c>
      <c r="BC3" s="8" t="s">
        <v>8</v>
      </c>
      <c r="BE3" s="8" t="s">
        <v>8</v>
      </c>
      <c r="BF3" s="5"/>
      <c r="BG3" s="8" t="s">
        <v>8</v>
      </c>
      <c r="BH3" s="5"/>
      <c r="BI3" s="8" t="s">
        <v>8</v>
      </c>
      <c r="BJ3" s="5"/>
      <c r="BK3" s="8" t="s">
        <v>8</v>
      </c>
      <c r="BL3" s="8" t="s">
        <v>8</v>
      </c>
      <c r="BN3" s="8" t="s">
        <v>8</v>
      </c>
      <c r="BP3" s="8" t="s">
        <v>8</v>
      </c>
      <c r="BR3" s="8" t="s">
        <v>8</v>
      </c>
      <c r="BT3" s="8" t="s">
        <v>8</v>
      </c>
    </row>
    <row r="4" spans="1:72" ht="15.75" thickBot="1" x14ac:dyDescent="0.3">
      <c r="A4" s="3"/>
      <c r="B4" s="19" t="s">
        <v>14</v>
      </c>
      <c r="C4" s="9"/>
      <c r="D4" s="20" t="s">
        <v>15</v>
      </c>
      <c r="E4" s="21"/>
      <c r="F4" s="22" t="s">
        <v>16</v>
      </c>
      <c r="G4" s="9"/>
      <c r="H4" s="19"/>
      <c r="I4" s="13"/>
      <c r="J4" s="20" t="s">
        <v>17</v>
      </c>
      <c r="K4" s="21"/>
      <c r="L4" s="21" t="s">
        <v>16</v>
      </c>
      <c r="M4" s="9"/>
      <c r="N4" s="21"/>
      <c r="P4" s="22" t="s">
        <v>18</v>
      </c>
      <c r="R4" s="23" t="s">
        <v>19</v>
      </c>
      <c r="S4" s="24"/>
      <c r="T4" s="25" t="s">
        <v>20</v>
      </c>
      <c r="U4" s="26"/>
      <c r="V4" s="23" t="s">
        <v>21</v>
      </c>
      <c r="W4" s="24"/>
      <c r="X4" s="24"/>
      <c r="Y4" s="25" t="s">
        <v>21</v>
      </c>
      <c r="Z4" s="26"/>
      <c r="AC4" s="23" t="s">
        <v>22</v>
      </c>
      <c r="AD4" s="24"/>
      <c r="AE4" s="25" t="s">
        <v>23</v>
      </c>
      <c r="AF4" s="24"/>
      <c r="AG4" s="91"/>
      <c r="AH4" s="13" t="s">
        <v>24</v>
      </c>
      <c r="AI4" s="9"/>
      <c r="AJ4" s="20" t="s">
        <v>1144</v>
      </c>
      <c r="AK4" s="21"/>
      <c r="AL4" s="22" t="s">
        <v>1144</v>
      </c>
      <c r="AM4" s="19"/>
      <c r="AN4" s="9"/>
      <c r="AO4" s="22" t="s">
        <v>25</v>
      </c>
      <c r="AQ4" s="19" t="s">
        <v>26</v>
      </c>
      <c r="AS4" s="19" t="s">
        <v>27</v>
      </c>
      <c r="AT4" s="19"/>
      <c r="AU4" s="19" t="s">
        <v>28</v>
      </c>
      <c r="AW4" s="19" t="s">
        <v>29</v>
      </c>
      <c r="AY4" s="19" t="s">
        <v>30</v>
      </c>
      <c r="BA4" s="19" t="s">
        <v>31</v>
      </c>
      <c r="BC4" s="19" t="s">
        <v>32</v>
      </c>
      <c r="BE4" s="19" t="s">
        <v>33</v>
      </c>
      <c r="BF4" s="5"/>
      <c r="BG4" s="19" t="s">
        <v>25</v>
      </c>
      <c r="BH4" s="5"/>
      <c r="BI4" s="19" t="s">
        <v>26</v>
      </c>
      <c r="BJ4" s="5"/>
      <c r="BK4" s="19" t="s">
        <v>27</v>
      </c>
      <c r="BL4" s="19" t="s">
        <v>28</v>
      </c>
      <c r="BN4" s="19" t="s">
        <v>29</v>
      </c>
      <c r="BP4" s="19" t="s">
        <v>30</v>
      </c>
      <c r="BR4" s="19" t="s">
        <v>31</v>
      </c>
      <c r="BT4" s="19" t="s">
        <v>32</v>
      </c>
    </row>
    <row r="5" spans="1:72" x14ac:dyDescent="0.25">
      <c r="A5" s="3"/>
      <c r="BF5" s="5"/>
      <c r="BG5" s="5"/>
      <c r="BH5" s="5"/>
      <c r="BI5" s="5"/>
      <c r="BJ5" s="5"/>
      <c r="BK5" s="5"/>
      <c r="BL5" s="5"/>
      <c r="BN5" s="5"/>
      <c r="BP5" s="5"/>
      <c r="BR5" s="5"/>
      <c r="BT5" s="5"/>
    </row>
    <row r="6" spans="1:72" x14ac:dyDescent="0.25">
      <c r="A6" s="28" t="s">
        <v>1</v>
      </c>
      <c r="BF6" s="5"/>
      <c r="BG6" s="5"/>
      <c r="BH6" s="5"/>
      <c r="BI6" s="5"/>
      <c r="BJ6" s="5"/>
      <c r="BK6" s="5"/>
      <c r="BL6" s="5"/>
      <c r="BN6" s="5"/>
      <c r="BP6" s="5"/>
      <c r="BR6" s="5"/>
      <c r="BT6" s="5"/>
    </row>
    <row r="7" spans="1:72" x14ac:dyDescent="0.25">
      <c r="A7" s="3"/>
      <c r="BF7" s="5"/>
      <c r="BG7" s="5"/>
      <c r="BH7" s="5"/>
      <c r="BI7" s="5"/>
      <c r="BJ7" s="5"/>
      <c r="BK7" s="5"/>
      <c r="BL7" s="5"/>
      <c r="BN7" s="5"/>
      <c r="BP7" s="5"/>
      <c r="BR7" s="5"/>
      <c r="BT7" s="5"/>
    </row>
    <row r="8" spans="1:72" x14ac:dyDescent="0.25">
      <c r="A8" s="7"/>
      <c r="B8" s="29"/>
      <c r="D8" s="29"/>
      <c r="E8" s="29"/>
      <c r="F8" s="29"/>
      <c r="H8" s="29"/>
      <c r="I8" s="29"/>
      <c r="J8" s="29"/>
      <c r="K8" s="29"/>
      <c r="L8" s="29"/>
      <c r="N8" s="29"/>
      <c r="P8" s="29"/>
      <c r="Q8" s="3"/>
      <c r="R8" s="3"/>
      <c r="S8" s="3"/>
      <c r="T8" s="29"/>
      <c r="U8" s="3"/>
      <c r="V8" s="3"/>
      <c r="W8" s="3"/>
      <c r="X8" s="3"/>
      <c r="Y8" s="29"/>
      <c r="Z8" s="3"/>
      <c r="AA8" s="3"/>
      <c r="AB8" s="3"/>
      <c r="AC8" s="3"/>
      <c r="AD8" s="3"/>
      <c r="AE8" s="30"/>
      <c r="AF8" s="30"/>
      <c r="AG8" s="4"/>
      <c r="AH8" s="85"/>
      <c r="AJ8" s="3"/>
      <c r="AK8" s="3"/>
      <c r="AL8" s="3"/>
      <c r="AM8" s="3"/>
      <c r="AO8" s="29"/>
      <c r="AP8" s="3"/>
      <c r="AQ8" s="29"/>
      <c r="AR8" s="3"/>
      <c r="AS8" s="29"/>
      <c r="AT8" s="29"/>
      <c r="AU8" s="29"/>
      <c r="AW8" s="29"/>
      <c r="AY8" s="29"/>
      <c r="BA8" s="29"/>
      <c r="BC8" s="29"/>
      <c r="BE8" s="29"/>
      <c r="BF8" s="3"/>
      <c r="BG8" s="29"/>
      <c r="BH8" s="3"/>
      <c r="BI8" s="29"/>
      <c r="BJ8" s="3"/>
      <c r="BK8" s="29"/>
      <c r="BL8" s="29"/>
      <c r="BN8" s="29"/>
      <c r="BP8" s="29"/>
      <c r="BR8" s="29"/>
      <c r="BT8" s="29"/>
    </row>
    <row r="9" spans="1:72" x14ac:dyDescent="0.25">
      <c r="A9" s="7"/>
      <c r="B9" s="29"/>
      <c r="D9" s="29"/>
      <c r="E9" s="29"/>
      <c r="F9" s="29"/>
      <c r="H9" s="29"/>
      <c r="I9" s="29"/>
      <c r="J9" s="29"/>
      <c r="K9" s="29"/>
      <c r="L9" s="29"/>
      <c r="N9" s="29"/>
      <c r="P9" s="29"/>
      <c r="Q9" s="3"/>
      <c r="R9" s="3"/>
      <c r="S9" s="3"/>
      <c r="T9" s="29"/>
      <c r="U9" s="3"/>
      <c r="V9" s="3"/>
      <c r="W9" s="3"/>
      <c r="X9" s="3"/>
      <c r="Y9" s="29"/>
      <c r="Z9" s="3"/>
      <c r="AA9" s="3"/>
      <c r="AB9" s="3"/>
      <c r="AC9" s="3"/>
      <c r="AD9" s="3"/>
      <c r="AE9" s="30"/>
      <c r="AF9" s="30"/>
      <c r="AG9" s="4"/>
      <c r="AH9" s="85"/>
      <c r="AJ9" s="3"/>
      <c r="AK9" s="3"/>
      <c r="AL9" s="3"/>
      <c r="AM9" s="3"/>
      <c r="AO9" s="29"/>
      <c r="AP9" s="3"/>
      <c r="AQ9" s="29"/>
      <c r="AR9" s="3"/>
      <c r="AS9" s="29"/>
      <c r="AT9" s="29"/>
      <c r="AU9" s="29"/>
      <c r="AW9" s="29"/>
      <c r="AY9" s="29"/>
      <c r="BA9" s="29"/>
      <c r="BC9" s="29"/>
      <c r="BE9" s="29"/>
      <c r="BF9" s="3"/>
      <c r="BG9" s="29"/>
      <c r="BH9" s="3"/>
      <c r="BI9" s="29"/>
      <c r="BJ9" s="3"/>
      <c r="BK9" s="29"/>
      <c r="BL9" s="29"/>
      <c r="BN9" s="29"/>
      <c r="BP9" s="29"/>
      <c r="BR9" s="29"/>
      <c r="BT9" s="29"/>
    </row>
    <row r="10" spans="1:72" s="34" customFormat="1" x14ac:dyDescent="0.25">
      <c r="A10" s="7" t="s">
        <v>34</v>
      </c>
      <c r="B10" s="31">
        <v>878940</v>
      </c>
      <c r="C10" s="7"/>
      <c r="D10" s="31">
        <v>878940</v>
      </c>
      <c r="E10" s="31"/>
      <c r="F10" s="31">
        <v>878940</v>
      </c>
      <c r="G10" s="7"/>
      <c r="H10" s="31"/>
      <c r="I10" s="31"/>
      <c r="J10" s="31">
        <v>528972</v>
      </c>
      <c r="K10" s="31"/>
      <c r="L10" s="31">
        <v>878940</v>
      </c>
      <c r="M10" s="32"/>
      <c r="N10" s="31">
        <f>L10-F10</f>
        <v>0</v>
      </c>
      <c r="O10" s="32"/>
      <c r="P10" s="31">
        <v>867968</v>
      </c>
      <c r="Q10" s="7"/>
      <c r="R10" s="7"/>
      <c r="S10" s="7"/>
      <c r="T10" s="31">
        <v>854113</v>
      </c>
      <c r="U10" s="7">
        <f>T10-P10</f>
        <v>-13855</v>
      </c>
      <c r="V10" s="7"/>
      <c r="W10" s="7"/>
      <c r="X10" s="7"/>
      <c r="Y10" s="31">
        <v>854113</v>
      </c>
      <c r="Z10" s="7">
        <f>Y10-T10</f>
        <v>0</v>
      </c>
      <c r="AA10" s="7"/>
      <c r="AB10" s="7"/>
      <c r="AC10" s="7"/>
      <c r="AD10" s="7"/>
      <c r="AE10" s="33">
        <v>854113</v>
      </c>
      <c r="AF10" s="33"/>
      <c r="AG10" s="32"/>
      <c r="AH10" s="36">
        <f>AE23</f>
        <v>726186</v>
      </c>
      <c r="AI10" s="32"/>
      <c r="AJ10" s="7"/>
      <c r="AK10" s="7"/>
      <c r="AL10" s="7">
        <v>723178</v>
      </c>
      <c r="AM10" s="7">
        <f>AL10-AH10</f>
        <v>-3008</v>
      </c>
      <c r="AN10" s="32"/>
      <c r="AO10" s="31">
        <f>AH23</f>
        <v>731657.83697499707</v>
      </c>
      <c r="AP10" s="7"/>
      <c r="AQ10" s="31">
        <f>AO23</f>
        <v>1625403.4260998722</v>
      </c>
      <c r="AR10" s="7"/>
      <c r="AS10" s="31">
        <f>AQ23</f>
        <v>586319.29167577624</v>
      </c>
      <c r="AT10" s="31"/>
      <c r="AU10" s="31">
        <f>AS23</f>
        <v>419726.5699761007</v>
      </c>
      <c r="AW10" s="31">
        <f>AU23</f>
        <v>353393.26451812126</v>
      </c>
      <c r="AY10" s="31">
        <f>AW23</f>
        <v>291987.80706338026</v>
      </c>
      <c r="BA10" s="31">
        <f>AY23</f>
        <v>410707.11932287924</v>
      </c>
      <c r="BC10" s="31">
        <f>BA23</f>
        <v>489281.8992448952</v>
      </c>
      <c r="BE10" s="31">
        <f>BC23</f>
        <v>635498.81232701987</v>
      </c>
      <c r="BF10" s="7"/>
      <c r="BG10" s="31">
        <f>BE23</f>
        <v>982607.87344876863</v>
      </c>
      <c r="BH10" s="7"/>
      <c r="BI10" s="31">
        <f>BG23</f>
        <v>982607.87344876863</v>
      </c>
      <c r="BJ10" s="7"/>
      <c r="BK10" s="31">
        <f>BI23</f>
        <v>982607.87344876863</v>
      </c>
      <c r="BL10" s="31">
        <f>BK23</f>
        <v>982607.87344876863</v>
      </c>
      <c r="BN10" s="31">
        <f>BL23</f>
        <v>982607.87344876863</v>
      </c>
      <c r="BP10" s="31">
        <f>BN23</f>
        <v>982607.87344876863</v>
      </c>
      <c r="BR10" s="31">
        <f>BP23</f>
        <v>982607.87344876863</v>
      </c>
      <c r="BT10" s="31">
        <f>BR23</f>
        <v>982607.87344876863</v>
      </c>
    </row>
    <row r="11" spans="1:72" x14ac:dyDescent="0.25">
      <c r="A11" s="3"/>
      <c r="B11" s="29"/>
      <c r="D11" s="29"/>
      <c r="E11" s="29"/>
      <c r="F11" s="31">
        <v>779800</v>
      </c>
      <c r="H11" s="31"/>
      <c r="I11" s="31"/>
      <c r="J11" s="31">
        <v>779800</v>
      </c>
      <c r="K11" s="29"/>
      <c r="L11" s="31">
        <v>779800</v>
      </c>
      <c r="M11" s="32"/>
      <c r="N11" s="31">
        <f>L11-F11</f>
        <v>0</v>
      </c>
      <c r="P11" s="29"/>
      <c r="Q11" s="3"/>
      <c r="R11" s="3"/>
      <c r="S11" s="3"/>
      <c r="T11" s="29"/>
      <c r="U11" s="3"/>
      <c r="V11" s="3"/>
      <c r="W11" s="3"/>
      <c r="X11" s="3"/>
      <c r="Y11" s="29"/>
      <c r="Z11" s="3"/>
      <c r="AA11" s="3"/>
      <c r="AB11" s="3"/>
      <c r="AC11" s="3"/>
      <c r="AD11" s="3"/>
      <c r="AE11" s="30"/>
      <c r="AF11" s="30"/>
      <c r="AG11" s="4"/>
      <c r="AH11" s="85"/>
      <c r="AJ11" s="3"/>
      <c r="AK11" s="3"/>
      <c r="AL11" s="3"/>
      <c r="AM11" s="3"/>
      <c r="AO11" s="29"/>
      <c r="AP11" s="3"/>
      <c r="AQ11" s="29"/>
      <c r="AR11" s="3"/>
      <c r="AS11" s="29"/>
      <c r="AT11" s="29"/>
      <c r="AU11" s="29"/>
      <c r="AW11" s="29"/>
      <c r="AY11" s="29"/>
      <c r="BA11" s="29"/>
      <c r="BC11" s="29"/>
      <c r="BE11" s="29"/>
      <c r="BF11" s="3"/>
      <c r="BG11" s="29"/>
      <c r="BH11" s="3"/>
      <c r="BI11" s="29"/>
      <c r="BJ11" s="3"/>
      <c r="BK11" s="29"/>
      <c r="BL11" s="29"/>
      <c r="BN11" s="29"/>
      <c r="BP11" s="29"/>
      <c r="BR11" s="29"/>
      <c r="BT11" s="29"/>
    </row>
    <row r="12" spans="1:72" x14ac:dyDescent="0.25">
      <c r="A12" s="3"/>
      <c r="B12" s="29"/>
      <c r="D12" s="29"/>
      <c r="E12" s="29"/>
      <c r="F12" s="31">
        <v>-350000</v>
      </c>
      <c r="H12" s="31"/>
      <c r="I12" s="31"/>
      <c r="J12" s="29"/>
      <c r="K12" s="29"/>
      <c r="L12" s="31">
        <v>-350000</v>
      </c>
      <c r="M12" s="32"/>
      <c r="N12" s="31"/>
      <c r="P12" s="29"/>
      <c r="Q12" s="3"/>
      <c r="R12" s="3"/>
      <c r="S12" s="3"/>
      <c r="T12" s="29"/>
      <c r="U12" s="3"/>
      <c r="V12" s="3"/>
      <c r="W12" s="3"/>
      <c r="X12" s="3"/>
      <c r="Y12" s="29"/>
      <c r="Z12" s="3"/>
      <c r="AA12" s="3"/>
      <c r="AB12" s="3"/>
      <c r="AC12" s="3"/>
      <c r="AD12" s="3"/>
      <c r="AE12" s="30"/>
      <c r="AF12" s="30"/>
      <c r="AG12" s="4"/>
      <c r="AH12" s="85"/>
      <c r="AJ12" s="3"/>
      <c r="AK12" s="3"/>
      <c r="AL12" s="3"/>
      <c r="AM12" s="3"/>
      <c r="AO12" s="29"/>
      <c r="AP12" s="3"/>
      <c r="AQ12" s="29"/>
      <c r="AR12" s="3"/>
      <c r="AS12" s="29"/>
      <c r="AT12" s="29"/>
      <c r="AU12" s="29"/>
      <c r="AW12" s="29"/>
      <c r="AY12" s="29"/>
      <c r="BA12" s="29"/>
      <c r="BC12" s="29"/>
      <c r="BE12" s="29"/>
      <c r="BF12" s="3"/>
      <c r="BG12" s="29"/>
      <c r="BH12" s="3"/>
      <c r="BI12" s="29"/>
      <c r="BJ12" s="3"/>
      <c r="BK12" s="29"/>
      <c r="BL12" s="29"/>
      <c r="BN12" s="29"/>
      <c r="BP12" s="29"/>
      <c r="BR12" s="29"/>
      <c r="BT12" s="29"/>
    </row>
    <row r="13" spans="1:72" x14ac:dyDescent="0.25">
      <c r="A13" s="7" t="s">
        <v>35</v>
      </c>
      <c r="B13" s="31">
        <f>B338</f>
        <v>9878063.125</v>
      </c>
      <c r="C13" s="7"/>
      <c r="D13" s="31">
        <f>D338</f>
        <v>3732615</v>
      </c>
      <c r="E13" s="31"/>
      <c r="F13" s="31">
        <f>F338</f>
        <v>11002265</v>
      </c>
      <c r="G13" s="7"/>
      <c r="H13" s="31">
        <f>F13-B13</f>
        <v>1124201.875</v>
      </c>
      <c r="I13" s="31"/>
      <c r="J13" s="31">
        <f>J338</f>
        <v>5221067</v>
      </c>
      <c r="K13" s="31"/>
      <c r="L13" s="31">
        <f>L338</f>
        <v>10943336</v>
      </c>
      <c r="M13" s="32"/>
      <c r="N13" s="31">
        <f t="shared" ref="N13:N23" si="0">L13-F13</f>
        <v>-58929</v>
      </c>
      <c r="P13" s="31">
        <f>P338</f>
        <v>9601849.4000000004</v>
      </c>
      <c r="Q13" s="3"/>
      <c r="R13" s="3"/>
      <c r="S13" s="3"/>
      <c r="T13" s="31">
        <f>T338</f>
        <v>9733727</v>
      </c>
      <c r="U13" s="7">
        <f t="shared" ref="U13:U19" si="1">T13-P13</f>
        <v>131877.59999999963</v>
      </c>
      <c r="V13" s="3"/>
      <c r="W13" s="3"/>
      <c r="X13" s="3"/>
      <c r="Y13" s="31">
        <f>Y338</f>
        <v>10002842</v>
      </c>
      <c r="Z13" s="7">
        <f t="shared" ref="Z13:Z19" si="2">Y13-T13</f>
        <v>269115</v>
      </c>
      <c r="AA13" s="3"/>
      <c r="AB13" s="3"/>
      <c r="AC13" s="3"/>
      <c r="AD13" s="3"/>
      <c r="AE13" s="33">
        <f>AE338</f>
        <v>9971437</v>
      </c>
      <c r="AF13" s="33">
        <f>AF338</f>
        <v>-31404</v>
      </c>
      <c r="AG13" s="4"/>
      <c r="AH13" s="36">
        <f>AH338</f>
        <v>11013638.974374998</v>
      </c>
      <c r="AI13" s="32"/>
      <c r="AJ13" s="31"/>
      <c r="AK13" s="31"/>
      <c r="AL13" s="31">
        <f>AL338</f>
        <v>11212648</v>
      </c>
      <c r="AM13" s="7">
        <f t="shared" ref="AM13:AM33" si="3">AL13-AH13</f>
        <v>199009.02562500164</v>
      </c>
      <c r="AO13" s="31">
        <f>AO338</f>
        <v>7730401.8219218757</v>
      </c>
      <c r="AP13" s="3"/>
      <c r="AQ13" s="31">
        <f>AQ338</f>
        <v>8094778.5004703896</v>
      </c>
      <c r="AR13" s="3"/>
      <c r="AS13" s="31">
        <f>AS338</f>
        <v>8327207.1174495379</v>
      </c>
      <c r="AT13" s="31"/>
      <c r="AU13" s="31">
        <f>AU338</f>
        <v>8569695.1133911535</v>
      </c>
      <c r="AW13" s="31">
        <f>AW338</f>
        <v>8806315.1869936828</v>
      </c>
      <c r="AY13" s="31">
        <f>AY338</f>
        <v>8999294.1695435345</v>
      </c>
      <c r="BA13" s="31">
        <f>BA338</f>
        <v>9208539.5013023391</v>
      </c>
      <c r="BC13" s="31">
        <f>BC338</f>
        <v>9298718.3369608894</v>
      </c>
      <c r="BE13" s="31">
        <f>BE338</f>
        <v>9541518.1392626949</v>
      </c>
      <c r="BF13" s="3"/>
      <c r="BG13" s="31">
        <f>BG338</f>
        <v>0</v>
      </c>
      <c r="BH13" s="3"/>
      <c r="BI13" s="31">
        <f>BI338</f>
        <v>0</v>
      </c>
      <c r="BJ13" s="3"/>
      <c r="BK13" s="31">
        <f>BK338</f>
        <v>0</v>
      </c>
      <c r="BL13" s="31">
        <f>BL338</f>
        <v>0</v>
      </c>
      <c r="BN13" s="31">
        <f>BN338</f>
        <v>0</v>
      </c>
      <c r="BP13" s="31">
        <f>BP338</f>
        <v>0</v>
      </c>
      <c r="BR13" s="31">
        <f>BR338</f>
        <v>0</v>
      </c>
      <c r="BT13" s="31">
        <f>BT338</f>
        <v>0</v>
      </c>
    </row>
    <row r="14" spans="1:72" x14ac:dyDescent="0.25">
      <c r="A14" s="7" t="s">
        <v>36</v>
      </c>
      <c r="B14" s="35">
        <f>B357</f>
        <v>1130307</v>
      </c>
      <c r="C14" s="32"/>
      <c r="D14" s="35">
        <f>D357</f>
        <v>1945</v>
      </c>
      <c r="E14" s="36"/>
      <c r="F14" s="35">
        <f>F357</f>
        <v>617273</v>
      </c>
      <c r="G14" s="32"/>
      <c r="H14" s="35">
        <f>F14-B14</f>
        <v>-513034</v>
      </c>
      <c r="I14" s="36"/>
      <c r="J14" s="35">
        <f>J357</f>
        <v>12142</v>
      </c>
      <c r="K14" s="36"/>
      <c r="L14" s="35">
        <f>L357</f>
        <v>459965</v>
      </c>
      <c r="M14" s="32"/>
      <c r="N14" s="35">
        <f t="shared" si="0"/>
        <v>-157308</v>
      </c>
      <c r="P14" s="35">
        <f>P357</f>
        <v>1089089</v>
      </c>
      <c r="Q14" s="3"/>
      <c r="R14" s="3"/>
      <c r="S14" s="3"/>
      <c r="T14" s="35">
        <f>T357</f>
        <v>1281605</v>
      </c>
      <c r="U14" s="37">
        <f t="shared" si="1"/>
        <v>192516</v>
      </c>
      <c r="V14" s="3"/>
      <c r="W14" s="3"/>
      <c r="X14" s="3"/>
      <c r="Y14" s="35">
        <f>Y357</f>
        <v>1248750</v>
      </c>
      <c r="Z14" s="37">
        <f t="shared" si="2"/>
        <v>-32855</v>
      </c>
      <c r="AA14" s="3"/>
      <c r="AB14" s="3"/>
      <c r="AC14" s="3"/>
      <c r="AD14" s="3"/>
      <c r="AE14" s="35">
        <f>AE357</f>
        <v>1270055</v>
      </c>
      <c r="AF14" s="35">
        <f>AF357</f>
        <v>21305</v>
      </c>
      <c r="AG14" s="4"/>
      <c r="AH14" s="35">
        <f>AH357</f>
        <v>1459552</v>
      </c>
      <c r="AI14" s="32"/>
      <c r="AJ14" s="36"/>
      <c r="AK14" s="36"/>
      <c r="AL14" s="35">
        <f>AL357</f>
        <v>1670545</v>
      </c>
      <c r="AM14" s="37">
        <f t="shared" si="3"/>
        <v>210993</v>
      </c>
      <c r="AO14" s="35">
        <f>AO357</f>
        <v>2447494</v>
      </c>
      <c r="AP14" s="3"/>
      <c r="AQ14" s="35">
        <f>AQ357</f>
        <v>125827</v>
      </c>
      <c r="AR14" s="3"/>
      <c r="AS14" s="35">
        <f>AS357</f>
        <v>61823</v>
      </c>
      <c r="AT14" s="35"/>
      <c r="AU14" s="35">
        <f>AU357</f>
        <v>391035</v>
      </c>
      <c r="AW14" s="35">
        <f>AW357</f>
        <v>200948</v>
      </c>
      <c r="AY14" s="35">
        <f>AY357</f>
        <v>-13908</v>
      </c>
      <c r="BA14" s="35">
        <f>BA357</f>
        <v>248906</v>
      </c>
      <c r="BC14" s="35">
        <f>BC357</f>
        <v>146513</v>
      </c>
      <c r="BE14" s="35">
        <f>BE357</f>
        <v>441303</v>
      </c>
      <c r="BF14" s="3"/>
      <c r="BG14" s="35">
        <f>BG357</f>
        <v>0</v>
      </c>
      <c r="BH14" s="3"/>
      <c r="BI14" s="35">
        <f>BI357</f>
        <v>0</v>
      </c>
      <c r="BJ14" s="3"/>
      <c r="BK14" s="35">
        <f>BK357</f>
        <v>0</v>
      </c>
      <c r="BL14" s="35">
        <f>BL357</f>
        <v>0</v>
      </c>
      <c r="BN14" s="35">
        <f>BN357</f>
        <v>0</v>
      </c>
      <c r="BP14" s="35">
        <f>BP357</f>
        <v>0</v>
      </c>
      <c r="BR14" s="35">
        <f>BR357</f>
        <v>0</v>
      </c>
      <c r="BT14" s="35">
        <f>BT357</f>
        <v>0</v>
      </c>
    </row>
    <row r="15" spans="1:72" x14ac:dyDescent="0.25">
      <c r="A15" s="3"/>
      <c r="B15" s="36">
        <f>B13+B14</f>
        <v>11008370.125</v>
      </c>
      <c r="C15" s="32"/>
      <c r="D15" s="36">
        <f>D13+D14</f>
        <v>3734560</v>
      </c>
      <c r="E15" s="36"/>
      <c r="F15" s="36">
        <f>F13+F14</f>
        <v>11619538</v>
      </c>
      <c r="G15" s="32"/>
      <c r="H15" s="31">
        <f>F15-B15</f>
        <v>611167.875</v>
      </c>
      <c r="I15" s="31"/>
      <c r="J15" s="36">
        <f>J13+J14</f>
        <v>5233209</v>
      </c>
      <c r="K15" s="36"/>
      <c r="L15" s="36">
        <f>L13+L14</f>
        <v>11403301</v>
      </c>
      <c r="M15" s="32"/>
      <c r="N15" s="31">
        <f t="shared" si="0"/>
        <v>-216237</v>
      </c>
      <c r="P15" s="36">
        <f>P13+P14</f>
        <v>10690938.4</v>
      </c>
      <c r="T15" s="36">
        <f>T13+T14</f>
        <v>11015332</v>
      </c>
      <c r="U15" s="7">
        <f t="shared" si="1"/>
        <v>324393.59999999963</v>
      </c>
      <c r="Y15" s="36">
        <f>Y13+Y14</f>
        <v>11251592</v>
      </c>
      <c r="Z15" s="7">
        <f t="shared" si="2"/>
        <v>236260</v>
      </c>
      <c r="AE15" s="36">
        <f>AE13+AE14</f>
        <v>11241492</v>
      </c>
      <c r="AF15" s="36">
        <f>AF13+AF14</f>
        <v>-10099</v>
      </c>
      <c r="AH15" s="36">
        <f>AH13+AH14</f>
        <v>12473190.974374998</v>
      </c>
      <c r="AI15" s="32"/>
      <c r="AJ15" s="36"/>
      <c r="AK15" s="36"/>
      <c r="AL15" s="36">
        <f>AL13+AL14</f>
        <v>12883193</v>
      </c>
      <c r="AM15" s="7">
        <f t="shared" si="3"/>
        <v>410002.02562500164</v>
      </c>
      <c r="AO15" s="36">
        <f>AO13+AO14</f>
        <v>10177895.821921876</v>
      </c>
      <c r="AQ15" s="36">
        <f>AQ13+AQ14</f>
        <v>8220605.5004703896</v>
      </c>
      <c r="AS15" s="36">
        <f>AS13+AS14</f>
        <v>8389030.1174495369</v>
      </c>
      <c r="AT15" s="36"/>
      <c r="AU15" s="36">
        <f>AU13+AU14</f>
        <v>8960730.1133911535</v>
      </c>
      <c r="AW15" s="36">
        <f>AW13+AW14</f>
        <v>9007263.1869936828</v>
      </c>
      <c r="AY15" s="36">
        <f>AY13+AY14</f>
        <v>8985386.1695435345</v>
      </c>
      <c r="BA15" s="36">
        <f>BA13+BA14</f>
        <v>9457445.5013023391</v>
      </c>
      <c r="BC15" s="36">
        <f>BC13+BC14</f>
        <v>9445231.3369608894</v>
      </c>
      <c r="BE15" s="36">
        <f>BE13+BE14</f>
        <v>9982821.1392626949</v>
      </c>
      <c r="BF15" s="5"/>
      <c r="BG15" s="36">
        <f>BG13+BG14</f>
        <v>0</v>
      </c>
      <c r="BH15" s="5"/>
      <c r="BI15" s="36">
        <f>BI13+BI14</f>
        <v>0</v>
      </c>
      <c r="BJ15" s="5"/>
      <c r="BK15" s="36">
        <f>BK13+BK14</f>
        <v>0</v>
      </c>
      <c r="BL15" s="36">
        <f>BL13+BL14</f>
        <v>0</v>
      </c>
      <c r="BN15" s="36">
        <f>BN13+BN14</f>
        <v>0</v>
      </c>
      <c r="BP15" s="36">
        <f>BP13+BP14</f>
        <v>0</v>
      </c>
      <c r="BR15" s="36">
        <f>BR13+BR14</f>
        <v>0</v>
      </c>
      <c r="BT15" s="36">
        <f>BT13+BT14</f>
        <v>0</v>
      </c>
    </row>
    <row r="16" spans="1:72" x14ac:dyDescent="0.25">
      <c r="A16" s="7"/>
      <c r="B16" s="31"/>
      <c r="C16" s="7"/>
      <c r="D16" s="31"/>
      <c r="E16" s="31"/>
      <c r="F16" s="31"/>
      <c r="G16" s="7"/>
      <c r="H16" s="31"/>
      <c r="I16" s="31"/>
      <c r="J16" s="31"/>
      <c r="K16" s="31"/>
      <c r="L16" s="31"/>
      <c r="M16" s="32"/>
      <c r="N16" s="31">
        <f t="shared" si="0"/>
        <v>0</v>
      </c>
      <c r="P16" s="31"/>
      <c r="T16" s="31"/>
      <c r="U16" s="7">
        <f t="shared" si="1"/>
        <v>0</v>
      </c>
      <c r="Y16" s="31"/>
      <c r="Z16" s="7">
        <f t="shared" si="2"/>
        <v>0</v>
      </c>
      <c r="AE16" s="31"/>
      <c r="AF16" s="31"/>
      <c r="AH16" s="36"/>
      <c r="AI16" s="32"/>
      <c r="AM16" s="7">
        <f t="shared" si="3"/>
        <v>0</v>
      </c>
      <c r="AO16" s="31"/>
      <c r="AQ16" s="31"/>
      <c r="AS16" s="31"/>
      <c r="AT16" s="31"/>
      <c r="AU16" s="31"/>
      <c r="AW16" s="31"/>
      <c r="AY16" s="31"/>
      <c r="BA16" s="31"/>
      <c r="BC16" s="31"/>
      <c r="BE16" s="31"/>
      <c r="BF16" s="5"/>
      <c r="BG16" s="31"/>
      <c r="BH16" s="5"/>
      <c r="BI16" s="31"/>
      <c r="BJ16" s="5"/>
      <c r="BK16" s="31"/>
      <c r="BL16" s="31"/>
      <c r="BN16" s="31"/>
      <c r="BP16" s="31"/>
      <c r="BR16" s="31"/>
      <c r="BT16" s="31"/>
    </row>
    <row r="17" spans="1:72" x14ac:dyDescent="0.25">
      <c r="A17" s="7" t="s">
        <v>37</v>
      </c>
      <c r="B17" s="31">
        <f>B836</f>
        <v>9432799</v>
      </c>
      <c r="C17" s="7"/>
      <c r="D17" s="31">
        <f>D836</f>
        <v>2149817</v>
      </c>
      <c r="E17" s="31"/>
      <c r="F17" s="31">
        <f>F836</f>
        <v>10336946</v>
      </c>
      <c r="G17" s="7"/>
      <c r="H17" s="31">
        <f>F17-B17</f>
        <v>904147</v>
      </c>
      <c r="I17" s="31"/>
      <c r="J17" s="31">
        <f>J836</f>
        <v>4922292</v>
      </c>
      <c r="K17" s="31"/>
      <c r="L17" s="31">
        <f>L836</f>
        <v>10112378</v>
      </c>
      <c r="M17" s="32"/>
      <c r="N17" s="31">
        <f t="shared" si="0"/>
        <v>-224568</v>
      </c>
      <c r="P17" s="31">
        <f>P836</f>
        <v>9583693.9279999994</v>
      </c>
      <c r="T17" s="31">
        <f>T836</f>
        <v>9769648.5571075007</v>
      </c>
      <c r="U17" s="7">
        <f t="shared" si="1"/>
        <v>185954.62910750136</v>
      </c>
      <c r="Y17" s="31">
        <f>Y836</f>
        <v>10106764</v>
      </c>
      <c r="Z17" s="7">
        <f t="shared" si="2"/>
        <v>337115.44289249927</v>
      </c>
      <c r="AE17" s="31">
        <f>AE836</f>
        <v>10127014</v>
      </c>
      <c r="AF17" s="31">
        <f>AF836</f>
        <v>20249</v>
      </c>
      <c r="AH17" s="36">
        <f>AH836</f>
        <v>11179806.910800001</v>
      </c>
      <c r="AI17" s="32"/>
      <c r="AJ17" s="31"/>
      <c r="AK17" s="31"/>
      <c r="AL17" s="31">
        <f>AL836</f>
        <v>11523025</v>
      </c>
      <c r="AM17" s="7">
        <f t="shared" si="3"/>
        <v>343218.08919999935</v>
      </c>
      <c r="AO17" s="31">
        <f>AO836</f>
        <v>7398326.5693990011</v>
      </c>
      <c r="AQ17" s="31">
        <f>AQ836</f>
        <v>7649554.2615115466</v>
      </c>
      <c r="AS17" s="31">
        <f>AS836</f>
        <v>7814214.0318514518</v>
      </c>
      <c r="AT17" s="31"/>
      <c r="AU17" s="31">
        <f>AU836</f>
        <v>7937934.9903156627</v>
      </c>
      <c r="AW17" s="31">
        <f>AW836</f>
        <v>8213432.9309608378</v>
      </c>
      <c r="AY17" s="31">
        <f>AY836</f>
        <v>8211534.7053512242</v>
      </c>
      <c r="BA17" s="31">
        <f>BA836</f>
        <v>8490950.4739840925</v>
      </c>
      <c r="BC17" s="31">
        <f>BC836</f>
        <v>8567610.906329412</v>
      </c>
      <c r="BE17" s="31">
        <f>BE836</f>
        <v>8796567.5835316647</v>
      </c>
      <c r="BF17" s="5"/>
      <c r="BG17" s="31">
        <f>BG836</f>
        <v>0</v>
      </c>
      <c r="BH17" s="5"/>
      <c r="BI17" s="31">
        <f>BI836</f>
        <v>0</v>
      </c>
      <c r="BJ17" s="5"/>
      <c r="BK17" s="31">
        <f>BK836</f>
        <v>0</v>
      </c>
      <c r="BL17" s="31">
        <f>BL836</f>
        <v>0</v>
      </c>
      <c r="BN17" s="31">
        <f>BN836</f>
        <v>0</v>
      </c>
      <c r="BP17" s="31">
        <f>BP836</f>
        <v>0</v>
      </c>
      <c r="BR17" s="31">
        <f>BR836</f>
        <v>0</v>
      </c>
      <c r="BT17" s="31">
        <f>BT836</f>
        <v>0</v>
      </c>
    </row>
    <row r="18" spans="1:72" x14ac:dyDescent="0.25">
      <c r="A18" s="7" t="s">
        <v>38</v>
      </c>
      <c r="B18" s="35">
        <f>B1043</f>
        <v>1605150</v>
      </c>
      <c r="C18" s="32"/>
      <c r="D18" s="35">
        <f>D1043</f>
        <v>490318</v>
      </c>
      <c r="E18" s="36"/>
      <c r="F18" s="35">
        <f>F1043</f>
        <v>1707150</v>
      </c>
      <c r="G18" s="32"/>
      <c r="H18" s="35">
        <f>F18-B18</f>
        <v>102000</v>
      </c>
      <c r="I18" s="36"/>
      <c r="J18" s="35">
        <f>J1043</f>
        <v>732042</v>
      </c>
      <c r="K18" s="36"/>
      <c r="L18" s="35">
        <f>L1043</f>
        <v>1711695</v>
      </c>
      <c r="M18" s="32"/>
      <c r="N18" s="35">
        <f t="shared" si="0"/>
        <v>4545</v>
      </c>
      <c r="P18" s="35">
        <f>P1043</f>
        <v>1168600.22</v>
      </c>
      <c r="T18" s="35">
        <f>T1043</f>
        <v>1334200</v>
      </c>
      <c r="U18" s="37">
        <f t="shared" si="1"/>
        <v>165599.78000000003</v>
      </c>
      <c r="Y18" s="35">
        <f>Y1043</f>
        <v>1251180</v>
      </c>
      <c r="Z18" s="37">
        <f t="shared" si="2"/>
        <v>-83020</v>
      </c>
      <c r="AE18" s="35">
        <f>AE1043</f>
        <v>1242405</v>
      </c>
      <c r="AF18" s="35">
        <f>AF1043</f>
        <v>-8775</v>
      </c>
      <c r="AH18" s="35">
        <f>AH1043</f>
        <v>1287912.2265999999</v>
      </c>
      <c r="AI18" s="32"/>
      <c r="AJ18" s="36"/>
      <c r="AK18" s="36"/>
      <c r="AL18" s="35">
        <f>AL1043</f>
        <v>1365900</v>
      </c>
      <c r="AM18" s="37">
        <f t="shared" si="3"/>
        <v>77987.773400000064</v>
      </c>
      <c r="AO18" s="35">
        <f>AO1043</f>
        <v>1885823.6633979999</v>
      </c>
      <c r="AQ18" s="35">
        <f>AQ1043</f>
        <v>1610135.3733829402</v>
      </c>
      <c r="AS18" s="35">
        <f>AS1043</f>
        <v>741408.8072977605</v>
      </c>
      <c r="AT18" s="35"/>
      <c r="AU18" s="35">
        <f>AU1043</f>
        <v>1089128.4285334703</v>
      </c>
      <c r="AW18" s="35">
        <f>AW1043</f>
        <v>855235.71348758682</v>
      </c>
      <c r="AY18" s="35">
        <f>AY1043</f>
        <v>655132.1519328109</v>
      </c>
      <c r="BA18" s="35">
        <f>BA1043</f>
        <v>887920.24739623035</v>
      </c>
      <c r="BC18" s="35">
        <f>BC1043</f>
        <v>731403.51754935307</v>
      </c>
      <c r="BE18" s="35">
        <f>BE1043</f>
        <v>839144.494609282</v>
      </c>
      <c r="BF18" s="5"/>
      <c r="BG18" s="35">
        <f>BG1043</f>
        <v>0</v>
      </c>
      <c r="BH18" s="5"/>
      <c r="BI18" s="35">
        <f>BI1043</f>
        <v>0</v>
      </c>
      <c r="BJ18" s="5"/>
      <c r="BK18" s="35">
        <f>BK1043</f>
        <v>0</v>
      </c>
      <c r="BL18" s="35">
        <f>BL1043</f>
        <v>0</v>
      </c>
      <c r="BN18" s="35">
        <f>BN1043</f>
        <v>0</v>
      </c>
      <c r="BP18" s="35">
        <f>BP1043</f>
        <v>0</v>
      </c>
      <c r="BR18" s="35">
        <f>BR1043</f>
        <v>0</v>
      </c>
      <c r="BT18" s="35">
        <f>BT1043</f>
        <v>0</v>
      </c>
    </row>
    <row r="19" spans="1:72" x14ac:dyDescent="0.25">
      <c r="A19" s="3"/>
      <c r="B19" s="36">
        <f>B17+B18</f>
        <v>11037949</v>
      </c>
      <c r="C19" s="32"/>
      <c r="D19" s="36">
        <f>D17+D18</f>
        <v>2640135</v>
      </c>
      <c r="E19" s="36"/>
      <c r="F19" s="36">
        <f>F17+F18</f>
        <v>12044096</v>
      </c>
      <c r="G19" s="32"/>
      <c r="H19" s="31">
        <f>F19-B19</f>
        <v>1006147</v>
      </c>
      <c r="I19" s="31"/>
      <c r="J19" s="36">
        <f>J17+J18</f>
        <v>5654334</v>
      </c>
      <c r="K19" s="36"/>
      <c r="L19" s="36">
        <f>L17+L18</f>
        <v>11824073</v>
      </c>
      <c r="M19" s="32"/>
      <c r="N19" s="31">
        <f t="shared" si="0"/>
        <v>-220023</v>
      </c>
      <c r="P19" s="36">
        <f>P17+P18</f>
        <v>10752294.148</v>
      </c>
      <c r="T19" s="36">
        <f>T17+T18</f>
        <v>11103848.557107501</v>
      </c>
      <c r="U19" s="7">
        <f t="shared" si="1"/>
        <v>351554.40910750069</v>
      </c>
      <c r="Y19" s="36">
        <f>Y17+Y18</f>
        <v>11357944</v>
      </c>
      <c r="Z19" s="7">
        <f t="shared" si="2"/>
        <v>254095.44289249927</v>
      </c>
      <c r="AE19" s="36">
        <f>AE17+AE18</f>
        <v>11369419</v>
      </c>
      <c r="AF19" s="36">
        <f>AF17+AF18</f>
        <v>11474</v>
      </c>
      <c r="AH19" s="36">
        <f>AH17+AH18</f>
        <v>12467719.137400001</v>
      </c>
      <c r="AI19" s="32"/>
      <c r="AJ19" s="36"/>
      <c r="AK19" s="36"/>
      <c r="AL19" s="36">
        <f>AL17+AL18</f>
        <v>12888925</v>
      </c>
      <c r="AM19" s="7">
        <f t="shared" si="3"/>
        <v>421205.86259999871</v>
      </c>
      <c r="AO19" s="36">
        <f>AO17+AO18</f>
        <v>9284150.2327970006</v>
      </c>
      <c r="AQ19" s="36">
        <f>AQ17+AQ18</f>
        <v>9259689.6348944865</v>
      </c>
      <c r="AS19" s="36">
        <f>AS17+AS18</f>
        <v>8555622.8391492125</v>
      </c>
      <c r="AT19" s="36"/>
      <c r="AU19" s="36">
        <f>AU17+AU18</f>
        <v>9027063.418849133</v>
      </c>
      <c r="AW19" s="36">
        <f>AW17+AW18</f>
        <v>9068668.6444484238</v>
      </c>
      <c r="AY19" s="36">
        <f>AY17+AY18</f>
        <v>8866666.8572840355</v>
      </c>
      <c r="BA19" s="36">
        <f>BA17+BA18</f>
        <v>9378870.7213803232</v>
      </c>
      <c r="BC19" s="36">
        <f>BC17+BC18</f>
        <v>9299014.4238787647</v>
      </c>
      <c r="BE19" s="36">
        <f>BE17+BE18</f>
        <v>9635712.0781409461</v>
      </c>
      <c r="BF19" s="5"/>
      <c r="BG19" s="36">
        <f>BG17+BG18</f>
        <v>0</v>
      </c>
      <c r="BH19" s="5"/>
      <c r="BI19" s="36">
        <f>BI17+BI18</f>
        <v>0</v>
      </c>
      <c r="BJ19" s="5"/>
      <c r="BK19" s="36">
        <f>BK17+BK18</f>
        <v>0</v>
      </c>
      <c r="BL19" s="36">
        <f>BL17+BL18</f>
        <v>0</v>
      </c>
      <c r="BN19" s="36">
        <f>BN17+BN18</f>
        <v>0</v>
      </c>
      <c r="BP19" s="36">
        <f>BP17+BP18</f>
        <v>0</v>
      </c>
      <c r="BR19" s="36">
        <f>BR17+BR18</f>
        <v>0</v>
      </c>
      <c r="BT19" s="36">
        <f>BT17+BT18</f>
        <v>0</v>
      </c>
    </row>
    <row r="20" spans="1:72" x14ac:dyDescent="0.25">
      <c r="A20" s="7" t="s">
        <v>39</v>
      </c>
      <c r="B20" s="31"/>
      <c r="C20" s="7"/>
      <c r="D20" s="31"/>
      <c r="E20" s="31"/>
      <c r="F20" s="31"/>
      <c r="G20" s="7"/>
      <c r="H20" s="31"/>
      <c r="I20" s="31"/>
      <c r="J20" s="31"/>
      <c r="K20" s="31"/>
      <c r="L20" s="31"/>
      <c r="M20" s="32"/>
      <c r="N20" s="31">
        <f t="shared" si="0"/>
        <v>0</v>
      </c>
      <c r="P20" s="31"/>
      <c r="T20" s="31"/>
      <c r="Y20" s="31"/>
      <c r="AE20" s="31"/>
      <c r="AF20" s="31"/>
      <c r="AH20" s="36"/>
      <c r="AI20" s="32"/>
      <c r="AM20" s="7">
        <f t="shared" si="3"/>
        <v>0</v>
      </c>
      <c r="AO20" s="31"/>
      <c r="AQ20" s="31"/>
      <c r="AS20" s="31"/>
      <c r="AT20" s="31"/>
      <c r="AU20" s="31"/>
      <c r="AW20" s="31"/>
      <c r="AY20" s="31"/>
      <c r="BA20" s="31"/>
      <c r="BC20" s="31"/>
      <c r="BE20" s="31"/>
      <c r="BF20" s="5"/>
      <c r="BG20" s="31"/>
      <c r="BH20" s="5"/>
      <c r="BI20" s="31"/>
      <c r="BJ20" s="5"/>
      <c r="BK20" s="31"/>
      <c r="BL20" s="31"/>
      <c r="BN20" s="31"/>
      <c r="BP20" s="31"/>
      <c r="BR20" s="31"/>
      <c r="BT20" s="31"/>
    </row>
    <row r="21" spans="1:72" x14ac:dyDescent="0.25">
      <c r="A21" s="7" t="s">
        <v>40</v>
      </c>
      <c r="B21" s="31"/>
      <c r="C21" s="7"/>
      <c r="D21" s="31"/>
      <c r="E21" s="31"/>
      <c r="F21" s="31"/>
      <c r="G21" s="7"/>
      <c r="H21" s="31"/>
      <c r="I21" s="31"/>
      <c r="J21" s="31"/>
      <c r="K21" s="31"/>
      <c r="L21" s="31"/>
      <c r="M21" s="32"/>
      <c r="N21" s="31">
        <f t="shared" si="0"/>
        <v>0</v>
      </c>
      <c r="P21" s="31"/>
      <c r="T21" s="31"/>
      <c r="Y21" s="31"/>
      <c r="AE21" s="31"/>
      <c r="AF21" s="31"/>
      <c r="AH21" s="36"/>
      <c r="AI21" s="32"/>
      <c r="AM21" s="7">
        <f t="shared" si="3"/>
        <v>0</v>
      </c>
      <c r="AO21" s="31"/>
      <c r="AQ21" s="31"/>
      <c r="AS21" s="31"/>
      <c r="AT21" s="31"/>
      <c r="AU21" s="31"/>
      <c r="AW21" s="31"/>
      <c r="AY21" s="31"/>
      <c r="BA21" s="31"/>
      <c r="BC21" s="31"/>
      <c r="BE21" s="31"/>
      <c r="BF21" s="5"/>
      <c r="BG21" s="31"/>
      <c r="BH21" s="5"/>
      <c r="BI21" s="31"/>
      <c r="BJ21" s="5"/>
      <c r="BK21" s="31"/>
      <c r="BL21" s="31"/>
      <c r="BN21" s="31"/>
      <c r="BP21" s="31"/>
      <c r="BR21" s="31"/>
      <c r="BT21" s="31"/>
    </row>
    <row r="22" spans="1:72" x14ac:dyDescent="0.25">
      <c r="A22" s="7" t="s">
        <v>41</v>
      </c>
      <c r="B22" s="35">
        <f>B15-B19</f>
        <v>-29578.875</v>
      </c>
      <c r="C22" s="32"/>
      <c r="D22" s="35">
        <f>D15-D19</f>
        <v>1094425</v>
      </c>
      <c r="E22" s="36"/>
      <c r="F22" s="35">
        <f>F15-F19</f>
        <v>-424558</v>
      </c>
      <c r="G22" s="32"/>
      <c r="H22" s="35">
        <f>F22-B22</f>
        <v>-394979.125</v>
      </c>
      <c r="I22" s="36"/>
      <c r="J22" s="35">
        <f>J15-J19</f>
        <v>-421125</v>
      </c>
      <c r="K22" s="36"/>
      <c r="L22" s="35">
        <f>L15-L19</f>
        <v>-420772</v>
      </c>
      <c r="M22" s="32"/>
      <c r="N22" s="35">
        <f t="shared" si="0"/>
        <v>3786</v>
      </c>
      <c r="P22" s="35">
        <f>P15-P19</f>
        <v>-61355.747999999672</v>
      </c>
      <c r="T22" s="35">
        <f>T15-T19</f>
        <v>-88516.557107500732</v>
      </c>
      <c r="U22" s="37">
        <f>T22-P22</f>
        <v>-27160.80910750106</v>
      </c>
      <c r="Y22" s="35">
        <f>Y15-Y19</f>
        <v>-106352</v>
      </c>
      <c r="Z22" s="37">
        <f>Y22-T22</f>
        <v>-17835.442892499268</v>
      </c>
      <c r="AE22" s="35">
        <f>AE15-AE19</f>
        <v>-127927</v>
      </c>
      <c r="AF22" s="35">
        <f>AF15-AF19</f>
        <v>-21573</v>
      </c>
      <c r="AH22" s="35">
        <f>AH15-AH19</f>
        <v>5471.8369749970734</v>
      </c>
      <c r="AI22" s="32"/>
      <c r="AJ22" s="36"/>
      <c r="AK22" s="36"/>
      <c r="AL22" s="35">
        <f>AL15-AL19</f>
        <v>-5732</v>
      </c>
      <c r="AM22" s="37">
        <f t="shared" si="3"/>
        <v>-11203.836974997073</v>
      </c>
      <c r="AO22" s="35">
        <f>AO15-AO19</f>
        <v>893745.58912487514</v>
      </c>
      <c r="AQ22" s="35">
        <f>AQ15-AQ19</f>
        <v>-1039084.1344240969</v>
      </c>
      <c r="AS22" s="35">
        <f>AS15-AS19</f>
        <v>-166592.72169967555</v>
      </c>
      <c r="AT22" s="35"/>
      <c r="AU22" s="35">
        <f>AU15-AU19</f>
        <v>-66333.305457979441</v>
      </c>
      <c r="AW22" s="35">
        <f>AW15-AW19</f>
        <v>-61405.457454741001</v>
      </c>
      <c r="AY22" s="35">
        <f>AY15-AY19</f>
        <v>118719.31225949898</v>
      </c>
      <c r="BA22" s="35">
        <f>BA15-BA19</f>
        <v>78574.779922015965</v>
      </c>
      <c r="BC22" s="35">
        <f>BC15-BC19</f>
        <v>146216.91308212467</v>
      </c>
      <c r="BE22" s="35">
        <f>BE15-BE19</f>
        <v>347109.06112174876</v>
      </c>
      <c r="BF22" s="5"/>
      <c r="BG22" s="35">
        <f>BG15-BG19</f>
        <v>0</v>
      </c>
      <c r="BH22" s="5"/>
      <c r="BI22" s="35">
        <f>BI15-BI19</f>
        <v>0</v>
      </c>
      <c r="BJ22" s="5"/>
      <c r="BK22" s="35">
        <f>BK15-BK19</f>
        <v>0</v>
      </c>
      <c r="BL22" s="35">
        <f>BL15-BL19</f>
        <v>0</v>
      </c>
      <c r="BN22" s="35">
        <f>BN15-BN19</f>
        <v>0</v>
      </c>
      <c r="BP22" s="35">
        <f>BP15-BP19</f>
        <v>0</v>
      </c>
      <c r="BR22" s="35">
        <f>BR15-BR19</f>
        <v>0</v>
      </c>
      <c r="BT22" s="35">
        <f>BT15-BT19</f>
        <v>0</v>
      </c>
    </row>
    <row r="23" spans="1:72" x14ac:dyDescent="0.25">
      <c r="A23" s="7" t="s">
        <v>42</v>
      </c>
      <c r="B23" s="36">
        <f>B10+B11+B15-B19+B21</f>
        <v>849361.125</v>
      </c>
      <c r="C23" s="32"/>
      <c r="D23" s="36">
        <f>D10+D11+D15-D19+D21</f>
        <v>1973365</v>
      </c>
      <c r="E23" s="36"/>
      <c r="F23" s="36">
        <f>F10+F11+F15-F19+F21+F12</f>
        <v>884182</v>
      </c>
      <c r="G23" s="32"/>
      <c r="H23" s="31">
        <f>F23-B23</f>
        <v>34820.875</v>
      </c>
      <c r="I23" s="31"/>
      <c r="J23" s="36">
        <f>J10+J11+J15-J19+J21</f>
        <v>887647</v>
      </c>
      <c r="K23" s="36"/>
      <c r="L23" s="36">
        <f>L10+L11+L15-L19+L21+L12</f>
        <v>887968</v>
      </c>
      <c r="M23" s="32"/>
      <c r="N23" s="31">
        <f t="shared" si="0"/>
        <v>3786</v>
      </c>
      <c r="P23" s="36">
        <f>P10+P15-P19+P21</f>
        <v>806612.25200000033</v>
      </c>
      <c r="T23" s="36">
        <f>T10+T15-T19+T21</f>
        <v>765596.44289249927</v>
      </c>
      <c r="U23" s="7">
        <f>T23-P23</f>
        <v>-41015.80910750106</v>
      </c>
      <c r="Y23" s="36">
        <f>Y10+Y15-Y19+Y21</f>
        <v>747761</v>
      </c>
      <c r="Z23" s="7">
        <f>Y23-T23</f>
        <v>-17835.442892499268</v>
      </c>
      <c r="AE23" s="36">
        <f>AE10+AE15-AE19+AE21</f>
        <v>726186</v>
      </c>
      <c r="AF23" s="36">
        <f>AF10+AF15-AF19+AF21</f>
        <v>-21573</v>
      </c>
      <c r="AH23" s="36">
        <f>AH10+AH15-AH19+AH21</f>
        <v>731657.83697499707</v>
      </c>
      <c r="AI23" s="32"/>
      <c r="AJ23" s="36"/>
      <c r="AK23" s="36"/>
      <c r="AL23" s="36">
        <f>AL10+AL15-AL19+AL21</f>
        <v>717446</v>
      </c>
      <c r="AM23" s="7">
        <f t="shared" si="3"/>
        <v>-14211.836974997073</v>
      </c>
      <c r="AO23" s="36">
        <f>AO10+AO15-AO19+AO21</f>
        <v>1625403.4260998722</v>
      </c>
      <c r="AQ23" s="36">
        <f>AQ10+AQ15-AQ19+AQ21</f>
        <v>586319.29167577624</v>
      </c>
      <c r="AS23" s="36">
        <f>AS10+AS15-AS19+AS21</f>
        <v>419726.5699761007</v>
      </c>
      <c r="AT23" s="36"/>
      <c r="AU23" s="36">
        <f>AU10+AU15-AU19+AU21</f>
        <v>353393.26451812126</v>
      </c>
      <c r="AW23" s="36">
        <f>AW10+AW15-AW19+AW21</f>
        <v>291987.80706338026</v>
      </c>
      <c r="AY23" s="36">
        <f>AY10+AY15-AY19+AY21</f>
        <v>410707.11932287924</v>
      </c>
      <c r="BA23" s="36">
        <f>BA10+BA15-BA19+BA21</f>
        <v>489281.8992448952</v>
      </c>
      <c r="BC23" s="36">
        <f>BC10+BC15-BC19+BC21</f>
        <v>635498.81232701987</v>
      </c>
      <c r="BE23" s="36">
        <f>BE10+BE15-BE19+BE21</f>
        <v>982607.87344876863</v>
      </c>
      <c r="BF23" s="5"/>
      <c r="BG23" s="36">
        <f>BG10+BG15-BG19+BG21</f>
        <v>982607.87344876863</v>
      </c>
      <c r="BH23" s="5"/>
      <c r="BI23" s="36">
        <f>BI10+BI15-BI19+BI21</f>
        <v>982607.87344876863</v>
      </c>
      <c r="BJ23" s="5"/>
      <c r="BK23" s="36">
        <f>BK10+BK15-BK19+BK21</f>
        <v>982607.87344876863</v>
      </c>
      <c r="BL23" s="36">
        <f>BL10+BL15-BL19+BL21</f>
        <v>982607.87344876863</v>
      </c>
      <c r="BN23" s="36">
        <f>BN10+BN15-BN19+BN21</f>
        <v>982607.87344876863</v>
      </c>
      <c r="BP23" s="36">
        <f>BP10+BP15-BP19+BP21</f>
        <v>982607.87344876863</v>
      </c>
      <c r="BR23" s="36">
        <f>BR10+BR15-BR19+BR21</f>
        <v>982607.87344876863</v>
      </c>
      <c r="BT23" s="36">
        <f>BT10+BT15-BT19+BT21</f>
        <v>982607.87344876863</v>
      </c>
    </row>
    <row r="24" spans="1:72" x14ac:dyDescent="0.25">
      <c r="A24" s="3"/>
      <c r="B24" s="29"/>
      <c r="D24" s="29"/>
      <c r="E24" s="29"/>
      <c r="F24" s="29"/>
      <c r="H24" s="29"/>
      <c r="I24" s="29"/>
      <c r="J24" s="29"/>
      <c r="K24" s="29"/>
      <c r="L24" s="29"/>
      <c r="N24" s="29"/>
      <c r="P24" s="29"/>
      <c r="T24" s="29"/>
      <c r="Y24" s="29"/>
      <c r="AE24" s="29"/>
      <c r="AF24" s="29"/>
      <c r="AH24" s="85"/>
      <c r="AM24" s="7">
        <f t="shared" si="3"/>
        <v>0</v>
      </c>
      <c r="AO24" s="29"/>
      <c r="AQ24" s="29"/>
      <c r="AS24" s="29"/>
      <c r="AT24" s="29"/>
      <c r="AU24" s="29"/>
      <c r="AW24" s="29"/>
      <c r="AY24" s="29"/>
      <c r="BA24" s="29"/>
      <c r="BC24" s="29"/>
      <c r="BE24" s="29"/>
      <c r="BF24" s="5"/>
      <c r="BG24" s="29"/>
      <c r="BH24" s="5"/>
      <c r="BI24" s="29"/>
      <c r="BJ24" s="5"/>
      <c r="BK24" s="29"/>
      <c r="BL24" s="29"/>
      <c r="BN24" s="29"/>
      <c r="BP24" s="29"/>
      <c r="BR24" s="29"/>
      <c r="BT24" s="29"/>
    </row>
    <row r="25" spans="1:72" x14ac:dyDescent="0.25">
      <c r="A25" s="28" t="s">
        <v>7</v>
      </c>
      <c r="B25" s="29"/>
      <c r="D25" s="29"/>
      <c r="E25" s="29"/>
      <c r="F25" s="29"/>
      <c r="H25" s="29"/>
      <c r="I25" s="29"/>
      <c r="J25" s="29"/>
      <c r="K25" s="29"/>
      <c r="L25" s="29"/>
      <c r="N25" s="29"/>
      <c r="P25" s="29"/>
      <c r="T25" s="29"/>
      <c r="Y25" s="29"/>
      <c r="AE25" s="29"/>
      <c r="AF25" s="29"/>
      <c r="AH25" s="85"/>
      <c r="AM25" s="7">
        <f t="shared" si="3"/>
        <v>0</v>
      </c>
      <c r="AO25" s="29"/>
      <c r="AQ25" s="29"/>
      <c r="AS25" s="29"/>
      <c r="AT25" s="29"/>
      <c r="AU25" s="29"/>
      <c r="AW25" s="29"/>
      <c r="AY25" s="29"/>
      <c r="BA25" s="29"/>
      <c r="BC25" s="29"/>
      <c r="BE25" s="29"/>
      <c r="BF25" s="5"/>
      <c r="BG25" s="29"/>
      <c r="BH25" s="5"/>
      <c r="BI25" s="29"/>
      <c r="BJ25" s="5"/>
      <c r="BK25" s="29"/>
      <c r="BL25" s="29"/>
      <c r="BN25" s="29"/>
      <c r="BP25" s="29"/>
      <c r="BR25" s="29"/>
      <c r="BT25" s="29"/>
    </row>
    <row r="26" spans="1:72" x14ac:dyDescent="0.25">
      <c r="A26" s="7"/>
      <c r="B26" s="29"/>
      <c r="D26" s="29"/>
      <c r="E26" s="29"/>
      <c r="F26" s="29"/>
      <c r="H26" s="29"/>
      <c r="I26" s="29"/>
      <c r="J26" s="29"/>
      <c r="K26" s="29"/>
      <c r="L26" s="29"/>
      <c r="N26" s="29"/>
      <c r="P26" s="29"/>
      <c r="T26" s="29"/>
      <c r="Y26" s="29"/>
      <c r="AE26" s="29"/>
      <c r="AF26" s="29"/>
      <c r="AH26" s="85"/>
      <c r="AM26" s="7">
        <f t="shared" si="3"/>
        <v>0</v>
      </c>
      <c r="AO26" s="29"/>
      <c r="AQ26" s="29"/>
      <c r="AS26" s="29"/>
      <c r="AT26" s="29"/>
      <c r="AU26" s="29"/>
      <c r="AW26" s="29"/>
      <c r="AY26" s="29"/>
      <c r="BA26" s="29"/>
      <c r="BC26" s="29"/>
      <c r="BE26" s="29"/>
      <c r="BF26" s="5"/>
      <c r="BG26" s="29"/>
      <c r="BH26" s="5"/>
      <c r="BI26" s="29"/>
      <c r="BJ26" s="5"/>
      <c r="BK26" s="29"/>
      <c r="BL26" s="29"/>
      <c r="BN26" s="29"/>
      <c r="BP26" s="29"/>
      <c r="BR26" s="29"/>
      <c r="BT26" s="29"/>
    </row>
    <row r="27" spans="1:72" x14ac:dyDescent="0.25">
      <c r="A27" s="7"/>
      <c r="B27" s="29"/>
      <c r="D27" s="29"/>
      <c r="E27" s="29"/>
      <c r="F27" s="29"/>
      <c r="H27" s="29"/>
      <c r="I27" s="29"/>
      <c r="J27" s="29"/>
      <c r="K27" s="29"/>
      <c r="L27" s="29"/>
      <c r="N27" s="29"/>
      <c r="P27" s="29"/>
      <c r="T27" s="29"/>
      <c r="Y27" s="29"/>
      <c r="AE27" s="29"/>
      <c r="AF27" s="29"/>
      <c r="AH27" s="85"/>
      <c r="AM27" s="7">
        <f t="shared" si="3"/>
        <v>0</v>
      </c>
      <c r="AO27" s="29"/>
      <c r="AQ27" s="29"/>
      <c r="AS27" s="29"/>
      <c r="AT27" s="29"/>
      <c r="AU27" s="29"/>
      <c r="AW27" s="29"/>
      <c r="AY27" s="29"/>
      <c r="BA27" s="29"/>
      <c r="BC27" s="29"/>
      <c r="BE27" s="29"/>
      <c r="BF27" s="5"/>
      <c r="BG27" s="29"/>
      <c r="BH27" s="5"/>
      <c r="BI27" s="29"/>
      <c r="BJ27" s="5"/>
      <c r="BK27" s="29"/>
      <c r="BL27" s="29"/>
      <c r="BN27" s="29"/>
      <c r="BP27" s="29"/>
      <c r="BR27" s="29"/>
      <c r="BT27" s="29"/>
    </row>
    <row r="28" spans="1:72" s="34" customFormat="1" x14ac:dyDescent="0.25">
      <c r="A28" s="7" t="s">
        <v>34</v>
      </c>
      <c r="B28" s="31">
        <v>2434680</v>
      </c>
      <c r="C28" s="7"/>
      <c r="D28" s="31">
        <v>2434680</v>
      </c>
      <c r="E28" s="31"/>
      <c r="F28" s="31">
        <v>2434680</v>
      </c>
      <c r="G28" s="7"/>
      <c r="H28" s="31">
        <f t="shared" ref="H28:H33" si="4">F28-B28</f>
        <v>0</v>
      </c>
      <c r="I28" s="31"/>
      <c r="J28" s="31">
        <v>2434680</v>
      </c>
      <c r="K28" s="31"/>
      <c r="L28" s="31">
        <v>2434680</v>
      </c>
      <c r="M28" s="32"/>
      <c r="N28" s="31"/>
      <c r="O28" s="32"/>
      <c r="P28" s="31">
        <v>3411165</v>
      </c>
      <c r="Q28" s="38"/>
      <c r="R28" s="38"/>
      <c r="S28" s="38"/>
      <c r="T28" s="31">
        <v>3411165</v>
      </c>
      <c r="U28" s="7">
        <f t="shared" ref="U28:U33" si="5">T28-P28</f>
        <v>0</v>
      </c>
      <c r="V28" s="38"/>
      <c r="W28" s="38"/>
      <c r="X28" s="38"/>
      <c r="Y28" s="31">
        <v>3411165</v>
      </c>
      <c r="Z28" s="7">
        <f t="shared" ref="Z28:Z33" si="6">Y28-T28</f>
        <v>0</v>
      </c>
      <c r="AA28" s="38"/>
      <c r="AB28" s="38"/>
      <c r="AC28" s="38"/>
      <c r="AD28" s="38"/>
      <c r="AE28" s="31">
        <v>3411165</v>
      </c>
      <c r="AF28" s="31">
        <v>3411165</v>
      </c>
      <c r="AG28" s="91"/>
      <c r="AH28" s="36">
        <v>2872260</v>
      </c>
      <c r="AI28" s="32"/>
      <c r="AJ28" s="31"/>
      <c r="AK28" s="31"/>
      <c r="AL28" s="31">
        <v>3510690</v>
      </c>
      <c r="AM28" s="7">
        <f t="shared" si="3"/>
        <v>638430</v>
      </c>
      <c r="AN28" s="32"/>
      <c r="AO28" s="31">
        <f>AH33</f>
        <v>2144108</v>
      </c>
      <c r="AP28" s="38"/>
      <c r="AQ28" s="31">
        <f>AO33</f>
        <v>2428264</v>
      </c>
      <c r="AR28" s="38"/>
      <c r="AS28" s="31">
        <f>AQ33</f>
        <v>3034337</v>
      </c>
      <c r="AT28" s="31"/>
      <c r="AU28" s="31">
        <f>AS33</f>
        <v>3704664</v>
      </c>
      <c r="AW28" s="31">
        <f>AU33</f>
        <v>4046029</v>
      </c>
      <c r="AY28" s="31">
        <f>AW33</f>
        <v>4572921</v>
      </c>
      <c r="BA28" s="31">
        <f>AY33</f>
        <v>5314789</v>
      </c>
      <c r="BC28" s="31">
        <f>BA33</f>
        <v>5793983</v>
      </c>
      <c r="BE28" s="31">
        <f>BC33</f>
        <v>6375820</v>
      </c>
      <c r="BF28" s="38"/>
      <c r="BG28" s="31">
        <f>BE33</f>
        <v>6662867</v>
      </c>
      <c r="BH28" s="38"/>
      <c r="BI28" s="31">
        <f>BG33</f>
        <v>6662867</v>
      </c>
      <c r="BJ28" s="38"/>
      <c r="BK28" s="31">
        <f>BI33</f>
        <v>6662867</v>
      </c>
      <c r="BL28" s="31">
        <f>BK33</f>
        <v>6662867</v>
      </c>
      <c r="BN28" s="31">
        <f>BL33</f>
        <v>6662867</v>
      </c>
      <c r="BP28" s="31">
        <f>BN33</f>
        <v>6662867</v>
      </c>
      <c r="BR28" s="31">
        <f>BP33</f>
        <v>6662867</v>
      </c>
      <c r="BT28" s="31">
        <f>BR33</f>
        <v>6662867</v>
      </c>
    </row>
    <row r="29" spans="1:72" x14ac:dyDescent="0.25">
      <c r="A29" s="3"/>
      <c r="B29" s="31"/>
      <c r="C29" s="7"/>
      <c r="D29" s="31"/>
      <c r="E29" s="31"/>
      <c r="F29" s="31"/>
      <c r="G29" s="7"/>
      <c r="H29" s="31">
        <f t="shared" si="4"/>
        <v>0</v>
      </c>
      <c r="I29" s="31"/>
      <c r="J29" s="31"/>
      <c r="K29" s="31"/>
      <c r="L29" s="31"/>
      <c r="M29" s="32"/>
      <c r="N29" s="31"/>
      <c r="P29" s="31"/>
      <c r="T29" s="31"/>
      <c r="U29" s="7">
        <f t="shared" si="5"/>
        <v>0</v>
      </c>
      <c r="Y29" s="31"/>
      <c r="Z29" s="7">
        <f t="shared" si="6"/>
        <v>0</v>
      </c>
      <c r="AE29" s="31"/>
      <c r="AF29" s="31"/>
      <c r="AH29" s="36"/>
      <c r="AI29" s="32"/>
      <c r="AM29" s="7">
        <f t="shared" si="3"/>
        <v>0</v>
      </c>
      <c r="AO29" s="31"/>
      <c r="AQ29" s="31"/>
      <c r="AS29" s="31"/>
      <c r="AT29" s="31"/>
      <c r="AU29" s="31"/>
      <c r="AW29" s="31"/>
      <c r="AY29" s="31"/>
      <c r="BA29" s="31"/>
      <c r="BC29" s="31"/>
      <c r="BE29" s="31"/>
      <c r="BF29" s="5"/>
      <c r="BG29" s="31"/>
      <c r="BH29" s="5"/>
      <c r="BI29" s="31"/>
      <c r="BJ29" s="5"/>
      <c r="BK29" s="31"/>
      <c r="BL29" s="31"/>
      <c r="BN29" s="31"/>
      <c r="BP29" s="31"/>
      <c r="BR29" s="31"/>
      <c r="BT29" s="31"/>
    </row>
    <row r="30" spans="1:72" x14ac:dyDescent="0.25">
      <c r="A30" s="7" t="s">
        <v>43</v>
      </c>
      <c r="B30" s="36">
        <f>-B343</f>
        <v>-66957</v>
      </c>
      <c r="C30" s="32"/>
      <c r="D30" s="36">
        <f>-D343</f>
        <v>0</v>
      </c>
      <c r="E30" s="36"/>
      <c r="F30" s="36">
        <f>-F343</f>
        <v>455167</v>
      </c>
      <c r="G30" s="32"/>
      <c r="H30" s="31">
        <f t="shared" si="4"/>
        <v>522124</v>
      </c>
      <c r="I30" s="31"/>
      <c r="J30" s="36">
        <f>-J343</f>
        <v>0</v>
      </c>
      <c r="K30" s="36"/>
      <c r="L30" s="36">
        <f>-L343</f>
        <v>612625</v>
      </c>
      <c r="M30" s="32"/>
      <c r="N30" s="31"/>
      <c r="P30" s="36">
        <f>-P343</f>
        <v>-382939</v>
      </c>
      <c r="T30" s="36">
        <f>-T343</f>
        <v>-575455</v>
      </c>
      <c r="U30" s="7">
        <f t="shared" si="5"/>
        <v>-192516</v>
      </c>
      <c r="Y30" s="36">
        <f>-Y343</f>
        <v>-517600</v>
      </c>
      <c r="Z30" s="7">
        <f t="shared" si="6"/>
        <v>57855</v>
      </c>
      <c r="AE30" s="36">
        <f>-AE343</f>
        <v>-538905</v>
      </c>
      <c r="AF30" s="36">
        <f>-AF343</f>
        <v>-21305</v>
      </c>
      <c r="AH30" s="36">
        <f>-AH343</f>
        <v>-728152</v>
      </c>
      <c r="AI30" s="32"/>
      <c r="AJ30" s="36"/>
      <c r="AK30" s="36"/>
      <c r="AL30" s="36">
        <f>-AL343</f>
        <v>-849145</v>
      </c>
      <c r="AM30" s="7">
        <f t="shared" si="3"/>
        <v>-120993</v>
      </c>
      <c r="AO30" s="36">
        <f>-AO343</f>
        <v>284156</v>
      </c>
      <c r="AQ30" s="36">
        <f>-AQ343</f>
        <v>606073</v>
      </c>
      <c r="AS30" s="36">
        <f>-AS343</f>
        <v>670327</v>
      </c>
      <c r="AT30" s="36"/>
      <c r="AU30" s="36">
        <f>-AU343</f>
        <v>341365</v>
      </c>
      <c r="AW30" s="36">
        <f>-AW343</f>
        <v>526892</v>
      </c>
      <c r="AY30" s="36">
        <f>-AY343</f>
        <v>741868</v>
      </c>
      <c r="BA30" s="36">
        <f>-BA343</f>
        <v>479194</v>
      </c>
      <c r="BC30" s="36">
        <f>-BC343</f>
        <v>581837</v>
      </c>
      <c r="BE30" s="36">
        <f>-BE343</f>
        <v>287047</v>
      </c>
      <c r="BF30" s="5"/>
      <c r="BG30" s="36">
        <f>-BG343</f>
        <v>0</v>
      </c>
      <c r="BH30" s="5"/>
      <c r="BI30" s="36">
        <f>-BI343</f>
        <v>0</v>
      </c>
      <c r="BJ30" s="5"/>
      <c r="BK30" s="36">
        <f>-BK343</f>
        <v>0</v>
      </c>
      <c r="BL30" s="36">
        <f>-BL343</f>
        <v>0</v>
      </c>
      <c r="BN30" s="36">
        <f>-BN343</f>
        <v>0</v>
      </c>
      <c r="BP30" s="36">
        <f>-BP343</f>
        <v>0</v>
      </c>
      <c r="BR30" s="36">
        <f>-BR343</f>
        <v>0</v>
      </c>
      <c r="BT30" s="36">
        <f>-BT343</f>
        <v>0</v>
      </c>
    </row>
    <row r="31" spans="1:72" x14ac:dyDescent="0.25">
      <c r="A31" s="7" t="s">
        <v>44</v>
      </c>
      <c r="B31" s="35"/>
      <c r="C31" s="32"/>
      <c r="D31" s="35"/>
      <c r="E31" s="36"/>
      <c r="F31" s="35"/>
      <c r="G31" s="32"/>
      <c r="H31" s="35">
        <f t="shared" si="4"/>
        <v>0</v>
      </c>
      <c r="I31" s="36"/>
      <c r="J31" s="35"/>
      <c r="K31" s="36"/>
      <c r="L31" s="35">
        <v>-193323</v>
      </c>
      <c r="M31" s="32"/>
      <c r="N31" s="35"/>
      <c r="P31" s="35"/>
      <c r="T31" s="35"/>
      <c r="U31" s="37">
        <f t="shared" si="5"/>
        <v>0</v>
      </c>
      <c r="Y31" s="35"/>
      <c r="Z31" s="37">
        <f t="shared" si="6"/>
        <v>0</v>
      </c>
      <c r="AE31" s="35"/>
      <c r="AF31" s="35"/>
      <c r="AH31" s="35"/>
      <c r="AI31" s="32"/>
      <c r="AM31" s="7">
        <f t="shared" si="3"/>
        <v>0</v>
      </c>
      <c r="AO31" s="35"/>
      <c r="AQ31" s="35"/>
      <c r="AS31" s="35"/>
      <c r="AT31" s="35"/>
      <c r="AU31" s="35"/>
      <c r="AW31" s="35"/>
      <c r="AY31" s="35"/>
      <c r="BA31" s="35"/>
      <c r="BC31" s="35"/>
      <c r="BE31" s="35"/>
      <c r="BF31" s="5"/>
      <c r="BG31" s="35"/>
      <c r="BH31" s="5"/>
      <c r="BI31" s="35"/>
      <c r="BJ31" s="5"/>
      <c r="BK31" s="35"/>
      <c r="BL31" s="35"/>
      <c r="BN31" s="35"/>
      <c r="BP31" s="35"/>
      <c r="BR31" s="35"/>
      <c r="BT31" s="35"/>
    </row>
    <row r="32" spans="1:72" x14ac:dyDescent="0.25">
      <c r="A32" s="7" t="s">
        <v>41</v>
      </c>
      <c r="B32" s="36">
        <f>B30+B31</f>
        <v>-66957</v>
      </c>
      <c r="C32" s="32"/>
      <c r="D32" s="36">
        <f>D30+D31</f>
        <v>0</v>
      </c>
      <c r="E32" s="36"/>
      <c r="F32" s="36">
        <f>F30+F31</f>
        <v>455167</v>
      </c>
      <c r="G32" s="32"/>
      <c r="H32" s="31">
        <f t="shared" si="4"/>
        <v>522124</v>
      </c>
      <c r="I32" s="31"/>
      <c r="J32" s="36">
        <f>J30+J31</f>
        <v>0</v>
      </c>
      <c r="K32" s="36"/>
      <c r="L32" s="36">
        <f>L30+L31</f>
        <v>419302</v>
      </c>
      <c r="M32" s="32"/>
      <c r="N32" s="31"/>
      <c r="P32" s="36">
        <f>P30+P31</f>
        <v>-382939</v>
      </c>
      <c r="T32" s="36">
        <f>T30+T31</f>
        <v>-575455</v>
      </c>
      <c r="U32" s="7">
        <f t="shared" si="5"/>
        <v>-192516</v>
      </c>
      <c r="Y32" s="36">
        <f>Y30+Y31</f>
        <v>-517600</v>
      </c>
      <c r="Z32" s="7">
        <f t="shared" si="6"/>
        <v>57855</v>
      </c>
      <c r="AE32" s="36">
        <f>AE30+AE31</f>
        <v>-538905</v>
      </c>
      <c r="AF32" s="36">
        <f>AF30+AF31</f>
        <v>-21305</v>
      </c>
      <c r="AH32" s="36">
        <f>AH30+AH31</f>
        <v>-728152</v>
      </c>
      <c r="AI32" s="32"/>
      <c r="AJ32" s="36"/>
      <c r="AK32" s="36"/>
      <c r="AL32" s="35">
        <f>AL30+AL31</f>
        <v>-849145</v>
      </c>
      <c r="AM32" s="37">
        <f t="shared" si="3"/>
        <v>-120993</v>
      </c>
      <c r="AO32" s="36">
        <f>AO30+AO31</f>
        <v>284156</v>
      </c>
      <c r="AQ32" s="36">
        <f>AQ30+AQ31</f>
        <v>606073</v>
      </c>
      <c r="AS32" s="36">
        <f>AS30+AS31</f>
        <v>670327</v>
      </c>
      <c r="AT32" s="36"/>
      <c r="AU32" s="36">
        <f>AU30+AU31</f>
        <v>341365</v>
      </c>
      <c r="AW32" s="36">
        <f>AW30+AW31</f>
        <v>526892</v>
      </c>
      <c r="AY32" s="36">
        <f>AY30+AY31</f>
        <v>741868</v>
      </c>
      <c r="BA32" s="36">
        <f>BA30+BA31</f>
        <v>479194</v>
      </c>
      <c r="BC32" s="36">
        <f>BC30+BC31</f>
        <v>581837</v>
      </c>
      <c r="BE32" s="36">
        <f>BE30+BE31</f>
        <v>287047</v>
      </c>
      <c r="BF32" s="5"/>
      <c r="BG32" s="36">
        <f>BG30+BG31</f>
        <v>0</v>
      </c>
      <c r="BH32" s="5"/>
      <c r="BI32" s="36">
        <f>BI30+BI31</f>
        <v>0</v>
      </c>
      <c r="BJ32" s="5"/>
      <c r="BK32" s="36">
        <f>BK30+BK31</f>
        <v>0</v>
      </c>
      <c r="BL32" s="36">
        <f>BL30+BL31</f>
        <v>0</v>
      </c>
      <c r="BN32" s="36">
        <f>BN30+BN31</f>
        <v>0</v>
      </c>
      <c r="BP32" s="36">
        <f>BP30+BP31</f>
        <v>0</v>
      </c>
      <c r="BR32" s="36">
        <f>BR30+BR31</f>
        <v>0</v>
      </c>
      <c r="BT32" s="36">
        <f>BT30+BT31</f>
        <v>0</v>
      </c>
    </row>
    <row r="33" spans="1:72" x14ac:dyDescent="0.25">
      <c r="A33" s="7" t="s">
        <v>42</v>
      </c>
      <c r="B33" s="36">
        <f>B28+B32</f>
        <v>2367723</v>
      </c>
      <c r="C33" s="32"/>
      <c r="D33" s="36">
        <f>D28+D32</f>
        <v>2434680</v>
      </c>
      <c r="E33" s="36"/>
      <c r="F33" s="36">
        <f>F28+F32</f>
        <v>2889847</v>
      </c>
      <c r="G33" s="32"/>
      <c r="H33" s="31">
        <f t="shared" si="4"/>
        <v>522124</v>
      </c>
      <c r="I33" s="31"/>
      <c r="J33" s="36">
        <f>J28+J32</f>
        <v>2434680</v>
      </c>
      <c r="K33" s="36"/>
      <c r="L33" s="36">
        <f>L28+L32</f>
        <v>2853982</v>
      </c>
      <c r="M33" s="32"/>
      <c r="N33" s="31"/>
      <c r="P33" s="36">
        <f>P28+P32</f>
        <v>3028226</v>
      </c>
      <c r="T33" s="36">
        <f>T28+T32</f>
        <v>2835710</v>
      </c>
      <c r="U33" s="7">
        <f t="shared" si="5"/>
        <v>-192516</v>
      </c>
      <c r="Y33" s="36">
        <f>Y28+Y32</f>
        <v>2893565</v>
      </c>
      <c r="Z33" s="7">
        <f t="shared" si="6"/>
        <v>57855</v>
      </c>
      <c r="AE33" s="36">
        <f>AE28+AE32</f>
        <v>2872260</v>
      </c>
      <c r="AF33" s="31">
        <f>AE33-Y33</f>
        <v>-21305</v>
      </c>
      <c r="AH33" s="36">
        <f>AH28+AH32</f>
        <v>2144108</v>
      </c>
      <c r="AI33" s="32"/>
      <c r="AJ33" s="36"/>
      <c r="AK33" s="36"/>
      <c r="AL33" s="36">
        <f>AL28+AL32</f>
        <v>2661545</v>
      </c>
      <c r="AM33" s="7">
        <f t="shared" si="3"/>
        <v>517437</v>
      </c>
      <c r="AO33" s="36">
        <f>AO28+AO32</f>
        <v>2428264</v>
      </c>
      <c r="AQ33" s="36">
        <f>AQ28+AQ32</f>
        <v>3034337</v>
      </c>
      <c r="AS33" s="36">
        <f>AS28+AS32</f>
        <v>3704664</v>
      </c>
      <c r="AT33" s="36"/>
      <c r="AU33" s="36">
        <f>AU28+AU32</f>
        <v>4046029</v>
      </c>
      <c r="AW33" s="36">
        <f>AW28+AW32</f>
        <v>4572921</v>
      </c>
      <c r="AY33" s="36">
        <f>AY28+AY32</f>
        <v>5314789</v>
      </c>
      <c r="BA33" s="36">
        <f>BA28+BA32</f>
        <v>5793983</v>
      </c>
      <c r="BC33" s="36">
        <f>BC28+BC32</f>
        <v>6375820</v>
      </c>
      <c r="BE33" s="36">
        <f>BE28+BE32</f>
        <v>6662867</v>
      </c>
      <c r="BF33" s="5"/>
      <c r="BG33" s="36">
        <f>BG28+BG32</f>
        <v>6662867</v>
      </c>
      <c r="BH33" s="5"/>
      <c r="BI33" s="36">
        <f>BI28+BI32</f>
        <v>6662867</v>
      </c>
      <c r="BJ33" s="5"/>
      <c r="BK33" s="36">
        <f>BK28+BK32</f>
        <v>6662867</v>
      </c>
      <c r="BL33" s="36">
        <f>BL28+BL32</f>
        <v>6662867</v>
      </c>
      <c r="BN33" s="36">
        <f>BN28+BN32</f>
        <v>6662867</v>
      </c>
      <c r="BP33" s="36">
        <f>BP28+BP32</f>
        <v>6662867</v>
      </c>
      <c r="BR33" s="36">
        <f>BR28+BR32</f>
        <v>6662867</v>
      </c>
      <c r="BT33" s="36">
        <f>BT28+BT32</f>
        <v>6662867</v>
      </c>
    </row>
    <row r="34" spans="1:72" x14ac:dyDescent="0.25">
      <c r="A34" s="7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P34" s="32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>
        <v>6</v>
      </c>
      <c r="AG34" s="4"/>
      <c r="AH34" s="32"/>
      <c r="AI34" s="32"/>
      <c r="AJ34" s="3"/>
      <c r="AK34" s="3"/>
      <c r="AL34" s="3"/>
      <c r="AM34" s="3"/>
      <c r="AO34" s="32"/>
      <c r="AP34" s="3"/>
      <c r="AQ34" s="32"/>
      <c r="AR34" s="3"/>
      <c r="AS34" s="32"/>
      <c r="AT34" s="32"/>
      <c r="AU34" s="32"/>
      <c r="AW34" s="32"/>
      <c r="AY34" s="32"/>
      <c r="BA34" s="32"/>
      <c r="BC34" s="32"/>
      <c r="BE34" s="32"/>
    </row>
    <row r="35" spans="1:72" x14ac:dyDescent="0.25">
      <c r="A35" s="7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P35" s="32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4"/>
      <c r="AH35" s="32"/>
      <c r="AI35" s="32"/>
      <c r="AJ35" s="3"/>
      <c r="AK35" s="3"/>
      <c r="AL35" s="3"/>
      <c r="AM35" s="3"/>
      <c r="AO35" s="32"/>
      <c r="AP35" s="3"/>
      <c r="AQ35" s="32"/>
      <c r="AR35" s="3"/>
      <c r="AS35" s="32"/>
      <c r="AT35" s="32"/>
      <c r="AU35" s="32"/>
      <c r="AW35" s="32"/>
      <c r="AY35" s="32"/>
      <c r="BA35" s="32"/>
      <c r="BC35" s="32"/>
      <c r="BE35" s="32"/>
    </row>
    <row r="36" spans="1:72" x14ac:dyDescent="0.25">
      <c r="A36" s="7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P36" s="32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4"/>
      <c r="AH36" s="32"/>
      <c r="AI36" s="32"/>
      <c r="AJ36" s="3"/>
      <c r="AK36" s="3"/>
      <c r="AL36" s="3"/>
      <c r="AM36" s="3"/>
      <c r="AO36" s="32"/>
      <c r="AP36" s="3"/>
      <c r="AQ36" s="32"/>
      <c r="AR36" s="3"/>
      <c r="AS36" s="32"/>
      <c r="AT36" s="32"/>
      <c r="AU36" s="32"/>
      <c r="AW36" s="32"/>
      <c r="AY36" s="32"/>
      <c r="BA36" s="32"/>
      <c r="BC36" s="32"/>
      <c r="BE36" s="32"/>
    </row>
    <row r="37" spans="1:72" x14ac:dyDescent="0.25">
      <c r="A37" s="32" t="s">
        <v>1151</v>
      </c>
      <c r="B37" s="3"/>
      <c r="D37" s="3"/>
      <c r="E37" s="3"/>
      <c r="F37" s="3"/>
      <c r="H37" s="3"/>
      <c r="I37" s="3"/>
      <c r="J37" s="3"/>
      <c r="K37" s="3"/>
      <c r="L37" s="3"/>
      <c r="N37" s="3"/>
      <c r="P37" s="3"/>
    </row>
    <row r="38" spans="1:72" ht="15.75" thickBot="1" x14ac:dyDescent="0.3">
      <c r="A38" s="32"/>
    </row>
    <row r="39" spans="1:72" x14ac:dyDescent="0.25">
      <c r="A39" s="3"/>
      <c r="B39" s="8" t="s">
        <v>8</v>
      </c>
      <c r="C39" s="9"/>
      <c r="D39" s="10" t="s">
        <v>9</v>
      </c>
      <c r="E39" s="11" t="s">
        <v>10</v>
      </c>
      <c r="F39" s="12" t="s">
        <v>11</v>
      </c>
      <c r="G39" s="9"/>
      <c r="H39" s="8" t="s">
        <v>12</v>
      </c>
      <c r="I39" s="13"/>
      <c r="J39" s="10" t="s">
        <v>9</v>
      </c>
      <c r="K39" s="11" t="s">
        <v>10</v>
      </c>
      <c r="L39" s="11" t="s">
        <v>11</v>
      </c>
      <c r="M39" s="9"/>
      <c r="N39" s="11" t="s">
        <v>12</v>
      </c>
      <c r="P39" s="12" t="s">
        <v>8</v>
      </c>
      <c r="R39" s="14" t="s">
        <v>9</v>
      </c>
      <c r="S39" s="15" t="s">
        <v>10</v>
      </c>
      <c r="T39" s="16" t="s">
        <v>11</v>
      </c>
      <c r="U39" s="17" t="s">
        <v>13</v>
      </c>
      <c r="V39" s="14" t="s">
        <v>9</v>
      </c>
      <c r="W39" s="15" t="s">
        <v>10</v>
      </c>
      <c r="X39" s="15"/>
      <c r="Y39" s="16" t="s">
        <v>11</v>
      </c>
      <c r="Z39" s="17" t="s">
        <v>13</v>
      </c>
      <c r="AC39" s="14" t="s">
        <v>9</v>
      </c>
      <c r="AD39" s="15" t="s">
        <v>10</v>
      </c>
      <c r="AE39" s="16" t="s">
        <v>11</v>
      </c>
      <c r="AF39" s="15" t="s">
        <v>13</v>
      </c>
      <c r="AH39" s="13" t="s">
        <v>8</v>
      </c>
      <c r="AI39" s="9"/>
      <c r="AJ39" s="10" t="s">
        <v>9</v>
      </c>
      <c r="AK39" s="11" t="s">
        <v>10</v>
      </c>
      <c r="AL39" s="12" t="s">
        <v>11</v>
      </c>
      <c r="AM39" s="8" t="s">
        <v>13</v>
      </c>
      <c r="AN39" s="9"/>
      <c r="AO39" s="12" t="s">
        <v>8</v>
      </c>
      <c r="AQ39" s="8" t="s">
        <v>8</v>
      </c>
      <c r="AS39" s="8" t="s">
        <v>8</v>
      </c>
      <c r="AT39" s="40"/>
      <c r="AU39" s="12" t="s">
        <v>8</v>
      </c>
      <c r="AW39" s="8" t="s">
        <v>8</v>
      </c>
      <c r="AY39" s="8" t="s">
        <v>8</v>
      </c>
      <c r="BA39" s="8" t="s">
        <v>8</v>
      </c>
      <c r="BC39" s="8" t="s">
        <v>8</v>
      </c>
      <c r="BE39" s="8" t="s">
        <v>8</v>
      </c>
    </row>
    <row r="40" spans="1:72" ht="15.75" thickBot="1" x14ac:dyDescent="0.3">
      <c r="A40" s="3"/>
      <c r="B40" s="19" t="s">
        <v>14</v>
      </c>
      <c r="C40" s="9"/>
      <c r="D40" s="20" t="s">
        <v>15</v>
      </c>
      <c r="E40" s="21"/>
      <c r="F40" s="22" t="s">
        <v>16</v>
      </c>
      <c r="G40" s="9"/>
      <c r="H40" s="19"/>
      <c r="I40" s="13"/>
      <c r="J40" s="20" t="s">
        <v>17</v>
      </c>
      <c r="K40" s="21"/>
      <c r="L40" s="21" t="s">
        <v>16</v>
      </c>
      <c r="M40" s="9"/>
      <c r="N40" s="21"/>
      <c r="P40" s="22" t="s">
        <v>18</v>
      </c>
      <c r="R40" s="23" t="s">
        <v>19</v>
      </c>
      <c r="S40" s="24"/>
      <c r="T40" s="25" t="s">
        <v>20</v>
      </c>
      <c r="U40" s="26"/>
      <c r="V40" s="23" t="s">
        <v>21</v>
      </c>
      <c r="W40" s="24"/>
      <c r="X40" s="24"/>
      <c r="Y40" s="25" t="s">
        <v>21</v>
      </c>
      <c r="Z40" s="26"/>
      <c r="AC40" s="23" t="s">
        <v>22</v>
      </c>
      <c r="AD40" s="24"/>
      <c r="AE40" s="25" t="s">
        <v>23</v>
      </c>
      <c r="AF40" s="24"/>
      <c r="AH40" s="13" t="s">
        <v>24</v>
      </c>
      <c r="AI40" s="9"/>
      <c r="AJ40" s="20" t="s">
        <v>1144</v>
      </c>
      <c r="AK40" s="21"/>
      <c r="AL40" s="22" t="s">
        <v>1144</v>
      </c>
      <c r="AM40" s="19"/>
      <c r="AN40" s="9"/>
      <c r="AO40" s="22" t="s">
        <v>25</v>
      </c>
      <c r="AQ40" s="19" t="s">
        <v>26</v>
      </c>
      <c r="AS40" s="19" t="s">
        <v>27</v>
      </c>
      <c r="AT40" s="41"/>
      <c r="AU40" s="22" t="s">
        <v>28</v>
      </c>
      <c r="AW40" s="19" t="s">
        <v>29</v>
      </c>
      <c r="AY40" s="19" t="s">
        <v>30</v>
      </c>
      <c r="BA40" s="19" t="s">
        <v>31</v>
      </c>
      <c r="BC40" s="19" t="s">
        <v>32</v>
      </c>
      <c r="BE40" s="19" t="s">
        <v>33</v>
      </c>
    </row>
    <row r="41" spans="1:72" x14ac:dyDescent="0.25">
      <c r="A41" s="28" t="s">
        <v>46</v>
      </c>
    </row>
    <row r="42" spans="1:72" x14ac:dyDescent="0.25">
      <c r="A42" s="7" t="s">
        <v>47</v>
      </c>
    </row>
    <row r="43" spans="1:72" s="42" customFormat="1" x14ac:dyDescent="0.25">
      <c r="A43" s="3" t="s">
        <v>48</v>
      </c>
      <c r="B43" s="3">
        <v>2178000</v>
      </c>
      <c r="C43" s="3"/>
      <c r="D43" s="3">
        <f>2188632+4614</f>
        <v>2193246</v>
      </c>
      <c r="E43" s="3">
        <f>F43-D43</f>
        <v>-3246</v>
      </c>
      <c r="F43" s="3">
        <v>2190000</v>
      </c>
      <c r="G43" s="3"/>
      <c r="H43" s="32">
        <f t="shared" ref="H43:H51" si="7">F43-B43</f>
        <v>12000</v>
      </c>
      <c r="I43" s="4"/>
      <c r="J43" s="4">
        <v>2187609</v>
      </c>
      <c r="K43" s="4">
        <f>L43-J43</f>
        <v>2391</v>
      </c>
      <c r="L43" s="4">
        <v>2190000</v>
      </c>
      <c r="M43" s="4"/>
      <c r="N43" s="4">
        <f>L43-F43</f>
        <v>0</v>
      </c>
      <c r="O43" s="4"/>
      <c r="P43" s="3">
        <f>L43*1.036+10</f>
        <v>2268850</v>
      </c>
      <c r="Q43" s="3"/>
      <c r="R43" s="3">
        <v>2276219</v>
      </c>
      <c r="S43" s="3">
        <f>T43-R43</f>
        <v>-219</v>
      </c>
      <c r="T43" s="3">
        <v>2276000</v>
      </c>
      <c r="U43" s="3">
        <f>T43-P43</f>
        <v>7150</v>
      </c>
      <c r="V43" s="3">
        <v>2276934</v>
      </c>
      <c r="W43" s="3">
        <f>Y43-V43</f>
        <v>66</v>
      </c>
      <c r="X43" s="3"/>
      <c r="Y43" s="3">
        <v>2277000</v>
      </c>
      <c r="Z43" s="3">
        <f>Y43-T43</f>
        <v>1000</v>
      </c>
      <c r="AA43" s="3"/>
      <c r="AB43" s="3"/>
      <c r="AC43" s="3">
        <v>2276600</v>
      </c>
      <c r="AD43" s="3">
        <f>AE43-AC43</f>
        <v>0</v>
      </c>
      <c r="AE43" s="3">
        <v>2276600</v>
      </c>
      <c r="AF43" s="3">
        <f>AE43-Y43</f>
        <v>-400</v>
      </c>
      <c r="AG43" s="4"/>
      <c r="AH43" s="4">
        <f>MROUND(AE43*1.034,10)</f>
        <v>2354000</v>
      </c>
      <c r="AI43" s="4"/>
      <c r="AJ43" s="3">
        <v>2356663</v>
      </c>
      <c r="AK43" s="3">
        <f t="shared" ref="AK43:AK52" si="8">AL43-AJ43</f>
        <v>-1663</v>
      </c>
      <c r="AL43" s="3">
        <v>2355000</v>
      </c>
      <c r="AM43" s="3">
        <f t="shared" ref="AM43:AM52" si="9">AL43-AH43</f>
        <v>1000</v>
      </c>
      <c r="AN43" s="4"/>
      <c r="AO43" s="3">
        <f>AH43*1.16</f>
        <v>2730640</v>
      </c>
      <c r="AP43" s="3"/>
      <c r="AQ43" s="3">
        <f>AO43*1.033</f>
        <v>2820751.1199999996</v>
      </c>
      <c r="AR43" s="3">
        <f>AP43*1.033</f>
        <v>0</v>
      </c>
      <c r="AS43" s="3">
        <f>AQ43*1.033</f>
        <v>2913835.9069599994</v>
      </c>
      <c r="AT43" s="3"/>
      <c r="AU43" s="3">
        <f>AS43*1.033</f>
        <v>3009992.4918896789</v>
      </c>
      <c r="AV43" s="3"/>
      <c r="AW43" s="3">
        <f>AU43*1.033</f>
        <v>3109322.2441220381</v>
      </c>
      <c r="AX43" s="3">
        <f>AV43*1.033</f>
        <v>0</v>
      </c>
      <c r="AY43" s="3">
        <f>AW43*1.033</f>
        <v>3211929.8781780652</v>
      </c>
      <c r="AZ43" s="3">
        <f>AX43*1.033</f>
        <v>0</v>
      </c>
      <c r="BA43" s="3">
        <f>AY43*1.033</f>
        <v>3317923.5641579409</v>
      </c>
      <c r="BB43" s="3"/>
      <c r="BC43" s="3">
        <f>BA43*1.033</f>
        <v>3427415.0417751526</v>
      </c>
      <c r="BD43" s="3">
        <f>BB43*1.033</f>
        <v>0</v>
      </c>
      <c r="BE43" s="3">
        <f>BC43*1.033</f>
        <v>3540519.7381537324</v>
      </c>
    </row>
    <row r="44" spans="1:72" s="42" customFormat="1" x14ac:dyDescent="0.25">
      <c r="A44" s="3" t="s">
        <v>49</v>
      </c>
      <c r="B44" s="3"/>
      <c r="C44" s="3"/>
      <c r="D44" s="3"/>
      <c r="E44" s="3"/>
      <c r="F44" s="3"/>
      <c r="G44" s="3"/>
      <c r="H44" s="32"/>
      <c r="I44" s="4"/>
      <c r="J44" s="4"/>
      <c r="K44" s="4"/>
      <c r="L44" s="4"/>
      <c r="M44" s="4"/>
      <c r="N44" s="4"/>
      <c r="O44" s="4"/>
      <c r="P44" s="3">
        <v>-8000</v>
      </c>
      <c r="Q44" s="3"/>
      <c r="R44" s="3">
        <v>0</v>
      </c>
      <c r="S44" s="3">
        <f t="shared" ref="S44:S51" si="10">T44-R44</f>
        <v>-8000</v>
      </c>
      <c r="T44" s="3">
        <v>-8000</v>
      </c>
      <c r="U44" s="3">
        <f t="shared" ref="U44:U51" si="11">T44-P44</f>
        <v>0</v>
      </c>
      <c r="V44" s="3">
        <v>0</v>
      </c>
      <c r="W44" s="3">
        <f t="shared" ref="W44:W51" si="12">Y44-V44</f>
        <v>-8000</v>
      </c>
      <c r="X44" s="3"/>
      <c r="Y44" s="3">
        <v>-8000</v>
      </c>
      <c r="Z44" s="3">
        <f t="shared" ref="Z44:Z51" si="13">Y44-T44</f>
        <v>0</v>
      </c>
      <c r="AA44" s="3"/>
      <c r="AB44" s="3"/>
      <c r="AC44" s="3">
        <v>0</v>
      </c>
      <c r="AD44" s="3">
        <f t="shared" ref="AD44:AD51" si="14">AE44-AC44</f>
        <v>-8000</v>
      </c>
      <c r="AE44" s="3">
        <v>-8000</v>
      </c>
      <c r="AF44" s="3">
        <f t="shared" ref="AF44:AF51" si="15">AE44-Y44</f>
        <v>0</v>
      </c>
      <c r="AG44" s="4"/>
      <c r="AH44" s="4"/>
      <c r="AI44" s="4"/>
      <c r="AJ44" s="3"/>
      <c r="AK44" s="3">
        <f t="shared" si="8"/>
        <v>0</v>
      </c>
      <c r="AL44" s="3"/>
      <c r="AM44" s="3">
        <f t="shared" si="9"/>
        <v>0</v>
      </c>
      <c r="AN44" s="4"/>
      <c r="AO44" s="3"/>
      <c r="AP44" s="3"/>
      <c r="AQ44" s="3"/>
      <c r="AR44" s="3"/>
      <c r="AS44" s="3"/>
      <c r="AT44" s="3"/>
      <c r="AU44" s="3"/>
      <c r="AW44" s="3"/>
      <c r="AY44" s="3"/>
      <c r="BA44" s="3"/>
      <c r="BB44" s="3"/>
      <c r="BC44" s="3"/>
      <c r="BE44" s="3"/>
    </row>
    <row r="45" spans="1:72" s="42" customFormat="1" x14ac:dyDescent="0.25">
      <c r="A45" s="3" t="s">
        <v>50</v>
      </c>
      <c r="B45" s="3">
        <f>983260*1.025-842</f>
        <v>1006999.4999999999</v>
      </c>
      <c r="C45" s="3"/>
      <c r="D45" s="3">
        <v>452248</v>
      </c>
      <c r="E45" s="3">
        <f t="shared" ref="E45:E51" si="16">F45-D45</f>
        <v>600069</v>
      </c>
      <c r="F45" s="3">
        <v>1052317</v>
      </c>
      <c r="G45" s="3"/>
      <c r="H45" s="32">
        <f t="shared" si="7"/>
        <v>45317.500000000116</v>
      </c>
      <c r="I45" s="4"/>
      <c r="J45" s="4">
        <v>400046</v>
      </c>
      <c r="K45" s="4">
        <f t="shared" ref="K45:K51" si="17">L45-J45</f>
        <v>652271</v>
      </c>
      <c r="L45" s="4">
        <v>1052317</v>
      </c>
      <c r="M45" s="4"/>
      <c r="N45" s="4">
        <f t="shared" ref="N45:N51" si="18">L45-F45</f>
        <v>0</v>
      </c>
      <c r="O45" s="4"/>
      <c r="P45" s="3">
        <f>L45*1.025+25</f>
        <v>1078649.9249999998</v>
      </c>
      <c r="Q45" s="3"/>
      <c r="R45" s="3">
        <v>0</v>
      </c>
      <c r="S45" s="3">
        <f t="shared" si="10"/>
        <v>1090529</v>
      </c>
      <c r="T45" s="3">
        <v>1090529</v>
      </c>
      <c r="U45" s="3">
        <f t="shared" si="11"/>
        <v>11879.075000000186</v>
      </c>
      <c r="V45" s="3">
        <v>0</v>
      </c>
      <c r="W45" s="3">
        <f t="shared" si="12"/>
        <v>1090529</v>
      </c>
      <c r="X45" s="3"/>
      <c r="Y45" s="3">
        <v>1090529</v>
      </c>
      <c r="Z45" s="3">
        <f t="shared" si="13"/>
        <v>0</v>
      </c>
      <c r="AA45" s="3"/>
      <c r="AB45" s="3"/>
      <c r="AC45" s="3">
        <v>410668</v>
      </c>
      <c r="AD45" s="3">
        <f t="shared" si="14"/>
        <v>679861</v>
      </c>
      <c r="AE45" s="3">
        <v>1090529</v>
      </c>
      <c r="AF45" s="3">
        <f t="shared" si="15"/>
        <v>0</v>
      </c>
      <c r="AG45" s="4"/>
      <c r="AH45" s="4">
        <f>AE45*1.025+8</f>
        <v>1117800.2249999999</v>
      </c>
      <c r="AI45" s="4"/>
      <c r="AJ45" s="3"/>
      <c r="AK45" s="3">
        <f t="shared" si="8"/>
        <v>1117800</v>
      </c>
      <c r="AL45" s="3">
        <v>1117800</v>
      </c>
      <c r="AM45" s="3">
        <f t="shared" si="9"/>
        <v>-0.22499999986030161</v>
      </c>
      <c r="AN45" s="4"/>
      <c r="AO45" s="3">
        <f>AH45*1.025</f>
        <v>1145745.2306249999</v>
      </c>
      <c r="AP45" s="3"/>
      <c r="AQ45" s="3">
        <f>AO45*1.025</f>
        <v>1174388.8613906247</v>
      </c>
      <c r="AR45" s="3"/>
      <c r="AS45" s="3">
        <f>AQ45*1.025</f>
        <v>1203748.5829253902</v>
      </c>
      <c r="AT45" s="3"/>
      <c r="AU45" s="3">
        <f>AS45*1.025</f>
        <v>1233842.2974985249</v>
      </c>
      <c r="AW45" s="3">
        <f>AU45*1.025</f>
        <v>1264688.3549359879</v>
      </c>
      <c r="AY45" s="3">
        <f>AW45*1.025</f>
        <v>1296305.5638093874</v>
      </c>
      <c r="BA45" s="3">
        <f>AY45*1.025</f>
        <v>1328713.2029046221</v>
      </c>
      <c r="BB45" s="3"/>
      <c r="BC45" s="3">
        <f>BA45*1.025</f>
        <v>1361931.0329772376</v>
      </c>
      <c r="BE45" s="3">
        <f>BC45*1.025</f>
        <v>1395979.3088016685</v>
      </c>
    </row>
    <row r="46" spans="1:72" s="42" customFormat="1" x14ac:dyDescent="0.25">
      <c r="A46" s="3" t="s">
        <v>51</v>
      </c>
      <c r="B46" s="3">
        <f>701345 *1.025-879</f>
        <v>717999.62499999988</v>
      </c>
      <c r="C46" s="3"/>
      <c r="D46" s="3">
        <v>317138</v>
      </c>
      <c r="E46" s="3">
        <f t="shared" si="16"/>
        <v>409335</v>
      </c>
      <c r="F46" s="3">
        <v>726473</v>
      </c>
      <c r="G46" s="3"/>
      <c r="H46" s="32">
        <f t="shared" si="7"/>
        <v>8473.3750000001164</v>
      </c>
      <c r="I46" s="4"/>
      <c r="J46" s="4">
        <v>272890</v>
      </c>
      <c r="K46" s="4">
        <f t="shared" si="17"/>
        <v>453579</v>
      </c>
      <c r="L46" s="4">
        <v>726469</v>
      </c>
      <c r="M46" s="4"/>
      <c r="N46" s="4">
        <f t="shared" si="18"/>
        <v>-4</v>
      </c>
      <c r="O46" s="4"/>
      <c r="P46" s="3">
        <f>L46 *1.025+19</f>
        <v>744649.72499999998</v>
      </c>
      <c r="Q46" s="3"/>
      <c r="R46" s="3">
        <v>0</v>
      </c>
      <c r="S46" s="3">
        <f t="shared" si="10"/>
        <v>721822</v>
      </c>
      <c r="T46" s="3">
        <v>721822</v>
      </c>
      <c r="U46" s="3">
        <f t="shared" si="11"/>
        <v>-22827.724999999977</v>
      </c>
      <c r="V46" s="3"/>
      <c r="W46" s="3">
        <f t="shared" si="12"/>
        <v>721822</v>
      </c>
      <c r="X46" s="3"/>
      <c r="Y46" s="3">
        <v>721822</v>
      </c>
      <c r="Z46" s="3">
        <f t="shared" si="13"/>
        <v>0</v>
      </c>
      <c r="AA46" s="3"/>
      <c r="AB46" s="3"/>
      <c r="AC46" s="3">
        <v>259248</v>
      </c>
      <c r="AD46" s="3">
        <f t="shared" si="14"/>
        <v>462574</v>
      </c>
      <c r="AE46" s="3">
        <v>721822</v>
      </c>
      <c r="AF46" s="3">
        <f t="shared" si="15"/>
        <v>0</v>
      </c>
      <c r="AG46" s="4"/>
      <c r="AH46" s="4">
        <f>P46 *1.025-1266</f>
        <v>761999.9681249999</v>
      </c>
      <c r="AI46" s="4"/>
      <c r="AJ46" s="3"/>
      <c r="AK46" s="3">
        <f t="shared" si="8"/>
        <v>762000</v>
      </c>
      <c r="AL46" s="3">
        <v>762000</v>
      </c>
      <c r="AM46" s="3">
        <f t="shared" si="9"/>
        <v>3.1875000102445483E-2</v>
      </c>
      <c r="AN46" s="4"/>
      <c r="AO46" s="3">
        <f>AH46 *1.025</f>
        <v>781049.9673281248</v>
      </c>
      <c r="AP46" s="3"/>
      <c r="AQ46" s="3">
        <f>AO46 *1.025</f>
        <v>800576.21651132789</v>
      </c>
      <c r="AR46" s="3"/>
      <c r="AS46" s="3">
        <f>AQ46 *1.025</f>
        <v>820590.62192411104</v>
      </c>
      <c r="AT46" s="3"/>
      <c r="AU46" s="3">
        <f>AS46 *1.025</f>
        <v>841105.38747221371</v>
      </c>
      <c r="AW46" s="3">
        <f>AU46 *1.025</f>
        <v>862133.02215901902</v>
      </c>
      <c r="AY46" s="3">
        <f>AW46 *1.025</f>
        <v>883686.34771299444</v>
      </c>
      <c r="BA46" s="3">
        <f>AY46 *1.025</f>
        <v>905778.50640581921</v>
      </c>
      <c r="BC46" s="3">
        <f>BA46 *1.025</f>
        <v>928422.96906596457</v>
      </c>
      <c r="BE46" s="3">
        <f>BC46 *1.025</f>
        <v>951633.54329261358</v>
      </c>
    </row>
    <row r="47" spans="1:72" x14ac:dyDescent="0.25">
      <c r="A47" s="3" t="s">
        <v>52</v>
      </c>
      <c r="B47" s="3">
        <v>366000</v>
      </c>
      <c r="D47" s="3"/>
      <c r="E47" s="3">
        <f t="shared" si="16"/>
        <v>366000</v>
      </c>
      <c r="F47" s="3">
        <v>366000</v>
      </c>
      <c r="H47" s="32">
        <f t="shared" si="7"/>
        <v>0</v>
      </c>
      <c r="I47" s="4"/>
      <c r="J47" s="4">
        <v>20020</v>
      </c>
      <c r="K47" s="4">
        <f t="shared" si="17"/>
        <v>345980</v>
      </c>
      <c r="L47" s="4">
        <v>366000</v>
      </c>
      <c r="N47" s="4">
        <f t="shared" si="18"/>
        <v>0</v>
      </c>
      <c r="P47" s="3">
        <v>372000</v>
      </c>
      <c r="Q47" s="3"/>
      <c r="R47" s="3">
        <v>0</v>
      </c>
      <c r="S47" s="3">
        <f t="shared" si="10"/>
        <v>372000</v>
      </c>
      <c r="T47" s="3">
        <v>372000</v>
      </c>
      <c r="U47" s="3">
        <f t="shared" si="11"/>
        <v>0</v>
      </c>
      <c r="V47" s="3"/>
      <c r="W47" s="3">
        <f t="shared" si="12"/>
        <v>430520</v>
      </c>
      <c r="X47" s="3"/>
      <c r="Y47" s="3">
        <v>430520</v>
      </c>
      <c r="Z47" s="3">
        <f t="shared" si="13"/>
        <v>58520</v>
      </c>
      <c r="AA47" s="3"/>
      <c r="AB47" s="3"/>
      <c r="AC47" s="3">
        <v>199765</v>
      </c>
      <c r="AD47" s="3">
        <f t="shared" si="14"/>
        <v>290235</v>
      </c>
      <c r="AE47" s="3">
        <v>490000</v>
      </c>
      <c r="AF47" s="3">
        <f t="shared" si="15"/>
        <v>59480</v>
      </c>
      <c r="AG47" s="4"/>
      <c r="AH47" s="4">
        <v>319000</v>
      </c>
      <c r="AJ47" s="3"/>
      <c r="AK47" s="3">
        <f t="shared" si="8"/>
        <v>319000</v>
      </c>
      <c r="AL47" s="3">
        <v>319000</v>
      </c>
      <c r="AM47" s="3">
        <f t="shared" si="9"/>
        <v>0</v>
      </c>
      <c r="AO47" s="3">
        <v>370000</v>
      </c>
      <c r="AP47" s="3"/>
      <c r="AQ47" s="3">
        <v>476000</v>
      </c>
      <c r="AR47" s="3"/>
      <c r="AS47" s="3">
        <v>476000</v>
      </c>
      <c r="AT47" s="3"/>
      <c r="AU47" s="3">
        <v>476000</v>
      </c>
      <c r="AV47" s="42"/>
      <c r="AW47" s="3">
        <v>450000</v>
      </c>
      <c r="AX47" s="42"/>
      <c r="AY47" s="3">
        <v>450000</v>
      </c>
      <c r="AZ47" s="42"/>
      <c r="BA47" s="3">
        <v>450000</v>
      </c>
      <c r="BB47" s="42"/>
      <c r="BC47" s="3">
        <v>450000</v>
      </c>
      <c r="BD47" s="42"/>
      <c r="BE47" s="3">
        <v>450000</v>
      </c>
    </row>
    <row r="48" spans="1:72" x14ac:dyDescent="0.25">
      <c r="A48" s="3" t="s">
        <v>53</v>
      </c>
      <c r="B48" s="3"/>
      <c r="D48" s="3"/>
      <c r="E48" s="3">
        <f t="shared" si="16"/>
        <v>0</v>
      </c>
      <c r="F48" s="3"/>
      <c r="H48" s="32">
        <f t="shared" si="7"/>
        <v>0</v>
      </c>
      <c r="I48" s="4"/>
      <c r="J48" s="4"/>
      <c r="K48" s="4">
        <f t="shared" si="17"/>
        <v>0</v>
      </c>
      <c r="L48" s="4"/>
      <c r="N48" s="4">
        <f t="shared" si="18"/>
        <v>0</v>
      </c>
      <c r="P48" s="3"/>
      <c r="Q48" s="3"/>
      <c r="R48" s="3"/>
      <c r="S48" s="3">
        <f t="shared" si="10"/>
        <v>0</v>
      </c>
      <c r="T48" s="3"/>
      <c r="U48" s="3">
        <f t="shared" si="11"/>
        <v>0</v>
      </c>
      <c r="V48" s="3"/>
      <c r="W48" s="3">
        <f t="shared" si="12"/>
        <v>0</v>
      </c>
      <c r="X48" s="3"/>
      <c r="Y48" s="3"/>
      <c r="Z48" s="3">
        <f t="shared" si="13"/>
        <v>0</v>
      </c>
      <c r="AA48" s="3"/>
      <c r="AB48" s="3"/>
      <c r="AC48" s="3"/>
      <c r="AD48" s="3">
        <f t="shared" si="14"/>
        <v>0</v>
      </c>
      <c r="AE48" s="3"/>
      <c r="AF48" s="3">
        <f t="shared" si="15"/>
        <v>0</v>
      </c>
      <c r="AG48" s="4"/>
      <c r="AH48" s="4"/>
      <c r="AJ48" s="3"/>
      <c r="AK48" s="3">
        <f t="shared" si="8"/>
        <v>0</v>
      </c>
      <c r="AL48" s="3"/>
      <c r="AM48" s="3">
        <f t="shared" si="9"/>
        <v>0</v>
      </c>
      <c r="AO48" s="3"/>
      <c r="AP48" s="3"/>
      <c r="AQ48" s="3"/>
      <c r="AR48" s="3"/>
      <c r="AS48" s="3"/>
      <c r="AT48" s="3"/>
      <c r="AU48" s="3"/>
      <c r="AV48" s="42"/>
      <c r="AW48" s="3"/>
      <c r="AX48" s="42"/>
      <c r="AY48" s="3"/>
      <c r="AZ48" s="42"/>
      <c r="BA48" s="3"/>
      <c r="BB48" s="42"/>
      <c r="BC48" s="3"/>
      <c r="BD48" s="42"/>
      <c r="BE48" s="3"/>
    </row>
    <row r="49" spans="1:57" x14ac:dyDescent="0.25">
      <c r="A49" s="3" t="s">
        <v>54</v>
      </c>
      <c r="B49" s="3"/>
      <c r="D49" s="3"/>
      <c r="E49" s="3">
        <f t="shared" si="16"/>
        <v>0</v>
      </c>
      <c r="F49" s="3"/>
      <c r="H49" s="32">
        <f t="shared" si="7"/>
        <v>0</v>
      </c>
      <c r="I49" s="4"/>
      <c r="J49" s="4"/>
      <c r="K49" s="4">
        <f t="shared" si="17"/>
        <v>0</v>
      </c>
      <c r="L49" s="4"/>
      <c r="N49" s="4">
        <f t="shared" si="18"/>
        <v>0</v>
      </c>
      <c r="P49" s="3"/>
      <c r="Q49" s="3"/>
      <c r="R49" s="3"/>
      <c r="S49" s="3">
        <f t="shared" si="10"/>
        <v>0</v>
      </c>
      <c r="T49" s="3"/>
      <c r="U49" s="3">
        <f t="shared" si="11"/>
        <v>0</v>
      </c>
      <c r="V49" s="3"/>
      <c r="W49" s="3">
        <f t="shared" si="12"/>
        <v>0</v>
      </c>
      <c r="X49" s="3"/>
      <c r="Y49" s="3"/>
      <c r="Z49" s="3">
        <f t="shared" si="13"/>
        <v>0</v>
      </c>
      <c r="AA49" s="3"/>
      <c r="AB49" s="3"/>
      <c r="AC49" s="3"/>
      <c r="AD49" s="3">
        <f t="shared" si="14"/>
        <v>0</v>
      </c>
      <c r="AE49" s="3"/>
      <c r="AF49" s="3">
        <f t="shared" si="15"/>
        <v>0</v>
      </c>
      <c r="AG49" s="4"/>
      <c r="AH49" s="4"/>
      <c r="AJ49" s="3"/>
      <c r="AK49" s="3">
        <f t="shared" si="8"/>
        <v>0</v>
      </c>
      <c r="AL49" s="3"/>
      <c r="AM49" s="3">
        <f t="shared" si="9"/>
        <v>0</v>
      </c>
      <c r="AO49" s="3"/>
      <c r="AP49" s="3"/>
      <c r="AQ49" s="3"/>
      <c r="AR49" s="3"/>
      <c r="AS49" s="3"/>
      <c r="AT49" s="3"/>
      <c r="AU49" s="3"/>
      <c r="AV49" s="42"/>
      <c r="AW49" s="3"/>
      <c r="AX49" s="42"/>
      <c r="AY49" s="3"/>
      <c r="AZ49" s="42"/>
      <c r="BA49" s="3"/>
      <c r="BB49" s="42"/>
      <c r="BC49" s="3"/>
      <c r="BD49" s="42"/>
      <c r="BE49" s="3"/>
    </row>
    <row r="50" spans="1:57" x14ac:dyDescent="0.25">
      <c r="A50" s="3" t="s">
        <v>55</v>
      </c>
      <c r="B50" s="3">
        <v>18500</v>
      </c>
      <c r="D50" s="3"/>
      <c r="E50" s="3">
        <f t="shared" si="16"/>
        <v>18500</v>
      </c>
      <c r="F50" s="3">
        <v>18500</v>
      </c>
      <c r="H50" s="32">
        <f t="shared" si="7"/>
        <v>0</v>
      </c>
      <c r="I50" s="4"/>
      <c r="J50" s="4">
        <v>0</v>
      </c>
      <c r="K50" s="4">
        <f t="shared" si="17"/>
        <v>18500</v>
      </c>
      <c r="L50" s="4">
        <v>18500</v>
      </c>
      <c r="N50" s="4">
        <f t="shared" si="18"/>
        <v>0</v>
      </c>
      <c r="P50" s="3">
        <f>L50*1.02-20</f>
        <v>18850</v>
      </c>
      <c r="Q50" s="3"/>
      <c r="R50" s="3">
        <v>0</v>
      </c>
      <c r="S50" s="3">
        <f t="shared" si="10"/>
        <v>18850</v>
      </c>
      <c r="T50" s="3">
        <v>18850</v>
      </c>
      <c r="U50" s="3">
        <f t="shared" si="11"/>
        <v>0</v>
      </c>
      <c r="V50" s="3"/>
      <c r="W50" s="3">
        <f t="shared" si="12"/>
        <v>18850</v>
      </c>
      <c r="X50" s="3"/>
      <c r="Y50" s="3">
        <v>18850</v>
      </c>
      <c r="Z50" s="3">
        <f t="shared" si="13"/>
        <v>0</v>
      </c>
      <c r="AA50" s="3"/>
      <c r="AB50" s="3"/>
      <c r="AC50" s="3">
        <v>19525</v>
      </c>
      <c r="AD50" s="3">
        <f t="shared" si="14"/>
        <v>0</v>
      </c>
      <c r="AE50" s="3">
        <v>19525</v>
      </c>
      <c r="AF50" s="3">
        <f t="shared" si="15"/>
        <v>675</v>
      </c>
      <c r="AG50" s="4"/>
      <c r="AH50" s="4">
        <v>19850</v>
      </c>
      <c r="AJ50" s="3"/>
      <c r="AK50" s="3">
        <f t="shared" si="8"/>
        <v>19850</v>
      </c>
      <c r="AL50" s="3">
        <v>19850</v>
      </c>
      <c r="AM50" s="3">
        <f t="shared" si="9"/>
        <v>0</v>
      </c>
      <c r="AO50" s="3">
        <f>AH50*1.02</f>
        <v>20247</v>
      </c>
      <c r="AP50" s="3"/>
      <c r="AQ50" s="3">
        <f>AO50*1.02</f>
        <v>20651.939999999999</v>
      </c>
      <c r="AR50" s="3"/>
      <c r="AS50" s="3">
        <f>AQ50*1.02</f>
        <v>21064.978800000001</v>
      </c>
      <c r="AT50" s="3"/>
      <c r="AU50" s="3">
        <f>AS50*1.02</f>
        <v>21486.278376000002</v>
      </c>
      <c r="AV50" s="42"/>
      <c r="AW50" s="3">
        <f>AU50*1.02</f>
        <v>21916.003943520001</v>
      </c>
      <c r="AX50" s="42"/>
      <c r="AY50" s="3">
        <f>AW50*1.02</f>
        <v>22354.324022390403</v>
      </c>
      <c r="AZ50" s="42"/>
      <c r="BA50" s="3">
        <f>AY50*1.02</f>
        <v>22801.410502838211</v>
      </c>
      <c r="BB50" s="42"/>
      <c r="BC50" s="3">
        <f>BA50*1.02</f>
        <v>23257.438712894975</v>
      </c>
      <c r="BD50" s="42"/>
      <c r="BE50" s="3">
        <f>BC50*1.02</f>
        <v>23722.587487152876</v>
      </c>
    </row>
    <row r="51" spans="1:57" x14ac:dyDescent="0.25">
      <c r="A51" s="3" t="s">
        <v>56</v>
      </c>
      <c r="B51" s="3">
        <f>130000+20000</f>
        <v>150000</v>
      </c>
      <c r="D51" s="3">
        <v>87329</v>
      </c>
      <c r="E51" s="3">
        <f t="shared" si="16"/>
        <v>72671</v>
      </c>
      <c r="F51" s="3">
        <v>160000</v>
      </c>
      <c r="H51" s="32">
        <f t="shared" si="7"/>
        <v>10000</v>
      </c>
      <c r="I51" s="4"/>
      <c r="J51" s="4">
        <v>102747</v>
      </c>
      <c r="K51" s="4">
        <f t="shared" si="17"/>
        <v>57253</v>
      </c>
      <c r="L51" s="4">
        <v>160000</v>
      </c>
      <c r="N51" s="4">
        <f t="shared" si="18"/>
        <v>0</v>
      </c>
      <c r="P51" s="3">
        <v>160000</v>
      </c>
      <c r="Q51" s="3"/>
      <c r="R51" s="3">
        <f>9641+73375</f>
        <v>83016</v>
      </c>
      <c r="S51" s="3">
        <f t="shared" si="10"/>
        <v>91984</v>
      </c>
      <c r="T51" s="3">
        <v>175000</v>
      </c>
      <c r="U51" s="3">
        <f t="shared" si="11"/>
        <v>15000</v>
      </c>
      <c r="V51" s="3">
        <v>72865</v>
      </c>
      <c r="W51" s="3">
        <f t="shared" si="12"/>
        <v>102135</v>
      </c>
      <c r="X51" s="3"/>
      <c r="Y51" s="3">
        <v>175000</v>
      </c>
      <c r="Z51" s="3">
        <f t="shared" si="13"/>
        <v>0</v>
      </c>
      <c r="AA51" s="3"/>
      <c r="AB51" s="3"/>
      <c r="AC51" s="3">
        <f>22455+154751</f>
        <v>177206</v>
      </c>
      <c r="AD51" s="3">
        <f t="shared" si="14"/>
        <v>-2206</v>
      </c>
      <c r="AE51" s="3">
        <v>175000</v>
      </c>
      <c r="AF51" s="3">
        <f t="shared" si="15"/>
        <v>0</v>
      </c>
      <c r="AG51" s="4"/>
      <c r="AH51" s="4">
        <v>160000</v>
      </c>
      <c r="AJ51" s="3">
        <v>54913</v>
      </c>
      <c r="AK51" s="3">
        <f t="shared" si="8"/>
        <v>105087</v>
      </c>
      <c r="AL51" s="3">
        <v>160000</v>
      </c>
      <c r="AM51" s="3">
        <f t="shared" si="9"/>
        <v>0</v>
      </c>
      <c r="AO51" s="3">
        <v>160000</v>
      </c>
      <c r="AP51" s="3"/>
      <c r="AQ51" s="3">
        <f>AO51+5000</f>
        <v>165000</v>
      </c>
      <c r="AR51" s="3"/>
      <c r="AS51" s="3">
        <f>AQ51+5000</f>
        <v>170000</v>
      </c>
      <c r="AT51" s="3"/>
      <c r="AU51" s="3">
        <f>AS51+5000</f>
        <v>175000</v>
      </c>
      <c r="AV51" s="42"/>
      <c r="AW51" s="3">
        <f>AU51+5000</f>
        <v>180000</v>
      </c>
      <c r="AX51" s="42"/>
      <c r="AY51" s="3">
        <f>AW51+5000</f>
        <v>185000</v>
      </c>
      <c r="AZ51" s="42"/>
      <c r="BA51" s="3">
        <f>AY51+5000</f>
        <v>190000</v>
      </c>
      <c r="BB51" s="42"/>
      <c r="BC51" s="3">
        <f>BA51+5000</f>
        <v>195000</v>
      </c>
      <c r="BD51" s="42"/>
      <c r="BE51" s="3">
        <f>BC51+5000</f>
        <v>200000</v>
      </c>
    </row>
    <row r="52" spans="1:57" x14ac:dyDescent="0.25">
      <c r="A52" s="3" t="s">
        <v>57</v>
      </c>
      <c r="AK52" s="3">
        <f t="shared" si="8"/>
        <v>0</v>
      </c>
      <c r="AM52" s="3">
        <f t="shared" si="9"/>
        <v>0</v>
      </c>
    </row>
    <row r="53" spans="1:57" ht="15.75" thickBot="1" x14ac:dyDescent="0.3">
      <c r="A53" s="3"/>
      <c r="B53" s="43">
        <f>SUM(B43:B52)</f>
        <v>4437499.125</v>
      </c>
      <c r="C53" s="32"/>
      <c r="D53" s="43">
        <f>SUM(D43:D52)</f>
        <v>3049961</v>
      </c>
      <c r="E53" s="43">
        <f>SUM(E43:E52)</f>
        <v>1463329</v>
      </c>
      <c r="F53" s="43">
        <f>SUM(F43:F52)</f>
        <v>4513290</v>
      </c>
      <c r="G53" s="32"/>
      <c r="H53" s="43">
        <f>SUM(H43:H52)</f>
        <v>75790.875000000233</v>
      </c>
      <c r="I53" s="36"/>
      <c r="J53" s="43">
        <f>SUM(J43:J52)</f>
        <v>2983312</v>
      </c>
      <c r="K53" s="43">
        <f>SUM(K43:K52)</f>
        <v>1529974</v>
      </c>
      <c r="L53" s="43">
        <f>SUM(L43:L52)</f>
        <v>4513286</v>
      </c>
      <c r="M53" s="32"/>
      <c r="N53" s="43">
        <f>SUM(N43:N52)</f>
        <v>-4</v>
      </c>
      <c r="O53" s="32"/>
      <c r="P53" s="43">
        <f>SUM(P43:P52)</f>
        <v>4634999.6500000004</v>
      </c>
      <c r="R53" s="43">
        <f t="shared" ref="R53:Z53" si="19">SUM(R43:R52)</f>
        <v>2359235</v>
      </c>
      <c r="S53" s="43">
        <f t="shared" si="19"/>
        <v>2286966</v>
      </c>
      <c r="T53" s="43">
        <f t="shared" si="19"/>
        <v>4646201</v>
      </c>
      <c r="U53" s="43">
        <f t="shared" si="19"/>
        <v>11201.35000000021</v>
      </c>
      <c r="V53" s="43">
        <f t="shared" si="19"/>
        <v>2349799</v>
      </c>
      <c r="W53" s="43">
        <f t="shared" si="19"/>
        <v>2355922</v>
      </c>
      <c r="X53" s="43"/>
      <c r="Y53" s="43">
        <f t="shared" si="19"/>
        <v>4705721</v>
      </c>
      <c r="Z53" s="43">
        <f t="shared" si="19"/>
        <v>59520</v>
      </c>
      <c r="AC53" s="43">
        <f>SUM(AC43:AC52)</f>
        <v>3343012</v>
      </c>
      <c r="AD53" s="43">
        <f>SUM(AD43:AD52)</f>
        <v>1422464</v>
      </c>
      <c r="AE53" s="43">
        <f>SUM(AE43:AE52)</f>
        <v>4765476</v>
      </c>
      <c r="AF53" s="43">
        <f>SUM(AF43:AF52)</f>
        <v>59755</v>
      </c>
      <c r="AH53" s="36">
        <f>SUM(AH43:AH52)</f>
        <v>4732650.1931249993</v>
      </c>
      <c r="AI53" s="32"/>
      <c r="AJ53" s="43">
        <f>SUM(AJ43:AJ52)</f>
        <v>2411576</v>
      </c>
      <c r="AK53" s="43">
        <f>SUM(AK43:AK52)</f>
        <v>2322074</v>
      </c>
      <c r="AL53" s="43">
        <f>SUM(AL43:AL52)</f>
        <v>4733650</v>
      </c>
      <c r="AM53" s="43">
        <f>SUM(AM43:AM52)</f>
        <v>999.80687500024214</v>
      </c>
      <c r="AN53" s="32"/>
      <c r="AO53" s="43">
        <f>SUM(AO43:AO52)</f>
        <v>5207682.1979531245</v>
      </c>
      <c r="AQ53" s="43">
        <f>SUM(AQ43:AQ52)+1</f>
        <v>5457369.1379019525</v>
      </c>
      <c r="AS53" s="43">
        <f>SUM(AS43:AS52)</f>
        <v>5605240.0906095002</v>
      </c>
      <c r="AT53" s="43"/>
      <c r="AU53" s="43">
        <f>SUM(AU43:AU52)</f>
        <v>5757426.4552364182</v>
      </c>
      <c r="AW53" s="43">
        <f>SUM(AW43:AW52)</f>
        <v>5888059.6251605656</v>
      </c>
      <c r="AY53" s="43">
        <f>SUM(AY43:AY52)</f>
        <v>6049276.1137228375</v>
      </c>
      <c r="BA53" s="43">
        <f>SUM(BA43:BA52)</f>
        <v>6215216.6839712206</v>
      </c>
      <c r="BC53" s="43">
        <f>SUM(BC43:BC52)</f>
        <v>6386026.4825312495</v>
      </c>
      <c r="BE53" s="43">
        <f>SUM(BE43:BE52)</f>
        <v>6561855.1777351676</v>
      </c>
    </row>
    <row r="54" spans="1:57" s="42" customFormat="1" ht="15.75" thickTop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4"/>
      <c r="N54" s="3"/>
      <c r="O54" s="4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4"/>
      <c r="AH54" s="4"/>
      <c r="AI54" s="4"/>
      <c r="AJ54" s="3"/>
      <c r="AK54" s="3"/>
      <c r="AL54" s="3"/>
      <c r="AM54" s="3"/>
      <c r="AN54" s="4"/>
      <c r="AO54" s="3"/>
      <c r="AP54" s="3"/>
      <c r="AQ54" s="3"/>
      <c r="AR54" s="3"/>
      <c r="AS54" s="3"/>
      <c r="AT54" s="3"/>
      <c r="AU54" s="3"/>
      <c r="AW54" s="3"/>
      <c r="AY54" s="3"/>
      <c r="BA54" s="3"/>
      <c r="BC54" s="3"/>
      <c r="BE54" s="3"/>
    </row>
    <row r="55" spans="1:57" x14ac:dyDescent="0.25">
      <c r="A55" s="7" t="s">
        <v>58</v>
      </c>
    </row>
    <row r="56" spans="1:57" x14ac:dyDescent="0.25">
      <c r="A56" s="7" t="s">
        <v>59</v>
      </c>
    </row>
    <row r="57" spans="1:57" x14ac:dyDescent="0.25">
      <c r="A57" s="45" t="s">
        <v>60</v>
      </c>
      <c r="B57" s="3">
        <v>5700</v>
      </c>
      <c r="D57" s="3">
        <v>845</v>
      </c>
      <c r="E57" s="3">
        <f t="shared" ref="E57:E63" si="20">F57-D57</f>
        <v>4855</v>
      </c>
      <c r="F57" s="3">
        <v>5700</v>
      </c>
      <c r="H57" s="32">
        <f t="shared" ref="H57:H63" si="21">F57-B57</f>
        <v>0</v>
      </c>
      <c r="I57" s="32"/>
      <c r="J57" s="4">
        <v>3100</v>
      </c>
      <c r="K57" s="4">
        <f t="shared" ref="K57:K63" si="22">L57-J57</f>
        <v>2600</v>
      </c>
      <c r="L57" s="4">
        <v>5700</v>
      </c>
      <c r="N57" s="4">
        <f t="shared" ref="N57:N63" si="23">L57-F57</f>
        <v>0</v>
      </c>
      <c r="P57" s="3">
        <f>L57*1.025+7</f>
        <v>5849.4999999999991</v>
      </c>
      <c r="Q57" s="3"/>
      <c r="R57" s="3">
        <v>2985</v>
      </c>
      <c r="S57" s="3">
        <f>T57-R57</f>
        <v>3265</v>
      </c>
      <c r="T57" s="3">
        <v>6250</v>
      </c>
      <c r="U57" s="3">
        <f>T57-P57</f>
        <v>400.50000000000091</v>
      </c>
      <c r="V57" s="3">
        <v>5325</v>
      </c>
      <c r="W57" s="3">
        <f t="shared" ref="W57:W63" si="24">Y57-V57</f>
        <v>1675</v>
      </c>
      <c r="X57" s="3"/>
      <c r="Y57" s="3">
        <v>7000</v>
      </c>
      <c r="Z57" s="3">
        <f>Y57-T57</f>
        <v>750</v>
      </c>
      <c r="AA57" s="3"/>
      <c r="AB57" s="3"/>
      <c r="AC57" s="3">
        <v>7315</v>
      </c>
      <c r="AD57" s="3">
        <f t="shared" ref="AD57:AD63" si="25">AE57-AC57</f>
        <v>935</v>
      </c>
      <c r="AE57" s="3">
        <v>8250</v>
      </c>
      <c r="AF57" s="3">
        <f t="shared" ref="AF57:AF63" si="26">AE57-Y57</f>
        <v>1250</v>
      </c>
      <c r="AG57" s="4"/>
      <c r="AH57" s="4">
        <v>8250</v>
      </c>
      <c r="AJ57" s="3">
        <v>860</v>
      </c>
      <c r="AK57" s="3">
        <f t="shared" ref="AK57:AK63" si="27">AL57-AJ57</f>
        <v>7390</v>
      </c>
      <c r="AL57" s="3">
        <v>8250</v>
      </c>
      <c r="AM57" s="3">
        <f t="shared" ref="AM57:AM63" si="28">AL57-AH57</f>
        <v>0</v>
      </c>
      <c r="AO57" s="3">
        <f>AH57*1.025</f>
        <v>8456.25</v>
      </c>
      <c r="AP57" s="3"/>
      <c r="AQ57" s="3">
        <f>AO57*1.025</f>
        <v>8667.65625</v>
      </c>
      <c r="AR57" s="3"/>
      <c r="AS57" s="3">
        <f>AQ57*1.025</f>
        <v>8884.34765625</v>
      </c>
      <c r="AT57" s="3"/>
      <c r="AU57" s="3">
        <f>AS57*1.025</f>
        <v>9106.4563476562489</v>
      </c>
      <c r="AV57" s="42"/>
      <c r="AW57" s="3">
        <f>AU57*1.025</f>
        <v>9334.117756347654</v>
      </c>
      <c r="AX57" s="42"/>
      <c r="AY57" s="3">
        <f>AW57*1.025</f>
        <v>9567.4707002563446</v>
      </c>
      <c r="AZ57" s="42"/>
      <c r="BA57" s="3">
        <f>AY57*1.025</f>
        <v>9806.6574677627523</v>
      </c>
      <c r="BB57" s="42"/>
      <c r="BC57" s="3">
        <f>BA57*1.025</f>
        <v>10051.82390445682</v>
      </c>
      <c r="BE57" s="3">
        <f>BC57*1.025</f>
        <v>10303.119502068239</v>
      </c>
    </row>
    <row r="58" spans="1:57" x14ac:dyDescent="0.25">
      <c r="A58" s="45" t="s">
        <v>61</v>
      </c>
      <c r="B58" s="3">
        <v>2250</v>
      </c>
      <c r="D58" s="3">
        <v>750</v>
      </c>
      <c r="E58" s="3">
        <f t="shared" si="20"/>
        <v>1500</v>
      </c>
      <c r="F58" s="3">
        <v>2250</v>
      </c>
      <c r="H58" s="32">
        <f t="shared" si="21"/>
        <v>0</v>
      </c>
      <c r="I58" s="32"/>
      <c r="J58" s="4">
        <v>1045</v>
      </c>
      <c r="K58" s="4">
        <f t="shared" si="22"/>
        <v>1205</v>
      </c>
      <c r="L58" s="4">
        <v>2250</v>
      </c>
      <c r="N58" s="4">
        <f t="shared" si="23"/>
        <v>0</v>
      </c>
      <c r="P58" s="3">
        <f>L58*1.025-6</f>
        <v>2300.25</v>
      </c>
      <c r="Q58" s="3"/>
      <c r="R58" s="3">
        <v>633</v>
      </c>
      <c r="S58" s="3">
        <f t="shared" ref="S58:S63" si="29">T58-R58</f>
        <v>1667</v>
      </c>
      <c r="T58" s="3">
        <v>2300</v>
      </c>
      <c r="U58" s="3">
        <f t="shared" ref="U58:U63" si="30">T58-P58</f>
        <v>-0.25</v>
      </c>
      <c r="V58" s="3">
        <v>915</v>
      </c>
      <c r="W58" s="3">
        <f t="shared" si="24"/>
        <v>1085</v>
      </c>
      <c r="X58" s="3"/>
      <c r="Y58" s="3">
        <v>2000</v>
      </c>
      <c r="Z58" s="3">
        <f t="shared" ref="Z58:Z63" si="31">Y58-T58</f>
        <v>-300</v>
      </c>
      <c r="AA58" s="3"/>
      <c r="AB58" s="3"/>
      <c r="AC58" s="3">
        <v>1420</v>
      </c>
      <c r="AD58" s="3">
        <f t="shared" si="25"/>
        <v>480</v>
      </c>
      <c r="AE58" s="3">
        <v>1900</v>
      </c>
      <c r="AF58" s="3">
        <f t="shared" si="26"/>
        <v>-100</v>
      </c>
      <c r="AG58" s="4"/>
      <c r="AH58" s="4">
        <f>AE58+100</f>
        <v>2000</v>
      </c>
      <c r="AJ58" s="3">
        <v>693</v>
      </c>
      <c r="AK58" s="3">
        <f t="shared" si="27"/>
        <v>1307</v>
      </c>
      <c r="AL58" s="3">
        <v>2000</v>
      </c>
      <c r="AM58" s="3">
        <f t="shared" si="28"/>
        <v>0</v>
      </c>
      <c r="AO58" s="3">
        <f>AH58*1.025</f>
        <v>2050</v>
      </c>
      <c r="AP58" s="3"/>
      <c r="AQ58" s="3">
        <f>AO58*1.025</f>
        <v>2101.25</v>
      </c>
      <c r="AR58" s="3"/>
      <c r="AS58" s="3">
        <f>AQ58*1.025</f>
        <v>2153.78125</v>
      </c>
      <c r="AT58" s="3"/>
      <c r="AU58" s="3">
        <f>AS58*1.025</f>
        <v>2207.6257812499998</v>
      </c>
      <c r="AV58" s="42"/>
      <c r="AW58" s="3">
        <f>AU58*1.025</f>
        <v>2262.8164257812496</v>
      </c>
      <c r="AX58" s="42"/>
      <c r="AY58" s="3">
        <f>AW58*1.025</f>
        <v>2319.3868364257805</v>
      </c>
      <c r="AZ58" s="42"/>
      <c r="BA58" s="3">
        <f>AY58*1.025</f>
        <v>2377.3715073364247</v>
      </c>
      <c r="BB58" s="42"/>
      <c r="BC58" s="3">
        <f>BA58*1.025</f>
        <v>2436.8057950198349</v>
      </c>
      <c r="BE58" s="3">
        <f>BC58*1.025</f>
        <v>2497.7259398953306</v>
      </c>
    </row>
    <row r="59" spans="1:57" x14ac:dyDescent="0.25">
      <c r="A59" s="46" t="s">
        <v>62</v>
      </c>
      <c r="B59" s="3"/>
      <c r="D59" s="3"/>
      <c r="E59" s="3">
        <f t="shared" si="20"/>
        <v>0</v>
      </c>
      <c r="F59" s="3"/>
      <c r="H59" s="32">
        <f t="shared" si="21"/>
        <v>0</v>
      </c>
      <c r="I59" s="32"/>
      <c r="J59" s="4"/>
      <c r="K59" s="4">
        <f t="shared" si="22"/>
        <v>0</v>
      </c>
      <c r="L59" s="4"/>
      <c r="N59" s="4">
        <f t="shared" si="23"/>
        <v>0</v>
      </c>
      <c r="P59" s="3"/>
      <c r="Q59" s="3"/>
      <c r="R59" s="3"/>
      <c r="S59" s="3">
        <f t="shared" si="29"/>
        <v>0</v>
      </c>
      <c r="T59" s="3"/>
      <c r="U59" s="3">
        <f t="shared" si="30"/>
        <v>0</v>
      </c>
      <c r="V59" s="3"/>
      <c r="W59" s="3">
        <f t="shared" si="24"/>
        <v>0</v>
      </c>
      <c r="X59" s="3"/>
      <c r="Y59" s="3"/>
      <c r="Z59" s="3">
        <f t="shared" si="31"/>
        <v>0</v>
      </c>
      <c r="AA59" s="3"/>
      <c r="AB59" s="3"/>
      <c r="AC59" s="3"/>
      <c r="AD59" s="3">
        <f t="shared" si="25"/>
        <v>0</v>
      </c>
      <c r="AE59" s="3"/>
      <c r="AF59" s="3">
        <f t="shared" si="26"/>
        <v>0</v>
      </c>
      <c r="AG59" s="4"/>
      <c r="AH59" s="4"/>
      <c r="AJ59" s="3"/>
      <c r="AK59" s="3">
        <f t="shared" si="27"/>
        <v>0</v>
      </c>
      <c r="AL59" s="3"/>
      <c r="AM59" s="3">
        <f t="shared" si="28"/>
        <v>0</v>
      </c>
      <c r="AO59" s="3"/>
      <c r="AP59" s="3"/>
      <c r="AQ59" s="3"/>
      <c r="AR59" s="3"/>
      <c r="AS59" s="3"/>
      <c r="AT59" s="3"/>
      <c r="AU59" s="3"/>
      <c r="AV59" s="42"/>
      <c r="AW59" s="3"/>
      <c r="AX59" s="42"/>
      <c r="AY59" s="3"/>
      <c r="AZ59" s="42"/>
      <c r="BA59" s="3"/>
      <c r="BB59" s="42"/>
      <c r="BC59" s="3"/>
      <c r="BE59" s="3"/>
    </row>
    <row r="60" spans="1:57" x14ac:dyDescent="0.25">
      <c r="A60" s="47" t="s">
        <v>63</v>
      </c>
      <c r="B60" s="3">
        <v>20000</v>
      </c>
      <c r="D60" s="3">
        <v>0</v>
      </c>
      <c r="E60" s="3">
        <f t="shared" si="20"/>
        <v>25000</v>
      </c>
      <c r="F60" s="3">
        <v>25000</v>
      </c>
      <c r="H60" s="32">
        <f t="shared" si="21"/>
        <v>5000</v>
      </c>
      <c r="I60" s="32"/>
      <c r="J60" s="4">
        <v>22098</v>
      </c>
      <c r="K60" s="4">
        <f t="shared" si="22"/>
        <v>2902</v>
      </c>
      <c r="L60" s="4">
        <v>25000</v>
      </c>
      <c r="N60" s="4">
        <f t="shared" si="23"/>
        <v>0</v>
      </c>
      <c r="P60" s="3">
        <v>22500</v>
      </c>
      <c r="Q60" s="3"/>
      <c r="R60" s="3">
        <v>22956</v>
      </c>
      <c r="S60" s="3">
        <f t="shared" si="29"/>
        <v>38394</v>
      </c>
      <c r="T60" s="3">
        <v>61350</v>
      </c>
      <c r="U60" s="3">
        <f t="shared" si="30"/>
        <v>38850</v>
      </c>
      <c r="V60" s="3">
        <v>76130</v>
      </c>
      <c r="W60" s="3">
        <f t="shared" si="24"/>
        <v>0</v>
      </c>
      <c r="X60" s="3"/>
      <c r="Y60" s="3">
        <v>76130</v>
      </c>
      <c r="Z60" s="3">
        <f t="shared" si="31"/>
        <v>14780</v>
      </c>
      <c r="AA60" s="3"/>
      <c r="AB60" s="3"/>
      <c r="AC60" s="3">
        <v>76580</v>
      </c>
      <c r="AD60" s="3">
        <f t="shared" si="25"/>
        <v>6420</v>
      </c>
      <c r="AE60" s="3">
        <v>83000</v>
      </c>
      <c r="AF60" s="3">
        <f t="shared" si="26"/>
        <v>6870</v>
      </c>
      <c r="AG60" s="4"/>
      <c r="AH60" s="4">
        <v>40000</v>
      </c>
      <c r="AJ60" s="3">
        <v>25657</v>
      </c>
      <c r="AK60" s="3">
        <f t="shared" si="27"/>
        <v>14343</v>
      </c>
      <c r="AL60" s="3">
        <v>40000</v>
      </c>
      <c r="AM60" s="3">
        <f t="shared" si="28"/>
        <v>0</v>
      </c>
      <c r="AO60" s="3">
        <f>AH60*1.025</f>
        <v>41000</v>
      </c>
      <c r="AP60" s="3"/>
      <c r="AQ60" s="3">
        <f>AO60*1.025</f>
        <v>42024.999999999993</v>
      </c>
      <c r="AR60" s="3"/>
      <c r="AS60" s="3">
        <f>AQ60*1.025</f>
        <v>43075.624999999985</v>
      </c>
      <c r="AT60" s="3"/>
      <c r="AU60" s="3">
        <f>AS60*1.025</f>
        <v>44152.515624999978</v>
      </c>
      <c r="AV60" s="42"/>
      <c r="AW60" s="3">
        <f>AU60*1.025</f>
        <v>45256.328515624977</v>
      </c>
      <c r="AX60" s="42"/>
      <c r="AY60" s="3">
        <f>AW60*1.025</f>
        <v>46387.7367285156</v>
      </c>
      <c r="AZ60" s="42"/>
      <c r="BA60" s="3">
        <f>AY60*1.025</f>
        <v>47547.430146728482</v>
      </c>
      <c r="BB60" s="42"/>
      <c r="BC60" s="3">
        <f>BA60*1.025</f>
        <v>48736.11590039669</v>
      </c>
      <c r="BE60" s="3">
        <f>BC60*1.025</f>
        <v>49954.518797906603</v>
      </c>
    </row>
    <row r="61" spans="1:57" x14ac:dyDescent="0.25">
      <c r="A61" s="45" t="s">
        <v>64</v>
      </c>
      <c r="B61" s="3"/>
      <c r="D61" s="3"/>
      <c r="E61" s="3">
        <f t="shared" si="20"/>
        <v>0</v>
      </c>
      <c r="F61" s="3"/>
      <c r="H61" s="32">
        <f t="shared" si="21"/>
        <v>0</v>
      </c>
      <c r="I61" s="32"/>
      <c r="J61" s="4"/>
      <c r="K61" s="4">
        <f t="shared" si="22"/>
        <v>0</v>
      </c>
      <c r="L61" s="4"/>
      <c r="N61" s="4">
        <f t="shared" si="23"/>
        <v>0</v>
      </c>
      <c r="P61" s="3"/>
      <c r="Q61" s="3"/>
      <c r="R61" s="3"/>
      <c r="S61" s="3">
        <f t="shared" si="29"/>
        <v>0</v>
      </c>
      <c r="T61" s="3"/>
      <c r="U61" s="3">
        <f t="shared" si="30"/>
        <v>0</v>
      </c>
      <c r="V61" s="3"/>
      <c r="W61" s="3">
        <f t="shared" si="24"/>
        <v>0</v>
      </c>
      <c r="X61" s="3"/>
      <c r="Y61" s="3"/>
      <c r="Z61" s="3">
        <f t="shared" si="31"/>
        <v>0</v>
      </c>
      <c r="AA61" s="3"/>
      <c r="AB61" s="3"/>
      <c r="AC61" s="3"/>
      <c r="AD61" s="3">
        <f t="shared" si="25"/>
        <v>0</v>
      </c>
      <c r="AE61" s="3"/>
      <c r="AF61" s="3">
        <f t="shared" si="26"/>
        <v>0</v>
      </c>
      <c r="AG61" s="4"/>
      <c r="AH61" s="4"/>
      <c r="AJ61" s="3">
        <v>6280</v>
      </c>
      <c r="AK61" s="3">
        <f t="shared" si="27"/>
        <v>0</v>
      </c>
      <c r="AL61" s="3">
        <v>6280</v>
      </c>
      <c r="AM61" s="3">
        <f t="shared" si="28"/>
        <v>6280</v>
      </c>
      <c r="AO61" s="3"/>
      <c r="AP61" s="3"/>
      <c r="AQ61" s="3"/>
      <c r="AR61" s="3"/>
      <c r="AS61" s="3"/>
      <c r="AT61" s="3"/>
      <c r="AU61" s="3"/>
      <c r="AV61" s="42"/>
      <c r="AW61" s="3"/>
      <c r="AX61" s="42"/>
      <c r="AY61" s="3"/>
      <c r="AZ61" s="42"/>
      <c r="BA61" s="3"/>
      <c r="BB61" s="42"/>
      <c r="BC61" s="3"/>
      <c r="BE61" s="3"/>
    </row>
    <row r="62" spans="1:57" x14ac:dyDescent="0.25">
      <c r="A62" s="45" t="s">
        <v>65</v>
      </c>
      <c r="B62" s="3"/>
      <c r="D62" s="3"/>
      <c r="E62" s="3"/>
      <c r="F62" s="3"/>
      <c r="H62" s="32"/>
      <c r="I62" s="32"/>
      <c r="J62" s="4"/>
      <c r="K62" s="4"/>
      <c r="L62" s="4"/>
      <c r="N62" s="4"/>
      <c r="P62" s="3">
        <v>12500</v>
      </c>
      <c r="Q62" s="3"/>
      <c r="R62" s="3"/>
      <c r="S62" s="3">
        <f t="shared" si="29"/>
        <v>12500</v>
      </c>
      <c r="T62" s="3">
        <v>12500</v>
      </c>
      <c r="U62" s="3">
        <f t="shared" si="30"/>
        <v>0</v>
      </c>
      <c r="V62" s="3"/>
      <c r="W62" s="3">
        <f t="shared" si="24"/>
        <v>12500</v>
      </c>
      <c r="X62" s="3"/>
      <c r="Y62" s="3">
        <v>12500</v>
      </c>
      <c r="Z62" s="3">
        <f t="shared" si="31"/>
        <v>0</v>
      </c>
      <c r="AA62" s="3"/>
      <c r="AB62" s="3"/>
      <c r="AC62" s="3">
        <v>0</v>
      </c>
      <c r="AD62" s="3">
        <f t="shared" si="25"/>
        <v>0</v>
      </c>
      <c r="AE62" s="3">
        <v>0</v>
      </c>
      <c r="AF62" s="3">
        <f t="shared" si="26"/>
        <v>-12500</v>
      </c>
      <c r="AG62" s="4"/>
      <c r="AH62" s="4"/>
      <c r="AJ62" s="3"/>
      <c r="AK62" s="3">
        <f t="shared" si="27"/>
        <v>0</v>
      </c>
      <c r="AL62" s="3"/>
      <c r="AM62" s="3">
        <f t="shared" si="28"/>
        <v>0</v>
      </c>
      <c r="AO62" s="3"/>
      <c r="AP62" s="3"/>
      <c r="AQ62" s="3"/>
      <c r="AR62" s="3"/>
      <c r="AS62" s="3"/>
      <c r="AT62" s="3"/>
      <c r="AU62" s="3"/>
      <c r="AV62" s="42"/>
      <c r="AW62" s="3"/>
      <c r="AX62" s="42"/>
      <c r="AY62" s="3"/>
      <c r="AZ62" s="42"/>
      <c r="BA62" s="3"/>
      <c r="BB62" s="42"/>
      <c r="BC62" s="3"/>
      <c r="BE62" s="3"/>
    </row>
    <row r="63" spans="1:57" x14ac:dyDescent="0.25">
      <c r="A63" s="46" t="s">
        <v>66</v>
      </c>
      <c r="B63" s="3">
        <v>2550</v>
      </c>
      <c r="D63" s="3">
        <v>684</v>
      </c>
      <c r="E63" s="3">
        <f t="shared" si="20"/>
        <v>1866</v>
      </c>
      <c r="F63" s="3">
        <v>2550</v>
      </c>
      <c r="H63" s="32">
        <f t="shared" si="21"/>
        <v>0</v>
      </c>
      <c r="I63" s="32"/>
      <c r="J63" s="4">
        <v>465</v>
      </c>
      <c r="K63" s="4">
        <f t="shared" si="22"/>
        <v>1035</v>
      </c>
      <c r="L63" s="4">
        <v>1500</v>
      </c>
      <c r="N63" s="4">
        <f t="shared" si="23"/>
        <v>-1050</v>
      </c>
      <c r="P63" s="3">
        <f>L63*1.025+12</f>
        <v>1549.4999999999998</v>
      </c>
      <c r="Q63" s="3"/>
      <c r="R63" s="3">
        <v>1647</v>
      </c>
      <c r="S63" s="3">
        <f t="shared" si="29"/>
        <v>353</v>
      </c>
      <c r="T63" s="3">
        <v>2000</v>
      </c>
      <c r="U63" s="3">
        <f t="shared" si="30"/>
        <v>450.50000000000023</v>
      </c>
      <c r="V63" s="3">
        <v>1844</v>
      </c>
      <c r="W63" s="3">
        <f t="shared" si="24"/>
        <v>156</v>
      </c>
      <c r="X63" s="3"/>
      <c r="Y63" s="3">
        <v>2000</v>
      </c>
      <c r="Z63" s="3">
        <f t="shared" si="31"/>
        <v>0</v>
      </c>
      <c r="AA63" s="3"/>
      <c r="AB63" s="3"/>
      <c r="AC63" s="3">
        <v>5194</v>
      </c>
      <c r="AD63" s="3">
        <f t="shared" si="25"/>
        <v>806</v>
      </c>
      <c r="AE63" s="3">
        <v>6000</v>
      </c>
      <c r="AF63" s="3">
        <f t="shared" si="26"/>
        <v>4000</v>
      </c>
      <c r="AG63" s="4"/>
      <c r="AH63" s="4">
        <v>4000</v>
      </c>
      <c r="AJ63" s="3">
        <v>392</v>
      </c>
      <c r="AK63" s="3">
        <f t="shared" si="27"/>
        <v>3608</v>
      </c>
      <c r="AL63" s="3">
        <v>4000</v>
      </c>
      <c r="AM63" s="3">
        <f t="shared" si="28"/>
        <v>0</v>
      </c>
      <c r="AO63" s="3">
        <f>AH63*1.025</f>
        <v>4100</v>
      </c>
      <c r="AP63" s="3"/>
      <c r="AQ63" s="3">
        <f>AO63*1.025</f>
        <v>4202.5</v>
      </c>
      <c r="AR63" s="3"/>
      <c r="AS63" s="3">
        <f>AQ63*1.025</f>
        <v>4307.5625</v>
      </c>
      <c r="AT63" s="3"/>
      <c r="AU63" s="3">
        <f>AS63*1.025</f>
        <v>4415.2515624999996</v>
      </c>
      <c r="AV63" s="42"/>
      <c r="AW63" s="3">
        <f>AU63*1.025</f>
        <v>4525.6328515624991</v>
      </c>
      <c r="AX63" s="42"/>
      <c r="AY63" s="3">
        <f>AW63*1.025</f>
        <v>4638.7736728515611</v>
      </c>
      <c r="AZ63" s="42"/>
      <c r="BA63" s="3">
        <f>AY63*1.025</f>
        <v>4754.7430146728493</v>
      </c>
      <c r="BB63" s="42"/>
      <c r="BC63" s="3">
        <f>BA63*1.025</f>
        <v>4873.6115900396699</v>
      </c>
      <c r="BE63" s="3">
        <f>BC63*1.025</f>
        <v>4995.4518797906612</v>
      </c>
    </row>
    <row r="64" spans="1:57" x14ac:dyDescent="0.25">
      <c r="A64" s="3"/>
      <c r="B64" s="48">
        <f>SUM(B57:B63)</f>
        <v>30500</v>
      </c>
      <c r="C64" s="32"/>
      <c r="D64" s="48">
        <f>SUM(D57:D63)</f>
        <v>2279</v>
      </c>
      <c r="E64" s="48">
        <f>SUM(E57:E63)</f>
        <v>33221</v>
      </c>
      <c r="F64" s="48">
        <f>SUM(F57:F63)</f>
        <v>35500</v>
      </c>
      <c r="G64" s="32"/>
      <c r="H64" s="48">
        <f>SUM(H57:H63)</f>
        <v>5000</v>
      </c>
      <c r="I64" s="36"/>
      <c r="J64" s="48">
        <f t="shared" ref="J64:L65" si="32">SUM(J57:J63)</f>
        <v>26708</v>
      </c>
      <c r="K64" s="48">
        <f t="shared" si="32"/>
        <v>7742</v>
      </c>
      <c r="L64" s="48">
        <f t="shared" si="32"/>
        <v>34450</v>
      </c>
      <c r="M64" s="32"/>
      <c r="N64" s="48">
        <f>SUM(N57:N63)</f>
        <v>-1050</v>
      </c>
      <c r="P64" s="48">
        <f>SUM(P57:P63)+1</f>
        <v>44700.25</v>
      </c>
      <c r="R64" s="48">
        <f>SUM(R57:R63)+1</f>
        <v>28222</v>
      </c>
      <c r="S64" s="48">
        <f>SUM(S57:S63)+1</f>
        <v>56180</v>
      </c>
      <c r="T64" s="48">
        <f>SUM(T57:T63)+1</f>
        <v>84401</v>
      </c>
      <c r="U64" s="48">
        <f>SUM(U57:U63)</f>
        <v>39700.75</v>
      </c>
      <c r="V64" s="48">
        <f>SUM(V57:V63)+1</f>
        <v>84215</v>
      </c>
      <c r="W64" s="48">
        <f>SUM(W57:W63)+1</f>
        <v>15417</v>
      </c>
      <c r="X64" s="48"/>
      <c r="Y64" s="48">
        <f>SUM(Y57:Y63)+1</f>
        <v>99631</v>
      </c>
      <c r="Z64" s="48">
        <f>SUM(Z57:Z63)</f>
        <v>15230</v>
      </c>
      <c r="AC64" s="48">
        <f>SUM(AC57:AC63)+1</f>
        <v>90510</v>
      </c>
      <c r="AD64" s="48">
        <f>SUM(AD57:AD63)+1</f>
        <v>8642</v>
      </c>
      <c r="AE64" s="48">
        <f>SUM(AE57:AE63)+1</f>
        <v>99151</v>
      </c>
      <c r="AF64" s="48">
        <f>SUM(AF57:AF63)+1</f>
        <v>-479</v>
      </c>
      <c r="AH64" s="36">
        <f>SUM(AH57:AH63)</f>
        <v>54250</v>
      </c>
      <c r="AI64" s="32"/>
      <c r="AJ64" s="48">
        <f>SUM(AJ57:AJ63)</f>
        <v>33882</v>
      </c>
      <c r="AK64" s="48">
        <f>SUM(AK57:AK63)</f>
        <v>26648</v>
      </c>
      <c r="AL64" s="48">
        <f>SUM(AL57:AL63)</f>
        <v>60530</v>
      </c>
      <c r="AM64" s="48">
        <f>SUM(AM57:AM63)</f>
        <v>6280</v>
      </c>
      <c r="AN64" s="32"/>
      <c r="AO64" s="48">
        <f>SUM(AO57:AO63)+1</f>
        <v>55607.25</v>
      </c>
      <c r="AQ64" s="48">
        <f>SUM(AQ57:AQ63)</f>
        <v>56996.406249999993</v>
      </c>
      <c r="AS64" s="48">
        <f>SUM(AS57:AS63)</f>
        <v>58421.316406249985</v>
      </c>
      <c r="AT64" s="48"/>
      <c r="AU64" s="48">
        <f>SUM(AU57:AU63)</f>
        <v>59881.849316406231</v>
      </c>
      <c r="AW64" s="48">
        <f>SUM(AW57:AW63)-1</f>
        <v>61377.895549316381</v>
      </c>
      <c r="AY64" s="48">
        <f>SUM(AY57:AY63)-1</f>
        <v>62912.367938049283</v>
      </c>
      <c r="BA64" s="48">
        <f>SUM(BA57:BA63)-1</f>
        <v>64485.202136500513</v>
      </c>
      <c r="BC64" s="48">
        <f>SUM(BC57:BC63)-1</f>
        <v>66097.357189913018</v>
      </c>
      <c r="BE64" s="48">
        <f>SUM(BE57:BE63)-1</f>
        <v>67749.816119660827</v>
      </c>
    </row>
    <row r="65" spans="1:57" x14ac:dyDescent="0.25">
      <c r="A65" s="3"/>
      <c r="J65" s="48">
        <f t="shared" si="32"/>
        <v>50316</v>
      </c>
      <c r="K65" s="48">
        <f t="shared" si="32"/>
        <v>12884</v>
      </c>
      <c r="L65" s="48">
        <f t="shared" si="32"/>
        <v>63200</v>
      </c>
      <c r="M65" s="32"/>
      <c r="N65" s="48">
        <f>SUM(N58:N64)</f>
        <v>-2100</v>
      </c>
    </row>
    <row r="66" spans="1:57" x14ac:dyDescent="0.25">
      <c r="A66" s="7" t="s">
        <v>67</v>
      </c>
    </row>
    <row r="67" spans="1:57" x14ac:dyDescent="0.25">
      <c r="A67" s="3" t="s">
        <v>68</v>
      </c>
      <c r="B67" s="3">
        <v>1000</v>
      </c>
      <c r="D67" s="3">
        <v>1827</v>
      </c>
      <c r="E67" s="3">
        <f t="shared" ref="E67:E76" si="33">F67-D67</f>
        <v>3</v>
      </c>
      <c r="F67" s="3">
        <v>1830</v>
      </c>
      <c r="H67" s="32">
        <f t="shared" ref="H67:H76" si="34">F67-B67</f>
        <v>830</v>
      </c>
      <c r="I67" s="32"/>
      <c r="J67" s="4">
        <v>1827</v>
      </c>
      <c r="K67" s="4">
        <f t="shared" ref="K67:K76" si="35">L67-J67</f>
        <v>3</v>
      </c>
      <c r="L67" s="4">
        <v>1830</v>
      </c>
      <c r="N67" s="4">
        <f t="shared" ref="N67:N76" si="36">L67-F67</f>
        <v>0</v>
      </c>
      <c r="P67" s="3">
        <v>1500</v>
      </c>
      <c r="Q67" s="3"/>
      <c r="R67" s="3">
        <v>3246</v>
      </c>
      <c r="S67" s="3">
        <f t="shared" ref="S67:S76" si="37">T67-R67</f>
        <v>254</v>
      </c>
      <c r="T67" s="3">
        <v>3500</v>
      </c>
      <c r="U67" s="3">
        <f>T67-P67</f>
        <v>2000</v>
      </c>
      <c r="V67" s="3">
        <v>3254</v>
      </c>
      <c r="W67" s="3">
        <f t="shared" ref="W67:W76" si="38">Y67-V67</f>
        <v>496</v>
      </c>
      <c r="X67" s="3"/>
      <c r="Y67" s="3">
        <v>3750</v>
      </c>
      <c r="Z67" s="3">
        <f>Y67-T67</f>
        <v>250</v>
      </c>
      <c r="AA67" s="3"/>
      <c r="AB67" s="3"/>
      <c r="AC67" s="3">
        <v>3441</v>
      </c>
      <c r="AD67" s="3">
        <f t="shared" ref="AD67:AD76" si="39">AE67-AC67</f>
        <v>309</v>
      </c>
      <c r="AE67" s="3">
        <v>3750</v>
      </c>
      <c r="AF67" s="3">
        <f t="shared" ref="AF67:AF76" si="40">AE67-Y67</f>
        <v>0</v>
      </c>
      <c r="AG67" s="4"/>
      <c r="AH67" s="4">
        <v>1500</v>
      </c>
      <c r="AJ67" s="3"/>
      <c r="AK67" s="3">
        <f t="shared" ref="AK67:AK76" si="41">AL67-AJ67</f>
        <v>1500</v>
      </c>
      <c r="AL67" s="3">
        <v>1500</v>
      </c>
      <c r="AM67" s="3">
        <f t="shared" ref="AM67:AM76" si="42">AL67-AH67</f>
        <v>0</v>
      </c>
      <c r="AO67" s="3">
        <f>AH67*1.025</f>
        <v>1537.4999999999998</v>
      </c>
      <c r="AP67" s="3"/>
      <c r="AQ67" s="3">
        <f>AO67*1.025</f>
        <v>1575.9374999999995</v>
      </c>
      <c r="AR67" s="3"/>
      <c r="AS67" s="3">
        <f>AQ67*1.025</f>
        <v>1615.3359374999993</v>
      </c>
      <c r="AT67" s="3"/>
      <c r="AU67" s="3">
        <f>AS67*1.025</f>
        <v>1655.7193359374992</v>
      </c>
      <c r="AV67" s="42"/>
      <c r="AW67" s="3">
        <f>AU67*1.025</f>
        <v>1697.1123193359365</v>
      </c>
      <c r="AX67" s="42"/>
      <c r="AY67" s="3">
        <f>AW67*1.025</f>
        <v>1739.5401273193347</v>
      </c>
      <c r="AZ67" s="42"/>
      <c r="BA67" s="3">
        <f>AY67*1.025</f>
        <v>1783.028630502318</v>
      </c>
      <c r="BB67" s="42"/>
      <c r="BC67" s="3">
        <f>BA67*1.025</f>
        <v>1827.6043462648759</v>
      </c>
      <c r="BE67" s="3">
        <f>BC67*1.025</f>
        <v>1873.2944549214976</v>
      </c>
    </row>
    <row r="68" spans="1:57" x14ac:dyDescent="0.25">
      <c r="A68" s="3" t="s">
        <v>69</v>
      </c>
      <c r="B68" s="3"/>
      <c r="D68" s="3"/>
      <c r="E68" s="3">
        <f t="shared" si="33"/>
        <v>0</v>
      </c>
      <c r="F68" s="3"/>
      <c r="H68" s="32">
        <f t="shared" si="34"/>
        <v>0</v>
      </c>
      <c r="I68" s="32"/>
      <c r="J68" s="4"/>
      <c r="K68" s="4">
        <f t="shared" si="35"/>
        <v>0</v>
      </c>
      <c r="L68" s="4"/>
      <c r="N68" s="4">
        <f t="shared" si="36"/>
        <v>0</v>
      </c>
      <c r="P68" s="3"/>
      <c r="Q68" s="3"/>
      <c r="R68" s="3"/>
      <c r="S68" s="3"/>
      <c r="T68" s="3"/>
      <c r="U68" s="3"/>
      <c r="V68" s="3"/>
      <c r="W68" s="3">
        <f t="shared" si="38"/>
        <v>0</v>
      </c>
      <c r="X68" s="3"/>
      <c r="Y68" s="3"/>
      <c r="Z68" s="3"/>
      <c r="AA68" s="3"/>
      <c r="AB68" s="3"/>
      <c r="AC68" s="3"/>
      <c r="AD68" s="3">
        <f t="shared" si="39"/>
        <v>0</v>
      </c>
      <c r="AE68" s="3"/>
      <c r="AF68" s="3">
        <f t="shared" si="40"/>
        <v>0</v>
      </c>
      <c r="AG68" s="4"/>
      <c r="AH68" s="4"/>
      <c r="AJ68" s="3"/>
      <c r="AK68" s="3">
        <f t="shared" si="41"/>
        <v>0</v>
      </c>
      <c r="AL68" s="3"/>
      <c r="AM68" s="3">
        <f t="shared" si="42"/>
        <v>0</v>
      </c>
      <c r="AO68" s="3"/>
      <c r="AP68" s="3"/>
      <c r="AQ68" s="3"/>
      <c r="AR68" s="3"/>
      <c r="AS68" s="3"/>
      <c r="AT68" s="3"/>
      <c r="AU68" s="3"/>
      <c r="AV68" s="42"/>
      <c r="AW68" s="3"/>
      <c r="AX68" s="42"/>
      <c r="AY68" s="3"/>
      <c r="AZ68" s="42"/>
      <c r="BA68" s="3"/>
      <c r="BB68" s="42"/>
      <c r="BC68" s="3"/>
      <c r="BE68" s="3"/>
    </row>
    <row r="69" spans="1:57" x14ac:dyDescent="0.25">
      <c r="A69" s="3" t="s">
        <v>70</v>
      </c>
      <c r="B69" s="3"/>
      <c r="D69" s="3"/>
      <c r="E69" s="3">
        <f t="shared" si="33"/>
        <v>0</v>
      </c>
      <c r="F69" s="3"/>
      <c r="H69" s="32">
        <f t="shared" si="34"/>
        <v>0</v>
      </c>
      <c r="I69" s="32"/>
      <c r="J69" s="4"/>
      <c r="K69" s="4">
        <f t="shared" si="35"/>
        <v>0</v>
      </c>
      <c r="L69" s="4"/>
      <c r="N69" s="4">
        <f t="shared" si="36"/>
        <v>0</v>
      </c>
      <c r="P69" s="3"/>
      <c r="Q69" s="3"/>
      <c r="R69" s="3"/>
      <c r="S69" s="3">
        <f t="shared" si="37"/>
        <v>0</v>
      </c>
      <c r="T69" s="3"/>
      <c r="U69" s="3">
        <f t="shared" ref="U69:U76" si="43">T69-P69</f>
        <v>0</v>
      </c>
      <c r="V69" s="3"/>
      <c r="W69" s="3">
        <f t="shared" si="38"/>
        <v>0</v>
      </c>
      <c r="X69" s="3"/>
      <c r="Y69" s="3"/>
      <c r="Z69" s="3">
        <f t="shared" ref="Z69:Z76" si="44">Y69-T69</f>
        <v>0</v>
      </c>
      <c r="AA69" s="3"/>
      <c r="AB69" s="3"/>
      <c r="AC69" s="3"/>
      <c r="AD69" s="3">
        <f t="shared" si="39"/>
        <v>0</v>
      </c>
      <c r="AE69" s="3"/>
      <c r="AF69" s="3">
        <f t="shared" si="40"/>
        <v>0</v>
      </c>
      <c r="AG69" s="4"/>
      <c r="AH69" s="4"/>
      <c r="AJ69" s="3"/>
      <c r="AK69" s="3">
        <f t="shared" si="41"/>
        <v>0</v>
      </c>
      <c r="AL69" s="3"/>
      <c r="AM69" s="3">
        <f t="shared" si="42"/>
        <v>0</v>
      </c>
      <c r="AO69" s="3"/>
      <c r="AP69" s="3"/>
      <c r="AQ69" s="3"/>
      <c r="AR69" s="3"/>
      <c r="AS69" s="3"/>
      <c r="AT69" s="3"/>
      <c r="AU69" s="3"/>
      <c r="AV69" s="42"/>
      <c r="AW69" s="3"/>
      <c r="AX69" s="42"/>
      <c r="AY69" s="3"/>
      <c r="AZ69" s="42"/>
      <c r="BA69" s="3"/>
      <c r="BB69" s="42"/>
      <c r="BC69" s="3"/>
      <c r="BE69" s="3"/>
    </row>
    <row r="70" spans="1:57" x14ac:dyDescent="0.25">
      <c r="A70" s="3" t="s">
        <v>71</v>
      </c>
      <c r="B70" s="3">
        <v>-1210000</v>
      </c>
      <c r="D70" s="3">
        <v>-211115</v>
      </c>
      <c r="E70" s="3">
        <f t="shared" si="33"/>
        <v>-998885</v>
      </c>
      <c r="F70" s="3">
        <v>-1210000</v>
      </c>
      <c r="H70" s="32">
        <f t="shared" si="34"/>
        <v>0</v>
      </c>
      <c r="I70" s="32"/>
      <c r="J70" s="4">
        <v>-374532</v>
      </c>
      <c r="K70" s="4">
        <f t="shared" si="35"/>
        <v>-835468</v>
      </c>
      <c r="L70" s="4">
        <v>-1210000</v>
      </c>
      <c r="N70" s="4">
        <f t="shared" si="36"/>
        <v>0</v>
      </c>
      <c r="P70" s="3">
        <f>L70*1.0325-25</f>
        <v>-1249350</v>
      </c>
      <c r="Q70" s="3"/>
      <c r="R70" s="3">
        <v>177136</v>
      </c>
      <c r="S70" s="3">
        <f t="shared" si="37"/>
        <v>-1426486</v>
      </c>
      <c r="T70" s="3">
        <v>-1249350</v>
      </c>
      <c r="U70" s="3">
        <f t="shared" si="43"/>
        <v>0</v>
      </c>
      <c r="V70" s="3">
        <v>333462</v>
      </c>
      <c r="W70" s="3">
        <f t="shared" si="38"/>
        <v>-1583462</v>
      </c>
      <c r="X70" s="3"/>
      <c r="Y70" s="3">
        <v>-1250000</v>
      </c>
      <c r="Z70" s="3">
        <f t="shared" si="44"/>
        <v>-650</v>
      </c>
      <c r="AA70" s="3"/>
      <c r="AB70" s="3"/>
      <c r="AC70" s="3">
        <v>-490834</v>
      </c>
      <c r="AD70" s="3">
        <f t="shared" si="39"/>
        <v>-759166</v>
      </c>
      <c r="AE70" s="3">
        <v>-1250000</v>
      </c>
      <c r="AF70" s="3">
        <f t="shared" si="40"/>
        <v>0</v>
      </c>
      <c r="AG70" s="4"/>
      <c r="AH70" s="4">
        <f>P70*1.0325-46</f>
        <v>-1289999.875</v>
      </c>
      <c r="AJ70" s="3">
        <v>-191087</v>
      </c>
      <c r="AK70" s="3">
        <f t="shared" si="41"/>
        <v>-1098913</v>
      </c>
      <c r="AL70" s="3">
        <v>-1290000</v>
      </c>
      <c r="AM70" s="3">
        <f t="shared" si="42"/>
        <v>-0.125</v>
      </c>
      <c r="AO70" s="3">
        <f>AH70*1.0325</f>
        <v>-1331924.8709374999</v>
      </c>
      <c r="AP70" s="3"/>
      <c r="AQ70" s="3">
        <f>AO70*1.0325</f>
        <v>-1375212.4292429686</v>
      </c>
      <c r="AR70" s="3"/>
      <c r="AS70" s="3">
        <f>AQ70*1.0325</f>
        <v>-1419906.833193365</v>
      </c>
      <c r="AT70" s="3"/>
      <c r="AU70" s="3">
        <f>AS70*1.0325</f>
        <v>-1466053.8052721494</v>
      </c>
      <c r="AV70" s="42"/>
      <c r="AW70" s="3">
        <f>AU70*1.03+3-2000+20</f>
        <v>-1512012.4194303139</v>
      </c>
      <c r="AX70" s="42"/>
      <c r="AY70" s="3">
        <f>AW70*1.03+3-2000+20</f>
        <v>-1559349.7920132233</v>
      </c>
      <c r="AZ70" s="42"/>
      <c r="BA70" s="3">
        <f>AY70*1.03+3-2000+20</f>
        <v>-1608107.28577362</v>
      </c>
      <c r="BB70" s="42"/>
      <c r="BC70" s="3">
        <f>BA70*1.03+3-2000+20</f>
        <v>-1658327.5043468287</v>
      </c>
      <c r="BE70" s="3">
        <f>BC70*1.03+3-2000+20</f>
        <v>-1710054.3294772336</v>
      </c>
    </row>
    <row r="71" spans="1:57" x14ac:dyDescent="0.25">
      <c r="A71" s="3" t="s">
        <v>72</v>
      </c>
      <c r="B71" s="3">
        <v>1450000</v>
      </c>
      <c r="D71" s="3">
        <v>385670</v>
      </c>
      <c r="E71" s="3">
        <f t="shared" si="33"/>
        <v>1064330</v>
      </c>
      <c r="F71" s="3">
        <v>1450000</v>
      </c>
      <c r="H71" s="32">
        <f t="shared" si="34"/>
        <v>0</v>
      </c>
      <c r="I71" s="32"/>
      <c r="J71" s="4">
        <v>847686</v>
      </c>
      <c r="K71" s="4">
        <f t="shared" si="35"/>
        <v>702314</v>
      </c>
      <c r="L71" s="4">
        <v>1550000</v>
      </c>
      <c r="N71" s="4">
        <f t="shared" si="36"/>
        <v>100000</v>
      </c>
      <c r="P71" s="3">
        <f>L71*1.0325+25</f>
        <v>1600400</v>
      </c>
      <c r="Q71" s="3"/>
      <c r="R71" s="3">
        <f>408525</f>
        <v>408525</v>
      </c>
      <c r="S71" s="3">
        <f t="shared" si="37"/>
        <v>1191875</v>
      </c>
      <c r="T71" s="3">
        <v>1600400</v>
      </c>
      <c r="U71" s="3">
        <f t="shared" si="43"/>
        <v>0</v>
      </c>
      <c r="V71" s="3">
        <f>820512+3164</f>
        <v>823676</v>
      </c>
      <c r="W71" s="3">
        <f t="shared" si="38"/>
        <v>826324</v>
      </c>
      <c r="X71" s="3"/>
      <c r="Y71" s="3">
        <v>1650000</v>
      </c>
      <c r="Z71" s="3">
        <f t="shared" si="44"/>
        <v>49600</v>
      </c>
      <c r="AA71" s="3"/>
      <c r="AB71" s="3"/>
      <c r="AC71" s="3">
        <v>1164123</v>
      </c>
      <c r="AD71" s="3">
        <f t="shared" si="39"/>
        <v>460877</v>
      </c>
      <c r="AE71" s="3">
        <v>1625000</v>
      </c>
      <c r="AF71" s="3">
        <f t="shared" si="40"/>
        <v>-25000</v>
      </c>
      <c r="AG71" s="4"/>
      <c r="AH71" s="4">
        <f>P71*1.0325+7</f>
        <v>1652420</v>
      </c>
      <c r="AJ71" s="3">
        <v>420230</v>
      </c>
      <c r="AK71" s="3">
        <f t="shared" si="41"/>
        <v>1232190</v>
      </c>
      <c r="AL71" s="3">
        <v>1652420</v>
      </c>
      <c r="AM71" s="3">
        <f t="shared" si="42"/>
        <v>0</v>
      </c>
      <c r="AO71" s="3">
        <f>AH71*1.0325</f>
        <v>1706123.65</v>
      </c>
      <c r="AP71" s="3"/>
      <c r="AQ71" s="3">
        <f>AO71*1.0325</f>
        <v>1761572.6686249999</v>
      </c>
      <c r="AR71" s="3"/>
      <c r="AS71" s="3">
        <f>AQ71*1.0325</f>
        <v>1818823.7803553124</v>
      </c>
      <c r="AT71" s="3"/>
      <c r="AU71" s="3">
        <f>AS71*1.0325</f>
        <v>1877935.5532168599</v>
      </c>
      <c r="AV71" s="42"/>
      <c r="AW71" s="3">
        <f>AU71*1.03+5</f>
        <v>1934278.6198133659</v>
      </c>
      <c r="AX71" s="42"/>
      <c r="AY71" s="3">
        <f>AW71*1.03+5</f>
        <v>1992311.9784077669</v>
      </c>
      <c r="AZ71" s="42"/>
      <c r="BA71" s="3">
        <f>AY71*1.03+5</f>
        <v>2052086.33776</v>
      </c>
      <c r="BB71" s="42"/>
      <c r="BC71" s="3">
        <f>BA71*1.03+5</f>
        <v>2113653.9278928</v>
      </c>
      <c r="BE71" s="3">
        <f>BC71*1.03+5</f>
        <v>2177068.5457295841</v>
      </c>
    </row>
    <row r="72" spans="1:57" x14ac:dyDescent="0.25">
      <c r="A72" s="3" t="s">
        <v>73</v>
      </c>
      <c r="B72" s="3"/>
      <c r="D72" s="3"/>
      <c r="E72" s="3">
        <f t="shared" si="33"/>
        <v>0</v>
      </c>
      <c r="F72" s="3"/>
      <c r="H72" s="32">
        <f t="shared" si="34"/>
        <v>0</v>
      </c>
      <c r="I72" s="32"/>
      <c r="J72" s="4"/>
      <c r="K72" s="4">
        <f t="shared" si="35"/>
        <v>0</v>
      </c>
      <c r="L72" s="4"/>
      <c r="N72" s="4">
        <f t="shared" si="36"/>
        <v>0</v>
      </c>
      <c r="P72" s="3"/>
      <c r="Q72" s="3"/>
      <c r="R72" s="3"/>
      <c r="S72" s="3">
        <f t="shared" si="37"/>
        <v>0</v>
      </c>
      <c r="T72" s="3"/>
      <c r="U72" s="3">
        <f t="shared" si="43"/>
        <v>0</v>
      </c>
      <c r="V72" s="3"/>
      <c r="W72" s="3">
        <f t="shared" si="38"/>
        <v>0</v>
      </c>
      <c r="X72" s="3"/>
      <c r="Y72" s="3"/>
      <c r="Z72" s="3">
        <f t="shared" si="44"/>
        <v>0</v>
      </c>
      <c r="AA72" s="3"/>
      <c r="AB72" s="3"/>
      <c r="AC72" s="3"/>
      <c r="AD72" s="3">
        <f t="shared" si="39"/>
        <v>0</v>
      </c>
      <c r="AE72" s="3"/>
      <c r="AF72" s="3">
        <f t="shared" si="40"/>
        <v>0</v>
      </c>
      <c r="AG72" s="4"/>
      <c r="AH72" s="4"/>
      <c r="AJ72" s="3"/>
      <c r="AK72" s="3">
        <f t="shared" si="41"/>
        <v>0</v>
      </c>
      <c r="AL72" s="3"/>
      <c r="AM72" s="3">
        <f t="shared" si="42"/>
        <v>0</v>
      </c>
      <c r="AO72" s="3"/>
      <c r="AP72" s="3"/>
      <c r="AQ72" s="3"/>
      <c r="AR72" s="3"/>
      <c r="AS72" s="3"/>
      <c r="AT72" s="3"/>
      <c r="AU72" s="3"/>
      <c r="AV72" s="42"/>
      <c r="AW72" s="3"/>
      <c r="AX72" s="42"/>
      <c r="AY72" s="3"/>
      <c r="AZ72" s="42"/>
      <c r="BA72" s="3"/>
      <c r="BB72" s="42"/>
      <c r="BC72" s="3"/>
      <c r="BE72" s="3"/>
    </row>
    <row r="73" spans="1:57" x14ac:dyDescent="0.25">
      <c r="A73" s="3" t="s">
        <v>74</v>
      </c>
      <c r="B73" s="3"/>
      <c r="D73" s="3"/>
      <c r="E73" s="3">
        <f t="shared" si="33"/>
        <v>0</v>
      </c>
      <c r="F73" s="3"/>
      <c r="H73" s="32">
        <f t="shared" si="34"/>
        <v>0</v>
      </c>
      <c r="I73" s="32"/>
      <c r="J73" s="4"/>
      <c r="K73" s="4">
        <f t="shared" si="35"/>
        <v>0</v>
      </c>
      <c r="L73" s="4"/>
      <c r="N73" s="4">
        <f t="shared" si="36"/>
        <v>0</v>
      </c>
      <c r="P73" s="3"/>
      <c r="Q73" s="3"/>
      <c r="R73" s="3"/>
      <c r="S73" s="3">
        <f t="shared" si="37"/>
        <v>0</v>
      </c>
      <c r="T73" s="3"/>
      <c r="U73" s="3">
        <f t="shared" si="43"/>
        <v>0</v>
      </c>
      <c r="V73" s="3"/>
      <c r="W73" s="3">
        <f t="shared" si="38"/>
        <v>0</v>
      </c>
      <c r="X73" s="3"/>
      <c r="Y73" s="3"/>
      <c r="Z73" s="3">
        <f t="shared" si="44"/>
        <v>0</v>
      </c>
      <c r="AA73" s="3"/>
      <c r="AB73" s="3"/>
      <c r="AC73" s="3"/>
      <c r="AD73" s="3">
        <f t="shared" si="39"/>
        <v>0</v>
      </c>
      <c r="AE73" s="3"/>
      <c r="AF73" s="3">
        <f t="shared" si="40"/>
        <v>0</v>
      </c>
      <c r="AG73" s="4"/>
      <c r="AH73" s="4"/>
      <c r="AJ73" s="3"/>
      <c r="AK73" s="3">
        <f t="shared" si="41"/>
        <v>0</v>
      </c>
      <c r="AL73" s="3"/>
      <c r="AM73" s="3">
        <f t="shared" si="42"/>
        <v>0</v>
      </c>
      <c r="AO73" s="3"/>
      <c r="AP73" s="3"/>
      <c r="AQ73" s="3"/>
      <c r="AR73" s="3"/>
      <c r="AS73" s="3"/>
      <c r="AT73" s="3"/>
      <c r="AU73" s="3"/>
      <c r="AV73" s="42"/>
      <c r="AW73" s="3"/>
      <c r="AX73" s="42"/>
      <c r="AY73" s="3"/>
      <c r="AZ73" s="42"/>
      <c r="BA73" s="3"/>
      <c r="BB73" s="42"/>
      <c r="BC73" s="3"/>
      <c r="BE73" s="3"/>
    </row>
    <row r="74" spans="1:57" x14ac:dyDescent="0.25">
      <c r="A74" s="3" t="s">
        <v>75</v>
      </c>
      <c r="B74" s="3">
        <v>22000</v>
      </c>
      <c r="D74" s="3"/>
      <c r="E74" s="3">
        <f t="shared" si="33"/>
        <v>30850</v>
      </c>
      <c r="F74" s="3">
        <v>30850</v>
      </c>
      <c r="H74" s="32">
        <f t="shared" si="34"/>
        <v>8850</v>
      </c>
      <c r="I74" s="32"/>
      <c r="J74" s="4"/>
      <c r="K74" s="4">
        <f t="shared" si="35"/>
        <v>30850</v>
      </c>
      <c r="L74" s="4">
        <v>30850</v>
      </c>
      <c r="N74" s="4">
        <f t="shared" si="36"/>
        <v>0</v>
      </c>
      <c r="P74" s="3">
        <v>21350</v>
      </c>
      <c r="Q74" s="3"/>
      <c r="R74" s="3"/>
      <c r="S74" s="3">
        <f t="shared" si="37"/>
        <v>30000</v>
      </c>
      <c r="T74" s="3">
        <v>30000</v>
      </c>
      <c r="U74" s="3">
        <f t="shared" si="43"/>
        <v>8650</v>
      </c>
      <c r="V74" s="3"/>
      <c r="W74" s="3">
        <f t="shared" si="38"/>
        <v>30000</v>
      </c>
      <c r="X74" s="3"/>
      <c r="Y74" s="3">
        <v>30000</v>
      </c>
      <c r="Z74" s="3">
        <f t="shared" si="44"/>
        <v>0</v>
      </c>
      <c r="AA74" s="3"/>
      <c r="AB74" s="3"/>
      <c r="AC74" s="3">
        <v>0</v>
      </c>
      <c r="AD74" s="3">
        <f t="shared" si="39"/>
        <v>30000</v>
      </c>
      <c r="AE74" s="3">
        <v>30000</v>
      </c>
      <c r="AF74" s="3">
        <f t="shared" si="40"/>
        <v>0</v>
      </c>
      <c r="AG74" s="4"/>
      <c r="AH74" s="4">
        <v>69000</v>
      </c>
      <c r="AJ74" s="3">
        <v>15480</v>
      </c>
      <c r="AK74" s="3">
        <f t="shared" si="41"/>
        <v>53520</v>
      </c>
      <c r="AL74" s="3">
        <v>69000</v>
      </c>
      <c r="AM74" s="3">
        <f t="shared" si="42"/>
        <v>0</v>
      </c>
      <c r="AO74" s="3"/>
      <c r="AP74" s="3"/>
      <c r="AQ74" s="3"/>
      <c r="AR74" s="3"/>
      <c r="AS74" s="3"/>
      <c r="AT74" s="3"/>
      <c r="AU74" s="3"/>
      <c r="AV74" s="42"/>
      <c r="AW74" s="3"/>
      <c r="AX74" s="42"/>
      <c r="AY74" s="3"/>
      <c r="AZ74" s="42"/>
      <c r="BA74" s="3"/>
      <c r="BB74" s="42"/>
      <c r="BC74" s="3"/>
      <c r="BE74" s="3"/>
    </row>
    <row r="75" spans="1:57" x14ac:dyDescent="0.25">
      <c r="A75" s="3" t="s">
        <v>66</v>
      </c>
      <c r="B75" s="3">
        <v>4600</v>
      </c>
      <c r="D75" s="3"/>
      <c r="E75" s="3">
        <f t="shared" si="33"/>
        <v>3500</v>
      </c>
      <c r="F75" s="3">
        <v>3500</v>
      </c>
      <c r="H75" s="32">
        <f t="shared" si="34"/>
        <v>-1100</v>
      </c>
      <c r="I75" s="32"/>
      <c r="J75" s="4">
        <v>100</v>
      </c>
      <c r="K75" s="4">
        <f t="shared" si="35"/>
        <v>2150</v>
      </c>
      <c r="L75" s="4">
        <v>2250</v>
      </c>
      <c r="N75" s="4">
        <f t="shared" si="36"/>
        <v>-1250</v>
      </c>
      <c r="P75" s="3">
        <f>L75*1.025-6</f>
        <v>2300.25</v>
      </c>
      <c r="Q75" s="3"/>
      <c r="R75" s="3">
        <v>1855</v>
      </c>
      <c r="S75" s="3">
        <f t="shared" si="37"/>
        <v>445</v>
      </c>
      <c r="T75" s="3">
        <v>2300</v>
      </c>
      <c r="U75" s="3">
        <f t="shared" si="43"/>
        <v>-0.25</v>
      </c>
      <c r="V75" s="3">
        <v>650</v>
      </c>
      <c r="W75" s="3">
        <f t="shared" si="38"/>
        <v>1650</v>
      </c>
      <c r="X75" s="3"/>
      <c r="Y75" s="3">
        <v>2300</v>
      </c>
      <c r="Z75" s="3">
        <f t="shared" si="44"/>
        <v>0</v>
      </c>
      <c r="AA75" s="3"/>
      <c r="AB75" s="3"/>
      <c r="AC75" s="3">
        <v>4592</v>
      </c>
      <c r="AD75" s="3">
        <f t="shared" si="39"/>
        <v>408</v>
      </c>
      <c r="AE75" s="3">
        <v>5000</v>
      </c>
      <c r="AF75" s="3">
        <f t="shared" si="40"/>
        <v>2700</v>
      </c>
      <c r="AG75" s="4"/>
      <c r="AH75" s="4">
        <v>5000</v>
      </c>
      <c r="AJ75" s="3">
        <v>3811</v>
      </c>
      <c r="AK75" s="3">
        <f t="shared" si="41"/>
        <v>1189</v>
      </c>
      <c r="AL75" s="3">
        <v>5000</v>
      </c>
      <c r="AM75" s="3">
        <f t="shared" si="42"/>
        <v>0</v>
      </c>
      <c r="AO75" s="3">
        <f>AH75*1.025</f>
        <v>5125</v>
      </c>
      <c r="AP75" s="3"/>
      <c r="AQ75" s="3">
        <f>AO75*1.025</f>
        <v>5253.1249999999991</v>
      </c>
      <c r="AR75" s="3"/>
      <c r="AS75" s="3">
        <f>AQ75*1.025</f>
        <v>5384.4531249999982</v>
      </c>
      <c r="AT75" s="3"/>
      <c r="AU75" s="3">
        <f>AS75*1.025</f>
        <v>5519.0644531249973</v>
      </c>
      <c r="AV75" s="42"/>
      <c r="AW75" s="3">
        <f>AU75*1.025</f>
        <v>5657.0410644531221</v>
      </c>
      <c r="AX75" s="42"/>
      <c r="AY75" s="3">
        <f>AW75*1.025</f>
        <v>5798.46709106445</v>
      </c>
      <c r="AZ75" s="42"/>
      <c r="BA75" s="3">
        <f>AY75*1.025</f>
        <v>5943.4287683410603</v>
      </c>
      <c r="BB75" s="42"/>
      <c r="BC75" s="3">
        <f>BA75*1.025</f>
        <v>6092.0144875495862</v>
      </c>
      <c r="BE75" s="3">
        <f>BC75*1.025</f>
        <v>6244.3148497383254</v>
      </c>
    </row>
    <row r="76" spans="1:57" x14ac:dyDescent="0.25">
      <c r="A76" s="3" t="s">
        <v>76</v>
      </c>
      <c r="B76" s="3">
        <v>42500</v>
      </c>
      <c r="D76" s="3">
        <v>11797</v>
      </c>
      <c r="E76" s="3">
        <f t="shared" si="33"/>
        <v>30703</v>
      </c>
      <c r="F76" s="3">
        <v>42500</v>
      </c>
      <c r="H76" s="32">
        <f t="shared" si="34"/>
        <v>0</v>
      </c>
      <c r="I76" s="32"/>
      <c r="J76" s="4">
        <v>27519</v>
      </c>
      <c r="K76" s="4">
        <f t="shared" si="35"/>
        <v>17481</v>
      </c>
      <c r="L76" s="4">
        <v>45000</v>
      </c>
      <c r="N76" s="4">
        <f t="shared" si="36"/>
        <v>2500</v>
      </c>
      <c r="P76" s="3">
        <f>L76+3000</f>
        <v>48000</v>
      </c>
      <c r="Q76" s="3"/>
      <c r="R76" s="3">
        <v>9930</v>
      </c>
      <c r="S76" s="3">
        <f t="shared" si="37"/>
        <v>38070</v>
      </c>
      <c r="T76" s="3">
        <v>48000</v>
      </c>
      <c r="U76" s="3">
        <f t="shared" si="43"/>
        <v>0</v>
      </c>
      <c r="V76" s="3">
        <v>23622</v>
      </c>
      <c r="W76" s="3">
        <f t="shared" si="38"/>
        <v>24378</v>
      </c>
      <c r="X76" s="3"/>
      <c r="Y76" s="3">
        <v>48000</v>
      </c>
      <c r="Z76" s="3">
        <f t="shared" si="44"/>
        <v>0</v>
      </c>
      <c r="AA76" s="3"/>
      <c r="AB76" s="3"/>
      <c r="AC76" s="3">
        <v>33836</v>
      </c>
      <c r="AD76" s="3">
        <f t="shared" si="39"/>
        <v>14164</v>
      </c>
      <c r="AE76" s="3">
        <v>48000</v>
      </c>
      <c r="AF76" s="3">
        <f t="shared" si="40"/>
        <v>0</v>
      </c>
      <c r="AG76" s="4"/>
      <c r="AH76" s="4">
        <f>P76</f>
        <v>48000</v>
      </c>
      <c r="AJ76" s="3">
        <v>7364</v>
      </c>
      <c r="AK76" s="3">
        <f t="shared" si="41"/>
        <v>40636</v>
      </c>
      <c r="AL76" s="3">
        <v>48000</v>
      </c>
      <c r="AM76" s="3">
        <f t="shared" si="42"/>
        <v>0</v>
      </c>
      <c r="AO76" s="3">
        <f>AH76</f>
        <v>48000</v>
      </c>
      <c r="AP76" s="3"/>
      <c r="AQ76" s="3">
        <f>AO76</f>
        <v>48000</v>
      </c>
      <c r="AR76" s="3"/>
      <c r="AS76" s="3">
        <f>AQ76</f>
        <v>48000</v>
      </c>
      <c r="AT76" s="3"/>
      <c r="AU76" s="3">
        <f>AS76</f>
        <v>48000</v>
      </c>
      <c r="AV76" s="42"/>
      <c r="AW76" s="3">
        <f>AU76</f>
        <v>48000</v>
      </c>
      <c r="AX76" s="42"/>
      <c r="AY76" s="3">
        <f>AW76</f>
        <v>48000</v>
      </c>
      <c r="AZ76" s="42"/>
      <c r="BA76" s="3">
        <f>AY76</f>
        <v>48000</v>
      </c>
      <c r="BB76" s="42"/>
      <c r="BC76" s="3">
        <f>BA76</f>
        <v>48000</v>
      </c>
      <c r="BE76" s="3">
        <f>BC76</f>
        <v>48000</v>
      </c>
    </row>
    <row r="77" spans="1:57" x14ac:dyDescent="0.25">
      <c r="A77" s="3"/>
      <c r="B77" s="48">
        <f>SUM(B67:B76)</f>
        <v>310100</v>
      </c>
      <c r="C77" s="32"/>
      <c r="D77" s="48">
        <f>SUM(D67:D76)</f>
        <v>188179</v>
      </c>
      <c r="E77" s="48">
        <f>SUM(E67:E76)</f>
        <v>130501</v>
      </c>
      <c r="F77" s="48">
        <f>SUM(F67:F76)</f>
        <v>318680</v>
      </c>
      <c r="G77" s="32"/>
      <c r="H77" s="48">
        <f>SUM(H67:H76)</f>
        <v>8580</v>
      </c>
      <c r="I77" s="36"/>
      <c r="J77" s="48">
        <f>SUM(J67:J76)</f>
        <v>502600</v>
      </c>
      <c r="K77" s="48">
        <f>SUM(K67:K76)</f>
        <v>-82670</v>
      </c>
      <c r="L77" s="48">
        <f>SUM(L67:L76)</f>
        <v>419930</v>
      </c>
      <c r="M77" s="32"/>
      <c r="N77" s="48">
        <f>SUM(N67:N76)</f>
        <v>101250</v>
      </c>
      <c r="P77" s="48">
        <f>SUM(P67:P76)</f>
        <v>424200.25</v>
      </c>
      <c r="R77" s="48">
        <f t="shared" ref="R77:Z77" si="45">SUM(R67:R76)</f>
        <v>600692</v>
      </c>
      <c r="S77" s="48">
        <f t="shared" si="45"/>
        <v>-165842</v>
      </c>
      <c r="T77" s="48">
        <f t="shared" si="45"/>
        <v>434850</v>
      </c>
      <c r="U77" s="48">
        <f t="shared" si="45"/>
        <v>10649.75</v>
      </c>
      <c r="V77" s="48">
        <f t="shared" si="45"/>
        <v>1184664</v>
      </c>
      <c r="W77" s="48">
        <f t="shared" si="45"/>
        <v>-700614</v>
      </c>
      <c r="X77" s="48"/>
      <c r="Y77" s="48">
        <f t="shared" si="45"/>
        <v>484050</v>
      </c>
      <c r="Z77" s="48">
        <f t="shared" si="45"/>
        <v>49200</v>
      </c>
      <c r="AC77" s="48">
        <f>SUM(AC67:AC76)</f>
        <v>715158</v>
      </c>
      <c r="AD77" s="48">
        <f>SUM(AD67:AD76)</f>
        <v>-253408</v>
      </c>
      <c r="AE77" s="48">
        <f>SUM(AE67:AE76)</f>
        <v>461750</v>
      </c>
      <c r="AF77" s="48">
        <f>SUM(AF67:AF76)</f>
        <v>-22300</v>
      </c>
      <c r="AH77" s="36">
        <f>SUM(AH67:AH76)</f>
        <v>485920.125</v>
      </c>
      <c r="AI77" s="32"/>
      <c r="AJ77" s="48">
        <f>SUM(AJ67:AJ76)</f>
        <v>255798</v>
      </c>
      <c r="AK77" s="48">
        <f>SUM(AK67:AK76)</f>
        <v>230122</v>
      </c>
      <c r="AL77" s="48">
        <f>SUM(AL67:AL76)</f>
        <v>485920</v>
      </c>
      <c r="AM77" s="48">
        <f>SUM(AM67:AM76)</f>
        <v>-0.125</v>
      </c>
      <c r="AN77" s="32"/>
      <c r="AO77" s="48">
        <f>SUM(AO67:AO76)+1</f>
        <v>428862.27906249999</v>
      </c>
      <c r="AQ77" s="48">
        <f>SUM(AQ67:AQ76)-1</f>
        <v>441188.30188203137</v>
      </c>
      <c r="AS77" s="48">
        <f>SUM(AS67:AS76)</f>
        <v>453916.73622444738</v>
      </c>
      <c r="AT77" s="48"/>
      <c r="AU77" s="48">
        <f>SUM(AU67:AU76)</f>
        <v>467056.53173377295</v>
      </c>
      <c r="AW77" s="48">
        <f>SUM(AW67:AW76)</f>
        <v>477620.35376684117</v>
      </c>
      <c r="AY77" s="48">
        <f>SUM(AY67:AY76)</f>
        <v>488500.19361292734</v>
      </c>
      <c r="BA77" s="48">
        <f>SUM(BA67:BA76)</f>
        <v>499705.50938522338</v>
      </c>
      <c r="BC77" s="48">
        <f>SUM(BC67:BC76)</f>
        <v>511246.04237978574</v>
      </c>
      <c r="BE77" s="48">
        <f>SUM(BE67:BE76)</f>
        <v>523131.82555701031</v>
      </c>
    </row>
    <row r="78" spans="1:57" ht="15.75" thickBot="1" x14ac:dyDescent="0.3">
      <c r="A78" s="3"/>
      <c r="B78" s="49">
        <f>B77+B64-1</f>
        <v>340599</v>
      </c>
      <c r="C78" s="32"/>
      <c r="D78" s="49">
        <f>D77+D64-1</f>
        <v>190457</v>
      </c>
      <c r="E78" s="49">
        <f>E77+E64-1</f>
        <v>163721</v>
      </c>
      <c r="F78" s="49">
        <f>F77+F64-1</f>
        <v>354179</v>
      </c>
      <c r="G78" s="32"/>
      <c r="H78" s="49">
        <f>H77+H64-1</f>
        <v>13579</v>
      </c>
      <c r="I78" s="36"/>
      <c r="J78" s="49">
        <f>J77+J64-1</f>
        <v>529307</v>
      </c>
      <c r="K78" s="49">
        <f>K77+K64-1</f>
        <v>-74929</v>
      </c>
      <c r="L78" s="49">
        <f>L77+L64-1</f>
        <v>454379</v>
      </c>
      <c r="M78" s="32"/>
      <c r="N78" s="49">
        <f>N77+N64-1</f>
        <v>100199</v>
      </c>
      <c r="P78" s="49">
        <f>P77+P64</f>
        <v>468900.5</v>
      </c>
      <c r="R78" s="49">
        <f t="shared" ref="R78:Z78" si="46">R77+R64</f>
        <v>628914</v>
      </c>
      <c r="S78" s="49">
        <f t="shared" si="46"/>
        <v>-109662</v>
      </c>
      <c r="T78" s="49">
        <f t="shared" si="46"/>
        <v>519251</v>
      </c>
      <c r="U78" s="49">
        <f t="shared" si="46"/>
        <v>50350.5</v>
      </c>
      <c r="V78" s="49">
        <f t="shared" si="46"/>
        <v>1268879</v>
      </c>
      <c r="W78" s="49">
        <f t="shared" si="46"/>
        <v>-685197</v>
      </c>
      <c r="X78" s="49"/>
      <c r="Y78" s="49">
        <f t="shared" si="46"/>
        <v>583681</v>
      </c>
      <c r="Z78" s="49">
        <f t="shared" si="46"/>
        <v>64430</v>
      </c>
      <c r="AC78" s="49">
        <f>AC77+AC64</f>
        <v>805668</v>
      </c>
      <c r="AD78" s="49">
        <f>AD77+AD64</f>
        <v>-244766</v>
      </c>
      <c r="AE78" s="49">
        <f>AE77+AE64</f>
        <v>560901</v>
      </c>
      <c r="AF78" s="49">
        <f>AF77+AF64</f>
        <v>-22779</v>
      </c>
      <c r="AH78" s="36">
        <f>AH77+AH64</f>
        <v>540170.125</v>
      </c>
      <c r="AI78" s="32"/>
      <c r="AJ78" s="49">
        <f>AJ77+AJ64</f>
        <v>289680</v>
      </c>
      <c r="AK78" s="49">
        <f>AK77+AK64</f>
        <v>256770</v>
      </c>
      <c r="AL78" s="49">
        <f>AL77+AL64</f>
        <v>546450</v>
      </c>
      <c r="AM78" s="49">
        <f>AM77+AM64</f>
        <v>6279.875</v>
      </c>
      <c r="AN78" s="32"/>
      <c r="AO78" s="49">
        <f>AO77+AO64</f>
        <v>484469.52906249999</v>
      </c>
      <c r="AQ78" s="49">
        <f>AQ77+AQ64</f>
        <v>498184.70813203137</v>
      </c>
      <c r="AS78" s="49">
        <f>AS77+AS64</f>
        <v>512338.05263069738</v>
      </c>
      <c r="AT78" s="49"/>
      <c r="AU78" s="49">
        <f>AU77+AU64</f>
        <v>526938.38105017913</v>
      </c>
      <c r="AW78" s="49">
        <f>AW77+AW64</f>
        <v>538998.24931615754</v>
      </c>
      <c r="AY78" s="49">
        <f>AY77+AY64</f>
        <v>551412.56155097659</v>
      </c>
      <c r="BA78" s="49">
        <f>BA77+BA64</f>
        <v>564190.71152172389</v>
      </c>
      <c r="BC78" s="49">
        <f>BC77+BC64</f>
        <v>577343.39956969873</v>
      </c>
      <c r="BE78" s="49">
        <f>BE77+BE64</f>
        <v>590881.6416766711</v>
      </c>
    </row>
    <row r="79" spans="1:57" s="42" customFormat="1" ht="15.75" thickTop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4"/>
      <c r="N79" s="3"/>
      <c r="O79" s="4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4"/>
      <c r="AH79" s="4"/>
      <c r="AI79" s="4"/>
      <c r="AJ79" s="3"/>
      <c r="AK79" s="3"/>
      <c r="AL79" s="3"/>
      <c r="AM79" s="3"/>
      <c r="AN79" s="4"/>
      <c r="AO79" s="3"/>
      <c r="AP79" s="3"/>
      <c r="AQ79" s="3"/>
      <c r="AR79" s="3"/>
      <c r="AS79" s="3"/>
      <c r="AT79" s="3"/>
      <c r="AU79" s="3"/>
      <c r="AW79" s="3"/>
      <c r="AY79" s="3"/>
      <c r="BA79" s="3"/>
      <c r="BC79" s="3"/>
      <c r="BE79" s="3"/>
    </row>
    <row r="80" spans="1:57" x14ac:dyDescent="0.25">
      <c r="A80" s="7" t="s">
        <v>77</v>
      </c>
    </row>
    <row r="81" spans="1:57" x14ac:dyDescent="0.25">
      <c r="A81" s="7" t="s">
        <v>78</v>
      </c>
    </row>
    <row r="82" spans="1:57" x14ac:dyDescent="0.25">
      <c r="A82" s="3" t="s">
        <v>79</v>
      </c>
      <c r="B82" s="3">
        <v>13090</v>
      </c>
      <c r="D82" s="3"/>
      <c r="E82" s="3">
        <f t="shared" ref="E82:E90" si="47">F82-D82</f>
        <v>13090</v>
      </c>
      <c r="F82" s="3">
        <v>13090</v>
      </c>
      <c r="H82" s="32">
        <f t="shared" ref="H82:H90" si="48">F82-B82</f>
        <v>0</v>
      </c>
      <c r="I82" s="32"/>
      <c r="J82" s="4">
        <v>0</v>
      </c>
      <c r="K82" s="4">
        <f t="shared" ref="K82:K90" si="49">L82-J82</f>
        <v>13090</v>
      </c>
      <c r="L82" s="4">
        <v>13090</v>
      </c>
      <c r="N82" s="4">
        <f t="shared" ref="N82:N90" si="50">L82-F82</f>
        <v>0</v>
      </c>
      <c r="P82" s="3">
        <f>13480-30</f>
        <v>13450</v>
      </c>
      <c r="Q82" s="3"/>
      <c r="R82" s="3">
        <v>0</v>
      </c>
      <c r="S82" s="3">
        <f t="shared" ref="S82:S90" si="51">T82-R82</f>
        <v>13450</v>
      </c>
      <c r="T82" s="3">
        <v>13450</v>
      </c>
      <c r="U82" s="3">
        <f t="shared" ref="U82:U90" si="52">T82-P82</f>
        <v>0</v>
      </c>
      <c r="V82" s="3"/>
      <c r="W82" s="3">
        <f t="shared" ref="W82:W90" si="53">Y82-V82</f>
        <v>13450</v>
      </c>
      <c r="X82" s="3"/>
      <c r="Y82" s="3">
        <v>13450</v>
      </c>
      <c r="Z82" s="3">
        <f t="shared" ref="Z82:Z90" si="54">Y82-T82</f>
        <v>0</v>
      </c>
      <c r="AA82" s="3"/>
      <c r="AB82" s="3"/>
      <c r="AC82" s="3">
        <v>13482</v>
      </c>
      <c r="AD82" s="3">
        <f t="shared" ref="AD82:AD90" si="55">AE82-AC82</f>
        <v>-2</v>
      </c>
      <c r="AE82" s="3">
        <v>13480</v>
      </c>
      <c r="AF82" s="3">
        <f t="shared" ref="AF82:AF90" si="56">AE82-Y82</f>
        <v>30</v>
      </c>
      <c r="AG82" s="4"/>
      <c r="AH82" s="4">
        <v>14800</v>
      </c>
      <c r="AJ82" s="3"/>
      <c r="AK82" s="3">
        <f t="shared" ref="AK82:AK90" si="57">AL82-AJ82</f>
        <v>14800</v>
      </c>
      <c r="AL82" s="3">
        <v>14800</v>
      </c>
      <c r="AM82" s="3">
        <f t="shared" ref="AM82:AM90" si="58">AL82-AH82</f>
        <v>0</v>
      </c>
      <c r="AO82" s="3">
        <f>AH82*1.02</f>
        <v>15096</v>
      </c>
      <c r="AP82" s="3"/>
      <c r="AQ82" s="3">
        <f>AO82*1.02</f>
        <v>15397.92</v>
      </c>
      <c r="AR82" s="3"/>
      <c r="AS82" s="3">
        <f>AQ82*1.02</f>
        <v>15705.8784</v>
      </c>
      <c r="AT82" s="3"/>
      <c r="AU82" s="3">
        <f>AS82*1.02</f>
        <v>16019.995967999999</v>
      </c>
      <c r="AV82" s="42"/>
      <c r="AW82" s="3">
        <f>AU82*1.02</f>
        <v>16340.39588736</v>
      </c>
      <c r="AX82" s="42"/>
      <c r="AY82" s="3">
        <f>AW82*1.02</f>
        <v>16667.203805107201</v>
      </c>
      <c r="AZ82" s="42"/>
      <c r="BA82" s="3">
        <f>AY82*1.02</f>
        <v>17000.547881209346</v>
      </c>
      <c r="BB82" s="42"/>
      <c r="BC82" s="3">
        <f>BA82*1.02</f>
        <v>17340.558838833535</v>
      </c>
      <c r="BE82" s="3">
        <f>BC82*1.02</f>
        <v>17687.370015610206</v>
      </c>
    </row>
    <row r="83" spans="1:57" x14ac:dyDescent="0.25">
      <c r="A83" s="3" t="s">
        <v>80</v>
      </c>
      <c r="B83" s="3">
        <v>45000</v>
      </c>
      <c r="D83" s="3"/>
      <c r="E83" s="3">
        <f t="shared" si="47"/>
        <v>45000</v>
      </c>
      <c r="F83" s="3">
        <v>45000</v>
      </c>
      <c r="H83" s="32">
        <f t="shared" si="48"/>
        <v>0</v>
      </c>
      <c r="I83" s="32"/>
      <c r="J83" s="4">
        <v>-1545</v>
      </c>
      <c r="K83" s="4">
        <f t="shared" si="49"/>
        <v>45000</v>
      </c>
      <c r="L83" s="4">
        <v>43455</v>
      </c>
      <c r="N83" s="4">
        <f t="shared" si="50"/>
        <v>-1545</v>
      </c>
      <c r="P83" s="3">
        <v>45000</v>
      </c>
      <c r="Q83" s="3"/>
      <c r="R83" s="3">
        <v>0</v>
      </c>
      <c r="S83" s="3">
        <f t="shared" si="51"/>
        <v>45000</v>
      </c>
      <c r="T83" s="3">
        <v>45000</v>
      </c>
      <c r="U83" s="3">
        <f t="shared" si="52"/>
        <v>0</v>
      </c>
      <c r="V83" s="3"/>
      <c r="W83" s="3">
        <f t="shared" si="53"/>
        <v>45000</v>
      </c>
      <c r="X83" s="3"/>
      <c r="Y83" s="3">
        <v>45000</v>
      </c>
      <c r="Z83" s="3">
        <f t="shared" si="54"/>
        <v>0</v>
      </c>
      <c r="AA83" s="3"/>
      <c r="AB83" s="3"/>
      <c r="AC83" s="3">
        <v>37896</v>
      </c>
      <c r="AD83" s="3">
        <f t="shared" si="55"/>
        <v>7104</v>
      </c>
      <c r="AE83" s="3">
        <v>45000</v>
      </c>
      <c r="AF83" s="3">
        <f t="shared" si="56"/>
        <v>0</v>
      </c>
      <c r="AG83" s="4"/>
      <c r="AH83" s="4"/>
      <c r="AJ83" s="3"/>
      <c r="AK83" s="3">
        <f t="shared" si="57"/>
        <v>0</v>
      </c>
      <c r="AL83" s="3"/>
      <c r="AM83" s="3">
        <f t="shared" si="58"/>
        <v>0</v>
      </c>
      <c r="AO83" s="3"/>
      <c r="AP83" s="3"/>
      <c r="AQ83" s="3"/>
      <c r="AR83" s="3"/>
      <c r="AS83" s="3"/>
      <c r="AT83" s="3"/>
      <c r="AU83" s="3"/>
      <c r="AV83" s="42"/>
      <c r="AW83" s="3"/>
      <c r="AX83" s="42"/>
      <c r="AY83" s="3"/>
      <c r="AZ83" s="42"/>
      <c r="BA83" s="3"/>
      <c r="BB83" s="42"/>
      <c r="BC83" s="3"/>
      <c r="BE83" s="3"/>
    </row>
    <row r="84" spans="1:57" x14ac:dyDescent="0.25">
      <c r="A84" s="3" t="s">
        <v>81</v>
      </c>
      <c r="B84" s="3"/>
      <c r="D84" s="3"/>
      <c r="E84" s="3"/>
      <c r="F84" s="3"/>
      <c r="H84" s="32"/>
      <c r="I84" s="32"/>
      <c r="J84" s="4"/>
      <c r="K84" s="4"/>
      <c r="L84" s="4"/>
      <c r="N84" s="4"/>
      <c r="P84" s="3"/>
      <c r="Q84" s="3"/>
      <c r="R84" s="3"/>
      <c r="S84" s="3"/>
      <c r="T84" s="3"/>
      <c r="U84" s="3">
        <f>T84-P84</f>
        <v>0</v>
      </c>
      <c r="V84" s="3"/>
      <c r="W84" s="3">
        <f>Y84-V84</f>
        <v>0</v>
      </c>
      <c r="X84" s="3"/>
      <c r="Y84" s="3"/>
      <c r="Z84" s="3">
        <f>Y84-T84</f>
        <v>0</v>
      </c>
      <c r="AA84" s="3"/>
      <c r="AB84" s="3"/>
      <c r="AC84" s="3"/>
      <c r="AD84" s="3">
        <f t="shared" si="55"/>
        <v>0</v>
      </c>
      <c r="AE84" s="3"/>
      <c r="AF84" s="3">
        <f t="shared" si="56"/>
        <v>0</v>
      </c>
      <c r="AG84" s="4"/>
      <c r="AH84" s="4"/>
      <c r="AJ84" s="3"/>
      <c r="AK84" s="3">
        <f t="shared" si="57"/>
        <v>0</v>
      </c>
      <c r="AL84" s="3"/>
      <c r="AM84" s="3">
        <f t="shared" si="58"/>
        <v>0</v>
      </c>
      <c r="AO84" s="3"/>
      <c r="AP84" s="3"/>
      <c r="AQ84" s="3"/>
      <c r="AR84" s="3"/>
      <c r="AS84" s="3"/>
      <c r="AT84" s="3"/>
      <c r="AU84" s="3"/>
      <c r="AV84" s="42"/>
      <c r="AW84" s="3"/>
      <c r="AX84" s="42"/>
      <c r="AY84" s="3"/>
      <c r="AZ84" s="42"/>
      <c r="BA84" s="3"/>
      <c r="BB84" s="42"/>
      <c r="BC84" s="3"/>
      <c r="BE84" s="3"/>
    </row>
    <row r="85" spans="1:57" x14ac:dyDescent="0.25">
      <c r="A85" s="3" t="s">
        <v>82</v>
      </c>
      <c r="B85" s="3">
        <v>70950</v>
      </c>
      <c r="D85" s="3"/>
      <c r="E85" s="3">
        <f t="shared" si="47"/>
        <v>70950</v>
      </c>
      <c r="F85" s="3">
        <v>70950</v>
      </c>
      <c r="H85" s="32">
        <f t="shared" si="48"/>
        <v>0</v>
      </c>
      <c r="I85" s="32"/>
      <c r="J85" s="4">
        <v>0</v>
      </c>
      <c r="K85" s="4">
        <f t="shared" si="49"/>
        <v>70950</v>
      </c>
      <c r="L85" s="4">
        <v>70950</v>
      </c>
      <c r="N85" s="4">
        <f t="shared" si="50"/>
        <v>0</v>
      </c>
      <c r="P85" s="3">
        <f>71035+15</f>
        <v>71050</v>
      </c>
      <c r="Q85" s="3"/>
      <c r="R85" s="3">
        <v>0</v>
      </c>
      <c r="S85" s="3">
        <f t="shared" si="51"/>
        <v>71050</v>
      </c>
      <c r="T85" s="3">
        <v>71050</v>
      </c>
      <c r="U85" s="3">
        <f t="shared" si="52"/>
        <v>0</v>
      </c>
      <c r="V85" s="3"/>
      <c r="W85" s="3">
        <f t="shared" si="53"/>
        <v>71050</v>
      </c>
      <c r="X85" s="3"/>
      <c r="Y85" s="3">
        <v>71050</v>
      </c>
      <c r="Z85" s="3">
        <f t="shared" si="54"/>
        <v>0</v>
      </c>
      <c r="AA85" s="3"/>
      <c r="AB85" s="3"/>
      <c r="AC85" s="3">
        <v>71037</v>
      </c>
      <c r="AD85" s="3">
        <f t="shared" si="55"/>
        <v>3</v>
      </c>
      <c r="AE85" s="3">
        <v>71040</v>
      </c>
      <c r="AF85" s="3">
        <f t="shared" si="56"/>
        <v>-10</v>
      </c>
      <c r="AG85" s="4"/>
      <c r="AH85" s="4">
        <v>78650</v>
      </c>
      <c r="AJ85" s="3"/>
      <c r="AK85" s="3">
        <f t="shared" si="57"/>
        <v>78650</v>
      </c>
      <c r="AL85" s="3">
        <v>78650</v>
      </c>
      <c r="AM85" s="3">
        <f t="shared" si="58"/>
        <v>0</v>
      </c>
      <c r="AO85" s="3">
        <f>AH85*1.02</f>
        <v>80223</v>
      </c>
      <c r="AP85" s="3"/>
      <c r="AQ85" s="3">
        <f>AO85*1.02</f>
        <v>81827.460000000006</v>
      </c>
      <c r="AR85" s="3"/>
      <c r="AS85" s="3">
        <f>AQ85*1.02</f>
        <v>83464.009200000015</v>
      </c>
      <c r="AT85" s="3"/>
      <c r="AU85" s="3">
        <f>AS85*1.02</f>
        <v>85133.289384000018</v>
      </c>
      <c r="AV85" s="42"/>
      <c r="AW85" s="3">
        <f>AU85*1.02</f>
        <v>86835.95517168002</v>
      </c>
      <c r="AX85" s="42"/>
      <c r="AY85" s="3">
        <f>AW85*1.02</f>
        <v>88572.674275113619</v>
      </c>
      <c r="AZ85" s="42"/>
      <c r="BA85" s="3">
        <f>AY85*1.02</f>
        <v>90344.127760615898</v>
      </c>
      <c r="BB85" s="42"/>
      <c r="BC85" s="3">
        <f>BA85*1.02</f>
        <v>92151.010315828215</v>
      </c>
      <c r="BE85" s="3">
        <f>BC85*1.02</f>
        <v>93994.030522144778</v>
      </c>
    </row>
    <row r="86" spans="1:57" x14ac:dyDescent="0.25">
      <c r="A86" s="3" t="s">
        <v>83</v>
      </c>
      <c r="B86" s="3">
        <v>5250</v>
      </c>
      <c r="D86" s="3"/>
      <c r="E86" s="3">
        <f t="shared" si="47"/>
        <v>5250</v>
      </c>
      <c r="F86" s="3">
        <v>5250</v>
      </c>
      <c r="H86" s="32">
        <f t="shared" si="48"/>
        <v>0</v>
      </c>
      <c r="I86" s="32"/>
      <c r="J86" s="4">
        <v>0</v>
      </c>
      <c r="K86" s="4">
        <f t="shared" si="49"/>
        <v>5250</v>
      </c>
      <c r="L86" s="4">
        <v>5250</v>
      </c>
      <c r="N86" s="4">
        <f t="shared" si="50"/>
        <v>0</v>
      </c>
      <c r="P86" s="3">
        <f>5265-15</f>
        <v>5250</v>
      </c>
      <c r="Q86" s="3"/>
      <c r="R86" s="3">
        <v>0</v>
      </c>
      <c r="S86" s="3">
        <f t="shared" si="51"/>
        <v>5250</v>
      </c>
      <c r="T86" s="3">
        <v>5250</v>
      </c>
      <c r="U86" s="3">
        <f t="shared" si="52"/>
        <v>0</v>
      </c>
      <c r="V86" s="3">
        <v>4433</v>
      </c>
      <c r="W86" s="3">
        <f t="shared" si="53"/>
        <v>817</v>
      </c>
      <c r="X86" s="3"/>
      <c r="Y86" s="3">
        <v>5250</v>
      </c>
      <c r="Z86" s="3">
        <f t="shared" si="54"/>
        <v>0</v>
      </c>
      <c r="AA86" s="3"/>
      <c r="AB86" s="3"/>
      <c r="AC86" s="3"/>
      <c r="AD86" s="3">
        <f t="shared" si="55"/>
        <v>5250</v>
      </c>
      <c r="AE86" s="3">
        <v>5250</v>
      </c>
      <c r="AF86" s="3">
        <f t="shared" si="56"/>
        <v>0</v>
      </c>
      <c r="AG86" s="4"/>
      <c r="AH86" s="4">
        <v>5000</v>
      </c>
      <c r="AJ86" s="3"/>
      <c r="AK86" s="3">
        <f t="shared" si="57"/>
        <v>5000</v>
      </c>
      <c r="AL86" s="3">
        <v>5000</v>
      </c>
      <c r="AM86" s="3">
        <f t="shared" si="58"/>
        <v>0</v>
      </c>
      <c r="AO86" s="3"/>
      <c r="AP86" s="3"/>
      <c r="AQ86" s="3"/>
      <c r="AR86" s="3"/>
      <c r="AS86" s="3"/>
      <c r="AT86" s="3"/>
      <c r="AU86" s="3"/>
      <c r="AV86" s="42"/>
      <c r="AW86" s="3"/>
      <c r="AX86" s="42"/>
      <c r="AY86" s="3"/>
      <c r="AZ86" s="42"/>
      <c r="BA86" s="3"/>
      <c r="BB86" s="42"/>
      <c r="BC86" s="3"/>
      <c r="BE86" s="3"/>
    </row>
    <row r="87" spans="1:57" x14ac:dyDescent="0.25">
      <c r="A87" s="3" t="s">
        <v>84</v>
      </c>
      <c r="B87" s="3"/>
      <c r="D87" s="3"/>
      <c r="E87" s="3">
        <f t="shared" si="47"/>
        <v>0</v>
      </c>
      <c r="F87" s="3"/>
      <c r="H87" s="32">
        <f t="shared" si="48"/>
        <v>0</v>
      </c>
      <c r="I87" s="32"/>
      <c r="J87" s="4"/>
      <c r="K87" s="4">
        <f t="shared" si="49"/>
        <v>0</v>
      </c>
      <c r="L87" s="4"/>
      <c r="N87" s="4">
        <f t="shared" si="50"/>
        <v>0</v>
      </c>
      <c r="P87" s="3"/>
      <c r="Q87" s="3"/>
      <c r="R87" s="3"/>
      <c r="S87" s="3">
        <f t="shared" si="51"/>
        <v>0</v>
      </c>
      <c r="T87" s="3"/>
      <c r="U87" s="3">
        <f t="shared" si="52"/>
        <v>0</v>
      </c>
      <c r="V87" s="3"/>
      <c r="W87" s="3">
        <f t="shared" si="53"/>
        <v>0</v>
      </c>
      <c r="X87" s="3"/>
      <c r="Y87" s="3"/>
      <c r="Z87" s="3">
        <f t="shared" si="54"/>
        <v>0</v>
      </c>
      <c r="AA87" s="3"/>
      <c r="AB87" s="3"/>
      <c r="AC87" s="3"/>
      <c r="AD87" s="3">
        <f t="shared" si="55"/>
        <v>0</v>
      </c>
      <c r="AE87" s="3"/>
      <c r="AF87" s="3">
        <f t="shared" si="56"/>
        <v>0</v>
      </c>
      <c r="AG87" s="4"/>
      <c r="AH87" s="4"/>
      <c r="AJ87" s="3"/>
      <c r="AK87" s="3">
        <f t="shared" si="57"/>
        <v>0</v>
      </c>
      <c r="AL87" s="3"/>
      <c r="AM87" s="3">
        <f t="shared" si="58"/>
        <v>0</v>
      </c>
      <c r="AO87" s="3"/>
      <c r="AP87" s="3"/>
      <c r="AQ87" s="3"/>
      <c r="AR87" s="3"/>
      <c r="AS87" s="3"/>
      <c r="AT87" s="3"/>
      <c r="AU87" s="3"/>
      <c r="AV87" s="42"/>
      <c r="AW87" s="3"/>
      <c r="AX87" s="42"/>
      <c r="AY87" s="3"/>
      <c r="AZ87" s="42"/>
      <c r="BA87" s="3"/>
      <c r="BB87" s="42"/>
      <c r="BC87" s="3"/>
      <c r="BE87" s="3"/>
    </row>
    <row r="88" spans="1:57" x14ac:dyDescent="0.25">
      <c r="A88" s="3" t="s">
        <v>85</v>
      </c>
      <c r="B88" s="3">
        <v>99000</v>
      </c>
      <c r="D88" s="3"/>
      <c r="E88" s="3">
        <f t="shared" si="47"/>
        <v>99000</v>
      </c>
      <c r="F88" s="3">
        <v>99000</v>
      </c>
      <c r="H88" s="32">
        <f t="shared" si="48"/>
        <v>0</v>
      </c>
      <c r="I88" s="32"/>
      <c r="J88" s="4">
        <v>0</v>
      </c>
      <c r="K88" s="4">
        <f t="shared" si="49"/>
        <v>99000</v>
      </c>
      <c r="L88" s="4">
        <v>99000</v>
      </c>
      <c r="N88" s="4">
        <f t="shared" si="50"/>
        <v>0</v>
      </c>
      <c r="P88" s="3">
        <v>149900</v>
      </c>
      <c r="Q88" s="3"/>
      <c r="R88" s="3">
        <v>0</v>
      </c>
      <c r="S88" s="3">
        <f t="shared" si="51"/>
        <v>149900</v>
      </c>
      <c r="T88" s="3">
        <v>149900</v>
      </c>
      <c r="U88" s="3">
        <f t="shared" si="52"/>
        <v>0</v>
      </c>
      <c r="V88" s="3"/>
      <c r="W88" s="3">
        <f t="shared" si="53"/>
        <v>149900</v>
      </c>
      <c r="X88" s="3"/>
      <c r="Y88" s="3">
        <v>149900</v>
      </c>
      <c r="Z88" s="3">
        <f t="shared" si="54"/>
        <v>0</v>
      </c>
      <c r="AA88" s="3"/>
      <c r="AB88" s="3"/>
      <c r="AC88" s="3"/>
      <c r="AD88" s="3">
        <f t="shared" si="55"/>
        <v>149900</v>
      </c>
      <c r="AE88" s="3">
        <v>149900</v>
      </c>
      <c r="AF88" s="3">
        <f t="shared" si="56"/>
        <v>0</v>
      </c>
      <c r="AG88" s="4"/>
      <c r="AH88" s="4">
        <v>144000</v>
      </c>
      <c r="AJ88" s="3"/>
      <c r="AK88" s="3">
        <f t="shared" si="57"/>
        <v>144000</v>
      </c>
      <c r="AL88" s="3">
        <v>144000</v>
      </c>
      <c r="AM88" s="3">
        <f t="shared" si="58"/>
        <v>0</v>
      </c>
      <c r="AO88" s="3"/>
      <c r="AP88" s="3"/>
      <c r="AQ88" s="3"/>
      <c r="AR88" s="3"/>
      <c r="AS88" s="3"/>
      <c r="AT88" s="3"/>
      <c r="AU88" s="3"/>
      <c r="AV88" s="42"/>
      <c r="AW88" s="3"/>
      <c r="AX88" s="42"/>
      <c r="AY88" s="3"/>
      <c r="AZ88" s="42"/>
      <c r="BA88" s="3"/>
      <c r="BB88" s="42"/>
      <c r="BC88" s="3"/>
      <c r="BE88" s="3"/>
    </row>
    <row r="89" spans="1:57" x14ac:dyDescent="0.25">
      <c r="A89" s="3" t="s">
        <v>86</v>
      </c>
      <c r="B89" s="3">
        <v>30000</v>
      </c>
      <c r="D89" s="3"/>
      <c r="E89" s="3">
        <f t="shared" si="47"/>
        <v>30000</v>
      </c>
      <c r="F89" s="3">
        <v>30000</v>
      </c>
      <c r="H89" s="32">
        <f t="shared" si="48"/>
        <v>0</v>
      </c>
      <c r="I89" s="32"/>
      <c r="J89" s="4">
        <v>0</v>
      </c>
      <c r="K89" s="4">
        <f t="shared" si="49"/>
        <v>30000</v>
      </c>
      <c r="L89" s="4">
        <v>30000</v>
      </c>
      <c r="N89" s="4">
        <f t="shared" si="50"/>
        <v>0</v>
      </c>
      <c r="P89" s="3">
        <v>30000</v>
      </c>
      <c r="Q89" s="3"/>
      <c r="R89" s="3">
        <v>0</v>
      </c>
      <c r="S89" s="3">
        <f t="shared" si="51"/>
        <v>30000</v>
      </c>
      <c r="T89" s="3">
        <v>30000</v>
      </c>
      <c r="U89" s="3">
        <f t="shared" si="52"/>
        <v>0</v>
      </c>
      <c r="V89" s="3"/>
      <c r="W89" s="3">
        <f t="shared" si="53"/>
        <v>30000</v>
      </c>
      <c r="X89" s="3"/>
      <c r="Y89" s="3">
        <v>30000</v>
      </c>
      <c r="Z89" s="3">
        <f t="shared" si="54"/>
        <v>0</v>
      </c>
      <c r="AA89" s="3"/>
      <c r="AB89" s="3"/>
      <c r="AC89" s="3"/>
      <c r="AD89" s="3">
        <f t="shared" si="55"/>
        <v>30000</v>
      </c>
      <c r="AE89" s="3">
        <v>30000</v>
      </c>
      <c r="AF89" s="3">
        <f t="shared" si="56"/>
        <v>0</v>
      </c>
      <c r="AG89" s="4"/>
      <c r="AH89" s="4">
        <f>P89</f>
        <v>30000</v>
      </c>
      <c r="AJ89" s="3"/>
      <c r="AK89" s="3">
        <f t="shared" si="57"/>
        <v>30000</v>
      </c>
      <c r="AL89" s="3">
        <v>30000</v>
      </c>
      <c r="AM89" s="3">
        <f t="shared" si="58"/>
        <v>0</v>
      </c>
      <c r="AO89" s="3">
        <f>AH89*1.025</f>
        <v>30749.999999999996</v>
      </c>
      <c r="AP89" s="3"/>
      <c r="AQ89" s="3">
        <f>AO89*1.025</f>
        <v>31518.749999999993</v>
      </c>
      <c r="AR89" s="3"/>
      <c r="AS89" s="3">
        <f>AQ89*1.025</f>
        <v>32306.718749999989</v>
      </c>
      <c r="AT89" s="3"/>
      <c r="AU89" s="3">
        <f>AS89*1.025</f>
        <v>33114.386718749985</v>
      </c>
      <c r="AV89" s="42"/>
      <c r="AW89" s="3">
        <f>AU89*1.025</f>
        <v>33942.246386718733</v>
      </c>
      <c r="AX89" s="42"/>
      <c r="AY89" s="3">
        <f>AW89*1.025</f>
        <v>34790.802546386694</v>
      </c>
      <c r="AZ89" s="42"/>
      <c r="BA89" s="3">
        <f>AY89*1.025</f>
        <v>35660.572610046358</v>
      </c>
      <c r="BB89" s="42"/>
      <c r="BC89" s="3">
        <f>BA89*1.025</f>
        <v>36552.086925297517</v>
      </c>
      <c r="BE89" s="3">
        <f>BC89*1.025</f>
        <v>37465.889098429951</v>
      </c>
    </row>
    <row r="90" spans="1:57" x14ac:dyDescent="0.25">
      <c r="A90" s="3" t="s">
        <v>87</v>
      </c>
      <c r="B90" s="3">
        <v>500</v>
      </c>
      <c r="D90" s="3"/>
      <c r="E90" s="3">
        <f t="shared" si="47"/>
        <v>500</v>
      </c>
      <c r="F90" s="3">
        <v>500</v>
      </c>
      <c r="H90" s="32">
        <f t="shared" si="48"/>
        <v>0</v>
      </c>
      <c r="I90" s="32"/>
      <c r="J90" s="4">
        <v>0</v>
      </c>
      <c r="K90" s="4">
        <f t="shared" si="49"/>
        <v>500</v>
      </c>
      <c r="L90" s="4">
        <v>500</v>
      </c>
      <c r="N90" s="4">
        <f t="shared" si="50"/>
        <v>0</v>
      </c>
      <c r="P90" s="3">
        <v>500</v>
      </c>
      <c r="Q90" s="3"/>
      <c r="R90" s="3">
        <v>0</v>
      </c>
      <c r="S90" s="3">
        <f t="shared" si="51"/>
        <v>500</v>
      </c>
      <c r="T90" s="3">
        <v>500</v>
      </c>
      <c r="U90" s="3">
        <f t="shared" si="52"/>
        <v>0</v>
      </c>
      <c r="V90" s="3"/>
      <c r="W90" s="3">
        <f t="shared" si="53"/>
        <v>500</v>
      </c>
      <c r="X90" s="3"/>
      <c r="Y90" s="3">
        <v>500</v>
      </c>
      <c r="Z90" s="3">
        <f t="shared" si="54"/>
        <v>0</v>
      </c>
      <c r="AA90" s="3"/>
      <c r="AB90" s="3"/>
      <c r="AC90" s="3"/>
      <c r="AD90" s="3">
        <f t="shared" si="55"/>
        <v>0</v>
      </c>
      <c r="AE90" s="3">
        <v>0</v>
      </c>
      <c r="AF90" s="3">
        <f t="shared" si="56"/>
        <v>-500</v>
      </c>
      <c r="AG90" s="4"/>
      <c r="AH90" s="4">
        <v>500</v>
      </c>
      <c r="AJ90" s="3"/>
      <c r="AK90" s="3">
        <f t="shared" si="57"/>
        <v>500</v>
      </c>
      <c r="AL90" s="3">
        <v>500</v>
      </c>
      <c r="AM90" s="3">
        <f t="shared" si="58"/>
        <v>0</v>
      </c>
      <c r="AO90" s="3">
        <f>AH90*1.02</f>
        <v>510</v>
      </c>
      <c r="AP90" s="3"/>
      <c r="AQ90" s="3">
        <f>AO90*1.02</f>
        <v>520.20000000000005</v>
      </c>
      <c r="AR90" s="3"/>
      <c r="AS90" s="3">
        <f>AQ90*1.02</f>
        <v>530.60400000000004</v>
      </c>
      <c r="AT90" s="3"/>
      <c r="AU90" s="3">
        <f>AS90*1.02</f>
        <v>541.21608000000003</v>
      </c>
      <c r="AV90" s="42"/>
      <c r="AW90" s="3">
        <f>AU90*1.02</f>
        <v>552.0404016</v>
      </c>
      <c r="AX90" s="42"/>
      <c r="AY90" s="3">
        <f>AW90*1.02</f>
        <v>563.08120963199997</v>
      </c>
      <c r="AZ90" s="42"/>
      <c r="BA90" s="3">
        <f>AY90*1.02</f>
        <v>574.34283382464002</v>
      </c>
      <c r="BB90" s="42"/>
      <c r="BC90" s="3">
        <f>BA90*1.02</f>
        <v>585.82969050113286</v>
      </c>
      <c r="BE90" s="3">
        <f>BC90*1.02</f>
        <v>597.54628431115555</v>
      </c>
    </row>
    <row r="91" spans="1:57" x14ac:dyDescent="0.25">
      <c r="A91" s="3"/>
      <c r="B91" s="48">
        <f>SUM(B82:B90)</f>
        <v>263790</v>
      </c>
      <c r="C91" s="32"/>
      <c r="D91" s="48">
        <f>SUM(D82:D90)</f>
        <v>0</v>
      </c>
      <c r="E91" s="48">
        <f>SUM(E82:E90)</f>
        <v>263790</v>
      </c>
      <c r="F91" s="48">
        <f>SUM(F82:F90)</f>
        <v>263790</v>
      </c>
      <c r="G91" s="32"/>
      <c r="H91" s="48">
        <f>SUM(H82:H90)</f>
        <v>0</v>
      </c>
      <c r="I91" s="36"/>
      <c r="J91" s="48">
        <f>SUM(J82:J90)</f>
        <v>-1545</v>
      </c>
      <c r="K91" s="48">
        <f>SUM(K82:K90)</f>
        <v>263790</v>
      </c>
      <c r="L91" s="48">
        <f>SUM(L82:L90)</f>
        <v>262245</v>
      </c>
      <c r="M91" s="32"/>
      <c r="N91" s="48">
        <f>SUM(N82:N90)</f>
        <v>-1545</v>
      </c>
      <c r="P91" s="48">
        <f>SUM(P82:P90)</f>
        <v>315150</v>
      </c>
      <c r="R91" s="48">
        <f t="shared" ref="R91:Z91" si="59">SUM(R82:R90)</f>
        <v>0</v>
      </c>
      <c r="S91" s="48">
        <f t="shared" si="59"/>
        <v>315150</v>
      </c>
      <c r="T91" s="48">
        <f t="shared" si="59"/>
        <v>315150</v>
      </c>
      <c r="U91" s="48">
        <f t="shared" si="59"/>
        <v>0</v>
      </c>
      <c r="V91" s="48">
        <f t="shared" si="59"/>
        <v>4433</v>
      </c>
      <c r="W91" s="48">
        <f t="shared" si="59"/>
        <v>310717</v>
      </c>
      <c r="X91" s="48"/>
      <c r="Y91" s="48">
        <f t="shared" si="59"/>
        <v>315150</v>
      </c>
      <c r="Z91" s="48">
        <f t="shared" si="59"/>
        <v>0</v>
      </c>
      <c r="AC91" s="48">
        <f>SUM(AC82:AC90)</f>
        <v>122415</v>
      </c>
      <c r="AD91" s="48">
        <f>SUM(AD82:AD90)</f>
        <v>192255</v>
      </c>
      <c r="AE91" s="48">
        <f>SUM(AE82:AE90)</f>
        <v>314670</v>
      </c>
      <c r="AF91" s="48">
        <f>SUM(AF82:AF90)</f>
        <v>-480</v>
      </c>
      <c r="AH91" s="36">
        <f>SUM(AH82:AH90)</f>
        <v>272950</v>
      </c>
      <c r="AI91" s="32"/>
      <c r="AJ91" s="48">
        <f>SUM(AJ82:AJ90)</f>
        <v>0</v>
      </c>
      <c r="AK91" s="48">
        <f>SUM(AK82:AK90)</f>
        <v>272950</v>
      </c>
      <c r="AL91" s="48">
        <f>SUM(AL82:AL90)</f>
        <v>272950</v>
      </c>
      <c r="AM91" s="48">
        <f>SUM(AM82:AM90)</f>
        <v>0</v>
      </c>
      <c r="AN91" s="32"/>
      <c r="AO91" s="48">
        <f>SUM(AO82:AO90)-1</f>
        <v>126578</v>
      </c>
      <c r="AQ91" s="48">
        <f>SUM(AQ82:AQ90)-1</f>
        <v>129263.33</v>
      </c>
      <c r="AS91" s="48">
        <f>SUM(AS82:AS90)</f>
        <v>132007.21035000001</v>
      </c>
      <c r="AT91" s="48"/>
      <c r="AU91" s="48">
        <f>SUM(AU82:AU90)</f>
        <v>134808.88815075002</v>
      </c>
      <c r="AW91" s="48">
        <f>SUM(AW82:AW90)</f>
        <v>137670.63784735877</v>
      </c>
      <c r="AY91" s="48">
        <f>SUM(AY82:AY90)</f>
        <v>140593.76183623949</v>
      </c>
      <c r="BA91" s="48">
        <f>SUM(BA82:BA90)</f>
        <v>143579.59108569624</v>
      </c>
      <c r="BC91" s="48">
        <f>SUM(BC82:BC90)</f>
        <v>146629.48577046039</v>
      </c>
      <c r="BE91" s="48">
        <f>SUM(BE82:BE90)</f>
        <v>149744.83592049609</v>
      </c>
    </row>
    <row r="92" spans="1:57" x14ac:dyDescent="0.25">
      <c r="A92" s="3"/>
    </row>
    <row r="93" spans="1:57" x14ac:dyDescent="0.25">
      <c r="A93" s="7" t="s">
        <v>88</v>
      </c>
    </row>
    <row r="94" spans="1:57" x14ac:dyDescent="0.25">
      <c r="A94" s="3" t="s">
        <v>89</v>
      </c>
      <c r="B94" s="3">
        <v>921</v>
      </c>
      <c r="D94" s="3">
        <v>725</v>
      </c>
      <c r="E94" s="3">
        <f>F94-D94</f>
        <v>195</v>
      </c>
      <c r="F94" s="3">
        <v>920</v>
      </c>
      <c r="H94" s="32">
        <f>F94-B94</f>
        <v>-1</v>
      </c>
      <c r="I94" s="32"/>
      <c r="J94" s="4">
        <v>1300</v>
      </c>
      <c r="K94" s="4">
        <f>L94-J94</f>
        <v>200</v>
      </c>
      <c r="L94" s="4">
        <v>1500</v>
      </c>
      <c r="N94" s="4">
        <f>L94-F94</f>
        <v>580</v>
      </c>
      <c r="P94" s="3">
        <f>L94*1.025+12</f>
        <v>1549.4999999999998</v>
      </c>
      <c r="Q94" s="3"/>
      <c r="R94" s="3">
        <v>1028</v>
      </c>
      <c r="S94" s="3">
        <f>T94-R94</f>
        <v>522</v>
      </c>
      <c r="T94" s="3">
        <v>1550</v>
      </c>
      <c r="U94" s="3">
        <f>T94-P94</f>
        <v>0.50000000000022737</v>
      </c>
      <c r="V94" s="3">
        <v>625</v>
      </c>
      <c r="W94" s="3">
        <f>Y94-V94</f>
        <v>575</v>
      </c>
      <c r="X94" s="3"/>
      <c r="Y94" s="3">
        <v>1200</v>
      </c>
      <c r="Z94" s="3">
        <f>Y94-T94</f>
        <v>-350</v>
      </c>
      <c r="AA94" s="3"/>
      <c r="AB94" s="3"/>
      <c r="AC94" s="3">
        <v>830</v>
      </c>
      <c r="AD94" s="3">
        <f>AE94-AC94</f>
        <v>270</v>
      </c>
      <c r="AE94" s="3">
        <v>1100</v>
      </c>
      <c r="AF94" s="3">
        <f>AE94-Y94</f>
        <v>-100</v>
      </c>
      <c r="AG94" s="4"/>
      <c r="AH94" s="4">
        <v>1200</v>
      </c>
      <c r="AJ94" s="3">
        <v>315</v>
      </c>
      <c r="AK94" s="3">
        <f>AL94-AJ94</f>
        <v>885</v>
      </c>
      <c r="AL94" s="3">
        <v>1200</v>
      </c>
      <c r="AM94" s="3">
        <f>AL94-AH94</f>
        <v>0</v>
      </c>
      <c r="AO94" s="3">
        <f>AH94*1.025</f>
        <v>1230</v>
      </c>
      <c r="AP94" s="3"/>
      <c r="AQ94" s="3">
        <f>AO94*1.025</f>
        <v>1260.75</v>
      </c>
      <c r="AR94" s="3"/>
      <c r="AS94" s="3">
        <f>AQ94*1.025</f>
        <v>1292.26875</v>
      </c>
      <c r="AT94" s="3"/>
      <c r="AU94" s="3">
        <f>AS94*1.025</f>
        <v>1324.5754687499998</v>
      </c>
      <c r="AV94" s="42"/>
      <c r="AW94" s="3">
        <f>AU94*1.025</f>
        <v>1357.6898554687498</v>
      </c>
      <c r="AX94" s="42"/>
      <c r="AY94" s="3">
        <f>AW94*1.025</f>
        <v>1391.6321018554684</v>
      </c>
      <c r="AZ94" s="42"/>
      <c r="BA94" s="3">
        <f>AY94*1.025</f>
        <v>1426.422904401855</v>
      </c>
      <c r="BB94" s="42"/>
      <c r="BC94" s="3">
        <f>BA94*1.025</f>
        <v>1462.0834770119013</v>
      </c>
      <c r="BE94" s="3">
        <f>BC94*1.025</f>
        <v>1498.6355639371986</v>
      </c>
    </row>
    <row r="95" spans="1:57" x14ac:dyDescent="0.25">
      <c r="A95" s="3" t="s">
        <v>57</v>
      </c>
      <c r="B95" s="3">
        <v>820</v>
      </c>
      <c r="D95" s="3"/>
      <c r="E95" s="3">
        <f>F95-D95</f>
        <v>820</v>
      </c>
      <c r="F95" s="3">
        <v>820</v>
      </c>
      <c r="H95" s="32">
        <f>F95-B95</f>
        <v>0</v>
      </c>
      <c r="I95" s="32"/>
      <c r="J95" s="4">
        <v>316</v>
      </c>
      <c r="K95" s="4">
        <f>L95-J95</f>
        <v>384</v>
      </c>
      <c r="L95" s="4">
        <v>700</v>
      </c>
      <c r="N95" s="4">
        <f>L95-F95</f>
        <v>-120</v>
      </c>
      <c r="P95" s="3">
        <f>L95*1.025+32</f>
        <v>749.49999999999989</v>
      </c>
      <c r="Q95" s="3"/>
      <c r="R95" s="3">
        <f>355</f>
        <v>355</v>
      </c>
      <c r="S95" s="3">
        <f>T95-R95</f>
        <v>395</v>
      </c>
      <c r="T95" s="3">
        <v>750</v>
      </c>
      <c r="U95" s="3">
        <f>T95-P95</f>
        <v>0.50000000000011369</v>
      </c>
      <c r="V95" s="3">
        <v>1028</v>
      </c>
      <c r="W95" s="3">
        <f>Y95-V95</f>
        <v>472</v>
      </c>
      <c r="X95" s="3"/>
      <c r="Y95" s="3">
        <v>1500</v>
      </c>
      <c r="Z95" s="3">
        <f>Y95-T95</f>
        <v>750</v>
      </c>
      <c r="AA95" s="3"/>
      <c r="AB95" s="3"/>
      <c r="AC95" s="3">
        <v>1684</v>
      </c>
      <c r="AD95" s="3">
        <f>AE95-AC95</f>
        <v>116</v>
      </c>
      <c r="AE95" s="3">
        <v>1800</v>
      </c>
      <c r="AF95" s="3">
        <f>AE95-Y95</f>
        <v>300</v>
      </c>
      <c r="AG95" s="4"/>
      <c r="AH95" s="4">
        <v>1900</v>
      </c>
      <c r="AJ95" s="3">
        <v>108</v>
      </c>
      <c r="AK95" s="3">
        <f>AL95-AJ95</f>
        <v>1792</v>
      </c>
      <c r="AL95" s="3">
        <v>1900</v>
      </c>
      <c r="AM95" s="3">
        <f>AL95-AH95</f>
        <v>0</v>
      </c>
      <c r="AO95" s="3">
        <f>AH95*1.025</f>
        <v>1947.4999999999998</v>
      </c>
      <c r="AP95" s="3"/>
      <c r="AQ95" s="3">
        <f>AO95*1.025</f>
        <v>1996.1874999999995</v>
      </c>
      <c r="AR95" s="3"/>
      <c r="AS95" s="3">
        <f>AQ95*1.025</f>
        <v>2046.0921874999995</v>
      </c>
      <c r="AT95" s="3"/>
      <c r="AU95" s="3">
        <f>AS95*1.025</f>
        <v>2097.2444921874994</v>
      </c>
      <c r="AV95" s="42"/>
      <c r="AW95" s="3">
        <f>AU95*1.025</f>
        <v>2149.6756044921867</v>
      </c>
      <c r="AX95" s="42"/>
      <c r="AY95" s="3">
        <f>AW95*1.025</f>
        <v>2203.4174946044914</v>
      </c>
      <c r="AZ95" s="42"/>
      <c r="BA95" s="3">
        <f>AY95*1.025</f>
        <v>2258.5029319696037</v>
      </c>
      <c r="BB95" s="42"/>
      <c r="BC95" s="3">
        <f>BA95*1.025</f>
        <v>2314.9655052688436</v>
      </c>
      <c r="BE95" s="3">
        <f>BC95*1.025</f>
        <v>2372.8396429005643</v>
      </c>
    </row>
    <row r="96" spans="1:57" x14ac:dyDescent="0.25">
      <c r="A96" s="3" t="s">
        <v>90</v>
      </c>
      <c r="B96" s="3"/>
      <c r="D96" s="3"/>
      <c r="E96" s="3"/>
      <c r="F96" s="3"/>
      <c r="H96" s="3"/>
      <c r="I96" s="3"/>
      <c r="J96" s="3"/>
      <c r="K96" s="3"/>
      <c r="L96" s="3"/>
      <c r="N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4"/>
      <c r="AH96" s="4"/>
      <c r="AJ96" s="3"/>
      <c r="AK96" s="3">
        <f>AL96-AJ96</f>
        <v>0</v>
      </c>
      <c r="AL96" s="3"/>
      <c r="AM96" s="3">
        <f>AL96-AH96</f>
        <v>0</v>
      </c>
      <c r="AO96" s="3"/>
      <c r="AP96" s="3"/>
      <c r="AQ96" s="3"/>
      <c r="AR96" s="3"/>
      <c r="AS96" s="3"/>
      <c r="AT96" s="3"/>
      <c r="AU96" s="3"/>
      <c r="AV96" s="42"/>
      <c r="AW96" s="3"/>
      <c r="AY96" s="3"/>
      <c r="BA96" s="3"/>
      <c r="BC96" s="3"/>
      <c r="BE96" s="3"/>
    </row>
    <row r="97" spans="1:57" x14ac:dyDescent="0.25">
      <c r="A97" s="3"/>
      <c r="B97" s="48">
        <f>SUM(B94:B96)-1</f>
        <v>1740</v>
      </c>
      <c r="C97" s="32"/>
      <c r="D97" s="48">
        <f>SUM(D94:D96)-1</f>
        <v>724</v>
      </c>
      <c r="E97" s="48">
        <f>SUM(E94:E96)-1</f>
        <v>1014</v>
      </c>
      <c r="F97" s="48">
        <f>SUM(F94:F96)-1</f>
        <v>1739</v>
      </c>
      <c r="G97" s="32"/>
      <c r="H97" s="48">
        <f>SUM(H94:H96)-1</f>
        <v>-2</v>
      </c>
      <c r="I97" s="36"/>
      <c r="J97" s="48">
        <f>SUM(J94:J96)-1</f>
        <v>1615</v>
      </c>
      <c r="K97" s="48">
        <f>SUM(K94:K96)-1</f>
        <v>583</v>
      </c>
      <c r="L97" s="48">
        <f>SUM(L94:L96)-1</f>
        <v>2199</v>
      </c>
      <c r="M97" s="32"/>
      <c r="N97" s="48">
        <f>SUM(N94:N96)-1</f>
        <v>459</v>
      </c>
      <c r="P97" s="48">
        <f>SUM(P94:P96 )+1</f>
        <v>2299.9999999999995</v>
      </c>
      <c r="R97" s="48">
        <f t="shared" ref="R97:Z97" si="60">SUM(R94:R96 )</f>
        <v>1383</v>
      </c>
      <c r="S97" s="48">
        <f t="shared" si="60"/>
        <v>917</v>
      </c>
      <c r="T97" s="48">
        <f t="shared" si="60"/>
        <v>2300</v>
      </c>
      <c r="U97" s="48">
        <f t="shared" si="60"/>
        <v>1.0000000000003411</v>
      </c>
      <c r="V97" s="48">
        <f t="shared" si="60"/>
        <v>1653</v>
      </c>
      <c r="W97" s="48">
        <f t="shared" si="60"/>
        <v>1047</v>
      </c>
      <c r="X97" s="48"/>
      <c r="Y97" s="48">
        <f t="shared" si="60"/>
        <v>2700</v>
      </c>
      <c r="Z97" s="48">
        <f t="shared" si="60"/>
        <v>400</v>
      </c>
      <c r="AC97" s="48">
        <f>SUM(AC94:AC96 )</f>
        <v>2514</v>
      </c>
      <c r="AD97" s="48">
        <f>SUM(AD94:AD96 )</f>
        <v>386</v>
      </c>
      <c r="AE97" s="48">
        <f>SUM(AE94:AE96 )</f>
        <v>2900</v>
      </c>
      <c r="AF97" s="48">
        <f>SUM(AF94:AF96 )</f>
        <v>200</v>
      </c>
      <c r="AH97" s="36">
        <f>SUM(AH94:AH96)</f>
        <v>3100</v>
      </c>
      <c r="AI97" s="32"/>
      <c r="AJ97" s="48">
        <f>SUM(AJ94:AJ96)</f>
        <v>423</v>
      </c>
      <c r="AK97" s="48">
        <f>SUM(AK94:AK96)</f>
        <v>2677</v>
      </c>
      <c r="AL97" s="48">
        <f>SUM(AL94:AL96)</f>
        <v>3100</v>
      </c>
      <c r="AM97" s="48">
        <f>SUM(AM94:AM96)</f>
        <v>0</v>
      </c>
      <c r="AN97" s="32"/>
      <c r="AO97" s="48">
        <f>SUM(AO94:AO96)</f>
        <v>3177.5</v>
      </c>
      <c r="AQ97" s="48">
        <f>SUM(AQ94:AQ96)-1</f>
        <v>3255.9374999999995</v>
      </c>
      <c r="AS97" s="48">
        <f>SUM(AS94:AS96)-1</f>
        <v>3337.3609374999996</v>
      </c>
      <c r="AT97" s="48"/>
      <c r="AU97" s="48">
        <f>SUM(AU94:AU96)</f>
        <v>3421.8199609374992</v>
      </c>
      <c r="AW97" s="48">
        <f>SUM(AW94:AW96)</f>
        <v>3507.3654599609363</v>
      </c>
      <c r="AY97" s="48">
        <f>SUM(AY94:AY96)</f>
        <v>3595.0495964599595</v>
      </c>
      <c r="BA97" s="48">
        <f>SUM(BA94:BA96)</f>
        <v>3684.9258363714589</v>
      </c>
      <c r="BC97" s="48">
        <f>SUM(BC94:BC96)</f>
        <v>3777.0489822807449</v>
      </c>
      <c r="BE97" s="48">
        <f>SUM(BE94:BE96)</f>
        <v>3871.4752068377629</v>
      </c>
    </row>
    <row r="98" spans="1:57" x14ac:dyDescent="0.25">
      <c r="A98" s="7" t="s">
        <v>92</v>
      </c>
      <c r="B98" s="3"/>
      <c r="D98" s="3"/>
      <c r="E98" s="3"/>
      <c r="F98" s="3"/>
      <c r="H98" s="3"/>
      <c r="I98" s="3"/>
      <c r="J98" s="3"/>
      <c r="K98" s="3"/>
      <c r="L98" s="3"/>
      <c r="N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4"/>
      <c r="AH98" s="4"/>
      <c r="AJ98" s="3"/>
      <c r="AK98" s="3"/>
      <c r="AL98" s="3"/>
      <c r="AM98" s="3"/>
      <c r="AO98" s="3"/>
      <c r="AP98" s="3"/>
      <c r="AQ98" s="3"/>
      <c r="AR98" s="3"/>
      <c r="AS98" s="3"/>
      <c r="AT98" s="3"/>
      <c r="AU98" s="3"/>
      <c r="AV98" s="42"/>
      <c r="AW98" s="3"/>
      <c r="AY98" s="3"/>
      <c r="BA98" s="3"/>
      <c r="BC98" s="3"/>
      <c r="BE98" s="3"/>
    </row>
    <row r="99" spans="1:57" x14ac:dyDescent="0.25">
      <c r="A99" s="3" t="s">
        <v>93</v>
      </c>
      <c r="B99" s="3"/>
      <c r="D99" s="3"/>
      <c r="E99" s="3">
        <f>F99-D99</f>
        <v>0</v>
      </c>
      <c r="F99" s="3"/>
      <c r="H99" s="3"/>
      <c r="I99" s="3"/>
      <c r="J99" s="3"/>
      <c r="K99" s="3"/>
      <c r="L99" s="3"/>
      <c r="N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4"/>
      <c r="AH99" s="4"/>
      <c r="AJ99" s="3"/>
      <c r="AK99" s="3">
        <f>AL99-AJ99</f>
        <v>0</v>
      </c>
      <c r="AL99" s="3"/>
      <c r="AM99" s="3">
        <f>AL99-AH99</f>
        <v>0</v>
      </c>
      <c r="AO99" s="3"/>
      <c r="AP99" s="3"/>
      <c r="AQ99" s="3"/>
      <c r="AR99" s="3"/>
      <c r="AS99" s="3"/>
      <c r="AT99" s="3"/>
      <c r="AU99" s="3"/>
      <c r="AV99" s="42"/>
      <c r="AW99" s="3"/>
      <c r="AY99" s="3"/>
      <c r="BA99" s="3"/>
      <c r="BC99" s="3"/>
      <c r="BE99" s="3"/>
    </row>
    <row r="100" spans="1:57" x14ac:dyDescent="0.25">
      <c r="A100" s="3" t="s">
        <v>94</v>
      </c>
      <c r="B100" s="3"/>
      <c r="D100" s="3"/>
      <c r="E100" s="3">
        <f>F100-D100</f>
        <v>0</v>
      </c>
      <c r="F100" s="3"/>
      <c r="H100" s="3"/>
      <c r="I100" s="3"/>
      <c r="J100" s="3"/>
      <c r="K100" s="3"/>
      <c r="L100" s="3"/>
      <c r="N100" s="3"/>
      <c r="P100" s="3"/>
      <c r="Q100" s="3"/>
      <c r="R100" s="3"/>
      <c r="S100" s="3"/>
      <c r="T100" s="3"/>
      <c r="U100" s="3"/>
      <c r="V100" s="3"/>
      <c r="W100" s="3">
        <f>Y100-V100</f>
        <v>0</v>
      </c>
      <c r="X100" s="3"/>
      <c r="Y100" s="3"/>
      <c r="Z100" s="3"/>
      <c r="AA100" s="3"/>
      <c r="AB100" s="3"/>
      <c r="AC100" s="3"/>
      <c r="AD100" s="3"/>
      <c r="AE100" s="3"/>
      <c r="AF100" s="3"/>
      <c r="AG100" s="4"/>
      <c r="AH100" s="4"/>
      <c r="AJ100" s="3"/>
      <c r="AK100" s="3">
        <f>AL100-AJ100</f>
        <v>0</v>
      </c>
      <c r="AL100" s="3"/>
      <c r="AM100" s="3">
        <f>AL100-AH100</f>
        <v>0</v>
      </c>
      <c r="AO100" s="3"/>
      <c r="AP100" s="3"/>
      <c r="AQ100" s="3"/>
      <c r="AR100" s="3"/>
      <c r="AS100" s="3"/>
      <c r="AT100" s="3"/>
      <c r="AU100" s="3"/>
      <c r="AV100" s="42"/>
      <c r="AW100" s="3"/>
      <c r="AY100" s="3"/>
      <c r="BA100" s="3"/>
      <c r="BC100" s="3"/>
      <c r="BE100" s="3"/>
    </row>
    <row r="101" spans="1:57" x14ac:dyDescent="0.25">
      <c r="A101" s="3" t="s">
        <v>95</v>
      </c>
      <c r="B101" s="3">
        <v>2000</v>
      </c>
      <c r="D101" s="3"/>
      <c r="E101" s="3">
        <f>F101-D101</f>
        <v>2000</v>
      </c>
      <c r="F101" s="3">
        <v>2000</v>
      </c>
      <c r="H101" s="32">
        <f>F101-B101</f>
        <v>0</v>
      </c>
      <c r="I101" s="32"/>
      <c r="J101" s="4">
        <v>459</v>
      </c>
      <c r="K101" s="4">
        <f>L101-J101</f>
        <v>1541</v>
      </c>
      <c r="L101" s="4">
        <v>2000</v>
      </c>
      <c r="N101" s="4">
        <f>L101-F101</f>
        <v>0</v>
      </c>
      <c r="P101" s="3">
        <f>L101*1.025</f>
        <v>2050</v>
      </c>
      <c r="Q101" s="3"/>
      <c r="R101" s="3">
        <v>0</v>
      </c>
      <c r="S101" s="3">
        <f>T101-R101</f>
        <v>1000</v>
      </c>
      <c r="T101" s="3">
        <v>1000</v>
      </c>
      <c r="U101" s="3">
        <f>T101-P101</f>
        <v>-1050</v>
      </c>
      <c r="V101" s="3"/>
      <c r="W101" s="3">
        <f>Y101-V101</f>
        <v>9000</v>
      </c>
      <c r="X101" s="3"/>
      <c r="Y101" s="3">
        <v>9000</v>
      </c>
      <c r="Z101" s="3">
        <f>Y101-T101</f>
        <v>8000</v>
      </c>
      <c r="AA101" s="3"/>
      <c r="AB101" s="3"/>
      <c r="AC101" s="3">
        <v>3003</v>
      </c>
      <c r="AD101" s="3">
        <f>AE101-AC101</f>
        <v>5997</v>
      </c>
      <c r="AE101" s="3">
        <v>9000</v>
      </c>
      <c r="AF101" s="3">
        <f>AE101-Y101</f>
        <v>0</v>
      </c>
      <c r="AG101" s="4"/>
      <c r="AH101" s="4">
        <v>9300</v>
      </c>
      <c r="AJ101" s="3"/>
      <c r="AK101" s="3">
        <f>AL101-AJ101</f>
        <v>9300</v>
      </c>
      <c r="AL101" s="3">
        <v>9300</v>
      </c>
      <c r="AM101" s="3">
        <f>AL101-AH101</f>
        <v>0</v>
      </c>
      <c r="AO101" s="3">
        <f>AH101*1.025</f>
        <v>9532.5</v>
      </c>
      <c r="AP101" s="3"/>
      <c r="AQ101" s="3">
        <f>AO101*1.025</f>
        <v>9770.8125</v>
      </c>
      <c r="AR101" s="3"/>
      <c r="AS101" s="3">
        <f>AQ101*1.025</f>
        <v>10015.082812499999</v>
      </c>
      <c r="AT101" s="3"/>
      <c r="AU101" s="3">
        <f>AS101*1.025</f>
        <v>10265.459882812498</v>
      </c>
      <c r="AV101" s="42"/>
      <c r="AW101" s="3">
        <f>AU101*1.025</f>
        <v>10522.096379882809</v>
      </c>
      <c r="AX101" s="42"/>
      <c r="AY101" s="3">
        <f>AW101*1.025</f>
        <v>10785.148789379879</v>
      </c>
      <c r="AZ101" s="42"/>
      <c r="BA101" s="3">
        <f>AY101*1.025</f>
        <v>11054.777509114374</v>
      </c>
      <c r="BB101" s="42"/>
      <c r="BC101" s="3">
        <f>BA101*1.025</f>
        <v>11331.146946842233</v>
      </c>
      <c r="BE101" s="3">
        <f>BC101*1.025</f>
        <v>11614.425620513288</v>
      </c>
    </row>
    <row r="102" spans="1:57" x14ac:dyDescent="0.25">
      <c r="A102" s="3"/>
      <c r="B102" s="48">
        <f>SUM(B99:B101)</f>
        <v>2000</v>
      </c>
      <c r="C102" s="32"/>
      <c r="D102" s="48">
        <f>SUM(D99:D101)</f>
        <v>0</v>
      </c>
      <c r="E102" s="48">
        <f>SUM(E99:E101)</f>
        <v>2000</v>
      </c>
      <c r="F102" s="48">
        <f>SUM(F99:F101)</f>
        <v>2000</v>
      </c>
      <c r="G102" s="32"/>
      <c r="H102" s="48">
        <f>SUM(H99:H101)</f>
        <v>0</v>
      </c>
      <c r="I102" s="36"/>
      <c r="J102" s="48">
        <f>SUM(J99:J101)</f>
        <v>459</v>
      </c>
      <c r="K102" s="48">
        <f>SUM(K99:K101)</f>
        <v>1541</v>
      </c>
      <c r="L102" s="48">
        <f>SUM(L99:L101)</f>
        <v>2000</v>
      </c>
      <c r="M102" s="32"/>
      <c r="N102" s="48">
        <f>SUM(N99:N101)</f>
        <v>0</v>
      </c>
      <c r="P102" s="50">
        <f>SUM(P99:P101)</f>
        <v>2050</v>
      </c>
      <c r="Q102" s="3"/>
      <c r="R102" s="50">
        <f t="shared" ref="R102:Z102" si="61">SUM(R99:R101)</f>
        <v>0</v>
      </c>
      <c r="S102" s="50">
        <f t="shared" si="61"/>
        <v>1000</v>
      </c>
      <c r="T102" s="50">
        <f t="shared" si="61"/>
        <v>1000</v>
      </c>
      <c r="U102" s="50">
        <f t="shared" si="61"/>
        <v>-1050</v>
      </c>
      <c r="V102" s="50">
        <f t="shared" si="61"/>
        <v>0</v>
      </c>
      <c r="W102" s="50">
        <f t="shared" si="61"/>
        <v>9000</v>
      </c>
      <c r="X102" s="50"/>
      <c r="Y102" s="50">
        <f t="shared" si="61"/>
        <v>9000</v>
      </c>
      <c r="Z102" s="50">
        <f t="shared" si="61"/>
        <v>8000</v>
      </c>
      <c r="AA102" s="3"/>
      <c r="AB102" s="3"/>
      <c r="AC102" s="50">
        <f>SUM(AC99:AC101)</f>
        <v>3003</v>
      </c>
      <c r="AD102" s="50">
        <f>SUM(AD99:AD101)</f>
        <v>5997</v>
      </c>
      <c r="AE102" s="50">
        <f>SUM(AE99:AE101)</f>
        <v>9000</v>
      </c>
      <c r="AF102" s="50">
        <f>SUM(AF99:AF101)</f>
        <v>0</v>
      </c>
      <c r="AG102" s="4"/>
      <c r="AH102" s="82">
        <f>SUM(AH99:AH101)</f>
        <v>9300</v>
      </c>
      <c r="AI102" s="32"/>
      <c r="AJ102" s="50">
        <f>SUM(AJ99:AJ101)</f>
        <v>0</v>
      </c>
      <c r="AK102" s="50">
        <f>SUM(AK99:AK101)</f>
        <v>9300</v>
      </c>
      <c r="AL102" s="50">
        <f>SUM(AL99:AL101)</f>
        <v>9300</v>
      </c>
      <c r="AM102" s="50">
        <f>SUM(AM99:AM101)</f>
        <v>0</v>
      </c>
      <c r="AN102" s="32"/>
      <c r="AO102" s="50">
        <f>SUM(AO99:AO101)</f>
        <v>9532.5</v>
      </c>
      <c r="AP102" s="3"/>
      <c r="AQ102" s="50">
        <f>SUM(AQ99:AQ101)</f>
        <v>9770.8125</v>
      </c>
      <c r="AR102" s="3"/>
      <c r="AS102" s="50">
        <f>SUM(AS99:AS101)</f>
        <v>10015.082812499999</v>
      </c>
      <c r="AT102" s="50"/>
      <c r="AU102" s="50">
        <f>SUM(AU99:AU101)</f>
        <v>10265.459882812498</v>
      </c>
      <c r="AV102" s="42"/>
      <c r="AW102" s="50">
        <f>SUM(AW99:AW101)</f>
        <v>10522.096379882809</v>
      </c>
      <c r="AX102" s="42"/>
      <c r="AY102" s="50">
        <f>SUM(AY99:AY101)</f>
        <v>10785.148789379879</v>
      </c>
      <c r="AZ102" s="42"/>
      <c r="BA102" s="50">
        <f>SUM(BA99:BA101)</f>
        <v>11054.777509114374</v>
      </c>
      <c r="BB102" s="42"/>
      <c r="BC102" s="50">
        <f>SUM(BC99:BC101)</f>
        <v>11331.146946842233</v>
      </c>
      <c r="BE102" s="50">
        <f>SUM(BE99:BE101)</f>
        <v>11614.425620513288</v>
      </c>
    </row>
    <row r="103" spans="1:57" ht="15.75" thickBot="1" x14ac:dyDescent="0.3">
      <c r="A103" s="3"/>
      <c r="B103" s="49">
        <f>B97+B91+B102</f>
        <v>267530</v>
      </c>
      <c r="C103" s="32"/>
      <c r="D103" s="49">
        <f>D97+D91+D102</f>
        <v>724</v>
      </c>
      <c r="E103" s="49">
        <f>E97+E91+E102</f>
        <v>266804</v>
      </c>
      <c r="F103" s="49">
        <f>F97+F91+F102</f>
        <v>267529</v>
      </c>
      <c r="G103" s="32"/>
      <c r="H103" s="49">
        <f>H97+H91+H102</f>
        <v>-2</v>
      </c>
      <c r="I103" s="36"/>
      <c r="J103" s="49">
        <f>J97+J91+J102</f>
        <v>529</v>
      </c>
      <c r="K103" s="49">
        <f>K97+K91+K102</f>
        <v>265914</v>
      </c>
      <c r="L103" s="49">
        <f>L97+L91+L102</f>
        <v>266444</v>
      </c>
      <c r="M103" s="32"/>
      <c r="N103" s="49">
        <f>N97+N91+N102</f>
        <v>-1086</v>
      </c>
      <c r="P103" s="49">
        <f>P97+P91+P102</f>
        <v>319500</v>
      </c>
      <c r="R103" s="49">
        <f t="shared" ref="R103:W103" si="62">R97+R91+R102</f>
        <v>1383</v>
      </c>
      <c r="S103" s="49">
        <f t="shared" si="62"/>
        <v>317067</v>
      </c>
      <c r="T103" s="49">
        <f t="shared" si="62"/>
        <v>318450</v>
      </c>
      <c r="U103" s="49">
        <f t="shared" si="62"/>
        <v>-1048.9999999999995</v>
      </c>
      <c r="V103" s="49">
        <f t="shared" si="62"/>
        <v>6086</v>
      </c>
      <c r="W103" s="49">
        <f t="shared" si="62"/>
        <v>320764</v>
      </c>
      <c r="X103" s="49"/>
      <c r="Y103" s="49">
        <f>Y97+Y91+Y102</f>
        <v>326850</v>
      </c>
      <c r="Z103" s="49">
        <f>Z97+Z91+Z102</f>
        <v>8400</v>
      </c>
      <c r="AC103" s="49">
        <f>AC97+AC91+AC102</f>
        <v>127932</v>
      </c>
      <c r="AD103" s="49">
        <f>AD97+AD91+AD102</f>
        <v>198638</v>
      </c>
      <c r="AE103" s="49">
        <f>AE97+AE91+AE102</f>
        <v>326570</v>
      </c>
      <c r="AF103" s="49">
        <f>AF97+AF91+AF102</f>
        <v>-280</v>
      </c>
      <c r="AH103" s="36">
        <f>AH97+AH91+AH102</f>
        <v>285350</v>
      </c>
      <c r="AI103" s="32"/>
      <c r="AJ103" s="49">
        <f>AJ97+AJ91+AJ102</f>
        <v>423</v>
      </c>
      <c r="AK103" s="49">
        <f>AK97+AK91+AK102</f>
        <v>284927</v>
      </c>
      <c r="AL103" s="49">
        <f>AL97+AL91+AL102</f>
        <v>285350</v>
      </c>
      <c r="AM103" s="49">
        <f>AM97+AM91+AM102</f>
        <v>0</v>
      </c>
      <c r="AN103" s="32"/>
      <c r="AO103" s="49">
        <f>AO97+AO91+AO102</f>
        <v>139288</v>
      </c>
      <c r="AQ103" s="49">
        <f>AQ97+AQ91+AQ102</f>
        <v>142290.07999999999</v>
      </c>
      <c r="AS103" s="49">
        <f>AS97+AS91+AS102</f>
        <v>145359.65410000001</v>
      </c>
      <c r="AT103" s="49"/>
      <c r="AU103" s="49">
        <f>AU97+AU91+AU102</f>
        <v>148496.16799449999</v>
      </c>
      <c r="AW103" s="49">
        <f>AW97+AW91+AW102</f>
        <v>151700.09968720251</v>
      </c>
      <c r="AY103" s="49">
        <f>AY97+AY91+AY102</f>
        <v>154973.96022207933</v>
      </c>
      <c r="BA103" s="49">
        <f>BA97+BA91+BA102</f>
        <v>158319.29443118209</v>
      </c>
      <c r="BC103" s="49">
        <f>BC97+BC91+BC102</f>
        <v>161737.68169958337</v>
      </c>
      <c r="BE103" s="49">
        <f>BE97+BE91+BE102</f>
        <v>165230.73674784714</v>
      </c>
    </row>
    <row r="104" spans="1:57" s="42" customFormat="1" ht="15.75" thickTop="1" x14ac:dyDescent="0.25">
      <c r="A104" s="3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4"/>
      <c r="P104" s="32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4"/>
      <c r="AH104" s="32"/>
      <c r="AI104" s="32"/>
      <c r="AJ104" s="3"/>
      <c r="AK104" s="3"/>
      <c r="AL104" s="3"/>
      <c r="AM104" s="3"/>
      <c r="AN104" s="4"/>
      <c r="AO104" s="32"/>
      <c r="AP104" s="3"/>
      <c r="AQ104" s="32"/>
      <c r="AR104" s="3"/>
      <c r="AS104" s="32"/>
      <c r="AT104" s="32"/>
      <c r="AU104" s="32"/>
      <c r="AW104" s="32"/>
      <c r="AY104" s="32"/>
      <c r="BA104" s="32"/>
      <c r="BC104" s="32"/>
      <c r="BE104" s="32"/>
    </row>
    <row r="105" spans="1:57" x14ac:dyDescent="0.25">
      <c r="A105" s="7" t="s">
        <v>96</v>
      </c>
    </row>
    <row r="106" spans="1:57" x14ac:dyDescent="0.25">
      <c r="A106" s="3" t="s">
        <v>97</v>
      </c>
      <c r="B106" s="3">
        <v>300</v>
      </c>
      <c r="D106" s="3"/>
      <c r="E106" s="3">
        <f>F106-D106</f>
        <v>300</v>
      </c>
      <c r="F106" s="3">
        <v>300</v>
      </c>
      <c r="H106" s="32">
        <f>F106-B106</f>
        <v>0</v>
      </c>
      <c r="I106" s="32"/>
      <c r="J106" s="32"/>
      <c r="K106" s="4">
        <f>L106-J106</f>
        <v>0</v>
      </c>
      <c r="L106" s="32">
        <v>0</v>
      </c>
      <c r="M106" s="32"/>
      <c r="N106" s="4">
        <f>L106-F106</f>
        <v>-300</v>
      </c>
      <c r="P106" s="3">
        <v>300</v>
      </c>
      <c r="Q106" s="3"/>
      <c r="R106" s="3">
        <v>0</v>
      </c>
      <c r="S106" s="3">
        <f>T106-R106</f>
        <v>300</v>
      </c>
      <c r="T106" s="3">
        <v>300</v>
      </c>
      <c r="U106" s="3">
        <f>T106-P106</f>
        <v>0</v>
      </c>
      <c r="V106" s="3"/>
      <c r="W106" s="3">
        <f>Y106-V106</f>
        <v>0</v>
      </c>
      <c r="X106" s="3"/>
      <c r="Y106" s="3"/>
      <c r="Z106" s="3"/>
      <c r="AA106" s="3"/>
      <c r="AB106" s="3"/>
      <c r="AC106" s="3"/>
      <c r="AD106" s="3"/>
      <c r="AE106" s="3"/>
      <c r="AF106" s="3"/>
      <c r="AG106" s="4"/>
      <c r="AH106" s="4">
        <v>9150</v>
      </c>
      <c r="AJ106" s="3">
        <v>6421</v>
      </c>
      <c r="AK106" s="3">
        <f>AL106-AJ106</f>
        <v>2729</v>
      </c>
      <c r="AL106" s="3">
        <v>9150</v>
      </c>
      <c r="AM106" s="3">
        <f>AL106-AH106</f>
        <v>0</v>
      </c>
      <c r="AO106" s="3">
        <f>AH106*1.025</f>
        <v>9378.75</v>
      </c>
      <c r="AP106" s="3"/>
      <c r="AQ106" s="3">
        <f>AO106*1.025</f>
        <v>9613.21875</v>
      </c>
      <c r="AR106" s="3"/>
      <c r="AS106" s="3">
        <f>AQ106*1.025</f>
        <v>9853.5492187499985</v>
      </c>
      <c r="AT106" s="3"/>
      <c r="AU106" s="3">
        <f>AS106*1.025</f>
        <v>10099.887949218748</v>
      </c>
      <c r="AV106" s="42"/>
      <c r="AW106" s="3">
        <f>AU106*1.025</f>
        <v>10352.385147949215</v>
      </c>
      <c r="AX106" s="42"/>
      <c r="AY106" s="3">
        <f>AW106*1.025</f>
        <v>10611.194776647944</v>
      </c>
      <c r="AZ106" s="42"/>
      <c r="BA106" s="3">
        <f>AY106*1.025</f>
        <v>10876.474646064142</v>
      </c>
      <c r="BB106" s="42"/>
      <c r="BC106" s="3">
        <f>BA106*1.025</f>
        <v>11148.386512215744</v>
      </c>
      <c r="BE106" s="3">
        <f>BC106*1.025</f>
        <v>11427.096175021137</v>
      </c>
    </row>
    <row r="107" spans="1:57" x14ac:dyDescent="0.25">
      <c r="A107" s="3" t="s">
        <v>98</v>
      </c>
      <c r="B107" s="3"/>
      <c r="D107" s="3"/>
      <c r="E107" s="3"/>
      <c r="F107" s="3"/>
      <c r="H107" s="3"/>
      <c r="I107" s="3"/>
      <c r="J107" s="3"/>
      <c r="K107" s="3"/>
      <c r="L107" s="3"/>
      <c r="N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4"/>
      <c r="AH107" s="4"/>
      <c r="AJ107" s="3"/>
      <c r="AK107" s="3">
        <f>AL107-AJ107</f>
        <v>0</v>
      </c>
      <c r="AL107" s="3"/>
      <c r="AM107" s="3">
        <f>AL107-AH107</f>
        <v>0</v>
      </c>
      <c r="AO107" s="3"/>
      <c r="AP107" s="3"/>
      <c r="AQ107" s="3"/>
      <c r="AR107" s="3"/>
      <c r="AS107" s="3"/>
      <c r="AT107" s="3"/>
      <c r="AU107" s="3"/>
      <c r="AV107" s="42"/>
      <c r="AW107" s="3"/>
      <c r="AY107" s="3"/>
      <c r="BA107" s="3"/>
      <c r="BC107" s="3"/>
      <c r="BE107" s="3"/>
    </row>
    <row r="108" spans="1:57" ht="15.75" thickBot="1" x14ac:dyDescent="0.3">
      <c r="A108" s="3"/>
      <c r="B108" s="48">
        <f>SUM(B106:B107)</f>
        <v>300</v>
      </c>
      <c r="C108" s="32"/>
      <c r="D108" s="48">
        <f>SUM(D106:D107)</f>
        <v>0</v>
      </c>
      <c r="E108" s="48">
        <f>SUM(E106:E107)</f>
        <v>300</v>
      </c>
      <c r="F108" s="48">
        <f>SUM(F106:F107)</f>
        <v>300</v>
      </c>
      <c r="G108" s="32"/>
      <c r="H108" s="48">
        <f>SUM(H106:H107)</f>
        <v>0</v>
      </c>
      <c r="I108" s="36"/>
      <c r="J108" s="48">
        <f>SUM(J106:J107)</f>
        <v>0</v>
      </c>
      <c r="K108" s="48">
        <f>SUM(K106:K107)</f>
        <v>0</v>
      </c>
      <c r="L108" s="48">
        <f>SUM(L106:L107)</f>
        <v>0</v>
      </c>
      <c r="M108" s="32"/>
      <c r="N108" s="48">
        <f>SUM(N106:N107)</f>
        <v>-300</v>
      </c>
      <c r="P108" s="48">
        <f>SUM(P106:P107)</f>
        <v>300</v>
      </c>
      <c r="R108" s="48">
        <f t="shared" ref="R108:Y108" si="63">SUM(R106:R107)</f>
        <v>0</v>
      </c>
      <c r="S108" s="48">
        <f t="shared" si="63"/>
        <v>300</v>
      </c>
      <c r="T108" s="48">
        <f t="shared" si="63"/>
        <v>300</v>
      </c>
      <c r="U108" s="48">
        <f t="shared" si="63"/>
        <v>0</v>
      </c>
      <c r="V108" s="48">
        <f t="shared" si="63"/>
        <v>0</v>
      </c>
      <c r="W108" s="48">
        <f t="shared" si="63"/>
        <v>0</v>
      </c>
      <c r="X108" s="48"/>
      <c r="Y108" s="48">
        <f t="shared" si="63"/>
        <v>0</v>
      </c>
      <c r="Z108" s="48">
        <f>Y108-T108</f>
        <v>-300</v>
      </c>
      <c r="AC108" s="48">
        <f>SUM(AC106:AC107)</f>
        <v>0</v>
      </c>
      <c r="AD108" s="48">
        <f>AE108-AC108</f>
        <v>0</v>
      </c>
      <c r="AE108" s="48">
        <f>SUM(AE106:AE107)</f>
        <v>0</v>
      </c>
      <c r="AF108" s="48">
        <f>SUM(AF106:AF107)</f>
        <v>0</v>
      </c>
      <c r="AH108" s="36">
        <f>SUM(AH106:AH107)</f>
        <v>9150</v>
      </c>
      <c r="AI108" s="32"/>
      <c r="AJ108" s="48">
        <f>SUM(AJ106:AJ107)</f>
        <v>6421</v>
      </c>
      <c r="AK108" s="48">
        <f>SUM(AK106:AK107)</f>
        <v>2729</v>
      </c>
      <c r="AL108" s="48">
        <f>SUM(AL106:AL107)</f>
        <v>9150</v>
      </c>
      <c r="AM108" s="48">
        <f>SUM(AM106:AM107)</f>
        <v>0</v>
      </c>
      <c r="AN108" s="32"/>
      <c r="AO108" s="48">
        <f>SUM(AO106:AO107)</f>
        <v>9378.75</v>
      </c>
      <c r="AQ108" s="48">
        <f>SUM(AQ106:AQ107)</f>
        <v>9613.21875</v>
      </c>
      <c r="AS108" s="48">
        <f>SUM(AS106:AS107)</f>
        <v>9853.5492187499985</v>
      </c>
      <c r="AT108" s="48"/>
      <c r="AU108" s="48">
        <f>SUM(AU106:AU107)</f>
        <v>10099.887949218748</v>
      </c>
      <c r="AW108" s="48">
        <f>SUM(AW106:AW107)</f>
        <v>10352.385147949215</v>
      </c>
      <c r="AY108" s="48">
        <f>SUM(AY106:AY107)</f>
        <v>10611.194776647944</v>
      </c>
      <c r="BA108" s="48">
        <f>SUM(BA106:BA107)</f>
        <v>10876.474646064142</v>
      </c>
      <c r="BC108" s="48">
        <f>SUM(BC106:BC107)</f>
        <v>11148.386512215744</v>
      </c>
      <c r="BE108" s="48">
        <f>SUM(BE106:BE107)</f>
        <v>11427.096175021137</v>
      </c>
    </row>
    <row r="109" spans="1:57" x14ac:dyDescent="0.25">
      <c r="A109" s="3"/>
      <c r="B109" s="8" t="s">
        <v>8</v>
      </c>
      <c r="C109" s="9"/>
      <c r="D109" s="10" t="s">
        <v>9</v>
      </c>
      <c r="E109" s="11" t="s">
        <v>10</v>
      </c>
      <c r="F109" s="12" t="s">
        <v>11</v>
      </c>
      <c r="G109" s="9"/>
      <c r="H109" s="8" t="s">
        <v>12</v>
      </c>
      <c r="I109" s="13"/>
      <c r="J109" s="10" t="s">
        <v>9</v>
      </c>
      <c r="K109" s="11" t="s">
        <v>10</v>
      </c>
      <c r="L109" s="11" t="s">
        <v>11</v>
      </c>
      <c r="M109" s="9"/>
      <c r="N109" s="11" t="s">
        <v>12</v>
      </c>
      <c r="P109" s="12" t="s">
        <v>91</v>
      </c>
      <c r="AH109" s="13" t="s">
        <v>8</v>
      </c>
      <c r="AI109" s="9"/>
      <c r="AJ109" s="11" t="s">
        <v>9</v>
      </c>
      <c r="AK109" s="11" t="s">
        <v>10</v>
      </c>
      <c r="AL109" s="12" t="s">
        <v>11</v>
      </c>
      <c r="AM109" s="10" t="s">
        <v>13</v>
      </c>
      <c r="AN109" s="9"/>
      <c r="AO109" s="12" t="s">
        <v>8</v>
      </c>
      <c r="AQ109" s="8" t="s">
        <v>8</v>
      </c>
      <c r="AS109" s="8" t="s">
        <v>8</v>
      </c>
      <c r="AT109" s="8"/>
      <c r="AU109" s="8" t="s">
        <v>8</v>
      </c>
      <c r="AW109" s="8" t="s">
        <v>8</v>
      </c>
      <c r="AY109" s="8" t="s">
        <v>8</v>
      </c>
      <c r="BA109" s="8" t="s">
        <v>8</v>
      </c>
      <c r="BC109" s="8" t="s">
        <v>8</v>
      </c>
      <c r="BE109" s="8" t="s">
        <v>8</v>
      </c>
    </row>
    <row r="110" spans="1:57" ht="15.75" thickBot="1" x14ac:dyDescent="0.3">
      <c r="A110" s="3"/>
      <c r="B110" s="19" t="s">
        <v>14</v>
      </c>
      <c r="C110" s="9"/>
      <c r="D110" s="20" t="s">
        <v>15</v>
      </c>
      <c r="E110" s="21"/>
      <c r="F110" s="22" t="s">
        <v>16</v>
      </c>
      <c r="G110" s="9"/>
      <c r="H110" s="19"/>
      <c r="I110" s="13"/>
      <c r="J110" s="20" t="s">
        <v>17</v>
      </c>
      <c r="K110" s="21"/>
      <c r="L110" s="21" t="s">
        <v>16</v>
      </c>
      <c r="M110" s="9"/>
      <c r="N110" s="21"/>
      <c r="P110" s="22" t="s">
        <v>18</v>
      </c>
      <c r="AH110" s="13" t="s">
        <v>24</v>
      </c>
      <c r="AI110" s="9"/>
      <c r="AJ110" s="21" t="s">
        <v>1144</v>
      </c>
      <c r="AK110" s="21"/>
      <c r="AL110" s="22" t="s">
        <v>1144</v>
      </c>
      <c r="AM110" s="20"/>
      <c r="AN110" s="9"/>
      <c r="AO110" s="22" t="s">
        <v>25</v>
      </c>
      <c r="AQ110" s="19" t="s">
        <v>26</v>
      </c>
      <c r="AS110" s="19" t="s">
        <v>27</v>
      </c>
      <c r="AT110" s="19"/>
      <c r="AU110" s="19" t="s">
        <v>28</v>
      </c>
      <c r="AW110" s="19" t="s">
        <v>29</v>
      </c>
      <c r="AY110" s="19" t="s">
        <v>30</v>
      </c>
      <c r="BA110" s="19" t="s">
        <v>31</v>
      </c>
      <c r="BC110" s="19" t="s">
        <v>32</v>
      </c>
      <c r="BE110" s="19" t="s">
        <v>32</v>
      </c>
    </row>
    <row r="111" spans="1:57" x14ac:dyDescent="0.25">
      <c r="A111" s="7" t="s">
        <v>99</v>
      </c>
    </row>
    <row r="112" spans="1:57" x14ac:dyDescent="0.25">
      <c r="A112" s="3" t="s">
        <v>93</v>
      </c>
      <c r="B112" s="3">
        <v>30000</v>
      </c>
      <c r="D112" s="3"/>
      <c r="E112" s="3">
        <f>F112-D112</f>
        <v>30000</v>
      </c>
      <c r="F112" s="3">
        <v>30000</v>
      </c>
      <c r="H112" s="32">
        <f t="shared" ref="H112:H117" si="64">F112-B112</f>
        <v>0</v>
      </c>
      <c r="I112" s="32"/>
      <c r="J112" s="4"/>
      <c r="K112" s="4">
        <f t="shared" ref="K112:K117" si="65">L112-J112</f>
        <v>30000</v>
      </c>
      <c r="L112" s="4">
        <v>30000</v>
      </c>
      <c r="M112" s="32"/>
      <c r="N112" s="4">
        <f t="shared" ref="N112:N117" si="66">L112-F112</f>
        <v>0</v>
      </c>
      <c r="P112" s="3">
        <v>30000</v>
      </c>
      <c r="Q112" s="3"/>
      <c r="R112" s="3">
        <v>0</v>
      </c>
      <c r="S112" s="3">
        <f t="shared" ref="S112:S117" si="67">T112-R112</f>
        <v>30900</v>
      </c>
      <c r="T112" s="3">
        <v>30900</v>
      </c>
      <c r="U112" s="3">
        <f t="shared" ref="U112:U117" si="68">T112-P112</f>
        <v>900</v>
      </c>
      <c r="V112" s="3">
        <v>30900</v>
      </c>
      <c r="W112" s="3">
        <f t="shared" ref="W112:W117" si="69">Y112-V112</f>
        <v>1600</v>
      </c>
      <c r="X112" s="3"/>
      <c r="Y112" s="3">
        <v>32500</v>
      </c>
      <c r="Z112" s="3">
        <f t="shared" ref="Z112:Z117" si="70">Y112-T112</f>
        <v>1600</v>
      </c>
      <c r="AA112" s="3"/>
      <c r="AB112" s="3"/>
      <c r="AC112" s="3">
        <v>33923</v>
      </c>
      <c r="AD112" s="3">
        <f t="shared" ref="AD112:AD117" si="71">AE112-AC112</f>
        <v>7</v>
      </c>
      <c r="AE112" s="3">
        <v>33930</v>
      </c>
      <c r="AF112" s="3">
        <f t="shared" ref="AF112:AF117" si="72">AE112-Y112</f>
        <v>1430</v>
      </c>
      <c r="AG112" s="4"/>
      <c r="AH112" s="4">
        <f>P112*1.025-50</f>
        <v>30699.999999999996</v>
      </c>
      <c r="AJ112" s="3"/>
      <c r="AK112" s="3">
        <f t="shared" ref="AK112:AK117" si="73">AL112-AJ112</f>
        <v>30700</v>
      </c>
      <c r="AL112" s="3">
        <v>30700</v>
      </c>
      <c r="AM112" s="3">
        <f t="shared" ref="AM112:AM117" si="74">AL112-AH112</f>
        <v>0</v>
      </c>
      <c r="AO112" s="3">
        <f>AH112*1.025</f>
        <v>31467.499999999993</v>
      </c>
      <c r="AP112" s="3" t="e">
        <f>#REF!*1.025</f>
        <v>#REF!</v>
      </c>
      <c r="AQ112" s="3">
        <f t="shared" ref="AQ112:BC112" si="75">AO112*1.025</f>
        <v>32254.187499999989</v>
      </c>
      <c r="AR112" s="3" t="e">
        <f t="shared" si="75"/>
        <v>#REF!</v>
      </c>
      <c r="AS112" s="3">
        <f t="shared" si="75"/>
        <v>33060.542187499988</v>
      </c>
      <c r="AT112" s="3"/>
      <c r="AU112" s="3">
        <f>AS112*1.025</f>
        <v>33887.055742187484</v>
      </c>
      <c r="AV112" s="3"/>
      <c r="AW112" s="3">
        <f t="shared" si="75"/>
        <v>34734.232135742168</v>
      </c>
      <c r="AX112" s="3">
        <f t="shared" si="75"/>
        <v>0</v>
      </c>
      <c r="AY112" s="3">
        <f t="shared" si="75"/>
        <v>35602.587939135716</v>
      </c>
      <c r="AZ112" s="3">
        <f t="shared" si="75"/>
        <v>0</v>
      </c>
      <c r="BA112" s="3">
        <f t="shared" si="75"/>
        <v>36492.652637614105</v>
      </c>
      <c r="BB112" s="3"/>
      <c r="BC112" s="3">
        <f t="shared" si="75"/>
        <v>37404.968953554453</v>
      </c>
      <c r="BE112" s="3">
        <f>BC112*1.025</f>
        <v>38340.093177393312</v>
      </c>
    </row>
    <row r="113" spans="1:57" x14ac:dyDescent="0.25">
      <c r="A113" s="3" t="s">
        <v>100</v>
      </c>
      <c r="B113" s="3">
        <v>3000</v>
      </c>
      <c r="D113" s="3"/>
      <c r="E113" s="3">
        <f>F113-D113</f>
        <v>3000</v>
      </c>
      <c r="F113" s="3">
        <v>3000</v>
      </c>
      <c r="H113" s="32">
        <f t="shared" si="64"/>
        <v>0</v>
      </c>
      <c r="I113" s="32"/>
      <c r="J113" s="4"/>
      <c r="K113" s="4">
        <f t="shared" si="65"/>
        <v>3000</v>
      </c>
      <c r="L113" s="4">
        <v>3000</v>
      </c>
      <c r="M113" s="32"/>
      <c r="N113" s="4">
        <f t="shared" si="66"/>
        <v>0</v>
      </c>
      <c r="P113" s="3">
        <v>3000</v>
      </c>
      <c r="Q113" s="3"/>
      <c r="R113" s="3">
        <v>0</v>
      </c>
      <c r="S113" s="3">
        <f t="shared" si="67"/>
        <v>3000</v>
      </c>
      <c r="T113" s="3">
        <v>3000</v>
      </c>
      <c r="U113" s="3">
        <f t="shared" si="68"/>
        <v>0</v>
      </c>
      <c r="V113" s="3">
        <v>3023</v>
      </c>
      <c r="W113" s="3">
        <f t="shared" si="69"/>
        <v>-3</v>
      </c>
      <c r="X113" s="3"/>
      <c r="Y113" s="3">
        <v>3020</v>
      </c>
      <c r="Z113" s="3">
        <f t="shared" si="70"/>
        <v>20</v>
      </c>
      <c r="AA113" s="3"/>
      <c r="AB113" s="3"/>
      <c r="AC113" s="3"/>
      <c r="AD113" s="3">
        <f t="shared" si="71"/>
        <v>0</v>
      </c>
      <c r="AE113" s="3">
        <v>0</v>
      </c>
      <c r="AF113" s="3">
        <f t="shared" si="72"/>
        <v>-3020</v>
      </c>
      <c r="AG113" s="4"/>
      <c r="AH113" s="4">
        <v>2400</v>
      </c>
      <c r="AJ113" s="3"/>
      <c r="AK113" s="3">
        <f t="shared" si="73"/>
        <v>2400</v>
      </c>
      <c r="AL113" s="3">
        <v>2400</v>
      </c>
      <c r="AM113" s="3">
        <f t="shared" si="74"/>
        <v>0</v>
      </c>
      <c r="AO113" s="3">
        <f>AH113*1.025</f>
        <v>2460</v>
      </c>
      <c r="AP113" s="3" t="e">
        <f>#REF!*1.025</f>
        <v>#REF!</v>
      </c>
      <c r="AQ113" s="3">
        <f>AO113*1.025</f>
        <v>2521.5</v>
      </c>
      <c r="AR113" s="3" t="e">
        <f>AP113*1.025</f>
        <v>#REF!</v>
      </c>
      <c r="AS113" s="3">
        <f>AQ113*1.025</f>
        <v>2584.5374999999999</v>
      </c>
      <c r="AT113" s="3"/>
      <c r="AU113" s="3">
        <f>AS113*1.025</f>
        <v>2649.1509374999996</v>
      </c>
      <c r="AV113" s="3"/>
      <c r="AW113" s="3">
        <f>AU113*1.025</f>
        <v>2715.3797109374996</v>
      </c>
      <c r="AX113" s="3">
        <f>AV113*1.025</f>
        <v>0</v>
      </c>
      <c r="AY113" s="3">
        <f>AW113*1.025</f>
        <v>2783.2642037109367</v>
      </c>
      <c r="AZ113" s="3">
        <f>AX113*1.025</f>
        <v>0</v>
      </c>
      <c r="BA113" s="3">
        <f>AY113*1.025</f>
        <v>2852.84580880371</v>
      </c>
      <c r="BB113" s="3"/>
      <c r="BC113" s="3">
        <f>BA113*1.025</f>
        <v>2924.1669540238026</v>
      </c>
      <c r="BE113" s="3">
        <f>BC113*1.025</f>
        <v>2997.2711278743973</v>
      </c>
    </row>
    <row r="114" spans="1:57" x14ac:dyDescent="0.25">
      <c r="A114" s="3" t="s">
        <v>101</v>
      </c>
      <c r="B114" s="3"/>
      <c r="D114" s="3"/>
      <c r="E114" s="3">
        <f>F114-D114</f>
        <v>0</v>
      </c>
      <c r="F114" s="3"/>
      <c r="H114" s="32">
        <f t="shared" si="64"/>
        <v>0</v>
      </c>
      <c r="I114" s="32"/>
      <c r="J114" s="4"/>
      <c r="K114" s="4">
        <f t="shared" si="65"/>
        <v>0</v>
      </c>
      <c r="L114" s="4"/>
      <c r="M114" s="32"/>
      <c r="N114" s="4">
        <f t="shared" si="66"/>
        <v>0</v>
      </c>
      <c r="P114" s="3"/>
      <c r="Q114" s="3"/>
      <c r="R114" s="3"/>
      <c r="S114" s="3">
        <f t="shared" si="67"/>
        <v>0</v>
      </c>
      <c r="T114" s="3"/>
      <c r="U114" s="3">
        <f t="shared" si="68"/>
        <v>0</v>
      </c>
      <c r="V114" s="3"/>
      <c r="W114" s="3">
        <f t="shared" si="69"/>
        <v>0</v>
      </c>
      <c r="X114" s="3"/>
      <c r="Y114" s="3"/>
      <c r="Z114" s="3">
        <f t="shared" si="70"/>
        <v>0</v>
      </c>
      <c r="AA114" s="3"/>
      <c r="AB114" s="3"/>
      <c r="AC114" s="3"/>
      <c r="AD114" s="3">
        <f t="shared" si="71"/>
        <v>0</v>
      </c>
      <c r="AE114" s="3"/>
      <c r="AF114" s="3">
        <f t="shared" si="72"/>
        <v>0</v>
      </c>
      <c r="AG114" s="4"/>
      <c r="AH114" s="4"/>
      <c r="AJ114" s="3"/>
      <c r="AK114" s="3">
        <f t="shared" si="73"/>
        <v>0</v>
      </c>
      <c r="AL114" s="3"/>
      <c r="AM114" s="3">
        <f t="shared" si="74"/>
        <v>0</v>
      </c>
      <c r="AO114" s="3"/>
      <c r="AP114" s="3"/>
      <c r="AQ114" s="3"/>
      <c r="AR114" s="3"/>
      <c r="AS114" s="3"/>
      <c r="AT114" s="3"/>
      <c r="AU114" s="3"/>
      <c r="AV114" s="42"/>
      <c r="AW114" s="3"/>
      <c r="AX114" s="42"/>
      <c r="AY114" s="3"/>
      <c r="AZ114" s="42"/>
      <c r="BA114" s="3"/>
      <c r="BB114" s="42"/>
      <c r="BC114" s="3"/>
      <c r="BE114" s="3"/>
    </row>
    <row r="115" spans="1:57" x14ac:dyDescent="0.25">
      <c r="A115" s="3" t="s">
        <v>1147</v>
      </c>
      <c r="B115" s="3"/>
      <c r="D115" s="3"/>
      <c r="E115" s="3"/>
      <c r="F115" s="3"/>
      <c r="H115" s="32">
        <f t="shared" si="64"/>
        <v>0</v>
      </c>
      <c r="I115" s="32"/>
      <c r="J115" s="4">
        <v>870</v>
      </c>
      <c r="K115" s="4">
        <f t="shared" si="65"/>
        <v>230</v>
      </c>
      <c r="L115" s="4">
        <v>1100</v>
      </c>
      <c r="M115" s="32"/>
      <c r="N115" s="4">
        <f t="shared" si="66"/>
        <v>1100</v>
      </c>
      <c r="P115" s="3">
        <v>1100</v>
      </c>
      <c r="Q115" s="3"/>
      <c r="R115" s="3">
        <v>127</v>
      </c>
      <c r="S115" s="3">
        <f t="shared" si="67"/>
        <v>373</v>
      </c>
      <c r="T115" s="3">
        <v>500</v>
      </c>
      <c r="U115" s="3">
        <f t="shared" si="68"/>
        <v>-600</v>
      </c>
      <c r="V115" s="3">
        <v>604</v>
      </c>
      <c r="W115" s="3">
        <f t="shared" si="69"/>
        <v>296</v>
      </c>
      <c r="X115" s="3"/>
      <c r="Y115" s="3">
        <v>900</v>
      </c>
      <c r="Z115" s="3">
        <f t="shared" si="70"/>
        <v>400</v>
      </c>
      <c r="AA115" s="3"/>
      <c r="AB115" s="3"/>
      <c r="AC115" s="3">
        <v>618</v>
      </c>
      <c r="AD115" s="3">
        <f t="shared" si="71"/>
        <v>132</v>
      </c>
      <c r="AE115" s="3">
        <v>750</v>
      </c>
      <c r="AF115" s="3">
        <f t="shared" si="72"/>
        <v>-150</v>
      </c>
      <c r="AG115" s="4"/>
      <c r="AH115" s="4">
        <f>AE115*1.025+31</f>
        <v>799.74999999999989</v>
      </c>
      <c r="AJ115" s="3">
        <v>480</v>
      </c>
      <c r="AK115" s="3">
        <f t="shared" si="73"/>
        <v>520</v>
      </c>
      <c r="AL115" s="3">
        <v>1000</v>
      </c>
      <c r="AM115" s="3">
        <f t="shared" si="74"/>
        <v>200.25000000000011</v>
      </c>
      <c r="AO115" s="3">
        <f>AH115*1.025</f>
        <v>819.74374999999986</v>
      </c>
      <c r="AP115" s="3" t="e">
        <f>#REF!*1.025</f>
        <v>#REF!</v>
      </c>
      <c r="AQ115" s="3">
        <f t="shared" ref="AQ115:BE115" si="76">AO115*1.025</f>
        <v>840.23734374999981</v>
      </c>
      <c r="AR115" s="3" t="e">
        <f t="shared" si="76"/>
        <v>#REF!</v>
      </c>
      <c r="AS115" s="3">
        <f t="shared" si="76"/>
        <v>861.2432773437497</v>
      </c>
      <c r="AT115" s="3"/>
      <c r="AU115" s="3">
        <f>AS115*1.025</f>
        <v>882.77435927734336</v>
      </c>
      <c r="AV115" s="3"/>
      <c r="AW115" s="3">
        <f t="shared" si="76"/>
        <v>904.8437182592769</v>
      </c>
      <c r="AX115" s="3">
        <f t="shared" si="76"/>
        <v>0</v>
      </c>
      <c r="AY115" s="3">
        <f t="shared" si="76"/>
        <v>927.46481121575869</v>
      </c>
      <c r="AZ115" s="3">
        <f t="shared" si="76"/>
        <v>0</v>
      </c>
      <c r="BA115" s="3">
        <f t="shared" si="76"/>
        <v>950.65143149615255</v>
      </c>
      <c r="BB115" s="3"/>
      <c r="BC115" s="3">
        <f t="shared" si="76"/>
        <v>974.41771728355627</v>
      </c>
      <c r="BE115" s="3">
        <f t="shared" si="76"/>
        <v>998.77816021564513</v>
      </c>
    </row>
    <row r="116" spans="1:57" x14ac:dyDescent="0.25">
      <c r="A116" s="3" t="s">
        <v>103</v>
      </c>
      <c r="B116" s="3">
        <v>2000</v>
      </c>
      <c r="D116" s="3"/>
      <c r="E116" s="3">
        <f>F116-D116</f>
        <v>2000</v>
      </c>
      <c r="F116" s="3">
        <v>2000</v>
      </c>
      <c r="H116" s="32">
        <f t="shared" si="64"/>
        <v>0</v>
      </c>
      <c r="I116" s="32"/>
      <c r="J116" s="4"/>
      <c r="K116" s="4">
        <f t="shared" si="65"/>
        <v>2000</v>
      </c>
      <c r="L116" s="4">
        <v>2000</v>
      </c>
      <c r="M116" s="32"/>
      <c r="N116" s="4">
        <f t="shared" si="66"/>
        <v>0</v>
      </c>
      <c r="P116" s="3">
        <f>L116*1.025</f>
        <v>2050</v>
      </c>
      <c r="Q116" s="3"/>
      <c r="R116" s="3">
        <v>0</v>
      </c>
      <c r="S116" s="3">
        <f t="shared" si="67"/>
        <v>2000</v>
      </c>
      <c r="T116" s="3">
        <v>2000</v>
      </c>
      <c r="U116" s="3">
        <f t="shared" si="68"/>
        <v>-50</v>
      </c>
      <c r="V116" s="3"/>
      <c r="W116" s="3">
        <f t="shared" si="69"/>
        <v>2000</v>
      </c>
      <c r="X116" s="3"/>
      <c r="Y116" s="3">
        <v>2000</v>
      </c>
      <c r="Z116" s="3">
        <f t="shared" si="70"/>
        <v>0</v>
      </c>
      <c r="AA116" s="3"/>
      <c r="AB116" s="3"/>
      <c r="AC116" s="3"/>
      <c r="AD116" s="3">
        <f t="shared" si="71"/>
        <v>0</v>
      </c>
      <c r="AE116" s="3">
        <v>0</v>
      </c>
      <c r="AF116" s="3">
        <f t="shared" si="72"/>
        <v>-2000</v>
      </c>
      <c r="AG116" s="4"/>
      <c r="AH116" s="4">
        <v>1000</v>
      </c>
      <c r="AJ116" s="3"/>
      <c r="AK116" s="3">
        <f t="shared" si="73"/>
        <v>1000</v>
      </c>
      <c r="AL116" s="3">
        <v>1000</v>
      </c>
      <c r="AM116" s="3">
        <f t="shared" si="74"/>
        <v>0</v>
      </c>
      <c r="AO116" s="3">
        <f>AH116*1.025</f>
        <v>1025</v>
      </c>
      <c r="AP116" s="3"/>
      <c r="AQ116" s="3">
        <f>AO116*1.025</f>
        <v>1050.625</v>
      </c>
      <c r="AR116" s="3"/>
      <c r="AS116" s="3">
        <f>AQ116*1.025</f>
        <v>1076.890625</v>
      </c>
      <c r="AT116" s="3"/>
      <c r="AU116" s="3">
        <f>AS116*1.025</f>
        <v>1103.8128906249999</v>
      </c>
      <c r="AV116" s="42"/>
      <c r="AW116" s="3">
        <f>AU116*1.025</f>
        <v>1131.4082128906248</v>
      </c>
      <c r="AX116" s="42"/>
      <c r="AY116" s="3">
        <f>AW116*1.025</f>
        <v>1159.6934182128903</v>
      </c>
      <c r="AZ116" s="42"/>
      <c r="BA116" s="3">
        <f>AY116*1.025</f>
        <v>1188.6857536682123</v>
      </c>
      <c r="BB116" s="42"/>
      <c r="BC116" s="3">
        <f>BA116*1.025</f>
        <v>1218.4028975099175</v>
      </c>
      <c r="BE116" s="3">
        <f>BC116*1.025</f>
        <v>1248.8629699476653</v>
      </c>
    </row>
    <row r="117" spans="1:57" x14ac:dyDescent="0.25">
      <c r="A117" s="3" t="s">
        <v>90</v>
      </c>
      <c r="B117" s="3">
        <v>1250</v>
      </c>
      <c r="D117" s="3">
        <v>50</v>
      </c>
      <c r="E117" s="3">
        <f>F117-D117</f>
        <v>1200</v>
      </c>
      <c r="F117" s="3">
        <v>1250</v>
      </c>
      <c r="H117" s="32">
        <f t="shared" si="64"/>
        <v>0</v>
      </c>
      <c r="I117" s="32"/>
      <c r="J117" s="4">
        <v>90</v>
      </c>
      <c r="K117" s="4">
        <f t="shared" si="65"/>
        <v>1160</v>
      </c>
      <c r="L117" s="4">
        <v>1250</v>
      </c>
      <c r="M117" s="32"/>
      <c r="N117" s="4">
        <f t="shared" si="66"/>
        <v>0</v>
      </c>
      <c r="P117" s="3">
        <f>L117*1.025+19</f>
        <v>1300.25</v>
      </c>
      <c r="Q117" s="3"/>
      <c r="R117" s="3"/>
      <c r="S117" s="3">
        <f t="shared" si="67"/>
        <v>1300</v>
      </c>
      <c r="T117" s="3">
        <v>1300</v>
      </c>
      <c r="U117" s="3">
        <f t="shared" si="68"/>
        <v>-0.25</v>
      </c>
      <c r="V117" s="3">
        <v>474</v>
      </c>
      <c r="W117" s="3">
        <f t="shared" si="69"/>
        <v>526</v>
      </c>
      <c r="X117" s="3"/>
      <c r="Y117" s="3">
        <v>1000</v>
      </c>
      <c r="Z117" s="3">
        <f t="shared" si="70"/>
        <v>-300</v>
      </c>
      <c r="AA117" s="3"/>
      <c r="AB117" s="3"/>
      <c r="AC117" s="3">
        <v>574</v>
      </c>
      <c r="AD117" s="3">
        <f t="shared" si="71"/>
        <v>176</v>
      </c>
      <c r="AE117" s="3">
        <v>750</v>
      </c>
      <c r="AF117" s="3">
        <f t="shared" si="72"/>
        <v>-250</v>
      </c>
      <c r="AG117" s="4"/>
      <c r="AH117" s="4">
        <f>AE117*1.025+31</f>
        <v>799.74999999999989</v>
      </c>
      <c r="AJ117" s="3"/>
      <c r="AK117" s="3">
        <f t="shared" si="73"/>
        <v>800</v>
      </c>
      <c r="AL117" s="3">
        <v>800</v>
      </c>
      <c r="AM117" s="3">
        <f t="shared" si="74"/>
        <v>0.25000000000011369</v>
      </c>
      <c r="AO117" s="3">
        <f>AH117*1.03+13</f>
        <v>836.74249999999995</v>
      </c>
      <c r="AP117" s="3"/>
      <c r="AQ117" s="3">
        <f>AO117*1.03+11</f>
        <v>872.84477500000003</v>
      </c>
      <c r="AR117" s="3"/>
      <c r="AS117" s="3">
        <f>AQ117*1.03+9</f>
        <v>908.0301182500001</v>
      </c>
      <c r="AT117" s="3"/>
      <c r="AU117" s="3">
        <f>AS117*1.03+8</f>
        <v>943.27102179750011</v>
      </c>
      <c r="AV117" s="42"/>
      <c r="AW117" s="3">
        <f>AU117*1.03+7</f>
        <v>978.56915245142511</v>
      </c>
      <c r="AX117" s="42"/>
      <c r="AY117" s="3">
        <f>AW117*1.03+7</f>
        <v>1014.9262270249679</v>
      </c>
      <c r="AZ117" s="42"/>
      <c r="BA117" s="3">
        <f>AY117*1.03+7</f>
        <v>1052.3740138357171</v>
      </c>
      <c r="BB117" s="42"/>
      <c r="BC117" s="3">
        <f>BA117*1.03+7</f>
        <v>1090.9452342507886</v>
      </c>
      <c r="BE117" s="3">
        <f>BC117*1.03+7</f>
        <v>1130.6735912783124</v>
      </c>
    </row>
    <row r="118" spans="1:57" x14ac:dyDescent="0.25">
      <c r="A118" s="3"/>
      <c r="B118" s="48">
        <f>SUM(B112:B117)</f>
        <v>36250</v>
      </c>
      <c r="C118" s="32"/>
      <c r="D118" s="48">
        <f>SUM(D112:D117)</f>
        <v>50</v>
      </c>
      <c r="E118" s="48">
        <f>SUM(E112:E117)</f>
        <v>36200</v>
      </c>
      <c r="F118" s="48">
        <f>SUM(F112:F117)</f>
        <v>36250</v>
      </c>
      <c r="G118" s="32"/>
      <c r="H118" s="48">
        <f>SUM(H112:H117)</f>
        <v>0</v>
      </c>
      <c r="I118" s="36"/>
      <c r="J118" s="48">
        <f>SUM(J112:J117)</f>
        <v>960</v>
      </c>
      <c r="K118" s="48">
        <f>SUM(K112:K117)</f>
        <v>36390</v>
      </c>
      <c r="L118" s="48">
        <f>SUM(L112:L117)</f>
        <v>37350</v>
      </c>
      <c r="M118" s="32"/>
      <c r="N118" s="48">
        <f>SUM(N112:N117)</f>
        <v>1100</v>
      </c>
      <c r="P118" s="48">
        <f>SUM(P112:P117)</f>
        <v>37450.25</v>
      </c>
      <c r="R118" s="48">
        <f t="shared" ref="R118:Z118" si="77">SUM(R112:R117)</f>
        <v>127</v>
      </c>
      <c r="S118" s="48">
        <f t="shared" si="77"/>
        <v>37573</v>
      </c>
      <c r="T118" s="48">
        <f t="shared" si="77"/>
        <v>37700</v>
      </c>
      <c r="U118" s="48">
        <f t="shared" si="77"/>
        <v>249.75</v>
      </c>
      <c r="V118" s="48">
        <f t="shared" si="77"/>
        <v>35001</v>
      </c>
      <c r="W118" s="48">
        <f t="shared" si="77"/>
        <v>4419</v>
      </c>
      <c r="X118" s="48"/>
      <c r="Y118" s="48">
        <f t="shared" si="77"/>
        <v>39420</v>
      </c>
      <c r="Z118" s="50">
        <f t="shared" si="77"/>
        <v>1720</v>
      </c>
      <c r="AC118" s="48">
        <f>SUM(AC112:AC117)</f>
        <v>35115</v>
      </c>
      <c r="AD118" s="48">
        <f>SUM(AD112:AD117)</f>
        <v>315</v>
      </c>
      <c r="AE118" s="48">
        <f>SUM(AE112:AE117)</f>
        <v>35430</v>
      </c>
      <c r="AF118" s="48">
        <f>SUM(AF112:AF117)</f>
        <v>-3990</v>
      </c>
      <c r="AH118" s="36">
        <f>SUM(AH112:AH117)</f>
        <v>35699.5</v>
      </c>
      <c r="AI118" s="32"/>
      <c r="AJ118" s="48">
        <f>SUM(AJ112:AJ117)</f>
        <v>480</v>
      </c>
      <c r="AK118" s="48">
        <f>SUM(AK112:AK117)</f>
        <v>35420</v>
      </c>
      <c r="AL118" s="48">
        <f>SUM(AL112:AL117)</f>
        <v>35900</v>
      </c>
      <c r="AM118" s="48">
        <f>SUM(AM112:AM117)</f>
        <v>200.50000000000023</v>
      </c>
      <c r="AN118" s="32"/>
      <c r="AO118" s="48">
        <f>SUM(AO112:AO117)-1</f>
        <v>36607.986249999994</v>
      </c>
      <c r="AQ118" s="48">
        <f>SUM(AQ112:AQ117)</f>
        <v>37539.394618749982</v>
      </c>
      <c r="AS118" s="48">
        <f>SUM(AS112:AS117)</f>
        <v>38491.243708093731</v>
      </c>
      <c r="AT118" s="48"/>
      <c r="AU118" s="48">
        <f>SUM(AU112:AU117)</f>
        <v>39466.064951387329</v>
      </c>
      <c r="AW118" s="48">
        <f>SUM(AW112:AW117)</f>
        <v>40464.432930280993</v>
      </c>
      <c r="AY118" s="48">
        <f>SUM(AY112:AY117)</f>
        <v>41487.936599300272</v>
      </c>
      <c r="BA118" s="48">
        <f>SUM(BA112:BA117)</f>
        <v>42537.209645417897</v>
      </c>
      <c r="BC118" s="48">
        <f>SUM(BC112:BC117)</f>
        <v>43612.901756622516</v>
      </c>
      <c r="BE118" s="48">
        <f>SUM(BE112:BE117)</f>
        <v>44715.679026709331</v>
      </c>
    </row>
    <row r="119" spans="1:57" x14ac:dyDescent="0.25">
      <c r="A119" s="7" t="s">
        <v>104</v>
      </c>
    </row>
    <row r="120" spans="1:57" x14ac:dyDescent="0.25">
      <c r="A120" s="3" t="s">
        <v>105</v>
      </c>
      <c r="AK120" s="3">
        <f>AL120-AJ120</f>
        <v>0</v>
      </c>
      <c r="AM120" s="3">
        <f>AL120-AH120</f>
        <v>0</v>
      </c>
    </row>
    <row r="121" spans="1:57" x14ac:dyDescent="0.25">
      <c r="A121" s="3" t="s">
        <v>106</v>
      </c>
      <c r="B121" s="3">
        <v>0</v>
      </c>
      <c r="D121" s="3"/>
      <c r="E121" s="3">
        <f>F121-D121</f>
        <v>0</v>
      </c>
      <c r="F121" s="3"/>
      <c r="H121" s="32">
        <f>F121-B121</f>
        <v>0</v>
      </c>
      <c r="I121" s="32"/>
      <c r="J121" s="32"/>
      <c r="K121" s="32"/>
      <c r="L121" s="32"/>
      <c r="M121" s="32"/>
      <c r="N121" s="32"/>
      <c r="P121" s="3">
        <f>B121*1.03</f>
        <v>0</v>
      </c>
      <c r="Q121" s="3"/>
      <c r="R121" s="3"/>
      <c r="S121" s="3">
        <f>T121-R121</f>
        <v>0</v>
      </c>
      <c r="T121" s="3"/>
      <c r="U121" s="3">
        <f>T121-P121</f>
        <v>0</v>
      </c>
      <c r="V121" s="3"/>
      <c r="W121" s="3">
        <f>Y121-V121</f>
        <v>0</v>
      </c>
      <c r="X121" s="3"/>
      <c r="Y121" s="3"/>
      <c r="Z121" s="3">
        <f>Y121-T121</f>
        <v>0</v>
      </c>
      <c r="AA121" s="3"/>
      <c r="AB121" s="3"/>
      <c r="AC121" s="3"/>
      <c r="AD121" s="3">
        <f>AE121-AC121</f>
        <v>0</v>
      </c>
      <c r="AE121" s="3"/>
      <c r="AF121" s="3">
        <f>AE121-Y121</f>
        <v>0</v>
      </c>
      <c r="AG121" s="4"/>
      <c r="AH121" s="4">
        <f>P121*1.03</f>
        <v>0</v>
      </c>
      <c r="AJ121" s="3"/>
      <c r="AK121" s="3">
        <f>AL121-AJ121</f>
        <v>0</v>
      </c>
      <c r="AL121" s="3"/>
      <c r="AM121" s="3">
        <f>AL121-AH121</f>
        <v>0</v>
      </c>
      <c r="AO121" s="3">
        <f>AH121*1.03</f>
        <v>0</v>
      </c>
      <c r="AP121" s="3"/>
      <c r="AQ121" s="3">
        <f>AO121*1.03</f>
        <v>0</v>
      </c>
      <c r="AR121" s="3"/>
      <c r="AS121" s="3">
        <f>AQ121*1.03</f>
        <v>0</v>
      </c>
      <c r="AT121" s="3"/>
      <c r="AU121" s="3">
        <f>AS121*1.03</f>
        <v>0</v>
      </c>
      <c r="AV121" s="42"/>
      <c r="AW121" s="3">
        <f>AU121*1.03</f>
        <v>0</v>
      </c>
      <c r="AY121" s="3">
        <f>AW121*1.03</f>
        <v>0</v>
      </c>
      <c r="BA121" s="3">
        <f>AY121*1.03</f>
        <v>0</v>
      </c>
      <c r="BC121" s="3">
        <f>BA121*1.03</f>
        <v>0</v>
      </c>
      <c r="BE121" s="3">
        <f>BC121*1.03</f>
        <v>0</v>
      </c>
    </row>
    <row r="122" spans="1:57" x14ac:dyDescent="0.25">
      <c r="A122" s="3"/>
      <c r="B122" s="48">
        <f>B121+B120</f>
        <v>0</v>
      </c>
      <c r="C122" s="32"/>
      <c r="D122" s="48">
        <f>D121+D120</f>
        <v>0</v>
      </c>
      <c r="E122" s="48">
        <f>E121+E120</f>
        <v>0</v>
      </c>
      <c r="F122" s="48">
        <f>F121+F120</f>
        <v>0</v>
      </c>
      <c r="G122" s="32"/>
      <c r="H122" s="48">
        <f>H121+H120</f>
        <v>0</v>
      </c>
      <c r="I122" s="36"/>
      <c r="J122" s="48">
        <f>J121+J120</f>
        <v>0</v>
      </c>
      <c r="K122" s="48">
        <f>K121+K120</f>
        <v>0</v>
      </c>
      <c r="L122" s="48">
        <f>L121+L120</f>
        <v>0</v>
      </c>
      <c r="M122" s="32"/>
      <c r="N122" s="48">
        <f>N121+N120</f>
        <v>0</v>
      </c>
      <c r="P122" s="48">
        <f>P121+P120</f>
        <v>0</v>
      </c>
      <c r="R122" s="48">
        <f>R121+R120</f>
        <v>0</v>
      </c>
      <c r="S122" s="48">
        <f>S121+S120</f>
        <v>0</v>
      </c>
      <c r="T122" s="48">
        <f>T121+T120</f>
        <v>0</v>
      </c>
      <c r="U122" s="48">
        <f>U121+U120</f>
        <v>0</v>
      </c>
      <c r="V122" s="48">
        <f>SUM(V120:V121)</f>
        <v>0</v>
      </c>
      <c r="W122" s="48">
        <f>SUM(W120:W121)</f>
        <v>0</v>
      </c>
      <c r="X122" s="48"/>
      <c r="Y122" s="48">
        <f>SUM(Y120:Y121)</f>
        <v>0</v>
      </c>
      <c r="Z122" s="48">
        <f>Y122-T122</f>
        <v>0</v>
      </c>
      <c r="AC122" s="48">
        <f>SUM(AC120:AC121)</f>
        <v>0</v>
      </c>
      <c r="AD122" s="48">
        <f>SUM(AD120:AD121)</f>
        <v>0</v>
      </c>
      <c r="AE122" s="48">
        <f>SUM(AE120:AE121)</f>
        <v>0</v>
      </c>
      <c r="AF122" s="48">
        <f>SUM(AF120:AF121)</f>
        <v>0</v>
      </c>
      <c r="AH122" s="36">
        <f>AH121+AH120</f>
        <v>0</v>
      </c>
      <c r="AI122" s="32"/>
      <c r="AJ122" s="48">
        <f>AJ121+AJ120</f>
        <v>0</v>
      </c>
      <c r="AK122" s="48">
        <f>AK121+AK120</f>
        <v>0</v>
      </c>
      <c r="AL122" s="48">
        <f>AL121+AL120</f>
        <v>0</v>
      </c>
      <c r="AM122" s="48">
        <f>AM121+AM120</f>
        <v>0</v>
      </c>
      <c r="AN122" s="32"/>
      <c r="AO122" s="48">
        <f>AO121+AO120</f>
        <v>0</v>
      </c>
      <c r="AQ122" s="48">
        <f>AQ121+AQ120</f>
        <v>0</v>
      </c>
      <c r="AS122" s="48">
        <f>AS121+AS120</f>
        <v>0</v>
      </c>
      <c r="AT122" s="48"/>
      <c r="AU122" s="48">
        <f>AU121+AU120</f>
        <v>0</v>
      </c>
      <c r="AW122" s="48">
        <f>AW121+AW120</f>
        <v>0</v>
      </c>
      <c r="AY122" s="48">
        <f>AY121+AY120</f>
        <v>0</v>
      </c>
      <c r="BA122" s="48">
        <f>BA121+BA120</f>
        <v>0</v>
      </c>
      <c r="BC122" s="48">
        <f>BC121+BC120</f>
        <v>0</v>
      </c>
      <c r="BE122" s="48">
        <f>BE121+BE120</f>
        <v>0</v>
      </c>
    </row>
    <row r="123" spans="1:57" x14ac:dyDescent="0.25">
      <c r="A123" s="7" t="s">
        <v>107</v>
      </c>
    </row>
    <row r="124" spans="1:57" x14ac:dyDescent="0.25">
      <c r="A124" s="3" t="s">
        <v>108</v>
      </c>
      <c r="AK124" s="3">
        <f>AL124-AJ124</f>
        <v>0</v>
      </c>
      <c r="AM124" s="3">
        <f>AL124-AH124</f>
        <v>0</v>
      </c>
    </row>
    <row r="125" spans="1:57" s="42" customFormat="1" ht="15.75" thickBot="1" x14ac:dyDescent="0.3">
      <c r="A125" s="3"/>
      <c r="B125" s="43">
        <f>B124+B122+B118+B108</f>
        <v>36550</v>
      </c>
      <c r="C125" s="32"/>
      <c r="D125" s="43">
        <f>D124+D122+D118+D108</f>
        <v>50</v>
      </c>
      <c r="E125" s="43">
        <f>E124+E122+E118+E108</f>
        <v>36500</v>
      </c>
      <c r="F125" s="43">
        <f>F124+F122+F118+F108</f>
        <v>36550</v>
      </c>
      <c r="G125" s="32"/>
      <c r="H125" s="43">
        <f>H124+H122+H118+H108</f>
        <v>0</v>
      </c>
      <c r="I125" s="36"/>
      <c r="J125" s="43">
        <f>J124+J122+J118+J108</f>
        <v>960</v>
      </c>
      <c r="K125" s="43">
        <f>K124+K122+K118+K108</f>
        <v>36390</v>
      </c>
      <c r="L125" s="43">
        <f>L124+L122+L118+L108</f>
        <v>37350</v>
      </c>
      <c r="M125" s="32"/>
      <c r="N125" s="43">
        <f>N124+N122+N118+N108</f>
        <v>800</v>
      </c>
      <c r="O125" s="4"/>
      <c r="P125" s="43">
        <f>P124+P122+P118+P108</f>
        <v>37750.25</v>
      </c>
      <c r="Q125" s="3"/>
      <c r="R125" s="43">
        <f t="shared" ref="R125:Z125" si="78">R124+R122+R118+R108</f>
        <v>127</v>
      </c>
      <c r="S125" s="43">
        <f t="shared" si="78"/>
        <v>37873</v>
      </c>
      <c r="T125" s="43">
        <f t="shared" si="78"/>
        <v>38000</v>
      </c>
      <c r="U125" s="43">
        <f t="shared" si="78"/>
        <v>249.75</v>
      </c>
      <c r="V125" s="43">
        <f t="shared" si="78"/>
        <v>35001</v>
      </c>
      <c r="W125" s="43">
        <f t="shared" si="78"/>
        <v>4419</v>
      </c>
      <c r="X125" s="43"/>
      <c r="Y125" s="43">
        <f t="shared" si="78"/>
        <v>39420</v>
      </c>
      <c r="Z125" s="43">
        <f t="shared" si="78"/>
        <v>1420</v>
      </c>
      <c r="AA125" s="3"/>
      <c r="AB125" s="3"/>
      <c r="AC125" s="43">
        <f>AC124+AC122+AC118+AC108</f>
        <v>35115</v>
      </c>
      <c r="AD125" s="43">
        <f>AD124+AD122+AD118+AD108</f>
        <v>315</v>
      </c>
      <c r="AE125" s="43">
        <f>AE124+AE122+AE118+AE108</f>
        <v>35430</v>
      </c>
      <c r="AF125" s="43">
        <f>AF124+AF122+AF118+AF108</f>
        <v>-3990</v>
      </c>
      <c r="AG125" s="4"/>
      <c r="AH125" s="36">
        <f>AH124+AH122+AH118+AH108</f>
        <v>44849.5</v>
      </c>
      <c r="AI125" s="32"/>
      <c r="AJ125" s="43">
        <f>AJ124+AJ122+AJ118+AJ108</f>
        <v>6901</v>
      </c>
      <c r="AK125" s="43">
        <f>AK124+AK122+AK118+AK108</f>
        <v>38149</v>
      </c>
      <c r="AL125" s="43">
        <f>AL124+AL122+AL118+AL108</f>
        <v>45050</v>
      </c>
      <c r="AM125" s="43">
        <f>AM124+AM122+AM118+AM108</f>
        <v>200.50000000000023</v>
      </c>
      <c r="AN125" s="32"/>
      <c r="AO125" s="43">
        <f>AO124+AO122+AO118+AO108</f>
        <v>45986.736249999994</v>
      </c>
      <c r="AP125" s="3"/>
      <c r="AQ125" s="43">
        <f>AQ124+AQ122+AQ118+AQ108</f>
        <v>47152.613368749982</v>
      </c>
      <c r="AR125" s="3"/>
      <c r="AS125" s="43">
        <f>AS124+AS122+AS118+AS108</f>
        <v>48344.792926843729</v>
      </c>
      <c r="AT125" s="43"/>
      <c r="AU125" s="43">
        <f>AU124+AU122+AU118+AU108</f>
        <v>49565.952900606077</v>
      </c>
      <c r="AW125" s="43">
        <f>AW124+AW122+AW118+AW108</f>
        <v>50816.818078230208</v>
      </c>
      <c r="AY125" s="43">
        <f>AY124+AY122+AY118+AY108</f>
        <v>52099.131375948215</v>
      </c>
      <c r="BA125" s="43">
        <f>BA124+BA122+BA118+BA108</f>
        <v>53413.684291482037</v>
      </c>
      <c r="BC125" s="43">
        <f>BC124+BC122+BC118+BC108</f>
        <v>54761.28826883826</v>
      </c>
      <c r="BE125" s="43">
        <f>BE124+BE122+BE118+BE108</f>
        <v>56142.775201730467</v>
      </c>
    </row>
    <row r="126" spans="1:57" ht="15.75" thickTop="1" x14ac:dyDescent="0.25">
      <c r="A126" s="7" t="s">
        <v>109</v>
      </c>
    </row>
    <row r="127" spans="1:57" x14ac:dyDescent="0.25">
      <c r="A127" s="3" t="s">
        <v>110</v>
      </c>
      <c r="B127" s="3">
        <v>1250</v>
      </c>
      <c r="D127" s="3"/>
      <c r="E127" s="3">
        <f>F127-D127</f>
        <v>1250</v>
      </c>
      <c r="F127" s="3">
        <v>1250</v>
      </c>
      <c r="H127" s="32">
        <f>F127-B127</f>
        <v>0</v>
      </c>
      <c r="I127" s="32"/>
      <c r="J127" s="32"/>
      <c r="K127" s="4">
        <f>L127-J127</f>
        <v>1250</v>
      </c>
      <c r="L127" s="4">
        <v>1250</v>
      </c>
      <c r="M127" s="32"/>
      <c r="N127" s="4">
        <f>L127-F127</f>
        <v>0</v>
      </c>
      <c r="P127" s="4">
        <v>1250</v>
      </c>
      <c r="Q127" s="4"/>
      <c r="R127" s="4"/>
      <c r="S127" s="3">
        <f>T127-R127</f>
        <v>1250</v>
      </c>
      <c r="T127" s="3">
        <v>1250</v>
      </c>
      <c r="U127" s="3">
        <f>T127-P127</f>
        <v>0</v>
      </c>
      <c r="V127" s="4"/>
      <c r="W127" s="3">
        <f>Y127-V127</f>
        <v>1250</v>
      </c>
      <c r="X127" s="3"/>
      <c r="Y127" s="4">
        <v>1250</v>
      </c>
      <c r="Z127" s="3">
        <f>Y127-T127</f>
        <v>0</v>
      </c>
      <c r="AA127" s="4"/>
      <c r="AB127" s="4"/>
      <c r="AC127" s="4">
        <v>1530</v>
      </c>
      <c r="AD127" s="3">
        <f>AE127-AC127</f>
        <v>0</v>
      </c>
      <c r="AE127" s="3">
        <v>1530</v>
      </c>
      <c r="AF127" s="3">
        <f>AE127-Y127</f>
        <v>280</v>
      </c>
      <c r="AG127" s="4"/>
      <c r="AH127" s="4">
        <v>1250</v>
      </c>
      <c r="AJ127" s="4">
        <v>0</v>
      </c>
      <c r="AK127" s="3">
        <f>AL127-AJ127</f>
        <v>1250</v>
      </c>
      <c r="AL127" s="4">
        <v>1250</v>
      </c>
      <c r="AM127" s="3">
        <f>AL127-AH127</f>
        <v>0</v>
      </c>
      <c r="AO127" s="4">
        <v>1250</v>
      </c>
      <c r="AP127" s="4"/>
      <c r="AQ127" s="4">
        <v>1250</v>
      </c>
      <c r="AR127" s="4"/>
      <c r="AS127" s="4">
        <v>1250</v>
      </c>
      <c r="AT127" s="4"/>
      <c r="AU127" s="4">
        <v>1250</v>
      </c>
      <c r="AV127" s="51"/>
      <c r="AW127" s="4">
        <v>1250</v>
      </c>
      <c r="AX127" s="51"/>
      <c r="AY127" s="4">
        <v>1250</v>
      </c>
      <c r="AZ127" s="51"/>
      <c r="BA127" s="4">
        <v>1250</v>
      </c>
      <c r="BB127" s="51"/>
      <c r="BC127" s="4">
        <v>1250</v>
      </c>
      <c r="BE127" s="4">
        <v>1250</v>
      </c>
    </row>
    <row r="128" spans="1:57" x14ac:dyDescent="0.25">
      <c r="A128" s="3" t="s">
        <v>111</v>
      </c>
      <c r="B128" s="3"/>
      <c r="D128" s="3"/>
      <c r="E128" s="3"/>
      <c r="F128" s="3"/>
      <c r="H128" s="32"/>
      <c r="I128" s="32"/>
      <c r="J128" s="32"/>
      <c r="K128" s="4"/>
      <c r="L128" s="4"/>
      <c r="M128" s="32"/>
      <c r="N128" s="4"/>
      <c r="P128" s="4"/>
      <c r="Q128" s="4"/>
      <c r="R128" s="4"/>
      <c r="S128" s="3"/>
      <c r="T128" s="3"/>
      <c r="U128" s="3"/>
      <c r="V128" s="4"/>
      <c r="W128" s="3"/>
      <c r="X128" s="3"/>
      <c r="Y128" s="4"/>
      <c r="Z128" s="3"/>
      <c r="AA128" s="4"/>
      <c r="AB128" s="4"/>
      <c r="AC128" s="4">
        <v>1850</v>
      </c>
      <c r="AD128" s="3">
        <f>AE128-AC128</f>
        <v>0</v>
      </c>
      <c r="AE128" s="3">
        <v>1850</v>
      </c>
      <c r="AF128" s="3">
        <f>AE128-Y128</f>
        <v>1850</v>
      </c>
      <c r="AG128" s="4"/>
      <c r="AH128" s="4"/>
      <c r="AJ128" s="4"/>
      <c r="AK128" s="3">
        <f>AL128-AJ128</f>
        <v>0</v>
      </c>
      <c r="AL128" s="4"/>
      <c r="AM128" s="3">
        <f>AL128-AH128</f>
        <v>0</v>
      </c>
      <c r="AO128" s="4"/>
      <c r="AP128" s="4"/>
      <c r="AQ128" s="4"/>
      <c r="AR128" s="4"/>
      <c r="AS128" s="4"/>
      <c r="AT128" s="4"/>
      <c r="AU128" s="4"/>
      <c r="AV128" s="51"/>
      <c r="AW128" s="4"/>
      <c r="AX128" s="51"/>
      <c r="AY128" s="4"/>
      <c r="AZ128" s="51"/>
      <c r="BA128" s="4"/>
      <c r="BB128" s="51"/>
      <c r="BC128" s="4"/>
      <c r="BE128" s="4"/>
    </row>
    <row r="129" spans="1:57" x14ac:dyDescent="0.25">
      <c r="A129" s="3" t="s">
        <v>112</v>
      </c>
      <c r="B129" s="3">
        <v>1000</v>
      </c>
      <c r="D129" s="3"/>
      <c r="E129" s="3">
        <f>F129-D129</f>
        <v>1000</v>
      </c>
      <c r="F129" s="3">
        <v>1000</v>
      </c>
      <c r="H129" s="32">
        <f>F129-B129</f>
        <v>0</v>
      </c>
      <c r="I129" s="32"/>
      <c r="J129" s="32"/>
      <c r="K129" s="4">
        <f>L129-J129</f>
        <v>1000</v>
      </c>
      <c r="L129" s="4">
        <v>1000</v>
      </c>
      <c r="M129" s="32"/>
      <c r="N129" s="4">
        <f>L129-F129</f>
        <v>0</v>
      </c>
      <c r="P129" s="52">
        <v>1000</v>
      </c>
      <c r="Q129" s="52"/>
      <c r="R129" s="52"/>
      <c r="S129" s="52">
        <f>T129-R129</f>
        <v>1000</v>
      </c>
      <c r="T129" s="52">
        <v>1000</v>
      </c>
      <c r="U129" s="52">
        <f>T129-P129</f>
        <v>0</v>
      </c>
      <c r="V129" s="52"/>
      <c r="W129" s="52">
        <f>Y129-V129</f>
        <v>1000</v>
      </c>
      <c r="X129" s="52"/>
      <c r="Y129" s="52">
        <v>1000</v>
      </c>
      <c r="Z129" s="52">
        <f>Y129-T129</f>
        <v>0</v>
      </c>
      <c r="AA129" s="4"/>
      <c r="AB129" s="4"/>
      <c r="AC129" s="4">
        <v>1000</v>
      </c>
      <c r="AD129" s="3">
        <f>AE129-AC129</f>
        <v>0</v>
      </c>
      <c r="AE129" s="3">
        <v>1000</v>
      </c>
      <c r="AF129" s="3">
        <f>AE129-Y129</f>
        <v>0</v>
      </c>
      <c r="AG129" s="4"/>
      <c r="AH129" s="4">
        <v>1000</v>
      </c>
      <c r="AJ129" s="52"/>
      <c r="AK129" s="52">
        <f>AL129-AJ129</f>
        <v>1000</v>
      </c>
      <c r="AL129" s="52">
        <v>1000</v>
      </c>
      <c r="AM129" s="52">
        <f>AL129-AH129</f>
        <v>0</v>
      </c>
      <c r="AO129" s="52">
        <v>1000</v>
      </c>
      <c r="AP129" s="52"/>
      <c r="AQ129" s="52">
        <v>1000</v>
      </c>
      <c r="AR129" s="52"/>
      <c r="AS129" s="52">
        <v>1000</v>
      </c>
      <c r="AT129" s="52"/>
      <c r="AU129" s="52">
        <v>1000</v>
      </c>
      <c r="AV129" s="53"/>
      <c r="AW129" s="52">
        <v>1000</v>
      </c>
      <c r="AX129" s="53"/>
      <c r="AY129" s="52">
        <v>1000</v>
      </c>
      <c r="AZ129" s="53"/>
      <c r="BA129" s="52">
        <v>1000</v>
      </c>
      <c r="BB129" s="53"/>
      <c r="BC129" s="52">
        <v>1000</v>
      </c>
      <c r="BE129" s="52">
        <v>1000</v>
      </c>
    </row>
    <row r="130" spans="1:57" ht="15.75" thickBot="1" x14ac:dyDescent="0.3">
      <c r="A130" s="3"/>
      <c r="B130" s="54">
        <f>SUM(B127:B129)</f>
        <v>2250</v>
      </c>
      <c r="C130" s="55"/>
      <c r="D130" s="54">
        <f>SUM(D127:D129)</f>
        <v>0</v>
      </c>
      <c r="E130" s="54">
        <f>SUM(E127:E129)</f>
        <v>2250</v>
      </c>
      <c r="F130" s="54">
        <f>SUM(F127:F129)</f>
        <v>2250</v>
      </c>
      <c r="G130" s="55"/>
      <c r="H130" s="54">
        <f>SUM(H127:H129)</f>
        <v>0</v>
      </c>
      <c r="I130" s="56"/>
      <c r="J130" s="54">
        <f>SUM(J127:J129)</f>
        <v>0</v>
      </c>
      <c r="K130" s="54">
        <f>SUM(K127:K129)</f>
        <v>2250</v>
      </c>
      <c r="L130" s="54">
        <f>SUM(L127:L129)</f>
        <v>2250</v>
      </c>
      <c r="M130" s="55"/>
      <c r="N130" s="54">
        <f>SUM(N127:N129)</f>
        <v>0</v>
      </c>
      <c r="P130" s="57">
        <f>SUM(P127:P129)</f>
        <v>2250</v>
      </c>
      <c r="R130" s="57">
        <f t="shared" ref="R130:Z130" si="79">SUM(R127:R129)</f>
        <v>0</v>
      </c>
      <c r="S130" s="57">
        <f t="shared" si="79"/>
        <v>2250</v>
      </c>
      <c r="T130" s="57">
        <f t="shared" si="79"/>
        <v>2250</v>
      </c>
      <c r="U130" s="57">
        <f t="shared" si="79"/>
        <v>0</v>
      </c>
      <c r="V130" s="57">
        <f t="shared" si="79"/>
        <v>0</v>
      </c>
      <c r="W130" s="57">
        <f t="shared" si="79"/>
        <v>2250</v>
      </c>
      <c r="X130" s="57"/>
      <c r="Y130" s="57">
        <f t="shared" si="79"/>
        <v>2250</v>
      </c>
      <c r="Z130" s="57">
        <f t="shared" si="79"/>
        <v>0</v>
      </c>
      <c r="AC130" s="57">
        <f>SUM(AC127:AC129)</f>
        <v>4380</v>
      </c>
      <c r="AD130" s="57">
        <f>SUM(AD127:AD129)</f>
        <v>0</v>
      </c>
      <c r="AE130" s="57">
        <f>SUM(AE127:AE129)</f>
        <v>4380</v>
      </c>
      <c r="AF130" s="57">
        <f>SUM(AF127:AF129)</f>
        <v>2130</v>
      </c>
      <c r="AH130" s="56">
        <f>SUM(AH127:AH129)</f>
        <v>2250</v>
      </c>
      <c r="AI130" s="55"/>
      <c r="AJ130" s="57">
        <f>SUM(AJ127:AJ129)</f>
        <v>0</v>
      </c>
      <c r="AK130" s="57">
        <f>SUM(AK127:AK129)</f>
        <v>2250</v>
      </c>
      <c r="AL130" s="57">
        <f>SUM(AL127:AL129)</f>
        <v>2250</v>
      </c>
      <c r="AM130" s="57">
        <f>SUM(AM127:AM129)</f>
        <v>0</v>
      </c>
      <c r="AN130" s="55"/>
      <c r="AO130" s="57">
        <f>SUM(AO127:AO129)</f>
        <v>2250</v>
      </c>
      <c r="AQ130" s="57">
        <f>SUM(AQ127:AQ129)</f>
        <v>2250</v>
      </c>
      <c r="AS130" s="57">
        <f>SUM(AS127:AS129)</f>
        <v>2250</v>
      </c>
      <c r="AT130" s="57"/>
      <c r="AU130" s="57">
        <f>SUM(AU127:AU129)</f>
        <v>2250</v>
      </c>
      <c r="AW130" s="57">
        <f>SUM(AW127:AW129)</f>
        <v>2250</v>
      </c>
      <c r="AY130" s="57">
        <f>SUM(AY127:AY129)</f>
        <v>2250</v>
      </c>
      <c r="BA130" s="57">
        <f>SUM(BA127:BA129)</f>
        <v>2250</v>
      </c>
      <c r="BC130" s="57">
        <f>SUM(BC127:BC129)</f>
        <v>2250</v>
      </c>
      <c r="BE130" s="57">
        <f>SUM(BE127:BE129)</f>
        <v>2250</v>
      </c>
    </row>
    <row r="131" spans="1:57" ht="15.75" thickTop="1" x14ac:dyDescent="0.25">
      <c r="A131" s="7" t="s">
        <v>113</v>
      </c>
    </row>
    <row r="132" spans="1:57" x14ac:dyDescent="0.25">
      <c r="A132" s="7" t="s">
        <v>114</v>
      </c>
    </row>
    <row r="133" spans="1:57" x14ac:dyDescent="0.25">
      <c r="A133" s="3" t="s">
        <v>115</v>
      </c>
      <c r="B133" s="3">
        <v>7500</v>
      </c>
      <c r="D133" s="3">
        <v>2100</v>
      </c>
      <c r="E133" s="3">
        <f>F133-D133</f>
        <v>5900</v>
      </c>
      <c r="F133" s="3">
        <v>8000</v>
      </c>
      <c r="H133" s="32">
        <f>F133-B133</f>
        <v>500</v>
      </c>
      <c r="I133" s="32"/>
      <c r="J133" s="4">
        <v>3900</v>
      </c>
      <c r="K133" s="4">
        <f>L133-J133</f>
        <v>4100</v>
      </c>
      <c r="L133" s="4">
        <v>8000</v>
      </c>
      <c r="N133" s="4">
        <f>L133-F133</f>
        <v>0</v>
      </c>
      <c r="P133" s="3">
        <f>L133*1.025</f>
        <v>8200</v>
      </c>
      <c r="Q133" s="3"/>
      <c r="R133" s="3">
        <v>2100</v>
      </c>
      <c r="S133" s="3">
        <f>T133-R133</f>
        <v>6100</v>
      </c>
      <c r="T133" s="3">
        <v>8200</v>
      </c>
      <c r="U133" s="3">
        <f>T133-P133</f>
        <v>0</v>
      </c>
      <c r="V133" s="3">
        <v>4500</v>
      </c>
      <c r="W133" s="3">
        <f>Y133-V133</f>
        <v>3700</v>
      </c>
      <c r="X133" s="3"/>
      <c r="Y133" s="3">
        <v>8200</v>
      </c>
      <c r="Z133" s="3">
        <f>Y133-T133</f>
        <v>0</v>
      </c>
      <c r="AA133" s="3"/>
      <c r="AB133" s="3"/>
      <c r="AC133" s="3">
        <v>5700</v>
      </c>
      <c r="AD133" s="3">
        <f>AE133-AC133</f>
        <v>2500</v>
      </c>
      <c r="AE133" s="3">
        <v>8200</v>
      </c>
      <c r="AF133" s="3">
        <f>AE133-Y133</f>
        <v>0</v>
      </c>
      <c r="AG133" s="4"/>
      <c r="AH133" s="4">
        <f>P133*1.025-5</f>
        <v>8400</v>
      </c>
      <c r="AJ133" s="3">
        <v>2400</v>
      </c>
      <c r="AK133" s="3">
        <f>AL133-AJ133</f>
        <v>6000</v>
      </c>
      <c r="AL133" s="3">
        <v>8400</v>
      </c>
      <c r="AM133" s="3">
        <f>AL133-AH133</f>
        <v>0</v>
      </c>
      <c r="AO133" s="3">
        <f>AH133*1.025</f>
        <v>8610</v>
      </c>
      <c r="AP133" s="3"/>
      <c r="AQ133" s="3">
        <f>AO133*1.025</f>
        <v>8825.25</v>
      </c>
      <c r="AR133" s="3"/>
      <c r="AS133" s="3">
        <f>AQ133*1.025</f>
        <v>9045.8812499999985</v>
      </c>
      <c r="AT133" s="3"/>
      <c r="AU133" s="3">
        <f>AS133*1.025</f>
        <v>9272.0282812499972</v>
      </c>
      <c r="AV133" s="42"/>
      <c r="AW133" s="3">
        <f>AU133*1.025</f>
        <v>9503.828988281246</v>
      </c>
      <c r="AX133" s="42"/>
      <c r="AY133" s="3">
        <f>AW133*1.025</f>
        <v>9741.424712988277</v>
      </c>
      <c r="AZ133" s="42"/>
      <c r="BA133" s="3">
        <f>AY133*1.025</f>
        <v>9984.9603308129826</v>
      </c>
      <c r="BB133" s="42"/>
      <c r="BC133" s="3">
        <f>BA133*1.025</f>
        <v>10234.584339083307</v>
      </c>
      <c r="BE133" s="3">
        <f>BC133*1.025</f>
        <v>10490.44894756039</v>
      </c>
    </row>
    <row r="134" spans="1:57" x14ac:dyDescent="0.25">
      <c r="A134" s="3" t="s">
        <v>116</v>
      </c>
      <c r="B134" s="3"/>
      <c r="D134" s="3"/>
      <c r="E134" s="3"/>
      <c r="F134" s="3"/>
      <c r="H134" s="3"/>
      <c r="I134" s="3"/>
      <c r="J134" s="3"/>
      <c r="K134" s="3"/>
      <c r="L134" s="3"/>
      <c r="N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4"/>
      <c r="AH134" s="4"/>
      <c r="AJ134" s="3"/>
      <c r="AK134" s="3">
        <f>AL134-AJ134</f>
        <v>0</v>
      </c>
      <c r="AL134" s="3"/>
      <c r="AM134" s="3">
        <f>AL134-AH134</f>
        <v>0</v>
      </c>
      <c r="AO134" s="3"/>
      <c r="AP134" s="3"/>
      <c r="AQ134" s="3"/>
      <c r="AR134" s="3"/>
      <c r="AS134" s="3"/>
      <c r="AT134" s="3"/>
      <c r="AU134" s="3"/>
      <c r="AV134" s="42"/>
      <c r="AW134" s="3"/>
      <c r="AY134" s="3"/>
      <c r="BA134" s="3"/>
      <c r="BC134" s="3"/>
      <c r="BE134" s="3"/>
    </row>
    <row r="135" spans="1:57" x14ac:dyDescent="0.25">
      <c r="A135" s="3" t="s">
        <v>57</v>
      </c>
      <c r="B135" s="3"/>
      <c r="D135" s="3"/>
      <c r="E135" s="3"/>
      <c r="F135" s="3"/>
      <c r="H135" s="3"/>
      <c r="I135" s="3"/>
      <c r="J135" s="3"/>
      <c r="K135" s="3"/>
      <c r="L135" s="3"/>
      <c r="N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4"/>
      <c r="AH135" s="4"/>
      <c r="AJ135" s="3"/>
      <c r="AK135" s="3">
        <f>AL135-AJ135</f>
        <v>0</v>
      </c>
      <c r="AL135" s="3"/>
      <c r="AM135" s="3">
        <f>AL135-AH135</f>
        <v>0</v>
      </c>
      <c r="AO135" s="3"/>
      <c r="AP135" s="3"/>
      <c r="AQ135" s="3"/>
      <c r="AR135" s="3"/>
      <c r="AS135" s="3"/>
      <c r="AT135" s="3"/>
      <c r="AU135" s="3"/>
      <c r="AV135" s="42"/>
      <c r="AW135" s="3"/>
      <c r="AY135" s="3"/>
      <c r="BA135" s="3"/>
      <c r="BC135" s="3"/>
      <c r="BE135" s="3"/>
    </row>
    <row r="136" spans="1:57" x14ac:dyDescent="0.25">
      <c r="A136" s="3"/>
      <c r="B136" s="48">
        <f>SUM(B133:B135)</f>
        <v>7500</v>
      </c>
      <c r="C136" s="32"/>
      <c r="D136" s="48">
        <f>SUM(D133:D135)</f>
        <v>2100</v>
      </c>
      <c r="E136" s="48">
        <f>SUM(E133:E135)</f>
        <v>5900</v>
      </c>
      <c r="F136" s="48">
        <f>SUM(F133:F135)</f>
        <v>8000</v>
      </c>
      <c r="G136" s="32"/>
      <c r="H136" s="48">
        <f>SUM(H133:H135)</f>
        <v>500</v>
      </c>
      <c r="I136" s="36"/>
      <c r="J136" s="48">
        <f>SUM(J133:J135)</f>
        <v>3900</v>
      </c>
      <c r="K136" s="48">
        <f>SUM(K133:K135)</f>
        <v>4100</v>
      </c>
      <c r="L136" s="48">
        <f>SUM(L133:L135)</f>
        <v>8000</v>
      </c>
      <c r="M136" s="32"/>
      <c r="N136" s="48">
        <f>SUM(N133:N135)</f>
        <v>0</v>
      </c>
      <c r="P136" s="48">
        <f>SUM(P133:P135)</f>
        <v>8200</v>
      </c>
      <c r="R136" s="48">
        <f t="shared" ref="R136:Z136" si="80">SUM(R133:R135)</f>
        <v>2100</v>
      </c>
      <c r="S136" s="48">
        <f t="shared" si="80"/>
        <v>6100</v>
      </c>
      <c r="T136" s="48">
        <f t="shared" si="80"/>
        <v>8200</v>
      </c>
      <c r="U136" s="48">
        <f t="shared" si="80"/>
        <v>0</v>
      </c>
      <c r="V136" s="48">
        <f t="shared" si="80"/>
        <v>4500</v>
      </c>
      <c r="W136" s="48">
        <f t="shared" si="80"/>
        <v>3700</v>
      </c>
      <c r="X136" s="48"/>
      <c r="Y136" s="48">
        <f t="shared" si="80"/>
        <v>8200</v>
      </c>
      <c r="Z136" s="48">
        <f t="shared" si="80"/>
        <v>0</v>
      </c>
      <c r="AC136" s="48">
        <f>SUM(AC133:AC135)</f>
        <v>5700</v>
      </c>
      <c r="AD136" s="48">
        <f>SUM(AD133:AD135)</f>
        <v>2500</v>
      </c>
      <c r="AE136" s="48">
        <f>SUM(AE133:AE135)</f>
        <v>8200</v>
      </c>
      <c r="AF136" s="48">
        <f>SUM(AF133:AF135)</f>
        <v>0</v>
      </c>
      <c r="AH136" s="36">
        <f>SUM(AH133:AH135)</f>
        <v>8400</v>
      </c>
      <c r="AI136" s="32"/>
      <c r="AJ136" s="48">
        <f>SUM(AJ133:AJ135)</f>
        <v>2400</v>
      </c>
      <c r="AK136" s="48">
        <f>SUM(AK133:AK135)</f>
        <v>6000</v>
      </c>
      <c r="AL136" s="48">
        <f>SUM(AL133:AL135)</f>
        <v>8400</v>
      </c>
      <c r="AM136" s="48">
        <f>SUM(AM133:AM135)</f>
        <v>0</v>
      </c>
      <c r="AN136" s="32"/>
      <c r="AO136" s="48">
        <f>SUM(AO133:AO135)</f>
        <v>8610</v>
      </c>
      <c r="AQ136" s="48">
        <f>SUM(AQ133:AQ135)</f>
        <v>8825.25</v>
      </c>
      <c r="AS136" s="48">
        <f>SUM(AS133:AS135)</f>
        <v>9045.8812499999985</v>
      </c>
      <c r="AT136" s="48"/>
      <c r="AU136" s="48">
        <f>SUM(AU133:AU135)</f>
        <v>9272.0282812499972</v>
      </c>
      <c r="AW136" s="48">
        <f>SUM(AW133:AW135)</f>
        <v>9503.828988281246</v>
      </c>
      <c r="AY136" s="48">
        <f>SUM(AY133:AY135)</f>
        <v>9741.424712988277</v>
      </c>
      <c r="BA136" s="48">
        <f>SUM(BA133:BA135)</f>
        <v>9984.9603308129826</v>
      </c>
      <c r="BC136" s="48">
        <f>SUM(BC133:BC135)</f>
        <v>10234.584339083307</v>
      </c>
      <c r="BE136" s="48">
        <f>SUM(BE133:BE135)</f>
        <v>10490.44894756039</v>
      </c>
    </row>
    <row r="137" spans="1:57" s="42" customFormat="1" x14ac:dyDescent="0.25">
      <c r="A137" s="7" t="s">
        <v>117</v>
      </c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4"/>
      <c r="N137" s="3"/>
      <c r="O137" s="4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4"/>
      <c r="AH137" s="4"/>
      <c r="AI137" s="4"/>
      <c r="AJ137" s="3"/>
      <c r="AK137" s="3"/>
      <c r="AL137" s="3"/>
      <c r="AM137" s="3"/>
      <c r="AN137" s="4"/>
      <c r="AO137" s="3"/>
      <c r="AP137" s="3"/>
      <c r="AQ137" s="3"/>
      <c r="AR137" s="3"/>
      <c r="AS137" s="3"/>
      <c r="AT137" s="3"/>
      <c r="AU137" s="3"/>
      <c r="AW137" s="3"/>
      <c r="AY137" s="3"/>
      <c r="BA137" s="3"/>
      <c r="BC137" s="3"/>
      <c r="BE137" s="3"/>
    </row>
    <row r="138" spans="1:57" x14ac:dyDescent="0.25">
      <c r="A138" s="3" t="s">
        <v>118</v>
      </c>
      <c r="B138" s="3">
        <v>40000</v>
      </c>
      <c r="D138" s="3">
        <v>6179</v>
      </c>
      <c r="E138" s="3">
        <f t="shared" ref="E138:E143" si="81">F138-D138</f>
        <v>33821</v>
      </c>
      <c r="F138" s="3">
        <v>40000</v>
      </c>
      <c r="H138" s="32">
        <f t="shared" ref="H138:H143" si="82">F138-B138</f>
        <v>0</v>
      </c>
      <c r="I138" s="32"/>
      <c r="J138" s="4">
        <v>10843</v>
      </c>
      <c r="K138" s="4">
        <f t="shared" ref="K138:K143" si="83">L138-J138</f>
        <v>19157</v>
      </c>
      <c r="L138" s="4">
        <v>30000</v>
      </c>
      <c r="N138" s="4">
        <f t="shared" ref="N138:N143" si="84">L138-F138</f>
        <v>-10000</v>
      </c>
      <c r="P138" s="3">
        <f>L138*1.025-750</f>
        <v>29999.999999999996</v>
      </c>
      <c r="Q138" s="3"/>
      <c r="R138" s="3">
        <v>4276</v>
      </c>
      <c r="S138" s="3">
        <f t="shared" ref="S138:S143" si="85">T138-R138</f>
        <v>23224</v>
      </c>
      <c r="T138" s="3">
        <v>27500</v>
      </c>
      <c r="U138" s="3">
        <f t="shared" ref="U138:U143" si="86">T138-P138</f>
        <v>-2499.9999999999964</v>
      </c>
      <c r="V138" s="3">
        <v>11056</v>
      </c>
      <c r="W138" s="3">
        <f t="shared" ref="W138:W143" si="87">Y138-V138</f>
        <v>13944</v>
      </c>
      <c r="X138" s="3"/>
      <c r="Y138" s="3">
        <v>25000</v>
      </c>
      <c r="Z138" s="3">
        <f t="shared" ref="Z138:Z143" si="88">Y138-T138</f>
        <v>-2500</v>
      </c>
      <c r="AA138" s="3"/>
      <c r="AB138" s="3"/>
      <c r="AC138" s="3">
        <v>15003</v>
      </c>
      <c r="AD138" s="3">
        <f t="shared" ref="AD138:AD143" si="89">AE138-AC138</f>
        <v>7497</v>
      </c>
      <c r="AE138" s="3">
        <v>22500</v>
      </c>
      <c r="AF138" s="3">
        <f t="shared" ref="AF138:AF143" si="90">AE138-Y138</f>
        <v>-2500</v>
      </c>
      <c r="AG138" s="4"/>
      <c r="AH138" s="4">
        <v>40000</v>
      </c>
      <c r="AJ138" s="3">
        <v>11139</v>
      </c>
      <c r="AK138" s="3">
        <f t="shared" ref="AK138:AK143" si="91">AL138-AJ138</f>
        <v>28861</v>
      </c>
      <c r="AL138" s="3">
        <v>40000</v>
      </c>
      <c r="AM138" s="3">
        <f t="shared" ref="AM138:AM143" si="92">AL138-AH138</f>
        <v>0</v>
      </c>
      <c r="AO138" s="3">
        <f>AH138*1.025</f>
        <v>41000</v>
      </c>
      <c r="AP138" s="3"/>
      <c r="AQ138" s="3">
        <f>AO138*1.025</f>
        <v>42024.999999999993</v>
      </c>
      <c r="AR138" s="3"/>
      <c r="AS138" s="3">
        <f>AQ138*1.025</f>
        <v>43075.624999999985</v>
      </c>
      <c r="AT138" s="3"/>
      <c r="AU138" s="3">
        <f>AS138*1.025</f>
        <v>44152.515624999978</v>
      </c>
      <c r="AV138" s="42"/>
      <c r="AW138" s="3">
        <f>AU138*1.025</f>
        <v>45256.328515624977</v>
      </c>
      <c r="AX138" s="42"/>
      <c r="AY138" s="3">
        <f>AW138*1.025</f>
        <v>46387.7367285156</v>
      </c>
      <c r="AZ138" s="42"/>
      <c r="BA138" s="3">
        <f>AY138*1.025</f>
        <v>47547.430146728482</v>
      </c>
      <c r="BB138" s="42"/>
      <c r="BC138" s="3">
        <f>BA138*1.025</f>
        <v>48736.11590039669</v>
      </c>
      <c r="BD138" s="42"/>
      <c r="BE138" s="3">
        <f>BC138*1.025</f>
        <v>49954.518797906603</v>
      </c>
    </row>
    <row r="139" spans="1:57" x14ac:dyDescent="0.25">
      <c r="A139" s="3" t="s">
        <v>119</v>
      </c>
      <c r="B139" s="3">
        <v>40000</v>
      </c>
      <c r="D139" s="3">
        <v>26628</v>
      </c>
      <c r="E139" s="3">
        <f t="shared" si="81"/>
        <v>13372</v>
      </c>
      <c r="F139" s="3">
        <v>40000</v>
      </c>
      <c r="H139" s="32">
        <f t="shared" si="82"/>
        <v>0</v>
      </c>
      <c r="I139" s="32"/>
      <c r="J139" s="4">
        <v>26628</v>
      </c>
      <c r="K139" s="4">
        <f t="shared" si="83"/>
        <v>13372</v>
      </c>
      <c r="L139" s="4">
        <v>40000</v>
      </c>
      <c r="N139" s="4">
        <f t="shared" si="84"/>
        <v>0</v>
      </c>
      <c r="P139" s="3">
        <f>L139*1.025</f>
        <v>41000</v>
      </c>
      <c r="Q139" s="3"/>
      <c r="R139" s="3">
        <v>600</v>
      </c>
      <c r="S139" s="3">
        <f t="shared" si="85"/>
        <v>36900</v>
      </c>
      <c r="T139" s="3">
        <v>37500</v>
      </c>
      <c r="U139" s="3">
        <f t="shared" si="86"/>
        <v>-3500</v>
      </c>
      <c r="V139" s="3">
        <v>5887</v>
      </c>
      <c r="W139" s="3">
        <f t="shared" si="87"/>
        <v>21613</v>
      </c>
      <c r="X139" s="3"/>
      <c r="Y139" s="3">
        <v>27500</v>
      </c>
      <c r="Z139" s="3">
        <f t="shared" si="88"/>
        <v>-10000</v>
      </c>
      <c r="AA139" s="3"/>
      <c r="AB139" s="3"/>
      <c r="AC139" s="3">
        <v>5887</v>
      </c>
      <c r="AD139" s="3">
        <f t="shared" si="89"/>
        <v>11613</v>
      </c>
      <c r="AE139" s="3">
        <v>17500</v>
      </c>
      <c r="AF139" s="3">
        <f t="shared" si="90"/>
        <v>-10000</v>
      </c>
      <c r="AG139" s="4"/>
      <c r="AH139" s="4">
        <v>20000</v>
      </c>
      <c r="AJ139" s="3">
        <v>6040</v>
      </c>
      <c r="AK139" s="3">
        <f t="shared" si="91"/>
        <v>13960</v>
      </c>
      <c r="AL139" s="3">
        <v>20000</v>
      </c>
      <c r="AM139" s="3">
        <f t="shared" si="92"/>
        <v>0</v>
      </c>
      <c r="AO139" s="3">
        <f>AH139*1.025</f>
        <v>20500</v>
      </c>
      <c r="AP139" s="3"/>
      <c r="AQ139" s="3">
        <f>AO139*1.025</f>
        <v>21012.499999999996</v>
      </c>
      <c r="AR139" s="3"/>
      <c r="AS139" s="3">
        <f>AQ139*1.025</f>
        <v>21537.812499999993</v>
      </c>
      <c r="AT139" s="3"/>
      <c r="AU139" s="3">
        <f>AS139*1.025</f>
        <v>22076.257812499989</v>
      </c>
      <c r="AV139" s="42"/>
      <c r="AW139" s="3">
        <f>AU139*1.025</f>
        <v>22628.164257812488</v>
      </c>
      <c r="AX139" s="42"/>
      <c r="AY139" s="3">
        <f>AW139*1.025</f>
        <v>23193.8683642578</v>
      </c>
      <c r="AZ139" s="42"/>
      <c r="BA139" s="3">
        <f>AY139*1.025</f>
        <v>23773.715073364241</v>
      </c>
      <c r="BB139" s="42"/>
      <c r="BC139" s="3">
        <f>BA139*1.025</f>
        <v>24368.057950198345</v>
      </c>
      <c r="BD139" s="42"/>
      <c r="BE139" s="3">
        <f>BC139*1.025</f>
        <v>24977.259398953302</v>
      </c>
    </row>
    <row r="140" spans="1:57" x14ac:dyDescent="0.25">
      <c r="A140" s="3" t="s">
        <v>90</v>
      </c>
      <c r="B140" s="3">
        <v>1000</v>
      </c>
      <c r="D140" s="3"/>
      <c r="E140" s="3">
        <f t="shared" si="81"/>
        <v>1000</v>
      </c>
      <c r="F140" s="3">
        <v>1000</v>
      </c>
      <c r="H140" s="32">
        <f t="shared" si="82"/>
        <v>0</v>
      </c>
      <c r="I140" s="32"/>
      <c r="J140" s="4"/>
      <c r="K140" s="4">
        <f t="shared" si="83"/>
        <v>1000</v>
      </c>
      <c r="L140" s="4">
        <v>1000</v>
      </c>
      <c r="N140" s="4">
        <f t="shared" si="84"/>
        <v>0</v>
      </c>
      <c r="P140" s="3">
        <f>L140*1.025+75</f>
        <v>1100</v>
      </c>
      <c r="Q140" s="3"/>
      <c r="R140" s="3"/>
      <c r="S140" s="3">
        <f t="shared" si="85"/>
        <v>1100</v>
      </c>
      <c r="T140" s="3">
        <v>1100</v>
      </c>
      <c r="U140" s="3">
        <f t="shared" si="86"/>
        <v>0</v>
      </c>
      <c r="V140" s="3"/>
      <c r="W140" s="3">
        <f t="shared" si="87"/>
        <v>1000</v>
      </c>
      <c r="X140" s="3"/>
      <c r="Y140" s="3">
        <v>1000</v>
      </c>
      <c r="Z140" s="3">
        <f t="shared" si="88"/>
        <v>-100</v>
      </c>
      <c r="AA140" s="3"/>
      <c r="AB140" s="3"/>
      <c r="AC140" s="3"/>
      <c r="AD140" s="3">
        <f t="shared" si="89"/>
        <v>1000</v>
      </c>
      <c r="AE140" s="3">
        <v>1000</v>
      </c>
      <c r="AF140" s="3">
        <f t="shared" si="90"/>
        <v>0</v>
      </c>
      <c r="AG140" s="4"/>
      <c r="AH140" s="4">
        <v>1500</v>
      </c>
      <c r="AJ140" s="3"/>
      <c r="AK140" s="3">
        <f t="shared" si="91"/>
        <v>1500</v>
      </c>
      <c r="AL140" s="3">
        <v>1500</v>
      </c>
      <c r="AM140" s="3">
        <f t="shared" si="92"/>
        <v>0</v>
      </c>
      <c r="AO140" s="3">
        <f>AH140*1.025</f>
        <v>1537.4999999999998</v>
      </c>
      <c r="AP140" s="3"/>
      <c r="AQ140" s="3">
        <f>AO140*1.025</f>
        <v>1575.9374999999995</v>
      </c>
      <c r="AR140" s="3"/>
      <c r="AS140" s="3">
        <f>AQ140*1.025</f>
        <v>1615.3359374999993</v>
      </c>
      <c r="AT140" s="3"/>
      <c r="AU140" s="3">
        <f>AS140*1.025</f>
        <v>1655.7193359374992</v>
      </c>
      <c r="AV140" s="42"/>
      <c r="AW140" s="3">
        <f>AU140*1.025</f>
        <v>1697.1123193359365</v>
      </c>
      <c r="AX140" s="42"/>
      <c r="AY140" s="3">
        <f>AW140*1.025</f>
        <v>1739.5401273193347</v>
      </c>
      <c r="AZ140" s="42"/>
      <c r="BA140" s="3">
        <f>AY140*1.025</f>
        <v>1783.028630502318</v>
      </c>
      <c r="BB140" s="42"/>
      <c r="BC140" s="3">
        <f>BA140*1.025</f>
        <v>1827.6043462648759</v>
      </c>
      <c r="BD140" s="42"/>
      <c r="BE140" s="3">
        <f>BC140*1.025</f>
        <v>1873.2944549214976</v>
      </c>
    </row>
    <row r="141" spans="1:57" x14ac:dyDescent="0.25">
      <c r="A141" s="3" t="s">
        <v>120</v>
      </c>
      <c r="B141" s="3"/>
      <c r="D141" s="3"/>
      <c r="E141" s="3">
        <f t="shared" si="81"/>
        <v>0</v>
      </c>
      <c r="F141" s="3"/>
      <c r="H141" s="32">
        <f t="shared" si="82"/>
        <v>0</v>
      </c>
      <c r="I141" s="32"/>
      <c r="J141" s="4"/>
      <c r="K141" s="4">
        <f t="shared" si="83"/>
        <v>0</v>
      </c>
      <c r="L141" s="4"/>
      <c r="N141" s="4">
        <f t="shared" si="84"/>
        <v>0</v>
      </c>
      <c r="P141" s="3"/>
      <c r="Q141" s="3"/>
      <c r="R141" s="3"/>
      <c r="S141" s="3">
        <f t="shared" si="85"/>
        <v>0</v>
      </c>
      <c r="T141" s="3"/>
      <c r="U141" s="3">
        <f t="shared" si="86"/>
        <v>0</v>
      </c>
      <c r="V141" s="3"/>
      <c r="W141" s="3">
        <f t="shared" si="87"/>
        <v>0</v>
      </c>
      <c r="X141" s="3"/>
      <c r="Y141" s="3"/>
      <c r="Z141" s="3">
        <f t="shared" si="88"/>
        <v>0</v>
      </c>
      <c r="AA141" s="3"/>
      <c r="AB141" s="3"/>
      <c r="AC141" s="3"/>
      <c r="AD141" s="3">
        <f t="shared" si="89"/>
        <v>0</v>
      </c>
      <c r="AE141" s="3"/>
      <c r="AF141" s="3">
        <f t="shared" si="90"/>
        <v>0</v>
      </c>
      <c r="AG141" s="4"/>
      <c r="AH141" s="4"/>
      <c r="AJ141" s="3"/>
      <c r="AK141" s="3">
        <f t="shared" si="91"/>
        <v>0</v>
      </c>
      <c r="AL141" s="3"/>
      <c r="AM141" s="3">
        <f t="shared" si="92"/>
        <v>0</v>
      </c>
      <c r="AO141" s="3"/>
      <c r="AP141" s="3"/>
      <c r="AQ141" s="3"/>
      <c r="AR141" s="3"/>
      <c r="AS141" s="3"/>
      <c r="AT141" s="3"/>
      <c r="AU141" s="3"/>
      <c r="AV141" s="42"/>
      <c r="AW141" s="3"/>
      <c r="AX141" s="42"/>
      <c r="AY141" s="3"/>
      <c r="AZ141" s="42"/>
      <c r="BA141" s="3"/>
      <c r="BB141" s="42"/>
      <c r="BC141" s="3"/>
      <c r="BD141" s="42"/>
      <c r="BE141" s="3"/>
    </row>
    <row r="142" spans="1:57" x14ac:dyDescent="0.25">
      <c r="A142" s="3" t="s">
        <v>121</v>
      </c>
      <c r="B142" s="3"/>
      <c r="D142" s="3"/>
      <c r="E142" s="3">
        <f t="shared" si="81"/>
        <v>0</v>
      </c>
      <c r="F142" s="3"/>
      <c r="H142" s="32">
        <f t="shared" si="82"/>
        <v>0</v>
      </c>
      <c r="I142" s="32"/>
      <c r="J142" s="4"/>
      <c r="K142" s="4">
        <f t="shared" si="83"/>
        <v>0</v>
      </c>
      <c r="L142" s="4"/>
      <c r="N142" s="4">
        <f t="shared" si="84"/>
        <v>0</v>
      </c>
      <c r="P142" s="3"/>
      <c r="Q142" s="3"/>
      <c r="R142" s="3"/>
      <c r="S142" s="3">
        <f t="shared" si="85"/>
        <v>0</v>
      </c>
      <c r="T142" s="3"/>
      <c r="U142" s="3">
        <f t="shared" si="86"/>
        <v>0</v>
      </c>
      <c r="V142" s="3"/>
      <c r="W142" s="3">
        <f t="shared" si="87"/>
        <v>0</v>
      </c>
      <c r="X142" s="3"/>
      <c r="Y142" s="3"/>
      <c r="Z142" s="3">
        <f t="shared" si="88"/>
        <v>0</v>
      </c>
      <c r="AA142" s="3"/>
      <c r="AB142" s="3"/>
      <c r="AC142" s="3"/>
      <c r="AD142" s="3">
        <f t="shared" si="89"/>
        <v>0</v>
      </c>
      <c r="AE142" s="3"/>
      <c r="AF142" s="3">
        <f t="shared" si="90"/>
        <v>0</v>
      </c>
      <c r="AG142" s="4"/>
      <c r="AH142" s="4"/>
      <c r="AJ142" s="3"/>
      <c r="AK142" s="3">
        <f t="shared" si="91"/>
        <v>0</v>
      </c>
      <c r="AL142" s="3"/>
      <c r="AM142" s="3">
        <f t="shared" si="92"/>
        <v>0</v>
      </c>
      <c r="AO142" s="3"/>
      <c r="AP142" s="3"/>
      <c r="AQ142" s="3"/>
      <c r="AR142" s="3"/>
      <c r="AS142" s="3"/>
      <c r="AT142" s="3"/>
      <c r="AU142" s="3"/>
      <c r="AV142" s="42"/>
      <c r="AW142" s="3"/>
      <c r="AX142" s="42"/>
      <c r="AY142" s="3"/>
      <c r="AZ142" s="42"/>
      <c r="BA142" s="3"/>
      <c r="BB142" s="42"/>
      <c r="BC142" s="3"/>
      <c r="BD142" s="42"/>
      <c r="BE142" s="3"/>
    </row>
    <row r="143" spans="1:57" x14ac:dyDescent="0.25">
      <c r="A143" s="3" t="s">
        <v>122</v>
      </c>
      <c r="B143" s="3">
        <v>6600</v>
      </c>
      <c r="D143" s="3">
        <v>2315</v>
      </c>
      <c r="E143" s="3">
        <f t="shared" si="81"/>
        <v>4685</v>
      </c>
      <c r="F143" s="3">
        <v>7000</v>
      </c>
      <c r="H143" s="32">
        <f t="shared" si="82"/>
        <v>400</v>
      </c>
      <c r="I143" s="32"/>
      <c r="J143" s="4">
        <v>5416</v>
      </c>
      <c r="K143" s="4">
        <f t="shared" si="83"/>
        <v>2084</v>
      </c>
      <c r="L143" s="4">
        <v>7500</v>
      </c>
      <c r="N143" s="4">
        <f t="shared" si="84"/>
        <v>500</v>
      </c>
      <c r="P143" s="3">
        <f>L143*1.025+12</f>
        <v>7699.4999999999991</v>
      </c>
      <c r="Q143" s="3"/>
      <c r="R143" s="3">
        <v>2985</v>
      </c>
      <c r="S143" s="3">
        <f t="shared" si="85"/>
        <v>4715</v>
      </c>
      <c r="T143" s="3">
        <v>7700</v>
      </c>
      <c r="U143" s="3">
        <f t="shared" si="86"/>
        <v>0.50000000000090949</v>
      </c>
      <c r="V143" s="3">
        <v>5946</v>
      </c>
      <c r="W143" s="3">
        <f t="shared" si="87"/>
        <v>3054</v>
      </c>
      <c r="X143" s="3"/>
      <c r="Y143" s="3">
        <v>9000</v>
      </c>
      <c r="Z143" s="3">
        <f t="shared" si="88"/>
        <v>1300</v>
      </c>
      <c r="AA143" s="3"/>
      <c r="AB143" s="3"/>
      <c r="AC143" s="3">
        <v>9081</v>
      </c>
      <c r="AD143" s="3">
        <f t="shared" si="89"/>
        <v>1919</v>
      </c>
      <c r="AE143" s="3">
        <v>11000</v>
      </c>
      <c r="AF143" s="3">
        <f t="shared" si="90"/>
        <v>2000</v>
      </c>
      <c r="AG143" s="4"/>
      <c r="AH143" s="4">
        <f>AE143*1.025+5</f>
        <v>11279.999999999998</v>
      </c>
      <c r="AJ143" s="3">
        <v>1646</v>
      </c>
      <c r="AK143" s="3">
        <f t="shared" si="91"/>
        <v>9634</v>
      </c>
      <c r="AL143" s="3">
        <v>11280</v>
      </c>
      <c r="AM143" s="3">
        <f t="shared" si="92"/>
        <v>0</v>
      </c>
      <c r="AO143" s="3">
        <f>AH143*1.025</f>
        <v>11561.999999999996</v>
      </c>
      <c r="AP143" s="3"/>
      <c r="AQ143" s="3">
        <f>AO143*1.025</f>
        <v>11851.049999999996</v>
      </c>
      <c r="AR143" s="3"/>
      <c r="AS143" s="3">
        <f>AQ143*1.025</f>
        <v>12147.326249999995</v>
      </c>
      <c r="AT143" s="3"/>
      <c r="AU143" s="3">
        <f>AS143*1.025</f>
        <v>12451.009406249994</v>
      </c>
      <c r="AV143" s="42"/>
      <c r="AW143" s="3">
        <f>AU143*1.025</f>
        <v>12762.284641406242</v>
      </c>
      <c r="AX143" s="42"/>
      <c r="AY143" s="3">
        <f>AW143*1.025</f>
        <v>13081.341757441398</v>
      </c>
      <c r="AZ143" s="42"/>
      <c r="BA143" s="3">
        <f>AY143*1.025</f>
        <v>13408.375301377431</v>
      </c>
      <c r="BB143" s="42"/>
      <c r="BC143" s="3">
        <f>BA143*1.025</f>
        <v>13743.584683911866</v>
      </c>
      <c r="BD143" s="42"/>
      <c r="BE143" s="3">
        <f>BC143*1.025</f>
        <v>14087.174301009662</v>
      </c>
    </row>
    <row r="144" spans="1:57" x14ac:dyDescent="0.25">
      <c r="A144" s="3"/>
      <c r="B144" s="48">
        <f>SUM(B138:B143)</f>
        <v>87600</v>
      </c>
      <c r="C144" s="32"/>
      <c r="D144" s="48">
        <f>SUM(D138:D143)</f>
        <v>35122</v>
      </c>
      <c r="E144" s="48">
        <f>SUM(E138:E143)</f>
        <v>52878</v>
      </c>
      <c r="F144" s="48">
        <f>SUM(F138:F143)</f>
        <v>88000</v>
      </c>
      <c r="G144" s="32"/>
      <c r="H144" s="48">
        <f>SUM(H138:H143)</f>
        <v>400</v>
      </c>
      <c r="I144" s="36"/>
      <c r="J144" s="48">
        <f>SUM(J138:J143)</f>
        <v>42887</v>
      </c>
      <c r="K144" s="48">
        <f>SUM(K138:K143)</f>
        <v>35613</v>
      </c>
      <c r="L144" s="48">
        <f>SUM(L138:L143)</f>
        <v>78500</v>
      </c>
      <c r="M144" s="32"/>
      <c r="N144" s="48">
        <f>SUM(N138:N143)</f>
        <v>-9500</v>
      </c>
      <c r="P144" s="48">
        <f>SUM(P138:P143)</f>
        <v>79799.5</v>
      </c>
      <c r="R144" s="48">
        <f t="shared" ref="R144:Z144" si="93">SUM(R138:R143)</f>
        <v>7861</v>
      </c>
      <c r="S144" s="48">
        <f t="shared" si="93"/>
        <v>65939</v>
      </c>
      <c r="T144" s="48">
        <f t="shared" si="93"/>
        <v>73800</v>
      </c>
      <c r="U144" s="48">
        <f t="shared" si="93"/>
        <v>-5999.4999999999955</v>
      </c>
      <c r="V144" s="48">
        <f t="shared" si="93"/>
        <v>22889</v>
      </c>
      <c r="W144" s="48">
        <f t="shared" si="93"/>
        <v>39611</v>
      </c>
      <c r="X144" s="48"/>
      <c r="Y144" s="48">
        <f t="shared" si="93"/>
        <v>62500</v>
      </c>
      <c r="Z144" s="48">
        <f t="shared" si="93"/>
        <v>-11300</v>
      </c>
      <c r="AC144" s="48">
        <f>SUM(AC138:AC143)</f>
        <v>29971</v>
      </c>
      <c r="AD144" s="48">
        <f>SUM(AD138:AD143)</f>
        <v>22029</v>
      </c>
      <c r="AE144" s="48">
        <f>SUM(AE138:AE143)</f>
        <v>52000</v>
      </c>
      <c r="AF144" s="48">
        <f>SUM(AF138:AF143)</f>
        <v>-10500</v>
      </c>
      <c r="AH144" s="36">
        <f>SUM(AH138:AH143)</f>
        <v>72780</v>
      </c>
      <c r="AI144" s="32"/>
      <c r="AJ144" s="48">
        <f>SUM(AJ138:AJ143)</f>
        <v>18825</v>
      </c>
      <c r="AK144" s="48">
        <f>SUM(AK138:AK143)</f>
        <v>53955</v>
      </c>
      <c r="AL144" s="48">
        <f>SUM(AL138:AL143)</f>
        <v>72780</v>
      </c>
      <c r="AM144" s="48">
        <f>SUM(AM138:AM143)</f>
        <v>0</v>
      </c>
      <c r="AN144" s="32"/>
      <c r="AO144" s="48">
        <f>SUM(AO138:AO143)-1</f>
        <v>74598.5</v>
      </c>
      <c r="AQ144" s="48">
        <f>SUM(AQ138:AQ143)</f>
        <v>76464.487499999988</v>
      </c>
      <c r="AS144" s="48">
        <f>SUM(AS138:AS143)</f>
        <v>78376.099687499969</v>
      </c>
      <c r="AT144" s="48"/>
      <c r="AU144" s="48">
        <f>SUM(AU138:AU143)</f>
        <v>80335.502179687464</v>
      </c>
      <c r="AW144" s="48">
        <f>SUM(AW138:AW143)</f>
        <v>82343.88973417964</v>
      </c>
      <c r="AY144" s="48">
        <f>SUM(AY138:AY143)</f>
        <v>84402.486977534136</v>
      </c>
      <c r="BA144" s="48">
        <f>SUM(BA138:BA143)</f>
        <v>86512.549151972475</v>
      </c>
      <c r="BC144" s="48">
        <f>SUM(BC138:BC143)</f>
        <v>88675.362880771776</v>
      </c>
      <c r="BD144" s="42"/>
      <c r="BE144" s="48">
        <f>SUM(BE138:BE143)</f>
        <v>90892.246952791058</v>
      </c>
    </row>
    <row r="145" spans="1:57" x14ac:dyDescent="0.25">
      <c r="A145" s="7" t="s">
        <v>123</v>
      </c>
    </row>
    <row r="146" spans="1:57" x14ac:dyDescent="0.25">
      <c r="A146" s="3" t="s">
        <v>124</v>
      </c>
      <c r="B146" s="3">
        <v>361300</v>
      </c>
      <c r="D146" s="3">
        <v>363333</v>
      </c>
      <c r="E146" s="3">
        <f t="shared" ref="E146:E154" si="94">F146-D146</f>
        <v>-33</v>
      </c>
      <c r="F146" s="3">
        <v>363300</v>
      </c>
      <c r="H146" s="32">
        <f t="shared" ref="H146:H154" si="95">F146-B146</f>
        <v>2000</v>
      </c>
      <c r="I146" s="32"/>
      <c r="J146" s="4">
        <v>363530</v>
      </c>
      <c r="K146" s="4">
        <f t="shared" ref="K146:K154" si="96">L146-J146</f>
        <v>0</v>
      </c>
      <c r="L146" s="4">
        <v>363530</v>
      </c>
      <c r="N146" s="4">
        <f t="shared" ref="N146:N154" si="97">L146-F146</f>
        <v>230</v>
      </c>
      <c r="P146" s="3">
        <f>L146*1.075+5</f>
        <v>390799.75</v>
      </c>
      <c r="Q146" s="3"/>
      <c r="R146" s="3">
        <v>393075</v>
      </c>
      <c r="S146" s="3">
        <f t="shared" ref="S146:S154" si="98">T146-R146</f>
        <v>0</v>
      </c>
      <c r="T146" s="3">
        <v>393075</v>
      </c>
      <c r="U146" s="3">
        <f t="shared" ref="U146:U151" si="99">T146-P146</f>
        <v>2275.25</v>
      </c>
      <c r="V146" s="3">
        <v>393724</v>
      </c>
      <c r="W146" s="3">
        <f t="shared" ref="W146:W154" si="100">Y146-V146</f>
        <v>-4</v>
      </c>
      <c r="X146" s="3"/>
      <c r="Y146" s="3">
        <v>393720</v>
      </c>
      <c r="Z146" s="3">
        <f t="shared" ref="Z146:Z154" si="101">Y146-T146</f>
        <v>645</v>
      </c>
      <c r="AA146" s="3"/>
      <c r="AB146" s="3"/>
      <c r="AC146" s="3">
        <v>393585</v>
      </c>
      <c r="AD146" s="3">
        <f t="shared" ref="AD146:AD154" si="102">AE146-AC146</f>
        <v>135</v>
      </c>
      <c r="AE146" s="3">
        <v>393720</v>
      </c>
      <c r="AF146" s="3">
        <f t="shared" ref="AF146:AF154" si="103">AE146-Y146</f>
        <v>0</v>
      </c>
      <c r="AG146" s="4"/>
      <c r="AH146" s="4">
        <f>AE146*1.05-6</f>
        <v>413400</v>
      </c>
      <c r="AJ146" s="3">
        <v>414906</v>
      </c>
      <c r="AK146" s="3">
        <f t="shared" ref="AK146:AK154" si="104">AL146-AJ146</f>
        <v>-1506</v>
      </c>
      <c r="AL146" s="3">
        <v>413400</v>
      </c>
      <c r="AM146" s="3">
        <f t="shared" ref="AM146:AM154" si="105">AL146-AH146</f>
        <v>0</v>
      </c>
      <c r="AO146" s="3">
        <f>AH146*1.05</f>
        <v>434070</v>
      </c>
      <c r="AP146" s="3"/>
      <c r="AQ146" s="3">
        <f>AO146*1.05</f>
        <v>455773.5</v>
      </c>
      <c r="AR146" s="3"/>
      <c r="AS146" s="3">
        <f>AQ146*1.05</f>
        <v>478562.17500000005</v>
      </c>
      <c r="AT146" s="3"/>
      <c r="AU146" s="3">
        <f>AS146*1.05</f>
        <v>502490.28375000006</v>
      </c>
      <c r="AV146" s="42"/>
      <c r="AW146" s="3">
        <f>AU146*1.05</f>
        <v>527614.79793750006</v>
      </c>
      <c r="AX146" s="42"/>
      <c r="AY146" s="3">
        <f>AW146*1.05</f>
        <v>553995.53783437505</v>
      </c>
      <c r="AZ146" s="42"/>
      <c r="BA146" s="3">
        <f>AY146*1.05</f>
        <v>581695.31472609378</v>
      </c>
      <c r="BB146" s="42"/>
      <c r="BC146" s="3">
        <f>BA146*1.05</f>
        <v>610780.08046239847</v>
      </c>
      <c r="BE146" s="3">
        <f>BC146*1.05</f>
        <v>641319.0844855184</v>
      </c>
    </row>
    <row r="147" spans="1:57" x14ac:dyDescent="0.25">
      <c r="A147" s="3" t="s">
        <v>125</v>
      </c>
      <c r="B147" s="3">
        <v>13500</v>
      </c>
      <c r="D147" s="3"/>
      <c r="E147" s="3">
        <f t="shared" si="94"/>
        <v>13500</v>
      </c>
      <c r="F147" s="3">
        <v>13500</v>
      </c>
      <c r="H147" s="32">
        <f t="shared" si="95"/>
        <v>0</v>
      </c>
      <c r="I147" s="32"/>
      <c r="J147" s="4">
        <v>0</v>
      </c>
      <c r="K147" s="4">
        <f t="shared" si="96"/>
        <v>13500</v>
      </c>
      <c r="L147" s="4">
        <v>13500</v>
      </c>
      <c r="N147" s="4">
        <f t="shared" si="97"/>
        <v>0</v>
      </c>
      <c r="P147" s="3">
        <f>13600*1.02-22</f>
        <v>13850</v>
      </c>
      <c r="Q147" s="3"/>
      <c r="R147" s="3">
        <v>0</v>
      </c>
      <c r="S147" s="3">
        <f t="shared" si="98"/>
        <v>13850</v>
      </c>
      <c r="T147" s="3">
        <v>13850</v>
      </c>
      <c r="U147" s="3">
        <f t="shared" si="99"/>
        <v>0</v>
      </c>
      <c r="V147" s="3"/>
      <c r="W147" s="3">
        <f t="shared" si="100"/>
        <v>13850</v>
      </c>
      <c r="X147" s="3"/>
      <c r="Y147" s="3">
        <v>13850</v>
      </c>
      <c r="Z147" s="3">
        <f t="shared" si="101"/>
        <v>0</v>
      </c>
      <c r="AA147" s="3"/>
      <c r="AB147" s="3"/>
      <c r="AC147" s="3">
        <v>14589</v>
      </c>
      <c r="AD147" s="3">
        <f t="shared" si="102"/>
        <v>1</v>
      </c>
      <c r="AE147" s="3">
        <v>14590</v>
      </c>
      <c r="AF147" s="3">
        <f t="shared" si="103"/>
        <v>740</v>
      </c>
      <c r="AG147" s="4"/>
      <c r="AH147" s="4">
        <f>AE147*1.02-32</f>
        <v>14849.800000000001</v>
      </c>
      <c r="AJ147" s="3"/>
      <c r="AK147" s="3">
        <f t="shared" si="104"/>
        <v>14850</v>
      </c>
      <c r="AL147" s="3">
        <v>14850</v>
      </c>
      <c r="AM147" s="3">
        <f t="shared" si="105"/>
        <v>0.19999999999890861</v>
      </c>
      <c r="AO147" s="3">
        <f>AH147*1.02</f>
        <v>15146.796000000002</v>
      </c>
      <c r="AP147" s="3"/>
      <c r="AQ147" s="3">
        <f>AO147*1.02</f>
        <v>15449.731920000002</v>
      </c>
      <c r="AR147" s="3"/>
      <c r="AS147" s="3">
        <f>AQ147*1.02</f>
        <v>15758.726558400002</v>
      </c>
      <c r="AT147" s="3"/>
      <c r="AU147" s="3">
        <f>AS147*1.02</f>
        <v>16073.901089568002</v>
      </c>
      <c r="AV147" s="42"/>
      <c r="AW147" s="3">
        <f>AU147*1.02</f>
        <v>16395.379111359362</v>
      </c>
      <c r="AX147" s="42"/>
      <c r="AY147" s="3">
        <f>AW147*1.02</f>
        <v>16723.28669358655</v>
      </c>
      <c r="AZ147" s="42"/>
      <c r="BA147" s="3">
        <f>AY147*1.02</f>
        <v>17057.752427458279</v>
      </c>
      <c r="BB147" s="42"/>
      <c r="BC147" s="3">
        <f>BA147*1.02</f>
        <v>17398.907476007444</v>
      </c>
      <c r="BE147" s="3">
        <f>BC147*1.02</f>
        <v>17746.885625527593</v>
      </c>
    </row>
    <row r="148" spans="1:57" x14ac:dyDescent="0.25">
      <c r="A148" s="3" t="s">
        <v>126</v>
      </c>
      <c r="B148" s="3">
        <v>1850</v>
      </c>
      <c r="D148" s="3">
        <v>855</v>
      </c>
      <c r="E148" s="3">
        <f t="shared" si="94"/>
        <v>995</v>
      </c>
      <c r="F148" s="3">
        <v>1850</v>
      </c>
      <c r="H148" s="32">
        <f t="shared" si="95"/>
        <v>0</v>
      </c>
      <c r="I148" s="32"/>
      <c r="J148" s="4">
        <v>982</v>
      </c>
      <c r="K148" s="4">
        <f t="shared" si="96"/>
        <v>868</v>
      </c>
      <c r="L148" s="4">
        <v>1850</v>
      </c>
      <c r="N148" s="4">
        <f t="shared" si="97"/>
        <v>0</v>
      </c>
      <c r="P148" s="3">
        <f>L148*1.025+4</f>
        <v>1900.2499999999998</v>
      </c>
      <c r="Q148" s="3"/>
      <c r="R148" s="3">
        <v>855</v>
      </c>
      <c r="S148" s="3">
        <f t="shared" si="98"/>
        <v>1045</v>
      </c>
      <c r="T148" s="3">
        <v>1900</v>
      </c>
      <c r="U148" s="3">
        <f t="shared" si="99"/>
        <v>-0.24999999999977263</v>
      </c>
      <c r="V148" s="3">
        <v>1236</v>
      </c>
      <c r="W148" s="3">
        <f t="shared" si="100"/>
        <v>664</v>
      </c>
      <c r="X148" s="3"/>
      <c r="Y148" s="3">
        <v>1900</v>
      </c>
      <c r="Z148" s="3">
        <f t="shared" si="101"/>
        <v>0</v>
      </c>
      <c r="AA148" s="3"/>
      <c r="AB148" s="3"/>
      <c r="AC148" s="3">
        <v>1673</v>
      </c>
      <c r="AD148" s="3">
        <f t="shared" si="102"/>
        <v>227</v>
      </c>
      <c r="AE148" s="3">
        <v>1900</v>
      </c>
      <c r="AF148" s="3">
        <f t="shared" si="103"/>
        <v>0</v>
      </c>
      <c r="AG148" s="4"/>
      <c r="AH148" s="4">
        <f>P148*1.025+2</f>
        <v>1949.7562499999997</v>
      </c>
      <c r="AJ148" s="3">
        <v>436</v>
      </c>
      <c r="AK148" s="3">
        <f t="shared" si="104"/>
        <v>1514</v>
      </c>
      <c r="AL148" s="3">
        <v>1950</v>
      </c>
      <c r="AM148" s="3">
        <f t="shared" si="105"/>
        <v>0.24375000000031832</v>
      </c>
      <c r="AO148" s="3">
        <f>AH148*1.025</f>
        <v>1998.5001562499995</v>
      </c>
      <c r="AP148" s="3"/>
      <c r="AQ148" s="3">
        <f>AO148*1.025</f>
        <v>2048.4626601562491</v>
      </c>
      <c r="AR148" s="3"/>
      <c r="AS148" s="3">
        <f>AQ148*1.025</f>
        <v>2099.674226660155</v>
      </c>
      <c r="AT148" s="3"/>
      <c r="AU148" s="3">
        <f>AS148*1.025</f>
        <v>2152.1660823266589</v>
      </c>
      <c r="AV148" s="42"/>
      <c r="AW148" s="3">
        <f>AU148*1.025</f>
        <v>2205.9702343848253</v>
      </c>
      <c r="AX148" s="42"/>
      <c r="AY148" s="3">
        <f>AW148*1.025</f>
        <v>2261.1194902444458</v>
      </c>
      <c r="AZ148" s="42"/>
      <c r="BA148" s="3">
        <f>AY148*1.025</f>
        <v>2317.6474775005568</v>
      </c>
      <c r="BB148" s="42"/>
      <c r="BC148" s="3">
        <f>BA148*1.025</f>
        <v>2375.5886644380703</v>
      </c>
      <c r="BE148" s="3">
        <f>BC148*1.025</f>
        <v>2434.9783810490217</v>
      </c>
    </row>
    <row r="149" spans="1:57" x14ac:dyDescent="0.25">
      <c r="A149" s="3" t="s">
        <v>127</v>
      </c>
      <c r="B149" s="3">
        <v>7400</v>
      </c>
      <c r="D149" s="3">
        <v>2440</v>
      </c>
      <c r="E149" s="3">
        <f t="shared" si="94"/>
        <v>4960</v>
      </c>
      <c r="F149" s="3">
        <v>7400</v>
      </c>
      <c r="H149" s="32">
        <f t="shared" si="95"/>
        <v>0</v>
      </c>
      <c r="I149" s="32"/>
      <c r="J149" s="4">
        <v>4428</v>
      </c>
      <c r="K149" s="4">
        <f t="shared" si="96"/>
        <v>2972</v>
      </c>
      <c r="L149" s="4">
        <v>7400</v>
      </c>
      <c r="N149" s="4">
        <f t="shared" si="97"/>
        <v>0</v>
      </c>
      <c r="P149" s="3">
        <f>L149*1.025+15</f>
        <v>7599.9999999999991</v>
      </c>
      <c r="Q149" s="3"/>
      <c r="R149" s="3">
        <v>1571</v>
      </c>
      <c r="S149" s="3">
        <f t="shared" si="98"/>
        <v>6029</v>
      </c>
      <c r="T149" s="3">
        <v>7600</v>
      </c>
      <c r="U149" s="3">
        <f t="shared" si="99"/>
        <v>0</v>
      </c>
      <c r="V149" s="3">
        <v>3655</v>
      </c>
      <c r="W149" s="3">
        <f t="shared" si="100"/>
        <v>3845</v>
      </c>
      <c r="X149" s="3"/>
      <c r="Y149" s="3">
        <v>7500</v>
      </c>
      <c r="Z149" s="3">
        <f t="shared" si="101"/>
        <v>-100</v>
      </c>
      <c r="AA149" s="3"/>
      <c r="AB149" s="3"/>
      <c r="AC149" s="3">
        <v>6387</v>
      </c>
      <c r="AD149" s="3">
        <f t="shared" si="102"/>
        <v>1113</v>
      </c>
      <c r="AE149" s="3">
        <v>7500</v>
      </c>
      <c r="AF149" s="3">
        <f t="shared" si="103"/>
        <v>0</v>
      </c>
      <c r="AG149" s="4"/>
      <c r="AH149" s="4">
        <v>9000</v>
      </c>
      <c r="AJ149" s="3">
        <v>2999</v>
      </c>
      <c r="AK149" s="3">
        <f t="shared" si="104"/>
        <v>6001</v>
      </c>
      <c r="AL149" s="3">
        <v>9000</v>
      </c>
      <c r="AM149" s="3">
        <f t="shared" si="105"/>
        <v>0</v>
      </c>
      <c r="AO149" s="3">
        <f>AH149*1.025</f>
        <v>9225</v>
      </c>
      <c r="AP149" s="3"/>
      <c r="AQ149" s="3">
        <f>AO149*1.025</f>
        <v>9455.625</v>
      </c>
      <c r="AR149" s="3"/>
      <c r="AS149" s="3">
        <f>AQ149*1.025</f>
        <v>9692.015625</v>
      </c>
      <c r="AT149" s="3"/>
      <c r="AU149" s="3">
        <f>AS149*1.025</f>
        <v>9934.3160156249996</v>
      </c>
      <c r="AV149" s="42"/>
      <c r="AW149" s="3">
        <f>AU149*1.025</f>
        <v>10182.673916015623</v>
      </c>
      <c r="AX149" s="42"/>
      <c r="AY149" s="3">
        <f>AW149*1.025</f>
        <v>10437.240763916012</v>
      </c>
      <c r="AZ149" s="42"/>
      <c r="BA149" s="3">
        <f>AY149*1.025</f>
        <v>10698.171783013911</v>
      </c>
      <c r="BB149" s="42"/>
      <c r="BC149" s="3">
        <f>BA149*1.025</f>
        <v>10965.626077589259</v>
      </c>
      <c r="BE149" s="3">
        <f>BC149*1.025</f>
        <v>11239.766729528988</v>
      </c>
    </row>
    <row r="150" spans="1:57" x14ac:dyDescent="0.25">
      <c r="A150" s="3" t="s">
        <v>128</v>
      </c>
      <c r="B150" s="3"/>
      <c r="D150" s="3"/>
      <c r="E150" s="3">
        <f t="shared" si="94"/>
        <v>0</v>
      </c>
      <c r="F150" s="3"/>
      <c r="H150" s="32">
        <f t="shared" si="95"/>
        <v>0</v>
      </c>
      <c r="I150" s="32"/>
      <c r="J150" s="4"/>
      <c r="K150" s="4">
        <f t="shared" si="96"/>
        <v>0</v>
      </c>
      <c r="L150" s="4"/>
      <c r="N150" s="4">
        <f t="shared" si="97"/>
        <v>0</v>
      </c>
      <c r="P150" s="3">
        <f>B150*1.03</f>
        <v>0</v>
      </c>
      <c r="Q150" s="3"/>
      <c r="R150" s="3"/>
      <c r="S150" s="3">
        <f t="shared" si="98"/>
        <v>0</v>
      </c>
      <c r="T150" s="3"/>
      <c r="U150" s="3">
        <f t="shared" si="99"/>
        <v>0</v>
      </c>
      <c r="V150" s="3"/>
      <c r="W150" s="3">
        <f t="shared" si="100"/>
        <v>0</v>
      </c>
      <c r="X150" s="3"/>
      <c r="Y150" s="3"/>
      <c r="Z150" s="3">
        <f t="shared" si="101"/>
        <v>0</v>
      </c>
      <c r="AA150" s="3"/>
      <c r="AB150" s="3"/>
      <c r="AC150" s="3"/>
      <c r="AD150" s="3">
        <f t="shared" si="102"/>
        <v>0</v>
      </c>
      <c r="AE150" s="3"/>
      <c r="AF150" s="3">
        <f t="shared" si="103"/>
        <v>0</v>
      </c>
      <c r="AG150" s="4"/>
      <c r="AH150" s="4">
        <f>P150*1.03</f>
        <v>0</v>
      </c>
      <c r="AJ150" s="3"/>
      <c r="AK150" s="3">
        <f t="shared" si="104"/>
        <v>0</v>
      </c>
      <c r="AL150" s="3"/>
      <c r="AM150" s="3">
        <f t="shared" si="105"/>
        <v>0</v>
      </c>
      <c r="AO150" s="3">
        <f>AH150*1.03</f>
        <v>0</v>
      </c>
      <c r="AP150" s="3"/>
      <c r="AQ150" s="3">
        <f>AO150*1.03</f>
        <v>0</v>
      </c>
      <c r="AR150" s="3"/>
      <c r="AS150" s="3">
        <f>AQ150*1.03</f>
        <v>0</v>
      </c>
      <c r="AT150" s="3"/>
      <c r="AU150" s="3">
        <f>AS150*1.03</f>
        <v>0</v>
      </c>
      <c r="AV150" s="42"/>
      <c r="AW150" s="3">
        <f>AU150*1.03</f>
        <v>0</v>
      </c>
      <c r="AX150" s="42"/>
      <c r="AY150" s="3">
        <f>AW150*1.03</f>
        <v>0</v>
      </c>
      <c r="AZ150" s="42"/>
      <c r="BA150" s="3">
        <f>AY150*1.03</f>
        <v>0</v>
      </c>
      <c r="BB150" s="42"/>
      <c r="BC150" s="3">
        <f>BA150*1.03</f>
        <v>0</v>
      </c>
      <c r="BE150" s="3">
        <f>BC150*1.03</f>
        <v>0</v>
      </c>
    </row>
    <row r="151" spans="1:57" x14ac:dyDescent="0.25">
      <c r="A151" s="3" t="s">
        <v>129</v>
      </c>
      <c r="B151" s="3">
        <v>5800</v>
      </c>
      <c r="D151" s="3">
        <v>818</v>
      </c>
      <c r="E151" s="3">
        <f t="shared" si="94"/>
        <v>4982</v>
      </c>
      <c r="F151" s="3">
        <v>5800</v>
      </c>
      <c r="H151" s="32">
        <f t="shared" si="95"/>
        <v>0</v>
      </c>
      <c r="I151" s="32"/>
      <c r="J151" s="4">
        <v>4449</v>
      </c>
      <c r="K151" s="4">
        <f t="shared" si="96"/>
        <v>1351</v>
      </c>
      <c r="L151" s="4">
        <v>5800</v>
      </c>
      <c r="N151" s="4">
        <f t="shared" si="97"/>
        <v>0</v>
      </c>
      <c r="P151" s="3"/>
      <c r="Q151" s="3"/>
      <c r="R151" s="3">
        <v>3638</v>
      </c>
      <c r="S151" s="3">
        <f t="shared" si="98"/>
        <v>2</v>
      </c>
      <c r="T151" s="3">
        <v>3640</v>
      </c>
      <c r="U151" s="3">
        <f t="shared" si="99"/>
        <v>3640</v>
      </c>
      <c r="V151" s="3">
        <v>17459</v>
      </c>
      <c r="W151" s="3">
        <f t="shared" si="100"/>
        <v>41</v>
      </c>
      <c r="X151" s="3"/>
      <c r="Y151" s="3">
        <v>17500</v>
      </c>
      <c r="Z151" s="3">
        <f t="shared" si="101"/>
        <v>13860</v>
      </c>
      <c r="AA151" s="3"/>
      <c r="AB151" s="3"/>
      <c r="AC151" s="3">
        <v>17495</v>
      </c>
      <c r="AD151" s="3">
        <f t="shared" si="102"/>
        <v>0</v>
      </c>
      <c r="AE151" s="3">
        <v>17495</v>
      </c>
      <c r="AF151" s="3">
        <f t="shared" si="103"/>
        <v>-5</v>
      </c>
      <c r="AG151" s="4"/>
      <c r="AH151" s="4"/>
      <c r="AJ151" s="3"/>
      <c r="AK151" s="3">
        <f t="shared" si="104"/>
        <v>0</v>
      </c>
      <c r="AL151" s="3"/>
      <c r="AM151" s="3">
        <f t="shared" si="105"/>
        <v>0</v>
      </c>
      <c r="AO151" s="3"/>
      <c r="AP151" s="3"/>
      <c r="AQ151" s="3"/>
      <c r="AR151" s="3"/>
      <c r="AS151" s="3"/>
      <c r="AT151" s="3"/>
      <c r="AU151" s="3"/>
      <c r="AV151" s="42"/>
      <c r="AW151" s="3"/>
      <c r="AX151" s="42"/>
      <c r="AY151" s="3"/>
      <c r="AZ151" s="42"/>
      <c r="BA151" s="3"/>
      <c r="BB151" s="42"/>
      <c r="BC151" s="3"/>
      <c r="BE151" s="3"/>
    </row>
    <row r="152" spans="1:57" x14ac:dyDescent="0.25">
      <c r="A152" s="3" t="s">
        <v>130</v>
      </c>
      <c r="B152" s="3">
        <v>800</v>
      </c>
      <c r="D152" s="3">
        <v>0</v>
      </c>
      <c r="E152" s="3">
        <f t="shared" si="94"/>
        <v>800</v>
      </c>
      <c r="F152" s="3">
        <v>800</v>
      </c>
      <c r="H152" s="32">
        <f t="shared" si="95"/>
        <v>0</v>
      </c>
      <c r="I152" s="32"/>
      <c r="J152" s="4"/>
      <c r="K152" s="4">
        <f t="shared" si="96"/>
        <v>800</v>
      </c>
      <c r="L152" s="4">
        <v>800</v>
      </c>
      <c r="N152" s="4">
        <f t="shared" si="97"/>
        <v>0</v>
      </c>
      <c r="P152" s="3">
        <f>L152*1.025+30</f>
        <v>849.99999999999989</v>
      </c>
      <c r="Q152" s="3"/>
      <c r="R152" s="3"/>
      <c r="S152" s="3">
        <f t="shared" si="98"/>
        <v>850</v>
      </c>
      <c r="T152" s="3">
        <v>850</v>
      </c>
      <c r="U152" s="3">
        <f>T152-P152</f>
        <v>0</v>
      </c>
      <c r="V152" s="3"/>
      <c r="W152" s="3">
        <f t="shared" si="100"/>
        <v>500</v>
      </c>
      <c r="X152" s="3"/>
      <c r="Y152" s="3">
        <v>500</v>
      </c>
      <c r="Z152" s="3">
        <f t="shared" si="101"/>
        <v>-350</v>
      </c>
      <c r="AA152" s="3"/>
      <c r="AB152" s="3"/>
      <c r="AC152" s="3"/>
      <c r="AD152" s="3">
        <f t="shared" si="102"/>
        <v>500</v>
      </c>
      <c r="AE152" s="3">
        <v>500</v>
      </c>
      <c r="AF152" s="3">
        <f t="shared" si="103"/>
        <v>0</v>
      </c>
      <c r="AG152" s="4"/>
      <c r="AH152" s="4">
        <f>AE152*1.025+37</f>
        <v>549.5</v>
      </c>
      <c r="AJ152" s="3">
        <v>0</v>
      </c>
      <c r="AK152" s="3">
        <f t="shared" si="104"/>
        <v>550</v>
      </c>
      <c r="AL152" s="3">
        <v>550</v>
      </c>
      <c r="AM152" s="3">
        <f t="shared" si="105"/>
        <v>0.5</v>
      </c>
      <c r="AO152" s="3">
        <f>AH152*1.025</f>
        <v>563.23749999999995</v>
      </c>
      <c r="AP152" s="3"/>
      <c r="AQ152" s="3">
        <f>AO152*1.025</f>
        <v>577.31843749999996</v>
      </c>
      <c r="AR152" s="3"/>
      <c r="AS152" s="3">
        <f>AQ152*1.025</f>
        <v>591.75139843749992</v>
      </c>
      <c r="AT152" s="3"/>
      <c r="AU152" s="3">
        <f>AS152*1.025</f>
        <v>606.54518339843742</v>
      </c>
      <c r="AV152" s="42"/>
      <c r="AW152" s="3">
        <f>AU152*1.025</f>
        <v>621.70881298339827</v>
      </c>
      <c r="AX152" s="42"/>
      <c r="AY152" s="3">
        <f>AW152*1.025</f>
        <v>637.25153330798321</v>
      </c>
      <c r="AZ152" s="42"/>
      <c r="BA152" s="3">
        <f>AY152*1.025</f>
        <v>653.18282164068273</v>
      </c>
      <c r="BB152" s="42"/>
      <c r="BC152" s="3">
        <f>BA152*1.025</f>
        <v>669.51239218169974</v>
      </c>
      <c r="BE152" s="3">
        <f>BC152*1.025</f>
        <v>686.25020198624213</v>
      </c>
    </row>
    <row r="153" spans="1:57" x14ac:dyDescent="0.25">
      <c r="A153" s="3" t="s">
        <v>131</v>
      </c>
      <c r="B153" s="3">
        <v>30000</v>
      </c>
      <c r="D153" s="3">
        <v>0</v>
      </c>
      <c r="E153" s="3">
        <f t="shared" si="94"/>
        <v>30000</v>
      </c>
      <c r="F153" s="3">
        <v>30000</v>
      </c>
      <c r="H153" s="32">
        <f t="shared" si="95"/>
        <v>0</v>
      </c>
      <c r="I153" s="32"/>
      <c r="J153" s="4">
        <v>0</v>
      </c>
      <c r="K153" s="4">
        <f t="shared" si="96"/>
        <v>30000</v>
      </c>
      <c r="L153" s="4">
        <v>30000</v>
      </c>
      <c r="N153" s="4">
        <f t="shared" si="97"/>
        <v>0</v>
      </c>
      <c r="P153" s="3"/>
      <c r="Q153" s="3"/>
      <c r="R153" s="3"/>
      <c r="S153" s="3">
        <f t="shared" si="98"/>
        <v>0</v>
      </c>
      <c r="T153" s="3"/>
      <c r="U153" s="3">
        <f>T153-P153</f>
        <v>0</v>
      </c>
      <c r="V153" s="3"/>
      <c r="W153" s="3">
        <f t="shared" si="100"/>
        <v>0</v>
      </c>
      <c r="X153" s="3"/>
      <c r="Y153" s="3"/>
      <c r="Z153" s="3">
        <f t="shared" si="101"/>
        <v>0</v>
      </c>
      <c r="AA153" s="3"/>
      <c r="AB153" s="3"/>
      <c r="AC153" s="3"/>
      <c r="AD153" s="3">
        <f t="shared" si="102"/>
        <v>0</v>
      </c>
      <c r="AE153" s="3"/>
      <c r="AF153" s="3">
        <f t="shared" si="103"/>
        <v>0</v>
      </c>
      <c r="AG153" s="4"/>
      <c r="AH153" s="4">
        <v>5000</v>
      </c>
      <c r="AJ153" s="3">
        <v>5000</v>
      </c>
      <c r="AK153" s="3">
        <f t="shared" si="104"/>
        <v>0</v>
      </c>
      <c r="AL153" s="3">
        <v>5000</v>
      </c>
      <c r="AM153" s="3">
        <f t="shared" si="105"/>
        <v>0</v>
      </c>
      <c r="AO153" s="3">
        <v>75000</v>
      </c>
      <c r="AP153" s="3"/>
      <c r="AQ153" s="3">
        <f>AO153*1.05</f>
        <v>78750</v>
      </c>
      <c r="AR153" s="3"/>
      <c r="AS153" s="3">
        <f>AQ153*1.05</f>
        <v>82687.5</v>
      </c>
      <c r="AT153" s="3"/>
      <c r="AU153" s="3">
        <f>AS153*1.05</f>
        <v>86821.875</v>
      </c>
      <c r="AV153" s="42"/>
      <c r="AW153" s="3">
        <f>AU153*1.05</f>
        <v>91162.96875</v>
      </c>
      <c r="AX153" s="42"/>
      <c r="AY153" s="3">
        <f>AW153*1.05</f>
        <v>95721.1171875</v>
      </c>
      <c r="AZ153" s="42"/>
      <c r="BA153" s="3">
        <f>AY153*1.05</f>
        <v>100507.173046875</v>
      </c>
      <c r="BB153" s="42"/>
      <c r="BC153" s="3">
        <f>BA153*1.05</f>
        <v>105532.53169921876</v>
      </c>
      <c r="BE153" s="3">
        <f>BC153*1.05</f>
        <v>110809.15828417971</v>
      </c>
    </row>
    <row r="154" spans="1:57" x14ac:dyDescent="0.25">
      <c r="A154" s="3" t="s">
        <v>132</v>
      </c>
      <c r="B154" s="3">
        <v>15000</v>
      </c>
      <c r="D154" s="3">
        <v>0</v>
      </c>
      <c r="E154" s="3">
        <f t="shared" si="94"/>
        <v>15000</v>
      </c>
      <c r="F154" s="3">
        <v>15000</v>
      </c>
      <c r="H154" s="32">
        <f t="shared" si="95"/>
        <v>0</v>
      </c>
      <c r="I154" s="32"/>
      <c r="J154" s="4">
        <v>10559</v>
      </c>
      <c r="K154" s="4">
        <f t="shared" si="96"/>
        <v>4441</v>
      </c>
      <c r="L154" s="4">
        <v>15000</v>
      </c>
      <c r="N154" s="4">
        <f t="shared" si="97"/>
        <v>0</v>
      </c>
      <c r="P154" s="3">
        <f>L154*1.025+25</f>
        <v>15399.999999999998</v>
      </c>
      <c r="Q154" s="3"/>
      <c r="R154" s="3"/>
      <c r="S154" s="3">
        <f t="shared" si="98"/>
        <v>15400</v>
      </c>
      <c r="T154" s="3">
        <v>15400</v>
      </c>
      <c r="U154" s="3">
        <f>T154-P154</f>
        <v>0</v>
      </c>
      <c r="V154" s="3"/>
      <c r="W154" s="3">
        <f t="shared" si="100"/>
        <v>15400</v>
      </c>
      <c r="X154" s="3"/>
      <c r="Y154" s="3">
        <v>15400</v>
      </c>
      <c r="Z154" s="3">
        <f t="shared" si="101"/>
        <v>0</v>
      </c>
      <c r="AA154" s="3"/>
      <c r="AB154" s="3"/>
      <c r="AC154" s="3"/>
      <c r="AD154" s="3">
        <f t="shared" si="102"/>
        <v>15400</v>
      </c>
      <c r="AE154" s="3">
        <v>15400</v>
      </c>
      <c r="AF154" s="3">
        <f t="shared" si="103"/>
        <v>0</v>
      </c>
      <c r="AG154" s="4"/>
      <c r="AH154" s="4">
        <v>50000</v>
      </c>
      <c r="AJ154" s="3">
        <v>0</v>
      </c>
      <c r="AK154" s="3">
        <f t="shared" si="104"/>
        <v>50000</v>
      </c>
      <c r="AL154" s="3">
        <v>50000</v>
      </c>
      <c r="AM154" s="3">
        <f t="shared" si="105"/>
        <v>0</v>
      </c>
      <c r="AO154" s="3">
        <v>30000</v>
      </c>
      <c r="AP154" s="3"/>
      <c r="AQ154" s="3">
        <f>AO154*1.025</f>
        <v>30749.999999999996</v>
      </c>
      <c r="AR154" s="3"/>
      <c r="AS154" s="3">
        <f>AQ154*1.025</f>
        <v>31518.749999999993</v>
      </c>
      <c r="AT154" s="3"/>
      <c r="AU154" s="3">
        <f>AS154*1.025</f>
        <v>32306.718749999989</v>
      </c>
      <c r="AV154" s="42"/>
      <c r="AW154" s="3">
        <f>AU154*1.025</f>
        <v>33114.386718749985</v>
      </c>
      <c r="AX154" s="42"/>
      <c r="AY154" s="3">
        <f>AW154*1.025</f>
        <v>33942.246386718733</v>
      </c>
      <c r="AZ154" s="42"/>
      <c r="BA154" s="3">
        <f>AY154*1.025</f>
        <v>34790.802546386694</v>
      </c>
      <c r="BB154" s="42"/>
      <c r="BC154" s="3">
        <f>BA154*1.025</f>
        <v>35660.572610046358</v>
      </c>
      <c r="BE154" s="3">
        <f>BC154*1.025</f>
        <v>36552.086925297517</v>
      </c>
    </row>
    <row r="155" spans="1:57" x14ac:dyDescent="0.25">
      <c r="A155" s="3"/>
      <c r="B155" s="48">
        <f>SUM(B146:B154)</f>
        <v>435650</v>
      </c>
      <c r="C155" s="32"/>
      <c r="D155" s="48">
        <f>SUM(D146:D154)-1</f>
        <v>367445</v>
      </c>
      <c r="E155" s="48">
        <f>SUM(E146:E154)</f>
        <v>70204</v>
      </c>
      <c r="F155" s="48">
        <f>SUM(F146:F154)</f>
        <v>437650</v>
      </c>
      <c r="G155" s="32"/>
      <c r="H155" s="48">
        <f>SUM(H146:H154)</f>
        <v>2000</v>
      </c>
      <c r="I155" s="36"/>
      <c r="J155" s="48">
        <f>SUM(J146:J154)</f>
        <v>383948</v>
      </c>
      <c r="K155" s="48">
        <f>SUM(K146:K154)</f>
        <v>53932</v>
      </c>
      <c r="L155" s="48">
        <f>SUM(L146:L154)</f>
        <v>437880</v>
      </c>
      <c r="M155" s="32"/>
      <c r="N155" s="48">
        <f>SUM(N146:N154)</f>
        <v>230</v>
      </c>
      <c r="P155" s="48">
        <f>SUM(P146:P154)</f>
        <v>430400</v>
      </c>
      <c r="R155" s="48">
        <f t="shared" ref="R155:Z155" si="106">SUM(R146:R154)</f>
        <v>399139</v>
      </c>
      <c r="S155" s="48">
        <f t="shared" si="106"/>
        <v>37176</v>
      </c>
      <c r="T155" s="48">
        <f t="shared" si="106"/>
        <v>436315</v>
      </c>
      <c r="U155" s="48">
        <f t="shared" si="106"/>
        <v>5915</v>
      </c>
      <c r="V155" s="48">
        <f t="shared" si="106"/>
        <v>416074</v>
      </c>
      <c r="W155" s="48">
        <f t="shared" si="106"/>
        <v>34296</v>
      </c>
      <c r="X155" s="48"/>
      <c r="Y155" s="48">
        <f t="shared" si="106"/>
        <v>450370</v>
      </c>
      <c r="Z155" s="48">
        <f t="shared" si="106"/>
        <v>14055</v>
      </c>
      <c r="AC155" s="48">
        <f>SUM(AC146:AC154)</f>
        <v>433729</v>
      </c>
      <c r="AD155" s="48">
        <f>SUM(AD146:AD154)</f>
        <v>17376</v>
      </c>
      <c r="AE155" s="48">
        <f>SUM(AE146:AE154)</f>
        <v>451105</v>
      </c>
      <c r="AF155" s="48">
        <f>SUM(AF146:AF154)</f>
        <v>735</v>
      </c>
      <c r="AH155" s="36">
        <f>SUM(AH146:AH154)+1</f>
        <v>494750.05624999997</v>
      </c>
      <c r="AI155" s="32"/>
      <c r="AJ155" s="48">
        <f>SUM(AJ146:AJ154)</f>
        <v>423341</v>
      </c>
      <c r="AK155" s="48">
        <f>SUM(AK146:AK154)</f>
        <v>71409</v>
      </c>
      <c r="AL155" s="48">
        <f>SUM(AL146:AL154)</f>
        <v>494750</v>
      </c>
      <c r="AM155" s="48">
        <f>SUM(AM146:AM154)</f>
        <v>0.94374999999922693</v>
      </c>
      <c r="AN155" s="32"/>
      <c r="AO155" s="48">
        <f>SUM(AO146:AO154)</f>
        <v>566003.53365624999</v>
      </c>
      <c r="AQ155" s="48">
        <f>SUM(AQ146:AQ154)</f>
        <v>592804.63801765628</v>
      </c>
      <c r="AS155" s="48">
        <f>SUM(AS146:AS154)</f>
        <v>620910.59280849772</v>
      </c>
      <c r="AT155" s="48"/>
      <c r="AU155" s="48">
        <f>SUM(AU146:AU154)</f>
        <v>650385.80587091809</v>
      </c>
      <c r="AW155" s="48">
        <f>SUM(AW146:AW154)</f>
        <v>681297.88548099331</v>
      </c>
      <c r="AY155" s="48">
        <f>SUM(AY146:AY154)</f>
        <v>713717.79988964868</v>
      </c>
      <c r="BA155" s="48">
        <f>SUM(BA146:BA154)</f>
        <v>747720.04482896905</v>
      </c>
      <c r="BC155" s="48">
        <f>SUM(BC146:BC154)</f>
        <v>783382.81938188011</v>
      </c>
      <c r="BE155" s="48">
        <f>SUM(BE146:BE154)</f>
        <v>820788.21063308755</v>
      </c>
    </row>
    <row r="156" spans="1:57" x14ac:dyDescent="0.25">
      <c r="A156" s="7" t="s">
        <v>133</v>
      </c>
    </row>
    <row r="157" spans="1:57" x14ac:dyDescent="0.25">
      <c r="A157" s="3" t="s">
        <v>134</v>
      </c>
      <c r="B157" s="58"/>
      <c r="C157" s="4"/>
      <c r="D157" s="58"/>
      <c r="E157" s="58"/>
      <c r="F157" s="58"/>
      <c r="G157" s="4"/>
      <c r="H157" s="58"/>
      <c r="I157" s="58"/>
      <c r="J157" s="58"/>
      <c r="K157" s="58"/>
      <c r="L157" s="58"/>
      <c r="N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  <c r="AD157" s="58"/>
      <c r="AE157" s="58"/>
      <c r="AF157" s="58"/>
      <c r="AJ157" s="58"/>
      <c r="AK157" s="3">
        <f>AL157-AJ157</f>
        <v>0</v>
      </c>
      <c r="AL157" s="58"/>
      <c r="AM157" s="3">
        <f>AL157-AH157</f>
        <v>0</v>
      </c>
      <c r="AO157" s="58"/>
      <c r="AP157" s="58"/>
      <c r="AQ157" s="58"/>
      <c r="AR157" s="58"/>
      <c r="AS157" s="58"/>
      <c r="AT157" s="58"/>
      <c r="AU157" s="58"/>
      <c r="AV157" s="59"/>
      <c r="AW157" s="58"/>
      <c r="AY157" s="58"/>
      <c r="BA157" s="58"/>
      <c r="BC157" s="58"/>
      <c r="BE157" s="58"/>
    </row>
    <row r="158" spans="1:57" x14ac:dyDescent="0.25">
      <c r="A158" s="7" t="s">
        <v>135</v>
      </c>
    </row>
    <row r="159" spans="1:57" x14ac:dyDescent="0.25">
      <c r="A159" s="3" t="s">
        <v>136</v>
      </c>
      <c r="B159" s="3">
        <v>34000</v>
      </c>
      <c r="D159" s="3">
        <v>13790</v>
      </c>
      <c r="E159" s="3">
        <f>F159-D159</f>
        <v>28210</v>
      </c>
      <c r="F159" s="3">
        <v>42000</v>
      </c>
      <c r="H159" s="32">
        <f>F159-B159</f>
        <v>8000</v>
      </c>
      <c r="I159" s="32"/>
      <c r="J159" s="4">
        <v>24617</v>
      </c>
      <c r="K159" s="4">
        <f>L159-J159</f>
        <v>23383</v>
      </c>
      <c r="L159" s="4">
        <v>48000</v>
      </c>
      <c r="M159" s="32"/>
      <c r="N159" s="4">
        <f>L159-F159</f>
        <v>6000</v>
      </c>
      <c r="P159" s="3">
        <f>L159*1.025</f>
        <v>49199.999999999993</v>
      </c>
      <c r="Q159" s="3"/>
      <c r="R159" s="3">
        <v>11577</v>
      </c>
      <c r="S159" s="3">
        <f>T159-R159</f>
        <v>37623</v>
      </c>
      <c r="T159" s="3">
        <v>49200</v>
      </c>
      <c r="U159" s="3">
        <f>T159-P159</f>
        <v>0</v>
      </c>
      <c r="V159" s="3">
        <v>21813</v>
      </c>
      <c r="W159" s="3">
        <f>Y159-V159</f>
        <v>27387</v>
      </c>
      <c r="X159" s="3"/>
      <c r="Y159" s="3">
        <v>49200</v>
      </c>
      <c r="Z159" s="3">
        <f>Y159-T159</f>
        <v>0</v>
      </c>
      <c r="AA159" s="3"/>
      <c r="AB159" s="3"/>
      <c r="AC159" s="3">
        <v>30486</v>
      </c>
      <c r="AD159" s="3">
        <f>AE159-AC159</f>
        <v>18714</v>
      </c>
      <c r="AE159" s="3">
        <v>49200</v>
      </c>
      <c r="AF159" s="3">
        <f>AE159-Y159</f>
        <v>0</v>
      </c>
      <c r="AG159" s="4"/>
      <c r="AH159" s="4">
        <f>AE159*1.025+70</f>
        <v>50499.999999999993</v>
      </c>
      <c r="AJ159" s="3">
        <v>11773</v>
      </c>
      <c r="AK159" s="3">
        <f>AL159-AJ159</f>
        <v>38727</v>
      </c>
      <c r="AL159" s="3">
        <v>50500</v>
      </c>
      <c r="AM159" s="3">
        <f>AL159-AH159</f>
        <v>0</v>
      </c>
      <c r="AO159" s="3">
        <f>AH159*1.025</f>
        <v>51762.499999999985</v>
      </c>
      <c r="AP159" s="3"/>
      <c r="AQ159" s="3">
        <f>AO159*1.025</f>
        <v>53056.562499999978</v>
      </c>
      <c r="AR159" s="3"/>
      <c r="AS159" s="3">
        <f>AQ159*1.025</f>
        <v>54382.976562499971</v>
      </c>
      <c r="AT159" s="3"/>
      <c r="AU159" s="3">
        <f>AS159*1.025</f>
        <v>55742.550976562467</v>
      </c>
      <c r="AV159" s="42"/>
      <c r="AW159" s="3">
        <f>AU159*1.025</f>
        <v>57136.114750976521</v>
      </c>
      <c r="AY159" s="3">
        <f>AW159*1.025</f>
        <v>58564.517619750928</v>
      </c>
      <c r="BA159" s="3">
        <f>AY159*1.025</f>
        <v>60028.630560244696</v>
      </c>
      <c r="BC159" s="3">
        <f>BA159*1.025</f>
        <v>61529.346324250808</v>
      </c>
      <c r="BE159" s="3">
        <f>BC159*1.025</f>
        <v>63067.579982357071</v>
      </c>
    </row>
    <row r="160" spans="1:57" ht="15.75" thickBot="1" x14ac:dyDescent="0.3">
      <c r="A160" s="3"/>
      <c r="B160" s="43">
        <f>B159+B155+B144+B136+B157</f>
        <v>564750</v>
      </c>
      <c r="C160" s="32"/>
      <c r="D160" s="43">
        <f>D159+D155+D144+D136+D157</f>
        <v>418457</v>
      </c>
      <c r="E160" s="43">
        <f>E159+E155+E144+E136+E157</f>
        <v>157192</v>
      </c>
      <c r="F160" s="43">
        <f>F159+F155+F144+F136+F157</f>
        <v>575650</v>
      </c>
      <c r="G160" s="32"/>
      <c r="H160" s="43">
        <f>H159+H155+H144+H136+H157</f>
        <v>10900</v>
      </c>
      <c r="I160" s="36"/>
      <c r="J160" s="43">
        <f>J159+J155+J144+J136+J157</f>
        <v>455352</v>
      </c>
      <c r="K160" s="43">
        <f>K159+K155+K144+K136+K157</f>
        <v>117028</v>
      </c>
      <c r="L160" s="43">
        <f>L159+L155+L144+L136+L157</f>
        <v>572380</v>
      </c>
      <c r="M160" s="32"/>
      <c r="N160" s="43">
        <f>N159+N155+N144+N136+N157</f>
        <v>-3270</v>
      </c>
      <c r="P160" s="43">
        <f>P159+P155+P144+P136+P157</f>
        <v>567599.5</v>
      </c>
      <c r="R160" s="43">
        <f t="shared" ref="R160:Z160" si="107">R159+R155+R144+R136+R157</f>
        <v>420677</v>
      </c>
      <c r="S160" s="43">
        <f t="shared" si="107"/>
        <v>146838</v>
      </c>
      <c r="T160" s="43">
        <f t="shared" si="107"/>
        <v>567515</v>
      </c>
      <c r="U160" s="43">
        <f t="shared" si="107"/>
        <v>-84.499999999995453</v>
      </c>
      <c r="V160" s="43">
        <f t="shared" si="107"/>
        <v>465276</v>
      </c>
      <c r="W160" s="43">
        <f t="shared" si="107"/>
        <v>104994</v>
      </c>
      <c r="X160" s="43"/>
      <c r="Y160" s="43">
        <f t="shared" si="107"/>
        <v>570270</v>
      </c>
      <c r="Z160" s="43">
        <f t="shared" si="107"/>
        <v>2755</v>
      </c>
      <c r="AC160" s="43">
        <f>AC159+AC155+AC144+AC136+AC157</f>
        <v>499886</v>
      </c>
      <c r="AD160" s="43">
        <f>AD159+AD155+AD144+AD136+AD157</f>
        <v>60619</v>
      </c>
      <c r="AE160" s="43">
        <f>AE159+AE155+AE144+AE136+AE157</f>
        <v>560505</v>
      </c>
      <c r="AF160" s="43">
        <f>AF159+AF155+AF144+AF136+AF157</f>
        <v>-9765</v>
      </c>
      <c r="AH160" s="36">
        <f>AH159+AH155+AH144+AH136+AH157</f>
        <v>626430.05624999991</v>
      </c>
      <c r="AI160" s="32"/>
      <c r="AJ160" s="43">
        <f>AJ159+AJ155+AJ144+AJ136+AJ157</f>
        <v>456339</v>
      </c>
      <c r="AK160" s="43">
        <f>AK159+AK155+AK144+AK136+AK157</f>
        <v>170091</v>
      </c>
      <c r="AL160" s="43">
        <f>AL159+AL155+AL144+AL136+AL157</f>
        <v>626430</v>
      </c>
      <c r="AM160" s="43">
        <f>AM159+AM155+AM144+AM136+AM157</f>
        <v>0.94374999999922693</v>
      </c>
      <c r="AN160" s="32"/>
      <c r="AO160" s="43">
        <f>AO159+AO155+AO144+AO136+AO157</f>
        <v>700974.53365624999</v>
      </c>
      <c r="AQ160" s="43">
        <f>AQ159+AQ155+AQ144+AQ136+AQ157</f>
        <v>731150.93801765633</v>
      </c>
      <c r="AS160" s="43">
        <f>AS159+AS155+AS144+AS136+AS157</f>
        <v>762715.55030849762</v>
      </c>
      <c r="AT160" s="43"/>
      <c r="AU160" s="43">
        <f>AU159+AU155+AU144+AU136+AU157</f>
        <v>795735.88730841805</v>
      </c>
      <c r="AW160" s="43">
        <f>AW159+AW155+AW144+AW136+AW157</f>
        <v>830281.71895443066</v>
      </c>
      <c r="AY160" s="43">
        <f>AY159+AY155+AY144+AY136+AY157</f>
        <v>866426.22919992206</v>
      </c>
      <c r="BA160" s="43">
        <f>BA159+BA155+BA144+BA136+BA157</f>
        <v>904246.1848719992</v>
      </c>
      <c r="BC160" s="43">
        <f>BC159+BC155+BC144+BC136+BC157</f>
        <v>943822.11292598594</v>
      </c>
      <c r="BE160" s="43">
        <f>BE159+BE155+BE144+BE136+BE157</f>
        <v>985238.48651579616</v>
      </c>
    </row>
    <row r="161" spans="1:57" ht="15.75" thickTop="1" x14ac:dyDescent="0.25">
      <c r="A161" s="7" t="s">
        <v>137</v>
      </c>
    </row>
    <row r="162" spans="1:57" x14ac:dyDescent="0.25">
      <c r="A162" s="7" t="s">
        <v>138</v>
      </c>
    </row>
    <row r="163" spans="1:57" x14ac:dyDescent="0.25">
      <c r="A163" s="3" t="s">
        <v>139</v>
      </c>
      <c r="B163" s="5">
        <v>5500</v>
      </c>
      <c r="E163" s="3">
        <f>F163-D163</f>
        <v>5500</v>
      </c>
      <c r="F163" s="5">
        <v>5500</v>
      </c>
      <c r="H163" s="32">
        <f>F163-B163</f>
        <v>0</v>
      </c>
      <c r="I163" s="32"/>
      <c r="J163" s="4"/>
      <c r="K163" s="4">
        <f>L163-J163</f>
        <v>5500</v>
      </c>
      <c r="L163" s="5">
        <v>5500</v>
      </c>
      <c r="N163" s="4">
        <f>L163-F163</f>
        <v>0</v>
      </c>
      <c r="P163" s="3">
        <f>L163*1.02-10</f>
        <v>5600</v>
      </c>
      <c r="Q163" s="3"/>
      <c r="R163" s="3"/>
      <c r="S163" s="3">
        <f>T163-R163</f>
        <v>7175</v>
      </c>
      <c r="T163" s="3">
        <v>7175</v>
      </c>
      <c r="U163" s="3">
        <f>T163-P163</f>
        <v>1575</v>
      </c>
      <c r="V163" s="3">
        <v>7175</v>
      </c>
      <c r="W163" s="3">
        <f>Y163-V163</f>
        <v>0</v>
      </c>
      <c r="X163" s="3"/>
      <c r="Y163" s="3">
        <v>7175</v>
      </c>
      <c r="Z163" s="3">
        <f>Y163-T163</f>
        <v>0</v>
      </c>
      <c r="AA163" s="3"/>
      <c r="AB163" s="3"/>
      <c r="AC163" s="3">
        <v>7175</v>
      </c>
      <c r="AD163" s="3">
        <f>AE163-AC163</f>
        <v>3895</v>
      </c>
      <c r="AE163" s="3">
        <v>11070</v>
      </c>
      <c r="AF163" s="3">
        <f>AE163-Y163</f>
        <v>3895</v>
      </c>
      <c r="AG163" s="4"/>
      <c r="AH163" s="4">
        <v>5500</v>
      </c>
      <c r="AJ163" s="3"/>
      <c r="AK163" s="3">
        <f>AL163-AJ163</f>
        <v>5500</v>
      </c>
      <c r="AL163" s="3">
        <v>5500</v>
      </c>
      <c r="AM163" s="3">
        <f>AL163-AH163</f>
        <v>0</v>
      </c>
      <c r="AO163" s="3">
        <f>AH163*1.02</f>
        <v>5610</v>
      </c>
      <c r="AP163" s="3"/>
      <c r="AQ163" s="3">
        <f>AO163*1.02</f>
        <v>5722.2</v>
      </c>
      <c r="AR163" s="3"/>
      <c r="AS163" s="3">
        <f>AQ163*1.02</f>
        <v>5836.6440000000002</v>
      </c>
      <c r="AT163" s="3"/>
      <c r="AU163" s="3">
        <f>AS163*1.02</f>
        <v>5953.3768800000007</v>
      </c>
      <c r="AV163" s="42"/>
      <c r="AW163" s="3">
        <f>AU163*1.02</f>
        <v>6072.4444176000006</v>
      </c>
      <c r="AX163" s="42"/>
      <c r="AY163" s="3">
        <f>AW163*1.02</f>
        <v>6193.8933059520004</v>
      </c>
      <c r="AZ163" s="42"/>
      <c r="BA163" s="3">
        <f>AY163*1.02</f>
        <v>6317.7711720710404</v>
      </c>
      <c r="BB163" s="42"/>
      <c r="BC163" s="3">
        <f>BA163*1.02</f>
        <v>6444.1265955124609</v>
      </c>
      <c r="BE163" s="3">
        <f>BC163*1.02</f>
        <v>6573.0091274227107</v>
      </c>
    </row>
    <row r="164" spans="1:57" x14ac:dyDescent="0.25">
      <c r="A164" s="3" t="s">
        <v>140</v>
      </c>
      <c r="B164" s="5">
        <v>19000</v>
      </c>
      <c r="E164" s="3">
        <f>F164-D164</f>
        <v>19000</v>
      </c>
      <c r="F164" s="5">
        <v>19000</v>
      </c>
      <c r="H164" s="32">
        <f>F164-B164</f>
        <v>0</v>
      </c>
      <c r="I164" s="32"/>
      <c r="J164" s="4"/>
      <c r="K164" s="4">
        <f>L164-J164</f>
        <v>19000</v>
      </c>
      <c r="L164" s="5">
        <v>19000</v>
      </c>
      <c r="N164" s="4">
        <f>L164-F164</f>
        <v>0</v>
      </c>
      <c r="P164" s="3">
        <f>L164*1.02+20</f>
        <v>19400</v>
      </c>
      <c r="Q164" s="3"/>
      <c r="R164" s="3"/>
      <c r="S164" s="3">
        <f>T164-R164</f>
        <v>16900</v>
      </c>
      <c r="T164" s="3">
        <v>16900</v>
      </c>
      <c r="U164" s="3">
        <f>T164-P164</f>
        <v>-2500</v>
      </c>
      <c r="V164" s="3">
        <v>16900</v>
      </c>
      <c r="W164" s="3">
        <f>Y164-V164</f>
        <v>0</v>
      </c>
      <c r="X164" s="3"/>
      <c r="Y164" s="3">
        <v>16900</v>
      </c>
      <c r="Z164" s="3">
        <f>Y164-T164</f>
        <v>0</v>
      </c>
      <c r="AA164" s="3"/>
      <c r="AB164" s="3"/>
      <c r="AC164" s="3">
        <v>16900</v>
      </c>
      <c r="AD164" s="3">
        <f>AE164-AC164</f>
        <v>0</v>
      </c>
      <c r="AE164" s="3">
        <v>16900</v>
      </c>
      <c r="AF164" s="3">
        <f>AE164-Y164</f>
        <v>0</v>
      </c>
      <c r="AG164" s="4"/>
      <c r="AH164" s="4">
        <v>19000</v>
      </c>
      <c r="AJ164" s="3"/>
      <c r="AK164" s="3">
        <f>AL164-AJ164</f>
        <v>19000</v>
      </c>
      <c r="AL164" s="3">
        <v>19000</v>
      </c>
      <c r="AM164" s="3">
        <f>AL164-AH164</f>
        <v>0</v>
      </c>
      <c r="AO164" s="3">
        <f>AH164*1.02</f>
        <v>19380</v>
      </c>
      <c r="AP164" s="3"/>
      <c r="AQ164" s="3">
        <f>AO164*1.02</f>
        <v>19767.599999999999</v>
      </c>
      <c r="AR164" s="3"/>
      <c r="AS164" s="3">
        <f>AQ164*1.02</f>
        <v>20162.951999999997</v>
      </c>
      <c r="AT164" s="3"/>
      <c r="AU164" s="3">
        <f>AS164*1.02</f>
        <v>20566.211039999998</v>
      </c>
      <c r="AV164" s="42"/>
      <c r="AW164" s="3">
        <f>AU164*1.02</f>
        <v>20977.535260799999</v>
      </c>
      <c r="AX164" s="42"/>
      <c r="AY164" s="3">
        <f>AW164*1.02</f>
        <v>21397.085966015999</v>
      </c>
      <c r="AZ164" s="42"/>
      <c r="BA164" s="3">
        <f>AY164*1.02</f>
        <v>21825.027685336318</v>
      </c>
      <c r="BB164" s="42"/>
      <c r="BC164" s="3">
        <f>BA164*1.02</f>
        <v>22261.528239043044</v>
      </c>
      <c r="BE164" s="3">
        <f>BC164*1.02</f>
        <v>22706.758803823905</v>
      </c>
    </row>
    <row r="165" spans="1:57" x14ac:dyDescent="0.25">
      <c r="A165" s="3" t="s">
        <v>141</v>
      </c>
      <c r="D165" s="5">
        <v>78</v>
      </c>
      <c r="E165" s="3">
        <f>F165-D165</f>
        <v>22</v>
      </c>
      <c r="F165" s="5">
        <v>100</v>
      </c>
      <c r="H165" s="32">
        <f>F165-B165</f>
        <v>100</v>
      </c>
      <c r="I165" s="32"/>
      <c r="J165" s="4">
        <v>78</v>
      </c>
      <c r="K165" s="4">
        <f>L165-J165</f>
        <v>22</v>
      </c>
      <c r="L165" s="4">
        <v>100</v>
      </c>
      <c r="N165" s="4">
        <f>L165-F165</f>
        <v>0</v>
      </c>
      <c r="S165" s="3">
        <f>T165-R165</f>
        <v>0</v>
      </c>
      <c r="T165" s="3"/>
      <c r="U165" s="3">
        <f>T165-P165</f>
        <v>0</v>
      </c>
      <c r="W165" s="3">
        <f>Y165-V165</f>
        <v>0</v>
      </c>
      <c r="X165" s="3"/>
      <c r="Z165" s="3">
        <f>Y165-T165</f>
        <v>0</v>
      </c>
      <c r="AD165" s="3">
        <f>AE165-AC165</f>
        <v>0</v>
      </c>
      <c r="AE165" s="3"/>
      <c r="AF165" s="3">
        <f>AE165-Y165</f>
        <v>0</v>
      </c>
      <c r="AJ165" s="5">
        <v>92</v>
      </c>
      <c r="AK165" s="3">
        <f>AL165-AJ165</f>
        <v>8</v>
      </c>
      <c r="AL165" s="5">
        <v>100</v>
      </c>
      <c r="AM165" s="3">
        <f>AL165-AH165</f>
        <v>100</v>
      </c>
    </row>
    <row r="166" spans="1:57" s="42" customFormat="1" x14ac:dyDescent="0.25">
      <c r="A166" s="3" t="s">
        <v>90</v>
      </c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4"/>
      <c r="N166" s="3"/>
      <c r="O166" s="4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4"/>
      <c r="AH166" s="4"/>
      <c r="AI166" s="4"/>
      <c r="AJ166" s="3"/>
      <c r="AK166" s="3">
        <f>AL166-AJ166</f>
        <v>0</v>
      </c>
      <c r="AL166" s="3"/>
      <c r="AM166" s="3">
        <f>AL166-AH166</f>
        <v>0</v>
      </c>
      <c r="AN166" s="4"/>
      <c r="AO166" s="3"/>
      <c r="AP166" s="3"/>
      <c r="AQ166" s="3"/>
      <c r="AR166" s="3"/>
      <c r="AS166" s="3"/>
      <c r="AT166" s="3"/>
      <c r="AU166" s="3"/>
      <c r="AW166" s="3"/>
      <c r="AY166" s="3"/>
      <c r="BA166" s="3"/>
      <c r="BC166" s="3"/>
      <c r="BE166" s="3"/>
    </row>
    <row r="167" spans="1:57" x14ac:dyDescent="0.25">
      <c r="A167" s="3"/>
      <c r="B167" s="48">
        <f>SUM(B163:B166)</f>
        <v>24500</v>
      </c>
      <c r="C167" s="32"/>
      <c r="D167" s="48">
        <f>SUM(D163:D166)</f>
        <v>78</v>
      </c>
      <c r="E167" s="48">
        <f>SUM(E163:E166)</f>
        <v>24522</v>
      </c>
      <c r="F167" s="48">
        <f>SUM(F163:F166)</f>
        <v>24600</v>
      </c>
      <c r="G167" s="32"/>
      <c r="H167" s="48">
        <f>SUM(H163:H166)</f>
        <v>100</v>
      </c>
      <c r="I167" s="36"/>
      <c r="J167" s="48">
        <f>SUM(J163:J166)</f>
        <v>78</v>
      </c>
      <c r="K167" s="48">
        <f>SUM(K163:K166)</f>
        <v>24522</v>
      </c>
      <c r="L167" s="48">
        <f>SUM(L163:L166)</f>
        <v>24600</v>
      </c>
      <c r="M167" s="32"/>
      <c r="N167" s="48">
        <f>SUM(N163:N166)</f>
        <v>0</v>
      </c>
      <c r="P167" s="48">
        <f>SUM(P163:P166)</f>
        <v>25000</v>
      </c>
      <c r="R167" s="48">
        <f t="shared" ref="R167:Z167" si="108">SUM(R163:R166)</f>
        <v>0</v>
      </c>
      <c r="S167" s="48">
        <f t="shared" si="108"/>
        <v>24075</v>
      </c>
      <c r="T167" s="48">
        <f t="shared" si="108"/>
        <v>24075</v>
      </c>
      <c r="U167" s="48">
        <f t="shared" si="108"/>
        <v>-925</v>
      </c>
      <c r="V167" s="48">
        <f t="shared" si="108"/>
        <v>24075</v>
      </c>
      <c r="W167" s="48">
        <f t="shared" si="108"/>
        <v>0</v>
      </c>
      <c r="X167" s="48"/>
      <c r="Y167" s="48">
        <f t="shared" si="108"/>
        <v>24075</v>
      </c>
      <c r="Z167" s="48">
        <f t="shared" si="108"/>
        <v>0</v>
      </c>
      <c r="AC167" s="48">
        <f>SUM(AC163:AC166)</f>
        <v>24075</v>
      </c>
      <c r="AD167" s="48">
        <f>SUM(AD163:AD166)</f>
        <v>3895</v>
      </c>
      <c r="AE167" s="48">
        <f>SUM(AE163:AE166)</f>
        <v>27970</v>
      </c>
      <c r="AF167" s="48">
        <f>SUM(AF163:AF166)</f>
        <v>3895</v>
      </c>
      <c r="AH167" s="36">
        <f>SUM(AH163:AH166)</f>
        <v>24500</v>
      </c>
      <c r="AI167" s="32"/>
      <c r="AJ167" s="48">
        <f>SUM(AJ163:AJ166)</f>
        <v>92</v>
      </c>
      <c r="AK167" s="48">
        <f>SUM(AK163:AK166)</f>
        <v>24508</v>
      </c>
      <c r="AL167" s="48">
        <f>SUM(AL163:AL166)</f>
        <v>24600</v>
      </c>
      <c r="AM167" s="48">
        <f>SUM(AM163:AM166)</f>
        <v>100</v>
      </c>
      <c r="AN167" s="32"/>
      <c r="AO167" s="48">
        <f>SUM(AO163:AO166)</f>
        <v>24990</v>
      </c>
      <c r="AQ167" s="48">
        <f>SUM(AQ163:AQ166)</f>
        <v>25489.8</v>
      </c>
      <c r="AS167" s="48">
        <f>SUM(AS163:AS166)</f>
        <v>25999.595999999998</v>
      </c>
      <c r="AT167" s="48"/>
      <c r="AU167" s="48">
        <f>SUM(AU163:AU166)</f>
        <v>26519.587919999998</v>
      </c>
      <c r="AW167" s="48">
        <f>SUM(AW163:AW166)</f>
        <v>27049.979678399999</v>
      </c>
      <c r="AY167" s="48">
        <f>SUM(AY163:AY166)</f>
        <v>27590.979271967997</v>
      </c>
      <c r="BA167" s="48">
        <f>SUM(BA163:BA166)</f>
        <v>28142.798857407357</v>
      </c>
      <c r="BC167" s="48">
        <f>SUM(BC163:BC166)</f>
        <v>28705.654834555506</v>
      </c>
      <c r="BE167" s="48">
        <f>SUM(BE163:BE166)</f>
        <v>29279.767931246613</v>
      </c>
    </row>
    <row r="168" spans="1:57" x14ac:dyDescent="0.25">
      <c r="A168" s="7" t="s">
        <v>142</v>
      </c>
    </row>
    <row r="169" spans="1:57" x14ac:dyDescent="0.25">
      <c r="A169" s="3" t="s">
        <v>143</v>
      </c>
      <c r="Z169" s="3">
        <f>Y169-T169</f>
        <v>0</v>
      </c>
      <c r="AK169" s="3">
        <f>AL169-AJ169</f>
        <v>0</v>
      </c>
      <c r="AM169" s="3">
        <f>AL169-AH169</f>
        <v>0</v>
      </c>
    </row>
    <row r="170" spans="1:57" x14ac:dyDescent="0.25">
      <c r="A170" s="3" t="s">
        <v>144</v>
      </c>
      <c r="Z170" s="3">
        <f>Y170-T170</f>
        <v>0</v>
      </c>
      <c r="AK170" s="3">
        <f>AL170-AJ170</f>
        <v>0</v>
      </c>
      <c r="AM170" s="3">
        <f>AL170-AH170</f>
        <v>0</v>
      </c>
    </row>
    <row r="171" spans="1:57" x14ac:dyDescent="0.25">
      <c r="A171" s="3" t="s">
        <v>145</v>
      </c>
      <c r="B171" s="5">
        <v>1250</v>
      </c>
      <c r="D171" s="5">
        <v>574</v>
      </c>
      <c r="E171" s="3">
        <f>F171-D171</f>
        <v>676</v>
      </c>
      <c r="F171" s="5">
        <v>1250</v>
      </c>
      <c r="H171" s="32">
        <f>F171-B171</f>
        <v>0</v>
      </c>
      <c r="I171" s="32"/>
      <c r="J171" s="4">
        <v>730</v>
      </c>
      <c r="K171" s="4">
        <f>L171-J171</f>
        <v>520</v>
      </c>
      <c r="L171" s="4">
        <v>1250</v>
      </c>
      <c r="M171" s="32"/>
      <c r="N171" s="4">
        <f>L171-F171</f>
        <v>0</v>
      </c>
      <c r="P171" s="3">
        <f>L171*1.02+25</f>
        <v>1300</v>
      </c>
      <c r="Q171" s="3"/>
      <c r="R171" s="3">
        <v>169</v>
      </c>
      <c r="S171" s="3">
        <f>T171-R171</f>
        <v>631</v>
      </c>
      <c r="T171" s="3">
        <v>800</v>
      </c>
      <c r="U171" s="3">
        <f>T171-P171</f>
        <v>-500</v>
      </c>
      <c r="V171" s="3">
        <v>276</v>
      </c>
      <c r="W171" s="3">
        <f>Y171-V171</f>
        <v>524</v>
      </c>
      <c r="X171" s="3"/>
      <c r="Y171" s="3">
        <v>800</v>
      </c>
      <c r="Z171" s="3">
        <f>Y171-T171</f>
        <v>0</v>
      </c>
      <c r="AA171" s="3"/>
      <c r="AB171" s="3"/>
      <c r="AC171" s="3">
        <v>800</v>
      </c>
      <c r="AD171" s="3">
        <f>AE171-AC171</f>
        <v>200</v>
      </c>
      <c r="AE171" s="3">
        <v>1000</v>
      </c>
      <c r="AF171" s="3">
        <f>AE171-Y171</f>
        <v>200</v>
      </c>
      <c r="AG171" s="4"/>
      <c r="AH171" s="4">
        <v>1000</v>
      </c>
      <c r="AJ171" s="3">
        <v>202</v>
      </c>
      <c r="AK171" s="3">
        <f>AL171-AJ171</f>
        <v>798</v>
      </c>
      <c r="AL171" s="3">
        <v>1000</v>
      </c>
      <c r="AM171" s="3">
        <f>AL171-AH171</f>
        <v>0</v>
      </c>
      <c r="AO171" s="3">
        <f>AH171*1.02</f>
        <v>1020</v>
      </c>
      <c r="AP171" s="3"/>
      <c r="AQ171" s="3">
        <f>AO171*1.02</f>
        <v>1040.4000000000001</v>
      </c>
      <c r="AR171" s="3"/>
      <c r="AS171" s="3">
        <f>AQ171*1.02</f>
        <v>1061.2080000000001</v>
      </c>
      <c r="AT171" s="3"/>
      <c r="AU171" s="3">
        <f>AS171*1.02</f>
        <v>1082.4321600000001</v>
      </c>
      <c r="AV171" s="42"/>
      <c r="AW171" s="3">
        <f>AU171*1.02</f>
        <v>1104.0808032</v>
      </c>
      <c r="AX171" s="42"/>
      <c r="AY171" s="3">
        <f>AW171*1.02</f>
        <v>1126.1624192639999</v>
      </c>
      <c r="AZ171" s="42"/>
      <c r="BA171" s="3">
        <f>AY171*1.02</f>
        <v>1148.68566764928</v>
      </c>
      <c r="BB171" s="42"/>
      <c r="BC171" s="3">
        <f>BA171*1.02</f>
        <v>1171.6593810022657</v>
      </c>
      <c r="BE171" s="3">
        <f>BC171*1.02</f>
        <v>1195.0925686223111</v>
      </c>
    </row>
    <row r="172" spans="1:57" x14ac:dyDescent="0.25">
      <c r="A172" s="3"/>
      <c r="B172" s="48">
        <f>SUM(B169:B171)</f>
        <v>1250</v>
      </c>
      <c r="C172" s="32"/>
      <c r="D172" s="48">
        <f>SUM(D169:D171)</f>
        <v>574</v>
      </c>
      <c r="E172" s="48">
        <f>SUM(E169:E171)</f>
        <v>676</v>
      </c>
      <c r="F172" s="48">
        <f>SUM(F169:F171)</f>
        <v>1250</v>
      </c>
      <c r="G172" s="32"/>
      <c r="H172" s="48">
        <f>SUM(H169:H171)</f>
        <v>0</v>
      </c>
      <c r="I172" s="36"/>
      <c r="J172" s="48">
        <f>SUM(J169:J171)</f>
        <v>730</v>
      </c>
      <c r="K172" s="48">
        <f>SUM(K169:K171)</f>
        <v>520</v>
      </c>
      <c r="L172" s="48">
        <f>SUM(L169:L171)</f>
        <v>1250</v>
      </c>
      <c r="M172" s="32"/>
      <c r="N172" s="48">
        <f>SUM(N169:N171)</f>
        <v>0</v>
      </c>
      <c r="P172" s="48">
        <f>SUM(P169:P171)</f>
        <v>1300</v>
      </c>
      <c r="R172" s="48">
        <f t="shared" ref="R172:Z172" si="109">SUM(R169:R171)</f>
        <v>169</v>
      </c>
      <c r="S172" s="48">
        <f t="shared" si="109"/>
        <v>631</v>
      </c>
      <c r="T172" s="48">
        <f t="shared" si="109"/>
        <v>800</v>
      </c>
      <c r="U172" s="48">
        <f t="shared" si="109"/>
        <v>-500</v>
      </c>
      <c r="V172" s="48">
        <f t="shared" si="109"/>
        <v>276</v>
      </c>
      <c r="W172" s="48">
        <f t="shared" si="109"/>
        <v>524</v>
      </c>
      <c r="X172" s="48"/>
      <c r="Y172" s="48">
        <f t="shared" si="109"/>
        <v>800</v>
      </c>
      <c r="Z172" s="48">
        <f t="shared" si="109"/>
        <v>0</v>
      </c>
      <c r="AC172" s="48">
        <f>SUM(AC169:AC171)</f>
        <v>800</v>
      </c>
      <c r="AD172" s="48">
        <f>SUM(AD169:AD171)</f>
        <v>200</v>
      </c>
      <c r="AE172" s="48">
        <f>SUM(AE169:AE171)</f>
        <v>1000</v>
      </c>
      <c r="AF172" s="48">
        <f>SUM(AF169:AF171)</f>
        <v>200</v>
      </c>
      <c r="AH172" s="36">
        <f>SUM(AH169:AH171)</f>
        <v>1000</v>
      </c>
      <c r="AI172" s="32"/>
      <c r="AJ172" s="48">
        <f>SUM(AJ169:AJ171)</f>
        <v>202</v>
      </c>
      <c r="AK172" s="48">
        <f>SUM(AK169:AK171)</f>
        <v>798</v>
      </c>
      <c r="AL172" s="48">
        <f>SUM(AL169:AL171)</f>
        <v>1000</v>
      </c>
      <c r="AM172" s="48">
        <f>SUM(AM169:AM171)</f>
        <v>0</v>
      </c>
      <c r="AN172" s="32"/>
      <c r="AO172" s="48">
        <f>SUM(AO169:AO171)</f>
        <v>1020</v>
      </c>
      <c r="AQ172" s="48">
        <f>SUM(AQ169:AQ171)</f>
        <v>1040.4000000000001</v>
      </c>
      <c r="AS172" s="48">
        <f>SUM(AS169:AS171)</f>
        <v>1061.2080000000001</v>
      </c>
      <c r="AT172" s="48"/>
      <c r="AU172" s="48">
        <f>SUM(AU169:AU171)</f>
        <v>1082.4321600000001</v>
      </c>
      <c r="AW172" s="48">
        <f>SUM(AW169:AW171)</f>
        <v>1104.0808032</v>
      </c>
      <c r="AY172" s="48">
        <f>SUM(AY169:AY171)</f>
        <v>1126.1624192639999</v>
      </c>
      <c r="BA172" s="48">
        <f>SUM(BA169:BA171)</f>
        <v>1148.68566764928</v>
      </c>
      <c r="BC172" s="48">
        <f>SUM(BC169:BC171)</f>
        <v>1171.6593810022657</v>
      </c>
      <c r="BE172" s="48">
        <f>SUM(BE169:BE171)</f>
        <v>1195.0925686223111</v>
      </c>
    </row>
    <row r="173" spans="1:57" x14ac:dyDescent="0.25">
      <c r="A173" s="7" t="s">
        <v>146</v>
      </c>
    </row>
    <row r="174" spans="1:57" x14ac:dyDescent="0.25">
      <c r="A174" s="3" t="s">
        <v>147</v>
      </c>
      <c r="E174" s="3">
        <f>F174-D174</f>
        <v>0</v>
      </c>
      <c r="AK174" s="3">
        <f>AL174-AJ174</f>
        <v>0</v>
      </c>
      <c r="AM174" s="3">
        <f>AL174-AH174</f>
        <v>0</v>
      </c>
    </row>
    <row r="175" spans="1:57" x14ac:dyDescent="0.25">
      <c r="A175" s="3" t="s">
        <v>148</v>
      </c>
      <c r="B175" s="5">
        <v>10850</v>
      </c>
      <c r="D175" s="5">
        <v>4030</v>
      </c>
      <c r="E175" s="3">
        <f>F175-D175</f>
        <v>6820</v>
      </c>
      <c r="F175" s="5">
        <v>10850</v>
      </c>
      <c r="H175" s="32">
        <f>F175-B175</f>
        <v>0</v>
      </c>
      <c r="I175" s="32"/>
      <c r="J175" s="4">
        <v>6760</v>
      </c>
      <c r="K175" s="4">
        <f>L175-J175</f>
        <v>4090</v>
      </c>
      <c r="L175" s="4">
        <v>10850</v>
      </c>
      <c r="M175" s="32"/>
      <c r="N175" s="4">
        <f>L175-F175</f>
        <v>0</v>
      </c>
      <c r="P175" s="3">
        <f>L175*1.025+29</f>
        <v>11150.249999999998</v>
      </c>
      <c r="Q175" s="3"/>
      <c r="R175" s="3">
        <v>3143</v>
      </c>
      <c r="S175" s="3">
        <f>T175-R175</f>
        <v>8007</v>
      </c>
      <c r="T175" s="3">
        <v>11150</v>
      </c>
      <c r="U175" s="3">
        <f>T175-P175</f>
        <v>-0.24999999999818101</v>
      </c>
      <c r="V175" s="3">
        <v>5955</v>
      </c>
      <c r="W175" s="3">
        <f>Y175-V175</f>
        <v>5195</v>
      </c>
      <c r="X175" s="3"/>
      <c r="Y175" s="3">
        <v>11150</v>
      </c>
      <c r="Z175" s="3">
        <f>Y175-T175</f>
        <v>0</v>
      </c>
      <c r="AA175" s="3"/>
      <c r="AB175" s="3"/>
      <c r="AC175" s="3">
        <v>8768</v>
      </c>
      <c r="AD175" s="3">
        <f>AE175-AC175</f>
        <v>2382</v>
      </c>
      <c r="AE175" s="3">
        <v>11150</v>
      </c>
      <c r="AF175" s="3">
        <f>AE175-Y175</f>
        <v>0</v>
      </c>
      <c r="AG175" s="4"/>
      <c r="AH175" s="4">
        <f>AE175*1.025+71</f>
        <v>11499.749999999998</v>
      </c>
      <c r="AJ175" s="3">
        <v>9041</v>
      </c>
      <c r="AK175" s="3">
        <f>AL175-AJ175</f>
        <v>2459</v>
      </c>
      <c r="AL175" s="3">
        <v>11500</v>
      </c>
      <c r="AM175" s="3">
        <f>AL175-AH175</f>
        <v>0.25000000000181899</v>
      </c>
      <c r="AO175" s="3">
        <f>AH175*1.025</f>
        <v>11787.243749999998</v>
      </c>
      <c r="AP175" s="3"/>
      <c r="AQ175" s="3">
        <f>AO175*1.025</f>
        <v>12081.924843749997</v>
      </c>
      <c r="AR175" s="3"/>
      <c r="AS175" s="3">
        <f>AQ175*1.025</f>
        <v>12383.972964843746</v>
      </c>
      <c r="AT175" s="3"/>
      <c r="AU175" s="3">
        <f>AS175*1.025</f>
        <v>12693.572288964839</v>
      </c>
      <c r="AV175" s="42"/>
      <c r="AW175" s="3">
        <f>AU175*1.025</f>
        <v>13010.911596188958</v>
      </c>
      <c r="AX175" s="42"/>
      <c r="AY175" s="3">
        <f>AW175*1.025</f>
        <v>13336.184386093681</v>
      </c>
      <c r="AZ175" s="42"/>
      <c r="BA175" s="3">
        <f>AY175*1.025</f>
        <v>13669.588995746022</v>
      </c>
      <c r="BB175" s="42"/>
      <c r="BC175" s="3">
        <f>BA175*1.025</f>
        <v>14011.328720639671</v>
      </c>
      <c r="BE175" s="3">
        <f>BC175*1.025</f>
        <v>14361.611938655662</v>
      </c>
    </row>
    <row r="176" spans="1:57" x14ac:dyDescent="0.25">
      <c r="A176" s="3"/>
      <c r="B176" s="48">
        <f>B174+B175</f>
        <v>10850</v>
      </c>
      <c r="C176" s="32"/>
      <c r="D176" s="48">
        <f>D174+D175</f>
        <v>4030</v>
      </c>
      <c r="E176" s="48">
        <f>E174+E175</f>
        <v>6820</v>
      </c>
      <c r="F176" s="48">
        <f>F174+F175</f>
        <v>10850</v>
      </c>
      <c r="G176" s="32"/>
      <c r="H176" s="48">
        <f>H174+H175</f>
        <v>0</v>
      </c>
      <c r="I176" s="36"/>
      <c r="J176" s="48">
        <f>J174+J175</f>
        <v>6760</v>
      </c>
      <c r="K176" s="48">
        <f>K174+K175</f>
        <v>4090</v>
      </c>
      <c r="L176" s="48">
        <f>L174+L175</f>
        <v>10850</v>
      </c>
      <c r="M176" s="32"/>
      <c r="N176" s="48">
        <f>N174+N175</f>
        <v>0</v>
      </c>
      <c r="P176" s="48">
        <f>P174+P175</f>
        <v>11150.249999999998</v>
      </c>
      <c r="R176" s="48">
        <f t="shared" ref="R176:Z176" si="110">R174+R175</f>
        <v>3143</v>
      </c>
      <c r="S176" s="48">
        <f t="shared" si="110"/>
        <v>8007</v>
      </c>
      <c r="T176" s="48">
        <f t="shared" si="110"/>
        <v>11150</v>
      </c>
      <c r="U176" s="48">
        <f t="shared" si="110"/>
        <v>-0.24999999999818101</v>
      </c>
      <c r="V176" s="48">
        <f t="shared" si="110"/>
        <v>5955</v>
      </c>
      <c r="W176" s="48">
        <f t="shared" si="110"/>
        <v>5195</v>
      </c>
      <c r="X176" s="48"/>
      <c r="Y176" s="48">
        <f t="shared" si="110"/>
        <v>11150</v>
      </c>
      <c r="Z176" s="48">
        <f t="shared" si="110"/>
        <v>0</v>
      </c>
      <c r="AC176" s="48">
        <f>AC174+AC175</f>
        <v>8768</v>
      </c>
      <c r="AD176" s="48">
        <f>AD174+AD175</f>
        <v>2382</v>
      </c>
      <c r="AE176" s="48">
        <f>AE174+AE175</f>
        <v>11150</v>
      </c>
      <c r="AF176" s="48">
        <f>AF174+AF175</f>
        <v>0</v>
      </c>
      <c r="AH176" s="36">
        <f>AH174+AH175</f>
        <v>11499.749999999998</v>
      </c>
      <c r="AI176" s="32"/>
      <c r="AJ176" s="48">
        <f>AJ174+AJ175</f>
        <v>9041</v>
      </c>
      <c r="AK176" s="48">
        <f>AK174+AK175</f>
        <v>2459</v>
      </c>
      <c r="AL176" s="48">
        <f>AL174+AL175</f>
        <v>11500</v>
      </c>
      <c r="AM176" s="48">
        <f>AM174+AM175</f>
        <v>0.25000000000181899</v>
      </c>
      <c r="AN176" s="32"/>
      <c r="AO176" s="48">
        <f>AO174+AO175</f>
        <v>11787.243749999998</v>
      </c>
      <c r="AQ176" s="48">
        <f>AQ174+AQ175</f>
        <v>12081.924843749997</v>
      </c>
      <c r="AS176" s="48">
        <f>AS174+AS175</f>
        <v>12383.972964843746</v>
      </c>
      <c r="AT176" s="48"/>
      <c r="AU176" s="48">
        <f>AU174+AU175</f>
        <v>12693.572288964839</v>
      </c>
      <c r="AW176" s="48">
        <f>AW174+AW175</f>
        <v>13010.911596188958</v>
      </c>
      <c r="AY176" s="48">
        <f>AY174+AY175</f>
        <v>13336.184386093681</v>
      </c>
      <c r="BA176" s="48">
        <f>BA174+BA175</f>
        <v>13669.588995746022</v>
      </c>
      <c r="BC176" s="48">
        <f>BC174+BC175</f>
        <v>14011.328720639671</v>
      </c>
      <c r="BE176" s="48">
        <f>BE174+BE175</f>
        <v>14361.611938655662</v>
      </c>
    </row>
    <row r="177" spans="1:57" x14ac:dyDescent="0.25">
      <c r="A177" s="7" t="s">
        <v>149</v>
      </c>
      <c r="H177" s="60"/>
      <c r="I177" s="58"/>
      <c r="J177" s="58"/>
      <c r="K177" s="58"/>
      <c r="L177" s="58"/>
      <c r="N177" s="58"/>
    </row>
    <row r="178" spans="1:57" x14ac:dyDescent="0.25">
      <c r="A178" s="3" t="s">
        <v>150</v>
      </c>
      <c r="B178" s="35">
        <v>100</v>
      </c>
      <c r="C178" s="32"/>
      <c r="D178" s="35"/>
      <c r="E178" s="35">
        <f>F178-D178</f>
        <v>100</v>
      </c>
      <c r="F178" s="35">
        <v>100</v>
      </c>
      <c r="G178" s="32"/>
      <c r="H178" s="35">
        <f>F178-B178</f>
        <v>0</v>
      </c>
      <c r="I178" s="36"/>
      <c r="J178" s="35">
        <f>H178-D178</f>
        <v>0</v>
      </c>
      <c r="K178" s="35">
        <f>L178-J178</f>
        <v>0</v>
      </c>
      <c r="L178" s="35">
        <v>0</v>
      </c>
      <c r="M178" s="32"/>
      <c r="N178" s="35">
        <f>L178-H178</f>
        <v>0</v>
      </c>
      <c r="P178" s="35">
        <v>100</v>
      </c>
      <c r="R178" s="35"/>
      <c r="S178" s="35">
        <f>T178-R178</f>
        <v>0</v>
      </c>
      <c r="T178" s="35"/>
      <c r="U178" s="35">
        <f>T178-P178</f>
        <v>-100</v>
      </c>
      <c r="V178" s="35"/>
      <c r="W178" s="35">
        <f>Y178-V178</f>
        <v>0</v>
      </c>
      <c r="X178" s="35"/>
      <c r="Y178" s="35"/>
      <c r="Z178" s="35">
        <f>Y178-T178</f>
        <v>0</v>
      </c>
      <c r="AC178" s="35"/>
      <c r="AD178" s="35">
        <f>AE178-AC178</f>
        <v>0</v>
      </c>
      <c r="AE178" s="35"/>
      <c r="AF178" s="35">
        <f>AE178-Y178</f>
        <v>0</v>
      </c>
      <c r="AH178" s="36">
        <v>100</v>
      </c>
      <c r="AI178" s="32"/>
      <c r="AJ178" s="35"/>
      <c r="AK178" s="35">
        <f t="shared" ref="AK178:AK188" si="111">AL178-AJ178</f>
        <v>100</v>
      </c>
      <c r="AL178" s="35">
        <v>100</v>
      </c>
      <c r="AM178" s="35">
        <f t="shared" ref="AM178:AM188" si="112">AL178-AH178</f>
        <v>0</v>
      </c>
      <c r="AN178" s="32"/>
      <c r="AO178" s="35">
        <v>100</v>
      </c>
      <c r="AQ178" s="35">
        <v>120</v>
      </c>
      <c r="AS178" s="35">
        <v>130</v>
      </c>
      <c r="AT178" s="35"/>
      <c r="AU178" s="35">
        <v>140</v>
      </c>
      <c r="AW178" s="35">
        <v>140</v>
      </c>
      <c r="AY178" s="35">
        <v>140</v>
      </c>
      <c r="BA178" s="35">
        <v>140</v>
      </c>
      <c r="BC178" s="35">
        <v>140</v>
      </c>
      <c r="BE178" s="35">
        <v>140</v>
      </c>
    </row>
    <row r="179" spans="1:57" x14ac:dyDescent="0.25">
      <c r="A179" s="7" t="s">
        <v>151</v>
      </c>
    </row>
    <row r="180" spans="1:57" x14ac:dyDescent="0.25">
      <c r="A180" s="3" t="s">
        <v>152</v>
      </c>
      <c r="AK180" s="3">
        <f t="shared" si="111"/>
        <v>0</v>
      </c>
      <c r="AM180" s="3">
        <f t="shared" si="112"/>
        <v>0</v>
      </c>
    </row>
    <row r="181" spans="1:57" x14ac:dyDescent="0.25">
      <c r="A181" s="3" t="s">
        <v>153</v>
      </c>
      <c r="AK181" s="3">
        <f t="shared" si="111"/>
        <v>0</v>
      </c>
      <c r="AM181" s="3">
        <f t="shared" si="112"/>
        <v>0</v>
      </c>
    </row>
    <row r="182" spans="1:57" x14ac:dyDescent="0.25">
      <c r="A182" s="3" t="s">
        <v>154</v>
      </c>
      <c r="AK182" s="3">
        <f t="shared" si="111"/>
        <v>0</v>
      </c>
      <c r="AM182" s="3">
        <f t="shared" si="112"/>
        <v>0</v>
      </c>
    </row>
    <row r="183" spans="1:57" x14ac:dyDescent="0.25">
      <c r="A183" s="3" t="s">
        <v>155</v>
      </c>
      <c r="B183" s="5">
        <v>5000</v>
      </c>
      <c r="D183" s="5">
        <v>722</v>
      </c>
      <c r="E183" s="3">
        <f>F183-D183</f>
        <v>4278</v>
      </c>
      <c r="F183" s="5">
        <v>5000</v>
      </c>
      <c r="H183" s="32">
        <f>F183-B183</f>
        <v>0</v>
      </c>
      <c r="I183" s="32"/>
      <c r="J183" s="4">
        <v>3252</v>
      </c>
      <c r="K183" s="4">
        <f t="shared" ref="K183:K188" si="113">L183-J183</f>
        <v>1748</v>
      </c>
      <c r="L183" s="4">
        <v>5000</v>
      </c>
      <c r="N183" s="4">
        <f t="shared" ref="N183:N188" si="114">L183-F183</f>
        <v>0</v>
      </c>
      <c r="P183" s="3">
        <v>1000</v>
      </c>
      <c r="Q183" s="3"/>
      <c r="R183" s="3">
        <v>59</v>
      </c>
      <c r="S183" s="3">
        <f t="shared" ref="S183:S188" si="115">T183-R183</f>
        <v>691</v>
      </c>
      <c r="T183" s="3">
        <v>750</v>
      </c>
      <c r="U183" s="3">
        <f t="shared" ref="U183:U188" si="116">T183-P183</f>
        <v>-250</v>
      </c>
      <c r="V183" s="3">
        <v>267</v>
      </c>
      <c r="W183" s="3">
        <f t="shared" ref="W183:W188" si="117">Y183-V183</f>
        <v>333</v>
      </c>
      <c r="X183" s="3"/>
      <c r="Y183" s="3">
        <v>600</v>
      </c>
      <c r="Z183" s="3">
        <f t="shared" ref="Z183:Z188" si="118">Y183-T183</f>
        <v>-150</v>
      </c>
      <c r="AA183" s="3"/>
      <c r="AB183" s="3"/>
      <c r="AC183" s="3">
        <v>338</v>
      </c>
      <c r="AD183" s="3">
        <f t="shared" ref="AD183:AD188" si="119">AE183-AC183</f>
        <v>162</v>
      </c>
      <c r="AE183" s="3">
        <v>500</v>
      </c>
      <c r="AF183" s="3">
        <f t="shared" ref="AF183:AF188" si="120">AE183-Y183</f>
        <v>-100</v>
      </c>
      <c r="AG183" s="4"/>
      <c r="AH183" s="4">
        <v>500</v>
      </c>
      <c r="AJ183" s="3">
        <v>102</v>
      </c>
      <c r="AK183" s="3">
        <f t="shared" si="111"/>
        <v>398</v>
      </c>
      <c r="AL183" s="3">
        <v>500</v>
      </c>
      <c r="AM183" s="3">
        <f t="shared" si="112"/>
        <v>0</v>
      </c>
      <c r="AO183" s="3">
        <f>AH183*1.025</f>
        <v>512.5</v>
      </c>
      <c r="AP183" s="3"/>
      <c r="AQ183" s="3">
        <f>AO183*1.025</f>
        <v>525.3125</v>
      </c>
      <c r="AR183" s="3"/>
      <c r="AS183" s="3">
        <f>AQ183*1.025</f>
        <v>538.4453125</v>
      </c>
      <c r="AT183" s="3"/>
      <c r="AU183" s="3">
        <f>AS183*1.025</f>
        <v>551.90644531249995</v>
      </c>
      <c r="AV183" s="42"/>
      <c r="AW183" s="3">
        <f>AU183*1.025</f>
        <v>565.70410644531239</v>
      </c>
      <c r="AX183" s="42"/>
      <c r="AY183" s="3">
        <f>AW183*1.025</f>
        <v>579.84670910644513</v>
      </c>
      <c r="AZ183" s="42"/>
      <c r="BA183" s="3">
        <f>AY183*1.025</f>
        <v>594.34287683410616</v>
      </c>
      <c r="BB183" s="42"/>
      <c r="BC183" s="3">
        <f>BA183*1.025</f>
        <v>609.20144875495873</v>
      </c>
      <c r="BE183" s="3">
        <f>BC183*1.025</f>
        <v>624.43148497383265</v>
      </c>
    </row>
    <row r="184" spans="1:57" x14ac:dyDescent="0.25">
      <c r="A184" s="3"/>
      <c r="E184" s="3"/>
      <c r="H184" s="32"/>
      <c r="I184" s="32"/>
      <c r="J184" s="4"/>
      <c r="K184" s="4">
        <f t="shared" si="113"/>
        <v>0</v>
      </c>
      <c r="L184" s="4"/>
      <c r="N184" s="4">
        <f t="shared" si="114"/>
        <v>0</v>
      </c>
      <c r="P184" s="3"/>
      <c r="Q184" s="3"/>
      <c r="R184" s="3"/>
      <c r="S184" s="3">
        <f t="shared" si="115"/>
        <v>0</v>
      </c>
      <c r="T184" s="3"/>
      <c r="U184" s="3">
        <f t="shared" si="116"/>
        <v>0</v>
      </c>
      <c r="V184" s="3"/>
      <c r="W184" s="3">
        <f t="shared" si="117"/>
        <v>0</v>
      </c>
      <c r="X184" s="3"/>
      <c r="Y184" s="3"/>
      <c r="Z184" s="3">
        <f t="shared" si="118"/>
        <v>0</v>
      </c>
      <c r="AA184" s="3"/>
      <c r="AB184" s="3"/>
      <c r="AC184" s="3"/>
      <c r="AD184" s="3">
        <f t="shared" si="119"/>
        <v>0</v>
      </c>
      <c r="AE184" s="3"/>
      <c r="AF184" s="3">
        <f t="shared" si="120"/>
        <v>0</v>
      </c>
      <c r="AG184" s="4"/>
      <c r="AH184" s="4"/>
      <c r="AJ184" s="3"/>
      <c r="AK184" s="3">
        <f t="shared" si="111"/>
        <v>0</v>
      </c>
      <c r="AL184" s="3"/>
      <c r="AM184" s="3">
        <f t="shared" si="112"/>
        <v>0</v>
      </c>
      <c r="AO184" s="3"/>
      <c r="AP184" s="3"/>
      <c r="AQ184" s="3"/>
      <c r="AR184" s="3"/>
      <c r="AS184" s="3"/>
      <c r="AT184" s="3"/>
      <c r="AU184" s="3"/>
      <c r="AV184" s="42"/>
      <c r="AW184" s="3"/>
      <c r="AX184" s="42"/>
      <c r="AY184" s="3"/>
      <c r="AZ184" s="42"/>
      <c r="BA184" s="3"/>
      <c r="BB184" s="42"/>
      <c r="BC184" s="3"/>
      <c r="BE184" s="3"/>
    </row>
    <row r="185" spans="1:57" x14ac:dyDescent="0.25">
      <c r="A185" s="3" t="s">
        <v>156</v>
      </c>
      <c r="B185" s="3">
        <v>7500</v>
      </c>
      <c r="D185" s="3"/>
      <c r="E185" s="3">
        <f>F185-D185</f>
        <v>7500</v>
      </c>
      <c r="F185" s="3">
        <v>7500</v>
      </c>
      <c r="H185" s="32">
        <f>F185-B185</f>
        <v>0</v>
      </c>
      <c r="I185" s="32"/>
      <c r="J185" s="4"/>
      <c r="K185" s="4">
        <f t="shared" si="113"/>
        <v>7500</v>
      </c>
      <c r="L185" s="4">
        <v>7500</v>
      </c>
      <c r="N185" s="4">
        <f t="shared" si="114"/>
        <v>0</v>
      </c>
      <c r="P185" s="3"/>
      <c r="Q185" s="3"/>
      <c r="R185" s="3"/>
      <c r="S185" s="3">
        <f t="shared" si="115"/>
        <v>0</v>
      </c>
      <c r="T185" s="3"/>
      <c r="U185" s="3">
        <f t="shared" si="116"/>
        <v>0</v>
      </c>
      <c r="V185" s="3"/>
      <c r="W185" s="3">
        <f t="shared" si="117"/>
        <v>0</v>
      </c>
      <c r="X185" s="3"/>
      <c r="Y185" s="3"/>
      <c r="Z185" s="3">
        <f t="shared" si="118"/>
        <v>0</v>
      </c>
      <c r="AA185" s="3"/>
      <c r="AB185" s="3"/>
      <c r="AC185" s="3"/>
      <c r="AD185" s="3">
        <f t="shared" si="119"/>
        <v>0</v>
      </c>
      <c r="AE185" s="3"/>
      <c r="AF185" s="3">
        <f t="shared" si="120"/>
        <v>0</v>
      </c>
      <c r="AG185" s="4"/>
      <c r="AH185" s="4"/>
      <c r="AJ185" s="3"/>
      <c r="AK185" s="3">
        <f t="shared" si="111"/>
        <v>0</v>
      </c>
      <c r="AL185" s="3"/>
      <c r="AM185" s="3">
        <f t="shared" si="112"/>
        <v>0</v>
      </c>
      <c r="AO185" s="3"/>
      <c r="AP185" s="3"/>
      <c r="AQ185" s="3"/>
      <c r="AR185" s="3"/>
      <c r="AS185" s="3"/>
      <c r="AT185" s="3"/>
      <c r="AU185" s="3"/>
      <c r="AV185" s="42"/>
      <c r="AW185" s="3"/>
      <c r="AX185" s="42"/>
      <c r="AY185" s="3"/>
      <c r="AZ185" s="42"/>
      <c r="BA185" s="3"/>
      <c r="BB185" s="42"/>
      <c r="BC185" s="3"/>
      <c r="BE185" s="3"/>
    </row>
    <row r="186" spans="1:57" x14ac:dyDescent="0.25">
      <c r="A186" s="3" t="s">
        <v>157</v>
      </c>
      <c r="E186" s="3">
        <f>F186-D186</f>
        <v>0</v>
      </c>
      <c r="H186" s="32">
        <f>F186-B186</f>
        <v>0</v>
      </c>
      <c r="I186" s="32"/>
      <c r="J186" s="4"/>
      <c r="K186" s="4">
        <f t="shared" si="113"/>
        <v>0</v>
      </c>
      <c r="L186" s="4"/>
      <c r="N186" s="4">
        <f t="shared" si="114"/>
        <v>0</v>
      </c>
      <c r="P186" s="3"/>
      <c r="Q186" s="3"/>
      <c r="R186" s="3"/>
      <c r="S186" s="3">
        <f t="shared" si="115"/>
        <v>0</v>
      </c>
      <c r="T186" s="3"/>
      <c r="U186" s="3">
        <f t="shared" si="116"/>
        <v>0</v>
      </c>
      <c r="V186" s="3"/>
      <c r="W186" s="3">
        <f t="shared" si="117"/>
        <v>0</v>
      </c>
      <c r="X186" s="3"/>
      <c r="Y186" s="3"/>
      <c r="Z186" s="3">
        <f t="shared" si="118"/>
        <v>0</v>
      </c>
      <c r="AA186" s="3"/>
      <c r="AB186" s="3"/>
      <c r="AC186" s="3"/>
      <c r="AD186" s="3">
        <f t="shared" si="119"/>
        <v>0</v>
      </c>
      <c r="AE186" s="3"/>
      <c r="AF186" s="3">
        <f t="shared" si="120"/>
        <v>0</v>
      </c>
      <c r="AG186" s="4"/>
      <c r="AH186" s="4"/>
      <c r="AJ186" s="3"/>
      <c r="AK186" s="3">
        <f t="shared" si="111"/>
        <v>0</v>
      </c>
      <c r="AL186" s="3"/>
      <c r="AM186" s="3">
        <f t="shared" si="112"/>
        <v>0</v>
      </c>
      <c r="AO186" s="3"/>
      <c r="AP186" s="3"/>
      <c r="AQ186" s="3"/>
      <c r="AR186" s="3"/>
      <c r="AS186" s="3"/>
      <c r="AT186" s="3"/>
      <c r="AU186" s="3"/>
      <c r="AV186" s="42"/>
      <c r="AW186" s="3"/>
      <c r="AX186" s="42"/>
      <c r="AY186" s="3"/>
      <c r="AZ186" s="42"/>
      <c r="BA186" s="3"/>
      <c r="BB186" s="42"/>
      <c r="BC186" s="3"/>
      <c r="BE186" s="3"/>
    </row>
    <row r="187" spans="1:57" x14ac:dyDescent="0.25">
      <c r="A187" s="3" t="s">
        <v>158</v>
      </c>
      <c r="E187" s="3">
        <f>F187-D187</f>
        <v>12000</v>
      </c>
      <c r="F187" s="5">
        <v>12000</v>
      </c>
      <c r="H187" s="32">
        <f>F187-B187</f>
        <v>12000</v>
      </c>
      <c r="I187" s="32"/>
      <c r="J187" s="4"/>
      <c r="K187" s="4">
        <f t="shared" si="113"/>
        <v>15000</v>
      </c>
      <c r="L187" s="4">
        <v>15000</v>
      </c>
      <c r="N187" s="4">
        <f t="shared" si="114"/>
        <v>3000</v>
      </c>
      <c r="P187" s="3">
        <v>3000</v>
      </c>
      <c r="Q187" s="3"/>
      <c r="R187" s="3"/>
      <c r="S187" s="3">
        <f t="shared" si="115"/>
        <v>3000</v>
      </c>
      <c r="T187" s="3">
        <v>3000</v>
      </c>
      <c r="U187" s="3">
        <f t="shared" si="116"/>
        <v>0</v>
      </c>
      <c r="V187" s="3">
        <v>0</v>
      </c>
      <c r="W187" s="3">
        <f t="shared" si="117"/>
        <v>7000</v>
      </c>
      <c r="X187" s="3"/>
      <c r="Y187" s="3">
        <v>7000</v>
      </c>
      <c r="Z187" s="3">
        <f t="shared" si="118"/>
        <v>4000</v>
      </c>
      <c r="AA187" s="3"/>
      <c r="AB187" s="3"/>
      <c r="AC187" s="3">
        <v>5000</v>
      </c>
      <c r="AD187" s="3">
        <f t="shared" si="119"/>
        <v>3500</v>
      </c>
      <c r="AE187" s="3">
        <v>8500</v>
      </c>
      <c r="AF187" s="3">
        <f t="shared" si="120"/>
        <v>1500</v>
      </c>
      <c r="AG187" s="4"/>
      <c r="AH187" s="4">
        <v>5000</v>
      </c>
      <c r="AJ187" s="3"/>
      <c r="AK187" s="3">
        <f t="shared" si="111"/>
        <v>5000</v>
      </c>
      <c r="AL187" s="3">
        <v>5000</v>
      </c>
      <c r="AM187" s="3">
        <f t="shared" si="112"/>
        <v>0</v>
      </c>
      <c r="AO187" s="3">
        <f>AH187*1.025</f>
        <v>5125</v>
      </c>
      <c r="AP187" s="3"/>
      <c r="AQ187" s="3">
        <f>AO187*1.025</f>
        <v>5253.1249999999991</v>
      </c>
      <c r="AR187" s="3"/>
      <c r="AS187" s="3">
        <f>AQ187*1.025</f>
        <v>5384.4531249999982</v>
      </c>
      <c r="AT187" s="3"/>
      <c r="AU187" s="3">
        <f>AS187*1.025</f>
        <v>5519.0644531249973</v>
      </c>
      <c r="AV187" s="42"/>
      <c r="AW187" s="3">
        <f>AU187*1.025</f>
        <v>5657.0410644531221</v>
      </c>
      <c r="AX187" s="42"/>
      <c r="AY187" s="3">
        <f>AW187*1.025</f>
        <v>5798.46709106445</v>
      </c>
      <c r="AZ187" s="42"/>
      <c r="BA187" s="3">
        <f>AY187*1.025</f>
        <v>5943.4287683410603</v>
      </c>
      <c r="BB187" s="42"/>
      <c r="BC187" s="3">
        <f>BA187*1.025</f>
        <v>6092.0144875495862</v>
      </c>
      <c r="BE187" s="3">
        <f>BC187*1.025</f>
        <v>6244.3148497383254</v>
      </c>
    </row>
    <row r="188" spans="1:57" x14ac:dyDescent="0.25">
      <c r="A188" s="3" t="s">
        <v>159</v>
      </c>
      <c r="H188" s="32">
        <f>F188-B188</f>
        <v>0</v>
      </c>
      <c r="I188" s="32"/>
      <c r="J188" s="4"/>
      <c r="K188" s="4">
        <f t="shared" si="113"/>
        <v>0</v>
      </c>
      <c r="L188" s="4"/>
      <c r="N188" s="4">
        <f t="shared" si="114"/>
        <v>0</v>
      </c>
      <c r="P188" s="3">
        <v>2500</v>
      </c>
      <c r="Q188" s="3"/>
      <c r="R188" s="3"/>
      <c r="S188" s="3">
        <f t="shared" si="115"/>
        <v>0</v>
      </c>
      <c r="T188" s="3">
        <v>0</v>
      </c>
      <c r="U188" s="3">
        <f t="shared" si="116"/>
        <v>-2500</v>
      </c>
      <c r="V188" s="3">
        <v>0</v>
      </c>
      <c r="W188" s="3">
        <f t="shared" si="117"/>
        <v>0</v>
      </c>
      <c r="X188" s="3"/>
      <c r="Y188" s="3">
        <v>0</v>
      </c>
      <c r="Z188" s="3">
        <f t="shared" si="118"/>
        <v>0</v>
      </c>
      <c r="AA188" s="3"/>
      <c r="AB188" s="3"/>
      <c r="AC188" s="3"/>
      <c r="AD188" s="3">
        <f t="shared" si="119"/>
        <v>0</v>
      </c>
      <c r="AE188" s="3"/>
      <c r="AF188" s="3">
        <f t="shared" si="120"/>
        <v>0</v>
      </c>
      <c r="AG188" s="4"/>
      <c r="AH188" s="4">
        <v>0</v>
      </c>
      <c r="AJ188" s="3"/>
      <c r="AK188" s="3">
        <f t="shared" si="111"/>
        <v>0</v>
      </c>
      <c r="AL188" s="3"/>
      <c r="AM188" s="3">
        <f t="shared" si="112"/>
        <v>0</v>
      </c>
      <c r="AO188" s="3"/>
      <c r="AP188" s="3"/>
      <c r="AQ188" s="3"/>
      <c r="AR188" s="3"/>
      <c r="AS188" s="3"/>
      <c r="AT188" s="3"/>
      <c r="AU188" s="3"/>
      <c r="AV188" s="42"/>
      <c r="AW188" s="3"/>
      <c r="AX188" s="42"/>
      <c r="AY188" s="3"/>
      <c r="AZ188" s="42"/>
      <c r="BA188" s="3"/>
      <c r="BB188" s="42"/>
      <c r="BC188" s="3"/>
      <c r="BE188" s="3"/>
    </row>
    <row r="189" spans="1:57" x14ac:dyDescent="0.25">
      <c r="A189" s="3"/>
      <c r="B189" s="48">
        <f>SUM(B180:B188)</f>
        <v>12500</v>
      </c>
      <c r="C189" s="32"/>
      <c r="D189" s="48">
        <f>SUM(D180:D188)</f>
        <v>722</v>
      </c>
      <c r="E189" s="48">
        <f>SUM(E180:E188)</f>
        <v>23778</v>
      </c>
      <c r="F189" s="48">
        <f>SUM(F180:F188)</f>
        <v>24500</v>
      </c>
      <c r="G189" s="32"/>
      <c r="H189" s="48">
        <f>SUM(H180:H188)</f>
        <v>12000</v>
      </c>
      <c r="I189" s="36"/>
      <c r="J189" s="48">
        <f>SUM(J180:J188)</f>
        <v>3252</v>
      </c>
      <c r="K189" s="48">
        <f>SUM(K180:K188)</f>
        <v>24248</v>
      </c>
      <c r="L189" s="48">
        <f>SUM(L180:L188)</f>
        <v>27500</v>
      </c>
      <c r="M189" s="32"/>
      <c r="N189" s="48">
        <f>SUM(N180:N188)</f>
        <v>3000</v>
      </c>
      <c r="P189" s="48">
        <f>SUM(P180:P188)</f>
        <v>6500</v>
      </c>
      <c r="R189" s="48">
        <f t="shared" ref="R189:Z189" si="121">SUM(R180:R188)</f>
        <v>59</v>
      </c>
      <c r="S189" s="48">
        <f t="shared" si="121"/>
        <v>3691</v>
      </c>
      <c r="T189" s="48">
        <f t="shared" si="121"/>
        <v>3750</v>
      </c>
      <c r="U189" s="48">
        <f t="shared" si="121"/>
        <v>-2750</v>
      </c>
      <c r="V189" s="48">
        <f t="shared" si="121"/>
        <v>267</v>
      </c>
      <c r="W189" s="48">
        <f t="shared" si="121"/>
        <v>7333</v>
      </c>
      <c r="X189" s="48"/>
      <c r="Y189" s="48">
        <f t="shared" si="121"/>
        <v>7600</v>
      </c>
      <c r="Z189" s="48">
        <f t="shared" si="121"/>
        <v>3850</v>
      </c>
      <c r="AC189" s="48">
        <f>SUM(AC180:AC188)</f>
        <v>5338</v>
      </c>
      <c r="AD189" s="48">
        <f>SUM(AD180:AD188)</f>
        <v>3662</v>
      </c>
      <c r="AE189" s="48">
        <f>SUM(AE180:AE188)</f>
        <v>9000</v>
      </c>
      <c r="AF189" s="48">
        <f>SUM(AF180:AF188)</f>
        <v>1400</v>
      </c>
      <c r="AH189" s="36">
        <f>SUM(AH180:AH188)</f>
        <v>5500</v>
      </c>
      <c r="AI189" s="32"/>
      <c r="AJ189" s="48">
        <f>SUM(AJ180:AJ188)</f>
        <v>102</v>
      </c>
      <c r="AK189" s="48">
        <f>SUM(AK180:AK188)</f>
        <v>5398</v>
      </c>
      <c r="AL189" s="48">
        <f>SUM(AL180:AL188)</f>
        <v>5500</v>
      </c>
      <c r="AM189" s="48">
        <f>SUM(AM180:AM188)</f>
        <v>0</v>
      </c>
      <c r="AN189" s="32"/>
      <c r="AO189" s="48">
        <f>SUM(AO180:AO188)</f>
        <v>5637.5</v>
      </c>
      <c r="AQ189" s="48">
        <f>SUM(AQ180:AQ188)</f>
        <v>5778.4374999999991</v>
      </c>
      <c r="AS189" s="48">
        <f>SUM(AS180:AS188)</f>
        <v>5922.8984374999982</v>
      </c>
      <c r="AT189" s="48"/>
      <c r="AU189" s="48">
        <f>SUM(AU180:AU188)</f>
        <v>6070.9708984374975</v>
      </c>
      <c r="AW189" s="48">
        <f>SUM(AU180:AU188)</f>
        <v>6070.9708984374975</v>
      </c>
      <c r="AY189" s="48">
        <f>SUM(AW180:AW188)</f>
        <v>6222.7451708984345</v>
      </c>
      <c r="BA189" s="48">
        <f>SUM(AY180:AY188)</f>
        <v>6378.3138001708949</v>
      </c>
      <c r="BC189" s="48">
        <f>SUM(BA180:BA188)</f>
        <v>6537.7716451751667</v>
      </c>
      <c r="BE189" s="48">
        <f>SUM(BC180:BC188)</f>
        <v>6701.2159363045448</v>
      </c>
    </row>
    <row r="190" spans="1:57" x14ac:dyDescent="0.25">
      <c r="A190" s="7" t="s">
        <v>160</v>
      </c>
    </row>
    <row r="191" spans="1:57" x14ac:dyDescent="0.25">
      <c r="A191" s="3" t="s">
        <v>161</v>
      </c>
      <c r="AK191" s="3">
        <f>AL191-AJ191</f>
        <v>0</v>
      </c>
      <c r="AM191" s="3">
        <f>AL191-AH191</f>
        <v>0</v>
      </c>
    </row>
    <row r="192" spans="1:57" x14ac:dyDescent="0.25">
      <c r="A192" s="3" t="s">
        <v>90</v>
      </c>
      <c r="AK192" s="3">
        <f>AL192-AJ192</f>
        <v>0</v>
      </c>
      <c r="AM192" s="3">
        <f>AL192-AH192</f>
        <v>0</v>
      </c>
    </row>
    <row r="193" spans="1:57" x14ac:dyDescent="0.25">
      <c r="A193" s="3" t="s">
        <v>90</v>
      </c>
      <c r="AK193" s="3">
        <f>AL193-AJ193</f>
        <v>0</v>
      </c>
      <c r="AM193" s="3">
        <f>AL193-AH193</f>
        <v>0</v>
      </c>
    </row>
    <row r="194" spans="1:57" x14ac:dyDescent="0.25">
      <c r="A194" s="3" t="s">
        <v>162</v>
      </c>
      <c r="P194" s="3"/>
      <c r="Z194" s="3">
        <f>Y194-T194</f>
        <v>0</v>
      </c>
      <c r="AK194" s="3">
        <f>AL194-AJ194</f>
        <v>0</v>
      </c>
      <c r="AM194" s="3">
        <f>AL194-AH194</f>
        <v>0</v>
      </c>
    </row>
    <row r="195" spans="1:57" x14ac:dyDescent="0.25">
      <c r="A195" s="3" t="s">
        <v>163</v>
      </c>
      <c r="AK195" s="3">
        <f>AL195-AJ195</f>
        <v>0</v>
      </c>
      <c r="AM195" s="3">
        <f>AL195-AH195</f>
        <v>0</v>
      </c>
    </row>
    <row r="196" spans="1:57" x14ac:dyDescent="0.25">
      <c r="A196" s="3"/>
      <c r="B196" s="48">
        <f>SUM(B191:B195)</f>
        <v>0</v>
      </c>
      <c r="C196" s="32"/>
      <c r="D196" s="48">
        <f>SUM(D191:D195)</f>
        <v>0</v>
      </c>
      <c r="E196" s="48">
        <f>SUM(E191:E195)</f>
        <v>0</v>
      </c>
      <c r="F196" s="48">
        <f>SUM(F191:F195)</f>
        <v>0</v>
      </c>
      <c r="G196" s="32"/>
      <c r="H196" s="48">
        <f>SUM(H191:H195)</f>
        <v>0</v>
      </c>
      <c r="I196" s="36"/>
      <c r="J196" s="48">
        <f>SUM(J191:J195)</f>
        <v>0</v>
      </c>
      <c r="K196" s="48">
        <f>SUM(K191:K195)</f>
        <v>0</v>
      </c>
      <c r="L196" s="48">
        <f>SUM(L191:L195)</f>
        <v>0</v>
      </c>
      <c r="M196" s="32"/>
      <c r="N196" s="48">
        <f>SUM(N191:N195)</f>
        <v>0</v>
      </c>
      <c r="P196" s="48">
        <f>SUM(P191:P195)</f>
        <v>0</v>
      </c>
      <c r="R196" s="48">
        <f t="shared" ref="R196:Z196" si="122">SUM(R191:R195)</f>
        <v>0</v>
      </c>
      <c r="S196" s="48">
        <f t="shared" si="122"/>
        <v>0</v>
      </c>
      <c r="T196" s="48">
        <f t="shared" si="122"/>
        <v>0</v>
      </c>
      <c r="U196" s="48">
        <f t="shared" si="122"/>
        <v>0</v>
      </c>
      <c r="V196" s="48">
        <f t="shared" si="122"/>
        <v>0</v>
      </c>
      <c r="W196" s="48">
        <f t="shared" si="122"/>
        <v>0</v>
      </c>
      <c r="X196" s="48"/>
      <c r="Y196" s="48">
        <f t="shared" si="122"/>
        <v>0</v>
      </c>
      <c r="Z196" s="48">
        <f t="shared" si="122"/>
        <v>0</v>
      </c>
      <c r="AC196" s="48">
        <f>SUM(AC191:AC195)</f>
        <v>0</v>
      </c>
      <c r="AD196" s="48">
        <f>SUM(AD191:AD195)</f>
        <v>0</v>
      </c>
      <c r="AE196" s="48">
        <f>SUM(AE191:AE195)</f>
        <v>0</v>
      </c>
      <c r="AF196" s="48">
        <f>SUM(AF191:AF195)</f>
        <v>0</v>
      </c>
      <c r="AH196" s="36">
        <f>SUM(AH191:AH195)</f>
        <v>0</v>
      </c>
      <c r="AI196" s="32"/>
      <c r="AJ196" s="48">
        <f>SUM(AJ191:AJ195)</f>
        <v>0</v>
      </c>
      <c r="AK196" s="48">
        <f>SUM(AK191:AK195)</f>
        <v>0</v>
      </c>
      <c r="AL196" s="48">
        <f>SUM(AL191:AL195)</f>
        <v>0</v>
      </c>
      <c r="AM196" s="48">
        <f>SUM(AM191:AM195)</f>
        <v>0</v>
      </c>
      <c r="AN196" s="32"/>
      <c r="AO196" s="48">
        <f>SUM(AO191:AO195)</f>
        <v>0</v>
      </c>
      <c r="AQ196" s="48">
        <f>SUM(AQ191:AQ195)</f>
        <v>0</v>
      </c>
      <c r="AS196" s="48">
        <f>SUM(AS191:AS195)</f>
        <v>0</v>
      </c>
      <c r="AT196" s="48"/>
      <c r="AU196" s="48">
        <f>SUM(AU191:AU195)</f>
        <v>0</v>
      </c>
      <c r="AW196" s="48">
        <f>SUM(AW191:AW195)</f>
        <v>0</v>
      </c>
      <c r="AY196" s="48">
        <f>SUM(AY191:AY195)</f>
        <v>0</v>
      </c>
      <c r="BA196" s="48">
        <f>SUM(BA191:BA195)</f>
        <v>0</v>
      </c>
      <c r="BC196" s="48">
        <f>SUM(BC191:BC195)</f>
        <v>0</v>
      </c>
      <c r="BE196" s="48">
        <f>SUM(BE191:BE195)</f>
        <v>0</v>
      </c>
    </row>
    <row r="197" spans="1:57" x14ac:dyDescent="0.25">
      <c r="A197" s="7" t="s">
        <v>164</v>
      </c>
    </row>
    <row r="198" spans="1:57" x14ac:dyDescent="0.25">
      <c r="A198" s="3" t="s">
        <v>165</v>
      </c>
      <c r="S198" s="3">
        <f t="shared" ref="S198:S220" si="123">T198-R198</f>
        <v>0</v>
      </c>
      <c r="T198" s="3"/>
      <c r="U198" s="3">
        <f t="shared" ref="U198:U220" si="124">T198-P198</f>
        <v>0</v>
      </c>
      <c r="W198" s="3">
        <f t="shared" ref="W198:W220" si="125">Y198-V198</f>
        <v>0</v>
      </c>
      <c r="X198" s="3"/>
      <c r="Z198" s="3">
        <f t="shared" ref="Z198:Z220" si="126">Y198-T198</f>
        <v>0</v>
      </c>
      <c r="AK198" s="3">
        <f t="shared" ref="AK198:AK220" si="127">AL198-AJ198</f>
        <v>0</v>
      </c>
      <c r="AM198" s="3">
        <f t="shared" ref="AM198:AM220" si="128">AL198-AH198</f>
        <v>0</v>
      </c>
    </row>
    <row r="199" spans="1:57" x14ac:dyDescent="0.25">
      <c r="A199" s="3" t="s">
        <v>166</v>
      </c>
      <c r="B199" s="5">
        <v>20000</v>
      </c>
      <c r="E199" s="3">
        <f t="shared" ref="E199:E220" si="129">F199-D199</f>
        <v>20000</v>
      </c>
      <c r="F199" s="5">
        <v>20000</v>
      </c>
      <c r="H199" s="32">
        <f t="shared" ref="H199:H220" si="130">F199-B199</f>
        <v>0</v>
      </c>
      <c r="I199" s="32"/>
      <c r="J199" s="4">
        <v>0</v>
      </c>
      <c r="K199" s="4">
        <f t="shared" ref="K199:K220" si="131">L199-J199</f>
        <v>20000</v>
      </c>
      <c r="L199" s="4">
        <v>20000</v>
      </c>
      <c r="N199" s="4">
        <f t="shared" ref="N199:N220" si="132">L199-F199</f>
        <v>0</v>
      </c>
      <c r="S199" s="3">
        <f t="shared" si="123"/>
        <v>0</v>
      </c>
      <c r="T199" s="3"/>
      <c r="U199" s="3">
        <f t="shared" si="124"/>
        <v>0</v>
      </c>
      <c r="W199" s="3">
        <f t="shared" si="125"/>
        <v>0</v>
      </c>
      <c r="X199" s="3"/>
      <c r="Z199" s="3">
        <f t="shared" si="126"/>
        <v>0</v>
      </c>
      <c r="AK199" s="3">
        <f t="shared" si="127"/>
        <v>10000</v>
      </c>
      <c r="AL199" s="5">
        <v>10000</v>
      </c>
      <c r="AM199" s="3">
        <f t="shared" si="128"/>
        <v>10000</v>
      </c>
    </row>
    <row r="200" spans="1:57" x14ac:dyDescent="0.25">
      <c r="A200" s="3" t="s">
        <v>1149</v>
      </c>
      <c r="B200" s="5">
        <v>20000</v>
      </c>
      <c r="E200" s="3">
        <f>F200-D200</f>
        <v>20000</v>
      </c>
      <c r="F200" s="5">
        <v>20000</v>
      </c>
      <c r="H200" s="32">
        <f>F200-B200</f>
        <v>0</v>
      </c>
      <c r="I200" s="32"/>
      <c r="J200" s="4">
        <v>0</v>
      </c>
      <c r="K200" s="4">
        <f>L200-J200</f>
        <v>20000</v>
      </c>
      <c r="L200" s="4">
        <v>20000</v>
      </c>
      <c r="N200" s="4">
        <f>L200-F200</f>
        <v>0</v>
      </c>
      <c r="S200" s="3">
        <f>T200-R200</f>
        <v>0</v>
      </c>
      <c r="T200" s="3"/>
      <c r="U200" s="3">
        <f>T200-P200</f>
        <v>0</v>
      </c>
      <c r="W200" s="3">
        <f>Y200-V200</f>
        <v>0</v>
      </c>
      <c r="X200" s="3"/>
      <c r="Z200" s="3">
        <f>Y200-T200</f>
        <v>0</v>
      </c>
      <c r="AK200" s="3">
        <f t="shared" si="127"/>
        <v>13000</v>
      </c>
      <c r="AL200" s="5">
        <v>13000</v>
      </c>
      <c r="AM200" s="3">
        <f>AL200-AH200</f>
        <v>13000</v>
      </c>
    </row>
    <row r="201" spans="1:57" x14ac:dyDescent="0.25">
      <c r="A201" s="3" t="s">
        <v>245</v>
      </c>
      <c r="B201" s="5">
        <v>20000</v>
      </c>
      <c r="E201" s="3">
        <f>F201-D201</f>
        <v>20000</v>
      </c>
      <c r="F201" s="5">
        <v>20000</v>
      </c>
      <c r="H201" s="32">
        <f>F201-B201</f>
        <v>0</v>
      </c>
      <c r="I201" s="32"/>
      <c r="J201" s="4">
        <v>0</v>
      </c>
      <c r="K201" s="4">
        <f>L201-J201</f>
        <v>20000</v>
      </c>
      <c r="L201" s="4">
        <v>20000</v>
      </c>
      <c r="N201" s="4">
        <f>L201-F201</f>
        <v>0</v>
      </c>
      <c r="S201" s="3">
        <f>T201-R201</f>
        <v>0</v>
      </c>
      <c r="T201" s="3"/>
      <c r="U201" s="3">
        <f>T201-P201</f>
        <v>0</v>
      </c>
      <c r="W201" s="3">
        <f>Y201-V201</f>
        <v>0</v>
      </c>
      <c r="X201" s="3"/>
      <c r="Z201" s="3">
        <f>Y201-T201</f>
        <v>0</v>
      </c>
      <c r="AK201" s="3">
        <f t="shared" si="127"/>
        <v>22000</v>
      </c>
      <c r="AL201" s="5">
        <v>22000</v>
      </c>
      <c r="AM201" s="3">
        <f>AL201-AH201</f>
        <v>22000</v>
      </c>
    </row>
    <row r="202" spans="1:57" x14ac:dyDescent="0.25">
      <c r="A202" s="3" t="s">
        <v>167</v>
      </c>
      <c r="E202" s="3"/>
      <c r="H202" s="32"/>
      <c r="I202" s="32"/>
      <c r="J202" s="4"/>
      <c r="K202" s="4"/>
      <c r="L202" s="4"/>
      <c r="N202" s="4"/>
      <c r="S202" s="3"/>
      <c r="T202" s="3"/>
      <c r="U202" s="3"/>
      <c r="W202" s="3"/>
      <c r="X202" s="3"/>
      <c r="Z202" s="3"/>
      <c r="AC202" s="5">
        <v>0</v>
      </c>
      <c r="AD202" s="3">
        <f>AE202-AC202</f>
        <v>6000</v>
      </c>
      <c r="AE202" s="3">
        <v>6000</v>
      </c>
      <c r="AF202" s="3">
        <f>AE202-Y202</f>
        <v>6000</v>
      </c>
      <c r="AK202" s="3">
        <f t="shared" si="127"/>
        <v>10000</v>
      </c>
      <c r="AL202" s="5">
        <v>10000</v>
      </c>
      <c r="AM202" s="3">
        <f t="shared" si="128"/>
        <v>10000</v>
      </c>
    </row>
    <row r="203" spans="1:57" x14ac:dyDescent="0.25">
      <c r="A203" s="3" t="s">
        <v>168</v>
      </c>
      <c r="B203" s="3"/>
      <c r="D203" s="3"/>
      <c r="E203" s="3">
        <f t="shared" si="129"/>
        <v>0</v>
      </c>
      <c r="F203" s="3"/>
      <c r="H203" s="32">
        <f t="shared" si="130"/>
        <v>0</v>
      </c>
      <c r="I203" s="32"/>
      <c r="J203" s="4"/>
      <c r="K203" s="4">
        <f t="shared" si="131"/>
        <v>0</v>
      </c>
      <c r="L203" s="4"/>
      <c r="N203" s="4">
        <f t="shared" si="132"/>
        <v>0</v>
      </c>
      <c r="P203" s="3"/>
      <c r="Q203" s="3"/>
      <c r="R203" s="3"/>
      <c r="S203" s="3">
        <f t="shared" si="123"/>
        <v>0</v>
      </c>
      <c r="T203" s="3"/>
      <c r="U203" s="3">
        <f t="shared" si="124"/>
        <v>0</v>
      </c>
      <c r="V203" s="3"/>
      <c r="W203" s="3">
        <f t="shared" si="125"/>
        <v>0</v>
      </c>
      <c r="X203" s="3"/>
      <c r="Y203" s="3"/>
      <c r="Z203" s="3">
        <f t="shared" si="126"/>
        <v>0</v>
      </c>
      <c r="AA203" s="3"/>
      <c r="AB203" s="3"/>
      <c r="AC203" s="3"/>
      <c r="AD203" s="3">
        <f t="shared" ref="AD203:AD220" si="133">AE203-AC203</f>
        <v>0</v>
      </c>
      <c r="AE203" s="3"/>
      <c r="AF203" s="3">
        <f t="shared" ref="AF203:AF220" si="134">AE203-Y203</f>
        <v>0</v>
      </c>
      <c r="AG203" s="4"/>
      <c r="AH203" s="4"/>
      <c r="AJ203" s="3"/>
      <c r="AK203" s="3">
        <f t="shared" si="127"/>
        <v>0</v>
      </c>
      <c r="AL203" s="3"/>
      <c r="AM203" s="3">
        <f t="shared" si="128"/>
        <v>0</v>
      </c>
      <c r="AO203" s="3"/>
      <c r="AP203" s="3"/>
      <c r="AQ203" s="3"/>
      <c r="AR203" s="3"/>
      <c r="AS203" s="3"/>
      <c r="AT203" s="3"/>
      <c r="AU203" s="3"/>
      <c r="AV203" s="42"/>
      <c r="AW203" s="3"/>
      <c r="AY203" s="3"/>
      <c r="BA203" s="3"/>
      <c r="BC203" s="3"/>
      <c r="BE203" s="3"/>
    </row>
    <row r="204" spans="1:57" hidden="1" x14ac:dyDescent="0.25">
      <c r="A204" s="3" t="s">
        <v>169</v>
      </c>
      <c r="B204" s="3"/>
      <c r="D204" s="3"/>
      <c r="E204" s="3">
        <f t="shared" si="129"/>
        <v>0</v>
      </c>
      <c r="F204" s="3"/>
      <c r="H204" s="32">
        <f t="shared" si="130"/>
        <v>0</v>
      </c>
      <c r="I204" s="32"/>
      <c r="J204" s="4"/>
      <c r="K204" s="4">
        <f t="shared" si="131"/>
        <v>0</v>
      </c>
      <c r="L204" s="4"/>
      <c r="N204" s="4">
        <f t="shared" si="132"/>
        <v>0</v>
      </c>
      <c r="P204" s="3"/>
      <c r="Q204" s="3"/>
      <c r="R204" s="3"/>
      <c r="S204" s="3">
        <f t="shared" si="123"/>
        <v>0</v>
      </c>
      <c r="T204" s="3"/>
      <c r="U204" s="3">
        <f t="shared" si="124"/>
        <v>0</v>
      </c>
      <c r="V204" s="3"/>
      <c r="W204" s="3">
        <f t="shared" si="125"/>
        <v>0</v>
      </c>
      <c r="X204" s="3"/>
      <c r="Y204" s="3"/>
      <c r="Z204" s="3">
        <f t="shared" si="126"/>
        <v>0</v>
      </c>
      <c r="AA204" s="3"/>
      <c r="AB204" s="3"/>
      <c r="AC204" s="3"/>
      <c r="AD204" s="3">
        <f t="shared" si="133"/>
        <v>0</v>
      </c>
      <c r="AE204" s="3"/>
      <c r="AF204" s="3">
        <f t="shared" si="134"/>
        <v>0</v>
      </c>
      <c r="AG204" s="4"/>
      <c r="AH204" s="4"/>
      <c r="AJ204" s="3"/>
      <c r="AK204" s="3">
        <f t="shared" si="127"/>
        <v>0</v>
      </c>
      <c r="AL204" s="3"/>
      <c r="AM204" s="3">
        <f t="shared" si="128"/>
        <v>0</v>
      </c>
      <c r="AO204" s="3"/>
      <c r="AP204" s="3"/>
      <c r="AQ204" s="3"/>
      <c r="AR204" s="3"/>
      <c r="AS204" s="3"/>
      <c r="AT204" s="3"/>
      <c r="AU204" s="3"/>
      <c r="AV204" s="42"/>
      <c r="AW204" s="3"/>
      <c r="AY204" s="3"/>
      <c r="BA204" s="3"/>
      <c r="BC204" s="3"/>
      <c r="BE204" s="3"/>
    </row>
    <row r="205" spans="1:57" x14ac:dyDescent="0.25">
      <c r="A205" s="3" t="s">
        <v>170</v>
      </c>
      <c r="B205" s="3">
        <v>15000</v>
      </c>
      <c r="D205" s="3"/>
      <c r="E205" s="3">
        <f t="shared" si="129"/>
        <v>15000</v>
      </c>
      <c r="F205" s="3">
        <v>15000</v>
      </c>
      <c r="H205" s="32">
        <f t="shared" si="130"/>
        <v>0</v>
      </c>
      <c r="I205" s="32"/>
      <c r="J205" s="4">
        <v>0</v>
      </c>
      <c r="K205" s="4">
        <f t="shared" si="131"/>
        <v>15000</v>
      </c>
      <c r="L205" s="4">
        <v>15000</v>
      </c>
      <c r="N205" s="4">
        <f t="shared" si="132"/>
        <v>0</v>
      </c>
      <c r="P205" s="3"/>
      <c r="Q205" s="3"/>
      <c r="R205" s="3"/>
      <c r="S205" s="3">
        <f t="shared" si="123"/>
        <v>0</v>
      </c>
      <c r="T205" s="3"/>
      <c r="U205" s="3">
        <f t="shared" si="124"/>
        <v>0</v>
      </c>
      <c r="V205" s="3"/>
      <c r="W205" s="3">
        <f t="shared" si="125"/>
        <v>0</v>
      </c>
      <c r="X205" s="3"/>
      <c r="Y205" s="3"/>
      <c r="Z205" s="3">
        <f t="shared" si="126"/>
        <v>0</v>
      </c>
      <c r="AA205" s="3"/>
      <c r="AB205" s="3"/>
      <c r="AC205" s="3"/>
      <c r="AD205" s="3">
        <f t="shared" si="133"/>
        <v>10000</v>
      </c>
      <c r="AE205" s="3">
        <v>10000</v>
      </c>
      <c r="AF205" s="3">
        <f t="shared" si="134"/>
        <v>10000</v>
      </c>
      <c r="AG205" s="4"/>
      <c r="AH205" s="4">
        <v>5000</v>
      </c>
      <c r="AJ205" s="3"/>
      <c r="AK205" s="3">
        <f t="shared" si="127"/>
        <v>5000</v>
      </c>
      <c r="AL205" s="3">
        <v>5000</v>
      </c>
      <c r="AM205" s="3">
        <f t="shared" si="128"/>
        <v>0</v>
      </c>
      <c r="AO205" s="3"/>
      <c r="AP205" s="3"/>
      <c r="AQ205" s="3"/>
      <c r="AR205" s="3"/>
      <c r="AS205" s="3"/>
      <c r="AT205" s="3"/>
      <c r="AU205" s="3"/>
      <c r="AV205" s="42"/>
      <c r="AW205" s="3"/>
      <c r="AX205" s="42"/>
      <c r="AY205" s="3"/>
      <c r="AZ205" s="42"/>
      <c r="BA205" s="3"/>
      <c r="BB205" s="42"/>
      <c r="BC205" s="3"/>
      <c r="BE205" s="3"/>
    </row>
    <row r="206" spans="1:57" x14ac:dyDescent="0.25">
      <c r="A206" s="3" t="s">
        <v>171</v>
      </c>
      <c r="E206" s="3">
        <f t="shared" si="129"/>
        <v>20000</v>
      </c>
      <c r="F206" s="5">
        <v>20000</v>
      </c>
      <c r="H206" s="32">
        <f t="shared" si="130"/>
        <v>20000</v>
      </c>
      <c r="I206" s="32"/>
      <c r="J206" s="4">
        <v>0</v>
      </c>
      <c r="K206" s="4">
        <f t="shared" si="131"/>
        <v>20000</v>
      </c>
      <c r="L206" s="4">
        <v>20000</v>
      </c>
      <c r="N206" s="4">
        <f t="shared" si="132"/>
        <v>0</v>
      </c>
      <c r="P206" s="3"/>
      <c r="Q206" s="3"/>
      <c r="R206" s="3"/>
      <c r="S206" s="3">
        <f t="shared" si="123"/>
        <v>0</v>
      </c>
      <c r="T206" s="3"/>
      <c r="U206" s="3">
        <f t="shared" si="124"/>
        <v>0</v>
      </c>
      <c r="V206" s="3"/>
      <c r="W206" s="3">
        <f t="shared" si="125"/>
        <v>0</v>
      </c>
      <c r="X206" s="3"/>
      <c r="Y206" s="3"/>
      <c r="Z206" s="3">
        <f t="shared" si="126"/>
        <v>0</v>
      </c>
      <c r="AA206" s="3"/>
      <c r="AB206" s="3"/>
      <c r="AC206" s="3"/>
      <c r="AD206" s="3">
        <f t="shared" si="133"/>
        <v>0</v>
      </c>
      <c r="AE206" s="3"/>
      <c r="AF206" s="3">
        <f t="shared" si="134"/>
        <v>0</v>
      </c>
      <c r="AG206" s="4"/>
      <c r="AH206" s="4"/>
      <c r="AJ206" s="3"/>
      <c r="AK206" s="3">
        <f t="shared" si="127"/>
        <v>0</v>
      </c>
      <c r="AL206" s="3"/>
      <c r="AM206" s="3">
        <f t="shared" si="128"/>
        <v>0</v>
      </c>
      <c r="AO206" s="3"/>
      <c r="AP206" s="3"/>
      <c r="AQ206" s="3"/>
      <c r="AR206" s="3"/>
      <c r="AS206" s="3"/>
      <c r="AT206" s="3"/>
      <c r="AU206" s="3"/>
      <c r="AV206" s="42"/>
      <c r="AW206" s="3"/>
      <c r="AX206" s="42"/>
      <c r="AY206" s="3"/>
      <c r="AZ206" s="42"/>
      <c r="BA206" s="3"/>
      <c r="BB206" s="42"/>
      <c r="BC206" s="3"/>
      <c r="BE206" s="3"/>
    </row>
    <row r="207" spans="1:57" x14ac:dyDescent="0.25">
      <c r="A207" s="3" t="s">
        <v>172</v>
      </c>
      <c r="E207" s="3">
        <f t="shared" si="129"/>
        <v>30000</v>
      </c>
      <c r="F207" s="5">
        <v>30000</v>
      </c>
      <c r="H207" s="32">
        <f t="shared" si="130"/>
        <v>30000</v>
      </c>
      <c r="I207" s="32"/>
      <c r="J207" s="4">
        <v>0</v>
      </c>
      <c r="K207" s="4">
        <f t="shared" si="131"/>
        <v>30000</v>
      </c>
      <c r="L207" s="4">
        <v>30000</v>
      </c>
      <c r="N207" s="4">
        <f t="shared" si="132"/>
        <v>0</v>
      </c>
      <c r="P207" s="3"/>
      <c r="Q207" s="3"/>
      <c r="R207" s="3"/>
      <c r="S207" s="3">
        <f t="shared" si="123"/>
        <v>0</v>
      </c>
      <c r="T207" s="3"/>
      <c r="U207" s="3">
        <f t="shared" si="124"/>
        <v>0</v>
      </c>
      <c r="V207" s="3"/>
      <c r="W207" s="3">
        <f t="shared" si="125"/>
        <v>0</v>
      </c>
      <c r="X207" s="3"/>
      <c r="Y207" s="3"/>
      <c r="Z207" s="3">
        <f t="shared" si="126"/>
        <v>0</v>
      </c>
      <c r="AA207" s="3"/>
      <c r="AB207" s="3"/>
      <c r="AC207" s="3"/>
      <c r="AD207" s="3">
        <f t="shared" si="133"/>
        <v>0</v>
      </c>
      <c r="AE207" s="3"/>
      <c r="AF207" s="3">
        <f t="shared" si="134"/>
        <v>0</v>
      </c>
      <c r="AG207" s="4"/>
      <c r="AH207" s="4"/>
      <c r="AJ207" s="3"/>
      <c r="AK207" s="3">
        <f t="shared" si="127"/>
        <v>0</v>
      </c>
      <c r="AL207" s="3"/>
      <c r="AM207" s="3">
        <f t="shared" si="128"/>
        <v>0</v>
      </c>
      <c r="AO207" s="3"/>
      <c r="AP207" s="3"/>
      <c r="AQ207" s="3"/>
      <c r="AR207" s="3"/>
      <c r="AS207" s="3"/>
      <c r="AT207" s="3"/>
      <c r="AU207" s="3"/>
      <c r="AV207" s="42"/>
      <c r="AW207" s="3"/>
      <c r="AX207" s="42"/>
      <c r="AY207" s="3"/>
      <c r="AZ207" s="42"/>
      <c r="BA207" s="3"/>
      <c r="BB207" s="42"/>
      <c r="BC207" s="3"/>
      <c r="BE207" s="3"/>
    </row>
    <row r="208" spans="1:57" x14ac:dyDescent="0.25">
      <c r="A208" s="3" t="s">
        <v>173</v>
      </c>
      <c r="E208" s="3">
        <f t="shared" si="129"/>
        <v>0</v>
      </c>
      <c r="H208" s="32">
        <f t="shared" si="130"/>
        <v>0</v>
      </c>
      <c r="I208" s="32"/>
      <c r="J208" s="4"/>
      <c r="K208" s="4">
        <f t="shared" si="131"/>
        <v>0</v>
      </c>
      <c r="L208" s="4"/>
      <c r="N208" s="4">
        <f t="shared" si="132"/>
        <v>0</v>
      </c>
      <c r="P208" s="3"/>
      <c r="Q208" s="3"/>
      <c r="R208" s="3"/>
      <c r="S208" s="3">
        <f t="shared" si="123"/>
        <v>0</v>
      </c>
      <c r="T208" s="3"/>
      <c r="U208" s="3">
        <f t="shared" si="124"/>
        <v>0</v>
      </c>
      <c r="V208" s="3"/>
      <c r="W208" s="3">
        <f t="shared" si="125"/>
        <v>0</v>
      </c>
      <c r="X208" s="3"/>
      <c r="Y208" s="3"/>
      <c r="Z208" s="3">
        <f t="shared" si="126"/>
        <v>0</v>
      </c>
      <c r="AA208" s="3"/>
      <c r="AB208" s="3"/>
      <c r="AC208" s="3"/>
      <c r="AD208" s="3">
        <f t="shared" si="133"/>
        <v>0</v>
      </c>
      <c r="AE208" s="3"/>
      <c r="AF208" s="3">
        <f t="shared" si="134"/>
        <v>0</v>
      </c>
      <c r="AG208" s="4"/>
      <c r="AH208" s="4"/>
      <c r="AJ208" s="3"/>
      <c r="AK208" s="3">
        <f t="shared" si="127"/>
        <v>0</v>
      </c>
      <c r="AL208" s="3"/>
      <c r="AM208" s="3">
        <f t="shared" si="128"/>
        <v>0</v>
      </c>
      <c r="AO208" s="3"/>
      <c r="AP208" s="3"/>
      <c r="AQ208" s="3"/>
      <c r="AR208" s="3"/>
      <c r="AS208" s="3"/>
      <c r="AT208" s="3"/>
      <c r="AU208" s="3"/>
      <c r="AV208" s="42"/>
      <c r="AW208" s="3"/>
      <c r="AX208" s="42"/>
      <c r="AY208" s="3"/>
      <c r="AZ208" s="42"/>
      <c r="BA208" s="3"/>
      <c r="BB208" s="42"/>
      <c r="BC208" s="3"/>
      <c r="BE208" s="3"/>
    </row>
    <row r="209" spans="1:57" x14ac:dyDescent="0.25">
      <c r="A209" s="3" t="s">
        <v>174</v>
      </c>
      <c r="B209" s="5">
        <v>1000</v>
      </c>
      <c r="E209" s="3">
        <f t="shared" si="129"/>
        <v>1000</v>
      </c>
      <c r="F209" s="5">
        <v>1000</v>
      </c>
      <c r="H209" s="32">
        <f t="shared" si="130"/>
        <v>0</v>
      </c>
      <c r="I209" s="32"/>
      <c r="J209" s="4">
        <v>0</v>
      </c>
      <c r="K209" s="4">
        <f t="shared" si="131"/>
        <v>1000</v>
      </c>
      <c r="L209" s="4">
        <v>1000</v>
      </c>
      <c r="N209" s="4">
        <f t="shared" si="132"/>
        <v>0</v>
      </c>
      <c r="P209" s="3">
        <v>1000</v>
      </c>
      <c r="Q209" s="3"/>
      <c r="R209" s="3"/>
      <c r="S209" s="3">
        <f t="shared" si="123"/>
        <v>500</v>
      </c>
      <c r="T209" s="3">
        <v>500</v>
      </c>
      <c r="U209" s="3">
        <f t="shared" si="124"/>
        <v>-500</v>
      </c>
      <c r="V209" s="3">
        <v>0</v>
      </c>
      <c r="W209" s="3">
        <f t="shared" si="125"/>
        <v>100</v>
      </c>
      <c r="X209" s="3"/>
      <c r="Y209" s="3">
        <v>100</v>
      </c>
      <c r="Z209" s="3">
        <f t="shared" si="126"/>
        <v>-400</v>
      </c>
      <c r="AA209" s="3"/>
      <c r="AB209" s="3"/>
      <c r="AC209" s="3">
        <v>123</v>
      </c>
      <c r="AD209" s="3">
        <f t="shared" si="133"/>
        <v>2</v>
      </c>
      <c r="AE209" s="3">
        <v>125</v>
      </c>
      <c r="AF209" s="3">
        <f t="shared" si="134"/>
        <v>25</v>
      </c>
      <c r="AG209" s="4"/>
      <c r="AH209" s="4">
        <v>1100</v>
      </c>
      <c r="AJ209" s="3"/>
      <c r="AK209" s="3">
        <f t="shared" si="127"/>
        <v>1100</v>
      </c>
      <c r="AL209" s="3">
        <v>1100</v>
      </c>
      <c r="AM209" s="3">
        <f t="shared" si="128"/>
        <v>0</v>
      </c>
      <c r="AO209" s="3">
        <f>AH209*1.025</f>
        <v>1127.5</v>
      </c>
      <c r="AP209" s="3"/>
      <c r="AQ209" s="3">
        <f>AO209*1.025</f>
        <v>1155.6875</v>
      </c>
      <c r="AR209" s="3"/>
      <c r="AS209" s="3">
        <f>AQ209*1.025</f>
        <v>1184.5796874999999</v>
      </c>
      <c r="AT209" s="3"/>
      <c r="AU209" s="3">
        <f>AS209*1.025</f>
        <v>1214.1941796874999</v>
      </c>
      <c r="AV209" s="42"/>
      <c r="AW209" s="3">
        <f>AU209*1.025</f>
        <v>1244.5490341796872</v>
      </c>
      <c r="AX209" s="42"/>
      <c r="AY209" s="3">
        <f>AW209*1.025</f>
        <v>1275.6627600341792</v>
      </c>
      <c r="AZ209" s="42"/>
      <c r="BA209" s="3">
        <f>AY209*1.025</f>
        <v>1307.5543290350336</v>
      </c>
      <c r="BB209" s="42"/>
      <c r="BC209" s="3">
        <f>BA209*1.025</f>
        <v>1340.2431872609093</v>
      </c>
      <c r="BE209" s="3">
        <f>BC209*1.025</f>
        <v>1373.7492669424319</v>
      </c>
    </row>
    <row r="210" spans="1:57" x14ac:dyDescent="0.25">
      <c r="A210" s="3" t="s">
        <v>175</v>
      </c>
      <c r="E210" s="3">
        <f t="shared" si="129"/>
        <v>0</v>
      </c>
      <c r="H210" s="32">
        <f t="shared" si="130"/>
        <v>0</v>
      </c>
      <c r="I210" s="32"/>
      <c r="J210" s="4"/>
      <c r="K210" s="4">
        <f t="shared" si="131"/>
        <v>0</v>
      </c>
      <c r="L210" s="4"/>
      <c r="N210" s="4">
        <f t="shared" si="132"/>
        <v>0</v>
      </c>
      <c r="P210" s="3"/>
      <c r="Q210" s="3"/>
      <c r="R210" s="3"/>
      <c r="S210" s="3">
        <f t="shared" si="123"/>
        <v>0</v>
      </c>
      <c r="T210" s="3"/>
      <c r="U210" s="3">
        <f t="shared" si="124"/>
        <v>0</v>
      </c>
      <c r="V210" s="3"/>
      <c r="W210" s="3">
        <f t="shared" si="125"/>
        <v>0</v>
      </c>
      <c r="X210" s="3"/>
      <c r="Y210" s="3"/>
      <c r="Z210" s="3">
        <f t="shared" si="126"/>
        <v>0</v>
      </c>
      <c r="AA210" s="3"/>
      <c r="AB210" s="3"/>
      <c r="AC210" s="3"/>
      <c r="AD210" s="3">
        <f t="shared" si="133"/>
        <v>0</v>
      </c>
      <c r="AE210" s="3"/>
      <c r="AF210" s="3">
        <f t="shared" si="134"/>
        <v>0</v>
      </c>
      <c r="AG210" s="4"/>
      <c r="AH210" s="4"/>
      <c r="AJ210" s="3"/>
      <c r="AK210" s="3">
        <f t="shared" si="127"/>
        <v>0</v>
      </c>
      <c r="AL210" s="3"/>
      <c r="AM210" s="3">
        <f t="shared" si="128"/>
        <v>0</v>
      </c>
      <c r="AO210" s="3"/>
      <c r="AP210" s="3"/>
      <c r="AQ210" s="3"/>
      <c r="AR210" s="3"/>
      <c r="AS210" s="3"/>
      <c r="AT210" s="3"/>
      <c r="AU210" s="3"/>
      <c r="AV210" s="42"/>
      <c r="AW210" s="3"/>
      <c r="AX210" s="42"/>
      <c r="AY210" s="3"/>
      <c r="AZ210" s="42"/>
      <c r="BA210" s="3"/>
      <c r="BB210" s="42"/>
      <c r="BC210" s="3"/>
      <c r="BE210" s="3"/>
    </row>
    <row r="211" spans="1:57" x14ac:dyDescent="0.25">
      <c r="A211" s="3" t="s">
        <v>176</v>
      </c>
      <c r="E211" s="3">
        <f t="shared" si="129"/>
        <v>0</v>
      </c>
      <c r="H211" s="32">
        <f t="shared" si="130"/>
        <v>0</v>
      </c>
      <c r="I211" s="32"/>
      <c r="J211" s="4"/>
      <c r="K211" s="4">
        <f t="shared" si="131"/>
        <v>0</v>
      </c>
      <c r="L211" s="4"/>
      <c r="N211" s="4">
        <f t="shared" si="132"/>
        <v>0</v>
      </c>
      <c r="P211" s="3"/>
      <c r="Q211" s="3"/>
      <c r="R211" s="3"/>
      <c r="S211" s="3">
        <f t="shared" si="123"/>
        <v>0</v>
      </c>
      <c r="T211" s="3"/>
      <c r="U211" s="3">
        <f t="shared" si="124"/>
        <v>0</v>
      </c>
      <c r="V211" s="3"/>
      <c r="W211" s="3">
        <f t="shared" si="125"/>
        <v>0</v>
      </c>
      <c r="X211" s="3"/>
      <c r="Y211" s="3"/>
      <c r="Z211" s="3">
        <f t="shared" si="126"/>
        <v>0</v>
      </c>
      <c r="AA211" s="3"/>
      <c r="AB211" s="3"/>
      <c r="AC211" s="3"/>
      <c r="AD211" s="3">
        <f t="shared" si="133"/>
        <v>0</v>
      </c>
      <c r="AE211" s="3"/>
      <c r="AF211" s="3">
        <f t="shared" si="134"/>
        <v>0</v>
      </c>
      <c r="AG211" s="4"/>
      <c r="AH211" s="4"/>
      <c r="AJ211" s="3"/>
      <c r="AK211" s="3">
        <f t="shared" si="127"/>
        <v>0</v>
      </c>
      <c r="AL211" s="3"/>
      <c r="AM211" s="3">
        <f t="shared" si="128"/>
        <v>0</v>
      </c>
      <c r="AO211" s="3"/>
      <c r="AP211" s="3"/>
      <c r="AQ211" s="3"/>
      <c r="AR211" s="3"/>
      <c r="AS211" s="3"/>
      <c r="AT211" s="3"/>
      <c r="AU211" s="3"/>
      <c r="AV211" s="42"/>
      <c r="AW211" s="3"/>
      <c r="AX211" s="42"/>
      <c r="AY211" s="3"/>
      <c r="AZ211" s="42"/>
      <c r="BA211" s="3"/>
      <c r="BB211" s="42"/>
      <c r="BC211" s="3"/>
      <c r="BE211" s="3"/>
    </row>
    <row r="212" spans="1:57" x14ac:dyDescent="0.25">
      <c r="A212" s="3" t="s">
        <v>176</v>
      </c>
      <c r="E212" s="3">
        <f t="shared" si="129"/>
        <v>0</v>
      </c>
      <c r="H212" s="32">
        <f t="shared" si="130"/>
        <v>0</v>
      </c>
      <c r="I212" s="32"/>
      <c r="J212" s="4"/>
      <c r="K212" s="4">
        <f t="shared" si="131"/>
        <v>0</v>
      </c>
      <c r="L212" s="4"/>
      <c r="N212" s="4">
        <f t="shared" si="132"/>
        <v>0</v>
      </c>
      <c r="P212" s="3"/>
      <c r="Q212" s="3"/>
      <c r="R212" s="3"/>
      <c r="S212" s="3">
        <f t="shared" si="123"/>
        <v>0</v>
      </c>
      <c r="T212" s="3"/>
      <c r="U212" s="3">
        <f t="shared" si="124"/>
        <v>0</v>
      </c>
      <c r="V212" s="3"/>
      <c r="W212" s="3">
        <f t="shared" si="125"/>
        <v>0</v>
      </c>
      <c r="X212" s="3"/>
      <c r="Y212" s="3"/>
      <c r="Z212" s="3">
        <f t="shared" si="126"/>
        <v>0</v>
      </c>
      <c r="AA212" s="3"/>
      <c r="AB212" s="3"/>
      <c r="AC212" s="3"/>
      <c r="AD212" s="3">
        <f t="shared" si="133"/>
        <v>0</v>
      </c>
      <c r="AE212" s="3"/>
      <c r="AF212" s="3">
        <f t="shared" si="134"/>
        <v>0</v>
      </c>
      <c r="AG212" s="4"/>
      <c r="AH212" s="4"/>
      <c r="AJ212" s="3"/>
      <c r="AK212" s="3">
        <f t="shared" si="127"/>
        <v>0</v>
      </c>
      <c r="AL212" s="3"/>
      <c r="AM212" s="3">
        <f t="shared" si="128"/>
        <v>0</v>
      </c>
      <c r="AO212" s="3"/>
      <c r="AP212" s="3"/>
      <c r="AQ212" s="3"/>
      <c r="AR212" s="3"/>
      <c r="AS212" s="3"/>
      <c r="AT212" s="3"/>
      <c r="AU212" s="3"/>
      <c r="AV212" s="42"/>
      <c r="AW212" s="3"/>
      <c r="AX212" s="42"/>
      <c r="AY212" s="3"/>
      <c r="AZ212" s="42"/>
      <c r="BA212" s="3"/>
      <c r="BB212" s="42"/>
      <c r="BC212" s="3"/>
      <c r="BE212" s="3"/>
    </row>
    <row r="213" spans="1:57" x14ac:dyDescent="0.25">
      <c r="A213" s="3" t="s">
        <v>177</v>
      </c>
      <c r="E213" s="3">
        <f t="shared" si="129"/>
        <v>0</v>
      </c>
      <c r="H213" s="32">
        <f t="shared" si="130"/>
        <v>0</v>
      </c>
      <c r="I213" s="32"/>
      <c r="J213" s="4"/>
      <c r="K213" s="4">
        <f t="shared" si="131"/>
        <v>0</v>
      </c>
      <c r="L213" s="4"/>
      <c r="N213" s="4">
        <f t="shared" si="132"/>
        <v>0</v>
      </c>
      <c r="P213" s="3"/>
      <c r="Q213" s="3"/>
      <c r="R213" s="3"/>
      <c r="S213" s="3">
        <f t="shared" si="123"/>
        <v>0</v>
      </c>
      <c r="T213" s="3"/>
      <c r="U213" s="3">
        <f t="shared" si="124"/>
        <v>0</v>
      </c>
      <c r="V213" s="3"/>
      <c r="W213" s="3">
        <f t="shared" si="125"/>
        <v>0</v>
      </c>
      <c r="X213" s="3"/>
      <c r="Y213" s="3"/>
      <c r="Z213" s="3">
        <f t="shared" si="126"/>
        <v>0</v>
      </c>
      <c r="AA213" s="3"/>
      <c r="AB213" s="3"/>
      <c r="AC213" s="3"/>
      <c r="AD213" s="3">
        <f t="shared" si="133"/>
        <v>0</v>
      </c>
      <c r="AE213" s="3"/>
      <c r="AF213" s="3">
        <f t="shared" si="134"/>
        <v>0</v>
      </c>
      <c r="AG213" s="4"/>
      <c r="AH213" s="4"/>
      <c r="AJ213" s="3"/>
      <c r="AK213" s="3">
        <f t="shared" si="127"/>
        <v>0</v>
      </c>
      <c r="AL213" s="3"/>
      <c r="AM213" s="3">
        <f t="shared" si="128"/>
        <v>0</v>
      </c>
      <c r="AO213" s="3"/>
      <c r="AP213" s="3"/>
      <c r="AQ213" s="3"/>
      <c r="AR213" s="3"/>
      <c r="AS213" s="3"/>
      <c r="AT213" s="3"/>
      <c r="AU213" s="3"/>
      <c r="AV213" s="42"/>
      <c r="AW213" s="3"/>
      <c r="AX213" s="42"/>
      <c r="AY213" s="3"/>
      <c r="AZ213" s="42"/>
      <c r="BA213" s="3"/>
      <c r="BB213" s="42"/>
      <c r="BC213" s="3"/>
      <c r="BE213" s="3"/>
    </row>
    <row r="214" spans="1:57" x14ac:dyDescent="0.25">
      <c r="A214" s="3" t="s">
        <v>178</v>
      </c>
      <c r="E214" s="3">
        <f t="shared" si="129"/>
        <v>0</v>
      </c>
      <c r="H214" s="32">
        <f t="shared" si="130"/>
        <v>0</v>
      </c>
      <c r="I214" s="32"/>
      <c r="J214" s="4"/>
      <c r="K214" s="4">
        <f t="shared" si="131"/>
        <v>0</v>
      </c>
      <c r="L214" s="4"/>
      <c r="N214" s="4">
        <f t="shared" si="132"/>
        <v>0</v>
      </c>
      <c r="P214" s="3"/>
      <c r="Q214" s="3"/>
      <c r="R214" s="3"/>
      <c r="S214" s="3">
        <f t="shared" si="123"/>
        <v>0</v>
      </c>
      <c r="T214" s="3"/>
      <c r="U214" s="3">
        <f t="shared" si="124"/>
        <v>0</v>
      </c>
      <c r="V214" s="3"/>
      <c r="W214" s="3">
        <f t="shared" si="125"/>
        <v>0</v>
      </c>
      <c r="X214" s="3"/>
      <c r="Y214" s="3"/>
      <c r="Z214" s="3">
        <f t="shared" si="126"/>
        <v>0</v>
      </c>
      <c r="AA214" s="3"/>
      <c r="AB214" s="3"/>
      <c r="AC214" s="3"/>
      <c r="AD214" s="3">
        <f t="shared" si="133"/>
        <v>0</v>
      </c>
      <c r="AE214" s="3"/>
      <c r="AF214" s="3">
        <f t="shared" si="134"/>
        <v>0</v>
      </c>
      <c r="AG214" s="4"/>
      <c r="AH214" s="4"/>
      <c r="AJ214" s="3"/>
      <c r="AK214" s="3">
        <f t="shared" si="127"/>
        <v>0</v>
      </c>
      <c r="AL214" s="3"/>
      <c r="AM214" s="3">
        <f t="shared" si="128"/>
        <v>0</v>
      </c>
      <c r="AO214" s="3"/>
      <c r="AP214" s="3"/>
      <c r="AQ214" s="3"/>
      <c r="AR214" s="3"/>
      <c r="AS214" s="3"/>
      <c r="AT214" s="3"/>
      <c r="AU214" s="3"/>
      <c r="AV214" s="42"/>
      <c r="AW214" s="3"/>
      <c r="AX214" s="42"/>
      <c r="AY214" s="3"/>
      <c r="AZ214" s="42"/>
      <c r="BA214" s="3"/>
      <c r="BB214" s="42"/>
      <c r="BC214" s="3"/>
      <c r="BE214" s="3"/>
    </row>
    <row r="215" spans="1:57" x14ac:dyDescent="0.25">
      <c r="A215" s="3" t="s">
        <v>179</v>
      </c>
      <c r="E215" s="3"/>
      <c r="H215" s="32"/>
      <c r="I215" s="32"/>
      <c r="J215" s="4"/>
      <c r="K215" s="4"/>
      <c r="L215" s="4"/>
      <c r="N215" s="4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4"/>
      <c r="AH215" s="4">
        <v>91500</v>
      </c>
      <c r="AJ215" s="3">
        <v>25000</v>
      </c>
      <c r="AK215" s="3">
        <f t="shared" si="127"/>
        <v>41500</v>
      </c>
      <c r="AL215" s="3">
        <v>66500</v>
      </c>
      <c r="AM215" s="3">
        <f t="shared" si="128"/>
        <v>-25000</v>
      </c>
      <c r="AO215" s="3"/>
      <c r="AP215" s="3"/>
      <c r="AQ215" s="3"/>
      <c r="AR215" s="3"/>
      <c r="AS215" s="3"/>
      <c r="AT215" s="3"/>
      <c r="AU215" s="3"/>
      <c r="AV215" s="42"/>
      <c r="AW215" s="3"/>
      <c r="AX215" s="42"/>
      <c r="AY215" s="3"/>
      <c r="AZ215" s="42"/>
      <c r="BA215" s="3"/>
      <c r="BB215" s="42"/>
      <c r="BC215" s="3"/>
      <c r="BE215" s="3"/>
    </row>
    <row r="216" spans="1:57" x14ac:dyDescent="0.25">
      <c r="A216" s="3" t="s">
        <v>180</v>
      </c>
      <c r="D216" s="5">
        <v>1770</v>
      </c>
      <c r="E216" s="3">
        <f>F216-D216</f>
        <v>0</v>
      </c>
      <c r="F216" s="5">
        <v>1770</v>
      </c>
      <c r="H216" s="32">
        <f>F216-B216</f>
        <v>1770</v>
      </c>
      <c r="I216" s="32"/>
      <c r="J216" s="4">
        <v>1770</v>
      </c>
      <c r="K216" s="4">
        <f t="shared" si="131"/>
        <v>0</v>
      </c>
      <c r="L216" s="4">
        <v>1770</v>
      </c>
      <c r="N216" s="4">
        <f t="shared" si="132"/>
        <v>0</v>
      </c>
      <c r="P216" s="3"/>
      <c r="Q216" s="3"/>
      <c r="R216" s="3"/>
      <c r="S216" s="3">
        <f t="shared" si="123"/>
        <v>0</v>
      </c>
      <c r="T216" s="3"/>
      <c r="U216" s="3">
        <f t="shared" si="124"/>
        <v>0</v>
      </c>
      <c r="V216" s="3"/>
      <c r="W216" s="3">
        <f t="shared" si="125"/>
        <v>0</v>
      </c>
      <c r="X216" s="3"/>
      <c r="Y216" s="3"/>
      <c r="Z216" s="3">
        <f t="shared" si="126"/>
        <v>0</v>
      </c>
      <c r="AA216" s="3"/>
      <c r="AB216" s="3"/>
      <c r="AC216" s="3"/>
      <c r="AD216" s="3">
        <f t="shared" si="133"/>
        <v>0</v>
      </c>
      <c r="AE216" s="3"/>
      <c r="AF216" s="3">
        <f t="shared" si="134"/>
        <v>0</v>
      </c>
      <c r="AG216" s="4"/>
      <c r="AH216" s="4"/>
      <c r="AJ216" s="3"/>
      <c r="AK216" s="3">
        <f t="shared" si="127"/>
        <v>0</v>
      </c>
      <c r="AL216" s="3"/>
      <c r="AM216" s="3">
        <f t="shared" si="128"/>
        <v>0</v>
      </c>
      <c r="AO216" s="3"/>
      <c r="AP216" s="3"/>
      <c r="AQ216" s="3"/>
      <c r="AR216" s="3"/>
      <c r="AS216" s="3"/>
      <c r="AT216" s="3"/>
      <c r="AU216" s="3"/>
      <c r="AV216" s="42"/>
      <c r="AW216" s="3"/>
      <c r="AX216" s="42"/>
      <c r="AY216" s="3"/>
      <c r="AZ216" s="42"/>
      <c r="BA216" s="3"/>
      <c r="BB216" s="42"/>
      <c r="BC216" s="3"/>
      <c r="BE216" s="3"/>
    </row>
    <row r="217" spans="1:57" x14ac:dyDescent="0.25">
      <c r="A217" s="3" t="s">
        <v>181</v>
      </c>
      <c r="E217" s="3"/>
      <c r="H217" s="32"/>
      <c r="I217" s="32"/>
      <c r="J217" s="4"/>
      <c r="K217" s="4"/>
      <c r="L217" s="4"/>
      <c r="N217" s="4"/>
      <c r="P217" s="3"/>
      <c r="Q217" s="3"/>
      <c r="R217" s="3"/>
      <c r="S217" s="3">
        <f t="shared" si="123"/>
        <v>10750</v>
      </c>
      <c r="T217" s="3">
        <v>10750</v>
      </c>
      <c r="U217" s="3">
        <f>T217-P217</f>
        <v>10750</v>
      </c>
      <c r="V217" s="3">
        <v>0</v>
      </c>
      <c r="W217" s="3">
        <f t="shared" si="125"/>
        <v>10750</v>
      </c>
      <c r="X217" s="3"/>
      <c r="Y217" s="3">
        <v>10750</v>
      </c>
      <c r="Z217" s="3">
        <f t="shared" si="126"/>
        <v>0</v>
      </c>
      <c r="AA217" s="3"/>
      <c r="AB217" s="3"/>
      <c r="AC217" s="3"/>
      <c r="AD217" s="3">
        <f t="shared" si="133"/>
        <v>10750</v>
      </c>
      <c r="AE217" s="3">
        <v>10750</v>
      </c>
      <c r="AF217" s="3">
        <f t="shared" si="134"/>
        <v>0</v>
      </c>
      <c r="AG217" s="4"/>
      <c r="AH217" s="4"/>
      <c r="AJ217" s="3"/>
      <c r="AK217" s="3">
        <f t="shared" si="127"/>
        <v>0</v>
      </c>
      <c r="AL217" s="3"/>
      <c r="AM217" s="3">
        <f t="shared" si="128"/>
        <v>0</v>
      </c>
      <c r="AO217" s="3"/>
      <c r="AP217" s="3"/>
      <c r="AQ217" s="3"/>
      <c r="AR217" s="3"/>
      <c r="AS217" s="3"/>
      <c r="AT217" s="3"/>
      <c r="AU217" s="3"/>
      <c r="AV217" s="42"/>
      <c r="AW217" s="3"/>
      <c r="AX217" s="42"/>
      <c r="AY217" s="3"/>
      <c r="AZ217" s="42"/>
      <c r="BA217" s="3"/>
      <c r="BB217" s="42"/>
      <c r="BC217" s="3"/>
      <c r="BE217" s="3"/>
    </row>
    <row r="218" spans="1:57" x14ac:dyDescent="0.25">
      <c r="A218" s="3" t="s">
        <v>182</v>
      </c>
      <c r="D218" s="3">
        <v>21173</v>
      </c>
      <c r="E218" s="3">
        <f t="shared" si="129"/>
        <v>7</v>
      </c>
      <c r="F218" s="5">
        <v>21180</v>
      </c>
      <c r="H218" s="32">
        <f t="shared" si="130"/>
        <v>21180</v>
      </c>
      <c r="I218" s="32"/>
      <c r="J218" s="4">
        <v>-9856</v>
      </c>
      <c r="K218" s="4">
        <f t="shared" si="131"/>
        <v>9856</v>
      </c>
      <c r="L218" s="4">
        <v>0</v>
      </c>
      <c r="N218" s="4">
        <f t="shared" si="132"/>
        <v>-21180</v>
      </c>
      <c r="P218" s="3"/>
      <c r="Q218" s="3"/>
      <c r="R218" s="3"/>
      <c r="S218" s="3">
        <f t="shared" si="123"/>
        <v>0</v>
      </c>
      <c r="T218" s="3"/>
      <c r="U218" s="3">
        <f t="shared" si="124"/>
        <v>0</v>
      </c>
      <c r="V218" s="3"/>
      <c r="W218" s="3">
        <f t="shared" si="125"/>
        <v>0</v>
      </c>
      <c r="X218" s="3"/>
      <c r="Y218" s="3"/>
      <c r="Z218" s="3">
        <f t="shared" si="126"/>
        <v>0</v>
      </c>
      <c r="AA218" s="3"/>
      <c r="AB218" s="3"/>
      <c r="AC218" s="3"/>
      <c r="AD218" s="3">
        <f t="shared" si="133"/>
        <v>0</v>
      </c>
      <c r="AE218" s="3"/>
      <c r="AF218" s="3">
        <f t="shared" si="134"/>
        <v>0</v>
      </c>
      <c r="AG218" s="4"/>
      <c r="AH218" s="4"/>
      <c r="AJ218" s="3"/>
      <c r="AK218" s="3">
        <f t="shared" si="127"/>
        <v>0</v>
      </c>
      <c r="AL218" s="3"/>
      <c r="AM218" s="3">
        <f t="shared" si="128"/>
        <v>0</v>
      </c>
      <c r="AO218" s="3"/>
      <c r="AP218" s="3"/>
      <c r="AQ218" s="3"/>
      <c r="AR218" s="3"/>
      <c r="AS218" s="3"/>
      <c r="AT218" s="3"/>
      <c r="AU218" s="3"/>
      <c r="AV218" s="42"/>
      <c r="AW218" s="3"/>
      <c r="AX218" s="42"/>
      <c r="AY218" s="3"/>
      <c r="AZ218" s="42"/>
      <c r="BA218" s="3"/>
      <c r="BB218" s="42"/>
      <c r="BC218" s="3"/>
      <c r="BE218" s="3"/>
    </row>
    <row r="219" spans="1:57" x14ac:dyDescent="0.25">
      <c r="A219" s="3" t="s">
        <v>183</v>
      </c>
      <c r="E219" s="3">
        <f t="shared" si="129"/>
        <v>0</v>
      </c>
      <c r="H219" s="32">
        <f t="shared" si="130"/>
        <v>0</v>
      </c>
      <c r="I219" s="32"/>
      <c r="J219" s="4"/>
      <c r="K219" s="4">
        <f t="shared" si="131"/>
        <v>0</v>
      </c>
      <c r="L219" s="4"/>
      <c r="N219" s="4">
        <f t="shared" si="132"/>
        <v>0</v>
      </c>
      <c r="P219" s="3"/>
      <c r="Q219" s="3"/>
      <c r="R219" s="3"/>
      <c r="S219" s="3">
        <f t="shared" si="123"/>
        <v>0</v>
      </c>
      <c r="T219" s="3"/>
      <c r="U219" s="3">
        <f t="shared" si="124"/>
        <v>0</v>
      </c>
      <c r="V219" s="3"/>
      <c r="W219" s="3">
        <f t="shared" si="125"/>
        <v>0</v>
      </c>
      <c r="X219" s="3"/>
      <c r="Y219" s="3"/>
      <c r="Z219" s="3">
        <f t="shared" si="126"/>
        <v>0</v>
      </c>
      <c r="AA219" s="3"/>
      <c r="AB219" s="3"/>
      <c r="AC219" s="3"/>
      <c r="AD219" s="3">
        <f t="shared" si="133"/>
        <v>0</v>
      </c>
      <c r="AE219" s="3"/>
      <c r="AF219" s="3">
        <f t="shared" si="134"/>
        <v>0</v>
      </c>
      <c r="AG219" s="4"/>
      <c r="AH219" s="4"/>
      <c r="AJ219" s="3"/>
      <c r="AK219" s="3">
        <f t="shared" si="127"/>
        <v>0</v>
      </c>
      <c r="AL219" s="3"/>
      <c r="AM219" s="3">
        <f t="shared" si="128"/>
        <v>0</v>
      </c>
      <c r="AO219" s="3"/>
      <c r="AP219" s="3"/>
      <c r="AQ219" s="3"/>
      <c r="AR219" s="3"/>
      <c r="AS219" s="3"/>
      <c r="AT219" s="3"/>
      <c r="AU219" s="3"/>
      <c r="AV219" s="42"/>
      <c r="AW219" s="3"/>
      <c r="AX219" s="42"/>
      <c r="AY219" s="3"/>
      <c r="AZ219" s="42"/>
      <c r="BA219" s="3"/>
      <c r="BB219" s="42"/>
      <c r="BC219" s="3"/>
      <c r="BE219" s="3"/>
    </row>
    <row r="220" spans="1:57" x14ac:dyDescent="0.25">
      <c r="A220" s="3" t="s">
        <v>90</v>
      </c>
      <c r="B220" s="5">
        <v>100</v>
      </c>
      <c r="E220" s="3">
        <f t="shared" si="129"/>
        <v>100</v>
      </c>
      <c r="F220" s="5">
        <v>100</v>
      </c>
      <c r="H220" s="32">
        <f t="shared" si="130"/>
        <v>0</v>
      </c>
      <c r="I220" s="32"/>
      <c r="J220" s="4"/>
      <c r="K220" s="4">
        <f t="shared" si="131"/>
        <v>100</v>
      </c>
      <c r="L220" s="4">
        <v>100</v>
      </c>
      <c r="N220" s="4">
        <f t="shared" si="132"/>
        <v>0</v>
      </c>
      <c r="P220" s="3">
        <v>100</v>
      </c>
      <c r="Q220" s="3"/>
      <c r="R220" s="3"/>
      <c r="S220" s="3">
        <f t="shared" si="123"/>
        <v>100</v>
      </c>
      <c r="T220" s="3">
        <v>100</v>
      </c>
      <c r="U220" s="3">
        <f t="shared" si="124"/>
        <v>0</v>
      </c>
      <c r="V220" s="3"/>
      <c r="W220" s="3">
        <f t="shared" si="125"/>
        <v>100</v>
      </c>
      <c r="X220" s="3"/>
      <c r="Y220" s="3">
        <v>100</v>
      </c>
      <c r="Z220" s="3">
        <f t="shared" si="126"/>
        <v>0</v>
      </c>
      <c r="AA220" s="3"/>
      <c r="AB220" s="3"/>
      <c r="AC220" s="3"/>
      <c r="AD220" s="3">
        <f t="shared" si="133"/>
        <v>100</v>
      </c>
      <c r="AE220" s="3">
        <v>100</v>
      </c>
      <c r="AF220" s="3">
        <f t="shared" si="134"/>
        <v>0</v>
      </c>
      <c r="AG220" s="4"/>
      <c r="AH220" s="4">
        <v>100</v>
      </c>
      <c r="AJ220" s="3"/>
      <c r="AK220" s="3">
        <f t="shared" si="127"/>
        <v>100</v>
      </c>
      <c r="AL220" s="3">
        <v>100</v>
      </c>
      <c r="AM220" s="3">
        <f t="shared" si="128"/>
        <v>0</v>
      </c>
      <c r="AO220" s="3">
        <f>AH220*1.025</f>
        <v>102.49999999999999</v>
      </c>
      <c r="AP220" s="3"/>
      <c r="AQ220" s="3">
        <f>AO220*1.025</f>
        <v>105.06249999999997</v>
      </c>
      <c r="AR220" s="3"/>
      <c r="AS220" s="3">
        <f>AQ220*1.025</f>
        <v>107.68906249999996</v>
      </c>
      <c r="AT220" s="3"/>
      <c r="AU220" s="3">
        <f>AS220*1.025</f>
        <v>110.38128906249996</v>
      </c>
      <c r="AV220" s="42"/>
      <c r="AW220" s="3">
        <f>AU220*1.025</f>
        <v>113.14082128906244</v>
      </c>
      <c r="AX220" s="42"/>
      <c r="AY220" s="3">
        <f>AW220*1.025</f>
        <v>115.96934182128899</v>
      </c>
      <c r="AZ220" s="42"/>
      <c r="BA220" s="3">
        <f>AY220*1.025</f>
        <v>118.8685753668212</v>
      </c>
      <c r="BB220" s="42"/>
      <c r="BC220" s="3">
        <f>BA220*1.025</f>
        <v>121.84028975099173</v>
      </c>
      <c r="BE220" s="3">
        <f>BC220*1.025</f>
        <v>124.88629699476651</v>
      </c>
    </row>
    <row r="221" spans="1:57" x14ac:dyDescent="0.25">
      <c r="A221" s="3"/>
      <c r="B221" s="48">
        <f>SUM(B198:B220)</f>
        <v>76100</v>
      </c>
      <c r="C221" s="32"/>
      <c r="D221" s="48">
        <f>SUM(D198:D220)</f>
        <v>22943</v>
      </c>
      <c r="E221" s="48">
        <f>SUM(E198:E220)</f>
        <v>126107</v>
      </c>
      <c r="F221" s="48">
        <f>SUM(F198:F220)</f>
        <v>149050</v>
      </c>
      <c r="G221" s="32"/>
      <c r="H221" s="48">
        <f>SUM(H198:H220)</f>
        <v>72950</v>
      </c>
      <c r="I221" s="36"/>
      <c r="J221" s="48">
        <f>SUM(J198:J220)</f>
        <v>-8086</v>
      </c>
      <c r="K221" s="48">
        <f>SUM(K198:K220)</f>
        <v>135956</v>
      </c>
      <c r="L221" s="48">
        <f>SUM(L198:L220)</f>
        <v>127870</v>
      </c>
      <c r="M221" s="32"/>
      <c r="N221" s="48">
        <f>SUM(N198:N220)</f>
        <v>-21180</v>
      </c>
      <c r="P221" s="48">
        <f>SUM(P198:P220)</f>
        <v>1100</v>
      </c>
      <c r="R221" s="48">
        <f t="shared" ref="R221:Z221" si="135">SUM(R198:R220)</f>
        <v>0</v>
      </c>
      <c r="S221" s="48">
        <f t="shared" si="135"/>
        <v>11350</v>
      </c>
      <c r="T221" s="48">
        <f t="shared" si="135"/>
        <v>11350</v>
      </c>
      <c r="U221" s="48">
        <f t="shared" si="135"/>
        <v>10250</v>
      </c>
      <c r="V221" s="48">
        <f t="shared" si="135"/>
        <v>0</v>
      </c>
      <c r="W221" s="48">
        <f t="shared" si="135"/>
        <v>10950</v>
      </c>
      <c r="X221" s="48"/>
      <c r="Y221" s="48">
        <f t="shared" si="135"/>
        <v>10950</v>
      </c>
      <c r="Z221" s="48">
        <f t="shared" si="135"/>
        <v>-400</v>
      </c>
      <c r="AC221" s="48">
        <f>SUM(AC198:AC220)</f>
        <v>123</v>
      </c>
      <c r="AD221" s="48">
        <f>SUM(AD198:AD220)</f>
        <v>26852</v>
      </c>
      <c r="AE221" s="48">
        <f>SUM(AE198:AE220)</f>
        <v>26975</v>
      </c>
      <c r="AF221" s="48">
        <f>SUM(AF198:AF220)</f>
        <v>16025</v>
      </c>
      <c r="AH221" s="36">
        <f>SUM(AH198:AH220)</f>
        <v>97700</v>
      </c>
      <c r="AI221" s="32"/>
      <c r="AJ221" s="48">
        <f>SUM(AJ198:AJ220)</f>
        <v>25000</v>
      </c>
      <c r="AK221" s="48">
        <f>SUM(AK198:AK220)</f>
        <v>102700</v>
      </c>
      <c r="AL221" s="48">
        <f>SUM(AL198:AL220)</f>
        <v>127700</v>
      </c>
      <c r="AM221" s="48">
        <f>SUM(AM198:AM220)</f>
        <v>30000</v>
      </c>
      <c r="AN221" s="32"/>
      <c r="AO221" s="48">
        <f>SUM(AO198:AO220)</f>
        <v>1230</v>
      </c>
      <c r="AQ221" s="48">
        <f>SUM(AQ198:AQ220)</f>
        <v>1260.75</v>
      </c>
      <c r="AS221" s="48">
        <f>SUM(AS198:AS220)</f>
        <v>1292.2687499999997</v>
      </c>
      <c r="AT221" s="48"/>
      <c r="AU221" s="48">
        <f>SUM(AU198:AU220)</f>
        <v>1324.5754687499998</v>
      </c>
      <c r="AW221" s="48">
        <f>SUM(AW198:AW220)</f>
        <v>1357.6898554687496</v>
      </c>
      <c r="AY221" s="48">
        <f>SUM(AY198:AY220)</f>
        <v>1391.6321018554681</v>
      </c>
      <c r="BA221" s="48">
        <f>SUM(BA198:BA220)</f>
        <v>1426.4229044018548</v>
      </c>
      <c r="BC221" s="48">
        <f>SUM(BC198:BC220)</f>
        <v>1462.0834770119011</v>
      </c>
      <c r="BE221" s="48">
        <f>SUM(BE198:BE220)</f>
        <v>1498.6355639371984</v>
      </c>
    </row>
    <row r="222" spans="1:57" ht="15.75" thickBot="1" x14ac:dyDescent="0.3">
      <c r="A222" s="3"/>
      <c r="B222" s="49">
        <f>B221+B196+B189+B178+B176+B172+B167</f>
        <v>125300</v>
      </c>
      <c r="C222" s="32"/>
      <c r="D222" s="49">
        <f>D221+D196+D189+D178+D176+D172+D167</f>
        <v>28347</v>
      </c>
      <c r="E222" s="49">
        <f>E221+E196+E189+E178+E176+E172+E167</f>
        <v>182003</v>
      </c>
      <c r="F222" s="49">
        <f>F221+F196+F189+F178+F176+F172+F167</f>
        <v>210350</v>
      </c>
      <c r="G222" s="32"/>
      <c r="H222" s="49">
        <f>H221+H196+H189+H178+H176+H172+H167</f>
        <v>85050</v>
      </c>
      <c r="I222" s="36"/>
      <c r="J222" s="49">
        <f>J221+J196+J189+J178+J176+J172+J167</f>
        <v>2734</v>
      </c>
      <c r="K222" s="49">
        <f>K221+K196+K189+K178+K176+K172+K167</f>
        <v>189336</v>
      </c>
      <c r="L222" s="49">
        <f>L221+L196+L189+L178+L176+L172+L167</f>
        <v>192070</v>
      </c>
      <c r="M222" s="32"/>
      <c r="N222" s="49">
        <f>N221+N196+N189+N178+N176+N172+N167</f>
        <v>-18180</v>
      </c>
      <c r="P222" s="49">
        <f>P221+P196+P189+P178+P176+P172+P167</f>
        <v>45150.25</v>
      </c>
      <c r="R222" s="49">
        <f t="shared" ref="R222:Z222" si="136">R221+R196+R189+R178+R176+R172+R167</f>
        <v>3371</v>
      </c>
      <c r="S222" s="49">
        <f t="shared" si="136"/>
        <v>47754</v>
      </c>
      <c r="T222" s="49">
        <f t="shared" si="136"/>
        <v>51125</v>
      </c>
      <c r="U222" s="49">
        <f t="shared" si="136"/>
        <v>5974.7500000000018</v>
      </c>
      <c r="V222" s="49">
        <f t="shared" si="136"/>
        <v>30573</v>
      </c>
      <c r="W222" s="49">
        <f t="shared" si="136"/>
        <v>24002</v>
      </c>
      <c r="X222" s="49"/>
      <c r="Y222" s="49">
        <f t="shared" si="136"/>
        <v>54575</v>
      </c>
      <c r="Z222" s="49">
        <f t="shared" si="136"/>
        <v>3450</v>
      </c>
      <c r="AC222" s="49">
        <f>AC221+AC196+AC189+AC178+AC176+AC172+AC167</f>
        <v>39104</v>
      </c>
      <c r="AD222" s="49">
        <f>AD221+AD196+AD189+AD178+AD176+AD172+AD167</f>
        <v>36991</v>
      </c>
      <c r="AE222" s="49">
        <f>AE221+AE196+AE189+AE178+AE176+AE172+AE167</f>
        <v>76095</v>
      </c>
      <c r="AF222" s="49">
        <f>AF221+AF196+AF189+AF178+AF176+AF172+AF167</f>
        <v>21520</v>
      </c>
      <c r="AH222" s="36">
        <f>AH221+AH196+AH189+AH178+AH176+AH172+AH167</f>
        <v>140299.75</v>
      </c>
      <c r="AI222" s="32"/>
      <c r="AJ222" s="49">
        <f>AJ221+AJ196+AJ189+AJ178+AJ176+AJ172+AJ167</f>
        <v>34437</v>
      </c>
      <c r="AK222" s="49">
        <f>AK221+AK196+AK189+AK178+AK176+AK172+AK167</f>
        <v>135963</v>
      </c>
      <c r="AL222" s="49">
        <f>AL221+AL196+AL189+AL178+AL176+AL172+AL167</f>
        <v>170400</v>
      </c>
      <c r="AM222" s="49">
        <f>AM221+AM196+AM189+AM178+AM176+AM172+AM167</f>
        <v>30100.25</v>
      </c>
      <c r="AN222" s="32"/>
      <c r="AO222" s="49">
        <f>AO221+AO196+AO189+AO178+AO176+AO172+AO167</f>
        <v>44764.743749999994</v>
      </c>
      <c r="AQ222" s="49">
        <f>AQ221+AQ196+AQ189+AQ178+AQ176+AQ172+AQ167</f>
        <v>45771.312343749996</v>
      </c>
      <c r="AS222" s="49">
        <f>AS221+AS196+AS189+AS178+AS176+AS172+AS167</f>
        <v>46789.944152343742</v>
      </c>
      <c r="AT222" s="49"/>
      <c r="AU222" s="49">
        <f>AU221+AU196+AW189+AU178+AU176+AU172+AU167</f>
        <v>47831.138736152338</v>
      </c>
      <c r="AW222" s="49">
        <f>AW221+AW196+AY189+AW178+AW176+AW172+AW167</f>
        <v>48885.40710415614</v>
      </c>
      <c r="AY222" s="49">
        <f>AY221+AY196+BA189+AY178+AY176+AY172+AY167</f>
        <v>49963.271979352037</v>
      </c>
      <c r="BA222" s="49">
        <f>BA221+BA196+BC189+BA178+BA176+BA172+BA167</f>
        <v>51065.26807037968</v>
      </c>
      <c r="BC222" s="49">
        <f>BC221+BC196+BE189+BC178+BC176+BC172+BC167</f>
        <v>52191.942349513891</v>
      </c>
      <c r="BE222" s="49">
        <f>BE221+BE196+BG189+BE178+BE176+BE172+BE167</f>
        <v>46475.108002461784</v>
      </c>
    </row>
    <row r="223" spans="1:57" ht="15.75" thickTop="1" x14ac:dyDescent="0.25">
      <c r="A223" s="3"/>
      <c r="B223" s="8" t="s">
        <v>8</v>
      </c>
      <c r="C223" s="9"/>
      <c r="D223" s="10" t="s">
        <v>9</v>
      </c>
      <c r="E223" s="11" t="s">
        <v>10</v>
      </c>
      <c r="F223" s="12" t="s">
        <v>11</v>
      </c>
      <c r="G223" s="9"/>
      <c r="H223" s="8" t="s">
        <v>12</v>
      </c>
      <c r="I223" s="13"/>
      <c r="J223" s="10" t="s">
        <v>9</v>
      </c>
      <c r="K223" s="11" t="s">
        <v>10</v>
      </c>
      <c r="L223" s="11" t="s">
        <v>11</v>
      </c>
      <c r="M223" s="9"/>
      <c r="N223" s="11" t="s">
        <v>12</v>
      </c>
      <c r="P223" s="12" t="s">
        <v>8</v>
      </c>
      <c r="R223" s="14" t="s">
        <v>9</v>
      </c>
      <c r="S223" s="15" t="s">
        <v>10</v>
      </c>
      <c r="T223" s="16" t="s">
        <v>11</v>
      </c>
      <c r="U223" s="17" t="s">
        <v>13</v>
      </c>
      <c r="V223" s="14" t="s">
        <v>9</v>
      </c>
      <c r="W223" s="15" t="s">
        <v>10</v>
      </c>
      <c r="X223" s="15"/>
      <c r="Y223" s="16" t="s">
        <v>11</v>
      </c>
      <c r="Z223" s="17" t="s">
        <v>13</v>
      </c>
      <c r="AC223" s="14" t="s">
        <v>9</v>
      </c>
      <c r="AD223" s="15" t="s">
        <v>10</v>
      </c>
      <c r="AE223" s="16" t="s">
        <v>11</v>
      </c>
      <c r="AF223" s="15" t="s">
        <v>13</v>
      </c>
      <c r="AH223" s="13" t="s">
        <v>8</v>
      </c>
      <c r="AI223" s="9"/>
      <c r="AJ223" s="11" t="s">
        <v>9</v>
      </c>
      <c r="AK223" s="11" t="s">
        <v>10</v>
      </c>
      <c r="AL223" s="12" t="s">
        <v>11</v>
      </c>
      <c r="AM223" s="10" t="s">
        <v>13</v>
      </c>
      <c r="AN223" s="9"/>
      <c r="AO223" s="12" t="s">
        <v>8</v>
      </c>
      <c r="AQ223" s="8" t="s">
        <v>8</v>
      </c>
      <c r="AS223" s="8" t="s">
        <v>8</v>
      </c>
      <c r="AT223" s="8"/>
      <c r="AU223" s="8" t="s">
        <v>8</v>
      </c>
      <c r="AW223" s="8" t="s">
        <v>8</v>
      </c>
      <c r="AY223" s="8" t="s">
        <v>8</v>
      </c>
      <c r="BA223" s="8" t="s">
        <v>8</v>
      </c>
      <c r="BC223" s="8" t="s">
        <v>8</v>
      </c>
      <c r="BE223" s="8" t="s">
        <v>8</v>
      </c>
    </row>
    <row r="224" spans="1:57" ht="15.75" thickBot="1" x14ac:dyDescent="0.3">
      <c r="A224" s="3"/>
      <c r="B224" s="19" t="s">
        <v>14</v>
      </c>
      <c r="C224" s="9"/>
      <c r="D224" s="20" t="s">
        <v>15</v>
      </c>
      <c r="E224" s="21"/>
      <c r="F224" s="22" t="s">
        <v>16</v>
      </c>
      <c r="G224" s="9"/>
      <c r="H224" s="19"/>
      <c r="I224" s="13"/>
      <c r="J224" s="20" t="s">
        <v>17</v>
      </c>
      <c r="K224" s="21"/>
      <c r="L224" s="21" t="s">
        <v>16</v>
      </c>
      <c r="M224" s="9"/>
      <c r="N224" s="21"/>
      <c r="P224" s="22" t="s">
        <v>18</v>
      </c>
      <c r="R224" s="23" t="s">
        <v>19</v>
      </c>
      <c r="S224" s="24"/>
      <c r="T224" s="25" t="s">
        <v>20</v>
      </c>
      <c r="U224" s="26"/>
      <c r="V224" s="23" t="s">
        <v>21</v>
      </c>
      <c r="W224" s="24"/>
      <c r="X224" s="24"/>
      <c r="Y224" s="25" t="s">
        <v>21</v>
      </c>
      <c r="Z224" s="26"/>
      <c r="AC224" s="23" t="s">
        <v>22</v>
      </c>
      <c r="AD224" s="24"/>
      <c r="AE224" s="25" t="s">
        <v>23</v>
      </c>
      <c r="AF224" s="24"/>
      <c r="AH224" s="13" t="s">
        <v>24</v>
      </c>
      <c r="AI224" s="9"/>
      <c r="AJ224" s="21" t="s">
        <v>1144</v>
      </c>
      <c r="AK224" s="21"/>
      <c r="AL224" s="22" t="s">
        <v>1144</v>
      </c>
      <c r="AM224" s="20"/>
      <c r="AN224" s="9"/>
      <c r="AO224" s="22" t="s">
        <v>25</v>
      </c>
      <c r="AQ224" s="19" t="s">
        <v>26</v>
      </c>
      <c r="AS224" s="19" t="s">
        <v>27</v>
      </c>
      <c r="AT224" s="19"/>
      <c r="AU224" s="19" t="s">
        <v>28</v>
      </c>
      <c r="AW224" s="19" t="s">
        <v>29</v>
      </c>
      <c r="AY224" s="19" t="s">
        <v>30</v>
      </c>
      <c r="BA224" s="19" t="s">
        <v>31</v>
      </c>
      <c r="BC224" s="19" t="str">
        <f>BC4</f>
        <v>2021-22</v>
      </c>
      <c r="BE224" s="19" t="str">
        <f>BE4</f>
        <v>2022-23</v>
      </c>
    </row>
    <row r="225" spans="1:57" x14ac:dyDescent="0.25">
      <c r="A225" s="3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P225" s="32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4"/>
      <c r="AH225" s="32"/>
      <c r="AI225" s="32"/>
      <c r="AJ225" s="3"/>
      <c r="AK225" s="3"/>
      <c r="AL225" s="3"/>
      <c r="AM225" s="3"/>
      <c r="AO225" s="32"/>
      <c r="AP225" s="3"/>
      <c r="AQ225" s="32"/>
      <c r="AR225" s="3"/>
      <c r="AS225" s="32"/>
      <c r="AT225" s="32"/>
      <c r="AU225" s="32"/>
      <c r="AV225" s="42"/>
      <c r="AW225" s="32"/>
      <c r="AX225" s="42"/>
      <c r="AY225" s="32"/>
      <c r="BA225" s="32"/>
      <c r="BC225" s="32"/>
      <c r="BE225" s="32"/>
    </row>
    <row r="226" spans="1:57" s="42" customFormat="1" x14ac:dyDescent="0.25">
      <c r="A226" s="7" t="s">
        <v>184</v>
      </c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4"/>
      <c r="N226" s="3"/>
      <c r="O226" s="4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4"/>
      <c r="AH226" s="4"/>
      <c r="AI226" s="4"/>
      <c r="AJ226" s="3"/>
      <c r="AK226" s="3"/>
      <c r="AL226" s="3"/>
      <c r="AM226" s="3"/>
      <c r="AN226" s="4"/>
      <c r="AO226" s="3"/>
      <c r="AP226" s="3"/>
      <c r="AQ226" s="3"/>
      <c r="AR226" s="3"/>
      <c r="AS226" s="3"/>
      <c r="AT226" s="3"/>
      <c r="AU226" s="3"/>
      <c r="AW226" s="3"/>
      <c r="AY226" s="3"/>
      <c r="BA226" s="3"/>
      <c r="BC226" s="3"/>
      <c r="BE226" s="3"/>
    </row>
    <row r="227" spans="1:57" x14ac:dyDescent="0.25">
      <c r="A227" s="7" t="s">
        <v>185</v>
      </c>
    </row>
    <row r="228" spans="1:57" x14ac:dyDescent="0.25">
      <c r="A228" s="3" t="s">
        <v>186</v>
      </c>
      <c r="B228" s="5">
        <v>600</v>
      </c>
      <c r="D228" s="5">
        <v>144</v>
      </c>
      <c r="E228" s="3">
        <f>F228-D228</f>
        <v>456</v>
      </c>
      <c r="F228" s="5">
        <v>600</v>
      </c>
      <c r="H228" s="32">
        <f>F228-B228</f>
        <v>0</v>
      </c>
      <c r="I228" s="32"/>
      <c r="J228" s="4">
        <v>216</v>
      </c>
      <c r="K228" s="4">
        <f>L228-J228</f>
        <v>384</v>
      </c>
      <c r="L228" s="4">
        <v>600</v>
      </c>
      <c r="N228" s="4">
        <f>L228-F228</f>
        <v>0</v>
      </c>
      <c r="P228" s="3">
        <v>600</v>
      </c>
      <c r="Q228" s="3"/>
      <c r="R228" s="3">
        <v>286</v>
      </c>
      <c r="S228" s="3">
        <f>T228-R228</f>
        <v>314</v>
      </c>
      <c r="T228" s="3">
        <v>600</v>
      </c>
      <c r="U228" s="3">
        <f>T228-P228</f>
        <v>0</v>
      </c>
      <c r="V228" s="3">
        <v>608</v>
      </c>
      <c r="W228" s="3">
        <f>Y228-V228</f>
        <v>192</v>
      </c>
      <c r="X228" s="3"/>
      <c r="Y228" s="3">
        <v>800</v>
      </c>
      <c r="Z228" s="3">
        <f>Y228-T228</f>
        <v>200</v>
      </c>
      <c r="AA228" s="3"/>
      <c r="AB228" s="3"/>
      <c r="AC228" s="3">
        <v>580</v>
      </c>
      <c r="AD228" s="3">
        <f>AE228-AC228</f>
        <v>220</v>
      </c>
      <c r="AE228" s="3">
        <v>800</v>
      </c>
      <c r="AF228" s="3">
        <f>AE228-Y228</f>
        <v>0</v>
      </c>
      <c r="AG228" s="4"/>
      <c r="AH228" s="4">
        <v>15000</v>
      </c>
      <c r="AJ228" s="3">
        <v>3125</v>
      </c>
      <c r="AK228" s="3">
        <f>AL228-AJ228</f>
        <v>11875</v>
      </c>
      <c r="AL228" s="3">
        <v>15000</v>
      </c>
      <c r="AM228" s="3">
        <f>AL228-AH228</f>
        <v>0</v>
      </c>
      <c r="AO228" s="3">
        <f>AH228*1.025</f>
        <v>15374.999999999998</v>
      </c>
      <c r="AP228" s="3"/>
      <c r="AQ228" s="3">
        <f>AO228*1.025</f>
        <v>15759.374999999996</v>
      </c>
      <c r="AR228" s="3"/>
      <c r="AS228" s="3">
        <f>AQ228*1.025</f>
        <v>16153.359374999995</v>
      </c>
      <c r="AT228" s="3"/>
      <c r="AU228" s="3">
        <f>AS228*1.025</f>
        <v>16557.193359374993</v>
      </c>
      <c r="AV228" s="42"/>
      <c r="AW228" s="3">
        <f>AU228*1.025</f>
        <v>16971.123193359366</v>
      </c>
      <c r="AX228" s="42"/>
      <c r="AY228" s="3">
        <f>AW228*1.025</f>
        <v>17395.401273193347</v>
      </c>
      <c r="AZ228" s="42"/>
      <c r="BA228" s="3">
        <f>AY228*1.025</f>
        <v>17830.286305023179</v>
      </c>
      <c r="BB228" s="42"/>
      <c r="BC228" s="3">
        <f>BA228*1.025</f>
        <v>18276.043462648759</v>
      </c>
      <c r="BE228" s="3">
        <f>BC228*1.025</f>
        <v>18732.944549214975</v>
      </c>
    </row>
    <row r="229" spans="1:57" x14ac:dyDescent="0.25">
      <c r="A229" s="3" t="s">
        <v>187</v>
      </c>
      <c r="E229" s="3">
        <f>F229-D229</f>
        <v>0</v>
      </c>
      <c r="H229" s="32">
        <f>F229-B229</f>
        <v>0</v>
      </c>
      <c r="I229" s="32"/>
      <c r="J229" s="4"/>
      <c r="K229" s="4">
        <f>L229-J229</f>
        <v>0</v>
      </c>
      <c r="L229" s="4"/>
      <c r="N229" s="4">
        <f>L229-F229</f>
        <v>0</v>
      </c>
      <c r="S229" s="3">
        <f>T229-R229</f>
        <v>0</v>
      </c>
      <c r="T229" s="3"/>
      <c r="U229" s="3">
        <f>T229-P229</f>
        <v>0</v>
      </c>
      <c r="W229" s="3">
        <f>Y229-V229</f>
        <v>0</v>
      </c>
      <c r="X229" s="3"/>
      <c r="Z229" s="3">
        <f>Y229-T229</f>
        <v>0</v>
      </c>
      <c r="AD229" s="3">
        <f>AE229-AC229</f>
        <v>0</v>
      </c>
      <c r="AE229" s="3"/>
      <c r="AF229" s="3">
        <f>AE229-Y229</f>
        <v>0</v>
      </c>
      <c r="AH229" s="58">
        <v>29700</v>
      </c>
      <c r="AJ229" s="5">
        <v>2327</v>
      </c>
      <c r="AK229" s="3">
        <f>AL229-AJ229</f>
        <v>27373</v>
      </c>
      <c r="AL229" s="5">
        <v>29700</v>
      </c>
      <c r="AM229" s="3">
        <f>AL229-AH229</f>
        <v>0</v>
      </c>
      <c r="AO229" s="3">
        <f>AH229*1.025</f>
        <v>30442.499999999996</v>
      </c>
      <c r="AP229" s="3"/>
      <c r="AQ229" s="3">
        <f>AO229*1.025</f>
        <v>31203.562499999993</v>
      </c>
      <c r="AR229" s="3"/>
      <c r="AS229" s="3">
        <f>AQ229*1.025</f>
        <v>31983.651562499988</v>
      </c>
      <c r="AT229" s="3"/>
      <c r="AU229" s="3">
        <f>AS229*1.025</f>
        <v>32783.242851562485</v>
      </c>
      <c r="AV229" s="42"/>
      <c r="AW229" s="3">
        <f>AU229*1.025</f>
        <v>33602.823922851545</v>
      </c>
      <c r="AX229" s="42"/>
      <c r="AY229" s="3">
        <f>AW229*1.025</f>
        <v>34442.894520922833</v>
      </c>
      <c r="AZ229" s="42"/>
      <c r="BA229" s="3">
        <f>AY229*1.025</f>
        <v>35303.966883945905</v>
      </c>
      <c r="BB229" s="42"/>
      <c r="BC229" s="3">
        <f>BA229*1.025</f>
        <v>36186.566056044547</v>
      </c>
      <c r="BE229" s="3">
        <f>BC229*1.025</f>
        <v>37091.23020744566</v>
      </c>
    </row>
    <row r="230" spans="1:57" x14ac:dyDescent="0.25">
      <c r="A230" s="3" t="s">
        <v>188</v>
      </c>
      <c r="E230" s="3">
        <f>F230-D230</f>
        <v>0</v>
      </c>
      <c r="H230" s="32">
        <f>F230-B230</f>
        <v>0</v>
      </c>
      <c r="I230" s="32"/>
      <c r="J230" s="4"/>
      <c r="K230" s="4">
        <f>L230-J230</f>
        <v>0</v>
      </c>
      <c r="L230" s="4"/>
      <c r="N230" s="4">
        <f>L230-F230</f>
        <v>0</v>
      </c>
      <c r="S230" s="3">
        <f>T230-R230</f>
        <v>0</v>
      </c>
      <c r="T230" s="3"/>
      <c r="U230" s="3">
        <f>T230-P230</f>
        <v>0</v>
      </c>
      <c r="W230" s="3">
        <f>Y230-V230</f>
        <v>0</v>
      </c>
      <c r="X230" s="3"/>
      <c r="Z230" s="3">
        <f>Y230-T230</f>
        <v>0</v>
      </c>
      <c r="AD230" s="3">
        <f>AE230-AC230</f>
        <v>0</v>
      </c>
      <c r="AE230" s="3"/>
      <c r="AF230" s="3">
        <f>AE230-Y230</f>
        <v>0</v>
      </c>
      <c r="AK230" s="3">
        <f>AL230-AJ230</f>
        <v>0</v>
      </c>
      <c r="AM230" s="3">
        <f>AL230-AH230</f>
        <v>0</v>
      </c>
    </row>
    <row r="231" spans="1:57" x14ac:dyDescent="0.25">
      <c r="A231" s="3" t="s">
        <v>189</v>
      </c>
      <c r="E231" s="3">
        <f>F231-D231</f>
        <v>0</v>
      </c>
      <c r="H231" s="32">
        <f>F231-B231</f>
        <v>0</v>
      </c>
      <c r="I231" s="32"/>
      <c r="J231" s="4"/>
      <c r="K231" s="4">
        <f>L231-J231</f>
        <v>0</v>
      </c>
      <c r="L231" s="4"/>
      <c r="N231" s="4">
        <f>L231-F231</f>
        <v>0</v>
      </c>
      <c r="S231" s="3">
        <f>T231-R231</f>
        <v>0</v>
      </c>
      <c r="T231" s="3"/>
      <c r="U231" s="3">
        <f>T231-P231</f>
        <v>0</v>
      </c>
      <c r="W231" s="3">
        <f>Y231-V231</f>
        <v>0</v>
      </c>
      <c r="X231" s="3"/>
      <c r="Z231" s="3">
        <f>Y231-T231</f>
        <v>0</v>
      </c>
      <c r="AD231" s="3">
        <f>AE231-AC231</f>
        <v>0</v>
      </c>
      <c r="AE231" s="3"/>
      <c r="AF231" s="3">
        <f>AE231-Y231</f>
        <v>0</v>
      </c>
      <c r="AK231" s="3">
        <f>AL231-AJ231</f>
        <v>0</v>
      </c>
      <c r="AM231" s="3">
        <f>AL231-AH231</f>
        <v>0</v>
      </c>
    </row>
    <row r="232" spans="1:57" x14ac:dyDescent="0.25">
      <c r="A232" s="3" t="s">
        <v>90</v>
      </c>
      <c r="E232" s="3">
        <f>F232-D232</f>
        <v>0</v>
      </c>
      <c r="H232" s="32">
        <f>F232-B232</f>
        <v>0</v>
      </c>
      <c r="I232" s="32"/>
      <c r="J232" s="4"/>
      <c r="K232" s="4">
        <f>L232-J232</f>
        <v>0</v>
      </c>
      <c r="L232" s="4"/>
      <c r="N232" s="4">
        <f>L232-F232</f>
        <v>0</v>
      </c>
      <c r="R232" s="5">
        <v>0</v>
      </c>
      <c r="S232" s="3">
        <f>T232-R232</f>
        <v>100</v>
      </c>
      <c r="T232" s="3">
        <v>100</v>
      </c>
      <c r="U232" s="3">
        <f>T232-P232</f>
        <v>100</v>
      </c>
      <c r="W232" s="3">
        <f>Y232-V232</f>
        <v>100</v>
      </c>
      <c r="X232" s="3"/>
      <c r="Y232" s="5">
        <v>100</v>
      </c>
      <c r="Z232" s="3">
        <f>Y232-T232</f>
        <v>0</v>
      </c>
      <c r="AC232" s="5">
        <v>125</v>
      </c>
      <c r="AD232" s="3">
        <f>AE232-AC232</f>
        <v>0</v>
      </c>
      <c r="AE232" s="3">
        <v>125</v>
      </c>
      <c r="AF232" s="3">
        <f>AE232-Y232</f>
        <v>25</v>
      </c>
      <c r="AK232" s="3">
        <f>AL232-AJ232</f>
        <v>0</v>
      </c>
      <c r="AM232" s="3">
        <f>AL232-AH232</f>
        <v>0</v>
      </c>
    </row>
    <row r="233" spans="1:57" ht="15.75" thickBot="1" x14ac:dyDescent="0.3">
      <c r="A233" s="3"/>
      <c r="B233" s="43">
        <f>SUM(B228:B232)</f>
        <v>600</v>
      </c>
      <c r="C233" s="32"/>
      <c r="D233" s="43">
        <f>SUM(D228:D232)</f>
        <v>144</v>
      </c>
      <c r="E233" s="43">
        <f>SUM(E228:E232)</f>
        <v>456</v>
      </c>
      <c r="F233" s="43">
        <f>SUM(F228:F232)</f>
        <v>600</v>
      </c>
      <c r="G233" s="32"/>
      <c r="H233" s="43">
        <f>SUM(H228:H232)</f>
        <v>0</v>
      </c>
      <c r="I233" s="36"/>
      <c r="J233" s="43">
        <f>SUM(J228:J232)</f>
        <v>216</v>
      </c>
      <c r="K233" s="43">
        <f>SUM(K228:K232)</f>
        <v>384</v>
      </c>
      <c r="L233" s="43">
        <f>SUM(L228:L232)</f>
        <v>600</v>
      </c>
      <c r="M233" s="32"/>
      <c r="N233" s="43">
        <f>SUM(N228:N232)</f>
        <v>0</v>
      </c>
      <c r="P233" s="43">
        <f>SUM(P228:P232)</f>
        <v>600</v>
      </c>
      <c r="R233" s="43">
        <f t="shared" ref="R233:Z233" si="137">SUM(R228:R232)</f>
        <v>286</v>
      </c>
      <c r="S233" s="43">
        <f t="shared" si="137"/>
        <v>414</v>
      </c>
      <c r="T233" s="43">
        <f t="shared" si="137"/>
        <v>700</v>
      </c>
      <c r="U233" s="43">
        <f t="shared" si="137"/>
        <v>100</v>
      </c>
      <c r="V233" s="43">
        <f t="shared" si="137"/>
        <v>608</v>
      </c>
      <c r="W233" s="43">
        <f t="shared" si="137"/>
        <v>292</v>
      </c>
      <c r="X233" s="43"/>
      <c r="Y233" s="43">
        <f t="shared" si="137"/>
        <v>900</v>
      </c>
      <c r="Z233" s="43">
        <f t="shared" si="137"/>
        <v>200</v>
      </c>
      <c r="AC233" s="43">
        <f>SUM(AC228:AC232)</f>
        <v>705</v>
      </c>
      <c r="AD233" s="43">
        <f>SUM(AD228:AD232)</f>
        <v>220</v>
      </c>
      <c r="AE233" s="43">
        <f>SUM(AE228:AE232)</f>
        <v>925</v>
      </c>
      <c r="AF233" s="43">
        <f>SUM(AF228:AF232)</f>
        <v>25</v>
      </c>
      <c r="AH233" s="36">
        <f>SUM(AH228:AH232)</f>
        <v>44700</v>
      </c>
      <c r="AI233" s="32"/>
      <c r="AJ233" s="43">
        <f>SUM(AJ228:AJ232)</f>
        <v>5452</v>
      </c>
      <c r="AK233" s="43">
        <f>SUM(AK228:AK232)</f>
        <v>39248</v>
      </c>
      <c r="AL233" s="43">
        <f>SUM(AL228:AL232)</f>
        <v>44700</v>
      </c>
      <c r="AM233" s="43">
        <f>SUM(AM228:AM232)</f>
        <v>0</v>
      </c>
      <c r="AN233" s="32"/>
      <c r="AO233" s="43">
        <f>SUM(AO228:AO232)</f>
        <v>45817.499999999993</v>
      </c>
      <c r="AQ233" s="43">
        <f>SUM(AQ228:AQ232)</f>
        <v>46962.937499999985</v>
      </c>
      <c r="AS233" s="43">
        <f>SUM(AS228:AS232)</f>
        <v>48137.010937499981</v>
      </c>
      <c r="AT233" s="43"/>
      <c r="AU233" s="43">
        <f>SUM(AU228:AU232)</f>
        <v>49340.436210937478</v>
      </c>
      <c r="AW233" s="43">
        <f>SUM(AW228:AW232)</f>
        <v>50573.947116210911</v>
      </c>
      <c r="AY233" s="43">
        <f>SUM(AY228:AY232)</f>
        <v>51838.29579411618</v>
      </c>
      <c r="BA233" s="43">
        <f>SUM(BA228:BA232)</f>
        <v>53134.253188969087</v>
      </c>
      <c r="BC233" s="43">
        <f>SUM(BC228:BC232)</f>
        <v>54462.609518693309</v>
      </c>
      <c r="BE233" s="43">
        <f>SUM(BE228:BE232)</f>
        <v>55824.174756660635</v>
      </c>
    </row>
    <row r="234" spans="1:57" ht="15.75" thickTop="1" x14ac:dyDescent="0.25">
      <c r="A234" s="7" t="s">
        <v>190</v>
      </c>
    </row>
    <row r="235" spans="1:57" x14ac:dyDescent="0.25">
      <c r="A235" s="7" t="s">
        <v>191</v>
      </c>
    </row>
    <row r="236" spans="1:57" x14ac:dyDescent="0.25">
      <c r="A236" s="3" t="s">
        <v>192</v>
      </c>
      <c r="B236" s="61"/>
      <c r="C236" s="4"/>
      <c r="D236" s="61"/>
      <c r="E236" s="52">
        <f>F236-D236</f>
        <v>0</v>
      </c>
      <c r="F236" s="61"/>
      <c r="G236" s="4"/>
      <c r="H236" s="61"/>
      <c r="I236" s="58"/>
      <c r="J236" s="61"/>
      <c r="K236" s="52">
        <f>L236-J236</f>
        <v>0</v>
      </c>
      <c r="L236" s="37"/>
      <c r="M236" s="32"/>
      <c r="N236" s="52">
        <f>L236-F236</f>
        <v>0</v>
      </c>
      <c r="P236" s="61"/>
      <c r="R236" s="61"/>
      <c r="S236" s="61"/>
      <c r="T236" s="61"/>
      <c r="U236" s="61"/>
      <c r="V236" s="61">
        <v>150</v>
      </c>
      <c r="W236" s="61"/>
      <c r="X236" s="61"/>
      <c r="Y236" s="61"/>
      <c r="Z236" s="61"/>
      <c r="AC236" s="61"/>
      <c r="AD236" s="61"/>
      <c r="AE236" s="61"/>
      <c r="AF236" s="61"/>
      <c r="AJ236" s="61"/>
      <c r="AK236" s="52">
        <f t="shared" ref="AK236:AK241" si="138">AL236-AJ236</f>
        <v>0</v>
      </c>
      <c r="AL236" s="61"/>
      <c r="AM236" s="52">
        <f t="shared" ref="AM236:AM241" si="139">AL236-AH236</f>
        <v>0</v>
      </c>
      <c r="AO236" s="61"/>
      <c r="AQ236" s="61"/>
      <c r="AS236" s="61"/>
      <c r="AT236" s="61"/>
      <c r="AU236" s="61"/>
      <c r="AW236" s="61"/>
      <c r="AY236" s="61"/>
      <c r="BA236" s="61"/>
      <c r="BC236" s="61"/>
      <c r="BE236" s="61"/>
    </row>
    <row r="237" spans="1:57" x14ac:dyDescent="0.25">
      <c r="A237" s="7" t="s">
        <v>193</v>
      </c>
    </row>
    <row r="238" spans="1:57" x14ac:dyDescent="0.25">
      <c r="A238" s="3" t="s">
        <v>194</v>
      </c>
      <c r="AK238" s="3">
        <f t="shared" si="138"/>
        <v>0</v>
      </c>
      <c r="AM238" s="3">
        <f t="shared" si="139"/>
        <v>0</v>
      </c>
    </row>
    <row r="239" spans="1:57" x14ac:dyDescent="0.25">
      <c r="A239" s="3" t="s">
        <v>195</v>
      </c>
      <c r="J239" s="5">
        <v>21173</v>
      </c>
      <c r="K239" s="4">
        <f>L239-J239</f>
        <v>0</v>
      </c>
      <c r="L239" s="4">
        <v>21173</v>
      </c>
      <c r="M239" s="32"/>
      <c r="N239" s="4">
        <f>L239-F239</f>
        <v>21173</v>
      </c>
      <c r="AK239" s="3">
        <f t="shared" si="138"/>
        <v>0</v>
      </c>
      <c r="AM239" s="3">
        <f t="shared" si="139"/>
        <v>0</v>
      </c>
    </row>
    <row r="240" spans="1:57" x14ac:dyDescent="0.25">
      <c r="A240" s="3" t="s">
        <v>90</v>
      </c>
      <c r="AK240" s="3">
        <f t="shared" si="138"/>
        <v>0</v>
      </c>
      <c r="AM240" s="3">
        <f t="shared" si="139"/>
        <v>0</v>
      </c>
    </row>
    <row r="241" spans="1:57" x14ac:dyDescent="0.25">
      <c r="A241" s="3" t="s">
        <v>196</v>
      </c>
      <c r="B241" s="5">
        <v>5000</v>
      </c>
      <c r="E241" s="5">
        <f>F241-D241</f>
        <v>5000</v>
      </c>
      <c r="F241" s="5">
        <v>5000</v>
      </c>
      <c r="H241" s="5">
        <f>F241-B241</f>
        <v>0</v>
      </c>
      <c r="J241" s="5">
        <v>9091</v>
      </c>
      <c r="K241" s="4">
        <f>L241-J241</f>
        <v>0</v>
      </c>
      <c r="L241" s="4">
        <v>9091</v>
      </c>
      <c r="M241" s="32"/>
      <c r="N241" s="4">
        <f>L241-F241</f>
        <v>4091</v>
      </c>
      <c r="P241" s="3">
        <v>2500</v>
      </c>
      <c r="Q241" s="3"/>
      <c r="R241" s="3">
        <v>0</v>
      </c>
      <c r="S241" s="3">
        <f>T241-R241</f>
        <v>2500</v>
      </c>
      <c r="T241" s="3">
        <v>2500</v>
      </c>
      <c r="U241" s="3">
        <f>T241-P241</f>
        <v>0</v>
      </c>
      <c r="V241" s="3"/>
      <c r="W241" s="3">
        <f>Y241-V241</f>
        <v>2500</v>
      </c>
      <c r="X241" s="3"/>
      <c r="Y241" s="3">
        <v>2500</v>
      </c>
      <c r="Z241" s="3">
        <f>Y241-T241</f>
        <v>0</v>
      </c>
      <c r="AA241" s="3"/>
      <c r="AB241" s="3"/>
      <c r="AC241" s="3">
        <v>0</v>
      </c>
      <c r="AD241" s="3">
        <f>AE241-AC241</f>
        <v>2500</v>
      </c>
      <c r="AE241" s="3">
        <v>2500</v>
      </c>
      <c r="AF241" s="3">
        <f>AE241-Y241</f>
        <v>0</v>
      </c>
      <c r="AG241" s="4"/>
      <c r="AH241" s="4"/>
      <c r="AJ241" s="3"/>
      <c r="AK241" s="3">
        <f t="shared" si="138"/>
        <v>0</v>
      </c>
      <c r="AL241" s="3"/>
      <c r="AM241" s="3">
        <f t="shared" si="139"/>
        <v>0</v>
      </c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E241" s="3"/>
    </row>
    <row r="242" spans="1:57" x14ac:dyDescent="0.25">
      <c r="A242" s="7"/>
      <c r="B242" s="48">
        <f>SUM(B238:B241)</f>
        <v>5000</v>
      </c>
      <c r="C242" s="32"/>
      <c r="D242" s="48">
        <f>SUM(D238:D241)</f>
        <v>0</v>
      </c>
      <c r="E242" s="48">
        <f>SUM(E238:E241)</f>
        <v>5000</v>
      </c>
      <c r="F242" s="48">
        <f>SUM(F238:F241)</f>
        <v>5000</v>
      </c>
      <c r="G242" s="32"/>
      <c r="H242" s="48">
        <f>SUM(H238:H241)</f>
        <v>0</v>
      </c>
      <c r="I242" s="36"/>
      <c r="J242" s="48">
        <f>SUM(J238:J241)</f>
        <v>30264</v>
      </c>
      <c r="K242" s="48">
        <f>SUM(K238:K241)</f>
        <v>0</v>
      </c>
      <c r="L242" s="48">
        <f>SUM(L238:L241)</f>
        <v>30264</v>
      </c>
      <c r="M242" s="32"/>
      <c r="N242" s="48">
        <f>SUM(N238:N241)</f>
        <v>25264</v>
      </c>
      <c r="P242" s="48">
        <f>SUM(P238:P241)</f>
        <v>2500</v>
      </c>
      <c r="R242" s="48">
        <f t="shared" ref="R242:Z242" si="140">SUM(R238:R241)</f>
        <v>0</v>
      </c>
      <c r="S242" s="48">
        <f t="shared" si="140"/>
        <v>2500</v>
      </c>
      <c r="T242" s="48">
        <f t="shared" si="140"/>
        <v>2500</v>
      </c>
      <c r="U242" s="48">
        <f t="shared" si="140"/>
        <v>0</v>
      </c>
      <c r="V242" s="48">
        <f t="shared" si="140"/>
        <v>0</v>
      </c>
      <c r="W242" s="48">
        <f t="shared" si="140"/>
        <v>2500</v>
      </c>
      <c r="X242" s="48"/>
      <c r="Y242" s="48">
        <f t="shared" si="140"/>
        <v>2500</v>
      </c>
      <c r="Z242" s="48">
        <f t="shared" si="140"/>
        <v>0</v>
      </c>
      <c r="AC242" s="48">
        <f>SUM(AC238:AC241)</f>
        <v>0</v>
      </c>
      <c r="AD242" s="48">
        <f>SUM(AD238:AD241)</f>
        <v>2500</v>
      </c>
      <c r="AE242" s="48">
        <f>SUM(AE238:AE241)</f>
        <v>2500</v>
      </c>
      <c r="AF242" s="48">
        <f>SUM(AF238:AF241)</f>
        <v>0</v>
      </c>
      <c r="AH242" s="36">
        <f>SUM(AH238:AH241)</f>
        <v>0</v>
      </c>
      <c r="AI242" s="32"/>
      <c r="AJ242" s="48">
        <f>SUM(AJ238:AJ241)</f>
        <v>0</v>
      </c>
      <c r="AK242" s="48">
        <f>SUM(AK238:AK241)</f>
        <v>0</v>
      </c>
      <c r="AL242" s="48">
        <f>SUM(AL238:AL241)</f>
        <v>0</v>
      </c>
      <c r="AM242" s="48">
        <f>SUM(AM238:AM241)</f>
        <v>0</v>
      </c>
      <c r="AN242" s="32"/>
      <c r="AO242" s="48">
        <f>SUM(AO238:AO241)</f>
        <v>0</v>
      </c>
      <c r="AQ242" s="48">
        <f>SUM(AQ238:AQ241)</f>
        <v>0</v>
      </c>
      <c r="AS242" s="48">
        <f>SUM(AS238:AS241)</f>
        <v>0</v>
      </c>
      <c r="AT242" s="48"/>
      <c r="AU242" s="48">
        <f>SUM(AU238:AU241)</f>
        <v>0</v>
      </c>
      <c r="AW242" s="48">
        <f>SUM(AW238:AW241)</f>
        <v>0</v>
      </c>
      <c r="AY242" s="48">
        <f>SUM(AY238:AY241)</f>
        <v>0</v>
      </c>
      <c r="BA242" s="48">
        <f>SUM(BA238:BA241)</f>
        <v>0</v>
      </c>
      <c r="BC242" s="48">
        <f>SUM(BC238:BC241)</f>
        <v>0</v>
      </c>
      <c r="BE242" s="48">
        <f>SUM(BE238:BE241)</f>
        <v>0</v>
      </c>
    </row>
    <row r="243" spans="1:57" x14ac:dyDescent="0.25">
      <c r="A243" s="7" t="s">
        <v>197</v>
      </c>
    </row>
    <row r="244" spans="1:57" x14ac:dyDescent="0.25">
      <c r="A244" s="3" t="s">
        <v>198</v>
      </c>
      <c r="AK244" s="3">
        <f>AL244-AJ244</f>
        <v>0</v>
      </c>
      <c r="AM244" s="3">
        <f>AL244-AH244</f>
        <v>0</v>
      </c>
    </row>
    <row r="245" spans="1:57" x14ac:dyDescent="0.25">
      <c r="A245" s="3" t="s">
        <v>199</v>
      </c>
      <c r="AK245" s="3">
        <f>AL245-AJ245</f>
        <v>0</v>
      </c>
      <c r="AM245" s="3">
        <f>AL245-AH245</f>
        <v>0</v>
      </c>
    </row>
    <row r="246" spans="1:57" x14ac:dyDescent="0.25">
      <c r="A246" s="3" t="s">
        <v>200</v>
      </c>
      <c r="AK246" s="3">
        <f>AL246-AJ246</f>
        <v>0</v>
      </c>
      <c r="AM246" s="3">
        <f>AL246-AH246</f>
        <v>0</v>
      </c>
    </row>
    <row r="247" spans="1:57" x14ac:dyDescent="0.25">
      <c r="A247" s="3"/>
      <c r="B247" s="48">
        <f>SUM(B244:B246)</f>
        <v>0</v>
      </c>
      <c r="C247" s="32"/>
      <c r="D247" s="48">
        <f>SUM(D244:D246)</f>
        <v>0</v>
      </c>
      <c r="E247" s="48">
        <f>SUM(E244:E246)</f>
        <v>0</v>
      </c>
      <c r="F247" s="48">
        <f>SUM(F244:F246)</f>
        <v>0</v>
      </c>
      <c r="G247" s="32"/>
      <c r="H247" s="48">
        <f>SUM(H244:H246)</f>
        <v>0</v>
      </c>
      <c r="I247" s="48"/>
      <c r="J247" s="48">
        <v>0</v>
      </c>
      <c r="K247" s="48">
        <f>L247-J247</f>
        <v>0</v>
      </c>
      <c r="L247" s="48">
        <v>0</v>
      </c>
      <c r="M247" s="32"/>
      <c r="N247" s="48"/>
      <c r="O247" s="32"/>
      <c r="P247" s="48">
        <f>SUM(P244:P246)</f>
        <v>0</v>
      </c>
      <c r="R247" s="48">
        <f t="shared" ref="R247:Z247" si="141">SUM(R244:R246)</f>
        <v>0</v>
      </c>
      <c r="S247" s="48">
        <f t="shared" si="141"/>
        <v>0</v>
      </c>
      <c r="T247" s="48">
        <f t="shared" si="141"/>
        <v>0</v>
      </c>
      <c r="U247" s="48">
        <f t="shared" si="141"/>
        <v>0</v>
      </c>
      <c r="V247" s="48">
        <f t="shared" si="141"/>
        <v>0</v>
      </c>
      <c r="W247" s="48">
        <f t="shared" si="141"/>
        <v>0</v>
      </c>
      <c r="X247" s="48"/>
      <c r="Y247" s="48">
        <f t="shared" si="141"/>
        <v>0</v>
      </c>
      <c r="Z247" s="48">
        <f t="shared" si="141"/>
        <v>0</v>
      </c>
      <c r="AC247" s="48">
        <f>SUM(AC244:AC246)</f>
        <v>0</v>
      </c>
      <c r="AD247" s="48">
        <v>0</v>
      </c>
      <c r="AE247" s="48"/>
      <c r="AF247" s="48">
        <f>AE247-AC247</f>
        <v>0</v>
      </c>
      <c r="AH247" s="36">
        <f>SUM(AH244:AH246)</f>
        <v>0</v>
      </c>
      <c r="AI247" s="32"/>
      <c r="AJ247" s="48">
        <f>SUM(AJ244:AJ246)</f>
        <v>0</v>
      </c>
      <c r="AK247" s="48">
        <f>SUM(AK244:AK246)</f>
        <v>0</v>
      </c>
      <c r="AL247" s="48">
        <f>SUM(AL244:AL246)</f>
        <v>0</v>
      </c>
      <c r="AM247" s="48">
        <f>SUM(AM244:AM246)</f>
        <v>0</v>
      </c>
      <c r="AN247" s="32"/>
      <c r="AO247" s="48">
        <f>SUM(AO244:AO246)</f>
        <v>0</v>
      </c>
      <c r="AQ247" s="48">
        <f>SUM(AQ244:AQ246)</f>
        <v>0</v>
      </c>
      <c r="AS247" s="48">
        <f>SUM(AS244:AS246)</f>
        <v>0</v>
      </c>
      <c r="AT247" s="48"/>
      <c r="AU247" s="48">
        <f>SUM(AU244:AU246)</f>
        <v>0</v>
      </c>
      <c r="AW247" s="48">
        <f>SUM(AW244:AW246)</f>
        <v>0</v>
      </c>
      <c r="AY247" s="48">
        <f>SUM(AY244:AY246)</f>
        <v>0</v>
      </c>
      <c r="BA247" s="48">
        <f>SUM(BA244:BA246)</f>
        <v>0</v>
      </c>
      <c r="BC247" s="48">
        <f>SUM(BC244:BC246)</f>
        <v>0</v>
      </c>
      <c r="BE247" s="48">
        <f>SUM(BE244:BE246)</f>
        <v>0</v>
      </c>
    </row>
    <row r="248" spans="1:57" x14ac:dyDescent="0.25">
      <c r="A248" s="7" t="s">
        <v>201</v>
      </c>
    </row>
    <row r="249" spans="1:57" x14ac:dyDescent="0.25">
      <c r="A249" s="3" t="s">
        <v>202</v>
      </c>
      <c r="AK249" s="3">
        <f>AL249-AJ249</f>
        <v>0</v>
      </c>
      <c r="AM249" s="3">
        <f>AL249-AH249</f>
        <v>0</v>
      </c>
    </row>
    <row r="250" spans="1:57" x14ac:dyDescent="0.25">
      <c r="A250" s="3" t="s">
        <v>203</v>
      </c>
      <c r="AK250" s="3">
        <f>AL250-AJ250</f>
        <v>0</v>
      </c>
      <c r="AM250" s="3">
        <f>AL250-AH250</f>
        <v>0</v>
      </c>
    </row>
    <row r="251" spans="1:57" x14ac:dyDescent="0.25">
      <c r="A251" s="3"/>
      <c r="B251" s="48">
        <f>SUM(B249:B250)</f>
        <v>0</v>
      </c>
      <c r="C251" s="32"/>
      <c r="D251" s="48">
        <f>SUM(D249:D250)</f>
        <v>0</v>
      </c>
      <c r="E251" s="48">
        <f>SUM(E249:E250)</f>
        <v>0</v>
      </c>
      <c r="F251" s="48">
        <f>SUM(F249:F250)</f>
        <v>0</v>
      </c>
      <c r="G251" s="32"/>
      <c r="H251" s="48">
        <f>SUM(H249:H250)</f>
        <v>0</v>
      </c>
      <c r="I251" s="36"/>
      <c r="J251" s="48">
        <f>SUM(J249:J250)</f>
        <v>0</v>
      </c>
      <c r="K251" s="48">
        <f>SUM(K249:K250)</f>
        <v>0</v>
      </c>
      <c r="L251" s="48">
        <f>SUM(L249:L250)</f>
        <v>0</v>
      </c>
      <c r="M251" s="32"/>
      <c r="N251" s="48">
        <f>SUM(N249:N250)</f>
        <v>0</v>
      </c>
      <c r="P251" s="48">
        <f>SUM(P249:P250)</f>
        <v>0</v>
      </c>
      <c r="R251" s="48">
        <f t="shared" ref="R251:Z251" si="142">SUM(R249:R250)</f>
        <v>0</v>
      </c>
      <c r="S251" s="48">
        <f t="shared" si="142"/>
        <v>0</v>
      </c>
      <c r="T251" s="48">
        <f t="shared" si="142"/>
        <v>0</v>
      </c>
      <c r="U251" s="48">
        <f t="shared" si="142"/>
        <v>0</v>
      </c>
      <c r="V251" s="48">
        <f t="shared" si="142"/>
        <v>0</v>
      </c>
      <c r="W251" s="48">
        <f t="shared" si="142"/>
        <v>0</v>
      </c>
      <c r="X251" s="48"/>
      <c r="Y251" s="48">
        <f t="shared" si="142"/>
        <v>0</v>
      </c>
      <c r="Z251" s="48">
        <f t="shared" si="142"/>
        <v>0</v>
      </c>
      <c r="AC251" s="48">
        <f>SUM(AC249:AC250)</f>
        <v>0</v>
      </c>
      <c r="AD251" s="48">
        <f>SUM(AD246:AD250)</f>
        <v>0</v>
      </c>
      <c r="AE251" s="48">
        <v>0</v>
      </c>
      <c r="AF251" s="48">
        <f>AE251-AC251</f>
        <v>0</v>
      </c>
      <c r="AH251" s="36">
        <f>SUM(AH249:AH250)</f>
        <v>0</v>
      </c>
      <c r="AI251" s="32"/>
      <c r="AJ251" s="48">
        <f>SUM(AJ249:AJ250)</f>
        <v>0</v>
      </c>
      <c r="AK251" s="48">
        <f>SUM(AK249:AK250)</f>
        <v>0</v>
      </c>
      <c r="AL251" s="48">
        <f>SUM(AL249:AL250)</f>
        <v>0</v>
      </c>
      <c r="AM251" s="48">
        <f>SUM(AM249:AM250)</f>
        <v>0</v>
      </c>
      <c r="AN251" s="32"/>
      <c r="AO251" s="48">
        <f>SUM(AO249:AO250)</f>
        <v>0</v>
      </c>
      <c r="AQ251" s="48">
        <f>SUM(AQ249:AQ250)</f>
        <v>0</v>
      </c>
      <c r="AS251" s="48">
        <f>SUM(AS249:AS250)</f>
        <v>0</v>
      </c>
      <c r="AT251" s="48"/>
      <c r="AU251" s="48">
        <f>SUM(AU249:AU250)</f>
        <v>0</v>
      </c>
      <c r="AW251" s="48">
        <f>SUM(AW249:AW250)</f>
        <v>0</v>
      </c>
      <c r="AY251" s="48">
        <f>SUM(AY249:AY250)</f>
        <v>0</v>
      </c>
      <c r="BA251" s="48">
        <f>SUM(BA249:BA250)</f>
        <v>0</v>
      </c>
      <c r="BC251" s="48">
        <f>SUM(BC249:BC250)</f>
        <v>0</v>
      </c>
      <c r="BE251" s="48">
        <f>SUM(BE249:BE250)</f>
        <v>0</v>
      </c>
    </row>
    <row r="252" spans="1:57" x14ac:dyDescent="0.25">
      <c r="A252" s="7" t="s">
        <v>204</v>
      </c>
    </row>
    <row r="253" spans="1:57" x14ac:dyDescent="0.25">
      <c r="A253" s="3" t="s">
        <v>205</v>
      </c>
      <c r="B253" s="3">
        <v>383000</v>
      </c>
      <c r="D253" s="3"/>
      <c r="E253" s="3">
        <f t="shared" ref="E253:E266" si="143">F253-D253</f>
        <v>270370</v>
      </c>
      <c r="F253" s="3">
        <v>270370</v>
      </c>
      <c r="H253" s="5">
        <f t="shared" ref="H253:H266" si="144">F253-B253</f>
        <v>-112630</v>
      </c>
      <c r="J253" s="5">
        <v>187500</v>
      </c>
      <c r="K253" s="4">
        <f t="shared" ref="K253:K266" si="145">L253-J253</f>
        <v>57781</v>
      </c>
      <c r="L253" s="4">
        <v>245281</v>
      </c>
      <c r="M253" s="32"/>
      <c r="N253" s="4">
        <f t="shared" ref="N253:N266" si="146">L253-F253</f>
        <v>-25089</v>
      </c>
      <c r="P253" s="3">
        <v>384350</v>
      </c>
      <c r="Q253" s="3"/>
      <c r="R253" s="3">
        <v>0</v>
      </c>
      <c r="S253" s="3">
        <f t="shared" ref="S253:S266" si="147">T253-R253</f>
        <v>384350</v>
      </c>
      <c r="T253" s="3">
        <v>384350</v>
      </c>
      <c r="U253" s="3">
        <f t="shared" ref="U253:U266" si="148">T253-P253</f>
        <v>0</v>
      </c>
      <c r="V253" s="3">
        <v>22037</v>
      </c>
      <c r="W253" s="3">
        <f t="shared" ref="W253:W266" si="149">Y253-V253</f>
        <v>372963</v>
      </c>
      <c r="X253" s="3"/>
      <c r="Y253" s="3">
        <v>395000</v>
      </c>
      <c r="Z253" s="3">
        <f t="shared" ref="Z253:Z266" si="150">Y253-T253</f>
        <v>10650</v>
      </c>
      <c r="AA253" s="3"/>
      <c r="AB253" s="3"/>
      <c r="AC253" s="3">
        <v>205133</v>
      </c>
      <c r="AD253" s="3">
        <f t="shared" ref="AD253:AD266" si="151">AE253-AC253</f>
        <v>189867</v>
      </c>
      <c r="AE253" s="3">
        <v>395000</v>
      </c>
      <c r="AF253" s="3">
        <f t="shared" ref="AF253:AF266" si="152">AE253-Y253</f>
        <v>0</v>
      </c>
      <c r="AG253" s="4"/>
      <c r="AH253" s="4">
        <v>394000</v>
      </c>
      <c r="AJ253" s="3"/>
      <c r="AK253" s="3">
        <f t="shared" ref="AK253:AK267" si="153">AL253-AJ253</f>
        <v>394000</v>
      </c>
      <c r="AL253" s="3">
        <v>394000</v>
      </c>
      <c r="AM253" s="3">
        <f t="shared" ref="AM253:AM267" si="154">AL253-AH253</f>
        <v>0</v>
      </c>
      <c r="AO253" s="3">
        <f>AH253*1.025</f>
        <v>403849.99999999994</v>
      </c>
      <c r="AP253" s="3"/>
      <c r="AQ253" s="3">
        <v>413950</v>
      </c>
      <c r="AR253" s="3"/>
      <c r="AS253" s="3">
        <v>424300</v>
      </c>
      <c r="AT253" s="3"/>
      <c r="AU253" s="3">
        <v>434900</v>
      </c>
      <c r="AV253" s="42"/>
      <c r="AW253" s="3">
        <v>445750</v>
      </c>
      <c r="AX253" s="42"/>
      <c r="AY253" s="3">
        <v>456900</v>
      </c>
      <c r="AZ253" s="42"/>
      <c r="BA253" s="3">
        <v>468300</v>
      </c>
      <c r="BB253" s="42"/>
      <c r="BC253" s="3">
        <v>480050</v>
      </c>
      <c r="BE253" s="3">
        <v>480050</v>
      </c>
    </row>
    <row r="254" spans="1:57" x14ac:dyDescent="0.25">
      <c r="A254" s="3" t="s">
        <v>206</v>
      </c>
      <c r="B254" s="3"/>
      <c r="D254" s="3"/>
      <c r="E254" s="3">
        <f t="shared" si="143"/>
        <v>38190</v>
      </c>
      <c r="F254" s="3">
        <v>38190</v>
      </c>
      <c r="H254" s="5">
        <f t="shared" si="144"/>
        <v>38190</v>
      </c>
      <c r="K254" s="4">
        <f t="shared" si="145"/>
        <v>16796</v>
      </c>
      <c r="L254" s="4">
        <v>16796</v>
      </c>
      <c r="N254" s="4">
        <f t="shared" si="146"/>
        <v>-21394</v>
      </c>
      <c r="P254" s="3"/>
      <c r="Q254" s="3"/>
      <c r="R254" s="3"/>
      <c r="S254" s="3">
        <f t="shared" si="147"/>
        <v>0</v>
      </c>
      <c r="T254" s="3"/>
      <c r="U254" s="3">
        <f t="shared" si="148"/>
        <v>0</v>
      </c>
      <c r="V254" s="3">
        <v>30990</v>
      </c>
      <c r="W254" s="3">
        <f t="shared" si="149"/>
        <v>0</v>
      </c>
      <c r="X254" s="3"/>
      <c r="Y254" s="3">
        <v>30990</v>
      </c>
      <c r="Z254" s="3">
        <f t="shared" si="150"/>
        <v>30990</v>
      </c>
      <c r="AA254" s="3"/>
      <c r="AB254" s="3"/>
      <c r="AC254" s="3"/>
      <c r="AD254" s="3">
        <f t="shared" si="151"/>
        <v>31990</v>
      </c>
      <c r="AE254" s="3">
        <v>31990</v>
      </c>
      <c r="AF254" s="3">
        <f t="shared" si="152"/>
        <v>1000</v>
      </c>
      <c r="AG254" s="4"/>
      <c r="AH254" s="4"/>
      <c r="AJ254" s="3">
        <v>109628</v>
      </c>
      <c r="AK254" s="3">
        <f t="shared" si="153"/>
        <v>0</v>
      </c>
      <c r="AL254" s="3">
        <v>109628</v>
      </c>
      <c r="AM254" s="3">
        <f t="shared" si="154"/>
        <v>109628</v>
      </c>
      <c r="AO254" s="3"/>
      <c r="AP254" s="3"/>
      <c r="AQ254" s="3"/>
      <c r="AR254" s="3"/>
      <c r="AS254" s="3"/>
      <c r="AT254" s="3"/>
      <c r="AU254" s="3"/>
      <c r="AV254" s="42"/>
      <c r="AW254" s="3"/>
      <c r="AX254" s="42"/>
      <c r="AY254" s="3"/>
      <c r="AZ254" s="42"/>
      <c r="BA254" s="3"/>
      <c r="BB254" s="42"/>
      <c r="BC254" s="3"/>
      <c r="BE254" s="3"/>
    </row>
    <row r="255" spans="1:57" x14ac:dyDescent="0.25">
      <c r="A255" s="3" t="s">
        <v>207</v>
      </c>
      <c r="B255" s="3"/>
      <c r="D255" s="3"/>
      <c r="E255" s="3">
        <f t="shared" si="143"/>
        <v>0</v>
      </c>
      <c r="F255" s="3"/>
      <c r="H255" s="5">
        <f t="shared" si="144"/>
        <v>0</v>
      </c>
      <c r="K255" s="4">
        <f t="shared" si="145"/>
        <v>0</v>
      </c>
      <c r="L255" s="4"/>
      <c r="N255" s="4">
        <f t="shared" si="146"/>
        <v>0</v>
      </c>
      <c r="P255" s="3"/>
      <c r="Q255" s="3"/>
      <c r="R255" s="3"/>
      <c r="S255" s="3">
        <f t="shared" si="147"/>
        <v>0</v>
      </c>
      <c r="T255" s="3"/>
      <c r="U255" s="3">
        <f t="shared" si="148"/>
        <v>0</v>
      </c>
      <c r="V255" s="3"/>
      <c r="W255" s="3">
        <f t="shared" si="149"/>
        <v>0</v>
      </c>
      <c r="X255" s="3"/>
      <c r="Y255" s="3"/>
      <c r="Z255" s="3">
        <f t="shared" si="150"/>
        <v>0</v>
      </c>
      <c r="AA255" s="3"/>
      <c r="AB255" s="3"/>
      <c r="AC255" s="3"/>
      <c r="AD255" s="3">
        <f t="shared" si="151"/>
        <v>0</v>
      </c>
      <c r="AE255" s="3"/>
      <c r="AF255" s="3">
        <f t="shared" si="152"/>
        <v>0</v>
      </c>
      <c r="AG255" s="4"/>
      <c r="AH255" s="4"/>
      <c r="AJ255" s="3"/>
      <c r="AK255" s="3">
        <f t="shared" si="153"/>
        <v>0</v>
      </c>
      <c r="AL255" s="3"/>
      <c r="AM255" s="3">
        <f t="shared" si="154"/>
        <v>0</v>
      </c>
      <c r="AO255" s="3"/>
      <c r="AP255" s="3"/>
      <c r="AQ255" s="3"/>
      <c r="AR255" s="3"/>
      <c r="AS255" s="3"/>
      <c r="AT255" s="3"/>
      <c r="AU255" s="3"/>
      <c r="AV255" s="42"/>
      <c r="AW255" s="3"/>
      <c r="AX255" s="42"/>
      <c r="AY255" s="3"/>
      <c r="AZ255" s="42"/>
      <c r="BA255" s="3"/>
      <c r="BB255" s="42"/>
      <c r="BC255" s="3"/>
      <c r="BE255" s="3"/>
    </row>
    <row r="256" spans="1:57" x14ac:dyDescent="0.25">
      <c r="A256" s="3" t="s">
        <v>208</v>
      </c>
      <c r="B256" s="3"/>
      <c r="D256" s="3"/>
      <c r="E256" s="3">
        <f t="shared" si="143"/>
        <v>0</v>
      </c>
      <c r="F256" s="3"/>
      <c r="H256" s="5">
        <f t="shared" si="144"/>
        <v>0</v>
      </c>
      <c r="K256" s="4">
        <f t="shared" si="145"/>
        <v>0</v>
      </c>
      <c r="L256" s="4"/>
      <c r="N256" s="4">
        <f t="shared" si="146"/>
        <v>0</v>
      </c>
      <c r="P256" s="3"/>
      <c r="Q256" s="3"/>
      <c r="R256" s="3"/>
      <c r="S256" s="3">
        <f t="shared" si="147"/>
        <v>0</v>
      </c>
      <c r="T256" s="3"/>
      <c r="U256" s="3">
        <f t="shared" si="148"/>
        <v>0</v>
      </c>
      <c r="V256" s="3"/>
      <c r="W256" s="3">
        <f t="shared" si="149"/>
        <v>0</v>
      </c>
      <c r="X256" s="3"/>
      <c r="Y256" s="3"/>
      <c r="Z256" s="3">
        <f t="shared" si="150"/>
        <v>0</v>
      </c>
      <c r="AA256" s="3"/>
      <c r="AB256" s="3"/>
      <c r="AC256" s="3"/>
      <c r="AD256" s="3">
        <f t="shared" si="151"/>
        <v>0</v>
      </c>
      <c r="AE256" s="3"/>
      <c r="AF256" s="3">
        <f t="shared" si="152"/>
        <v>0</v>
      </c>
      <c r="AG256" s="4"/>
      <c r="AH256" s="4"/>
      <c r="AJ256" s="3"/>
      <c r="AK256" s="3">
        <f t="shared" si="153"/>
        <v>0</v>
      </c>
      <c r="AL256" s="3"/>
      <c r="AM256" s="3">
        <f t="shared" si="154"/>
        <v>0</v>
      </c>
      <c r="AO256" s="3"/>
      <c r="AP256" s="3"/>
      <c r="AQ256" s="3"/>
      <c r="AR256" s="3"/>
      <c r="AS256" s="3"/>
      <c r="AT256" s="3"/>
      <c r="AU256" s="3"/>
      <c r="AV256" s="42"/>
      <c r="AW256" s="3"/>
      <c r="AX256" s="42"/>
      <c r="AY256" s="3"/>
      <c r="AZ256" s="42"/>
      <c r="BA256" s="3"/>
      <c r="BB256" s="42"/>
      <c r="BC256" s="3"/>
      <c r="BE256" s="3"/>
    </row>
    <row r="257" spans="1:57" x14ac:dyDescent="0.25">
      <c r="A257" s="3" t="s">
        <v>209</v>
      </c>
      <c r="B257" s="3"/>
      <c r="D257" s="3"/>
      <c r="E257" s="3">
        <f t="shared" si="143"/>
        <v>0</v>
      </c>
      <c r="F257" s="3"/>
      <c r="H257" s="5">
        <f t="shared" si="144"/>
        <v>0</v>
      </c>
      <c r="K257" s="4">
        <f t="shared" si="145"/>
        <v>0</v>
      </c>
      <c r="L257" s="4"/>
      <c r="N257" s="4">
        <f t="shared" si="146"/>
        <v>0</v>
      </c>
      <c r="P257" s="3"/>
      <c r="Q257" s="3"/>
      <c r="R257" s="3"/>
      <c r="S257" s="3">
        <f t="shared" si="147"/>
        <v>0</v>
      </c>
      <c r="T257" s="3"/>
      <c r="U257" s="3">
        <f t="shared" si="148"/>
        <v>0</v>
      </c>
      <c r="V257" s="3"/>
      <c r="W257" s="3">
        <f t="shared" si="149"/>
        <v>0</v>
      </c>
      <c r="X257" s="3"/>
      <c r="Y257" s="3"/>
      <c r="Z257" s="3">
        <f t="shared" si="150"/>
        <v>0</v>
      </c>
      <c r="AA257" s="3"/>
      <c r="AB257" s="3"/>
      <c r="AC257" s="3"/>
      <c r="AD257" s="3">
        <f t="shared" si="151"/>
        <v>0</v>
      </c>
      <c r="AE257" s="3"/>
      <c r="AF257" s="3">
        <f t="shared" si="152"/>
        <v>0</v>
      </c>
      <c r="AG257" s="4"/>
      <c r="AH257" s="4"/>
      <c r="AJ257" s="3"/>
      <c r="AK257" s="3">
        <f t="shared" si="153"/>
        <v>0</v>
      </c>
      <c r="AL257" s="3"/>
      <c r="AM257" s="3">
        <f t="shared" si="154"/>
        <v>0</v>
      </c>
      <c r="AO257" s="3"/>
      <c r="AP257" s="3"/>
      <c r="AQ257" s="3"/>
      <c r="AR257" s="3"/>
      <c r="AS257" s="3"/>
      <c r="AT257" s="3"/>
      <c r="AU257" s="3"/>
      <c r="AV257" s="42"/>
      <c r="AW257" s="3"/>
      <c r="AX257" s="42"/>
      <c r="AY257" s="3"/>
      <c r="AZ257" s="42"/>
      <c r="BA257" s="3"/>
      <c r="BB257" s="42"/>
      <c r="BC257" s="3"/>
      <c r="BE257" s="3"/>
    </row>
    <row r="258" spans="1:57" x14ac:dyDescent="0.25">
      <c r="A258" s="3" t="s">
        <v>210</v>
      </c>
      <c r="B258" s="3"/>
      <c r="D258" s="3"/>
      <c r="E258" s="3">
        <f t="shared" si="143"/>
        <v>66440</v>
      </c>
      <c r="F258" s="3">
        <v>66440</v>
      </c>
      <c r="H258" s="5">
        <f t="shared" si="144"/>
        <v>66440</v>
      </c>
      <c r="K258" s="4">
        <f t="shared" si="145"/>
        <v>64719</v>
      </c>
      <c r="L258" s="4">
        <v>64719</v>
      </c>
      <c r="N258" s="4">
        <f t="shared" si="146"/>
        <v>-1721</v>
      </c>
      <c r="P258" s="3"/>
      <c r="Q258" s="3"/>
      <c r="R258" s="3"/>
      <c r="S258" s="3">
        <f t="shared" si="147"/>
        <v>0</v>
      </c>
      <c r="T258" s="3"/>
      <c r="U258" s="3">
        <f t="shared" si="148"/>
        <v>0</v>
      </c>
      <c r="V258" s="3"/>
      <c r="W258" s="3">
        <f t="shared" si="149"/>
        <v>0</v>
      </c>
      <c r="X258" s="3"/>
      <c r="Y258" s="3"/>
      <c r="Z258" s="3">
        <f t="shared" si="150"/>
        <v>0</v>
      </c>
      <c r="AA258" s="3"/>
      <c r="AB258" s="3"/>
      <c r="AC258" s="3"/>
      <c r="AD258" s="3">
        <f t="shared" si="151"/>
        <v>0</v>
      </c>
      <c r="AE258" s="3"/>
      <c r="AF258" s="3">
        <f t="shared" si="152"/>
        <v>0</v>
      </c>
      <c r="AG258" s="4"/>
      <c r="AH258" s="4"/>
      <c r="AJ258" s="3"/>
      <c r="AK258" s="3">
        <f t="shared" si="153"/>
        <v>0</v>
      </c>
      <c r="AL258" s="3"/>
      <c r="AM258" s="3">
        <f t="shared" si="154"/>
        <v>0</v>
      </c>
      <c r="AO258" s="3"/>
      <c r="AP258" s="3"/>
      <c r="AQ258" s="3"/>
      <c r="AR258" s="3"/>
      <c r="AS258" s="3"/>
      <c r="AT258" s="3"/>
      <c r="AU258" s="3"/>
      <c r="AV258" s="42"/>
      <c r="AW258" s="3"/>
      <c r="AX258" s="42"/>
      <c r="AY258" s="3"/>
      <c r="AZ258" s="42"/>
      <c r="BA258" s="3"/>
      <c r="BB258" s="42"/>
      <c r="BC258" s="3"/>
      <c r="BE258" s="3"/>
    </row>
    <row r="259" spans="1:57" x14ac:dyDescent="0.25">
      <c r="A259" s="3" t="s">
        <v>211</v>
      </c>
      <c r="B259" s="3"/>
      <c r="D259" s="3"/>
      <c r="E259" s="3">
        <f t="shared" si="143"/>
        <v>0</v>
      </c>
      <c r="F259" s="3"/>
      <c r="H259" s="5">
        <f t="shared" si="144"/>
        <v>0</v>
      </c>
      <c r="K259" s="4">
        <f t="shared" si="145"/>
        <v>65000</v>
      </c>
      <c r="L259" s="4">
        <v>65000</v>
      </c>
      <c r="N259" s="4">
        <f t="shared" si="146"/>
        <v>65000</v>
      </c>
      <c r="P259" s="4"/>
      <c r="Q259" s="4"/>
      <c r="R259" s="4"/>
      <c r="S259" s="3">
        <f t="shared" si="147"/>
        <v>0</v>
      </c>
      <c r="T259" s="3"/>
      <c r="U259" s="3">
        <f t="shared" si="148"/>
        <v>0</v>
      </c>
      <c r="V259" s="4"/>
      <c r="W259" s="3">
        <f t="shared" si="149"/>
        <v>0</v>
      </c>
      <c r="X259" s="3"/>
      <c r="Y259" s="4"/>
      <c r="Z259" s="3">
        <f t="shared" si="150"/>
        <v>0</v>
      </c>
      <c r="AA259" s="4"/>
      <c r="AB259" s="4"/>
      <c r="AC259" s="4"/>
      <c r="AD259" s="3">
        <f t="shared" si="151"/>
        <v>0</v>
      </c>
      <c r="AE259" s="3"/>
      <c r="AF259" s="3">
        <f t="shared" si="152"/>
        <v>0</v>
      </c>
      <c r="AG259" s="4"/>
      <c r="AH259" s="4"/>
      <c r="AJ259" s="4"/>
      <c r="AK259" s="3">
        <f t="shared" si="153"/>
        <v>0</v>
      </c>
      <c r="AL259" s="4"/>
      <c r="AM259" s="3">
        <f t="shared" si="154"/>
        <v>0</v>
      </c>
      <c r="AO259" s="4"/>
      <c r="AP259" s="4"/>
      <c r="AQ259" s="4"/>
      <c r="AR259" s="4"/>
      <c r="AS259" s="4"/>
      <c r="AT259" s="4"/>
      <c r="AU259" s="4"/>
      <c r="AV259" s="51"/>
      <c r="AW259" s="4"/>
      <c r="AX259" s="51"/>
      <c r="AY259" s="4"/>
      <c r="AZ259" s="51"/>
      <c r="BA259" s="4"/>
      <c r="BB259" s="51"/>
      <c r="BC259" s="4"/>
      <c r="BE259" s="4"/>
    </row>
    <row r="260" spans="1:57" x14ac:dyDescent="0.25">
      <c r="A260" s="3" t="s">
        <v>212</v>
      </c>
      <c r="B260" s="3">
        <v>80000</v>
      </c>
      <c r="D260" s="3"/>
      <c r="E260" s="3">
        <f t="shared" si="143"/>
        <v>65000</v>
      </c>
      <c r="F260" s="3">
        <v>65000</v>
      </c>
      <c r="H260" s="5">
        <f t="shared" si="144"/>
        <v>-15000</v>
      </c>
      <c r="K260" s="4">
        <f t="shared" si="145"/>
        <v>65000</v>
      </c>
      <c r="L260" s="4">
        <v>65000</v>
      </c>
      <c r="N260" s="4">
        <f t="shared" si="146"/>
        <v>0</v>
      </c>
      <c r="P260" s="4">
        <v>67350</v>
      </c>
      <c r="Q260" s="4"/>
      <c r="R260" s="4">
        <v>0</v>
      </c>
      <c r="S260" s="3">
        <f t="shared" si="147"/>
        <v>67350</v>
      </c>
      <c r="T260" s="3">
        <v>67350</v>
      </c>
      <c r="U260" s="3">
        <f t="shared" si="148"/>
        <v>0</v>
      </c>
      <c r="V260" s="4">
        <v>0</v>
      </c>
      <c r="W260" s="3">
        <f t="shared" si="149"/>
        <v>67350</v>
      </c>
      <c r="X260" s="3"/>
      <c r="Y260" s="4">
        <v>67350</v>
      </c>
      <c r="Z260" s="3">
        <f t="shared" si="150"/>
        <v>0</v>
      </c>
      <c r="AA260" s="4"/>
      <c r="AB260" s="4"/>
      <c r="AC260" s="4"/>
      <c r="AD260" s="3">
        <f t="shared" si="151"/>
        <v>67350</v>
      </c>
      <c r="AE260" s="3">
        <v>67350</v>
      </c>
      <c r="AF260" s="3">
        <f t="shared" si="152"/>
        <v>0</v>
      </c>
      <c r="AG260" s="4"/>
      <c r="AH260" s="4">
        <v>69050</v>
      </c>
      <c r="AJ260" s="4"/>
      <c r="AK260" s="3">
        <f t="shared" si="153"/>
        <v>69050</v>
      </c>
      <c r="AL260" s="4">
        <v>69050</v>
      </c>
      <c r="AM260" s="3">
        <f t="shared" si="154"/>
        <v>0</v>
      </c>
      <c r="AO260" s="4">
        <v>70800</v>
      </c>
      <c r="AP260" s="4"/>
      <c r="AQ260" s="4">
        <v>72550</v>
      </c>
      <c r="AR260" s="4"/>
      <c r="AS260" s="4">
        <v>74350</v>
      </c>
      <c r="AT260" s="4"/>
      <c r="AU260" s="4">
        <v>76200</v>
      </c>
      <c r="AV260" s="51"/>
      <c r="AW260" s="4">
        <v>78100</v>
      </c>
      <c r="AX260" s="51"/>
      <c r="AY260" s="4">
        <v>80100</v>
      </c>
      <c r="AZ260" s="51"/>
      <c r="BA260" s="4">
        <v>82100</v>
      </c>
      <c r="BB260" s="51"/>
      <c r="BC260" s="4">
        <v>84100</v>
      </c>
      <c r="BE260" s="4">
        <v>84100</v>
      </c>
    </row>
    <row r="261" spans="1:57" x14ac:dyDescent="0.25">
      <c r="A261" s="3" t="s">
        <v>213</v>
      </c>
      <c r="B261" s="3"/>
      <c r="D261" s="3"/>
      <c r="E261" s="3">
        <f t="shared" si="143"/>
        <v>0</v>
      </c>
      <c r="F261" s="3"/>
      <c r="H261" s="5">
        <f t="shared" si="144"/>
        <v>0</v>
      </c>
      <c r="K261" s="4">
        <f t="shared" si="145"/>
        <v>0</v>
      </c>
      <c r="L261" s="4"/>
      <c r="N261" s="4">
        <f t="shared" si="146"/>
        <v>0</v>
      </c>
      <c r="P261" s="3"/>
      <c r="Q261" s="3"/>
      <c r="R261" s="3"/>
      <c r="S261" s="3">
        <f t="shared" si="147"/>
        <v>0</v>
      </c>
      <c r="T261" s="3"/>
      <c r="U261" s="3">
        <f t="shared" si="148"/>
        <v>0</v>
      </c>
      <c r="V261" s="3"/>
      <c r="W261" s="3">
        <f t="shared" si="149"/>
        <v>0</v>
      </c>
      <c r="X261" s="3"/>
      <c r="Y261" s="3"/>
      <c r="Z261" s="3">
        <f t="shared" si="150"/>
        <v>0</v>
      </c>
      <c r="AA261" s="3"/>
      <c r="AB261" s="3"/>
      <c r="AC261" s="3"/>
      <c r="AD261" s="3">
        <f t="shared" si="151"/>
        <v>0</v>
      </c>
      <c r="AE261" s="3"/>
      <c r="AF261" s="3">
        <f t="shared" si="152"/>
        <v>0</v>
      </c>
      <c r="AG261" s="4"/>
      <c r="AH261" s="4"/>
      <c r="AJ261" s="3"/>
      <c r="AK261" s="3">
        <f t="shared" si="153"/>
        <v>0</v>
      </c>
      <c r="AL261" s="3"/>
      <c r="AM261" s="3">
        <f t="shared" si="154"/>
        <v>0</v>
      </c>
      <c r="AO261" s="3"/>
      <c r="AP261" s="3"/>
      <c r="AQ261" s="3"/>
      <c r="AR261" s="3"/>
      <c r="AS261" s="3"/>
      <c r="AT261" s="3"/>
      <c r="AU261" s="3"/>
      <c r="AV261" s="42"/>
      <c r="AW261" s="3"/>
      <c r="AX261" s="42"/>
      <c r="AY261" s="3"/>
      <c r="AZ261" s="42"/>
      <c r="BA261" s="3"/>
      <c r="BB261" s="42"/>
      <c r="BC261" s="3"/>
      <c r="BE261" s="3"/>
    </row>
    <row r="262" spans="1:57" x14ac:dyDescent="0.25">
      <c r="A262" s="3" t="s">
        <v>203</v>
      </c>
      <c r="B262" s="3"/>
      <c r="D262" s="3"/>
      <c r="E262" s="3">
        <f t="shared" si="143"/>
        <v>0</v>
      </c>
      <c r="F262" s="3"/>
      <c r="H262" s="5">
        <f t="shared" si="144"/>
        <v>0</v>
      </c>
      <c r="K262" s="4">
        <f t="shared" si="145"/>
        <v>0</v>
      </c>
      <c r="L262" s="4"/>
      <c r="N262" s="4">
        <f t="shared" si="146"/>
        <v>0</v>
      </c>
      <c r="P262" s="3"/>
      <c r="Q262" s="3"/>
      <c r="R262" s="3"/>
      <c r="S262" s="3">
        <f t="shared" si="147"/>
        <v>0</v>
      </c>
      <c r="T262" s="3"/>
      <c r="U262" s="3">
        <f t="shared" si="148"/>
        <v>0</v>
      </c>
      <c r="V262" s="3"/>
      <c r="W262" s="3">
        <f t="shared" si="149"/>
        <v>0</v>
      </c>
      <c r="X262" s="3"/>
      <c r="Y262" s="3"/>
      <c r="Z262" s="3">
        <f t="shared" si="150"/>
        <v>0</v>
      </c>
      <c r="AA262" s="3"/>
      <c r="AB262" s="3"/>
      <c r="AC262" s="3"/>
      <c r="AD262" s="3">
        <f t="shared" si="151"/>
        <v>0</v>
      </c>
      <c r="AE262" s="3"/>
      <c r="AF262" s="3">
        <f t="shared" si="152"/>
        <v>0</v>
      </c>
      <c r="AG262" s="4"/>
      <c r="AH262" s="4"/>
      <c r="AJ262" s="3"/>
      <c r="AK262" s="3">
        <f t="shared" si="153"/>
        <v>0</v>
      </c>
      <c r="AL262" s="3"/>
      <c r="AM262" s="3">
        <f t="shared" si="154"/>
        <v>0</v>
      </c>
      <c r="AO262" s="3"/>
      <c r="AP262" s="3"/>
      <c r="AQ262" s="3"/>
      <c r="AR262" s="3"/>
      <c r="AS262" s="3"/>
      <c r="AT262" s="3"/>
      <c r="AU262" s="3"/>
      <c r="AV262" s="42"/>
      <c r="AW262" s="3"/>
      <c r="AX262" s="42"/>
      <c r="AY262" s="3"/>
      <c r="AZ262" s="42"/>
      <c r="BA262" s="3"/>
      <c r="BB262" s="42"/>
      <c r="BC262" s="3"/>
      <c r="BE262" s="3"/>
    </row>
    <row r="263" spans="1:57" x14ac:dyDescent="0.25">
      <c r="A263" s="3" t="s">
        <v>214</v>
      </c>
      <c r="B263" s="3"/>
      <c r="D263" s="3"/>
      <c r="E263" s="3">
        <f t="shared" si="143"/>
        <v>0</v>
      </c>
      <c r="F263" s="3"/>
      <c r="H263" s="5">
        <f t="shared" si="144"/>
        <v>0</v>
      </c>
      <c r="K263" s="4">
        <f t="shared" si="145"/>
        <v>0</v>
      </c>
      <c r="L263" s="4"/>
      <c r="N263" s="4">
        <f t="shared" si="146"/>
        <v>0</v>
      </c>
      <c r="P263" s="3">
        <v>7000</v>
      </c>
      <c r="Q263" s="3"/>
      <c r="R263" s="3"/>
      <c r="S263" s="3">
        <f t="shared" si="147"/>
        <v>7000</v>
      </c>
      <c r="T263" s="3">
        <v>7000</v>
      </c>
      <c r="U263" s="3">
        <f t="shared" si="148"/>
        <v>0</v>
      </c>
      <c r="V263" s="3"/>
      <c r="W263" s="3">
        <f t="shared" si="149"/>
        <v>7000</v>
      </c>
      <c r="X263" s="3"/>
      <c r="Y263" s="3">
        <v>7000</v>
      </c>
      <c r="Z263" s="3">
        <f t="shared" si="150"/>
        <v>0</v>
      </c>
      <c r="AA263" s="3"/>
      <c r="AB263" s="3"/>
      <c r="AC263" s="3">
        <v>0</v>
      </c>
      <c r="AD263" s="3">
        <f t="shared" si="151"/>
        <v>7000</v>
      </c>
      <c r="AE263" s="3">
        <v>7000</v>
      </c>
      <c r="AF263" s="3">
        <f t="shared" si="152"/>
        <v>0</v>
      </c>
      <c r="AG263" s="4"/>
      <c r="AH263" s="4">
        <v>7000</v>
      </c>
      <c r="AJ263" s="3"/>
      <c r="AK263" s="3">
        <f t="shared" si="153"/>
        <v>7000</v>
      </c>
      <c r="AL263" s="3">
        <v>7000</v>
      </c>
      <c r="AM263" s="3">
        <f t="shared" si="154"/>
        <v>0</v>
      </c>
      <c r="AO263" s="3">
        <v>7000</v>
      </c>
      <c r="AP263" s="3"/>
      <c r="AQ263" s="3">
        <v>7000</v>
      </c>
      <c r="AR263" s="3"/>
      <c r="AS263" s="3">
        <v>8000</v>
      </c>
      <c r="AT263" s="3"/>
      <c r="AU263" s="3">
        <v>8000</v>
      </c>
      <c r="AV263" s="42"/>
      <c r="AW263" s="3">
        <v>8000</v>
      </c>
      <c r="AX263" s="42"/>
      <c r="AY263" s="3">
        <v>8000</v>
      </c>
      <c r="AZ263" s="42"/>
      <c r="BA263" s="3">
        <v>8000</v>
      </c>
      <c r="BB263" s="42"/>
      <c r="BC263" s="3">
        <v>10000</v>
      </c>
      <c r="BE263" s="3">
        <v>10000</v>
      </c>
    </row>
    <row r="264" spans="1:57" x14ac:dyDescent="0.25">
      <c r="A264" s="3" t="s">
        <v>215</v>
      </c>
      <c r="B264" s="3"/>
      <c r="D264" s="3"/>
      <c r="E264" s="3">
        <f t="shared" si="143"/>
        <v>0</v>
      </c>
      <c r="F264" s="3"/>
      <c r="H264" s="5">
        <f t="shared" si="144"/>
        <v>0</v>
      </c>
      <c r="K264" s="4">
        <f t="shared" si="145"/>
        <v>0</v>
      </c>
      <c r="L264" s="4"/>
      <c r="N264" s="4">
        <f t="shared" si="146"/>
        <v>0</v>
      </c>
      <c r="P264" s="3"/>
      <c r="Q264" s="3"/>
      <c r="R264" s="3"/>
      <c r="S264" s="3">
        <f t="shared" si="147"/>
        <v>0</v>
      </c>
      <c r="T264" s="3"/>
      <c r="U264" s="3">
        <f t="shared" si="148"/>
        <v>0</v>
      </c>
      <c r="V264" s="3"/>
      <c r="W264" s="3">
        <f t="shared" si="149"/>
        <v>0</v>
      </c>
      <c r="X264" s="3"/>
      <c r="Y264" s="3"/>
      <c r="Z264" s="3">
        <f t="shared" si="150"/>
        <v>0</v>
      </c>
      <c r="AA264" s="3"/>
      <c r="AB264" s="3"/>
      <c r="AC264" s="3"/>
      <c r="AD264" s="3">
        <f t="shared" si="151"/>
        <v>0</v>
      </c>
      <c r="AE264" s="3"/>
      <c r="AF264" s="3">
        <f t="shared" si="152"/>
        <v>0</v>
      </c>
      <c r="AG264" s="4"/>
      <c r="AH264" s="4"/>
      <c r="AJ264" s="3"/>
      <c r="AK264" s="3">
        <f t="shared" si="153"/>
        <v>0</v>
      </c>
      <c r="AL264" s="3"/>
      <c r="AM264" s="3">
        <f t="shared" si="154"/>
        <v>0</v>
      </c>
      <c r="AO264" s="3"/>
      <c r="AP264" s="3"/>
      <c r="AQ264" s="3"/>
      <c r="AR264" s="3"/>
      <c r="AS264" s="3"/>
      <c r="AT264" s="3"/>
      <c r="AU264" s="3"/>
      <c r="AV264" s="42"/>
      <c r="AW264" s="3"/>
      <c r="AX264" s="42"/>
      <c r="AY264" s="3"/>
      <c r="AZ264" s="42"/>
      <c r="BA264" s="3"/>
      <c r="BB264" s="42"/>
      <c r="BC264" s="3"/>
      <c r="BE264" s="3"/>
    </row>
    <row r="265" spans="1:57" x14ac:dyDescent="0.25">
      <c r="A265" s="3" t="s">
        <v>216</v>
      </c>
      <c r="B265" s="3"/>
      <c r="D265" s="3"/>
      <c r="E265" s="3"/>
      <c r="F265" s="3"/>
      <c r="K265" s="4"/>
      <c r="L265" s="4"/>
      <c r="N265" s="4"/>
      <c r="P265" s="3"/>
      <c r="Q265" s="3"/>
      <c r="R265" s="3"/>
      <c r="S265" s="3"/>
      <c r="T265" s="3"/>
      <c r="U265" s="3">
        <v>0</v>
      </c>
      <c r="V265" s="3">
        <v>0</v>
      </c>
      <c r="W265" s="3">
        <f t="shared" si="149"/>
        <v>31150</v>
      </c>
      <c r="X265" s="3"/>
      <c r="Y265" s="3">
        <v>31150</v>
      </c>
      <c r="Z265" s="3">
        <f t="shared" si="150"/>
        <v>31150</v>
      </c>
      <c r="AA265" s="3"/>
      <c r="AB265" s="3"/>
      <c r="AC265" s="3"/>
      <c r="AD265" s="3">
        <f t="shared" si="151"/>
        <v>28520</v>
      </c>
      <c r="AE265" s="3">
        <v>28520</v>
      </c>
      <c r="AF265" s="3">
        <f t="shared" si="152"/>
        <v>-2630</v>
      </c>
      <c r="AG265" s="4"/>
      <c r="AH265" s="4"/>
      <c r="AJ265" s="3"/>
      <c r="AK265" s="3">
        <f t="shared" si="153"/>
        <v>0</v>
      </c>
      <c r="AL265" s="3"/>
      <c r="AM265" s="3">
        <f t="shared" si="154"/>
        <v>0</v>
      </c>
      <c r="AO265" s="3"/>
      <c r="AP265" s="3"/>
      <c r="AQ265" s="3"/>
      <c r="AR265" s="3"/>
      <c r="AS265" s="3"/>
      <c r="AT265" s="3"/>
      <c r="AU265" s="3"/>
      <c r="AV265" s="42"/>
      <c r="AW265" s="3"/>
      <c r="AX265" s="42"/>
      <c r="AY265" s="3"/>
      <c r="AZ265" s="42"/>
      <c r="BA265" s="3"/>
      <c r="BB265" s="42"/>
      <c r="BC265" s="3"/>
      <c r="BE265" s="3"/>
    </row>
    <row r="266" spans="1:57" x14ac:dyDescent="0.25">
      <c r="A266" s="3" t="s">
        <v>217</v>
      </c>
      <c r="B266" s="3">
        <v>18000</v>
      </c>
      <c r="D266" s="3"/>
      <c r="E266" s="3">
        <f t="shared" si="143"/>
        <v>18000</v>
      </c>
      <c r="F266" s="3">
        <v>18000</v>
      </c>
      <c r="H266" s="5">
        <f t="shared" si="144"/>
        <v>0</v>
      </c>
      <c r="K266" s="4">
        <f t="shared" si="145"/>
        <v>18000</v>
      </c>
      <c r="L266" s="4">
        <v>18000</v>
      </c>
      <c r="N266" s="4">
        <f t="shared" si="146"/>
        <v>0</v>
      </c>
      <c r="P266" s="3">
        <v>39000</v>
      </c>
      <c r="Q266" s="3"/>
      <c r="R266" s="3"/>
      <c r="S266" s="3">
        <f t="shared" si="147"/>
        <v>39000</v>
      </c>
      <c r="T266" s="3">
        <v>39000</v>
      </c>
      <c r="U266" s="3">
        <f t="shared" si="148"/>
        <v>0</v>
      </c>
      <c r="V266" s="3">
        <v>16571</v>
      </c>
      <c r="W266" s="3">
        <f t="shared" si="149"/>
        <v>22429</v>
      </c>
      <c r="X266" s="3"/>
      <c r="Y266" s="3">
        <v>39000</v>
      </c>
      <c r="Z266" s="3">
        <f t="shared" si="150"/>
        <v>0</v>
      </c>
      <c r="AA266" s="3"/>
      <c r="AB266" s="3"/>
      <c r="AC266" s="3">
        <v>16571</v>
      </c>
      <c r="AD266" s="3">
        <f t="shared" si="151"/>
        <v>22429</v>
      </c>
      <c r="AE266" s="3">
        <v>39000</v>
      </c>
      <c r="AF266" s="3">
        <f t="shared" si="152"/>
        <v>0</v>
      </c>
      <c r="AG266" s="4"/>
      <c r="AH266" s="4">
        <v>29000</v>
      </c>
      <c r="AJ266" s="3"/>
      <c r="AK266" s="3">
        <f t="shared" si="153"/>
        <v>29000</v>
      </c>
      <c r="AL266" s="3">
        <v>29000</v>
      </c>
      <c r="AM266" s="3">
        <f t="shared" si="154"/>
        <v>0</v>
      </c>
      <c r="AO266" s="3">
        <v>23000</v>
      </c>
      <c r="AP266" s="3"/>
      <c r="AQ266" s="3">
        <v>66000</v>
      </c>
      <c r="AR266" s="3"/>
      <c r="AS266" s="3">
        <v>22500</v>
      </c>
      <c r="AT266" s="3"/>
      <c r="AU266" s="3">
        <v>36000</v>
      </c>
      <c r="AV266" s="42"/>
      <c r="AW266" s="3">
        <v>65500</v>
      </c>
      <c r="AX266" s="42"/>
      <c r="AY266" s="3">
        <v>18000</v>
      </c>
      <c r="AZ266" s="42"/>
      <c r="BA266" s="3">
        <v>29500</v>
      </c>
      <c r="BB266" s="42"/>
      <c r="BC266" s="3">
        <v>12500</v>
      </c>
      <c r="BE266" s="3">
        <v>12500</v>
      </c>
    </row>
    <row r="267" spans="1:57" x14ac:dyDescent="0.25">
      <c r="A267" s="3" t="s">
        <v>216</v>
      </c>
      <c r="AK267" s="3">
        <f t="shared" si="153"/>
        <v>0</v>
      </c>
      <c r="AM267" s="3">
        <f t="shared" si="154"/>
        <v>0</v>
      </c>
    </row>
    <row r="268" spans="1:57" x14ac:dyDescent="0.25">
      <c r="A268" s="3"/>
      <c r="B268" s="48">
        <f>SUM(B253:B267)</f>
        <v>481000</v>
      </c>
      <c r="C268" s="32"/>
      <c r="D268" s="48">
        <f>SUM(D253:D267)</f>
        <v>0</v>
      </c>
      <c r="E268" s="48">
        <f>SUM(E253:E267)</f>
        <v>458000</v>
      </c>
      <c r="F268" s="48">
        <f>SUM(F253:F267)</f>
        <v>458000</v>
      </c>
      <c r="G268" s="32"/>
      <c r="H268" s="48">
        <f>SUM(H253:H267)</f>
        <v>-23000</v>
      </c>
      <c r="I268" s="36"/>
      <c r="J268" s="48">
        <f>SUM(J253:J267)</f>
        <v>187500</v>
      </c>
      <c r="K268" s="48">
        <f>SUM(K253:K267)</f>
        <v>287296</v>
      </c>
      <c r="L268" s="48">
        <f>SUM(L253:L267)</f>
        <v>474796</v>
      </c>
      <c r="M268" s="32"/>
      <c r="N268" s="48">
        <f>SUM(N253:N267)</f>
        <v>16796</v>
      </c>
      <c r="P268" s="48">
        <f>SUM(P253:P267)</f>
        <v>497700</v>
      </c>
      <c r="R268" s="48">
        <f t="shared" ref="R268:Z268" si="155">SUM(R253:R267)</f>
        <v>0</v>
      </c>
      <c r="S268" s="48">
        <f t="shared" si="155"/>
        <v>497700</v>
      </c>
      <c r="T268" s="48">
        <f t="shared" si="155"/>
        <v>497700</v>
      </c>
      <c r="U268" s="48">
        <f t="shared" si="155"/>
        <v>0</v>
      </c>
      <c r="V268" s="48">
        <f t="shared" si="155"/>
        <v>69598</v>
      </c>
      <c r="W268" s="48">
        <f t="shared" si="155"/>
        <v>500892</v>
      </c>
      <c r="X268" s="48"/>
      <c r="Y268" s="48">
        <f t="shared" si="155"/>
        <v>570490</v>
      </c>
      <c r="Z268" s="48">
        <f t="shared" si="155"/>
        <v>72790</v>
      </c>
      <c r="AC268" s="48">
        <f>SUM(AC253:AC267)</f>
        <v>221704</v>
      </c>
      <c r="AD268" s="48">
        <f>SUM(AD253:AD267)</f>
        <v>347156</v>
      </c>
      <c r="AE268" s="48">
        <f>SUM(AE253:AE267)</f>
        <v>568860</v>
      </c>
      <c r="AF268" s="48">
        <f>SUM(AF253:AF267)</f>
        <v>-1630</v>
      </c>
      <c r="AH268" s="36">
        <f>SUM(AH253:AH267)</f>
        <v>499050</v>
      </c>
      <c r="AI268" s="32"/>
      <c r="AJ268" s="48">
        <f>SUM(AJ253:AJ267)</f>
        <v>109628</v>
      </c>
      <c r="AK268" s="48">
        <f>SUM(AK253:AK267)</f>
        <v>499050</v>
      </c>
      <c r="AL268" s="48">
        <f>SUM(AL253:AL267)</f>
        <v>608678</v>
      </c>
      <c r="AM268" s="48">
        <f>SUM(AM253:AM267)</f>
        <v>109628</v>
      </c>
      <c r="AN268" s="32"/>
      <c r="AO268" s="48">
        <f>SUM(AO253:AO267)</f>
        <v>504649.99999999994</v>
      </c>
      <c r="AQ268" s="48">
        <f>SUM(AQ253:AQ267)</f>
        <v>559500</v>
      </c>
      <c r="AS268" s="48">
        <f>SUM(AS253:AS267)</f>
        <v>529150</v>
      </c>
      <c r="AT268" s="48"/>
      <c r="AU268" s="48">
        <f>SUM(AU253:AU267)</f>
        <v>555100</v>
      </c>
      <c r="AW268" s="48">
        <f>SUM(AW253:AW267)</f>
        <v>597350</v>
      </c>
      <c r="AY268" s="48">
        <f>SUM(AY253:AY267)</f>
        <v>563000</v>
      </c>
      <c r="BA268" s="48">
        <f>SUM(BA253:BA267)</f>
        <v>587900</v>
      </c>
      <c r="BC268" s="48">
        <f>SUM(BC253:BC267)</f>
        <v>586650</v>
      </c>
      <c r="BE268" s="48">
        <f>SUM(BE253:BE267)</f>
        <v>586650</v>
      </c>
    </row>
    <row r="269" spans="1:57" x14ac:dyDescent="0.25">
      <c r="A269" s="7" t="s">
        <v>57</v>
      </c>
    </row>
    <row r="270" spans="1:57" x14ac:dyDescent="0.25">
      <c r="A270" s="3" t="s">
        <v>218</v>
      </c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4"/>
      <c r="AH270" s="4">
        <v>2000000</v>
      </c>
      <c r="AJ270" s="3"/>
      <c r="AK270" s="3">
        <f t="shared" ref="AK270:AK300" si="156">AL270-AJ270</f>
        <v>2000000</v>
      </c>
      <c r="AL270" s="3">
        <v>2000000</v>
      </c>
      <c r="AM270" s="3">
        <f t="shared" ref="AM270:AM300" si="157">AL270-AH270</f>
        <v>0</v>
      </c>
      <c r="AO270" s="3"/>
      <c r="AP270" s="3"/>
      <c r="AQ270" s="3"/>
      <c r="AR270" s="3"/>
      <c r="AS270" s="3"/>
      <c r="AT270" s="3"/>
      <c r="AU270" s="3"/>
      <c r="AV270" s="42"/>
      <c r="AW270" s="3"/>
      <c r="AX270" s="42"/>
      <c r="AY270" s="3"/>
      <c r="AZ270" s="42"/>
      <c r="BA270" s="3"/>
      <c r="BB270" s="42"/>
      <c r="BC270" s="3"/>
      <c r="BE270" s="3"/>
    </row>
    <row r="271" spans="1:57" x14ac:dyDescent="0.25">
      <c r="A271" s="3" t="s">
        <v>219</v>
      </c>
      <c r="B271" s="3"/>
      <c r="D271" s="3"/>
      <c r="E271" s="3">
        <f t="shared" ref="E271:E286" si="158">F271-D271</f>
        <v>0</v>
      </c>
      <c r="F271" s="3"/>
      <c r="H271" s="5">
        <f t="shared" ref="H271:H286" si="159">F271-B271</f>
        <v>0</v>
      </c>
      <c r="K271" s="4">
        <f>L271-J271</f>
        <v>0</v>
      </c>
      <c r="L271" s="32"/>
      <c r="M271" s="32"/>
      <c r="N271" s="4">
        <f>L271-F271</f>
        <v>0</v>
      </c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4"/>
      <c r="AH271" s="4"/>
      <c r="AJ271" s="3"/>
      <c r="AK271" s="3">
        <f t="shared" si="156"/>
        <v>0</v>
      </c>
      <c r="AL271" s="3"/>
      <c r="AM271" s="3">
        <f t="shared" si="157"/>
        <v>0</v>
      </c>
      <c r="AO271" s="3"/>
      <c r="AP271" s="3"/>
      <c r="AQ271" s="3"/>
      <c r="AR271" s="3"/>
      <c r="AS271" s="3"/>
      <c r="AT271" s="3"/>
      <c r="AU271" s="3"/>
      <c r="AV271" s="42"/>
      <c r="AW271" s="3"/>
      <c r="AX271" s="42"/>
      <c r="AY271" s="3"/>
      <c r="AZ271" s="42"/>
      <c r="BA271" s="3"/>
      <c r="BB271" s="42"/>
      <c r="BC271" s="3"/>
      <c r="BE271" s="3"/>
    </row>
    <row r="272" spans="1:57" x14ac:dyDescent="0.25">
      <c r="A272" s="3" t="s">
        <v>220</v>
      </c>
      <c r="B272" s="3"/>
      <c r="D272" s="3"/>
      <c r="E272" s="3">
        <f t="shared" si="158"/>
        <v>0</v>
      </c>
      <c r="F272" s="3"/>
      <c r="H272" s="5">
        <f t="shared" si="159"/>
        <v>0</v>
      </c>
      <c r="K272" s="4">
        <f>L272-J272</f>
        <v>0</v>
      </c>
      <c r="L272" s="32"/>
      <c r="M272" s="32"/>
      <c r="N272" s="4">
        <f>L272-F272</f>
        <v>0</v>
      </c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>
        <f t="shared" ref="AD272:AD300" si="160">AE272-AC272</f>
        <v>0</v>
      </c>
      <c r="AE272" s="3"/>
      <c r="AF272" s="3">
        <f t="shared" ref="AF272:AF300" si="161">AE272-Y272</f>
        <v>0</v>
      </c>
      <c r="AG272" s="4"/>
      <c r="AH272" s="4"/>
      <c r="AJ272" s="3"/>
      <c r="AK272" s="3">
        <f t="shared" si="156"/>
        <v>0</v>
      </c>
      <c r="AL272" s="3"/>
      <c r="AM272" s="3">
        <f t="shared" si="157"/>
        <v>0</v>
      </c>
      <c r="AO272" s="3"/>
      <c r="AP272" s="3"/>
      <c r="AQ272" s="3"/>
      <c r="AR272" s="3"/>
      <c r="AS272" s="3"/>
      <c r="AT272" s="3"/>
      <c r="AU272" s="3"/>
      <c r="AV272" s="42"/>
      <c r="AW272" s="3"/>
      <c r="AX272" s="42"/>
      <c r="AY272" s="3"/>
      <c r="AZ272" s="42"/>
      <c r="BA272" s="3"/>
      <c r="BB272" s="42"/>
      <c r="BC272" s="3"/>
      <c r="BE272" s="3"/>
    </row>
    <row r="273" spans="1:57" x14ac:dyDescent="0.25">
      <c r="A273" s="3" t="s">
        <v>221</v>
      </c>
      <c r="B273" s="3"/>
      <c r="D273" s="3"/>
      <c r="E273" s="3"/>
      <c r="F273" s="3"/>
      <c r="K273" s="4"/>
      <c r="L273" s="32"/>
      <c r="M273" s="32"/>
      <c r="N273" s="4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>
        <f t="shared" si="160"/>
        <v>0</v>
      </c>
      <c r="AE273" s="3"/>
      <c r="AF273" s="3">
        <f t="shared" si="161"/>
        <v>0</v>
      </c>
      <c r="AG273" s="4"/>
      <c r="AH273" s="4"/>
      <c r="AJ273" s="3"/>
      <c r="AK273" s="3">
        <f t="shared" si="156"/>
        <v>0</v>
      </c>
      <c r="AL273" s="3"/>
      <c r="AM273" s="3">
        <f t="shared" si="157"/>
        <v>0</v>
      </c>
      <c r="AO273" s="3"/>
      <c r="AP273" s="3"/>
      <c r="AQ273" s="3"/>
      <c r="AR273" s="3"/>
      <c r="AS273" s="3"/>
      <c r="AT273" s="3"/>
      <c r="AU273" s="3"/>
      <c r="AV273" s="42"/>
      <c r="AW273" s="3"/>
      <c r="AX273" s="42"/>
      <c r="AY273" s="3"/>
      <c r="AZ273" s="42"/>
      <c r="BA273" s="3"/>
      <c r="BB273" s="42"/>
      <c r="BC273" s="3"/>
      <c r="BE273" s="3"/>
    </row>
    <row r="274" spans="1:57" x14ac:dyDescent="0.25">
      <c r="A274" s="3" t="s">
        <v>222</v>
      </c>
      <c r="B274" s="3">
        <v>20000</v>
      </c>
      <c r="D274" s="3"/>
      <c r="E274" s="3">
        <f t="shared" si="158"/>
        <v>20000</v>
      </c>
      <c r="F274" s="3">
        <v>20000</v>
      </c>
      <c r="H274" s="5">
        <f t="shared" si="159"/>
        <v>0</v>
      </c>
      <c r="K274" s="4">
        <f>L274-J274</f>
        <v>20000</v>
      </c>
      <c r="L274" s="4">
        <v>20000</v>
      </c>
      <c r="M274" s="32"/>
      <c r="N274" s="4">
        <f>L274-F274</f>
        <v>0</v>
      </c>
      <c r="P274" s="3">
        <v>20000</v>
      </c>
      <c r="Q274" s="3"/>
      <c r="R274" s="3">
        <v>0</v>
      </c>
      <c r="S274" s="3">
        <f t="shared" ref="S274:S300" si="162">T274-R274</f>
        <v>20000</v>
      </c>
      <c r="T274" s="3">
        <v>20000</v>
      </c>
      <c r="U274" s="3">
        <f t="shared" ref="U274:U300" si="163">T274-P274</f>
        <v>0</v>
      </c>
      <c r="V274" s="3">
        <v>0</v>
      </c>
      <c r="W274" s="3">
        <f t="shared" ref="W274:W300" si="164">Y274-V274</f>
        <v>20000</v>
      </c>
      <c r="X274" s="3"/>
      <c r="Y274" s="3">
        <v>20000</v>
      </c>
      <c r="Z274" s="3">
        <f t="shared" ref="Z274:Z300" si="165">Y274-T274</f>
        <v>0</v>
      </c>
      <c r="AA274" s="3"/>
      <c r="AB274" s="3"/>
      <c r="AC274" s="3"/>
      <c r="AD274" s="3">
        <f t="shared" si="160"/>
        <v>20000</v>
      </c>
      <c r="AE274" s="3">
        <v>20000</v>
      </c>
      <c r="AF274" s="3">
        <f t="shared" si="161"/>
        <v>0</v>
      </c>
      <c r="AG274" s="4"/>
      <c r="AH274" s="4"/>
      <c r="AJ274" s="3"/>
      <c r="AK274" s="3">
        <f t="shared" si="156"/>
        <v>0</v>
      </c>
      <c r="AL274" s="3"/>
      <c r="AM274" s="3">
        <f t="shared" si="157"/>
        <v>0</v>
      </c>
      <c r="AO274" s="3"/>
      <c r="AP274" s="3"/>
      <c r="AQ274" s="3"/>
      <c r="AR274" s="3"/>
      <c r="AS274" s="3"/>
      <c r="AT274" s="3"/>
      <c r="AU274" s="3"/>
      <c r="AV274" s="42"/>
      <c r="AW274" s="3"/>
      <c r="AX274" s="42"/>
      <c r="AY274" s="3"/>
      <c r="AZ274" s="42"/>
      <c r="BA274" s="3"/>
      <c r="BB274" s="42"/>
      <c r="BC274" s="3"/>
      <c r="BE274" s="3"/>
    </row>
    <row r="275" spans="1:57" x14ac:dyDescent="0.25">
      <c r="A275" s="3" t="s">
        <v>223</v>
      </c>
      <c r="B275" s="3"/>
      <c r="D275" s="3"/>
      <c r="E275" s="3">
        <f t="shared" si="158"/>
        <v>0</v>
      </c>
      <c r="F275" s="3"/>
      <c r="H275" s="5">
        <f t="shared" si="159"/>
        <v>0</v>
      </c>
      <c r="K275" s="4">
        <f t="shared" ref="K275:K300" si="166">L275-J275</f>
        <v>0</v>
      </c>
      <c r="L275" s="4"/>
      <c r="N275" s="4">
        <f t="shared" ref="N275:N300" si="167">L275-F275</f>
        <v>0</v>
      </c>
      <c r="P275" s="3"/>
      <c r="Q275" s="3"/>
      <c r="R275" s="3"/>
      <c r="S275" s="3">
        <f t="shared" si="162"/>
        <v>0</v>
      </c>
      <c r="T275" s="3"/>
      <c r="U275" s="3">
        <f t="shared" si="163"/>
        <v>0</v>
      </c>
      <c r="V275" s="3"/>
      <c r="W275" s="3">
        <f t="shared" si="164"/>
        <v>0</v>
      </c>
      <c r="X275" s="3"/>
      <c r="Y275" s="3"/>
      <c r="Z275" s="3">
        <f t="shared" si="165"/>
        <v>0</v>
      </c>
      <c r="AA275" s="3"/>
      <c r="AB275" s="3"/>
      <c r="AC275" s="3"/>
      <c r="AD275" s="3">
        <f t="shared" si="160"/>
        <v>0</v>
      </c>
      <c r="AE275" s="3"/>
      <c r="AF275" s="3">
        <f t="shared" si="161"/>
        <v>0</v>
      </c>
      <c r="AG275" s="4"/>
      <c r="AH275" s="4"/>
      <c r="AJ275" s="3"/>
      <c r="AK275" s="3">
        <f t="shared" si="156"/>
        <v>0</v>
      </c>
      <c r="AL275" s="3"/>
      <c r="AM275" s="3">
        <f t="shared" si="157"/>
        <v>0</v>
      </c>
      <c r="AO275" s="3"/>
      <c r="AP275" s="3"/>
      <c r="AQ275" s="3"/>
      <c r="AR275" s="3"/>
      <c r="AS275" s="3"/>
      <c r="AT275" s="3"/>
      <c r="AU275" s="3"/>
      <c r="AV275" s="42"/>
      <c r="AW275" s="3"/>
      <c r="AX275" s="42"/>
      <c r="AY275" s="3"/>
      <c r="AZ275" s="42"/>
      <c r="BA275" s="3"/>
      <c r="BB275" s="42"/>
      <c r="BC275" s="3"/>
      <c r="BE275" s="3"/>
    </row>
    <row r="276" spans="1:57" x14ac:dyDescent="0.25">
      <c r="A276" s="3" t="s">
        <v>224</v>
      </c>
      <c r="B276" s="3"/>
      <c r="D276" s="3"/>
      <c r="E276" s="3">
        <f t="shared" si="158"/>
        <v>0</v>
      </c>
      <c r="F276" s="3"/>
      <c r="H276" s="5">
        <f t="shared" si="159"/>
        <v>0</v>
      </c>
      <c r="K276" s="4">
        <f t="shared" si="166"/>
        <v>0</v>
      </c>
      <c r="L276" s="4"/>
      <c r="N276" s="4">
        <f t="shared" si="167"/>
        <v>0</v>
      </c>
      <c r="P276" s="3"/>
      <c r="Q276" s="3"/>
      <c r="R276" s="3"/>
      <c r="S276" s="3">
        <f t="shared" si="162"/>
        <v>0</v>
      </c>
      <c r="T276" s="3"/>
      <c r="U276" s="3">
        <f t="shared" si="163"/>
        <v>0</v>
      </c>
      <c r="V276" s="3"/>
      <c r="W276" s="3">
        <f t="shared" si="164"/>
        <v>0</v>
      </c>
      <c r="X276" s="3"/>
      <c r="Y276" s="3"/>
      <c r="Z276" s="3">
        <f t="shared" si="165"/>
        <v>0</v>
      </c>
      <c r="AA276" s="3"/>
      <c r="AB276" s="3"/>
      <c r="AC276" s="3"/>
      <c r="AD276" s="3">
        <f t="shared" si="160"/>
        <v>0</v>
      </c>
      <c r="AE276" s="3"/>
      <c r="AF276" s="3">
        <f t="shared" si="161"/>
        <v>0</v>
      </c>
      <c r="AG276" s="4"/>
      <c r="AH276" s="4"/>
      <c r="AJ276" s="3"/>
      <c r="AK276" s="3">
        <f t="shared" si="156"/>
        <v>0</v>
      </c>
      <c r="AL276" s="3"/>
      <c r="AM276" s="3">
        <f t="shared" si="157"/>
        <v>0</v>
      </c>
      <c r="AO276" s="3"/>
      <c r="AP276" s="3"/>
      <c r="AQ276" s="3"/>
      <c r="AR276" s="3"/>
      <c r="AS276" s="3"/>
      <c r="AT276" s="3"/>
      <c r="AU276" s="3"/>
      <c r="AV276" s="42"/>
      <c r="AW276" s="3"/>
      <c r="AX276" s="42"/>
      <c r="AY276" s="3"/>
      <c r="AZ276" s="42"/>
      <c r="BA276" s="3"/>
      <c r="BB276" s="42"/>
      <c r="BC276" s="3"/>
      <c r="BE276" s="3"/>
    </row>
    <row r="277" spans="1:57" x14ac:dyDescent="0.25">
      <c r="A277" s="3" t="s">
        <v>225</v>
      </c>
      <c r="B277" s="3"/>
      <c r="D277" s="3"/>
      <c r="E277" s="3">
        <f t="shared" si="158"/>
        <v>688502</v>
      </c>
      <c r="F277" s="3">
        <v>688502</v>
      </c>
      <c r="H277" s="5">
        <f t="shared" si="159"/>
        <v>688502</v>
      </c>
      <c r="J277" s="5">
        <v>264955</v>
      </c>
      <c r="K277" s="4">
        <f t="shared" si="166"/>
        <v>423547</v>
      </c>
      <c r="L277" s="4">
        <v>688502</v>
      </c>
      <c r="N277" s="4">
        <f t="shared" si="167"/>
        <v>0</v>
      </c>
      <c r="P277" s="3"/>
      <c r="Q277" s="3"/>
      <c r="R277" s="3"/>
      <c r="S277" s="3">
        <f t="shared" si="162"/>
        <v>0</v>
      </c>
      <c r="T277" s="3"/>
      <c r="U277" s="3">
        <f t="shared" si="163"/>
        <v>0</v>
      </c>
      <c r="V277" s="3"/>
      <c r="W277" s="3">
        <f t="shared" si="164"/>
        <v>0</v>
      </c>
      <c r="X277" s="3"/>
      <c r="Y277" s="3"/>
      <c r="Z277" s="3">
        <f t="shared" si="165"/>
        <v>0</v>
      </c>
      <c r="AA277" s="3"/>
      <c r="AB277" s="3"/>
      <c r="AC277" s="3"/>
      <c r="AD277" s="3">
        <f t="shared" si="160"/>
        <v>0</v>
      </c>
      <c r="AE277" s="3"/>
      <c r="AF277" s="3">
        <f t="shared" si="161"/>
        <v>0</v>
      </c>
      <c r="AG277" s="4"/>
      <c r="AH277" s="4"/>
      <c r="AJ277" s="3"/>
      <c r="AK277" s="3">
        <f t="shared" si="156"/>
        <v>0</v>
      </c>
      <c r="AL277" s="3"/>
      <c r="AM277" s="3">
        <f t="shared" si="157"/>
        <v>0</v>
      </c>
      <c r="AO277" s="3"/>
      <c r="AP277" s="3"/>
      <c r="AQ277" s="3"/>
      <c r="AR277" s="3"/>
      <c r="AS277" s="3"/>
      <c r="AT277" s="3"/>
      <c r="AU277" s="3"/>
      <c r="AV277" s="42"/>
      <c r="AW277" s="3"/>
      <c r="AX277" s="42"/>
      <c r="AY277" s="3"/>
      <c r="AZ277" s="42"/>
      <c r="BA277" s="3"/>
      <c r="BB277" s="42"/>
      <c r="BC277" s="3"/>
      <c r="BE277" s="3"/>
    </row>
    <row r="278" spans="1:57" x14ac:dyDescent="0.25">
      <c r="A278" s="3" t="s">
        <v>226</v>
      </c>
      <c r="B278" s="3">
        <v>2750000</v>
      </c>
      <c r="D278" s="3"/>
      <c r="E278" s="3">
        <f t="shared" si="158"/>
        <v>1818053</v>
      </c>
      <c r="F278" s="3">
        <v>1818053</v>
      </c>
      <c r="H278" s="5">
        <f t="shared" si="159"/>
        <v>-931947</v>
      </c>
      <c r="J278" s="5">
        <v>430420</v>
      </c>
      <c r="K278" s="4">
        <f t="shared" si="166"/>
        <v>1387633</v>
      </c>
      <c r="L278" s="4">
        <v>1818053</v>
      </c>
      <c r="N278" s="4">
        <f t="shared" si="167"/>
        <v>0</v>
      </c>
      <c r="P278" s="3">
        <v>2500000</v>
      </c>
      <c r="Q278" s="3"/>
      <c r="R278" s="3">
        <v>0</v>
      </c>
      <c r="S278" s="3">
        <f t="shared" si="162"/>
        <v>2500000</v>
      </c>
      <c r="T278" s="3">
        <v>2500000</v>
      </c>
      <c r="U278" s="3">
        <f t="shared" si="163"/>
        <v>0</v>
      </c>
      <c r="V278" s="3">
        <v>86000</v>
      </c>
      <c r="W278" s="3">
        <f t="shared" si="164"/>
        <v>2414000</v>
      </c>
      <c r="X278" s="3"/>
      <c r="Y278" s="3">
        <v>2500000</v>
      </c>
      <c r="Z278" s="3">
        <f t="shared" si="165"/>
        <v>0</v>
      </c>
      <c r="AA278" s="3"/>
      <c r="AB278" s="3"/>
      <c r="AC278" s="3">
        <v>199152</v>
      </c>
      <c r="AD278" s="3">
        <f t="shared" si="160"/>
        <v>2300848</v>
      </c>
      <c r="AE278" s="3">
        <v>2500000</v>
      </c>
      <c r="AF278" s="3">
        <f t="shared" si="161"/>
        <v>0</v>
      </c>
      <c r="AG278" s="4"/>
      <c r="AH278" s="4">
        <v>1500000</v>
      </c>
      <c r="AJ278" s="3"/>
      <c r="AK278" s="3">
        <f t="shared" si="156"/>
        <v>1500000</v>
      </c>
      <c r="AL278" s="3">
        <v>1500000</v>
      </c>
      <c r="AM278" s="3">
        <f t="shared" si="157"/>
        <v>0</v>
      </c>
      <c r="AO278" s="3"/>
      <c r="AP278" s="3"/>
      <c r="AQ278" s="3"/>
      <c r="AR278" s="3"/>
      <c r="AS278" s="3"/>
      <c r="AT278" s="3"/>
      <c r="AU278" s="3"/>
      <c r="AV278" s="42"/>
      <c r="AW278" s="3"/>
      <c r="AX278" s="42"/>
      <c r="AY278" s="3"/>
      <c r="AZ278" s="42"/>
      <c r="BA278" s="3"/>
      <c r="BB278" s="42"/>
      <c r="BC278" s="3"/>
      <c r="BE278" s="3"/>
    </row>
    <row r="279" spans="1:57" x14ac:dyDescent="0.25">
      <c r="A279" s="3" t="s">
        <v>227</v>
      </c>
      <c r="B279" s="3"/>
      <c r="D279" s="3"/>
      <c r="E279" s="3">
        <f t="shared" si="158"/>
        <v>0</v>
      </c>
      <c r="F279" s="3"/>
      <c r="H279" s="5">
        <f t="shared" si="159"/>
        <v>0</v>
      </c>
      <c r="K279" s="4">
        <f t="shared" si="166"/>
        <v>0</v>
      </c>
      <c r="L279" s="4"/>
      <c r="N279" s="4">
        <f t="shared" si="167"/>
        <v>0</v>
      </c>
      <c r="P279" s="3"/>
      <c r="Q279" s="3"/>
      <c r="R279" s="3"/>
      <c r="S279" s="3">
        <f t="shared" si="162"/>
        <v>0</v>
      </c>
      <c r="T279" s="3"/>
      <c r="U279" s="3">
        <f t="shared" si="163"/>
        <v>0</v>
      </c>
      <c r="V279" s="3"/>
      <c r="W279" s="3">
        <f t="shared" si="164"/>
        <v>0</v>
      </c>
      <c r="X279" s="3"/>
      <c r="Y279" s="3"/>
      <c r="Z279" s="3">
        <f t="shared" si="165"/>
        <v>0</v>
      </c>
      <c r="AA279" s="3"/>
      <c r="AB279" s="3"/>
      <c r="AC279" s="3"/>
      <c r="AD279" s="3">
        <f t="shared" si="160"/>
        <v>0</v>
      </c>
      <c r="AE279" s="3"/>
      <c r="AF279" s="3">
        <f t="shared" si="161"/>
        <v>0</v>
      </c>
      <c r="AG279" s="4"/>
      <c r="AH279" s="4"/>
      <c r="AJ279" s="3"/>
      <c r="AK279" s="3">
        <f t="shared" si="156"/>
        <v>0</v>
      </c>
      <c r="AL279" s="3"/>
      <c r="AM279" s="3">
        <f t="shared" si="157"/>
        <v>0</v>
      </c>
      <c r="AO279" s="3"/>
      <c r="AP279" s="3"/>
      <c r="AQ279" s="3"/>
      <c r="AR279" s="3"/>
      <c r="AS279" s="3"/>
      <c r="AT279" s="3"/>
      <c r="AU279" s="3"/>
      <c r="AV279" s="42"/>
      <c r="AW279" s="3"/>
      <c r="AX279" s="42"/>
      <c r="AY279" s="3"/>
      <c r="AZ279" s="42"/>
      <c r="BA279" s="3"/>
      <c r="BB279" s="42"/>
      <c r="BC279" s="3"/>
      <c r="BE279" s="3"/>
    </row>
    <row r="280" spans="1:57" x14ac:dyDescent="0.25">
      <c r="A280" s="3" t="s">
        <v>228</v>
      </c>
      <c r="B280" s="3"/>
      <c r="D280" s="3"/>
      <c r="E280" s="3">
        <f t="shared" si="158"/>
        <v>1014107</v>
      </c>
      <c r="F280" s="3">
        <v>1014107</v>
      </c>
      <c r="H280" s="5">
        <f t="shared" si="159"/>
        <v>1014107</v>
      </c>
      <c r="J280" s="5">
        <v>161215</v>
      </c>
      <c r="K280" s="4">
        <f t="shared" si="166"/>
        <v>852892</v>
      </c>
      <c r="L280" s="4">
        <v>1014107</v>
      </c>
      <c r="N280" s="4">
        <f t="shared" si="167"/>
        <v>0</v>
      </c>
      <c r="P280" s="3"/>
      <c r="Q280" s="3"/>
      <c r="R280" s="3"/>
      <c r="S280" s="3">
        <f t="shared" si="162"/>
        <v>0</v>
      </c>
      <c r="T280" s="3"/>
      <c r="U280" s="3">
        <f t="shared" si="163"/>
        <v>0</v>
      </c>
      <c r="V280" s="3"/>
      <c r="W280" s="3">
        <f t="shared" si="164"/>
        <v>0</v>
      </c>
      <c r="X280" s="3"/>
      <c r="Y280" s="3"/>
      <c r="Z280" s="3">
        <f t="shared" si="165"/>
        <v>0</v>
      </c>
      <c r="AA280" s="3"/>
      <c r="AB280" s="3"/>
      <c r="AC280" s="3"/>
      <c r="AD280" s="3">
        <f t="shared" si="160"/>
        <v>0</v>
      </c>
      <c r="AE280" s="3"/>
      <c r="AF280" s="3">
        <f t="shared" si="161"/>
        <v>0</v>
      </c>
      <c r="AG280" s="4"/>
      <c r="AH280" s="4"/>
      <c r="AJ280" s="3"/>
      <c r="AK280" s="3">
        <f t="shared" si="156"/>
        <v>0</v>
      </c>
      <c r="AL280" s="3"/>
      <c r="AM280" s="3">
        <f t="shared" si="157"/>
        <v>0</v>
      </c>
      <c r="AO280" s="3"/>
      <c r="AP280" s="3"/>
      <c r="AQ280" s="3"/>
      <c r="AR280" s="3"/>
      <c r="AS280" s="3"/>
      <c r="AT280" s="3"/>
      <c r="AU280" s="3"/>
      <c r="AV280" s="42"/>
      <c r="AW280" s="3"/>
      <c r="AX280" s="42"/>
      <c r="AY280" s="3"/>
      <c r="AZ280" s="42"/>
      <c r="BA280" s="3"/>
      <c r="BB280" s="42"/>
      <c r="BC280" s="3"/>
      <c r="BE280" s="3"/>
    </row>
    <row r="281" spans="1:57" x14ac:dyDescent="0.25">
      <c r="A281" s="3" t="s">
        <v>229</v>
      </c>
      <c r="B281" s="3"/>
      <c r="D281" s="3"/>
      <c r="E281" s="3">
        <f t="shared" si="158"/>
        <v>157220</v>
      </c>
      <c r="F281" s="5">
        <v>157220</v>
      </c>
      <c r="H281" s="5">
        <f t="shared" si="159"/>
        <v>157220</v>
      </c>
      <c r="K281" s="4">
        <f t="shared" si="166"/>
        <v>157220</v>
      </c>
      <c r="L281" s="4">
        <v>157220</v>
      </c>
      <c r="N281" s="4">
        <f t="shared" si="167"/>
        <v>0</v>
      </c>
      <c r="P281" s="3"/>
      <c r="Q281" s="3"/>
      <c r="R281" s="3"/>
      <c r="S281" s="3">
        <f t="shared" si="162"/>
        <v>0</v>
      </c>
      <c r="T281" s="3"/>
      <c r="U281" s="3">
        <f t="shared" si="163"/>
        <v>0</v>
      </c>
      <c r="V281" s="3"/>
      <c r="W281" s="3">
        <f t="shared" si="164"/>
        <v>0</v>
      </c>
      <c r="X281" s="3"/>
      <c r="Y281" s="3"/>
      <c r="Z281" s="3">
        <f t="shared" si="165"/>
        <v>0</v>
      </c>
      <c r="AA281" s="3"/>
      <c r="AB281" s="3"/>
      <c r="AC281" s="3"/>
      <c r="AD281" s="3">
        <f t="shared" si="160"/>
        <v>0</v>
      </c>
      <c r="AE281" s="3"/>
      <c r="AF281" s="3">
        <f t="shared" si="161"/>
        <v>0</v>
      </c>
      <c r="AG281" s="4"/>
      <c r="AH281" s="4"/>
      <c r="AJ281" s="3"/>
      <c r="AK281" s="3">
        <f t="shared" si="156"/>
        <v>0</v>
      </c>
      <c r="AL281" s="3"/>
      <c r="AM281" s="3">
        <f t="shared" si="157"/>
        <v>0</v>
      </c>
      <c r="AO281" s="3"/>
      <c r="AP281" s="3"/>
      <c r="AQ281" s="3"/>
      <c r="AR281" s="3"/>
      <c r="AS281" s="3"/>
      <c r="AT281" s="3"/>
      <c r="AU281" s="3"/>
      <c r="AV281" s="42"/>
      <c r="AW281" s="3"/>
      <c r="AX281" s="42"/>
      <c r="AY281" s="3"/>
      <c r="AZ281" s="42"/>
      <c r="BA281" s="3"/>
      <c r="BB281" s="42"/>
      <c r="BC281" s="3"/>
      <c r="BE281" s="3"/>
    </row>
    <row r="282" spans="1:57" x14ac:dyDescent="0.25">
      <c r="A282" s="3" t="s">
        <v>230</v>
      </c>
      <c r="B282" s="3"/>
      <c r="D282" s="3"/>
      <c r="E282" s="3">
        <f t="shared" si="158"/>
        <v>0</v>
      </c>
      <c r="F282" s="3"/>
      <c r="H282" s="5">
        <f t="shared" si="159"/>
        <v>0</v>
      </c>
      <c r="K282" s="4">
        <f t="shared" si="166"/>
        <v>0</v>
      </c>
      <c r="L282" s="4"/>
      <c r="N282" s="4">
        <f t="shared" si="167"/>
        <v>0</v>
      </c>
      <c r="P282" s="3"/>
      <c r="Q282" s="3"/>
      <c r="R282" s="3"/>
      <c r="S282" s="3">
        <f t="shared" si="162"/>
        <v>0</v>
      </c>
      <c r="T282" s="3"/>
      <c r="U282" s="3">
        <f t="shared" si="163"/>
        <v>0</v>
      </c>
      <c r="V282" s="3"/>
      <c r="W282" s="3">
        <f t="shared" si="164"/>
        <v>0</v>
      </c>
      <c r="X282" s="3"/>
      <c r="Y282" s="3"/>
      <c r="Z282" s="3">
        <f t="shared" si="165"/>
        <v>0</v>
      </c>
      <c r="AA282" s="3"/>
      <c r="AB282" s="3"/>
      <c r="AC282" s="3"/>
      <c r="AD282" s="3">
        <f t="shared" si="160"/>
        <v>0</v>
      </c>
      <c r="AE282" s="3"/>
      <c r="AF282" s="3">
        <f t="shared" si="161"/>
        <v>0</v>
      </c>
      <c r="AG282" s="4"/>
      <c r="AH282" s="4"/>
      <c r="AJ282" s="3"/>
      <c r="AK282" s="3">
        <f t="shared" si="156"/>
        <v>0</v>
      </c>
      <c r="AL282" s="3"/>
      <c r="AM282" s="3">
        <f t="shared" si="157"/>
        <v>0</v>
      </c>
      <c r="AO282" s="3"/>
      <c r="AP282" s="3"/>
      <c r="AQ282" s="3"/>
      <c r="AR282" s="3"/>
      <c r="AS282" s="3"/>
      <c r="AT282" s="3"/>
      <c r="AU282" s="3"/>
      <c r="AV282" s="42"/>
      <c r="AW282" s="3"/>
      <c r="AX282" s="42"/>
      <c r="AY282" s="3"/>
      <c r="AZ282" s="42"/>
      <c r="BA282" s="3"/>
      <c r="BB282" s="42"/>
      <c r="BC282" s="3"/>
      <c r="BE282" s="3"/>
    </row>
    <row r="283" spans="1:57" x14ac:dyDescent="0.25">
      <c r="A283" s="3" t="s">
        <v>231</v>
      </c>
      <c r="E283" s="3">
        <f t="shared" si="158"/>
        <v>0</v>
      </c>
      <c r="H283" s="5">
        <f t="shared" si="159"/>
        <v>0</v>
      </c>
      <c r="K283" s="4">
        <f t="shared" si="166"/>
        <v>0</v>
      </c>
      <c r="L283" s="4"/>
      <c r="N283" s="4">
        <f t="shared" si="167"/>
        <v>0</v>
      </c>
      <c r="P283" s="3"/>
      <c r="Q283" s="3"/>
      <c r="R283" s="3"/>
      <c r="S283" s="3">
        <f t="shared" si="162"/>
        <v>0</v>
      </c>
      <c r="T283" s="3"/>
      <c r="U283" s="3">
        <f t="shared" si="163"/>
        <v>0</v>
      </c>
      <c r="V283" s="3"/>
      <c r="W283" s="3">
        <f t="shared" si="164"/>
        <v>0</v>
      </c>
      <c r="X283" s="3"/>
      <c r="Y283" s="3"/>
      <c r="Z283" s="3">
        <f t="shared" si="165"/>
        <v>0</v>
      </c>
      <c r="AA283" s="3"/>
      <c r="AB283" s="3"/>
      <c r="AC283" s="3"/>
      <c r="AD283" s="3">
        <f t="shared" si="160"/>
        <v>0</v>
      </c>
      <c r="AE283" s="3"/>
      <c r="AF283" s="3">
        <f t="shared" si="161"/>
        <v>0</v>
      </c>
      <c r="AG283" s="4"/>
      <c r="AH283" s="4"/>
      <c r="AJ283" s="3"/>
      <c r="AK283" s="3">
        <f t="shared" si="156"/>
        <v>0</v>
      </c>
      <c r="AL283" s="3"/>
      <c r="AM283" s="3">
        <f t="shared" si="157"/>
        <v>0</v>
      </c>
      <c r="AO283" s="3"/>
      <c r="AP283" s="3"/>
      <c r="AQ283" s="3"/>
      <c r="AR283" s="3"/>
      <c r="AS283" s="3"/>
      <c r="AT283" s="3"/>
      <c r="AU283" s="3"/>
      <c r="AV283" s="42"/>
      <c r="AW283" s="3"/>
      <c r="AX283" s="42"/>
      <c r="AY283" s="3"/>
      <c r="AZ283" s="42"/>
      <c r="BA283" s="3"/>
      <c r="BB283" s="42"/>
      <c r="BC283" s="3"/>
      <c r="BE283" s="3"/>
    </row>
    <row r="284" spans="1:57" x14ac:dyDescent="0.25">
      <c r="A284" s="3" t="s">
        <v>232</v>
      </c>
      <c r="E284" s="3">
        <f t="shared" si="158"/>
        <v>0</v>
      </c>
      <c r="H284" s="5">
        <f t="shared" si="159"/>
        <v>0</v>
      </c>
      <c r="K284" s="4">
        <f t="shared" si="166"/>
        <v>0</v>
      </c>
      <c r="L284" s="4"/>
      <c r="N284" s="4">
        <f t="shared" si="167"/>
        <v>0</v>
      </c>
      <c r="P284" s="3"/>
      <c r="Q284" s="3"/>
      <c r="R284" s="3"/>
      <c r="S284" s="3">
        <f t="shared" si="162"/>
        <v>0</v>
      </c>
      <c r="T284" s="3"/>
      <c r="U284" s="3">
        <f t="shared" si="163"/>
        <v>0</v>
      </c>
      <c r="V284" s="3"/>
      <c r="W284" s="3">
        <f t="shared" si="164"/>
        <v>0</v>
      </c>
      <c r="X284" s="3"/>
      <c r="Y284" s="3"/>
      <c r="Z284" s="3">
        <f t="shared" si="165"/>
        <v>0</v>
      </c>
      <c r="AA284" s="3"/>
      <c r="AB284" s="3"/>
      <c r="AC284" s="3"/>
      <c r="AD284" s="3">
        <f t="shared" si="160"/>
        <v>0</v>
      </c>
      <c r="AE284" s="3"/>
      <c r="AF284" s="3">
        <f t="shared" si="161"/>
        <v>0</v>
      </c>
      <c r="AG284" s="4"/>
      <c r="AH284" s="4"/>
      <c r="AJ284" s="3"/>
      <c r="AK284" s="3">
        <f t="shared" si="156"/>
        <v>0</v>
      </c>
      <c r="AL284" s="3"/>
      <c r="AM284" s="3">
        <f t="shared" si="157"/>
        <v>0</v>
      </c>
      <c r="AO284" s="3"/>
      <c r="AP284" s="3"/>
      <c r="AQ284" s="3"/>
      <c r="AR284" s="3"/>
      <c r="AS284" s="3"/>
      <c r="AT284" s="3"/>
      <c r="AU284" s="3"/>
      <c r="AV284" s="42"/>
      <c r="AW284" s="3"/>
      <c r="AX284" s="42"/>
      <c r="AY284" s="3"/>
      <c r="AZ284" s="42"/>
      <c r="BA284" s="3"/>
      <c r="BB284" s="42"/>
      <c r="BC284" s="3"/>
      <c r="BE284" s="3"/>
    </row>
    <row r="285" spans="1:57" x14ac:dyDescent="0.25">
      <c r="A285" s="3" t="s">
        <v>233</v>
      </c>
      <c r="E285" s="3">
        <f t="shared" si="158"/>
        <v>0</v>
      </c>
      <c r="H285" s="5">
        <f t="shared" si="159"/>
        <v>0</v>
      </c>
      <c r="K285" s="4">
        <f t="shared" si="166"/>
        <v>0</v>
      </c>
      <c r="L285" s="4"/>
      <c r="N285" s="4">
        <f t="shared" si="167"/>
        <v>0</v>
      </c>
      <c r="P285" s="3"/>
      <c r="Q285" s="3"/>
      <c r="R285" s="3"/>
      <c r="S285" s="3">
        <f t="shared" si="162"/>
        <v>0</v>
      </c>
      <c r="T285" s="3"/>
      <c r="U285" s="3">
        <f t="shared" si="163"/>
        <v>0</v>
      </c>
      <c r="V285" s="3"/>
      <c r="W285" s="3">
        <f t="shared" si="164"/>
        <v>0</v>
      </c>
      <c r="X285" s="3"/>
      <c r="Y285" s="3"/>
      <c r="Z285" s="3">
        <f t="shared" si="165"/>
        <v>0</v>
      </c>
      <c r="AA285" s="3"/>
      <c r="AB285" s="3"/>
      <c r="AC285" s="3"/>
      <c r="AD285" s="3">
        <f t="shared" si="160"/>
        <v>0</v>
      </c>
      <c r="AE285" s="3"/>
      <c r="AF285" s="3">
        <f t="shared" si="161"/>
        <v>0</v>
      </c>
      <c r="AG285" s="4"/>
      <c r="AH285" s="4"/>
      <c r="AJ285" s="3"/>
      <c r="AK285" s="3">
        <f t="shared" si="156"/>
        <v>0</v>
      </c>
      <c r="AL285" s="3"/>
      <c r="AM285" s="3">
        <f t="shared" si="157"/>
        <v>0</v>
      </c>
      <c r="AO285" s="3"/>
      <c r="AP285" s="3"/>
      <c r="AQ285" s="3"/>
      <c r="AR285" s="3"/>
      <c r="AS285" s="3"/>
      <c r="AT285" s="3"/>
      <c r="AU285" s="3"/>
      <c r="AV285" s="42"/>
      <c r="AW285" s="3"/>
      <c r="AX285" s="42"/>
      <c r="AY285" s="3"/>
      <c r="AZ285" s="42"/>
      <c r="BA285" s="3"/>
      <c r="BB285" s="42"/>
      <c r="BC285" s="3"/>
      <c r="BE285" s="3"/>
    </row>
    <row r="286" spans="1:57" x14ac:dyDescent="0.25">
      <c r="A286" s="3" t="s">
        <v>234</v>
      </c>
      <c r="E286" s="3">
        <f t="shared" si="158"/>
        <v>0</v>
      </c>
      <c r="H286" s="5">
        <f t="shared" si="159"/>
        <v>0</v>
      </c>
      <c r="K286" s="4">
        <f t="shared" si="166"/>
        <v>0</v>
      </c>
      <c r="L286" s="4"/>
      <c r="N286" s="4">
        <f t="shared" si="167"/>
        <v>0</v>
      </c>
      <c r="P286" s="3"/>
      <c r="Q286" s="3"/>
      <c r="R286" s="3"/>
      <c r="S286" s="3">
        <f t="shared" si="162"/>
        <v>0</v>
      </c>
      <c r="T286" s="3"/>
      <c r="U286" s="3">
        <f t="shared" si="163"/>
        <v>0</v>
      </c>
      <c r="V286" s="3"/>
      <c r="W286" s="3">
        <f t="shared" si="164"/>
        <v>0</v>
      </c>
      <c r="X286" s="3"/>
      <c r="Y286" s="3"/>
      <c r="Z286" s="3">
        <f t="shared" si="165"/>
        <v>0</v>
      </c>
      <c r="AA286" s="3"/>
      <c r="AB286" s="3"/>
      <c r="AC286" s="3"/>
      <c r="AD286" s="3">
        <f t="shared" si="160"/>
        <v>0</v>
      </c>
      <c r="AE286" s="3"/>
      <c r="AF286" s="3">
        <f t="shared" si="161"/>
        <v>0</v>
      </c>
      <c r="AG286" s="4"/>
      <c r="AH286" s="4"/>
      <c r="AJ286" s="3"/>
      <c r="AK286" s="3">
        <f t="shared" si="156"/>
        <v>0</v>
      </c>
      <c r="AL286" s="3"/>
      <c r="AM286" s="3">
        <f t="shared" si="157"/>
        <v>0</v>
      </c>
      <c r="AO286" s="3"/>
      <c r="AP286" s="3"/>
      <c r="AQ286" s="3"/>
      <c r="AR286" s="3"/>
      <c r="AS286" s="3"/>
      <c r="AT286" s="3"/>
      <c r="AU286" s="3"/>
      <c r="AV286" s="42"/>
      <c r="AW286" s="3"/>
      <c r="AX286" s="42"/>
      <c r="AY286" s="3"/>
      <c r="AZ286" s="42"/>
      <c r="BA286" s="3"/>
      <c r="BB286" s="42"/>
      <c r="BC286" s="3"/>
      <c r="BE286" s="3"/>
    </row>
    <row r="287" spans="1:57" x14ac:dyDescent="0.25">
      <c r="A287" s="3" t="s">
        <v>235</v>
      </c>
      <c r="K287" s="4">
        <f t="shared" si="166"/>
        <v>0</v>
      </c>
      <c r="L287" s="4"/>
      <c r="N287" s="4">
        <f t="shared" si="167"/>
        <v>0</v>
      </c>
      <c r="P287" s="3"/>
      <c r="Q287" s="3"/>
      <c r="R287" s="3"/>
      <c r="S287" s="3">
        <f t="shared" si="162"/>
        <v>0</v>
      </c>
      <c r="T287" s="3"/>
      <c r="U287" s="3">
        <f t="shared" si="163"/>
        <v>0</v>
      </c>
      <c r="V287" s="3"/>
      <c r="W287" s="3">
        <f t="shared" si="164"/>
        <v>0</v>
      </c>
      <c r="X287" s="3"/>
      <c r="Y287" s="3"/>
      <c r="Z287" s="3">
        <f t="shared" si="165"/>
        <v>0</v>
      </c>
      <c r="AA287" s="3"/>
      <c r="AB287" s="3"/>
      <c r="AC287" s="3"/>
      <c r="AD287" s="3">
        <f t="shared" si="160"/>
        <v>0</v>
      </c>
      <c r="AE287" s="3"/>
      <c r="AF287" s="3">
        <f t="shared" si="161"/>
        <v>0</v>
      </c>
      <c r="AG287" s="4"/>
      <c r="AH287" s="4"/>
      <c r="AJ287" s="3"/>
      <c r="AK287" s="3">
        <f t="shared" si="156"/>
        <v>0</v>
      </c>
      <c r="AL287" s="3"/>
      <c r="AM287" s="3">
        <f t="shared" si="157"/>
        <v>0</v>
      </c>
      <c r="AO287" s="3"/>
      <c r="AP287" s="3"/>
      <c r="AQ287" s="3"/>
      <c r="AR287" s="3"/>
      <c r="AS287" s="3"/>
      <c r="AT287" s="3"/>
      <c r="AU287" s="3"/>
      <c r="AV287" s="42"/>
      <c r="AW287" s="3"/>
      <c r="AX287" s="42"/>
      <c r="AY287" s="3"/>
      <c r="AZ287" s="42"/>
      <c r="BA287" s="3"/>
      <c r="BB287" s="42"/>
      <c r="BC287" s="3"/>
      <c r="BE287" s="3"/>
    </row>
    <row r="288" spans="1:57" x14ac:dyDescent="0.25">
      <c r="A288" s="3" t="s">
        <v>236</v>
      </c>
      <c r="K288" s="4">
        <f t="shared" si="166"/>
        <v>0</v>
      </c>
      <c r="L288" s="4"/>
      <c r="N288" s="4">
        <f t="shared" si="167"/>
        <v>0</v>
      </c>
      <c r="P288" s="3"/>
      <c r="Q288" s="3"/>
      <c r="R288" s="3"/>
      <c r="S288" s="3">
        <f t="shared" si="162"/>
        <v>0</v>
      </c>
      <c r="T288" s="3"/>
      <c r="U288" s="3">
        <f t="shared" si="163"/>
        <v>0</v>
      </c>
      <c r="V288" s="3"/>
      <c r="W288" s="3">
        <f t="shared" si="164"/>
        <v>0</v>
      </c>
      <c r="X288" s="3"/>
      <c r="Y288" s="3"/>
      <c r="Z288" s="3">
        <f t="shared" si="165"/>
        <v>0</v>
      </c>
      <c r="AA288" s="3"/>
      <c r="AB288" s="3"/>
      <c r="AC288" s="3"/>
      <c r="AD288" s="3">
        <f t="shared" si="160"/>
        <v>0</v>
      </c>
      <c r="AE288" s="3"/>
      <c r="AF288" s="3">
        <f t="shared" si="161"/>
        <v>0</v>
      </c>
      <c r="AG288" s="4"/>
      <c r="AH288" s="4"/>
      <c r="AJ288" s="3"/>
      <c r="AK288" s="3">
        <f t="shared" si="156"/>
        <v>0</v>
      </c>
      <c r="AL288" s="3"/>
      <c r="AM288" s="3">
        <f t="shared" si="157"/>
        <v>0</v>
      </c>
      <c r="AO288" s="3"/>
      <c r="AP288" s="3"/>
      <c r="AQ288" s="3"/>
      <c r="AR288" s="3"/>
      <c r="AS288" s="3"/>
      <c r="AT288" s="3"/>
      <c r="AU288" s="3"/>
      <c r="AV288" s="42"/>
      <c r="AW288" s="3"/>
      <c r="AX288" s="42"/>
      <c r="AY288" s="3"/>
      <c r="AZ288" s="42"/>
      <c r="BA288" s="3"/>
      <c r="BB288" s="42"/>
      <c r="BC288" s="3"/>
      <c r="BE288" s="3"/>
    </row>
    <row r="289" spans="1:57" x14ac:dyDescent="0.25">
      <c r="A289" s="3" t="s">
        <v>237</v>
      </c>
      <c r="K289" s="4">
        <f>L289-J289</f>
        <v>0</v>
      </c>
      <c r="L289" s="4"/>
      <c r="N289" s="4">
        <f>L289-F289</f>
        <v>0</v>
      </c>
      <c r="P289" s="3"/>
      <c r="Q289" s="3"/>
      <c r="R289" s="3"/>
      <c r="S289" s="3">
        <f t="shared" si="162"/>
        <v>0</v>
      </c>
      <c r="T289" s="3"/>
      <c r="U289" s="3">
        <f t="shared" si="163"/>
        <v>0</v>
      </c>
      <c r="V289" s="3"/>
      <c r="W289" s="3">
        <f t="shared" si="164"/>
        <v>0</v>
      </c>
      <c r="X289" s="3"/>
      <c r="Y289" s="3"/>
      <c r="Z289" s="3">
        <f t="shared" si="165"/>
        <v>0</v>
      </c>
      <c r="AA289" s="3"/>
      <c r="AB289" s="3"/>
      <c r="AC289" s="3"/>
      <c r="AD289" s="3">
        <f t="shared" si="160"/>
        <v>0</v>
      </c>
      <c r="AE289" s="3"/>
      <c r="AF289" s="3">
        <f t="shared" si="161"/>
        <v>0</v>
      </c>
      <c r="AG289" s="4"/>
      <c r="AH289" s="4"/>
      <c r="AJ289" s="3"/>
      <c r="AK289" s="3">
        <f t="shared" si="156"/>
        <v>0</v>
      </c>
      <c r="AL289" s="3"/>
      <c r="AM289" s="3">
        <f t="shared" si="157"/>
        <v>0</v>
      </c>
      <c r="AO289" s="3"/>
      <c r="AP289" s="3"/>
      <c r="AQ289" s="3"/>
      <c r="AR289" s="3"/>
      <c r="AS289" s="3"/>
      <c r="AT289" s="3"/>
      <c r="AU289" s="3"/>
      <c r="AV289" s="42"/>
      <c r="AW289" s="3"/>
      <c r="AX289" s="42"/>
      <c r="AY289" s="3"/>
      <c r="AZ289" s="42"/>
      <c r="BA289" s="3"/>
      <c r="BB289" s="42"/>
      <c r="BC289" s="3"/>
      <c r="BE289" s="3"/>
    </row>
    <row r="290" spans="1:57" x14ac:dyDescent="0.25">
      <c r="A290" s="3" t="s">
        <v>238</v>
      </c>
      <c r="B290" s="3">
        <v>27750</v>
      </c>
      <c r="D290" s="3"/>
      <c r="E290" s="3">
        <f t="shared" ref="E290:E300" si="168">F290-D290</f>
        <v>27750</v>
      </c>
      <c r="F290" s="3">
        <v>27750</v>
      </c>
      <c r="H290" s="5">
        <f t="shared" ref="H290:H300" si="169">F290-B290</f>
        <v>0</v>
      </c>
      <c r="K290" s="4">
        <f t="shared" si="166"/>
        <v>27750</v>
      </c>
      <c r="L290" s="4">
        <v>27750</v>
      </c>
      <c r="N290" s="4">
        <f t="shared" si="167"/>
        <v>0</v>
      </c>
      <c r="P290" s="3">
        <f>L290*1.036+1</f>
        <v>28750</v>
      </c>
      <c r="Q290" s="3"/>
      <c r="R290" s="3">
        <v>0</v>
      </c>
      <c r="S290" s="3">
        <f t="shared" si="162"/>
        <v>28750</v>
      </c>
      <c r="T290" s="3">
        <v>28750</v>
      </c>
      <c r="U290" s="3">
        <f t="shared" si="163"/>
        <v>0</v>
      </c>
      <c r="V290" s="3">
        <v>0</v>
      </c>
      <c r="W290" s="3">
        <f t="shared" si="164"/>
        <v>28750</v>
      </c>
      <c r="X290" s="3"/>
      <c r="Y290" s="3">
        <v>28750</v>
      </c>
      <c r="Z290" s="3">
        <f t="shared" si="165"/>
        <v>0</v>
      </c>
      <c r="AA290" s="3"/>
      <c r="AB290" s="3"/>
      <c r="AC290" s="3">
        <v>0</v>
      </c>
      <c r="AD290" s="3">
        <f t="shared" si="160"/>
        <v>28750</v>
      </c>
      <c r="AE290" s="3">
        <v>28750</v>
      </c>
      <c r="AF290" s="3">
        <f t="shared" si="161"/>
        <v>0</v>
      </c>
      <c r="AG290" s="4"/>
      <c r="AH290" s="4">
        <f>AE290*1.03+37</f>
        <v>29649.5</v>
      </c>
      <c r="AJ290" s="3"/>
      <c r="AK290" s="3">
        <f t="shared" si="156"/>
        <v>29650</v>
      </c>
      <c r="AL290" s="3">
        <v>29650</v>
      </c>
      <c r="AM290" s="3">
        <f t="shared" si="157"/>
        <v>0.5</v>
      </c>
      <c r="AO290" s="3">
        <f>AH290*1.03</f>
        <v>30538.985000000001</v>
      </c>
      <c r="AP290" s="3"/>
      <c r="AQ290" s="3">
        <f>AO290*1.03</f>
        <v>31455.154550000003</v>
      </c>
      <c r="AR290" s="3"/>
      <c r="AS290" s="3">
        <f>AQ290*1.03</f>
        <v>32398.809186500002</v>
      </c>
      <c r="AT290" s="3"/>
      <c r="AU290" s="3">
        <f>AS290*1.03</f>
        <v>33370.773462095007</v>
      </c>
      <c r="AV290" s="42"/>
      <c r="AW290" s="3">
        <f>AU290*1.03</f>
        <v>34371.896665957858</v>
      </c>
      <c r="AX290" s="42"/>
      <c r="AY290" s="3">
        <f>AW290*1.03</f>
        <v>35403.053565936592</v>
      </c>
      <c r="AZ290" s="42"/>
      <c r="BA290" s="3">
        <f>AY290*1.03</f>
        <v>36465.145172914694</v>
      </c>
      <c r="BB290" s="42"/>
      <c r="BC290" s="3">
        <f>BA290*1.03</f>
        <v>37559.099528102139</v>
      </c>
      <c r="BE290" s="3">
        <f>BC290*1.03</f>
        <v>38685.872513945207</v>
      </c>
    </row>
    <row r="291" spans="1:57" x14ac:dyDescent="0.25">
      <c r="A291" s="3" t="s">
        <v>239</v>
      </c>
      <c r="B291" s="3"/>
      <c r="D291" s="3"/>
      <c r="E291" s="3">
        <f t="shared" si="168"/>
        <v>0</v>
      </c>
      <c r="F291" s="3"/>
      <c r="H291" s="5">
        <f t="shared" si="169"/>
        <v>0</v>
      </c>
      <c r="K291" s="4">
        <f t="shared" si="166"/>
        <v>0</v>
      </c>
      <c r="L291" s="4"/>
      <c r="N291" s="4">
        <f t="shared" si="167"/>
        <v>0</v>
      </c>
      <c r="P291" s="3"/>
      <c r="Q291" s="3"/>
      <c r="R291" s="3"/>
      <c r="S291" s="3">
        <f t="shared" si="162"/>
        <v>0</v>
      </c>
      <c r="T291" s="3"/>
      <c r="U291" s="3">
        <f t="shared" si="163"/>
        <v>0</v>
      </c>
      <c r="V291" s="3"/>
      <c r="W291" s="3">
        <f t="shared" si="164"/>
        <v>0</v>
      </c>
      <c r="X291" s="3"/>
      <c r="Y291" s="3"/>
      <c r="Z291" s="3">
        <f t="shared" si="165"/>
        <v>0</v>
      </c>
      <c r="AA291" s="3"/>
      <c r="AB291" s="3"/>
      <c r="AC291" s="3"/>
      <c r="AD291" s="3">
        <f t="shared" si="160"/>
        <v>0</v>
      </c>
      <c r="AE291" s="3"/>
      <c r="AF291" s="3">
        <f t="shared" si="161"/>
        <v>0</v>
      </c>
      <c r="AG291" s="4"/>
      <c r="AH291" s="4"/>
      <c r="AJ291" s="3"/>
      <c r="AK291" s="3">
        <f t="shared" si="156"/>
        <v>0</v>
      </c>
      <c r="AL291" s="3"/>
      <c r="AM291" s="3">
        <f t="shared" si="157"/>
        <v>0</v>
      </c>
      <c r="AO291" s="3"/>
      <c r="AP291" s="3"/>
      <c r="AQ291" s="3"/>
      <c r="AR291" s="3"/>
      <c r="AS291" s="3"/>
      <c r="AT291" s="3"/>
      <c r="AU291" s="3"/>
      <c r="AV291" s="42"/>
      <c r="AW291" s="3"/>
      <c r="AX291" s="42"/>
      <c r="AY291" s="3"/>
      <c r="AZ291" s="42"/>
      <c r="BA291" s="3"/>
      <c r="BB291" s="42"/>
      <c r="BC291" s="3"/>
      <c r="BE291" s="3"/>
    </row>
    <row r="292" spans="1:57" hidden="1" x14ac:dyDescent="0.25">
      <c r="A292" s="3" t="s">
        <v>240</v>
      </c>
      <c r="B292" s="3"/>
      <c r="D292" s="3"/>
      <c r="E292" s="3">
        <f t="shared" si="168"/>
        <v>0</v>
      </c>
      <c r="F292" s="3"/>
      <c r="H292" s="5">
        <f t="shared" si="169"/>
        <v>0</v>
      </c>
      <c r="K292" s="4">
        <f t="shared" si="166"/>
        <v>0</v>
      </c>
      <c r="L292" s="4"/>
      <c r="N292" s="4">
        <f t="shared" si="167"/>
        <v>0</v>
      </c>
      <c r="P292" s="3"/>
      <c r="Q292" s="3"/>
      <c r="R292" s="3"/>
      <c r="S292" s="3">
        <f t="shared" si="162"/>
        <v>0</v>
      </c>
      <c r="T292" s="3"/>
      <c r="U292" s="3">
        <f t="shared" si="163"/>
        <v>0</v>
      </c>
      <c r="V292" s="3"/>
      <c r="W292" s="3">
        <f t="shared" si="164"/>
        <v>0</v>
      </c>
      <c r="X292" s="3"/>
      <c r="Y292" s="3"/>
      <c r="Z292" s="3">
        <f t="shared" si="165"/>
        <v>0</v>
      </c>
      <c r="AA292" s="3"/>
      <c r="AB292" s="3"/>
      <c r="AC292" s="3"/>
      <c r="AD292" s="3">
        <f t="shared" si="160"/>
        <v>0</v>
      </c>
      <c r="AE292" s="3"/>
      <c r="AF292" s="3">
        <f t="shared" si="161"/>
        <v>0</v>
      </c>
      <c r="AG292" s="4"/>
      <c r="AH292" s="4"/>
      <c r="AJ292" s="3"/>
      <c r="AK292" s="3">
        <f t="shared" si="156"/>
        <v>0</v>
      </c>
      <c r="AL292" s="3"/>
      <c r="AM292" s="3">
        <f t="shared" si="157"/>
        <v>0</v>
      </c>
      <c r="AO292" s="3"/>
      <c r="AP292" s="3"/>
      <c r="AQ292" s="3"/>
      <c r="AR292" s="3"/>
      <c r="AS292" s="3"/>
      <c r="AT292" s="3"/>
      <c r="AU292" s="3"/>
      <c r="AV292" s="42"/>
      <c r="AW292" s="3"/>
      <c r="AX292" s="42"/>
      <c r="AY292" s="3"/>
      <c r="AZ292" s="42"/>
      <c r="BA292" s="3"/>
      <c r="BB292" s="42"/>
      <c r="BC292" s="3"/>
      <c r="BE292" s="3"/>
    </row>
    <row r="293" spans="1:57" s="42" customFormat="1" x14ac:dyDescent="0.25">
      <c r="A293" s="3" t="s">
        <v>1150</v>
      </c>
      <c r="B293" s="4">
        <v>49000</v>
      </c>
      <c r="C293" s="4"/>
      <c r="D293" s="4"/>
      <c r="E293" s="3">
        <f t="shared" si="168"/>
        <v>49000</v>
      </c>
      <c r="F293" s="4">
        <v>49000</v>
      </c>
      <c r="G293" s="4"/>
      <c r="H293" s="5">
        <f t="shared" si="169"/>
        <v>0</v>
      </c>
      <c r="I293" s="5"/>
      <c r="J293" s="5"/>
      <c r="K293" s="4">
        <f t="shared" si="166"/>
        <v>49000</v>
      </c>
      <c r="L293" s="4">
        <v>49000</v>
      </c>
      <c r="M293" s="4"/>
      <c r="N293" s="4">
        <f t="shared" si="167"/>
        <v>0</v>
      </c>
      <c r="O293" s="4"/>
      <c r="P293" s="32"/>
      <c r="Q293" s="3"/>
      <c r="R293" s="3"/>
      <c r="S293" s="3">
        <f t="shared" si="162"/>
        <v>49000</v>
      </c>
      <c r="T293" s="3">
        <v>49000</v>
      </c>
      <c r="U293" s="3">
        <f t="shared" si="163"/>
        <v>49000</v>
      </c>
      <c r="V293" s="3">
        <v>0</v>
      </c>
      <c r="W293" s="3">
        <f t="shared" si="164"/>
        <v>49000</v>
      </c>
      <c r="X293" s="3"/>
      <c r="Y293" s="3">
        <v>49000</v>
      </c>
      <c r="Z293" s="3">
        <f t="shared" si="165"/>
        <v>0</v>
      </c>
      <c r="AA293" s="3"/>
      <c r="AB293" s="3"/>
      <c r="AC293" s="3"/>
      <c r="AD293" s="3">
        <f t="shared" si="160"/>
        <v>49000</v>
      </c>
      <c r="AE293" s="3">
        <v>49000</v>
      </c>
      <c r="AF293" s="3">
        <f t="shared" si="161"/>
        <v>0</v>
      </c>
      <c r="AG293" s="4"/>
      <c r="AH293" s="32"/>
      <c r="AI293" s="32"/>
      <c r="AJ293" s="32"/>
      <c r="AK293" s="3">
        <f t="shared" si="156"/>
        <v>49000</v>
      </c>
      <c r="AL293" s="4">
        <v>49000</v>
      </c>
      <c r="AM293" s="3">
        <f t="shared" si="157"/>
        <v>49000</v>
      </c>
      <c r="AN293" s="4"/>
      <c r="AO293" s="32"/>
      <c r="AP293" s="3"/>
      <c r="AQ293" s="32"/>
      <c r="AR293" s="3"/>
      <c r="AS293" s="32"/>
      <c r="AT293" s="32"/>
      <c r="AU293" s="32"/>
      <c r="AW293" s="32"/>
      <c r="AY293" s="32"/>
      <c r="BA293" s="32"/>
      <c r="BC293" s="32"/>
      <c r="BE293" s="32"/>
    </row>
    <row r="294" spans="1:57" x14ac:dyDescent="0.25">
      <c r="A294" s="3" t="s">
        <v>242</v>
      </c>
      <c r="B294" s="3"/>
      <c r="D294" s="3"/>
      <c r="E294" s="3">
        <f t="shared" si="168"/>
        <v>0</v>
      </c>
      <c r="F294" s="3"/>
      <c r="H294" s="5">
        <f t="shared" si="169"/>
        <v>0</v>
      </c>
      <c r="K294" s="4">
        <f t="shared" si="166"/>
        <v>0</v>
      </c>
      <c r="L294" s="4"/>
      <c r="N294" s="4">
        <f t="shared" si="167"/>
        <v>0</v>
      </c>
      <c r="P294" s="64"/>
      <c r="Q294" s="3"/>
      <c r="R294" s="3"/>
      <c r="S294" s="3">
        <f t="shared" si="162"/>
        <v>0</v>
      </c>
      <c r="T294" s="3"/>
      <c r="U294" s="3">
        <f t="shared" si="163"/>
        <v>0</v>
      </c>
      <c r="V294" s="3"/>
      <c r="W294" s="3">
        <f t="shared" si="164"/>
        <v>0</v>
      </c>
      <c r="X294" s="3"/>
      <c r="Y294" s="3"/>
      <c r="Z294" s="3">
        <f t="shared" si="165"/>
        <v>0</v>
      </c>
      <c r="AA294" s="3"/>
      <c r="AB294" s="3"/>
      <c r="AC294" s="3"/>
      <c r="AD294" s="3">
        <f t="shared" si="160"/>
        <v>0</v>
      </c>
      <c r="AE294" s="3"/>
      <c r="AF294" s="3">
        <f t="shared" si="161"/>
        <v>0</v>
      </c>
      <c r="AG294" s="4"/>
      <c r="AH294" s="4"/>
      <c r="AJ294" s="3"/>
      <c r="AK294" s="3">
        <f t="shared" si="156"/>
        <v>0</v>
      </c>
      <c r="AL294" s="3"/>
      <c r="AM294" s="3">
        <f t="shared" si="157"/>
        <v>0</v>
      </c>
      <c r="AO294" s="3"/>
      <c r="AP294" s="3"/>
      <c r="AQ294" s="3"/>
      <c r="AR294" s="3"/>
      <c r="AS294" s="3"/>
      <c r="AT294" s="3"/>
      <c r="AU294" s="3"/>
      <c r="AV294" s="42"/>
      <c r="AW294" s="3"/>
      <c r="AX294" s="42"/>
      <c r="AY294" s="3"/>
      <c r="AZ294" s="42"/>
      <c r="BA294" s="3"/>
      <c r="BB294" s="42"/>
      <c r="BC294" s="3"/>
      <c r="BE294" s="3"/>
    </row>
    <row r="295" spans="1:57" x14ac:dyDescent="0.25">
      <c r="A295" s="3" t="s">
        <v>243</v>
      </c>
      <c r="B295" s="3"/>
      <c r="D295" s="3"/>
      <c r="E295" s="3">
        <f t="shared" si="168"/>
        <v>0</v>
      </c>
      <c r="F295" s="3"/>
      <c r="H295" s="5">
        <f t="shared" si="169"/>
        <v>0</v>
      </c>
      <c r="K295" s="4">
        <f t="shared" si="166"/>
        <v>0</v>
      </c>
      <c r="L295" s="4"/>
      <c r="N295" s="4">
        <f t="shared" si="167"/>
        <v>0</v>
      </c>
      <c r="P295" s="3"/>
      <c r="Q295" s="3"/>
      <c r="R295" s="3"/>
      <c r="S295" s="3">
        <f t="shared" si="162"/>
        <v>0</v>
      </c>
      <c r="T295" s="3"/>
      <c r="U295" s="3">
        <f t="shared" si="163"/>
        <v>0</v>
      </c>
      <c r="V295" s="3">
        <v>150</v>
      </c>
      <c r="W295" s="3">
        <f t="shared" si="164"/>
        <v>0</v>
      </c>
      <c r="X295" s="3"/>
      <c r="Y295" s="3">
        <v>150</v>
      </c>
      <c r="Z295" s="3">
        <f t="shared" si="165"/>
        <v>150</v>
      </c>
      <c r="AA295" s="3"/>
      <c r="AB295" s="3"/>
      <c r="AC295" s="3">
        <v>250</v>
      </c>
      <c r="AD295" s="3">
        <f t="shared" si="160"/>
        <v>0</v>
      </c>
      <c r="AE295" s="3">
        <v>250</v>
      </c>
      <c r="AF295" s="3">
        <f t="shared" si="161"/>
        <v>100</v>
      </c>
      <c r="AG295" s="4"/>
      <c r="AH295" s="4"/>
      <c r="AJ295" s="3"/>
      <c r="AK295" s="3">
        <f t="shared" si="156"/>
        <v>0</v>
      </c>
      <c r="AL295" s="3"/>
      <c r="AM295" s="3">
        <f t="shared" si="157"/>
        <v>0</v>
      </c>
      <c r="AO295" s="3"/>
      <c r="AP295" s="3"/>
      <c r="AQ295" s="3"/>
      <c r="AR295" s="3"/>
      <c r="AS295" s="3"/>
      <c r="AT295" s="3"/>
      <c r="AU295" s="3"/>
      <c r="AV295" s="42"/>
      <c r="AW295" s="3"/>
      <c r="AX295" s="42"/>
      <c r="AY295" s="3"/>
      <c r="AZ295" s="42"/>
      <c r="BA295" s="3"/>
      <c r="BB295" s="42"/>
      <c r="BC295" s="3"/>
      <c r="BE295" s="3"/>
    </row>
    <row r="296" spans="1:57" x14ac:dyDescent="0.25">
      <c r="A296" s="3" t="s">
        <v>244</v>
      </c>
      <c r="B296" s="3"/>
      <c r="D296" s="3"/>
      <c r="E296" s="3">
        <f t="shared" si="168"/>
        <v>0</v>
      </c>
      <c r="F296" s="3"/>
      <c r="H296" s="5">
        <f t="shared" si="169"/>
        <v>0</v>
      </c>
      <c r="K296" s="4">
        <f t="shared" si="166"/>
        <v>0</v>
      </c>
      <c r="L296" s="4"/>
      <c r="N296" s="4">
        <f t="shared" si="167"/>
        <v>0</v>
      </c>
      <c r="P296" s="3"/>
      <c r="Q296" s="3"/>
      <c r="R296" s="3"/>
      <c r="S296" s="3">
        <f t="shared" si="162"/>
        <v>0</v>
      </c>
      <c r="T296" s="3"/>
      <c r="U296" s="3">
        <f t="shared" si="163"/>
        <v>0</v>
      </c>
      <c r="V296" s="3"/>
      <c r="W296" s="3">
        <f t="shared" si="164"/>
        <v>0</v>
      </c>
      <c r="X296" s="3"/>
      <c r="Y296" s="3"/>
      <c r="Z296" s="3">
        <f t="shared" si="165"/>
        <v>0</v>
      </c>
      <c r="AA296" s="3"/>
      <c r="AB296" s="3"/>
      <c r="AC296" s="3"/>
      <c r="AD296" s="3">
        <f t="shared" si="160"/>
        <v>0</v>
      </c>
      <c r="AE296" s="3"/>
      <c r="AF296" s="3">
        <f t="shared" si="161"/>
        <v>0</v>
      </c>
      <c r="AG296" s="4"/>
      <c r="AH296" s="4"/>
      <c r="AJ296" s="3"/>
      <c r="AK296" s="3">
        <f t="shared" si="156"/>
        <v>0</v>
      </c>
      <c r="AL296" s="3"/>
      <c r="AM296" s="3">
        <f t="shared" si="157"/>
        <v>0</v>
      </c>
      <c r="AO296" s="3"/>
      <c r="AP296" s="3"/>
      <c r="AQ296" s="3"/>
      <c r="AR296" s="3"/>
      <c r="AS296" s="3"/>
      <c r="AT296" s="3"/>
      <c r="AU296" s="3"/>
      <c r="AV296" s="42"/>
      <c r="AW296" s="3"/>
      <c r="AX296" s="42"/>
      <c r="AY296" s="3"/>
      <c r="AZ296" s="42"/>
      <c r="BA296" s="3"/>
      <c r="BB296" s="42"/>
      <c r="BC296" s="3"/>
      <c r="BE296" s="3"/>
    </row>
    <row r="297" spans="1:57" hidden="1" x14ac:dyDescent="0.25">
      <c r="A297" s="3" t="s">
        <v>245</v>
      </c>
      <c r="B297" s="3">
        <v>20000</v>
      </c>
      <c r="D297" s="3"/>
      <c r="E297" s="3">
        <f t="shared" si="168"/>
        <v>20000</v>
      </c>
      <c r="F297" s="3">
        <v>20000</v>
      </c>
      <c r="H297" s="5">
        <f t="shared" si="169"/>
        <v>0</v>
      </c>
      <c r="K297" s="4">
        <f t="shared" si="166"/>
        <v>20000</v>
      </c>
      <c r="L297" s="4">
        <v>20000</v>
      </c>
      <c r="N297" s="4">
        <f t="shared" si="167"/>
        <v>0</v>
      </c>
      <c r="P297" s="3"/>
      <c r="Q297" s="3"/>
      <c r="R297" s="3"/>
      <c r="S297" s="3">
        <f t="shared" si="162"/>
        <v>30000</v>
      </c>
      <c r="T297" s="3">
        <v>30000</v>
      </c>
      <c r="U297" s="3">
        <f t="shared" si="163"/>
        <v>30000</v>
      </c>
      <c r="V297" s="3">
        <v>0</v>
      </c>
      <c r="W297" s="3">
        <f t="shared" si="164"/>
        <v>30000</v>
      </c>
      <c r="X297" s="3"/>
      <c r="Y297" s="3">
        <v>30000</v>
      </c>
      <c r="Z297" s="3">
        <f t="shared" si="165"/>
        <v>0</v>
      </c>
      <c r="AA297" s="3"/>
      <c r="AB297" s="3"/>
      <c r="AC297" s="3"/>
      <c r="AD297" s="3">
        <f t="shared" si="160"/>
        <v>30000</v>
      </c>
      <c r="AE297" s="3">
        <v>30000</v>
      </c>
      <c r="AF297" s="3">
        <f t="shared" si="161"/>
        <v>0</v>
      </c>
      <c r="AG297" s="4"/>
      <c r="AH297" s="4"/>
      <c r="AJ297" s="3"/>
      <c r="AK297" s="3">
        <f t="shared" si="156"/>
        <v>0</v>
      </c>
      <c r="AL297" s="3"/>
      <c r="AM297" s="3">
        <f t="shared" si="157"/>
        <v>0</v>
      </c>
      <c r="AO297" s="3"/>
      <c r="AP297" s="3"/>
      <c r="AQ297" s="3"/>
      <c r="AR297" s="3"/>
      <c r="AS297" s="3"/>
      <c r="AT297" s="3"/>
      <c r="AU297" s="3"/>
      <c r="AV297" s="42"/>
      <c r="AW297" s="3"/>
      <c r="AX297" s="42"/>
      <c r="AY297" s="3"/>
      <c r="AZ297" s="42"/>
      <c r="BA297" s="3"/>
      <c r="BB297" s="42"/>
      <c r="BC297" s="3"/>
      <c r="BE297" s="3"/>
    </row>
    <row r="298" spans="1:57" hidden="1" x14ac:dyDescent="0.25">
      <c r="A298" s="3" t="s">
        <v>246</v>
      </c>
      <c r="B298" s="3"/>
      <c r="D298" s="3"/>
      <c r="E298" s="3"/>
      <c r="F298" s="3"/>
      <c r="K298" s="4"/>
      <c r="L298" s="4"/>
      <c r="N298" s="4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>
        <f>AE298-AC298</f>
        <v>10000</v>
      </c>
      <c r="AE298" s="3">
        <v>10000</v>
      </c>
      <c r="AF298" s="3">
        <f>AE298-Y298</f>
        <v>10000</v>
      </c>
      <c r="AG298" s="4"/>
      <c r="AH298" s="4"/>
      <c r="AJ298" s="3"/>
      <c r="AK298" s="3">
        <f t="shared" si="156"/>
        <v>0</v>
      </c>
      <c r="AL298" s="3"/>
      <c r="AM298" s="3">
        <f t="shared" si="157"/>
        <v>0</v>
      </c>
      <c r="AO298" s="3"/>
      <c r="AP298" s="3"/>
      <c r="AQ298" s="3"/>
      <c r="AR298" s="3"/>
      <c r="AS298" s="3"/>
      <c r="AT298" s="3"/>
      <c r="AU298" s="3"/>
      <c r="AV298" s="42"/>
      <c r="AW298" s="3"/>
      <c r="AX298" s="42"/>
      <c r="AY298" s="3"/>
      <c r="AZ298" s="42"/>
      <c r="BA298" s="3"/>
      <c r="BB298" s="42"/>
      <c r="BC298" s="3"/>
      <c r="BE298" s="3"/>
    </row>
    <row r="299" spans="1:57" x14ac:dyDescent="0.25">
      <c r="A299" s="3" t="s">
        <v>247</v>
      </c>
      <c r="B299" s="3"/>
      <c r="D299" s="3"/>
      <c r="E299" s="3">
        <f t="shared" si="168"/>
        <v>0</v>
      </c>
      <c r="F299" s="3"/>
      <c r="H299" s="5">
        <f t="shared" si="169"/>
        <v>0</v>
      </c>
      <c r="K299" s="4">
        <f t="shared" si="166"/>
        <v>0</v>
      </c>
      <c r="L299" s="4"/>
      <c r="N299" s="4">
        <f t="shared" si="167"/>
        <v>0</v>
      </c>
      <c r="P299" s="3"/>
      <c r="Q299" s="3"/>
      <c r="R299" s="3"/>
      <c r="S299" s="3">
        <f t="shared" si="162"/>
        <v>0</v>
      </c>
      <c r="T299" s="3"/>
      <c r="U299" s="3">
        <f t="shared" si="163"/>
        <v>0</v>
      </c>
      <c r="V299" s="3"/>
      <c r="W299" s="3">
        <f t="shared" si="164"/>
        <v>0</v>
      </c>
      <c r="X299" s="3"/>
      <c r="Y299" s="3"/>
      <c r="Z299" s="3">
        <f t="shared" si="165"/>
        <v>0</v>
      </c>
      <c r="AA299" s="3"/>
      <c r="AB299" s="3"/>
      <c r="AC299" s="3"/>
      <c r="AD299" s="3">
        <f t="shared" si="160"/>
        <v>0</v>
      </c>
      <c r="AE299" s="3"/>
      <c r="AF299" s="3">
        <f t="shared" si="161"/>
        <v>0</v>
      </c>
      <c r="AG299" s="4"/>
      <c r="AH299" s="4"/>
      <c r="AJ299" s="3"/>
      <c r="AK299" s="3">
        <f t="shared" si="156"/>
        <v>0</v>
      </c>
      <c r="AL299" s="3"/>
      <c r="AM299" s="3">
        <f t="shared" si="157"/>
        <v>0</v>
      </c>
      <c r="AO299" s="3"/>
      <c r="AP299" s="3"/>
      <c r="AQ299" s="3"/>
      <c r="AR299" s="3"/>
      <c r="AS299" s="3"/>
      <c r="AT299" s="3"/>
      <c r="AU299" s="3"/>
      <c r="AV299" s="42"/>
      <c r="AW299" s="3"/>
      <c r="AX299" s="42"/>
      <c r="AY299" s="3"/>
      <c r="AZ299" s="42"/>
      <c r="BA299" s="3"/>
      <c r="BB299" s="42"/>
      <c r="BC299" s="3"/>
      <c r="BE299" s="3"/>
    </row>
    <row r="300" spans="1:57" x14ac:dyDescent="0.25">
      <c r="A300" s="3" t="s">
        <v>248</v>
      </c>
      <c r="B300" s="3">
        <v>20000</v>
      </c>
      <c r="D300" s="3">
        <v>5280</v>
      </c>
      <c r="E300" s="3">
        <f t="shared" si="168"/>
        <v>24720</v>
      </c>
      <c r="F300" s="3">
        <v>30000</v>
      </c>
      <c r="H300" s="5">
        <f t="shared" si="169"/>
        <v>10000</v>
      </c>
      <c r="J300" s="5">
        <v>19652</v>
      </c>
      <c r="K300" s="4">
        <f t="shared" si="166"/>
        <v>10348</v>
      </c>
      <c r="L300" s="4">
        <v>30000</v>
      </c>
      <c r="N300" s="4">
        <f t="shared" si="167"/>
        <v>0</v>
      </c>
      <c r="P300" s="3">
        <v>30000</v>
      </c>
      <c r="Q300" s="3"/>
      <c r="R300" s="3">
        <v>0</v>
      </c>
      <c r="S300" s="3">
        <f t="shared" si="162"/>
        <v>30000</v>
      </c>
      <c r="T300" s="3">
        <v>30000</v>
      </c>
      <c r="U300" s="3">
        <f t="shared" si="163"/>
        <v>0</v>
      </c>
      <c r="V300" s="3">
        <v>0</v>
      </c>
      <c r="W300" s="3">
        <f t="shared" si="164"/>
        <v>30000</v>
      </c>
      <c r="X300" s="3"/>
      <c r="Y300" s="3">
        <v>30000</v>
      </c>
      <c r="Z300" s="3">
        <f t="shared" si="165"/>
        <v>0</v>
      </c>
      <c r="AA300" s="3"/>
      <c r="AB300" s="3"/>
      <c r="AC300" s="3"/>
      <c r="AD300" s="3">
        <f t="shared" si="160"/>
        <v>30000</v>
      </c>
      <c r="AE300" s="3">
        <v>30000</v>
      </c>
      <c r="AF300" s="3">
        <f t="shared" si="161"/>
        <v>0</v>
      </c>
      <c r="AG300" s="4"/>
      <c r="AH300" s="4">
        <v>30000</v>
      </c>
      <c r="AJ300" s="3"/>
      <c r="AK300" s="3">
        <f t="shared" si="156"/>
        <v>30000</v>
      </c>
      <c r="AL300" s="3">
        <v>30000</v>
      </c>
      <c r="AM300" s="3">
        <f t="shared" si="157"/>
        <v>0</v>
      </c>
      <c r="AO300" s="3">
        <v>30000</v>
      </c>
      <c r="AP300" s="3"/>
      <c r="AQ300" s="3">
        <v>30000</v>
      </c>
      <c r="AR300" s="3"/>
      <c r="AS300" s="3">
        <v>30000</v>
      </c>
      <c r="AT300" s="3"/>
      <c r="AU300" s="3">
        <v>30000</v>
      </c>
      <c r="AV300" s="42"/>
      <c r="AW300" s="3">
        <v>30000</v>
      </c>
      <c r="AX300" s="42"/>
      <c r="AY300" s="3">
        <v>30000</v>
      </c>
      <c r="AZ300" s="42"/>
      <c r="BA300" s="3">
        <v>30000</v>
      </c>
      <c r="BB300" s="42"/>
      <c r="BC300" s="3">
        <v>30000</v>
      </c>
      <c r="BE300" s="3">
        <v>30000</v>
      </c>
    </row>
    <row r="301" spans="1:57" x14ac:dyDescent="0.25">
      <c r="A301" s="3"/>
      <c r="B301" s="48">
        <f>SUM(B270:B300)</f>
        <v>2886750</v>
      </c>
      <c r="C301" s="32"/>
      <c r="D301" s="48">
        <f>SUM(D270:D300)</f>
        <v>5280</v>
      </c>
      <c r="E301" s="48">
        <f>SUM(E270:E300)</f>
        <v>3819352</v>
      </c>
      <c r="F301" s="48">
        <f>SUM(F270:F300)</f>
        <v>3824632</v>
      </c>
      <c r="G301" s="32"/>
      <c r="H301" s="48">
        <f>SUM(H270:H300)</f>
        <v>937882</v>
      </c>
      <c r="I301" s="36"/>
      <c r="J301" s="48">
        <f>SUM(J270:J300)</f>
        <v>876242</v>
      </c>
      <c r="K301" s="48">
        <f>SUM(K270:K300)</f>
        <v>2948390</v>
      </c>
      <c r="L301" s="48">
        <f>SUM(L270:L300)</f>
        <v>3824632</v>
      </c>
      <c r="M301" s="32"/>
      <c r="N301" s="48">
        <f>SUM(N270:N300)</f>
        <v>0</v>
      </c>
      <c r="P301" s="48">
        <f>SUM(P270:P300)</f>
        <v>2578750</v>
      </c>
      <c r="R301" s="48">
        <f t="shared" ref="R301:Z301" si="170">SUM(R270:R300)</f>
        <v>0</v>
      </c>
      <c r="S301" s="48">
        <f t="shared" si="170"/>
        <v>2657750</v>
      </c>
      <c r="T301" s="48">
        <f t="shared" si="170"/>
        <v>2657750</v>
      </c>
      <c r="U301" s="48">
        <f t="shared" si="170"/>
        <v>79000</v>
      </c>
      <c r="V301" s="48">
        <f t="shared" si="170"/>
        <v>86150</v>
      </c>
      <c r="W301" s="48">
        <f t="shared" si="170"/>
        <v>2571750</v>
      </c>
      <c r="X301" s="48"/>
      <c r="Y301" s="48">
        <f t="shared" si="170"/>
        <v>2657900</v>
      </c>
      <c r="Z301" s="48">
        <f t="shared" si="170"/>
        <v>150</v>
      </c>
      <c r="AC301" s="48">
        <f>SUM(AC270:AC300)</f>
        <v>199402</v>
      </c>
      <c r="AD301" s="48">
        <f>SUM(AD270:AD300)</f>
        <v>2468598</v>
      </c>
      <c r="AE301" s="48">
        <f>SUM(AE270:AE300)</f>
        <v>2668000</v>
      </c>
      <c r="AF301" s="48">
        <f>SUM(AF270:AF300)</f>
        <v>10100</v>
      </c>
      <c r="AH301" s="36">
        <f>SUM(AH270:AH300)</f>
        <v>3559649.5</v>
      </c>
      <c r="AI301" s="32"/>
      <c r="AJ301" s="48">
        <f>SUM(AJ270:AJ300)</f>
        <v>0</v>
      </c>
      <c r="AK301" s="48">
        <f>SUM(AK270:AK300)</f>
        <v>3608650</v>
      </c>
      <c r="AL301" s="48">
        <f>SUM(AL270:AL300)</f>
        <v>3608650</v>
      </c>
      <c r="AM301" s="48">
        <f>SUM(AM270:AM300)</f>
        <v>49000.5</v>
      </c>
      <c r="AN301" s="32"/>
      <c r="AO301" s="48">
        <f>SUM(AO270:AO300)</f>
        <v>60538.985000000001</v>
      </c>
      <c r="AQ301" s="48">
        <f>SUM(AQ270:AQ300)</f>
        <v>61455.154550000007</v>
      </c>
      <c r="AS301" s="48">
        <f>SUM(AS270:AS300)</f>
        <v>62398.809186500002</v>
      </c>
      <c r="AT301" s="48"/>
      <c r="AU301" s="48">
        <f>SUM(AU270:AU300)</f>
        <v>63370.773462095007</v>
      </c>
      <c r="AW301" s="48">
        <f>SUM(AW270:AW300)</f>
        <v>64371.896665957858</v>
      </c>
      <c r="AY301" s="48">
        <f>SUM(AY270:AY300)</f>
        <v>65403.053565936592</v>
      </c>
      <c r="BA301" s="48">
        <f>SUM(BA270:BA300)</f>
        <v>66465.145172914694</v>
      </c>
      <c r="BC301" s="48">
        <f>SUM(BC270:BC300)</f>
        <v>67559.099528102146</v>
      </c>
      <c r="BE301" s="48">
        <f>SUM(BE270:BE300)</f>
        <v>68685.872513945214</v>
      </c>
    </row>
    <row r="302" spans="1:57" ht="15.75" thickBot="1" x14ac:dyDescent="0.3">
      <c r="A302" s="7" t="s">
        <v>249</v>
      </c>
      <c r="B302" s="43">
        <f>B301+B268 +B251+B247+B236+B242</f>
        <v>3372750</v>
      </c>
      <c r="C302" s="32"/>
      <c r="D302" s="43">
        <f>D301+D268 +D251+D247+D236+D242</f>
        <v>5280</v>
      </c>
      <c r="E302" s="43">
        <f>E301+E268 +E251+E247+E236+E242</f>
        <v>4282352</v>
      </c>
      <c r="F302" s="43">
        <f>F301+F268 +F251+F247+F236+F242</f>
        <v>4287632</v>
      </c>
      <c r="G302" s="32"/>
      <c r="H302" s="43">
        <f>H301+H268 +H251+H247+H236+H242</f>
        <v>914882</v>
      </c>
      <c r="I302" s="36"/>
      <c r="J302" s="43">
        <f>J301+J268 +J251+J247+J236+J242</f>
        <v>1094006</v>
      </c>
      <c r="K302" s="43">
        <f>K301+K268 +K251+K247+K236+K242</f>
        <v>3235686</v>
      </c>
      <c r="L302" s="43">
        <f>L301+L268 +L251+L247+L236+L242</f>
        <v>4329692</v>
      </c>
      <c r="M302" s="32"/>
      <c r="N302" s="43">
        <f>N301+N268 +N251+N247+N236+N242</f>
        <v>42060</v>
      </c>
      <c r="P302" s="43">
        <f>P301+P268 +P251+P247+P236+P242</f>
        <v>3078950</v>
      </c>
      <c r="R302" s="43">
        <f t="shared" ref="R302:Z302" si="171">R301+R268 +R251+R247+R236+R242</f>
        <v>0</v>
      </c>
      <c r="S302" s="43">
        <f t="shared" si="171"/>
        <v>3157950</v>
      </c>
      <c r="T302" s="43">
        <f t="shared" si="171"/>
        <v>3157950</v>
      </c>
      <c r="U302" s="43">
        <f t="shared" si="171"/>
        <v>79000</v>
      </c>
      <c r="V302" s="43">
        <f t="shared" si="171"/>
        <v>155898</v>
      </c>
      <c r="W302" s="43">
        <f t="shared" si="171"/>
        <v>3075142</v>
      </c>
      <c r="X302" s="43"/>
      <c r="Y302" s="43">
        <f t="shared" si="171"/>
        <v>3230890</v>
      </c>
      <c r="Z302" s="43">
        <f t="shared" si="171"/>
        <v>72940</v>
      </c>
      <c r="AC302" s="43">
        <f>AC301+AC268 +AC251+AC247+AC236+AC242</f>
        <v>421106</v>
      </c>
      <c r="AD302" s="43">
        <f>AD301+AD268 +AD251+AD247+AD236+AD242</f>
        <v>2818254</v>
      </c>
      <c r="AE302" s="43">
        <f>AE301+AE268 +AE251+AE247+AE236+AE242</f>
        <v>3239360</v>
      </c>
      <c r="AF302" s="43">
        <f>AF301+AF268 +AF251+AF247+AF236+AF242</f>
        <v>8470</v>
      </c>
      <c r="AH302" s="36">
        <f>AH301+AH268 +AH251+AH247+AH236+AH242</f>
        <v>4058699.5</v>
      </c>
      <c r="AI302" s="32"/>
      <c r="AJ302" s="43">
        <f>AJ301+AJ268 +AJ251+AJ247+AJ236+AJ242</f>
        <v>109628</v>
      </c>
      <c r="AK302" s="43">
        <f>AK301+AK268 +AK251+AK247+AK236+AK242</f>
        <v>4107700</v>
      </c>
      <c r="AL302" s="43">
        <f>AL301+AL268 +AL251+AL247+AL236+AL242</f>
        <v>4217328</v>
      </c>
      <c r="AM302" s="43">
        <f>AM301+AM268 +AM251+AM247+AM236+AM242</f>
        <v>158628.5</v>
      </c>
      <c r="AN302" s="32"/>
      <c r="AO302" s="43">
        <f>AO301+AO268 +AO251+AO247+AO236+AO242</f>
        <v>565188.98499999999</v>
      </c>
      <c r="AQ302" s="43">
        <f>AQ301+AQ268 +AQ251+AQ247+AQ236+AQ242</f>
        <v>620955.15454999998</v>
      </c>
      <c r="AS302" s="43">
        <f>AS301+AS268 +AS251+AS247+AS236+AS242</f>
        <v>591548.80918650003</v>
      </c>
      <c r="AT302" s="43"/>
      <c r="AU302" s="43">
        <f>AU301+AU268 +AU251+AU247+AU236+AU242</f>
        <v>618470.77346209507</v>
      </c>
      <c r="AW302" s="43">
        <f>AW301+AW268 +AW251+AW247+AW236+AW242</f>
        <v>661721.89666595787</v>
      </c>
      <c r="AY302" s="43">
        <f>AY301+AY268 +AY251+AY247+AY236+AY242</f>
        <v>628403.05356593663</v>
      </c>
      <c r="BA302" s="43">
        <f>BA301+BA268 +BA251+BA247+BA236+BA242</f>
        <v>654365.14517291472</v>
      </c>
      <c r="BC302" s="43">
        <f>BC301+BC268 +BC251+BC247+BC236+BC242</f>
        <v>654209.0995281022</v>
      </c>
      <c r="BE302" s="43">
        <f>BE301+BE268 +BE251+BE247+BE236+BE242</f>
        <v>655335.87251394521</v>
      </c>
    </row>
    <row r="303" spans="1:57" ht="15.75" thickTop="1" x14ac:dyDescent="0.25">
      <c r="A303" s="7" t="s">
        <v>250</v>
      </c>
    </row>
    <row r="304" spans="1:57" x14ac:dyDescent="0.25">
      <c r="A304" s="7" t="s">
        <v>251</v>
      </c>
    </row>
    <row r="305" spans="1:57" s="42" customFormat="1" x14ac:dyDescent="0.25">
      <c r="A305" s="3" t="s">
        <v>252</v>
      </c>
      <c r="B305" s="3">
        <v>8100</v>
      </c>
      <c r="C305" s="3"/>
      <c r="D305" s="3">
        <v>2012</v>
      </c>
      <c r="E305" s="3">
        <f>F305-D305</f>
        <v>6088</v>
      </c>
      <c r="F305" s="3">
        <v>8100</v>
      </c>
      <c r="G305" s="3"/>
      <c r="H305" s="5">
        <f>F305-B305</f>
        <v>0</v>
      </c>
      <c r="I305" s="5"/>
      <c r="J305" s="5">
        <v>4025</v>
      </c>
      <c r="K305" s="4">
        <f>L305-J305</f>
        <v>4075</v>
      </c>
      <c r="L305" s="4">
        <v>8100</v>
      </c>
      <c r="M305" s="4"/>
      <c r="N305" s="4">
        <f>L305-F305</f>
        <v>0</v>
      </c>
      <c r="O305" s="4"/>
      <c r="P305" s="3">
        <f>L305*1.025-3</f>
        <v>8299.5</v>
      </c>
      <c r="Q305" s="3"/>
      <c r="R305" s="3">
        <v>2045</v>
      </c>
      <c r="S305" s="3">
        <f>T305-R305</f>
        <v>6255</v>
      </c>
      <c r="T305" s="3">
        <v>8300</v>
      </c>
      <c r="U305" s="3">
        <f>T305-P305</f>
        <v>0.5</v>
      </c>
      <c r="V305" s="3">
        <v>4092</v>
      </c>
      <c r="W305" s="3">
        <f>Y305-V305</f>
        <v>4208</v>
      </c>
      <c r="X305" s="3"/>
      <c r="Y305" s="3">
        <v>8300</v>
      </c>
      <c r="Z305" s="3">
        <f>Y305-T305</f>
        <v>0</v>
      </c>
      <c r="AA305" s="3"/>
      <c r="AB305" s="3"/>
      <c r="AC305" s="3">
        <v>6134</v>
      </c>
      <c r="AD305" s="3">
        <f>AE305-AC305</f>
        <v>2166</v>
      </c>
      <c r="AE305" s="3">
        <v>8300</v>
      </c>
      <c r="AF305" s="3">
        <f>AE305-Y305</f>
        <v>0</v>
      </c>
      <c r="AG305" s="4"/>
      <c r="AH305" s="4">
        <f>AE305*1.03+1</f>
        <v>8550</v>
      </c>
      <c r="AI305" s="4"/>
      <c r="AJ305" s="3">
        <v>2101</v>
      </c>
      <c r="AK305" s="3">
        <f>AL305-AJ305</f>
        <v>6449</v>
      </c>
      <c r="AL305" s="3">
        <v>8550</v>
      </c>
      <c r="AM305" s="3">
        <f>AL305-AH305</f>
        <v>0</v>
      </c>
      <c r="AN305" s="4"/>
      <c r="AO305" s="3">
        <f>AH305*1.03</f>
        <v>8806.5</v>
      </c>
      <c r="AP305" s="3"/>
      <c r="AQ305" s="3">
        <f>AO305*1.03</f>
        <v>9070.6949999999997</v>
      </c>
      <c r="AR305" s="3"/>
      <c r="AS305" s="3">
        <f>AQ305*1.03</f>
        <v>9342.815849999999</v>
      </c>
      <c r="AT305" s="3"/>
      <c r="AU305" s="3">
        <f>AS305*1.03</f>
        <v>9623.1003254999996</v>
      </c>
      <c r="AW305" s="3">
        <f>AU305*1.03</f>
        <v>9911.7933352649998</v>
      </c>
      <c r="AY305" s="3">
        <f>AW305*1.03</f>
        <v>10209.14713532295</v>
      </c>
      <c r="BA305" s="3">
        <f>AY305*1.03</f>
        <v>10515.42154938264</v>
      </c>
      <c r="BC305" s="3">
        <f>BA305*1.03</f>
        <v>10830.884195864119</v>
      </c>
      <c r="BE305" s="3">
        <f>BC305*1.03</f>
        <v>11155.810721740043</v>
      </c>
    </row>
    <row r="306" spans="1:57" x14ac:dyDescent="0.25">
      <c r="A306" s="3" t="s">
        <v>251</v>
      </c>
      <c r="B306" s="3"/>
      <c r="D306" s="3"/>
      <c r="E306" s="3">
        <f>F306-D306</f>
        <v>0</v>
      </c>
      <c r="F306" s="3"/>
      <c r="H306" s="5">
        <f>F306-B306</f>
        <v>0</v>
      </c>
      <c r="K306" s="4">
        <f>L306-J306</f>
        <v>0</v>
      </c>
      <c r="L306" s="4"/>
      <c r="N306" s="4">
        <f>L306-F306</f>
        <v>0</v>
      </c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>
        <f>AE306-AC306</f>
        <v>0</v>
      </c>
      <c r="AE306" s="3"/>
      <c r="AF306" s="3">
        <f>AE306-Y306</f>
        <v>0</v>
      </c>
      <c r="AG306" s="4"/>
      <c r="AH306" s="4"/>
      <c r="AJ306" s="3"/>
      <c r="AK306" s="3">
        <f>AL306-AJ306</f>
        <v>0</v>
      </c>
      <c r="AL306" s="3"/>
      <c r="AM306" s="3">
        <f>AL306-AH306</f>
        <v>0</v>
      </c>
      <c r="AO306" s="3"/>
      <c r="AP306" s="3"/>
      <c r="AQ306" s="3"/>
      <c r="AR306" s="3"/>
      <c r="AS306" s="3"/>
      <c r="AT306" s="3"/>
      <c r="AU306" s="3"/>
      <c r="AV306" s="42"/>
      <c r="AW306" s="3"/>
      <c r="AY306" s="3"/>
      <c r="BA306" s="3"/>
      <c r="BC306" s="3"/>
      <c r="BE306" s="3"/>
    </row>
    <row r="307" spans="1:57" x14ac:dyDescent="0.25">
      <c r="A307" s="3"/>
      <c r="B307" s="48">
        <f>SUM(B305:B306)</f>
        <v>8100</v>
      </c>
      <c r="C307" s="32"/>
      <c r="D307" s="48">
        <f>SUM(D305:D306)</f>
        <v>2012</v>
      </c>
      <c r="E307" s="48">
        <f>SUM(E305:E306)</f>
        <v>6088</v>
      </c>
      <c r="F307" s="48">
        <f>SUM(F305:F306)</f>
        <v>8100</v>
      </c>
      <c r="G307" s="32"/>
      <c r="H307" s="48">
        <f>SUM(H305:H306)</f>
        <v>0</v>
      </c>
      <c r="I307" s="36"/>
      <c r="J307" s="48">
        <f>SUM(J305:J306)</f>
        <v>4025</v>
      </c>
      <c r="K307" s="48">
        <f>SUM(K305:K306)</f>
        <v>4075</v>
      </c>
      <c r="L307" s="48">
        <f>SUM(L305:L306)</f>
        <v>8100</v>
      </c>
      <c r="M307" s="32"/>
      <c r="N307" s="48">
        <f>SUM(N305:N306)</f>
        <v>0</v>
      </c>
      <c r="P307" s="48">
        <f>SUM(P305:P306)</f>
        <v>8299.5</v>
      </c>
      <c r="R307" s="48">
        <f t="shared" ref="R307:Z307" si="172">SUM(R305:R306)</f>
        <v>2045</v>
      </c>
      <c r="S307" s="48">
        <f t="shared" si="172"/>
        <v>6255</v>
      </c>
      <c r="T307" s="48">
        <f t="shared" si="172"/>
        <v>8300</v>
      </c>
      <c r="U307" s="48">
        <f t="shared" si="172"/>
        <v>0.5</v>
      </c>
      <c r="V307" s="48">
        <f t="shared" si="172"/>
        <v>4092</v>
      </c>
      <c r="W307" s="48">
        <f t="shared" si="172"/>
        <v>4208</v>
      </c>
      <c r="X307" s="48"/>
      <c r="Y307" s="48">
        <f t="shared" si="172"/>
        <v>8300</v>
      </c>
      <c r="Z307" s="48">
        <f t="shared" si="172"/>
        <v>0</v>
      </c>
      <c r="AC307" s="48">
        <f>SUM(AC305:AC306)</f>
        <v>6134</v>
      </c>
      <c r="AD307" s="48">
        <f>SUM(AD305:AD306)</f>
        <v>2166</v>
      </c>
      <c r="AE307" s="48">
        <f>SUM(AE305:AE306)</f>
        <v>8300</v>
      </c>
      <c r="AF307" s="48">
        <f>SUM(AF305:AF306)</f>
        <v>0</v>
      </c>
      <c r="AH307" s="36">
        <f>SUM(AH305:AH306)</f>
        <v>8550</v>
      </c>
      <c r="AI307" s="32"/>
      <c r="AJ307" s="48">
        <f>SUM(AJ305:AJ306)</f>
        <v>2101</v>
      </c>
      <c r="AK307" s="48">
        <f>SUM(AK305:AK306)</f>
        <v>6449</v>
      </c>
      <c r="AL307" s="48">
        <f>SUM(AL305:AL306)</f>
        <v>8550</v>
      </c>
      <c r="AM307" s="48">
        <f>SUM(AM305:AM306)</f>
        <v>0</v>
      </c>
      <c r="AN307" s="32"/>
      <c r="AO307" s="48">
        <f>SUM(AO305:AO306)</f>
        <v>8806.5</v>
      </c>
      <c r="AQ307" s="48">
        <f>SUM(AQ305:AQ306)</f>
        <v>9070.6949999999997</v>
      </c>
      <c r="AS307" s="48">
        <f>SUM(AS305:AS306)</f>
        <v>9342.815849999999</v>
      </c>
      <c r="AT307" s="48"/>
      <c r="AU307" s="48">
        <f>SUM(AU305:AU306)</f>
        <v>9623.1003254999996</v>
      </c>
      <c r="AW307" s="48">
        <f>SUM(AW305:AW306)</f>
        <v>9911.7933352649998</v>
      </c>
      <c r="AY307" s="48">
        <f>SUM(AY305:AY306)</f>
        <v>10209.14713532295</v>
      </c>
      <c r="BA307" s="48">
        <f>SUM(BA305:BA306)</f>
        <v>10515.42154938264</v>
      </c>
      <c r="BC307" s="48">
        <f>SUM(BC305:BC306)</f>
        <v>10830.884195864119</v>
      </c>
      <c r="BE307" s="48">
        <f>SUM(BE305:BE306)</f>
        <v>11155.810721740043</v>
      </c>
    </row>
    <row r="308" spans="1:57" x14ac:dyDescent="0.25">
      <c r="A308" s="7" t="s">
        <v>253</v>
      </c>
    </row>
    <row r="309" spans="1:57" x14ac:dyDescent="0.25">
      <c r="A309" s="3" t="s">
        <v>254</v>
      </c>
      <c r="AK309" s="3">
        <f t="shared" ref="AK309:AK316" si="173">AL309-AJ309</f>
        <v>0</v>
      </c>
      <c r="AM309" s="3">
        <f t="shared" ref="AM309:AM316" si="174">AL309-AH309</f>
        <v>0</v>
      </c>
    </row>
    <row r="310" spans="1:57" x14ac:dyDescent="0.25">
      <c r="A310" s="3" t="s">
        <v>255</v>
      </c>
      <c r="AD310" s="3">
        <f t="shared" ref="AD310:AD316" si="175">AE310-AC310</f>
        <v>0</v>
      </c>
      <c r="AE310" s="3"/>
      <c r="AF310" s="3">
        <f t="shared" ref="AF310:AF316" si="176">AE310-Y310</f>
        <v>0</v>
      </c>
      <c r="AK310" s="3">
        <f t="shared" si="173"/>
        <v>0</v>
      </c>
      <c r="AM310" s="3">
        <f t="shared" si="174"/>
        <v>0</v>
      </c>
    </row>
    <row r="311" spans="1:57" x14ac:dyDescent="0.25">
      <c r="A311" s="3" t="s">
        <v>256</v>
      </c>
      <c r="B311" s="3">
        <v>16000</v>
      </c>
      <c r="D311" s="3">
        <v>2765</v>
      </c>
      <c r="E311" s="3">
        <f t="shared" ref="E311:E316" si="177">F311-D311</f>
        <v>12235</v>
      </c>
      <c r="F311" s="3">
        <v>15000</v>
      </c>
      <c r="H311" s="5">
        <f t="shared" ref="H311:H316" si="178">F311-B311</f>
        <v>-1000</v>
      </c>
      <c r="J311" s="5">
        <v>6336</v>
      </c>
      <c r="K311" s="4">
        <f t="shared" ref="K311:K316" si="179">L311-J311</f>
        <v>8664</v>
      </c>
      <c r="L311" s="4">
        <v>15000</v>
      </c>
      <c r="N311" s="4">
        <f t="shared" ref="N311:N316" si="180">L311-F311</f>
        <v>0</v>
      </c>
      <c r="P311" s="3">
        <f>L311*1.025</f>
        <v>15374.999999999998</v>
      </c>
      <c r="Q311" s="3"/>
      <c r="R311" s="3">
        <v>2509</v>
      </c>
      <c r="S311" s="3">
        <f t="shared" ref="S311:S316" si="181">T311-R311</f>
        <v>10491</v>
      </c>
      <c r="T311" s="3">
        <v>13000</v>
      </c>
      <c r="U311" s="3">
        <f t="shared" ref="U311:U316" si="182">T311-P311</f>
        <v>-2374.9999999999982</v>
      </c>
      <c r="V311" s="3">
        <v>5645</v>
      </c>
      <c r="W311" s="3">
        <f t="shared" ref="W311:W316" si="183">Y311-V311</f>
        <v>7355</v>
      </c>
      <c r="X311" s="3"/>
      <c r="Y311" s="3">
        <v>13000</v>
      </c>
      <c r="Z311" s="3">
        <f t="shared" ref="Z311:Z316" si="184">Y311-T311</f>
        <v>0</v>
      </c>
      <c r="AA311" s="3"/>
      <c r="AB311" s="3"/>
      <c r="AC311" s="3">
        <v>8559</v>
      </c>
      <c r="AD311" s="3">
        <f t="shared" si="175"/>
        <v>3941</v>
      </c>
      <c r="AE311" s="3">
        <v>12500</v>
      </c>
      <c r="AF311" s="3">
        <f t="shared" si="176"/>
        <v>-500</v>
      </c>
      <c r="AG311" s="4"/>
      <c r="AH311" s="4">
        <v>13000</v>
      </c>
      <c r="AJ311" s="3">
        <v>2356</v>
      </c>
      <c r="AK311" s="3">
        <f t="shared" si="173"/>
        <v>10644</v>
      </c>
      <c r="AL311" s="3">
        <v>13000</v>
      </c>
      <c r="AM311" s="3">
        <f t="shared" si="174"/>
        <v>0</v>
      </c>
      <c r="AO311" s="3">
        <f>AH311*1.025</f>
        <v>13324.999999999998</v>
      </c>
      <c r="AP311" s="3"/>
      <c r="AQ311" s="3">
        <f>AO311*1.025</f>
        <v>13658.124999999996</v>
      </c>
      <c r="AR311" s="3"/>
      <c r="AS311" s="3">
        <f>AQ311*1.025</f>
        <v>13999.578124999995</v>
      </c>
      <c r="AT311" s="3"/>
      <c r="AU311" s="3">
        <f>AS311*1.025</f>
        <v>14349.567578124994</v>
      </c>
      <c r="AV311" s="42"/>
      <c r="AW311" s="3">
        <f>AU311*1.025</f>
        <v>14708.306767578117</v>
      </c>
      <c r="AX311" s="42"/>
      <c r="AY311" s="3">
        <f>AW311*1.025</f>
        <v>15076.014436767568</v>
      </c>
      <c r="AZ311" s="42"/>
      <c r="BA311" s="3">
        <f>AY311*1.025</f>
        <v>15452.914797686755</v>
      </c>
      <c r="BB311" s="42"/>
      <c r="BC311" s="3">
        <f>BA311*1.025</f>
        <v>15839.237667628922</v>
      </c>
      <c r="BE311" s="3">
        <f>BC311*1.025</f>
        <v>16235.218609319643</v>
      </c>
    </row>
    <row r="312" spans="1:57" x14ac:dyDescent="0.25">
      <c r="A312" s="3" t="s">
        <v>257</v>
      </c>
      <c r="B312" s="3">
        <v>53000</v>
      </c>
      <c r="D312" s="3">
        <v>10308</v>
      </c>
      <c r="E312" s="3">
        <f t="shared" si="177"/>
        <v>42692</v>
      </c>
      <c r="F312" s="3">
        <v>53000</v>
      </c>
      <c r="H312" s="5">
        <f t="shared" si="178"/>
        <v>0</v>
      </c>
      <c r="J312" s="5">
        <v>22975</v>
      </c>
      <c r="K312" s="4">
        <f t="shared" si="179"/>
        <v>30025</v>
      </c>
      <c r="L312" s="4">
        <v>53000</v>
      </c>
      <c r="N312" s="4">
        <f t="shared" si="180"/>
        <v>0</v>
      </c>
      <c r="P312" s="3">
        <f>L312*1.025</f>
        <v>54324.999999999993</v>
      </c>
      <c r="Q312" s="3"/>
      <c r="R312" s="3">
        <v>9489</v>
      </c>
      <c r="S312" s="3">
        <f t="shared" si="181"/>
        <v>35511</v>
      </c>
      <c r="T312" s="3">
        <v>45000</v>
      </c>
      <c r="U312" s="3">
        <f t="shared" si="182"/>
        <v>-9324.9999999999927</v>
      </c>
      <c r="V312" s="3">
        <v>20063</v>
      </c>
      <c r="W312" s="3">
        <f t="shared" si="183"/>
        <v>24937</v>
      </c>
      <c r="X312" s="3"/>
      <c r="Y312" s="3">
        <v>45000</v>
      </c>
      <c r="Z312" s="3">
        <f t="shared" si="184"/>
        <v>0</v>
      </c>
      <c r="AA312" s="3"/>
      <c r="AB312" s="3"/>
      <c r="AC312" s="3">
        <v>32152</v>
      </c>
      <c r="AD312" s="3">
        <f t="shared" si="175"/>
        <v>12848</v>
      </c>
      <c r="AE312" s="3">
        <v>45000</v>
      </c>
      <c r="AF312" s="3">
        <f t="shared" si="176"/>
        <v>0</v>
      </c>
      <c r="AG312" s="4"/>
      <c r="AH312" s="4">
        <v>46500</v>
      </c>
      <c r="AJ312" s="3">
        <v>8653</v>
      </c>
      <c r="AK312" s="3">
        <f t="shared" si="173"/>
        <v>37847</v>
      </c>
      <c r="AL312" s="3">
        <v>46500</v>
      </c>
      <c r="AM312" s="3">
        <f t="shared" si="174"/>
        <v>0</v>
      </c>
      <c r="AO312" s="3">
        <f>AH312*1.025</f>
        <v>47662.499999999993</v>
      </c>
      <c r="AP312" s="3"/>
      <c r="AQ312" s="3">
        <f>AO312*1.025</f>
        <v>48854.062499999985</v>
      </c>
      <c r="AR312" s="3"/>
      <c r="AS312" s="3">
        <f>AQ312*1.025</f>
        <v>50075.414062499978</v>
      </c>
      <c r="AT312" s="3"/>
      <c r="AU312" s="3">
        <f>AS312*1.025</f>
        <v>51327.299414062472</v>
      </c>
      <c r="AV312" s="42"/>
      <c r="AW312" s="3">
        <f>AU312*1.025</f>
        <v>52610.48189941403</v>
      </c>
      <c r="AX312" s="42"/>
      <c r="AY312" s="3">
        <f>AW312*1.025</f>
        <v>53925.743946899376</v>
      </c>
      <c r="AZ312" s="42"/>
      <c r="BA312" s="3">
        <f>AY312*1.025</f>
        <v>55273.887545571859</v>
      </c>
      <c r="BB312" s="42"/>
      <c r="BC312" s="3">
        <f>BA312*1.025</f>
        <v>56655.734734211153</v>
      </c>
      <c r="BE312" s="3">
        <f>BC312*1.025</f>
        <v>58072.128102566428</v>
      </c>
    </row>
    <row r="313" spans="1:57" x14ac:dyDescent="0.25">
      <c r="A313" s="3" t="s">
        <v>258</v>
      </c>
      <c r="B313" s="3">
        <v>23500</v>
      </c>
      <c r="D313" s="3">
        <v>7360</v>
      </c>
      <c r="E313" s="3">
        <f t="shared" si="177"/>
        <v>18640</v>
      </c>
      <c r="F313" s="3">
        <v>26000</v>
      </c>
      <c r="H313" s="5">
        <f t="shared" si="178"/>
        <v>2500</v>
      </c>
      <c r="J313" s="5">
        <v>11763</v>
      </c>
      <c r="K313" s="4">
        <f t="shared" si="179"/>
        <v>14237</v>
      </c>
      <c r="L313" s="4">
        <v>26000</v>
      </c>
      <c r="N313" s="4">
        <f t="shared" si="180"/>
        <v>0</v>
      </c>
      <c r="P313" s="3">
        <f>L313*1.025</f>
        <v>26649.999999999996</v>
      </c>
      <c r="Q313" s="3"/>
      <c r="R313" s="3">
        <v>4035</v>
      </c>
      <c r="S313" s="3">
        <f t="shared" si="181"/>
        <v>20465</v>
      </c>
      <c r="T313" s="3">
        <v>24500</v>
      </c>
      <c r="U313" s="3">
        <f t="shared" si="182"/>
        <v>-2149.9999999999964</v>
      </c>
      <c r="V313" s="3">
        <v>8690</v>
      </c>
      <c r="W313" s="3">
        <f t="shared" si="183"/>
        <v>13810</v>
      </c>
      <c r="X313" s="3"/>
      <c r="Y313" s="3">
        <v>22500</v>
      </c>
      <c r="Z313" s="3">
        <f t="shared" si="184"/>
        <v>-2000</v>
      </c>
      <c r="AA313" s="3"/>
      <c r="AB313" s="3"/>
      <c r="AC313" s="3">
        <v>13187</v>
      </c>
      <c r="AD313" s="3">
        <f t="shared" si="175"/>
        <v>6813</v>
      </c>
      <c r="AE313" s="3">
        <v>20000</v>
      </c>
      <c r="AF313" s="3">
        <f t="shared" si="176"/>
        <v>-2500</v>
      </c>
      <c r="AG313" s="4"/>
      <c r="AH313" s="4">
        <v>22000</v>
      </c>
      <c r="AJ313" s="3">
        <v>5797</v>
      </c>
      <c r="AK313" s="3">
        <f t="shared" si="173"/>
        <v>16203</v>
      </c>
      <c r="AL313" s="3">
        <v>22000</v>
      </c>
      <c r="AM313" s="3">
        <f t="shared" si="174"/>
        <v>0</v>
      </c>
      <c r="AO313" s="3">
        <f>AH313*1.025</f>
        <v>22549.999999999996</v>
      </c>
      <c r="AP313" s="3"/>
      <c r="AQ313" s="3">
        <f>AO313*1.025</f>
        <v>23113.749999999993</v>
      </c>
      <c r="AR313" s="3"/>
      <c r="AS313" s="3">
        <f>AQ313*1.025</f>
        <v>23691.593749999989</v>
      </c>
      <c r="AT313" s="3"/>
      <c r="AU313" s="3">
        <f>AS313*1.025</f>
        <v>24283.883593749986</v>
      </c>
      <c r="AV313" s="42"/>
      <c r="AW313" s="3">
        <f>AU313*1.025</f>
        <v>24890.980683593734</v>
      </c>
      <c r="AX313" s="42"/>
      <c r="AY313" s="3">
        <f>AW313*1.025</f>
        <v>25513.255200683576</v>
      </c>
      <c r="AZ313" s="42"/>
      <c r="BA313" s="3">
        <f>AY313*1.025</f>
        <v>26151.086580700663</v>
      </c>
      <c r="BB313" s="42"/>
      <c r="BC313" s="3">
        <f>BA313*1.025</f>
        <v>26804.863745218176</v>
      </c>
      <c r="BE313" s="3">
        <f>BC313*1.025</f>
        <v>27474.985338848626</v>
      </c>
    </row>
    <row r="314" spans="1:57" x14ac:dyDescent="0.25">
      <c r="A314" s="3" t="s">
        <v>259</v>
      </c>
      <c r="B314" s="3"/>
      <c r="D314" s="3"/>
      <c r="E314" s="3">
        <f t="shared" si="177"/>
        <v>0</v>
      </c>
      <c r="F314" s="3"/>
      <c r="H314" s="5">
        <f t="shared" si="178"/>
        <v>0</v>
      </c>
      <c r="K314" s="4">
        <f t="shared" si="179"/>
        <v>0</v>
      </c>
      <c r="L314" s="4"/>
      <c r="N314" s="4">
        <f t="shared" si="180"/>
        <v>0</v>
      </c>
      <c r="P314" s="3"/>
      <c r="Q314" s="3"/>
      <c r="R314" s="3"/>
      <c r="S314" s="3">
        <f t="shared" si="181"/>
        <v>0</v>
      </c>
      <c r="T314" s="3"/>
      <c r="U314" s="3">
        <f t="shared" si="182"/>
        <v>0</v>
      </c>
      <c r="V314" s="3"/>
      <c r="W314" s="3">
        <f t="shared" si="183"/>
        <v>0</v>
      </c>
      <c r="X314" s="3"/>
      <c r="Y314" s="3"/>
      <c r="Z314" s="3">
        <f t="shared" si="184"/>
        <v>0</v>
      </c>
      <c r="AA314" s="3"/>
      <c r="AB314" s="3"/>
      <c r="AC314" s="3"/>
      <c r="AD314" s="3">
        <f t="shared" si="175"/>
        <v>0</v>
      </c>
      <c r="AE314" s="3"/>
      <c r="AF314" s="3">
        <f t="shared" si="176"/>
        <v>0</v>
      </c>
      <c r="AG314" s="4"/>
      <c r="AH314" s="4"/>
      <c r="AJ314" s="3"/>
      <c r="AK314" s="3">
        <f t="shared" si="173"/>
        <v>0</v>
      </c>
      <c r="AL314" s="3"/>
      <c r="AM314" s="3">
        <f t="shared" si="174"/>
        <v>0</v>
      </c>
      <c r="AO314" s="3"/>
      <c r="AP314" s="3"/>
      <c r="AQ314" s="3"/>
      <c r="AR314" s="3"/>
      <c r="AS314" s="3"/>
      <c r="AT314" s="3"/>
      <c r="AU314" s="3"/>
      <c r="AV314" s="42"/>
      <c r="AW314" s="3"/>
      <c r="AX314" s="42"/>
      <c r="AY314" s="3"/>
      <c r="AZ314" s="42"/>
      <c r="BA314" s="3"/>
      <c r="BB314" s="42"/>
      <c r="BC314" s="3"/>
      <c r="BE314" s="3"/>
    </row>
    <row r="315" spans="1:57" x14ac:dyDescent="0.25">
      <c r="A315" s="3" t="s">
        <v>260</v>
      </c>
      <c r="B315" s="3">
        <v>17500</v>
      </c>
      <c r="D315" s="3">
        <v>0</v>
      </c>
      <c r="E315" s="3">
        <f t="shared" si="177"/>
        <v>17500</v>
      </c>
      <c r="F315" s="3">
        <v>17500</v>
      </c>
      <c r="H315" s="5">
        <f t="shared" si="178"/>
        <v>0</v>
      </c>
      <c r="K315" s="4">
        <f t="shared" si="179"/>
        <v>17500</v>
      </c>
      <c r="L315" s="4">
        <v>17500</v>
      </c>
      <c r="N315" s="4">
        <f t="shared" si="180"/>
        <v>0</v>
      </c>
      <c r="P315" s="3">
        <v>17500</v>
      </c>
      <c r="Q315" s="3"/>
      <c r="R315" s="3"/>
      <c r="S315" s="3">
        <f t="shared" si="181"/>
        <v>17500</v>
      </c>
      <c r="T315" s="3">
        <v>17500</v>
      </c>
      <c r="U315" s="3">
        <f t="shared" si="182"/>
        <v>0</v>
      </c>
      <c r="V315" s="3">
        <v>0</v>
      </c>
      <c r="W315" s="3">
        <f t="shared" si="183"/>
        <v>0</v>
      </c>
      <c r="X315" s="3"/>
      <c r="Y315" s="3">
        <v>0</v>
      </c>
      <c r="Z315" s="3">
        <f t="shared" si="184"/>
        <v>-17500</v>
      </c>
      <c r="AA315" s="3"/>
      <c r="AB315" s="3"/>
      <c r="AC315" s="3"/>
      <c r="AD315" s="3">
        <f t="shared" si="175"/>
        <v>0</v>
      </c>
      <c r="AE315" s="3"/>
      <c r="AF315" s="3">
        <f t="shared" si="176"/>
        <v>0</v>
      </c>
      <c r="AG315" s="4"/>
      <c r="AH315" s="4"/>
      <c r="AJ315" s="3"/>
      <c r="AK315" s="3">
        <f t="shared" si="173"/>
        <v>0</v>
      </c>
      <c r="AL315" s="3"/>
      <c r="AM315" s="3">
        <f t="shared" si="174"/>
        <v>0</v>
      </c>
      <c r="AO315" s="3"/>
      <c r="AP315" s="3"/>
      <c r="AQ315" s="3"/>
      <c r="AR315" s="3"/>
      <c r="AS315" s="3"/>
      <c r="AT315" s="3"/>
      <c r="AU315" s="3"/>
      <c r="AV315" s="42"/>
      <c r="AW315" s="3"/>
      <c r="AX315" s="42"/>
      <c r="AY315" s="3"/>
      <c r="AZ315" s="42"/>
      <c r="BA315" s="3"/>
      <c r="BB315" s="42"/>
      <c r="BC315" s="3"/>
      <c r="BE315" s="3"/>
    </row>
    <row r="316" spans="1:57" x14ac:dyDescent="0.25">
      <c r="A316" s="3" t="s">
        <v>57</v>
      </c>
      <c r="B316" s="3">
        <v>300</v>
      </c>
      <c r="D316" s="3">
        <v>204</v>
      </c>
      <c r="E316" s="3">
        <f t="shared" si="177"/>
        <v>96</v>
      </c>
      <c r="F316" s="3">
        <v>300</v>
      </c>
      <c r="H316" s="5">
        <f t="shared" si="178"/>
        <v>0</v>
      </c>
      <c r="J316" s="5">
        <v>433</v>
      </c>
      <c r="K316" s="4">
        <f t="shared" si="179"/>
        <v>67</v>
      </c>
      <c r="L316" s="4">
        <v>500</v>
      </c>
      <c r="N316" s="4">
        <f t="shared" si="180"/>
        <v>200</v>
      </c>
      <c r="P316" s="3">
        <f>L316*1.025+2</f>
        <v>514.5</v>
      </c>
      <c r="Q316" s="3"/>
      <c r="R316" s="3"/>
      <c r="S316" s="3">
        <f t="shared" si="181"/>
        <v>500</v>
      </c>
      <c r="T316" s="3">
        <v>500</v>
      </c>
      <c r="U316" s="3">
        <f t="shared" si="182"/>
        <v>-14.5</v>
      </c>
      <c r="V316" s="3">
        <v>203</v>
      </c>
      <c r="W316" s="3">
        <f t="shared" si="183"/>
        <v>297</v>
      </c>
      <c r="X316" s="3"/>
      <c r="Y316" s="3">
        <v>500</v>
      </c>
      <c r="Z316" s="3">
        <f t="shared" si="184"/>
        <v>0</v>
      </c>
      <c r="AA316" s="3"/>
      <c r="AB316" s="3"/>
      <c r="AC316" s="3"/>
      <c r="AD316" s="3">
        <f t="shared" si="175"/>
        <v>500</v>
      </c>
      <c r="AE316" s="3">
        <v>500</v>
      </c>
      <c r="AF316" s="3">
        <f t="shared" si="176"/>
        <v>0</v>
      </c>
      <c r="AG316" s="4"/>
      <c r="AH316" s="4">
        <v>550</v>
      </c>
      <c r="AJ316" s="3">
        <v>4</v>
      </c>
      <c r="AK316" s="3">
        <f t="shared" si="173"/>
        <v>346</v>
      </c>
      <c r="AL316" s="3">
        <v>350</v>
      </c>
      <c r="AM316" s="3">
        <f t="shared" si="174"/>
        <v>-200</v>
      </c>
      <c r="AO316" s="3">
        <f>AH316*1.025</f>
        <v>563.75</v>
      </c>
      <c r="AP316" s="3"/>
      <c r="AQ316" s="3">
        <f>AO316*1.025</f>
        <v>577.84375</v>
      </c>
      <c r="AR316" s="3"/>
      <c r="AS316" s="3">
        <f>AQ316*1.025</f>
        <v>592.28984374999993</v>
      </c>
      <c r="AT316" s="3"/>
      <c r="AU316" s="3">
        <f>AS316*1.025</f>
        <v>607.09708984374993</v>
      </c>
      <c r="AV316" s="42"/>
      <c r="AW316" s="3">
        <f>AU316*1.025</f>
        <v>622.27451708984358</v>
      </c>
      <c r="AX316" s="42"/>
      <c r="AY316" s="3">
        <f>AW316*1.025</f>
        <v>637.8313800170896</v>
      </c>
      <c r="AZ316" s="42"/>
      <c r="BA316" s="3">
        <f>AY316*1.025</f>
        <v>653.77716451751678</v>
      </c>
      <c r="BB316" s="42"/>
      <c r="BC316" s="3">
        <f>BA316*1.025</f>
        <v>670.12159363045464</v>
      </c>
      <c r="BE316" s="3">
        <f>BC316*1.025</f>
        <v>686.87463347121593</v>
      </c>
    </row>
    <row r="317" spans="1:57" x14ac:dyDescent="0.25">
      <c r="A317" s="3"/>
      <c r="B317" s="48">
        <f>SUM(B309:B316)</f>
        <v>110300</v>
      </c>
      <c r="C317" s="32"/>
      <c r="D317" s="48">
        <f>SUM(D309:D316)</f>
        <v>20637</v>
      </c>
      <c r="E317" s="48">
        <f>SUM(E309:E316)</f>
        <v>91163</v>
      </c>
      <c r="F317" s="48">
        <f>SUM(F309:F316)</f>
        <v>111800</v>
      </c>
      <c r="G317" s="32"/>
      <c r="H317" s="48">
        <f>SUM(H309:H316)</f>
        <v>1500</v>
      </c>
      <c r="I317" s="36"/>
      <c r="J317" s="48">
        <f>SUM(J309:J316)</f>
        <v>41507</v>
      </c>
      <c r="K317" s="48">
        <f>SUM(K309:K316)</f>
        <v>70493</v>
      </c>
      <c r="L317" s="48">
        <f>SUM(L309:L316)</f>
        <v>112000</v>
      </c>
      <c r="M317" s="32"/>
      <c r="N317" s="48">
        <f>SUM(N309:N316)</f>
        <v>200</v>
      </c>
      <c r="P317" s="50">
        <f>SUM(P309:P316)</f>
        <v>114364.49999999999</v>
      </c>
      <c r="Q317" s="3"/>
      <c r="R317" s="50">
        <f t="shared" ref="R317:Z317" si="185">SUM(R309:R316)</f>
        <v>16033</v>
      </c>
      <c r="S317" s="50">
        <f t="shared" si="185"/>
        <v>84467</v>
      </c>
      <c r="T317" s="50">
        <f t="shared" si="185"/>
        <v>100500</v>
      </c>
      <c r="U317" s="50">
        <f t="shared" si="185"/>
        <v>-13864.499999999987</v>
      </c>
      <c r="V317" s="50">
        <f t="shared" si="185"/>
        <v>34601</v>
      </c>
      <c r="W317" s="50">
        <f t="shared" si="185"/>
        <v>46399</v>
      </c>
      <c r="X317" s="50"/>
      <c r="Y317" s="50">
        <f t="shared" si="185"/>
        <v>81000</v>
      </c>
      <c r="Z317" s="50">
        <f t="shared" si="185"/>
        <v>-19500</v>
      </c>
      <c r="AA317" s="3"/>
      <c r="AB317" s="3"/>
      <c r="AC317" s="50">
        <f>SUM(AC309:AC316)</f>
        <v>53898</v>
      </c>
      <c r="AD317" s="50">
        <f>SUM(AD309:AD316)</f>
        <v>24102</v>
      </c>
      <c r="AE317" s="50">
        <f>SUM(AE309:AE316)</f>
        <v>78000</v>
      </c>
      <c r="AF317" s="50">
        <f>SUM(AF309:AF316)</f>
        <v>-3000</v>
      </c>
      <c r="AG317" s="4"/>
      <c r="AH317" s="32">
        <f t="shared" ref="AH317:BC317" si="186">SUM(AH309:AH316)</f>
        <v>82050</v>
      </c>
      <c r="AI317" s="32"/>
      <c r="AJ317" s="62">
        <f t="shared" si="186"/>
        <v>16810</v>
      </c>
      <c r="AK317" s="62">
        <f t="shared" si="186"/>
        <v>65040</v>
      </c>
      <c r="AL317" s="62">
        <f t="shared" si="186"/>
        <v>81850</v>
      </c>
      <c r="AM317" s="62">
        <f t="shared" si="186"/>
        <v>-200</v>
      </c>
      <c r="AN317" s="32"/>
      <c r="AO317" s="62">
        <f t="shared" si="186"/>
        <v>84101.249999999985</v>
      </c>
      <c r="AP317" s="3"/>
      <c r="AQ317" s="62">
        <f t="shared" si="186"/>
        <v>86203.781249999971</v>
      </c>
      <c r="AR317" s="3"/>
      <c r="AS317" s="62">
        <f t="shared" si="186"/>
        <v>88358.875781249953</v>
      </c>
      <c r="AT317" s="62"/>
      <c r="AU317" s="62">
        <f t="shared" si="186"/>
        <v>90567.847675781202</v>
      </c>
      <c r="AV317" s="42"/>
      <c r="AW317" s="62">
        <f t="shared" si="186"/>
        <v>92832.043867675719</v>
      </c>
      <c r="AX317" s="42"/>
      <c r="AY317" s="62">
        <f t="shared" si="186"/>
        <v>95152.844964367614</v>
      </c>
      <c r="AZ317" s="42"/>
      <c r="BA317" s="62">
        <f t="shared" si="186"/>
        <v>97531.666088476806</v>
      </c>
      <c r="BB317" s="42"/>
      <c r="BC317" s="62">
        <f t="shared" si="186"/>
        <v>99969.957740688697</v>
      </c>
      <c r="BE317" s="62">
        <f>SUM(BE309:BE316)</f>
        <v>102469.20668420591</v>
      </c>
    </row>
    <row r="318" spans="1:57" x14ac:dyDescent="0.25">
      <c r="A318" s="7" t="s">
        <v>261</v>
      </c>
      <c r="AJ318" s="4"/>
      <c r="AK318" s="4"/>
      <c r="AL318" s="4"/>
      <c r="AM318" s="4"/>
    </row>
    <row r="319" spans="1:57" x14ac:dyDescent="0.25">
      <c r="A319" s="3" t="s">
        <v>262</v>
      </c>
      <c r="Z319" s="3">
        <f>Y319-T319</f>
        <v>0</v>
      </c>
      <c r="AJ319" s="4"/>
      <c r="AK319" s="3">
        <f>AL319-AJ319</f>
        <v>0</v>
      </c>
      <c r="AL319" s="4"/>
      <c r="AM319" s="3">
        <f>AL319-AH319</f>
        <v>0</v>
      </c>
    </row>
    <row r="320" spans="1:57" x14ac:dyDescent="0.25">
      <c r="A320" s="3" t="s">
        <v>263</v>
      </c>
      <c r="Z320" s="3"/>
      <c r="AH320" s="58">
        <v>60000</v>
      </c>
      <c r="AJ320" s="4"/>
      <c r="AK320" s="3">
        <f>AL320-AJ320</f>
        <v>60000</v>
      </c>
      <c r="AL320" s="4">
        <v>60000</v>
      </c>
      <c r="AM320" s="3">
        <f>AL320-AH320</f>
        <v>0</v>
      </c>
    </row>
    <row r="321" spans="1:57" x14ac:dyDescent="0.25">
      <c r="A321" s="3" t="s">
        <v>264</v>
      </c>
      <c r="Z321" s="3"/>
      <c r="AJ321" s="4"/>
      <c r="AK321" s="3">
        <f>AL321-AJ321</f>
        <v>0</v>
      </c>
      <c r="AL321" s="4"/>
      <c r="AM321" s="3">
        <f>AL321-AH321</f>
        <v>0</v>
      </c>
      <c r="AO321" s="5">
        <v>3000</v>
      </c>
      <c r="AQ321" s="5">
        <f>AO321*1.03</f>
        <v>3090</v>
      </c>
      <c r="AS321" s="5">
        <f>AQ321*1.03</f>
        <v>3182.7000000000003</v>
      </c>
      <c r="AU321" s="5">
        <f>AS321*1.03</f>
        <v>3278.1810000000005</v>
      </c>
      <c r="AW321" s="5">
        <f>AU321*1.03</f>
        <v>3376.5264300000008</v>
      </c>
      <c r="AY321" s="5">
        <f>AW321*1.03</f>
        <v>3477.8222229000007</v>
      </c>
      <c r="BA321" s="5">
        <f>AY321*1.03</f>
        <v>3582.1568895870009</v>
      </c>
      <c r="BC321" s="5">
        <f>BA321*1.03</f>
        <v>3689.621596274611</v>
      </c>
      <c r="BE321" s="5">
        <f>BC321*1.03</f>
        <v>3800.3102441628494</v>
      </c>
    </row>
    <row r="322" spans="1:57" x14ac:dyDescent="0.25">
      <c r="A322" s="3" t="s">
        <v>265</v>
      </c>
      <c r="B322" s="5">
        <v>50000</v>
      </c>
      <c r="D322" s="5">
        <v>5532</v>
      </c>
      <c r="E322" s="3">
        <f>F322-D322</f>
        <v>31968</v>
      </c>
      <c r="F322" s="3">
        <v>37500</v>
      </c>
      <c r="H322" s="5">
        <f>F322-B322</f>
        <v>-12500</v>
      </c>
      <c r="J322" s="5">
        <v>13599</v>
      </c>
      <c r="K322" s="4">
        <f>L322-J322</f>
        <v>23901</v>
      </c>
      <c r="L322" s="4">
        <v>37500</v>
      </c>
      <c r="N322" s="4">
        <f>L322-F322</f>
        <v>0</v>
      </c>
      <c r="P322" s="3">
        <v>40000</v>
      </c>
      <c r="Q322" s="3"/>
      <c r="R322" s="3">
        <v>6979</v>
      </c>
      <c r="S322" s="3">
        <f>T322-R322</f>
        <v>33021</v>
      </c>
      <c r="T322" s="3">
        <v>40000</v>
      </c>
      <c r="U322" s="3">
        <f>T322-P322</f>
        <v>0</v>
      </c>
      <c r="V322" s="3">
        <v>15118</v>
      </c>
      <c r="W322" s="3">
        <f>Y322-V322</f>
        <v>24882</v>
      </c>
      <c r="X322" s="3"/>
      <c r="Y322" s="3">
        <v>40000</v>
      </c>
      <c r="Z322" s="3">
        <f>Y322-T322</f>
        <v>0</v>
      </c>
      <c r="AA322" s="3"/>
      <c r="AB322" s="3"/>
      <c r="AC322" s="3">
        <v>23327</v>
      </c>
      <c r="AD322" s="3">
        <f>AE322-AC322</f>
        <v>16673</v>
      </c>
      <c r="AE322" s="3">
        <v>40000</v>
      </c>
      <c r="AF322" s="3">
        <f>AE322-Y322</f>
        <v>0</v>
      </c>
      <c r="AG322" s="4"/>
      <c r="AH322" s="4">
        <v>42500</v>
      </c>
      <c r="AJ322" s="4"/>
      <c r="AK322" s="3">
        <f>AL322-AJ322</f>
        <v>42500</v>
      </c>
      <c r="AL322" s="4">
        <v>42500</v>
      </c>
      <c r="AM322" s="3">
        <f>AL322-AH322</f>
        <v>0</v>
      </c>
      <c r="AO322" s="3">
        <v>48000</v>
      </c>
      <c r="AP322" s="3"/>
      <c r="AQ322" s="3">
        <f>AO322*1.025</f>
        <v>49199.999999999993</v>
      </c>
      <c r="AR322" s="3"/>
      <c r="AS322" s="3">
        <f>AQ322*1.025</f>
        <v>50429.999999999985</v>
      </c>
      <c r="AT322" s="3"/>
      <c r="AU322" s="3">
        <f>AS322*1.025</f>
        <v>51690.749999999978</v>
      </c>
      <c r="AV322" s="42"/>
      <c r="AW322" s="3">
        <f>AU322*1.025</f>
        <v>52983.018749999974</v>
      </c>
      <c r="AX322" s="42"/>
      <c r="AY322" s="3">
        <f>AW322*1.025</f>
        <v>54307.594218749968</v>
      </c>
      <c r="AZ322" s="42"/>
      <c r="BA322" s="3">
        <f>AY322*1.025</f>
        <v>55665.284074218711</v>
      </c>
      <c r="BB322" s="42"/>
      <c r="BC322" s="3">
        <f>BA322*1.025</f>
        <v>57056.916176074177</v>
      </c>
      <c r="BE322" s="3">
        <f>BC322*1.025</f>
        <v>58483.339080476027</v>
      </c>
    </row>
    <row r="323" spans="1:57" x14ac:dyDescent="0.25">
      <c r="A323" s="3"/>
      <c r="B323" s="48">
        <f>SUM(B319:B322)</f>
        <v>50000</v>
      </c>
      <c r="C323" s="32"/>
      <c r="D323" s="48">
        <f>SUM(D319:D322)</f>
        <v>5532</v>
      </c>
      <c r="E323" s="48">
        <f>SUM(E319:E322)</f>
        <v>31968</v>
      </c>
      <c r="F323" s="48">
        <f>SUM(F319:F322)</f>
        <v>37500</v>
      </c>
      <c r="G323" s="32"/>
      <c r="H323" s="48">
        <f>SUM(H319:H322)</f>
        <v>-12500</v>
      </c>
      <c r="I323" s="36"/>
      <c r="J323" s="48">
        <f>SUM(J319:J322)</f>
        <v>13599</v>
      </c>
      <c r="K323" s="48">
        <f>SUM(K319:K322)</f>
        <v>23901</v>
      </c>
      <c r="L323" s="48">
        <v>0</v>
      </c>
      <c r="M323" s="32"/>
      <c r="N323" s="48">
        <f>SUM(N319:N322)</f>
        <v>0</v>
      </c>
      <c r="P323" s="48">
        <f>SUM(P319:P322)</f>
        <v>40000</v>
      </c>
      <c r="R323" s="48">
        <f t="shared" ref="R323:Z323" si="187">SUM(R319:R322)</f>
        <v>6979</v>
      </c>
      <c r="S323" s="48">
        <f t="shared" si="187"/>
        <v>33021</v>
      </c>
      <c r="T323" s="48">
        <f t="shared" si="187"/>
        <v>40000</v>
      </c>
      <c r="U323" s="48">
        <f t="shared" si="187"/>
        <v>0</v>
      </c>
      <c r="V323" s="48">
        <f t="shared" si="187"/>
        <v>15118</v>
      </c>
      <c r="W323" s="48">
        <f t="shared" si="187"/>
        <v>24882</v>
      </c>
      <c r="X323" s="48"/>
      <c r="Y323" s="48">
        <f t="shared" si="187"/>
        <v>40000</v>
      </c>
      <c r="Z323" s="48">
        <f t="shared" si="187"/>
        <v>0</v>
      </c>
      <c r="AC323" s="48">
        <f>SUM(AC319:AC322)</f>
        <v>23327</v>
      </c>
      <c r="AD323" s="48">
        <f>SUM(AD319:AD322)</f>
        <v>16673</v>
      </c>
      <c r="AE323" s="48">
        <f>SUM(AE319:AE322)</f>
        <v>40000</v>
      </c>
      <c r="AF323" s="48">
        <f>SUM(AF319:AF322)</f>
        <v>0</v>
      </c>
      <c r="AH323" s="36">
        <f t="shared" ref="AH323:BC323" si="188">SUM(AH319:AH322)</f>
        <v>102500</v>
      </c>
      <c r="AI323" s="32"/>
      <c r="AJ323" s="48">
        <f t="shared" si="188"/>
        <v>0</v>
      </c>
      <c r="AK323" s="48">
        <f t="shared" si="188"/>
        <v>102500</v>
      </c>
      <c r="AL323" s="48">
        <f t="shared" si="188"/>
        <v>102500</v>
      </c>
      <c r="AM323" s="48">
        <f t="shared" si="188"/>
        <v>0</v>
      </c>
      <c r="AN323" s="32"/>
      <c r="AO323" s="48">
        <f t="shared" si="188"/>
        <v>51000</v>
      </c>
      <c r="AQ323" s="48">
        <f t="shared" si="188"/>
        <v>52289.999999999993</v>
      </c>
      <c r="AS323" s="48">
        <f t="shared" si="188"/>
        <v>53612.699999999983</v>
      </c>
      <c r="AT323" s="48"/>
      <c r="AU323" s="48">
        <f t="shared" si="188"/>
        <v>54968.930999999982</v>
      </c>
      <c r="AW323" s="48">
        <f t="shared" si="188"/>
        <v>56359.545179999972</v>
      </c>
      <c r="AY323" s="48">
        <f t="shared" si="188"/>
        <v>57785.41644164997</v>
      </c>
      <c r="BA323" s="48">
        <f t="shared" si="188"/>
        <v>59247.440963805711</v>
      </c>
      <c r="BC323" s="48">
        <f t="shared" si="188"/>
        <v>60746.537772348791</v>
      </c>
      <c r="BE323" s="48">
        <f>SUM(BE319:BE322)</f>
        <v>62283.649324638878</v>
      </c>
    </row>
    <row r="324" spans="1:57" s="42" customFormat="1" x14ac:dyDescent="0.25">
      <c r="A324" s="3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4"/>
      <c r="P324" s="32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4"/>
      <c r="AH324" s="32"/>
      <c r="AI324" s="32"/>
      <c r="AJ324" s="32"/>
      <c r="AK324" s="32"/>
      <c r="AL324" s="32"/>
      <c r="AM324" s="32"/>
      <c r="AN324" s="32"/>
      <c r="AO324" s="32"/>
      <c r="AP324" s="3"/>
      <c r="AQ324" s="32"/>
      <c r="AR324" s="3"/>
      <c r="AS324" s="32"/>
      <c r="AT324" s="32"/>
      <c r="AU324" s="32"/>
      <c r="AW324" s="32"/>
      <c r="AY324" s="32"/>
      <c r="BA324" s="32"/>
      <c r="BC324" s="32"/>
      <c r="BE324" s="32"/>
    </row>
    <row r="325" spans="1:57" x14ac:dyDescent="0.25">
      <c r="A325" s="7" t="s">
        <v>57</v>
      </c>
      <c r="AJ325" s="4"/>
      <c r="AK325" s="4"/>
      <c r="AL325" s="4"/>
      <c r="AM325" s="4"/>
    </row>
    <row r="326" spans="1:57" x14ac:dyDescent="0.25">
      <c r="A326" s="3" t="s">
        <v>266</v>
      </c>
      <c r="B326" s="5">
        <v>70000</v>
      </c>
      <c r="D326" s="5">
        <v>0</v>
      </c>
      <c r="E326" s="3">
        <f t="shared" ref="E326:E334" si="189">F326-D326</f>
        <v>40000</v>
      </c>
      <c r="F326" s="3">
        <v>40000</v>
      </c>
      <c r="H326" s="5">
        <f t="shared" ref="H326:H334" si="190">F326-B326</f>
        <v>-30000</v>
      </c>
      <c r="J326" s="5">
        <v>0</v>
      </c>
      <c r="K326" s="4">
        <f t="shared" ref="K326:K334" si="191">L326-J326</f>
        <v>25000</v>
      </c>
      <c r="L326" s="4">
        <v>25000</v>
      </c>
      <c r="N326" s="4">
        <f t="shared" ref="N326:N334" si="192">L326-F326</f>
        <v>-15000</v>
      </c>
      <c r="P326" s="3">
        <v>0</v>
      </c>
      <c r="Q326" s="3"/>
      <c r="R326" s="3"/>
      <c r="S326" s="3">
        <f t="shared" ref="S326:S334" si="193">T326-R326</f>
        <v>0</v>
      </c>
      <c r="T326" s="3"/>
      <c r="U326" s="3">
        <f t="shared" ref="U326:U334" si="194">T326-P326</f>
        <v>0</v>
      </c>
      <c r="V326" s="3"/>
      <c r="W326" s="3">
        <f t="shared" ref="W326:W334" si="195">Y326-V326</f>
        <v>0</v>
      </c>
      <c r="X326" s="3"/>
      <c r="Y326" s="3"/>
      <c r="Z326" s="3">
        <f t="shared" ref="Z326:Z334" si="196">Y326-T326</f>
        <v>0</v>
      </c>
      <c r="AA326" s="3"/>
      <c r="AB326" s="3"/>
      <c r="AC326" s="3"/>
      <c r="AD326" s="3">
        <f t="shared" ref="AD326:AD334" si="197">AE326-AC326</f>
        <v>0</v>
      </c>
      <c r="AE326" s="3"/>
      <c r="AF326" s="3">
        <f t="shared" ref="AF326:AF334" si="198">AE326-Y326</f>
        <v>0</v>
      </c>
      <c r="AG326" s="4"/>
      <c r="AH326" s="4"/>
      <c r="AJ326" s="4"/>
      <c r="AK326" s="3">
        <f t="shared" ref="AK326:AK334" si="199">AL326-AJ326</f>
        <v>0</v>
      </c>
      <c r="AL326" s="4"/>
      <c r="AM326" s="3">
        <f t="shared" ref="AM326:AM334" si="200">AL326-AH326</f>
        <v>0</v>
      </c>
      <c r="AO326" s="3"/>
      <c r="AP326" s="3"/>
      <c r="AQ326" s="3"/>
      <c r="AR326" s="3"/>
      <c r="AS326" s="3"/>
      <c r="AT326" s="3"/>
      <c r="AU326" s="3"/>
      <c r="AV326" s="42"/>
      <c r="AW326" s="3"/>
      <c r="AX326" s="42"/>
      <c r="AY326" s="3"/>
      <c r="AZ326" s="42"/>
      <c r="BA326" s="3"/>
      <c r="BB326" s="42"/>
      <c r="BC326" s="3"/>
      <c r="BE326" s="3"/>
    </row>
    <row r="327" spans="1:57" s="42" customFormat="1" x14ac:dyDescent="0.25">
      <c r="A327" s="3" t="s">
        <v>267</v>
      </c>
      <c r="B327" s="3">
        <v>205585</v>
      </c>
      <c r="C327" s="3"/>
      <c r="D327" s="3">
        <v>0</v>
      </c>
      <c r="E327" s="3">
        <f t="shared" si="189"/>
        <v>205585</v>
      </c>
      <c r="F327" s="3">
        <v>205585</v>
      </c>
      <c r="G327" s="3"/>
      <c r="H327" s="5">
        <f t="shared" si="190"/>
        <v>0</v>
      </c>
      <c r="I327" s="5"/>
      <c r="J327" s="5">
        <v>0</v>
      </c>
      <c r="K327" s="4">
        <f t="shared" si="191"/>
        <v>205585</v>
      </c>
      <c r="L327" s="4">
        <v>205585</v>
      </c>
      <c r="M327" s="4"/>
      <c r="N327" s="4">
        <f t="shared" si="192"/>
        <v>0</v>
      </c>
      <c r="O327" s="4"/>
      <c r="P327" s="3">
        <v>147860</v>
      </c>
      <c r="Q327" s="3"/>
      <c r="R327" s="3">
        <v>0</v>
      </c>
      <c r="S327" s="3">
        <f t="shared" si="193"/>
        <v>147860</v>
      </c>
      <c r="T327" s="3">
        <v>147860</v>
      </c>
      <c r="U327" s="3">
        <f t="shared" si="194"/>
        <v>0</v>
      </c>
      <c r="V327" s="3">
        <v>0</v>
      </c>
      <c r="W327" s="3">
        <f t="shared" si="195"/>
        <v>147860</v>
      </c>
      <c r="X327" s="3"/>
      <c r="Y327" s="3">
        <v>147860</v>
      </c>
      <c r="Z327" s="3">
        <f t="shared" si="196"/>
        <v>0</v>
      </c>
      <c r="AA327" s="3"/>
      <c r="AB327" s="3"/>
      <c r="AC327" s="3">
        <v>0</v>
      </c>
      <c r="AD327" s="3">
        <f t="shared" si="197"/>
        <v>49300</v>
      </c>
      <c r="AE327" s="3">
        <v>49300</v>
      </c>
      <c r="AF327" s="3">
        <f t="shared" si="198"/>
        <v>-98560</v>
      </c>
      <c r="AG327" s="4"/>
      <c r="AH327" s="4">
        <v>147860</v>
      </c>
      <c r="AI327" s="4"/>
      <c r="AJ327" s="4"/>
      <c r="AK327" s="3">
        <f t="shared" si="199"/>
        <v>147860</v>
      </c>
      <c r="AL327" s="4">
        <v>147860</v>
      </c>
      <c r="AM327" s="3">
        <f t="shared" si="200"/>
        <v>0</v>
      </c>
      <c r="AN327" s="4"/>
      <c r="AO327" s="3">
        <v>147860</v>
      </c>
      <c r="AP327" s="3"/>
      <c r="AQ327" s="3">
        <v>147860</v>
      </c>
      <c r="AR327" s="3"/>
      <c r="AS327" s="3">
        <v>200720</v>
      </c>
      <c r="AT327" s="3"/>
      <c r="AU327" s="3">
        <v>200720</v>
      </c>
      <c r="AW327" s="3">
        <v>200720</v>
      </c>
      <c r="AY327" s="3">
        <v>200720</v>
      </c>
      <c r="BA327" s="3">
        <v>150540</v>
      </c>
      <c r="BC327" s="3"/>
      <c r="BE327" s="3"/>
    </row>
    <row r="328" spans="1:57" x14ac:dyDescent="0.25">
      <c r="A328" s="3" t="s">
        <v>268</v>
      </c>
      <c r="B328" s="3"/>
      <c r="D328" s="3"/>
      <c r="E328" s="3">
        <f t="shared" si="189"/>
        <v>0</v>
      </c>
      <c r="F328" s="3"/>
      <c r="H328" s="5">
        <f t="shared" si="190"/>
        <v>0</v>
      </c>
      <c r="K328" s="4">
        <f t="shared" si="191"/>
        <v>0</v>
      </c>
      <c r="L328" s="4"/>
      <c r="N328" s="4">
        <f t="shared" si="192"/>
        <v>0</v>
      </c>
      <c r="P328" s="3"/>
      <c r="Q328" s="3"/>
      <c r="R328" s="3"/>
      <c r="S328" s="3">
        <f t="shared" si="193"/>
        <v>0</v>
      </c>
      <c r="T328" s="3"/>
      <c r="U328" s="3">
        <f t="shared" si="194"/>
        <v>0</v>
      </c>
      <c r="V328" s="3"/>
      <c r="W328" s="3">
        <f t="shared" si="195"/>
        <v>0</v>
      </c>
      <c r="X328" s="3"/>
      <c r="Y328" s="3"/>
      <c r="Z328" s="3">
        <f t="shared" si="196"/>
        <v>0</v>
      </c>
      <c r="AA328" s="3"/>
      <c r="AB328" s="3"/>
      <c r="AC328" s="3"/>
      <c r="AD328" s="3">
        <f t="shared" si="197"/>
        <v>0</v>
      </c>
      <c r="AE328" s="3"/>
      <c r="AF328" s="3">
        <f t="shared" si="198"/>
        <v>0</v>
      </c>
      <c r="AG328" s="4"/>
      <c r="AH328" s="4"/>
      <c r="AJ328" s="4"/>
      <c r="AK328" s="3">
        <f t="shared" si="199"/>
        <v>0</v>
      </c>
      <c r="AL328" s="4"/>
      <c r="AM328" s="3">
        <f t="shared" si="200"/>
        <v>0</v>
      </c>
      <c r="AO328" s="3"/>
      <c r="AP328" s="3"/>
      <c r="AQ328" s="3"/>
      <c r="AR328" s="3"/>
      <c r="AS328" s="3"/>
      <c r="AT328" s="3"/>
      <c r="AU328" s="3"/>
      <c r="AV328" s="42"/>
      <c r="AW328" s="3"/>
      <c r="AX328" s="42"/>
      <c r="AY328" s="3"/>
      <c r="AZ328" s="42"/>
      <c r="BA328" s="3"/>
      <c r="BB328" s="42"/>
      <c r="BC328" s="3"/>
      <c r="BE328" s="3"/>
    </row>
    <row r="329" spans="1:57" x14ac:dyDescent="0.25">
      <c r="A329" s="3" t="s">
        <v>269</v>
      </c>
      <c r="B329" s="3">
        <v>5000</v>
      </c>
      <c r="D329" s="3">
        <v>1273</v>
      </c>
      <c r="E329" s="3">
        <f t="shared" si="189"/>
        <v>3727</v>
      </c>
      <c r="F329" s="3">
        <v>5000</v>
      </c>
      <c r="H329" s="5">
        <f t="shared" si="190"/>
        <v>0</v>
      </c>
      <c r="J329" s="5">
        <v>2364</v>
      </c>
      <c r="K329" s="4">
        <f t="shared" si="191"/>
        <v>2636</v>
      </c>
      <c r="L329" s="4">
        <v>5000</v>
      </c>
      <c r="N329" s="4">
        <f t="shared" si="192"/>
        <v>0</v>
      </c>
      <c r="P329" s="3">
        <f>L329*1.025+20000</f>
        <v>25125</v>
      </c>
      <c r="Q329" s="3"/>
      <c r="R329" s="3">
        <v>2727</v>
      </c>
      <c r="S329" s="3">
        <f t="shared" si="193"/>
        <v>22398</v>
      </c>
      <c r="T329" s="3">
        <v>25125</v>
      </c>
      <c r="U329" s="3">
        <f t="shared" si="194"/>
        <v>0</v>
      </c>
      <c r="V329" s="3">
        <v>8398</v>
      </c>
      <c r="W329" s="3">
        <f t="shared" si="195"/>
        <v>16727</v>
      </c>
      <c r="X329" s="3"/>
      <c r="Y329" s="3">
        <v>25125</v>
      </c>
      <c r="Z329" s="3">
        <f t="shared" si="196"/>
        <v>0</v>
      </c>
      <c r="AA329" s="3"/>
      <c r="AB329" s="3"/>
      <c r="AC329" s="3">
        <v>14307</v>
      </c>
      <c r="AD329" s="3">
        <f t="shared" si="197"/>
        <v>10818</v>
      </c>
      <c r="AE329" s="3">
        <v>25125</v>
      </c>
      <c r="AF329" s="3">
        <f t="shared" si="198"/>
        <v>0</v>
      </c>
      <c r="AG329" s="4"/>
      <c r="AH329" s="4">
        <f>AE329*1.03+1</f>
        <v>25879.75</v>
      </c>
      <c r="AJ329" s="4">
        <v>6075</v>
      </c>
      <c r="AK329" s="3">
        <f t="shared" si="199"/>
        <v>19805</v>
      </c>
      <c r="AL329" s="4">
        <v>25880</v>
      </c>
      <c r="AM329" s="3">
        <f t="shared" si="200"/>
        <v>0.25</v>
      </c>
      <c r="AO329" s="3">
        <f>AH329*1.025</f>
        <v>26526.743749999998</v>
      </c>
      <c r="AP329" s="3"/>
      <c r="AQ329" s="3">
        <f>AO329*1.025</f>
        <v>27189.912343749995</v>
      </c>
      <c r="AR329" s="3"/>
      <c r="AS329" s="3">
        <f>AQ329*1.025</f>
        <v>27869.660152343742</v>
      </c>
      <c r="AT329" s="3"/>
      <c r="AU329" s="3">
        <f>AS329*1.025</f>
        <v>28566.401656152335</v>
      </c>
      <c r="AV329" s="42"/>
      <c r="AW329" s="3">
        <f>AU329*1.025</f>
        <v>29280.561697556142</v>
      </c>
      <c r="AX329" s="42"/>
      <c r="AY329" s="3">
        <f>AW329*1.025</f>
        <v>30012.575739995042</v>
      </c>
      <c r="AZ329" s="42"/>
      <c r="BA329" s="3">
        <f>AY329*1.025</f>
        <v>30762.890133494915</v>
      </c>
      <c r="BB329" s="42"/>
      <c r="BC329" s="3">
        <f>BA329*1.025</f>
        <v>31531.962386832285</v>
      </c>
      <c r="BE329" s="3">
        <f>BC329*1.025</f>
        <v>32320.261446503089</v>
      </c>
    </row>
    <row r="330" spans="1:57" x14ac:dyDescent="0.25">
      <c r="A330" s="3" t="s">
        <v>270</v>
      </c>
      <c r="B330" s="3"/>
      <c r="D330" s="3"/>
      <c r="E330" s="3">
        <f t="shared" si="189"/>
        <v>0</v>
      </c>
      <c r="F330" s="3"/>
      <c r="H330" s="5">
        <f t="shared" si="190"/>
        <v>0</v>
      </c>
      <c r="K330" s="4">
        <f t="shared" si="191"/>
        <v>0</v>
      </c>
      <c r="L330" s="4"/>
      <c r="N330" s="4">
        <f t="shared" si="192"/>
        <v>0</v>
      </c>
      <c r="P330" s="3"/>
      <c r="Q330" s="3"/>
      <c r="R330" s="3"/>
      <c r="S330" s="3">
        <f t="shared" si="193"/>
        <v>0</v>
      </c>
      <c r="T330" s="3"/>
      <c r="U330" s="3">
        <f t="shared" si="194"/>
        <v>0</v>
      </c>
      <c r="V330" s="3"/>
      <c r="W330" s="3">
        <f t="shared" si="195"/>
        <v>0</v>
      </c>
      <c r="X330" s="3"/>
      <c r="Y330" s="3"/>
      <c r="Z330" s="3">
        <f t="shared" si="196"/>
        <v>0</v>
      </c>
      <c r="AA330" s="3"/>
      <c r="AB330" s="3"/>
      <c r="AC330" s="3"/>
      <c r="AD330" s="3">
        <f t="shared" si="197"/>
        <v>0</v>
      </c>
      <c r="AE330" s="3"/>
      <c r="AF330" s="3">
        <f t="shared" si="198"/>
        <v>0</v>
      </c>
      <c r="AG330" s="4"/>
      <c r="AH330" s="4"/>
      <c r="AJ330" s="4"/>
      <c r="AK330" s="3">
        <f t="shared" si="199"/>
        <v>0</v>
      </c>
      <c r="AL330" s="4"/>
      <c r="AM330" s="3">
        <f t="shared" si="200"/>
        <v>0</v>
      </c>
      <c r="AO330" s="3"/>
      <c r="AP330" s="3"/>
      <c r="AQ330" s="3"/>
      <c r="AR330" s="3"/>
      <c r="AS330" s="3"/>
      <c r="AT330" s="3"/>
      <c r="AU330" s="3"/>
      <c r="AV330" s="42"/>
      <c r="AW330" s="3"/>
      <c r="AX330" s="42"/>
      <c r="AY330" s="3"/>
      <c r="AZ330" s="42"/>
      <c r="BA330" s="3"/>
      <c r="BB330" s="42"/>
      <c r="BC330" s="3"/>
      <c r="BE330" s="3"/>
    </row>
    <row r="331" spans="1:57" x14ac:dyDescent="0.25">
      <c r="A331" s="3" t="s">
        <v>1145</v>
      </c>
      <c r="B331" s="3"/>
      <c r="D331" s="3"/>
      <c r="E331" s="3">
        <f t="shared" si="189"/>
        <v>0</v>
      </c>
      <c r="F331" s="3"/>
      <c r="H331" s="5">
        <f t="shared" si="190"/>
        <v>0</v>
      </c>
      <c r="K331" s="4">
        <f t="shared" si="191"/>
        <v>0</v>
      </c>
      <c r="L331" s="4"/>
      <c r="N331" s="4">
        <f t="shared" si="192"/>
        <v>0</v>
      </c>
      <c r="P331" s="3"/>
      <c r="Q331" s="3"/>
      <c r="R331" s="3"/>
      <c r="S331" s="3">
        <f t="shared" si="193"/>
        <v>0</v>
      </c>
      <c r="T331" s="3"/>
      <c r="U331" s="3">
        <f t="shared" si="194"/>
        <v>0</v>
      </c>
      <c r="V331" s="3"/>
      <c r="W331" s="3">
        <f t="shared" si="195"/>
        <v>0</v>
      </c>
      <c r="X331" s="3"/>
      <c r="Y331" s="3"/>
      <c r="Z331" s="3">
        <f t="shared" si="196"/>
        <v>0</v>
      </c>
      <c r="AA331" s="3"/>
      <c r="AB331" s="3"/>
      <c r="AC331" s="3"/>
      <c r="AD331" s="3">
        <f t="shared" si="197"/>
        <v>0</v>
      </c>
      <c r="AE331" s="3"/>
      <c r="AF331" s="3">
        <f t="shared" si="198"/>
        <v>0</v>
      </c>
      <c r="AG331" s="4"/>
      <c r="AH331" s="4"/>
      <c r="AJ331" s="4">
        <v>2015</v>
      </c>
      <c r="AK331" s="3">
        <f t="shared" si="199"/>
        <v>985</v>
      </c>
      <c r="AL331" s="4">
        <v>3000</v>
      </c>
      <c r="AM331" s="3">
        <f t="shared" si="200"/>
        <v>3000</v>
      </c>
      <c r="AO331" s="3"/>
      <c r="AP331" s="3"/>
      <c r="AQ331" s="3"/>
      <c r="AR331" s="3"/>
      <c r="AS331" s="3"/>
      <c r="AT331" s="3"/>
      <c r="AU331" s="3"/>
      <c r="AV331" s="42"/>
      <c r="AW331" s="3"/>
      <c r="AX331" s="42"/>
      <c r="AY331" s="3"/>
      <c r="AZ331" s="42"/>
      <c r="BA331" s="3"/>
      <c r="BB331" s="42"/>
      <c r="BC331" s="3"/>
      <c r="BE331" s="3"/>
    </row>
    <row r="332" spans="1:57" x14ac:dyDescent="0.25">
      <c r="A332" s="3" t="s">
        <v>272</v>
      </c>
      <c r="B332" s="3">
        <v>141000</v>
      </c>
      <c r="D332" s="3"/>
      <c r="E332" s="3">
        <f t="shared" si="189"/>
        <v>141000</v>
      </c>
      <c r="F332" s="3">
        <v>141000</v>
      </c>
      <c r="H332" s="5">
        <f t="shared" si="190"/>
        <v>0</v>
      </c>
      <c r="J332" s="5">
        <v>8172</v>
      </c>
      <c r="K332" s="4">
        <f>L332-J332</f>
        <v>1828</v>
      </c>
      <c r="L332" s="4">
        <v>10000</v>
      </c>
      <c r="M332" s="32"/>
      <c r="N332" s="4">
        <f>L332-F332</f>
        <v>-131000</v>
      </c>
      <c r="P332" s="3">
        <v>0</v>
      </c>
      <c r="Q332" s="3"/>
      <c r="R332" s="3"/>
      <c r="S332" s="3">
        <f t="shared" si="193"/>
        <v>0</v>
      </c>
      <c r="T332" s="3"/>
      <c r="U332" s="3">
        <f t="shared" si="194"/>
        <v>0</v>
      </c>
      <c r="V332" s="3"/>
      <c r="W332" s="3">
        <f t="shared" si="195"/>
        <v>0</v>
      </c>
      <c r="X332" s="3"/>
      <c r="Y332" s="3"/>
      <c r="Z332" s="3">
        <f t="shared" si="196"/>
        <v>0</v>
      </c>
      <c r="AA332" s="3"/>
      <c r="AB332" s="3"/>
      <c r="AC332" s="3"/>
      <c r="AD332" s="3">
        <f t="shared" si="197"/>
        <v>0</v>
      </c>
      <c r="AE332" s="3"/>
      <c r="AF332" s="3">
        <f t="shared" si="198"/>
        <v>0</v>
      </c>
      <c r="AG332" s="4"/>
      <c r="AH332" s="4"/>
      <c r="AJ332" s="4"/>
      <c r="AK332" s="3">
        <f t="shared" si="199"/>
        <v>0</v>
      </c>
      <c r="AL332" s="4"/>
      <c r="AM332" s="3">
        <f t="shared" si="200"/>
        <v>0</v>
      </c>
      <c r="AO332" s="3"/>
      <c r="AP332" s="3"/>
      <c r="AQ332" s="3"/>
      <c r="AR332" s="3"/>
      <c r="AS332" s="3"/>
      <c r="AT332" s="3"/>
      <c r="AU332" s="3"/>
      <c r="AV332" s="42"/>
      <c r="AW332" s="3"/>
      <c r="AX332" s="42"/>
      <c r="AY332" s="3"/>
      <c r="AZ332" s="42"/>
      <c r="BA332" s="3"/>
      <c r="BB332" s="42"/>
      <c r="BC332" s="3"/>
      <c r="BE332" s="3"/>
    </row>
    <row r="333" spans="1:57" x14ac:dyDescent="0.25">
      <c r="A333" s="3" t="s">
        <v>273</v>
      </c>
      <c r="B333" s="5">
        <v>130000</v>
      </c>
      <c r="D333" s="5">
        <v>3645</v>
      </c>
      <c r="E333" s="3">
        <f t="shared" si="189"/>
        <v>191355</v>
      </c>
      <c r="F333" s="3">
        <v>195000</v>
      </c>
      <c r="H333" s="5">
        <f t="shared" si="190"/>
        <v>65000</v>
      </c>
      <c r="J333" s="5">
        <v>71138</v>
      </c>
      <c r="K333" s="4">
        <f t="shared" si="191"/>
        <v>123862</v>
      </c>
      <c r="L333" s="4">
        <v>195000</v>
      </c>
      <c r="N333" s="4">
        <f t="shared" si="192"/>
        <v>0</v>
      </c>
      <c r="P333" s="3">
        <v>100000</v>
      </c>
      <c r="Q333" s="3"/>
      <c r="R333" s="3">
        <v>4203</v>
      </c>
      <c r="S333" s="3">
        <f t="shared" si="193"/>
        <v>95797</v>
      </c>
      <c r="T333" s="3">
        <v>100000</v>
      </c>
      <c r="U333" s="3">
        <f t="shared" si="194"/>
        <v>0</v>
      </c>
      <c r="V333" s="3">
        <v>5629</v>
      </c>
      <c r="W333" s="3">
        <f t="shared" si="195"/>
        <v>169371</v>
      </c>
      <c r="X333" s="3"/>
      <c r="Y333" s="3">
        <v>175000</v>
      </c>
      <c r="Z333" s="3">
        <f t="shared" si="196"/>
        <v>75000</v>
      </c>
      <c r="AA333" s="3"/>
      <c r="AB333" s="3"/>
      <c r="AC333" s="3">
        <v>22638</v>
      </c>
      <c r="AD333" s="3">
        <f t="shared" si="197"/>
        <v>167362</v>
      </c>
      <c r="AE333" s="3">
        <v>190000</v>
      </c>
      <c r="AF333" s="3">
        <f t="shared" si="198"/>
        <v>15000</v>
      </c>
      <c r="AG333" s="4"/>
      <c r="AH333" s="4">
        <v>160000</v>
      </c>
      <c r="AJ333" s="3">
        <v>79993</v>
      </c>
      <c r="AK333" s="3">
        <f t="shared" si="199"/>
        <v>80007</v>
      </c>
      <c r="AL333" s="3">
        <v>160000</v>
      </c>
      <c r="AM333" s="3">
        <f t="shared" si="200"/>
        <v>0</v>
      </c>
      <c r="AO333" s="3">
        <f>AH333*1.025</f>
        <v>164000</v>
      </c>
      <c r="AP333" s="3"/>
      <c r="AQ333" s="3">
        <f>AO333*1.025</f>
        <v>168099.99999999997</v>
      </c>
      <c r="AR333" s="3"/>
      <c r="AS333" s="3">
        <f>AQ333*1.025</f>
        <v>172302.49999999994</v>
      </c>
      <c r="AT333" s="3"/>
      <c r="AU333" s="3">
        <f>AS333*1.025</f>
        <v>176610.06249999991</v>
      </c>
      <c r="AV333" s="42"/>
      <c r="AW333" s="3">
        <f>AU333*1.025</f>
        <v>181025.31406249991</v>
      </c>
      <c r="AX333" s="42"/>
      <c r="AY333" s="3">
        <f>AW333*1.025</f>
        <v>185550.9469140624</v>
      </c>
      <c r="AZ333" s="42"/>
      <c r="BA333" s="3">
        <f>AY333*1.025</f>
        <v>190189.72058691393</v>
      </c>
      <c r="BB333" s="42"/>
      <c r="BC333" s="3">
        <f>BA333*1.025</f>
        <v>194944.46360158676</v>
      </c>
      <c r="BE333" s="3">
        <f>BC333*1.025</f>
        <v>199818.07519162641</v>
      </c>
    </row>
    <row r="334" spans="1:57" x14ac:dyDescent="0.25">
      <c r="A334" s="3" t="s">
        <v>274</v>
      </c>
      <c r="B334" s="5">
        <v>10250</v>
      </c>
      <c r="D334" s="5">
        <v>6096</v>
      </c>
      <c r="E334" s="3">
        <f t="shared" si="189"/>
        <v>4154</v>
      </c>
      <c r="F334" s="3">
        <v>10250</v>
      </c>
      <c r="H334" s="5">
        <f t="shared" si="190"/>
        <v>0</v>
      </c>
      <c r="J334" s="5">
        <v>13846</v>
      </c>
      <c r="K334" s="4">
        <f t="shared" si="191"/>
        <v>354</v>
      </c>
      <c r="L334" s="4">
        <v>14200</v>
      </c>
      <c r="N334" s="4">
        <f t="shared" si="192"/>
        <v>3950</v>
      </c>
      <c r="P334" s="3">
        <f>10250*1.025-6</f>
        <v>10500.249999999998</v>
      </c>
      <c r="Q334" s="3"/>
      <c r="R334" s="3">
        <v>6548</v>
      </c>
      <c r="S334" s="3">
        <f t="shared" si="193"/>
        <v>3952</v>
      </c>
      <c r="T334" s="3">
        <v>10500</v>
      </c>
      <c r="U334" s="3">
        <f t="shared" si="194"/>
        <v>-0.24999999999818101</v>
      </c>
      <c r="V334" s="3">
        <v>9297</v>
      </c>
      <c r="W334" s="3">
        <f t="shared" si="195"/>
        <v>1703</v>
      </c>
      <c r="X334" s="3"/>
      <c r="Y334" s="3">
        <v>11000</v>
      </c>
      <c r="Z334" s="3">
        <f t="shared" si="196"/>
        <v>500</v>
      </c>
      <c r="AA334" s="3"/>
      <c r="AB334" s="3"/>
      <c r="AC334" s="3">
        <v>11071</v>
      </c>
      <c r="AD334" s="3">
        <f t="shared" si="197"/>
        <v>-1</v>
      </c>
      <c r="AE334" s="3">
        <v>11070</v>
      </c>
      <c r="AF334" s="3">
        <f t="shared" si="198"/>
        <v>70</v>
      </c>
      <c r="AG334" s="4"/>
      <c r="AH334" s="4">
        <f>AE334*1.03-2</f>
        <v>11400.1</v>
      </c>
      <c r="AJ334" s="3">
        <v>2492</v>
      </c>
      <c r="AK334" s="3">
        <f t="shared" si="199"/>
        <v>8908</v>
      </c>
      <c r="AL334" s="3">
        <v>11400</v>
      </c>
      <c r="AM334" s="3">
        <f t="shared" si="200"/>
        <v>-0.1000000000003638</v>
      </c>
      <c r="AO334" s="3">
        <f>AH334*1.025</f>
        <v>11685.102499999999</v>
      </c>
      <c r="AP334" s="3"/>
      <c r="AQ334" s="3">
        <f>AO334*1.025</f>
        <v>11977.230062499999</v>
      </c>
      <c r="AR334" s="3"/>
      <c r="AS334" s="3">
        <f>AQ334*1.025</f>
        <v>12276.660814062498</v>
      </c>
      <c r="AT334" s="3"/>
      <c r="AU334" s="3">
        <f>AS334*1.025</f>
        <v>12583.57733441406</v>
      </c>
      <c r="AV334" s="42"/>
      <c r="AW334" s="3">
        <f>AU334*1.025</f>
        <v>12898.16676777441</v>
      </c>
      <c r="AX334" s="42"/>
      <c r="AY334" s="3">
        <f>AW334*1.025</f>
        <v>13220.620936968769</v>
      </c>
      <c r="AZ334" s="42"/>
      <c r="BA334" s="3">
        <f>AY334*1.025</f>
        <v>13551.136460392987</v>
      </c>
      <c r="BB334" s="42"/>
      <c r="BC334" s="3">
        <f>BA334*1.025</f>
        <v>13889.914871902811</v>
      </c>
      <c r="BE334" s="3">
        <f>BC334*1.025</f>
        <v>14237.162743700379</v>
      </c>
    </row>
    <row r="335" spans="1:57" x14ac:dyDescent="0.25">
      <c r="A335" s="3"/>
      <c r="B335" s="48">
        <f>SUM(B325:B334)</f>
        <v>561835</v>
      </c>
      <c r="C335" s="32"/>
      <c r="D335" s="48">
        <f>SUM(D325:D334)</f>
        <v>11014</v>
      </c>
      <c r="E335" s="48">
        <f>SUM(E325:E334)</f>
        <v>585821</v>
      </c>
      <c r="F335" s="48">
        <f>SUM(F325:F334)</f>
        <v>596835</v>
      </c>
      <c r="G335" s="32"/>
      <c r="H335" s="48">
        <f>SUM(H325:H334)</f>
        <v>35000</v>
      </c>
      <c r="I335" s="36"/>
      <c r="J335" s="48">
        <f>SUM(J325:J334)</f>
        <v>95520</v>
      </c>
      <c r="K335" s="48">
        <f>SUM(K325:K334)</f>
        <v>359265</v>
      </c>
      <c r="L335" s="48">
        <f>SUM(L325:L334)</f>
        <v>454785</v>
      </c>
      <c r="M335" s="32"/>
      <c r="N335" s="48">
        <f>SUM(N325:N334)</f>
        <v>-142050</v>
      </c>
      <c r="P335" s="48">
        <f>SUM(P325:P334)</f>
        <v>283485.25</v>
      </c>
      <c r="R335" s="48">
        <f t="shared" ref="R335:Z335" si="201">SUM(R325:R334)</f>
        <v>13478</v>
      </c>
      <c r="S335" s="48">
        <f t="shared" si="201"/>
        <v>270007</v>
      </c>
      <c r="T335" s="48">
        <f t="shared" si="201"/>
        <v>283485</v>
      </c>
      <c r="U335" s="48">
        <f t="shared" si="201"/>
        <v>-0.24999999999818101</v>
      </c>
      <c r="V335" s="48">
        <f t="shared" si="201"/>
        <v>23324</v>
      </c>
      <c r="W335" s="48">
        <f t="shared" si="201"/>
        <v>335661</v>
      </c>
      <c r="X335" s="48"/>
      <c r="Y335" s="48">
        <f t="shared" si="201"/>
        <v>358985</v>
      </c>
      <c r="Z335" s="48">
        <f t="shared" si="201"/>
        <v>75500</v>
      </c>
      <c r="AC335" s="48">
        <f>SUM(AC325:AC334)</f>
        <v>48016</v>
      </c>
      <c r="AD335" s="48">
        <f>SUM(AD325:AD334)</f>
        <v>227479</v>
      </c>
      <c r="AE335" s="48">
        <f>SUM(AE325:AE334)</f>
        <v>275495</v>
      </c>
      <c r="AF335" s="48">
        <f>SUM(AF325:AF334)</f>
        <v>-83490</v>
      </c>
      <c r="AH335" s="36">
        <f>SUM(AH325:AH334)</f>
        <v>345139.85</v>
      </c>
      <c r="AI335" s="32"/>
      <c r="AJ335" s="48">
        <f>SUM(AJ325:AJ334)</f>
        <v>90575</v>
      </c>
      <c r="AK335" s="48">
        <f>SUM(AK325:AK334)</f>
        <v>257565</v>
      </c>
      <c r="AL335" s="48">
        <f>SUM(AL325:AL334)</f>
        <v>348140</v>
      </c>
      <c r="AM335" s="48">
        <f>SUM(AM325:AM334)</f>
        <v>3000.1499999999996</v>
      </c>
      <c r="AN335" s="32"/>
      <c r="AO335" s="48">
        <f t="shared" ref="AO335:BC335" si="202">SUM(AO325:AO334)</f>
        <v>350071.84625</v>
      </c>
      <c r="AQ335" s="48">
        <f t="shared" si="202"/>
        <v>355127.14240625</v>
      </c>
      <c r="AS335" s="48">
        <f t="shared" si="202"/>
        <v>413168.8209664062</v>
      </c>
      <c r="AT335" s="48"/>
      <c r="AU335" s="48">
        <f t="shared" si="202"/>
        <v>418480.04149056628</v>
      </c>
      <c r="AW335" s="48">
        <f t="shared" si="202"/>
        <v>423924.04252783046</v>
      </c>
      <c r="AY335" s="48">
        <f t="shared" si="202"/>
        <v>429504.14359102625</v>
      </c>
      <c r="BA335" s="48">
        <f t="shared" si="202"/>
        <v>385043.74718080182</v>
      </c>
      <c r="BC335" s="48">
        <f t="shared" si="202"/>
        <v>240366.34086032186</v>
      </c>
      <c r="BE335" s="48">
        <f>SUM(BE325:BE334)</f>
        <v>246375.49938182987</v>
      </c>
    </row>
    <row r="336" spans="1:57" ht="15.75" thickBot="1" x14ac:dyDescent="0.3">
      <c r="A336" s="3"/>
      <c r="B336" s="49">
        <f>B335+B323+B317+B307</f>
        <v>730235</v>
      </c>
      <c r="C336" s="32"/>
      <c r="D336" s="49">
        <f>D335+D323+D317+D307</f>
        <v>39195</v>
      </c>
      <c r="E336" s="49">
        <f>E335+E323+E317+E307</f>
        <v>715040</v>
      </c>
      <c r="F336" s="49">
        <f>F335+F323+F317+F307</f>
        <v>754235</v>
      </c>
      <c r="G336" s="32"/>
      <c r="H336" s="49">
        <f>H335+H323+H317+H307</f>
        <v>24000</v>
      </c>
      <c r="I336" s="36"/>
      <c r="J336" s="49">
        <f>J335+J323+J317+J307</f>
        <v>154651</v>
      </c>
      <c r="K336" s="49">
        <f>K335+K323+K317+K307</f>
        <v>457734</v>
      </c>
      <c r="L336" s="49">
        <f>L335+L323+L317+L307</f>
        <v>574885</v>
      </c>
      <c r="M336" s="32"/>
      <c r="N336" s="49">
        <f>N335+N323+N317+N307</f>
        <v>-141850</v>
      </c>
      <c r="P336" s="49">
        <f>P335+P323+P317+P307</f>
        <v>446149.25</v>
      </c>
      <c r="R336" s="49">
        <f t="shared" ref="R336:W336" si="203">R335+R323+R317+R307</f>
        <v>38535</v>
      </c>
      <c r="S336" s="49">
        <f t="shared" si="203"/>
        <v>393750</v>
      </c>
      <c r="T336" s="49">
        <f t="shared" si="203"/>
        <v>432285</v>
      </c>
      <c r="U336" s="49">
        <f t="shared" si="203"/>
        <v>-13864.249999999985</v>
      </c>
      <c r="V336" s="49">
        <f t="shared" si="203"/>
        <v>77135</v>
      </c>
      <c r="W336" s="49">
        <f t="shared" si="203"/>
        <v>411150</v>
      </c>
      <c r="X336" s="49"/>
      <c r="Y336" s="49">
        <f>Y335+Y323+Y317+Y307</f>
        <v>488285</v>
      </c>
      <c r="Z336" s="49">
        <f>Z335+Z323+Z317+Z307</f>
        <v>56000</v>
      </c>
      <c r="AC336" s="49">
        <f>AC335+AC323+AC317+AC307</f>
        <v>131375</v>
      </c>
      <c r="AD336" s="49">
        <f>AD335+AD323+AD317+AD307</f>
        <v>270420</v>
      </c>
      <c r="AE336" s="49">
        <f>AE335+AE323+AE317+AE307</f>
        <v>401795</v>
      </c>
      <c r="AF336" s="49">
        <f>AF335+AF323+AF317+AF307</f>
        <v>-86490</v>
      </c>
      <c r="AH336" s="36">
        <f>AH335+AH323+AH317+AH307</f>
        <v>538239.85</v>
      </c>
      <c r="AI336" s="32"/>
      <c r="AJ336" s="49">
        <f>AJ335+AJ323+AJ317+AJ307</f>
        <v>109486</v>
      </c>
      <c r="AK336" s="49">
        <f>AK335+AK323+AK317+AK307</f>
        <v>431554</v>
      </c>
      <c r="AL336" s="49">
        <f>AL335+AL323+AL317+AL307</f>
        <v>541040</v>
      </c>
      <c r="AM336" s="49">
        <f>AM335+AM323+AM317+AM307</f>
        <v>2800.1499999999996</v>
      </c>
      <c r="AN336" s="32"/>
      <c r="AO336" s="49">
        <f>AO335+AO323+AO317+AO307</f>
        <v>493979.59625</v>
      </c>
      <c r="AQ336" s="49">
        <f>AQ335+AQ323+AQ317+AQ307</f>
        <v>502691.61865625001</v>
      </c>
      <c r="AS336" s="49">
        <f>AS335+AS323+AS317+AS307</f>
        <v>564483.21259765618</v>
      </c>
      <c r="AT336" s="49"/>
      <c r="AU336" s="49">
        <f>AU335+AU323+AU317+AU307</f>
        <v>573639.92049184744</v>
      </c>
      <c r="AW336" s="49">
        <f>AW335+AW323+AW317+AW307</f>
        <v>583027.42491077119</v>
      </c>
      <c r="AY336" s="49">
        <f>AY335+AY323+AY317+AY307</f>
        <v>592651.55213236669</v>
      </c>
      <c r="BA336" s="49">
        <f>BA335+BA323+BA317+BA307</f>
        <v>552338.27578246698</v>
      </c>
      <c r="BC336" s="49">
        <f>BC335+BC323+BC317+BC307</f>
        <v>411913.72056922346</v>
      </c>
      <c r="BE336" s="49">
        <f>BE335+BE323+BE317+BE307</f>
        <v>422284.16611241474</v>
      </c>
    </row>
    <row r="337" spans="1:57" ht="16.5" thickTop="1" thickBot="1" x14ac:dyDescent="0.3">
      <c r="A337" s="3"/>
      <c r="AJ337" s="4"/>
      <c r="AK337" s="4"/>
      <c r="AL337" s="4"/>
      <c r="AM337" s="4"/>
    </row>
    <row r="338" spans="1:57" ht="16.5" thickTop="1" thickBot="1" x14ac:dyDescent="0.3">
      <c r="A338" s="3"/>
      <c r="B338" s="65">
        <f>B53+B78+B103+B125+B130+B160+B222+B233+B302+B336</f>
        <v>9878063.125</v>
      </c>
      <c r="C338" s="32"/>
      <c r="D338" s="65">
        <f>D53+D78+D103+D125+D130+D160+D222+D233+D302+D336</f>
        <v>3732615</v>
      </c>
      <c r="E338" s="65">
        <f>E53+E78+E103+E125+E130+E160+E222+E233+E302+E336</f>
        <v>7269647</v>
      </c>
      <c r="F338" s="65">
        <f>F53+F78+F103+F125+F130+F160+F222+F233+F302+F336</f>
        <v>11002265</v>
      </c>
      <c r="G338" s="32"/>
      <c r="H338" s="65">
        <f>H53+H78+H103+H125+H130+H160+H222+H233+H302+H336</f>
        <v>1124199.8750000002</v>
      </c>
      <c r="I338" s="36"/>
      <c r="J338" s="65">
        <f>J53+J78+J103+J125+J130+J160+J222+J233+J302+J336</f>
        <v>5221067</v>
      </c>
      <c r="K338" s="65">
        <f>K53+K78+K103+K125+K130+K160+K222+K233+K302+K336</f>
        <v>5759767</v>
      </c>
      <c r="L338" s="65">
        <f>L53+L78+L103+L125+L130+L160+L222+L233+L302+L336</f>
        <v>10943336</v>
      </c>
      <c r="M338" s="32"/>
      <c r="N338" s="65">
        <f>N53+N78+N103+N125+N130+N160+N222+N233+N302+N336</f>
        <v>-21331</v>
      </c>
      <c r="P338" s="65">
        <f>P53+P78+P103+P125+P130+P160+P222+P233+P302+P336</f>
        <v>9601849.4000000004</v>
      </c>
      <c r="R338" s="65">
        <f t="shared" ref="R338:W338" si="204">R53+R78+R103+R125+R130+R160+R222+R233+R302+R336</f>
        <v>3452528</v>
      </c>
      <c r="S338" s="65">
        <f t="shared" si="204"/>
        <v>6281200</v>
      </c>
      <c r="T338" s="65">
        <f t="shared" si="204"/>
        <v>9733727</v>
      </c>
      <c r="U338" s="65">
        <f t="shared" si="204"/>
        <v>131878.60000000021</v>
      </c>
      <c r="V338" s="65">
        <f t="shared" si="204"/>
        <v>4389255</v>
      </c>
      <c r="W338" s="65">
        <f t="shared" si="204"/>
        <v>5613738</v>
      </c>
      <c r="X338" s="65"/>
      <c r="Y338" s="65">
        <f>Y53+Y78+Y103+Y125+Y130+Y160+Y222+Y233+Y302+Y336</f>
        <v>10002842</v>
      </c>
      <c r="Z338" s="65">
        <f>Y338-T338</f>
        <v>269115</v>
      </c>
      <c r="AC338" s="65">
        <f>AC53+AC78+AC103+AC125+AC130+AC160+AC222+AC233+AC302+AC336</f>
        <v>5408283</v>
      </c>
      <c r="AD338" s="65">
        <f>AD53+AD78+AD103+AD125+AD130+AD160+AD222+AD233+AD302+AD336</f>
        <v>4563155</v>
      </c>
      <c r="AE338" s="65">
        <f>AE53+AE78+AE103+AE125+AE130+AE160+AE222+AE233+AE302+AE336</f>
        <v>9971437</v>
      </c>
      <c r="AF338" s="65">
        <f>AF53+AF78+AF103+AF125+AF130+AF160+AF222+AF233+AF302+AF336</f>
        <v>-31404</v>
      </c>
      <c r="AH338" s="36">
        <f>AH53+AH78+AH103+AH125+AH130+AH160+AH222+AH233+AH302+AH336</f>
        <v>11013638.974374998</v>
      </c>
      <c r="AI338" s="32"/>
      <c r="AJ338" s="65">
        <f>AJ53+AJ78+AJ103+AJ125+AJ130+AJ160+AJ222+AJ233+AJ302+AJ336</f>
        <v>3423922</v>
      </c>
      <c r="AK338" s="65">
        <f>AK53+AK78+AK103+AK125+AK130+AK160+AK222+AK233+AK302+AK336</f>
        <v>7788726</v>
      </c>
      <c r="AL338" s="65">
        <f>AL53+AL78+AL103+AL125+AL130+AL160+AL222+AL233+AL302+AL336</f>
        <v>11212648</v>
      </c>
      <c r="AM338" s="65">
        <f>AM53+AM78+AM103+AM125+AM130+AM160+AM222+AM233+AM302+AM336</f>
        <v>199010.02562500024</v>
      </c>
      <c r="AN338" s="32"/>
      <c r="AO338" s="65">
        <f>AO53+AO78+AO103+AO125+AO130+AO160+AO222+AO233+AO302+AO336</f>
        <v>7730401.8219218757</v>
      </c>
      <c r="AQ338" s="65">
        <f>AQ53+AQ78+AQ103+AQ125+AQ130+AQ160+AQ222+AQ233+AQ302+AQ336</f>
        <v>8094778.5004703896</v>
      </c>
      <c r="AS338" s="65">
        <f>AS53+AS78+AS103+AS125+AS130+AS160+AS222+AS233+AS302+AS336</f>
        <v>8327207.1174495379</v>
      </c>
      <c r="AT338" s="65"/>
      <c r="AU338" s="65">
        <f>AU53+AU78+AU103+AU125+AU130+AU160+AU222+AU233+AU302+AU336</f>
        <v>8569695.1133911535</v>
      </c>
      <c r="AW338" s="65">
        <f>AW53+AW78+AW103+AW125+AW130+AW160+AW222+AW233+AW302+AW336</f>
        <v>8806315.1869936828</v>
      </c>
      <c r="AY338" s="65">
        <f>AY53+AY78+AY103+AY125+AY130+AY160+AY222+AY233+AY302+AY336</f>
        <v>8999294.1695435345</v>
      </c>
      <c r="BA338" s="65">
        <f>BA53+BA78+BA103+BA125+BA130+BA160+BA222+BA233+BA302+BA336</f>
        <v>9208539.5013023391</v>
      </c>
      <c r="BC338" s="65">
        <f>BC53+BC78+BC103+BC125+BC130+BC160+BC222+BC233+BC302+BC336</f>
        <v>9298718.3369608894</v>
      </c>
      <c r="BE338" s="65">
        <f>BE53+BE78+BE103+BE125+BE130+BE160+BE222+BE233+BE302+BE336</f>
        <v>9541518.1392626949</v>
      </c>
    </row>
    <row r="339" spans="1:57" s="42" customFormat="1" ht="16.5" thickTop="1" thickBot="1" x14ac:dyDescent="0.3">
      <c r="A339" s="3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4"/>
      <c r="P339" s="32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4"/>
      <c r="AH339" s="32"/>
      <c r="AI339" s="32"/>
      <c r="AJ339" s="32"/>
      <c r="AK339" s="32"/>
      <c r="AL339" s="32"/>
      <c r="AM339" s="32"/>
      <c r="AN339" s="32"/>
      <c r="AO339" s="32"/>
      <c r="AP339" s="3"/>
      <c r="AQ339" s="32"/>
      <c r="AR339" s="3"/>
      <c r="AS339" s="32"/>
      <c r="AT339" s="32"/>
      <c r="AU339" s="32"/>
      <c r="AW339" s="32"/>
      <c r="AY339" s="32"/>
      <c r="BA339" s="32"/>
      <c r="BC339" s="32"/>
      <c r="BE339" s="32"/>
    </row>
    <row r="340" spans="1:57" x14ac:dyDescent="0.25">
      <c r="A340" s="3"/>
      <c r="B340" s="8" t="s">
        <v>8</v>
      </c>
      <c r="C340" s="9"/>
      <c r="D340" s="10" t="s">
        <v>9</v>
      </c>
      <c r="E340" s="11" t="s">
        <v>10</v>
      </c>
      <c r="F340" s="12" t="s">
        <v>11</v>
      </c>
      <c r="G340" s="9"/>
      <c r="H340" s="8" t="s">
        <v>12</v>
      </c>
      <c r="I340" s="13"/>
      <c r="J340" s="10" t="s">
        <v>9</v>
      </c>
      <c r="K340" s="11" t="s">
        <v>10</v>
      </c>
      <c r="L340" s="11" t="s">
        <v>11</v>
      </c>
      <c r="M340" s="9"/>
      <c r="N340" s="11" t="s">
        <v>12</v>
      </c>
      <c r="P340" s="12" t="s">
        <v>8</v>
      </c>
      <c r="R340" s="14" t="s">
        <v>9</v>
      </c>
      <c r="S340" s="15" t="s">
        <v>10</v>
      </c>
      <c r="T340" s="16" t="s">
        <v>11</v>
      </c>
      <c r="U340" s="17" t="s">
        <v>13</v>
      </c>
      <c r="V340" s="14" t="s">
        <v>9</v>
      </c>
      <c r="W340" s="15" t="s">
        <v>10</v>
      </c>
      <c r="X340" s="15"/>
      <c r="Y340" s="16" t="s">
        <v>11</v>
      </c>
      <c r="Z340" s="17" t="s">
        <v>13</v>
      </c>
      <c r="AC340" s="14" t="s">
        <v>9</v>
      </c>
      <c r="AD340" s="15" t="s">
        <v>10</v>
      </c>
      <c r="AE340" s="16" t="s">
        <v>11</v>
      </c>
      <c r="AF340" s="15" t="s">
        <v>13</v>
      </c>
      <c r="AH340" s="13" t="s">
        <v>8</v>
      </c>
      <c r="AI340" s="9"/>
      <c r="AJ340" s="11" t="s">
        <v>9</v>
      </c>
      <c r="AK340" s="11" t="s">
        <v>10</v>
      </c>
      <c r="AL340" s="12" t="s">
        <v>11</v>
      </c>
      <c r="AM340" s="10" t="s">
        <v>13</v>
      </c>
      <c r="AN340" s="9"/>
      <c r="AO340" s="12" t="s">
        <v>8</v>
      </c>
      <c r="AQ340" s="8" t="s">
        <v>8</v>
      </c>
      <c r="AS340" s="8" t="s">
        <v>8</v>
      </c>
      <c r="AT340" s="8"/>
      <c r="AU340" s="8" t="s">
        <v>8</v>
      </c>
      <c r="AW340" s="8" t="s">
        <v>8</v>
      </c>
      <c r="AY340" s="8" t="s">
        <v>8</v>
      </c>
      <c r="BA340" s="8" t="s">
        <v>8</v>
      </c>
      <c r="BC340" s="8" t="s">
        <v>8</v>
      </c>
      <c r="BE340" s="8" t="s">
        <v>8</v>
      </c>
    </row>
    <row r="341" spans="1:57" ht="15.75" thickBot="1" x14ac:dyDescent="0.3">
      <c r="A341" s="3"/>
      <c r="B341" s="19" t="s">
        <v>14</v>
      </c>
      <c r="C341" s="9"/>
      <c r="D341" s="20" t="s">
        <v>15</v>
      </c>
      <c r="E341" s="21"/>
      <c r="F341" s="22" t="s">
        <v>16</v>
      </c>
      <c r="G341" s="9"/>
      <c r="H341" s="19"/>
      <c r="I341" s="13"/>
      <c r="J341" s="20" t="s">
        <v>17</v>
      </c>
      <c r="K341" s="21"/>
      <c r="L341" s="21" t="s">
        <v>16</v>
      </c>
      <c r="M341" s="9"/>
      <c r="N341" s="21"/>
      <c r="P341" s="22" t="s">
        <v>18</v>
      </c>
      <c r="R341" s="23" t="s">
        <v>19</v>
      </c>
      <c r="S341" s="24"/>
      <c r="T341" s="25" t="s">
        <v>20</v>
      </c>
      <c r="U341" s="26"/>
      <c r="V341" s="23" t="s">
        <v>21</v>
      </c>
      <c r="W341" s="24"/>
      <c r="X341" s="24"/>
      <c r="Y341" s="25" t="s">
        <v>21</v>
      </c>
      <c r="Z341" s="26"/>
      <c r="AC341" s="23" t="s">
        <v>22</v>
      </c>
      <c r="AD341" s="24"/>
      <c r="AE341" s="25" t="s">
        <v>23</v>
      </c>
      <c r="AF341" s="24"/>
      <c r="AH341" s="13" t="s">
        <v>24</v>
      </c>
      <c r="AI341" s="9"/>
      <c r="AJ341" s="21" t="s">
        <v>1144</v>
      </c>
      <c r="AK341" s="21"/>
      <c r="AL341" s="22" t="s">
        <v>1144</v>
      </c>
      <c r="AM341" s="20"/>
      <c r="AN341" s="9"/>
      <c r="AO341" s="22" t="s">
        <v>25</v>
      </c>
      <c r="AQ341" s="19" t="s">
        <v>26</v>
      </c>
      <c r="AS341" s="19" t="s">
        <v>27</v>
      </c>
      <c r="AT341" s="19"/>
      <c r="AU341" s="19" t="s">
        <v>28</v>
      </c>
      <c r="AW341" s="19" t="s">
        <v>29</v>
      </c>
      <c r="AY341" s="19" t="s">
        <v>30</v>
      </c>
      <c r="BA341" s="19" t="s">
        <v>31</v>
      </c>
      <c r="BC341" s="19" t="str">
        <f>BC4</f>
        <v>2021-22</v>
      </c>
      <c r="BE341" s="19" t="str">
        <f>BE4</f>
        <v>2022-23</v>
      </c>
    </row>
    <row r="342" spans="1:57" x14ac:dyDescent="0.25">
      <c r="A342" s="28" t="s">
        <v>275</v>
      </c>
      <c r="AJ342" s="4"/>
      <c r="AK342" s="4"/>
      <c r="AL342" s="4"/>
      <c r="AM342" s="4"/>
    </row>
    <row r="343" spans="1:57" x14ac:dyDescent="0.25">
      <c r="A343" s="3" t="s">
        <v>276</v>
      </c>
      <c r="B343" s="3">
        <f>-[1]Sheet3!$AH$67</f>
        <v>66957</v>
      </c>
      <c r="D343" s="3"/>
      <c r="E343" s="3">
        <f t="shared" ref="E343:E356" si="205">F343-D343</f>
        <v>-455167</v>
      </c>
      <c r="F343" s="3">
        <v>-455167</v>
      </c>
      <c r="H343" s="5">
        <f t="shared" ref="H343:H356" si="206">F343-B343</f>
        <v>-522124</v>
      </c>
      <c r="K343" s="4">
        <f t="shared" ref="K343:K356" si="207">L343-J343</f>
        <v>-612625</v>
      </c>
      <c r="L343" s="4">
        <v>-612625</v>
      </c>
      <c r="N343" s="4">
        <f t="shared" ref="N343:N356" si="208">L343-F343</f>
        <v>-157458</v>
      </c>
      <c r="P343" s="3">
        <v>382939</v>
      </c>
      <c r="Q343" s="3"/>
      <c r="R343" s="3">
        <v>0</v>
      </c>
      <c r="S343" s="3">
        <f t="shared" ref="S343:S356" si="209">T343-R343</f>
        <v>575455</v>
      </c>
      <c r="T343" s="3">
        <v>575455</v>
      </c>
      <c r="U343" s="3">
        <f t="shared" ref="U343:U356" si="210">T343-P343</f>
        <v>192516</v>
      </c>
      <c r="V343" s="3"/>
      <c r="W343" s="3">
        <f t="shared" ref="W343:W356" si="211">Y343-V343</f>
        <v>517600</v>
      </c>
      <c r="X343" s="3"/>
      <c r="Y343" s="3">
        <v>517600</v>
      </c>
      <c r="Z343" s="3">
        <f t="shared" ref="Z343:Z356" si="212">Y343-T343</f>
        <v>-57855</v>
      </c>
      <c r="AA343" s="3"/>
      <c r="AB343" s="3"/>
      <c r="AC343" s="3"/>
      <c r="AD343" s="3">
        <f t="shared" ref="AD343:AD356" si="213">AE343-AC343</f>
        <v>538905</v>
      </c>
      <c r="AE343" s="3">
        <v>538905</v>
      </c>
      <c r="AF343" s="3">
        <f t="shared" ref="AF343:AF356" si="214">AE343-Y343</f>
        <v>21305</v>
      </c>
      <c r="AG343" s="4"/>
      <c r="AH343" s="4">
        <v>728152</v>
      </c>
      <c r="AJ343" s="4"/>
      <c r="AK343" s="3">
        <f t="shared" ref="AK343:AK356" si="215">AL343-AJ343</f>
        <v>849145</v>
      </c>
      <c r="AL343" s="4">
        <f>824145+25000</f>
        <v>849145</v>
      </c>
      <c r="AM343" s="3">
        <f t="shared" ref="AM343:AM356" si="216">AL343-AH343</f>
        <v>120993</v>
      </c>
      <c r="AO343" s="3">
        <v>-284156</v>
      </c>
      <c r="AP343" s="3"/>
      <c r="AQ343" s="3">
        <v>-606073</v>
      </c>
      <c r="AR343" s="3"/>
      <c r="AS343" s="3">
        <v>-670327</v>
      </c>
      <c r="AT343" s="3"/>
      <c r="AU343" s="3">
        <v>-341365</v>
      </c>
      <c r="AW343" s="3">
        <v>-526892</v>
      </c>
      <c r="AY343" s="3">
        <v>-741868</v>
      </c>
      <c r="BA343" s="3">
        <v>-479194</v>
      </c>
      <c r="BC343" s="3">
        <v>-581837</v>
      </c>
      <c r="BE343" s="3">
        <v>-287047</v>
      </c>
    </row>
    <row r="344" spans="1:57" x14ac:dyDescent="0.25">
      <c r="A344" s="3" t="s">
        <v>277</v>
      </c>
      <c r="B344" s="3">
        <f>5825+25</f>
        <v>5850</v>
      </c>
      <c r="D344" s="3">
        <v>1945</v>
      </c>
      <c r="E344" s="3">
        <f t="shared" si="205"/>
        <v>3905</v>
      </c>
      <c r="F344" s="3">
        <v>5850</v>
      </c>
      <c r="H344" s="5">
        <f t="shared" si="206"/>
        <v>0</v>
      </c>
      <c r="J344" s="5">
        <v>3052</v>
      </c>
      <c r="K344" s="4">
        <f t="shared" si="207"/>
        <v>2948</v>
      </c>
      <c r="L344" s="4">
        <v>6000</v>
      </c>
      <c r="N344" s="4">
        <f t="shared" si="208"/>
        <v>150</v>
      </c>
      <c r="P344" s="3">
        <v>6150</v>
      </c>
      <c r="Q344" s="3"/>
      <c r="R344" s="3">
        <v>1201</v>
      </c>
      <c r="S344" s="3">
        <f t="shared" si="209"/>
        <v>4949</v>
      </c>
      <c r="T344" s="3">
        <v>6150</v>
      </c>
      <c r="U344" s="3">
        <f t="shared" si="210"/>
        <v>0</v>
      </c>
      <c r="V344" s="3">
        <v>2929</v>
      </c>
      <c r="W344" s="3">
        <f t="shared" si="211"/>
        <v>3221</v>
      </c>
      <c r="X344" s="3"/>
      <c r="Y344" s="3">
        <v>6150</v>
      </c>
      <c r="Z344" s="3">
        <f t="shared" si="212"/>
        <v>0</v>
      </c>
      <c r="AA344" s="3"/>
      <c r="AB344" s="3"/>
      <c r="AC344" s="3">
        <v>4986</v>
      </c>
      <c r="AD344" s="3">
        <f t="shared" si="213"/>
        <v>1164</v>
      </c>
      <c r="AE344" s="3">
        <v>6150</v>
      </c>
      <c r="AF344" s="3">
        <f t="shared" si="214"/>
        <v>0</v>
      </c>
      <c r="AG344" s="4"/>
      <c r="AH344" s="4">
        <v>6400</v>
      </c>
      <c r="AJ344" s="4">
        <v>1670</v>
      </c>
      <c r="AK344" s="3">
        <f t="shared" si="215"/>
        <v>4730</v>
      </c>
      <c r="AL344" s="4">
        <v>6400</v>
      </c>
      <c r="AM344" s="3">
        <f t="shared" si="216"/>
        <v>0</v>
      </c>
      <c r="AO344" s="3">
        <v>6650</v>
      </c>
      <c r="AP344" s="3"/>
      <c r="AQ344" s="3">
        <v>6900</v>
      </c>
      <c r="AR344" s="3"/>
      <c r="AS344" s="3">
        <v>7150</v>
      </c>
      <c r="AT344" s="3"/>
      <c r="AU344" s="3">
        <v>7400</v>
      </c>
      <c r="AV344" s="42"/>
      <c r="AW344" s="3">
        <v>2840</v>
      </c>
      <c r="AX344" s="42"/>
      <c r="AY344" s="3">
        <v>2960</v>
      </c>
      <c r="AZ344" s="42"/>
      <c r="BA344" s="3">
        <v>3100</v>
      </c>
      <c r="BB344" s="42"/>
      <c r="BC344" s="3">
        <v>3350</v>
      </c>
      <c r="BE344" s="3">
        <v>3350</v>
      </c>
    </row>
    <row r="345" spans="1:57" x14ac:dyDescent="0.25">
      <c r="A345" s="3" t="s">
        <v>278</v>
      </c>
      <c r="B345" s="3"/>
      <c r="D345" s="3"/>
      <c r="E345" s="3"/>
      <c r="F345" s="3"/>
      <c r="K345" s="4"/>
      <c r="L345" s="4"/>
      <c r="N345" s="4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4"/>
      <c r="AH345" s="4"/>
      <c r="AJ345" s="4"/>
      <c r="AK345" s="3">
        <f t="shared" si="215"/>
        <v>0</v>
      </c>
      <c r="AL345" s="4"/>
      <c r="AM345" s="3">
        <f t="shared" si="216"/>
        <v>0</v>
      </c>
      <c r="AO345" s="3"/>
      <c r="AP345" s="3"/>
      <c r="AQ345" s="3"/>
      <c r="AR345" s="3"/>
      <c r="AS345" s="3"/>
      <c r="AT345" s="3"/>
      <c r="AU345" s="3"/>
      <c r="AV345" s="42"/>
      <c r="AW345" s="3"/>
      <c r="AX345" s="42"/>
      <c r="AY345" s="3"/>
      <c r="AZ345" s="42"/>
      <c r="BA345" s="3"/>
      <c r="BB345" s="42"/>
      <c r="BC345" s="3"/>
      <c r="BE345" s="3"/>
    </row>
    <row r="346" spans="1:57" x14ac:dyDescent="0.25">
      <c r="A346" s="3" t="s">
        <v>279</v>
      </c>
      <c r="B346" s="3">
        <v>7500</v>
      </c>
      <c r="D346" s="3"/>
      <c r="E346" s="3">
        <f t="shared" si="205"/>
        <v>7500</v>
      </c>
      <c r="F346" s="3">
        <v>7500</v>
      </c>
      <c r="H346" s="5">
        <f t="shared" si="206"/>
        <v>0</v>
      </c>
      <c r="J346" s="38"/>
      <c r="K346" s="4">
        <f t="shared" si="207"/>
        <v>7500</v>
      </c>
      <c r="L346" s="4">
        <v>7500</v>
      </c>
      <c r="N346" s="4">
        <f t="shared" si="208"/>
        <v>0</v>
      </c>
      <c r="P346" s="3"/>
      <c r="Q346" s="3"/>
      <c r="R346" s="3"/>
      <c r="S346" s="3">
        <f t="shared" si="209"/>
        <v>0</v>
      </c>
      <c r="T346" s="3"/>
      <c r="U346" s="3">
        <f t="shared" si="210"/>
        <v>0</v>
      </c>
      <c r="V346" s="3"/>
      <c r="W346" s="3">
        <f t="shared" si="211"/>
        <v>0</v>
      </c>
      <c r="X346" s="3"/>
      <c r="Y346" s="3"/>
      <c r="Z346" s="3">
        <f t="shared" si="212"/>
        <v>0</v>
      </c>
      <c r="AA346" s="3"/>
      <c r="AB346" s="3"/>
      <c r="AC346" s="3"/>
      <c r="AD346" s="3">
        <f t="shared" si="213"/>
        <v>0</v>
      </c>
      <c r="AE346" s="3"/>
      <c r="AF346" s="3">
        <f t="shared" si="214"/>
        <v>0</v>
      </c>
      <c r="AG346" s="4"/>
      <c r="AH346" s="4"/>
      <c r="AJ346" s="4"/>
      <c r="AK346" s="3">
        <f t="shared" si="215"/>
        <v>0</v>
      </c>
      <c r="AL346" s="4"/>
      <c r="AM346" s="3">
        <f t="shared" si="216"/>
        <v>0</v>
      </c>
      <c r="AO346" s="3"/>
      <c r="AP346" s="3"/>
      <c r="AQ346" s="3"/>
      <c r="AR346" s="3"/>
      <c r="AS346" s="3"/>
      <c r="AT346" s="3"/>
      <c r="AU346" s="3"/>
      <c r="AV346" s="42"/>
      <c r="AW346" s="3"/>
      <c r="AX346" s="42"/>
      <c r="AY346" s="3"/>
      <c r="AZ346" s="42"/>
      <c r="BA346" s="3"/>
      <c r="BB346" s="42"/>
      <c r="BC346" s="3"/>
      <c r="BE346" s="3"/>
    </row>
    <row r="347" spans="1:57" x14ac:dyDescent="0.25">
      <c r="A347" s="3" t="s">
        <v>280</v>
      </c>
      <c r="B347" s="3"/>
      <c r="D347" s="3"/>
      <c r="E347" s="3"/>
      <c r="F347" s="3"/>
      <c r="J347" s="38"/>
      <c r="K347" s="4"/>
      <c r="L347" s="4"/>
      <c r="N347" s="4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4"/>
      <c r="AH347" s="4"/>
      <c r="AJ347" s="4"/>
      <c r="AK347" s="3">
        <f t="shared" si="215"/>
        <v>0</v>
      </c>
      <c r="AL347" s="4"/>
      <c r="AM347" s="3">
        <f t="shared" si="216"/>
        <v>0</v>
      </c>
      <c r="AO347" s="3">
        <v>2000000</v>
      </c>
      <c r="AP347" s="3"/>
      <c r="AQ347" s="3"/>
      <c r="AR347" s="3"/>
      <c r="AS347" s="3"/>
      <c r="AT347" s="3"/>
      <c r="AU347" s="3"/>
      <c r="AV347" s="42"/>
      <c r="AW347" s="3"/>
      <c r="AX347" s="42"/>
      <c r="AY347" s="3"/>
      <c r="AZ347" s="42"/>
      <c r="BA347" s="3"/>
      <c r="BB347" s="42"/>
      <c r="BC347" s="3"/>
      <c r="BE347" s="3"/>
    </row>
    <row r="348" spans="1:57" x14ac:dyDescent="0.25">
      <c r="A348" s="66" t="s">
        <v>281</v>
      </c>
      <c r="B348" s="3"/>
      <c r="D348" s="3"/>
      <c r="E348" s="3">
        <f t="shared" si="205"/>
        <v>0</v>
      </c>
      <c r="F348" s="3"/>
      <c r="H348" s="5">
        <f t="shared" si="206"/>
        <v>0</v>
      </c>
      <c r="J348" s="38"/>
      <c r="K348" s="4">
        <f t="shared" si="207"/>
        <v>0</v>
      </c>
      <c r="L348" s="4"/>
      <c r="N348" s="4">
        <f t="shared" si="208"/>
        <v>0</v>
      </c>
      <c r="S348" s="3">
        <f t="shared" si="209"/>
        <v>0</v>
      </c>
      <c r="T348" s="3"/>
      <c r="U348" s="3">
        <f t="shared" si="210"/>
        <v>0</v>
      </c>
      <c r="W348" s="3">
        <f t="shared" si="211"/>
        <v>0</v>
      </c>
      <c r="X348" s="3"/>
      <c r="Z348" s="3">
        <f t="shared" si="212"/>
        <v>0</v>
      </c>
      <c r="AD348" s="3">
        <f t="shared" si="213"/>
        <v>0</v>
      </c>
      <c r="AE348" s="3"/>
      <c r="AF348" s="3">
        <f t="shared" si="214"/>
        <v>0</v>
      </c>
      <c r="AJ348" s="4"/>
      <c r="AK348" s="3">
        <f t="shared" si="215"/>
        <v>0</v>
      </c>
      <c r="AL348" s="4"/>
      <c r="AM348" s="3">
        <f t="shared" si="216"/>
        <v>0</v>
      </c>
    </row>
    <row r="349" spans="1:57" x14ac:dyDescent="0.25">
      <c r="A349" s="3" t="s">
        <v>282</v>
      </c>
      <c r="B349" s="3"/>
      <c r="D349" s="3"/>
      <c r="E349" s="3">
        <f t="shared" si="205"/>
        <v>0</v>
      </c>
      <c r="F349" s="3"/>
      <c r="H349" s="5">
        <f t="shared" si="206"/>
        <v>0</v>
      </c>
      <c r="J349" s="38"/>
      <c r="K349" s="4">
        <f t="shared" si="207"/>
        <v>0</v>
      </c>
      <c r="L349" s="4"/>
      <c r="N349" s="4">
        <f t="shared" si="208"/>
        <v>0</v>
      </c>
      <c r="S349" s="3">
        <f t="shared" si="209"/>
        <v>0</v>
      </c>
      <c r="T349" s="3"/>
      <c r="U349" s="3">
        <f t="shared" si="210"/>
        <v>0</v>
      </c>
      <c r="W349" s="3">
        <f t="shared" si="211"/>
        <v>0</v>
      </c>
      <c r="X349" s="3"/>
      <c r="Z349" s="3">
        <f t="shared" si="212"/>
        <v>0</v>
      </c>
      <c r="AD349" s="3">
        <f t="shared" si="213"/>
        <v>0</v>
      </c>
      <c r="AE349" s="3"/>
      <c r="AF349" s="3">
        <f t="shared" si="214"/>
        <v>0</v>
      </c>
      <c r="AJ349" s="4"/>
      <c r="AK349" s="3">
        <f t="shared" si="215"/>
        <v>0</v>
      </c>
      <c r="AL349" s="4"/>
      <c r="AM349" s="3">
        <f t="shared" si="216"/>
        <v>0</v>
      </c>
      <c r="AO349" s="3"/>
    </row>
    <row r="350" spans="1:57" x14ac:dyDescent="0.25">
      <c r="A350" s="3" t="s">
        <v>283</v>
      </c>
      <c r="B350" s="3"/>
      <c r="D350" s="3"/>
      <c r="E350" s="3">
        <f t="shared" si="205"/>
        <v>0</v>
      </c>
      <c r="F350" s="3"/>
      <c r="H350" s="5">
        <f t="shared" si="206"/>
        <v>0</v>
      </c>
      <c r="J350" s="38"/>
      <c r="K350" s="4">
        <f t="shared" si="207"/>
        <v>0</v>
      </c>
      <c r="L350" s="4"/>
      <c r="N350" s="4">
        <f t="shared" si="208"/>
        <v>0</v>
      </c>
      <c r="S350" s="3">
        <f t="shared" si="209"/>
        <v>0</v>
      </c>
      <c r="T350" s="3"/>
      <c r="U350" s="3">
        <f t="shared" si="210"/>
        <v>0</v>
      </c>
      <c r="W350" s="3">
        <f t="shared" si="211"/>
        <v>0</v>
      </c>
      <c r="X350" s="3"/>
      <c r="Z350" s="3">
        <f t="shared" si="212"/>
        <v>0</v>
      </c>
      <c r="AD350" s="3">
        <f t="shared" si="213"/>
        <v>0</v>
      </c>
      <c r="AE350" s="3"/>
      <c r="AF350" s="3">
        <f t="shared" si="214"/>
        <v>0</v>
      </c>
      <c r="AJ350" s="4"/>
      <c r="AK350" s="3">
        <f t="shared" si="215"/>
        <v>0</v>
      </c>
      <c r="AL350" s="4"/>
      <c r="AM350" s="3">
        <f t="shared" si="216"/>
        <v>0</v>
      </c>
    </row>
    <row r="351" spans="1:57" x14ac:dyDescent="0.25">
      <c r="A351" s="3" t="s">
        <v>284</v>
      </c>
      <c r="B351" s="3"/>
      <c r="D351" s="3"/>
      <c r="E351" s="3">
        <f t="shared" si="205"/>
        <v>0</v>
      </c>
      <c r="F351" s="3"/>
      <c r="H351" s="5">
        <f t="shared" si="206"/>
        <v>0</v>
      </c>
      <c r="J351" s="38"/>
      <c r="K351" s="4">
        <f t="shared" si="207"/>
        <v>0</v>
      </c>
      <c r="L351" s="4"/>
      <c r="N351" s="4">
        <f t="shared" si="208"/>
        <v>0</v>
      </c>
      <c r="S351" s="3">
        <f t="shared" si="209"/>
        <v>0</v>
      </c>
      <c r="T351" s="3"/>
      <c r="U351" s="3">
        <f t="shared" si="210"/>
        <v>0</v>
      </c>
      <c r="W351" s="3">
        <f t="shared" si="211"/>
        <v>0</v>
      </c>
      <c r="X351" s="3"/>
      <c r="Z351" s="3">
        <f t="shared" si="212"/>
        <v>0</v>
      </c>
      <c r="AD351" s="3">
        <f t="shared" si="213"/>
        <v>0</v>
      </c>
      <c r="AE351" s="3"/>
      <c r="AF351" s="3">
        <f t="shared" si="214"/>
        <v>0</v>
      </c>
      <c r="AJ351" s="4"/>
      <c r="AK351" s="3">
        <f t="shared" si="215"/>
        <v>0</v>
      </c>
      <c r="AL351" s="4"/>
      <c r="AM351" s="3">
        <f t="shared" si="216"/>
        <v>0</v>
      </c>
    </row>
    <row r="352" spans="1:57" x14ac:dyDescent="0.25">
      <c r="A352" s="3" t="s">
        <v>285</v>
      </c>
      <c r="B352" s="3"/>
      <c r="D352" s="3">
        <v>0</v>
      </c>
      <c r="E352" s="3">
        <f t="shared" si="205"/>
        <v>9090</v>
      </c>
      <c r="F352" s="3">
        <v>9090</v>
      </c>
      <c r="H352" s="5">
        <f t="shared" si="206"/>
        <v>9090</v>
      </c>
      <c r="J352" s="5">
        <v>9090</v>
      </c>
      <c r="K352" s="4">
        <f t="shared" si="207"/>
        <v>0</v>
      </c>
      <c r="L352" s="4">
        <v>9090</v>
      </c>
      <c r="N352" s="4">
        <f t="shared" si="208"/>
        <v>0</v>
      </c>
      <c r="S352" s="3">
        <f t="shared" si="209"/>
        <v>0</v>
      </c>
      <c r="T352" s="3"/>
      <c r="U352" s="3">
        <f t="shared" si="210"/>
        <v>0</v>
      </c>
      <c r="W352" s="3">
        <f t="shared" si="211"/>
        <v>0</v>
      </c>
      <c r="X352" s="3"/>
      <c r="Z352" s="3">
        <f t="shared" si="212"/>
        <v>0</v>
      </c>
      <c r="AD352" s="3">
        <f t="shared" si="213"/>
        <v>0</v>
      </c>
      <c r="AE352" s="3"/>
      <c r="AF352" s="3">
        <f t="shared" si="214"/>
        <v>0</v>
      </c>
      <c r="AJ352" s="4"/>
      <c r="AK352" s="3">
        <f t="shared" si="215"/>
        <v>0</v>
      </c>
      <c r="AL352" s="4"/>
      <c r="AM352" s="3">
        <f t="shared" si="216"/>
        <v>0</v>
      </c>
    </row>
    <row r="353" spans="1:57" x14ac:dyDescent="0.25">
      <c r="A353" s="3" t="s">
        <v>286</v>
      </c>
      <c r="B353" s="3"/>
      <c r="D353" s="3"/>
      <c r="E353" s="3">
        <f t="shared" si="205"/>
        <v>0</v>
      </c>
      <c r="F353" s="3"/>
      <c r="H353" s="5">
        <f t="shared" si="206"/>
        <v>0</v>
      </c>
      <c r="J353" s="38"/>
      <c r="K353" s="4">
        <f t="shared" si="207"/>
        <v>0</v>
      </c>
      <c r="L353" s="4"/>
      <c r="N353" s="4">
        <f t="shared" si="208"/>
        <v>0</v>
      </c>
      <c r="S353" s="3">
        <f t="shared" si="209"/>
        <v>0</v>
      </c>
      <c r="T353" s="3"/>
      <c r="U353" s="3">
        <f t="shared" si="210"/>
        <v>0</v>
      </c>
      <c r="W353" s="3">
        <f t="shared" si="211"/>
        <v>0</v>
      </c>
      <c r="X353" s="3"/>
      <c r="Z353" s="3">
        <f t="shared" si="212"/>
        <v>0</v>
      </c>
      <c r="AD353" s="3">
        <f t="shared" si="213"/>
        <v>0</v>
      </c>
      <c r="AE353" s="3"/>
      <c r="AF353" s="3">
        <f t="shared" si="214"/>
        <v>0</v>
      </c>
      <c r="AJ353" s="4"/>
      <c r="AK353" s="3">
        <f t="shared" si="215"/>
        <v>0</v>
      </c>
      <c r="AL353" s="4"/>
      <c r="AM353" s="3">
        <f t="shared" si="216"/>
        <v>0</v>
      </c>
    </row>
    <row r="354" spans="1:57" x14ac:dyDescent="0.25">
      <c r="A354" s="3" t="s">
        <v>287</v>
      </c>
      <c r="B354" s="3">
        <v>350000</v>
      </c>
      <c r="D354" s="3"/>
      <c r="E354" s="3">
        <f t="shared" si="205"/>
        <v>350000</v>
      </c>
      <c r="F354" s="3">
        <v>350000</v>
      </c>
      <c r="H354" s="5">
        <f t="shared" si="206"/>
        <v>0</v>
      </c>
      <c r="J354" s="38"/>
      <c r="K354" s="4">
        <f t="shared" si="207"/>
        <v>350000</v>
      </c>
      <c r="L354" s="4">
        <v>350000</v>
      </c>
      <c r="N354" s="4">
        <f t="shared" si="208"/>
        <v>0</v>
      </c>
      <c r="S354" s="3">
        <f t="shared" si="209"/>
        <v>0</v>
      </c>
      <c r="T354" s="3"/>
      <c r="U354" s="3">
        <f t="shared" si="210"/>
        <v>0</v>
      </c>
      <c r="W354" s="3">
        <f t="shared" si="211"/>
        <v>0</v>
      </c>
      <c r="X354" s="3"/>
      <c r="Z354" s="3">
        <f t="shared" si="212"/>
        <v>0</v>
      </c>
      <c r="AD354" s="3">
        <f t="shared" si="213"/>
        <v>0</v>
      </c>
      <c r="AE354" s="3"/>
      <c r="AF354" s="3">
        <f t="shared" si="214"/>
        <v>0</v>
      </c>
      <c r="AJ354" s="4"/>
      <c r="AK354" s="3">
        <f t="shared" si="215"/>
        <v>0</v>
      </c>
      <c r="AL354" s="4"/>
      <c r="AM354" s="3">
        <f t="shared" si="216"/>
        <v>0</v>
      </c>
    </row>
    <row r="355" spans="1:57" x14ac:dyDescent="0.25">
      <c r="A355" s="3" t="s">
        <v>288</v>
      </c>
      <c r="B355" s="3"/>
      <c r="D355" s="3"/>
      <c r="E355" s="3">
        <f t="shared" si="205"/>
        <v>0</v>
      </c>
      <c r="F355" s="3"/>
      <c r="H355" s="5">
        <f t="shared" si="206"/>
        <v>0</v>
      </c>
      <c r="J355" s="38"/>
      <c r="K355" s="4">
        <f t="shared" si="207"/>
        <v>0</v>
      </c>
      <c r="L355" s="4"/>
      <c r="N355" s="4">
        <f t="shared" si="208"/>
        <v>0</v>
      </c>
      <c r="S355" s="3">
        <f t="shared" si="209"/>
        <v>0</v>
      </c>
      <c r="T355" s="3"/>
      <c r="U355" s="3">
        <f t="shared" si="210"/>
        <v>0</v>
      </c>
      <c r="W355" s="3">
        <f t="shared" si="211"/>
        <v>0</v>
      </c>
      <c r="X355" s="3"/>
      <c r="Z355" s="3">
        <f t="shared" si="212"/>
        <v>0</v>
      </c>
      <c r="AD355" s="3">
        <f t="shared" si="213"/>
        <v>0</v>
      </c>
      <c r="AE355" s="3"/>
      <c r="AF355" s="3">
        <f t="shared" si="214"/>
        <v>0</v>
      </c>
      <c r="AJ355" s="4"/>
      <c r="AK355" s="3">
        <f t="shared" si="215"/>
        <v>0</v>
      </c>
      <c r="AL355" s="4"/>
      <c r="AM355" s="3">
        <f t="shared" si="216"/>
        <v>0</v>
      </c>
    </row>
    <row r="356" spans="1:57" x14ac:dyDescent="0.25">
      <c r="A356" s="3" t="s">
        <v>289</v>
      </c>
      <c r="B356" s="3">
        <v>700000</v>
      </c>
      <c r="D356" s="3"/>
      <c r="E356" s="3">
        <f t="shared" si="205"/>
        <v>700000</v>
      </c>
      <c r="F356" s="3">
        <v>700000</v>
      </c>
      <c r="H356" s="5">
        <f t="shared" si="206"/>
        <v>0</v>
      </c>
      <c r="J356" s="38"/>
      <c r="K356" s="4">
        <f t="shared" si="207"/>
        <v>700000</v>
      </c>
      <c r="L356" s="4">
        <v>700000</v>
      </c>
      <c r="N356" s="4">
        <f t="shared" si="208"/>
        <v>0</v>
      </c>
      <c r="P356" s="3">
        <v>700000</v>
      </c>
      <c r="Q356" s="3"/>
      <c r="R356" s="3">
        <v>0</v>
      </c>
      <c r="S356" s="3">
        <f t="shared" si="209"/>
        <v>700000</v>
      </c>
      <c r="T356" s="3">
        <v>700000</v>
      </c>
      <c r="U356" s="3">
        <f t="shared" si="210"/>
        <v>0</v>
      </c>
      <c r="V356" s="3">
        <v>0</v>
      </c>
      <c r="W356" s="3">
        <f t="shared" si="211"/>
        <v>725000</v>
      </c>
      <c r="X356" s="3"/>
      <c r="Y356" s="3">
        <v>725000</v>
      </c>
      <c r="Z356" s="3">
        <f t="shared" si="212"/>
        <v>25000</v>
      </c>
      <c r="AA356" s="3"/>
      <c r="AB356" s="3"/>
      <c r="AC356" s="3"/>
      <c r="AD356" s="3">
        <f t="shared" si="213"/>
        <v>725000</v>
      </c>
      <c r="AE356" s="3">
        <v>725000</v>
      </c>
      <c r="AF356" s="3">
        <f t="shared" si="214"/>
        <v>0</v>
      </c>
      <c r="AG356" s="4"/>
      <c r="AH356" s="4">
        <v>725000</v>
      </c>
      <c r="AJ356" s="4">
        <v>0</v>
      </c>
      <c r="AK356" s="3">
        <f t="shared" si="215"/>
        <v>815000</v>
      </c>
      <c r="AL356" s="4">
        <f>725000+90000</f>
        <v>815000</v>
      </c>
      <c r="AM356" s="3">
        <f t="shared" si="216"/>
        <v>90000</v>
      </c>
      <c r="AO356" s="3">
        <v>725000</v>
      </c>
      <c r="AP356" s="3"/>
      <c r="AQ356" s="3">
        <v>725000</v>
      </c>
      <c r="AR356" s="3"/>
      <c r="AS356" s="3">
        <v>725000</v>
      </c>
      <c r="AT356" s="3"/>
      <c r="AU356" s="3">
        <v>725000</v>
      </c>
      <c r="AV356" s="42"/>
      <c r="AW356" s="3">
        <v>725000</v>
      </c>
      <c r="AX356" s="42"/>
      <c r="AY356" s="3">
        <v>725000</v>
      </c>
      <c r="AZ356" s="42"/>
      <c r="BA356" s="3">
        <v>725000</v>
      </c>
      <c r="BB356" s="42"/>
      <c r="BC356" s="3">
        <v>725000</v>
      </c>
      <c r="BE356" s="3">
        <v>725000</v>
      </c>
    </row>
    <row r="357" spans="1:57" ht="15.75" thickBot="1" x14ac:dyDescent="0.3">
      <c r="A357" s="3"/>
      <c r="B357" s="43">
        <f>SUM(B343:B356)</f>
        <v>1130307</v>
      </c>
      <c r="C357" s="32"/>
      <c r="D357" s="43">
        <f>SUM(D343:D356)</f>
        <v>1945</v>
      </c>
      <c r="E357" s="43">
        <f>SUM(E343:E356)</f>
        <v>615328</v>
      </c>
      <c r="F357" s="43">
        <f>SUM(F343:F356)</f>
        <v>617273</v>
      </c>
      <c r="G357" s="32"/>
      <c r="H357" s="43">
        <f>SUM(H343:H356)</f>
        <v>-513034</v>
      </c>
      <c r="I357" s="36"/>
      <c r="J357" s="43">
        <f>SUM(J343:J356)</f>
        <v>12142</v>
      </c>
      <c r="K357" s="43">
        <f>SUM(K343:K356)</f>
        <v>447823</v>
      </c>
      <c r="L357" s="43">
        <f>SUM(L343:L356)</f>
        <v>459965</v>
      </c>
      <c r="M357" s="32"/>
      <c r="N357" s="43">
        <f>SUM(N343:N356)</f>
        <v>-157308</v>
      </c>
      <c r="P357" s="43">
        <f>SUM(P343:P356)</f>
        <v>1089089</v>
      </c>
      <c r="R357" s="43">
        <f t="shared" ref="R357:Z357" si="217">SUM(R343:R356)</f>
        <v>1201</v>
      </c>
      <c r="S357" s="43">
        <f t="shared" si="217"/>
        <v>1280404</v>
      </c>
      <c r="T357" s="43">
        <f t="shared" si="217"/>
        <v>1281605</v>
      </c>
      <c r="U357" s="43">
        <f t="shared" si="217"/>
        <v>192516</v>
      </c>
      <c r="V357" s="43">
        <f t="shared" si="217"/>
        <v>2929</v>
      </c>
      <c r="W357" s="43">
        <f t="shared" si="217"/>
        <v>1245821</v>
      </c>
      <c r="X357" s="43"/>
      <c r="Y357" s="43">
        <f t="shared" si="217"/>
        <v>1248750</v>
      </c>
      <c r="Z357" s="43">
        <f t="shared" si="217"/>
        <v>-32855</v>
      </c>
      <c r="AC357" s="43">
        <f>SUM(AC343:AC356)</f>
        <v>4986</v>
      </c>
      <c r="AD357" s="43">
        <f>SUM(AD343:AD356)</f>
        <v>1265069</v>
      </c>
      <c r="AE357" s="43">
        <f>SUM(AE343:AE356)</f>
        <v>1270055</v>
      </c>
      <c r="AF357" s="43">
        <f>SUM(AF343:AF356)</f>
        <v>21305</v>
      </c>
      <c r="AH357" s="36">
        <f t="shared" ref="AH357:BC357" si="218">SUM(AH343:AH356)</f>
        <v>1459552</v>
      </c>
      <c r="AI357" s="32"/>
      <c r="AJ357" s="43">
        <f t="shared" si="218"/>
        <v>1670</v>
      </c>
      <c r="AK357" s="43">
        <f t="shared" si="218"/>
        <v>1668875</v>
      </c>
      <c r="AL357" s="43">
        <f t="shared" si="218"/>
        <v>1670545</v>
      </c>
      <c r="AM357" s="43">
        <f t="shared" si="218"/>
        <v>210993</v>
      </c>
      <c r="AN357" s="32"/>
      <c r="AO357" s="43">
        <f t="shared" si="218"/>
        <v>2447494</v>
      </c>
      <c r="AQ357" s="43">
        <f t="shared" si="218"/>
        <v>125827</v>
      </c>
      <c r="AS357" s="43">
        <f t="shared" si="218"/>
        <v>61823</v>
      </c>
      <c r="AT357" s="43"/>
      <c r="AU357" s="43">
        <f t="shared" si="218"/>
        <v>391035</v>
      </c>
      <c r="AW357" s="43">
        <f t="shared" si="218"/>
        <v>200948</v>
      </c>
      <c r="AY357" s="43">
        <f t="shared" si="218"/>
        <v>-13908</v>
      </c>
      <c r="BA357" s="43">
        <f t="shared" si="218"/>
        <v>248906</v>
      </c>
      <c r="BC357" s="43">
        <f t="shared" si="218"/>
        <v>146513</v>
      </c>
      <c r="BE357" s="43">
        <f>SUM(BE343:BE356)</f>
        <v>441303</v>
      </c>
    </row>
    <row r="358" spans="1:57" ht="16.5" thickTop="1" thickBot="1" x14ac:dyDescent="0.3">
      <c r="A358" s="3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32"/>
      <c r="N358" s="7"/>
      <c r="P358" s="7"/>
      <c r="R358" s="7"/>
      <c r="S358" s="7"/>
      <c r="T358" s="7"/>
      <c r="U358" s="7"/>
      <c r="V358" s="7"/>
      <c r="W358" s="7"/>
      <c r="X358" s="7"/>
      <c r="Y358" s="7"/>
      <c r="Z358" s="7"/>
      <c r="AC358" s="7"/>
      <c r="AD358" s="7"/>
      <c r="AE358" s="7"/>
      <c r="AF358" s="7"/>
      <c r="AH358" s="32"/>
      <c r="AI358" s="32"/>
      <c r="AJ358" s="32"/>
      <c r="AK358" s="32"/>
      <c r="AL358" s="32"/>
      <c r="AM358" s="32"/>
      <c r="AN358" s="32"/>
      <c r="AO358" s="7"/>
      <c r="AQ358" s="7"/>
      <c r="AS358" s="7"/>
      <c r="AT358" s="7"/>
      <c r="AU358" s="7"/>
      <c r="AW358" s="7"/>
      <c r="AY358" s="7"/>
      <c r="BA358" s="7"/>
      <c r="BC358" s="7"/>
      <c r="BE358" s="7"/>
    </row>
    <row r="359" spans="1:57" ht="15.75" thickBot="1" x14ac:dyDescent="0.3">
      <c r="A359" s="7" t="s">
        <v>290</v>
      </c>
      <c r="B359" s="67">
        <f>B357+B338</f>
        <v>11008370.125</v>
      </c>
      <c r="C359" s="32"/>
      <c r="D359" s="67">
        <f>D357+D338</f>
        <v>3734560</v>
      </c>
      <c r="E359" s="67">
        <f>E357+E338</f>
        <v>7884975</v>
      </c>
      <c r="F359" s="67">
        <f>F357+F338</f>
        <v>11619538</v>
      </c>
      <c r="G359" s="32"/>
      <c r="H359" s="67">
        <f>H357+H338</f>
        <v>611165.87500000023</v>
      </c>
      <c r="I359" s="36"/>
      <c r="J359" s="67">
        <f>J357+J338</f>
        <v>5233209</v>
      </c>
      <c r="K359" s="67">
        <f>K357+K338</f>
        <v>6207590</v>
      </c>
      <c r="L359" s="67">
        <f>L357+L338</f>
        <v>11403301</v>
      </c>
      <c r="M359" s="32"/>
      <c r="N359" s="67">
        <f>N357+N338</f>
        <v>-178639</v>
      </c>
      <c r="P359" s="67">
        <f>P357+P338</f>
        <v>10690938.4</v>
      </c>
      <c r="R359" s="67">
        <f t="shared" ref="R359:W359" si="219">R357+R338</f>
        <v>3453729</v>
      </c>
      <c r="S359" s="67">
        <f t="shared" si="219"/>
        <v>7561604</v>
      </c>
      <c r="T359" s="67">
        <f t="shared" si="219"/>
        <v>11015332</v>
      </c>
      <c r="U359" s="67">
        <f t="shared" si="219"/>
        <v>324394.60000000021</v>
      </c>
      <c r="V359" s="67">
        <f t="shared" si="219"/>
        <v>4392184</v>
      </c>
      <c r="W359" s="67">
        <f t="shared" si="219"/>
        <v>6859559</v>
      </c>
      <c r="X359" s="67"/>
      <c r="Y359" s="67">
        <f>Y357+Y338</f>
        <v>11251592</v>
      </c>
      <c r="Z359" s="67">
        <f>Z357+Z338</f>
        <v>236260</v>
      </c>
      <c r="AC359" s="67">
        <f>AC357+AC338</f>
        <v>5413269</v>
      </c>
      <c r="AD359" s="67">
        <f>AD357+AD338</f>
        <v>5828224</v>
      </c>
      <c r="AE359" s="67">
        <f>AE357+AE338</f>
        <v>11241492</v>
      </c>
      <c r="AF359" s="67">
        <f>AF357+AF338</f>
        <v>-10099</v>
      </c>
      <c r="AH359" s="36">
        <f>AH357+AH338</f>
        <v>12473190.974374998</v>
      </c>
      <c r="AI359" s="32"/>
      <c r="AJ359" s="67">
        <f>AJ357+AJ338</f>
        <v>3425592</v>
      </c>
      <c r="AK359" s="67">
        <f>AK357+AK338</f>
        <v>9457601</v>
      </c>
      <c r="AL359" s="67">
        <f>AL357+AL338</f>
        <v>12883193</v>
      </c>
      <c r="AM359" s="67">
        <f>AM357+AM338</f>
        <v>410003.02562500024</v>
      </c>
      <c r="AN359" s="32"/>
      <c r="AO359" s="67">
        <f>AO357+AO338</f>
        <v>10177895.821921876</v>
      </c>
      <c r="AQ359" s="67">
        <f>AQ357+AQ338</f>
        <v>8220605.5004703896</v>
      </c>
      <c r="AS359" s="67">
        <f>AS357+AS338</f>
        <v>8389030.1174495369</v>
      </c>
      <c r="AT359" s="67"/>
      <c r="AU359" s="67">
        <f>AU357+AU338</f>
        <v>8960730.1133911535</v>
      </c>
      <c r="AW359" s="67">
        <f>AW357+AW338</f>
        <v>9007263.1869936828</v>
      </c>
      <c r="AY359" s="67">
        <f>AY357+AY338</f>
        <v>8985386.1695435345</v>
      </c>
      <c r="BA359" s="67">
        <f>BA357+BA338</f>
        <v>9457445.5013023391</v>
      </c>
      <c r="BC359" s="67">
        <f>BC357+BC338</f>
        <v>9445231.3369608894</v>
      </c>
      <c r="BE359" s="67">
        <f>BE357+BE338</f>
        <v>9982821.1392626949</v>
      </c>
    </row>
    <row r="360" spans="1:57" s="51" customFormat="1" x14ac:dyDescent="0.25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4"/>
      <c r="P360" s="32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32"/>
      <c r="AI360" s="32"/>
      <c r="AJ360" s="32"/>
      <c r="AK360" s="32"/>
      <c r="AL360" s="32"/>
      <c r="AM360" s="32"/>
      <c r="AN360" s="32"/>
      <c r="AO360" s="32"/>
      <c r="AP360" s="4"/>
      <c r="AQ360" s="32"/>
      <c r="AR360" s="4"/>
      <c r="AS360" s="32"/>
      <c r="AT360" s="32"/>
      <c r="AU360" s="32"/>
      <c r="AW360" s="32"/>
      <c r="AY360" s="32"/>
      <c r="BA360" s="32"/>
      <c r="BC360" s="32"/>
      <c r="BE360" s="32"/>
    </row>
    <row r="361" spans="1:57" x14ac:dyDescent="0.25">
      <c r="A361" s="28" t="s">
        <v>291</v>
      </c>
      <c r="AG361" s="4"/>
    </row>
    <row r="362" spans="1:57" x14ac:dyDescent="0.25">
      <c r="A362" s="7" t="s">
        <v>58</v>
      </c>
      <c r="AG362" s="4"/>
    </row>
    <row r="363" spans="1:57" x14ac:dyDescent="0.25">
      <c r="A363" s="7" t="s">
        <v>292</v>
      </c>
      <c r="AG363" s="4"/>
    </row>
    <row r="364" spans="1:57" x14ac:dyDescent="0.25">
      <c r="A364" s="3" t="s">
        <v>293</v>
      </c>
      <c r="B364" s="5">
        <v>14900</v>
      </c>
      <c r="D364" s="5">
        <v>0</v>
      </c>
      <c r="E364" s="3">
        <f>F364-D364</f>
        <v>14900</v>
      </c>
      <c r="F364" s="5">
        <v>14900</v>
      </c>
      <c r="H364" s="5">
        <f>F364-B364</f>
        <v>0</v>
      </c>
      <c r="J364" s="5">
        <v>9648</v>
      </c>
      <c r="K364" s="4">
        <f t="shared" ref="K364:K374" si="220">L364-J364</f>
        <v>5252</v>
      </c>
      <c r="L364" s="4">
        <v>14900</v>
      </c>
      <c r="N364" s="4">
        <f t="shared" ref="N364:N374" si="221">L364-F364</f>
        <v>0</v>
      </c>
      <c r="P364" s="3">
        <f>L364*1.0281+31</f>
        <v>15349.69</v>
      </c>
      <c r="Q364" s="3"/>
      <c r="R364" s="3">
        <v>0</v>
      </c>
      <c r="S364" s="3">
        <f t="shared" ref="S364:S374" si="222">T364-R364</f>
        <v>15350</v>
      </c>
      <c r="T364" s="3">
        <v>15350</v>
      </c>
      <c r="U364" s="3">
        <f t="shared" ref="U364:U374" si="223">T364-P364</f>
        <v>0.30999999999949068</v>
      </c>
      <c r="V364" s="3">
        <v>11362</v>
      </c>
      <c r="W364" s="3">
        <f t="shared" ref="W364:W374" si="224">Y364-V364</f>
        <v>3988</v>
      </c>
      <c r="X364" s="3"/>
      <c r="Y364" s="3">
        <v>15350</v>
      </c>
      <c r="Z364" s="3">
        <f t="shared" ref="Z364:Z374" si="225">Y364-T364</f>
        <v>0</v>
      </c>
      <c r="AA364" s="3"/>
      <c r="AB364" s="3"/>
      <c r="AC364" s="3">
        <v>11362</v>
      </c>
      <c r="AD364" s="3">
        <f t="shared" ref="AD364:AD374" si="226">AE364-AC364</f>
        <v>3988</v>
      </c>
      <c r="AE364" s="3">
        <v>15350</v>
      </c>
      <c r="AF364" s="3">
        <f t="shared" ref="AF364:AF374" si="227">AE364-Y364</f>
        <v>0</v>
      </c>
      <c r="AG364" s="4"/>
      <c r="AH364" s="4">
        <f>AE364*1.03-11</f>
        <v>15799.5</v>
      </c>
      <c r="AJ364" s="3">
        <v>0</v>
      </c>
      <c r="AK364" s="3">
        <f t="shared" ref="AK364:AK374" si="228">AL364-AJ364</f>
        <v>15800</v>
      </c>
      <c r="AL364" s="3">
        <v>15800</v>
      </c>
      <c r="AM364" s="3">
        <f t="shared" ref="AM364:AM374" si="229">AL364-AH364</f>
        <v>0.5</v>
      </c>
      <c r="AO364" s="3">
        <f>AH364*1.03</f>
        <v>16273.485000000001</v>
      </c>
      <c r="AP364" s="3"/>
      <c r="AQ364" s="3">
        <f>AO364*1.03</f>
        <v>16761.689550000003</v>
      </c>
      <c r="AR364" s="3"/>
      <c r="AS364" s="3">
        <f>AQ364*1.03</f>
        <v>17264.540236500005</v>
      </c>
      <c r="AT364" s="3"/>
      <c r="AU364" s="3">
        <f>AS364*1.03</f>
        <v>17782.476443595006</v>
      </c>
      <c r="AV364" s="3"/>
      <c r="AW364" s="3">
        <f>AU364*1.03</f>
        <v>18315.950736902858</v>
      </c>
      <c r="AX364" s="3"/>
      <c r="AY364" s="3">
        <f>AW364*1.03</f>
        <v>18865.429259009943</v>
      </c>
      <c r="AZ364" s="3"/>
      <c r="BA364" s="3">
        <f>AY364*1.03</f>
        <v>19431.392136780243</v>
      </c>
      <c r="BB364" s="3"/>
      <c r="BC364" s="3">
        <f>BA364*1.03</f>
        <v>20014.333900883652</v>
      </c>
      <c r="BE364" s="3">
        <f>BC364*1.03</f>
        <v>20614.763917910161</v>
      </c>
    </row>
    <row r="365" spans="1:57" x14ac:dyDescent="0.25">
      <c r="A365" s="3" t="s">
        <v>294</v>
      </c>
      <c r="B365" s="5">
        <f>FLOOR([2]Sheet1!AQ258,10)</f>
        <v>0</v>
      </c>
      <c r="E365" s="3">
        <f t="shared" ref="E365:E374" si="230">F365-D365</f>
        <v>0</v>
      </c>
      <c r="H365" s="5">
        <f t="shared" ref="H365:H374" si="231">F365-B365</f>
        <v>0</v>
      </c>
      <c r="K365" s="4">
        <f t="shared" si="220"/>
        <v>0</v>
      </c>
      <c r="L365" s="4"/>
      <c r="N365" s="4">
        <f t="shared" si="221"/>
        <v>0</v>
      </c>
      <c r="P365" s="3">
        <v>33000</v>
      </c>
      <c r="Q365" s="3"/>
      <c r="R365" s="3">
        <v>2895</v>
      </c>
      <c r="S365" s="3">
        <f t="shared" si="222"/>
        <v>28105</v>
      </c>
      <c r="T365" s="3">
        <v>31000</v>
      </c>
      <c r="U365" s="3">
        <f t="shared" si="223"/>
        <v>-2000</v>
      </c>
      <c r="V365" s="3">
        <v>3160</v>
      </c>
      <c r="W365" s="3">
        <f t="shared" si="224"/>
        <v>22340</v>
      </c>
      <c r="X365" s="3"/>
      <c r="Y365" s="3">
        <v>25500</v>
      </c>
      <c r="Z365" s="3">
        <f t="shared" si="225"/>
        <v>-5500</v>
      </c>
      <c r="AA365" s="3"/>
      <c r="AB365" s="3"/>
      <c r="AC365" s="3">
        <v>25357</v>
      </c>
      <c r="AD365" s="3">
        <f t="shared" si="226"/>
        <v>143</v>
      </c>
      <c r="AE365" s="3">
        <v>25500</v>
      </c>
      <c r="AF365" s="3">
        <f t="shared" si="227"/>
        <v>0</v>
      </c>
      <c r="AG365" s="4"/>
      <c r="AH365" s="4">
        <f>FLOOR([2]Sheet1!AU258,10)</f>
        <v>0</v>
      </c>
      <c r="AJ365" s="3"/>
      <c r="AK365" s="3">
        <f t="shared" si="228"/>
        <v>0</v>
      </c>
      <c r="AL365" s="3"/>
      <c r="AM365" s="3">
        <f t="shared" si="229"/>
        <v>0</v>
      </c>
      <c r="AO365" s="3">
        <f>FLOOR([2]Sheet1!AW258,10)</f>
        <v>0</v>
      </c>
      <c r="AP365" s="3"/>
      <c r="AQ365" s="3">
        <f>FLOOR([2]Sheet1!AY258,10)</f>
        <v>0</v>
      </c>
      <c r="AR365" s="3"/>
      <c r="AS365" s="3">
        <f>P365*1.03 *1.03 *1.03 *1.03</f>
        <v>37141.790730000001</v>
      </c>
      <c r="AT365" s="3"/>
      <c r="AU365" s="3">
        <f>FLOOR([2]Sheet1!BC258,10)</f>
        <v>0</v>
      </c>
      <c r="AV365" s="42"/>
      <c r="AW365" s="3">
        <f>FLOOR([2]Sheet1!BE258,10)</f>
        <v>0</v>
      </c>
      <c r="AX365" s="42"/>
      <c r="AY365" s="3">
        <f>FLOOR([2]Sheet1!BG258,10)</f>
        <v>0</v>
      </c>
      <c r="AZ365" s="42"/>
      <c r="BA365" s="3">
        <f>AS365*1.03 *1.03 *1.03 *1.03</f>
        <v>41803.412685791336</v>
      </c>
      <c r="BB365" s="42"/>
      <c r="BC365" s="3"/>
      <c r="BE365" s="3"/>
    </row>
    <row r="366" spans="1:57" x14ac:dyDescent="0.25">
      <c r="A366" s="3" t="s">
        <v>295</v>
      </c>
      <c r="E366" s="3">
        <f t="shared" si="230"/>
        <v>0</v>
      </c>
      <c r="H366" s="5">
        <f t="shared" si="231"/>
        <v>0</v>
      </c>
      <c r="J366" s="5">
        <v>192</v>
      </c>
      <c r="K366" s="4">
        <f t="shared" si="220"/>
        <v>-192</v>
      </c>
      <c r="L366" s="4">
        <v>0</v>
      </c>
      <c r="N366" s="4">
        <f t="shared" si="221"/>
        <v>0</v>
      </c>
      <c r="P366" s="3"/>
      <c r="Q366" s="3"/>
      <c r="R366" s="3">
        <v>1417</v>
      </c>
      <c r="S366" s="3">
        <f t="shared" si="222"/>
        <v>-1417</v>
      </c>
      <c r="T366" s="3">
        <v>0</v>
      </c>
      <c r="U366" s="3">
        <f t="shared" si="223"/>
        <v>0</v>
      </c>
      <c r="V366" s="3"/>
      <c r="W366" s="3">
        <f t="shared" si="224"/>
        <v>0</v>
      </c>
      <c r="X366" s="3"/>
      <c r="Y366" s="3"/>
      <c r="Z366" s="3">
        <f t="shared" si="225"/>
        <v>0</v>
      </c>
      <c r="AA366" s="3"/>
      <c r="AB366" s="3"/>
      <c r="AC366" s="3"/>
      <c r="AD366" s="3">
        <f t="shared" si="226"/>
        <v>0</v>
      </c>
      <c r="AE366" s="3"/>
      <c r="AF366" s="3">
        <f t="shared" si="227"/>
        <v>0</v>
      </c>
      <c r="AG366" s="4"/>
      <c r="AH366" s="4"/>
      <c r="AJ366" s="3"/>
      <c r="AK366" s="3">
        <f t="shared" si="228"/>
        <v>0</v>
      </c>
      <c r="AL366" s="3"/>
      <c r="AM366" s="3">
        <f t="shared" si="229"/>
        <v>0</v>
      </c>
      <c r="AO366" s="3"/>
      <c r="AP366" s="3"/>
      <c r="AQ366" s="3"/>
      <c r="AR366" s="3"/>
      <c r="AS366" s="3"/>
      <c r="AT366" s="3"/>
      <c r="AU366" s="3"/>
      <c r="AV366" s="42"/>
      <c r="AW366" s="3"/>
      <c r="AX366" s="42"/>
      <c r="AY366" s="3"/>
      <c r="AZ366" s="42"/>
      <c r="BA366" s="3"/>
      <c r="BB366" s="42"/>
      <c r="BC366" s="3"/>
      <c r="BE366" s="3"/>
    </row>
    <row r="367" spans="1:57" x14ac:dyDescent="0.25">
      <c r="A367" s="3" t="s">
        <v>296</v>
      </c>
      <c r="B367" s="5">
        <v>60400</v>
      </c>
      <c r="D367" s="5">
        <v>15043</v>
      </c>
      <c r="E367" s="3">
        <f t="shared" si="230"/>
        <v>46757</v>
      </c>
      <c r="F367" s="5">
        <v>61800</v>
      </c>
      <c r="H367" s="5">
        <f t="shared" si="231"/>
        <v>1400</v>
      </c>
      <c r="J367" s="5">
        <v>25110</v>
      </c>
      <c r="K367" s="4">
        <f t="shared" si="220"/>
        <v>36690</v>
      </c>
      <c r="L367" s="4">
        <v>61800</v>
      </c>
      <c r="N367" s="4">
        <f t="shared" si="221"/>
        <v>0</v>
      </c>
      <c r="P367" s="3">
        <v>61000</v>
      </c>
      <c r="Q367" s="3"/>
      <c r="R367" s="3">
        <v>9030</v>
      </c>
      <c r="S367" s="3">
        <f t="shared" si="222"/>
        <v>51970</v>
      </c>
      <c r="T367" s="3">
        <v>61000</v>
      </c>
      <c r="U367" s="3">
        <f t="shared" si="223"/>
        <v>0</v>
      </c>
      <c r="V367" s="3">
        <v>24615</v>
      </c>
      <c r="W367" s="3">
        <f t="shared" si="224"/>
        <v>36385</v>
      </c>
      <c r="X367" s="3"/>
      <c r="Y367" s="3">
        <v>61000</v>
      </c>
      <c r="Z367" s="3">
        <f t="shared" si="225"/>
        <v>0</v>
      </c>
      <c r="AA367" s="3"/>
      <c r="AB367" s="3"/>
      <c r="AC367" s="3">
        <v>38805</v>
      </c>
      <c r="AD367" s="3">
        <f t="shared" si="226"/>
        <v>22195</v>
      </c>
      <c r="AE367" s="3">
        <v>61000</v>
      </c>
      <c r="AF367" s="3">
        <f t="shared" si="227"/>
        <v>0</v>
      </c>
      <c r="AG367" s="4"/>
      <c r="AH367" s="4">
        <v>63800</v>
      </c>
      <c r="AJ367" s="3">
        <v>10573</v>
      </c>
      <c r="AK367" s="3">
        <f t="shared" si="228"/>
        <v>53227</v>
      </c>
      <c r="AL367" s="3">
        <v>63800</v>
      </c>
      <c r="AM367" s="3">
        <f t="shared" si="229"/>
        <v>0</v>
      </c>
      <c r="AO367" s="3">
        <f>AH367*1.03</f>
        <v>65714</v>
      </c>
      <c r="AP367" s="3"/>
      <c r="AQ367" s="3">
        <f>AO367*1.03</f>
        <v>67685.42</v>
      </c>
      <c r="AR367" s="3"/>
      <c r="AS367" s="3">
        <f>AQ367*1.03</f>
        <v>69715.982600000003</v>
      </c>
      <c r="AT367" s="3"/>
      <c r="AU367" s="3">
        <f>AS367*1.03</f>
        <v>71807.462078000011</v>
      </c>
      <c r="AV367" s="3"/>
      <c r="AW367" s="3">
        <f>AU367*1.03</f>
        <v>73961.685940340016</v>
      </c>
      <c r="AX367" s="3"/>
      <c r="AY367" s="3">
        <f>AW367*1.03</f>
        <v>76180.536518550216</v>
      </c>
      <c r="AZ367" s="3"/>
      <c r="BA367" s="3">
        <f>AY367*1.03</f>
        <v>78465.952614106718</v>
      </c>
      <c r="BB367" s="3"/>
      <c r="BC367" s="3">
        <f>BA367*1.03</f>
        <v>80819.931192529926</v>
      </c>
      <c r="BE367" s="3">
        <f>BC367*1.03</f>
        <v>83244.529128305832</v>
      </c>
    </row>
    <row r="368" spans="1:57" x14ac:dyDescent="0.25">
      <c r="A368" s="3" t="s">
        <v>297</v>
      </c>
      <c r="B368" s="5">
        <v>8000</v>
      </c>
      <c r="D368" s="5">
        <v>2004</v>
      </c>
      <c r="E368" s="3">
        <f t="shared" si="230"/>
        <v>6146</v>
      </c>
      <c r="F368" s="5">
        <v>8150</v>
      </c>
      <c r="H368" s="5">
        <f t="shared" si="231"/>
        <v>150</v>
      </c>
      <c r="J368" s="5">
        <v>3342</v>
      </c>
      <c r="K368" s="4">
        <f t="shared" si="220"/>
        <v>4808</v>
      </c>
      <c r="L368" s="4">
        <v>8150</v>
      </c>
      <c r="N368" s="4">
        <f t="shared" si="221"/>
        <v>0</v>
      </c>
      <c r="P368" s="3">
        <v>8250</v>
      </c>
      <c r="Q368" s="3"/>
      <c r="R368" s="3">
        <v>1370</v>
      </c>
      <c r="S368" s="3">
        <f t="shared" si="222"/>
        <v>6880</v>
      </c>
      <c r="T368" s="3">
        <v>8250</v>
      </c>
      <c r="U368" s="3">
        <f t="shared" si="223"/>
        <v>0</v>
      </c>
      <c r="V368" s="3">
        <v>3426</v>
      </c>
      <c r="W368" s="3">
        <f t="shared" si="224"/>
        <v>4824</v>
      </c>
      <c r="X368" s="3"/>
      <c r="Y368" s="3">
        <v>8250</v>
      </c>
      <c r="Z368" s="3">
        <f t="shared" si="225"/>
        <v>0</v>
      </c>
      <c r="AA368" s="3"/>
      <c r="AB368" s="3"/>
      <c r="AC368" s="3">
        <v>5481</v>
      </c>
      <c r="AD368" s="3">
        <f t="shared" si="226"/>
        <v>2769</v>
      </c>
      <c r="AE368" s="3">
        <v>8250</v>
      </c>
      <c r="AF368" s="3">
        <f t="shared" si="227"/>
        <v>0</v>
      </c>
      <c r="AG368" s="4"/>
      <c r="AH368" s="4">
        <v>8500</v>
      </c>
      <c r="AJ368" s="3">
        <v>1405</v>
      </c>
      <c r="AK368" s="3">
        <f t="shared" si="228"/>
        <v>7095</v>
      </c>
      <c r="AL368" s="3">
        <v>8500</v>
      </c>
      <c r="AM368" s="3">
        <f t="shared" si="229"/>
        <v>0</v>
      </c>
      <c r="AO368" s="3">
        <f>AH368*1.03</f>
        <v>8755</v>
      </c>
      <c r="AP368" s="3"/>
      <c r="AQ368" s="3">
        <f>AO368*1.03</f>
        <v>9017.65</v>
      </c>
      <c r="AR368" s="3"/>
      <c r="AS368" s="3">
        <f>AQ368*1.03</f>
        <v>9288.1795000000002</v>
      </c>
      <c r="AT368" s="3"/>
      <c r="AU368" s="3">
        <f>AS368*1.03</f>
        <v>9566.824885</v>
      </c>
      <c r="AV368" s="3"/>
      <c r="AW368" s="3">
        <f>AU368*1.03</f>
        <v>9853.8296315500011</v>
      </c>
      <c r="AX368" s="3"/>
      <c r="AY368" s="3">
        <f>AW368*1.03</f>
        <v>10149.444520496501</v>
      </c>
      <c r="AZ368" s="3"/>
      <c r="BA368" s="3">
        <f>AY368*1.03</f>
        <v>10453.927856111397</v>
      </c>
      <c r="BB368" s="3"/>
      <c r="BC368" s="3">
        <f>BA368*1.03</f>
        <v>10767.545691794739</v>
      </c>
      <c r="BE368" s="3">
        <f>BC368*1.03</f>
        <v>11090.572062548583</v>
      </c>
    </row>
    <row r="369" spans="1:57" x14ac:dyDescent="0.25">
      <c r="A369" s="3" t="s">
        <v>298</v>
      </c>
      <c r="B369" s="5">
        <v>240000</v>
      </c>
      <c r="D369" s="5">
        <v>55635</v>
      </c>
      <c r="E369" s="3">
        <f t="shared" si="230"/>
        <v>184365</v>
      </c>
      <c r="F369" s="5">
        <v>240000</v>
      </c>
      <c r="H369" s="5">
        <f t="shared" si="231"/>
        <v>0</v>
      </c>
      <c r="J369" s="5">
        <v>104120</v>
      </c>
      <c r="K369" s="4">
        <f t="shared" si="220"/>
        <v>135880</v>
      </c>
      <c r="L369" s="4">
        <v>240000</v>
      </c>
      <c r="N369" s="4">
        <f t="shared" si="221"/>
        <v>0</v>
      </c>
      <c r="P369" s="3">
        <v>250000</v>
      </c>
      <c r="Q369" s="3"/>
      <c r="R369" s="3">
        <v>62004</v>
      </c>
      <c r="S369" s="3">
        <f t="shared" si="222"/>
        <v>232996</v>
      </c>
      <c r="T369" s="3">
        <v>295000</v>
      </c>
      <c r="U369" s="3">
        <f t="shared" si="223"/>
        <v>45000</v>
      </c>
      <c r="V369" s="3">
        <v>114823</v>
      </c>
      <c r="W369" s="3">
        <f t="shared" si="224"/>
        <v>175177</v>
      </c>
      <c r="X369" s="3"/>
      <c r="Y369" s="3">
        <v>290000</v>
      </c>
      <c r="Z369" s="3">
        <f t="shared" si="225"/>
        <v>-5000</v>
      </c>
      <c r="AA369" s="3"/>
      <c r="AB369" s="3"/>
      <c r="AC369" s="3">
        <v>201915</v>
      </c>
      <c r="AD369" s="3">
        <f t="shared" si="226"/>
        <v>88085</v>
      </c>
      <c r="AE369" s="3">
        <v>290000</v>
      </c>
      <c r="AF369" s="3">
        <f t="shared" si="227"/>
        <v>0</v>
      </c>
      <c r="AG369" s="4"/>
      <c r="AH369" s="4">
        <v>320000</v>
      </c>
      <c r="AJ369" s="3">
        <v>75431</v>
      </c>
      <c r="AK369" s="3">
        <f t="shared" si="228"/>
        <v>244569</v>
      </c>
      <c r="AL369" s="3">
        <v>320000</v>
      </c>
      <c r="AM369" s="3">
        <f t="shared" si="229"/>
        <v>0</v>
      </c>
      <c r="AO369" s="3">
        <f>AH369*1.0275+450</f>
        <v>329250</v>
      </c>
      <c r="AP369" s="3"/>
      <c r="AQ369" s="3">
        <v>325000</v>
      </c>
      <c r="AR369" s="3"/>
      <c r="AS369" s="3">
        <f>AQ369*1.0275</f>
        <v>333937.5</v>
      </c>
      <c r="AT369" s="3"/>
      <c r="AU369" s="3">
        <f>AS369*1.0275</f>
        <v>343120.78125</v>
      </c>
      <c r="AV369" s="3"/>
      <c r="AW369" s="3">
        <f t="shared" ref="AW369:BE369" si="232">AU369*1.0275</f>
        <v>352556.60273437505</v>
      </c>
      <c r="AX369" s="3"/>
      <c r="AY369" s="3">
        <f t="shared" si="232"/>
        <v>362251.90930957039</v>
      </c>
      <c r="AZ369" s="3"/>
      <c r="BA369" s="3">
        <f t="shared" si="232"/>
        <v>372213.83681558358</v>
      </c>
      <c r="BB369" s="3"/>
      <c r="BC369" s="3">
        <f t="shared" si="232"/>
        <v>382449.71732801216</v>
      </c>
      <c r="BE369" s="3">
        <f t="shared" si="232"/>
        <v>392967.08455453254</v>
      </c>
    </row>
    <row r="370" spans="1:57" x14ac:dyDescent="0.25">
      <c r="A370" s="3" t="s">
        <v>299</v>
      </c>
      <c r="B370" s="5">
        <v>0</v>
      </c>
      <c r="D370" s="5">
        <v>2718</v>
      </c>
      <c r="E370" s="3">
        <f t="shared" si="230"/>
        <v>532</v>
      </c>
      <c r="F370" s="5">
        <v>3250</v>
      </c>
      <c r="H370" s="5">
        <f t="shared" si="231"/>
        <v>3250</v>
      </c>
      <c r="J370" s="5">
        <v>2967</v>
      </c>
      <c r="K370" s="4">
        <f t="shared" si="220"/>
        <v>1283</v>
      </c>
      <c r="L370" s="4">
        <v>4250</v>
      </c>
      <c r="N370" s="4">
        <f t="shared" si="221"/>
        <v>1000</v>
      </c>
      <c r="P370" s="3">
        <f>L370*1.0281+31</f>
        <v>4400.4250000000002</v>
      </c>
      <c r="Q370" s="3"/>
      <c r="R370" s="3">
        <v>0</v>
      </c>
      <c r="S370" s="3">
        <f t="shared" si="222"/>
        <v>4400</v>
      </c>
      <c r="T370" s="3">
        <v>4400</v>
      </c>
      <c r="U370" s="3">
        <f t="shared" si="223"/>
        <v>-0.4250000000001819</v>
      </c>
      <c r="V370" s="3">
        <v>2165</v>
      </c>
      <c r="W370" s="3">
        <f t="shared" si="224"/>
        <v>2235</v>
      </c>
      <c r="X370" s="3"/>
      <c r="Y370" s="3">
        <v>4400</v>
      </c>
      <c r="Z370" s="3">
        <f t="shared" si="225"/>
        <v>0</v>
      </c>
      <c r="AA370" s="3"/>
      <c r="AB370" s="3"/>
      <c r="AC370" s="3">
        <v>2165</v>
      </c>
      <c r="AD370" s="3">
        <f t="shared" si="226"/>
        <v>2235</v>
      </c>
      <c r="AE370" s="3">
        <v>4400</v>
      </c>
      <c r="AF370" s="3">
        <f t="shared" si="227"/>
        <v>0</v>
      </c>
      <c r="AG370" s="4"/>
      <c r="AH370" s="4">
        <v>2000</v>
      </c>
      <c r="AJ370" s="3">
        <v>800</v>
      </c>
      <c r="AK370" s="3">
        <f t="shared" si="228"/>
        <v>1200</v>
      </c>
      <c r="AL370" s="3">
        <v>2000</v>
      </c>
      <c r="AM370" s="3">
        <f t="shared" si="229"/>
        <v>0</v>
      </c>
      <c r="AO370" s="3">
        <f>AH370*1.03</f>
        <v>2060</v>
      </c>
      <c r="AP370" s="3"/>
      <c r="AQ370" s="3">
        <f>AO370*1.03</f>
        <v>2121.8000000000002</v>
      </c>
      <c r="AR370" s="3"/>
      <c r="AS370" s="3">
        <f>AQ370*1.03</f>
        <v>2185.4540000000002</v>
      </c>
      <c r="AT370" s="3"/>
      <c r="AU370" s="3">
        <f>AS370*1.03</f>
        <v>2251.0176200000001</v>
      </c>
      <c r="AV370" s="3"/>
      <c r="AW370" s="3">
        <f>AU370*1.03</f>
        <v>2318.5481486000003</v>
      </c>
      <c r="AX370" s="3"/>
      <c r="AY370" s="3">
        <f>AW370*1.03</f>
        <v>2388.1045930580003</v>
      </c>
      <c r="AZ370" s="3"/>
      <c r="BA370" s="3">
        <f>AY370*1.03</f>
        <v>2459.7477308497405</v>
      </c>
      <c r="BB370" s="3"/>
      <c r="BC370" s="3">
        <f>BA370*1.03</f>
        <v>2533.5401627752326</v>
      </c>
      <c r="BE370" s="3">
        <f>BC370*1.03</f>
        <v>2609.5463676584895</v>
      </c>
    </row>
    <row r="371" spans="1:57" x14ac:dyDescent="0.25">
      <c r="A371" s="3" t="s">
        <v>300</v>
      </c>
      <c r="B371" s="5">
        <v>25000</v>
      </c>
      <c r="E371" s="3">
        <f t="shared" si="230"/>
        <v>25000</v>
      </c>
      <c r="F371" s="5">
        <v>25000</v>
      </c>
      <c r="H371" s="5">
        <f t="shared" si="231"/>
        <v>0</v>
      </c>
      <c r="K371" s="4">
        <f t="shared" si="220"/>
        <v>25000</v>
      </c>
      <c r="L371" s="4">
        <v>25000</v>
      </c>
      <c r="N371" s="4">
        <f t="shared" si="221"/>
        <v>0</v>
      </c>
      <c r="P371" s="3">
        <v>2700</v>
      </c>
      <c r="Q371" s="3"/>
      <c r="R371" s="3">
        <v>0</v>
      </c>
      <c r="S371" s="3">
        <f t="shared" si="222"/>
        <v>2700</v>
      </c>
      <c r="T371" s="3">
        <v>2700</v>
      </c>
      <c r="U371" s="3">
        <f t="shared" si="223"/>
        <v>0</v>
      </c>
      <c r="V371" s="3"/>
      <c r="W371" s="3">
        <f t="shared" si="224"/>
        <v>2700</v>
      </c>
      <c r="X371" s="3"/>
      <c r="Y371" s="3">
        <v>2700</v>
      </c>
      <c r="Z371" s="3">
        <f t="shared" si="225"/>
        <v>0</v>
      </c>
      <c r="AA371" s="3"/>
      <c r="AB371" s="3"/>
      <c r="AC371" s="3">
        <v>0</v>
      </c>
      <c r="AD371" s="3">
        <f t="shared" si="226"/>
        <v>7500</v>
      </c>
      <c r="AE371" s="3">
        <v>7500</v>
      </c>
      <c r="AF371" s="3">
        <f t="shared" si="227"/>
        <v>4800</v>
      </c>
      <c r="AG371" s="4"/>
      <c r="AH371" s="4"/>
      <c r="AJ371" s="3"/>
      <c r="AK371" s="3">
        <f t="shared" si="228"/>
        <v>0</v>
      </c>
      <c r="AL371" s="3"/>
      <c r="AM371" s="3">
        <f t="shared" si="229"/>
        <v>0</v>
      </c>
      <c r="AO371" s="3">
        <f>AH371*1.03</f>
        <v>0</v>
      </c>
      <c r="AP371" s="3"/>
      <c r="AQ371" s="3">
        <f>AO371*1.03</f>
        <v>0</v>
      </c>
      <c r="AR371" s="3"/>
      <c r="AS371" s="3">
        <v>5000</v>
      </c>
      <c r="AT371" s="3"/>
      <c r="AU371" s="3"/>
      <c r="AV371" s="3"/>
      <c r="AW371" s="3"/>
      <c r="AX371" s="3"/>
      <c r="AY371" s="3"/>
      <c r="AZ371" s="3"/>
      <c r="BA371" s="3">
        <f>AY371*1.03</f>
        <v>0</v>
      </c>
      <c r="BB371" s="3"/>
      <c r="BC371" s="3">
        <f>BA371*1.03</f>
        <v>0</v>
      </c>
      <c r="BE371" s="3">
        <f>BC371*1.03</f>
        <v>0</v>
      </c>
    </row>
    <row r="372" spans="1:57" x14ac:dyDescent="0.25">
      <c r="A372" s="3" t="s">
        <v>301</v>
      </c>
      <c r="E372" s="3"/>
      <c r="K372" s="4"/>
      <c r="L372" s="4"/>
      <c r="N372" s="4"/>
      <c r="P372" s="3"/>
      <c r="Q372" s="3"/>
      <c r="R372" s="3"/>
      <c r="S372" s="3">
        <f t="shared" si="222"/>
        <v>2700</v>
      </c>
      <c r="T372" s="3">
        <v>2700</v>
      </c>
      <c r="U372" s="3">
        <f t="shared" si="223"/>
        <v>2700</v>
      </c>
      <c r="V372" s="3">
        <v>0</v>
      </c>
      <c r="W372" s="3">
        <f t="shared" si="224"/>
        <v>2000</v>
      </c>
      <c r="X372" s="3"/>
      <c r="Y372" s="3">
        <v>2000</v>
      </c>
      <c r="Z372" s="3">
        <f t="shared" si="225"/>
        <v>-700</v>
      </c>
      <c r="AA372" s="3"/>
      <c r="AB372" s="3"/>
      <c r="AC372" s="3">
        <v>0</v>
      </c>
      <c r="AD372" s="3">
        <f t="shared" si="226"/>
        <v>2700</v>
      </c>
      <c r="AE372" s="3">
        <v>2700</v>
      </c>
      <c r="AF372" s="3">
        <f t="shared" si="227"/>
        <v>700</v>
      </c>
      <c r="AG372" s="4"/>
      <c r="AH372" s="4">
        <f>P372*1.0281</f>
        <v>0</v>
      </c>
      <c r="AJ372" s="3"/>
      <c r="AK372" s="3">
        <f t="shared" si="228"/>
        <v>0</v>
      </c>
      <c r="AL372" s="3"/>
      <c r="AM372" s="3">
        <f t="shared" si="229"/>
        <v>0</v>
      </c>
      <c r="AO372" s="3">
        <f>AH372*1.03</f>
        <v>0</v>
      </c>
      <c r="AP372" s="3"/>
      <c r="AQ372" s="3">
        <f>AO372*1.03</f>
        <v>0</v>
      </c>
      <c r="AR372" s="3"/>
      <c r="AS372" s="3">
        <f>AQ372*1.03</f>
        <v>0</v>
      </c>
      <c r="AT372" s="3"/>
      <c r="AU372" s="3">
        <f>AS372*1.03</f>
        <v>0</v>
      </c>
      <c r="AV372" s="3"/>
      <c r="AW372" s="3">
        <f>AU372*1.03</f>
        <v>0</v>
      </c>
      <c r="AX372" s="3"/>
      <c r="AY372" s="3">
        <f>AW372*1.03</f>
        <v>0</v>
      </c>
      <c r="AZ372" s="3"/>
      <c r="BA372" s="3">
        <f>AY372*1.03</f>
        <v>0</v>
      </c>
      <c r="BB372" s="3"/>
      <c r="BC372" s="3">
        <f>BA372*1.03</f>
        <v>0</v>
      </c>
      <c r="BE372" s="3">
        <f>BC372*1.03</f>
        <v>0</v>
      </c>
    </row>
    <row r="373" spans="1:57" x14ac:dyDescent="0.25">
      <c r="A373" s="3" t="s">
        <v>302</v>
      </c>
      <c r="B373" s="5">
        <v>13150</v>
      </c>
      <c r="D373" s="5">
        <v>13378</v>
      </c>
      <c r="E373" s="3">
        <f t="shared" si="230"/>
        <v>22</v>
      </c>
      <c r="F373" s="5">
        <v>13400</v>
      </c>
      <c r="H373" s="5">
        <f t="shared" si="231"/>
        <v>250</v>
      </c>
      <c r="J373" s="5">
        <v>13378</v>
      </c>
      <c r="K373" s="4">
        <f t="shared" si="220"/>
        <v>22</v>
      </c>
      <c r="L373" s="4">
        <v>13400</v>
      </c>
      <c r="N373" s="4">
        <f t="shared" si="221"/>
        <v>0</v>
      </c>
      <c r="P373" s="3">
        <f>L373*1.0281+23</f>
        <v>13799.54</v>
      </c>
      <c r="Q373" s="3"/>
      <c r="R373" s="3">
        <v>14446</v>
      </c>
      <c r="S373" s="3">
        <f t="shared" si="222"/>
        <v>4</v>
      </c>
      <c r="T373" s="3">
        <v>14450</v>
      </c>
      <c r="U373" s="3">
        <f t="shared" si="223"/>
        <v>650.45999999999913</v>
      </c>
      <c r="V373" s="3">
        <v>14445</v>
      </c>
      <c r="W373" s="3">
        <f t="shared" si="224"/>
        <v>5</v>
      </c>
      <c r="X373" s="3"/>
      <c r="Y373" s="3">
        <v>14450</v>
      </c>
      <c r="Z373" s="3">
        <f t="shared" si="225"/>
        <v>0</v>
      </c>
      <c r="AA373" s="3"/>
      <c r="AB373" s="3"/>
      <c r="AC373" s="3">
        <v>14446</v>
      </c>
      <c r="AD373" s="3">
        <f t="shared" si="226"/>
        <v>4</v>
      </c>
      <c r="AE373" s="3">
        <v>14450</v>
      </c>
      <c r="AF373" s="3">
        <f t="shared" si="227"/>
        <v>0</v>
      </c>
      <c r="AG373" s="4"/>
      <c r="AH373" s="4">
        <f>AE373*1.03+16</f>
        <v>14899.5</v>
      </c>
      <c r="AJ373" s="3">
        <v>138</v>
      </c>
      <c r="AK373" s="3">
        <f t="shared" si="228"/>
        <v>14762</v>
      </c>
      <c r="AL373" s="3">
        <v>14900</v>
      </c>
      <c r="AM373" s="3">
        <f t="shared" si="229"/>
        <v>0.5</v>
      </c>
      <c r="AO373" s="3">
        <f>AH373*1.03</f>
        <v>15346.485000000001</v>
      </c>
      <c r="AP373" s="3"/>
      <c r="AQ373" s="3">
        <f>AO373*1.03</f>
        <v>15806.879550000001</v>
      </c>
      <c r="AR373" s="3"/>
      <c r="AS373" s="3">
        <f>AQ373*1.03</f>
        <v>16281.085936500001</v>
      </c>
      <c r="AT373" s="3"/>
      <c r="AU373" s="3">
        <f>AS373*1.03</f>
        <v>16769.518514595002</v>
      </c>
      <c r="AV373" s="3"/>
      <c r="AW373" s="3">
        <f>AU373*1.03</f>
        <v>17272.604070032852</v>
      </c>
      <c r="AX373" s="3"/>
      <c r="AY373" s="3">
        <f>AW373*1.03</f>
        <v>17790.78219213384</v>
      </c>
      <c r="AZ373" s="3"/>
      <c r="BA373" s="3">
        <f>AY373*1.03</f>
        <v>18324.505657897855</v>
      </c>
      <c r="BB373" s="3"/>
      <c r="BC373" s="3">
        <f>BA373*1.03</f>
        <v>18874.240827634792</v>
      </c>
      <c r="BE373" s="3">
        <f>BC373*1.03</f>
        <v>19440.468052463835</v>
      </c>
    </row>
    <row r="374" spans="1:57" x14ac:dyDescent="0.25">
      <c r="A374" s="3" t="s">
        <v>57</v>
      </c>
      <c r="B374" s="5">
        <v>1500</v>
      </c>
      <c r="D374" s="5">
        <f>92+1628</f>
        <v>1720</v>
      </c>
      <c r="E374" s="3">
        <f t="shared" si="230"/>
        <v>280</v>
      </c>
      <c r="F374" s="5">
        <v>2000</v>
      </c>
      <c r="H374" s="5">
        <f t="shared" si="231"/>
        <v>500</v>
      </c>
      <c r="J374" s="5">
        <f>3539+5000</f>
        <v>8539</v>
      </c>
      <c r="K374" s="4">
        <f t="shared" si="220"/>
        <v>461</v>
      </c>
      <c r="L374" s="4">
        <v>9000</v>
      </c>
      <c r="N374" s="4">
        <f t="shared" si="221"/>
        <v>7000</v>
      </c>
      <c r="P374" s="3">
        <v>5000</v>
      </c>
      <c r="Q374" s="3"/>
      <c r="R374" s="3">
        <v>61</v>
      </c>
      <c r="S374" s="3">
        <f t="shared" si="222"/>
        <v>4939</v>
      </c>
      <c r="T374" s="3">
        <v>5000</v>
      </c>
      <c r="U374" s="3">
        <f t="shared" si="223"/>
        <v>0</v>
      </c>
      <c r="V374" s="3">
        <f>3600+2092</f>
        <v>5692</v>
      </c>
      <c r="W374" s="3">
        <f t="shared" si="224"/>
        <v>6308</v>
      </c>
      <c r="X374" s="3"/>
      <c r="Y374" s="3">
        <v>12000</v>
      </c>
      <c r="Z374" s="3">
        <f t="shared" si="225"/>
        <v>7000</v>
      </c>
      <c r="AA374" s="3"/>
      <c r="AB374" s="3"/>
      <c r="AC374" s="3">
        <v>24112</v>
      </c>
      <c r="AD374" s="3">
        <f t="shared" si="226"/>
        <v>4888</v>
      </c>
      <c r="AE374" s="3">
        <v>29000</v>
      </c>
      <c r="AF374" s="3">
        <f t="shared" si="227"/>
        <v>17000</v>
      </c>
      <c r="AG374" s="4"/>
      <c r="AH374" s="4">
        <f>P374*1.03-150</f>
        <v>5000</v>
      </c>
      <c r="AJ374" s="3">
        <v>173</v>
      </c>
      <c r="AK374" s="3">
        <f t="shared" si="228"/>
        <v>4827</v>
      </c>
      <c r="AL374" s="3">
        <v>5000</v>
      </c>
      <c r="AM374" s="3">
        <f t="shared" si="229"/>
        <v>0</v>
      </c>
      <c r="AO374" s="3">
        <f>AH374*1.03</f>
        <v>5150</v>
      </c>
      <c r="AP374" s="3" t="e">
        <f>#REF!*1.0281</f>
        <v>#REF!</v>
      </c>
      <c r="AQ374" s="3">
        <f>AO374*1.03</f>
        <v>5304.5</v>
      </c>
      <c r="AR374" s="3" t="e">
        <f>AP374*1.0281</f>
        <v>#REF!</v>
      </c>
      <c r="AS374" s="3">
        <f>AQ374*1.03</f>
        <v>5463.6350000000002</v>
      </c>
      <c r="AT374" s="3"/>
      <c r="AU374" s="3">
        <f>AS374*1.03</f>
        <v>5627.5440500000004</v>
      </c>
      <c r="AV374" s="3"/>
      <c r="AW374" s="3">
        <f>AU374*1.03</f>
        <v>5796.3703715000001</v>
      </c>
      <c r="AX374" s="3"/>
      <c r="AY374" s="3">
        <f>AW374*1.03</f>
        <v>5970.2614826449999</v>
      </c>
      <c r="AZ374" s="3"/>
      <c r="BA374" s="3">
        <f>AY374*1.03</f>
        <v>6149.3693271243501</v>
      </c>
      <c r="BB374" s="3"/>
      <c r="BC374" s="3">
        <f>BA374*1.03</f>
        <v>6333.8504069380806</v>
      </c>
      <c r="BE374" s="3">
        <f>BC374*1.03</f>
        <v>6523.865919146223</v>
      </c>
    </row>
    <row r="375" spans="1:57" x14ac:dyDescent="0.25">
      <c r="A375" s="3"/>
      <c r="B375" s="68">
        <f>SUM(B364:B374)</f>
        <v>362950</v>
      </c>
      <c r="C375" s="55"/>
      <c r="D375" s="68">
        <f>SUM(D364:D374)+1</f>
        <v>90499</v>
      </c>
      <c r="E375" s="68">
        <f>SUM(E364:E374)+1</f>
        <v>278003</v>
      </c>
      <c r="F375" s="68">
        <f>SUM(F364:F374)</f>
        <v>368500</v>
      </c>
      <c r="G375" s="55"/>
      <c r="H375" s="68">
        <f>SUM(H364:H374)+1</f>
        <v>5551</v>
      </c>
      <c r="I375" s="56"/>
      <c r="J375" s="68">
        <f>SUM(J364:J374)+1</f>
        <v>167297</v>
      </c>
      <c r="K375" s="68">
        <f>SUM(K364:K374)+1</f>
        <v>209205</v>
      </c>
      <c r="L375" s="68">
        <f>SUM(L364:L374)</f>
        <v>376500</v>
      </c>
      <c r="M375" s="55"/>
      <c r="N375" s="68">
        <f>SUM(N364:N374)+1</f>
        <v>8001</v>
      </c>
      <c r="P375" s="68">
        <f>SUM(P364:P374)</f>
        <v>393499.65499999997</v>
      </c>
      <c r="R375" s="68">
        <f t="shared" ref="R375:Z375" si="233">SUM(R364:R374)</f>
        <v>91223</v>
      </c>
      <c r="S375" s="68">
        <f t="shared" si="233"/>
        <v>348627</v>
      </c>
      <c r="T375" s="68">
        <f t="shared" si="233"/>
        <v>439850</v>
      </c>
      <c r="U375" s="68">
        <f t="shared" si="233"/>
        <v>46350.344999999994</v>
      </c>
      <c r="V375" s="68">
        <f t="shared" si="233"/>
        <v>179688</v>
      </c>
      <c r="W375" s="68">
        <f t="shared" si="233"/>
        <v>255962</v>
      </c>
      <c r="X375" s="68"/>
      <c r="Y375" s="68">
        <f t="shared" si="233"/>
        <v>435650</v>
      </c>
      <c r="Z375" s="68">
        <f t="shared" si="233"/>
        <v>-4200</v>
      </c>
      <c r="AC375" s="68">
        <f>SUM(AC364:AC374)</f>
        <v>323643</v>
      </c>
      <c r="AD375" s="68">
        <f>SUM(AD364:AD374)</f>
        <v>134507</v>
      </c>
      <c r="AE375" s="68">
        <f>SUM(AE364:AE374)</f>
        <v>458150</v>
      </c>
      <c r="AF375" s="68">
        <f>SUM(AF364:AF374)</f>
        <v>22500</v>
      </c>
      <c r="AG375" s="4"/>
      <c r="AH375" s="56">
        <f>SUM(AH364:AH374)</f>
        <v>429999</v>
      </c>
      <c r="AI375" s="55"/>
      <c r="AJ375" s="68">
        <f>SUM(AJ364:AJ374)</f>
        <v>88520</v>
      </c>
      <c r="AK375" s="68">
        <f>SUM(AK364:AK374)</f>
        <v>341480</v>
      </c>
      <c r="AL375" s="68">
        <f>SUM(AL364:AL374)</f>
        <v>430000</v>
      </c>
      <c r="AM375" s="68">
        <f>SUM(AM364:AM374)</f>
        <v>1</v>
      </c>
      <c r="AN375" s="55"/>
      <c r="AO375" s="68">
        <f>SUM(AO364:AO374)</f>
        <v>442548.97</v>
      </c>
      <c r="AQ375" s="68">
        <f>SUM(AQ364:AQ374)</f>
        <v>441697.93909999996</v>
      </c>
      <c r="AS375" s="68">
        <f>SUM(AS364:AS374)</f>
        <v>496278.16800300003</v>
      </c>
      <c r="AT375" s="68"/>
      <c r="AU375" s="68">
        <f>SUM(AU364:AU374)</f>
        <v>466925.62484119</v>
      </c>
      <c r="AW375" s="68">
        <f>SUM(AW364:AW374)</f>
        <v>480075.5916333007</v>
      </c>
      <c r="AY375" s="68">
        <f>SUM(AY364:AY374)</f>
        <v>493596.46787546389</v>
      </c>
      <c r="BA375" s="68">
        <f>SUM(BA364:BA374)</f>
        <v>549302.14482424513</v>
      </c>
      <c r="BC375" s="68">
        <f>SUM(BC364:BC374)</f>
        <v>521793.1595105686</v>
      </c>
      <c r="BE375" s="68">
        <f>SUM(BE364:BE374)</f>
        <v>536490.83000256564</v>
      </c>
    </row>
    <row r="376" spans="1:57" x14ac:dyDescent="0.25">
      <c r="A376" s="3"/>
      <c r="B376" s="56"/>
      <c r="C376" s="55"/>
      <c r="D376" s="56"/>
      <c r="E376" s="56"/>
      <c r="F376" s="56"/>
      <c r="G376" s="55"/>
      <c r="H376" s="56"/>
      <c r="I376" s="56"/>
      <c r="J376" s="56"/>
      <c r="K376" s="56"/>
      <c r="L376" s="56"/>
      <c r="M376" s="55"/>
      <c r="N376" s="56"/>
      <c r="P376" s="56"/>
      <c r="AG376" s="4"/>
      <c r="AH376" s="56"/>
      <c r="AI376" s="55"/>
      <c r="AO376" s="56"/>
      <c r="AQ376" s="56"/>
      <c r="AS376" s="56"/>
      <c r="AT376" s="56"/>
      <c r="AU376" s="56"/>
      <c r="AW376" s="56"/>
      <c r="AY376" s="56"/>
      <c r="BA376" s="56"/>
      <c r="BC376" s="56"/>
      <c r="BE376" s="56"/>
    </row>
    <row r="377" spans="1:57" x14ac:dyDescent="0.25">
      <c r="A377" s="3"/>
      <c r="AG377" s="4"/>
    </row>
    <row r="378" spans="1:57" x14ac:dyDescent="0.25">
      <c r="A378" s="7" t="s">
        <v>303</v>
      </c>
      <c r="AG378" s="4"/>
    </row>
    <row r="379" spans="1:57" x14ac:dyDescent="0.25">
      <c r="A379" s="7" t="s">
        <v>59</v>
      </c>
      <c r="AD379" s="3"/>
      <c r="AE379" s="3"/>
      <c r="AF379" s="3"/>
      <c r="AG379" s="4"/>
    </row>
    <row r="380" spans="1:57" x14ac:dyDescent="0.25">
      <c r="A380" s="69" t="s">
        <v>304</v>
      </c>
      <c r="B380" s="5">
        <v>340000</v>
      </c>
      <c r="D380" s="5">
        <v>86517</v>
      </c>
      <c r="E380" s="3">
        <f t="shared" ref="E380:E394" si="234">F380-D380</f>
        <v>253483</v>
      </c>
      <c r="F380" s="5">
        <v>340000</v>
      </c>
      <c r="H380" s="5">
        <f t="shared" ref="H380:H394" si="235">F380-B380</f>
        <v>0</v>
      </c>
      <c r="J380" s="5">
        <v>171706</v>
      </c>
      <c r="K380" s="4">
        <f t="shared" ref="K380:K394" si="236">L380-J380</f>
        <v>168294</v>
      </c>
      <c r="L380" s="4">
        <v>340000</v>
      </c>
      <c r="N380" s="4">
        <f t="shared" ref="N380:N394" si="237">L380-F380</f>
        <v>0</v>
      </c>
      <c r="P380" s="3">
        <f>L380*1.0275+2650-47500</f>
        <v>304500</v>
      </c>
      <c r="Q380" s="3"/>
      <c r="R380" s="3">
        <v>78191</v>
      </c>
      <c r="S380" s="3">
        <f t="shared" ref="S380:S425" si="238">T380-R380</f>
        <v>226309</v>
      </c>
      <c r="T380" s="3">
        <v>304500</v>
      </c>
      <c r="U380" s="3">
        <f t="shared" ref="U380:U425" si="239">T380-P380</f>
        <v>0</v>
      </c>
      <c r="V380" s="3">
        <v>150093</v>
      </c>
      <c r="W380" s="3">
        <f t="shared" ref="W380:W425" si="240">Y380-V380</f>
        <v>162407</v>
      </c>
      <c r="X380" s="3"/>
      <c r="Y380" s="3">
        <v>312500</v>
      </c>
      <c r="Z380" s="3">
        <f t="shared" ref="Z380:Z425" si="241">Y380-T380</f>
        <v>8000</v>
      </c>
      <c r="AA380" s="3"/>
      <c r="AB380" s="3"/>
      <c r="AC380" s="3">
        <v>212223</v>
      </c>
      <c r="AD380" s="3">
        <f>AE380-AC380</f>
        <v>100277</v>
      </c>
      <c r="AE380" s="3">
        <v>312500</v>
      </c>
      <c r="AF380" s="3">
        <f t="shared" ref="AF380:AF425" si="242">AE380-Y380</f>
        <v>0</v>
      </c>
      <c r="AG380" s="4"/>
      <c r="AH380" s="4">
        <v>328000</v>
      </c>
      <c r="AJ380" s="3">
        <v>86609</v>
      </c>
      <c r="AK380" s="3">
        <f t="shared" ref="AK380:AK425" si="243">AL380-AJ380</f>
        <v>244391</v>
      </c>
      <c r="AL380" s="3">
        <v>331000</v>
      </c>
      <c r="AM380" s="3">
        <f t="shared" ref="AM380:AM425" si="244">AL380-AH380</f>
        <v>3000</v>
      </c>
      <c r="AO380" s="3">
        <f>AH380*1.03</f>
        <v>337840</v>
      </c>
      <c r="AP380" s="3"/>
      <c r="AQ380" s="3">
        <f>AO380*1.03</f>
        <v>347975.2</v>
      </c>
      <c r="AR380" s="3"/>
      <c r="AS380" s="3">
        <f>AQ380*1.03</f>
        <v>358414.45600000001</v>
      </c>
      <c r="AT380" s="3"/>
      <c r="AU380" s="3">
        <f>AS380*1.03</f>
        <v>369166.88968000002</v>
      </c>
      <c r="AV380" s="3"/>
      <c r="AW380" s="3">
        <f>AU380*1.03</f>
        <v>380241.89637040003</v>
      </c>
      <c r="AX380" s="3"/>
      <c r="AY380" s="3">
        <f>AW380*1.03</f>
        <v>391649.15326151205</v>
      </c>
      <c r="AZ380" s="3"/>
      <c r="BA380" s="3">
        <f>AY380*1.03</f>
        <v>403398.6278593574</v>
      </c>
      <c r="BB380" s="3"/>
      <c r="BC380" s="3">
        <f>BA380*1.03</f>
        <v>415500.58669513813</v>
      </c>
      <c r="BE380" s="3">
        <f>BC380*1.03</f>
        <v>427965.60429599229</v>
      </c>
    </row>
    <row r="381" spans="1:57" x14ac:dyDescent="0.25">
      <c r="A381" s="3" t="s">
        <v>305</v>
      </c>
      <c r="B381" s="3">
        <v>51000</v>
      </c>
      <c r="D381" s="3">
        <v>11949</v>
      </c>
      <c r="E381" s="3">
        <f t="shared" si="234"/>
        <v>38051</v>
      </c>
      <c r="F381" s="3">
        <v>50000</v>
      </c>
      <c r="H381" s="5">
        <f t="shared" si="235"/>
        <v>-1000</v>
      </c>
      <c r="J381" s="5">
        <v>31722</v>
      </c>
      <c r="K381" s="4">
        <f t="shared" si="236"/>
        <v>38278</v>
      </c>
      <c r="L381" s="4">
        <v>70000</v>
      </c>
      <c r="N381" s="4">
        <f t="shared" si="237"/>
        <v>20000</v>
      </c>
      <c r="P381" s="3">
        <v>62500</v>
      </c>
      <c r="Q381" s="3"/>
      <c r="R381" s="3">
        <v>4333</v>
      </c>
      <c r="S381" s="3">
        <f t="shared" si="238"/>
        <v>58167</v>
      </c>
      <c r="T381" s="3">
        <v>62500</v>
      </c>
      <c r="U381" s="3">
        <f t="shared" si="239"/>
        <v>0</v>
      </c>
      <c r="V381" s="3">
        <v>12903</v>
      </c>
      <c r="W381" s="3">
        <f t="shared" si="240"/>
        <v>49597</v>
      </c>
      <c r="X381" s="3"/>
      <c r="Y381" s="3">
        <v>62500</v>
      </c>
      <c r="Z381" s="3">
        <f t="shared" si="241"/>
        <v>0</v>
      </c>
      <c r="AA381" s="3"/>
      <c r="AB381" s="3"/>
      <c r="AC381" s="3">
        <v>16951</v>
      </c>
      <c r="AD381" s="3">
        <f>AE381-AC381</f>
        <v>46049</v>
      </c>
      <c r="AE381" s="3">
        <v>63000</v>
      </c>
      <c r="AF381" s="3">
        <f t="shared" si="242"/>
        <v>500</v>
      </c>
      <c r="AG381" s="4"/>
      <c r="AH381" s="4">
        <v>65000</v>
      </c>
      <c r="AJ381" s="3">
        <v>13472</v>
      </c>
      <c r="AK381" s="3">
        <f t="shared" si="243"/>
        <v>51528</v>
      </c>
      <c r="AL381" s="3">
        <v>65000</v>
      </c>
      <c r="AM381" s="3">
        <f t="shared" si="244"/>
        <v>0</v>
      </c>
      <c r="AO381" s="3">
        <f>AH381*1.03+35000</f>
        <v>101950</v>
      </c>
      <c r="AP381" s="3"/>
      <c r="AQ381" s="3">
        <f>AO381*1.03</f>
        <v>105008.5</v>
      </c>
      <c r="AR381" s="3"/>
      <c r="AS381" s="3">
        <f>AQ381*1.03-50000</f>
        <v>58158.755000000005</v>
      </c>
      <c r="AT381" s="3"/>
      <c r="AU381" s="3">
        <f>AS381*1.03</f>
        <v>59903.517650000009</v>
      </c>
      <c r="AV381" s="3"/>
      <c r="AW381" s="3">
        <f>AU381*1.03</f>
        <v>61700.623179500013</v>
      </c>
      <c r="AX381" s="3"/>
      <c r="AY381" s="3">
        <f>AW381*1.03</f>
        <v>63551.641874885012</v>
      </c>
      <c r="AZ381" s="3"/>
      <c r="BA381" s="3">
        <f>AY381*1.03</f>
        <v>65458.191131131563</v>
      </c>
      <c r="BB381" s="3"/>
      <c r="BC381" s="3">
        <f>BA381*1.03</f>
        <v>67421.936865065509</v>
      </c>
      <c r="BE381" s="3">
        <f>BC381*1.03</f>
        <v>69444.594971017475</v>
      </c>
    </row>
    <row r="382" spans="1:57" x14ac:dyDescent="0.25">
      <c r="A382" s="3" t="s">
        <v>306</v>
      </c>
      <c r="B382" s="5">
        <v>18500</v>
      </c>
      <c r="D382" s="5">
        <v>1134</v>
      </c>
      <c r="E382" s="3">
        <f t="shared" si="234"/>
        <v>15366</v>
      </c>
      <c r="F382" s="5">
        <v>16500</v>
      </c>
      <c r="H382" s="5">
        <f t="shared" si="235"/>
        <v>-2000</v>
      </c>
      <c r="J382" s="5">
        <v>3116</v>
      </c>
      <c r="K382" s="4">
        <f t="shared" si="236"/>
        <v>13384</v>
      </c>
      <c r="L382" s="4">
        <v>16500</v>
      </c>
      <c r="N382" s="4">
        <f t="shared" si="237"/>
        <v>0</v>
      </c>
      <c r="P382" s="3">
        <v>18000</v>
      </c>
      <c r="Q382" s="3"/>
      <c r="R382" s="3">
        <v>0</v>
      </c>
      <c r="S382" s="3">
        <f t="shared" si="238"/>
        <v>18000</v>
      </c>
      <c r="T382" s="3">
        <v>18000</v>
      </c>
      <c r="U382" s="3">
        <f t="shared" si="239"/>
        <v>0</v>
      </c>
      <c r="V382" s="3">
        <v>3063</v>
      </c>
      <c r="W382" s="3">
        <f t="shared" si="240"/>
        <v>14937</v>
      </c>
      <c r="X382" s="3"/>
      <c r="Y382" s="3">
        <v>18000</v>
      </c>
      <c r="Z382" s="3">
        <f t="shared" si="241"/>
        <v>0</v>
      </c>
      <c r="AA382" s="3"/>
      <c r="AB382" s="3"/>
      <c r="AC382" s="3">
        <v>5592</v>
      </c>
      <c r="AD382" s="3">
        <f>AE382-AC382</f>
        <v>9408</v>
      </c>
      <c r="AE382" s="3">
        <v>15000</v>
      </c>
      <c r="AF382" s="3">
        <f t="shared" si="242"/>
        <v>-3000</v>
      </c>
      <c r="AG382" s="4"/>
      <c r="AH382" s="4">
        <v>12000</v>
      </c>
      <c r="AJ382" s="3">
        <v>0</v>
      </c>
      <c r="AK382" s="3">
        <f t="shared" si="243"/>
        <v>12000</v>
      </c>
      <c r="AL382" s="3">
        <v>12000</v>
      </c>
      <c r="AM382" s="3">
        <f t="shared" si="244"/>
        <v>0</v>
      </c>
      <c r="AO382" s="3">
        <f>AH382*1.0325</f>
        <v>12390</v>
      </c>
      <c r="AP382" s="3"/>
      <c r="AQ382" s="3">
        <f t="shared" ref="AQ382:BE382" si="245">AO382*1.0325</f>
        <v>12792.674999999999</v>
      </c>
      <c r="AR382" s="3"/>
      <c r="AS382" s="3">
        <f t="shared" si="245"/>
        <v>13208.436937499999</v>
      </c>
      <c r="AT382" s="3"/>
      <c r="AU382" s="3">
        <f>AS382*1.0325</f>
        <v>13637.711137968749</v>
      </c>
      <c r="AV382" s="3"/>
      <c r="AW382" s="3">
        <f t="shared" si="245"/>
        <v>14080.936749952732</v>
      </c>
      <c r="AX382" s="3"/>
      <c r="AY382" s="3">
        <f t="shared" si="245"/>
        <v>14538.567194326195</v>
      </c>
      <c r="AZ382" s="3"/>
      <c r="BA382" s="3">
        <f t="shared" si="245"/>
        <v>15011.070628141795</v>
      </c>
      <c r="BB382" s="3"/>
      <c r="BC382" s="3">
        <f t="shared" si="245"/>
        <v>15498.930423556403</v>
      </c>
      <c r="BE382" s="3">
        <f t="shared" si="245"/>
        <v>16002.645662321986</v>
      </c>
    </row>
    <row r="383" spans="1:57" x14ac:dyDescent="0.25">
      <c r="A383" s="3" t="s">
        <v>307</v>
      </c>
      <c r="B383" s="5">
        <v>140000</v>
      </c>
      <c r="D383" s="5">
        <v>27847</v>
      </c>
      <c r="E383" s="3">
        <f t="shared" si="234"/>
        <v>112153</v>
      </c>
      <c r="F383" s="5">
        <v>140000</v>
      </c>
      <c r="H383" s="5">
        <f t="shared" si="235"/>
        <v>0</v>
      </c>
      <c r="J383" s="5">
        <v>74568</v>
      </c>
      <c r="K383" s="4">
        <f t="shared" si="236"/>
        <v>65432</v>
      </c>
      <c r="L383" s="4">
        <v>140000</v>
      </c>
      <c r="N383" s="4">
        <f t="shared" si="237"/>
        <v>0</v>
      </c>
      <c r="P383" s="3">
        <f>L383*1.0281+16</f>
        <v>143950</v>
      </c>
      <c r="Q383" s="3"/>
      <c r="R383" s="3">
        <v>33640</v>
      </c>
      <c r="S383" s="3">
        <f t="shared" si="238"/>
        <v>107360</v>
      </c>
      <c r="T383" s="3">
        <v>141000</v>
      </c>
      <c r="U383" s="3">
        <f t="shared" si="239"/>
        <v>-2950</v>
      </c>
      <c r="V383" s="3">
        <v>63783</v>
      </c>
      <c r="W383" s="3">
        <f t="shared" si="240"/>
        <v>68717</v>
      </c>
      <c r="X383" s="3"/>
      <c r="Y383" s="3">
        <v>132500</v>
      </c>
      <c r="Z383" s="3">
        <f t="shared" si="241"/>
        <v>-8500</v>
      </c>
      <c r="AA383" s="3"/>
      <c r="AB383" s="3"/>
      <c r="AC383" s="3">
        <v>91985</v>
      </c>
      <c r="AD383" s="3">
        <f t="shared" ref="AD383:AD448" si="246">AE383-AC383</f>
        <v>40515</v>
      </c>
      <c r="AE383" s="3">
        <v>132500</v>
      </c>
      <c r="AF383" s="3">
        <f t="shared" si="242"/>
        <v>0</v>
      </c>
      <c r="AG383" s="4"/>
      <c r="AH383" s="4">
        <f>AE383*1.03-75</f>
        <v>136400</v>
      </c>
      <c r="AJ383" s="3">
        <v>0</v>
      </c>
      <c r="AK383" s="3">
        <f t="shared" si="243"/>
        <v>136400</v>
      </c>
      <c r="AL383" s="3">
        <v>136400</v>
      </c>
      <c r="AM383" s="3">
        <f t="shared" si="244"/>
        <v>0</v>
      </c>
      <c r="AO383" s="3">
        <f>AH383*1.03</f>
        <v>140492</v>
      </c>
      <c r="AP383" s="3"/>
      <c r="AQ383" s="3">
        <f>AO383*1.03</f>
        <v>144706.76</v>
      </c>
      <c r="AR383" s="3"/>
      <c r="AS383" s="3">
        <f>AQ383*1.03</f>
        <v>149047.96280000001</v>
      </c>
      <c r="AT383" s="3"/>
      <c r="AU383" s="3">
        <f>AS383*1.03</f>
        <v>153519.40168400001</v>
      </c>
      <c r="AV383" s="3"/>
      <c r="AW383" s="3">
        <f>AU383*1.03</f>
        <v>158124.98373452001</v>
      </c>
      <c r="AX383" s="3"/>
      <c r="AY383" s="3">
        <f>AW383*1.03</f>
        <v>162868.73324655561</v>
      </c>
      <c r="AZ383" s="3"/>
      <c r="BA383" s="3">
        <f>AY383*1.03</f>
        <v>167754.79524395228</v>
      </c>
      <c r="BB383" s="3"/>
      <c r="BC383" s="3">
        <f>BA383*1.03</f>
        <v>172787.43910127084</v>
      </c>
      <c r="BE383" s="3">
        <f>BC383*1.03</f>
        <v>177971.06227430896</v>
      </c>
    </row>
    <row r="384" spans="1:57" x14ac:dyDescent="0.25">
      <c r="A384" s="3" t="s">
        <v>308</v>
      </c>
      <c r="E384" s="3">
        <f t="shared" si="234"/>
        <v>0</v>
      </c>
      <c r="H384" s="5">
        <f t="shared" si="235"/>
        <v>0</v>
      </c>
      <c r="K384" s="4">
        <f t="shared" si="236"/>
        <v>0</v>
      </c>
      <c r="L384" s="4"/>
      <c r="N384" s="4">
        <f t="shared" si="237"/>
        <v>0</v>
      </c>
      <c r="P384" s="3"/>
      <c r="Q384" s="3"/>
      <c r="R384" s="3"/>
      <c r="S384" s="3">
        <f t="shared" si="238"/>
        <v>0</v>
      </c>
      <c r="T384" s="3"/>
      <c r="U384" s="3">
        <f t="shared" si="239"/>
        <v>0</v>
      </c>
      <c r="V384" s="3"/>
      <c r="W384" s="3">
        <f t="shared" si="240"/>
        <v>0</v>
      </c>
      <c r="X384" s="3"/>
      <c r="Y384" s="3"/>
      <c r="Z384" s="3">
        <f t="shared" si="241"/>
        <v>0</v>
      </c>
      <c r="AA384" s="3"/>
      <c r="AB384" s="3"/>
      <c r="AC384" s="3"/>
      <c r="AD384" s="3">
        <f t="shared" si="246"/>
        <v>0</v>
      </c>
      <c r="AE384" s="3"/>
      <c r="AF384" s="3">
        <f t="shared" si="242"/>
        <v>0</v>
      </c>
      <c r="AG384" s="4"/>
      <c r="AH384" s="4"/>
      <c r="AJ384" s="3"/>
      <c r="AK384" s="3">
        <f t="shared" si="243"/>
        <v>0</v>
      </c>
      <c r="AL384" s="3"/>
      <c r="AM384" s="3">
        <f t="shared" si="244"/>
        <v>0</v>
      </c>
      <c r="AO384" s="3"/>
      <c r="AP384" s="3"/>
      <c r="AQ384" s="3"/>
      <c r="AR384" s="3"/>
      <c r="AS384" s="3"/>
      <c r="AT384" s="3"/>
      <c r="AU384" s="3"/>
      <c r="AV384" s="42"/>
      <c r="AW384" s="3"/>
      <c r="AX384" s="42"/>
      <c r="AY384" s="3"/>
      <c r="AZ384" s="42"/>
      <c r="BA384" s="3"/>
      <c r="BB384" s="42"/>
      <c r="BC384" s="3"/>
      <c r="BE384" s="3"/>
    </row>
    <row r="385" spans="1:57" x14ac:dyDescent="0.25">
      <c r="A385" s="3" t="s">
        <v>309</v>
      </c>
      <c r="B385" s="3">
        <v>205000</v>
      </c>
      <c r="D385" s="3">
        <v>44297</v>
      </c>
      <c r="E385" s="3">
        <f t="shared" si="234"/>
        <v>155703</v>
      </c>
      <c r="F385" s="3">
        <v>200000</v>
      </c>
      <c r="H385" s="3">
        <f t="shared" si="235"/>
        <v>-5000</v>
      </c>
      <c r="I385" s="3"/>
      <c r="J385" s="3">
        <v>76262</v>
      </c>
      <c r="K385" s="4">
        <f t="shared" si="236"/>
        <v>123738</v>
      </c>
      <c r="L385" s="4">
        <v>200000</v>
      </c>
      <c r="N385" s="4">
        <f t="shared" si="237"/>
        <v>0</v>
      </c>
      <c r="P385" s="3">
        <v>210000</v>
      </c>
      <c r="Q385" s="3"/>
      <c r="R385" s="3">
        <v>44989</v>
      </c>
      <c r="S385" s="3">
        <f t="shared" si="238"/>
        <v>165011</v>
      </c>
      <c r="T385" s="3">
        <v>210000</v>
      </c>
      <c r="U385" s="3">
        <f t="shared" si="239"/>
        <v>0</v>
      </c>
      <c r="V385" s="3">
        <v>77000</v>
      </c>
      <c r="W385" s="3">
        <f t="shared" si="240"/>
        <v>133000</v>
      </c>
      <c r="X385" s="3"/>
      <c r="Y385" s="3">
        <v>210000</v>
      </c>
      <c r="Z385" s="3">
        <f t="shared" si="241"/>
        <v>0</v>
      </c>
      <c r="AA385" s="3"/>
      <c r="AB385" s="3"/>
      <c r="AC385" s="3">
        <v>117050</v>
      </c>
      <c r="AD385" s="3">
        <f t="shared" si="246"/>
        <v>87950</v>
      </c>
      <c r="AE385" s="3">
        <v>205000</v>
      </c>
      <c r="AF385" s="3">
        <f t="shared" si="242"/>
        <v>-5000</v>
      </c>
      <c r="AG385" s="4"/>
      <c r="AH385" s="4">
        <v>211750</v>
      </c>
      <c r="AJ385" s="3">
        <v>32162</v>
      </c>
      <c r="AK385" s="3">
        <f t="shared" si="243"/>
        <v>179588</v>
      </c>
      <c r="AL385" s="3">
        <v>211750</v>
      </c>
      <c r="AM385" s="3">
        <f t="shared" si="244"/>
        <v>0</v>
      </c>
      <c r="AO385" s="3">
        <f>AH385*1.03</f>
        <v>218102.5</v>
      </c>
      <c r="AP385" s="3"/>
      <c r="AQ385" s="3">
        <f>AO385*1.0353</f>
        <v>225801.51825000002</v>
      </c>
      <c r="AR385" s="3"/>
      <c r="AS385" s="3">
        <f>AQ385*1.035</f>
        <v>233704.57138875002</v>
      </c>
      <c r="AT385" s="3"/>
      <c r="AU385" s="3">
        <f>AS385*1.0345</f>
        <v>241767.37910166188</v>
      </c>
      <c r="AV385" s="42"/>
      <c r="AW385" s="3">
        <f>AU385*1.0345</f>
        <v>250108.35368066921</v>
      </c>
      <c r="AX385" s="42"/>
      <c r="AY385" s="3">
        <f>AW385*1.03</f>
        <v>257611.60429108929</v>
      </c>
      <c r="AZ385" s="42"/>
      <c r="BA385" s="3">
        <f>AY385*1.03</f>
        <v>265339.95241982199</v>
      </c>
      <c r="BB385" s="42"/>
      <c r="BC385" s="3">
        <f>BA385*1.03</f>
        <v>273300.15099241666</v>
      </c>
      <c r="BE385" s="3">
        <f>BC385*1.03</f>
        <v>281499.15552218916</v>
      </c>
    </row>
    <row r="386" spans="1:57" x14ac:dyDescent="0.25">
      <c r="A386" s="3" t="s">
        <v>310</v>
      </c>
      <c r="B386" s="3">
        <v>180000</v>
      </c>
      <c r="D386" s="3">
        <v>35914</v>
      </c>
      <c r="E386" s="3">
        <f t="shared" si="234"/>
        <v>136586</v>
      </c>
      <c r="F386" s="3">
        <v>172500</v>
      </c>
      <c r="H386" s="3">
        <f t="shared" si="235"/>
        <v>-7500</v>
      </c>
      <c r="I386" s="3"/>
      <c r="J386" s="3">
        <v>65000</v>
      </c>
      <c r="K386" s="4">
        <f t="shared" si="236"/>
        <v>105000</v>
      </c>
      <c r="L386" s="4">
        <v>170000</v>
      </c>
      <c r="N386" s="4">
        <f t="shared" si="237"/>
        <v>-2500</v>
      </c>
      <c r="P386" s="3">
        <v>150000</v>
      </c>
      <c r="Q386" s="3"/>
      <c r="R386" s="3">
        <v>32405</v>
      </c>
      <c r="S386" s="3">
        <f t="shared" si="238"/>
        <v>117595</v>
      </c>
      <c r="T386" s="3">
        <v>150000</v>
      </c>
      <c r="U386" s="3">
        <f t="shared" si="239"/>
        <v>0</v>
      </c>
      <c r="V386" s="3">
        <v>54757</v>
      </c>
      <c r="W386" s="3">
        <f t="shared" si="240"/>
        <v>95243</v>
      </c>
      <c r="X386" s="3"/>
      <c r="Y386" s="3">
        <v>150000</v>
      </c>
      <c r="Z386" s="3">
        <f t="shared" si="241"/>
        <v>0</v>
      </c>
      <c r="AA386" s="3"/>
      <c r="AB386" s="3"/>
      <c r="AC386" s="3">
        <v>86305</v>
      </c>
      <c r="AD386" s="3">
        <f t="shared" si="246"/>
        <v>61195</v>
      </c>
      <c r="AE386" s="3">
        <v>147500</v>
      </c>
      <c r="AF386" s="3">
        <f t="shared" si="242"/>
        <v>-2500</v>
      </c>
      <c r="AG386" s="4"/>
      <c r="AH386" s="4">
        <v>120750</v>
      </c>
      <c r="AJ386" s="3">
        <v>30000</v>
      </c>
      <c r="AK386" s="3">
        <f t="shared" si="243"/>
        <v>90750</v>
      </c>
      <c r="AL386" s="3">
        <v>120750</v>
      </c>
      <c r="AM386" s="3">
        <f t="shared" si="244"/>
        <v>0</v>
      </c>
      <c r="AO386" s="3">
        <f>AH386*1.0327</f>
        <v>124698.52499999999</v>
      </c>
      <c r="AP386" s="3"/>
      <c r="AQ386" s="3">
        <f>AO386*1.0353</f>
        <v>129100.38293250001</v>
      </c>
      <c r="AR386" s="3"/>
      <c r="AS386" s="3">
        <f>AQ386*1.035</f>
        <v>133618.89633513751</v>
      </c>
      <c r="AT386" s="3"/>
      <c r="AU386" s="3">
        <f>AS386*1.0345</f>
        <v>138228.74825869975</v>
      </c>
      <c r="AV386" s="42"/>
      <c r="AW386" s="3">
        <f>AU386*1.0345</f>
        <v>142997.64007362488</v>
      </c>
      <c r="AX386" s="42"/>
      <c r="AY386" s="3"/>
      <c r="AZ386" s="42"/>
      <c r="BA386" s="3"/>
      <c r="BB386" s="42"/>
      <c r="BC386" s="3"/>
      <c r="BE386" s="3"/>
    </row>
    <row r="387" spans="1:57" x14ac:dyDescent="0.25">
      <c r="A387" s="3" t="s">
        <v>311</v>
      </c>
      <c r="B387" s="3">
        <v>2500</v>
      </c>
      <c r="D387" s="3"/>
      <c r="E387" s="3">
        <f t="shared" si="234"/>
        <v>2500</v>
      </c>
      <c r="F387" s="3">
        <v>2500</v>
      </c>
      <c r="H387" s="5">
        <f t="shared" si="235"/>
        <v>0</v>
      </c>
      <c r="K387" s="4">
        <f t="shared" si="236"/>
        <v>2500</v>
      </c>
      <c r="L387" s="4">
        <v>2500</v>
      </c>
      <c r="N387" s="4">
        <f t="shared" si="237"/>
        <v>0</v>
      </c>
      <c r="P387" s="3">
        <v>1650</v>
      </c>
      <c r="Q387" s="3"/>
      <c r="R387" s="3">
        <v>0</v>
      </c>
      <c r="S387" s="3">
        <f t="shared" si="238"/>
        <v>1650</v>
      </c>
      <c r="T387" s="3">
        <v>1650</v>
      </c>
      <c r="U387" s="3">
        <f t="shared" si="239"/>
        <v>0</v>
      </c>
      <c r="V387" s="3">
        <v>0</v>
      </c>
      <c r="W387" s="3">
        <f t="shared" si="240"/>
        <v>1650</v>
      </c>
      <c r="X387" s="3"/>
      <c r="Y387" s="3">
        <v>1650</v>
      </c>
      <c r="Z387" s="3">
        <f t="shared" si="241"/>
        <v>0</v>
      </c>
      <c r="AA387" s="3"/>
      <c r="AB387" s="3"/>
      <c r="AC387" s="3">
        <v>0</v>
      </c>
      <c r="AD387" s="3">
        <f t="shared" si="246"/>
        <v>1500</v>
      </c>
      <c r="AE387" s="3">
        <v>1500</v>
      </c>
      <c r="AF387" s="3">
        <f t="shared" si="242"/>
        <v>-150</v>
      </c>
      <c r="AG387" s="4"/>
      <c r="AH387" s="4"/>
      <c r="AJ387" s="3"/>
      <c r="AK387" s="3">
        <f t="shared" si="243"/>
        <v>0</v>
      </c>
      <c r="AL387" s="3"/>
      <c r="AM387" s="3">
        <f t="shared" si="244"/>
        <v>0</v>
      </c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E387" s="3"/>
    </row>
    <row r="388" spans="1:57" x14ac:dyDescent="0.25">
      <c r="A388" s="3" t="s">
        <v>312</v>
      </c>
      <c r="B388" s="5">
        <v>2500</v>
      </c>
      <c r="E388" s="3">
        <f t="shared" si="234"/>
        <v>2500</v>
      </c>
      <c r="F388" s="5">
        <v>2500</v>
      </c>
      <c r="H388" s="5">
        <f t="shared" si="235"/>
        <v>0</v>
      </c>
      <c r="K388" s="4">
        <f t="shared" si="236"/>
        <v>2500</v>
      </c>
      <c r="L388" s="4">
        <v>2500</v>
      </c>
      <c r="N388" s="4">
        <f t="shared" si="237"/>
        <v>0</v>
      </c>
      <c r="P388" s="3">
        <v>1800</v>
      </c>
      <c r="Q388" s="3"/>
      <c r="R388" s="3">
        <v>0</v>
      </c>
      <c r="S388" s="3">
        <f t="shared" si="238"/>
        <v>1800</v>
      </c>
      <c r="T388" s="3">
        <v>1800</v>
      </c>
      <c r="U388" s="3">
        <f t="shared" si="239"/>
        <v>0</v>
      </c>
      <c r="V388" s="3">
        <v>0</v>
      </c>
      <c r="W388" s="3">
        <f t="shared" si="240"/>
        <v>1800</v>
      </c>
      <c r="X388" s="3"/>
      <c r="Y388" s="3">
        <v>1800</v>
      </c>
      <c r="Z388" s="3">
        <f t="shared" si="241"/>
        <v>0</v>
      </c>
      <c r="AA388" s="3"/>
      <c r="AB388" s="3"/>
      <c r="AC388" s="3">
        <v>0</v>
      </c>
      <c r="AD388" s="3">
        <f t="shared" si="246"/>
        <v>1500</v>
      </c>
      <c r="AE388" s="3">
        <v>1500</v>
      </c>
      <c r="AF388" s="3">
        <f t="shared" si="242"/>
        <v>-300</v>
      </c>
      <c r="AG388" s="4"/>
      <c r="AH388" s="4">
        <v>2500</v>
      </c>
      <c r="AJ388" s="3">
        <v>0</v>
      </c>
      <c r="AK388" s="3">
        <f t="shared" si="243"/>
        <v>2500</v>
      </c>
      <c r="AL388" s="3">
        <v>2500</v>
      </c>
      <c r="AM388" s="3">
        <f t="shared" si="244"/>
        <v>0</v>
      </c>
      <c r="AO388" s="3">
        <f>AH388*1.03</f>
        <v>2575</v>
      </c>
      <c r="AP388" s="3"/>
      <c r="AQ388" s="3">
        <f>AO388*1.03</f>
        <v>2652.25</v>
      </c>
      <c r="AR388" s="3"/>
      <c r="AS388" s="3">
        <f>AQ388*1.03</f>
        <v>2731.8175000000001</v>
      </c>
      <c r="AT388" s="3"/>
      <c r="AU388" s="3">
        <f>AS388*1.03</f>
        <v>2813.7720250000002</v>
      </c>
      <c r="AV388" s="3"/>
      <c r="AW388" s="3">
        <f>AU388*1.03</f>
        <v>2898.1851857500001</v>
      </c>
      <c r="AX388" s="3"/>
      <c r="AY388" s="3">
        <f>AW388*1.03</f>
        <v>2985.1307413224999</v>
      </c>
      <c r="AZ388" s="3"/>
      <c r="BA388" s="3">
        <f>AY388*1.03</f>
        <v>3074.684663562175</v>
      </c>
      <c r="BB388" s="3"/>
      <c r="BC388" s="3">
        <f>BA388*1.03</f>
        <v>3166.9252034690403</v>
      </c>
      <c r="BE388" s="3">
        <f>BC388*1.03</f>
        <v>3261.9329595731115</v>
      </c>
    </row>
    <row r="389" spans="1:57" x14ac:dyDescent="0.25">
      <c r="A389" s="3" t="s">
        <v>313</v>
      </c>
      <c r="B389" s="5">
        <v>16000</v>
      </c>
      <c r="D389" s="5">
        <v>3747</v>
      </c>
      <c r="E389" s="3">
        <f t="shared" si="234"/>
        <v>12253</v>
      </c>
      <c r="F389" s="5">
        <v>16000</v>
      </c>
      <c r="H389" s="5">
        <f t="shared" si="235"/>
        <v>0</v>
      </c>
      <c r="J389" s="5">
        <v>7154</v>
      </c>
      <c r="K389" s="4">
        <f t="shared" si="236"/>
        <v>8846</v>
      </c>
      <c r="L389" s="4">
        <v>16000</v>
      </c>
      <c r="N389" s="4">
        <f t="shared" si="237"/>
        <v>0</v>
      </c>
      <c r="P389" s="3">
        <f>L389*1.02815+50</f>
        <v>16500.399999999998</v>
      </c>
      <c r="Q389" s="3"/>
      <c r="R389" s="3">
        <v>0</v>
      </c>
      <c r="S389" s="3">
        <f t="shared" si="238"/>
        <v>19500</v>
      </c>
      <c r="T389" s="3">
        <v>19500</v>
      </c>
      <c r="U389" s="3">
        <f t="shared" si="239"/>
        <v>2999.6000000000022</v>
      </c>
      <c r="V389" s="3">
        <v>4453</v>
      </c>
      <c r="W389" s="3">
        <f t="shared" si="240"/>
        <v>15047</v>
      </c>
      <c r="X389" s="3"/>
      <c r="Y389" s="3">
        <v>19500</v>
      </c>
      <c r="Z389" s="3">
        <f t="shared" si="241"/>
        <v>0</v>
      </c>
      <c r="AA389" s="3"/>
      <c r="AB389" s="3"/>
      <c r="AC389" s="3">
        <v>13359</v>
      </c>
      <c r="AD389" s="3">
        <f t="shared" si="246"/>
        <v>6141</v>
      </c>
      <c r="AE389" s="3">
        <v>19500</v>
      </c>
      <c r="AF389" s="3">
        <f t="shared" si="242"/>
        <v>0</v>
      </c>
      <c r="AG389" s="4"/>
      <c r="AH389" s="4">
        <v>27000</v>
      </c>
      <c r="AJ389" s="3">
        <v>0</v>
      </c>
      <c r="AK389" s="3">
        <f t="shared" si="243"/>
        <v>27750</v>
      </c>
      <c r="AL389" s="3">
        <v>27750</v>
      </c>
      <c r="AM389" s="3">
        <f t="shared" si="244"/>
        <v>750</v>
      </c>
      <c r="AO389" s="3">
        <f>AH389*1.03</f>
        <v>27810</v>
      </c>
      <c r="AP389" s="3"/>
      <c r="AQ389" s="3">
        <f>AO389*1.03</f>
        <v>28644.3</v>
      </c>
      <c r="AR389" s="3"/>
      <c r="AS389" s="3">
        <f>AQ389*1.03</f>
        <v>29503.629000000001</v>
      </c>
      <c r="AT389" s="3"/>
      <c r="AU389" s="3">
        <f>AS389*1.03</f>
        <v>30388.737870000001</v>
      </c>
      <c r="AV389" s="3"/>
      <c r="AW389" s="3">
        <f>AU389*1.03</f>
        <v>31300.400006100001</v>
      </c>
      <c r="AX389" s="3"/>
      <c r="AY389" s="3">
        <f>AW389*1.03</f>
        <v>32239.412006283001</v>
      </c>
      <c r="AZ389" s="3"/>
      <c r="BA389" s="3">
        <f>AY389*1.03</f>
        <v>33206.594366471494</v>
      </c>
      <c r="BB389" s="3"/>
      <c r="BC389" s="3">
        <f>BA389*1.03</f>
        <v>34202.792197465642</v>
      </c>
      <c r="BE389" s="3">
        <f>BC389*1.03</f>
        <v>35228.875963389612</v>
      </c>
    </row>
    <row r="390" spans="1:57" s="42" customFormat="1" x14ac:dyDescent="0.25">
      <c r="A390" s="3" t="s">
        <v>299</v>
      </c>
      <c r="B390" s="5">
        <v>8500</v>
      </c>
      <c r="C390" s="3"/>
      <c r="D390" s="5">
        <v>3443</v>
      </c>
      <c r="E390" s="3">
        <f t="shared" si="234"/>
        <v>5057</v>
      </c>
      <c r="F390" s="5">
        <v>8500</v>
      </c>
      <c r="G390" s="3"/>
      <c r="H390" s="5">
        <f t="shared" si="235"/>
        <v>0</v>
      </c>
      <c r="I390" s="5"/>
      <c r="J390" s="5">
        <v>4308</v>
      </c>
      <c r="K390" s="4">
        <f t="shared" si="236"/>
        <v>4192</v>
      </c>
      <c r="L390" s="4">
        <v>8500</v>
      </c>
      <c r="M390" s="4"/>
      <c r="N390" s="4">
        <f t="shared" si="237"/>
        <v>0</v>
      </c>
      <c r="O390" s="4"/>
      <c r="P390" s="3">
        <f>B390*1.0281+261</f>
        <v>8999.85</v>
      </c>
      <c r="Q390" s="3"/>
      <c r="R390" s="3">
        <v>487</v>
      </c>
      <c r="S390" s="3">
        <f t="shared" si="238"/>
        <v>8513</v>
      </c>
      <c r="T390" s="3">
        <v>9000</v>
      </c>
      <c r="U390" s="3">
        <f t="shared" si="239"/>
        <v>0.1499999999996362</v>
      </c>
      <c r="V390" s="3">
        <v>2155</v>
      </c>
      <c r="W390" s="3">
        <f t="shared" si="240"/>
        <v>6845</v>
      </c>
      <c r="X390" s="3"/>
      <c r="Y390" s="3">
        <v>9000</v>
      </c>
      <c r="Z390" s="3">
        <f t="shared" si="241"/>
        <v>0</v>
      </c>
      <c r="AA390" s="3"/>
      <c r="AB390" s="3"/>
      <c r="AC390" s="3">
        <v>3587</v>
      </c>
      <c r="AD390" s="3">
        <f t="shared" si="246"/>
        <v>4413</v>
      </c>
      <c r="AE390" s="3">
        <v>8000</v>
      </c>
      <c r="AF390" s="3">
        <f t="shared" si="242"/>
        <v>-1000</v>
      </c>
      <c r="AG390" s="4"/>
      <c r="AH390" s="4">
        <v>9000</v>
      </c>
      <c r="AI390" s="4"/>
      <c r="AJ390" s="3">
        <v>0</v>
      </c>
      <c r="AK390" s="3">
        <f t="shared" si="243"/>
        <v>9000</v>
      </c>
      <c r="AL390" s="3">
        <v>9000</v>
      </c>
      <c r="AM390" s="3">
        <f t="shared" si="244"/>
        <v>0</v>
      </c>
      <c r="AN390" s="4"/>
      <c r="AO390" s="3">
        <f>AH390*1.03</f>
        <v>9270</v>
      </c>
      <c r="AP390" s="3" t="e">
        <f>#REF!*1.0281</f>
        <v>#REF!</v>
      </c>
      <c r="AQ390" s="3">
        <f>AO390*1.03</f>
        <v>9548.1</v>
      </c>
      <c r="AR390" s="3" t="e">
        <f>AP390*1.0281</f>
        <v>#REF!</v>
      </c>
      <c r="AS390" s="3">
        <f>AQ390*1.03</f>
        <v>9834.5430000000015</v>
      </c>
      <c r="AT390" s="3"/>
      <c r="AU390" s="3">
        <f>AS390*1.03</f>
        <v>10129.579290000001</v>
      </c>
      <c r="AV390" s="3"/>
      <c r="AW390" s="3">
        <f>AU390*1.03</f>
        <v>10433.466668700003</v>
      </c>
      <c r="AX390" s="3"/>
      <c r="AY390" s="3">
        <f>AW390*1.03</f>
        <v>10746.470668761003</v>
      </c>
      <c r="AZ390" s="3"/>
      <c r="BA390" s="3">
        <f>AY390*1.03</f>
        <v>11068.864788823834</v>
      </c>
      <c r="BB390" s="3"/>
      <c r="BC390" s="3">
        <f>BA390*1.03</f>
        <v>11400.930732488549</v>
      </c>
      <c r="BD390" s="6"/>
      <c r="BE390" s="3">
        <f>BC390*1.03</f>
        <v>11742.958654463206</v>
      </c>
    </row>
    <row r="391" spans="1:57" x14ac:dyDescent="0.25">
      <c r="A391" s="3" t="s">
        <v>314</v>
      </c>
      <c r="E391" s="3">
        <f t="shared" si="234"/>
        <v>0</v>
      </c>
      <c r="H391" s="5">
        <f t="shared" si="235"/>
        <v>0</v>
      </c>
      <c r="K391" s="4">
        <f t="shared" si="236"/>
        <v>0</v>
      </c>
      <c r="L391" s="4"/>
      <c r="N391" s="4">
        <f t="shared" si="237"/>
        <v>0</v>
      </c>
      <c r="P391" s="3"/>
      <c r="Q391" s="3"/>
      <c r="R391" s="3"/>
      <c r="S391" s="3">
        <f t="shared" si="238"/>
        <v>0</v>
      </c>
      <c r="T391" s="3"/>
      <c r="U391" s="3">
        <f t="shared" si="239"/>
        <v>0</v>
      </c>
      <c r="V391" s="3"/>
      <c r="W391" s="3">
        <f t="shared" si="240"/>
        <v>0</v>
      </c>
      <c r="X391" s="3"/>
      <c r="Y391" s="3"/>
      <c r="Z391" s="3">
        <f t="shared" si="241"/>
        <v>0</v>
      </c>
      <c r="AA391" s="3"/>
      <c r="AB391" s="3"/>
      <c r="AC391" s="3"/>
      <c r="AD391" s="3">
        <f t="shared" si="246"/>
        <v>0</v>
      </c>
      <c r="AE391" s="3"/>
      <c r="AF391" s="3">
        <f t="shared" si="242"/>
        <v>0</v>
      </c>
      <c r="AG391" s="4"/>
      <c r="AH391" s="4">
        <v>7500</v>
      </c>
      <c r="AJ391" s="3">
        <v>7000</v>
      </c>
      <c r="AK391" s="3">
        <f t="shared" si="243"/>
        <v>500</v>
      </c>
      <c r="AL391" s="3">
        <v>7500</v>
      </c>
      <c r="AM391" s="3">
        <f t="shared" si="244"/>
        <v>0</v>
      </c>
      <c r="AO391" s="3"/>
      <c r="AP391" s="3"/>
      <c r="AQ391" s="3"/>
      <c r="AR391" s="3"/>
      <c r="AS391" s="3">
        <v>8000</v>
      </c>
      <c r="AT391" s="3"/>
      <c r="AU391" s="3"/>
      <c r="AV391" s="42"/>
      <c r="AW391" s="3"/>
      <c r="AX391" s="42"/>
      <c r="AY391" s="3">
        <v>8500</v>
      </c>
      <c r="AZ391" s="42"/>
      <c r="BA391" s="3"/>
      <c r="BB391" s="42"/>
      <c r="BC391" s="3"/>
      <c r="BE391" s="3"/>
    </row>
    <row r="392" spans="1:57" x14ac:dyDescent="0.25">
      <c r="A392" s="3" t="s">
        <v>315</v>
      </c>
      <c r="E392" s="3">
        <f t="shared" si="234"/>
        <v>0</v>
      </c>
      <c r="H392" s="5">
        <f t="shared" si="235"/>
        <v>0</v>
      </c>
      <c r="K392" s="4">
        <f t="shared" si="236"/>
        <v>0</v>
      </c>
      <c r="L392" s="4"/>
      <c r="N392" s="4">
        <f t="shared" si="237"/>
        <v>0</v>
      </c>
      <c r="P392" s="3"/>
      <c r="Q392" s="3"/>
      <c r="R392" s="3"/>
      <c r="S392" s="3">
        <f t="shared" si="238"/>
        <v>0</v>
      </c>
      <c r="T392" s="3"/>
      <c r="U392" s="3">
        <f t="shared" si="239"/>
        <v>0</v>
      </c>
      <c r="V392" s="3"/>
      <c r="W392" s="3">
        <f t="shared" si="240"/>
        <v>0</v>
      </c>
      <c r="X392" s="3"/>
      <c r="Y392" s="3"/>
      <c r="Z392" s="3">
        <f t="shared" si="241"/>
        <v>0</v>
      </c>
      <c r="AA392" s="3"/>
      <c r="AB392" s="3"/>
      <c r="AC392" s="3"/>
      <c r="AD392" s="3">
        <f t="shared" si="246"/>
        <v>0</v>
      </c>
      <c r="AE392" s="3"/>
      <c r="AF392" s="3">
        <f t="shared" si="242"/>
        <v>0</v>
      </c>
      <c r="AG392" s="4"/>
      <c r="AH392" s="4"/>
      <c r="AJ392" s="3"/>
      <c r="AK392" s="3">
        <f t="shared" si="243"/>
        <v>0</v>
      </c>
      <c r="AL392" s="3"/>
      <c r="AM392" s="3">
        <f t="shared" si="244"/>
        <v>0</v>
      </c>
      <c r="AO392" s="3"/>
      <c r="AP392" s="3"/>
      <c r="AQ392" s="3"/>
      <c r="AR392" s="3"/>
      <c r="AS392" s="3"/>
      <c r="AT392" s="3"/>
      <c r="AU392" s="3"/>
      <c r="AV392" s="42"/>
      <c r="AW392" s="3"/>
      <c r="AX392" s="42"/>
      <c r="AY392" s="3"/>
      <c r="AZ392" s="42"/>
      <c r="BA392" s="3"/>
      <c r="BB392" s="42"/>
      <c r="BC392" s="3"/>
      <c r="BE392" s="3"/>
    </row>
    <row r="393" spans="1:57" x14ac:dyDescent="0.25">
      <c r="A393" s="3" t="s">
        <v>316</v>
      </c>
      <c r="B393" s="5">
        <v>2500</v>
      </c>
      <c r="E393" s="3">
        <f t="shared" si="234"/>
        <v>3000</v>
      </c>
      <c r="F393" s="5">
        <v>3000</v>
      </c>
      <c r="H393" s="5">
        <f t="shared" si="235"/>
        <v>500</v>
      </c>
      <c r="J393" s="5">
        <v>0</v>
      </c>
      <c r="K393" s="4">
        <f t="shared" si="236"/>
        <v>3000</v>
      </c>
      <c r="L393" s="4">
        <v>3000</v>
      </c>
      <c r="N393" s="4">
        <f t="shared" si="237"/>
        <v>0</v>
      </c>
      <c r="P393" s="3">
        <v>2500</v>
      </c>
      <c r="Q393" s="3"/>
      <c r="R393" s="3">
        <v>4917</v>
      </c>
      <c r="S393" s="3">
        <f t="shared" si="238"/>
        <v>1083</v>
      </c>
      <c r="T393" s="3">
        <v>6000</v>
      </c>
      <c r="U393" s="3">
        <f t="shared" si="239"/>
        <v>3500</v>
      </c>
      <c r="V393" s="3">
        <v>1813</v>
      </c>
      <c r="W393" s="3">
        <f t="shared" si="240"/>
        <v>4187</v>
      </c>
      <c r="X393" s="3"/>
      <c r="Y393" s="3">
        <v>6000</v>
      </c>
      <c r="Z393" s="3">
        <f t="shared" si="241"/>
        <v>0</v>
      </c>
      <c r="AA393" s="3"/>
      <c r="AB393" s="3"/>
      <c r="AC393" s="3">
        <v>5320</v>
      </c>
      <c r="AD393" s="3">
        <f t="shared" si="246"/>
        <v>680</v>
      </c>
      <c r="AE393" s="3">
        <v>6000</v>
      </c>
      <c r="AF393" s="3">
        <f t="shared" si="242"/>
        <v>0</v>
      </c>
      <c r="AG393" s="4"/>
      <c r="AH393" s="4">
        <f>P393*1.03+25</f>
        <v>2600</v>
      </c>
      <c r="AJ393" s="3">
        <v>2752</v>
      </c>
      <c r="AK393" s="3">
        <f t="shared" si="243"/>
        <v>748</v>
      </c>
      <c r="AL393" s="3">
        <v>3500</v>
      </c>
      <c r="AM393" s="3">
        <f t="shared" si="244"/>
        <v>900</v>
      </c>
      <c r="AO393" s="3">
        <f>AH393*1.0281</f>
        <v>2673.06</v>
      </c>
      <c r="AP393" s="3" t="e">
        <f>#REF!*1.0281</f>
        <v>#REF!</v>
      </c>
      <c r="AQ393" s="3">
        <f t="shared" ref="AQ393:BC393" si="247">AO393*1.0281</f>
        <v>2748.172986</v>
      </c>
      <c r="AR393" s="3" t="e">
        <f t="shared" si="247"/>
        <v>#REF!</v>
      </c>
      <c r="AS393" s="3">
        <f t="shared" si="247"/>
        <v>2825.3966469065999</v>
      </c>
      <c r="AT393" s="3"/>
      <c r="AU393" s="3">
        <f>AS393*1.0281</f>
        <v>2904.7902926846755</v>
      </c>
      <c r="AV393" s="3"/>
      <c r="AW393" s="3">
        <f t="shared" si="247"/>
        <v>2986.4148999091149</v>
      </c>
      <c r="AX393" s="3">
        <f t="shared" si="247"/>
        <v>0</v>
      </c>
      <c r="AY393" s="3">
        <f t="shared" si="247"/>
        <v>3070.3331585965611</v>
      </c>
      <c r="AZ393" s="3"/>
      <c r="BA393" s="3">
        <f t="shared" si="247"/>
        <v>3156.6095203531245</v>
      </c>
      <c r="BB393" s="3"/>
      <c r="BC393" s="3">
        <f t="shared" si="247"/>
        <v>3245.3102478750475</v>
      </c>
      <c r="BE393" s="3">
        <f>BC393*1.0281</f>
        <v>3336.5034658403365</v>
      </c>
    </row>
    <row r="394" spans="1:57" x14ac:dyDescent="0.25">
      <c r="A394" s="3" t="s">
        <v>317</v>
      </c>
      <c r="B394" s="5">
        <v>1000</v>
      </c>
      <c r="D394" s="5">
        <v>464</v>
      </c>
      <c r="E394" s="3">
        <f t="shared" si="234"/>
        <v>536</v>
      </c>
      <c r="F394" s="5">
        <v>1000</v>
      </c>
      <c r="H394" s="5">
        <f t="shared" si="235"/>
        <v>0</v>
      </c>
      <c r="J394" s="5">
        <v>464</v>
      </c>
      <c r="K394" s="4">
        <f t="shared" si="236"/>
        <v>536</v>
      </c>
      <c r="L394" s="4">
        <v>1000</v>
      </c>
      <c r="N394" s="4">
        <f t="shared" si="237"/>
        <v>0</v>
      </c>
      <c r="P394" s="3">
        <f>L394*1.0281+22</f>
        <v>1050.0999999999999</v>
      </c>
      <c r="Q394" s="3"/>
      <c r="R394" s="3">
        <v>0</v>
      </c>
      <c r="S394" s="3">
        <f t="shared" si="238"/>
        <v>1050</v>
      </c>
      <c r="T394" s="3">
        <v>1050</v>
      </c>
      <c r="U394" s="3">
        <f t="shared" si="239"/>
        <v>-9.9999999999909051E-2</v>
      </c>
      <c r="V394" s="3">
        <v>1813</v>
      </c>
      <c r="W394" s="3">
        <f t="shared" si="240"/>
        <v>437</v>
      </c>
      <c r="X394" s="3"/>
      <c r="Y394" s="3">
        <v>2250</v>
      </c>
      <c r="Z394" s="3">
        <f t="shared" si="241"/>
        <v>1200</v>
      </c>
      <c r="AA394" s="3"/>
      <c r="AB394" s="3"/>
      <c r="AC394" s="3">
        <v>0</v>
      </c>
      <c r="AD394" s="3">
        <f t="shared" si="246"/>
        <v>2250</v>
      </c>
      <c r="AE394" s="3">
        <v>2250</v>
      </c>
      <c r="AF394" s="3">
        <f t="shared" si="242"/>
        <v>0</v>
      </c>
      <c r="AG394" s="4"/>
      <c r="AH394" s="4">
        <f>AE394*1.03-18+700</f>
        <v>2999.5</v>
      </c>
      <c r="AJ394" s="3"/>
      <c r="AK394" s="3">
        <f t="shared" si="243"/>
        <v>3000</v>
      </c>
      <c r="AL394" s="3">
        <v>3000</v>
      </c>
      <c r="AM394" s="3">
        <f t="shared" si="244"/>
        <v>0.5</v>
      </c>
      <c r="AO394" s="3">
        <f>AH394*1.0281</f>
        <v>3083.78595</v>
      </c>
      <c r="AP394" s="3" t="e">
        <f>#REF!*1.0281</f>
        <v>#REF!</v>
      </c>
      <c r="AQ394" s="3">
        <f>AO394*1.0281</f>
        <v>3170.440335195</v>
      </c>
      <c r="AR394" s="3" t="e">
        <f>AP394*1.0281</f>
        <v>#REF!</v>
      </c>
      <c r="AS394" s="3">
        <f>AQ394*1.0281</f>
        <v>3259.5297086139794</v>
      </c>
      <c r="AT394" s="3"/>
      <c r="AU394" s="3">
        <f>AS394*1.0281</f>
        <v>3351.1224934260322</v>
      </c>
      <c r="AV394" s="3"/>
      <c r="AW394" s="3">
        <f>AU394*1.0281</f>
        <v>3445.2890354913038</v>
      </c>
      <c r="AX394" s="3">
        <f>AV394*1.0281</f>
        <v>0</v>
      </c>
      <c r="AY394" s="3">
        <f>AW394*1.0281</f>
        <v>3542.1016573886095</v>
      </c>
      <c r="AZ394" s="3"/>
      <c r="BA394" s="3">
        <f>AY394*1.0281</f>
        <v>3641.6347139612294</v>
      </c>
      <c r="BB394" s="3"/>
      <c r="BC394" s="3">
        <f>BA394*1.0281</f>
        <v>3743.9646494235399</v>
      </c>
      <c r="BE394" s="3">
        <f>BC394*1.0281</f>
        <v>3849.1700560723416</v>
      </c>
    </row>
    <row r="395" spans="1:57" x14ac:dyDescent="0.25">
      <c r="A395" s="3" t="s">
        <v>318</v>
      </c>
      <c r="P395" s="3"/>
      <c r="Q395" s="3"/>
      <c r="R395" s="3"/>
      <c r="S395" s="3">
        <f t="shared" si="238"/>
        <v>0</v>
      </c>
      <c r="T395" s="3"/>
      <c r="U395" s="3">
        <f t="shared" si="239"/>
        <v>0</v>
      </c>
      <c r="V395" s="3"/>
      <c r="W395" s="3">
        <f t="shared" si="240"/>
        <v>0</v>
      </c>
      <c r="X395" s="3"/>
      <c r="Y395" s="3"/>
      <c r="Z395" s="3">
        <f t="shared" si="241"/>
        <v>0</v>
      </c>
      <c r="AA395" s="3"/>
      <c r="AB395" s="3"/>
      <c r="AC395" s="3"/>
      <c r="AD395" s="3">
        <f t="shared" si="246"/>
        <v>0</v>
      </c>
      <c r="AE395" s="3"/>
      <c r="AF395" s="3">
        <f t="shared" si="242"/>
        <v>0</v>
      </c>
      <c r="AG395" s="4"/>
      <c r="AH395" s="4"/>
      <c r="AJ395" s="3"/>
      <c r="AK395" s="3">
        <f t="shared" si="243"/>
        <v>0</v>
      </c>
      <c r="AL395" s="3"/>
      <c r="AM395" s="3">
        <f t="shared" si="244"/>
        <v>0</v>
      </c>
      <c r="AO395" s="3"/>
      <c r="AP395" s="3"/>
      <c r="AQ395" s="3"/>
      <c r="AR395" s="3"/>
      <c r="AS395" s="3"/>
      <c r="AT395" s="3"/>
      <c r="AU395" s="3"/>
      <c r="AV395" s="42"/>
      <c r="AW395" s="3"/>
      <c r="AX395" s="42"/>
      <c r="AY395" s="3"/>
      <c r="AZ395" s="42"/>
      <c r="BA395" s="3"/>
      <c r="BB395" s="42"/>
      <c r="BC395" s="3"/>
      <c r="BE395" s="3"/>
    </row>
    <row r="396" spans="1:57" x14ac:dyDescent="0.25">
      <c r="A396" s="3" t="s">
        <v>319</v>
      </c>
      <c r="B396" s="5">
        <v>34500</v>
      </c>
      <c r="D396" s="5">
        <f>30949+1156+2680</f>
        <v>34785</v>
      </c>
      <c r="E396" s="3">
        <f t="shared" ref="E396:E425" si="248">F396-D396</f>
        <v>15</v>
      </c>
      <c r="F396" s="5">
        <v>34800</v>
      </c>
      <c r="H396" s="5">
        <f t="shared" ref="H396:H425" si="249">F396-B396</f>
        <v>300</v>
      </c>
      <c r="J396" s="5">
        <v>34905</v>
      </c>
      <c r="K396" s="4">
        <f t="shared" ref="K396:K425" si="250">L396-J396</f>
        <v>0</v>
      </c>
      <c r="L396" s="4">
        <v>34905</v>
      </c>
      <c r="N396" s="4">
        <f t="shared" ref="N396:N425" si="251">L396-F396</f>
        <v>105</v>
      </c>
      <c r="P396" s="3">
        <f>L396*1.0281+14</f>
        <v>35899.830500000004</v>
      </c>
      <c r="Q396" s="3"/>
      <c r="R396" s="3">
        <v>34003</v>
      </c>
      <c r="S396" s="3">
        <f t="shared" si="238"/>
        <v>1897</v>
      </c>
      <c r="T396" s="3">
        <v>35900</v>
      </c>
      <c r="U396" s="3">
        <f t="shared" si="239"/>
        <v>0.16949999999633292</v>
      </c>
      <c r="V396" s="3">
        <f>34003+8144</f>
        <v>42147</v>
      </c>
      <c r="W396" s="3">
        <f t="shared" si="240"/>
        <v>3</v>
      </c>
      <c r="X396" s="3"/>
      <c r="Y396" s="3">
        <v>42150</v>
      </c>
      <c r="Z396" s="3">
        <f t="shared" si="241"/>
        <v>6250</v>
      </c>
      <c r="AA396" s="3"/>
      <c r="AB396" s="3"/>
      <c r="AC396" s="3">
        <v>34003</v>
      </c>
      <c r="AD396" s="3">
        <f t="shared" si="246"/>
        <v>2997</v>
      </c>
      <c r="AE396" s="3">
        <v>37000</v>
      </c>
      <c r="AF396" s="3">
        <f t="shared" si="242"/>
        <v>-5150</v>
      </c>
      <c r="AG396" s="4"/>
      <c r="AH396" s="4">
        <f>AE396*1.03-10</f>
        <v>38100</v>
      </c>
      <c r="AJ396" s="3">
        <v>35027</v>
      </c>
      <c r="AK396" s="3">
        <f t="shared" si="243"/>
        <v>3073</v>
      </c>
      <c r="AL396" s="3">
        <v>38100</v>
      </c>
      <c r="AM396" s="3">
        <f t="shared" si="244"/>
        <v>0</v>
      </c>
      <c r="AO396" s="3">
        <f>AH396*1.03</f>
        <v>39243</v>
      </c>
      <c r="AP396" s="3"/>
      <c r="AQ396" s="3">
        <f t="shared" ref="AQ396:AQ411" si="252">AO396*1.03</f>
        <v>40420.29</v>
      </c>
      <c r="AR396" s="3"/>
      <c r="AS396" s="3">
        <f t="shared" ref="AS396:AS411" si="253">AQ396*1.03</f>
        <v>41632.898700000005</v>
      </c>
      <c r="AT396" s="3"/>
      <c r="AU396" s="3">
        <f t="shared" ref="AU396:AU411" si="254">AS396*1.03</f>
        <v>42881.885661000008</v>
      </c>
      <c r="AV396" s="3"/>
      <c r="AW396" s="3">
        <f t="shared" ref="AW396:AW411" si="255">AU396*1.03</f>
        <v>44168.342230830007</v>
      </c>
      <c r="AX396" s="3"/>
      <c r="AY396" s="3">
        <f t="shared" ref="AY396:AY411" si="256">AW396*1.03</f>
        <v>45493.39249775491</v>
      </c>
      <c r="AZ396" s="3"/>
      <c r="BA396" s="3">
        <f t="shared" ref="BA396:BA411" si="257">AY396*1.03</f>
        <v>46858.194272687557</v>
      </c>
      <c r="BB396" s="3"/>
      <c r="BC396" s="3">
        <f t="shared" ref="BC396:BC411" si="258">BA396*1.03</f>
        <v>48263.940100868182</v>
      </c>
      <c r="BE396" s="3">
        <f t="shared" ref="BE396:BE411" si="259">BC396*1.03</f>
        <v>49711.858303894231</v>
      </c>
    </row>
    <row r="397" spans="1:57" x14ac:dyDescent="0.25">
      <c r="A397" s="3" t="s">
        <v>320</v>
      </c>
      <c r="E397" s="3">
        <f t="shared" si="248"/>
        <v>0</v>
      </c>
      <c r="H397" s="5">
        <f t="shared" si="249"/>
        <v>0</v>
      </c>
      <c r="K397" s="4">
        <f t="shared" si="250"/>
        <v>0</v>
      </c>
      <c r="L397" s="4"/>
      <c r="N397" s="4">
        <f t="shared" si="251"/>
        <v>0</v>
      </c>
      <c r="P397" s="3"/>
      <c r="Q397" s="3"/>
      <c r="R397" s="3"/>
      <c r="S397" s="3">
        <f t="shared" si="238"/>
        <v>0</v>
      </c>
      <c r="T397" s="3"/>
      <c r="U397" s="3">
        <f t="shared" si="239"/>
        <v>0</v>
      </c>
      <c r="V397" s="3"/>
      <c r="W397" s="3">
        <f t="shared" si="240"/>
        <v>0</v>
      </c>
      <c r="X397" s="3"/>
      <c r="Y397" s="3"/>
      <c r="Z397" s="3">
        <f t="shared" si="241"/>
        <v>0</v>
      </c>
      <c r="AA397" s="3"/>
      <c r="AB397" s="3"/>
      <c r="AC397" s="3"/>
      <c r="AD397" s="3">
        <f t="shared" si="246"/>
        <v>0</v>
      </c>
      <c r="AE397" s="3"/>
      <c r="AF397" s="3">
        <f t="shared" si="242"/>
        <v>0</v>
      </c>
      <c r="AG397" s="4"/>
      <c r="AH397" s="4"/>
      <c r="AJ397" s="3"/>
      <c r="AK397" s="3">
        <f t="shared" si="243"/>
        <v>0</v>
      </c>
      <c r="AL397" s="3"/>
      <c r="AM397" s="3">
        <f t="shared" si="244"/>
        <v>0</v>
      </c>
      <c r="AO397" s="3">
        <f>AH397*1.03</f>
        <v>0</v>
      </c>
      <c r="AP397" s="3"/>
      <c r="AQ397" s="3">
        <f t="shared" si="252"/>
        <v>0</v>
      </c>
      <c r="AR397" s="3"/>
      <c r="AS397" s="3">
        <f t="shared" si="253"/>
        <v>0</v>
      </c>
      <c r="AT397" s="3"/>
      <c r="AU397" s="3">
        <f t="shared" si="254"/>
        <v>0</v>
      </c>
      <c r="AV397" s="3"/>
      <c r="AW397" s="3">
        <f t="shared" si="255"/>
        <v>0</v>
      </c>
      <c r="AX397" s="3"/>
      <c r="AY397" s="3">
        <f t="shared" si="256"/>
        <v>0</v>
      </c>
      <c r="AZ397" s="3"/>
      <c r="BA397" s="3">
        <f t="shared" si="257"/>
        <v>0</v>
      </c>
      <c r="BB397" s="3"/>
      <c r="BC397" s="3">
        <f t="shared" si="258"/>
        <v>0</v>
      </c>
      <c r="BE397" s="3">
        <f t="shared" si="259"/>
        <v>0</v>
      </c>
    </row>
    <row r="398" spans="1:57" x14ac:dyDescent="0.25">
      <c r="A398" s="3" t="s">
        <v>321</v>
      </c>
      <c r="B398" s="5">
        <v>40545</v>
      </c>
      <c r="D398" s="5">
        <v>40565</v>
      </c>
      <c r="E398" s="3">
        <f t="shared" si="248"/>
        <v>0</v>
      </c>
      <c r="F398" s="5">
        <v>40565</v>
      </c>
      <c r="H398" s="5">
        <f t="shared" si="249"/>
        <v>20</v>
      </c>
      <c r="J398" s="5">
        <v>40565</v>
      </c>
      <c r="K398" s="4">
        <f t="shared" si="250"/>
        <v>0</v>
      </c>
      <c r="L398" s="4">
        <v>40565</v>
      </c>
      <c r="N398" s="4">
        <f t="shared" si="251"/>
        <v>0</v>
      </c>
      <c r="P398" s="3">
        <f>L398*1.035+15</f>
        <v>41999.774999999994</v>
      </c>
      <c r="Q398" s="3"/>
      <c r="R398" s="3">
        <v>41985</v>
      </c>
      <c r="S398" s="3">
        <f t="shared" si="238"/>
        <v>0</v>
      </c>
      <c r="T398" s="3">
        <v>41985</v>
      </c>
      <c r="U398" s="3">
        <f t="shared" si="239"/>
        <v>-14.774999999994179</v>
      </c>
      <c r="V398" s="3">
        <v>41985</v>
      </c>
      <c r="W398" s="3">
        <f t="shared" si="240"/>
        <v>0</v>
      </c>
      <c r="X398" s="3"/>
      <c r="Y398" s="3">
        <v>41985</v>
      </c>
      <c r="Z398" s="3">
        <f t="shared" si="241"/>
        <v>0</v>
      </c>
      <c r="AA398" s="3"/>
      <c r="AB398" s="3"/>
      <c r="AC398" s="3">
        <v>41985</v>
      </c>
      <c r="AD398" s="3">
        <f t="shared" si="246"/>
        <v>0</v>
      </c>
      <c r="AE398" s="3">
        <v>41985</v>
      </c>
      <c r="AF398" s="3">
        <f t="shared" si="242"/>
        <v>0</v>
      </c>
      <c r="AG398" s="4"/>
      <c r="AH398" s="4">
        <f>AE398*1.03+5</f>
        <v>43249.55</v>
      </c>
      <c r="AJ398" s="3">
        <v>43412</v>
      </c>
      <c r="AK398" s="3">
        <f t="shared" si="243"/>
        <v>-2</v>
      </c>
      <c r="AL398" s="3">
        <v>43410</v>
      </c>
      <c r="AM398" s="3">
        <f t="shared" si="244"/>
        <v>160.44999999999709</v>
      </c>
      <c r="AO398" s="3">
        <f>AH398*1.03</f>
        <v>44547.036500000002</v>
      </c>
      <c r="AP398" s="3"/>
      <c r="AQ398" s="3">
        <f t="shared" si="252"/>
        <v>45883.447595000005</v>
      </c>
      <c r="AR398" s="3"/>
      <c r="AS398" s="3">
        <f t="shared" si="253"/>
        <v>47259.951022850008</v>
      </c>
      <c r="AT398" s="3"/>
      <c r="AU398" s="3">
        <f t="shared" si="254"/>
        <v>48677.749553535512</v>
      </c>
      <c r="AV398" s="3"/>
      <c r="AW398" s="3">
        <f t="shared" si="255"/>
        <v>50138.082040141577</v>
      </c>
      <c r="AX398" s="3"/>
      <c r="AY398" s="3">
        <f t="shared" si="256"/>
        <v>51642.224501345823</v>
      </c>
      <c r="AZ398" s="3"/>
      <c r="BA398" s="3">
        <f t="shared" si="257"/>
        <v>53191.491236386202</v>
      </c>
      <c r="BB398" s="3"/>
      <c r="BC398" s="3">
        <f t="shared" si="258"/>
        <v>54787.235973477793</v>
      </c>
      <c r="BE398" s="3">
        <f t="shared" si="259"/>
        <v>56430.853052682127</v>
      </c>
    </row>
    <row r="399" spans="1:57" x14ac:dyDescent="0.25">
      <c r="A399" s="3" t="s">
        <v>1094</v>
      </c>
      <c r="E399" s="3"/>
      <c r="K399" s="4"/>
      <c r="L399" s="4"/>
      <c r="N399" s="4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4"/>
      <c r="AH399" s="4">
        <v>15000</v>
      </c>
      <c r="AJ399" s="3">
        <v>0</v>
      </c>
      <c r="AK399" s="3">
        <f t="shared" si="243"/>
        <v>15000</v>
      </c>
      <c r="AL399" s="3">
        <v>15000</v>
      </c>
      <c r="AM399" s="3">
        <f t="shared" si="244"/>
        <v>0</v>
      </c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E399" s="3"/>
    </row>
    <row r="400" spans="1:57" x14ac:dyDescent="0.25">
      <c r="A400" s="3" t="s">
        <v>1097</v>
      </c>
      <c r="E400" s="3"/>
      <c r="K400" s="4"/>
      <c r="L400" s="4"/>
      <c r="N400" s="4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4"/>
      <c r="AH400" s="4">
        <v>30000</v>
      </c>
      <c r="AJ400" s="3">
        <v>29453</v>
      </c>
      <c r="AK400" s="3">
        <f t="shared" si="243"/>
        <v>12047</v>
      </c>
      <c r="AL400" s="3">
        <v>41500</v>
      </c>
      <c r="AM400" s="3">
        <f t="shared" si="244"/>
        <v>11500</v>
      </c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E400" s="3"/>
    </row>
    <row r="401" spans="1:57" x14ac:dyDescent="0.25">
      <c r="A401" s="3" t="s">
        <v>322</v>
      </c>
      <c r="B401" s="5">
        <v>250</v>
      </c>
      <c r="D401" s="5">
        <v>393</v>
      </c>
      <c r="E401" s="3">
        <f t="shared" si="248"/>
        <v>307</v>
      </c>
      <c r="F401" s="5">
        <v>700</v>
      </c>
      <c r="H401" s="5">
        <f t="shared" si="249"/>
        <v>450</v>
      </c>
      <c r="J401" s="5">
        <v>109</v>
      </c>
      <c r="K401" s="4">
        <f t="shared" si="250"/>
        <v>591</v>
      </c>
      <c r="L401" s="4">
        <v>700</v>
      </c>
      <c r="N401" s="4">
        <f t="shared" si="251"/>
        <v>0</v>
      </c>
      <c r="P401" s="3">
        <f>L401*1.0281+30</f>
        <v>749.67</v>
      </c>
      <c r="Q401" s="3"/>
      <c r="R401" s="3">
        <v>58</v>
      </c>
      <c r="S401" s="3">
        <f t="shared" si="238"/>
        <v>692</v>
      </c>
      <c r="T401" s="3">
        <v>750</v>
      </c>
      <c r="U401" s="3">
        <f t="shared" si="239"/>
        <v>0.33000000000004093</v>
      </c>
      <c r="V401" s="3">
        <v>299</v>
      </c>
      <c r="W401" s="3">
        <f t="shared" si="240"/>
        <v>401</v>
      </c>
      <c r="X401" s="3"/>
      <c r="Y401" s="3">
        <v>700</v>
      </c>
      <c r="Z401" s="3">
        <f t="shared" si="241"/>
        <v>-50</v>
      </c>
      <c r="AA401" s="3"/>
      <c r="AB401" s="3"/>
      <c r="AC401" s="3">
        <v>322</v>
      </c>
      <c r="AD401" s="3">
        <f t="shared" si="246"/>
        <v>378</v>
      </c>
      <c r="AE401" s="3">
        <v>700</v>
      </c>
      <c r="AF401" s="3">
        <f t="shared" si="242"/>
        <v>0</v>
      </c>
      <c r="AG401" s="4"/>
      <c r="AH401" s="4">
        <v>744</v>
      </c>
      <c r="AJ401" s="3">
        <v>49</v>
      </c>
      <c r="AK401" s="3">
        <f t="shared" si="243"/>
        <v>701</v>
      </c>
      <c r="AL401" s="3">
        <v>750</v>
      </c>
      <c r="AM401" s="3">
        <f t="shared" si="244"/>
        <v>6</v>
      </c>
      <c r="AO401" s="3">
        <f t="shared" ref="AO401:AO406" si="260">AH401*1.03</f>
        <v>766.32</v>
      </c>
      <c r="AP401" s="3"/>
      <c r="AQ401" s="3">
        <f t="shared" si="252"/>
        <v>789.30960000000005</v>
      </c>
      <c r="AR401" s="3"/>
      <c r="AS401" s="3">
        <f t="shared" si="253"/>
        <v>812.98888800000009</v>
      </c>
      <c r="AT401" s="3"/>
      <c r="AU401" s="3">
        <f t="shared" si="254"/>
        <v>837.37855464000006</v>
      </c>
      <c r="AV401" s="3"/>
      <c r="AW401" s="3">
        <f t="shared" si="255"/>
        <v>862.49991127920009</v>
      </c>
      <c r="AX401" s="3"/>
      <c r="AY401" s="3">
        <f t="shared" si="256"/>
        <v>888.37490861757612</v>
      </c>
      <c r="AZ401" s="3"/>
      <c r="BA401" s="3">
        <f t="shared" si="257"/>
        <v>915.02615587610342</v>
      </c>
      <c r="BB401" s="3"/>
      <c r="BC401" s="3">
        <f t="shared" si="258"/>
        <v>942.47694055238651</v>
      </c>
      <c r="BE401" s="3">
        <f t="shared" si="259"/>
        <v>970.75124876895813</v>
      </c>
    </row>
    <row r="402" spans="1:57" x14ac:dyDescent="0.25">
      <c r="A402" s="3" t="s">
        <v>323</v>
      </c>
      <c r="B402" s="5">
        <v>3000</v>
      </c>
      <c r="D402" s="5">
        <v>1312</v>
      </c>
      <c r="E402" s="3">
        <f t="shared" si="248"/>
        <v>1688</v>
      </c>
      <c r="F402" s="5">
        <v>3000</v>
      </c>
      <c r="H402" s="5">
        <f t="shared" si="249"/>
        <v>0</v>
      </c>
      <c r="J402" s="5">
        <v>3759</v>
      </c>
      <c r="K402" s="4">
        <f t="shared" si="250"/>
        <v>1991</v>
      </c>
      <c r="L402" s="4">
        <v>5750</v>
      </c>
      <c r="N402" s="4">
        <f t="shared" si="251"/>
        <v>2750</v>
      </c>
      <c r="P402" s="3">
        <f>L402*1.0281+38</f>
        <v>5949.5749999999998</v>
      </c>
      <c r="Q402" s="3"/>
      <c r="R402" s="3">
        <v>228</v>
      </c>
      <c r="S402" s="3">
        <f t="shared" si="238"/>
        <v>5272</v>
      </c>
      <c r="T402" s="3">
        <v>5500</v>
      </c>
      <c r="U402" s="3">
        <f t="shared" si="239"/>
        <v>-449.57499999999982</v>
      </c>
      <c r="V402" s="3">
        <v>2174</v>
      </c>
      <c r="W402" s="3">
        <f t="shared" si="240"/>
        <v>3326</v>
      </c>
      <c r="X402" s="3"/>
      <c r="Y402" s="3">
        <v>5500</v>
      </c>
      <c r="Z402" s="3">
        <f t="shared" si="241"/>
        <v>0</v>
      </c>
      <c r="AA402" s="3"/>
      <c r="AB402" s="3"/>
      <c r="AC402" s="3">
        <v>2943</v>
      </c>
      <c r="AD402" s="3">
        <f t="shared" si="246"/>
        <v>2557</v>
      </c>
      <c r="AE402" s="3">
        <v>5500</v>
      </c>
      <c r="AF402" s="3">
        <f t="shared" si="242"/>
        <v>0</v>
      </c>
      <c r="AG402" s="4"/>
      <c r="AH402" s="4">
        <f>AE402*1.03-15</f>
        <v>5650</v>
      </c>
      <c r="AJ402" s="3">
        <v>99</v>
      </c>
      <c r="AK402" s="3">
        <f t="shared" si="243"/>
        <v>5551</v>
      </c>
      <c r="AL402" s="3">
        <v>5650</v>
      </c>
      <c r="AM402" s="3">
        <f t="shared" si="244"/>
        <v>0</v>
      </c>
      <c r="AO402" s="3">
        <f t="shared" si="260"/>
        <v>5819.5</v>
      </c>
      <c r="AP402" s="3"/>
      <c r="AQ402" s="3">
        <f t="shared" si="252"/>
        <v>5994.085</v>
      </c>
      <c r="AR402" s="3"/>
      <c r="AS402" s="3">
        <f t="shared" si="253"/>
        <v>6173.9075499999999</v>
      </c>
      <c r="AT402" s="3"/>
      <c r="AU402" s="3">
        <f t="shared" si="254"/>
        <v>6359.1247764999998</v>
      </c>
      <c r="AV402" s="3"/>
      <c r="AW402" s="3">
        <f t="shared" si="255"/>
        <v>6549.8985197949996</v>
      </c>
      <c r="AX402" s="3"/>
      <c r="AY402" s="3">
        <f t="shared" si="256"/>
        <v>6746.3954753888502</v>
      </c>
      <c r="AZ402" s="3"/>
      <c r="BA402" s="3">
        <f t="shared" si="257"/>
        <v>6948.7873396505156</v>
      </c>
      <c r="BB402" s="3"/>
      <c r="BC402" s="3">
        <f t="shared" si="258"/>
        <v>7157.2509598400311</v>
      </c>
      <c r="BE402" s="3">
        <f t="shared" si="259"/>
        <v>7371.9684886352325</v>
      </c>
    </row>
    <row r="403" spans="1:57" x14ac:dyDescent="0.25">
      <c r="A403" s="3" t="s">
        <v>324</v>
      </c>
      <c r="B403" s="5">
        <v>8000</v>
      </c>
      <c r="D403" s="5">
        <v>2044</v>
      </c>
      <c r="E403" s="3">
        <f t="shared" si="248"/>
        <v>5956</v>
      </c>
      <c r="F403" s="5">
        <v>8000</v>
      </c>
      <c r="H403" s="5">
        <f t="shared" si="249"/>
        <v>0</v>
      </c>
      <c r="J403" s="5">
        <v>3751</v>
      </c>
      <c r="K403" s="4">
        <f t="shared" si="250"/>
        <v>4249</v>
      </c>
      <c r="L403" s="4">
        <v>8000</v>
      </c>
      <c r="N403" s="4">
        <f t="shared" si="251"/>
        <v>0</v>
      </c>
      <c r="P403" s="3">
        <f>L403*1.0281+25</f>
        <v>8249.7999999999993</v>
      </c>
      <c r="Q403" s="3"/>
      <c r="R403" s="3">
        <f>31+2038</f>
        <v>2069</v>
      </c>
      <c r="S403" s="3">
        <f t="shared" si="238"/>
        <v>6181</v>
      </c>
      <c r="T403" s="3">
        <v>8250</v>
      </c>
      <c r="U403" s="3">
        <f t="shared" si="239"/>
        <v>0.2000000000007276</v>
      </c>
      <c r="V403" s="3">
        <v>3731</v>
      </c>
      <c r="W403" s="3">
        <f t="shared" si="240"/>
        <v>4269</v>
      </c>
      <c r="X403" s="3"/>
      <c r="Y403" s="3">
        <v>8000</v>
      </c>
      <c r="Z403" s="3">
        <f t="shared" si="241"/>
        <v>-250</v>
      </c>
      <c r="AA403" s="3"/>
      <c r="AB403" s="3"/>
      <c r="AC403" s="3">
        <v>5773</v>
      </c>
      <c r="AD403" s="3">
        <f t="shared" si="246"/>
        <v>2227</v>
      </c>
      <c r="AE403" s="3">
        <v>8000</v>
      </c>
      <c r="AF403" s="3">
        <f t="shared" si="242"/>
        <v>0</v>
      </c>
      <c r="AG403" s="4"/>
      <c r="AH403" s="4">
        <f>AE403*1.03+10</f>
        <v>8250</v>
      </c>
      <c r="AJ403" s="3">
        <v>2222</v>
      </c>
      <c r="AK403" s="3">
        <f t="shared" si="243"/>
        <v>6028</v>
      </c>
      <c r="AL403" s="3">
        <v>8250</v>
      </c>
      <c r="AM403" s="3">
        <f t="shared" si="244"/>
        <v>0</v>
      </c>
      <c r="AO403" s="3">
        <f t="shared" si="260"/>
        <v>8497.5</v>
      </c>
      <c r="AP403" s="3"/>
      <c r="AQ403" s="3">
        <f t="shared" si="252"/>
        <v>8752.4250000000011</v>
      </c>
      <c r="AR403" s="3"/>
      <c r="AS403" s="3">
        <f t="shared" si="253"/>
        <v>9014.9977500000005</v>
      </c>
      <c r="AT403" s="3"/>
      <c r="AU403" s="3">
        <f t="shared" si="254"/>
        <v>9285.4476825000002</v>
      </c>
      <c r="AV403" s="3"/>
      <c r="AW403" s="3">
        <f t="shared" si="255"/>
        <v>9564.0111129750003</v>
      </c>
      <c r="AX403" s="3"/>
      <c r="AY403" s="3">
        <f t="shared" si="256"/>
        <v>9850.9314463642513</v>
      </c>
      <c r="AZ403" s="3"/>
      <c r="BA403" s="3">
        <f t="shared" si="257"/>
        <v>10146.459389755179</v>
      </c>
      <c r="BB403" s="3"/>
      <c r="BC403" s="3">
        <f t="shared" si="258"/>
        <v>10450.853171447834</v>
      </c>
      <c r="BE403" s="3">
        <f t="shared" si="259"/>
        <v>10764.37876659127</v>
      </c>
    </row>
    <row r="404" spans="1:57" x14ac:dyDescent="0.25">
      <c r="A404" s="3" t="s">
        <v>325</v>
      </c>
      <c r="B404" s="3"/>
      <c r="D404" s="3">
        <v>7707</v>
      </c>
      <c r="E404" s="3">
        <f t="shared" si="248"/>
        <v>793</v>
      </c>
      <c r="F404" s="5">
        <v>8500</v>
      </c>
      <c r="H404" s="5">
        <f t="shared" si="249"/>
        <v>8500</v>
      </c>
      <c r="J404" s="5">
        <v>9570</v>
      </c>
      <c r="K404" s="4">
        <f t="shared" si="250"/>
        <v>0</v>
      </c>
      <c r="L404" s="4">
        <v>9570</v>
      </c>
      <c r="N404" s="4">
        <f t="shared" si="251"/>
        <v>1070</v>
      </c>
      <c r="P404" s="3"/>
      <c r="Q404" s="3"/>
      <c r="R404" s="3"/>
      <c r="S404" s="3">
        <f t="shared" si="238"/>
        <v>0</v>
      </c>
      <c r="T404" s="3"/>
      <c r="U404" s="3">
        <f t="shared" si="239"/>
        <v>0</v>
      </c>
      <c r="V404" s="3"/>
      <c r="W404" s="3">
        <f t="shared" si="240"/>
        <v>0</v>
      </c>
      <c r="X404" s="3"/>
      <c r="Y404" s="3"/>
      <c r="Z404" s="3">
        <f t="shared" si="241"/>
        <v>0</v>
      </c>
      <c r="AA404" s="3"/>
      <c r="AB404" s="3"/>
      <c r="AC404" s="3"/>
      <c r="AD404" s="3">
        <f t="shared" si="246"/>
        <v>0</v>
      </c>
      <c r="AE404" s="3"/>
      <c r="AF404" s="3">
        <f t="shared" si="242"/>
        <v>0</v>
      </c>
      <c r="AG404" s="4"/>
      <c r="AH404" s="4"/>
      <c r="AJ404" s="3"/>
      <c r="AK404" s="3">
        <f t="shared" si="243"/>
        <v>0</v>
      </c>
      <c r="AL404" s="3"/>
      <c r="AM404" s="3">
        <f t="shared" si="244"/>
        <v>0</v>
      </c>
      <c r="AO404" s="3">
        <f t="shared" si="260"/>
        <v>0</v>
      </c>
      <c r="AP404" s="3"/>
      <c r="AQ404" s="3">
        <f t="shared" si="252"/>
        <v>0</v>
      </c>
      <c r="AR404" s="3"/>
      <c r="AS404" s="3">
        <f t="shared" si="253"/>
        <v>0</v>
      </c>
      <c r="AT404" s="3"/>
      <c r="AU404" s="3">
        <f t="shared" si="254"/>
        <v>0</v>
      </c>
      <c r="AV404" s="3"/>
      <c r="AW404" s="3">
        <f t="shared" si="255"/>
        <v>0</v>
      </c>
      <c r="AX404" s="3"/>
      <c r="AY404" s="3">
        <f t="shared" si="256"/>
        <v>0</v>
      </c>
      <c r="AZ404" s="3"/>
      <c r="BA404" s="3">
        <f t="shared" si="257"/>
        <v>0</v>
      </c>
      <c r="BB404" s="3"/>
      <c r="BC404" s="3">
        <f t="shared" si="258"/>
        <v>0</v>
      </c>
      <c r="BE404" s="3">
        <f t="shared" si="259"/>
        <v>0</v>
      </c>
    </row>
    <row r="405" spans="1:57" x14ac:dyDescent="0.25">
      <c r="A405" s="3" t="s">
        <v>326</v>
      </c>
      <c r="E405" s="3">
        <f t="shared" si="248"/>
        <v>0</v>
      </c>
      <c r="H405" s="5">
        <f t="shared" si="249"/>
        <v>0</v>
      </c>
      <c r="K405" s="4">
        <f t="shared" si="250"/>
        <v>0</v>
      </c>
      <c r="L405" s="4"/>
      <c r="N405" s="4">
        <f t="shared" si="251"/>
        <v>0</v>
      </c>
      <c r="P405" s="3"/>
      <c r="Q405" s="3"/>
      <c r="R405" s="3"/>
      <c r="S405" s="3">
        <f t="shared" si="238"/>
        <v>0</v>
      </c>
      <c r="T405" s="3"/>
      <c r="U405" s="3">
        <f t="shared" si="239"/>
        <v>0</v>
      </c>
      <c r="V405" s="3"/>
      <c r="W405" s="3">
        <f t="shared" si="240"/>
        <v>0</v>
      </c>
      <c r="X405" s="3"/>
      <c r="Y405" s="3"/>
      <c r="Z405" s="3">
        <f t="shared" si="241"/>
        <v>0</v>
      </c>
      <c r="AA405" s="3"/>
      <c r="AB405" s="3"/>
      <c r="AC405" s="3"/>
      <c r="AD405" s="3">
        <f t="shared" si="246"/>
        <v>0</v>
      </c>
      <c r="AE405" s="3"/>
      <c r="AF405" s="3">
        <f t="shared" si="242"/>
        <v>0</v>
      </c>
      <c r="AG405" s="4"/>
      <c r="AH405" s="4"/>
      <c r="AJ405" s="3"/>
      <c r="AK405" s="3">
        <f t="shared" si="243"/>
        <v>0</v>
      </c>
      <c r="AL405" s="3"/>
      <c r="AM405" s="3">
        <f t="shared" si="244"/>
        <v>0</v>
      </c>
      <c r="AO405" s="3">
        <f t="shared" si="260"/>
        <v>0</v>
      </c>
      <c r="AP405" s="3"/>
      <c r="AQ405" s="3">
        <f t="shared" si="252"/>
        <v>0</v>
      </c>
      <c r="AR405" s="3"/>
      <c r="AS405" s="3">
        <f t="shared" si="253"/>
        <v>0</v>
      </c>
      <c r="AT405" s="3"/>
      <c r="AU405" s="3">
        <f t="shared" si="254"/>
        <v>0</v>
      </c>
      <c r="AV405" s="3"/>
      <c r="AW405" s="3">
        <f t="shared" si="255"/>
        <v>0</v>
      </c>
      <c r="AX405" s="3"/>
      <c r="AY405" s="3">
        <f t="shared" si="256"/>
        <v>0</v>
      </c>
      <c r="AZ405" s="3"/>
      <c r="BA405" s="3">
        <f t="shared" si="257"/>
        <v>0</v>
      </c>
      <c r="BB405" s="3"/>
      <c r="BC405" s="3">
        <f t="shared" si="258"/>
        <v>0</v>
      </c>
      <c r="BE405" s="3">
        <f t="shared" si="259"/>
        <v>0</v>
      </c>
    </row>
    <row r="406" spans="1:57" x14ac:dyDescent="0.25">
      <c r="A406" s="3" t="s">
        <v>327</v>
      </c>
      <c r="B406" s="5">
        <v>13350</v>
      </c>
      <c r="D406" s="5">
        <v>3171</v>
      </c>
      <c r="E406" s="3">
        <f t="shared" si="248"/>
        <v>10179</v>
      </c>
      <c r="F406" s="5">
        <v>13350</v>
      </c>
      <c r="H406" s="5">
        <f t="shared" si="249"/>
        <v>0</v>
      </c>
      <c r="J406" s="5">
        <v>5331</v>
      </c>
      <c r="K406" s="4">
        <f t="shared" si="250"/>
        <v>8019</v>
      </c>
      <c r="L406" s="4">
        <v>13350</v>
      </c>
      <c r="N406" s="4">
        <f t="shared" si="251"/>
        <v>0</v>
      </c>
      <c r="P406" s="3">
        <f>L406*1.0281+25</f>
        <v>13750.135</v>
      </c>
      <c r="Q406" s="3"/>
      <c r="R406" s="3">
        <v>2145</v>
      </c>
      <c r="S406" s="3">
        <f t="shared" si="238"/>
        <v>11605</v>
      </c>
      <c r="T406" s="3">
        <v>13750</v>
      </c>
      <c r="U406" s="3">
        <f t="shared" si="239"/>
        <v>-0.13500000000021828</v>
      </c>
      <c r="V406" s="3">
        <v>5485</v>
      </c>
      <c r="W406" s="3">
        <f t="shared" si="240"/>
        <v>8265</v>
      </c>
      <c r="X406" s="3"/>
      <c r="Y406" s="3">
        <v>13750</v>
      </c>
      <c r="Z406" s="3">
        <f t="shared" si="241"/>
        <v>0</v>
      </c>
      <c r="AA406" s="3"/>
      <c r="AB406" s="3"/>
      <c r="AC406" s="3">
        <v>8947</v>
      </c>
      <c r="AD406" s="3">
        <f t="shared" si="246"/>
        <v>4803</v>
      </c>
      <c r="AE406" s="3">
        <v>13750</v>
      </c>
      <c r="AF406" s="3">
        <f t="shared" si="242"/>
        <v>0</v>
      </c>
      <c r="AG406" s="4"/>
      <c r="AH406" s="4">
        <f>AE406*1.03+37</f>
        <v>14199.5</v>
      </c>
      <c r="AJ406" s="3">
        <v>2383</v>
      </c>
      <c r="AK406" s="3">
        <f t="shared" si="243"/>
        <v>11817</v>
      </c>
      <c r="AL406" s="3">
        <v>14200</v>
      </c>
      <c r="AM406" s="3">
        <f t="shared" si="244"/>
        <v>0.5</v>
      </c>
      <c r="AO406" s="3">
        <f t="shared" si="260"/>
        <v>14625.485000000001</v>
      </c>
      <c r="AP406" s="3"/>
      <c r="AQ406" s="3">
        <f t="shared" si="252"/>
        <v>15064.24955</v>
      </c>
      <c r="AR406" s="3"/>
      <c r="AS406" s="3">
        <f t="shared" si="253"/>
        <v>15516.177036500001</v>
      </c>
      <c r="AT406" s="3"/>
      <c r="AU406" s="3">
        <f t="shared" si="254"/>
        <v>15981.662347595002</v>
      </c>
      <c r="AV406" s="3"/>
      <c r="AW406" s="3">
        <f t="shared" si="255"/>
        <v>16461.112218022852</v>
      </c>
      <c r="AX406" s="3"/>
      <c r="AY406" s="3">
        <f t="shared" si="256"/>
        <v>16954.945584563538</v>
      </c>
      <c r="AZ406" s="3"/>
      <c r="BA406" s="3">
        <f t="shared" si="257"/>
        <v>17463.593952100444</v>
      </c>
      <c r="BB406" s="3"/>
      <c r="BC406" s="3">
        <f t="shared" si="258"/>
        <v>17987.501770663457</v>
      </c>
      <c r="BE406" s="3">
        <f t="shared" si="259"/>
        <v>18527.126823783361</v>
      </c>
    </row>
    <row r="407" spans="1:57" x14ac:dyDescent="0.25">
      <c r="A407" s="3" t="s">
        <v>328</v>
      </c>
      <c r="B407" s="3">
        <v>19400</v>
      </c>
      <c r="D407" s="5">
        <v>1305</v>
      </c>
      <c r="E407" s="3">
        <f>F407-D407</f>
        <v>17695</v>
      </c>
      <c r="F407" s="5">
        <v>19000</v>
      </c>
      <c r="H407" s="5">
        <f t="shared" si="249"/>
        <v>-400</v>
      </c>
      <c r="J407" s="5">
        <v>6428</v>
      </c>
      <c r="K407" s="4">
        <f t="shared" si="250"/>
        <v>12572</v>
      </c>
      <c r="L407" s="4">
        <v>19000</v>
      </c>
      <c r="N407" s="4">
        <f t="shared" si="251"/>
        <v>0</v>
      </c>
      <c r="P407" s="3">
        <f>L407*1.17+20</f>
        <v>22250</v>
      </c>
      <c r="Q407" s="3"/>
      <c r="R407" s="3">
        <v>3999</v>
      </c>
      <c r="S407" s="3">
        <f t="shared" si="238"/>
        <v>18251</v>
      </c>
      <c r="T407" s="3">
        <v>22250</v>
      </c>
      <c r="U407" s="3">
        <f t="shared" si="239"/>
        <v>0</v>
      </c>
      <c r="V407" s="3">
        <v>5127</v>
      </c>
      <c r="W407" s="3">
        <f t="shared" si="240"/>
        <v>15873</v>
      </c>
      <c r="X407" s="3"/>
      <c r="Y407" s="3">
        <v>21000</v>
      </c>
      <c r="Z407" s="3">
        <f t="shared" si="241"/>
        <v>-1250</v>
      </c>
      <c r="AA407" s="3"/>
      <c r="AB407" s="3"/>
      <c r="AC407" s="3">
        <v>5732</v>
      </c>
      <c r="AD407" s="3">
        <f t="shared" si="246"/>
        <v>14268</v>
      </c>
      <c r="AE407" s="3">
        <v>20000</v>
      </c>
      <c r="AF407" s="3">
        <f t="shared" si="242"/>
        <v>-1000</v>
      </c>
      <c r="AG407" s="4"/>
      <c r="AH407" s="4">
        <f>AE407*1.075</f>
        <v>21500</v>
      </c>
      <c r="AJ407" s="3">
        <v>4057</v>
      </c>
      <c r="AK407" s="3">
        <f t="shared" si="243"/>
        <v>17443</v>
      </c>
      <c r="AL407" s="3">
        <v>21500</v>
      </c>
      <c r="AM407" s="3">
        <f t="shared" si="244"/>
        <v>0</v>
      </c>
      <c r="AO407" s="3">
        <f>AH407*1.05</f>
        <v>22575</v>
      </c>
      <c r="AP407" s="3"/>
      <c r="AQ407" s="3">
        <f t="shared" si="252"/>
        <v>23252.25</v>
      </c>
      <c r="AR407" s="3"/>
      <c r="AS407" s="3">
        <f t="shared" si="253"/>
        <v>23949.817500000001</v>
      </c>
      <c r="AT407" s="3"/>
      <c r="AU407" s="3">
        <f t="shared" si="254"/>
        <v>24668.312025000003</v>
      </c>
      <c r="AV407" s="3"/>
      <c r="AW407" s="3">
        <f t="shared" si="255"/>
        <v>25408.361385750002</v>
      </c>
      <c r="AX407" s="3"/>
      <c r="AY407" s="3">
        <f t="shared" si="256"/>
        <v>26170.612227322505</v>
      </c>
      <c r="AZ407" s="3"/>
      <c r="BA407" s="3">
        <f t="shared" si="257"/>
        <v>26955.73059414218</v>
      </c>
      <c r="BB407" s="3"/>
      <c r="BC407" s="3">
        <f t="shared" si="258"/>
        <v>27764.402511966447</v>
      </c>
      <c r="BE407" s="3">
        <f t="shared" si="259"/>
        <v>28597.33458732544</v>
      </c>
    </row>
    <row r="408" spans="1:57" x14ac:dyDescent="0.25">
      <c r="A408" s="3" t="s">
        <v>329</v>
      </c>
      <c r="B408" s="5">
        <v>6500</v>
      </c>
      <c r="D408" s="5">
        <v>1278</v>
      </c>
      <c r="E408" s="3">
        <f t="shared" si="248"/>
        <v>5222</v>
      </c>
      <c r="F408" s="5">
        <v>6500</v>
      </c>
      <c r="H408" s="5">
        <f t="shared" si="249"/>
        <v>0</v>
      </c>
      <c r="J408" s="5">
        <v>2719</v>
      </c>
      <c r="K408" s="4">
        <f t="shared" si="250"/>
        <v>3781</v>
      </c>
      <c r="L408" s="4">
        <v>6500</v>
      </c>
      <c r="N408" s="4">
        <f t="shared" si="251"/>
        <v>0</v>
      </c>
      <c r="P408" s="3">
        <f>L408*1.0281+17</f>
        <v>6699.65</v>
      </c>
      <c r="Q408" s="3"/>
      <c r="R408" s="3">
        <v>1474</v>
      </c>
      <c r="S408" s="3">
        <f t="shared" si="238"/>
        <v>5226</v>
      </c>
      <c r="T408" s="3">
        <v>6700</v>
      </c>
      <c r="U408" s="3">
        <f t="shared" si="239"/>
        <v>0.3500000000003638</v>
      </c>
      <c r="V408" s="3">
        <v>2828</v>
      </c>
      <c r="W408" s="3">
        <f t="shared" si="240"/>
        <v>3872</v>
      </c>
      <c r="X408" s="3"/>
      <c r="Y408" s="3">
        <v>6700</v>
      </c>
      <c r="Z408" s="3">
        <f t="shared" si="241"/>
        <v>0</v>
      </c>
      <c r="AA408" s="3"/>
      <c r="AB408" s="3"/>
      <c r="AC408" s="3">
        <v>4061</v>
      </c>
      <c r="AD408" s="3">
        <f t="shared" si="246"/>
        <v>2639</v>
      </c>
      <c r="AE408" s="3">
        <v>6700</v>
      </c>
      <c r="AF408" s="3">
        <f t="shared" si="242"/>
        <v>0</v>
      </c>
      <c r="AG408" s="4"/>
      <c r="AH408" s="4">
        <f>AE408*1.03-1</f>
        <v>6900</v>
      </c>
      <c r="AJ408" s="3">
        <v>1462</v>
      </c>
      <c r="AK408" s="3">
        <f t="shared" si="243"/>
        <v>5438</v>
      </c>
      <c r="AL408" s="3">
        <v>6900</v>
      </c>
      <c r="AM408" s="3">
        <f t="shared" si="244"/>
        <v>0</v>
      </c>
      <c r="AO408" s="3">
        <f>AH408*1.03</f>
        <v>7107</v>
      </c>
      <c r="AP408" s="3"/>
      <c r="AQ408" s="3">
        <f t="shared" si="252"/>
        <v>7320.21</v>
      </c>
      <c r="AR408" s="3"/>
      <c r="AS408" s="3">
        <f t="shared" si="253"/>
        <v>7539.8163000000004</v>
      </c>
      <c r="AT408" s="3"/>
      <c r="AU408" s="3">
        <f t="shared" si="254"/>
        <v>7766.0107890000008</v>
      </c>
      <c r="AV408" s="3"/>
      <c r="AW408" s="3">
        <f t="shared" si="255"/>
        <v>7998.9911126700008</v>
      </c>
      <c r="AX408" s="3"/>
      <c r="AY408" s="3">
        <f t="shared" si="256"/>
        <v>8238.9608460501004</v>
      </c>
      <c r="AZ408" s="3"/>
      <c r="BA408" s="3">
        <f t="shared" si="257"/>
        <v>8486.1296714316031</v>
      </c>
      <c r="BB408" s="3"/>
      <c r="BC408" s="3">
        <f t="shared" si="258"/>
        <v>8740.7135615745519</v>
      </c>
      <c r="BE408" s="3">
        <f t="shared" si="259"/>
        <v>9002.9349684217887</v>
      </c>
    </row>
    <row r="409" spans="1:57" x14ac:dyDescent="0.25">
      <c r="A409" s="3" t="s">
        <v>330</v>
      </c>
      <c r="B409" s="5">
        <v>17500</v>
      </c>
      <c r="D409" s="5">
        <v>6221</v>
      </c>
      <c r="E409" s="3">
        <f t="shared" si="248"/>
        <v>11279</v>
      </c>
      <c r="F409" s="5">
        <v>17500</v>
      </c>
      <c r="H409" s="5">
        <f t="shared" si="249"/>
        <v>0</v>
      </c>
      <c r="J409" s="5">
        <v>7930</v>
      </c>
      <c r="K409" s="4">
        <f t="shared" si="250"/>
        <v>9570</v>
      </c>
      <c r="L409" s="4">
        <v>17500</v>
      </c>
      <c r="N409" s="4">
        <f t="shared" si="251"/>
        <v>0</v>
      </c>
      <c r="P409" s="3">
        <f>L409*1.0281+8</f>
        <v>17999.75</v>
      </c>
      <c r="Q409" s="3"/>
      <c r="R409" s="3">
        <v>3703</v>
      </c>
      <c r="S409" s="3">
        <f t="shared" si="238"/>
        <v>14297</v>
      </c>
      <c r="T409" s="3">
        <v>18000</v>
      </c>
      <c r="U409" s="3">
        <f t="shared" si="239"/>
        <v>0.25</v>
      </c>
      <c r="V409" s="3">
        <v>8724</v>
      </c>
      <c r="W409" s="3">
        <f t="shared" si="240"/>
        <v>8776</v>
      </c>
      <c r="X409" s="3"/>
      <c r="Y409" s="3">
        <v>17500</v>
      </c>
      <c r="Z409" s="3">
        <f t="shared" si="241"/>
        <v>-500</v>
      </c>
      <c r="AA409" s="3"/>
      <c r="AB409" s="3"/>
      <c r="AC409" s="3">
        <v>10358</v>
      </c>
      <c r="AD409" s="3">
        <f t="shared" si="246"/>
        <v>6642</v>
      </c>
      <c r="AE409" s="3">
        <v>17000</v>
      </c>
      <c r="AF409" s="3">
        <f t="shared" si="242"/>
        <v>-500</v>
      </c>
      <c r="AG409" s="4"/>
      <c r="AH409" s="4">
        <f>AE409*1.03-10</f>
        <v>17500</v>
      </c>
      <c r="AJ409" s="3">
        <v>4026</v>
      </c>
      <c r="AK409" s="3">
        <f t="shared" si="243"/>
        <v>13474</v>
      </c>
      <c r="AL409" s="3">
        <v>17500</v>
      </c>
      <c r="AM409" s="3">
        <f t="shared" si="244"/>
        <v>0</v>
      </c>
      <c r="AO409" s="3">
        <f>AH409*1.03</f>
        <v>18025</v>
      </c>
      <c r="AP409" s="3"/>
      <c r="AQ409" s="3">
        <f t="shared" si="252"/>
        <v>18565.75</v>
      </c>
      <c r="AR409" s="3"/>
      <c r="AS409" s="3">
        <f t="shared" si="253"/>
        <v>19122.7225</v>
      </c>
      <c r="AT409" s="3"/>
      <c r="AU409" s="3">
        <f t="shared" si="254"/>
        <v>19696.404175</v>
      </c>
      <c r="AV409" s="3"/>
      <c r="AW409" s="3">
        <f t="shared" si="255"/>
        <v>20287.29630025</v>
      </c>
      <c r="AX409" s="3"/>
      <c r="AY409" s="3">
        <f t="shared" si="256"/>
        <v>20895.915189257499</v>
      </c>
      <c r="AZ409" s="3"/>
      <c r="BA409" s="3">
        <f t="shared" si="257"/>
        <v>21522.792644935224</v>
      </c>
      <c r="BB409" s="3"/>
      <c r="BC409" s="3">
        <f t="shared" si="258"/>
        <v>22168.476424283283</v>
      </c>
      <c r="BE409" s="3">
        <f t="shared" si="259"/>
        <v>22833.530717011781</v>
      </c>
    </row>
    <row r="410" spans="1:57" x14ac:dyDescent="0.25">
      <c r="A410" s="3" t="s">
        <v>331</v>
      </c>
      <c r="B410" s="5">
        <v>2500</v>
      </c>
      <c r="D410" s="5">
        <v>1335</v>
      </c>
      <c r="E410" s="3">
        <f t="shared" si="248"/>
        <v>1165</v>
      </c>
      <c r="F410" s="5">
        <v>2500</v>
      </c>
      <c r="H410" s="5">
        <f t="shared" si="249"/>
        <v>0</v>
      </c>
      <c r="J410" s="5">
        <v>1336</v>
      </c>
      <c r="K410" s="4">
        <f t="shared" si="250"/>
        <v>1164</v>
      </c>
      <c r="L410" s="4">
        <v>2500</v>
      </c>
      <c r="N410" s="4">
        <f t="shared" si="251"/>
        <v>0</v>
      </c>
      <c r="P410" s="3">
        <f>L410*1.07+25</f>
        <v>2700</v>
      </c>
      <c r="Q410" s="3"/>
      <c r="R410" s="3">
        <v>2056</v>
      </c>
      <c r="S410" s="3">
        <f t="shared" si="238"/>
        <v>644</v>
      </c>
      <c r="T410" s="3">
        <v>2700</v>
      </c>
      <c r="U410" s="3">
        <f t="shared" si="239"/>
        <v>0</v>
      </c>
      <c r="V410" s="3">
        <v>2056</v>
      </c>
      <c r="W410" s="3">
        <f t="shared" si="240"/>
        <v>644</v>
      </c>
      <c r="X410" s="3"/>
      <c r="Y410" s="3">
        <v>2700</v>
      </c>
      <c r="Z410" s="3">
        <f t="shared" si="241"/>
        <v>0</v>
      </c>
      <c r="AA410" s="3"/>
      <c r="AB410" s="3"/>
      <c r="AC410" s="3">
        <v>3332</v>
      </c>
      <c r="AD410" s="3">
        <f t="shared" si="246"/>
        <v>668</v>
      </c>
      <c r="AE410" s="3">
        <v>4000</v>
      </c>
      <c r="AF410" s="3">
        <f t="shared" si="242"/>
        <v>1300</v>
      </c>
      <c r="AG410" s="4"/>
      <c r="AH410" s="4">
        <f>AE410*1.07+20</f>
        <v>4300</v>
      </c>
      <c r="AJ410" s="3">
        <v>2154</v>
      </c>
      <c r="AK410" s="3">
        <f t="shared" si="243"/>
        <v>2146</v>
      </c>
      <c r="AL410" s="3">
        <v>4300</v>
      </c>
      <c r="AM410" s="3">
        <f t="shared" si="244"/>
        <v>0</v>
      </c>
      <c r="AO410" s="3">
        <f>AH410*1.03</f>
        <v>4429</v>
      </c>
      <c r="AP410" s="3"/>
      <c r="AQ410" s="3">
        <f t="shared" si="252"/>
        <v>4561.87</v>
      </c>
      <c r="AR410" s="3"/>
      <c r="AS410" s="3">
        <f t="shared" si="253"/>
        <v>4698.7260999999999</v>
      </c>
      <c r="AT410" s="3"/>
      <c r="AU410" s="3">
        <f t="shared" si="254"/>
        <v>4839.6878829999996</v>
      </c>
      <c r="AV410" s="3"/>
      <c r="AW410" s="3">
        <f t="shared" si="255"/>
        <v>4984.8785194900001</v>
      </c>
      <c r="AX410" s="3"/>
      <c r="AY410" s="3">
        <f t="shared" si="256"/>
        <v>5134.4248750747001</v>
      </c>
      <c r="AZ410" s="3"/>
      <c r="BA410" s="3">
        <f t="shared" si="257"/>
        <v>5288.4576213269411</v>
      </c>
      <c r="BB410" s="3"/>
      <c r="BC410" s="3">
        <f t="shared" si="258"/>
        <v>5447.111349966749</v>
      </c>
      <c r="BE410" s="3">
        <f t="shared" si="259"/>
        <v>5610.5246904657515</v>
      </c>
    </row>
    <row r="411" spans="1:57" x14ac:dyDescent="0.25">
      <c r="A411" s="3" t="s">
        <v>332</v>
      </c>
      <c r="B411" s="5">
        <v>8500</v>
      </c>
      <c r="D411" s="5">
        <v>973</v>
      </c>
      <c r="E411" s="3">
        <f t="shared" si="248"/>
        <v>7527</v>
      </c>
      <c r="F411" s="5">
        <v>8500</v>
      </c>
      <c r="H411" s="5">
        <f t="shared" si="249"/>
        <v>0</v>
      </c>
      <c r="J411" s="5">
        <f>1494+2442</f>
        <v>3936</v>
      </c>
      <c r="K411" s="4">
        <f t="shared" si="250"/>
        <v>4564</v>
      </c>
      <c r="L411" s="4">
        <v>8500</v>
      </c>
      <c r="N411" s="4">
        <f t="shared" si="251"/>
        <v>0</v>
      </c>
      <c r="P411" s="3">
        <v>2500</v>
      </c>
      <c r="Q411" s="3"/>
      <c r="R411" s="3">
        <v>1027</v>
      </c>
      <c r="S411" s="3">
        <f t="shared" si="238"/>
        <v>1473</v>
      </c>
      <c r="T411" s="3">
        <v>2500</v>
      </c>
      <c r="U411" s="3">
        <f t="shared" si="239"/>
        <v>0</v>
      </c>
      <c r="V411" s="3">
        <v>1417</v>
      </c>
      <c r="W411" s="3">
        <f t="shared" si="240"/>
        <v>1583</v>
      </c>
      <c r="X411" s="3"/>
      <c r="Y411" s="3">
        <v>3000</v>
      </c>
      <c r="Z411" s="3">
        <f t="shared" si="241"/>
        <v>500</v>
      </c>
      <c r="AA411" s="3"/>
      <c r="AB411" s="3"/>
      <c r="AC411" s="3">
        <v>3151</v>
      </c>
      <c r="AD411" s="3">
        <f t="shared" si="246"/>
        <v>849</v>
      </c>
      <c r="AE411" s="3">
        <v>4000</v>
      </c>
      <c r="AF411" s="3">
        <f t="shared" si="242"/>
        <v>1000</v>
      </c>
      <c r="AG411" s="4"/>
      <c r="AH411" s="4">
        <f>AE411*1.03+130</f>
        <v>4250</v>
      </c>
      <c r="AJ411" s="3">
        <v>984</v>
      </c>
      <c r="AK411" s="3">
        <f t="shared" si="243"/>
        <v>3266</v>
      </c>
      <c r="AL411" s="3">
        <v>4250</v>
      </c>
      <c r="AM411" s="3">
        <f t="shared" si="244"/>
        <v>0</v>
      </c>
      <c r="AO411" s="3">
        <f>AH411*1.03</f>
        <v>4377.5</v>
      </c>
      <c r="AP411" s="3"/>
      <c r="AQ411" s="3">
        <f t="shared" si="252"/>
        <v>4508.8249999999998</v>
      </c>
      <c r="AR411" s="3"/>
      <c r="AS411" s="3">
        <f t="shared" si="253"/>
        <v>4644.0897500000001</v>
      </c>
      <c r="AT411" s="3"/>
      <c r="AU411" s="3">
        <f t="shared" si="254"/>
        <v>4783.4124425</v>
      </c>
      <c r="AV411" s="3"/>
      <c r="AW411" s="3">
        <f t="shared" si="255"/>
        <v>4926.9148157750005</v>
      </c>
      <c r="AX411" s="3"/>
      <c r="AY411" s="3">
        <f t="shared" si="256"/>
        <v>5074.7222602482507</v>
      </c>
      <c r="AZ411" s="3"/>
      <c r="BA411" s="3">
        <f t="shared" si="257"/>
        <v>5226.9639280556985</v>
      </c>
      <c r="BB411" s="3"/>
      <c r="BC411" s="3">
        <f t="shared" si="258"/>
        <v>5383.7728458973697</v>
      </c>
      <c r="BE411" s="3">
        <f t="shared" si="259"/>
        <v>5545.2860312742914</v>
      </c>
    </row>
    <row r="412" spans="1:57" x14ac:dyDescent="0.25">
      <c r="A412" s="3" t="s">
        <v>333</v>
      </c>
      <c r="B412" s="5">
        <v>39000</v>
      </c>
      <c r="D412" s="5">
        <v>0</v>
      </c>
      <c r="E412" s="3">
        <f t="shared" si="248"/>
        <v>39000</v>
      </c>
      <c r="F412" s="5">
        <v>39000</v>
      </c>
      <c r="H412" s="5">
        <f t="shared" si="249"/>
        <v>0</v>
      </c>
      <c r="J412" s="5">
        <v>0</v>
      </c>
      <c r="K412" s="4">
        <f t="shared" si="250"/>
        <v>39000</v>
      </c>
      <c r="L412" s="4">
        <v>39000</v>
      </c>
      <c r="N412" s="4">
        <f t="shared" si="251"/>
        <v>0</v>
      </c>
      <c r="P412" s="3">
        <v>39000</v>
      </c>
      <c r="Q412" s="3"/>
      <c r="R412" s="3">
        <v>0</v>
      </c>
      <c r="S412" s="3">
        <f t="shared" si="238"/>
        <v>39000</v>
      </c>
      <c r="T412" s="3">
        <v>39000</v>
      </c>
      <c r="U412" s="3">
        <f t="shared" si="239"/>
        <v>0</v>
      </c>
      <c r="V412" s="3">
        <v>0</v>
      </c>
      <c r="W412" s="3">
        <f t="shared" si="240"/>
        <v>39000</v>
      </c>
      <c r="X412" s="3"/>
      <c r="Y412" s="3">
        <v>39000</v>
      </c>
      <c r="Z412" s="3">
        <f t="shared" si="241"/>
        <v>0</v>
      </c>
      <c r="AA412" s="3"/>
      <c r="AB412" s="3"/>
      <c r="AC412" s="3">
        <v>0</v>
      </c>
      <c r="AD412" s="3">
        <f t="shared" si="246"/>
        <v>39000</v>
      </c>
      <c r="AE412" s="3">
        <v>39000</v>
      </c>
      <c r="AF412" s="3">
        <f t="shared" si="242"/>
        <v>0</v>
      </c>
      <c r="AG412" s="4"/>
      <c r="AH412" s="4">
        <v>39000</v>
      </c>
      <c r="AJ412" s="3">
        <v>0</v>
      </c>
      <c r="AK412" s="3">
        <f t="shared" si="243"/>
        <v>39000</v>
      </c>
      <c r="AL412" s="3">
        <v>39000</v>
      </c>
      <c r="AM412" s="3">
        <f t="shared" si="244"/>
        <v>0</v>
      </c>
      <c r="AO412" s="3">
        <v>39000</v>
      </c>
      <c r="AP412" s="3" t="e">
        <f>#REF!*1.0281</f>
        <v>#REF!</v>
      </c>
      <c r="AQ412" s="3">
        <v>39000</v>
      </c>
      <c r="AR412" s="3" t="e">
        <f>AP412*1.0281</f>
        <v>#REF!</v>
      </c>
      <c r="AS412" s="3">
        <v>39000</v>
      </c>
      <c r="AT412" s="3"/>
      <c r="AU412" s="3">
        <v>39000</v>
      </c>
      <c r="AV412" s="3"/>
      <c r="AW412" s="3">
        <v>39000</v>
      </c>
      <c r="AX412" s="3"/>
      <c r="AY412" s="3">
        <v>39000</v>
      </c>
      <c r="AZ412" s="3"/>
      <c r="BA412" s="3">
        <v>39000</v>
      </c>
      <c r="BB412" s="3"/>
      <c r="BC412" s="3">
        <v>39000</v>
      </c>
      <c r="BE412" s="3">
        <v>39000</v>
      </c>
    </row>
    <row r="413" spans="1:57" x14ac:dyDescent="0.25">
      <c r="A413" s="3" t="s">
        <v>334</v>
      </c>
      <c r="B413" s="5">
        <v>16500</v>
      </c>
      <c r="D413" s="5">
        <v>142</v>
      </c>
      <c r="E413" s="3">
        <f t="shared" si="248"/>
        <v>16358</v>
      </c>
      <c r="F413" s="5">
        <v>16500</v>
      </c>
      <c r="H413" s="5">
        <f t="shared" si="249"/>
        <v>0</v>
      </c>
      <c r="J413" s="5">
        <f>142</f>
        <v>142</v>
      </c>
      <c r="K413" s="4">
        <f t="shared" si="250"/>
        <v>8858</v>
      </c>
      <c r="L413" s="4">
        <v>9000</v>
      </c>
      <c r="N413" s="4">
        <f t="shared" si="251"/>
        <v>-7500</v>
      </c>
      <c r="P413" s="3">
        <f>L413*1.0281+47</f>
        <v>9299.9</v>
      </c>
      <c r="Q413" s="3"/>
      <c r="R413" s="3">
        <v>2117</v>
      </c>
      <c r="S413" s="3">
        <f t="shared" si="238"/>
        <v>6883</v>
      </c>
      <c r="T413" s="3">
        <v>9000</v>
      </c>
      <c r="U413" s="3">
        <f t="shared" si="239"/>
        <v>-299.89999999999964</v>
      </c>
      <c r="V413" s="3">
        <v>3551</v>
      </c>
      <c r="W413" s="3">
        <f t="shared" si="240"/>
        <v>4449</v>
      </c>
      <c r="X413" s="3"/>
      <c r="Y413" s="3">
        <v>8000</v>
      </c>
      <c r="Z413" s="3">
        <f t="shared" si="241"/>
        <v>-1000</v>
      </c>
      <c r="AA413" s="3"/>
      <c r="AB413" s="3"/>
      <c r="AC413" s="3">
        <f>3427+1522</f>
        <v>4949</v>
      </c>
      <c r="AD413" s="3">
        <f t="shared" si="246"/>
        <v>3051</v>
      </c>
      <c r="AE413" s="3">
        <v>8000</v>
      </c>
      <c r="AF413" s="3">
        <f t="shared" si="242"/>
        <v>0</v>
      </c>
      <c r="AG413" s="4"/>
      <c r="AH413" s="4">
        <f>AE413*1.03+260</f>
        <v>8500</v>
      </c>
      <c r="AJ413" s="3">
        <v>0</v>
      </c>
      <c r="AK413" s="3">
        <f t="shared" si="243"/>
        <v>8500</v>
      </c>
      <c r="AL413" s="3">
        <v>8500</v>
      </c>
      <c r="AM413" s="3">
        <f t="shared" si="244"/>
        <v>0</v>
      </c>
      <c r="AO413" s="3">
        <f>AH413*1.03</f>
        <v>8755</v>
      </c>
      <c r="AP413" s="3"/>
      <c r="AQ413" s="3">
        <f>AO413*1.03</f>
        <v>9017.65</v>
      </c>
      <c r="AR413" s="3"/>
      <c r="AS413" s="3">
        <f>AQ413*1.03</f>
        <v>9288.1795000000002</v>
      </c>
      <c r="AT413" s="3"/>
      <c r="AU413" s="3">
        <f>AS413*1.03</f>
        <v>9566.824885</v>
      </c>
      <c r="AV413" s="3"/>
      <c r="AW413" s="3">
        <f>AU413*1.03</f>
        <v>9853.8296315500011</v>
      </c>
      <c r="AX413" s="3"/>
      <c r="AY413" s="3">
        <f>AW413*1.03</f>
        <v>10149.444520496501</v>
      </c>
      <c r="AZ413" s="3"/>
      <c r="BA413" s="3">
        <f>AY413*1.03</f>
        <v>10453.927856111397</v>
      </c>
      <c r="BB413" s="3"/>
      <c r="BC413" s="3">
        <f>BA413*1.03</f>
        <v>10767.545691794739</v>
      </c>
      <c r="BE413" s="3">
        <f>BC413*1.03</f>
        <v>11090.572062548583</v>
      </c>
    </row>
    <row r="414" spans="1:57" x14ac:dyDescent="0.25">
      <c r="A414" s="3" t="s">
        <v>335</v>
      </c>
      <c r="B414" s="5">
        <v>45000</v>
      </c>
      <c r="D414" s="5">
        <f>21066+7757</f>
        <v>28823</v>
      </c>
      <c r="E414" s="3">
        <f t="shared" si="248"/>
        <v>16177</v>
      </c>
      <c r="F414" s="5">
        <v>45000</v>
      </c>
      <c r="H414" s="5">
        <f t="shared" si="249"/>
        <v>0</v>
      </c>
      <c r="J414" s="5">
        <f>45089+7756</f>
        <v>52845</v>
      </c>
      <c r="K414" s="4">
        <f t="shared" si="250"/>
        <v>1155</v>
      </c>
      <c r="L414" s="4">
        <v>54000</v>
      </c>
      <c r="N414" s="4">
        <f t="shared" si="251"/>
        <v>9000</v>
      </c>
      <c r="P414" s="3">
        <v>90000</v>
      </c>
      <c r="Q414" s="3"/>
      <c r="R414" s="3">
        <v>26274</v>
      </c>
      <c r="S414" s="3">
        <f t="shared" si="238"/>
        <v>63726</v>
      </c>
      <c r="T414" s="3">
        <v>90000</v>
      </c>
      <c r="U414" s="3">
        <f t="shared" si="239"/>
        <v>0</v>
      </c>
      <c r="V414" s="3">
        <v>38517</v>
      </c>
      <c r="W414" s="3">
        <f t="shared" si="240"/>
        <v>51483</v>
      </c>
      <c r="X414" s="3"/>
      <c r="Y414" s="3">
        <v>90000</v>
      </c>
      <c r="Z414" s="3">
        <f t="shared" si="241"/>
        <v>0</v>
      </c>
      <c r="AA414" s="3"/>
      <c r="AB414" s="3"/>
      <c r="AC414" s="3">
        <f>56751+817</f>
        <v>57568</v>
      </c>
      <c r="AD414" s="3">
        <f t="shared" si="246"/>
        <v>32432</v>
      </c>
      <c r="AE414" s="3">
        <v>90000</v>
      </c>
      <c r="AF414" s="3">
        <f t="shared" si="242"/>
        <v>0</v>
      </c>
      <c r="AG414" s="4"/>
      <c r="AH414" s="4">
        <f>100000-5000</f>
        <v>95000</v>
      </c>
      <c r="AJ414" s="3">
        <v>33819</v>
      </c>
      <c r="AK414" s="3">
        <f t="shared" si="243"/>
        <v>61181</v>
      </c>
      <c r="AL414" s="3">
        <v>95000</v>
      </c>
      <c r="AM414" s="3">
        <f t="shared" si="244"/>
        <v>0</v>
      </c>
      <c r="AO414" s="3">
        <f>AH414*1.03</f>
        <v>97850</v>
      </c>
      <c r="AP414" s="3"/>
      <c r="AQ414" s="3">
        <f>AO414*1.03</f>
        <v>100785.5</v>
      </c>
      <c r="AR414" s="3"/>
      <c r="AS414" s="3">
        <f>AQ414*1.03</f>
        <v>103809.065</v>
      </c>
      <c r="AT414" s="3"/>
      <c r="AU414" s="3">
        <f>AS414*1.03</f>
        <v>106923.33695000001</v>
      </c>
      <c r="AV414" s="3"/>
      <c r="AW414" s="3">
        <f>AU414*1.03</f>
        <v>110131.03705850002</v>
      </c>
      <c r="AX414" s="3"/>
      <c r="AY414" s="3">
        <f>AW414*1.03</f>
        <v>113434.96817025503</v>
      </c>
      <c r="AZ414" s="3"/>
      <c r="BA414" s="3">
        <f>AY414*1.03</f>
        <v>116838.01721536268</v>
      </c>
      <c r="BB414" s="3"/>
      <c r="BC414" s="3">
        <f>BA414*1.03</f>
        <v>120343.15773182356</v>
      </c>
      <c r="BE414" s="3">
        <f>BC414*1.03</f>
        <v>123953.45246377827</v>
      </c>
    </row>
    <row r="415" spans="1:57" x14ac:dyDescent="0.25">
      <c r="A415" s="3" t="s">
        <v>336</v>
      </c>
      <c r="B415" s="5">
        <v>17500</v>
      </c>
      <c r="D415" s="5">
        <v>0</v>
      </c>
      <c r="E415" s="3">
        <f t="shared" si="248"/>
        <v>17500</v>
      </c>
      <c r="F415" s="5">
        <v>17500</v>
      </c>
      <c r="H415" s="5">
        <f t="shared" si="249"/>
        <v>0</v>
      </c>
      <c r="J415" s="5">
        <v>0</v>
      </c>
      <c r="K415" s="4">
        <f t="shared" si="250"/>
        <v>17500</v>
      </c>
      <c r="L415" s="4">
        <v>17500</v>
      </c>
      <c r="N415" s="4">
        <f t="shared" si="251"/>
        <v>0</v>
      </c>
      <c r="P415" s="3">
        <v>17500</v>
      </c>
      <c r="Q415" s="3"/>
      <c r="R415" s="3">
        <v>0</v>
      </c>
      <c r="S415" s="3">
        <f t="shared" si="238"/>
        <v>17500</v>
      </c>
      <c r="T415" s="3">
        <v>17500</v>
      </c>
      <c r="U415" s="3">
        <f t="shared" si="239"/>
        <v>0</v>
      </c>
      <c r="V415" s="3">
        <v>0</v>
      </c>
      <c r="W415" s="3">
        <f t="shared" si="240"/>
        <v>17500</v>
      </c>
      <c r="X415" s="3"/>
      <c r="Y415" s="3">
        <v>17500</v>
      </c>
      <c r="Z415" s="3">
        <f t="shared" si="241"/>
        <v>0</v>
      </c>
      <c r="AA415" s="3"/>
      <c r="AB415" s="3"/>
      <c r="AC415" s="3">
        <v>0</v>
      </c>
      <c r="AD415" s="3">
        <f t="shared" si="246"/>
        <v>17500</v>
      </c>
      <c r="AE415" s="3">
        <v>17500</v>
      </c>
      <c r="AF415" s="3">
        <f t="shared" si="242"/>
        <v>0</v>
      </c>
      <c r="AG415" s="4"/>
      <c r="AH415" s="4">
        <v>17500</v>
      </c>
      <c r="AJ415" s="5">
        <v>0</v>
      </c>
      <c r="AK415" s="3">
        <f t="shared" si="243"/>
        <v>17500</v>
      </c>
      <c r="AL415" s="5">
        <v>17500</v>
      </c>
      <c r="AM415" s="3">
        <f t="shared" si="244"/>
        <v>0</v>
      </c>
      <c r="AO415" s="3">
        <v>17500</v>
      </c>
      <c r="AP415" s="3"/>
      <c r="AQ415" s="3">
        <v>17500</v>
      </c>
      <c r="AR415" s="3"/>
      <c r="AS415" s="3">
        <v>17500</v>
      </c>
      <c r="AT415" s="3"/>
      <c r="AU415" s="3">
        <v>17500</v>
      </c>
      <c r="AV415" s="42"/>
      <c r="AW415" s="3">
        <v>17500</v>
      </c>
      <c r="AX415" s="42"/>
      <c r="AY415" s="3">
        <v>17500</v>
      </c>
      <c r="AZ415" s="42"/>
      <c r="BA415" s="3">
        <v>17500</v>
      </c>
      <c r="BB415" s="42"/>
      <c r="BC415" s="3">
        <v>17500</v>
      </c>
      <c r="BE415" s="3">
        <v>17500</v>
      </c>
    </row>
    <row r="416" spans="1:57" x14ac:dyDescent="0.25">
      <c r="A416" s="3" t="s">
        <v>337</v>
      </c>
      <c r="B416" s="5">
        <v>16000</v>
      </c>
      <c r="D416" s="5">
        <v>21980</v>
      </c>
      <c r="E416" s="3">
        <f t="shared" si="248"/>
        <v>1020</v>
      </c>
      <c r="F416" s="5">
        <v>23000</v>
      </c>
      <c r="H416" s="5">
        <f t="shared" si="249"/>
        <v>7000</v>
      </c>
      <c r="J416" s="5">
        <v>29534</v>
      </c>
      <c r="K416" s="4">
        <f t="shared" si="250"/>
        <v>966</v>
      </c>
      <c r="L416" s="4">
        <v>30500</v>
      </c>
      <c r="N416" s="4">
        <f t="shared" si="251"/>
        <v>7500</v>
      </c>
      <c r="P416" s="3">
        <v>36500</v>
      </c>
      <c r="Q416" s="3"/>
      <c r="R416" s="3">
        <v>33724</v>
      </c>
      <c r="S416" s="3">
        <f t="shared" si="238"/>
        <v>2776</v>
      </c>
      <c r="T416" s="3">
        <v>36500</v>
      </c>
      <c r="U416" s="3">
        <f t="shared" si="239"/>
        <v>0</v>
      </c>
      <c r="V416" s="3">
        <v>27171</v>
      </c>
      <c r="W416" s="3">
        <f t="shared" si="240"/>
        <v>7829</v>
      </c>
      <c r="X416" s="3"/>
      <c r="Y416" s="3">
        <v>35000</v>
      </c>
      <c r="Z416" s="3">
        <f t="shared" si="241"/>
        <v>-1500</v>
      </c>
      <c r="AA416" s="3"/>
      <c r="AB416" s="3"/>
      <c r="AC416" s="3">
        <v>29984</v>
      </c>
      <c r="AD416" s="3">
        <f t="shared" si="246"/>
        <v>5016</v>
      </c>
      <c r="AE416" s="3">
        <v>35000</v>
      </c>
      <c r="AF416" s="3">
        <f t="shared" si="242"/>
        <v>0</v>
      </c>
      <c r="AG416" s="4"/>
      <c r="AH416" s="4">
        <f>AE416*1.03-50</f>
        <v>36000</v>
      </c>
      <c r="AJ416" s="3">
        <v>23841</v>
      </c>
      <c r="AK416" s="3">
        <f t="shared" si="243"/>
        <v>12159</v>
      </c>
      <c r="AL416" s="3">
        <v>36000</v>
      </c>
      <c r="AM416" s="3">
        <f t="shared" si="244"/>
        <v>0</v>
      </c>
      <c r="AO416" s="3">
        <f t="shared" ref="AO416:AO423" si="261">AH416*1.03</f>
        <v>37080</v>
      </c>
      <c r="AP416" s="3"/>
      <c r="AQ416" s="3">
        <f t="shared" ref="AQ416:AQ423" si="262">AO416*1.03</f>
        <v>38192.400000000001</v>
      </c>
      <c r="AR416" s="3"/>
      <c r="AS416" s="3">
        <f t="shared" ref="AS416:AS423" si="263">AQ416*1.03</f>
        <v>39338.172000000006</v>
      </c>
      <c r="AT416" s="3"/>
      <c r="AU416" s="3">
        <f t="shared" ref="AU416:AU423" si="264">AS416*1.03</f>
        <v>40518.317160000006</v>
      </c>
      <c r="AV416" s="3"/>
      <c r="AW416" s="3">
        <f t="shared" ref="AW416:AW423" si="265">AU416*1.03</f>
        <v>41733.866674800011</v>
      </c>
      <c r="AX416" s="3"/>
      <c r="AY416" s="3">
        <f t="shared" ref="AY416:AY423" si="266">AW416*1.03</f>
        <v>42985.882675044013</v>
      </c>
      <c r="AZ416" s="3"/>
      <c r="BA416" s="3">
        <f t="shared" ref="BA416:BA423" si="267">AY416*1.03</f>
        <v>44275.459155295335</v>
      </c>
      <c r="BB416" s="3"/>
      <c r="BC416" s="3">
        <f t="shared" ref="BC416:BC423" si="268">BA416*1.03</f>
        <v>45603.722929954194</v>
      </c>
      <c r="BE416" s="3">
        <f t="shared" ref="BE416:BE423" si="269">BC416*1.03</f>
        <v>46971.834617852823</v>
      </c>
    </row>
    <row r="417" spans="1:57" x14ac:dyDescent="0.25">
      <c r="A417" s="3" t="s">
        <v>338</v>
      </c>
      <c r="B417" s="5">
        <v>3000</v>
      </c>
      <c r="D417" s="5">
        <v>0</v>
      </c>
      <c r="E417" s="3">
        <f t="shared" si="248"/>
        <v>3000</v>
      </c>
      <c r="F417" s="5">
        <v>3000</v>
      </c>
      <c r="H417" s="5">
        <f t="shared" si="249"/>
        <v>0</v>
      </c>
      <c r="J417" s="5">
        <v>0</v>
      </c>
      <c r="K417" s="4">
        <f t="shared" si="250"/>
        <v>0</v>
      </c>
      <c r="L417" s="4">
        <v>0</v>
      </c>
      <c r="N417" s="4">
        <f t="shared" si="251"/>
        <v>-3000</v>
      </c>
      <c r="P417" s="3"/>
      <c r="Q417" s="3"/>
      <c r="R417" s="3"/>
      <c r="S417" s="3">
        <f t="shared" si="238"/>
        <v>0</v>
      </c>
      <c r="T417" s="3"/>
      <c r="U417" s="3">
        <f t="shared" si="239"/>
        <v>0</v>
      </c>
      <c r="V417" s="3"/>
      <c r="W417" s="3">
        <f t="shared" si="240"/>
        <v>0</v>
      </c>
      <c r="X417" s="3"/>
      <c r="Y417" s="3"/>
      <c r="Z417" s="3">
        <f t="shared" si="241"/>
        <v>0</v>
      </c>
      <c r="AA417" s="3"/>
      <c r="AB417" s="3"/>
      <c r="AC417" s="3"/>
      <c r="AD417" s="3">
        <f t="shared" si="246"/>
        <v>0</v>
      </c>
      <c r="AE417" s="3"/>
      <c r="AF417" s="3">
        <f t="shared" si="242"/>
        <v>0</v>
      </c>
      <c r="AG417" s="4"/>
      <c r="AH417" s="4"/>
      <c r="AJ417" s="3"/>
      <c r="AK417" s="3">
        <f t="shared" si="243"/>
        <v>0</v>
      </c>
      <c r="AL417" s="3"/>
      <c r="AM417" s="3">
        <f t="shared" si="244"/>
        <v>0</v>
      </c>
      <c r="AO417" s="3">
        <f t="shared" si="261"/>
        <v>0</v>
      </c>
      <c r="AP417" s="3"/>
      <c r="AQ417" s="3">
        <f t="shared" si="262"/>
        <v>0</v>
      </c>
      <c r="AR417" s="3"/>
      <c r="AS417" s="3">
        <f t="shared" si="263"/>
        <v>0</v>
      </c>
      <c r="AT417" s="3"/>
      <c r="AU417" s="3">
        <f t="shared" si="264"/>
        <v>0</v>
      </c>
      <c r="AV417" s="3"/>
      <c r="AW417" s="3">
        <f t="shared" si="265"/>
        <v>0</v>
      </c>
      <c r="AX417" s="3"/>
      <c r="AY417" s="3">
        <f t="shared" si="266"/>
        <v>0</v>
      </c>
      <c r="AZ417" s="3"/>
      <c r="BA417" s="3">
        <f t="shared" si="267"/>
        <v>0</v>
      </c>
      <c r="BB417" s="3"/>
      <c r="BC417" s="3">
        <f t="shared" si="268"/>
        <v>0</v>
      </c>
      <c r="BE417" s="3">
        <f t="shared" si="269"/>
        <v>0</v>
      </c>
    </row>
    <row r="418" spans="1:57" x14ac:dyDescent="0.25">
      <c r="A418" s="3" t="s">
        <v>339</v>
      </c>
      <c r="B418" s="5">
        <v>24750</v>
      </c>
      <c r="D418" s="5">
        <v>4601</v>
      </c>
      <c r="E418" s="3">
        <f t="shared" si="248"/>
        <v>19149</v>
      </c>
      <c r="F418" s="5">
        <v>23750</v>
      </c>
      <c r="H418" s="5">
        <f t="shared" si="249"/>
        <v>-1000</v>
      </c>
      <c r="J418" s="5">
        <v>7714</v>
      </c>
      <c r="K418" s="4">
        <f t="shared" si="250"/>
        <v>15786</v>
      </c>
      <c r="L418" s="4">
        <v>23500</v>
      </c>
      <c r="N418" s="4">
        <f t="shared" si="251"/>
        <v>-250</v>
      </c>
      <c r="P418" s="3">
        <f>23500*1.0281+40</f>
        <v>24200.35</v>
      </c>
      <c r="Q418" s="3"/>
      <c r="R418" s="3">
        <v>4230</v>
      </c>
      <c r="S418" s="3">
        <f t="shared" si="238"/>
        <v>19970</v>
      </c>
      <c r="T418" s="3">
        <v>24200</v>
      </c>
      <c r="U418" s="3">
        <f t="shared" si="239"/>
        <v>-0.34999999999854481</v>
      </c>
      <c r="V418" s="3">
        <v>8226</v>
      </c>
      <c r="W418" s="3">
        <f t="shared" si="240"/>
        <v>14974</v>
      </c>
      <c r="X418" s="3"/>
      <c r="Y418" s="3">
        <v>23200</v>
      </c>
      <c r="Z418" s="3">
        <f t="shared" si="241"/>
        <v>-1000</v>
      </c>
      <c r="AA418" s="3"/>
      <c r="AB418" s="3"/>
      <c r="AC418" s="3">
        <v>11892</v>
      </c>
      <c r="AD418" s="3">
        <f t="shared" si="246"/>
        <v>11308</v>
      </c>
      <c r="AE418" s="3">
        <v>23200</v>
      </c>
      <c r="AF418" s="3">
        <f t="shared" si="242"/>
        <v>0</v>
      </c>
      <c r="AG418" s="4"/>
      <c r="AH418" s="4">
        <f>AE418*1.03+4-200</f>
        <v>23700</v>
      </c>
      <c r="AJ418" s="3">
        <v>3127</v>
      </c>
      <c r="AK418" s="3">
        <f t="shared" si="243"/>
        <v>20573</v>
      </c>
      <c r="AL418" s="3">
        <v>23700</v>
      </c>
      <c r="AM418" s="3">
        <f t="shared" si="244"/>
        <v>0</v>
      </c>
      <c r="AO418" s="3">
        <f t="shared" si="261"/>
        <v>24411</v>
      </c>
      <c r="AP418" s="3"/>
      <c r="AQ418" s="3">
        <f t="shared" si="262"/>
        <v>25143.33</v>
      </c>
      <c r="AR418" s="3"/>
      <c r="AS418" s="3">
        <f t="shared" si="263"/>
        <v>25897.629900000004</v>
      </c>
      <c r="AT418" s="3"/>
      <c r="AU418" s="3">
        <f t="shared" si="264"/>
        <v>26674.558797000005</v>
      </c>
      <c r="AV418" s="3"/>
      <c r="AW418" s="3">
        <f t="shared" si="265"/>
        <v>27474.795560910006</v>
      </c>
      <c r="AX418" s="3"/>
      <c r="AY418" s="3">
        <f t="shared" si="266"/>
        <v>28299.039427737309</v>
      </c>
      <c r="AZ418" s="3"/>
      <c r="BA418" s="3">
        <f t="shared" si="267"/>
        <v>29148.010610569429</v>
      </c>
      <c r="BB418" s="3"/>
      <c r="BC418" s="3">
        <f t="shared" si="268"/>
        <v>30022.450928886512</v>
      </c>
      <c r="BE418" s="3">
        <f t="shared" si="269"/>
        <v>30923.124456753107</v>
      </c>
    </row>
    <row r="419" spans="1:57" x14ac:dyDescent="0.25">
      <c r="A419" s="3" t="s">
        <v>340</v>
      </c>
      <c r="B419" s="5">
        <v>16300</v>
      </c>
      <c r="D419" s="5">
        <v>15274</v>
      </c>
      <c r="E419" s="3">
        <f t="shared" si="248"/>
        <v>1</v>
      </c>
      <c r="F419" s="5">
        <v>15275</v>
      </c>
      <c r="H419" s="5">
        <f t="shared" si="249"/>
        <v>-1025</v>
      </c>
      <c r="J419" s="5">
        <v>15274</v>
      </c>
      <c r="K419" s="4">
        <f t="shared" si="250"/>
        <v>1</v>
      </c>
      <c r="L419" s="4">
        <v>15275</v>
      </c>
      <c r="N419" s="4">
        <f t="shared" si="251"/>
        <v>0</v>
      </c>
      <c r="P419" s="3">
        <f>L419*1.0281-4</f>
        <v>15700.227500000001</v>
      </c>
      <c r="Q419" s="3"/>
      <c r="R419" s="3">
        <v>20467</v>
      </c>
      <c r="S419" s="3">
        <f t="shared" si="238"/>
        <v>3</v>
      </c>
      <c r="T419" s="3">
        <v>20470</v>
      </c>
      <c r="U419" s="3">
        <f t="shared" si="239"/>
        <v>4769.7724999999991</v>
      </c>
      <c r="V419" s="3">
        <v>20467</v>
      </c>
      <c r="W419" s="3">
        <f t="shared" si="240"/>
        <v>3</v>
      </c>
      <c r="X419" s="3"/>
      <c r="Y419" s="3">
        <v>20470</v>
      </c>
      <c r="Z419" s="3">
        <f t="shared" si="241"/>
        <v>0</v>
      </c>
      <c r="AA419" s="3"/>
      <c r="AB419" s="3"/>
      <c r="AC419" s="3">
        <v>20467</v>
      </c>
      <c r="AD419" s="3">
        <f t="shared" si="246"/>
        <v>3</v>
      </c>
      <c r="AE419" s="3">
        <v>20470</v>
      </c>
      <c r="AF419" s="3">
        <f t="shared" si="242"/>
        <v>0</v>
      </c>
      <c r="AG419" s="4"/>
      <c r="AH419" s="4">
        <f>AE419*1.03+16</f>
        <v>21100.100000000002</v>
      </c>
      <c r="AJ419" s="3">
        <v>0</v>
      </c>
      <c r="AK419" s="3">
        <f t="shared" si="243"/>
        <v>21100</v>
      </c>
      <c r="AL419" s="3">
        <v>21100</v>
      </c>
      <c r="AM419" s="3">
        <f t="shared" si="244"/>
        <v>-0.10000000000218279</v>
      </c>
      <c r="AO419" s="3">
        <f t="shared" si="261"/>
        <v>21733.103000000003</v>
      </c>
      <c r="AP419" s="3"/>
      <c r="AQ419" s="3">
        <f t="shared" si="262"/>
        <v>22385.096090000003</v>
      </c>
      <c r="AR419" s="3"/>
      <c r="AS419" s="3">
        <f t="shared" si="263"/>
        <v>23056.648972700004</v>
      </c>
      <c r="AT419" s="3"/>
      <c r="AU419" s="3">
        <f t="shared" si="264"/>
        <v>23748.348441881004</v>
      </c>
      <c r="AV419" s="3"/>
      <c r="AW419" s="3">
        <f t="shared" si="265"/>
        <v>24460.798895137435</v>
      </c>
      <c r="AX419" s="3"/>
      <c r="AY419" s="3">
        <f t="shared" si="266"/>
        <v>25194.62286199156</v>
      </c>
      <c r="AZ419" s="3"/>
      <c r="BA419" s="3">
        <f t="shared" si="267"/>
        <v>25950.461547851308</v>
      </c>
      <c r="BB419" s="3"/>
      <c r="BC419" s="3">
        <f t="shared" si="268"/>
        <v>26728.975394286848</v>
      </c>
      <c r="BE419" s="3">
        <f t="shared" si="269"/>
        <v>27530.844656115456</v>
      </c>
    </row>
    <row r="420" spans="1:57" x14ac:dyDescent="0.25">
      <c r="A420" s="3" t="s">
        <v>341</v>
      </c>
      <c r="B420" s="5">
        <v>5300</v>
      </c>
      <c r="D420" s="5">
        <v>950</v>
      </c>
      <c r="E420" s="3">
        <f t="shared" si="248"/>
        <v>4350</v>
      </c>
      <c r="F420" s="5">
        <v>5300</v>
      </c>
      <c r="H420" s="5">
        <f t="shared" si="249"/>
        <v>0</v>
      </c>
      <c r="J420" s="5">
        <v>950</v>
      </c>
      <c r="K420" s="4">
        <f t="shared" si="250"/>
        <v>4050</v>
      </c>
      <c r="L420" s="4">
        <v>5000</v>
      </c>
      <c r="N420" s="4">
        <f t="shared" si="251"/>
        <v>-300</v>
      </c>
      <c r="P420" s="3">
        <f>L420*1.0281+459</f>
        <v>5599.5</v>
      </c>
      <c r="Q420" s="3"/>
      <c r="R420" s="3">
        <v>995</v>
      </c>
      <c r="S420" s="3">
        <f t="shared" si="238"/>
        <v>4605</v>
      </c>
      <c r="T420" s="3">
        <v>5600</v>
      </c>
      <c r="U420" s="3">
        <f t="shared" si="239"/>
        <v>0.5</v>
      </c>
      <c r="V420" s="3">
        <v>996</v>
      </c>
      <c r="W420" s="3">
        <f t="shared" si="240"/>
        <v>4604</v>
      </c>
      <c r="X420" s="3"/>
      <c r="Y420" s="3">
        <v>5600</v>
      </c>
      <c r="Z420" s="3">
        <f t="shared" si="241"/>
        <v>0</v>
      </c>
      <c r="AA420" s="3"/>
      <c r="AB420" s="3"/>
      <c r="AC420" s="3">
        <v>3103</v>
      </c>
      <c r="AD420" s="3">
        <f t="shared" si="246"/>
        <v>2497</v>
      </c>
      <c r="AE420" s="3">
        <v>5600</v>
      </c>
      <c r="AF420" s="3">
        <f t="shared" si="242"/>
        <v>0</v>
      </c>
      <c r="AG420" s="4"/>
      <c r="AH420" s="4">
        <f>AE420*1.03+32</f>
        <v>5800</v>
      </c>
      <c r="AJ420" s="3">
        <v>1038</v>
      </c>
      <c r="AK420" s="3">
        <f t="shared" si="243"/>
        <v>4762</v>
      </c>
      <c r="AL420" s="3">
        <v>5800</v>
      </c>
      <c r="AM420" s="3">
        <f t="shared" si="244"/>
        <v>0</v>
      </c>
      <c r="AO420" s="3">
        <f t="shared" si="261"/>
        <v>5974</v>
      </c>
      <c r="AP420" s="3"/>
      <c r="AQ420" s="3">
        <f t="shared" si="262"/>
        <v>6153.22</v>
      </c>
      <c r="AR420" s="3"/>
      <c r="AS420" s="3">
        <f t="shared" si="263"/>
        <v>6337.8166000000001</v>
      </c>
      <c r="AT420" s="3"/>
      <c r="AU420" s="3">
        <f t="shared" si="264"/>
        <v>6527.9510980000005</v>
      </c>
      <c r="AV420" s="3"/>
      <c r="AW420" s="3">
        <f t="shared" si="265"/>
        <v>6723.7896309400003</v>
      </c>
      <c r="AX420" s="3"/>
      <c r="AY420" s="3">
        <f t="shared" si="266"/>
        <v>6925.5033198682004</v>
      </c>
      <c r="AZ420" s="3"/>
      <c r="BA420" s="3">
        <f t="shared" si="267"/>
        <v>7133.268419464247</v>
      </c>
      <c r="BB420" s="3"/>
      <c r="BC420" s="3">
        <f t="shared" si="268"/>
        <v>7347.2664720481744</v>
      </c>
      <c r="BE420" s="3">
        <f t="shared" si="269"/>
        <v>7567.68446620962</v>
      </c>
    </row>
    <row r="421" spans="1:57" x14ac:dyDescent="0.25">
      <c r="A421" s="3" t="s">
        <v>342</v>
      </c>
      <c r="B421" s="5">
        <v>0</v>
      </c>
      <c r="E421" s="3">
        <f t="shared" si="248"/>
        <v>0</v>
      </c>
      <c r="H421" s="5">
        <f t="shared" si="249"/>
        <v>0</v>
      </c>
      <c r="K421" s="4">
        <f t="shared" si="250"/>
        <v>0</v>
      </c>
      <c r="L421" s="4">
        <v>0</v>
      </c>
      <c r="N421" s="4">
        <f t="shared" si="251"/>
        <v>0</v>
      </c>
      <c r="P421" s="3">
        <v>0</v>
      </c>
      <c r="Q421" s="3"/>
      <c r="R421" s="3"/>
      <c r="S421" s="3">
        <f t="shared" si="238"/>
        <v>0</v>
      </c>
      <c r="T421" s="3"/>
      <c r="U421" s="3">
        <f t="shared" si="239"/>
        <v>0</v>
      </c>
      <c r="V421" s="3"/>
      <c r="W421" s="3">
        <f t="shared" si="240"/>
        <v>0</v>
      </c>
      <c r="X421" s="3"/>
      <c r="Y421" s="3"/>
      <c r="Z421" s="3">
        <f t="shared" si="241"/>
        <v>0</v>
      </c>
      <c r="AA421" s="3"/>
      <c r="AB421" s="3"/>
      <c r="AC421" s="3"/>
      <c r="AD421" s="3">
        <f t="shared" si="246"/>
        <v>0</v>
      </c>
      <c r="AE421" s="3"/>
      <c r="AF421" s="3">
        <f t="shared" si="242"/>
        <v>0</v>
      </c>
      <c r="AG421" s="4"/>
      <c r="AH421" s="4">
        <f>AE421*1.03</f>
        <v>0</v>
      </c>
      <c r="AJ421" s="3"/>
      <c r="AK421" s="3">
        <f t="shared" si="243"/>
        <v>0</v>
      </c>
      <c r="AL421" s="3"/>
      <c r="AM421" s="3">
        <f t="shared" si="244"/>
        <v>0</v>
      </c>
      <c r="AO421" s="3">
        <f t="shared" si="261"/>
        <v>0</v>
      </c>
      <c r="AP421" s="3"/>
      <c r="AQ421" s="3">
        <f t="shared" si="262"/>
        <v>0</v>
      </c>
      <c r="AR421" s="3"/>
      <c r="AS421" s="3">
        <f t="shared" si="263"/>
        <v>0</v>
      </c>
      <c r="AT421" s="3"/>
      <c r="AU421" s="3">
        <f t="shared" si="264"/>
        <v>0</v>
      </c>
      <c r="AV421" s="3"/>
      <c r="AW421" s="3">
        <f t="shared" si="265"/>
        <v>0</v>
      </c>
      <c r="AX421" s="3"/>
      <c r="AY421" s="3">
        <f t="shared" si="266"/>
        <v>0</v>
      </c>
      <c r="AZ421" s="3"/>
      <c r="BA421" s="3">
        <f t="shared" si="267"/>
        <v>0</v>
      </c>
      <c r="BB421" s="3"/>
      <c r="BC421" s="3">
        <f t="shared" si="268"/>
        <v>0</v>
      </c>
      <c r="BE421" s="3">
        <f t="shared" si="269"/>
        <v>0</v>
      </c>
    </row>
    <row r="422" spans="1:57" x14ac:dyDescent="0.25">
      <c r="A422" s="3" t="s">
        <v>343</v>
      </c>
      <c r="B422" s="5">
        <v>5000</v>
      </c>
      <c r="D422" s="5">
        <f>3919+2543</f>
        <v>6462</v>
      </c>
      <c r="E422" s="3">
        <f t="shared" si="248"/>
        <v>1038</v>
      </c>
      <c r="F422" s="5">
        <v>7500</v>
      </c>
      <c r="H422" s="5">
        <f t="shared" si="249"/>
        <v>2500</v>
      </c>
      <c r="J422" s="5">
        <v>7340</v>
      </c>
      <c r="K422" s="4">
        <f t="shared" si="250"/>
        <v>3160</v>
      </c>
      <c r="L422" s="4">
        <v>10500</v>
      </c>
      <c r="N422" s="4">
        <f t="shared" si="251"/>
        <v>3000</v>
      </c>
      <c r="P422" s="3">
        <v>11750</v>
      </c>
      <c r="Q422" s="3"/>
      <c r="R422" s="3">
        <v>1186</v>
      </c>
      <c r="S422" s="3">
        <f t="shared" si="238"/>
        <v>10564</v>
      </c>
      <c r="T422" s="3">
        <v>11750</v>
      </c>
      <c r="U422" s="3">
        <f t="shared" si="239"/>
        <v>0</v>
      </c>
      <c r="V422" s="3">
        <v>7421</v>
      </c>
      <c r="W422" s="3">
        <f t="shared" si="240"/>
        <v>4329</v>
      </c>
      <c r="X422" s="3"/>
      <c r="Y422" s="3">
        <v>11750</v>
      </c>
      <c r="Z422" s="3">
        <f t="shared" si="241"/>
        <v>0</v>
      </c>
      <c r="AA422" s="3"/>
      <c r="AB422" s="3"/>
      <c r="AC422" s="3">
        <v>9794</v>
      </c>
      <c r="AD422" s="3">
        <f t="shared" si="246"/>
        <v>1956</v>
      </c>
      <c r="AE422" s="3">
        <v>11750</v>
      </c>
      <c r="AF422" s="3">
        <f t="shared" si="242"/>
        <v>0</v>
      </c>
      <c r="AG422" s="4"/>
      <c r="AH422" s="4">
        <f>AE422*1.03+97</f>
        <v>12199.5</v>
      </c>
      <c r="AJ422" s="3">
        <v>1405</v>
      </c>
      <c r="AK422" s="3">
        <f t="shared" si="243"/>
        <v>10795</v>
      </c>
      <c r="AL422" s="3">
        <v>12200</v>
      </c>
      <c r="AM422" s="3">
        <f t="shared" si="244"/>
        <v>0.5</v>
      </c>
      <c r="AO422" s="3">
        <f t="shared" si="261"/>
        <v>12565.485000000001</v>
      </c>
      <c r="AP422" s="3"/>
      <c r="AQ422" s="3">
        <f t="shared" si="262"/>
        <v>12942.449550000001</v>
      </c>
      <c r="AR422" s="3"/>
      <c r="AS422" s="3">
        <f t="shared" si="263"/>
        <v>13330.723036500001</v>
      </c>
      <c r="AT422" s="3"/>
      <c r="AU422" s="3">
        <f t="shared" si="264"/>
        <v>13730.644727595001</v>
      </c>
      <c r="AV422" s="3"/>
      <c r="AW422" s="3">
        <f t="shared" si="265"/>
        <v>14142.564069422851</v>
      </c>
      <c r="AX422" s="3"/>
      <c r="AY422" s="3">
        <f t="shared" si="266"/>
        <v>14566.840991505538</v>
      </c>
      <c r="AZ422" s="3"/>
      <c r="BA422" s="3">
        <f t="shared" si="267"/>
        <v>15003.846221250704</v>
      </c>
      <c r="BB422" s="3"/>
      <c r="BC422" s="3">
        <f t="shared" si="268"/>
        <v>15453.961607888225</v>
      </c>
      <c r="BE422" s="3">
        <f t="shared" si="269"/>
        <v>15917.580456124871</v>
      </c>
    </row>
    <row r="423" spans="1:57" x14ac:dyDescent="0.25">
      <c r="A423" s="3" t="s">
        <v>90</v>
      </c>
      <c r="B423" s="5">
        <v>12500</v>
      </c>
      <c r="E423" s="3">
        <f t="shared" si="248"/>
        <v>12500</v>
      </c>
      <c r="F423" s="5">
        <v>12500</v>
      </c>
      <c r="H423" s="5">
        <f t="shared" si="249"/>
        <v>0</v>
      </c>
      <c r="J423" s="5">
        <v>6563</v>
      </c>
      <c r="K423" s="4">
        <f t="shared" si="250"/>
        <v>5937</v>
      </c>
      <c r="L423" s="4">
        <v>12500</v>
      </c>
      <c r="N423" s="4">
        <f t="shared" si="251"/>
        <v>0</v>
      </c>
      <c r="P423" s="3">
        <f>L423*1.0281-1</f>
        <v>12850.25</v>
      </c>
      <c r="Q423" s="3"/>
      <c r="R423" s="3">
        <v>2614</v>
      </c>
      <c r="S423" s="3">
        <f t="shared" si="238"/>
        <v>9386</v>
      </c>
      <c r="T423" s="3">
        <v>12000</v>
      </c>
      <c r="U423" s="3">
        <f t="shared" si="239"/>
        <v>-850.25</v>
      </c>
      <c r="V423" s="3">
        <v>8791</v>
      </c>
      <c r="W423" s="3">
        <f t="shared" si="240"/>
        <v>3209</v>
      </c>
      <c r="X423" s="3"/>
      <c r="Y423" s="3">
        <v>12000</v>
      </c>
      <c r="Z423" s="3">
        <f t="shared" si="241"/>
        <v>0</v>
      </c>
      <c r="AA423" s="3"/>
      <c r="AB423" s="3"/>
      <c r="AC423" s="3">
        <v>16140</v>
      </c>
      <c r="AD423" s="3">
        <f t="shared" si="246"/>
        <v>2860</v>
      </c>
      <c r="AE423" s="3">
        <v>19000</v>
      </c>
      <c r="AF423" s="3">
        <f t="shared" si="242"/>
        <v>7000</v>
      </c>
      <c r="AG423" s="4"/>
      <c r="AH423" s="4">
        <f>AE423*1.03+30-600</f>
        <v>19000</v>
      </c>
      <c r="AJ423" s="3">
        <v>1316</v>
      </c>
      <c r="AK423" s="3">
        <f t="shared" si="243"/>
        <v>17684</v>
      </c>
      <c r="AL423" s="3">
        <v>19000</v>
      </c>
      <c r="AM423" s="3">
        <f t="shared" si="244"/>
        <v>0</v>
      </c>
      <c r="AO423" s="3">
        <f t="shared" si="261"/>
        <v>19570</v>
      </c>
      <c r="AP423" s="3"/>
      <c r="AQ423" s="3">
        <f t="shared" si="262"/>
        <v>20157.100000000002</v>
      </c>
      <c r="AR423" s="3"/>
      <c r="AS423" s="3">
        <f t="shared" si="263"/>
        <v>20761.813000000002</v>
      </c>
      <c r="AT423" s="3"/>
      <c r="AU423" s="3">
        <f t="shared" si="264"/>
        <v>21384.667390000002</v>
      </c>
      <c r="AV423" s="3"/>
      <c r="AW423" s="3">
        <f t="shared" si="265"/>
        <v>22026.207411700005</v>
      </c>
      <c r="AX423" s="3"/>
      <c r="AY423" s="3">
        <f t="shared" si="266"/>
        <v>22686.993634051007</v>
      </c>
      <c r="AZ423" s="3"/>
      <c r="BA423" s="3">
        <f t="shared" si="267"/>
        <v>23367.603443072538</v>
      </c>
      <c r="BB423" s="3"/>
      <c r="BC423" s="3">
        <f t="shared" si="268"/>
        <v>24068.631546364715</v>
      </c>
      <c r="BE423" s="3">
        <f t="shared" si="269"/>
        <v>24790.690492755657</v>
      </c>
    </row>
    <row r="424" spans="1:57" x14ac:dyDescent="0.25">
      <c r="A424" s="3" t="s">
        <v>344</v>
      </c>
      <c r="E424" s="3">
        <f t="shared" si="248"/>
        <v>0</v>
      </c>
      <c r="H424" s="5">
        <f t="shared" si="249"/>
        <v>0</v>
      </c>
      <c r="K424" s="4">
        <f t="shared" si="250"/>
        <v>0</v>
      </c>
      <c r="L424" s="4"/>
      <c r="N424" s="4">
        <f t="shared" si="251"/>
        <v>0</v>
      </c>
      <c r="P424" s="3">
        <v>0</v>
      </c>
      <c r="Q424" s="3"/>
      <c r="R424" s="3"/>
      <c r="S424" s="3">
        <f t="shared" si="238"/>
        <v>0</v>
      </c>
      <c r="T424" s="3"/>
      <c r="U424" s="3">
        <f t="shared" si="239"/>
        <v>0</v>
      </c>
      <c r="V424" s="3"/>
      <c r="W424" s="3">
        <f t="shared" si="240"/>
        <v>0</v>
      </c>
      <c r="X424" s="3"/>
      <c r="Y424" s="3"/>
      <c r="Z424" s="3">
        <f t="shared" si="241"/>
        <v>0</v>
      </c>
      <c r="AA424" s="3"/>
      <c r="AB424" s="3"/>
      <c r="AC424" s="3"/>
      <c r="AD424" s="3">
        <f t="shared" si="246"/>
        <v>0</v>
      </c>
      <c r="AE424" s="3"/>
      <c r="AF424" s="3">
        <f t="shared" si="242"/>
        <v>0</v>
      </c>
      <c r="AG424" s="4"/>
      <c r="AH424" s="4"/>
      <c r="AJ424" s="3"/>
      <c r="AK424" s="3">
        <f t="shared" si="243"/>
        <v>0</v>
      </c>
      <c r="AL424" s="3"/>
      <c r="AM424" s="3">
        <f t="shared" si="244"/>
        <v>0</v>
      </c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E424" s="3"/>
    </row>
    <row r="425" spans="1:57" x14ac:dyDescent="0.25">
      <c r="A425" s="3" t="s">
        <v>345</v>
      </c>
      <c r="B425" s="5">
        <v>-234150</v>
      </c>
      <c r="D425" s="5">
        <v>0</v>
      </c>
      <c r="E425" s="3">
        <f t="shared" si="248"/>
        <v>-234150</v>
      </c>
      <c r="F425" s="5">
        <v>-234150</v>
      </c>
      <c r="H425" s="5">
        <f t="shared" si="249"/>
        <v>0</v>
      </c>
      <c r="J425" s="5">
        <v>0</v>
      </c>
      <c r="K425" s="4">
        <f t="shared" si="250"/>
        <v>-234150</v>
      </c>
      <c r="L425" s="4">
        <v>-234150</v>
      </c>
      <c r="N425" s="4">
        <f t="shared" si="251"/>
        <v>0</v>
      </c>
      <c r="P425" s="3">
        <v>-241190</v>
      </c>
      <c r="Q425" s="3"/>
      <c r="R425" s="3">
        <v>0</v>
      </c>
      <c r="S425" s="3">
        <f t="shared" si="238"/>
        <v>-241190</v>
      </c>
      <c r="T425" s="3">
        <v>-241190</v>
      </c>
      <c r="U425" s="3">
        <f t="shared" si="239"/>
        <v>0</v>
      </c>
      <c r="V425" s="3">
        <v>0</v>
      </c>
      <c r="W425" s="3">
        <f t="shared" si="240"/>
        <v>-241190</v>
      </c>
      <c r="X425" s="3"/>
      <c r="Y425" s="3">
        <v>-241190</v>
      </c>
      <c r="Z425" s="3">
        <f t="shared" si="241"/>
        <v>0</v>
      </c>
      <c r="AA425" s="3"/>
      <c r="AB425" s="3"/>
      <c r="AC425" s="3">
        <v>-184390</v>
      </c>
      <c r="AD425" s="3">
        <f t="shared" si="246"/>
        <v>-56800</v>
      </c>
      <c r="AE425" s="3">
        <v>-241190</v>
      </c>
      <c r="AF425" s="3">
        <f t="shared" si="242"/>
        <v>0</v>
      </c>
      <c r="AG425" s="4"/>
      <c r="AH425" s="4">
        <v>-253400</v>
      </c>
      <c r="AJ425" s="3">
        <v>0</v>
      </c>
      <c r="AK425" s="3">
        <f t="shared" si="243"/>
        <v>-253400</v>
      </c>
      <c r="AL425" s="3">
        <v>-253400</v>
      </c>
      <c r="AM425" s="3">
        <f t="shared" si="244"/>
        <v>0</v>
      </c>
      <c r="AO425" s="3">
        <f>AH425*1.03</f>
        <v>-261002</v>
      </c>
      <c r="AP425" s="3"/>
      <c r="AQ425" s="3">
        <f>AO425*1.03</f>
        <v>-268832.06</v>
      </c>
      <c r="AR425" s="3"/>
      <c r="AS425" s="3">
        <f>AQ425*1.03</f>
        <v>-276897.02179999999</v>
      </c>
      <c r="AT425" s="3"/>
      <c r="AU425" s="3">
        <f>AS425*1.03</f>
        <v>-285203.93245399999</v>
      </c>
      <c r="AV425" s="3"/>
      <c r="AW425" s="3">
        <f>AU425*1.03</f>
        <v>-293760.05042762001</v>
      </c>
      <c r="AX425" s="3"/>
      <c r="AY425" s="3">
        <f>AW425*1.03</f>
        <v>-302572.85194044863</v>
      </c>
      <c r="AZ425" s="3"/>
      <c r="BA425" s="3">
        <f>AY425*1.03</f>
        <v>-311650.03749866207</v>
      </c>
      <c r="BB425" s="3"/>
      <c r="BC425" s="3">
        <f>BA425*1.03</f>
        <v>-320999.53862362192</v>
      </c>
      <c r="BE425" s="3">
        <f>BC425*1.03</f>
        <v>-330629.52478233061</v>
      </c>
    </row>
    <row r="426" spans="1:57" ht="15.75" thickBot="1" x14ac:dyDescent="0.3">
      <c r="A426" s="3"/>
      <c r="B426" s="48">
        <f>SUM(B380:B425)</f>
        <v>1088245</v>
      </c>
      <c r="C426" s="32"/>
      <c r="D426" s="48">
        <f>SUM(D380:D425)+1</f>
        <v>394634</v>
      </c>
      <c r="E426" s="48">
        <f>SUM(E380:E425)+1</f>
        <v>694958</v>
      </c>
      <c r="F426" s="48">
        <f>SUM(F380:F425)+1</f>
        <v>1089591</v>
      </c>
      <c r="G426" s="32"/>
      <c r="H426" s="48">
        <f>SUM(H380:H425)+1</f>
        <v>1346</v>
      </c>
      <c r="I426" s="36"/>
      <c r="J426" s="48">
        <f>SUM(J380:J425)+1</f>
        <v>675002</v>
      </c>
      <c r="K426" s="48">
        <f>SUM(K380:K425)+1</f>
        <v>444465</v>
      </c>
      <c r="L426" s="48">
        <f>SUM(L380:L425)+1</f>
        <v>1119466</v>
      </c>
      <c r="M426" s="32"/>
      <c r="N426" s="48">
        <f>SUM(N380:N425)+1</f>
        <v>29876</v>
      </c>
      <c r="P426" s="48">
        <f>SUM(P380:P425)+1</f>
        <v>1101409.763</v>
      </c>
      <c r="R426" s="48">
        <f t="shared" ref="R426:W426" si="270">SUM(R380:R425)</f>
        <v>383316</v>
      </c>
      <c r="S426" s="48">
        <f t="shared" si="270"/>
        <v>724799</v>
      </c>
      <c r="T426" s="48">
        <f t="shared" si="270"/>
        <v>1108115</v>
      </c>
      <c r="U426" s="48">
        <f t="shared" si="270"/>
        <v>6706.2370000000064</v>
      </c>
      <c r="V426" s="48">
        <f t="shared" si="270"/>
        <v>602946</v>
      </c>
      <c r="W426" s="48">
        <f t="shared" si="270"/>
        <v>507069</v>
      </c>
      <c r="X426" s="48"/>
      <c r="Y426" s="48">
        <f>SUM(Y380:Y425)</f>
        <v>1110015</v>
      </c>
      <c r="Z426" s="48">
        <f>SUM(Z380:Z425)</f>
        <v>1900</v>
      </c>
      <c r="AC426" s="48">
        <f>SUM(AC380:AC425)</f>
        <v>642486</v>
      </c>
      <c r="AD426" s="48">
        <f>SUM(AD380:AD425)</f>
        <v>458729</v>
      </c>
      <c r="AE426" s="48">
        <f>SUM(AE380:AE425)</f>
        <v>1101215</v>
      </c>
      <c r="AF426" s="48">
        <f>SUM(AF380:AF425)</f>
        <v>-8800</v>
      </c>
      <c r="AH426" s="36">
        <f>SUM(AH380:AH425)</f>
        <v>1159542.1500000001</v>
      </c>
      <c r="AI426" s="32"/>
      <c r="AJ426" s="48">
        <f>SUM(AJ380:AJ425)</f>
        <v>361869</v>
      </c>
      <c r="AK426" s="48">
        <f>SUM(AK380:AK425)</f>
        <v>813991</v>
      </c>
      <c r="AL426" s="48">
        <f>SUM(AL380:AL425)</f>
        <v>1175860</v>
      </c>
      <c r="AM426" s="48">
        <f>SUM(AM380:AM425)</f>
        <v>16317.849999999995</v>
      </c>
      <c r="AN426" s="32"/>
      <c r="AO426" s="48">
        <f>SUM(AO380:AO425)</f>
        <v>1174333.8004500002</v>
      </c>
      <c r="AQ426" s="48">
        <f>SUM(AQ380:AQ425)</f>
        <v>1209705.696888695</v>
      </c>
      <c r="AS426" s="48">
        <f>SUM(AS380:AS425)</f>
        <v>1204097.1136234584</v>
      </c>
      <c r="AT426" s="48"/>
      <c r="AU426" s="48">
        <f>SUM(AU380:AU425)</f>
        <v>1231959.4423691875</v>
      </c>
      <c r="AW426" s="48">
        <f>SUM(AW380:AW425)</f>
        <v>1268955.4162569358</v>
      </c>
      <c r="AY426" s="48">
        <f>SUM(AY380:AY425)</f>
        <v>1166564.491573208</v>
      </c>
      <c r="BA426" s="48">
        <f>SUM(BA380:BA425)</f>
        <v>1191135.2091122407</v>
      </c>
      <c r="BC426" s="48">
        <f>SUM(BC380:BC425)</f>
        <v>1225198.8763981324</v>
      </c>
      <c r="BE426" s="48">
        <f>SUM(BE380:BE425)</f>
        <v>1260285.3103938303</v>
      </c>
    </row>
    <row r="427" spans="1:57" x14ac:dyDescent="0.25">
      <c r="A427" s="3"/>
      <c r="B427" s="8" t="s">
        <v>8</v>
      </c>
      <c r="C427" s="9"/>
      <c r="D427" s="10" t="s">
        <v>9</v>
      </c>
      <c r="E427" s="11" t="s">
        <v>10</v>
      </c>
      <c r="F427" s="12" t="s">
        <v>11</v>
      </c>
      <c r="G427" s="9"/>
      <c r="H427" s="8" t="s">
        <v>12</v>
      </c>
      <c r="I427" s="13"/>
      <c r="J427" s="10" t="s">
        <v>9</v>
      </c>
      <c r="K427" s="11" t="s">
        <v>10</v>
      </c>
      <c r="L427" s="11" t="s">
        <v>11</v>
      </c>
      <c r="M427" s="9"/>
      <c r="N427" s="11" t="s">
        <v>12</v>
      </c>
      <c r="P427" s="12" t="s">
        <v>8</v>
      </c>
      <c r="R427" s="14" t="s">
        <v>9</v>
      </c>
      <c r="S427" s="15" t="s">
        <v>10</v>
      </c>
      <c r="T427" s="16" t="s">
        <v>11</v>
      </c>
      <c r="U427" s="17" t="s">
        <v>13</v>
      </c>
      <c r="V427" s="14" t="s">
        <v>9</v>
      </c>
      <c r="W427" s="15" t="s">
        <v>10</v>
      </c>
      <c r="X427" s="15"/>
      <c r="Y427" s="16" t="s">
        <v>11</v>
      </c>
      <c r="Z427" s="17" t="s">
        <v>13</v>
      </c>
      <c r="AC427" s="14" t="s">
        <v>9</v>
      </c>
      <c r="AD427" s="15" t="s">
        <v>10</v>
      </c>
      <c r="AE427" s="16" t="s">
        <v>11</v>
      </c>
      <c r="AF427" s="15" t="s">
        <v>13</v>
      </c>
      <c r="AH427" s="13" t="s">
        <v>8</v>
      </c>
      <c r="AI427" s="9"/>
      <c r="AJ427" s="11" t="s">
        <v>9</v>
      </c>
      <c r="AK427" s="11" t="s">
        <v>10</v>
      </c>
      <c r="AL427" s="12" t="s">
        <v>11</v>
      </c>
      <c r="AM427" s="10" t="s">
        <v>13</v>
      </c>
      <c r="AN427" s="9"/>
      <c r="AO427" s="12" t="s">
        <v>8</v>
      </c>
      <c r="AQ427" s="8" t="s">
        <v>8</v>
      </c>
      <c r="AS427" s="8" t="s">
        <v>8</v>
      </c>
      <c r="AT427" s="8"/>
      <c r="AU427" s="8" t="s">
        <v>8</v>
      </c>
      <c r="AW427" s="8" t="s">
        <v>8</v>
      </c>
      <c r="AY427" s="8" t="s">
        <v>8</v>
      </c>
      <c r="BA427" s="8" t="s">
        <v>8</v>
      </c>
      <c r="BC427" s="8" t="s">
        <v>8</v>
      </c>
      <c r="BE427" s="8" t="s">
        <v>8</v>
      </c>
    </row>
    <row r="428" spans="1:57" ht="15.75" thickBot="1" x14ac:dyDescent="0.3">
      <c r="A428" s="3"/>
      <c r="B428" s="19" t="s">
        <v>14</v>
      </c>
      <c r="C428" s="9"/>
      <c r="D428" s="20" t="s">
        <v>15</v>
      </c>
      <c r="E428" s="21"/>
      <c r="F428" s="22" t="s">
        <v>16</v>
      </c>
      <c r="G428" s="9"/>
      <c r="H428" s="19"/>
      <c r="I428" s="13"/>
      <c r="J428" s="20" t="s">
        <v>17</v>
      </c>
      <c r="K428" s="21"/>
      <c r="L428" s="21" t="s">
        <v>16</v>
      </c>
      <c r="M428" s="9"/>
      <c r="N428" s="21"/>
      <c r="P428" s="22" t="s">
        <v>18</v>
      </c>
      <c r="R428" s="23" t="s">
        <v>19</v>
      </c>
      <c r="S428" s="24"/>
      <c r="T428" s="25" t="s">
        <v>20</v>
      </c>
      <c r="U428" s="26"/>
      <c r="V428" s="23" t="s">
        <v>21</v>
      </c>
      <c r="W428" s="24"/>
      <c r="X428" s="24"/>
      <c r="Y428" s="25" t="s">
        <v>21</v>
      </c>
      <c r="Z428" s="26"/>
      <c r="AC428" s="23" t="s">
        <v>22</v>
      </c>
      <c r="AD428" s="24"/>
      <c r="AE428" s="25" t="s">
        <v>23</v>
      </c>
      <c r="AF428" s="24"/>
      <c r="AH428" s="13" t="s">
        <v>24</v>
      </c>
      <c r="AI428" s="9"/>
      <c r="AJ428" s="21" t="s">
        <v>1144</v>
      </c>
      <c r="AK428" s="21"/>
      <c r="AL428" s="22" t="s">
        <v>1144</v>
      </c>
      <c r="AM428" s="20"/>
      <c r="AN428" s="9"/>
      <c r="AO428" s="22" t="s">
        <v>25</v>
      </c>
      <c r="AQ428" s="19" t="s">
        <v>26</v>
      </c>
      <c r="AS428" s="19" t="s">
        <v>27</v>
      </c>
      <c r="AT428" s="19"/>
      <c r="AU428" s="19" t="s">
        <v>28</v>
      </c>
      <c r="AW428" s="19" t="s">
        <v>29</v>
      </c>
      <c r="AY428" s="19" t="s">
        <v>30</v>
      </c>
      <c r="BA428" s="19" t="s">
        <v>31</v>
      </c>
      <c r="BC428" s="19" t="str">
        <f>BC4</f>
        <v>2021-22</v>
      </c>
      <c r="BE428" s="19" t="str">
        <f>BE4</f>
        <v>2022-23</v>
      </c>
    </row>
    <row r="429" spans="1:57" x14ac:dyDescent="0.25">
      <c r="A429" s="7" t="s">
        <v>67</v>
      </c>
      <c r="AH429" s="4"/>
    </row>
    <row r="430" spans="1:57" x14ac:dyDescent="0.25">
      <c r="A430" s="3" t="s">
        <v>346</v>
      </c>
      <c r="B430" s="3">
        <v>282500</v>
      </c>
      <c r="D430" s="3">
        <f>81656</f>
        <v>81656</v>
      </c>
      <c r="E430" s="3">
        <f t="shared" ref="E430:E448" si="271">F430-D430</f>
        <v>204344</v>
      </c>
      <c r="F430" s="5">
        <v>286000</v>
      </c>
      <c r="H430" s="5">
        <f t="shared" ref="H430:H448" si="272">F430-B430</f>
        <v>3500</v>
      </c>
      <c r="J430" s="5">
        <v>159795</v>
      </c>
      <c r="K430" s="4">
        <f t="shared" ref="K430:K459" si="273">L430-J430</f>
        <v>128205</v>
      </c>
      <c r="L430" s="4">
        <v>288000</v>
      </c>
      <c r="N430" s="4">
        <f t="shared" ref="N430:N459" si="274">L430-F430</f>
        <v>2000</v>
      </c>
      <c r="P430" s="3">
        <f>L430*1.0275-20+2100</f>
        <v>298000</v>
      </c>
      <c r="Q430" s="3"/>
      <c r="R430" s="3">
        <v>70874</v>
      </c>
      <c r="S430" s="3">
        <f t="shared" ref="S430:S459" si="275">T430-R430</f>
        <v>227126</v>
      </c>
      <c r="T430" s="3">
        <v>298000</v>
      </c>
      <c r="U430" s="3">
        <f t="shared" ref="U430:U459" si="276">T430-P430</f>
        <v>0</v>
      </c>
      <c r="V430" s="3">
        <v>146107</v>
      </c>
      <c r="W430" s="3">
        <f t="shared" ref="W430:W459" si="277">Y430-V430</f>
        <v>153893</v>
      </c>
      <c r="X430" s="3"/>
      <c r="Y430" s="3">
        <v>300000</v>
      </c>
      <c r="Z430" s="3">
        <f t="shared" ref="Z430:Z459" si="278">Y430-T430</f>
        <v>2000</v>
      </c>
      <c r="AA430" s="3"/>
      <c r="AB430" s="3"/>
      <c r="AC430" s="3">
        <v>252539</v>
      </c>
      <c r="AD430" s="3">
        <f t="shared" si="246"/>
        <v>72461</v>
      </c>
      <c r="AE430" s="3">
        <v>325000</v>
      </c>
      <c r="AF430" s="3">
        <f t="shared" ref="AF430:AF458" si="279">AE430-Y430</f>
        <v>25000</v>
      </c>
      <c r="AG430" s="4"/>
      <c r="AH430" s="4">
        <v>329100</v>
      </c>
      <c r="AJ430" s="3">
        <f>81558+1322</f>
        <v>82880</v>
      </c>
      <c r="AK430" s="3">
        <f t="shared" ref="AK430:AK459" si="280">AL430-AJ430</f>
        <v>246220</v>
      </c>
      <c r="AL430" s="3">
        <v>329100</v>
      </c>
      <c r="AM430" s="3">
        <f t="shared" ref="AM430:AM459" si="281">AL430-AH430</f>
        <v>0</v>
      </c>
      <c r="AO430" s="3">
        <f t="shared" ref="AO430:AO438" si="282">AH430*1.03</f>
        <v>338973</v>
      </c>
      <c r="AP430" s="3"/>
      <c r="AQ430" s="3">
        <f t="shared" ref="AQ430:AQ447" si="283">AO430*1.03</f>
        <v>349142.19</v>
      </c>
      <c r="AR430" s="3"/>
      <c r="AS430" s="3">
        <f t="shared" ref="AS430:AS447" si="284">AQ430*1.03</f>
        <v>359616.45569999999</v>
      </c>
      <c r="AT430" s="3"/>
      <c r="AU430" s="3">
        <f t="shared" ref="AU430:AU447" si="285">AS430*1.03</f>
        <v>370404.949371</v>
      </c>
      <c r="AV430" s="3"/>
      <c r="AW430" s="3">
        <f t="shared" ref="AW430:AW447" si="286">AU430*1.03</f>
        <v>381517.09785213001</v>
      </c>
      <c r="AX430" s="3"/>
      <c r="AY430" s="3">
        <f t="shared" ref="AY430:AY447" si="287">AW430*1.03</f>
        <v>392962.61078769393</v>
      </c>
      <c r="AZ430" s="3"/>
      <c r="BA430" s="3">
        <f t="shared" ref="BA430:BA447" si="288">AY430*1.03</f>
        <v>404751.48911132477</v>
      </c>
      <c r="BB430" s="3"/>
      <c r="BC430" s="3">
        <f t="shared" ref="BC430:BC447" si="289">BA430*1.03</f>
        <v>416894.03378466453</v>
      </c>
      <c r="BE430" s="3">
        <f t="shared" ref="BE430:BE447" si="290">BC430*1.03</f>
        <v>429400.8547982045</v>
      </c>
    </row>
    <row r="431" spans="1:57" x14ac:dyDescent="0.25">
      <c r="A431" s="3" t="s">
        <v>347</v>
      </c>
      <c r="B431" s="3">
        <v>109000</v>
      </c>
      <c r="D431" s="3">
        <v>17288</v>
      </c>
      <c r="E431" s="3">
        <f t="shared" si="271"/>
        <v>91712</v>
      </c>
      <c r="F431" s="5">
        <v>109000</v>
      </c>
      <c r="H431" s="5">
        <f t="shared" si="272"/>
        <v>0</v>
      </c>
      <c r="J431" s="5">
        <v>30074</v>
      </c>
      <c r="K431" s="4">
        <f t="shared" si="273"/>
        <v>78926</v>
      </c>
      <c r="L431" s="4">
        <v>109000</v>
      </c>
      <c r="N431" s="4">
        <f t="shared" si="274"/>
        <v>0</v>
      </c>
      <c r="P431" s="3">
        <v>114000</v>
      </c>
      <c r="Q431" s="3"/>
      <c r="R431" s="3">
        <v>31270</v>
      </c>
      <c r="S431" s="3">
        <f t="shared" si="275"/>
        <v>82730</v>
      </c>
      <c r="T431" s="3">
        <v>114000</v>
      </c>
      <c r="U431" s="3">
        <f t="shared" si="276"/>
        <v>0</v>
      </c>
      <c r="V431" s="3">
        <v>40410</v>
      </c>
      <c r="W431" s="3">
        <f t="shared" si="277"/>
        <v>73590</v>
      </c>
      <c r="X431" s="3"/>
      <c r="Y431" s="3">
        <v>114000</v>
      </c>
      <c r="Z431" s="3">
        <f t="shared" si="278"/>
        <v>0</v>
      </c>
      <c r="AA431" s="3"/>
      <c r="AB431" s="3"/>
      <c r="AC431" s="3">
        <v>69260</v>
      </c>
      <c r="AD431" s="3">
        <f t="shared" si="246"/>
        <v>44740</v>
      </c>
      <c r="AE431" s="3">
        <v>114000</v>
      </c>
      <c r="AF431" s="3">
        <f t="shared" si="279"/>
        <v>0</v>
      </c>
      <c r="AG431" s="4"/>
      <c r="AH431" s="4">
        <v>117700</v>
      </c>
      <c r="AJ431" s="3">
        <v>15337</v>
      </c>
      <c r="AK431" s="3">
        <f t="shared" si="280"/>
        <v>102363</v>
      </c>
      <c r="AL431" s="3">
        <v>117700</v>
      </c>
      <c r="AM431" s="3">
        <f t="shared" si="281"/>
        <v>0</v>
      </c>
      <c r="AO431" s="3">
        <f t="shared" si="282"/>
        <v>121231</v>
      </c>
      <c r="AP431" s="3"/>
      <c r="AQ431" s="3">
        <f t="shared" si="283"/>
        <v>124867.93000000001</v>
      </c>
      <c r="AR431" s="3"/>
      <c r="AS431" s="3">
        <f t="shared" si="284"/>
        <v>128613.96790000002</v>
      </c>
      <c r="AT431" s="3"/>
      <c r="AU431" s="3">
        <f t="shared" si="285"/>
        <v>132472.38693700003</v>
      </c>
      <c r="AV431" s="3"/>
      <c r="AW431" s="3">
        <f t="shared" si="286"/>
        <v>136446.55854511005</v>
      </c>
      <c r="AX431" s="3"/>
      <c r="AY431" s="3">
        <f t="shared" si="287"/>
        <v>140539.95530146334</v>
      </c>
      <c r="AZ431" s="3"/>
      <c r="BA431" s="3">
        <f t="shared" si="288"/>
        <v>144756.15396050725</v>
      </c>
      <c r="BB431" s="3"/>
      <c r="BC431" s="3">
        <f t="shared" si="289"/>
        <v>149098.83857932247</v>
      </c>
      <c r="BE431" s="3">
        <f t="shared" si="290"/>
        <v>153571.80373670216</v>
      </c>
    </row>
    <row r="432" spans="1:57" x14ac:dyDescent="0.25">
      <c r="A432" s="3" t="s">
        <v>348</v>
      </c>
      <c r="B432" s="3">
        <v>42500</v>
      </c>
      <c r="D432" s="3">
        <v>14920</v>
      </c>
      <c r="E432" s="3">
        <f t="shared" si="271"/>
        <v>27580</v>
      </c>
      <c r="F432" s="5">
        <v>42500</v>
      </c>
      <c r="H432" s="5">
        <f t="shared" si="272"/>
        <v>0</v>
      </c>
      <c r="J432" s="5">
        <v>19137</v>
      </c>
      <c r="K432" s="4">
        <f t="shared" si="273"/>
        <v>23363</v>
      </c>
      <c r="L432" s="4">
        <v>42500</v>
      </c>
      <c r="N432" s="4">
        <f t="shared" si="274"/>
        <v>0</v>
      </c>
      <c r="P432" s="3">
        <v>45000</v>
      </c>
      <c r="Q432" s="3"/>
      <c r="R432" s="3">
        <v>21738</v>
      </c>
      <c r="S432" s="3">
        <f t="shared" si="275"/>
        <v>23262</v>
      </c>
      <c r="T432" s="3">
        <v>45000</v>
      </c>
      <c r="U432" s="3">
        <f t="shared" si="276"/>
        <v>0</v>
      </c>
      <c r="V432" s="3">
        <v>27340</v>
      </c>
      <c r="W432" s="3">
        <f t="shared" si="277"/>
        <v>17660</v>
      </c>
      <c r="X432" s="3"/>
      <c r="Y432" s="3">
        <v>45000</v>
      </c>
      <c r="Z432" s="3">
        <f t="shared" si="278"/>
        <v>0</v>
      </c>
      <c r="AA432" s="3"/>
      <c r="AB432" s="3"/>
      <c r="AC432" s="3">
        <v>36232</v>
      </c>
      <c r="AD432" s="3">
        <f t="shared" si="246"/>
        <v>8768</v>
      </c>
      <c r="AE432" s="3">
        <v>45000</v>
      </c>
      <c r="AF432" s="3">
        <f t="shared" si="279"/>
        <v>0</v>
      </c>
      <c r="AG432" s="4"/>
      <c r="AH432" s="4">
        <v>46500</v>
      </c>
      <c r="AJ432" s="3">
        <v>7680</v>
      </c>
      <c r="AK432" s="3">
        <f t="shared" si="280"/>
        <v>38820</v>
      </c>
      <c r="AL432" s="3">
        <v>46500</v>
      </c>
      <c r="AM432" s="3">
        <f t="shared" si="281"/>
        <v>0</v>
      </c>
      <c r="AO432" s="3">
        <f t="shared" si="282"/>
        <v>47895</v>
      </c>
      <c r="AP432" s="3"/>
      <c r="AQ432" s="3">
        <f t="shared" si="283"/>
        <v>49331.85</v>
      </c>
      <c r="AR432" s="3"/>
      <c r="AS432" s="3">
        <f t="shared" si="284"/>
        <v>50811.805500000002</v>
      </c>
      <c r="AT432" s="3"/>
      <c r="AU432" s="3">
        <f t="shared" si="285"/>
        <v>52336.159665000006</v>
      </c>
      <c r="AV432" s="3"/>
      <c r="AW432" s="3">
        <f t="shared" si="286"/>
        <v>53906.244454950007</v>
      </c>
      <c r="AX432" s="3"/>
      <c r="AY432" s="3">
        <f t="shared" si="287"/>
        <v>55523.431788598507</v>
      </c>
      <c r="AZ432" s="3"/>
      <c r="BA432" s="3">
        <f t="shared" si="288"/>
        <v>57189.134742256465</v>
      </c>
      <c r="BB432" s="3"/>
      <c r="BC432" s="3">
        <f t="shared" si="289"/>
        <v>58904.808784524161</v>
      </c>
      <c r="BE432" s="3">
        <f t="shared" si="290"/>
        <v>60671.953048059884</v>
      </c>
    </row>
    <row r="433" spans="1:57" x14ac:dyDescent="0.25">
      <c r="A433" s="3" t="s">
        <v>349</v>
      </c>
      <c r="B433" s="3">
        <v>40000</v>
      </c>
      <c r="D433" s="3">
        <v>31559</v>
      </c>
      <c r="E433" s="3">
        <f t="shared" si="271"/>
        <v>17441</v>
      </c>
      <c r="F433" s="5">
        <v>49000</v>
      </c>
      <c r="H433" s="5">
        <f t="shared" si="272"/>
        <v>9000</v>
      </c>
      <c r="J433" s="5">
        <v>42490</v>
      </c>
      <c r="K433" s="4">
        <f t="shared" si="273"/>
        <v>12510</v>
      </c>
      <c r="L433" s="4">
        <v>55000</v>
      </c>
      <c r="N433" s="4">
        <f t="shared" si="274"/>
        <v>6000</v>
      </c>
      <c r="P433" s="3">
        <f>L433*1.0275-13</f>
        <v>56499.500000000007</v>
      </c>
      <c r="Q433" s="3"/>
      <c r="R433" s="3">
        <v>41801</v>
      </c>
      <c r="S433" s="3">
        <f t="shared" si="275"/>
        <v>53199</v>
      </c>
      <c r="T433" s="3">
        <v>95000</v>
      </c>
      <c r="U433" s="3">
        <f t="shared" si="276"/>
        <v>38500.499999999993</v>
      </c>
      <c r="V433" s="3">
        <v>42528</v>
      </c>
      <c r="W433" s="3">
        <f t="shared" si="277"/>
        <v>52472</v>
      </c>
      <c r="X433" s="3"/>
      <c r="Y433" s="3">
        <v>95000</v>
      </c>
      <c r="Z433" s="3">
        <f t="shared" si="278"/>
        <v>0</v>
      </c>
      <c r="AA433" s="3"/>
      <c r="AB433" s="3"/>
      <c r="AC433" s="3">
        <v>43387</v>
      </c>
      <c r="AD433" s="3">
        <f t="shared" si="246"/>
        <v>51613</v>
      </c>
      <c r="AE433" s="3">
        <v>95000</v>
      </c>
      <c r="AF433" s="3">
        <f t="shared" si="279"/>
        <v>0</v>
      </c>
      <c r="AG433" s="4"/>
      <c r="AH433" s="4">
        <v>68000</v>
      </c>
      <c r="AJ433" s="3">
        <v>768</v>
      </c>
      <c r="AK433" s="3">
        <f t="shared" si="280"/>
        <v>67232</v>
      </c>
      <c r="AL433" s="3">
        <v>68000</v>
      </c>
      <c r="AM433" s="3">
        <f t="shared" si="281"/>
        <v>0</v>
      </c>
      <c r="AO433" s="3">
        <f t="shared" si="282"/>
        <v>70040</v>
      </c>
      <c r="AP433" s="3"/>
      <c r="AQ433" s="3">
        <f t="shared" si="283"/>
        <v>72141.2</v>
      </c>
      <c r="AR433" s="3"/>
      <c r="AS433" s="3">
        <f t="shared" si="284"/>
        <v>74305.436000000002</v>
      </c>
      <c r="AT433" s="3"/>
      <c r="AU433" s="3">
        <f t="shared" si="285"/>
        <v>76534.59908</v>
      </c>
      <c r="AV433" s="3"/>
      <c r="AW433" s="3">
        <f t="shared" si="286"/>
        <v>78830.637052400009</v>
      </c>
      <c r="AX433" s="3"/>
      <c r="AY433" s="3">
        <f t="shared" si="287"/>
        <v>81195.556163972011</v>
      </c>
      <c r="AZ433" s="3"/>
      <c r="BA433" s="3">
        <f t="shared" si="288"/>
        <v>83631.422848891176</v>
      </c>
      <c r="BB433" s="3"/>
      <c r="BC433" s="3">
        <f t="shared" si="289"/>
        <v>86140.365534357916</v>
      </c>
      <c r="BE433" s="3">
        <f t="shared" si="290"/>
        <v>88724.576500388663</v>
      </c>
    </row>
    <row r="434" spans="1:57" x14ac:dyDescent="0.25">
      <c r="A434" s="3" t="s">
        <v>350</v>
      </c>
      <c r="B434" s="3">
        <v>39800</v>
      </c>
      <c r="D434" s="3">
        <v>0</v>
      </c>
      <c r="E434" s="3">
        <f t="shared" si="271"/>
        <v>41000</v>
      </c>
      <c r="F434" s="5">
        <v>41000</v>
      </c>
      <c r="H434" s="5">
        <f t="shared" si="272"/>
        <v>1200</v>
      </c>
      <c r="J434" s="5">
        <v>6504</v>
      </c>
      <c r="K434" s="4">
        <f t="shared" si="273"/>
        <v>36496</v>
      </c>
      <c r="L434" s="4">
        <v>43000</v>
      </c>
      <c r="N434" s="4">
        <f t="shared" si="274"/>
        <v>2000</v>
      </c>
      <c r="P434" s="3">
        <f>L434*1.0275+17</f>
        <v>44199.5</v>
      </c>
      <c r="Q434" s="3"/>
      <c r="R434" s="3">
        <v>2435</v>
      </c>
      <c r="S434" s="3">
        <f t="shared" si="275"/>
        <v>41765</v>
      </c>
      <c r="T434" s="3">
        <v>44200</v>
      </c>
      <c r="U434" s="3">
        <f t="shared" si="276"/>
        <v>0.5</v>
      </c>
      <c r="V434" s="3">
        <v>6379</v>
      </c>
      <c r="W434" s="3">
        <f t="shared" si="277"/>
        <v>37821</v>
      </c>
      <c r="X434" s="3"/>
      <c r="Y434" s="3">
        <v>44200</v>
      </c>
      <c r="Z434" s="3">
        <f t="shared" si="278"/>
        <v>0</v>
      </c>
      <c r="AA434" s="3"/>
      <c r="AB434" s="3"/>
      <c r="AC434" s="3">
        <v>24624</v>
      </c>
      <c r="AD434" s="3">
        <f t="shared" si="246"/>
        <v>19576</v>
      </c>
      <c r="AE434" s="3">
        <v>44200</v>
      </c>
      <c r="AF434" s="3">
        <f t="shared" si="279"/>
        <v>0</v>
      </c>
      <c r="AG434" s="4"/>
      <c r="AH434" s="4">
        <v>45700</v>
      </c>
      <c r="AJ434" s="3">
        <v>3658</v>
      </c>
      <c r="AK434" s="3">
        <f t="shared" si="280"/>
        <v>42042</v>
      </c>
      <c r="AL434" s="3">
        <v>45700</v>
      </c>
      <c r="AM434" s="3">
        <f t="shared" si="281"/>
        <v>0</v>
      </c>
      <c r="AO434" s="3">
        <f t="shared" si="282"/>
        <v>47071</v>
      </c>
      <c r="AP434" s="3"/>
      <c r="AQ434" s="3">
        <f t="shared" si="283"/>
        <v>48483.130000000005</v>
      </c>
      <c r="AR434" s="3"/>
      <c r="AS434" s="3">
        <f t="shared" si="284"/>
        <v>49937.623900000006</v>
      </c>
      <c r="AT434" s="3"/>
      <c r="AU434" s="3">
        <f t="shared" si="285"/>
        <v>51435.752617000006</v>
      </c>
      <c r="AV434" s="3"/>
      <c r="AW434" s="3">
        <f t="shared" si="286"/>
        <v>52978.825195510006</v>
      </c>
      <c r="AX434" s="3"/>
      <c r="AY434" s="3">
        <f t="shared" si="287"/>
        <v>54568.189951375309</v>
      </c>
      <c r="AZ434" s="3"/>
      <c r="BA434" s="3">
        <f t="shared" si="288"/>
        <v>56205.235649916569</v>
      </c>
      <c r="BB434" s="3"/>
      <c r="BC434" s="3">
        <f t="shared" si="289"/>
        <v>57891.392719414071</v>
      </c>
      <c r="BE434" s="3">
        <f t="shared" si="290"/>
        <v>59628.134500996493</v>
      </c>
    </row>
    <row r="435" spans="1:57" x14ac:dyDescent="0.25">
      <c r="A435" s="3" t="s">
        <v>351</v>
      </c>
      <c r="B435" s="3">
        <v>5000</v>
      </c>
      <c r="D435" s="3">
        <v>-2292</v>
      </c>
      <c r="E435" s="3">
        <f t="shared" si="271"/>
        <v>6292</v>
      </c>
      <c r="F435" s="5">
        <v>4000</v>
      </c>
      <c r="H435" s="5">
        <f t="shared" si="272"/>
        <v>-1000</v>
      </c>
      <c r="J435" s="5">
        <v>-1270</v>
      </c>
      <c r="K435" s="4">
        <f t="shared" si="273"/>
        <v>4270</v>
      </c>
      <c r="L435" s="4">
        <v>3000</v>
      </c>
      <c r="N435" s="4">
        <f t="shared" si="274"/>
        <v>-1000</v>
      </c>
      <c r="P435" s="3">
        <f>L435*1.0275+17</f>
        <v>3099.5000000000005</v>
      </c>
      <c r="Q435" s="3"/>
      <c r="R435" s="3">
        <v>276</v>
      </c>
      <c r="S435" s="3">
        <f t="shared" si="275"/>
        <v>2724</v>
      </c>
      <c r="T435" s="3">
        <v>3000</v>
      </c>
      <c r="U435" s="3">
        <f t="shared" si="276"/>
        <v>-99.500000000000455</v>
      </c>
      <c r="V435" s="3">
        <v>3762</v>
      </c>
      <c r="W435" s="3">
        <f t="shared" si="277"/>
        <v>-762</v>
      </c>
      <c r="X435" s="3"/>
      <c r="Y435" s="3">
        <v>3000</v>
      </c>
      <c r="Z435" s="3">
        <f t="shared" si="278"/>
        <v>0</v>
      </c>
      <c r="AA435" s="3"/>
      <c r="AB435" s="3"/>
      <c r="AC435" s="3">
        <v>7402</v>
      </c>
      <c r="AD435" s="3">
        <f t="shared" si="246"/>
        <v>-4402</v>
      </c>
      <c r="AE435" s="3">
        <v>3000</v>
      </c>
      <c r="AF435" s="3">
        <f t="shared" si="279"/>
        <v>0</v>
      </c>
      <c r="AG435" s="4"/>
      <c r="AH435" s="4">
        <v>3000</v>
      </c>
      <c r="AJ435" s="3">
        <v>211</v>
      </c>
      <c r="AK435" s="3">
        <f t="shared" si="280"/>
        <v>2789</v>
      </c>
      <c r="AL435" s="3">
        <v>3000</v>
      </c>
      <c r="AM435" s="3">
        <f t="shared" si="281"/>
        <v>0</v>
      </c>
      <c r="AO435" s="3">
        <f t="shared" si="282"/>
        <v>3090</v>
      </c>
      <c r="AP435" s="3"/>
      <c r="AQ435" s="3">
        <f>AO435*1.03</f>
        <v>3182.7000000000003</v>
      </c>
      <c r="AR435" s="3"/>
      <c r="AS435" s="3">
        <f>AQ435*1.03</f>
        <v>3278.1810000000005</v>
      </c>
      <c r="AT435" s="3"/>
      <c r="AU435" s="3">
        <f>AS435*1.03</f>
        <v>3376.5264300000008</v>
      </c>
      <c r="AV435" s="3"/>
      <c r="AW435" s="3">
        <f>AU435*1.03</f>
        <v>3477.8222229000007</v>
      </c>
      <c r="AX435" s="3"/>
      <c r="AY435" s="3">
        <f>AW435*1.03</f>
        <v>3582.1568895870009</v>
      </c>
      <c r="AZ435" s="3"/>
      <c r="BA435" s="3">
        <f>AY435*1.03</f>
        <v>3689.621596274611</v>
      </c>
      <c r="BB435" s="3"/>
      <c r="BC435" s="3">
        <f>BA435*1.03</f>
        <v>3800.3102441628494</v>
      </c>
      <c r="BE435" s="3">
        <f>BC435*1.03</f>
        <v>3914.3195514877348</v>
      </c>
    </row>
    <row r="436" spans="1:57" x14ac:dyDescent="0.25">
      <c r="A436" s="3" t="s">
        <v>321</v>
      </c>
      <c r="B436" s="3">
        <v>40545</v>
      </c>
      <c r="D436" s="3">
        <v>40565</v>
      </c>
      <c r="E436" s="3">
        <f t="shared" si="271"/>
        <v>0</v>
      </c>
      <c r="F436" s="5">
        <v>40565</v>
      </c>
      <c r="H436" s="5">
        <f t="shared" si="272"/>
        <v>20</v>
      </c>
      <c r="J436" s="5">
        <v>40565</v>
      </c>
      <c r="K436" s="4">
        <f t="shared" si="273"/>
        <v>0</v>
      </c>
      <c r="L436" s="4">
        <v>40565</v>
      </c>
      <c r="N436" s="4">
        <f t="shared" si="274"/>
        <v>0</v>
      </c>
      <c r="P436" s="3">
        <f>L436*1.035+15</f>
        <v>41999.774999999994</v>
      </c>
      <c r="Q436" s="3"/>
      <c r="R436" s="3">
        <v>41985</v>
      </c>
      <c r="S436" s="3">
        <f t="shared" si="275"/>
        <v>0</v>
      </c>
      <c r="T436" s="3">
        <v>41985</v>
      </c>
      <c r="U436" s="3">
        <f t="shared" si="276"/>
        <v>-14.774999999994179</v>
      </c>
      <c r="V436" s="3">
        <v>41985</v>
      </c>
      <c r="W436" s="3">
        <f>Y436-V436</f>
        <v>0</v>
      </c>
      <c r="X436" s="3"/>
      <c r="Y436" s="3">
        <v>41985</v>
      </c>
      <c r="Z436" s="3">
        <f t="shared" si="278"/>
        <v>0</v>
      </c>
      <c r="AA436" s="3"/>
      <c r="AB436" s="3"/>
      <c r="AC436" s="3">
        <v>41985</v>
      </c>
      <c r="AD436" s="3">
        <f t="shared" si="246"/>
        <v>0</v>
      </c>
      <c r="AE436" s="3">
        <v>41985</v>
      </c>
      <c r="AF436" s="3">
        <f t="shared" si="279"/>
        <v>0</v>
      </c>
      <c r="AG436" s="4"/>
      <c r="AH436" s="4">
        <f>AE436*1.0325</f>
        <v>43349.512499999997</v>
      </c>
      <c r="AJ436" s="3">
        <v>43412</v>
      </c>
      <c r="AK436" s="3">
        <f t="shared" si="280"/>
        <v>3</v>
      </c>
      <c r="AL436" s="3">
        <v>43415</v>
      </c>
      <c r="AM436" s="3">
        <f t="shared" si="281"/>
        <v>65.48750000000291</v>
      </c>
      <c r="AO436" s="3">
        <f t="shared" si="282"/>
        <v>44649.997875000001</v>
      </c>
      <c r="AP436" s="3"/>
      <c r="AQ436" s="3">
        <f t="shared" si="283"/>
        <v>45989.497811250003</v>
      </c>
      <c r="AR436" s="3"/>
      <c r="AS436" s="3">
        <f t="shared" si="284"/>
        <v>47369.182745587503</v>
      </c>
      <c r="AT436" s="3"/>
      <c r="AU436" s="3">
        <f t="shared" si="285"/>
        <v>48790.258227955128</v>
      </c>
      <c r="AV436" s="3"/>
      <c r="AW436" s="3">
        <f t="shared" si="286"/>
        <v>50253.965974793784</v>
      </c>
      <c r="AX436" s="3"/>
      <c r="AY436" s="3">
        <f t="shared" si="287"/>
        <v>51761.5849540376</v>
      </c>
      <c r="AZ436" s="3"/>
      <c r="BA436" s="3">
        <f t="shared" si="288"/>
        <v>53314.432502658732</v>
      </c>
      <c r="BB436" s="3"/>
      <c r="BC436" s="3">
        <f t="shared" si="289"/>
        <v>54913.865477738495</v>
      </c>
      <c r="BE436" s="3">
        <f t="shared" si="290"/>
        <v>56561.281442070649</v>
      </c>
    </row>
    <row r="437" spans="1:57" x14ac:dyDescent="0.25">
      <c r="A437" s="3" t="s">
        <v>352</v>
      </c>
      <c r="B437" s="3">
        <v>2000</v>
      </c>
      <c r="D437" s="3">
        <v>0</v>
      </c>
      <c r="E437" s="3">
        <f t="shared" si="271"/>
        <v>2000</v>
      </c>
      <c r="F437" s="5">
        <v>2000</v>
      </c>
      <c r="H437" s="5">
        <f t="shared" si="272"/>
        <v>0</v>
      </c>
      <c r="J437" s="5">
        <v>0</v>
      </c>
      <c r="K437" s="4">
        <f t="shared" si="273"/>
        <v>2000</v>
      </c>
      <c r="L437" s="4">
        <v>2000</v>
      </c>
      <c r="N437" s="4">
        <f t="shared" si="274"/>
        <v>0</v>
      </c>
      <c r="P437" s="3">
        <f>L437*1.0281+44</f>
        <v>2100.1999999999998</v>
      </c>
      <c r="Q437" s="3"/>
      <c r="R437" s="3">
        <v>0</v>
      </c>
      <c r="S437" s="3">
        <f t="shared" si="275"/>
        <v>2100</v>
      </c>
      <c r="T437" s="3">
        <v>2100</v>
      </c>
      <c r="U437" s="3">
        <f t="shared" si="276"/>
        <v>-0.1999999999998181</v>
      </c>
      <c r="V437" s="3">
        <v>39</v>
      </c>
      <c r="W437" s="3">
        <f t="shared" si="277"/>
        <v>3961</v>
      </c>
      <c r="X437" s="3"/>
      <c r="Y437" s="3">
        <v>4000</v>
      </c>
      <c r="Z437" s="3">
        <f t="shared" si="278"/>
        <v>1900</v>
      </c>
      <c r="AA437" s="3"/>
      <c r="AB437" s="3"/>
      <c r="AC437" s="3">
        <v>4045</v>
      </c>
      <c r="AD437" s="3">
        <f t="shared" si="246"/>
        <v>5</v>
      </c>
      <c r="AE437" s="3">
        <v>4050</v>
      </c>
      <c r="AF437" s="3">
        <f t="shared" si="279"/>
        <v>50</v>
      </c>
      <c r="AG437" s="4"/>
      <c r="AH437" s="4">
        <f>AE437*1.03-72-100</f>
        <v>3999.5</v>
      </c>
      <c r="AJ437" s="3">
        <v>42</v>
      </c>
      <c r="AK437" s="3">
        <f t="shared" si="280"/>
        <v>3958</v>
      </c>
      <c r="AL437" s="3">
        <v>4000</v>
      </c>
      <c r="AM437" s="3">
        <f t="shared" si="281"/>
        <v>0.5</v>
      </c>
      <c r="AO437" s="3">
        <f t="shared" si="282"/>
        <v>4119.4849999999997</v>
      </c>
      <c r="AP437" s="3"/>
      <c r="AQ437" s="3">
        <f t="shared" si="283"/>
        <v>4243.0695500000002</v>
      </c>
      <c r="AR437" s="3"/>
      <c r="AS437" s="3">
        <f t="shared" si="284"/>
        <v>4370.3616365000007</v>
      </c>
      <c r="AT437" s="3"/>
      <c r="AU437" s="3">
        <f t="shared" si="285"/>
        <v>4501.4724855950008</v>
      </c>
      <c r="AV437" s="3"/>
      <c r="AW437" s="3">
        <f t="shared" si="286"/>
        <v>4636.5166601628507</v>
      </c>
      <c r="AX437" s="3"/>
      <c r="AY437" s="3">
        <f t="shared" si="287"/>
        <v>4775.6121599677363</v>
      </c>
      <c r="AZ437" s="3"/>
      <c r="BA437" s="3">
        <f t="shared" si="288"/>
        <v>4918.8805247667688</v>
      </c>
      <c r="BB437" s="3"/>
      <c r="BC437" s="3">
        <f t="shared" si="289"/>
        <v>5066.4469405097716</v>
      </c>
      <c r="BE437" s="3">
        <f t="shared" si="290"/>
        <v>5218.4403487250647</v>
      </c>
    </row>
    <row r="438" spans="1:57" x14ac:dyDescent="0.25">
      <c r="A438" s="3" t="s">
        <v>299</v>
      </c>
      <c r="B438" s="3">
        <v>21000</v>
      </c>
      <c r="D438" s="3">
        <v>4159</v>
      </c>
      <c r="E438" s="3">
        <f t="shared" si="271"/>
        <v>15841</v>
      </c>
      <c r="F438" s="5">
        <v>20000</v>
      </c>
      <c r="H438" s="5">
        <f t="shared" si="272"/>
        <v>-1000</v>
      </c>
      <c r="J438" s="5">
        <v>8553</v>
      </c>
      <c r="K438" s="4">
        <f t="shared" si="273"/>
        <v>11447</v>
      </c>
      <c r="L438" s="4">
        <v>20000</v>
      </c>
      <c r="N438" s="4">
        <f t="shared" si="274"/>
        <v>0</v>
      </c>
      <c r="P438" s="3">
        <f>L438*1.0281+1438</f>
        <v>22000</v>
      </c>
      <c r="Q438" s="3"/>
      <c r="R438" s="3">
        <v>3254</v>
      </c>
      <c r="S438" s="3">
        <f t="shared" si="275"/>
        <v>18746</v>
      </c>
      <c r="T438" s="3">
        <v>22000</v>
      </c>
      <c r="U438" s="3">
        <f t="shared" si="276"/>
        <v>0</v>
      </c>
      <c r="V438" s="3">
        <v>4616</v>
      </c>
      <c r="W438" s="3">
        <f t="shared" si="277"/>
        <v>17384</v>
      </c>
      <c r="X438" s="3"/>
      <c r="Y438" s="3">
        <v>22000</v>
      </c>
      <c r="Z438" s="3">
        <f t="shared" si="278"/>
        <v>0</v>
      </c>
      <c r="AA438" s="3"/>
      <c r="AB438" s="3"/>
      <c r="AC438" s="3">
        <v>16204</v>
      </c>
      <c r="AD438" s="3">
        <f t="shared" si="246"/>
        <v>5796</v>
      </c>
      <c r="AE438" s="3">
        <v>22000</v>
      </c>
      <c r="AF438" s="3">
        <f t="shared" si="279"/>
        <v>0</v>
      </c>
      <c r="AG438" s="4"/>
      <c r="AH438" s="4">
        <f>AE438*1.03+40-200</f>
        <v>22500</v>
      </c>
      <c r="AJ438" s="3">
        <v>9070</v>
      </c>
      <c r="AK438" s="3">
        <f t="shared" si="280"/>
        <v>13430</v>
      </c>
      <c r="AL438" s="3">
        <v>22500</v>
      </c>
      <c r="AM438" s="3">
        <f t="shared" si="281"/>
        <v>0</v>
      </c>
      <c r="AO438" s="3">
        <f t="shared" si="282"/>
        <v>23175</v>
      </c>
      <c r="AP438" s="3"/>
      <c r="AQ438" s="3">
        <f t="shared" si="283"/>
        <v>23870.25</v>
      </c>
      <c r="AR438" s="3"/>
      <c r="AS438" s="3">
        <f t="shared" si="284"/>
        <v>24586.357500000002</v>
      </c>
      <c r="AT438" s="3"/>
      <c r="AU438" s="3">
        <f t="shared" si="285"/>
        <v>25323.948225000004</v>
      </c>
      <c r="AV438" s="3"/>
      <c r="AW438" s="3">
        <f t="shared" si="286"/>
        <v>26083.666671750005</v>
      </c>
      <c r="AX438" s="3"/>
      <c r="AY438" s="3">
        <f t="shared" si="287"/>
        <v>26866.176671902507</v>
      </c>
      <c r="AZ438" s="3"/>
      <c r="BA438" s="3">
        <f t="shared" si="288"/>
        <v>27672.161972059585</v>
      </c>
      <c r="BB438" s="3"/>
      <c r="BC438" s="3">
        <f t="shared" si="289"/>
        <v>28502.326831221373</v>
      </c>
      <c r="BE438" s="3">
        <f t="shared" si="290"/>
        <v>29357.396636158013</v>
      </c>
    </row>
    <row r="439" spans="1:57" x14ac:dyDescent="0.25">
      <c r="A439" s="3" t="s">
        <v>353</v>
      </c>
      <c r="B439" s="3">
        <v>2000</v>
      </c>
      <c r="D439" s="3">
        <v>0</v>
      </c>
      <c r="E439" s="3">
        <f t="shared" si="271"/>
        <v>2000</v>
      </c>
      <c r="F439" s="5">
        <v>2000</v>
      </c>
      <c r="H439" s="5">
        <f t="shared" si="272"/>
        <v>0</v>
      </c>
      <c r="K439" s="4">
        <f t="shared" si="273"/>
        <v>2000</v>
      </c>
      <c r="L439" s="4">
        <v>2000</v>
      </c>
      <c r="N439" s="4">
        <f t="shared" si="274"/>
        <v>0</v>
      </c>
      <c r="P439" s="3">
        <f>L439*1.0281+44</f>
        <v>2100.1999999999998</v>
      </c>
      <c r="Q439" s="3"/>
      <c r="R439" s="3">
        <v>0</v>
      </c>
      <c r="S439" s="3">
        <f t="shared" si="275"/>
        <v>2100</v>
      </c>
      <c r="T439" s="3">
        <v>2100</v>
      </c>
      <c r="U439" s="3">
        <f t="shared" si="276"/>
        <v>-0.1999999999998181</v>
      </c>
      <c r="V439" s="3"/>
      <c r="W439" s="3">
        <f t="shared" si="277"/>
        <v>2100</v>
      </c>
      <c r="X439" s="3"/>
      <c r="Y439" s="3">
        <v>2100</v>
      </c>
      <c r="Z439" s="3">
        <f t="shared" si="278"/>
        <v>0</v>
      </c>
      <c r="AA439" s="3"/>
      <c r="AB439" s="3"/>
      <c r="AC439" s="3">
        <v>0</v>
      </c>
      <c r="AD439" s="3">
        <f t="shared" si="246"/>
        <v>2000</v>
      </c>
      <c r="AE439" s="3">
        <v>2000</v>
      </c>
      <c r="AF439" s="3">
        <f t="shared" si="279"/>
        <v>-100</v>
      </c>
      <c r="AG439" s="4"/>
      <c r="AH439" s="4">
        <f>AE439*1.03+40</f>
        <v>2100</v>
      </c>
      <c r="AJ439" s="3">
        <v>0</v>
      </c>
      <c r="AK439" s="3">
        <f t="shared" si="280"/>
        <v>2100</v>
      </c>
      <c r="AL439" s="3">
        <v>2100</v>
      </c>
      <c r="AM439" s="3">
        <f t="shared" si="281"/>
        <v>0</v>
      </c>
      <c r="AO439" s="3">
        <v>1000</v>
      </c>
      <c r="AP439" s="3"/>
      <c r="AQ439" s="3">
        <f t="shared" si="283"/>
        <v>1030</v>
      </c>
      <c r="AR439" s="3"/>
      <c r="AS439" s="3">
        <f t="shared" si="284"/>
        <v>1060.9000000000001</v>
      </c>
      <c r="AT439" s="3"/>
      <c r="AU439" s="3">
        <f t="shared" si="285"/>
        <v>1092.7270000000001</v>
      </c>
      <c r="AV439" s="3"/>
      <c r="AW439" s="3">
        <f t="shared" si="286"/>
        <v>1125.50881</v>
      </c>
      <c r="AX439" s="3"/>
      <c r="AY439" s="3">
        <f t="shared" si="287"/>
        <v>1159.2740743000002</v>
      </c>
      <c r="AZ439" s="3"/>
      <c r="BA439" s="3">
        <f t="shared" si="288"/>
        <v>1194.0522965290002</v>
      </c>
      <c r="BB439" s="3"/>
      <c r="BC439" s="3">
        <f t="shared" si="289"/>
        <v>1229.8738654248702</v>
      </c>
      <c r="BE439" s="3">
        <f t="shared" si="290"/>
        <v>1266.7700813876163</v>
      </c>
    </row>
    <row r="440" spans="1:57" x14ac:dyDescent="0.25">
      <c r="A440" s="3" t="s">
        <v>306</v>
      </c>
      <c r="B440" s="3">
        <v>15000</v>
      </c>
      <c r="D440" s="3">
        <v>6915</v>
      </c>
      <c r="E440" s="3">
        <f t="shared" si="271"/>
        <v>13085</v>
      </c>
      <c r="F440" s="5">
        <v>20000</v>
      </c>
      <c r="H440" s="5">
        <f t="shared" si="272"/>
        <v>5000</v>
      </c>
      <c r="J440" s="5">
        <v>12990</v>
      </c>
      <c r="K440" s="4">
        <f t="shared" si="273"/>
        <v>9010</v>
      </c>
      <c r="L440" s="4">
        <v>22000</v>
      </c>
      <c r="N440" s="4">
        <f t="shared" si="274"/>
        <v>2000</v>
      </c>
      <c r="P440" s="3">
        <f>L440*1.0335+13</f>
        <v>22750.000000000004</v>
      </c>
      <c r="Q440" s="3"/>
      <c r="R440" s="3">
        <v>5515</v>
      </c>
      <c r="S440" s="3">
        <f t="shared" si="275"/>
        <v>17235</v>
      </c>
      <c r="T440" s="3">
        <v>22750</v>
      </c>
      <c r="U440" s="3">
        <f t="shared" si="276"/>
        <v>0</v>
      </c>
      <c r="V440" s="3">
        <v>11730</v>
      </c>
      <c r="W440" s="3">
        <f t="shared" si="277"/>
        <v>11270</v>
      </c>
      <c r="X440" s="3"/>
      <c r="Y440" s="3">
        <v>23000</v>
      </c>
      <c r="Z440" s="3">
        <f t="shared" si="278"/>
        <v>250</v>
      </c>
      <c r="AA440" s="3"/>
      <c r="AB440" s="3"/>
      <c r="AC440" s="3">
        <v>21332</v>
      </c>
      <c r="AD440" s="3">
        <f t="shared" si="246"/>
        <v>6668</v>
      </c>
      <c r="AE440" s="3">
        <v>28000</v>
      </c>
      <c r="AF440" s="3">
        <f t="shared" si="279"/>
        <v>5000</v>
      </c>
      <c r="AG440" s="4"/>
      <c r="AH440" s="4">
        <v>27750</v>
      </c>
      <c r="AJ440" s="3">
        <v>5431</v>
      </c>
      <c r="AK440" s="3">
        <f t="shared" si="280"/>
        <v>22319</v>
      </c>
      <c r="AL440" s="3">
        <v>27750</v>
      </c>
      <c r="AM440" s="3">
        <f t="shared" si="281"/>
        <v>0</v>
      </c>
      <c r="AO440" s="3">
        <f t="shared" ref="AO440:AO447" si="291">AH440*1.03</f>
        <v>28582.5</v>
      </c>
      <c r="AP440" s="3"/>
      <c r="AQ440" s="3">
        <f t="shared" si="283"/>
        <v>29439.975000000002</v>
      </c>
      <c r="AR440" s="3"/>
      <c r="AS440" s="3">
        <f t="shared" si="284"/>
        <v>30323.174250000004</v>
      </c>
      <c r="AT440" s="3"/>
      <c r="AU440" s="3">
        <f t="shared" si="285"/>
        <v>31232.869477500004</v>
      </c>
      <c r="AV440" s="3"/>
      <c r="AW440" s="3">
        <f t="shared" si="286"/>
        <v>32169.855561825007</v>
      </c>
      <c r="AX440" s="3"/>
      <c r="AY440" s="3">
        <f t="shared" si="287"/>
        <v>33134.951228679754</v>
      </c>
      <c r="AZ440" s="3"/>
      <c r="BA440" s="3">
        <f t="shared" si="288"/>
        <v>34128.999765540146</v>
      </c>
      <c r="BB440" s="3"/>
      <c r="BC440" s="3">
        <f t="shared" si="289"/>
        <v>35152.869758506349</v>
      </c>
      <c r="BE440" s="3">
        <f t="shared" si="290"/>
        <v>36207.45585126154</v>
      </c>
    </row>
    <row r="441" spans="1:57" x14ac:dyDescent="0.25">
      <c r="A441" s="3" t="s">
        <v>317</v>
      </c>
      <c r="B441" s="3">
        <v>1000</v>
      </c>
      <c r="D441" s="3">
        <v>0</v>
      </c>
      <c r="E441" s="3">
        <f t="shared" si="271"/>
        <v>1000</v>
      </c>
      <c r="F441" s="5">
        <v>1000</v>
      </c>
      <c r="H441" s="5">
        <f t="shared" si="272"/>
        <v>0</v>
      </c>
      <c r="K441" s="4">
        <f t="shared" si="273"/>
        <v>0</v>
      </c>
      <c r="L441" s="4">
        <v>0</v>
      </c>
      <c r="N441" s="4">
        <f t="shared" si="274"/>
        <v>-1000</v>
      </c>
      <c r="P441" s="3">
        <v>1000</v>
      </c>
      <c r="Q441" s="3"/>
      <c r="R441" s="3"/>
      <c r="S441" s="3">
        <f t="shared" si="275"/>
        <v>1000</v>
      </c>
      <c r="T441" s="3">
        <v>1000</v>
      </c>
      <c r="U441" s="3">
        <f t="shared" si="276"/>
        <v>0</v>
      </c>
      <c r="V441" s="3"/>
      <c r="W441" s="3">
        <f t="shared" si="277"/>
        <v>1000</v>
      </c>
      <c r="X441" s="3"/>
      <c r="Y441" s="3">
        <v>1000</v>
      </c>
      <c r="Z441" s="3">
        <f t="shared" si="278"/>
        <v>0</v>
      </c>
      <c r="AA441" s="3"/>
      <c r="AB441" s="3"/>
      <c r="AC441" s="3">
        <v>0</v>
      </c>
      <c r="AD441" s="3">
        <f t="shared" si="246"/>
        <v>1000</v>
      </c>
      <c r="AE441" s="3">
        <v>1000</v>
      </c>
      <c r="AF441" s="3">
        <f t="shared" si="279"/>
        <v>0</v>
      </c>
      <c r="AG441" s="4"/>
      <c r="AH441" s="4">
        <f>AE441*1.03-30</f>
        <v>1000</v>
      </c>
      <c r="AJ441" s="3">
        <v>0</v>
      </c>
      <c r="AK441" s="3">
        <f t="shared" si="280"/>
        <v>1000</v>
      </c>
      <c r="AL441" s="3">
        <v>1000</v>
      </c>
      <c r="AM441" s="3">
        <f t="shared" si="281"/>
        <v>0</v>
      </c>
      <c r="AO441" s="3">
        <f t="shared" si="291"/>
        <v>1030</v>
      </c>
      <c r="AP441" s="3"/>
      <c r="AQ441" s="3">
        <f t="shared" si="283"/>
        <v>1060.9000000000001</v>
      </c>
      <c r="AR441" s="3"/>
      <c r="AS441" s="3">
        <f t="shared" si="284"/>
        <v>1092.7270000000001</v>
      </c>
      <c r="AT441" s="3"/>
      <c r="AU441" s="3">
        <f t="shared" si="285"/>
        <v>1125.50881</v>
      </c>
      <c r="AV441" s="3"/>
      <c r="AW441" s="3">
        <f t="shared" si="286"/>
        <v>1159.2740743000002</v>
      </c>
      <c r="AX441" s="3"/>
      <c r="AY441" s="3">
        <f t="shared" si="287"/>
        <v>1194.0522965290002</v>
      </c>
      <c r="AZ441" s="3"/>
      <c r="BA441" s="3">
        <f t="shared" si="288"/>
        <v>1229.8738654248702</v>
      </c>
      <c r="BB441" s="3"/>
      <c r="BC441" s="3">
        <f t="shared" si="289"/>
        <v>1266.7700813876163</v>
      </c>
      <c r="BE441" s="3">
        <f t="shared" si="290"/>
        <v>1304.7731838292448</v>
      </c>
    </row>
    <row r="442" spans="1:57" x14ac:dyDescent="0.25">
      <c r="A442" s="3" t="s">
        <v>354</v>
      </c>
      <c r="B442" s="3">
        <v>77500</v>
      </c>
      <c r="D442" s="3">
        <v>7514</v>
      </c>
      <c r="E442" s="3">
        <f t="shared" si="271"/>
        <v>44986</v>
      </c>
      <c r="F442" s="5">
        <v>52500</v>
      </c>
      <c r="H442" s="5">
        <f t="shared" si="272"/>
        <v>-25000</v>
      </c>
      <c r="J442" s="5">
        <v>15451</v>
      </c>
      <c r="K442" s="4">
        <f t="shared" si="273"/>
        <v>37049</v>
      </c>
      <c r="L442" s="4">
        <v>52500</v>
      </c>
      <c r="N442" s="4">
        <f t="shared" si="274"/>
        <v>0</v>
      </c>
      <c r="P442" s="3">
        <v>80000</v>
      </c>
      <c r="Q442" s="3"/>
      <c r="R442" s="3">
        <v>13142</v>
      </c>
      <c r="S442" s="3">
        <f t="shared" si="275"/>
        <v>66858</v>
      </c>
      <c r="T442" s="3">
        <v>80000</v>
      </c>
      <c r="U442" s="3">
        <f t="shared" si="276"/>
        <v>0</v>
      </c>
      <c r="V442" s="3">
        <v>25460</v>
      </c>
      <c r="W442" s="3">
        <f t="shared" si="277"/>
        <v>44540</v>
      </c>
      <c r="X442" s="3"/>
      <c r="Y442" s="3">
        <v>70000</v>
      </c>
      <c r="Z442" s="3">
        <f t="shared" si="278"/>
        <v>-10000</v>
      </c>
      <c r="AA442" s="3"/>
      <c r="AB442" s="3"/>
      <c r="AC442" s="3">
        <f>40105+2200</f>
        <v>42305</v>
      </c>
      <c r="AD442" s="3">
        <f t="shared" si="246"/>
        <v>15695</v>
      </c>
      <c r="AE442" s="3">
        <v>58000</v>
      </c>
      <c r="AF442" s="3">
        <f t="shared" si="279"/>
        <v>-12000</v>
      </c>
      <c r="AG442" s="4"/>
      <c r="AH442" s="4">
        <v>54000</v>
      </c>
      <c r="AJ442" s="3">
        <f>17589-1960</f>
        <v>15629</v>
      </c>
      <c r="AK442" s="3">
        <f t="shared" si="280"/>
        <v>38371</v>
      </c>
      <c r="AL442" s="3">
        <v>54000</v>
      </c>
      <c r="AM442" s="3">
        <f t="shared" si="281"/>
        <v>0</v>
      </c>
      <c r="AO442" s="3">
        <f t="shared" si="291"/>
        <v>55620</v>
      </c>
      <c r="AP442" s="3"/>
      <c r="AQ442" s="3">
        <f t="shared" si="283"/>
        <v>57288.6</v>
      </c>
      <c r="AR442" s="3"/>
      <c r="AS442" s="3">
        <f t="shared" si="284"/>
        <v>59007.258000000002</v>
      </c>
      <c r="AT442" s="3"/>
      <c r="AU442" s="3">
        <f t="shared" si="285"/>
        <v>60777.475740000002</v>
      </c>
      <c r="AV442" s="3"/>
      <c r="AW442" s="3">
        <f t="shared" si="286"/>
        <v>62600.800012200001</v>
      </c>
      <c r="AX442" s="3"/>
      <c r="AY442" s="3">
        <f t="shared" si="287"/>
        <v>64478.824012566001</v>
      </c>
      <c r="AZ442" s="3"/>
      <c r="BA442" s="3">
        <f t="shared" si="288"/>
        <v>66413.188732942988</v>
      </c>
      <c r="BB442" s="3"/>
      <c r="BC442" s="3">
        <f t="shared" si="289"/>
        <v>68405.584394931284</v>
      </c>
      <c r="BE442" s="3">
        <f t="shared" si="290"/>
        <v>70457.751926779223</v>
      </c>
    </row>
    <row r="443" spans="1:57" x14ac:dyDescent="0.25">
      <c r="A443" s="3" t="s">
        <v>355</v>
      </c>
      <c r="B443" s="3">
        <v>4000</v>
      </c>
      <c r="D443" s="3">
        <v>0</v>
      </c>
      <c r="E443" s="3">
        <f t="shared" si="271"/>
        <v>4000</v>
      </c>
      <c r="F443" s="5">
        <v>4000</v>
      </c>
      <c r="H443" s="5">
        <f t="shared" si="272"/>
        <v>0</v>
      </c>
      <c r="J443" s="5">
        <v>0</v>
      </c>
      <c r="K443" s="4">
        <f t="shared" si="273"/>
        <v>4000</v>
      </c>
      <c r="L443" s="4">
        <v>4000</v>
      </c>
      <c r="N443" s="4">
        <f t="shared" si="274"/>
        <v>0</v>
      </c>
      <c r="P443" s="3">
        <f>L443*1.0281+38</f>
        <v>4150.3999999999996</v>
      </c>
      <c r="Q443" s="3"/>
      <c r="R443" s="3">
        <v>0</v>
      </c>
      <c r="S443" s="3">
        <f t="shared" si="275"/>
        <v>4150</v>
      </c>
      <c r="T443" s="3">
        <v>4150</v>
      </c>
      <c r="U443" s="3">
        <f t="shared" si="276"/>
        <v>-0.3999999999996362</v>
      </c>
      <c r="V443" s="3"/>
      <c r="W443" s="3">
        <f t="shared" si="277"/>
        <v>4150</v>
      </c>
      <c r="X443" s="3"/>
      <c r="Y443" s="3">
        <v>4150</v>
      </c>
      <c r="Z443" s="3">
        <f t="shared" si="278"/>
        <v>0</v>
      </c>
      <c r="AA443" s="3"/>
      <c r="AB443" s="3"/>
      <c r="AC443" s="3">
        <v>0</v>
      </c>
      <c r="AD443" s="3">
        <f t="shared" si="246"/>
        <v>4000</v>
      </c>
      <c r="AE443" s="3">
        <v>4000</v>
      </c>
      <c r="AF443" s="3">
        <f t="shared" si="279"/>
        <v>-150</v>
      </c>
      <c r="AG443" s="4"/>
      <c r="AH443" s="4">
        <v>4000</v>
      </c>
      <c r="AJ443" s="3">
        <v>0</v>
      </c>
      <c r="AK443" s="3">
        <f t="shared" si="280"/>
        <v>4000</v>
      </c>
      <c r="AL443" s="3">
        <v>4000</v>
      </c>
      <c r="AM443" s="3">
        <f t="shared" si="281"/>
        <v>0</v>
      </c>
      <c r="AO443" s="3">
        <f t="shared" si="291"/>
        <v>4120</v>
      </c>
      <c r="AP443" s="3"/>
      <c r="AQ443" s="3">
        <f t="shared" si="283"/>
        <v>4243.6000000000004</v>
      </c>
      <c r="AR443" s="3"/>
      <c r="AS443" s="3">
        <f t="shared" si="284"/>
        <v>4370.9080000000004</v>
      </c>
      <c r="AT443" s="3"/>
      <c r="AU443" s="3">
        <f t="shared" si="285"/>
        <v>4502.0352400000002</v>
      </c>
      <c r="AV443" s="3"/>
      <c r="AW443" s="3">
        <f t="shared" si="286"/>
        <v>4637.0962972000007</v>
      </c>
      <c r="AX443" s="3"/>
      <c r="AY443" s="3">
        <f t="shared" si="287"/>
        <v>4776.2091861160006</v>
      </c>
      <c r="AZ443" s="3"/>
      <c r="BA443" s="3">
        <f t="shared" si="288"/>
        <v>4919.495461699481</v>
      </c>
      <c r="BB443" s="3"/>
      <c r="BC443" s="3">
        <f t="shared" si="289"/>
        <v>5067.0803255504652</v>
      </c>
      <c r="BE443" s="3">
        <f t="shared" si="290"/>
        <v>5219.0927353169791</v>
      </c>
    </row>
    <row r="444" spans="1:57" x14ac:dyDescent="0.25">
      <c r="A444" s="3" t="s">
        <v>356</v>
      </c>
      <c r="B444" s="3">
        <v>2000</v>
      </c>
      <c r="D444" s="3">
        <v>0</v>
      </c>
      <c r="E444" s="3">
        <f t="shared" si="271"/>
        <v>2000</v>
      </c>
      <c r="F444" s="5">
        <v>2000</v>
      </c>
      <c r="H444" s="5">
        <f t="shared" si="272"/>
        <v>0</v>
      </c>
      <c r="J444" s="5">
        <v>0</v>
      </c>
      <c r="K444" s="4">
        <f t="shared" si="273"/>
        <v>2000</v>
      </c>
      <c r="L444" s="4">
        <v>2000</v>
      </c>
      <c r="N444" s="4">
        <f t="shared" si="274"/>
        <v>0</v>
      </c>
      <c r="P444" s="3">
        <f>L444*1.0281+44</f>
        <v>2100.1999999999998</v>
      </c>
      <c r="Q444" s="3"/>
      <c r="R444" s="3">
        <v>0</v>
      </c>
      <c r="S444" s="3">
        <f t="shared" si="275"/>
        <v>2100</v>
      </c>
      <c r="T444" s="3">
        <v>2100</v>
      </c>
      <c r="U444" s="3">
        <f t="shared" si="276"/>
        <v>-0.1999999999998181</v>
      </c>
      <c r="V444" s="3"/>
      <c r="W444" s="3">
        <f t="shared" si="277"/>
        <v>2100</v>
      </c>
      <c r="X444" s="3"/>
      <c r="Y444" s="3">
        <v>2100</v>
      </c>
      <c r="Z444" s="3">
        <f t="shared" si="278"/>
        <v>0</v>
      </c>
      <c r="AA444" s="3"/>
      <c r="AB444" s="3"/>
      <c r="AC444" s="3">
        <v>0</v>
      </c>
      <c r="AD444" s="3">
        <f t="shared" si="246"/>
        <v>2000</v>
      </c>
      <c r="AE444" s="3">
        <v>2000</v>
      </c>
      <c r="AF444" s="3">
        <f t="shared" si="279"/>
        <v>-100</v>
      </c>
      <c r="AG444" s="4"/>
      <c r="AH444" s="4">
        <v>2100</v>
      </c>
      <c r="AJ444" s="3">
        <v>0</v>
      </c>
      <c r="AK444" s="3">
        <f t="shared" si="280"/>
        <v>2100</v>
      </c>
      <c r="AL444" s="3">
        <v>2100</v>
      </c>
      <c r="AM444" s="3">
        <f t="shared" si="281"/>
        <v>0</v>
      </c>
      <c r="AO444" s="3">
        <f t="shared" si="291"/>
        <v>2163</v>
      </c>
      <c r="AP444" s="3"/>
      <c r="AQ444" s="3">
        <f t="shared" si="283"/>
        <v>2227.89</v>
      </c>
      <c r="AR444" s="3"/>
      <c r="AS444" s="3">
        <f t="shared" si="284"/>
        <v>2294.7266999999997</v>
      </c>
      <c r="AT444" s="3"/>
      <c r="AU444" s="3">
        <f t="shared" si="285"/>
        <v>2363.5685009999997</v>
      </c>
      <c r="AV444" s="3"/>
      <c r="AW444" s="3">
        <f t="shared" si="286"/>
        <v>2434.47555603</v>
      </c>
      <c r="AX444" s="3"/>
      <c r="AY444" s="3">
        <f t="shared" si="287"/>
        <v>2507.5098227109002</v>
      </c>
      <c r="AZ444" s="3"/>
      <c r="BA444" s="3">
        <f t="shared" si="288"/>
        <v>2582.735117392227</v>
      </c>
      <c r="BB444" s="3"/>
      <c r="BC444" s="3">
        <f t="shared" si="289"/>
        <v>2660.2171709139939</v>
      </c>
      <c r="BE444" s="3">
        <f t="shared" si="290"/>
        <v>2740.0236860414138</v>
      </c>
    </row>
    <row r="445" spans="1:57" x14ac:dyDescent="0.25">
      <c r="A445" s="3" t="s">
        <v>357</v>
      </c>
      <c r="B445" s="3">
        <v>18500</v>
      </c>
      <c r="D445" s="3">
        <v>0</v>
      </c>
      <c r="E445" s="3">
        <f t="shared" si="271"/>
        <v>18500</v>
      </c>
      <c r="F445" s="5">
        <v>18500</v>
      </c>
      <c r="H445" s="5">
        <f t="shared" si="272"/>
        <v>0</v>
      </c>
      <c r="J445" s="5">
        <v>6255</v>
      </c>
      <c r="K445" s="4">
        <f t="shared" si="273"/>
        <v>12245</v>
      </c>
      <c r="L445" s="4">
        <v>18500</v>
      </c>
      <c r="N445" s="4">
        <f t="shared" si="274"/>
        <v>0</v>
      </c>
      <c r="P445" s="3">
        <f>L445*1.0281+30</f>
        <v>19049.849999999999</v>
      </c>
      <c r="Q445" s="3"/>
      <c r="R445" s="3">
        <v>0</v>
      </c>
      <c r="S445" s="3">
        <f t="shared" si="275"/>
        <v>18000</v>
      </c>
      <c r="T445" s="3">
        <v>18000</v>
      </c>
      <c r="U445" s="3">
        <f t="shared" si="276"/>
        <v>-1049.8499999999985</v>
      </c>
      <c r="V445" s="3">
        <v>8623</v>
      </c>
      <c r="W445" s="3">
        <f t="shared" si="277"/>
        <v>9377</v>
      </c>
      <c r="X445" s="3"/>
      <c r="Y445" s="3">
        <v>18000</v>
      </c>
      <c r="Z445" s="3">
        <f t="shared" si="278"/>
        <v>0</v>
      </c>
      <c r="AA445" s="3"/>
      <c r="AB445" s="3"/>
      <c r="AC445" s="3">
        <v>10488</v>
      </c>
      <c r="AD445" s="3">
        <f t="shared" si="246"/>
        <v>7512</v>
      </c>
      <c r="AE445" s="3">
        <v>18000</v>
      </c>
      <c r="AF445" s="3">
        <f t="shared" si="279"/>
        <v>0</v>
      </c>
      <c r="AG445" s="4"/>
      <c r="AH445" s="4">
        <f>AE445*1.03+10</f>
        <v>18550</v>
      </c>
      <c r="AJ445" s="3">
        <v>1960</v>
      </c>
      <c r="AK445" s="3">
        <f t="shared" si="280"/>
        <v>16590</v>
      </c>
      <c r="AL445" s="3">
        <v>18550</v>
      </c>
      <c r="AM445" s="3">
        <f t="shared" si="281"/>
        <v>0</v>
      </c>
      <c r="AO445" s="3">
        <f t="shared" si="291"/>
        <v>19106.5</v>
      </c>
      <c r="AP445" s="3"/>
      <c r="AQ445" s="3">
        <f t="shared" si="283"/>
        <v>19679.695</v>
      </c>
      <c r="AR445" s="3"/>
      <c r="AS445" s="3">
        <f t="shared" si="284"/>
        <v>20270.085849999999</v>
      </c>
      <c r="AT445" s="3"/>
      <c r="AU445" s="3">
        <f t="shared" si="285"/>
        <v>20878.1884255</v>
      </c>
      <c r="AV445" s="3"/>
      <c r="AW445" s="3">
        <f t="shared" si="286"/>
        <v>21504.534078265002</v>
      </c>
      <c r="AX445" s="3"/>
      <c r="AY445" s="3">
        <f t="shared" si="287"/>
        <v>22149.670100612952</v>
      </c>
      <c r="AZ445" s="3"/>
      <c r="BA445" s="3">
        <f t="shared" si="288"/>
        <v>22814.160203631342</v>
      </c>
      <c r="BB445" s="3"/>
      <c r="BC445" s="3">
        <f t="shared" si="289"/>
        <v>23498.585009740284</v>
      </c>
      <c r="BE445" s="3">
        <f t="shared" si="290"/>
        <v>24203.542560032492</v>
      </c>
    </row>
    <row r="446" spans="1:57" x14ac:dyDescent="0.25">
      <c r="A446" s="3" t="s">
        <v>358</v>
      </c>
      <c r="B446" s="3"/>
      <c r="D446" s="3"/>
      <c r="E446" s="3">
        <f t="shared" si="271"/>
        <v>0</v>
      </c>
      <c r="H446" s="5">
        <f t="shared" si="272"/>
        <v>0</v>
      </c>
      <c r="K446" s="4">
        <f t="shared" si="273"/>
        <v>0</v>
      </c>
      <c r="L446" s="4"/>
      <c r="N446" s="4">
        <f t="shared" si="274"/>
        <v>0</v>
      </c>
      <c r="P446" s="3">
        <f>L446*1.0281</f>
        <v>0</v>
      </c>
      <c r="Q446" s="3"/>
      <c r="R446" s="3"/>
      <c r="S446" s="3">
        <f t="shared" si="275"/>
        <v>0</v>
      </c>
      <c r="T446" s="3"/>
      <c r="U446" s="3">
        <f t="shared" si="276"/>
        <v>0</v>
      </c>
      <c r="V446" s="3"/>
      <c r="W446" s="3">
        <f t="shared" si="277"/>
        <v>0</v>
      </c>
      <c r="X446" s="3"/>
      <c r="Y446" s="3"/>
      <c r="Z446" s="3">
        <f t="shared" si="278"/>
        <v>0</v>
      </c>
      <c r="AA446" s="3"/>
      <c r="AB446" s="3"/>
      <c r="AC446" s="3"/>
      <c r="AD446" s="3">
        <f t="shared" si="246"/>
        <v>0</v>
      </c>
      <c r="AE446" s="3"/>
      <c r="AF446" s="3">
        <f t="shared" si="279"/>
        <v>0</v>
      </c>
      <c r="AG446" s="4"/>
      <c r="AH446" s="4">
        <f>AE446*1.03</f>
        <v>0</v>
      </c>
      <c r="AJ446" s="3"/>
      <c r="AK446" s="3">
        <f t="shared" si="280"/>
        <v>0</v>
      </c>
      <c r="AL446" s="3"/>
      <c r="AM446" s="3">
        <f t="shared" si="281"/>
        <v>0</v>
      </c>
      <c r="AO446" s="3">
        <f t="shared" si="291"/>
        <v>0</v>
      </c>
      <c r="AP446" s="3"/>
      <c r="AQ446" s="3">
        <f t="shared" si="283"/>
        <v>0</v>
      </c>
      <c r="AR446" s="3"/>
      <c r="AS446" s="3">
        <f t="shared" si="284"/>
        <v>0</v>
      </c>
      <c r="AT446" s="3"/>
      <c r="AU446" s="3">
        <f t="shared" si="285"/>
        <v>0</v>
      </c>
      <c r="AV446" s="3"/>
      <c r="AW446" s="3">
        <f t="shared" si="286"/>
        <v>0</v>
      </c>
      <c r="AX446" s="3"/>
      <c r="AY446" s="3">
        <f t="shared" si="287"/>
        <v>0</v>
      </c>
      <c r="AZ446" s="3"/>
      <c r="BA446" s="3">
        <f t="shared" si="288"/>
        <v>0</v>
      </c>
      <c r="BB446" s="3"/>
      <c r="BC446" s="3">
        <f t="shared" si="289"/>
        <v>0</v>
      </c>
      <c r="BE446" s="3">
        <f t="shared" si="290"/>
        <v>0</v>
      </c>
    </row>
    <row r="447" spans="1:57" x14ac:dyDescent="0.25">
      <c r="A447" s="3" t="s">
        <v>359</v>
      </c>
      <c r="B447" s="3">
        <v>20500</v>
      </c>
      <c r="D447" s="3">
        <v>4691</v>
      </c>
      <c r="E447" s="3">
        <f t="shared" si="271"/>
        <v>15309</v>
      </c>
      <c r="F447" s="5">
        <v>20000</v>
      </c>
      <c r="H447" s="5">
        <f t="shared" si="272"/>
        <v>-500</v>
      </c>
      <c r="J447" s="5">
        <v>10947</v>
      </c>
      <c r="K447" s="4">
        <f t="shared" si="273"/>
        <v>9053</v>
      </c>
      <c r="L447" s="4">
        <v>20000</v>
      </c>
      <c r="N447" s="4">
        <f t="shared" si="274"/>
        <v>0</v>
      </c>
      <c r="P447" s="3">
        <f>L447*1.0281+38</f>
        <v>20600</v>
      </c>
      <c r="Q447" s="3"/>
      <c r="R447" s="3">
        <v>2651</v>
      </c>
      <c r="S447" s="3">
        <f t="shared" si="275"/>
        <v>16349</v>
      </c>
      <c r="T447" s="3">
        <v>19000</v>
      </c>
      <c r="U447" s="3">
        <f t="shared" si="276"/>
        <v>-1600</v>
      </c>
      <c r="V447" s="3">
        <v>13286</v>
      </c>
      <c r="W447" s="3">
        <f t="shared" si="277"/>
        <v>5714</v>
      </c>
      <c r="X447" s="3"/>
      <c r="Y447" s="3">
        <v>19000</v>
      </c>
      <c r="Z447" s="3">
        <f t="shared" si="278"/>
        <v>0</v>
      </c>
      <c r="AA447" s="3"/>
      <c r="AB447" s="3"/>
      <c r="AC447" s="3">
        <v>19387</v>
      </c>
      <c r="AD447" s="3">
        <f t="shared" si="246"/>
        <v>3613</v>
      </c>
      <c r="AE447" s="3">
        <v>23000</v>
      </c>
      <c r="AF447" s="3">
        <f t="shared" si="279"/>
        <v>4000</v>
      </c>
      <c r="AG447" s="4"/>
      <c r="AH447" s="4">
        <f>AE447*1.03+10-700</f>
        <v>23000</v>
      </c>
      <c r="AJ447" s="3">
        <v>5252</v>
      </c>
      <c r="AK447" s="3">
        <f t="shared" si="280"/>
        <v>17748</v>
      </c>
      <c r="AL447" s="3">
        <v>23000</v>
      </c>
      <c r="AM447" s="3">
        <f t="shared" si="281"/>
        <v>0</v>
      </c>
      <c r="AO447" s="3">
        <f t="shared" si="291"/>
        <v>23690</v>
      </c>
      <c r="AP447" s="3"/>
      <c r="AQ447" s="3">
        <f t="shared" si="283"/>
        <v>24400.7</v>
      </c>
      <c r="AR447" s="3"/>
      <c r="AS447" s="3">
        <f t="shared" si="284"/>
        <v>25132.721000000001</v>
      </c>
      <c r="AT447" s="3"/>
      <c r="AU447" s="3">
        <f t="shared" si="285"/>
        <v>25886.702630000003</v>
      </c>
      <c r="AV447" s="3"/>
      <c r="AW447" s="3">
        <f t="shared" si="286"/>
        <v>26663.303708900003</v>
      </c>
      <c r="AX447" s="3"/>
      <c r="AY447" s="3">
        <f t="shared" si="287"/>
        <v>27463.202820167004</v>
      </c>
      <c r="AZ447" s="3"/>
      <c r="BA447" s="3">
        <f t="shared" si="288"/>
        <v>28287.098904772014</v>
      </c>
      <c r="BB447" s="3"/>
      <c r="BC447" s="3">
        <f t="shared" si="289"/>
        <v>29135.711871915177</v>
      </c>
      <c r="BE447" s="3">
        <f t="shared" si="290"/>
        <v>30009.783228072632</v>
      </c>
    </row>
    <row r="448" spans="1:57" x14ac:dyDescent="0.25">
      <c r="A448" s="3" t="s">
        <v>360</v>
      </c>
      <c r="B448" s="3">
        <v>0</v>
      </c>
      <c r="D448" s="3"/>
      <c r="E448" s="3">
        <f t="shared" si="271"/>
        <v>0</v>
      </c>
      <c r="H448" s="5">
        <f t="shared" si="272"/>
        <v>0</v>
      </c>
      <c r="K448" s="4">
        <f t="shared" si="273"/>
        <v>0</v>
      </c>
      <c r="L448" s="4"/>
      <c r="N448" s="4">
        <f t="shared" si="274"/>
        <v>0</v>
      </c>
      <c r="P448" s="3"/>
      <c r="Q448" s="3"/>
      <c r="R448" s="3"/>
      <c r="S448" s="3">
        <f t="shared" si="275"/>
        <v>2000</v>
      </c>
      <c r="T448" s="3">
        <v>2000</v>
      </c>
      <c r="U448" s="3">
        <f t="shared" si="276"/>
        <v>2000</v>
      </c>
      <c r="V448" s="3">
        <v>286</v>
      </c>
      <c r="W448" s="3">
        <f t="shared" si="277"/>
        <v>1714</v>
      </c>
      <c r="X448" s="3"/>
      <c r="Y448" s="3">
        <v>2000</v>
      </c>
      <c r="Z448" s="3">
        <f t="shared" si="278"/>
        <v>0</v>
      </c>
      <c r="AA448" s="3"/>
      <c r="AB448" s="3"/>
      <c r="AC448" s="3"/>
      <c r="AD448" s="3">
        <f t="shared" si="246"/>
        <v>0</v>
      </c>
      <c r="AE448" s="3">
        <v>0</v>
      </c>
      <c r="AF448" s="3">
        <f t="shared" si="279"/>
        <v>-2000</v>
      </c>
      <c r="AG448" s="4"/>
      <c r="AH448" s="4"/>
      <c r="AJ448" s="3"/>
      <c r="AK448" s="3">
        <f t="shared" si="280"/>
        <v>0</v>
      </c>
      <c r="AL448" s="3"/>
      <c r="AM448" s="3">
        <f t="shared" si="281"/>
        <v>0</v>
      </c>
      <c r="AO448" s="3"/>
      <c r="AP448" s="3"/>
      <c r="AQ448" s="3"/>
      <c r="AR448" s="3"/>
      <c r="AS448" s="3"/>
      <c r="AT448" s="3"/>
      <c r="AU448" s="3"/>
      <c r="AV448" s="42"/>
      <c r="AW448" s="3"/>
      <c r="AX448" s="42"/>
      <c r="AY448" s="3"/>
      <c r="AZ448" s="42"/>
      <c r="BA448" s="3"/>
      <c r="BB448" s="42"/>
      <c r="BC448" s="3"/>
      <c r="BE448" s="3"/>
    </row>
    <row r="449" spans="1:57" x14ac:dyDescent="0.25">
      <c r="A449" s="3" t="s">
        <v>361</v>
      </c>
      <c r="B449" s="3"/>
      <c r="D449" s="3"/>
      <c r="E449" s="3"/>
      <c r="K449" s="4"/>
      <c r="L449" s="4"/>
      <c r="N449" s="4"/>
      <c r="P449" s="3"/>
      <c r="Q449" s="3"/>
      <c r="R449" s="3"/>
      <c r="S449" s="3">
        <f>T449-R449</f>
        <v>0</v>
      </c>
      <c r="T449" s="3"/>
      <c r="U449" s="3">
        <f>T449-P449</f>
        <v>0</v>
      </c>
      <c r="V449" s="3"/>
      <c r="W449" s="3">
        <f t="shared" si="277"/>
        <v>0</v>
      </c>
      <c r="X449" s="3"/>
      <c r="Y449" s="3"/>
      <c r="Z449" s="3">
        <f t="shared" si="278"/>
        <v>0</v>
      </c>
      <c r="AA449" s="3"/>
      <c r="AB449" s="3"/>
      <c r="AC449" s="3"/>
      <c r="AD449" s="3">
        <f t="shared" ref="AD449:AD459" si="292">AE449-AC449</f>
        <v>0</v>
      </c>
      <c r="AE449" s="3"/>
      <c r="AF449" s="3">
        <f t="shared" si="279"/>
        <v>0</v>
      </c>
      <c r="AG449" s="4"/>
      <c r="AH449" s="4"/>
      <c r="AJ449" s="3"/>
      <c r="AK449" s="3">
        <f t="shared" si="280"/>
        <v>0</v>
      </c>
      <c r="AL449" s="3"/>
      <c r="AM449" s="3">
        <f t="shared" si="281"/>
        <v>0</v>
      </c>
      <c r="AO449" s="3"/>
      <c r="AP449" s="3"/>
      <c r="AQ449" s="3"/>
      <c r="AR449" s="3"/>
      <c r="AS449" s="3"/>
      <c r="AT449" s="3"/>
      <c r="AU449" s="3"/>
      <c r="AV449" s="42"/>
      <c r="AW449" s="3"/>
      <c r="AX449" s="42"/>
      <c r="AY449" s="3"/>
      <c r="AZ449" s="42"/>
      <c r="BA449" s="3"/>
      <c r="BB449" s="42"/>
      <c r="BC449" s="3"/>
      <c r="BE449" s="3"/>
    </row>
    <row r="450" spans="1:57" s="42" customFormat="1" x14ac:dyDescent="0.25">
      <c r="A450" s="3" t="s">
        <v>362</v>
      </c>
      <c r="B450" s="3">
        <v>-240000</v>
      </c>
      <c r="C450" s="3"/>
      <c r="D450" s="3">
        <v>-75950</v>
      </c>
      <c r="E450" s="3">
        <f t="shared" ref="E450:E459" si="293">F450-D450</f>
        <v>-224050</v>
      </c>
      <c r="F450" s="5">
        <v>-300000</v>
      </c>
      <c r="G450" s="3"/>
      <c r="H450" s="5">
        <f t="shared" ref="H450:H459" si="294">F450-B450</f>
        <v>-60000</v>
      </c>
      <c r="I450" s="5"/>
      <c r="J450" s="5">
        <v>-151039</v>
      </c>
      <c r="K450" s="4">
        <f t="shared" si="273"/>
        <v>-148961</v>
      </c>
      <c r="L450" s="4">
        <v>-300000</v>
      </c>
      <c r="M450" s="4"/>
      <c r="N450" s="4">
        <f t="shared" si="274"/>
        <v>0</v>
      </c>
      <c r="O450" s="4"/>
      <c r="P450" s="3">
        <v>-300000</v>
      </c>
      <c r="Q450" s="3"/>
      <c r="R450" s="3">
        <v>-61752</v>
      </c>
      <c r="S450" s="3">
        <f t="shared" si="275"/>
        <v>-238248</v>
      </c>
      <c r="T450" s="3">
        <v>-300000</v>
      </c>
      <c r="U450" s="3">
        <f t="shared" si="276"/>
        <v>0</v>
      </c>
      <c r="V450" s="3">
        <v>-130010</v>
      </c>
      <c r="W450" s="3">
        <f t="shared" si="277"/>
        <v>-159990</v>
      </c>
      <c r="X450" s="3"/>
      <c r="Y450" s="3">
        <v>-290000</v>
      </c>
      <c r="Z450" s="3">
        <f t="shared" si="278"/>
        <v>10000</v>
      </c>
      <c r="AA450" s="3"/>
      <c r="AB450" s="3"/>
      <c r="AC450" s="3">
        <v>-184309</v>
      </c>
      <c r="AD450" s="3">
        <f t="shared" si="292"/>
        <v>-95691</v>
      </c>
      <c r="AE450" s="3">
        <v>-280000</v>
      </c>
      <c r="AF450" s="3">
        <f t="shared" si="279"/>
        <v>10000</v>
      </c>
      <c r="AG450" s="4"/>
      <c r="AH450" s="4">
        <v>-265000</v>
      </c>
      <c r="AI450" s="4"/>
      <c r="AJ450" s="3">
        <v>-61724</v>
      </c>
      <c r="AK450" s="3">
        <f t="shared" si="280"/>
        <v>-203276</v>
      </c>
      <c r="AL450" s="3">
        <v>-265000</v>
      </c>
      <c r="AM450" s="3">
        <f t="shared" si="281"/>
        <v>0</v>
      </c>
      <c r="AN450" s="4"/>
      <c r="AO450" s="3">
        <v>-185000</v>
      </c>
      <c r="AP450" s="3"/>
      <c r="AQ450" s="3">
        <f>AO450*1.0275</f>
        <v>-190087.50000000003</v>
      </c>
      <c r="AR450" s="3"/>
      <c r="AS450" s="3">
        <f>AQ450*1.0275</f>
        <v>-195314.90625000006</v>
      </c>
      <c r="AT450" s="3"/>
      <c r="AU450" s="3">
        <f>AS450*1.0275</f>
        <v>-200686.06617187508</v>
      </c>
      <c r="AW450" s="3">
        <f>AU450*1.0275</f>
        <v>-206204.93299160167</v>
      </c>
      <c r="AY450" s="3">
        <f>AW450*1.0275</f>
        <v>-211875.56864887074</v>
      </c>
      <c r="BA450" s="3">
        <f>AY450*1.0275</f>
        <v>-217702.1467867147</v>
      </c>
      <c r="BC450" s="3">
        <f>BA450*1.0275</f>
        <v>-223688.95582334936</v>
      </c>
      <c r="BE450" s="3">
        <f>BC450*1.0275</f>
        <v>-229840.40210849149</v>
      </c>
    </row>
    <row r="451" spans="1:57" x14ac:dyDescent="0.25">
      <c r="A451" s="3" t="s">
        <v>363</v>
      </c>
      <c r="B451" s="3">
        <v>114000</v>
      </c>
      <c r="D451" s="3">
        <v>33216</v>
      </c>
      <c r="E451" s="3">
        <f t="shared" si="293"/>
        <v>82784</v>
      </c>
      <c r="F451" s="5">
        <v>116000</v>
      </c>
      <c r="H451" s="5">
        <f t="shared" si="294"/>
        <v>2000</v>
      </c>
      <c r="J451" s="5">
        <v>67332</v>
      </c>
      <c r="K451" s="4">
        <f t="shared" si="273"/>
        <v>50668</v>
      </c>
      <c r="L451" s="4">
        <v>118000</v>
      </c>
      <c r="N451" s="4">
        <f t="shared" si="274"/>
        <v>2000</v>
      </c>
      <c r="P451" s="3">
        <f>L451*1.0281+34</f>
        <v>121349.8</v>
      </c>
      <c r="Q451" s="3"/>
      <c r="R451" s="3">
        <v>40612</v>
      </c>
      <c r="S451" s="3">
        <f t="shared" si="275"/>
        <v>84388</v>
      </c>
      <c r="T451" s="3">
        <v>125000</v>
      </c>
      <c r="U451" s="3">
        <f t="shared" si="276"/>
        <v>3650.1999999999971</v>
      </c>
      <c r="V451" s="3">
        <v>57071</v>
      </c>
      <c r="W451" s="3">
        <f t="shared" si="277"/>
        <v>67929</v>
      </c>
      <c r="X451" s="3"/>
      <c r="Y451" s="3">
        <v>125000</v>
      </c>
      <c r="Z451" s="3">
        <f t="shared" si="278"/>
        <v>0</v>
      </c>
      <c r="AA451" s="3"/>
      <c r="AB451" s="3"/>
      <c r="AC451" s="3">
        <v>85501</v>
      </c>
      <c r="AD451" s="3">
        <f t="shared" si="292"/>
        <v>35499</v>
      </c>
      <c r="AE451" s="3">
        <v>121000</v>
      </c>
      <c r="AF451" s="3">
        <f t="shared" si="279"/>
        <v>-4000</v>
      </c>
      <c r="AG451" s="4"/>
      <c r="AH451" s="4">
        <f>AE451*1.03+20</f>
        <v>124650</v>
      </c>
      <c r="AJ451" s="3">
        <v>42132</v>
      </c>
      <c r="AK451" s="3">
        <f t="shared" si="280"/>
        <v>82518</v>
      </c>
      <c r="AL451" s="3">
        <v>124650</v>
      </c>
      <c r="AM451" s="3">
        <f t="shared" si="281"/>
        <v>0</v>
      </c>
      <c r="AO451" s="3">
        <f>AH451*1.03</f>
        <v>128389.5</v>
      </c>
      <c r="AP451" s="3"/>
      <c r="AQ451" s="3">
        <f t="shared" ref="AQ451:BE451" si="295">AO451*1.03</f>
        <v>132241.185</v>
      </c>
      <c r="AR451" s="3">
        <f t="shared" si="295"/>
        <v>0</v>
      </c>
      <c r="AS451" s="3">
        <f t="shared" si="295"/>
        <v>136208.42055000001</v>
      </c>
      <c r="AT451" s="3">
        <f t="shared" si="295"/>
        <v>0</v>
      </c>
      <c r="AU451" s="3">
        <f t="shared" si="295"/>
        <v>140294.67316650003</v>
      </c>
      <c r="AV451" s="3"/>
      <c r="AW451" s="3">
        <f t="shared" si="295"/>
        <v>144503.51336149502</v>
      </c>
      <c r="AX451" s="3">
        <f t="shared" si="295"/>
        <v>0</v>
      </c>
      <c r="AY451" s="3">
        <f t="shared" si="295"/>
        <v>148838.61876233987</v>
      </c>
      <c r="AZ451" s="3">
        <f t="shared" si="295"/>
        <v>0</v>
      </c>
      <c r="BA451" s="3">
        <f t="shared" si="295"/>
        <v>153303.77732521007</v>
      </c>
      <c r="BB451" s="3"/>
      <c r="BC451" s="3">
        <f t="shared" si="295"/>
        <v>157902.89064496639</v>
      </c>
      <c r="BD451" s="3">
        <f t="shared" si="295"/>
        <v>0</v>
      </c>
      <c r="BE451" s="3">
        <f t="shared" si="295"/>
        <v>162639.97736431539</v>
      </c>
    </row>
    <row r="452" spans="1:57" x14ac:dyDescent="0.25">
      <c r="A452" s="3" t="s">
        <v>364</v>
      </c>
      <c r="B452" s="3">
        <v>33000</v>
      </c>
      <c r="D452" s="3"/>
      <c r="E452" s="3">
        <f t="shared" si="293"/>
        <v>36000</v>
      </c>
      <c r="F452" s="5">
        <v>36000</v>
      </c>
      <c r="H452" s="5">
        <f t="shared" si="294"/>
        <v>3000</v>
      </c>
      <c r="J452" s="5">
        <v>0</v>
      </c>
      <c r="K452" s="4">
        <f t="shared" si="273"/>
        <v>36000</v>
      </c>
      <c r="L452" s="4">
        <v>36000</v>
      </c>
      <c r="N452" s="4">
        <f t="shared" si="274"/>
        <v>0</v>
      </c>
      <c r="P452" s="3">
        <v>32000</v>
      </c>
      <c r="Q452" s="3"/>
      <c r="R452" s="3">
        <v>0</v>
      </c>
      <c r="S452" s="3">
        <f t="shared" si="275"/>
        <v>36000</v>
      </c>
      <c r="T452" s="3">
        <v>36000</v>
      </c>
      <c r="U452" s="3">
        <f t="shared" si="276"/>
        <v>4000</v>
      </c>
      <c r="V452" s="3">
        <v>0</v>
      </c>
      <c r="W452" s="3">
        <f t="shared" si="277"/>
        <v>36000</v>
      </c>
      <c r="X452" s="3"/>
      <c r="Y452" s="3">
        <v>36000</v>
      </c>
      <c r="Z452" s="3">
        <f t="shared" si="278"/>
        <v>0</v>
      </c>
      <c r="AA452" s="3"/>
      <c r="AB452" s="3"/>
      <c r="AC452" s="3">
        <v>38200</v>
      </c>
      <c r="AD452" s="3">
        <f t="shared" si="292"/>
        <v>0</v>
      </c>
      <c r="AE452" s="3">
        <v>38200</v>
      </c>
      <c r="AF452" s="3">
        <f t="shared" si="279"/>
        <v>2200</v>
      </c>
      <c r="AG452" s="4"/>
      <c r="AH452" s="4">
        <v>83000</v>
      </c>
      <c r="AJ452" s="3">
        <v>10400</v>
      </c>
      <c r="AK452" s="3">
        <f t="shared" si="280"/>
        <v>72600</v>
      </c>
      <c r="AL452" s="3">
        <v>83000</v>
      </c>
      <c r="AM452" s="3">
        <f t="shared" si="281"/>
        <v>0</v>
      </c>
      <c r="AO452" s="3"/>
      <c r="AP452" s="3"/>
      <c r="AQ452" s="3"/>
      <c r="AR452" s="3"/>
      <c r="AS452" s="3"/>
      <c r="AT452" s="3"/>
      <c r="AU452" s="3"/>
      <c r="AV452" s="42"/>
      <c r="AW452" s="3"/>
      <c r="AX452" s="42"/>
      <c r="AY452" s="3"/>
      <c r="AZ452" s="42"/>
      <c r="BA452" s="3"/>
      <c r="BB452" s="42"/>
      <c r="BC452" s="3"/>
      <c r="BE452" s="3"/>
    </row>
    <row r="453" spans="1:57" x14ac:dyDescent="0.25">
      <c r="A453" s="3" t="s">
        <v>289</v>
      </c>
      <c r="B453" s="3">
        <v>5000</v>
      </c>
      <c r="D453" s="3">
        <v>0</v>
      </c>
      <c r="E453" s="3">
        <f t="shared" si="293"/>
        <v>5000</v>
      </c>
      <c r="F453" s="5">
        <v>5000</v>
      </c>
      <c r="H453" s="5">
        <f t="shared" si="294"/>
        <v>0</v>
      </c>
      <c r="J453" s="5">
        <v>0</v>
      </c>
      <c r="K453" s="4">
        <f t="shared" si="273"/>
        <v>5000</v>
      </c>
      <c r="L453" s="4">
        <v>5000</v>
      </c>
      <c r="N453" s="4">
        <f t="shared" si="274"/>
        <v>0</v>
      </c>
      <c r="P453" s="3">
        <v>5000</v>
      </c>
      <c r="Q453" s="3"/>
      <c r="R453" s="3">
        <v>0</v>
      </c>
      <c r="S453" s="3">
        <f t="shared" si="275"/>
        <v>5000</v>
      </c>
      <c r="T453" s="3">
        <v>5000</v>
      </c>
      <c r="U453" s="3">
        <f t="shared" si="276"/>
        <v>0</v>
      </c>
      <c r="V453" s="3">
        <v>0</v>
      </c>
      <c r="W453" s="3">
        <f t="shared" si="277"/>
        <v>5000</v>
      </c>
      <c r="X453" s="3"/>
      <c r="Y453" s="3">
        <v>5000</v>
      </c>
      <c r="Z453" s="3">
        <f t="shared" si="278"/>
        <v>0</v>
      </c>
      <c r="AA453" s="3"/>
      <c r="AB453" s="3"/>
      <c r="AC453" s="3">
        <v>0</v>
      </c>
      <c r="AD453" s="3">
        <f t="shared" si="292"/>
        <v>5000</v>
      </c>
      <c r="AE453" s="3">
        <v>5000</v>
      </c>
      <c r="AF453" s="3">
        <f t="shared" si="279"/>
        <v>0</v>
      </c>
      <c r="AG453" s="4"/>
      <c r="AH453" s="4">
        <v>5000</v>
      </c>
      <c r="AJ453" s="3">
        <v>0</v>
      </c>
      <c r="AK453" s="3">
        <f t="shared" si="280"/>
        <v>5000</v>
      </c>
      <c r="AL453" s="3">
        <v>5000</v>
      </c>
      <c r="AM453" s="3">
        <f t="shared" si="281"/>
        <v>0</v>
      </c>
      <c r="AO453" s="3">
        <v>5000</v>
      </c>
      <c r="AP453" s="3"/>
      <c r="AQ453" s="3">
        <v>5000</v>
      </c>
      <c r="AR453" s="3"/>
      <c r="AS453" s="3">
        <v>5000</v>
      </c>
      <c r="AT453" s="3"/>
      <c r="AU453" s="3">
        <v>5000</v>
      </c>
      <c r="AV453" s="42"/>
      <c r="AW453" s="3">
        <v>5000</v>
      </c>
      <c r="AX453" s="42"/>
      <c r="AY453" s="3">
        <v>5000</v>
      </c>
      <c r="AZ453" s="42"/>
      <c r="BA453" s="3">
        <v>5000</v>
      </c>
      <c r="BB453" s="42"/>
      <c r="BC453" s="3">
        <v>5000</v>
      </c>
      <c r="BE453" s="3">
        <v>5000</v>
      </c>
    </row>
    <row r="454" spans="1:57" x14ac:dyDescent="0.25">
      <c r="A454" s="3" t="s">
        <v>365</v>
      </c>
      <c r="B454" s="3">
        <v>1200</v>
      </c>
      <c r="D454" s="3"/>
      <c r="E454" s="3">
        <f t="shared" si="293"/>
        <v>1200</v>
      </c>
      <c r="F454" s="5">
        <v>1200</v>
      </c>
      <c r="H454" s="5">
        <f t="shared" si="294"/>
        <v>0</v>
      </c>
      <c r="J454" s="5">
        <v>0</v>
      </c>
      <c r="K454" s="4">
        <f t="shared" si="273"/>
        <v>1000</v>
      </c>
      <c r="L454" s="4">
        <v>1000</v>
      </c>
      <c r="N454" s="4">
        <f t="shared" si="274"/>
        <v>-200</v>
      </c>
      <c r="P454" s="3">
        <f>L454*1.0281+22</f>
        <v>1050.0999999999999</v>
      </c>
      <c r="Q454" s="3"/>
      <c r="R454" s="3">
        <v>0</v>
      </c>
      <c r="S454" s="3">
        <f t="shared" si="275"/>
        <v>1050</v>
      </c>
      <c r="T454" s="3">
        <v>1050</v>
      </c>
      <c r="U454" s="3">
        <f t="shared" si="276"/>
        <v>-9.9999999999909051E-2</v>
      </c>
      <c r="V454" s="3">
        <v>0</v>
      </c>
      <c r="W454" s="3">
        <f t="shared" si="277"/>
        <v>1050</v>
      </c>
      <c r="X454" s="3"/>
      <c r="Y454" s="3">
        <v>1050</v>
      </c>
      <c r="Z454" s="3">
        <f t="shared" si="278"/>
        <v>0</v>
      </c>
      <c r="AA454" s="3"/>
      <c r="AB454" s="3"/>
      <c r="AC454" s="3">
        <v>0</v>
      </c>
      <c r="AD454" s="3">
        <f t="shared" si="292"/>
        <v>550</v>
      </c>
      <c r="AE454" s="3">
        <v>550</v>
      </c>
      <c r="AF454" s="3">
        <f t="shared" si="279"/>
        <v>-500</v>
      </c>
      <c r="AG454" s="4"/>
      <c r="AH454" s="4">
        <f>AE454*1.03+33</f>
        <v>599.5</v>
      </c>
      <c r="AJ454" s="3">
        <v>0</v>
      </c>
      <c r="AK454" s="3">
        <f t="shared" si="280"/>
        <v>600</v>
      </c>
      <c r="AL454" s="3">
        <v>600</v>
      </c>
      <c r="AM454" s="3">
        <f t="shared" si="281"/>
        <v>0.5</v>
      </c>
      <c r="AO454" s="3">
        <f>AH454*1.03</f>
        <v>617.48500000000001</v>
      </c>
      <c r="AP454" s="3"/>
      <c r="AQ454" s="3">
        <f>AO454*1.03</f>
        <v>636.00954999999999</v>
      </c>
      <c r="AR454" s="3">
        <f>AP454*1.03</f>
        <v>0</v>
      </c>
      <c r="AS454" s="3">
        <f>AQ454*1.03</f>
        <v>655.08983650000005</v>
      </c>
      <c r="AT454" s="3">
        <f>AR454*1.03</f>
        <v>0</v>
      </c>
      <c r="AU454" s="3">
        <f>AS454*1.03</f>
        <v>674.74253159500006</v>
      </c>
      <c r="AV454" s="3"/>
      <c r="AW454" s="3">
        <f>AU454*1.03</f>
        <v>694.98480754285004</v>
      </c>
      <c r="AX454" s="3">
        <f>AV454*1.03</f>
        <v>0</v>
      </c>
      <c r="AY454" s="3">
        <f>AW454*1.03</f>
        <v>715.83435176913554</v>
      </c>
      <c r="AZ454" s="3">
        <f>AX454*1.03</f>
        <v>0</v>
      </c>
      <c r="BA454" s="3">
        <f>AY454*1.03</f>
        <v>737.30938232220967</v>
      </c>
      <c r="BB454" s="3"/>
      <c r="BC454" s="3">
        <f>BA454*1.03</f>
        <v>759.42866379187603</v>
      </c>
      <c r="BD454" s="3">
        <f>BB454*1.03</f>
        <v>0</v>
      </c>
      <c r="BE454" s="3">
        <f>BC454*1.03</f>
        <v>782.21152370563232</v>
      </c>
    </row>
    <row r="455" spans="1:57" x14ac:dyDescent="0.25">
      <c r="A455" s="3" t="s">
        <v>366</v>
      </c>
      <c r="B455" s="3">
        <v>6000</v>
      </c>
      <c r="D455" s="3">
        <v>0</v>
      </c>
      <c r="E455" s="3">
        <f t="shared" si="293"/>
        <v>6000</v>
      </c>
      <c r="F455" s="5">
        <v>6000</v>
      </c>
      <c r="H455" s="5">
        <f t="shared" si="294"/>
        <v>0</v>
      </c>
      <c r="J455" s="5">
        <v>0</v>
      </c>
      <c r="K455" s="4">
        <f t="shared" si="273"/>
        <v>6000</v>
      </c>
      <c r="L455" s="4">
        <v>6000</v>
      </c>
      <c r="N455" s="4">
        <f t="shared" si="274"/>
        <v>0</v>
      </c>
      <c r="P455" s="3">
        <v>6000</v>
      </c>
      <c r="Q455" s="3"/>
      <c r="R455" s="3">
        <v>0</v>
      </c>
      <c r="S455" s="3">
        <f t="shared" si="275"/>
        <v>6000</v>
      </c>
      <c r="T455" s="3">
        <v>6000</v>
      </c>
      <c r="U455" s="3">
        <f t="shared" si="276"/>
        <v>0</v>
      </c>
      <c r="V455" s="3">
        <v>0</v>
      </c>
      <c r="W455" s="3">
        <f t="shared" si="277"/>
        <v>6000</v>
      </c>
      <c r="X455" s="3"/>
      <c r="Y455" s="3">
        <v>6000</v>
      </c>
      <c r="Z455" s="3">
        <f t="shared" si="278"/>
        <v>0</v>
      </c>
      <c r="AA455" s="3"/>
      <c r="AB455" s="3"/>
      <c r="AC455" s="3">
        <v>0</v>
      </c>
      <c r="AD455" s="3">
        <f t="shared" si="292"/>
        <v>6000</v>
      </c>
      <c r="AE455" s="3">
        <v>6000</v>
      </c>
      <c r="AF455" s="3">
        <f t="shared" si="279"/>
        <v>0</v>
      </c>
      <c r="AG455" s="4"/>
      <c r="AH455" s="4">
        <v>6000</v>
      </c>
      <c r="AJ455" s="3">
        <v>0</v>
      </c>
      <c r="AK455" s="3">
        <f t="shared" si="280"/>
        <v>6000</v>
      </c>
      <c r="AL455" s="3">
        <v>6000</v>
      </c>
      <c r="AM455" s="3">
        <f t="shared" si="281"/>
        <v>0</v>
      </c>
      <c r="AO455" s="3">
        <v>6000</v>
      </c>
      <c r="AP455" s="3"/>
      <c r="AQ455" s="3">
        <v>6000</v>
      </c>
      <c r="AR455" s="3"/>
      <c r="AS455" s="3">
        <v>6000</v>
      </c>
      <c r="AT455" s="3"/>
      <c r="AU455" s="3">
        <v>6000</v>
      </c>
      <c r="AV455" s="42"/>
      <c r="AW455" s="3">
        <v>6000</v>
      </c>
      <c r="AX455" s="42"/>
      <c r="AY455" s="3">
        <v>6000</v>
      </c>
      <c r="AZ455" s="42"/>
      <c r="BA455" s="3">
        <v>6000</v>
      </c>
      <c r="BB455" s="42"/>
      <c r="BC455" s="3">
        <v>6000</v>
      </c>
      <c r="BE455" s="3">
        <v>6000</v>
      </c>
    </row>
    <row r="456" spans="1:57" x14ac:dyDescent="0.25">
      <c r="A456" s="3" t="s">
        <v>367</v>
      </c>
      <c r="B456" s="3">
        <v>600</v>
      </c>
      <c r="D456" s="3">
        <v>397</v>
      </c>
      <c r="E456" s="3">
        <f t="shared" si="293"/>
        <v>203</v>
      </c>
      <c r="F456" s="5">
        <v>600</v>
      </c>
      <c r="H456" s="5">
        <f t="shared" si="294"/>
        <v>0</v>
      </c>
      <c r="J456" s="5">
        <v>397</v>
      </c>
      <c r="K456" s="4">
        <f t="shared" si="273"/>
        <v>203</v>
      </c>
      <c r="L456" s="4">
        <v>600</v>
      </c>
      <c r="N456" s="4">
        <f t="shared" si="274"/>
        <v>0</v>
      </c>
      <c r="P456" s="3">
        <f>L456*1.0281+33</f>
        <v>649.86</v>
      </c>
      <c r="Q456" s="3"/>
      <c r="R456" s="3">
        <v>286</v>
      </c>
      <c r="S456" s="3">
        <f t="shared" si="275"/>
        <v>364</v>
      </c>
      <c r="T456" s="3">
        <v>650</v>
      </c>
      <c r="U456" s="3">
        <f t="shared" si="276"/>
        <v>0.13999999999998636</v>
      </c>
      <c r="V456" s="3">
        <v>286</v>
      </c>
      <c r="W456" s="3">
        <f t="shared" si="277"/>
        <v>364</v>
      </c>
      <c r="X456" s="3"/>
      <c r="Y456" s="3">
        <v>650</v>
      </c>
      <c r="Z456" s="3">
        <f t="shared" si="278"/>
        <v>0</v>
      </c>
      <c r="AA456" s="3"/>
      <c r="AB456" s="3"/>
      <c r="AC456" s="3">
        <v>286</v>
      </c>
      <c r="AD456" s="3">
        <f t="shared" si="292"/>
        <v>364</v>
      </c>
      <c r="AE456" s="3">
        <v>650</v>
      </c>
      <c r="AF456" s="3">
        <f t="shared" si="279"/>
        <v>0</v>
      </c>
      <c r="AG456" s="4"/>
      <c r="AH456" s="4">
        <f>AE456*1.03+30</f>
        <v>699.5</v>
      </c>
      <c r="AJ456" s="3">
        <v>286</v>
      </c>
      <c r="AK456" s="3">
        <f t="shared" si="280"/>
        <v>414</v>
      </c>
      <c r="AL456" s="3">
        <v>700</v>
      </c>
      <c r="AM456" s="3">
        <f t="shared" si="281"/>
        <v>0.5</v>
      </c>
      <c r="AO456" s="3">
        <f>AH456*1.0281</f>
        <v>719.15594999999996</v>
      </c>
      <c r="AP456" s="3"/>
      <c r="AQ456" s="3">
        <f t="shared" ref="AQ456:BE456" si="296">AO456*1.0281</f>
        <v>739.364232195</v>
      </c>
      <c r="AR456" s="3">
        <f t="shared" si="296"/>
        <v>0</v>
      </c>
      <c r="AS456" s="3">
        <f t="shared" si="296"/>
        <v>760.14036711967947</v>
      </c>
      <c r="AT456" s="3"/>
      <c r="AU456" s="3">
        <f>AS456*1.0281</f>
        <v>781.50031143574245</v>
      </c>
      <c r="AV456" s="3"/>
      <c r="AW456" s="3">
        <f t="shared" si="296"/>
        <v>803.4604701870868</v>
      </c>
      <c r="AX456" s="3">
        <f t="shared" si="296"/>
        <v>0</v>
      </c>
      <c r="AY456" s="3">
        <f t="shared" si="296"/>
        <v>826.03770939934395</v>
      </c>
      <c r="AZ456" s="3">
        <f t="shared" si="296"/>
        <v>0</v>
      </c>
      <c r="BA456" s="3">
        <f t="shared" si="296"/>
        <v>849.24936903346554</v>
      </c>
      <c r="BB456" s="3"/>
      <c r="BC456" s="3">
        <f t="shared" si="296"/>
        <v>873.11327630330595</v>
      </c>
      <c r="BE456" s="3">
        <f t="shared" si="296"/>
        <v>897.64775936742888</v>
      </c>
    </row>
    <row r="457" spans="1:57" x14ac:dyDescent="0.25">
      <c r="A457" s="3" t="s">
        <v>368</v>
      </c>
      <c r="B457" s="3">
        <v>2700</v>
      </c>
      <c r="D457" s="3">
        <v>0</v>
      </c>
      <c r="E457" s="3">
        <f t="shared" si="293"/>
        <v>2700</v>
      </c>
      <c r="F457" s="5">
        <v>2700</v>
      </c>
      <c r="H457" s="5">
        <f t="shared" si="294"/>
        <v>0</v>
      </c>
      <c r="J457" s="5">
        <v>0</v>
      </c>
      <c r="K457" s="4">
        <f t="shared" si="273"/>
        <v>2700</v>
      </c>
      <c r="L457" s="4">
        <v>2700</v>
      </c>
      <c r="N457" s="4">
        <f t="shared" si="274"/>
        <v>0</v>
      </c>
      <c r="P457" s="3">
        <v>2700</v>
      </c>
      <c r="Q457" s="3"/>
      <c r="R457" s="3">
        <v>0</v>
      </c>
      <c r="S457" s="3">
        <f t="shared" si="275"/>
        <v>2700</v>
      </c>
      <c r="T457" s="3">
        <v>2700</v>
      </c>
      <c r="U457" s="3">
        <f t="shared" si="276"/>
        <v>0</v>
      </c>
      <c r="V457" s="3">
        <v>0</v>
      </c>
      <c r="W457" s="3">
        <f t="shared" si="277"/>
        <v>2700</v>
      </c>
      <c r="X457" s="3"/>
      <c r="Y457" s="3">
        <v>2700</v>
      </c>
      <c r="Z457" s="3">
        <f t="shared" si="278"/>
        <v>0</v>
      </c>
      <c r="AA457" s="3"/>
      <c r="AB457" s="3"/>
      <c r="AC457" s="3">
        <v>0</v>
      </c>
      <c r="AD457" s="3">
        <f t="shared" si="292"/>
        <v>2700</v>
      </c>
      <c r="AE457" s="3">
        <v>2700</v>
      </c>
      <c r="AF457" s="3">
        <f t="shared" si="279"/>
        <v>0</v>
      </c>
      <c r="AG457" s="4"/>
      <c r="AH457" s="4">
        <v>2700</v>
      </c>
      <c r="AJ457" s="3">
        <v>0</v>
      </c>
      <c r="AK457" s="3">
        <f t="shared" si="280"/>
        <v>2700</v>
      </c>
      <c r="AL457" s="3">
        <v>2700</v>
      </c>
      <c r="AM457" s="3">
        <f t="shared" si="281"/>
        <v>0</v>
      </c>
      <c r="AO457" s="3">
        <v>2700</v>
      </c>
      <c r="AP457" s="3"/>
      <c r="AQ457" s="3">
        <v>2700</v>
      </c>
      <c r="AR457" s="3"/>
      <c r="AS457" s="3">
        <v>2700</v>
      </c>
      <c r="AT457" s="3"/>
      <c r="AU457" s="3">
        <v>2700</v>
      </c>
      <c r="AV457" s="42"/>
      <c r="AW457" s="3">
        <v>2700</v>
      </c>
      <c r="AX457" s="42"/>
      <c r="AY457" s="3">
        <v>2700</v>
      </c>
      <c r="AZ457" s="42"/>
      <c r="BA457" s="3">
        <v>2700</v>
      </c>
      <c r="BB457" s="42"/>
      <c r="BC457" s="3">
        <v>2700</v>
      </c>
      <c r="BE457" s="3">
        <v>2700</v>
      </c>
    </row>
    <row r="458" spans="1:57" x14ac:dyDescent="0.25">
      <c r="A458" s="3" t="s">
        <v>369</v>
      </c>
      <c r="B458" s="3">
        <v>2000</v>
      </c>
      <c r="D458" s="3">
        <v>0</v>
      </c>
      <c r="E458" s="3">
        <f t="shared" si="293"/>
        <v>2000</v>
      </c>
      <c r="F458" s="5">
        <v>2000</v>
      </c>
      <c r="H458" s="5">
        <f t="shared" si="294"/>
        <v>0</v>
      </c>
      <c r="J458" s="5">
        <v>0</v>
      </c>
      <c r="K458" s="4">
        <f t="shared" si="273"/>
        <v>2000</v>
      </c>
      <c r="L458" s="4">
        <v>2000</v>
      </c>
      <c r="N458" s="4">
        <f t="shared" si="274"/>
        <v>0</v>
      </c>
      <c r="P458" s="3">
        <f>L458*1.0281+44</f>
        <v>2100.1999999999998</v>
      </c>
      <c r="Q458" s="3"/>
      <c r="R458" s="3">
        <v>0</v>
      </c>
      <c r="S458" s="3">
        <f t="shared" si="275"/>
        <v>2100</v>
      </c>
      <c r="T458" s="3">
        <v>2100</v>
      </c>
      <c r="U458" s="3">
        <f t="shared" si="276"/>
        <v>-0.1999999999998181</v>
      </c>
      <c r="V458" s="3">
        <v>1549</v>
      </c>
      <c r="W458" s="3">
        <f t="shared" si="277"/>
        <v>551</v>
      </c>
      <c r="X458" s="3"/>
      <c r="Y458" s="3">
        <v>2100</v>
      </c>
      <c r="Z458" s="3">
        <f t="shared" si="278"/>
        <v>0</v>
      </c>
      <c r="AA458" s="3"/>
      <c r="AB458" s="3"/>
      <c r="AC458" s="3">
        <v>1549</v>
      </c>
      <c r="AD458" s="3">
        <f t="shared" si="292"/>
        <v>551</v>
      </c>
      <c r="AE458" s="3">
        <v>2100</v>
      </c>
      <c r="AF458" s="3">
        <f t="shared" si="279"/>
        <v>0</v>
      </c>
      <c r="AG458" s="4"/>
      <c r="AH458" s="4">
        <f>AE458*1.03+37+50</f>
        <v>2250</v>
      </c>
      <c r="AJ458" s="3">
        <v>0</v>
      </c>
      <c r="AK458" s="3">
        <f t="shared" si="280"/>
        <v>2250</v>
      </c>
      <c r="AL458" s="3">
        <v>2250</v>
      </c>
      <c r="AM458" s="3">
        <f t="shared" si="281"/>
        <v>0</v>
      </c>
      <c r="AO458" s="3">
        <f>AH458*1.03</f>
        <v>2317.5</v>
      </c>
      <c r="AP458" s="3"/>
      <c r="AQ458" s="3">
        <f t="shared" ref="AQ458:AU459" si="297">AO458*1.03</f>
        <v>2387.0250000000001</v>
      </c>
      <c r="AR458" s="3">
        <f t="shared" si="297"/>
        <v>0</v>
      </c>
      <c r="AS458" s="3">
        <f t="shared" si="297"/>
        <v>2458.6357500000004</v>
      </c>
      <c r="AT458" s="3">
        <f t="shared" si="297"/>
        <v>0</v>
      </c>
      <c r="AU458" s="3">
        <f t="shared" si="297"/>
        <v>2532.3948225000004</v>
      </c>
      <c r="AV458" s="3"/>
      <c r="AW458" s="3">
        <f t="shared" ref="AW458:BA459" si="298">AU458*1.03</f>
        <v>2608.3666671750007</v>
      </c>
      <c r="AX458" s="3">
        <f t="shared" si="298"/>
        <v>0</v>
      </c>
      <c r="AY458" s="3">
        <f t="shared" si="298"/>
        <v>2686.6176671902508</v>
      </c>
      <c r="AZ458" s="3">
        <f t="shared" si="298"/>
        <v>0</v>
      </c>
      <c r="BA458" s="3">
        <f t="shared" si="298"/>
        <v>2767.2161972059585</v>
      </c>
      <c r="BB458" s="3"/>
      <c r="BC458" s="3">
        <f t="shared" ref="BC458:BE459" si="299">BA458*1.03</f>
        <v>2850.2326831221371</v>
      </c>
      <c r="BD458" s="3">
        <f t="shared" si="299"/>
        <v>0</v>
      </c>
      <c r="BE458" s="3">
        <f t="shared" si="299"/>
        <v>2935.7396636158014</v>
      </c>
    </row>
    <row r="459" spans="1:57" x14ac:dyDescent="0.25">
      <c r="A459" s="3" t="s">
        <v>370</v>
      </c>
      <c r="B459" s="3">
        <v>200</v>
      </c>
      <c r="D459" s="3"/>
      <c r="E459" s="3">
        <f t="shared" si="293"/>
        <v>200</v>
      </c>
      <c r="F459" s="5">
        <v>200</v>
      </c>
      <c r="H459" s="5">
        <f t="shared" si="294"/>
        <v>0</v>
      </c>
      <c r="J459" s="5">
        <v>0</v>
      </c>
      <c r="K459" s="4">
        <f t="shared" si="273"/>
        <v>200</v>
      </c>
      <c r="L459" s="4">
        <v>200</v>
      </c>
      <c r="N459" s="4">
        <f t="shared" si="274"/>
        <v>0</v>
      </c>
      <c r="P459" s="3">
        <f>L459*1.0281+44</f>
        <v>249.62</v>
      </c>
      <c r="Q459" s="3"/>
      <c r="R459" s="3"/>
      <c r="S459" s="3">
        <f t="shared" si="275"/>
        <v>250</v>
      </c>
      <c r="T459" s="3">
        <v>250</v>
      </c>
      <c r="U459" s="3">
        <f t="shared" si="276"/>
        <v>0.37999999999999545</v>
      </c>
      <c r="V459" s="3"/>
      <c r="W459" s="3">
        <f t="shared" si="277"/>
        <v>250</v>
      </c>
      <c r="X459" s="3"/>
      <c r="Y459" s="3">
        <v>250</v>
      </c>
      <c r="Z459" s="3">
        <f t="shared" si="278"/>
        <v>0</v>
      </c>
      <c r="AA459" s="3"/>
      <c r="AB459" s="3"/>
      <c r="AC459" s="3"/>
      <c r="AD459" s="3">
        <f t="shared" si="292"/>
        <v>250</v>
      </c>
      <c r="AE459" s="3">
        <v>250</v>
      </c>
      <c r="AF459" s="3">
        <f>AE459-Y459</f>
        <v>0</v>
      </c>
      <c r="AG459" s="4"/>
      <c r="AH459" s="4">
        <f>AE459*1.03+42</f>
        <v>299.5</v>
      </c>
      <c r="AJ459" s="3">
        <v>0</v>
      </c>
      <c r="AK459" s="3">
        <f t="shared" si="280"/>
        <v>300</v>
      </c>
      <c r="AL459" s="3">
        <v>300</v>
      </c>
      <c r="AM459" s="3">
        <f t="shared" si="281"/>
        <v>0.5</v>
      </c>
      <c r="AO459" s="3">
        <f>AH459*1.03</f>
        <v>308.48500000000001</v>
      </c>
      <c r="AP459" s="3" t="e">
        <f>#REF!*1.0281</f>
        <v>#REF!</v>
      </c>
      <c r="AQ459" s="3">
        <f t="shared" si="297"/>
        <v>317.73955000000001</v>
      </c>
      <c r="AR459" s="3" t="e">
        <f t="shared" si="297"/>
        <v>#REF!</v>
      </c>
      <c r="AS459" s="3">
        <f t="shared" si="297"/>
        <v>327.27173650000003</v>
      </c>
      <c r="AT459" s="3" t="e">
        <f t="shared" si="297"/>
        <v>#REF!</v>
      </c>
      <c r="AU459" s="3">
        <f t="shared" si="297"/>
        <v>337.08988859500005</v>
      </c>
      <c r="AV459" s="3"/>
      <c r="AW459" s="3">
        <f t="shared" si="298"/>
        <v>347.20258525285004</v>
      </c>
      <c r="AX459" s="3">
        <f t="shared" si="298"/>
        <v>0</v>
      </c>
      <c r="AY459" s="3">
        <f t="shared" si="298"/>
        <v>357.61866281043558</v>
      </c>
      <c r="AZ459" s="3">
        <f t="shared" si="298"/>
        <v>0</v>
      </c>
      <c r="BA459" s="3">
        <f t="shared" si="298"/>
        <v>368.34722269474867</v>
      </c>
      <c r="BB459" s="3"/>
      <c r="BC459" s="3">
        <f t="shared" si="299"/>
        <v>379.39763937559115</v>
      </c>
      <c r="BD459" s="3">
        <f t="shared" si="299"/>
        <v>0</v>
      </c>
      <c r="BE459" s="3">
        <f t="shared" si="299"/>
        <v>390.77956855685892</v>
      </c>
    </row>
    <row r="460" spans="1:57" x14ac:dyDescent="0.25">
      <c r="A460" s="3"/>
      <c r="B460" s="48">
        <f>SUM(B430:B459)+1</f>
        <v>647546</v>
      </c>
      <c r="C460" s="32"/>
      <c r="D460" s="48">
        <f>SUM(D430:D459)+1</f>
        <v>164639</v>
      </c>
      <c r="E460" s="48">
        <f>SUM(E430:E459)+1</f>
        <v>419128</v>
      </c>
      <c r="F460" s="48">
        <f>SUM(F430:F459)+1</f>
        <v>583766</v>
      </c>
      <c r="G460" s="32"/>
      <c r="H460" s="48">
        <f>SUM(H430:H459)+1</f>
        <v>-63779</v>
      </c>
      <c r="I460" s="36"/>
      <c r="J460" s="48">
        <f>SUM(J430:J459)+1</f>
        <v>268182</v>
      </c>
      <c r="K460" s="48">
        <f>SUM(K430:K459)+1</f>
        <v>327385</v>
      </c>
      <c r="L460" s="48">
        <f>SUM(L430:L459)+1</f>
        <v>595566</v>
      </c>
      <c r="M460" s="32"/>
      <c r="N460" s="48">
        <f>SUM(N430:N459)+1</f>
        <v>11801</v>
      </c>
      <c r="P460" s="48">
        <f>SUM(P430:P459)</f>
        <v>649748.70499999984</v>
      </c>
      <c r="R460" s="48">
        <f t="shared" ref="R460:W460" si="300">SUM(R430:R459)</f>
        <v>214087</v>
      </c>
      <c r="S460" s="48">
        <f t="shared" si="300"/>
        <v>481048</v>
      </c>
      <c r="T460" s="48">
        <f t="shared" si="300"/>
        <v>695135</v>
      </c>
      <c r="U460" s="48">
        <f t="shared" si="300"/>
        <v>45386.295000000006</v>
      </c>
      <c r="V460" s="48">
        <f t="shared" si="300"/>
        <v>301447</v>
      </c>
      <c r="W460" s="48">
        <f t="shared" si="300"/>
        <v>397838</v>
      </c>
      <c r="X460" s="48"/>
      <c r="Y460" s="48">
        <f>SUM(Y430:Y459)</f>
        <v>699285</v>
      </c>
      <c r="Z460" s="48">
        <f>SUM(Z430:Z459)</f>
        <v>4150</v>
      </c>
      <c r="AC460" s="48">
        <f>SUM(AC430:AC459)</f>
        <v>530417</v>
      </c>
      <c r="AD460" s="48">
        <f>SUM(AD430:AD459)</f>
        <v>196268</v>
      </c>
      <c r="AE460" s="48">
        <f>SUM(AE430:AE459)</f>
        <v>726685</v>
      </c>
      <c r="AF460" s="48">
        <f>SUM(AF430:AF459)</f>
        <v>27400</v>
      </c>
      <c r="AH460" s="36">
        <f>SUM(AH430:AH459)</f>
        <v>772547.51249999995</v>
      </c>
      <c r="AI460" s="32"/>
      <c r="AJ460" s="48">
        <f>SUM(AJ430:AJ459)</f>
        <v>182424</v>
      </c>
      <c r="AK460" s="48">
        <f>SUM(AK430:AK459)</f>
        <v>590191</v>
      </c>
      <c r="AL460" s="48">
        <f>SUM(AL430:AL459)</f>
        <v>772615</v>
      </c>
      <c r="AM460" s="48">
        <f>SUM(AM430:AM459)</f>
        <v>67.48750000000291</v>
      </c>
      <c r="AN460" s="32"/>
      <c r="AO460" s="48">
        <f>SUM(AO430:AO459)</f>
        <v>796608.608825</v>
      </c>
      <c r="AQ460" s="48">
        <f>SUM(AQ430:AQ459)</f>
        <v>820557.00069344474</v>
      </c>
      <c r="AS460" s="48">
        <f>SUM(AS430:AS459)</f>
        <v>845236.52467220731</v>
      </c>
      <c r="AT460" s="48"/>
      <c r="AU460" s="48">
        <f>SUM(AU430:AU459)</f>
        <v>870669.46341130079</v>
      </c>
      <c r="AW460" s="48">
        <f>SUM(AW430:AW459)</f>
        <v>896878.7776284779</v>
      </c>
      <c r="AY460" s="48">
        <f>SUM(AY430:AY459)</f>
        <v>923888.12671491783</v>
      </c>
      <c r="BA460" s="48">
        <f>SUM(BA430:BA459)</f>
        <v>951721.88996633992</v>
      </c>
      <c r="BC460" s="48">
        <f>SUM(BC430:BC459)</f>
        <v>980405.18845849577</v>
      </c>
      <c r="BE460" s="48">
        <f>SUM(BE430:BE459)</f>
        <v>1009963.9075865836</v>
      </c>
    </row>
    <row r="461" spans="1:57" ht="15.75" thickBot="1" x14ac:dyDescent="0.3">
      <c r="A461" s="7" t="s">
        <v>249</v>
      </c>
      <c r="B461" s="43">
        <f>B460+B426+B375-1</f>
        <v>2098740</v>
      </c>
      <c r="C461" s="32"/>
      <c r="D461" s="43">
        <f>D460+D426+D375-1</f>
        <v>649771</v>
      </c>
      <c r="E461" s="43">
        <f>E460+E426+E375-1</f>
        <v>1392088</v>
      </c>
      <c r="F461" s="43">
        <f>F460+F426+F375-1</f>
        <v>2041856</v>
      </c>
      <c r="G461" s="32"/>
      <c r="H461" s="43">
        <f>H460+H426+H375-1</f>
        <v>-56883</v>
      </c>
      <c r="I461" s="36"/>
      <c r="J461" s="43">
        <f>J460+J426+J375-1</f>
        <v>1110480</v>
      </c>
      <c r="K461" s="43">
        <f>K460+K426+K375-1</f>
        <v>981054</v>
      </c>
      <c r="L461" s="43">
        <f>L460+L426+L375-1</f>
        <v>2091531</v>
      </c>
      <c r="M461" s="32"/>
      <c r="N461" s="43">
        <f>N460+N426+N375-1</f>
        <v>49677</v>
      </c>
      <c r="P461" s="43">
        <f>P460+P426+P375</f>
        <v>2144658.1229999997</v>
      </c>
      <c r="R461" s="43">
        <f t="shared" ref="R461:W461" si="301">R460+R426+R375</f>
        <v>688626</v>
      </c>
      <c r="S461" s="43">
        <f t="shared" si="301"/>
        <v>1554474</v>
      </c>
      <c r="T461" s="43">
        <f t="shared" si="301"/>
        <v>2243100</v>
      </c>
      <c r="U461" s="43">
        <f t="shared" si="301"/>
        <v>98442.877000000008</v>
      </c>
      <c r="V461" s="43">
        <f t="shared" si="301"/>
        <v>1084081</v>
      </c>
      <c r="W461" s="43">
        <f t="shared" si="301"/>
        <v>1160869</v>
      </c>
      <c r="X461" s="43"/>
      <c r="Y461" s="43">
        <f>Y460+Y426+Y375</f>
        <v>2244950</v>
      </c>
      <c r="Z461" s="43">
        <f>Z460+Z426+Z375</f>
        <v>1850</v>
      </c>
      <c r="AC461" s="43">
        <f>AC460+AC426+AC375</f>
        <v>1496546</v>
      </c>
      <c r="AD461" s="43">
        <f>AD460+AD426+AD375</f>
        <v>789504</v>
      </c>
      <c r="AE461" s="43">
        <f>AE460+AE426+AE375</f>
        <v>2286050</v>
      </c>
      <c r="AF461" s="43">
        <f>AF460+AF426+AF375</f>
        <v>41100</v>
      </c>
      <c r="AH461" s="36">
        <f>AH460+AH426+AH375</f>
        <v>2362088.6625000001</v>
      </c>
      <c r="AI461" s="32"/>
      <c r="AJ461" s="43">
        <f>AJ460+AJ426+AJ375</f>
        <v>632813</v>
      </c>
      <c r="AK461" s="43">
        <f>AK460+AK426+AK375</f>
        <v>1745662</v>
      </c>
      <c r="AL461" s="43">
        <f>AL460+AL426+AL375</f>
        <v>2378475</v>
      </c>
      <c r="AM461" s="43">
        <f>AM460+AM426+AM375</f>
        <v>16386.337499999998</v>
      </c>
      <c r="AN461" s="32"/>
      <c r="AO461" s="43">
        <f>AO460+AO426+AO375</f>
        <v>2413491.3792750002</v>
      </c>
      <c r="AQ461" s="43">
        <f>AQ460+AQ426+AQ375</f>
        <v>2471960.6366821397</v>
      </c>
      <c r="AS461" s="43">
        <f>AS460+AS426+AS375</f>
        <v>2545611.8062986657</v>
      </c>
      <c r="AT461" s="43"/>
      <c r="AU461" s="43">
        <f>AU460+AU426+AU375</f>
        <v>2569554.5306216781</v>
      </c>
      <c r="AW461" s="43">
        <f>AW460+AW426+AW375</f>
        <v>2645909.7855187147</v>
      </c>
      <c r="AY461" s="43">
        <f>AY460+AY426+AY375</f>
        <v>2584049.0861635897</v>
      </c>
      <c r="BA461" s="43">
        <f>BA460+BA426+BA375</f>
        <v>2692159.2439028258</v>
      </c>
      <c r="BC461" s="43">
        <f>BC460+BC426+BC375</f>
        <v>2727397.2243671967</v>
      </c>
      <c r="BE461" s="43">
        <f>BE460+BE426+BE375</f>
        <v>2806740.0479829796</v>
      </c>
    </row>
    <row r="462" spans="1:57" s="42" customFormat="1" ht="15.75" thickTop="1" x14ac:dyDescent="0.25">
      <c r="A462" s="7" t="s">
        <v>77</v>
      </c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4"/>
      <c r="N462" s="3"/>
      <c r="O462" s="4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4"/>
      <c r="AH462" s="4"/>
      <c r="AI462" s="4"/>
      <c r="AJ462" s="3"/>
      <c r="AK462" s="3"/>
      <c r="AL462" s="3"/>
      <c r="AM462" s="3"/>
      <c r="AN462" s="4"/>
      <c r="AO462" s="3"/>
      <c r="AP462" s="3"/>
      <c r="AQ462" s="3"/>
      <c r="AR462" s="3"/>
      <c r="AS462" s="3"/>
      <c r="AT462" s="3"/>
      <c r="AU462" s="3"/>
      <c r="AW462" s="3"/>
      <c r="AY462" s="3"/>
      <c r="BA462" s="3"/>
      <c r="BC462" s="3"/>
      <c r="BE462" s="3"/>
    </row>
    <row r="463" spans="1:57" s="42" customFormat="1" x14ac:dyDescent="0.25">
      <c r="A463" s="7" t="s">
        <v>78</v>
      </c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4"/>
      <c r="N463" s="3"/>
      <c r="O463" s="4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4"/>
      <c r="AH463" s="4"/>
      <c r="AI463" s="4"/>
      <c r="AJ463" s="3"/>
      <c r="AK463" s="3"/>
      <c r="AL463" s="3"/>
      <c r="AM463" s="3"/>
      <c r="AN463" s="4"/>
      <c r="AO463" s="3"/>
      <c r="AP463" s="3"/>
      <c r="AQ463" s="3"/>
      <c r="AR463" s="3"/>
      <c r="AS463" s="3"/>
      <c r="AT463" s="3"/>
      <c r="AU463" s="3"/>
      <c r="AW463" s="3"/>
      <c r="AY463" s="3"/>
      <c r="BA463" s="3"/>
      <c r="BC463" s="3"/>
      <c r="BE463" s="3"/>
    </row>
    <row r="464" spans="1:57" x14ac:dyDescent="0.25">
      <c r="A464" s="3" t="s">
        <v>371</v>
      </c>
      <c r="B464" s="3">
        <v>116540</v>
      </c>
      <c r="D464" s="3">
        <v>0</v>
      </c>
      <c r="E464" s="3">
        <f t="shared" ref="E464:E472" si="302">F464-D464</f>
        <v>116540</v>
      </c>
      <c r="F464" s="5">
        <v>116540</v>
      </c>
      <c r="H464" s="5">
        <f t="shared" ref="H464:H472" si="303">F464-B464</f>
        <v>0</v>
      </c>
      <c r="J464" s="5">
        <v>138933</v>
      </c>
      <c r="K464" s="4">
        <f t="shared" ref="K464:K472" si="304">L464-J464</f>
        <v>2</v>
      </c>
      <c r="L464" s="4">
        <v>138935</v>
      </c>
      <c r="N464" s="4">
        <f t="shared" ref="N464:N472" si="305">L464-F464</f>
        <v>22395</v>
      </c>
      <c r="P464" s="3">
        <v>155250</v>
      </c>
      <c r="Q464" s="3"/>
      <c r="R464" s="3">
        <v>35255</v>
      </c>
      <c r="S464" s="3">
        <f t="shared" ref="S464:S472" si="306">T464-R464</f>
        <v>119995</v>
      </c>
      <c r="T464" s="3">
        <v>155250</v>
      </c>
      <c r="U464" s="3">
        <f t="shared" ref="U464:U472" si="307">T464-P464</f>
        <v>0</v>
      </c>
      <c r="V464" s="3">
        <v>35255</v>
      </c>
      <c r="W464" s="3">
        <f t="shared" ref="W464:W472" si="308">Y464-V464</f>
        <v>119995</v>
      </c>
      <c r="X464" s="3"/>
      <c r="Y464" s="3">
        <v>155250</v>
      </c>
      <c r="Z464" s="3">
        <f t="shared" ref="Z464:Z472" si="309">Y464-T464</f>
        <v>0</v>
      </c>
      <c r="AA464" s="3"/>
      <c r="AB464" s="3"/>
      <c r="AC464" s="3">
        <v>35256</v>
      </c>
      <c r="AD464" s="3">
        <f t="shared" ref="AD464:AD472" si="310">AE464-AC464</f>
        <v>119994</v>
      </c>
      <c r="AE464" s="3">
        <v>155250</v>
      </c>
      <c r="AF464" s="3">
        <f t="shared" ref="AF464:AF472" si="311">AE464-Y464</f>
        <v>0</v>
      </c>
      <c r="AG464" s="4"/>
      <c r="AH464" s="4">
        <v>140000</v>
      </c>
      <c r="AJ464" s="3">
        <v>74794</v>
      </c>
      <c r="AK464" s="3">
        <f t="shared" ref="AK464:AK472" si="312">AL464-AJ464</f>
        <v>65206</v>
      </c>
      <c r="AL464" s="3">
        <v>140000</v>
      </c>
      <c r="AM464" s="3">
        <f t="shared" ref="AM464:AM472" si="313">AL464-AH464</f>
        <v>0</v>
      </c>
      <c r="AO464" s="3">
        <f t="shared" ref="AO464:AO469" si="314">AH464*1.03</f>
        <v>144200</v>
      </c>
      <c r="AP464" s="3"/>
      <c r="AQ464" s="3">
        <f t="shared" ref="AQ464:AU469" si="315">AO464*1.03</f>
        <v>148526</v>
      </c>
      <c r="AR464" s="3">
        <f t="shared" si="315"/>
        <v>0</v>
      </c>
      <c r="AS464" s="3">
        <f t="shared" si="315"/>
        <v>152981.78</v>
      </c>
      <c r="AT464" s="3">
        <f t="shared" si="315"/>
        <v>0</v>
      </c>
      <c r="AU464" s="3">
        <f t="shared" si="315"/>
        <v>157571.2334</v>
      </c>
      <c r="AV464" s="3"/>
      <c r="AW464" s="3">
        <f t="shared" ref="AW464:BA469" si="316">AU464*1.03</f>
        <v>162298.370402</v>
      </c>
      <c r="AX464" s="3">
        <f t="shared" si="316"/>
        <v>0</v>
      </c>
      <c r="AY464" s="3">
        <f t="shared" si="316"/>
        <v>167167.32151405999</v>
      </c>
      <c r="AZ464" s="3">
        <f t="shared" si="316"/>
        <v>0</v>
      </c>
      <c r="BA464" s="3">
        <f t="shared" si="316"/>
        <v>172182.34115948179</v>
      </c>
      <c r="BB464" s="3"/>
      <c r="BC464" s="3">
        <f t="shared" ref="BC464:BE469" si="317">BA464*1.03</f>
        <v>177347.81139426626</v>
      </c>
      <c r="BD464" s="3">
        <f t="shared" si="317"/>
        <v>0</v>
      </c>
      <c r="BE464" s="3">
        <f t="shared" si="317"/>
        <v>182668.24573609425</v>
      </c>
    </row>
    <row r="465" spans="1:57" x14ac:dyDescent="0.25">
      <c r="A465" s="3" t="s">
        <v>372</v>
      </c>
      <c r="B465" s="3"/>
      <c r="D465" s="3"/>
      <c r="E465" s="3">
        <f t="shared" si="302"/>
        <v>0</v>
      </c>
      <c r="H465" s="5">
        <f t="shared" si="303"/>
        <v>0</v>
      </c>
      <c r="K465" s="4">
        <f t="shared" si="304"/>
        <v>0</v>
      </c>
      <c r="L465" s="4"/>
      <c r="N465" s="4">
        <f t="shared" si="305"/>
        <v>0</v>
      </c>
      <c r="P465" s="3"/>
      <c r="Q465" s="3"/>
      <c r="R465" s="3"/>
      <c r="S465" s="3">
        <f t="shared" si="306"/>
        <v>0</v>
      </c>
      <c r="T465" s="3"/>
      <c r="U465" s="3">
        <f t="shared" si="307"/>
        <v>0</v>
      </c>
      <c r="V465" s="3"/>
      <c r="W465" s="3">
        <f t="shared" si="308"/>
        <v>0</v>
      </c>
      <c r="X465" s="3"/>
      <c r="Y465" s="3"/>
      <c r="Z465" s="3">
        <f t="shared" si="309"/>
        <v>0</v>
      </c>
      <c r="AA465" s="3"/>
      <c r="AB465" s="3"/>
      <c r="AC465" s="3"/>
      <c r="AD465" s="3">
        <f t="shared" si="310"/>
        <v>0</v>
      </c>
      <c r="AE465" s="3"/>
      <c r="AF465" s="3">
        <f t="shared" si="311"/>
        <v>0</v>
      </c>
      <c r="AG465" s="4"/>
      <c r="AH465" s="4">
        <f>P465*1.0281</f>
        <v>0</v>
      </c>
      <c r="AJ465" s="3"/>
      <c r="AK465" s="3">
        <f t="shared" si="312"/>
        <v>0</v>
      </c>
      <c r="AL465" s="3"/>
      <c r="AM465" s="3">
        <f t="shared" si="313"/>
        <v>0</v>
      </c>
      <c r="AO465" s="3">
        <f t="shared" si="314"/>
        <v>0</v>
      </c>
      <c r="AP465" s="3"/>
      <c r="AQ465" s="3">
        <f t="shared" si="315"/>
        <v>0</v>
      </c>
      <c r="AR465" s="3">
        <f t="shared" si="315"/>
        <v>0</v>
      </c>
      <c r="AS465" s="3">
        <f t="shared" si="315"/>
        <v>0</v>
      </c>
      <c r="AT465" s="3">
        <f t="shared" si="315"/>
        <v>0</v>
      </c>
      <c r="AU465" s="3">
        <f t="shared" si="315"/>
        <v>0</v>
      </c>
      <c r="AV465" s="3"/>
      <c r="AW465" s="3">
        <f t="shared" si="316"/>
        <v>0</v>
      </c>
      <c r="AX465" s="3">
        <f t="shared" si="316"/>
        <v>0</v>
      </c>
      <c r="AY465" s="3">
        <f t="shared" si="316"/>
        <v>0</v>
      </c>
      <c r="AZ465" s="3">
        <f t="shared" si="316"/>
        <v>0</v>
      </c>
      <c r="BA465" s="3">
        <f t="shared" si="316"/>
        <v>0</v>
      </c>
      <c r="BB465" s="3"/>
      <c r="BC465" s="3">
        <f t="shared" si="317"/>
        <v>0</v>
      </c>
      <c r="BD465" s="3">
        <f t="shared" si="317"/>
        <v>0</v>
      </c>
      <c r="BE465" s="3">
        <f t="shared" si="317"/>
        <v>0</v>
      </c>
    </row>
    <row r="466" spans="1:57" x14ac:dyDescent="0.25">
      <c r="A466" s="3" t="s">
        <v>373</v>
      </c>
      <c r="B466" s="3">
        <v>-43740</v>
      </c>
      <c r="D466" s="3">
        <v>0</v>
      </c>
      <c r="E466" s="3">
        <f t="shared" si="302"/>
        <v>-43740</v>
      </c>
      <c r="F466" s="5">
        <v>-43740</v>
      </c>
      <c r="H466" s="5">
        <f t="shared" si="303"/>
        <v>0</v>
      </c>
      <c r="J466" s="5">
        <v>-43736</v>
      </c>
      <c r="K466" s="4">
        <f t="shared" si="304"/>
        <v>-4</v>
      </c>
      <c r="L466" s="4">
        <v>-43740</v>
      </c>
      <c r="N466" s="4">
        <f t="shared" si="305"/>
        <v>0</v>
      </c>
      <c r="P466" s="3" t="s">
        <v>374</v>
      </c>
      <c r="Q466" s="3"/>
      <c r="R466" s="3">
        <v>0</v>
      </c>
      <c r="S466" s="3">
        <f t="shared" si="306"/>
        <v>-60040</v>
      </c>
      <c r="T466" s="3">
        <v>-60040</v>
      </c>
      <c r="U466" s="3" t="e">
        <f t="shared" si="307"/>
        <v>#VALUE!</v>
      </c>
      <c r="V466" s="3"/>
      <c r="W466" s="3">
        <f t="shared" si="308"/>
        <v>-60040</v>
      </c>
      <c r="X466" s="3"/>
      <c r="Y466" s="3">
        <v>-60040</v>
      </c>
      <c r="Z466" s="3">
        <f t="shared" si="309"/>
        <v>0</v>
      </c>
      <c r="AA466" s="3"/>
      <c r="AB466" s="3"/>
      <c r="AC466" s="3">
        <v>0</v>
      </c>
      <c r="AD466" s="3">
        <f t="shared" si="310"/>
        <v>-60040</v>
      </c>
      <c r="AE466" s="3">
        <v>-60040</v>
      </c>
      <c r="AF466" s="3">
        <f t="shared" si="311"/>
        <v>0</v>
      </c>
      <c r="AG466" s="4"/>
      <c r="AH466" s="4">
        <f>-52180-20</f>
        <v>-52200</v>
      </c>
      <c r="AJ466" s="3">
        <v>0</v>
      </c>
      <c r="AK466" s="3">
        <f t="shared" si="312"/>
        <v>-52200</v>
      </c>
      <c r="AL466" s="3">
        <v>-52200</v>
      </c>
      <c r="AM466" s="3">
        <f t="shared" si="313"/>
        <v>0</v>
      </c>
      <c r="AO466" s="3">
        <f t="shared" si="314"/>
        <v>-53766</v>
      </c>
      <c r="AP466" s="3"/>
      <c r="AQ466" s="3">
        <f t="shared" si="315"/>
        <v>-55378.98</v>
      </c>
      <c r="AR466" s="3">
        <f t="shared" si="315"/>
        <v>0</v>
      </c>
      <c r="AS466" s="3">
        <f t="shared" si="315"/>
        <v>-57040.349400000006</v>
      </c>
      <c r="AT466" s="3">
        <f t="shared" si="315"/>
        <v>0</v>
      </c>
      <c r="AU466" s="3">
        <f t="shared" si="315"/>
        <v>-58751.559882000009</v>
      </c>
      <c r="AV466" s="3"/>
      <c r="AW466" s="3">
        <f t="shared" si="316"/>
        <v>-60514.106678460012</v>
      </c>
      <c r="AX466" s="3">
        <f t="shared" si="316"/>
        <v>0</v>
      </c>
      <c r="AY466" s="3">
        <f t="shared" si="316"/>
        <v>-62329.529878813817</v>
      </c>
      <c r="AZ466" s="3">
        <f t="shared" si="316"/>
        <v>0</v>
      </c>
      <c r="BA466" s="3">
        <f t="shared" si="316"/>
        <v>-64199.415775178233</v>
      </c>
      <c r="BB466" s="3"/>
      <c r="BC466" s="3">
        <f t="shared" si="317"/>
        <v>-66125.398248433587</v>
      </c>
      <c r="BD466" s="3">
        <f t="shared" si="317"/>
        <v>0</v>
      </c>
      <c r="BE466" s="3">
        <f t="shared" si="317"/>
        <v>-68109.160195886594</v>
      </c>
    </row>
    <row r="467" spans="1:57" s="42" customFormat="1" x14ac:dyDescent="0.25">
      <c r="A467" s="3" t="s">
        <v>90</v>
      </c>
      <c r="B467" s="3">
        <v>4000</v>
      </c>
      <c r="C467" s="3"/>
      <c r="D467" s="3"/>
      <c r="E467" s="3">
        <f t="shared" si="302"/>
        <v>4000</v>
      </c>
      <c r="F467" s="5">
        <v>4000</v>
      </c>
      <c r="G467" s="3"/>
      <c r="H467" s="5">
        <f t="shared" si="303"/>
        <v>0</v>
      </c>
      <c r="I467" s="5"/>
      <c r="J467" s="5">
        <v>0</v>
      </c>
      <c r="K467" s="4">
        <f t="shared" si="304"/>
        <v>2000</v>
      </c>
      <c r="L467" s="4">
        <v>2000</v>
      </c>
      <c r="M467" s="4"/>
      <c r="N467" s="4">
        <f t="shared" si="305"/>
        <v>-2000</v>
      </c>
      <c r="O467" s="4"/>
      <c r="P467" s="3">
        <v>3000</v>
      </c>
      <c r="Q467" s="3"/>
      <c r="R467" s="3">
        <v>0</v>
      </c>
      <c r="S467" s="3">
        <f t="shared" si="306"/>
        <v>3000</v>
      </c>
      <c r="T467" s="3">
        <v>3000</v>
      </c>
      <c r="U467" s="3">
        <f t="shared" si="307"/>
        <v>0</v>
      </c>
      <c r="V467" s="3"/>
      <c r="W467" s="3">
        <f t="shared" si="308"/>
        <v>3000</v>
      </c>
      <c r="X467" s="3"/>
      <c r="Y467" s="3">
        <v>3000</v>
      </c>
      <c r="Z467" s="3">
        <f t="shared" si="309"/>
        <v>0</v>
      </c>
      <c r="AA467" s="3"/>
      <c r="AB467" s="3"/>
      <c r="AC467" s="3">
        <v>0</v>
      </c>
      <c r="AD467" s="3">
        <f t="shared" si="310"/>
        <v>3000</v>
      </c>
      <c r="AE467" s="3">
        <v>3000</v>
      </c>
      <c r="AF467" s="3">
        <f t="shared" si="311"/>
        <v>0</v>
      </c>
      <c r="AG467" s="4"/>
      <c r="AH467" s="4">
        <f>AE467*1.03+10</f>
        <v>3100</v>
      </c>
      <c r="AI467" s="4"/>
      <c r="AJ467" s="3">
        <v>0</v>
      </c>
      <c r="AK467" s="3">
        <f t="shared" si="312"/>
        <v>3100</v>
      </c>
      <c r="AL467" s="3">
        <v>3100</v>
      </c>
      <c r="AM467" s="3">
        <f t="shared" si="313"/>
        <v>0</v>
      </c>
      <c r="AN467" s="4"/>
      <c r="AO467" s="3">
        <f t="shared" si="314"/>
        <v>3193</v>
      </c>
      <c r="AP467" s="3"/>
      <c r="AQ467" s="3">
        <f t="shared" si="315"/>
        <v>3288.79</v>
      </c>
      <c r="AR467" s="3">
        <f t="shared" si="315"/>
        <v>0</v>
      </c>
      <c r="AS467" s="3">
        <f t="shared" si="315"/>
        <v>3387.4537</v>
      </c>
      <c r="AT467" s="3">
        <f t="shared" si="315"/>
        <v>0</v>
      </c>
      <c r="AU467" s="3">
        <f t="shared" si="315"/>
        <v>3489.077311</v>
      </c>
      <c r="AV467" s="3"/>
      <c r="AW467" s="3">
        <f t="shared" si="316"/>
        <v>3593.7496303299999</v>
      </c>
      <c r="AX467" s="3">
        <f t="shared" si="316"/>
        <v>0</v>
      </c>
      <c r="AY467" s="3">
        <f t="shared" si="316"/>
        <v>3701.5621192398999</v>
      </c>
      <c r="AZ467" s="3">
        <f t="shared" si="316"/>
        <v>0</v>
      </c>
      <c r="BA467" s="3">
        <f t="shared" si="316"/>
        <v>3812.6089828170971</v>
      </c>
      <c r="BB467" s="3"/>
      <c r="BC467" s="3">
        <f t="shared" si="317"/>
        <v>3926.9872523016102</v>
      </c>
      <c r="BD467" s="3">
        <f t="shared" si="317"/>
        <v>0</v>
      </c>
      <c r="BE467" s="3">
        <f t="shared" si="317"/>
        <v>4044.7968698706586</v>
      </c>
    </row>
    <row r="468" spans="1:57" s="42" customFormat="1" x14ac:dyDescent="0.25">
      <c r="A468" s="3" t="s">
        <v>375</v>
      </c>
      <c r="B468" s="3"/>
      <c r="C468" s="3"/>
      <c r="D468" s="3"/>
      <c r="E468" s="3"/>
      <c r="F468" s="5"/>
      <c r="G468" s="3"/>
      <c r="H468" s="5"/>
      <c r="I468" s="5"/>
      <c r="J468" s="5"/>
      <c r="K468" s="4"/>
      <c r="L468" s="4"/>
      <c r="M468" s="4"/>
      <c r="N468" s="4"/>
      <c r="O468" s="4"/>
      <c r="P468" s="3">
        <v>13480</v>
      </c>
      <c r="Q468" s="3"/>
      <c r="R468" s="3">
        <v>0</v>
      </c>
      <c r="S468" s="3">
        <f t="shared" si="306"/>
        <v>13480</v>
      </c>
      <c r="T468" s="3">
        <v>13480</v>
      </c>
      <c r="U468" s="3">
        <f t="shared" si="307"/>
        <v>0</v>
      </c>
      <c r="V468" s="3"/>
      <c r="W468" s="3">
        <f t="shared" si="308"/>
        <v>13480</v>
      </c>
      <c r="X468" s="3"/>
      <c r="Y468" s="3">
        <v>13480</v>
      </c>
      <c r="Z468" s="3">
        <f t="shared" si="309"/>
        <v>0</v>
      </c>
      <c r="AA468" s="3"/>
      <c r="AB468" s="3"/>
      <c r="AC468" s="3">
        <v>0</v>
      </c>
      <c r="AD468" s="3">
        <f t="shared" si="310"/>
        <v>13480</v>
      </c>
      <c r="AE468" s="3">
        <v>13480</v>
      </c>
      <c r="AF468" s="3">
        <f t="shared" si="311"/>
        <v>0</v>
      </c>
      <c r="AG468" s="4"/>
      <c r="AH468" s="4">
        <v>14800</v>
      </c>
      <c r="AI468" s="4"/>
      <c r="AJ468" s="3">
        <v>0</v>
      </c>
      <c r="AK468" s="3">
        <f t="shared" si="312"/>
        <v>14800</v>
      </c>
      <c r="AL468" s="3">
        <v>14800</v>
      </c>
      <c r="AM468" s="3">
        <f t="shared" si="313"/>
        <v>0</v>
      </c>
      <c r="AN468" s="4"/>
      <c r="AO468" s="3">
        <f t="shared" si="314"/>
        <v>15244</v>
      </c>
      <c r="AP468" s="3"/>
      <c r="AQ468" s="3">
        <f t="shared" si="315"/>
        <v>15701.32</v>
      </c>
      <c r="AR468" s="3">
        <f t="shared" si="315"/>
        <v>0</v>
      </c>
      <c r="AS468" s="3">
        <f t="shared" si="315"/>
        <v>16172.3596</v>
      </c>
      <c r="AT468" s="3">
        <f t="shared" si="315"/>
        <v>0</v>
      </c>
      <c r="AU468" s="3">
        <f t="shared" si="315"/>
        <v>16657.530387999999</v>
      </c>
      <c r="AV468" s="3"/>
      <c r="AW468" s="3">
        <f t="shared" si="316"/>
        <v>17157.256299640001</v>
      </c>
      <c r="AX468" s="3">
        <f t="shared" si="316"/>
        <v>0</v>
      </c>
      <c r="AY468" s="3">
        <f t="shared" si="316"/>
        <v>17671.973988629201</v>
      </c>
      <c r="AZ468" s="3">
        <f t="shared" si="316"/>
        <v>0</v>
      </c>
      <c r="BA468" s="3">
        <f t="shared" si="316"/>
        <v>18202.133208288076</v>
      </c>
      <c r="BB468" s="3"/>
      <c r="BC468" s="3">
        <f t="shared" si="317"/>
        <v>18748.197204536718</v>
      </c>
      <c r="BD468" s="3">
        <f t="shared" si="317"/>
        <v>0</v>
      </c>
      <c r="BE468" s="3">
        <f t="shared" si="317"/>
        <v>19310.643120672819</v>
      </c>
    </row>
    <row r="469" spans="1:57" x14ac:dyDescent="0.25">
      <c r="A469" s="3" t="s">
        <v>376</v>
      </c>
      <c r="B469" s="3">
        <v>75500</v>
      </c>
      <c r="D469" s="3">
        <v>13522</v>
      </c>
      <c r="E469" s="3">
        <f t="shared" si="302"/>
        <v>61978</v>
      </c>
      <c r="F469" s="5">
        <v>75500</v>
      </c>
      <c r="H469" s="5">
        <f t="shared" si="303"/>
        <v>0</v>
      </c>
      <c r="J469" s="5">
        <v>24415</v>
      </c>
      <c r="K469" s="4">
        <f t="shared" si="304"/>
        <v>51085</v>
      </c>
      <c r="L469" s="4">
        <v>75500</v>
      </c>
      <c r="N469" s="4">
        <f t="shared" si="305"/>
        <v>0</v>
      </c>
      <c r="P469" s="3">
        <v>71050</v>
      </c>
      <c r="Q469" s="3"/>
      <c r="R469" s="3">
        <v>7574</v>
      </c>
      <c r="S469" s="3">
        <f t="shared" si="306"/>
        <v>63476</v>
      </c>
      <c r="T469" s="3">
        <v>71050</v>
      </c>
      <c r="U469" s="3">
        <f t="shared" si="307"/>
        <v>0</v>
      </c>
      <c r="V469" s="3">
        <v>24408</v>
      </c>
      <c r="W469" s="3">
        <f t="shared" si="308"/>
        <v>46642</v>
      </c>
      <c r="X469" s="3"/>
      <c r="Y469" s="3">
        <v>71050</v>
      </c>
      <c r="Z469" s="3">
        <f t="shared" si="309"/>
        <v>0</v>
      </c>
      <c r="AA469" s="3"/>
      <c r="AB469" s="3"/>
      <c r="AC469" s="3">
        <v>43235</v>
      </c>
      <c r="AD469" s="3">
        <f t="shared" si="310"/>
        <v>27815</v>
      </c>
      <c r="AE469" s="3">
        <v>71050</v>
      </c>
      <c r="AF469" s="3">
        <f t="shared" si="311"/>
        <v>0</v>
      </c>
      <c r="AG469" s="4"/>
      <c r="AH469" s="4">
        <v>78650</v>
      </c>
      <c r="AJ469" s="3">
        <f>5159+3296+421</f>
        <v>8876</v>
      </c>
      <c r="AK469" s="3">
        <f t="shared" si="312"/>
        <v>69774</v>
      </c>
      <c r="AL469" s="3">
        <v>78650</v>
      </c>
      <c r="AM469" s="3">
        <f t="shared" si="313"/>
        <v>0</v>
      </c>
      <c r="AO469" s="3">
        <f t="shared" si="314"/>
        <v>81009.5</v>
      </c>
      <c r="AP469" s="3"/>
      <c r="AQ469" s="3">
        <f t="shared" si="315"/>
        <v>83439.785000000003</v>
      </c>
      <c r="AR469" s="3">
        <f t="shared" si="315"/>
        <v>0</v>
      </c>
      <c r="AS469" s="3">
        <f t="shared" si="315"/>
        <v>85942.97855</v>
      </c>
      <c r="AT469" s="3">
        <f t="shared" si="315"/>
        <v>0</v>
      </c>
      <c r="AU469" s="3">
        <f t="shared" si="315"/>
        <v>88521.267906499997</v>
      </c>
      <c r="AV469" s="3"/>
      <c r="AW469" s="3">
        <f t="shared" si="316"/>
        <v>91176.905943695005</v>
      </c>
      <c r="AX469" s="3">
        <f t="shared" si="316"/>
        <v>0</v>
      </c>
      <c r="AY469" s="3">
        <f t="shared" si="316"/>
        <v>93912.213122005851</v>
      </c>
      <c r="AZ469" s="3">
        <f t="shared" si="316"/>
        <v>0</v>
      </c>
      <c r="BA469" s="3">
        <f t="shared" si="316"/>
        <v>96729.579515666032</v>
      </c>
      <c r="BB469" s="3"/>
      <c r="BC469" s="3">
        <f t="shared" si="317"/>
        <v>99631.466901136009</v>
      </c>
      <c r="BD469" s="3">
        <f t="shared" si="317"/>
        <v>0</v>
      </c>
      <c r="BE469" s="3">
        <f t="shared" si="317"/>
        <v>102620.41090817009</v>
      </c>
    </row>
    <row r="470" spans="1:57" x14ac:dyDescent="0.25">
      <c r="A470" s="3" t="s">
        <v>377</v>
      </c>
      <c r="B470" s="3"/>
      <c r="D470" s="3"/>
      <c r="E470" s="3">
        <f t="shared" si="302"/>
        <v>0</v>
      </c>
      <c r="H470" s="5">
        <f t="shared" si="303"/>
        <v>0</v>
      </c>
      <c r="K470" s="4">
        <f t="shared" si="304"/>
        <v>0</v>
      </c>
      <c r="L470" s="4"/>
      <c r="N470" s="4">
        <f t="shared" si="305"/>
        <v>0</v>
      </c>
      <c r="P470" s="3"/>
      <c r="Q470" s="3"/>
      <c r="R470" s="3"/>
      <c r="S470" s="3">
        <f t="shared" si="306"/>
        <v>0</v>
      </c>
      <c r="T470" s="3"/>
      <c r="U470" s="3">
        <f t="shared" si="307"/>
        <v>0</v>
      </c>
      <c r="V470" s="3"/>
      <c r="W470" s="3">
        <f t="shared" si="308"/>
        <v>0</v>
      </c>
      <c r="X470" s="3"/>
      <c r="Y470" s="3"/>
      <c r="Z470" s="3">
        <f t="shared" si="309"/>
        <v>0</v>
      </c>
      <c r="AA470" s="3"/>
      <c r="AB470" s="3"/>
      <c r="AC470" s="3"/>
      <c r="AD470" s="3">
        <f t="shared" si="310"/>
        <v>0</v>
      </c>
      <c r="AE470" s="3"/>
      <c r="AF470" s="3">
        <f t="shared" si="311"/>
        <v>0</v>
      </c>
      <c r="AG470" s="4"/>
      <c r="AH470" s="4"/>
      <c r="AJ470" s="3"/>
      <c r="AK470" s="3">
        <f t="shared" si="312"/>
        <v>0</v>
      </c>
      <c r="AL470" s="3"/>
      <c r="AM470" s="3">
        <f t="shared" si="313"/>
        <v>0</v>
      </c>
      <c r="AO470" s="3"/>
      <c r="AP470" s="3"/>
      <c r="AQ470" s="3"/>
      <c r="AR470" s="3"/>
      <c r="AS470" s="3"/>
      <c r="AT470" s="3"/>
      <c r="AU470" s="3"/>
      <c r="AV470" s="42"/>
      <c r="AW470" s="3"/>
      <c r="AX470" s="42"/>
      <c r="AY470" s="3"/>
      <c r="AZ470" s="42"/>
      <c r="BA470" s="3"/>
      <c r="BB470" s="42"/>
      <c r="BC470" s="3"/>
      <c r="BE470" s="3"/>
    </row>
    <row r="471" spans="1:57" x14ac:dyDescent="0.25">
      <c r="A471" s="3" t="s">
        <v>378</v>
      </c>
      <c r="B471" s="3">
        <v>8000</v>
      </c>
      <c r="D471" s="3">
        <v>0</v>
      </c>
      <c r="E471" s="3">
        <f t="shared" si="302"/>
        <v>8000</v>
      </c>
      <c r="F471" s="5">
        <v>8000</v>
      </c>
      <c r="H471" s="5">
        <f t="shared" si="303"/>
        <v>0</v>
      </c>
      <c r="J471" s="5">
        <v>0</v>
      </c>
      <c r="K471" s="4">
        <f t="shared" si="304"/>
        <v>8000</v>
      </c>
      <c r="L471" s="4">
        <v>8000</v>
      </c>
      <c r="N471" s="4">
        <f t="shared" si="305"/>
        <v>0</v>
      </c>
      <c r="P471" s="3">
        <v>9000</v>
      </c>
      <c r="Q471" s="3"/>
      <c r="R471" s="3">
        <v>0</v>
      </c>
      <c r="S471" s="3">
        <f t="shared" si="306"/>
        <v>9000</v>
      </c>
      <c r="T471" s="3">
        <v>9000</v>
      </c>
      <c r="U471" s="3">
        <f t="shared" si="307"/>
        <v>0</v>
      </c>
      <c r="V471" s="3">
        <v>0</v>
      </c>
      <c r="W471" s="3">
        <f t="shared" si="308"/>
        <v>8000</v>
      </c>
      <c r="X471" s="3"/>
      <c r="Y471" s="3">
        <v>8000</v>
      </c>
      <c r="Z471" s="3">
        <f t="shared" si="309"/>
        <v>-1000</v>
      </c>
      <c r="AA471" s="3"/>
      <c r="AB471" s="3"/>
      <c r="AC471" s="3">
        <v>383</v>
      </c>
      <c r="AD471" s="3">
        <f t="shared" si="310"/>
        <v>2617</v>
      </c>
      <c r="AE471" s="3">
        <v>3000</v>
      </c>
      <c r="AF471" s="3">
        <f t="shared" si="311"/>
        <v>-5000</v>
      </c>
      <c r="AG471" s="4"/>
      <c r="AH471" s="4">
        <v>9000</v>
      </c>
      <c r="AJ471" s="3">
        <v>184</v>
      </c>
      <c r="AK471" s="3">
        <f t="shared" si="312"/>
        <v>8816</v>
      </c>
      <c r="AL471" s="3">
        <v>9000</v>
      </c>
      <c r="AM471" s="3">
        <f t="shared" si="313"/>
        <v>0</v>
      </c>
      <c r="AO471" s="3">
        <v>9000</v>
      </c>
      <c r="AP471" s="3"/>
      <c r="AQ471" s="3">
        <v>9000</v>
      </c>
      <c r="AR471" s="3"/>
      <c r="AS471" s="3">
        <v>9000</v>
      </c>
      <c r="AT471" s="3"/>
      <c r="AU471" s="3">
        <v>10000</v>
      </c>
      <c r="AV471" s="42"/>
      <c r="AW471" s="3">
        <v>10000</v>
      </c>
      <c r="AX471" s="42"/>
      <c r="AY471" s="3">
        <v>10000</v>
      </c>
      <c r="AZ471" s="42"/>
      <c r="BA471" s="3">
        <v>10000</v>
      </c>
      <c r="BB471" s="42"/>
      <c r="BC471" s="3">
        <v>10000</v>
      </c>
      <c r="BE471" s="3">
        <v>10000</v>
      </c>
    </row>
    <row r="472" spans="1:57" x14ac:dyDescent="0.25">
      <c r="A472" s="3" t="s">
        <v>289</v>
      </c>
      <c r="B472" s="3">
        <v>7500</v>
      </c>
      <c r="D472" s="3">
        <v>0</v>
      </c>
      <c r="E472" s="3">
        <f t="shared" si="302"/>
        <v>7500</v>
      </c>
      <c r="F472" s="5">
        <v>7500</v>
      </c>
      <c r="H472" s="5">
        <f t="shared" si="303"/>
        <v>0</v>
      </c>
      <c r="J472" s="5">
        <v>0</v>
      </c>
      <c r="K472" s="4">
        <f t="shared" si="304"/>
        <v>7500</v>
      </c>
      <c r="L472" s="4">
        <v>7500</v>
      </c>
      <c r="N472" s="4">
        <f t="shared" si="305"/>
        <v>0</v>
      </c>
      <c r="P472" s="3">
        <v>7500</v>
      </c>
      <c r="Q472" s="3"/>
      <c r="R472" s="3">
        <v>0</v>
      </c>
      <c r="S472" s="3">
        <f t="shared" si="306"/>
        <v>7500</v>
      </c>
      <c r="T472" s="3">
        <v>7500</v>
      </c>
      <c r="U472" s="3">
        <f t="shared" si="307"/>
        <v>0</v>
      </c>
      <c r="V472" s="3"/>
      <c r="W472" s="3">
        <f t="shared" si="308"/>
        <v>7500</v>
      </c>
      <c r="X472" s="3"/>
      <c r="Y472" s="3">
        <v>7500</v>
      </c>
      <c r="Z472" s="3">
        <f t="shared" si="309"/>
        <v>0</v>
      </c>
      <c r="AA472" s="3"/>
      <c r="AB472" s="3"/>
      <c r="AC472" s="3">
        <v>0</v>
      </c>
      <c r="AD472" s="3">
        <f t="shared" si="310"/>
        <v>7500</v>
      </c>
      <c r="AE472" s="3">
        <v>7500</v>
      </c>
      <c r="AF472" s="3">
        <f t="shared" si="311"/>
        <v>0</v>
      </c>
      <c r="AG472" s="4"/>
      <c r="AH472" s="4">
        <v>7500</v>
      </c>
      <c r="AJ472" s="3">
        <v>0</v>
      </c>
      <c r="AK472" s="3">
        <f t="shared" si="312"/>
        <v>7500</v>
      </c>
      <c r="AL472" s="3">
        <v>7500</v>
      </c>
      <c r="AM472" s="3">
        <f t="shared" si="313"/>
        <v>0</v>
      </c>
      <c r="AO472" s="3">
        <v>7500</v>
      </c>
      <c r="AP472" s="3"/>
      <c r="AQ472" s="3">
        <v>7500</v>
      </c>
      <c r="AR472" s="3"/>
      <c r="AS472" s="3">
        <v>7500</v>
      </c>
      <c r="AT472" s="3"/>
      <c r="AU472" s="3">
        <v>7500</v>
      </c>
      <c r="AV472" s="42"/>
      <c r="AW472" s="3">
        <v>7500</v>
      </c>
      <c r="AX472" s="42"/>
      <c r="AY472" s="3">
        <v>7500</v>
      </c>
      <c r="AZ472" s="42"/>
      <c r="BA472" s="3">
        <v>7500</v>
      </c>
      <c r="BB472" s="42"/>
      <c r="BC472" s="3">
        <v>7500</v>
      </c>
      <c r="BE472" s="3">
        <v>7500</v>
      </c>
    </row>
    <row r="473" spans="1:57" x14ac:dyDescent="0.25">
      <c r="A473" s="3"/>
      <c r="B473" s="48">
        <f>SUM(B464:B472)</f>
        <v>167800</v>
      </c>
      <c r="C473" s="32"/>
      <c r="D473" s="48">
        <f>SUM(D464:D472)</f>
        <v>13522</v>
      </c>
      <c r="E473" s="48">
        <f>SUM(E464:E472)</f>
        <v>154278</v>
      </c>
      <c r="F473" s="48">
        <f>SUM(F464:F472)</f>
        <v>167800</v>
      </c>
      <c r="G473" s="32"/>
      <c r="H473" s="48">
        <f>SUM(H464:H472)</f>
        <v>0</v>
      </c>
      <c r="I473" s="36"/>
      <c r="J473" s="48">
        <f>SUM(J464:J472)</f>
        <v>119612</v>
      </c>
      <c r="K473" s="48">
        <f>SUM(K464:K472)</f>
        <v>68583</v>
      </c>
      <c r="L473" s="48">
        <f>SUM(L464:L472)</f>
        <v>188195</v>
      </c>
      <c r="M473" s="32"/>
      <c r="N473" s="48">
        <f>SUM(N464:N472)</f>
        <v>20395</v>
      </c>
      <c r="P473" s="48">
        <f>SUM(P464:P472)</f>
        <v>259280</v>
      </c>
      <c r="R473" s="48">
        <f t="shared" ref="R473:Z473" si="318">SUM(R464:R472)</f>
        <v>42829</v>
      </c>
      <c r="S473" s="48">
        <f t="shared" si="318"/>
        <v>156411</v>
      </c>
      <c r="T473" s="48">
        <f t="shared" si="318"/>
        <v>199240</v>
      </c>
      <c r="U473" s="48" t="e">
        <f t="shared" si="318"/>
        <v>#VALUE!</v>
      </c>
      <c r="V473" s="48">
        <f t="shared" si="318"/>
        <v>59663</v>
      </c>
      <c r="W473" s="48">
        <f t="shared" si="318"/>
        <v>138577</v>
      </c>
      <c r="X473" s="48"/>
      <c r="Y473" s="48">
        <f t="shared" si="318"/>
        <v>198240</v>
      </c>
      <c r="Z473" s="48">
        <f t="shared" si="318"/>
        <v>-1000</v>
      </c>
      <c r="AC473" s="48">
        <f>SUM(AC464:AC472)</f>
        <v>78874</v>
      </c>
      <c r="AD473" s="48">
        <f>SUM(AD464:AD472)</f>
        <v>114366</v>
      </c>
      <c r="AE473" s="48">
        <f>SUM(AE464:AE472)</f>
        <v>193240</v>
      </c>
      <c r="AF473" s="48">
        <f>SUM(AF464:AF472)</f>
        <v>-5000</v>
      </c>
      <c r="AH473" s="36">
        <f>SUM(AH464:AH472)</f>
        <v>200850</v>
      </c>
      <c r="AI473" s="32"/>
      <c r="AJ473" s="48">
        <f>SUM(AJ464:AJ472)</f>
        <v>83854</v>
      </c>
      <c r="AK473" s="48">
        <f>SUM(AK464:AK472)</f>
        <v>116996</v>
      </c>
      <c r="AL473" s="48">
        <f>SUM(AL464:AL472)</f>
        <v>200850</v>
      </c>
      <c r="AM473" s="48">
        <f>SUM(AM464:AM472)</f>
        <v>0</v>
      </c>
      <c r="AN473" s="32"/>
      <c r="AO473" s="48">
        <f>SUM(AO464:AO472)</f>
        <v>206380.5</v>
      </c>
      <c r="AQ473" s="48">
        <f>SUM(AQ464:AQ472)</f>
        <v>212076.91499999998</v>
      </c>
      <c r="AS473" s="48">
        <f>SUM(AS464:AS472)</f>
        <v>217944.22245</v>
      </c>
      <c r="AT473" s="48"/>
      <c r="AU473" s="48">
        <f>SUM(AU464:AU472)</f>
        <v>224987.54912350001</v>
      </c>
      <c r="AW473" s="48">
        <f>SUM(AW464:AW472)</f>
        <v>231212.175597205</v>
      </c>
      <c r="AY473" s="48">
        <f>SUM(AY464:AY472)</f>
        <v>237623.54086512112</v>
      </c>
      <c r="BA473" s="48">
        <f>SUM(BA464:BA472)</f>
        <v>244227.24709107477</v>
      </c>
      <c r="BC473" s="48">
        <f>SUM(BC464:BC472)</f>
        <v>251029.06450380702</v>
      </c>
      <c r="BE473" s="48">
        <f>SUM(BE464:BE472)</f>
        <v>258034.9364389212</v>
      </c>
    </row>
    <row r="474" spans="1:57" s="42" customFormat="1" x14ac:dyDescent="0.25">
      <c r="A474" s="7" t="s">
        <v>88</v>
      </c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4"/>
      <c r="N474" s="3"/>
      <c r="O474" s="4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4"/>
      <c r="AH474" s="4"/>
      <c r="AI474" s="4"/>
      <c r="AJ474" s="3"/>
      <c r="AK474" s="3"/>
      <c r="AL474" s="3"/>
      <c r="AM474" s="3"/>
      <c r="AN474" s="4"/>
      <c r="AO474" s="3"/>
      <c r="AP474" s="3"/>
      <c r="AQ474" s="3"/>
      <c r="AR474" s="3"/>
      <c r="AS474" s="3"/>
      <c r="AT474" s="3"/>
      <c r="AU474" s="3"/>
      <c r="AW474" s="3"/>
      <c r="AY474" s="3"/>
      <c r="BA474" s="3"/>
      <c r="BC474" s="3"/>
      <c r="BE474" s="3"/>
    </row>
    <row r="475" spans="1:57" x14ac:dyDescent="0.25">
      <c r="A475" s="3" t="s">
        <v>379</v>
      </c>
      <c r="AH475" s="4"/>
      <c r="AK475" s="3">
        <f t="shared" ref="AK475:AK481" si="319">AL475-AJ475</f>
        <v>0</v>
      </c>
      <c r="AM475" s="3">
        <f t="shared" ref="AM475:AM481" si="320">AL475-AH475</f>
        <v>0</v>
      </c>
    </row>
    <row r="476" spans="1:57" x14ac:dyDescent="0.25">
      <c r="A476" s="3" t="s">
        <v>380</v>
      </c>
      <c r="B476" s="3">
        <v>56000</v>
      </c>
      <c r="D476" s="3">
        <v>14405</v>
      </c>
      <c r="E476" s="3">
        <f>F476-D476</f>
        <v>43095</v>
      </c>
      <c r="F476" s="5">
        <v>57500</v>
      </c>
      <c r="H476" s="5">
        <f>F476-B476</f>
        <v>1500</v>
      </c>
      <c r="J476" s="5">
        <v>20851</v>
      </c>
      <c r="K476" s="4">
        <f>L476-J476</f>
        <v>36649</v>
      </c>
      <c r="L476" s="4">
        <v>57500</v>
      </c>
      <c r="N476" s="4">
        <f>L476-F476</f>
        <v>0</v>
      </c>
      <c r="P476" s="3">
        <f>L476*1.0275+919</f>
        <v>60000.250000000007</v>
      </c>
      <c r="Q476" s="3"/>
      <c r="R476" s="3">
        <v>13867</v>
      </c>
      <c r="S476" s="3">
        <f>T476-R476</f>
        <v>46133</v>
      </c>
      <c r="T476" s="3">
        <v>60000</v>
      </c>
      <c r="U476" s="3">
        <f>T476-P476</f>
        <v>-0.25000000000727596</v>
      </c>
      <c r="V476" s="3">
        <v>25350</v>
      </c>
      <c r="W476" s="3">
        <f>Y476-V476</f>
        <v>34650</v>
      </c>
      <c r="X476" s="3"/>
      <c r="Y476" s="3">
        <v>60000</v>
      </c>
      <c r="Z476" s="3">
        <f>Y476-T476</f>
        <v>0</v>
      </c>
      <c r="AA476" s="3"/>
      <c r="AB476" s="3"/>
      <c r="AC476" s="3">
        <v>36410</v>
      </c>
      <c r="AD476" s="3">
        <f>AE476-AC476</f>
        <v>13590</v>
      </c>
      <c r="AE476" s="3">
        <v>50000</v>
      </c>
      <c r="AF476" s="3">
        <f>AE476-Y476</f>
        <v>-10000</v>
      </c>
      <c r="AG476" s="4"/>
      <c r="AH476" s="4">
        <v>74000</v>
      </c>
      <c r="AJ476" s="3">
        <v>22974</v>
      </c>
      <c r="AK476" s="3">
        <f t="shared" si="319"/>
        <v>71026</v>
      </c>
      <c r="AL476" s="3">
        <v>94000</v>
      </c>
      <c r="AM476" s="3">
        <f t="shared" si="320"/>
        <v>20000</v>
      </c>
      <c r="AO476" s="3">
        <f t="shared" ref="AO476:AO481" si="321">AH476*1.03</f>
        <v>76220</v>
      </c>
      <c r="AP476" s="3"/>
      <c r="AQ476" s="3">
        <f t="shared" ref="AQ476:AU481" si="322">AO476*1.03</f>
        <v>78506.600000000006</v>
      </c>
      <c r="AR476" s="3">
        <f t="shared" si="322"/>
        <v>0</v>
      </c>
      <c r="AS476" s="3">
        <f t="shared" si="322"/>
        <v>80861.79800000001</v>
      </c>
      <c r="AT476" s="3">
        <f t="shared" si="322"/>
        <v>0</v>
      </c>
      <c r="AU476" s="3">
        <f t="shared" si="322"/>
        <v>83287.651940000011</v>
      </c>
      <c r="AV476" s="3"/>
      <c r="AW476" s="3">
        <f t="shared" ref="AW476:BA481" si="323">AU476*1.03</f>
        <v>85786.281498200013</v>
      </c>
      <c r="AX476" s="3">
        <f t="shared" si="323"/>
        <v>0</v>
      </c>
      <c r="AY476" s="3">
        <f t="shared" si="323"/>
        <v>88359.869943146012</v>
      </c>
      <c r="AZ476" s="3">
        <f t="shared" si="323"/>
        <v>0</v>
      </c>
      <c r="BA476" s="3">
        <f t="shared" si="323"/>
        <v>91010.666041440389</v>
      </c>
      <c r="BB476" s="3"/>
      <c r="BC476" s="3">
        <f t="shared" ref="BC476:BE481" si="324">BA476*1.03</f>
        <v>93740.986022683603</v>
      </c>
      <c r="BD476" s="3">
        <f t="shared" si="324"/>
        <v>0</v>
      </c>
      <c r="BE476" s="3">
        <f t="shared" si="324"/>
        <v>96553.215603364108</v>
      </c>
    </row>
    <row r="477" spans="1:57" x14ac:dyDescent="0.25">
      <c r="A477" s="3" t="s">
        <v>381</v>
      </c>
      <c r="B477" s="3">
        <v>23500</v>
      </c>
      <c r="D477" s="3">
        <v>6695</v>
      </c>
      <c r="E477" s="3">
        <f>F477-D477</f>
        <v>18305</v>
      </c>
      <c r="F477" s="5">
        <v>25000</v>
      </c>
      <c r="H477" s="5">
        <f>F477-B477</f>
        <v>1500</v>
      </c>
      <c r="J477" s="5">
        <v>20283</v>
      </c>
      <c r="K477" s="4">
        <f>L477-J477</f>
        <v>7217</v>
      </c>
      <c r="L477" s="4">
        <v>27500</v>
      </c>
      <c r="N477" s="4">
        <f>L477-F477</f>
        <v>2500</v>
      </c>
      <c r="P477" s="3">
        <f>L477*1.0325+6</f>
        <v>28399.75</v>
      </c>
      <c r="Q477" s="3"/>
      <c r="R477" s="3">
        <v>3874</v>
      </c>
      <c r="S477" s="3">
        <f>T477-R477</f>
        <v>24526</v>
      </c>
      <c r="T477" s="3">
        <v>28400</v>
      </c>
      <c r="U477" s="3">
        <f>T477-P477</f>
        <v>0.25</v>
      </c>
      <c r="V477" s="3">
        <v>7328</v>
      </c>
      <c r="W477" s="3">
        <f>Y477-V477</f>
        <v>20672</v>
      </c>
      <c r="X477" s="3"/>
      <c r="Y477" s="3">
        <v>28000</v>
      </c>
      <c r="Z477" s="3">
        <f>Y477-T477</f>
        <v>-400</v>
      </c>
      <c r="AA477" s="3"/>
      <c r="AB477" s="3"/>
      <c r="AC477" s="3">
        <v>9919</v>
      </c>
      <c r="AD477" s="3">
        <f>AE477-AC477</f>
        <v>10081</v>
      </c>
      <c r="AE477" s="3">
        <v>20000</v>
      </c>
      <c r="AF477" s="3">
        <f>AE477-Y477</f>
        <v>-8000</v>
      </c>
      <c r="AG477" s="4"/>
      <c r="AH477" s="4">
        <f>29000-6500</f>
        <v>22500</v>
      </c>
      <c r="AJ477" s="3">
        <v>9131</v>
      </c>
      <c r="AK477" s="3">
        <f t="shared" si="319"/>
        <v>25869</v>
      </c>
      <c r="AL477" s="3">
        <v>35000</v>
      </c>
      <c r="AM477" s="3">
        <f t="shared" si="320"/>
        <v>12500</v>
      </c>
      <c r="AO477" s="3">
        <f t="shared" si="321"/>
        <v>23175</v>
      </c>
      <c r="AP477" s="3"/>
      <c r="AQ477" s="3">
        <f t="shared" si="322"/>
        <v>23870.25</v>
      </c>
      <c r="AR477" s="3">
        <f t="shared" si="322"/>
        <v>0</v>
      </c>
      <c r="AS477" s="3">
        <f t="shared" si="322"/>
        <v>24586.357500000002</v>
      </c>
      <c r="AT477" s="3">
        <f t="shared" si="322"/>
        <v>0</v>
      </c>
      <c r="AU477" s="3">
        <f t="shared" si="322"/>
        <v>25323.948225000004</v>
      </c>
      <c r="AV477" s="3"/>
      <c r="AW477" s="3">
        <f t="shared" si="323"/>
        <v>26083.666671750005</v>
      </c>
      <c r="AX477" s="3">
        <f t="shared" si="323"/>
        <v>0</v>
      </c>
      <c r="AY477" s="3">
        <f t="shared" si="323"/>
        <v>26866.176671902507</v>
      </c>
      <c r="AZ477" s="3">
        <f t="shared" si="323"/>
        <v>0</v>
      </c>
      <c r="BA477" s="3">
        <f t="shared" si="323"/>
        <v>27672.161972059585</v>
      </c>
      <c r="BB477" s="3"/>
      <c r="BC477" s="3">
        <f t="shared" si="324"/>
        <v>28502.326831221373</v>
      </c>
      <c r="BD477" s="3">
        <f t="shared" si="324"/>
        <v>0</v>
      </c>
      <c r="BE477" s="3">
        <f t="shared" si="324"/>
        <v>29357.396636158013</v>
      </c>
    </row>
    <row r="478" spans="1:57" x14ac:dyDescent="0.25">
      <c r="A478" s="3" t="s">
        <v>382</v>
      </c>
      <c r="B478" s="3">
        <v>0</v>
      </c>
      <c r="D478" s="3"/>
      <c r="E478" s="3">
        <f>F478-D478</f>
        <v>0</v>
      </c>
      <c r="H478" s="5">
        <f>F478-B478</f>
        <v>0</v>
      </c>
      <c r="K478" s="4">
        <f>L478-J478</f>
        <v>0</v>
      </c>
      <c r="L478" s="4"/>
      <c r="N478" s="4">
        <f>L478-F478</f>
        <v>0</v>
      </c>
      <c r="P478" s="3">
        <f>B478*1.03</f>
        <v>0</v>
      </c>
      <c r="Q478" s="3"/>
      <c r="R478" s="3"/>
      <c r="S478" s="3">
        <f>T478-R478</f>
        <v>0</v>
      </c>
      <c r="T478" s="3"/>
      <c r="U478" s="3">
        <f>T478-P478</f>
        <v>0</v>
      </c>
      <c r="V478" s="3"/>
      <c r="W478" s="3">
        <f>Y478-V478</f>
        <v>0</v>
      </c>
      <c r="X478" s="3"/>
      <c r="Y478" s="3"/>
      <c r="Z478" s="3">
        <f>Y478-T478</f>
        <v>0</v>
      </c>
      <c r="AA478" s="3"/>
      <c r="AB478" s="3"/>
      <c r="AC478" s="3">
        <v>11322</v>
      </c>
      <c r="AD478" s="3">
        <f>AE478-AC478</f>
        <v>3678</v>
      </c>
      <c r="AE478" s="3">
        <v>15000</v>
      </c>
      <c r="AF478" s="3">
        <f>AE478-Y478</f>
        <v>15000</v>
      </c>
      <c r="AG478" s="4"/>
      <c r="AH478" s="4">
        <f>12000-4000</f>
        <v>8000</v>
      </c>
      <c r="AJ478" s="3">
        <v>5468</v>
      </c>
      <c r="AK478" s="3">
        <f t="shared" si="319"/>
        <v>7032</v>
      </c>
      <c r="AL478" s="3">
        <v>12500</v>
      </c>
      <c r="AM478" s="3">
        <f t="shared" si="320"/>
        <v>4500</v>
      </c>
      <c r="AO478" s="3">
        <f t="shared" si="321"/>
        <v>8240</v>
      </c>
      <c r="AP478" s="3"/>
      <c r="AQ478" s="3">
        <f t="shared" si="322"/>
        <v>8487.2000000000007</v>
      </c>
      <c r="AR478" s="3">
        <f t="shared" si="322"/>
        <v>0</v>
      </c>
      <c r="AS478" s="3">
        <f t="shared" si="322"/>
        <v>8741.8160000000007</v>
      </c>
      <c r="AT478" s="3">
        <f t="shared" si="322"/>
        <v>0</v>
      </c>
      <c r="AU478" s="3">
        <f t="shared" si="322"/>
        <v>9004.0704800000003</v>
      </c>
      <c r="AV478" s="3"/>
      <c r="AW478" s="3">
        <f t="shared" si="323"/>
        <v>9274.1925944000013</v>
      </c>
      <c r="AX478" s="3">
        <f t="shared" si="323"/>
        <v>0</v>
      </c>
      <c r="AY478" s="3">
        <f t="shared" si="323"/>
        <v>9552.4183722320013</v>
      </c>
      <c r="AZ478" s="3">
        <f t="shared" si="323"/>
        <v>0</v>
      </c>
      <c r="BA478" s="3">
        <f t="shared" si="323"/>
        <v>9838.990923398962</v>
      </c>
      <c r="BB478" s="3"/>
      <c r="BC478" s="3">
        <f t="shared" si="324"/>
        <v>10134.16065110093</v>
      </c>
      <c r="BD478" s="3">
        <f t="shared" si="324"/>
        <v>0</v>
      </c>
      <c r="BE478" s="3">
        <f t="shared" si="324"/>
        <v>10438.185470633958</v>
      </c>
    </row>
    <row r="479" spans="1:57" x14ac:dyDescent="0.25">
      <c r="A479" s="3" t="s">
        <v>57</v>
      </c>
      <c r="B479" s="3"/>
      <c r="D479" s="3"/>
      <c r="E479" s="3">
        <f>F479-D479</f>
        <v>0</v>
      </c>
      <c r="H479" s="5">
        <f>F479-B479</f>
        <v>0</v>
      </c>
      <c r="K479" s="4">
        <f>L479-J479</f>
        <v>0</v>
      </c>
      <c r="L479" s="4"/>
      <c r="N479" s="4">
        <f>L479-F479</f>
        <v>0</v>
      </c>
      <c r="P479" s="3"/>
      <c r="Q479" s="3"/>
      <c r="R479" s="3"/>
      <c r="S479" s="3">
        <f>T479-R479</f>
        <v>0</v>
      </c>
      <c r="T479" s="3"/>
      <c r="U479" s="3">
        <f>T479-P479</f>
        <v>0</v>
      </c>
      <c r="V479" s="3"/>
      <c r="W479" s="3">
        <f>Y479-V479</f>
        <v>0</v>
      </c>
      <c r="X479" s="3"/>
      <c r="Y479" s="3"/>
      <c r="Z479" s="3">
        <f>Y479-T479</f>
        <v>0</v>
      </c>
      <c r="AA479" s="3"/>
      <c r="AB479" s="3"/>
      <c r="AC479" s="3"/>
      <c r="AD479" s="3">
        <f>AE479-AC479</f>
        <v>0</v>
      </c>
      <c r="AE479" s="3"/>
      <c r="AF479" s="3">
        <f>AE479-Y479</f>
        <v>0</v>
      </c>
      <c r="AG479" s="4"/>
      <c r="AH479" s="4"/>
      <c r="AJ479" s="3"/>
      <c r="AK479" s="3">
        <f t="shared" si="319"/>
        <v>0</v>
      </c>
      <c r="AL479" s="3"/>
      <c r="AM479" s="3">
        <f t="shared" si="320"/>
        <v>0</v>
      </c>
      <c r="AO479" s="3">
        <f t="shared" si="321"/>
        <v>0</v>
      </c>
      <c r="AP479" s="3"/>
      <c r="AQ479" s="3">
        <f t="shared" si="322"/>
        <v>0</v>
      </c>
      <c r="AR479" s="3">
        <f t="shared" si="322"/>
        <v>0</v>
      </c>
      <c r="AS479" s="3">
        <f t="shared" si="322"/>
        <v>0</v>
      </c>
      <c r="AT479" s="3">
        <f t="shared" si="322"/>
        <v>0</v>
      </c>
      <c r="AU479" s="3">
        <f t="shared" si="322"/>
        <v>0</v>
      </c>
      <c r="AV479" s="3"/>
      <c r="AW479" s="3">
        <f t="shared" si="323"/>
        <v>0</v>
      </c>
      <c r="AX479" s="3">
        <f t="shared" si="323"/>
        <v>0</v>
      </c>
      <c r="AY479" s="3">
        <f t="shared" si="323"/>
        <v>0</v>
      </c>
      <c r="AZ479" s="3">
        <f t="shared" si="323"/>
        <v>0</v>
      </c>
      <c r="BA479" s="3">
        <f t="shared" si="323"/>
        <v>0</v>
      </c>
      <c r="BB479" s="3"/>
      <c r="BC479" s="3">
        <f t="shared" si="324"/>
        <v>0</v>
      </c>
      <c r="BD479" s="3">
        <f t="shared" si="324"/>
        <v>0</v>
      </c>
      <c r="BE479" s="3">
        <f t="shared" si="324"/>
        <v>0</v>
      </c>
    </row>
    <row r="480" spans="1:57" x14ac:dyDescent="0.25">
      <c r="A480" s="3" t="s">
        <v>299</v>
      </c>
      <c r="B480" s="3"/>
      <c r="D480" s="3"/>
      <c r="E480" s="3"/>
      <c r="K480" s="4"/>
      <c r="L480" s="4"/>
      <c r="N480" s="4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4"/>
      <c r="AH480" s="4">
        <f>5000-2500</f>
        <v>2500</v>
      </c>
      <c r="AJ480" s="3">
        <v>578</v>
      </c>
      <c r="AK480" s="3">
        <f t="shared" si="319"/>
        <v>1922</v>
      </c>
      <c r="AL480" s="3">
        <v>2500</v>
      </c>
      <c r="AM480" s="3">
        <f t="shared" si="320"/>
        <v>0</v>
      </c>
      <c r="AO480" s="3">
        <f t="shared" si="321"/>
        <v>2575</v>
      </c>
      <c r="AP480" s="3"/>
      <c r="AQ480" s="3">
        <f>AO480*1.03</f>
        <v>2652.25</v>
      </c>
      <c r="AR480" s="3">
        <f>AP480*1.03</f>
        <v>0</v>
      </c>
      <c r="AS480" s="3">
        <f>AQ480*1.03</f>
        <v>2731.8175000000001</v>
      </c>
      <c r="AT480" s="3">
        <f>AR480*1.03</f>
        <v>0</v>
      </c>
      <c r="AU480" s="3">
        <f>AS480*1.03</f>
        <v>2813.7720250000002</v>
      </c>
      <c r="AV480" s="3"/>
      <c r="AW480" s="3">
        <f>AU480*1.03</f>
        <v>2898.1851857500001</v>
      </c>
      <c r="AX480" s="3">
        <f>AV480*1.03</f>
        <v>0</v>
      </c>
      <c r="AY480" s="3">
        <f>AW480*1.03</f>
        <v>2985.1307413224999</v>
      </c>
      <c r="AZ480" s="3">
        <f>AX480*1.03</f>
        <v>0</v>
      </c>
      <c r="BA480" s="3">
        <f>AY480*1.03</f>
        <v>3074.684663562175</v>
      </c>
      <c r="BB480" s="3"/>
      <c r="BC480" s="3">
        <f>BA480*1.03</f>
        <v>3166.9252034690403</v>
      </c>
      <c r="BD480" s="3">
        <f>BB480*1.03</f>
        <v>0</v>
      </c>
      <c r="BE480" s="3">
        <f>BC480*1.03</f>
        <v>3261.9329595731115</v>
      </c>
    </row>
    <row r="481" spans="1:57" x14ac:dyDescent="0.25">
      <c r="A481" s="3" t="s">
        <v>383</v>
      </c>
      <c r="B481" s="3">
        <v>500</v>
      </c>
      <c r="D481" s="3"/>
      <c r="E481" s="3">
        <f>F481-D481</f>
        <v>500</v>
      </c>
      <c r="F481" s="5">
        <v>500</v>
      </c>
      <c r="H481" s="5">
        <f>F481-B481</f>
        <v>0</v>
      </c>
      <c r="K481" s="4">
        <f>L481-J481</f>
        <v>500</v>
      </c>
      <c r="L481" s="4">
        <v>500</v>
      </c>
      <c r="N481" s="4">
        <f>L481-F481</f>
        <v>0</v>
      </c>
      <c r="P481" s="3">
        <f>L481*1.0281+36</f>
        <v>550.04999999999995</v>
      </c>
      <c r="Q481" s="3"/>
      <c r="R481" s="3">
        <v>0</v>
      </c>
      <c r="S481" s="3">
        <f>T481-R481</f>
        <v>550</v>
      </c>
      <c r="T481" s="3">
        <v>550</v>
      </c>
      <c r="U481" s="3">
        <f>T481-P481</f>
        <v>-4.9999999999954525E-2</v>
      </c>
      <c r="V481" s="3"/>
      <c r="W481" s="3">
        <f>Y481-V481</f>
        <v>550</v>
      </c>
      <c r="X481" s="3"/>
      <c r="Y481" s="3">
        <v>550</v>
      </c>
      <c r="Z481" s="3">
        <f>Y481-T481</f>
        <v>0</v>
      </c>
      <c r="AA481" s="3"/>
      <c r="AB481" s="3"/>
      <c r="AC481" s="3"/>
      <c r="AD481" s="3">
        <f>AE481-AC481</f>
        <v>550</v>
      </c>
      <c r="AE481" s="3">
        <v>550</v>
      </c>
      <c r="AF481" s="3">
        <f>AE481-Y481</f>
        <v>0</v>
      </c>
      <c r="AG481" s="4"/>
      <c r="AH481" s="4">
        <f>P481*1.03+33</f>
        <v>599.55149999999992</v>
      </c>
      <c r="AJ481" s="3">
        <v>0</v>
      </c>
      <c r="AK481" s="3">
        <f t="shared" si="319"/>
        <v>600</v>
      </c>
      <c r="AL481" s="3">
        <v>600</v>
      </c>
      <c r="AM481" s="3">
        <f t="shared" si="320"/>
        <v>0.44850000000008095</v>
      </c>
      <c r="AO481" s="3">
        <f t="shared" si="321"/>
        <v>617.5380449999999</v>
      </c>
      <c r="AP481" s="3"/>
      <c r="AQ481" s="3">
        <f t="shared" si="322"/>
        <v>636.06418634999989</v>
      </c>
      <c r="AR481" s="3">
        <f t="shared" si="322"/>
        <v>0</v>
      </c>
      <c r="AS481" s="3">
        <f t="shared" si="322"/>
        <v>655.14611194049985</v>
      </c>
      <c r="AT481" s="3">
        <f t="shared" si="322"/>
        <v>0</v>
      </c>
      <c r="AU481" s="3">
        <f t="shared" si="322"/>
        <v>674.80049529871485</v>
      </c>
      <c r="AV481" s="3"/>
      <c r="AW481" s="3">
        <f t="shared" si="323"/>
        <v>695.04451015767631</v>
      </c>
      <c r="AX481" s="3">
        <f t="shared" si="323"/>
        <v>0</v>
      </c>
      <c r="AY481" s="3">
        <f t="shared" si="323"/>
        <v>715.89584546240667</v>
      </c>
      <c r="AZ481" s="3">
        <f t="shared" si="323"/>
        <v>0</v>
      </c>
      <c r="BA481" s="3">
        <f t="shared" si="323"/>
        <v>737.37272082627885</v>
      </c>
      <c r="BB481" s="3"/>
      <c r="BC481" s="3">
        <f t="shared" si="324"/>
        <v>759.49390245106724</v>
      </c>
      <c r="BD481" s="3">
        <f t="shared" si="324"/>
        <v>0</v>
      </c>
      <c r="BE481" s="3">
        <f t="shared" si="324"/>
        <v>782.2787195245993</v>
      </c>
    </row>
    <row r="482" spans="1:57" x14ac:dyDescent="0.25">
      <c r="A482" s="3"/>
      <c r="B482" s="48">
        <f>SUM(B475:B481)</f>
        <v>80000</v>
      </c>
      <c r="C482" s="32"/>
      <c r="D482" s="48">
        <f>SUM(D475:D481)</f>
        <v>21100</v>
      </c>
      <c r="E482" s="48">
        <f>SUM(E475:E481)</f>
        <v>61900</v>
      </c>
      <c r="F482" s="48">
        <f>SUM(F475:F481)</f>
        <v>83000</v>
      </c>
      <c r="G482" s="32"/>
      <c r="H482" s="48">
        <f>SUM(H475:H481)</f>
        <v>3000</v>
      </c>
      <c r="I482" s="36"/>
      <c r="J482" s="48">
        <f>SUM(J475:J481)</f>
        <v>41134</v>
      </c>
      <c r="K482" s="48">
        <f>SUM(K475:K481)</f>
        <v>44366</v>
      </c>
      <c r="L482" s="48">
        <f>SUM(L475:L481)</f>
        <v>85500</v>
      </c>
      <c r="M482" s="32"/>
      <c r="N482" s="48">
        <f>SUM(N475:N481)</f>
        <v>2500</v>
      </c>
      <c r="P482" s="48">
        <f>SUM(P475:P481)</f>
        <v>88950.05</v>
      </c>
      <c r="R482" s="48">
        <f t="shared" ref="R482:Z482" si="325">SUM(R475:R481)</f>
        <v>17741</v>
      </c>
      <c r="S482" s="48">
        <f t="shared" si="325"/>
        <v>71209</v>
      </c>
      <c r="T482" s="48">
        <f t="shared" si="325"/>
        <v>88950</v>
      </c>
      <c r="U482" s="48">
        <f t="shared" si="325"/>
        <v>-5.0000000007230483E-2</v>
      </c>
      <c r="V482" s="48">
        <f t="shared" si="325"/>
        <v>32678</v>
      </c>
      <c r="W482" s="48">
        <f t="shared" si="325"/>
        <v>55872</v>
      </c>
      <c r="X482" s="48"/>
      <c r="Y482" s="48">
        <f t="shared" si="325"/>
        <v>88550</v>
      </c>
      <c r="Z482" s="48">
        <f t="shared" si="325"/>
        <v>-400</v>
      </c>
      <c r="AC482" s="48">
        <f>SUM(AC475:AC481)</f>
        <v>57651</v>
      </c>
      <c r="AD482" s="48">
        <f>SUM(AD475:AD481)</f>
        <v>27899</v>
      </c>
      <c r="AE482" s="48">
        <f>SUM(AE475:AE481)</f>
        <v>85550</v>
      </c>
      <c r="AF482" s="48">
        <f>SUM(AF475:AF481)</f>
        <v>-3000</v>
      </c>
      <c r="AH482" s="36">
        <f>SUM(AH475:AH481)</f>
        <v>107599.5515</v>
      </c>
      <c r="AI482" s="32"/>
      <c r="AJ482" s="48">
        <f>SUM(AJ475:AJ481)</f>
        <v>38151</v>
      </c>
      <c r="AK482" s="48">
        <f>SUM(AK475:AK481)</f>
        <v>106449</v>
      </c>
      <c r="AL482" s="48">
        <f>SUM(AL475:AL481)</f>
        <v>144600</v>
      </c>
      <c r="AM482" s="48">
        <f>SUM(AM475:AM481)</f>
        <v>37000.448499999999</v>
      </c>
      <c r="AN482" s="32"/>
      <c r="AO482" s="48">
        <f>SUM(AO475:AO481)</f>
        <v>110827.53804499999</v>
      </c>
      <c r="AQ482" s="48">
        <f>SUM(AQ475:AQ481)</f>
        <v>114152.36418635001</v>
      </c>
      <c r="AS482" s="48">
        <f>SUM(AS475:AS481)</f>
        <v>117576.93511194052</v>
      </c>
      <c r="AT482" s="48"/>
      <c r="AU482" s="48">
        <f>SUM(AU475:AU481)</f>
        <v>121104.24316529871</v>
      </c>
      <c r="AW482" s="48">
        <f>SUM(AW475:AW481)</f>
        <v>124737.37046025769</v>
      </c>
      <c r="AY482" s="48">
        <f>SUM(AY475:AY481)</f>
        <v>128479.49157406543</v>
      </c>
      <c r="BA482" s="48">
        <f>SUM(BA475:BA481)</f>
        <v>132333.87632128736</v>
      </c>
      <c r="BC482" s="48">
        <f>SUM(BC475:BC481)</f>
        <v>136303.89261092601</v>
      </c>
      <c r="BE482" s="48">
        <f>SUM(BE475:BE481)</f>
        <v>140393.00938925377</v>
      </c>
    </row>
    <row r="483" spans="1:57" x14ac:dyDescent="0.25">
      <c r="A483" s="7" t="s">
        <v>92</v>
      </c>
    </row>
    <row r="484" spans="1:57" x14ac:dyDescent="0.25">
      <c r="A484" s="3" t="s">
        <v>289</v>
      </c>
      <c r="B484" s="3">
        <v>3000</v>
      </c>
      <c r="D484" s="3">
        <v>0</v>
      </c>
      <c r="E484" s="3">
        <f>F484-D484</f>
        <v>3000</v>
      </c>
      <c r="F484" s="5">
        <v>3000</v>
      </c>
      <c r="H484" s="5">
        <f>F484-B484</f>
        <v>0</v>
      </c>
      <c r="J484" s="5">
        <v>0</v>
      </c>
      <c r="K484" s="4">
        <f>L484-J484</f>
        <v>3000</v>
      </c>
      <c r="L484" s="4">
        <v>3000</v>
      </c>
      <c r="N484" s="4">
        <f>L484-F484</f>
        <v>0</v>
      </c>
      <c r="P484" s="3">
        <v>3000</v>
      </c>
      <c r="Q484" s="3"/>
      <c r="R484" s="3">
        <v>0</v>
      </c>
      <c r="S484" s="3">
        <f>T484-R484</f>
        <v>3000</v>
      </c>
      <c r="T484" s="3">
        <v>3000</v>
      </c>
      <c r="U484" s="3">
        <f>T484-P484</f>
        <v>0</v>
      </c>
      <c r="V484" s="3">
        <v>0</v>
      </c>
      <c r="W484" s="3">
        <f>Y484-V484</f>
        <v>3000</v>
      </c>
      <c r="X484" s="3"/>
      <c r="Y484" s="3">
        <v>3000</v>
      </c>
      <c r="Z484" s="3">
        <f>Y484-T484</f>
        <v>0</v>
      </c>
      <c r="AA484" s="3"/>
      <c r="AB484" s="3"/>
      <c r="AC484" s="3">
        <v>0</v>
      </c>
      <c r="AD484" s="3">
        <f>AE484-AC484</f>
        <v>3000</v>
      </c>
      <c r="AE484" s="3">
        <v>3000</v>
      </c>
      <c r="AF484" s="3">
        <f>AE484-Y484</f>
        <v>0</v>
      </c>
      <c r="AG484" s="4"/>
      <c r="AH484" s="4">
        <v>3000</v>
      </c>
      <c r="AJ484" s="3">
        <v>0</v>
      </c>
      <c r="AK484" s="3">
        <f>AL484-AJ484</f>
        <v>3000</v>
      </c>
      <c r="AL484" s="3">
        <v>3000</v>
      </c>
      <c r="AM484" s="3">
        <f>AL484-AH484</f>
        <v>0</v>
      </c>
      <c r="AO484" s="3">
        <v>3000</v>
      </c>
      <c r="AP484" s="3"/>
      <c r="AQ484" s="3">
        <v>3000</v>
      </c>
      <c r="AR484" s="3"/>
      <c r="AS484" s="3">
        <v>3000</v>
      </c>
      <c r="AT484" s="3"/>
      <c r="AU484" s="3">
        <v>3000</v>
      </c>
      <c r="AV484" s="42"/>
      <c r="AW484" s="3">
        <v>3000</v>
      </c>
      <c r="AX484" s="42"/>
      <c r="AY484" s="3">
        <v>3000</v>
      </c>
      <c r="AZ484" s="42"/>
      <c r="BA484" s="3">
        <v>3000</v>
      </c>
      <c r="BB484" s="42"/>
      <c r="BC484" s="3">
        <v>3000</v>
      </c>
      <c r="BE484" s="3">
        <v>3000</v>
      </c>
    </row>
    <row r="485" spans="1:57" x14ac:dyDescent="0.25">
      <c r="A485" s="3" t="s">
        <v>384</v>
      </c>
      <c r="B485" s="3">
        <v>12750</v>
      </c>
      <c r="D485" s="3">
        <v>5551</v>
      </c>
      <c r="E485" s="3">
        <f>F485-D485</f>
        <v>5949</v>
      </c>
      <c r="F485" s="5">
        <v>11500</v>
      </c>
      <c r="H485" s="5">
        <f>F485-B485</f>
        <v>-1250</v>
      </c>
      <c r="J485" s="5">
        <v>8764</v>
      </c>
      <c r="K485" s="4">
        <f>L485-J485</f>
        <v>3236</v>
      </c>
      <c r="L485" s="4">
        <v>12000</v>
      </c>
      <c r="N485" s="4">
        <f>L485-F485</f>
        <v>500</v>
      </c>
      <c r="P485" s="3">
        <f>L485*1.0281+3+160</f>
        <v>12500.2</v>
      </c>
      <c r="Q485" s="3"/>
      <c r="R485" s="3">
        <v>5990</v>
      </c>
      <c r="S485" s="3">
        <f>T485-R485</f>
        <v>6510</v>
      </c>
      <c r="T485" s="3">
        <v>12500</v>
      </c>
      <c r="U485" s="3">
        <f>T485-P485</f>
        <v>-0.2000000000007276</v>
      </c>
      <c r="V485" s="3">
        <v>8860</v>
      </c>
      <c r="W485" s="3">
        <f>Y485-V485</f>
        <v>3640</v>
      </c>
      <c r="X485" s="3"/>
      <c r="Y485" s="3">
        <v>12500</v>
      </c>
      <c r="Z485" s="3">
        <f>Y485-T485</f>
        <v>0</v>
      </c>
      <c r="AA485" s="3"/>
      <c r="AB485" s="3"/>
      <c r="AC485" s="3">
        <v>11733</v>
      </c>
      <c r="AD485" s="3">
        <f>AE485-AC485</f>
        <v>67</v>
      </c>
      <c r="AE485" s="3">
        <v>11800</v>
      </c>
      <c r="AF485" s="3">
        <f>AE485-Y485</f>
        <v>-700</v>
      </c>
      <c r="AG485" s="4"/>
      <c r="AH485" s="4">
        <f>AE485*1.03+46</f>
        <v>12200</v>
      </c>
      <c r="AJ485" s="3">
        <v>5866</v>
      </c>
      <c r="AK485" s="3">
        <f>AL485-AJ485</f>
        <v>6334</v>
      </c>
      <c r="AL485" s="3">
        <v>12200</v>
      </c>
      <c r="AM485" s="3">
        <f>AL485-AH485</f>
        <v>0</v>
      </c>
      <c r="AO485" s="3">
        <f>AH485*1.03</f>
        <v>12566</v>
      </c>
      <c r="AP485" s="3"/>
      <c r="AQ485" s="3">
        <f t="shared" ref="AQ485:AU487" si="326">AO485*1.03</f>
        <v>12942.98</v>
      </c>
      <c r="AR485" s="3">
        <f t="shared" si="326"/>
        <v>0</v>
      </c>
      <c r="AS485" s="3">
        <f t="shared" si="326"/>
        <v>13331.269399999999</v>
      </c>
      <c r="AT485" s="3">
        <f t="shared" si="326"/>
        <v>0</v>
      </c>
      <c r="AU485" s="3">
        <f t="shared" si="326"/>
        <v>13731.207482</v>
      </c>
      <c r="AV485" s="3"/>
      <c r="AW485" s="3">
        <f t="shared" ref="AW485:BA487" si="327">AU485*1.03</f>
        <v>14143.14370646</v>
      </c>
      <c r="AX485" s="3">
        <f t="shared" si="327"/>
        <v>0</v>
      </c>
      <c r="AY485" s="3">
        <f t="shared" si="327"/>
        <v>14567.4380176538</v>
      </c>
      <c r="AZ485" s="3">
        <f t="shared" si="327"/>
        <v>0</v>
      </c>
      <c r="BA485" s="3">
        <f t="shared" si="327"/>
        <v>15004.461158183414</v>
      </c>
      <c r="BB485" s="3"/>
      <c r="BC485" s="3">
        <f t="shared" ref="BC485:BE487" si="328">BA485*1.03</f>
        <v>15454.594992928916</v>
      </c>
      <c r="BD485" s="3">
        <f t="shared" si="328"/>
        <v>0</v>
      </c>
      <c r="BE485" s="3">
        <f t="shared" si="328"/>
        <v>15918.232842716785</v>
      </c>
    </row>
    <row r="486" spans="1:57" x14ac:dyDescent="0.25">
      <c r="A486" s="3" t="s">
        <v>385</v>
      </c>
      <c r="B486" s="3"/>
      <c r="D486" s="3"/>
      <c r="E486" s="3">
        <f>F486-D486</f>
        <v>0</v>
      </c>
      <c r="H486" s="5">
        <f>F486-B486</f>
        <v>0</v>
      </c>
      <c r="K486" s="4">
        <f>L486-J486</f>
        <v>0</v>
      </c>
      <c r="L486" s="4"/>
      <c r="N486" s="4">
        <f>L486-F486</f>
        <v>0</v>
      </c>
      <c r="P486" s="3"/>
      <c r="Q486" s="3"/>
      <c r="R486" s="3"/>
      <c r="S486" s="3">
        <f>T486-R486</f>
        <v>0</v>
      </c>
      <c r="T486" s="3"/>
      <c r="U486" s="3">
        <f>T486-P486</f>
        <v>0</v>
      </c>
      <c r="V486" s="3"/>
      <c r="W486" s="3">
        <f>Y486-V486</f>
        <v>0</v>
      </c>
      <c r="X486" s="3"/>
      <c r="Y486" s="3"/>
      <c r="Z486" s="3">
        <f>Y486-T486</f>
        <v>0</v>
      </c>
      <c r="AA486" s="3"/>
      <c r="AB486" s="3"/>
      <c r="AC486" s="3"/>
      <c r="AD486" s="3">
        <f>AE486-AC486</f>
        <v>0</v>
      </c>
      <c r="AE486" s="3"/>
      <c r="AF486" s="3">
        <f>AE486-Y486</f>
        <v>0</v>
      </c>
      <c r="AG486" s="4"/>
      <c r="AH486" s="4">
        <f>P486*1.0281</f>
        <v>0</v>
      </c>
      <c r="AJ486" s="3"/>
      <c r="AK486" s="3">
        <f>AL486-AJ486</f>
        <v>0</v>
      </c>
      <c r="AL486" s="3"/>
      <c r="AM486" s="3">
        <f>AL486-AH486</f>
        <v>0</v>
      </c>
      <c r="AO486" s="3">
        <f>AH486*1.03</f>
        <v>0</v>
      </c>
      <c r="AP486" s="3"/>
      <c r="AQ486" s="3">
        <f t="shared" si="326"/>
        <v>0</v>
      </c>
      <c r="AR486" s="3">
        <f t="shared" si="326"/>
        <v>0</v>
      </c>
      <c r="AS486" s="3">
        <f t="shared" si="326"/>
        <v>0</v>
      </c>
      <c r="AT486" s="3">
        <f t="shared" si="326"/>
        <v>0</v>
      </c>
      <c r="AU486" s="3">
        <f t="shared" si="326"/>
        <v>0</v>
      </c>
      <c r="AV486" s="3"/>
      <c r="AW486" s="3">
        <f t="shared" si="327"/>
        <v>0</v>
      </c>
      <c r="AX486" s="3">
        <f t="shared" si="327"/>
        <v>0</v>
      </c>
      <c r="AY486" s="3">
        <f t="shared" si="327"/>
        <v>0</v>
      </c>
      <c r="AZ486" s="3">
        <f t="shared" si="327"/>
        <v>0</v>
      </c>
      <c r="BA486" s="3">
        <f t="shared" si="327"/>
        <v>0</v>
      </c>
      <c r="BB486" s="3"/>
      <c r="BC486" s="3">
        <f t="shared" si="328"/>
        <v>0</v>
      </c>
      <c r="BD486" s="3">
        <f t="shared" si="328"/>
        <v>0</v>
      </c>
      <c r="BE486" s="3">
        <f t="shared" si="328"/>
        <v>0</v>
      </c>
    </row>
    <row r="487" spans="1:57" x14ac:dyDescent="0.25">
      <c r="A487" s="3" t="s">
        <v>376</v>
      </c>
      <c r="B487" s="3">
        <f>10000+2000</f>
        <v>12000</v>
      </c>
      <c r="D487" s="3">
        <v>3665</v>
      </c>
      <c r="E487" s="3">
        <f>F487-D487</f>
        <v>8335</v>
      </c>
      <c r="F487" s="5">
        <v>12000</v>
      </c>
      <c r="H487" s="5">
        <f>F487-B487</f>
        <v>0</v>
      </c>
      <c r="J487" s="5">
        <v>5362</v>
      </c>
      <c r="K487" s="4">
        <f>L487-J487</f>
        <v>6638</v>
      </c>
      <c r="L487" s="4">
        <v>12000</v>
      </c>
      <c r="N487" s="4">
        <f>L487-F487</f>
        <v>0</v>
      </c>
      <c r="P487" s="3">
        <v>2000</v>
      </c>
      <c r="Q487" s="3"/>
      <c r="R487" s="3">
        <v>3806</v>
      </c>
      <c r="S487" s="3">
        <f>T487-R487</f>
        <v>2194</v>
      </c>
      <c r="T487" s="3">
        <v>6000</v>
      </c>
      <c r="U487" s="3">
        <f>T487-P487</f>
        <v>4000</v>
      </c>
      <c r="V487" s="3">
        <v>5125</v>
      </c>
      <c r="W487" s="3">
        <f>Y487-V487</f>
        <v>3875</v>
      </c>
      <c r="X487" s="3"/>
      <c r="Y487" s="3">
        <v>9000</v>
      </c>
      <c r="Z487" s="3">
        <f>Y487-T487</f>
        <v>3000</v>
      </c>
      <c r="AA487" s="3"/>
      <c r="AB487" s="3"/>
      <c r="AC487" s="3">
        <v>6434</v>
      </c>
      <c r="AD487" s="3">
        <f>AE487-AC487</f>
        <v>2566</v>
      </c>
      <c r="AE487" s="3">
        <v>9000</v>
      </c>
      <c r="AF487" s="3">
        <f>AE487-Y487</f>
        <v>0</v>
      </c>
      <c r="AG487" s="4"/>
      <c r="AH487" s="4">
        <f>AE487*1.03+30</f>
        <v>9300</v>
      </c>
      <c r="AJ487" s="3">
        <v>4261</v>
      </c>
      <c r="AK487" s="3">
        <f>AL487-AJ487</f>
        <v>5039</v>
      </c>
      <c r="AL487" s="3">
        <v>9300</v>
      </c>
      <c r="AM487" s="3">
        <f>AL487-AH487</f>
        <v>0</v>
      </c>
      <c r="AO487" s="3">
        <f>AH487*1.03</f>
        <v>9579</v>
      </c>
      <c r="AP487" s="3"/>
      <c r="AQ487" s="3">
        <f t="shared" si="326"/>
        <v>9866.3700000000008</v>
      </c>
      <c r="AR487" s="3">
        <f t="shared" si="326"/>
        <v>0</v>
      </c>
      <c r="AS487" s="3">
        <f t="shared" si="326"/>
        <v>10162.361100000002</v>
      </c>
      <c r="AT487" s="3">
        <f t="shared" si="326"/>
        <v>0</v>
      </c>
      <c r="AU487" s="3">
        <f t="shared" si="326"/>
        <v>10467.231933000003</v>
      </c>
      <c r="AV487" s="3"/>
      <c r="AW487" s="3">
        <f t="shared" si="327"/>
        <v>10781.248890990004</v>
      </c>
      <c r="AX487" s="3">
        <f t="shared" si="327"/>
        <v>0</v>
      </c>
      <c r="AY487" s="3">
        <f t="shared" si="327"/>
        <v>11104.686357719704</v>
      </c>
      <c r="AZ487" s="3">
        <f t="shared" si="327"/>
        <v>0</v>
      </c>
      <c r="BA487" s="3">
        <f t="shared" si="327"/>
        <v>11437.826948451295</v>
      </c>
      <c r="BB487" s="3"/>
      <c r="BC487" s="3">
        <f t="shared" si="328"/>
        <v>11780.961756904833</v>
      </c>
      <c r="BD487" s="3">
        <f t="shared" si="328"/>
        <v>0</v>
      </c>
      <c r="BE487" s="3">
        <f t="shared" si="328"/>
        <v>12134.390609611979</v>
      </c>
    </row>
    <row r="488" spans="1:57" x14ac:dyDescent="0.25">
      <c r="A488" s="3"/>
      <c r="B488" s="48">
        <f>SUM(B484:B487)</f>
        <v>27750</v>
      </c>
      <c r="C488" s="32"/>
      <c r="D488" s="48">
        <f>SUM(D484:D487)</f>
        <v>9216</v>
      </c>
      <c r="E488" s="48">
        <f>SUM(E484:E487)</f>
        <v>17284</v>
      </c>
      <c r="F488" s="48">
        <f>SUM(F484:F487)</f>
        <v>26500</v>
      </c>
      <c r="G488" s="32"/>
      <c r="H488" s="48">
        <f>SUM(H484:H487)</f>
        <v>-1250</v>
      </c>
      <c r="I488" s="36"/>
      <c r="J488" s="48">
        <f>SUM(J484:J487)</f>
        <v>14126</v>
      </c>
      <c r="K488" s="48">
        <f>SUM(K484:K487)</f>
        <v>12874</v>
      </c>
      <c r="L488" s="48">
        <f>SUM(L484:L487)</f>
        <v>27000</v>
      </c>
      <c r="M488" s="32"/>
      <c r="N488" s="48">
        <f>SUM(N484:N487)</f>
        <v>500</v>
      </c>
      <c r="P488" s="48">
        <f>SUM(P484:P487)</f>
        <v>17500.2</v>
      </c>
      <c r="R488" s="48">
        <f t="shared" ref="R488:Z488" si="329">SUM(R484:R487)</f>
        <v>9796</v>
      </c>
      <c r="S488" s="48">
        <f t="shared" si="329"/>
        <v>11704</v>
      </c>
      <c r="T488" s="48">
        <f t="shared" si="329"/>
        <v>21500</v>
      </c>
      <c r="U488" s="48">
        <f t="shared" si="329"/>
        <v>3999.7999999999993</v>
      </c>
      <c r="V488" s="48">
        <f t="shared" si="329"/>
        <v>13985</v>
      </c>
      <c r="W488" s="48">
        <f t="shared" si="329"/>
        <v>10515</v>
      </c>
      <c r="X488" s="48"/>
      <c r="Y488" s="48">
        <f t="shared" si="329"/>
        <v>24500</v>
      </c>
      <c r="Z488" s="48">
        <f t="shared" si="329"/>
        <v>3000</v>
      </c>
      <c r="AC488" s="48">
        <f>SUM(AC484:AC487)</f>
        <v>18167</v>
      </c>
      <c r="AD488" s="48">
        <f>SUM(AD484:AD487)</f>
        <v>5633</v>
      </c>
      <c r="AE488" s="48">
        <f>SUM(AE484:AE487)</f>
        <v>23800</v>
      </c>
      <c r="AF488" s="48">
        <f>SUM(AF484:AF487)</f>
        <v>-700</v>
      </c>
      <c r="AH488" s="36">
        <f>SUM(AH484:AH487)</f>
        <v>24500</v>
      </c>
      <c r="AI488" s="32"/>
      <c r="AJ488" s="48">
        <f>SUM(AJ484:AJ487)</f>
        <v>10127</v>
      </c>
      <c r="AK488" s="48">
        <f>SUM(AK484:AK487)</f>
        <v>14373</v>
      </c>
      <c r="AL488" s="48">
        <f>SUM(AL484:AL487)</f>
        <v>24500</v>
      </c>
      <c r="AM488" s="48">
        <f>SUM(AM484:AM487)</f>
        <v>0</v>
      </c>
      <c r="AN488" s="32"/>
      <c r="AO488" s="48">
        <f>SUM(AO484:AO487)</f>
        <v>25145</v>
      </c>
      <c r="AQ488" s="48">
        <f>SUM(AQ484:AQ487)</f>
        <v>25809.35</v>
      </c>
      <c r="AS488" s="48">
        <f>SUM(AS484:AS487)</f>
        <v>26493.630499999999</v>
      </c>
      <c r="AT488" s="48"/>
      <c r="AU488" s="48">
        <f>SUM(AU484:AU487)</f>
        <v>27198.439415000001</v>
      </c>
      <c r="AW488" s="48">
        <f>SUM(AW484:AW487)</f>
        <v>27924.392597450002</v>
      </c>
      <c r="AY488" s="48">
        <f>SUM(AY484:AY487)</f>
        <v>28672.124375373503</v>
      </c>
      <c r="BA488" s="48">
        <f>SUM(BA484:BA487)</f>
        <v>29442.288106634711</v>
      </c>
      <c r="BC488" s="48">
        <f>SUM(BC484:BC487)</f>
        <v>30235.556749833748</v>
      </c>
      <c r="BE488" s="48">
        <f>SUM(BE484:BE487)</f>
        <v>31052.623452328764</v>
      </c>
    </row>
    <row r="489" spans="1:57" s="42" customFormat="1" x14ac:dyDescent="0.25">
      <c r="A489" s="7" t="s">
        <v>57</v>
      </c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4"/>
      <c r="N489" s="3"/>
      <c r="O489" s="4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4"/>
      <c r="AH489" s="4"/>
      <c r="AI489" s="4"/>
      <c r="AJ489" s="3"/>
      <c r="AK489" s="3"/>
      <c r="AL489" s="3"/>
      <c r="AM489" s="3"/>
      <c r="AN489" s="4"/>
      <c r="AO489" s="3"/>
      <c r="AP489" s="3"/>
      <c r="AQ489" s="3"/>
      <c r="AR489" s="3"/>
      <c r="AS489" s="3"/>
      <c r="AT489" s="3"/>
      <c r="AU489" s="3"/>
      <c r="AW489" s="3"/>
      <c r="AY489" s="3"/>
      <c r="BA489" s="3"/>
      <c r="BC489" s="3"/>
      <c r="BE489" s="3"/>
    </row>
    <row r="490" spans="1:57" x14ac:dyDescent="0.25">
      <c r="A490" s="3" t="s">
        <v>386</v>
      </c>
      <c r="B490" s="3">
        <v>600</v>
      </c>
      <c r="D490" s="3"/>
      <c r="E490" s="3">
        <f>F490-D490</f>
        <v>600</v>
      </c>
      <c r="F490" s="5">
        <v>600</v>
      </c>
      <c r="H490" s="5">
        <f>F490-B490</f>
        <v>0</v>
      </c>
      <c r="K490" s="4">
        <f>L490-J490</f>
        <v>600</v>
      </c>
      <c r="L490" s="4">
        <v>600</v>
      </c>
      <c r="N490" s="4">
        <f>L490-F490</f>
        <v>0</v>
      </c>
      <c r="P490" s="3">
        <f>L490*1.0281+3</f>
        <v>619.86</v>
      </c>
      <c r="Q490" s="3"/>
      <c r="R490" s="3"/>
      <c r="S490" s="3">
        <f>T490-R490</f>
        <v>620</v>
      </c>
      <c r="T490" s="3">
        <v>620</v>
      </c>
      <c r="U490" s="3">
        <f>T490-P490</f>
        <v>0.13999999999998636</v>
      </c>
      <c r="V490" s="3"/>
      <c r="W490" s="3">
        <f>Y490-V490</f>
        <v>0</v>
      </c>
      <c r="X490" s="3"/>
      <c r="Y490" s="3"/>
      <c r="Z490" s="3">
        <f>Y490-T490</f>
        <v>-620</v>
      </c>
      <c r="AA490" s="3"/>
      <c r="AB490" s="3"/>
      <c r="AC490" s="3"/>
      <c r="AD490" s="3">
        <f>AE490-AC490</f>
        <v>0</v>
      </c>
      <c r="AE490" s="3"/>
      <c r="AF490" s="3">
        <f>AE490-Y490</f>
        <v>0</v>
      </c>
      <c r="AG490" s="4"/>
      <c r="AH490" s="4">
        <v>600</v>
      </c>
      <c r="AJ490" s="3">
        <v>0</v>
      </c>
      <c r="AK490" s="3">
        <f>AL490-AJ490</f>
        <v>600</v>
      </c>
      <c r="AL490" s="3">
        <v>600</v>
      </c>
      <c r="AM490" s="3">
        <f>AL490-AH490</f>
        <v>0</v>
      </c>
      <c r="AO490" s="3">
        <f>AH490*1.03</f>
        <v>618</v>
      </c>
      <c r="AP490" s="3"/>
      <c r="AQ490" s="3">
        <f>AO490*1.03</f>
        <v>636.54</v>
      </c>
      <c r="AR490" s="3">
        <f>AP490*1.03</f>
        <v>0</v>
      </c>
      <c r="AS490" s="3">
        <f>AQ490*1.03</f>
        <v>655.63620000000003</v>
      </c>
      <c r="AT490" s="3">
        <f>AR490*1.03</f>
        <v>0</v>
      </c>
      <c r="AU490" s="3">
        <f>AS490*1.03</f>
        <v>675.30528600000002</v>
      </c>
      <c r="AV490" s="3"/>
      <c r="AW490" s="3">
        <f>AU490*1.03</f>
        <v>695.56444457999999</v>
      </c>
      <c r="AX490" s="3">
        <f>AV490*1.03</f>
        <v>0</v>
      </c>
      <c r="AY490" s="3">
        <f>AW490*1.03</f>
        <v>716.43137791740003</v>
      </c>
      <c r="AZ490" s="3">
        <f>AX490*1.03</f>
        <v>0</v>
      </c>
      <c r="BA490" s="3">
        <f>AY490*1.03</f>
        <v>737.92431925492201</v>
      </c>
      <c r="BB490" s="3"/>
      <c r="BC490" s="3">
        <f>BA490*1.03</f>
        <v>760.06204883256964</v>
      </c>
      <c r="BD490" s="3">
        <f>BB490*1.03</f>
        <v>0</v>
      </c>
      <c r="BE490" s="3">
        <f>BC490*1.03</f>
        <v>782.86391029754679</v>
      </c>
    </row>
    <row r="491" spans="1:57" x14ac:dyDescent="0.25">
      <c r="A491" s="3" t="s">
        <v>90</v>
      </c>
      <c r="AK491" s="3">
        <f>AL491-AJ491</f>
        <v>0</v>
      </c>
      <c r="AM491" s="3">
        <f>AL491-AH491</f>
        <v>0</v>
      </c>
    </row>
    <row r="492" spans="1:57" x14ac:dyDescent="0.25">
      <c r="A492" s="3"/>
      <c r="B492" s="48">
        <f>SUM(B490:B491)</f>
        <v>600</v>
      </c>
      <c r="C492" s="32"/>
      <c r="D492" s="48">
        <f>SUM(D490:D491)</f>
        <v>0</v>
      </c>
      <c r="E492" s="48">
        <f>SUM(E490:E491)</f>
        <v>600</v>
      </c>
      <c r="F492" s="48">
        <f>SUM(F490:F491)</f>
        <v>600</v>
      </c>
      <c r="G492" s="32"/>
      <c r="H492" s="48">
        <f>SUM(H490:H491)</f>
        <v>0</v>
      </c>
      <c r="I492" s="36"/>
      <c r="J492" s="48">
        <f>SUM(J490:J491)</f>
        <v>0</v>
      </c>
      <c r="K492" s="48">
        <f>SUM(K490:K491)</f>
        <v>600</v>
      </c>
      <c r="L492" s="48">
        <f>SUM(L490:L491)</f>
        <v>600</v>
      </c>
      <c r="M492" s="32"/>
      <c r="N492" s="48">
        <f>SUM(N490:N491)</f>
        <v>0</v>
      </c>
      <c r="P492" s="48">
        <f>SUM(P490:P491)</f>
        <v>619.86</v>
      </c>
      <c r="R492" s="48">
        <f t="shared" ref="R492:Z492" si="330">SUM(R490:R491)</f>
        <v>0</v>
      </c>
      <c r="S492" s="48">
        <f t="shared" si="330"/>
        <v>620</v>
      </c>
      <c r="T492" s="48">
        <f t="shared" si="330"/>
        <v>620</v>
      </c>
      <c r="U492" s="48">
        <f t="shared" si="330"/>
        <v>0.13999999999998636</v>
      </c>
      <c r="V492" s="48">
        <f t="shared" si="330"/>
        <v>0</v>
      </c>
      <c r="W492" s="48">
        <f t="shared" si="330"/>
        <v>0</v>
      </c>
      <c r="X492" s="48"/>
      <c r="Y492" s="48">
        <f t="shared" si="330"/>
        <v>0</v>
      </c>
      <c r="Z492" s="48">
        <f t="shared" si="330"/>
        <v>-620</v>
      </c>
      <c r="AC492" s="48">
        <f>SUM(AC490:AC491)</f>
        <v>0</v>
      </c>
      <c r="AD492" s="48">
        <f>AE492-AC492</f>
        <v>0</v>
      </c>
      <c r="AE492" s="48">
        <f>SUM(AE490:AE491)</f>
        <v>0</v>
      </c>
      <c r="AF492" s="48">
        <f>AE492-Y492</f>
        <v>0</v>
      </c>
      <c r="AH492" s="36">
        <f>SUM(AH490:AH491)</f>
        <v>600</v>
      </c>
      <c r="AI492" s="32"/>
      <c r="AJ492" s="48">
        <f>SUM(AJ490:AJ491)</f>
        <v>0</v>
      </c>
      <c r="AK492" s="48">
        <f>SUM(AK490:AK491)</f>
        <v>600</v>
      </c>
      <c r="AL492" s="48">
        <f>SUM(AL490:AL491)</f>
        <v>600</v>
      </c>
      <c r="AM492" s="48">
        <f>SUM(AM490:AM491)</f>
        <v>0</v>
      </c>
      <c r="AN492" s="32"/>
      <c r="AO492" s="48">
        <f>SUM(AO490:AO491)</f>
        <v>618</v>
      </c>
      <c r="AQ492" s="48">
        <f>SUM(AQ490:AQ491)</f>
        <v>636.54</v>
      </c>
      <c r="AS492" s="48">
        <f>SUM(AS490:AS491)</f>
        <v>655.63620000000003</v>
      </c>
      <c r="AT492" s="48"/>
      <c r="AU492" s="48">
        <f>SUM(AU490:AU491)</f>
        <v>675.30528600000002</v>
      </c>
      <c r="AW492" s="48">
        <f>SUM(AW490:AW491)</f>
        <v>695.56444457999999</v>
      </c>
      <c r="AY492" s="48">
        <f>SUM(AY490:AY491)</f>
        <v>716.43137791740003</v>
      </c>
      <c r="BA492" s="48">
        <f>SUM(BA490:BA491)</f>
        <v>737.92431925492201</v>
      </c>
      <c r="BC492" s="48">
        <f>SUM(BC490:BC491)</f>
        <v>760.06204883256964</v>
      </c>
      <c r="BE492" s="48">
        <f>SUM(BE490:BE491)</f>
        <v>782.86391029754679</v>
      </c>
    </row>
    <row r="493" spans="1:57" ht="15.75" thickBot="1" x14ac:dyDescent="0.3">
      <c r="A493" s="7" t="s">
        <v>249</v>
      </c>
      <c r="B493" s="49">
        <f>B492+B488+B482+B473</f>
        <v>276150</v>
      </c>
      <c r="C493" s="32"/>
      <c r="D493" s="49">
        <f>D492+D488+D482+D473+1</f>
        <v>43839</v>
      </c>
      <c r="E493" s="49">
        <f>E492+E488+E482+E473+1</f>
        <v>234063</v>
      </c>
      <c r="F493" s="49">
        <f>F492+F488+F482+F473</f>
        <v>277900</v>
      </c>
      <c r="G493" s="32"/>
      <c r="H493" s="49">
        <f>H492+H488+H482+H473+1</f>
        <v>1751</v>
      </c>
      <c r="I493" s="36"/>
      <c r="J493" s="49">
        <f>J492+J488+J482+J473+1</f>
        <v>174873</v>
      </c>
      <c r="K493" s="49">
        <f>K492+K488+K482+K473+1</f>
        <v>126424</v>
      </c>
      <c r="L493" s="49">
        <f>L492+L488+L482+L473+1</f>
        <v>301296</v>
      </c>
      <c r="M493" s="32"/>
      <c r="N493" s="49">
        <f>N492+N488+N482+N473+1</f>
        <v>23396</v>
      </c>
      <c r="P493" s="49">
        <f>P492+P488+P482+P473</f>
        <v>366350.11</v>
      </c>
      <c r="R493" s="49">
        <f t="shared" ref="R493:Z493" si="331">R492+R488+R482+R473</f>
        <v>70366</v>
      </c>
      <c r="S493" s="49">
        <f t="shared" si="331"/>
        <v>239944</v>
      </c>
      <c r="T493" s="49">
        <f t="shared" si="331"/>
        <v>310310</v>
      </c>
      <c r="U493" s="49" t="e">
        <f t="shared" si="331"/>
        <v>#VALUE!</v>
      </c>
      <c r="V493" s="49">
        <f t="shared" si="331"/>
        <v>106326</v>
      </c>
      <c r="W493" s="49">
        <f t="shared" si="331"/>
        <v>204964</v>
      </c>
      <c r="X493" s="49"/>
      <c r="Y493" s="49">
        <f t="shared" si="331"/>
        <v>311290</v>
      </c>
      <c r="Z493" s="49">
        <f t="shared" si="331"/>
        <v>980</v>
      </c>
      <c r="AC493" s="49">
        <f>AC492+AC488+AC482+AC473</f>
        <v>154692</v>
      </c>
      <c r="AD493" s="49">
        <f>AD492+AD488+AD482+AD473</f>
        <v>147898</v>
      </c>
      <c r="AE493" s="49">
        <f>AE492+AE488+AE482+AE473</f>
        <v>302590</v>
      </c>
      <c r="AF493" s="49">
        <f>AF492+AF488+AF482+AF473</f>
        <v>-8700</v>
      </c>
      <c r="AH493" s="36">
        <f>AH492+AH488+AH482+AH473</f>
        <v>333549.5515</v>
      </c>
      <c r="AI493" s="32"/>
      <c r="AJ493" s="49">
        <f>AJ492+AJ488+AJ482+AJ473</f>
        <v>132132</v>
      </c>
      <c r="AK493" s="49">
        <f>AK492+AK488+AK482+AK473</f>
        <v>238418</v>
      </c>
      <c r="AL493" s="49">
        <f>AL492+AL488+AL482+AL473</f>
        <v>370550</v>
      </c>
      <c r="AM493" s="49">
        <f>AM492+AM488+AM482+AM473</f>
        <v>37000.448499999999</v>
      </c>
      <c r="AN493" s="32"/>
      <c r="AO493" s="49">
        <f>AO492+AO488+AO482+AO473</f>
        <v>342971.03804499999</v>
      </c>
      <c r="AQ493" s="49">
        <f>AQ492+AQ488+AQ482+AQ473</f>
        <v>352675.16918634996</v>
      </c>
      <c r="AS493" s="49">
        <f>AS492+AS488+AS482+AS473</f>
        <v>362670.42426194053</v>
      </c>
      <c r="AT493" s="49"/>
      <c r="AU493" s="49">
        <f>AU492+AU488+AU482+AU473</f>
        <v>373965.53698979871</v>
      </c>
      <c r="AW493" s="49">
        <f>AW492+AW488+AW482+AW473</f>
        <v>384569.50309949269</v>
      </c>
      <c r="AY493" s="49">
        <f>AY492+AY488+AY482+AY473</f>
        <v>395491.58819247747</v>
      </c>
      <c r="BA493" s="49">
        <f>BA492+BA488+BA482+BA473</f>
        <v>406741.33583825175</v>
      </c>
      <c r="BC493" s="49">
        <f>BC492+BC488+BC482+BC473</f>
        <v>418328.57591339934</v>
      </c>
      <c r="BE493" s="49">
        <f>BE492+BE488+BE482+BE473</f>
        <v>430263.4331908013</v>
      </c>
    </row>
    <row r="494" spans="1:57" ht="15.75" thickTop="1" x14ac:dyDescent="0.25">
      <c r="A494" s="7" t="s">
        <v>96</v>
      </c>
    </row>
    <row r="495" spans="1:57" x14ac:dyDescent="0.25">
      <c r="A495" s="7" t="s">
        <v>387</v>
      </c>
      <c r="AH495" s="4"/>
    </row>
    <row r="496" spans="1:57" s="42" customFormat="1" x14ac:dyDescent="0.25">
      <c r="A496" s="3" t="s">
        <v>388</v>
      </c>
      <c r="B496" s="3">
        <v>94500</v>
      </c>
      <c r="C496" s="3"/>
      <c r="D496" s="3">
        <v>25050</v>
      </c>
      <c r="E496" s="3">
        <f t="shared" ref="E496:E502" si="332">F496-D496</f>
        <v>69950</v>
      </c>
      <c r="F496" s="5">
        <v>95000</v>
      </c>
      <c r="G496" s="3"/>
      <c r="H496" s="5">
        <f t="shared" ref="H496:H502" si="333">F496-B496</f>
        <v>500</v>
      </c>
      <c r="I496" s="5"/>
      <c r="J496" s="5">
        <v>43949</v>
      </c>
      <c r="K496" s="4">
        <f t="shared" ref="K496:K502" si="334">L496-J496</f>
        <v>51051</v>
      </c>
      <c r="L496" s="4">
        <v>95000</v>
      </c>
      <c r="M496" s="4"/>
      <c r="N496" s="4">
        <f t="shared" ref="N496:N502" si="335">L496-F496</f>
        <v>0</v>
      </c>
      <c r="O496" s="4"/>
      <c r="P496" s="3">
        <f>L496*1.0275+37</f>
        <v>97649.500000000015</v>
      </c>
      <c r="Q496" s="3"/>
      <c r="R496" s="3">
        <v>26399</v>
      </c>
      <c r="S496" s="3">
        <f t="shared" ref="S496:S502" si="336">T496-R496</f>
        <v>71251</v>
      </c>
      <c r="T496" s="3">
        <v>97650</v>
      </c>
      <c r="U496" s="3">
        <f t="shared" ref="U496:U502" si="337">T496-P496</f>
        <v>0.49999999998544808</v>
      </c>
      <c r="V496" s="3">
        <v>48962</v>
      </c>
      <c r="W496" s="3">
        <f t="shared" ref="W496:W502" si="338">Y496-V496</f>
        <v>54038</v>
      </c>
      <c r="X496" s="3"/>
      <c r="Y496" s="3">
        <v>103000</v>
      </c>
      <c r="Z496" s="3">
        <f t="shared" ref="Z496:Z502" si="339">Y496-T496</f>
        <v>5350</v>
      </c>
      <c r="AA496" s="3"/>
      <c r="AB496" s="3"/>
      <c r="AC496" s="3">
        <v>60158</v>
      </c>
      <c r="AD496" s="3">
        <f t="shared" ref="AD496:AD502" si="340">AE496-AC496</f>
        <v>42842</v>
      </c>
      <c r="AE496" s="3">
        <v>103000</v>
      </c>
      <c r="AF496" s="3">
        <f t="shared" ref="AF496:AF502" si="341">AE496-Y496</f>
        <v>0</v>
      </c>
      <c r="AG496" s="4"/>
      <c r="AH496" s="4">
        <v>105600</v>
      </c>
      <c r="AI496" s="4"/>
      <c r="AJ496" s="3">
        <v>24101</v>
      </c>
      <c r="AK496" s="3">
        <f t="shared" ref="AK496:AK502" si="342">AL496-AJ496</f>
        <v>81499</v>
      </c>
      <c r="AL496" s="3">
        <v>105600</v>
      </c>
      <c r="AM496" s="3">
        <f t="shared" ref="AM496:AM502" si="343">AL496-AH496</f>
        <v>0</v>
      </c>
      <c r="AN496" s="4"/>
      <c r="AO496" s="3">
        <f>AH496*1.03</f>
        <v>108768</v>
      </c>
      <c r="AP496" s="3"/>
      <c r="AQ496" s="3">
        <f>AO496*1.0281</f>
        <v>111824.3808</v>
      </c>
      <c r="AR496" s="3"/>
      <c r="AS496" s="3">
        <f>AQ496*1.0281</f>
        <v>114966.64590048</v>
      </c>
      <c r="AT496" s="3"/>
      <c r="AU496" s="3">
        <f>AS496*1.0281</f>
        <v>118197.20865028349</v>
      </c>
      <c r="AW496" s="3">
        <f>AU496*1.0281</f>
        <v>121518.55021335646</v>
      </c>
      <c r="AY496" s="3">
        <f>AW496*1.0281</f>
        <v>124933.22147435178</v>
      </c>
      <c r="BA496" s="3">
        <f>AY496*1.0281</f>
        <v>128443.84499778107</v>
      </c>
      <c r="BC496" s="3">
        <f>BA496*1.0281</f>
        <v>132053.11704221871</v>
      </c>
      <c r="BE496" s="3">
        <f>BC496*1.0281</f>
        <v>135763.80963110505</v>
      </c>
    </row>
    <row r="497" spans="1:57" s="42" customFormat="1" x14ac:dyDescent="0.25">
      <c r="A497" s="3" t="s">
        <v>389</v>
      </c>
      <c r="B497" s="3"/>
      <c r="C497" s="3"/>
      <c r="D497" s="3"/>
      <c r="E497" s="3"/>
      <c r="F497" s="5"/>
      <c r="G497" s="3"/>
      <c r="H497" s="5"/>
      <c r="I497" s="5"/>
      <c r="J497" s="5"/>
      <c r="K497" s="4"/>
      <c r="L497" s="4"/>
      <c r="M497" s="4"/>
      <c r="N497" s="4"/>
      <c r="O497" s="4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4"/>
      <c r="AH497" s="4">
        <f>55000-10000</f>
        <v>45000</v>
      </c>
      <c r="AI497" s="4"/>
      <c r="AJ497" s="3">
        <v>0</v>
      </c>
      <c r="AK497" s="3">
        <f t="shared" si="342"/>
        <v>45000</v>
      </c>
      <c r="AL497" s="3">
        <v>45000</v>
      </c>
      <c r="AM497" s="3">
        <f t="shared" si="343"/>
        <v>0</v>
      </c>
      <c r="AN497" s="4"/>
      <c r="AO497" s="3">
        <f>AH497*1.03</f>
        <v>46350</v>
      </c>
      <c r="AP497" s="3"/>
      <c r="AQ497" s="3">
        <f t="shared" ref="AQ497:BE497" si="344">AO497*1.03</f>
        <v>47740.5</v>
      </c>
      <c r="AR497" s="3">
        <f t="shared" si="344"/>
        <v>0</v>
      </c>
      <c r="AS497" s="3">
        <f t="shared" si="344"/>
        <v>49172.715000000004</v>
      </c>
      <c r="AT497" s="3">
        <f t="shared" si="344"/>
        <v>0</v>
      </c>
      <c r="AU497" s="3">
        <f t="shared" si="344"/>
        <v>50647.896450000007</v>
      </c>
      <c r="AV497" s="3"/>
      <c r="AW497" s="3">
        <f t="shared" si="344"/>
        <v>52167.33334350001</v>
      </c>
      <c r="AX497" s="3">
        <f t="shared" si="344"/>
        <v>0</v>
      </c>
      <c r="AY497" s="3">
        <f t="shared" si="344"/>
        <v>53732.353343805014</v>
      </c>
      <c r="AZ497" s="3">
        <f t="shared" si="344"/>
        <v>0</v>
      </c>
      <c r="BA497" s="3">
        <f t="shared" si="344"/>
        <v>55344.323944119169</v>
      </c>
      <c r="BB497" s="3">
        <f t="shared" si="344"/>
        <v>0</v>
      </c>
      <c r="BC497" s="3">
        <f t="shared" si="344"/>
        <v>57004.653662442746</v>
      </c>
      <c r="BD497" s="3">
        <f t="shared" si="344"/>
        <v>0</v>
      </c>
      <c r="BE497" s="3">
        <f t="shared" si="344"/>
        <v>58714.793272316027</v>
      </c>
    </row>
    <row r="498" spans="1:57" x14ac:dyDescent="0.25">
      <c r="A498" s="3" t="s">
        <v>305</v>
      </c>
      <c r="B498" s="3">
        <v>17500</v>
      </c>
      <c r="D498" s="3">
        <v>879</v>
      </c>
      <c r="E498" s="3">
        <f t="shared" si="332"/>
        <v>16621</v>
      </c>
      <c r="F498" s="5">
        <v>17500</v>
      </c>
      <c r="H498" s="5">
        <f t="shared" si="333"/>
        <v>0</v>
      </c>
      <c r="J498" s="5">
        <v>2198</v>
      </c>
      <c r="K498" s="4">
        <f t="shared" si="334"/>
        <v>15302</v>
      </c>
      <c r="L498" s="4">
        <v>17500</v>
      </c>
      <c r="N498" s="4">
        <f t="shared" si="335"/>
        <v>0</v>
      </c>
      <c r="P498" s="3">
        <f>75000+7500</f>
        <v>82500</v>
      </c>
      <c r="Q498" s="3"/>
      <c r="R498" s="3">
        <v>0</v>
      </c>
      <c r="S498" s="3">
        <f t="shared" si="336"/>
        <v>82500</v>
      </c>
      <c r="T498" s="3">
        <v>82500</v>
      </c>
      <c r="U498" s="3">
        <f t="shared" si="337"/>
        <v>0</v>
      </c>
      <c r="V498" s="3">
        <v>1805</v>
      </c>
      <c r="W498" s="3">
        <f t="shared" si="338"/>
        <v>75195</v>
      </c>
      <c r="X498" s="3"/>
      <c r="Y498" s="3">
        <v>77000</v>
      </c>
      <c r="Z498" s="3">
        <f t="shared" si="339"/>
        <v>-5500</v>
      </c>
      <c r="AA498" s="3"/>
      <c r="AB498" s="3"/>
      <c r="AC498" s="3">
        <v>20545</v>
      </c>
      <c r="AD498" s="3">
        <f t="shared" si="340"/>
        <v>57455</v>
      </c>
      <c r="AE498" s="3">
        <v>78000</v>
      </c>
      <c r="AF498" s="3">
        <f t="shared" si="341"/>
        <v>1000</v>
      </c>
      <c r="AG498" s="4"/>
      <c r="AH498" s="4">
        <v>70000</v>
      </c>
      <c r="AJ498" s="3">
        <v>14362</v>
      </c>
      <c r="AK498" s="3">
        <f t="shared" si="342"/>
        <v>50638</v>
      </c>
      <c r="AL498" s="3">
        <v>65000</v>
      </c>
      <c r="AM498" s="3">
        <f t="shared" si="343"/>
        <v>-5000</v>
      </c>
      <c r="AO498" s="3">
        <v>53000</v>
      </c>
      <c r="AP498" s="3"/>
      <c r="AQ498" s="3">
        <v>30000</v>
      </c>
      <c r="AR498" s="3"/>
      <c r="AS498" s="3">
        <v>37500</v>
      </c>
      <c r="AT498" s="3">
        <v>37500</v>
      </c>
      <c r="AU498" s="3">
        <v>37500</v>
      </c>
      <c r="AV498" s="3"/>
      <c r="AW498" s="3">
        <v>37500</v>
      </c>
      <c r="AX498" s="3">
        <v>37500</v>
      </c>
      <c r="AY498" s="3">
        <v>37500</v>
      </c>
      <c r="AZ498" s="3">
        <v>37500</v>
      </c>
      <c r="BA498" s="3">
        <v>37500</v>
      </c>
      <c r="BB498" s="3">
        <v>37500</v>
      </c>
      <c r="BC498" s="3">
        <v>37500</v>
      </c>
      <c r="BD498" s="3">
        <v>37500</v>
      </c>
      <c r="BE498" s="3">
        <v>37500</v>
      </c>
    </row>
    <row r="499" spans="1:57" x14ac:dyDescent="0.25">
      <c r="A499" s="3" t="s">
        <v>390</v>
      </c>
      <c r="B499" s="3">
        <v>7500</v>
      </c>
      <c r="D499" s="3">
        <v>0</v>
      </c>
      <c r="E499" s="3">
        <f t="shared" si="332"/>
        <v>7500</v>
      </c>
      <c r="F499" s="5">
        <v>7500</v>
      </c>
      <c r="H499" s="5">
        <f t="shared" si="333"/>
        <v>0</v>
      </c>
      <c r="J499" s="5">
        <v>231</v>
      </c>
      <c r="K499" s="4">
        <f t="shared" si="334"/>
        <v>5769</v>
      </c>
      <c r="L499" s="4">
        <v>6000</v>
      </c>
      <c r="N499" s="4">
        <f t="shared" si="335"/>
        <v>-1500</v>
      </c>
      <c r="P499" s="3">
        <f>B499*1.0325+256</f>
        <v>7999.75</v>
      </c>
      <c r="Q499" s="3"/>
      <c r="R499" s="3">
        <v>0</v>
      </c>
      <c r="S499" s="3">
        <f t="shared" si="336"/>
        <v>8000</v>
      </c>
      <c r="T499" s="3">
        <v>8000</v>
      </c>
      <c r="U499" s="3">
        <f t="shared" si="337"/>
        <v>0.25</v>
      </c>
      <c r="V499" s="3">
        <v>1334</v>
      </c>
      <c r="W499" s="3">
        <f t="shared" si="338"/>
        <v>3666</v>
      </c>
      <c r="X499" s="3"/>
      <c r="Y499" s="3">
        <v>5000</v>
      </c>
      <c r="Z499" s="3">
        <f t="shared" si="339"/>
        <v>-3000</v>
      </c>
      <c r="AA499" s="3"/>
      <c r="AB499" s="3"/>
      <c r="AC499" s="3">
        <v>6605</v>
      </c>
      <c r="AD499" s="3">
        <f t="shared" si="340"/>
        <v>2895</v>
      </c>
      <c r="AE499" s="3">
        <v>9500</v>
      </c>
      <c r="AF499" s="3">
        <f t="shared" si="341"/>
        <v>4500</v>
      </c>
      <c r="AG499" s="4"/>
      <c r="AH499" s="4">
        <v>8800</v>
      </c>
      <c r="AJ499" s="3">
        <v>0</v>
      </c>
      <c r="AK499" s="3">
        <f t="shared" si="342"/>
        <v>8800</v>
      </c>
      <c r="AL499" s="3">
        <v>8800</v>
      </c>
      <c r="AM499" s="3">
        <f t="shared" si="343"/>
        <v>0</v>
      </c>
      <c r="AO499" s="3">
        <f>AH499*1.0325</f>
        <v>9086</v>
      </c>
      <c r="AP499" s="3"/>
      <c r="AQ499" s="3">
        <f>AO499*1.0325</f>
        <v>9381.2950000000001</v>
      </c>
      <c r="AR499" s="3"/>
      <c r="AS499" s="3">
        <f>AQ499*1.0325</f>
        <v>9686.1870875000004</v>
      </c>
      <c r="AT499" s="3"/>
      <c r="AU499" s="3">
        <f>AS499*1.0325</f>
        <v>10000.98816784375</v>
      </c>
      <c r="AV499" s="42"/>
      <c r="AW499" s="3">
        <f>AU499*1.0325</f>
        <v>10326.020283298672</v>
      </c>
      <c r="AX499" s="42"/>
      <c r="AY499" s="3">
        <f>AW499*1.0325</f>
        <v>10661.61594250588</v>
      </c>
      <c r="AZ499" s="42"/>
      <c r="BA499" s="3">
        <f>AY499*1.0325</f>
        <v>11008.118460637321</v>
      </c>
      <c r="BB499" s="42"/>
      <c r="BC499" s="3">
        <f>BA499*1.0325</f>
        <v>11365.882310608033</v>
      </c>
      <c r="BE499" s="3">
        <f>BC499*1.0325</f>
        <v>11735.273485702794</v>
      </c>
    </row>
    <row r="500" spans="1:57" x14ac:dyDescent="0.25">
      <c r="A500" s="3" t="s">
        <v>299</v>
      </c>
      <c r="B500" s="3">
        <v>1500</v>
      </c>
      <c r="D500" s="3">
        <v>0</v>
      </c>
      <c r="E500" s="3">
        <f t="shared" si="332"/>
        <v>1500</v>
      </c>
      <c r="F500" s="5">
        <v>1500</v>
      </c>
      <c r="H500" s="5">
        <f t="shared" si="333"/>
        <v>0</v>
      </c>
      <c r="J500" s="5">
        <v>0</v>
      </c>
      <c r="K500" s="4">
        <f t="shared" si="334"/>
        <v>500</v>
      </c>
      <c r="L500" s="4">
        <v>500</v>
      </c>
      <c r="N500" s="4">
        <f t="shared" si="335"/>
        <v>-1000</v>
      </c>
      <c r="P500" s="3">
        <f>L500*1.0281+86</f>
        <v>600.04999999999995</v>
      </c>
      <c r="Q500" s="3"/>
      <c r="R500" s="3">
        <v>0</v>
      </c>
      <c r="S500" s="3">
        <f t="shared" si="336"/>
        <v>600</v>
      </c>
      <c r="T500" s="3">
        <v>600</v>
      </c>
      <c r="U500" s="3">
        <f t="shared" si="337"/>
        <v>-4.9999999999954525E-2</v>
      </c>
      <c r="V500" s="3">
        <v>0</v>
      </c>
      <c r="W500" s="3">
        <f t="shared" si="338"/>
        <v>3000</v>
      </c>
      <c r="X500" s="3"/>
      <c r="Y500" s="3">
        <v>3000</v>
      </c>
      <c r="Z500" s="3">
        <f t="shared" si="339"/>
        <v>2400</v>
      </c>
      <c r="AA500" s="3"/>
      <c r="AB500" s="3"/>
      <c r="AC500" s="3"/>
      <c r="AD500" s="3">
        <f t="shared" si="340"/>
        <v>3000</v>
      </c>
      <c r="AE500" s="3">
        <v>3000</v>
      </c>
      <c r="AF500" s="3">
        <f t="shared" si="341"/>
        <v>0</v>
      </c>
      <c r="AG500" s="4"/>
      <c r="AH500" s="4">
        <f>15000-7000</f>
        <v>8000</v>
      </c>
      <c r="AJ500" s="3">
        <v>1310</v>
      </c>
      <c r="AK500" s="3">
        <f t="shared" si="342"/>
        <v>6690</v>
      </c>
      <c r="AL500" s="3">
        <v>8000</v>
      </c>
      <c r="AM500" s="3">
        <f t="shared" si="343"/>
        <v>0</v>
      </c>
      <c r="AO500" s="3">
        <f>AH500*1.03</f>
        <v>8240</v>
      </c>
      <c r="AP500" s="3"/>
      <c r="AQ500" s="3">
        <f>AO500*1.03</f>
        <v>8487.2000000000007</v>
      </c>
      <c r="AR500" s="3"/>
      <c r="AS500" s="3">
        <f>AQ500*1.03</f>
        <v>8741.8160000000007</v>
      </c>
      <c r="AT500" s="3"/>
      <c r="AU500" s="3">
        <f>AS500*1.03</f>
        <v>9004.0704800000003</v>
      </c>
      <c r="AV500" s="42"/>
      <c r="AW500" s="3">
        <f>AU500*1.03</f>
        <v>9274.1925944000013</v>
      </c>
      <c r="AX500" s="42"/>
      <c r="AY500" s="3">
        <f>AW500*1.03</f>
        <v>9552.4183722320013</v>
      </c>
      <c r="AZ500" s="42"/>
      <c r="BA500" s="3">
        <f>AY500*1.03</f>
        <v>9838.990923398962</v>
      </c>
      <c r="BB500" s="3"/>
      <c r="BC500" s="3">
        <f>BA500*1.03</f>
        <v>10134.16065110093</v>
      </c>
      <c r="BE500" s="3">
        <f>BC500*1.0281</f>
        <v>10418.930565396866</v>
      </c>
    </row>
    <row r="501" spans="1:57" x14ac:dyDescent="0.25">
      <c r="A501" s="3" t="s">
        <v>90</v>
      </c>
      <c r="B501" s="3">
        <v>1500</v>
      </c>
      <c r="D501" s="3">
        <v>1054</v>
      </c>
      <c r="E501" s="3">
        <f t="shared" si="332"/>
        <v>446</v>
      </c>
      <c r="F501" s="5">
        <v>1500</v>
      </c>
      <c r="H501" s="5">
        <f t="shared" si="333"/>
        <v>0</v>
      </c>
      <c r="J501" s="5">
        <v>1214</v>
      </c>
      <c r="K501" s="4">
        <f t="shared" si="334"/>
        <v>536</v>
      </c>
      <c r="L501" s="4">
        <v>1750</v>
      </c>
      <c r="N501" s="4">
        <f t="shared" si="335"/>
        <v>250</v>
      </c>
      <c r="P501" s="3">
        <f>L501*1.0281+1</f>
        <v>1800.175</v>
      </c>
      <c r="Q501" s="3"/>
      <c r="R501" s="3">
        <v>915</v>
      </c>
      <c r="S501" s="3">
        <f t="shared" si="336"/>
        <v>885</v>
      </c>
      <c r="T501" s="3">
        <v>1800</v>
      </c>
      <c r="U501" s="3">
        <f t="shared" si="337"/>
        <v>-0.17499999999995453</v>
      </c>
      <c r="V501" s="3">
        <v>1196</v>
      </c>
      <c r="W501" s="3">
        <f t="shared" si="338"/>
        <v>604</v>
      </c>
      <c r="X501" s="3"/>
      <c r="Y501" s="3">
        <v>1800</v>
      </c>
      <c r="Z501" s="3">
        <f t="shared" si="339"/>
        <v>0</v>
      </c>
      <c r="AA501" s="3"/>
      <c r="AB501" s="3"/>
      <c r="AC501" s="3">
        <v>2138</v>
      </c>
      <c r="AD501" s="3">
        <f t="shared" si="340"/>
        <v>-138</v>
      </c>
      <c r="AE501" s="3">
        <v>2000</v>
      </c>
      <c r="AF501" s="3">
        <f t="shared" si="341"/>
        <v>200</v>
      </c>
      <c r="AG501" s="4"/>
      <c r="AH501" s="4">
        <f>AE501*1.03+40</f>
        <v>2100</v>
      </c>
      <c r="AJ501" s="3"/>
      <c r="AK501" s="3">
        <f t="shared" si="342"/>
        <v>2100</v>
      </c>
      <c r="AL501" s="3">
        <v>2100</v>
      </c>
      <c r="AM501" s="3">
        <f t="shared" si="343"/>
        <v>0</v>
      </c>
      <c r="AO501" s="3">
        <f>AH501*1.03</f>
        <v>2163</v>
      </c>
      <c r="AP501" s="3"/>
      <c r="AQ501" s="3">
        <f>AO501*1.03</f>
        <v>2227.89</v>
      </c>
      <c r="AR501" s="3"/>
      <c r="AS501" s="3">
        <f>AQ501*1.03</f>
        <v>2294.7266999999997</v>
      </c>
      <c r="AT501" s="3"/>
      <c r="AU501" s="3">
        <f>AS501*1.03</f>
        <v>2363.5685009999997</v>
      </c>
      <c r="AV501" s="42"/>
      <c r="AW501" s="3">
        <f>AU501*1.03</f>
        <v>2434.47555603</v>
      </c>
      <c r="AX501" s="42"/>
      <c r="AY501" s="3">
        <f>AW501*1.03</f>
        <v>2507.5098227109002</v>
      </c>
      <c r="AZ501" s="42"/>
      <c r="BA501" s="3">
        <f>AY501*1.03</f>
        <v>2582.735117392227</v>
      </c>
      <c r="BB501" s="3"/>
      <c r="BC501" s="3">
        <f>BA501*1.03</f>
        <v>2660.2171709139939</v>
      </c>
      <c r="BE501" s="3">
        <f>BC501*1.0281</f>
        <v>2734.969273416677</v>
      </c>
    </row>
    <row r="502" spans="1:57" x14ac:dyDescent="0.25">
      <c r="A502" s="3" t="s">
        <v>391</v>
      </c>
      <c r="B502" s="3">
        <f>-51640-10</f>
        <v>-51650</v>
      </c>
      <c r="D502" s="3">
        <v>0</v>
      </c>
      <c r="E502" s="3">
        <f t="shared" si="332"/>
        <v>-51650</v>
      </c>
      <c r="F502" s="5">
        <v>-51650</v>
      </c>
      <c r="H502" s="5">
        <f t="shared" si="333"/>
        <v>0</v>
      </c>
      <c r="J502" s="5">
        <v>0</v>
      </c>
      <c r="K502" s="4">
        <f t="shared" si="334"/>
        <v>-51650</v>
      </c>
      <c r="L502" s="4">
        <v>-51650</v>
      </c>
      <c r="N502" s="4">
        <f t="shared" si="335"/>
        <v>0</v>
      </c>
      <c r="P502" s="3">
        <v>-53190</v>
      </c>
      <c r="Q502" s="3"/>
      <c r="R502" s="3">
        <v>0</v>
      </c>
      <c r="S502" s="3">
        <f t="shared" si="336"/>
        <v>-53190</v>
      </c>
      <c r="T502" s="3">
        <v>-53190</v>
      </c>
      <c r="U502" s="3">
        <f t="shared" si="337"/>
        <v>0</v>
      </c>
      <c r="V502" s="3"/>
      <c r="W502" s="3">
        <f t="shared" si="338"/>
        <v>-53190</v>
      </c>
      <c r="X502" s="3"/>
      <c r="Y502" s="3">
        <v>-53190</v>
      </c>
      <c r="Z502" s="3">
        <f t="shared" si="339"/>
        <v>0</v>
      </c>
      <c r="AA502" s="3"/>
      <c r="AB502" s="3"/>
      <c r="AC502" s="3">
        <v>0</v>
      </c>
      <c r="AD502" s="3">
        <f t="shared" si="340"/>
        <v>-53190</v>
      </c>
      <c r="AE502" s="3">
        <v>-53190</v>
      </c>
      <c r="AF502" s="3">
        <f t="shared" si="341"/>
        <v>0</v>
      </c>
      <c r="AG502" s="4"/>
      <c r="AH502" s="4">
        <v>-56650</v>
      </c>
      <c r="AJ502" s="3">
        <v>0</v>
      </c>
      <c r="AK502" s="3">
        <f t="shared" si="342"/>
        <v>-56650</v>
      </c>
      <c r="AL502" s="3">
        <v>-56650</v>
      </c>
      <c r="AM502" s="3">
        <f t="shared" si="343"/>
        <v>0</v>
      </c>
      <c r="AO502" s="3">
        <f>AH502*1.03</f>
        <v>-58349.5</v>
      </c>
      <c r="AP502" s="3"/>
      <c r="AQ502" s="3">
        <f>AO502*1.03</f>
        <v>-60099.985000000001</v>
      </c>
      <c r="AR502" s="3"/>
      <c r="AS502" s="3">
        <f>AQ502*1.03</f>
        <v>-61902.984550000001</v>
      </c>
      <c r="AT502" s="3"/>
      <c r="AU502" s="3">
        <f>AS502*1.03</f>
        <v>-63760.074086500004</v>
      </c>
      <c r="AV502" s="42"/>
      <c r="AW502" s="3">
        <f>AU502*1.03</f>
        <v>-65672.876309095009</v>
      </c>
      <c r="AX502" s="42"/>
      <c r="AY502" s="3">
        <f>AW502*1.03</f>
        <v>-67643.062598367862</v>
      </c>
      <c r="AZ502" s="42"/>
      <c r="BA502" s="3">
        <f>AY502*1.03</f>
        <v>-69672.354476318898</v>
      </c>
      <c r="BB502" s="3"/>
      <c r="BC502" s="3">
        <f>BA502*1.03</f>
        <v>-71762.525110608462</v>
      </c>
      <c r="BE502" s="3">
        <f>BC502*1.0281</f>
        <v>-73779.052066216565</v>
      </c>
    </row>
    <row r="503" spans="1:57" x14ac:dyDescent="0.25">
      <c r="A503" s="3"/>
      <c r="B503" s="48">
        <f>SUM(B496:B502)</f>
        <v>70850</v>
      </c>
      <c r="C503" s="32"/>
      <c r="D503" s="48">
        <f>SUM(D496:D502)</f>
        <v>26983</v>
      </c>
      <c r="E503" s="48">
        <f>SUM(E496:E502)</f>
        <v>44367</v>
      </c>
      <c r="F503" s="48">
        <f>SUM(F496:F502)</f>
        <v>71350</v>
      </c>
      <c r="G503" s="32"/>
      <c r="H503" s="48">
        <f>SUM(H496:H502)</f>
        <v>500</v>
      </c>
      <c r="I503" s="36"/>
      <c r="J503" s="48">
        <f>SUM(J496:J502)</f>
        <v>47592</v>
      </c>
      <c r="K503" s="48">
        <f>SUM(K496:K502)</f>
        <v>21508</v>
      </c>
      <c r="L503" s="48">
        <f>SUM(L496:L502)</f>
        <v>69100</v>
      </c>
      <c r="M503" s="32"/>
      <c r="N503" s="48">
        <f>SUM(N496:N502)</f>
        <v>-2250</v>
      </c>
      <c r="P503" s="48">
        <f>SUM(P496:P502)</f>
        <v>137359.47499999998</v>
      </c>
      <c r="R503" s="48">
        <f t="shared" ref="R503:Z503" si="345">SUM(R496:R502)</f>
        <v>27314</v>
      </c>
      <c r="S503" s="48">
        <f t="shared" si="345"/>
        <v>110046</v>
      </c>
      <c r="T503" s="48">
        <f t="shared" si="345"/>
        <v>137360</v>
      </c>
      <c r="U503" s="48">
        <f t="shared" si="345"/>
        <v>0.52499999998553903</v>
      </c>
      <c r="V503" s="48">
        <f t="shared" si="345"/>
        <v>53297</v>
      </c>
      <c r="W503" s="48">
        <f t="shared" si="345"/>
        <v>83313</v>
      </c>
      <c r="X503" s="48"/>
      <c r="Y503" s="48">
        <f t="shared" si="345"/>
        <v>136610</v>
      </c>
      <c r="Z503" s="48">
        <f t="shared" si="345"/>
        <v>-750</v>
      </c>
      <c r="AC503" s="48">
        <f>SUM(AC496:AC502)</f>
        <v>89446</v>
      </c>
      <c r="AD503" s="48">
        <f>SUM(AD496:AD502)</f>
        <v>52864</v>
      </c>
      <c r="AE503" s="48">
        <f>SUM(AE496:AE502)</f>
        <v>142310</v>
      </c>
      <c r="AF503" s="48">
        <f>SUM(AF496:AF502)</f>
        <v>5700</v>
      </c>
      <c r="AH503" s="36">
        <f>SUM(AH496:AH502)</f>
        <v>182850</v>
      </c>
      <c r="AI503" s="32"/>
      <c r="AJ503" s="48">
        <f>SUM(AJ496:AJ502)</f>
        <v>39773</v>
      </c>
      <c r="AK503" s="48">
        <f>SUM(AK496:AK502)</f>
        <v>138077</v>
      </c>
      <c r="AL503" s="48">
        <f>SUM(AL496:AL502)</f>
        <v>177850</v>
      </c>
      <c r="AM503" s="48">
        <f>SUM(AM496:AM502)</f>
        <v>-5000</v>
      </c>
      <c r="AN503" s="32"/>
      <c r="AO503" s="48">
        <f>SUM(AO496:AO502)</f>
        <v>169257.5</v>
      </c>
      <c r="AQ503" s="48">
        <f>SUM(AQ496:AQ502)</f>
        <v>149561.28080000001</v>
      </c>
      <c r="AS503" s="48">
        <f>SUM(AS496:AS502)</f>
        <v>160459.10613798001</v>
      </c>
      <c r="AT503" s="48"/>
      <c r="AU503" s="48">
        <f>SUM(AU496:AU502)</f>
        <v>163953.65816262722</v>
      </c>
      <c r="AW503" s="48">
        <f>SUM(AW496:AW502)</f>
        <v>167547.69568149015</v>
      </c>
      <c r="AY503" s="48">
        <f>SUM(AY496:AY502)</f>
        <v>171244.05635723774</v>
      </c>
      <c r="BA503" s="48">
        <f>SUM(BA496:BA502)</f>
        <v>175045.65896700986</v>
      </c>
      <c r="BC503" s="48">
        <f>SUM(BC496:BC502)</f>
        <v>178955.50572667594</v>
      </c>
      <c r="BE503" s="48">
        <f>SUM(BE496:BE502)</f>
        <v>183088.72416172083</v>
      </c>
    </row>
    <row r="504" spans="1:57" s="42" customFormat="1" x14ac:dyDescent="0.25">
      <c r="A504" s="7" t="s">
        <v>392</v>
      </c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4"/>
      <c r="N504" s="3"/>
      <c r="O504" s="4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4"/>
      <c r="AH504" s="4"/>
      <c r="AI504" s="4"/>
      <c r="AJ504" s="3"/>
      <c r="AK504" s="3"/>
      <c r="AL504" s="3"/>
      <c r="AM504" s="3"/>
      <c r="AN504" s="4"/>
      <c r="AO504" s="3"/>
      <c r="AP504" s="3"/>
      <c r="AQ504" s="3"/>
      <c r="AR504" s="3"/>
      <c r="AS504" s="3"/>
      <c r="AT504" s="3"/>
      <c r="AU504" s="3"/>
      <c r="AW504" s="3"/>
      <c r="AY504" s="3"/>
      <c r="BA504" s="3"/>
      <c r="BC504" s="3"/>
      <c r="BE504" s="3"/>
    </row>
    <row r="505" spans="1:57" x14ac:dyDescent="0.25">
      <c r="A505" s="3" t="s">
        <v>90</v>
      </c>
      <c r="B505" s="35">
        <v>1000</v>
      </c>
      <c r="C505" s="32"/>
      <c r="D505" s="35">
        <v>252</v>
      </c>
      <c r="E505" s="35">
        <f>F505-D505</f>
        <v>748</v>
      </c>
      <c r="F505" s="35">
        <v>1000</v>
      </c>
      <c r="G505" s="32"/>
      <c r="H505" s="35">
        <f>F505-B505</f>
        <v>0</v>
      </c>
      <c r="I505" s="36"/>
      <c r="J505" s="35">
        <v>252</v>
      </c>
      <c r="K505" s="35">
        <f>L505-J505</f>
        <v>748</v>
      </c>
      <c r="L505" s="35">
        <v>1000</v>
      </c>
      <c r="M505" s="32"/>
      <c r="N505" s="35">
        <f>L505-F505</f>
        <v>0</v>
      </c>
      <c r="P505" s="35">
        <v>1030</v>
      </c>
      <c r="R505" s="35">
        <v>0</v>
      </c>
      <c r="S505" s="70">
        <f>T505-R505</f>
        <v>1030</v>
      </c>
      <c r="T505" s="71">
        <v>1030</v>
      </c>
      <c r="U505" s="70">
        <f>T505-P505</f>
        <v>0</v>
      </c>
      <c r="V505" s="35">
        <v>0</v>
      </c>
      <c r="W505" s="70">
        <f>Y505-V505</f>
        <v>0</v>
      </c>
      <c r="X505" s="70"/>
      <c r="Y505" s="71">
        <v>0</v>
      </c>
      <c r="Z505" s="70">
        <f>Y505-T505</f>
        <v>-1030</v>
      </c>
      <c r="AC505" s="71">
        <v>0</v>
      </c>
      <c r="AD505" s="71">
        <f>AE505-AC505</f>
        <v>0</v>
      </c>
      <c r="AE505" s="71">
        <v>0</v>
      </c>
      <c r="AF505" s="71">
        <f>AE505-Y505</f>
        <v>0</v>
      </c>
      <c r="AH505" s="36">
        <f>R505*1.0281</f>
        <v>0</v>
      </c>
      <c r="AI505" s="32"/>
      <c r="AJ505" s="35">
        <v>762</v>
      </c>
      <c r="AK505" s="35">
        <f t="shared" ref="AK505:AK512" si="346">AL505-AJ505</f>
        <v>238</v>
      </c>
      <c r="AL505" s="35">
        <v>1000</v>
      </c>
      <c r="AM505" s="35">
        <f t="shared" ref="AM505:AM512" si="347">AL505-AH505</f>
        <v>1000</v>
      </c>
      <c r="AN505" s="32"/>
      <c r="AO505" s="35">
        <f>AH505*1.0281</f>
        <v>0</v>
      </c>
      <c r="AQ505" s="35">
        <f>AO505*1.0281</f>
        <v>0</v>
      </c>
      <c r="AS505" s="35">
        <f>AQ505*1.0281</f>
        <v>0</v>
      </c>
      <c r="AT505" s="35"/>
      <c r="AU505" s="35">
        <f>AS505*1.0281</f>
        <v>0</v>
      </c>
      <c r="AW505" s="35">
        <f>AU505*1.0281</f>
        <v>0</v>
      </c>
      <c r="AY505" s="35">
        <f>AW505*1.0281</f>
        <v>0</v>
      </c>
      <c r="BA505" s="35">
        <f>AY505*1.0281</f>
        <v>0</v>
      </c>
      <c r="BC505" s="35">
        <f>BA505*1.0281</f>
        <v>0</v>
      </c>
      <c r="BE505" s="35">
        <f>BC505*1.0281</f>
        <v>0</v>
      </c>
    </row>
    <row r="506" spans="1:57" x14ac:dyDescent="0.25">
      <c r="A506" s="7" t="s">
        <v>393</v>
      </c>
    </row>
    <row r="507" spans="1:57" x14ac:dyDescent="0.25">
      <c r="A507" s="3" t="s">
        <v>394</v>
      </c>
      <c r="B507" s="3">
        <v>2200</v>
      </c>
      <c r="D507" s="3">
        <v>2100</v>
      </c>
      <c r="E507" s="3">
        <f t="shared" ref="E507:E512" si="348">F507-D507</f>
        <v>0</v>
      </c>
      <c r="F507" s="5">
        <v>2100</v>
      </c>
      <c r="H507" s="5">
        <f t="shared" ref="H507:H512" si="349">F507-B507</f>
        <v>-100</v>
      </c>
      <c r="J507" s="5">
        <v>2100</v>
      </c>
      <c r="K507" s="4">
        <f t="shared" ref="K507:K512" si="350">L507-J507</f>
        <v>0</v>
      </c>
      <c r="L507" s="4">
        <v>2100</v>
      </c>
      <c r="N507" s="4">
        <f t="shared" ref="N507:N512" si="351">L507-F507</f>
        <v>0</v>
      </c>
      <c r="P507" s="3">
        <f>L507*1.0281+41</f>
        <v>2200.0100000000002</v>
      </c>
      <c r="Q507" s="3"/>
      <c r="R507" s="3">
        <v>2100</v>
      </c>
      <c r="S507" s="3">
        <f t="shared" ref="S507:S512" si="352">T507-R507</f>
        <v>0</v>
      </c>
      <c r="T507" s="3">
        <v>2100</v>
      </c>
      <c r="U507" s="3">
        <f t="shared" ref="U507:U512" si="353">T507-P507</f>
        <v>-100.01000000000022</v>
      </c>
      <c r="V507" s="3">
        <v>2100</v>
      </c>
      <c r="W507" s="3">
        <f t="shared" ref="W507:W512" si="354">Y507-V507</f>
        <v>0</v>
      </c>
      <c r="X507" s="3"/>
      <c r="Y507" s="3">
        <v>2100</v>
      </c>
      <c r="Z507" s="3">
        <f t="shared" ref="Z507:Z512" si="355">Y507-T507</f>
        <v>0</v>
      </c>
      <c r="AA507" s="3"/>
      <c r="AB507" s="3"/>
      <c r="AC507" s="3">
        <v>2300</v>
      </c>
      <c r="AD507" s="3">
        <f t="shared" ref="AD507:AD512" si="356">AE507-AC507</f>
        <v>0</v>
      </c>
      <c r="AE507" s="3">
        <v>2300</v>
      </c>
      <c r="AF507" s="3">
        <f t="shared" ref="AF507:AF512" si="357">AE507-Y507</f>
        <v>200</v>
      </c>
      <c r="AG507" s="4"/>
      <c r="AH507" s="4">
        <f>AE507*1.03+31</f>
        <v>2400</v>
      </c>
      <c r="AJ507" s="3">
        <v>2100</v>
      </c>
      <c r="AK507" s="3">
        <f t="shared" si="346"/>
        <v>0</v>
      </c>
      <c r="AL507" s="3">
        <v>2100</v>
      </c>
      <c r="AM507" s="3">
        <f t="shared" si="347"/>
        <v>-300</v>
      </c>
      <c r="AO507" s="3">
        <f>AH507*1.03</f>
        <v>2472</v>
      </c>
      <c r="AP507" s="3"/>
      <c r="AQ507" s="3">
        <f t="shared" ref="AQ507:BE508" si="358">AO507*1.03</f>
        <v>2546.16</v>
      </c>
      <c r="AR507" s="3">
        <f t="shared" si="358"/>
        <v>0</v>
      </c>
      <c r="AS507" s="3">
        <f t="shared" si="358"/>
        <v>2622.5448000000001</v>
      </c>
      <c r="AT507" s="3">
        <f t="shared" si="358"/>
        <v>0</v>
      </c>
      <c r="AU507" s="3">
        <f t="shared" si="358"/>
        <v>2701.2211440000001</v>
      </c>
      <c r="AV507" s="3"/>
      <c r="AW507" s="3">
        <f t="shared" si="358"/>
        <v>2782.2577783199999</v>
      </c>
      <c r="AX507" s="3">
        <f t="shared" si="358"/>
        <v>0</v>
      </c>
      <c r="AY507" s="3">
        <f t="shared" si="358"/>
        <v>2865.7255116696001</v>
      </c>
      <c r="AZ507" s="3">
        <f t="shared" si="358"/>
        <v>0</v>
      </c>
      <c r="BA507" s="3">
        <f t="shared" si="358"/>
        <v>2951.697277019688</v>
      </c>
      <c r="BB507" s="3">
        <f t="shared" si="358"/>
        <v>0</v>
      </c>
      <c r="BC507" s="3">
        <f t="shared" si="358"/>
        <v>3040.2481953302786</v>
      </c>
      <c r="BD507" s="3">
        <f t="shared" si="358"/>
        <v>0</v>
      </c>
      <c r="BE507" s="3">
        <f t="shared" si="358"/>
        <v>3131.4556411901872</v>
      </c>
    </row>
    <row r="508" spans="1:57" x14ac:dyDescent="0.25">
      <c r="A508" s="3" t="s">
        <v>395</v>
      </c>
      <c r="B508" s="3">
        <v>70000</v>
      </c>
      <c r="D508" s="3">
        <v>12516</v>
      </c>
      <c r="E508" s="3">
        <f t="shared" si="348"/>
        <v>57484</v>
      </c>
      <c r="F508" s="5">
        <v>70000</v>
      </c>
      <c r="H508" s="5">
        <f t="shared" si="349"/>
        <v>0</v>
      </c>
      <c r="J508" s="5">
        <v>29773</v>
      </c>
      <c r="K508" s="4">
        <f t="shared" si="350"/>
        <v>40227</v>
      </c>
      <c r="L508" s="4">
        <v>70000</v>
      </c>
      <c r="N508" s="4">
        <f t="shared" si="351"/>
        <v>0</v>
      </c>
      <c r="P508" s="3">
        <f>L508*1.0275+25</f>
        <v>71950</v>
      </c>
      <c r="Q508" s="3"/>
      <c r="R508" s="3">
        <v>8656</v>
      </c>
      <c r="S508" s="3">
        <f t="shared" si="352"/>
        <v>63294</v>
      </c>
      <c r="T508" s="3">
        <v>71950</v>
      </c>
      <c r="U508" s="3">
        <f t="shared" si="353"/>
        <v>0</v>
      </c>
      <c r="V508" s="3">
        <v>24408</v>
      </c>
      <c r="W508" s="3">
        <f t="shared" si="354"/>
        <v>49542</v>
      </c>
      <c r="X508" s="3"/>
      <c r="Y508" s="3">
        <v>73950</v>
      </c>
      <c r="Z508" s="3">
        <f t="shared" si="355"/>
        <v>2000</v>
      </c>
      <c r="AA508" s="3"/>
      <c r="AB508" s="3"/>
      <c r="AC508" s="3">
        <v>43719</v>
      </c>
      <c r="AD508" s="3">
        <f t="shared" si="356"/>
        <v>28281</v>
      </c>
      <c r="AE508" s="3">
        <v>72000</v>
      </c>
      <c r="AF508" s="3">
        <f t="shared" si="357"/>
        <v>-1950</v>
      </c>
      <c r="AG508" s="4"/>
      <c r="AH508" s="4">
        <v>75000</v>
      </c>
      <c r="AJ508" s="3">
        <v>8950</v>
      </c>
      <c r="AK508" s="3">
        <f t="shared" si="346"/>
        <v>63550</v>
      </c>
      <c r="AL508" s="3">
        <v>72500</v>
      </c>
      <c r="AM508" s="3">
        <f t="shared" si="347"/>
        <v>-2500</v>
      </c>
      <c r="AO508" s="3">
        <f>AH508*1.03</f>
        <v>77250</v>
      </c>
      <c r="AP508" s="3"/>
      <c r="AQ508" s="3">
        <f t="shared" si="358"/>
        <v>79567.5</v>
      </c>
      <c r="AR508" s="3">
        <f t="shared" si="358"/>
        <v>0</v>
      </c>
      <c r="AS508" s="3">
        <f t="shared" si="358"/>
        <v>81954.525000000009</v>
      </c>
      <c r="AT508" s="3">
        <f t="shared" si="358"/>
        <v>0</v>
      </c>
      <c r="AU508" s="3">
        <f t="shared" si="358"/>
        <v>84413.16075000001</v>
      </c>
      <c r="AV508" s="3"/>
      <c r="AW508" s="3">
        <f t="shared" si="358"/>
        <v>86945.555572500016</v>
      </c>
      <c r="AX508" s="3">
        <f t="shared" si="358"/>
        <v>0</v>
      </c>
      <c r="AY508" s="3">
        <f t="shared" si="358"/>
        <v>89553.922239675012</v>
      </c>
      <c r="AZ508" s="3">
        <f t="shared" si="358"/>
        <v>0</v>
      </c>
      <c r="BA508" s="3">
        <f t="shared" si="358"/>
        <v>92240.539906865262</v>
      </c>
      <c r="BB508" s="3">
        <f t="shared" si="358"/>
        <v>0</v>
      </c>
      <c r="BC508" s="3">
        <f t="shared" si="358"/>
        <v>95007.756104071217</v>
      </c>
      <c r="BD508" s="3">
        <f t="shared" si="358"/>
        <v>0</v>
      </c>
      <c r="BE508" s="3">
        <f t="shared" si="358"/>
        <v>97857.988787193361</v>
      </c>
    </row>
    <row r="509" spans="1:57" x14ac:dyDescent="0.25">
      <c r="A509" s="3" t="s">
        <v>396</v>
      </c>
      <c r="B509" s="3">
        <v>27000</v>
      </c>
      <c r="D509" s="3">
        <v>6324</v>
      </c>
      <c r="E509" s="3">
        <f t="shared" si="348"/>
        <v>20676</v>
      </c>
      <c r="F509" s="5">
        <v>27000</v>
      </c>
      <c r="H509" s="5">
        <f t="shared" si="349"/>
        <v>0</v>
      </c>
      <c r="J509" s="5">
        <v>17392</v>
      </c>
      <c r="K509" s="4">
        <f t="shared" si="350"/>
        <v>16608</v>
      </c>
      <c r="L509" s="4">
        <v>34000</v>
      </c>
      <c r="N509" s="4">
        <f t="shared" si="351"/>
        <v>7000</v>
      </c>
      <c r="P509" s="3">
        <f>L509*1.0325-5</f>
        <v>35100</v>
      </c>
      <c r="Q509" s="3"/>
      <c r="R509" s="3">
        <v>5774</v>
      </c>
      <c r="S509" s="3">
        <f t="shared" si="352"/>
        <v>29326</v>
      </c>
      <c r="T509" s="3">
        <v>35100</v>
      </c>
      <c r="U509" s="3">
        <f t="shared" si="353"/>
        <v>0</v>
      </c>
      <c r="V509" s="3">
        <v>10046</v>
      </c>
      <c r="W509" s="3">
        <f t="shared" si="354"/>
        <v>23054</v>
      </c>
      <c r="X509" s="3"/>
      <c r="Y509" s="3">
        <v>33100</v>
      </c>
      <c r="Z509" s="3">
        <f t="shared" si="355"/>
        <v>-2000</v>
      </c>
      <c r="AA509" s="3"/>
      <c r="AB509" s="3"/>
      <c r="AC509" s="3">
        <v>15127</v>
      </c>
      <c r="AD509" s="3">
        <f t="shared" si="356"/>
        <v>12373</v>
      </c>
      <c r="AE509" s="3">
        <v>27500</v>
      </c>
      <c r="AF509" s="3">
        <f t="shared" si="357"/>
        <v>-5600</v>
      </c>
      <c r="AG509" s="4"/>
      <c r="AH509" s="4">
        <f>AE509*1.0325+6-400</f>
        <v>27999.75</v>
      </c>
      <c r="AJ509" s="3">
        <v>4994</v>
      </c>
      <c r="AK509" s="3">
        <f t="shared" si="346"/>
        <v>17506</v>
      </c>
      <c r="AL509" s="3">
        <v>22500</v>
      </c>
      <c r="AM509" s="3">
        <f t="shared" si="347"/>
        <v>-5499.75</v>
      </c>
      <c r="AO509" s="3">
        <f>AH509*1.0325</f>
        <v>28909.741875</v>
      </c>
      <c r="AP509" s="3"/>
      <c r="AQ509" s="3">
        <f t="shared" ref="AQ509:BE509" si="359">AO509*1.0325</f>
        <v>29849.308485937498</v>
      </c>
      <c r="AR509" s="3">
        <f t="shared" si="359"/>
        <v>0</v>
      </c>
      <c r="AS509" s="3">
        <f t="shared" si="359"/>
        <v>30819.411011730466</v>
      </c>
      <c r="AT509" s="3">
        <f t="shared" si="359"/>
        <v>0</v>
      </c>
      <c r="AU509" s="3">
        <f t="shared" si="359"/>
        <v>31821.041869611705</v>
      </c>
      <c r="AV509" s="3"/>
      <c r="AW509" s="3">
        <f t="shared" si="359"/>
        <v>32855.225730374084</v>
      </c>
      <c r="AX509" s="3">
        <f t="shared" si="359"/>
        <v>0</v>
      </c>
      <c r="AY509" s="3">
        <f t="shared" si="359"/>
        <v>33923.020566611238</v>
      </c>
      <c r="AZ509" s="3">
        <f t="shared" si="359"/>
        <v>0</v>
      </c>
      <c r="BA509" s="3">
        <f t="shared" si="359"/>
        <v>35025.518735026104</v>
      </c>
      <c r="BB509" s="3">
        <f t="shared" si="359"/>
        <v>0</v>
      </c>
      <c r="BC509" s="3">
        <f t="shared" si="359"/>
        <v>36163.84809391445</v>
      </c>
      <c r="BD509" s="3">
        <f t="shared" si="359"/>
        <v>0</v>
      </c>
      <c r="BE509" s="3">
        <f t="shared" si="359"/>
        <v>37339.173156966666</v>
      </c>
    </row>
    <row r="510" spans="1:57" x14ac:dyDescent="0.25">
      <c r="A510" s="3" t="s">
        <v>397</v>
      </c>
      <c r="B510" s="3">
        <v>3050</v>
      </c>
      <c r="D510" s="3">
        <v>0</v>
      </c>
      <c r="E510" s="3">
        <f t="shared" si="348"/>
        <v>3050</v>
      </c>
      <c r="F510" s="5">
        <v>3050</v>
      </c>
      <c r="H510" s="5">
        <f t="shared" si="349"/>
        <v>0</v>
      </c>
      <c r="J510" s="5">
        <v>0</v>
      </c>
      <c r="K510" s="4">
        <f t="shared" si="350"/>
        <v>3050</v>
      </c>
      <c r="L510" s="4">
        <v>3050</v>
      </c>
      <c r="N510" s="4">
        <f t="shared" si="351"/>
        <v>0</v>
      </c>
      <c r="P510" s="3">
        <v>3140</v>
      </c>
      <c r="Q510" s="3"/>
      <c r="R510" s="3">
        <v>0</v>
      </c>
      <c r="S510" s="3">
        <f t="shared" si="352"/>
        <v>3140</v>
      </c>
      <c r="T510" s="3">
        <v>3140</v>
      </c>
      <c r="U510" s="3">
        <f t="shared" si="353"/>
        <v>0</v>
      </c>
      <c r="V510" s="3">
        <v>0</v>
      </c>
      <c r="W510" s="3">
        <f t="shared" si="354"/>
        <v>3140</v>
      </c>
      <c r="X510" s="3"/>
      <c r="Y510" s="3">
        <v>3140</v>
      </c>
      <c r="Z510" s="3">
        <f t="shared" si="355"/>
        <v>0</v>
      </c>
      <c r="AA510" s="3"/>
      <c r="AB510" s="3"/>
      <c r="AC510" s="3">
        <v>0</v>
      </c>
      <c r="AD510" s="3">
        <f t="shared" si="356"/>
        <v>3140</v>
      </c>
      <c r="AE510" s="3">
        <v>3140</v>
      </c>
      <c r="AF510" s="3">
        <f t="shared" si="357"/>
        <v>0</v>
      </c>
      <c r="AG510" s="4"/>
      <c r="AH510" s="4">
        <f>3235+15</f>
        <v>3250</v>
      </c>
      <c r="AJ510" s="3">
        <v>0</v>
      </c>
      <c r="AK510" s="3">
        <f t="shared" si="346"/>
        <v>3250</v>
      </c>
      <c r="AL510" s="3">
        <v>3250</v>
      </c>
      <c r="AM510" s="3">
        <f t="shared" si="347"/>
        <v>0</v>
      </c>
      <c r="AO510" s="3">
        <v>3332</v>
      </c>
      <c r="AP510" s="3"/>
      <c r="AQ510" s="3">
        <v>3332</v>
      </c>
      <c r="AR510" s="3">
        <v>3332</v>
      </c>
      <c r="AS510" s="3">
        <v>3332</v>
      </c>
      <c r="AT510" s="3">
        <v>3332</v>
      </c>
      <c r="AU510" s="3">
        <v>3332</v>
      </c>
      <c r="AV510" s="3"/>
      <c r="AW510" s="3">
        <v>3332</v>
      </c>
      <c r="AX510" s="3">
        <v>3332</v>
      </c>
      <c r="AY510" s="3">
        <v>3332</v>
      </c>
      <c r="AZ510" s="3">
        <v>3332</v>
      </c>
      <c r="BA510" s="3">
        <v>3332</v>
      </c>
      <c r="BB510" s="3">
        <v>3332</v>
      </c>
      <c r="BC510" s="3">
        <v>3332</v>
      </c>
      <c r="BD510" s="3">
        <v>3332</v>
      </c>
      <c r="BE510" s="3">
        <v>3332</v>
      </c>
    </row>
    <row r="511" spans="1:57" x14ac:dyDescent="0.25">
      <c r="A511" s="3" t="s">
        <v>398</v>
      </c>
      <c r="B511" s="3">
        <v>4500</v>
      </c>
      <c r="D511" s="3">
        <v>0</v>
      </c>
      <c r="E511" s="3">
        <f t="shared" si="348"/>
        <v>4500</v>
      </c>
      <c r="F511" s="5">
        <v>4500</v>
      </c>
      <c r="H511" s="5">
        <f t="shared" si="349"/>
        <v>0</v>
      </c>
      <c r="K511" s="4">
        <f t="shared" si="350"/>
        <v>5000</v>
      </c>
      <c r="L511" s="4">
        <v>5000</v>
      </c>
      <c r="N511" s="4">
        <f t="shared" si="351"/>
        <v>500</v>
      </c>
      <c r="P511" s="3">
        <f>L511*1.0281+59</f>
        <v>5199.5</v>
      </c>
      <c r="Q511" s="3"/>
      <c r="R511" s="3">
        <v>0</v>
      </c>
      <c r="S511" s="3">
        <f t="shared" si="352"/>
        <v>5200</v>
      </c>
      <c r="T511" s="3">
        <v>5200</v>
      </c>
      <c r="U511" s="3">
        <f t="shared" si="353"/>
        <v>0.5</v>
      </c>
      <c r="V511" s="3">
        <v>0</v>
      </c>
      <c r="W511" s="3">
        <f t="shared" si="354"/>
        <v>5200</v>
      </c>
      <c r="X511" s="3"/>
      <c r="Y511" s="3">
        <v>5200</v>
      </c>
      <c r="Z511" s="3">
        <f t="shared" si="355"/>
        <v>0</v>
      </c>
      <c r="AA511" s="3"/>
      <c r="AB511" s="3"/>
      <c r="AC511" s="3">
        <v>6185</v>
      </c>
      <c r="AD511" s="3">
        <f t="shared" si="356"/>
        <v>815</v>
      </c>
      <c r="AE511" s="3">
        <v>7000</v>
      </c>
      <c r="AF511" s="3">
        <f t="shared" si="357"/>
        <v>1800</v>
      </c>
      <c r="AG511" s="4"/>
      <c r="AH511" s="4">
        <f>AE511*1.03-10</f>
        <v>7200</v>
      </c>
      <c r="AJ511" s="3">
        <v>0</v>
      </c>
      <c r="AK511" s="3">
        <f t="shared" si="346"/>
        <v>7500</v>
      </c>
      <c r="AL511" s="3">
        <v>7500</v>
      </c>
      <c r="AM511" s="3">
        <f t="shared" si="347"/>
        <v>300</v>
      </c>
      <c r="AO511" s="3">
        <f>AH511*1.03</f>
        <v>7416</v>
      </c>
      <c r="AP511" s="3"/>
      <c r="AQ511" s="3">
        <f t="shared" ref="AQ511:BE512" si="360">AO511*1.03</f>
        <v>7638.4800000000005</v>
      </c>
      <c r="AR511" s="3">
        <f t="shared" si="360"/>
        <v>0</v>
      </c>
      <c r="AS511" s="3">
        <f t="shared" si="360"/>
        <v>7867.6344000000008</v>
      </c>
      <c r="AT511" s="3">
        <f t="shared" si="360"/>
        <v>0</v>
      </c>
      <c r="AU511" s="3">
        <f t="shared" si="360"/>
        <v>8103.6634320000012</v>
      </c>
      <c r="AV511" s="3"/>
      <c r="AW511" s="3">
        <f t="shared" si="360"/>
        <v>8346.7733349600021</v>
      </c>
      <c r="AX511" s="3">
        <f t="shared" si="360"/>
        <v>0</v>
      </c>
      <c r="AY511" s="3">
        <f t="shared" si="360"/>
        <v>8597.1765350088026</v>
      </c>
      <c r="AZ511" s="3">
        <f t="shared" si="360"/>
        <v>0</v>
      </c>
      <c r="BA511" s="3">
        <f t="shared" si="360"/>
        <v>8855.0918310590678</v>
      </c>
      <c r="BB511" s="3">
        <f t="shared" si="360"/>
        <v>0</v>
      </c>
      <c r="BC511" s="3">
        <f t="shared" si="360"/>
        <v>9120.7445859908403</v>
      </c>
      <c r="BD511" s="3">
        <f t="shared" si="360"/>
        <v>0</v>
      </c>
      <c r="BE511" s="3">
        <f t="shared" si="360"/>
        <v>9394.3669235705656</v>
      </c>
    </row>
    <row r="512" spans="1:57" x14ac:dyDescent="0.25">
      <c r="A512" s="3" t="s">
        <v>399</v>
      </c>
      <c r="B512" s="3">
        <v>6000</v>
      </c>
      <c r="D512" s="3">
        <v>1525</v>
      </c>
      <c r="E512" s="3">
        <f t="shared" si="348"/>
        <v>3475</v>
      </c>
      <c r="F512" s="5">
        <v>5000</v>
      </c>
      <c r="H512" s="5">
        <f t="shared" si="349"/>
        <v>-1000</v>
      </c>
      <c r="J512" s="5">
        <v>2877</v>
      </c>
      <c r="K512" s="4">
        <f t="shared" si="350"/>
        <v>2123</v>
      </c>
      <c r="L512" s="4">
        <v>5000</v>
      </c>
      <c r="N512" s="4">
        <f t="shared" si="351"/>
        <v>0</v>
      </c>
      <c r="P512" s="3">
        <f>L512*1.0281+59</f>
        <v>5199.5</v>
      </c>
      <c r="Q512" s="3"/>
      <c r="R512" s="3">
        <v>408</v>
      </c>
      <c r="S512" s="3">
        <f t="shared" si="352"/>
        <v>4792</v>
      </c>
      <c r="T512" s="3">
        <v>5200</v>
      </c>
      <c r="U512" s="3">
        <f t="shared" si="353"/>
        <v>0.5</v>
      </c>
      <c r="V512" s="3">
        <v>1237</v>
      </c>
      <c r="W512" s="3">
        <f t="shared" si="354"/>
        <v>3963</v>
      </c>
      <c r="X512" s="3"/>
      <c r="Y512" s="3">
        <v>5200</v>
      </c>
      <c r="Z512" s="3">
        <f t="shared" si="355"/>
        <v>0</v>
      </c>
      <c r="AA512" s="3"/>
      <c r="AB512" s="3"/>
      <c r="AC512" s="3">
        <v>3685</v>
      </c>
      <c r="AD512" s="3">
        <f t="shared" si="356"/>
        <v>1815</v>
      </c>
      <c r="AE512" s="3">
        <v>5500</v>
      </c>
      <c r="AF512" s="3">
        <f t="shared" si="357"/>
        <v>300</v>
      </c>
      <c r="AG512" s="4"/>
      <c r="AH512" s="4">
        <f>AE512*1.03+35</f>
        <v>5700</v>
      </c>
      <c r="AJ512" s="3">
        <v>544</v>
      </c>
      <c r="AK512" s="3">
        <f t="shared" si="346"/>
        <v>5456</v>
      </c>
      <c r="AL512" s="3">
        <v>6000</v>
      </c>
      <c r="AM512" s="3">
        <f t="shared" si="347"/>
        <v>300</v>
      </c>
      <c r="AO512" s="3">
        <f>AH512*1.03</f>
        <v>5871</v>
      </c>
      <c r="AP512" s="3"/>
      <c r="AQ512" s="3">
        <f t="shared" si="360"/>
        <v>6047.13</v>
      </c>
      <c r="AR512" s="3">
        <f t="shared" si="360"/>
        <v>0</v>
      </c>
      <c r="AS512" s="3">
        <f t="shared" si="360"/>
        <v>6228.5439000000006</v>
      </c>
      <c r="AT512" s="3">
        <f t="shared" si="360"/>
        <v>0</v>
      </c>
      <c r="AU512" s="3">
        <f t="shared" si="360"/>
        <v>6415.4002170000003</v>
      </c>
      <c r="AV512" s="3"/>
      <c r="AW512" s="3">
        <f t="shared" si="360"/>
        <v>6607.8622235100001</v>
      </c>
      <c r="AX512" s="3">
        <f t="shared" si="360"/>
        <v>0</v>
      </c>
      <c r="AY512" s="3">
        <f t="shared" si="360"/>
        <v>6806.0980902153005</v>
      </c>
      <c r="AZ512" s="3">
        <f t="shared" si="360"/>
        <v>0</v>
      </c>
      <c r="BA512" s="3">
        <f t="shared" si="360"/>
        <v>7010.28103292176</v>
      </c>
      <c r="BB512" s="3">
        <f t="shared" si="360"/>
        <v>0</v>
      </c>
      <c r="BC512" s="3">
        <f t="shared" si="360"/>
        <v>7220.5894639094131</v>
      </c>
      <c r="BD512" s="3">
        <f t="shared" si="360"/>
        <v>0</v>
      </c>
      <c r="BE512" s="3">
        <f t="shared" si="360"/>
        <v>7437.2071478266953</v>
      </c>
    </row>
    <row r="513" spans="1:57" x14ac:dyDescent="0.25">
      <c r="A513" s="3"/>
      <c r="B513" s="48">
        <f>SUM(B507:B512)</f>
        <v>112750</v>
      </c>
      <c r="C513" s="32"/>
      <c r="D513" s="48">
        <f>SUM(D507:D512)</f>
        <v>22465</v>
      </c>
      <c r="E513" s="48">
        <f>SUM(E507:E512)</f>
        <v>89185</v>
      </c>
      <c r="F513" s="48">
        <f>SUM(F507:F512)</f>
        <v>111650</v>
      </c>
      <c r="G513" s="32"/>
      <c r="H513" s="48">
        <f>SUM(H507:H512)</f>
        <v>-1100</v>
      </c>
      <c r="I513" s="36"/>
      <c r="J513" s="48">
        <f>SUM(J507:J512)</f>
        <v>52142</v>
      </c>
      <c r="K513" s="48">
        <f>SUM(K507:K512)</f>
        <v>67008</v>
      </c>
      <c r="L513" s="48">
        <f>SUM(L507:L512)</f>
        <v>119150</v>
      </c>
      <c r="M513" s="32"/>
      <c r="N513" s="48">
        <f>SUM(N507:N512)</f>
        <v>7500</v>
      </c>
      <c r="P513" s="48">
        <f>SUM(P507:P512)</f>
        <v>122789.01</v>
      </c>
      <c r="R513" s="48">
        <f t="shared" ref="R513:Z513" si="361">SUM(R507:R512)</f>
        <v>16938</v>
      </c>
      <c r="S513" s="48">
        <f t="shared" si="361"/>
        <v>105752</v>
      </c>
      <c r="T513" s="48">
        <f t="shared" si="361"/>
        <v>122690</v>
      </c>
      <c r="U513" s="48">
        <f t="shared" si="361"/>
        <v>-99.010000000000218</v>
      </c>
      <c r="V513" s="48">
        <f t="shared" si="361"/>
        <v>37791</v>
      </c>
      <c r="W513" s="48">
        <f t="shared" si="361"/>
        <v>84899</v>
      </c>
      <c r="X513" s="48"/>
      <c r="Y513" s="48">
        <f t="shared" si="361"/>
        <v>122690</v>
      </c>
      <c r="Z513" s="48">
        <f t="shared" si="361"/>
        <v>0</v>
      </c>
      <c r="AC513" s="48">
        <f>SUM(AC507:AC512)</f>
        <v>71016</v>
      </c>
      <c r="AD513" s="48">
        <f>SUM(AD507:AD512)</f>
        <v>46424</v>
      </c>
      <c r="AE513" s="48">
        <f>SUM(AE507:AE512)</f>
        <v>117440</v>
      </c>
      <c r="AF513" s="48">
        <f>SUM(AF507:AF512)</f>
        <v>-5250</v>
      </c>
      <c r="AH513" s="36">
        <f>SUM(AH507:AH512)</f>
        <v>121549.75</v>
      </c>
      <c r="AI513" s="32"/>
      <c r="AJ513" s="48">
        <f>SUM(AJ507:AJ512)</f>
        <v>16588</v>
      </c>
      <c r="AK513" s="48">
        <f>SUM(AK507:AK512)</f>
        <v>97262</v>
      </c>
      <c r="AL513" s="48">
        <f>SUM(AL507:AL512)</f>
        <v>113850</v>
      </c>
      <c r="AM513" s="48">
        <f>SUM(AM507:AM512)</f>
        <v>-7699.75</v>
      </c>
      <c r="AN513" s="32"/>
      <c r="AO513" s="48">
        <f>SUM(AO507:AO512)</f>
        <v>125250.74187500001</v>
      </c>
      <c r="AQ513" s="48">
        <f>SUM(AQ507:AQ512)</f>
        <v>128980.5784859375</v>
      </c>
      <c r="AS513" s="48">
        <f>SUM(AS507:AS512)</f>
        <v>132824.65911173046</v>
      </c>
      <c r="AT513" s="48"/>
      <c r="AU513" s="48">
        <f>SUM(AU507:AU512)</f>
        <v>136786.48741261169</v>
      </c>
      <c r="AW513" s="48">
        <f>SUM(AW507:AW512)</f>
        <v>140869.67463966407</v>
      </c>
      <c r="AY513" s="48">
        <f>SUM(AY507:AY512)</f>
        <v>145077.94294317995</v>
      </c>
      <c r="BA513" s="48">
        <f>SUM(BA507:BA512)</f>
        <v>149415.12878289187</v>
      </c>
      <c r="BC513" s="48">
        <f>SUM(BC507:BC512)</f>
        <v>153885.1864432162</v>
      </c>
      <c r="BE513" s="48">
        <f>SUM(BE507:BE512)</f>
        <v>158492.19165674748</v>
      </c>
    </row>
    <row r="514" spans="1:57" x14ac:dyDescent="0.25">
      <c r="A514" s="7" t="s">
        <v>400</v>
      </c>
    </row>
    <row r="515" spans="1:57" x14ac:dyDescent="0.25">
      <c r="A515" s="3" t="s">
        <v>107</v>
      </c>
      <c r="B515" s="3">
        <v>200</v>
      </c>
      <c r="D515" s="3"/>
      <c r="E515" s="3">
        <f>F515-D515</f>
        <v>200</v>
      </c>
      <c r="F515" s="5">
        <v>200</v>
      </c>
      <c r="H515" s="5">
        <f>F515-B515</f>
        <v>0</v>
      </c>
      <c r="J515" s="5">
        <v>0</v>
      </c>
      <c r="K515" s="4">
        <f>L515-J515</f>
        <v>200</v>
      </c>
      <c r="L515" s="4">
        <v>200</v>
      </c>
      <c r="N515" s="4">
        <f>L515-F515</f>
        <v>0</v>
      </c>
      <c r="P515" s="3">
        <f>L515*1.0281-6</f>
        <v>199.62</v>
      </c>
      <c r="Q515" s="3"/>
      <c r="R515" s="3">
        <v>0</v>
      </c>
      <c r="S515" s="3">
        <f>T515-R515</f>
        <v>200</v>
      </c>
      <c r="T515" s="3">
        <v>200</v>
      </c>
      <c r="U515" s="3">
        <f>T515-P515</f>
        <v>0.37999999999999545</v>
      </c>
      <c r="V515" s="3"/>
      <c r="W515" s="3">
        <f>Y515-V515</f>
        <v>0</v>
      </c>
      <c r="X515" s="3"/>
      <c r="Y515" s="3">
        <v>0</v>
      </c>
      <c r="Z515" s="3">
        <f>Y515-T515</f>
        <v>-200</v>
      </c>
      <c r="AA515" s="3"/>
      <c r="AB515" s="3"/>
      <c r="AC515" s="3"/>
      <c r="AD515" s="3">
        <f>AE515-AC515</f>
        <v>200</v>
      </c>
      <c r="AE515" s="3">
        <v>200</v>
      </c>
      <c r="AF515" s="3">
        <f>AE515-Y515</f>
        <v>200</v>
      </c>
      <c r="AG515" s="4"/>
      <c r="AH515" s="4">
        <v>100</v>
      </c>
      <c r="AJ515" s="3">
        <v>0</v>
      </c>
      <c r="AK515" s="3">
        <f>AL515-AJ515</f>
        <v>100</v>
      </c>
      <c r="AL515" s="3">
        <v>100</v>
      </c>
      <c r="AM515" s="3">
        <f>AL515-AH515</f>
        <v>0</v>
      </c>
      <c r="AO515" s="3">
        <f>AH515*1.03</f>
        <v>103</v>
      </c>
      <c r="AP515" s="3"/>
      <c r="AQ515" s="3">
        <f>AO515*1.03</f>
        <v>106.09</v>
      </c>
      <c r="AR515" s="3"/>
      <c r="AS515" s="3">
        <f>AQ515*1.03</f>
        <v>109.2727</v>
      </c>
      <c r="AT515" s="3"/>
      <c r="AU515" s="3">
        <f>AS515*1.03</f>
        <v>112.550881</v>
      </c>
      <c r="AV515" s="42"/>
      <c r="AW515" s="3">
        <f>AU515*1.03</f>
        <v>115.92740743</v>
      </c>
      <c r="AX515" s="42"/>
      <c r="AY515" s="3">
        <f>AW515*1.03</f>
        <v>119.4052296529</v>
      </c>
      <c r="AZ515" s="42"/>
      <c r="BA515" s="3">
        <f>AY515*1.03</f>
        <v>122.987386542487</v>
      </c>
      <c r="BB515" s="42"/>
      <c r="BC515" s="3">
        <f>BA515*1.03</f>
        <v>126.67700813876162</v>
      </c>
      <c r="BE515" s="3">
        <f>BC515*1.03</f>
        <v>130.47731838292447</v>
      </c>
    </row>
    <row r="516" spans="1:57" x14ac:dyDescent="0.25">
      <c r="A516" s="3" t="s">
        <v>401</v>
      </c>
      <c r="B516" s="3"/>
      <c r="D516" s="3"/>
      <c r="E516" s="3">
        <f>F516-D516</f>
        <v>0</v>
      </c>
      <c r="H516" s="5">
        <f>F516-B516</f>
        <v>0</v>
      </c>
      <c r="K516" s="4">
        <f>L516-J516</f>
        <v>0</v>
      </c>
      <c r="L516" s="4"/>
      <c r="N516" s="4">
        <f>L516-F516</f>
        <v>0</v>
      </c>
      <c r="P516" s="3"/>
      <c r="Q516" s="3"/>
      <c r="R516" s="3"/>
      <c r="S516" s="3"/>
      <c r="T516" s="3"/>
      <c r="U516" s="3"/>
      <c r="V516" s="3"/>
      <c r="W516" s="3">
        <f>Y516-V516</f>
        <v>0</v>
      </c>
      <c r="X516" s="3"/>
      <c r="Y516" s="3"/>
      <c r="Z516" s="3">
        <f>Y516-T516</f>
        <v>0</v>
      </c>
      <c r="AA516" s="3"/>
      <c r="AB516" s="3"/>
      <c r="AC516" s="3"/>
      <c r="AD516" s="3">
        <f>AE516-AC516</f>
        <v>0</v>
      </c>
      <c r="AE516" s="3"/>
      <c r="AF516" s="3">
        <f>AE516-Y516</f>
        <v>0</v>
      </c>
      <c r="AG516" s="4"/>
      <c r="AH516" s="4"/>
      <c r="AJ516" s="3"/>
      <c r="AK516" s="3">
        <f>AL516-AJ516</f>
        <v>0</v>
      </c>
      <c r="AL516" s="3"/>
      <c r="AM516" s="3">
        <f>AL516-AH516</f>
        <v>0</v>
      </c>
      <c r="AO516" s="3"/>
      <c r="AP516" s="3"/>
      <c r="AQ516" s="3"/>
      <c r="AR516" s="3"/>
      <c r="AS516" s="3"/>
      <c r="AT516" s="3"/>
      <c r="AU516" s="3"/>
      <c r="AV516" s="42"/>
      <c r="AW516" s="3"/>
      <c r="AY516" s="3"/>
      <c r="BA516" s="3"/>
      <c r="BC516" s="3"/>
      <c r="BE516" s="3"/>
    </row>
    <row r="517" spans="1:57" s="42" customFormat="1" x14ac:dyDescent="0.25">
      <c r="A517" s="3" t="s">
        <v>402</v>
      </c>
      <c r="B517" s="3">
        <v>0</v>
      </c>
      <c r="C517" s="3"/>
      <c r="D517" s="3"/>
      <c r="E517" s="3">
        <f>F517-D517</f>
        <v>0</v>
      </c>
      <c r="F517" s="5"/>
      <c r="G517" s="3"/>
      <c r="H517" s="5">
        <f>F517-B517</f>
        <v>0</v>
      </c>
      <c r="I517" s="5"/>
      <c r="J517" s="5"/>
      <c r="K517" s="4">
        <f>L517-J517</f>
        <v>0</v>
      </c>
      <c r="L517" s="4"/>
      <c r="M517" s="4"/>
      <c r="N517" s="4">
        <f>L517-F517</f>
        <v>0</v>
      </c>
      <c r="O517" s="4"/>
      <c r="P517" s="3"/>
      <c r="Q517" s="3"/>
      <c r="R517" s="3"/>
      <c r="S517" s="3"/>
      <c r="T517" s="3"/>
      <c r="U517" s="3"/>
      <c r="V517" s="3"/>
      <c r="W517" s="3">
        <f>Y517-V517</f>
        <v>0</v>
      </c>
      <c r="X517" s="3"/>
      <c r="Y517" s="3"/>
      <c r="Z517" s="3">
        <f>Y517-T517</f>
        <v>0</v>
      </c>
      <c r="AA517" s="3"/>
      <c r="AB517" s="3"/>
      <c r="AC517" s="3"/>
      <c r="AD517" s="3">
        <f>AE517-AC517</f>
        <v>0</v>
      </c>
      <c r="AE517" s="3"/>
      <c r="AF517" s="3">
        <f>AE517-Y517</f>
        <v>0</v>
      </c>
      <c r="AG517" s="4"/>
      <c r="AH517" s="4"/>
      <c r="AI517" s="4"/>
      <c r="AJ517" s="3"/>
      <c r="AK517" s="3">
        <f>AL517-AJ517</f>
        <v>0</v>
      </c>
      <c r="AL517" s="3"/>
      <c r="AM517" s="3">
        <f>AL517-AH517</f>
        <v>0</v>
      </c>
      <c r="AN517" s="4"/>
      <c r="AO517" s="3"/>
      <c r="AP517" s="3"/>
      <c r="AQ517" s="3"/>
      <c r="AR517" s="3"/>
      <c r="AS517" s="3"/>
      <c r="AT517" s="3"/>
      <c r="AU517" s="3"/>
      <c r="AW517" s="3"/>
      <c r="AY517" s="3"/>
      <c r="BA517" s="3"/>
      <c r="BC517" s="3"/>
      <c r="BE517" s="3"/>
    </row>
    <row r="518" spans="1:57" x14ac:dyDescent="0.25">
      <c r="A518" s="3"/>
      <c r="B518" s="48">
        <f>SUM(B515:B517)</f>
        <v>200</v>
      </c>
      <c r="C518" s="32"/>
      <c r="D518" s="48">
        <f>SUM(D515:D517)</f>
        <v>0</v>
      </c>
      <c r="E518" s="48">
        <f>SUM(E515:E517)</f>
        <v>200</v>
      </c>
      <c r="F518" s="48">
        <f>SUM(F515:F517)</f>
        <v>200</v>
      </c>
      <c r="G518" s="32"/>
      <c r="H518" s="48">
        <f>SUM(H515:H517)</f>
        <v>0</v>
      </c>
      <c r="I518" s="36"/>
      <c r="J518" s="48">
        <f>SUM(J515:J517)</f>
        <v>0</v>
      </c>
      <c r="K518" s="48">
        <f>SUM(K515:K517)</f>
        <v>200</v>
      </c>
      <c r="L518" s="48">
        <f>SUM(L515:L517)</f>
        <v>200</v>
      </c>
      <c r="M518" s="32"/>
      <c r="N518" s="48">
        <f>SUM(N515:N517)</f>
        <v>0</v>
      </c>
      <c r="P518" s="48">
        <f>SUM(P515:P517)</f>
        <v>199.62</v>
      </c>
      <c r="R518" s="48">
        <f t="shared" ref="R518:Z518" si="362">SUM(R515:R517)</f>
        <v>0</v>
      </c>
      <c r="S518" s="48">
        <f t="shared" si="362"/>
        <v>200</v>
      </c>
      <c r="T518" s="48">
        <f t="shared" si="362"/>
        <v>200</v>
      </c>
      <c r="U518" s="48">
        <f t="shared" si="362"/>
        <v>0.37999999999999545</v>
      </c>
      <c r="V518" s="48">
        <f t="shared" si="362"/>
        <v>0</v>
      </c>
      <c r="W518" s="48">
        <f t="shared" si="362"/>
        <v>0</v>
      </c>
      <c r="X518" s="48"/>
      <c r="Y518" s="48">
        <f t="shared" si="362"/>
        <v>0</v>
      </c>
      <c r="Z518" s="48">
        <f t="shared" si="362"/>
        <v>-200</v>
      </c>
      <c r="AC518" s="48">
        <f>SUM(AC515:AC517)</f>
        <v>0</v>
      </c>
      <c r="AD518" s="48">
        <f>SUM(AD515:AD517)</f>
        <v>200</v>
      </c>
      <c r="AE518" s="48">
        <f>SUM(AE515:AE517)</f>
        <v>200</v>
      </c>
      <c r="AF518" s="48">
        <f>SUM(AF515:AF517)</f>
        <v>200</v>
      </c>
      <c r="AH518" s="48">
        <f>SUM(AH515:AH517)</f>
        <v>100</v>
      </c>
      <c r="AI518" s="32"/>
      <c r="AJ518" s="48">
        <f>SUM(AJ515:AJ517)</f>
        <v>0</v>
      </c>
      <c r="AK518" s="48">
        <f>SUM(AK515:AK517)</f>
        <v>100</v>
      </c>
      <c r="AL518" s="48">
        <f>SUM(AL515:AL517)</f>
        <v>100</v>
      </c>
      <c r="AM518" s="48">
        <f>SUM(AM515:AM517)</f>
        <v>0</v>
      </c>
      <c r="AN518" s="32"/>
      <c r="AO518" s="48">
        <f>SUM(AO515:AO517)</f>
        <v>103</v>
      </c>
      <c r="AQ518" s="48">
        <f>SUM(AQ515:AQ517)</f>
        <v>106.09</v>
      </c>
      <c r="AS518" s="48">
        <f>SUM(AS515:AS517)</f>
        <v>109.2727</v>
      </c>
      <c r="AT518" s="48"/>
      <c r="AU518" s="48">
        <f>SUM(AU515:AU517)</f>
        <v>112.550881</v>
      </c>
      <c r="AW518" s="48">
        <f>SUM(AW515:AW517)</f>
        <v>115.92740743</v>
      </c>
      <c r="AY518" s="48">
        <f>SUM(AY515:AY517)</f>
        <v>119.4052296529</v>
      </c>
      <c r="BA518" s="48">
        <f>SUM(BA515:BA517)</f>
        <v>122.987386542487</v>
      </c>
      <c r="BC518" s="48">
        <f>SUM(BC515:BC517)</f>
        <v>126.67700813876162</v>
      </c>
      <c r="BE518" s="48">
        <f>SUM(BE515:BE517)</f>
        <v>130.47731838292447</v>
      </c>
    </row>
    <row r="519" spans="1:57" s="42" customFormat="1" ht="15.75" thickBot="1" x14ac:dyDescent="0.3">
      <c r="A519" s="7" t="s">
        <v>249</v>
      </c>
      <c r="B519" s="43">
        <f>B513+B505+B503+B518-1</f>
        <v>184799</v>
      </c>
      <c r="C519" s="32"/>
      <c r="D519" s="43">
        <f>D513+D505+D503+D518-1</f>
        <v>49699</v>
      </c>
      <c r="E519" s="43">
        <f>E513+E505+E503+E518-1</f>
        <v>134499</v>
      </c>
      <c r="F519" s="43">
        <f>F513+F505+F503+F518-1</f>
        <v>184199</v>
      </c>
      <c r="G519" s="32"/>
      <c r="H519" s="43">
        <f>H513+H505+H503+H518-1</f>
        <v>-601</v>
      </c>
      <c r="I519" s="36"/>
      <c r="J519" s="43">
        <f>J513+J505+J503+J518-1</f>
        <v>99985</v>
      </c>
      <c r="K519" s="43">
        <f>K513+K505+K503+K518-1</f>
        <v>89463</v>
      </c>
      <c r="L519" s="43">
        <f>L513+L505+L503+L518-1</f>
        <v>189449</v>
      </c>
      <c r="M519" s="32"/>
      <c r="N519" s="43">
        <f>N513+N505+N503+N518-1</f>
        <v>5249</v>
      </c>
      <c r="O519" s="4"/>
      <c r="P519" s="43">
        <f>P513+P505+P503+P518-1</f>
        <v>261377.10499999998</v>
      </c>
      <c r="Q519" s="3"/>
      <c r="R519" s="43">
        <f t="shared" ref="R519:Z519" si="363">R513+R505+R503+R518-1</f>
        <v>44251</v>
      </c>
      <c r="S519" s="43">
        <f t="shared" si="363"/>
        <v>217027</v>
      </c>
      <c r="T519" s="43">
        <f t="shared" si="363"/>
        <v>261279</v>
      </c>
      <c r="U519" s="43">
        <f t="shared" si="363"/>
        <v>-99.105000000014684</v>
      </c>
      <c r="V519" s="43">
        <f t="shared" si="363"/>
        <v>91087</v>
      </c>
      <c r="W519" s="43">
        <f t="shared" si="363"/>
        <v>168211</v>
      </c>
      <c r="X519" s="43"/>
      <c r="Y519" s="43">
        <f t="shared" si="363"/>
        <v>259299</v>
      </c>
      <c r="Z519" s="43">
        <f t="shared" si="363"/>
        <v>-1981</v>
      </c>
      <c r="AA519" s="3"/>
      <c r="AB519" s="3"/>
      <c r="AC519" s="43">
        <f>AC513+AC505+AC503+AC518-1</f>
        <v>160461</v>
      </c>
      <c r="AD519" s="43">
        <f>AD513+AD505+AD503+AD518-1</f>
        <v>99487</v>
      </c>
      <c r="AE519" s="43">
        <f>AE513+AE505+AE503+AE518-1</f>
        <v>259949</v>
      </c>
      <c r="AF519" s="43">
        <f>AF513+AF505+AF503+AF518-1</f>
        <v>649</v>
      </c>
      <c r="AG519" s="4"/>
      <c r="AH519" s="44">
        <f>AH513+AH505+AH503+AH518</f>
        <v>304499.75</v>
      </c>
      <c r="AI519" s="32"/>
      <c r="AJ519" s="44">
        <f>AJ513+AJ505+AJ503+AJ518</f>
        <v>57123</v>
      </c>
      <c r="AK519" s="44">
        <f>AK513+AK505+AK503+AK518</f>
        <v>235677</v>
      </c>
      <c r="AL519" s="44">
        <f>AL513+AL505+AL503+AL518</f>
        <v>292800</v>
      </c>
      <c r="AM519" s="44">
        <f>AM513+AM505+AM503+AM518</f>
        <v>-11699.75</v>
      </c>
      <c r="AN519" s="32"/>
      <c r="AO519" s="44">
        <f>AO513+AO505+AO503+AO518</f>
        <v>294611.24187500001</v>
      </c>
      <c r="AP519" s="3"/>
      <c r="AQ519" s="44">
        <f>AQ513+AQ505+AQ503+AQ518</f>
        <v>278647.94928593753</v>
      </c>
      <c r="AR519" s="3"/>
      <c r="AS519" s="44">
        <f>AS513+AS505+AS503+AS518</f>
        <v>293393.03794971044</v>
      </c>
      <c r="AT519" s="44"/>
      <c r="AU519" s="44">
        <f>AU513+AU505+AU503+AU518</f>
        <v>300852.69645623892</v>
      </c>
      <c r="AW519" s="44">
        <f>AW513+AW505+AW503+AW518</f>
        <v>308533.29772858426</v>
      </c>
      <c r="AY519" s="44">
        <f>AY513+AY505+AY503+AY518</f>
        <v>316441.40453007061</v>
      </c>
      <c r="BA519" s="44">
        <f>BA513+BA505+BA503+BA518</f>
        <v>324583.77513644425</v>
      </c>
      <c r="BC519" s="44">
        <f>BC513+BC505+BC503+BC518</f>
        <v>332967.36917803087</v>
      </c>
      <c r="BE519" s="44">
        <f>BE513+BE505+BE503+BE518</f>
        <v>341711.39313685126</v>
      </c>
    </row>
    <row r="520" spans="1:57" ht="15.75" thickTop="1" x14ac:dyDescent="0.25">
      <c r="A520" s="7" t="s">
        <v>403</v>
      </c>
    </row>
    <row r="521" spans="1:57" x14ac:dyDescent="0.25">
      <c r="A521" s="7" t="s">
        <v>404</v>
      </c>
    </row>
    <row r="522" spans="1:57" x14ac:dyDescent="0.25">
      <c r="A522" s="3" t="s">
        <v>110</v>
      </c>
      <c r="B522" s="3">
        <v>2500</v>
      </c>
      <c r="D522" s="3">
        <v>0</v>
      </c>
      <c r="E522" s="3">
        <f t="shared" ref="E522:E538" si="364">F522-D522</f>
        <v>2500</v>
      </c>
      <c r="F522" s="5">
        <v>2500</v>
      </c>
      <c r="H522" s="5">
        <f t="shared" ref="H522:H538" si="365">F522-B522</f>
        <v>0</v>
      </c>
      <c r="J522" s="5">
        <v>0</v>
      </c>
      <c r="K522" s="4">
        <f t="shared" ref="K522:K538" si="366">L522-J522</f>
        <v>2500</v>
      </c>
      <c r="L522" s="4">
        <v>2500</v>
      </c>
      <c r="N522" s="4">
        <f t="shared" ref="N522:N538" si="367">L522-F522</f>
        <v>0</v>
      </c>
      <c r="P522" s="3">
        <v>2500</v>
      </c>
      <c r="Q522" s="3"/>
      <c r="R522" s="3"/>
      <c r="S522" s="3">
        <f t="shared" ref="S522:S538" si="368">T522-R522</f>
        <v>2500</v>
      </c>
      <c r="T522" s="3">
        <v>2500</v>
      </c>
      <c r="U522" s="3">
        <f t="shared" ref="U522:U538" si="369">T522-P522</f>
        <v>0</v>
      </c>
      <c r="V522" s="3"/>
      <c r="W522" s="3">
        <f t="shared" ref="W522:W538" si="370">Y522-V522</f>
        <v>2500</v>
      </c>
      <c r="X522" s="3"/>
      <c r="Y522" s="3">
        <v>2500</v>
      </c>
      <c r="Z522" s="3">
        <f t="shared" ref="Z522:Z538" si="371">Y522-T522</f>
        <v>0</v>
      </c>
      <c r="AA522" s="3"/>
      <c r="AB522" s="3"/>
      <c r="AC522" s="3">
        <v>7638</v>
      </c>
      <c r="AD522" s="3">
        <f t="shared" ref="AD522:AD538" si="372">AE522-AC522</f>
        <v>1362</v>
      </c>
      <c r="AE522" s="3">
        <v>9000</v>
      </c>
      <c r="AF522" s="3">
        <f t="shared" ref="AF522:AF538" si="373">AE522-Y522</f>
        <v>6500</v>
      </c>
      <c r="AG522" s="4"/>
      <c r="AH522" s="4">
        <v>2500</v>
      </c>
      <c r="AJ522" s="3">
        <v>0</v>
      </c>
      <c r="AK522" s="3">
        <f t="shared" ref="AK522:AK538" si="374">AL522-AJ522</f>
        <v>2500</v>
      </c>
      <c r="AL522" s="3">
        <v>2500</v>
      </c>
      <c r="AM522" s="3">
        <f t="shared" ref="AM522:AM538" si="375">AL522-AH522</f>
        <v>0</v>
      </c>
      <c r="AO522" s="3">
        <v>2500</v>
      </c>
      <c r="AP522" s="3"/>
      <c r="AQ522" s="3">
        <v>2500</v>
      </c>
      <c r="AR522" s="3"/>
      <c r="AS522" s="3">
        <v>2500</v>
      </c>
      <c r="AT522" s="3"/>
      <c r="AU522" s="3">
        <v>2500</v>
      </c>
      <c r="AV522" s="42"/>
      <c r="AW522" s="3">
        <v>2500</v>
      </c>
      <c r="AX522" s="42"/>
      <c r="AY522" s="3">
        <v>2500</v>
      </c>
      <c r="AZ522" s="42"/>
      <c r="BA522" s="3">
        <v>2500</v>
      </c>
      <c r="BB522" s="42"/>
      <c r="BC522" s="3">
        <v>2500</v>
      </c>
      <c r="BE522" s="3">
        <v>2500</v>
      </c>
    </row>
    <row r="523" spans="1:57" x14ac:dyDescent="0.25">
      <c r="A523" s="3" t="s">
        <v>405</v>
      </c>
      <c r="B523" s="3">
        <v>1000</v>
      </c>
      <c r="D523" s="3">
        <v>0</v>
      </c>
      <c r="E523" s="3">
        <f t="shared" si="364"/>
        <v>1000</v>
      </c>
      <c r="F523" s="5">
        <v>1000</v>
      </c>
      <c r="H523" s="5">
        <f t="shared" si="365"/>
        <v>0</v>
      </c>
      <c r="J523" s="5">
        <v>0</v>
      </c>
      <c r="K523" s="4">
        <f t="shared" si="366"/>
        <v>1000</v>
      </c>
      <c r="L523" s="4">
        <v>1000</v>
      </c>
      <c r="N523" s="4">
        <f t="shared" si="367"/>
        <v>0</v>
      </c>
      <c r="P523" s="3">
        <v>1000</v>
      </c>
      <c r="Q523" s="3"/>
      <c r="R523" s="3"/>
      <c r="S523" s="3">
        <f t="shared" si="368"/>
        <v>1000</v>
      </c>
      <c r="T523" s="3">
        <v>1000</v>
      </c>
      <c r="U523" s="3">
        <f t="shared" si="369"/>
        <v>0</v>
      </c>
      <c r="V523" s="3"/>
      <c r="W523" s="3">
        <f t="shared" si="370"/>
        <v>1000</v>
      </c>
      <c r="X523" s="3"/>
      <c r="Y523" s="3">
        <v>1000</v>
      </c>
      <c r="Z523" s="3">
        <f t="shared" si="371"/>
        <v>0</v>
      </c>
      <c r="AA523" s="3"/>
      <c r="AB523" s="3"/>
      <c r="AC523" s="3">
        <v>0</v>
      </c>
      <c r="AD523" s="3">
        <f t="shared" si="372"/>
        <v>1000</v>
      </c>
      <c r="AE523" s="3">
        <v>1000</v>
      </c>
      <c r="AF523" s="3">
        <f t="shared" si="373"/>
        <v>0</v>
      </c>
      <c r="AG523" s="4"/>
      <c r="AH523" s="4">
        <v>1000</v>
      </c>
      <c r="AJ523" s="3">
        <v>0</v>
      </c>
      <c r="AK523" s="3">
        <f t="shared" si="374"/>
        <v>1000</v>
      </c>
      <c r="AL523" s="3">
        <v>1000</v>
      </c>
      <c r="AM523" s="3">
        <f t="shared" si="375"/>
        <v>0</v>
      </c>
      <c r="AO523" s="3">
        <v>1000</v>
      </c>
      <c r="AP523" s="3"/>
      <c r="AQ523" s="3">
        <v>1000</v>
      </c>
      <c r="AR523" s="3"/>
      <c r="AS523" s="3">
        <v>1000</v>
      </c>
      <c r="AT523" s="3"/>
      <c r="AU523" s="3">
        <v>1000</v>
      </c>
      <c r="AV523" s="42"/>
      <c r="AW523" s="3">
        <v>1000</v>
      </c>
      <c r="AX523" s="42"/>
      <c r="AY523" s="3">
        <v>1000</v>
      </c>
      <c r="AZ523" s="42"/>
      <c r="BA523" s="3">
        <v>1000</v>
      </c>
      <c r="BB523" s="42"/>
      <c r="BC523" s="3">
        <v>1000</v>
      </c>
      <c r="BE523" s="3">
        <v>1000</v>
      </c>
    </row>
    <row r="524" spans="1:57" x14ac:dyDescent="0.25">
      <c r="A524" s="3" t="s">
        <v>406</v>
      </c>
      <c r="B524" s="3">
        <v>250</v>
      </c>
      <c r="D524" s="3">
        <v>0</v>
      </c>
      <c r="E524" s="3">
        <f t="shared" si="364"/>
        <v>250</v>
      </c>
      <c r="F524" s="5">
        <v>250</v>
      </c>
      <c r="H524" s="5">
        <f t="shared" si="365"/>
        <v>0</v>
      </c>
      <c r="J524" s="5">
        <v>0</v>
      </c>
      <c r="K524" s="4">
        <f t="shared" si="366"/>
        <v>250</v>
      </c>
      <c r="L524" s="4">
        <v>250</v>
      </c>
      <c r="N524" s="4">
        <f t="shared" si="367"/>
        <v>0</v>
      </c>
      <c r="P524" s="3">
        <v>300</v>
      </c>
      <c r="Q524" s="3"/>
      <c r="R524" s="3"/>
      <c r="S524" s="3">
        <f t="shared" si="368"/>
        <v>300</v>
      </c>
      <c r="T524" s="3">
        <v>300</v>
      </c>
      <c r="U524" s="3">
        <f t="shared" si="369"/>
        <v>0</v>
      </c>
      <c r="V524" s="3"/>
      <c r="W524" s="3">
        <f t="shared" si="370"/>
        <v>300</v>
      </c>
      <c r="X524" s="3"/>
      <c r="Y524" s="3">
        <v>300</v>
      </c>
      <c r="Z524" s="3">
        <f t="shared" si="371"/>
        <v>0</v>
      </c>
      <c r="AA524" s="3"/>
      <c r="AB524" s="3"/>
      <c r="AC524" s="3">
        <v>0</v>
      </c>
      <c r="AD524" s="3">
        <f t="shared" si="372"/>
        <v>300</v>
      </c>
      <c r="AE524" s="3">
        <v>300</v>
      </c>
      <c r="AF524" s="3">
        <f t="shared" si="373"/>
        <v>0</v>
      </c>
      <c r="AG524" s="4"/>
      <c r="AH524" s="4">
        <f>AE524*1.03+41</f>
        <v>350</v>
      </c>
      <c r="AJ524" s="3">
        <v>0</v>
      </c>
      <c r="AK524" s="3">
        <f t="shared" si="374"/>
        <v>350</v>
      </c>
      <c r="AL524" s="3">
        <v>350</v>
      </c>
      <c r="AM524" s="3">
        <f t="shared" si="375"/>
        <v>0</v>
      </c>
      <c r="AO524" s="3">
        <f>AH524</f>
        <v>350</v>
      </c>
      <c r="AP524" s="3"/>
      <c r="AQ524" s="3">
        <f>AO524+25</f>
        <v>375</v>
      </c>
      <c r="AR524" s="3"/>
      <c r="AS524" s="3">
        <f>AQ524+25</f>
        <v>400</v>
      </c>
      <c r="AT524" s="3"/>
      <c r="AU524" s="3">
        <f>AS524+25</f>
        <v>425</v>
      </c>
      <c r="AV524" s="42"/>
      <c r="AW524" s="3">
        <f>AU524+25</f>
        <v>450</v>
      </c>
      <c r="AX524" s="42"/>
      <c r="AY524" s="3">
        <f>AW524+25</f>
        <v>475</v>
      </c>
      <c r="AZ524" s="42"/>
      <c r="BA524" s="3">
        <f>AY524+25</f>
        <v>500</v>
      </c>
      <c r="BB524" s="42"/>
      <c r="BC524" s="3">
        <f>BA524+25</f>
        <v>525</v>
      </c>
      <c r="BE524" s="3">
        <f>BC524+25</f>
        <v>550</v>
      </c>
    </row>
    <row r="525" spans="1:57" x14ac:dyDescent="0.25">
      <c r="A525" s="3" t="s">
        <v>407</v>
      </c>
      <c r="B525" s="3">
        <v>650</v>
      </c>
      <c r="D525" s="3">
        <v>0</v>
      </c>
      <c r="E525" s="3">
        <f t="shared" si="364"/>
        <v>650</v>
      </c>
      <c r="F525" s="5">
        <v>650</v>
      </c>
      <c r="H525" s="5">
        <f t="shared" si="365"/>
        <v>0</v>
      </c>
      <c r="J525" s="5">
        <v>0</v>
      </c>
      <c r="K525" s="4">
        <f t="shared" si="366"/>
        <v>0</v>
      </c>
      <c r="L525" s="4">
        <v>0</v>
      </c>
      <c r="N525" s="4">
        <f t="shared" si="367"/>
        <v>-650</v>
      </c>
      <c r="P525" s="3">
        <v>650</v>
      </c>
      <c r="Q525" s="3"/>
      <c r="R525" s="3"/>
      <c r="S525" s="3">
        <f t="shared" si="368"/>
        <v>650</v>
      </c>
      <c r="T525" s="3">
        <v>650</v>
      </c>
      <c r="U525" s="3">
        <f t="shared" si="369"/>
        <v>0</v>
      </c>
      <c r="V525" s="3"/>
      <c r="W525" s="3">
        <f t="shared" si="370"/>
        <v>650</v>
      </c>
      <c r="X525" s="3"/>
      <c r="Y525" s="3">
        <v>650</v>
      </c>
      <c r="Z525" s="3">
        <f t="shared" si="371"/>
        <v>0</v>
      </c>
      <c r="AA525" s="3"/>
      <c r="AB525" s="3"/>
      <c r="AC525" s="3">
        <v>596</v>
      </c>
      <c r="AD525" s="3">
        <f t="shared" si="372"/>
        <v>4</v>
      </c>
      <c r="AE525" s="3">
        <v>600</v>
      </c>
      <c r="AF525" s="3">
        <f t="shared" si="373"/>
        <v>-50</v>
      </c>
      <c r="AG525" s="4"/>
      <c r="AH525" s="4">
        <v>650</v>
      </c>
      <c r="AJ525" s="3">
        <v>0</v>
      </c>
      <c r="AK525" s="3">
        <f t="shared" si="374"/>
        <v>650</v>
      </c>
      <c r="AL525" s="3">
        <v>650</v>
      </c>
      <c r="AM525" s="3">
        <f t="shared" si="375"/>
        <v>0</v>
      </c>
      <c r="AO525" s="3">
        <v>650</v>
      </c>
      <c r="AP525" s="3"/>
      <c r="AQ525" s="3">
        <v>650</v>
      </c>
      <c r="AR525" s="3"/>
      <c r="AS525" s="3">
        <v>650</v>
      </c>
      <c r="AT525" s="3"/>
      <c r="AU525" s="3">
        <v>650</v>
      </c>
      <c r="AV525" s="42"/>
      <c r="AW525" s="3">
        <v>650</v>
      </c>
      <c r="AX525" s="42"/>
      <c r="AY525" s="3">
        <v>650</v>
      </c>
      <c r="AZ525" s="42"/>
      <c r="BA525" s="3">
        <v>650</v>
      </c>
      <c r="BB525" s="42"/>
      <c r="BC525" s="3">
        <v>650</v>
      </c>
      <c r="BE525" s="3">
        <v>650</v>
      </c>
    </row>
    <row r="526" spans="1:57" x14ac:dyDescent="0.25">
      <c r="A526" s="3" t="s">
        <v>408</v>
      </c>
      <c r="B526" s="3"/>
      <c r="D526" s="3"/>
      <c r="E526" s="3">
        <f t="shared" si="364"/>
        <v>0</v>
      </c>
      <c r="H526" s="5">
        <f t="shared" si="365"/>
        <v>0</v>
      </c>
      <c r="K526" s="4">
        <f t="shared" si="366"/>
        <v>0</v>
      </c>
      <c r="L526" s="4"/>
      <c r="N526" s="4">
        <f t="shared" si="367"/>
        <v>0</v>
      </c>
      <c r="P526" s="3"/>
      <c r="Q526" s="3"/>
      <c r="R526" s="3"/>
      <c r="S526" s="3">
        <f t="shared" si="368"/>
        <v>0</v>
      </c>
      <c r="T526" s="3"/>
      <c r="U526" s="3">
        <f t="shared" si="369"/>
        <v>0</v>
      </c>
      <c r="V526" s="3"/>
      <c r="W526" s="3">
        <f t="shared" si="370"/>
        <v>0</v>
      </c>
      <c r="X526" s="3"/>
      <c r="Y526" s="3"/>
      <c r="Z526" s="3">
        <f t="shared" si="371"/>
        <v>0</v>
      </c>
      <c r="AA526" s="3"/>
      <c r="AB526" s="3"/>
      <c r="AC526" s="3"/>
      <c r="AD526" s="3">
        <f t="shared" si="372"/>
        <v>0</v>
      </c>
      <c r="AE526" s="3"/>
      <c r="AF526" s="3">
        <f t="shared" si="373"/>
        <v>0</v>
      </c>
      <c r="AG526" s="4"/>
      <c r="AH526" s="4"/>
      <c r="AJ526" s="3"/>
      <c r="AK526" s="3">
        <f t="shared" si="374"/>
        <v>0</v>
      </c>
      <c r="AL526" s="3"/>
      <c r="AM526" s="3">
        <f t="shared" si="375"/>
        <v>0</v>
      </c>
      <c r="AO526" s="3"/>
      <c r="AP526" s="3"/>
      <c r="AQ526" s="3"/>
      <c r="AR526" s="3"/>
      <c r="AS526" s="3"/>
      <c r="AT526" s="3"/>
      <c r="AU526" s="3"/>
      <c r="AV526" s="42"/>
      <c r="AW526" s="3"/>
      <c r="AX526" s="42"/>
      <c r="AY526" s="3"/>
      <c r="AZ526" s="42"/>
      <c r="BA526" s="3"/>
      <c r="BB526" s="42"/>
      <c r="BC526" s="3"/>
      <c r="BE526" s="3"/>
    </row>
    <row r="527" spans="1:57" x14ac:dyDescent="0.25">
      <c r="A527" s="3" t="s">
        <v>409</v>
      </c>
      <c r="B527" s="3"/>
      <c r="D527" s="3"/>
      <c r="E527" s="3">
        <f t="shared" si="364"/>
        <v>0</v>
      </c>
      <c r="H527" s="5">
        <f t="shared" si="365"/>
        <v>0</v>
      </c>
      <c r="K527" s="4">
        <f t="shared" si="366"/>
        <v>0</v>
      </c>
      <c r="L527" s="4"/>
      <c r="N527" s="4">
        <f t="shared" si="367"/>
        <v>0</v>
      </c>
      <c r="P527" s="3"/>
      <c r="Q527" s="3"/>
      <c r="R527" s="3"/>
      <c r="S527" s="3">
        <f t="shared" si="368"/>
        <v>0</v>
      </c>
      <c r="T527" s="3"/>
      <c r="U527" s="3">
        <f t="shared" si="369"/>
        <v>0</v>
      </c>
      <c r="V527" s="3"/>
      <c r="W527" s="3">
        <f t="shared" si="370"/>
        <v>0</v>
      </c>
      <c r="X527" s="3"/>
      <c r="Y527" s="3"/>
      <c r="Z527" s="3">
        <f t="shared" si="371"/>
        <v>0</v>
      </c>
      <c r="AA527" s="3"/>
      <c r="AB527" s="3"/>
      <c r="AC527" s="3"/>
      <c r="AD527" s="3">
        <f t="shared" si="372"/>
        <v>0</v>
      </c>
      <c r="AE527" s="3"/>
      <c r="AF527" s="3">
        <f t="shared" si="373"/>
        <v>0</v>
      </c>
      <c r="AG527" s="4"/>
      <c r="AH527" s="4"/>
      <c r="AJ527" s="3"/>
      <c r="AK527" s="3">
        <f t="shared" si="374"/>
        <v>0</v>
      </c>
      <c r="AL527" s="3"/>
      <c r="AM527" s="3">
        <f t="shared" si="375"/>
        <v>0</v>
      </c>
      <c r="AO527" s="3"/>
      <c r="AP527" s="3"/>
      <c r="AQ527" s="3"/>
      <c r="AR527" s="3"/>
      <c r="AS527" s="3"/>
      <c r="AT527" s="3"/>
      <c r="AU527" s="3"/>
      <c r="AV527" s="42"/>
      <c r="AW527" s="3"/>
      <c r="AX527" s="42"/>
      <c r="AY527" s="3"/>
      <c r="AZ527" s="42"/>
      <c r="BA527" s="3"/>
      <c r="BB527" s="42"/>
      <c r="BC527" s="3"/>
      <c r="BE527" s="3"/>
    </row>
    <row r="528" spans="1:57" x14ac:dyDescent="0.25">
      <c r="A528" s="3" t="s">
        <v>410</v>
      </c>
      <c r="B528" s="3">
        <v>1000</v>
      </c>
      <c r="D528" s="3">
        <v>0</v>
      </c>
      <c r="E528" s="3">
        <f t="shared" si="364"/>
        <v>1000</v>
      </c>
      <c r="F528" s="5">
        <v>1000</v>
      </c>
      <c r="H528" s="5">
        <f t="shared" si="365"/>
        <v>0</v>
      </c>
      <c r="J528" s="5">
        <v>0</v>
      </c>
      <c r="K528" s="4">
        <f t="shared" si="366"/>
        <v>1000</v>
      </c>
      <c r="L528" s="4">
        <v>1000</v>
      </c>
      <c r="N528" s="4">
        <f t="shared" si="367"/>
        <v>0</v>
      </c>
      <c r="P528" s="3">
        <v>1000</v>
      </c>
      <c r="Q528" s="3"/>
      <c r="R528" s="3"/>
      <c r="S528" s="3">
        <f t="shared" si="368"/>
        <v>1000</v>
      </c>
      <c r="T528" s="3">
        <v>1000</v>
      </c>
      <c r="U528" s="3">
        <f t="shared" si="369"/>
        <v>0</v>
      </c>
      <c r="V528" s="3"/>
      <c r="W528" s="3">
        <f t="shared" si="370"/>
        <v>1000</v>
      </c>
      <c r="X528" s="3"/>
      <c r="Y528" s="3">
        <v>1000</v>
      </c>
      <c r="Z528" s="3">
        <f t="shared" si="371"/>
        <v>0</v>
      </c>
      <c r="AA528" s="3"/>
      <c r="AB528" s="3"/>
      <c r="AC528" s="3">
        <v>0</v>
      </c>
      <c r="AD528" s="3">
        <f t="shared" si="372"/>
        <v>1000</v>
      </c>
      <c r="AE528" s="3">
        <v>1000</v>
      </c>
      <c r="AF528" s="3">
        <f t="shared" si="373"/>
        <v>0</v>
      </c>
      <c r="AG528" s="4"/>
      <c r="AH528" s="4">
        <v>5000</v>
      </c>
      <c r="AJ528" s="3">
        <v>0</v>
      </c>
      <c r="AK528" s="3">
        <f t="shared" si="374"/>
        <v>5000</v>
      </c>
      <c r="AL528" s="3">
        <v>5000</v>
      </c>
      <c r="AM528" s="3">
        <f t="shared" si="375"/>
        <v>0</v>
      </c>
      <c r="AO528" s="3">
        <f>AH528+25+25</f>
        <v>5050</v>
      </c>
      <c r="AP528" s="3"/>
      <c r="AQ528" s="3">
        <f>AO528+25</f>
        <v>5075</v>
      </c>
      <c r="AR528" s="3"/>
      <c r="AS528" s="3">
        <f>AQ528+25</f>
        <v>5100</v>
      </c>
      <c r="AT528" s="3"/>
      <c r="AU528" s="3">
        <f>AS528+25</f>
        <v>5125</v>
      </c>
      <c r="AV528" s="42"/>
      <c r="AW528" s="3">
        <f>AU528+25</f>
        <v>5150</v>
      </c>
      <c r="AX528" s="42"/>
      <c r="AY528" s="3">
        <f>AW528+25</f>
        <v>5175</v>
      </c>
      <c r="AZ528" s="42"/>
      <c r="BA528" s="3">
        <f>AY528+25</f>
        <v>5200</v>
      </c>
      <c r="BB528" s="42"/>
      <c r="BC528" s="3">
        <f>BA528+25</f>
        <v>5225</v>
      </c>
      <c r="BE528" s="3">
        <f>BC528+25</f>
        <v>5250</v>
      </c>
    </row>
    <row r="529" spans="1:57" x14ac:dyDescent="0.25">
      <c r="A529" s="3" t="s">
        <v>411</v>
      </c>
      <c r="B529" s="3">
        <v>250</v>
      </c>
      <c r="D529" s="3">
        <v>0</v>
      </c>
      <c r="E529" s="3">
        <f t="shared" si="364"/>
        <v>250</v>
      </c>
      <c r="F529" s="5">
        <v>250</v>
      </c>
      <c r="H529" s="5">
        <f t="shared" si="365"/>
        <v>0</v>
      </c>
      <c r="J529" s="5">
        <v>0</v>
      </c>
      <c r="K529" s="4">
        <f t="shared" si="366"/>
        <v>250</v>
      </c>
      <c r="L529" s="4">
        <v>250</v>
      </c>
      <c r="N529" s="4">
        <f t="shared" si="367"/>
        <v>0</v>
      </c>
      <c r="P529" s="3">
        <v>500</v>
      </c>
      <c r="Q529" s="3"/>
      <c r="R529" s="3"/>
      <c r="S529" s="3">
        <f t="shared" si="368"/>
        <v>500</v>
      </c>
      <c r="T529" s="3">
        <v>500</v>
      </c>
      <c r="U529" s="3">
        <f t="shared" si="369"/>
        <v>0</v>
      </c>
      <c r="V529" s="3"/>
      <c r="W529" s="3">
        <f t="shared" si="370"/>
        <v>500</v>
      </c>
      <c r="X529" s="3"/>
      <c r="Y529" s="3">
        <v>500</v>
      </c>
      <c r="Z529" s="3">
        <f t="shared" si="371"/>
        <v>0</v>
      </c>
      <c r="AA529" s="3"/>
      <c r="AB529" s="3"/>
      <c r="AC529" s="3">
        <v>35</v>
      </c>
      <c r="AD529" s="3">
        <f t="shared" si="372"/>
        <v>465</v>
      </c>
      <c r="AE529" s="3">
        <v>500</v>
      </c>
      <c r="AF529" s="3">
        <f t="shared" si="373"/>
        <v>0</v>
      </c>
      <c r="AG529" s="4"/>
      <c r="AH529" s="4">
        <f>AE529*1.03+35</f>
        <v>550</v>
      </c>
      <c r="AJ529" s="3">
        <v>0</v>
      </c>
      <c r="AK529" s="3">
        <f t="shared" si="374"/>
        <v>550</v>
      </c>
      <c r="AL529" s="3">
        <v>550</v>
      </c>
      <c r="AM529" s="3">
        <f t="shared" si="375"/>
        <v>0</v>
      </c>
      <c r="AO529" s="3">
        <f>AH529+25</f>
        <v>575</v>
      </c>
      <c r="AP529" s="3"/>
      <c r="AQ529" s="3">
        <f>AO529+25</f>
        <v>600</v>
      </c>
      <c r="AR529" s="3"/>
      <c r="AS529" s="3">
        <f>AQ529+25</f>
        <v>625</v>
      </c>
      <c r="AT529" s="3"/>
      <c r="AU529" s="3">
        <f>AS529+25</f>
        <v>650</v>
      </c>
      <c r="AV529" s="42"/>
      <c r="AW529" s="3">
        <f>AU529+25</f>
        <v>675</v>
      </c>
      <c r="AX529" s="42"/>
      <c r="AY529" s="3">
        <f>AW529+25</f>
        <v>700</v>
      </c>
      <c r="AZ529" s="42"/>
      <c r="BA529" s="3">
        <f>AY529+25</f>
        <v>725</v>
      </c>
      <c r="BB529" s="42"/>
      <c r="BC529" s="3">
        <f>BA529+25</f>
        <v>750</v>
      </c>
      <c r="BE529" s="3">
        <f>BC529+25</f>
        <v>775</v>
      </c>
    </row>
    <row r="530" spans="1:57" x14ac:dyDescent="0.25">
      <c r="A530" s="3" t="s">
        <v>412</v>
      </c>
      <c r="B530" s="3"/>
      <c r="D530" s="3"/>
      <c r="E530" s="3">
        <f t="shared" si="364"/>
        <v>0</v>
      </c>
      <c r="H530" s="5">
        <f t="shared" si="365"/>
        <v>0</v>
      </c>
      <c r="K530" s="4">
        <f t="shared" si="366"/>
        <v>0</v>
      </c>
      <c r="L530" s="4"/>
      <c r="N530" s="4">
        <f t="shared" si="367"/>
        <v>0</v>
      </c>
      <c r="P530" s="3"/>
      <c r="Q530" s="3"/>
      <c r="R530" s="3"/>
      <c r="S530" s="3">
        <f t="shared" si="368"/>
        <v>0</v>
      </c>
      <c r="T530" s="3"/>
      <c r="U530" s="3">
        <f t="shared" si="369"/>
        <v>0</v>
      </c>
      <c r="V530" s="3"/>
      <c r="W530" s="3">
        <f t="shared" si="370"/>
        <v>0</v>
      </c>
      <c r="X530" s="3"/>
      <c r="Y530" s="3"/>
      <c r="Z530" s="3">
        <f t="shared" si="371"/>
        <v>0</v>
      </c>
      <c r="AA530" s="3"/>
      <c r="AB530" s="3"/>
      <c r="AC530" s="3"/>
      <c r="AD530" s="3">
        <f t="shared" si="372"/>
        <v>0</v>
      </c>
      <c r="AE530" s="3"/>
      <c r="AF530" s="3">
        <f t="shared" si="373"/>
        <v>0</v>
      </c>
      <c r="AG530" s="4"/>
      <c r="AH530" s="4">
        <f>P530*1.0281</f>
        <v>0</v>
      </c>
      <c r="AJ530" s="3">
        <v>0</v>
      </c>
      <c r="AK530" s="3">
        <f t="shared" si="374"/>
        <v>0</v>
      </c>
      <c r="AL530" s="3"/>
      <c r="AM530" s="3">
        <f t="shared" si="375"/>
        <v>0</v>
      </c>
      <c r="AO530" s="3">
        <f>AH530+25</f>
        <v>25</v>
      </c>
      <c r="AP530" s="3"/>
      <c r="AQ530" s="3">
        <f>AO530+25</f>
        <v>50</v>
      </c>
      <c r="AR530" s="3"/>
      <c r="AS530" s="3">
        <f>AQ530+25</f>
        <v>75</v>
      </c>
      <c r="AT530" s="3"/>
      <c r="AU530" s="3">
        <f>AS530+25</f>
        <v>100</v>
      </c>
      <c r="AV530" s="42"/>
      <c r="AW530" s="3">
        <f>AU530+25</f>
        <v>125</v>
      </c>
      <c r="AX530" s="42"/>
      <c r="AY530" s="3">
        <f>AW530+25</f>
        <v>150</v>
      </c>
      <c r="AZ530" s="42"/>
      <c r="BA530" s="3">
        <f>AY530+25</f>
        <v>175</v>
      </c>
      <c r="BB530" s="42"/>
      <c r="BC530" s="3">
        <f>BA530+25</f>
        <v>200</v>
      </c>
      <c r="BE530" s="3">
        <f>BC530+25</f>
        <v>225</v>
      </c>
    </row>
    <row r="531" spans="1:57" x14ac:dyDescent="0.25">
      <c r="A531" s="3" t="s">
        <v>413</v>
      </c>
      <c r="B531" s="3">
        <v>2900</v>
      </c>
      <c r="D531" s="3">
        <v>1617</v>
      </c>
      <c r="E531" s="3">
        <f t="shared" si="364"/>
        <v>1283</v>
      </c>
      <c r="F531" s="5">
        <v>2900</v>
      </c>
      <c r="H531" s="5">
        <f t="shared" si="365"/>
        <v>0</v>
      </c>
      <c r="J531" s="5">
        <v>611</v>
      </c>
      <c r="K531" s="4">
        <f t="shared" si="366"/>
        <v>2289</v>
      </c>
      <c r="L531" s="4">
        <v>2900</v>
      </c>
      <c r="N531" s="4">
        <f t="shared" si="367"/>
        <v>0</v>
      </c>
      <c r="P531" s="3">
        <f>B531*1.07-3</f>
        <v>3100</v>
      </c>
      <c r="Q531" s="3"/>
      <c r="R531" s="3"/>
      <c r="S531" s="3">
        <f t="shared" si="368"/>
        <v>3100</v>
      </c>
      <c r="T531" s="3">
        <f>F531*1.07-3</f>
        <v>3100</v>
      </c>
      <c r="U531" s="3">
        <f t="shared" si="369"/>
        <v>0</v>
      </c>
      <c r="V531" s="3">
        <v>1520</v>
      </c>
      <c r="W531" s="3">
        <f t="shared" si="370"/>
        <v>1580</v>
      </c>
      <c r="X531" s="3"/>
      <c r="Y531" s="3">
        <v>3100</v>
      </c>
      <c r="Z531" s="3">
        <f t="shared" si="371"/>
        <v>0</v>
      </c>
      <c r="AA531" s="3"/>
      <c r="AB531" s="3"/>
      <c r="AC531" s="3">
        <v>1520</v>
      </c>
      <c r="AD531" s="3">
        <f t="shared" si="372"/>
        <v>1580</v>
      </c>
      <c r="AE531" s="3">
        <v>3100</v>
      </c>
      <c r="AF531" s="3">
        <f t="shared" si="373"/>
        <v>0</v>
      </c>
      <c r="AG531" s="4"/>
      <c r="AH531" s="4">
        <f>AE531*1.03+7</f>
        <v>3200</v>
      </c>
      <c r="AJ531" s="3">
        <v>109</v>
      </c>
      <c r="AK531" s="3">
        <f t="shared" si="374"/>
        <v>3091</v>
      </c>
      <c r="AL531" s="3">
        <v>3200</v>
      </c>
      <c r="AM531" s="3">
        <f t="shared" si="375"/>
        <v>0</v>
      </c>
      <c r="AO531" s="3">
        <f>AH531+25</f>
        <v>3225</v>
      </c>
      <c r="AP531" s="3"/>
      <c r="AQ531" s="3">
        <f>AO531+25</f>
        <v>3250</v>
      </c>
      <c r="AR531" s="3"/>
      <c r="AS531" s="3">
        <f>AQ531+25</f>
        <v>3275</v>
      </c>
      <c r="AT531" s="3"/>
      <c r="AU531" s="3">
        <f>AS531+25</f>
        <v>3300</v>
      </c>
      <c r="AV531" s="42"/>
      <c r="AW531" s="3">
        <f>AU531+25</f>
        <v>3325</v>
      </c>
      <c r="AX531" s="42"/>
      <c r="AY531" s="3">
        <f>AW531+25</f>
        <v>3350</v>
      </c>
      <c r="AZ531" s="42"/>
      <c r="BA531" s="3">
        <f>AY531+25</f>
        <v>3375</v>
      </c>
      <c r="BB531" s="42"/>
      <c r="BC531" s="3">
        <f>BA531+25</f>
        <v>3400</v>
      </c>
      <c r="BE531" s="3">
        <f>BC531+25</f>
        <v>3425</v>
      </c>
    </row>
    <row r="532" spans="1:57" x14ac:dyDescent="0.25">
      <c r="A532" s="3" t="s">
        <v>1142</v>
      </c>
      <c r="B532" s="3"/>
      <c r="D532" s="3"/>
      <c r="E532" s="3"/>
      <c r="K532" s="4"/>
      <c r="L532" s="4"/>
      <c r="N532" s="4"/>
      <c r="P532" s="3">
        <v>0</v>
      </c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>
        <v>0</v>
      </c>
      <c r="AF532" s="3"/>
      <c r="AG532" s="4"/>
      <c r="AH532" s="4">
        <v>2400</v>
      </c>
      <c r="AJ532" s="3">
        <v>440</v>
      </c>
      <c r="AK532" s="3">
        <f t="shared" si="374"/>
        <v>1960</v>
      </c>
      <c r="AL532" s="3">
        <v>2400</v>
      </c>
      <c r="AM532" s="3">
        <f t="shared" si="375"/>
        <v>0</v>
      </c>
      <c r="AO532" s="3"/>
      <c r="AP532" s="3"/>
      <c r="AQ532" s="3"/>
      <c r="AR532" s="3"/>
      <c r="AS532" s="3"/>
      <c r="AT532" s="3"/>
      <c r="AU532" s="3"/>
      <c r="AV532" s="42"/>
      <c r="AW532" s="3"/>
      <c r="AX532" s="42"/>
      <c r="AY532" s="3"/>
      <c r="AZ532" s="42"/>
      <c r="BA532" s="3"/>
      <c r="BB532" s="42"/>
      <c r="BC532" s="3"/>
      <c r="BE532" s="3"/>
    </row>
    <row r="533" spans="1:57" x14ac:dyDescent="0.25">
      <c r="A533" s="3" t="s">
        <v>414</v>
      </c>
      <c r="B533" s="3">
        <v>500</v>
      </c>
      <c r="D533" s="3"/>
      <c r="E533" s="3">
        <f t="shared" si="364"/>
        <v>500</v>
      </c>
      <c r="F533" s="5">
        <v>500</v>
      </c>
      <c r="H533" s="5">
        <f t="shared" si="365"/>
        <v>0</v>
      </c>
      <c r="J533" s="5">
        <v>0</v>
      </c>
      <c r="K533" s="4">
        <f t="shared" si="366"/>
        <v>500</v>
      </c>
      <c r="L533" s="4">
        <v>500</v>
      </c>
      <c r="N533" s="4">
        <f t="shared" si="367"/>
        <v>0</v>
      </c>
      <c r="P533" s="3">
        <v>500</v>
      </c>
      <c r="Q533" s="3"/>
      <c r="R533" s="3"/>
      <c r="S533" s="3">
        <f t="shared" si="368"/>
        <v>500</v>
      </c>
      <c r="T533" s="3">
        <v>500</v>
      </c>
      <c r="U533" s="3">
        <f t="shared" si="369"/>
        <v>0</v>
      </c>
      <c r="V533" s="3"/>
      <c r="W533" s="3">
        <f t="shared" si="370"/>
        <v>500</v>
      </c>
      <c r="X533" s="3"/>
      <c r="Y533" s="3">
        <v>500</v>
      </c>
      <c r="Z533" s="3">
        <f t="shared" si="371"/>
        <v>0</v>
      </c>
      <c r="AA533" s="3"/>
      <c r="AB533" s="3"/>
      <c r="AC533" s="3">
        <v>0</v>
      </c>
      <c r="AD533" s="3">
        <f t="shared" si="372"/>
        <v>0</v>
      </c>
      <c r="AE533" s="3">
        <v>0</v>
      </c>
      <c r="AF533" s="3">
        <f t="shared" si="373"/>
        <v>-500</v>
      </c>
      <c r="AG533" s="4"/>
      <c r="AH533" s="4">
        <f>AE533*1.03</f>
        <v>0</v>
      </c>
      <c r="AJ533" s="3">
        <v>0</v>
      </c>
      <c r="AK533" s="3">
        <f t="shared" si="374"/>
        <v>0</v>
      </c>
      <c r="AL533" s="3"/>
      <c r="AM533" s="3">
        <f t="shared" si="375"/>
        <v>0</v>
      </c>
      <c r="AO533" s="3">
        <f>AH533+25</f>
        <v>25</v>
      </c>
      <c r="AP533" s="3"/>
      <c r="AQ533" s="3">
        <f>AO533+25</f>
        <v>50</v>
      </c>
      <c r="AR533" s="3"/>
      <c r="AS533" s="3">
        <f>AQ533+25</f>
        <v>75</v>
      </c>
      <c r="AT533" s="3"/>
      <c r="AU533" s="3">
        <f>AS533+25</f>
        <v>100</v>
      </c>
      <c r="AV533" s="42"/>
      <c r="AW533" s="3">
        <f>AU533+25</f>
        <v>125</v>
      </c>
      <c r="AX533" s="42"/>
      <c r="AY533" s="3">
        <f>AW533+25</f>
        <v>150</v>
      </c>
      <c r="AZ533" s="42"/>
      <c r="BA533" s="3">
        <f>AY533+25</f>
        <v>175</v>
      </c>
      <c r="BB533" s="42"/>
      <c r="BC533" s="3">
        <f>BA533+25</f>
        <v>200</v>
      </c>
      <c r="BE533" s="3">
        <f>BC533+25</f>
        <v>225</v>
      </c>
    </row>
    <row r="534" spans="1:57" x14ac:dyDescent="0.25">
      <c r="A534" s="3" t="s">
        <v>1146</v>
      </c>
      <c r="B534" s="3"/>
      <c r="D534" s="3">
        <v>900</v>
      </c>
      <c r="E534" s="3">
        <f t="shared" si="364"/>
        <v>300</v>
      </c>
      <c r="F534" s="5">
        <v>1200</v>
      </c>
      <c r="H534" s="5">
        <f t="shared" si="365"/>
        <v>1200</v>
      </c>
      <c r="J534" s="5">
        <v>2775</v>
      </c>
      <c r="K534" s="4">
        <f t="shared" si="366"/>
        <v>475</v>
      </c>
      <c r="L534" s="4">
        <v>3250</v>
      </c>
      <c r="N534" s="4">
        <f t="shared" si="367"/>
        <v>2050</v>
      </c>
      <c r="P534" s="3">
        <v>2000</v>
      </c>
      <c r="Q534" s="3"/>
      <c r="R534" s="3"/>
      <c r="S534" s="3">
        <f t="shared" si="368"/>
        <v>2000</v>
      </c>
      <c r="T534" s="3">
        <v>2000</v>
      </c>
      <c r="U534" s="3">
        <f t="shared" si="369"/>
        <v>0</v>
      </c>
      <c r="V534" s="3"/>
      <c r="W534" s="3">
        <f t="shared" si="370"/>
        <v>2000</v>
      </c>
      <c r="X534" s="3"/>
      <c r="Y534" s="3">
        <v>2000</v>
      </c>
      <c r="Z534" s="3">
        <f t="shared" si="371"/>
        <v>0</v>
      </c>
      <c r="AA534" s="3"/>
      <c r="AB534" s="3"/>
      <c r="AC534" s="3">
        <v>0</v>
      </c>
      <c r="AD534" s="3">
        <f t="shared" si="372"/>
        <v>0</v>
      </c>
      <c r="AE534" s="3">
        <v>0</v>
      </c>
      <c r="AF534" s="3">
        <f t="shared" si="373"/>
        <v>-2000</v>
      </c>
      <c r="AG534" s="4"/>
      <c r="AH534" s="4">
        <f>AE534*1.03</f>
        <v>0</v>
      </c>
      <c r="AJ534" s="3">
        <f>207+1699</f>
        <v>1906</v>
      </c>
      <c r="AK534" s="3">
        <f t="shared" si="374"/>
        <v>94</v>
      </c>
      <c r="AL534" s="3">
        <v>2000</v>
      </c>
      <c r="AM534" s="3">
        <f t="shared" si="375"/>
        <v>2000</v>
      </c>
      <c r="AO534" s="3">
        <f>AH534*1.0281</f>
        <v>0</v>
      </c>
      <c r="AP534" s="3"/>
      <c r="AQ534" s="3">
        <f>AO534*1.0281</f>
        <v>0</v>
      </c>
      <c r="AR534" s="3"/>
      <c r="AS534" s="3">
        <f>AQ534*1.0281</f>
        <v>0</v>
      </c>
      <c r="AT534" s="3"/>
      <c r="AU534" s="3">
        <f>AS534*1.0281</f>
        <v>0</v>
      </c>
      <c r="AV534" s="42"/>
      <c r="AW534" s="3">
        <f>AU534*1.0281</f>
        <v>0</v>
      </c>
      <c r="AX534" s="42"/>
      <c r="AY534" s="3">
        <f>AW534*1.0281</f>
        <v>0</v>
      </c>
      <c r="AZ534" s="42"/>
      <c r="BA534" s="3">
        <f>AY534*1.0281</f>
        <v>0</v>
      </c>
      <c r="BB534" s="42"/>
      <c r="BC534" s="3">
        <f>BA534*1.0281</f>
        <v>0</v>
      </c>
      <c r="BE534" s="3">
        <f>BC534*1.0281</f>
        <v>0</v>
      </c>
    </row>
    <row r="535" spans="1:57" x14ac:dyDescent="0.25">
      <c r="A535" s="3" t="s">
        <v>416</v>
      </c>
      <c r="B535" s="3">
        <v>0</v>
      </c>
      <c r="D535" s="3">
        <v>0</v>
      </c>
      <c r="E535" s="3">
        <f t="shared" si="364"/>
        <v>0</v>
      </c>
      <c r="F535" s="5">
        <v>0</v>
      </c>
      <c r="H535" s="5">
        <f t="shared" si="365"/>
        <v>0</v>
      </c>
      <c r="J535" s="5">
        <v>0</v>
      </c>
      <c r="K535" s="4">
        <f t="shared" si="366"/>
        <v>0</v>
      </c>
      <c r="L535" s="4">
        <v>0</v>
      </c>
      <c r="N535" s="4">
        <f t="shared" si="367"/>
        <v>0</v>
      </c>
      <c r="P535" s="3">
        <f>B535*1.03</f>
        <v>0</v>
      </c>
      <c r="Q535" s="3"/>
      <c r="R535" s="3"/>
      <c r="S535" s="3">
        <f t="shared" si="368"/>
        <v>0</v>
      </c>
      <c r="T535" s="3">
        <f>F535*1.03</f>
        <v>0</v>
      </c>
      <c r="U535" s="3">
        <f t="shared" si="369"/>
        <v>0</v>
      </c>
      <c r="V535" s="3"/>
      <c r="W535" s="3">
        <f t="shared" si="370"/>
        <v>0</v>
      </c>
      <c r="X535" s="3"/>
      <c r="Y535" s="3"/>
      <c r="Z535" s="3">
        <f t="shared" si="371"/>
        <v>0</v>
      </c>
      <c r="AA535" s="3"/>
      <c r="AB535" s="3"/>
      <c r="AC535" s="3"/>
      <c r="AD535" s="3">
        <f t="shared" si="372"/>
        <v>0</v>
      </c>
      <c r="AE535" s="3"/>
      <c r="AF535" s="3">
        <f t="shared" si="373"/>
        <v>0</v>
      </c>
      <c r="AG535" s="4"/>
      <c r="AH535" s="4">
        <f>P535*1.03</f>
        <v>0</v>
      </c>
      <c r="AJ535" s="3"/>
      <c r="AK535" s="3">
        <f t="shared" si="374"/>
        <v>0</v>
      </c>
      <c r="AL535" s="3"/>
      <c r="AM535" s="3">
        <f t="shared" si="375"/>
        <v>0</v>
      </c>
      <c r="AO535" s="3">
        <f>AH535*1.03</f>
        <v>0</v>
      </c>
      <c r="AP535" s="3"/>
      <c r="AQ535" s="3">
        <f>AO535*1.03</f>
        <v>0</v>
      </c>
      <c r="AR535" s="3"/>
      <c r="AS535" s="3">
        <f>AQ535*1.03</f>
        <v>0</v>
      </c>
      <c r="AT535" s="3"/>
      <c r="AU535" s="3">
        <f>AS535*1.03</f>
        <v>0</v>
      </c>
      <c r="AV535" s="42"/>
      <c r="AW535" s="3">
        <f>AU535*1.03</f>
        <v>0</v>
      </c>
      <c r="AX535" s="42"/>
      <c r="AY535" s="3">
        <f>AW535*1.03</f>
        <v>0</v>
      </c>
      <c r="AZ535" s="42"/>
      <c r="BA535" s="3">
        <f>AY535*1.03</f>
        <v>0</v>
      </c>
      <c r="BB535" s="42"/>
      <c r="BC535" s="3">
        <f>BA535*1.03</f>
        <v>0</v>
      </c>
      <c r="BE535" s="3">
        <f>BC535*1.03</f>
        <v>0</v>
      </c>
    </row>
    <row r="536" spans="1:57" x14ac:dyDescent="0.25">
      <c r="A536" s="3" t="s">
        <v>1152</v>
      </c>
      <c r="B536" s="3">
        <v>2200</v>
      </c>
      <c r="D536" s="3">
        <v>509</v>
      </c>
      <c r="E536" s="3">
        <f t="shared" si="364"/>
        <v>491</v>
      </c>
      <c r="F536" s="5">
        <v>1000</v>
      </c>
      <c r="H536" s="5">
        <f t="shared" si="365"/>
        <v>-1200</v>
      </c>
      <c r="J536" s="5">
        <v>572</v>
      </c>
      <c r="K536" s="4">
        <f t="shared" si="366"/>
        <v>178</v>
      </c>
      <c r="L536" s="4">
        <v>750</v>
      </c>
      <c r="N536" s="4">
        <f t="shared" si="367"/>
        <v>-250</v>
      </c>
      <c r="P536" s="3">
        <v>0</v>
      </c>
      <c r="Q536" s="3"/>
      <c r="R536" s="3"/>
      <c r="S536" s="3">
        <f t="shared" si="368"/>
        <v>0</v>
      </c>
      <c r="T536" s="3">
        <v>0</v>
      </c>
      <c r="U536" s="3">
        <f t="shared" si="369"/>
        <v>0</v>
      </c>
      <c r="V536" s="3"/>
      <c r="W536" s="3">
        <f>Y536-V536</f>
        <v>0</v>
      </c>
      <c r="X536" s="3"/>
      <c r="Y536" s="3"/>
      <c r="Z536" s="3">
        <f t="shared" si="371"/>
        <v>0</v>
      </c>
      <c r="AA536" s="3"/>
      <c r="AB536" s="3"/>
      <c r="AC536" s="3"/>
      <c r="AD536" s="3">
        <f t="shared" si="372"/>
        <v>0</v>
      </c>
      <c r="AE536" s="3"/>
      <c r="AF536" s="3">
        <f t="shared" si="373"/>
        <v>0</v>
      </c>
      <c r="AG536" s="4"/>
      <c r="AH536" s="4">
        <f>P536*1.0281</f>
        <v>0</v>
      </c>
      <c r="AJ536" s="3">
        <f>2292+124</f>
        <v>2416</v>
      </c>
      <c r="AK536" s="3">
        <f t="shared" si="374"/>
        <v>4</v>
      </c>
      <c r="AL536" s="3">
        <v>2420</v>
      </c>
      <c r="AM536" s="3">
        <f t="shared" si="375"/>
        <v>2420</v>
      </c>
      <c r="AO536" s="3">
        <f>AH536*1.0281</f>
        <v>0</v>
      </c>
      <c r="AP536" s="3"/>
      <c r="AQ536" s="3">
        <f>AO536*1.0281</f>
        <v>0</v>
      </c>
      <c r="AR536" s="3"/>
      <c r="AS536" s="3">
        <f>AQ536*1.0281</f>
        <v>0</v>
      </c>
      <c r="AT536" s="3"/>
      <c r="AU536" s="3">
        <f>AS536*1.0281</f>
        <v>0</v>
      </c>
      <c r="AV536" s="42"/>
      <c r="AW536" s="3">
        <f>AU536*1.0281</f>
        <v>0</v>
      </c>
      <c r="AX536" s="42"/>
      <c r="AY536" s="3">
        <f>AW536*1.0281</f>
        <v>0</v>
      </c>
      <c r="AZ536" s="42"/>
      <c r="BA536" s="3">
        <f>AY536*1.0281</f>
        <v>0</v>
      </c>
      <c r="BB536" s="42"/>
      <c r="BC536" s="3">
        <f>BA536*1.0281</f>
        <v>0</v>
      </c>
      <c r="BE536" s="3">
        <f>BC536*1.0281</f>
        <v>0</v>
      </c>
    </row>
    <row r="537" spans="1:57" x14ac:dyDescent="0.25">
      <c r="A537" s="3" t="s">
        <v>418</v>
      </c>
      <c r="B537" s="3">
        <v>900</v>
      </c>
      <c r="D537" s="3">
        <v>0</v>
      </c>
      <c r="E537" s="3">
        <f t="shared" si="364"/>
        <v>900</v>
      </c>
      <c r="F537" s="5">
        <v>900</v>
      </c>
      <c r="H537" s="5">
        <f t="shared" si="365"/>
        <v>0</v>
      </c>
      <c r="J537" s="5">
        <v>571</v>
      </c>
      <c r="K537" s="4">
        <f t="shared" si="366"/>
        <v>179</v>
      </c>
      <c r="L537" s="4">
        <v>750</v>
      </c>
      <c r="N537" s="4">
        <f t="shared" si="367"/>
        <v>-150</v>
      </c>
      <c r="P537" s="3">
        <f>L537*1.0281+29</f>
        <v>800.07500000000005</v>
      </c>
      <c r="Q537" s="3"/>
      <c r="R537" s="3"/>
      <c r="S537" s="3">
        <f t="shared" si="368"/>
        <v>799.55710750000003</v>
      </c>
      <c r="T537" s="3">
        <f>P537*1.0281-23</f>
        <v>799.55710750000003</v>
      </c>
      <c r="U537" s="3">
        <f t="shared" si="369"/>
        <v>-0.5178925000000163</v>
      </c>
      <c r="V537" s="3">
        <v>514</v>
      </c>
      <c r="W537" s="3">
        <f t="shared" si="370"/>
        <v>86</v>
      </c>
      <c r="X537" s="3"/>
      <c r="Y537" s="3">
        <v>600</v>
      </c>
      <c r="Z537" s="3">
        <f t="shared" si="371"/>
        <v>-199.55710750000003</v>
      </c>
      <c r="AA537" s="3"/>
      <c r="AB537" s="3"/>
      <c r="AC537" s="3">
        <v>580</v>
      </c>
      <c r="AD537" s="3">
        <f t="shared" si="372"/>
        <v>20</v>
      </c>
      <c r="AE537" s="3">
        <v>600</v>
      </c>
      <c r="AF537" s="3">
        <f t="shared" si="373"/>
        <v>0</v>
      </c>
      <c r="AG537" s="4"/>
      <c r="AH537" s="4">
        <f>AE537*1.03+32</f>
        <v>650</v>
      </c>
      <c r="AJ537" s="3">
        <v>0</v>
      </c>
      <c r="AK537" s="3">
        <f t="shared" si="374"/>
        <v>650</v>
      </c>
      <c r="AL537" s="3">
        <v>650</v>
      </c>
      <c r="AM537" s="3">
        <f t="shared" si="375"/>
        <v>0</v>
      </c>
      <c r="AO537" s="3">
        <f>AH537*1.0281</f>
        <v>668.26499999999999</v>
      </c>
      <c r="AP537" s="3"/>
      <c r="AQ537" s="3">
        <f>AO537*1.0281</f>
        <v>687.04324650000001</v>
      </c>
      <c r="AR537" s="3"/>
      <c r="AS537" s="3">
        <f>AQ537*1.0281</f>
        <v>706.34916172664998</v>
      </c>
      <c r="AT537" s="3"/>
      <c r="AU537" s="3">
        <f>AS537*1.0281</f>
        <v>726.19757317116887</v>
      </c>
      <c r="AV537" s="42"/>
      <c r="AW537" s="3">
        <f>AU537*1.0281</f>
        <v>746.60372497727872</v>
      </c>
      <c r="AX537" s="42"/>
      <c r="AY537" s="3">
        <f>AW537*1.0281</f>
        <v>767.58328964914028</v>
      </c>
      <c r="AZ537" s="42"/>
      <c r="BA537" s="3">
        <f>AY537*1.0281</f>
        <v>789.15238008828112</v>
      </c>
      <c r="BB537" s="42"/>
      <c r="BC537" s="3">
        <f>BA537*1.0281</f>
        <v>811.32756196876187</v>
      </c>
      <c r="BE537" s="3">
        <f>BC537*1.0281</f>
        <v>834.12586646008413</v>
      </c>
    </row>
    <row r="538" spans="1:57" x14ac:dyDescent="0.25">
      <c r="A538" s="3" t="s">
        <v>419</v>
      </c>
      <c r="B538" s="3">
        <v>500</v>
      </c>
      <c r="D538" s="3">
        <v>0</v>
      </c>
      <c r="E538" s="3">
        <f t="shared" si="364"/>
        <v>500</v>
      </c>
      <c r="F538" s="5">
        <v>500</v>
      </c>
      <c r="H538" s="5">
        <f t="shared" si="365"/>
        <v>0</v>
      </c>
      <c r="J538" s="5">
        <v>0</v>
      </c>
      <c r="K538" s="4">
        <f t="shared" si="366"/>
        <v>500</v>
      </c>
      <c r="L538" s="4">
        <v>500</v>
      </c>
      <c r="N538" s="4">
        <f t="shared" si="367"/>
        <v>0</v>
      </c>
      <c r="P538" s="3">
        <v>500</v>
      </c>
      <c r="Q538" s="3"/>
      <c r="R538" s="3"/>
      <c r="S538" s="3">
        <f t="shared" si="368"/>
        <v>500</v>
      </c>
      <c r="T538" s="3">
        <v>500</v>
      </c>
      <c r="U538" s="3">
        <f t="shared" si="369"/>
        <v>0</v>
      </c>
      <c r="V538" s="3"/>
      <c r="W538" s="3">
        <f t="shared" si="370"/>
        <v>500</v>
      </c>
      <c r="X538" s="3"/>
      <c r="Y538" s="3">
        <v>500</v>
      </c>
      <c r="Z538" s="3">
        <f t="shared" si="371"/>
        <v>0</v>
      </c>
      <c r="AA538" s="3"/>
      <c r="AB538" s="3"/>
      <c r="AC538" s="3">
        <v>0</v>
      </c>
      <c r="AD538" s="3">
        <f t="shared" si="372"/>
        <v>500</v>
      </c>
      <c r="AE538" s="3">
        <v>500</v>
      </c>
      <c r="AF538" s="3">
        <f t="shared" si="373"/>
        <v>0</v>
      </c>
      <c r="AG538" s="4"/>
      <c r="AH538" s="4">
        <v>1000</v>
      </c>
      <c r="AJ538" s="3">
        <v>0</v>
      </c>
      <c r="AK538" s="3">
        <f t="shared" si="374"/>
        <v>1000</v>
      </c>
      <c r="AL538" s="3">
        <v>1000</v>
      </c>
      <c r="AM538" s="3">
        <f t="shared" si="375"/>
        <v>0</v>
      </c>
      <c r="AO538" s="3">
        <f>AH538*1.0281</f>
        <v>1028.0999999999999</v>
      </c>
      <c r="AP538" s="3"/>
      <c r="AQ538" s="3">
        <f>AO538*1.0281</f>
        <v>1056.9896099999999</v>
      </c>
      <c r="AR538" s="3"/>
      <c r="AS538" s="3">
        <f>AQ538*1.0281</f>
        <v>1086.6910180409998</v>
      </c>
      <c r="AT538" s="3"/>
      <c r="AU538" s="3">
        <f>AS538*1.0281</f>
        <v>1117.2270356479519</v>
      </c>
      <c r="AV538" s="42"/>
      <c r="AW538" s="3">
        <f>AU538*1.0281</f>
        <v>1148.6211153496592</v>
      </c>
      <c r="AX538" s="42"/>
      <c r="AY538" s="3">
        <f>AW538*1.0281</f>
        <v>1180.8973686909846</v>
      </c>
      <c r="AZ538" s="42"/>
      <c r="BA538" s="3">
        <f>AY538*1.0281</f>
        <v>1214.0805847512013</v>
      </c>
      <c r="BB538" s="42"/>
      <c r="BC538" s="3">
        <f>BA538*1.0281</f>
        <v>1248.1962491827101</v>
      </c>
      <c r="BE538" s="3">
        <f>BC538*1.0281</f>
        <v>1283.2705637847441</v>
      </c>
    </row>
    <row r="539" spans="1:57" ht="15.75" thickBot="1" x14ac:dyDescent="0.3">
      <c r="A539" s="3"/>
      <c r="B539" s="48">
        <f>SUM(B522:B538)+1</f>
        <v>12651</v>
      </c>
      <c r="C539" s="32"/>
      <c r="D539" s="48">
        <f>SUM(D522:D538)</f>
        <v>3026</v>
      </c>
      <c r="E539" s="48">
        <f>SUM(E522:E538)</f>
        <v>9624</v>
      </c>
      <c r="F539" s="48">
        <f>SUM(F522:F538)</f>
        <v>12650</v>
      </c>
      <c r="G539" s="32"/>
      <c r="H539" s="48">
        <f>SUM(H522:H538)</f>
        <v>0</v>
      </c>
      <c r="I539" s="36"/>
      <c r="J539" s="48">
        <f>SUM(J522:J538)</f>
        <v>4529</v>
      </c>
      <c r="K539" s="48">
        <f>SUM(K522:K538)</f>
        <v>9121</v>
      </c>
      <c r="L539" s="48">
        <f>SUM(L522:L538)</f>
        <v>13650</v>
      </c>
      <c r="M539" s="32"/>
      <c r="N539" s="48">
        <f>SUM(N522:N538)</f>
        <v>1000</v>
      </c>
      <c r="P539" s="48">
        <f>SUM(P522:P538)</f>
        <v>12850.075000000001</v>
      </c>
      <c r="R539" s="48">
        <f t="shared" ref="R539:Z539" si="376">SUM(R522:R538)</f>
        <v>0</v>
      </c>
      <c r="S539" s="48">
        <f t="shared" si="376"/>
        <v>12849.557107500001</v>
      </c>
      <c r="T539" s="48">
        <f t="shared" si="376"/>
        <v>12849.557107500001</v>
      </c>
      <c r="U539" s="48">
        <f t="shared" si="376"/>
        <v>-0.5178925000000163</v>
      </c>
      <c r="V539" s="48">
        <f t="shared" si="376"/>
        <v>2034</v>
      </c>
      <c r="W539" s="48">
        <f t="shared" si="376"/>
        <v>10616</v>
      </c>
      <c r="X539" s="48"/>
      <c r="Y539" s="48">
        <f t="shared" si="376"/>
        <v>12650</v>
      </c>
      <c r="Z539" s="48">
        <f t="shared" si="376"/>
        <v>-199.55710750000003</v>
      </c>
      <c r="AC539" s="48">
        <f>SUM(AC522:AC538)</f>
        <v>10369</v>
      </c>
      <c r="AD539" s="48">
        <f>SUM(AD522:AD538)</f>
        <v>6231</v>
      </c>
      <c r="AE539" s="48">
        <f>SUM(AE522:AE538)</f>
        <v>16600</v>
      </c>
      <c r="AF539" s="48">
        <f>SUM(AF522:AF538)</f>
        <v>3950</v>
      </c>
      <c r="AH539" s="36">
        <f>SUM(AH522:AH538)</f>
        <v>17300</v>
      </c>
      <c r="AI539" s="32"/>
      <c r="AJ539" s="48">
        <f>SUM(AJ522:AJ538)</f>
        <v>4871</v>
      </c>
      <c r="AK539" s="48">
        <f>SUM(AK522:AK538)</f>
        <v>16849</v>
      </c>
      <c r="AL539" s="48">
        <f>SUM(AL522:AL538)</f>
        <v>21720</v>
      </c>
      <c r="AM539" s="48">
        <f>SUM(AM522:AM538)</f>
        <v>4420</v>
      </c>
      <c r="AN539" s="32"/>
      <c r="AO539" s="48">
        <f>SUM(AO522:AO538)</f>
        <v>15096.365</v>
      </c>
      <c r="AQ539" s="48">
        <f>SUM(AQ522:AQ538)</f>
        <v>15294.0328565</v>
      </c>
      <c r="AS539" s="48">
        <f>SUM(AS522:AS538)</f>
        <v>15493.04017976765</v>
      </c>
      <c r="AT539" s="48"/>
      <c r="AU539" s="48">
        <f>SUM(AU522:AU538)</f>
        <v>15693.424608819119</v>
      </c>
      <c r="AW539" s="48">
        <f>SUM(AW522:AW538)</f>
        <v>15895.224840326937</v>
      </c>
      <c r="AY539" s="48">
        <f>SUM(AY522:AY538)</f>
        <v>16098.480658340126</v>
      </c>
      <c r="BA539" s="48">
        <f>SUM(BA522:BA538)</f>
        <v>16303.232964839483</v>
      </c>
      <c r="BC539" s="48">
        <f>SUM(BC522:BC538)</f>
        <v>16509.52381115147</v>
      </c>
      <c r="BE539" s="48">
        <f>SUM(BE522:BE538)</f>
        <v>16717.396430244829</v>
      </c>
    </row>
    <row r="540" spans="1:57" x14ac:dyDescent="0.25">
      <c r="A540" s="3"/>
      <c r="B540" s="8" t="s">
        <v>8</v>
      </c>
      <c r="C540" s="9"/>
      <c r="D540" s="10" t="s">
        <v>9</v>
      </c>
      <c r="E540" s="11" t="s">
        <v>10</v>
      </c>
      <c r="F540" s="12" t="s">
        <v>11</v>
      </c>
      <c r="G540" s="9"/>
      <c r="H540" s="8" t="s">
        <v>12</v>
      </c>
      <c r="I540" s="13"/>
      <c r="J540" s="10" t="s">
        <v>9</v>
      </c>
      <c r="K540" s="11" t="s">
        <v>10</v>
      </c>
      <c r="L540" s="11" t="s">
        <v>11</v>
      </c>
      <c r="M540" s="9"/>
      <c r="N540" s="11" t="s">
        <v>12</v>
      </c>
      <c r="P540" s="12" t="s">
        <v>8</v>
      </c>
      <c r="R540" s="14" t="s">
        <v>9</v>
      </c>
      <c r="S540" s="15" t="s">
        <v>10</v>
      </c>
      <c r="T540" s="16" t="s">
        <v>11</v>
      </c>
      <c r="U540" s="17" t="s">
        <v>13</v>
      </c>
      <c r="V540" s="14" t="s">
        <v>9</v>
      </c>
      <c r="W540" s="15" t="s">
        <v>10</v>
      </c>
      <c r="X540" s="15"/>
      <c r="Y540" s="16" t="s">
        <v>11</v>
      </c>
      <c r="Z540" s="17" t="s">
        <v>13</v>
      </c>
      <c r="AC540" s="14" t="s">
        <v>9</v>
      </c>
      <c r="AD540" s="15" t="s">
        <v>10</v>
      </c>
      <c r="AE540" s="16" t="s">
        <v>11</v>
      </c>
      <c r="AF540" s="15" t="s">
        <v>13</v>
      </c>
      <c r="AH540" s="13" t="s">
        <v>8</v>
      </c>
      <c r="AI540" s="9"/>
      <c r="AJ540" s="11" t="s">
        <v>9</v>
      </c>
      <c r="AK540" s="11" t="s">
        <v>10</v>
      </c>
      <c r="AL540" s="12" t="s">
        <v>11</v>
      </c>
      <c r="AM540" s="10" t="s">
        <v>13</v>
      </c>
      <c r="AN540" s="9"/>
      <c r="AO540" s="12" t="s">
        <v>8</v>
      </c>
      <c r="AQ540" s="8" t="s">
        <v>8</v>
      </c>
      <c r="AS540" s="8" t="s">
        <v>8</v>
      </c>
      <c r="AT540" s="8"/>
      <c r="AU540" s="8" t="s">
        <v>8</v>
      </c>
      <c r="AW540" s="8" t="s">
        <v>8</v>
      </c>
      <c r="AY540" s="8" t="s">
        <v>8</v>
      </c>
      <c r="BA540" s="8" t="s">
        <v>8</v>
      </c>
      <c r="BC540" s="8" t="s">
        <v>8</v>
      </c>
      <c r="BE540" s="8" t="s">
        <v>8</v>
      </c>
    </row>
    <row r="541" spans="1:57" ht="15.75" thickBot="1" x14ac:dyDescent="0.3">
      <c r="A541" s="3"/>
      <c r="B541" s="19" t="s">
        <v>14</v>
      </c>
      <c r="C541" s="9"/>
      <c r="D541" s="20" t="s">
        <v>15</v>
      </c>
      <c r="E541" s="21"/>
      <c r="F541" s="22" t="s">
        <v>16</v>
      </c>
      <c r="G541" s="9"/>
      <c r="H541" s="19"/>
      <c r="I541" s="13"/>
      <c r="J541" s="20" t="s">
        <v>17</v>
      </c>
      <c r="K541" s="21"/>
      <c r="L541" s="21" t="s">
        <v>16</v>
      </c>
      <c r="M541" s="9"/>
      <c r="N541" s="21"/>
      <c r="P541" s="22" t="s">
        <v>18</v>
      </c>
      <c r="R541" s="23" t="s">
        <v>19</v>
      </c>
      <c r="S541" s="24"/>
      <c r="T541" s="25" t="s">
        <v>20</v>
      </c>
      <c r="U541" s="26"/>
      <c r="V541" s="23" t="s">
        <v>21</v>
      </c>
      <c r="W541" s="24"/>
      <c r="X541" s="24"/>
      <c r="Y541" s="25" t="s">
        <v>21</v>
      </c>
      <c r="Z541" s="26"/>
      <c r="AC541" s="23" t="s">
        <v>22</v>
      </c>
      <c r="AD541" s="24"/>
      <c r="AE541" s="25" t="s">
        <v>23</v>
      </c>
      <c r="AF541" s="24"/>
      <c r="AH541" s="13" t="s">
        <v>24</v>
      </c>
      <c r="AI541" s="9"/>
      <c r="AJ541" s="21" t="s">
        <v>1144</v>
      </c>
      <c r="AK541" s="21"/>
      <c r="AL541" s="22" t="s">
        <v>1144</v>
      </c>
      <c r="AM541" s="20"/>
      <c r="AN541" s="9"/>
      <c r="AO541" s="22" t="s">
        <v>25</v>
      </c>
      <c r="AQ541" s="19" t="s">
        <v>26</v>
      </c>
      <c r="AS541" s="19" t="s">
        <v>27</v>
      </c>
      <c r="AT541" s="19"/>
      <c r="AU541" s="19" t="s">
        <v>28</v>
      </c>
      <c r="AW541" s="19" t="s">
        <v>29</v>
      </c>
      <c r="AY541" s="19" t="s">
        <v>30</v>
      </c>
      <c r="BA541" s="19" t="s">
        <v>31</v>
      </c>
      <c r="BC541" s="19">
        <f>BC117</f>
        <v>1090.9452342507886</v>
      </c>
      <c r="BE541" s="19">
        <f>BE117</f>
        <v>1130.6735912783124</v>
      </c>
    </row>
    <row r="542" spans="1:57" x14ac:dyDescent="0.25">
      <c r="A542" s="7" t="s">
        <v>420</v>
      </c>
    </row>
    <row r="543" spans="1:57" x14ac:dyDescent="0.25">
      <c r="A543" s="3" t="s">
        <v>421</v>
      </c>
      <c r="B543" s="3">
        <v>2600</v>
      </c>
      <c r="D543" s="3">
        <v>1045</v>
      </c>
      <c r="E543" s="3">
        <f>F543-D543</f>
        <v>1555</v>
      </c>
      <c r="F543" s="5">
        <v>2600</v>
      </c>
      <c r="H543" s="5">
        <f>F543-B543</f>
        <v>0</v>
      </c>
      <c r="J543" s="5">
        <v>1045</v>
      </c>
      <c r="K543" s="4">
        <f>L543-J543</f>
        <v>1555</v>
      </c>
      <c r="L543" s="4">
        <v>2600</v>
      </c>
      <c r="N543" s="4">
        <f>L543-F543</f>
        <v>0</v>
      </c>
      <c r="P543" s="3">
        <f>L543*1.0281+27+1800</f>
        <v>4500.0599999999995</v>
      </c>
      <c r="Q543" s="3"/>
      <c r="R543" s="3">
        <v>2456</v>
      </c>
      <c r="S543" s="3">
        <f>T543-R543</f>
        <v>2044</v>
      </c>
      <c r="T543" s="3">
        <v>4500</v>
      </c>
      <c r="U543" s="3">
        <f>T543-P543</f>
        <v>-5.9999999999490683E-2</v>
      </c>
      <c r="V543" s="3">
        <v>2456</v>
      </c>
      <c r="W543" s="3">
        <f>Y543-V543</f>
        <v>2044</v>
      </c>
      <c r="X543" s="3"/>
      <c r="Y543" s="3">
        <v>4500</v>
      </c>
      <c r="Z543" s="3">
        <f>Y543-T543</f>
        <v>0</v>
      </c>
      <c r="AA543" s="3"/>
      <c r="AB543" s="3"/>
      <c r="AC543" s="3">
        <v>2456</v>
      </c>
      <c r="AD543" s="3">
        <f>AE543-AC543</f>
        <v>1544</v>
      </c>
      <c r="AE543" s="3">
        <v>4000</v>
      </c>
      <c r="AF543" s="3">
        <f>AE543-Y543</f>
        <v>-500</v>
      </c>
      <c r="AG543" s="4"/>
      <c r="AH543" s="4">
        <f>AE543*1.03-20</f>
        <v>4100</v>
      </c>
      <c r="AJ543" s="3">
        <v>1223</v>
      </c>
      <c r="AK543" s="3">
        <f>AL543-AJ543</f>
        <v>2877</v>
      </c>
      <c r="AL543" s="3">
        <v>4100</v>
      </c>
      <c r="AM543" s="3">
        <f>AL543-AH543</f>
        <v>0</v>
      </c>
      <c r="AO543" s="3">
        <f>AH543*1.03</f>
        <v>4223</v>
      </c>
      <c r="AP543" s="3"/>
      <c r="AQ543" s="3">
        <f>AO543*1.03</f>
        <v>4349.6900000000005</v>
      </c>
      <c r="AR543" s="3">
        <f>AP543*1.03</f>
        <v>0</v>
      </c>
      <c r="AS543" s="3">
        <f>AQ543*1.03</f>
        <v>4480.1807000000008</v>
      </c>
      <c r="AT543" s="3">
        <f>AR543*1.03</f>
        <v>0</v>
      </c>
      <c r="AU543" s="3">
        <f>AS543*1.03</f>
        <v>4614.5861210000012</v>
      </c>
      <c r="AV543" s="3"/>
      <c r="AW543" s="3">
        <f>AU543*1.03</f>
        <v>4753.0237046300017</v>
      </c>
      <c r="AX543" s="3">
        <f>AV543*1.03</f>
        <v>0</v>
      </c>
      <c r="AY543" s="3">
        <f>AW543*1.03</f>
        <v>4895.6144157689023</v>
      </c>
      <c r="AZ543" s="3">
        <f>AX543*1.03</f>
        <v>0</v>
      </c>
      <c r="BA543" s="3">
        <f>AY543*1.03</f>
        <v>5042.4828482419698</v>
      </c>
      <c r="BB543" s="3"/>
      <c r="BC543" s="3">
        <f>BA543*1.03</f>
        <v>5193.7573336892292</v>
      </c>
      <c r="BD543" s="3">
        <f>BB543*1.03</f>
        <v>0</v>
      </c>
      <c r="BE543" s="3">
        <f>BC543*1.03</f>
        <v>5349.5700536999066</v>
      </c>
    </row>
    <row r="544" spans="1:57" x14ac:dyDescent="0.25">
      <c r="A544" s="3" t="s">
        <v>368</v>
      </c>
      <c r="B544" s="3">
        <v>5600</v>
      </c>
      <c r="D544" s="3">
        <v>0</v>
      </c>
      <c r="E544" s="3">
        <f>F544-D544</f>
        <v>5600</v>
      </c>
      <c r="F544" s="5">
        <v>5600</v>
      </c>
      <c r="H544" s="5">
        <f>F544-B544</f>
        <v>0</v>
      </c>
      <c r="J544" s="5">
        <v>0</v>
      </c>
      <c r="K544" s="4">
        <f>L544-J544</f>
        <v>5600</v>
      </c>
      <c r="L544" s="4">
        <v>5600</v>
      </c>
      <c r="N544" s="4">
        <f>L544-F544</f>
        <v>0</v>
      </c>
      <c r="P544" s="3">
        <v>5600</v>
      </c>
      <c r="Q544" s="3"/>
      <c r="R544" s="3">
        <v>0</v>
      </c>
      <c r="S544" s="3">
        <f>T544-R544</f>
        <v>5600</v>
      </c>
      <c r="T544" s="3">
        <v>5600</v>
      </c>
      <c r="U544" s="3">
        <f>T544-P544</f>
        <v>0</v>
      </c>
      <c r="V544" s="3"/>
      <c r="W544" s="3">
        <f>Y544-V544</f>
        <v>5600</v>
      </c>
      <c r="X544" s="3"/>
      <c r="Y544" s="3">
        <v>5600</v>
      </c>
      <c r="Z544" s="3">
        <f>Y544-T544</f>
        <v>0</v>
      </c>
      <c r="AA544" s="3"/>
      <c r="AB544" s="3"/>
      <c r="AC544" s="3">
        <v>0</v>
      </c>
      <c r="AD544" s="3">
        <f>AE544-AC544</f>
        <v>5600</v>
      </c>
      <c r="AE544" s="3">
        <v>5600</v>
      </c>
      <c r="AF544" s="3">
        <f>AE544-Y544</f>
        <v>0</v>
      </c>
      <c r="AG544" s="4"/>
      <c r="AH544" s="4">
        <v>5600</v>
      </c>
      <c r="AJ544" s="3">
        <v>0</v>
      </c>
      <c r="AK544" s="3">
        <f>AL544-AJ544</f>
        <v>5600</v>
      </c>
      <c r="AL544" s="3">
        <v>5600</v>
      </c>
      <c r="AM544" s="3">
        <f>AL544-AH544</f>
        <v>0</v>
      </c>
      <c r="AO544" s="3">
        <v>5600</v>
      </c>
      <c r="AP544" s="3"/>
      <c r="AQ544" s="3">
        <v>5600</v>
      </c>
      <c r="AR544" s="3"/>
      <c r="AS544" s="3">
        <v>5600</v>
      </c>
      <c r="AT544" s="3"/>
      <c r="AU544" s="3">
        <v>5600</v>
      </c>
      <c r="AV544" s="42"/>
      <c r="AW544" s="3">
        <v>5600</v>
      </c>
      <c r="AX544" s="42"/>
      <c r="AY544" s="3">
        <v>5600</v>
      </c>
      <c r="AZ544" s="42"/>
      <c r="BA544" s="3">
        <v>5600</v>
      </c>
      <c r="BB544" s="42"/>
      <c r="BC544" s="3">
        <v>5600</v>
      </c>
      <c r="BE544" s="3">
        <v>5600</v>
      </c>
    </row>
    <row r="545" spans="1:57" x14ac:dyDescent="0.25">
      <c r="A545" s="7"/>
      <c r="B545" s="72">
        <f>SUM(B543:B544)</f>
        <v>8200</v>
      </c>
      <c r="C545" s="32"/>
      <c r="D545" s="72">
        <f>SUM(D543:D544)</f>
        <v>1045</v>
      </c>
      <c r="E545" s="72">
        <f>SUM(E543:E544)</f>
        <v>7155</v>
      </c>
      <c r="F545" s="72">
        <f>SUM(F543:F544)</f>
        <v>8200</v>
      </c>
      <c r="G545" s="32"/>
      <c r="H545" s="72">
        <f>SUM(H543:H544)</f>
        <v>0</v>
      </c>
      <c r="I545" s="36"/>
      <c r="J545" s="72">
        <f>SUM(J543:J544)</f>
        <v>1045</v>
      </c>
      <c r="K545" s="72">
        <f>SUM(K543:K544)</f>
        <v>7155</v>
      </c>
      <c r="L545" s="72">
        <f>SUM(L543:L544)</f>
        <v>8200</v>
      </c>
      <c r="M545" s="32"/>
      <c r="N545" s="72">
        <f>SUM(N543:N544)</f>
        <v>0</v>
      </c>
      <c r="P545" s="72">
        <f>SUM(P543:P544)</f>
        <v>10100.06</v>
      </c>
      <c r="R545" s="72">
        <f t="shared" ref="R545:Z545" si="377">SUM(R543:R544)</f>
        <v>2456</v>
      </c>
      <c r="S545" s="72">
        <f t="shared" si="377"/>
        <v>7644</v>
      </c>
      <c r="T545" s="72">
        <f t="shared" si="377"/>
        <v>10100</v>
      </c>
      <c r="U545" s="72">
        <f t="shared" si="377"/>
        <v>-5.9999999999490683E-2</v>
      </c>
      <c r="V545" s="72">
        <f t="shared" si="377"/>
        <v>2456</v>
      </c>
      <c r="W545" s="72">
        <f t="shared" si="377"/>
        <v>7644</v>
      </c>
      <c r="X545" s="72"/>
      <c r="Y545" s="72">
        <f t="shared" si="377"/>
        <v>10100</v>
      </c>
      <c r="Z545" s="72">
        <f t="shared" si="377"/>
        <v>0</v>
      </c>
      <c r="AC545" s="72">
        <f>SUM(AC543:AC544)</f>
        <v>2456</v>
      </c>
      <c r="AD545" s="72">
        <f>SUM(AD543:AD544)</f>
        <v>7144</v>
      </c>
      <c r="AE545" s="72">
        <f>SUM(AE543:AE544)</f>
        <v>9600</v>
      </c>
      <c r="AF545" s="72">
        <f>SUM(AF543:AF544)</f>
        <v>-500</v>
      </c>
      <c r="AH545" s="36">
        <f>SUM(AH543:AH544)</f>
        <v>9700</v>
      </c>
      <c r="AI545" s="32"/>
      <c r="AJ545" s="72">
        <f>SUM(AJ543:AJ544)</f>
        <v>1223</v>
      </c>
      <c r="AK545" s="72">
        <f>SUM(AK543:AK544)</f>
        <v>8477</v>
      </c>
      <c r="AL545" s="72">
        <f>SUM(AL543:AL544)</f>
        <v>9700</v>
      </c>
      <c r="AM545" s="72">
        <f>SUM(AM543:AM544)</f>
        <v>0</v>
      </c>
      <c r="AN545" s="32"/>
      <c r="AO545" s="72">
        <f>SUM(AO543:AO544)</f>
        <v>9823</v>
      </c>
      <c r="AQ545" s="72">
        <f>SUM(AQ543:AQ544)</f>
        <v>9949.69</v>
      </c>
      <c r="AS545" s="72">
        <f>SUM(AS543:AS544)</f>
        <v>10080.180700000001</v>
      </c>
      <c r="AT545" s="72"/>
      <c r="AU545" s="72">
        <f>SUM(AU543:AU544)</f>
        <v>10214.586121</v>
      </c>
      <c r="AW545" s="72">
        <f>SUM(AW543:AW544)</f>
        <v>10353.023704630003</v>
      </c>
      <c r="AY545" s="72">
        <f>SUM(AY543:AY544)</f>
        <v>10495.614415768901</v>
      </c>
      <c r="BA545" s="72">
        <f>SUM(BA543:BA544)</f>
        <v>10642.482848241969</v>
      </c>
      <c r="BC545" s="72">
        <f>SUM(BC543:BC544)</f>
        <v>10793.757333689229</v>
      </c>
      <c r="BE545" s="72">
        <f>SUM(BE543:BE544)</f>
        <v>10949.570053699907</v>
      </c>
    </row>
    <row r="546" spans="1:57" ht="15.75" thickBot="1" x14ac:dyDescent="0.3">
      <c r="A546" s="7" t="s">
        <v>249</v>
      </c>
      <c r="B546" s="43">
        <f>B545+B539</f>
        <v>20851</v>
      </c>
      <c r="C546" s="32"/>
      <c r="D546" s="43">
        <f>D545+D539</f>
        <v>4071</v>
      </c>
      <c r="E546" s="43">
        <f>E545+E539</f>
        <v>16779</v>
      </c>
      <c r="F546" s="43">
        <f>F545+F539</f>
        <v>20850</v>
      </c>
      <c r="G546" s="32"/>
      <c r="H546" s="43">
        <f>H545+H539</f>
        <v>0</v>
      </c>
      <c r="I546" s="36"/>
      <c r="J546" s="43">
        <f>J545+J539</f>
        <v>5574</v>
      </c>
      <c r="K546" s="43">
        <f>K545+K539</f>
        <v>16276</v>
      </c>
      <c r="L546" s="43">
        <f>L545+L539</f>
        <v>21850</v>
      </c>
      <c r="M546" s="32"/>
      <c r="N546" s="43">
        <f>N545+N539</f>
        <v>1000</v>
      </c>
      <c r="P546" s="43">
        <f>P545+P539</f>
        <v>22950.135000000002</v>
      </c>
      <c r="R546" s="43">
        <f t="shared" ref="R546:Z546" si="378">R545+R539</f>
        <v>2456</v>
      </c>
      <c r="S546" s="43">
        <f t="shared" si="378"/>
        <v>20493.557107500001</v>
      </c>
      <c r="T546" s="43">
        <f t="shared" si="378"/>
        <v>22949.557107500001</v>
      </c>
      <c r="U546" s="43">
        <f t="shared" si="378"/>
        <v>-0.57789249999950698</v>
      </c>
      <c r="V546" s="43">
        <f t="shared" si="378"/>
        <v>4490</v>
      </c>
      <c r="W546" s="43">
        <f t="shared" si="378"/>
        <v>18260</v>
      </c>
      <c r="X546" s="43"/>
      <c r="Y546" s="43">
        <f t="shared" si="378"/>
        <v>22750</v>
      </c>
      <c r="Z546" s="43">
        <f t="shared" si="378"/>
        <v>-199.55710750000003</v>
      </c>
      <c r="AC546" s="43">
        <f>AC545+AC539</f>
        <v>12825</v>
      </c>
      <c r="AD546" s="43">
        <f>AD545+AD539</f>
        <v>13375</v>
      </c>
      <c r="AE546" s="43">
        <f>AE545+AE539</f>
        <v>26200</v>
      </c>
      <c r="AF546" s="43">
        <f>AF545+AF539</f>
        <v>3450</v>
      </c>
      <c r="AH546" s="36">
        <f>AH545+AH539</f>
        <v>27000</v>
      </c>
      <c r="AI546" s="32"/>
      <c r="AJ546" s="43">
        <f>AJ545+AJ539</f>
        <v>6094</v>
      </c>
      <c r="AK546" s="43">
        <f>AK545+AK539</f>
        <v>25326</v>
      </c>
      <c r="AL546" s="43">
        <f>AL545+AL539</f>
        <v>31420</v>
      </c>
      <c r="AM546" s="43">
        <f>AM545+AM539</f>
        <v>4420</v>
      </c>
      <c r="AN546" s="32"/>
      <c r="AO546" s="43">
        <f>AO545+AO539</f>
        <v>24919.364999999998</v>
      </c>
      <c r="AQ546" s="43">
        <f>AQ545+AQ539</f>
        <v>25243.7228565</v>
      </c>
      <c r="AS546" s="43">
        <f>AS545+AS539</f>
        <v>25573.22087976765</v>
      </c>
      <c r="AT546" s="43"/>
      <c r="AU546" s="43">
        <f>AU545+AU539</f>
        <v>25908.010729819121</v>
      </c>
      <c r="AW546" s="43">
        <f>AW545+AW539</f>
        <v>26248.248544956939</v>
      </c>
      <c r="AY546" s="43">
        <f>AY545+AY539</f>
        <v>26594.095074109027</v>
      </c>
      <c r="BA546" s="43">
        <f>BA545+BA539</f>
        <v>26945.71581308145</v>
      </c>
      <c r="BC546" s="43">
        <f>BC545+BC539</f>
        <v>27303.281144840701</v>
      </c>
      <c r="BE546" s="43">
        <f>BE545+BE539</f>
        <v>27666.966483944736</v>
      </c>
    </row>
    <row r="547" spans="1:57" ht="15.75" thickTop="1" x14ac:dyDescent="0.25">
      <c r="A547" s="7" t="s">
        <v>113</v>
      </c>
    </row>
    <row r="548" spans="1:57" x14ac:dyDescent="0.25">
      <c r="A548" s="7" t="s">
        <v>114</v>
      </c>
    </row>
    <row r="549" spans="1:57" x14ac:dyDescent="0.25">
      <c r="A549" s="3" t="s">
        <v>422</v>
      </c>
      <c r="B549" s="3">
        <f>1500+2500</f>
        <v>4000</v>
      </c>
      <c r="D549" s="3">
        <v>909</v>
      </c>
      <c r="E549" s="3">
        <f>F549-D549</f>
        <v>3091</v>
      </c>
      <c r="F549" s="5">
        <v>4000</v>
      </c>
      <c r="H549" s="5">
        <f>F549-B549</f>
        <v>0</v>
      </c>
      <c r="J549" s="5">
        <v>910</v>
      </c>
      <c r="K549" s="4">
        <f>L549-J549</f>
        <v>3090</v>
      </c>
      <c r="L549" s="4">
        <v>4000</v>
      </c>
      <c r="N549" s="4">
        <f>L549-F549</f>
        <v>0</v>
      </c>
      <c r="P549" s="3">
        <f>L549*1.0281+138</f>
        <v>4250.3999999999996</v>
      </c>
      <c r="Q549" s="3"/>
      <c r="R549" s="3">
        <v>931</v>
      </c>
      <c r="S549" s="3">
        <f>T549-R549</f>
        <v>3069</v>
      </c>
      <c r="T549" s="3">
        <v>4000</v>
      </c>
      <c r="U549" s="3">
        <f>T549-P549</f>
        <v>-250.39999999999964</v>
      </c>
      <c r="V549" s="3">
        <v>931</v>
      </c>
      <c r="W549" s="3">
        <f>Y549-V549</f>
        <v>2069</v>
      </c>
      <c r="X549" s="3"/>
      <c r="Y549" s="3">
        <v>3000</v>
      </c>
      <c r="Z549" s="3">
        <f>Y549-T549</f>
        <v>-1000</v>
      </c>
      <c r="AA549" s="3"/>
      <c r="AB549" s="3"/>
      <c r="AC549" s="3">
        <v>1241</v>
      </c>
      <c r="AD549" s="3">
        <f>AE549-AC549</f>
        <v>1759</v>
      </c>
      <c r="AE549" s="3">
        <v>3000</v>
      </c>
      <c r="AF549" s="3">
        <f>AE549-Y549</f>
        <v>0</v>
      </c>
      <c r="AG549" s="4"/>
      <c r="AH549" s="4">
        <f>AE549*1.03+10</f>
        <v>3100</v>
      </c>
      <c r="AJ549" s="3">
        <v>0</v>
      </c>
      <c r="AK549" s="3">
        <f>AL549-AJ549</f>
        <v>2000</v>
      </c>
      <c r="AL549" s="3">
        <v>2000</v>
      </c>
      <c r="AM549" s="3">
        <f>AL549-AH549</f>
        <v>-1100</v>
      </c>
      <c r="AO549" s="3">
        <f>AH549*1.03</f>
        <v>3193</v>
      </c>
      <c r="AP549" s="3"/>
      <c r="AQ549" s="3">
        <f t="shared" ref="AQ549:AU551" si="379">AO549*1.03</f>
        <v>3288.79</v>
      </c>
      <c r="AR549" s="3">
        <f t="shared" si="379"/>
        <v>0</v>
      </c>
      <c r="AS549" s="3">
        <f t="shared" si="379"/>
        <v>3387.4537</v>
      </c>
      <c r="AT549" s="3">
        <f t="shared" si="379"/>
        <v>0</v>
      </c>
      <c r="AU549" s="3">
        <f t="shared" si="379"/>
        <v>3489.077311</v>
      </c>
      <c r="AV549" s="3"/>
      <c r="AW549" s="3">
        <f t="shared" ref="AW549:BA551" si="380">AU549*1.03</f>
        <v>3593.7496303299999</v>
      </c>
      <c r="AX549" s="3">
        <f t="shared" si="380"/>
        <v>0</v>
      </c>
      <c r="AY549" s="3">
        <f t="shared" si="380"/>
        <v>3701.5621192398999</v>
      </c>
      <c r="AZ549" s="3">
        <f t="shared" si="380"/>
        <v>0</v>
      </c>
      <c r="BA549" s="3">
        <f t="shared" si="380"/>
        <v>3812.6089828170971</v>
      </c>
      <c r="BB549" s="3"/>
      <c r="BC549" s="3">
        <f t="shared" ref="BC549:BE551" si="381">BA549*1.03</f>
        <v>3926.9872523016102</v>
      </c>
      <c r="BD549" s="3">
        <f t="shared" si="381"/>
        <v>0</v>
      </c>
      <c r="BE549" s="3">
        <f t="shared" si="381"/>
        <v>4044.7968698706586</v>
      </c>
    </row>
    <row r="550" spans="1:57" x14ac:dyDescent="0.25">
      <c r="A550" s="3" t="s">
        <v>423</v>
      </c>
      <c r="B550" s="3"/>
      <c r="D550" s="3"/>
      <c r="E550" s="3"/>
      <c r="K550" s="4"/>
      <c r="L550" s="4"/>
      <c r="N550" s="4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>
        <v>3636</v>
      </c>
      <c r="AD550" s="3">
        <f>AE550-AC550</f>
        <v>2364</v>
      </c>
      <c r="AE550" s="3">
        <v>6000</v>
      </c>
      <c r="AF550" s="3">
        <f>AE550-Y550</f>
        <v>6000</v>
      </c>
      <c r="AG550" s="4"/>
      <c r="AH550" s="4"/>
      <c r="AJ550" s="3"/>
      <c r="AK550" s="3">
        <f>AL550-AJ550</f>
        <v>0</v>
      </c>
      <c r="AL550" s="3"/>
      <c r="AM550" s="3">
        <f>AL550-AH550</f>
        <v>0</v>
      </c>
      <c r="AO550" s="3">
        <f>AH550*1.03</f>
        <v>0</v>
      </c>
      <c r="AP550" s="3"/>
      <c r="AQ550" s="3">
        <f t="shared" si="379"/>
        <v>0</v>
      </c>
      <c r="AR550" s="3">
        <f t="shared" si="379"/>
        <v>0</v>
      </c>
      <c r="AS550" s="3">
        <f t="shared" si="379"/>
        <v>0</v>
      </c>
      <c r="AT550" s="3">
        <f t="shared" si="379"/>
        <v>0</v>
      </c>
      <c r="AU550" s="3">
        <f t="shared" si="379"/>
        <v>0</v>
      </c>
      <c r="AV550" s="3"/>
      <c r="AW550" s="3">
        <f t="shared" si="380"/>
        <v>0</v>
      </c>
      <c r="AX550" s="3">
        <f t="shared" si="380"/>
        <v>0</v>
      </c>
      <c r="AY550" s="3">
        <f t="shared" si="380"/>
        <v>0</v>
      </c>
      <c r="AZ550" s="3">
        <f t="shared" si="380"/>
        <v>0</v>
      </c>
      <c r="BA550" s="3">
        <f t="shared" si="380"/>
        <v>0</v>
      </c>
      <c r="BB550" s="3"/>
      <c r="BC550" s="3">
        <f t="shared" si="381"/>
        <v>0</v>
      </c>
      <c r="BD550" s="3">
        <f t="shared" si="381"/>
        <v>0</v>
      </c>
      <c r="BE550" s="3">
        <f t="shared" si="381"/>
        <v>0</v>
      </c>
    </row>
    <row r="551" spans="1:57" x14ac:dyDescent="0.25">
      <c r="A551" s="3" t="s">
        <v>424</v>
      </c>
      <c r="B551" s="3">
        <v>4500</v>
      </c>
      <c r="D551" s="3">
        <v>780</v>
      </c>
      <c r="E551" s="3">
        <f>F551-D551</f>
        <v>3220</v>
      </c>
      <c r="F551" s="5">
        <v>4000</v>
      </c>
      <c r="H551" s="5">
        <f>F551-B551</f>
        <v>-500</v>
      </c>
      <c r="J551" s="5">
        <v>1320</v>
      </c>
      <c r="K551" s="4">
        <f>L551-J551</f>
        <v>1680</v>
      </c>
      <c r="L551" s="4">
        <v>3000</v>
      </c>
      <c r="N551" s="4">
        <f>L551-F551</f>
        <v>-1000</v>
      </c>
      <c r="P551" s="3">
        <v>3500</v>
      </c>
      <c r="Q551" s="3"/>
      <c r="R551" s="3">
        <v>780</v>
      </c>
      <c r="S551" s="3">
        <f>T551-R551</f>
        <v>2720</v>
      </c>
      <c r="T551" s="3">
        <v>3500</v>
      </c>
      <c r="U551" s="3">
        <f>T551-P551</f>
        <v>0</v>
      </c>
      <c r="V551" s="3">
        <v>1560</v>
      </c>
      <c r="W551" s="3">
        <f>Y551-V551</f>
        <v>6440</v>
      </c>
      <c r="X551" s="3"/>
      <c r="Y551" s="3">
        <v>8000</v>
      </c>
      <c r="Z551" s="3">
        <f>Y551-T551</f>
        <v>4500</v>
      </c>
      <c r="AA551" s="3"/>
      <c r="AB551" s="3"/>
      <c r="AC551" s="3">
        <v>4175</v>
      </c>
      <c r="AD551" s="3">
        <f>AE551-AC551</f>
        <v>2825</v>
      </c>
      <c r="AE551" s="3">
        <v>7000</v>
      </c>
      <c r="AF551" s="3">
        <f>AE551-Y551</f>
        <v>-1000</v>
      </c>
      <c r="AG551" s="4"/>
      <c r="AH551" s="4">
        <v>7020</v>
      </c>
      <c r="AJ551" s="3">
        <v>2900</v>
      </c>
      <c r="AK551" s="3">
        <f>AL551-AJ551</f>
        <v>4120</v>
      </c>
      <c r="AL551" s="3">
        <v>7020</v>
      </c>
      <c r="AM551" s="3">
        <f>AL551-AH551</f>
        <v>0</v>
      </c>
      <c r="AO551" s="3">
        <f>AH551*1.03</f>
        <v>7230.6</v>
      </c>
      <c r="AP551" s="3"/>
      <c r="AQ551" s="3">
        <f t="shared" si="379"/>
        <v>7447.5180000000009</v>
      </c>
      <c r="AR551" s="3">
        <f t="shared" si="379"/>
        <v>0</v>
      </c>
      <c r="AS551" s="3">
        <f t="shared" si="379"/>
        <v>7670.9435400000011</v>
      </c>
      <c r="AT551" s="3">
        <f t="shared" si="379"/>
        <v>0</v>
      </c>
      <c r="AU551" s="3">
        <f t="shared" si="379"/>
        <v>7901.0718462000013</v>
      </c>
      <c r="AV551" s="3"/>
      <c r="AW551" s="3">
        <f t="shared" si="380"/>
        <v>8138.1040015860017</v>
      </c>
      <c r="AX551" s="3">
        <f t="shared" si="380"/>
        <v>0</v>
      </c>
      <c r="AY551" s="3">
        <f t="shared" si="380"/>
        <v>8382.2471216335816</v>
      </c>
      <c r="AZ551" s="3">
        <f t="shared" si="380"/>
        <v>0</v>
      </c>
      <c r="BA551" s="3">
        <f t="shared" si="380"/>
        <v>8633.7145352825901</v>
      </c>
      <c r="BB551" s="3"/>
      <c r="BC551" s="3">
        <f t="shared" si="381"/>
        <v>8892.7259713410676</v>
      </c>
      <c r="BD551" s="3">
        <f t="shared" si="381"/>
        <v>0</v>
      </c>
      <c r="BE551" s="3">
        <f t="shared" si="381"/>
        <v>9159.5077504812998</v>
      </c>
    </row>
    <row r="552" spans="1:57" x14ac:dyDescent="0.25">
      <c r="A552" s="3" t="s">
        <v>425</v>
      </c>
      <c r="B552" s="3">
        <v>3000</v>
      </c>
      <c r="D552" s="3">
        <v>0</v>
      </c>
      <c r="E552" s="3">
        <f>F552-D552</f>
        <v>3000</v>
      </c>
      <c r="F552" s="5">
        <v>3000</v>
      </c>
      <c r="H552" s="5">
        <f>F552-B552</f>
        <v>0</v>
      </c>
      <c r="J552" s="5">
        <v>0</v>
      </c>
      <c r="K552" s="4">
        <f>L552-J552</f>
        <v>3000</v>
      </c>
      <c r="L552" s="4">
        <v>3000</v>
      </c>
      <c r="N552" s="4">
        <f>L552-F552</f>
        <v>0</v>
      </c>
      <c r="P552" s="3"/>
      <c r="Q552" s="3"/>
      <c r="R552" s="3"/>
      <c r="S552" s="3">
        <f>T552-R552</f>
        <v>2500</v>
      </c>
      <c r="T552" s="3">
        <v>2500</v>
      </c>
      <c r="U552" s="3">
        <f>T552-P552</f>
        <v>2500</v>
      </c>
      <c r="V552" s="3"/>
      <c r="W552" s="3">
        <f>Y552-V552</f>
        <v>2500</v>
      </c>
      <c r="X552" s="3"/>
      <c r="Y552" s="3">
        <v>2500</v>
      </c>
      <c r="Z552" s="3">
        <f>Y552-T552</f>
        <v>0</v>
      </c>
      <c r="AA552" s="3"/>
      <c r="AB552" s="3"/>
      <c r="AC552" s="3">
        <v>0</v>
      </c>
      <c r="AD552" s="3">
        <f>AE552-AC552</f>
        <v>2500</v>
      </c>
      <c r="AE552" s="3">
        <v>2500</v>
      </c>
      <c r="AF552" s="3">
        <f>AE552-Y552</f>
        <v>0</v>
      </c>
      <c r="AG552" s="4"/>
      <c r="AH552" s="4">
        <v>2500</v>
      </c>
      <c r="AJ552" s="3">
        <v>0</v>
      </c>
      <c r="AK552" s="3">
        <f>AL552-AJ552</f>
        <v>2500</v>
      </c>
      <c r="AL552" s="3">
        <v>2500</v>
      </c>
      <c r="AM552" s="3">
        <f>AL552-AH552</f>
        <v>0</v>
      </c>
      <c r="AO552" s="3">
        <v>2500</v>
      </c>
      <c r="AP552" s="3"/>
      <c r="AQ552" s="3">
        <v>2500</v>
      </c>
      <c r="AR552" s="3"/>
      <c r="AS552" s="3">
        <v>2500</v>
      </c>
      <c r="AT552" s="3"/>
      <c r="AU552" s="3">
        <v>2500</v>
      </c>
      <c r="AV552" s="42"/>
      <c r="AW552" s="3">
        <v>2500</v>
      </c>
      <c r="AY552" s="3">
        <v>2500</v>
      </c>
      <c r="BA552" s="3">
        <v>2500</v>
      </c>
      <c r="BC552" s="3">
        <v>2500</v>
      </c>
      <c r="BE552" s="3">
        <v>2500</v>
      </c>
    </row>
    <row r="553" spans="1:57" x14ac:dyDescent="0.25">
      <c r="A553" s="3"/>
      <c r="B553" s="48">
        <f>SUM(B549:B552)</f>
        <v>11500</v>
      </c>
      <c r="C553" s="32"/>
      <c r="D553" s="48">
        <f>SUM(D549:D552)</f>
        <v>1689</v>
      </c>
      <c r="E553" s="48">
        <f>SUM(E549:E552)</f>
        <v>9311</v>
      </c>
      <c r="F553" s="48">
        <f>SUM(F549:F552)</f>
        <v>11000</v>
      </c>
      <c r="G553" s="32"/>
      <c r="H553" s="48">
        <f>SUM(H549:H552)</f>
        <v>-500</v>
      </c>
      <c r="I553" s="36"/>
      <c r="J553" s="48">
        <f>SUM(J549:J552)</f>
        <v>2230</v>
      </c>
      <c r="K553" s="48">
        <f>SUM(K549:K552)</f>
        <v>7770</v>
      </c>
      <c r="L553" s="48">
        <f>SUM(L549:L552)</f>
        <v>10000</v>
      </c>
      <c r="M553" s="32"/>
      <c r="N553" s="48">
        <f>SUM(N549:N552)</f>
        <v>-1000</v>
      </c>
      <c r="P553" s="48">
        <f>SUM(P549:P552)</f>
        <v>7750.4</v>
      </c>
      <c r="R553" s="48">
        <f t="shared" ref="R553:Z553" si="382">SUM(R549:R552)</f>
        <v>1711</v>
      </c>
      <c r="S553" s="48">
        <f t="shared" si="382"/>
        <v>8289</v>
      </c>
      <c r="T553" s="48">
        <f t="shared" si="382"/>
        <v>10000</v>
      </c>
      <c r="U553" s="48">
        <f t="shared" si="382"/>
        <v>2249.6000000000004</v>
      </c>
      <c r="V553" s="48">
        <f t="shared" si="382"/>
        <v>2491</v>
      </c>
      <c r="W553" s="48">
        <f t="shared" si="382"/>
        <v>11009</v>
      </c>
      <c r="X553" s="48"/>
      <c r="Y553" s="48">
        <f t="shared" si="382"/>
        <v>13500</v>
      </c>
      <c r="Z553" s="48">
        <f t="shared" si="382"/>
        <v>3500</v>
      </c>
      <c r="AC553" s="48">
        <f>SUM(AC549:AC552)</f>
        <v>9052</v>
      </c>
      <c r="AD553" s="48">
        <f>SUM(AD549:AD552)</f>
        <v>9448</v>
      </c>
      <c r="AE553" s="48">
        <f>SUM(AE549:AE552)</f>
        <v>18500</v>
      </c>
      <c r="AF553" s="48">
        <f>SUM(AF549:AF552)</f>
        <v>5000</v>
      </c>
      <c r="AH553" s="36">
        <f>SUM(AH549:AH552)</f>
        <v>12620</v>
      </c>
      <c r="AI553" s="32"/>
      <c r="AJ553" s="48">
        <f>SUM(AJ549:AJ552)</f>
        <v>2900</v>
      </c>
      <c r="AK553" s="48">
        <f>SUM(AK549:AK552)</f>
        <v>8620</v>
      </c>
      <c r="AL553" s="48">
        <f>SUM(AL549:AL552)</f>
        <v>11520</v>
      </c>
      <c r="AM553" s="48">
        <f>SUM(AM549:AM552)</f>
        <v>-1100</v>
      </c>
      <c r="AN553" s="32"/>
      <c r="AO553" s="48">
        <f>SUM(AO549:AO552)</f>
        <v>12923.6</v>
      </c>
      <c r="AQ553" s="48">
        <f>SUM(AQ549:AQ552)</f>
        <v>13236.308000000001</v>
      </c>
      <c r="AS553" s="48">
        <f>SUM(AS549:AS552)</f>
        <v>13558.397240000002</v>
      </c>
      <c r="AT553" s="48"/>
      <c r="AU553" s="48">
        <f>SUM(AU549:AU552)</f>
        <v>13890.149157200001</v>
      </c>
      <c r="AW553" s="48">
        <f>SUM(AW549:AW552)</f>
        <v>14231.853631916001</v>
      </c>
      <c r="AY553" s="48">
        <f>SUM(AY549:AY552)</f>
        <v>14583.809240873481</v>
      </c>
      <c r="BA553" s="48">
        <f>SUM(BA549:BA552)</f>
        <v>14946.323518099687</v>
      </c>
      <c r="BC553" s="48">
        <f>SUM(BC549:BC552)</f>
        <v>15319.713223642677</v>
      </c>
      <c r="BE553" s="48">
        <f>SUM(BE549:BE552)</f>
        <v>15704.304620351959</v>
      </c>
    </row>
    <row r="554" spans="1:57" x14ac:dyDescent="0.25">
      <c r="A554" s="7" t="s">
        <v>426</v>
      </c>
    </row>
    <row r="555" spans="1:57" x14ac:dyDescent="0.25">
      <c r="A555" s="3" t="s">
        <v>90</v>
      </c>
      <c r="AK555" s="3">
        <f t="shared" ref="AK555:AK561" si="383">AL555-AJ555</f>
        <v>0</v>
      </c>
      <c r="AM555" s="3">
        <f t="shared" ref="AM555:AM561" si="384">AL555-AH555</f>
        <v>0</v>
      </c>
    </row>
    <row r="556" spans="1:57" x14ac:dyDescent="0.25">
      <c r="A556" s="3" t="s">
        <v>427</v>
      </c>
      <c r="B556" s="3">
        <v>9000</v>
      </c>
      <c r="D556" s="3">
        <v>875</v>
      </c>
      <c r="E556" s="3">
        <f t="shared" ref="E556:E561" si="385">F556-D556</f>
        <v>8125</v>
      </c>
      <c r="F556" s="5">
        <v>9000</v>
      </c>
      <c r="H556" s="5">
        <f t="shared" ref="H556:H561" si="386">F556-B556</f>
        <v>0</v>
      </c>
      <c r="J556" s="5">
        <v>875</v>
      </c>
      <c r="K556" s="4">
        <f t="shared" ref="K556:K561" si="387">L556-J556</f>
        <v>6625</v>
      </c>
      <c r="L556" s="4">
        <v>7500</v>
      </c>
      <c r="N556" s="4">
        <f t="shared" ref="N556:N561" si="388">L556-F556</f>
        <v>-1500</v>
      </c>
      <c r="P556" s="3">
        <f>L556*1.0281+39</f>
        <v>7749.75</v>
      </c>
      <c r="Q556" s="3"/>
      <c r="R556" s="3">
        <v>0</v>
      </c>
      <c r="S556" s="3">
        <f t="shared" ref="S556:S561" si="389">T556-R556</f>
        <v>6750</v>
      </c>
      <c r="T556" s="3">
        <v>6750</v>
      </c>
      <c r="U556" s="3">
        <f t="shared" ref="U556:U561" si="390">T556-P556</f>
        <v>-999.75</v>
      </c>
      <c r="V556" s="3">
        <v>0</v>
      </c>
      <c r="W556" s="3">
        <f t="shared" ref="W556:W561" si="391">Y556-V556</f>
        <v>6750</v>
      </c>
      <c r="X556" s="3"/>
      <c r="Y556" s="3">
        <v>6750</v>
      </c>
      <c r="Z556" s="3">
        <f t="shared" ref="Z556:Z561" si="392">Y556-T556</f>
        <v>0</v>
      </c>
      <c r="AA556" s="3"/>
      <c r="AB556" s="3"/>
      <c r="AC556" s="3">
        <v>6084</v>
      </c>
      <c r="AD556" s="3">
        <f t="shared" ref="AD556:AD561" si="393">AE556-AC556</f>
        <v>1416</v>
      </c>
      <c r="AE556" s="3">
        <v>7500</v>
      </c>
      <c r="AF556" s="3">
        <f t="shared" ref="AF556:AF561" si="394">AE556-Y556</f>
        <v>750</v>
      </c>
      <c r="AG556" s="4"/>
      <c r="AH556" s="4">
        <f>AE556*1.03+275</f>
        <v>8000</v>
      </c>
      <c r="AJ556" s="3">
        <v>3614</v>
      </c>
      <c r="AK556" s="3">
        <f t="shared" si="383"/>
        <v>4386</v>
      </c>
      <c r="AL556" s="3">
        <v>8000</v>
      </c>
      <c r="AM556" s="3">
        <f t="shared" si="384"/>
        <v>0</v>
      </c>
      <c r="AO556" s="3">
        <f>AH556*1.03</f>
        <v>8240</v>
      </c>
      <c r="AP556" s="3"/>
      <c r="AQ556" s="3">
        <f t="shared" ref="AQ556:AU559" si="395">AO556*1.03</f>
        <v>8487.2000000000007</v>
      </c>
      <c r="AR556" s="3">
        <f t="shared" si="395"/>
        <v>0</v>
      </c>
      <c r="AS556" s="3">
        <f t="shared" si="395"/>
        <v>8741.8160000000007</v>
      </c>
      <c r="AT556" s="3">
        <f t="shared" si="395"/>
        <v>0</v>
      </c>
      <c r="AU556" s="3">
        <f t="shared" si="395"/>
        <v>9004.0704800000003</v>
      </c>
      <c r="AV556" s="3"/>
      <c r="AW556" s="3">
        <f t="shared" ref="AW556:BA559" si="396">AU556*1.03</f>
        <v>9274.1925944000013</v>
      </c>
      <c r="AX556" s="3">
        <f t="shared" si="396"/>
        <v>0</v>
      </c>
      <c r="AY556" s="3">
        <f t="shared" si="396"/>
        <v>9552.4183722320013</v>
      </c>
      <c r="AZ556" s="3">
        <f t="shared" si="396"/>
        <v>0</v>
      </c>
      <c r="BA556" s="3">
        <f t="shared" si="396"/>
        <v>9838.990923398962</v>
      </c>
      <c r="BB556" s="3"/>
      <c r="BC556" s="3">
        <f t="shared" ref="BC556:BE559" si="397">BA556*1.03</f>
        <v>10134.16065110093</v>
      </c>
      <c r="BD556" s="3">
        <f t="shared" si="397"/>
        <v>0</v>
      </c>
      <c r="BE556" s="3">
        <f t="shared" si="397"/>
        <v>10438.185470633958</v>
      </c>
    </row>
    <row r="557" spans="1:57" x14ac:dyDescent="0.25">
      <c r="A557" s="3" t="s">
        <v>428</v>
      </c>
      <c r="B557" s="3">
        <v>8300</v>
      </c>
      <c r="D557" s="3">
        <v>0</v>
      </c>
      <c r="E557" s="3">
        <f t="shared" si="385"/>
        <v>8300</v>
      </c>
      <c r="F557" s="5">
        <v>8300</v>
      </c>
      <c r="H557" s="5">
        <f t="shared" si="386"/>
        <v>0</v>
      </c>
      <c r="J557" s="5">
        <v>0</v>
      </c>
      <c r="K557" s="4">
        <f t="shared" si="387"/>
        <v>8300</v>
      </c>
      <c r="L557" s="4">
        <v>8300</v>
      </c>
      <c r="N557" s="4">
        <f t="shared" si="388"/>
        <v>0</v>
      </c>
      <c r="P557" s="3">
        <v>8530</v>
      </c>
      <c r="Q557" s="3"/>
      <c r="R557" s="3">
        <v>0</v>
      </c>
      <c r="S557" s="3">
        <f t="shared" si="389"/>
        <v>8530</v>
      </c>
      <c r="T557" s="3">
        <v>8530</v>
      </c>
      <c r="U557" s="3">
        <f t="shared" si="390"/>
        <v>0</v>
      </c>
      <c r="V557" s="3">
        <v>0</v>
      </c>
      <c r="W557" s="3">
        <f t="shared" si="391"/>
        <v>8530</v>
      </c>
      <c r="X557" s="3"/>
      <c r="Y557" s="3">
        <v>8530</v>
      </c>
      <c r="Z557" s="3">
        <f t="shared" si="392"/>
        <v>0</v>
      </c>
      <c r="AA557" s="3"/>
      <c r="AB557" s="3"/>
      <c r="AC557" s="3">
        <v>0</v>
      </c>
      <c r="AD557" s="3">
        <f t="shared" si="393"/>
        <v>8530</v>
      </c>
      <c r="AE557" s="3">
        <v>8530</v>
      </c>
      <c r="AF557" s="3">
        <f t="shared" si="394"/>
        <v>0</v>
      </c>
      <c r="AG557" s="4"/>
      <c r="AH557" s="4">
        <f>AE557*1.03+214</f>
        <v>8999.9</v>
      </c>
      <c r="AJ557" s="3">
        <v>0</v>
      </c>
      <c r="AK557" s="3">
        <f t="shared" si="383"/>
        <v>9000</v>
      </c>
      <c r="AL557" s="3">
        <v>9000</v>
      </c>
      <c r="AM557" s="3">
        <f t="shared" si="384"/>
        <v>0.1000000000003638</v>
      </c>
      <c r="AO557" s="3">
        <f>AH557*1.03</f>
        <v>9269.896999999999</v>
      </c>
      <c r="AP557" s="3"/>
      <c r="AQ557" s="3">
        <f t="shared" si="395"/>
        <v>9547.9939099999992</v>
      </c>
      <c r="AR557" s="3">
        <f t="shared" si="395"/>
        <v>0</v>
      </c>
      <c r="AS557" s="3">
        <f t="shared" si="395"/>
        <v>9834.4337273000001</v>
      </c>
      <c r="AT557" s="3">
        <f t="shared" si="395"/>
        <v>0</v>
      </c>
      <c r="AU557" s="3">
        <f t="shared" si="395"/>
        <v>10129.466739119</v>
      </c>
      <c r="AV557" s="3"/>
      <c r="AW557" s="3">
        <f t="shared" si="396"/>
        <v>10433.35074129257</v>
      </c>
      <c r="AX557" s="3">
        <f t="shared" si="396"/>
        <v>0</v>
      </c>
      <c r="AY557" s="3">
        <f t="shared" si="396"/>
        <v>10746.351263531347</v>
      </c>
      <c r="AZ557" s="3">
        <f t="shared" si="396"/>
        <v>0</v>
      </c>
      <c r="BA557" s="3">
        <f t="shared" si="396"/>
        <v>11068.741801437289</v>
      </c>
      <c r="BB557" s="3"/>
      <c r="BC557" s="3">
        <f t="shared" si="397"/>
        <v>11400.804055480408</v>
      </c>
      <c r="BD557" s="3">
        <f t="shared" si="397"/>
        <v>0</v>
      </c>
      <c r="BE557" s="3">
        <f t="shared" si="397"/>
        <v>11742.82817714482</v>
      </c>
    </row>
    <row r="558" spans="1:57" x14ac:dyDescent="0.25">
      <c r="A558" s="3" t="s">
        <v>429</v>
      </c>
      <c r="B558" s="3">
        <v>16000</v>
      </c>
      <c r="D558" s="3">
        <v>362</v>
      </c>
      <c r="E558" s="3">
        <f t="shared" si="385"/>
        <v>15638</v>
      </c>
      <c r="F558" s="5">
        <v>16000</v>
      </c>
      <c r="H558" s="5">
        <f t="shared" si="386"/>
        <v>0</v>
      </c>
      <c r="J558" s="5">
        <v>658</v>
      </c>
      <c r="K558" s="4">
        <f t="shared" si="387"/>
        <v>8842</v>
      </c>
      <c r="L558" s="4">
        <v>9500</v>
      </c>
      <c r="N558" s="4">
        <f t="shared" si="388"/>
        <v>-6500</v>
      </c>
      <c r="P558" s="3">
        <v>12500</v>
      </c>
      <c r="Q558" s="3"/>
      <c r="R558" s="3">
        <v>3306</v>
      </c>
      <c r="S558" s="3">
        <f t="shared" si="389"/>
        <v>9194</v>
      </c>
      <c r="T558" s="3">
        <v>12500</v>
      </c>
      <c r="U558" s="3">
        <f t="shared" si="390"/>
        <v>0</v>
      </c>
      <c r="V558" s="3">
        <v>6573</v>
      </c>
      <c r="W558" s="3">
        <f t="shared" si="391"/>
        <v>5927</v>
      </c>
      <c r="X558" s="3"/>
      <c r="Y558" s="3">
        <v>12500</v>
      </c>
      <c r="Z558" s="3">
        <f t="shared" si="392"/>
        <v>0</v>
      </c>
      <c r="AA558" s="3"/>
      <c r="AB558" s="3"/>
      <c r="AC558" s="3">
        <v>9510</v>
      </c>
      <c r="AD558" s="3">
        <f t="shared" si="393"/>
        <v>3490</v>
      </c>
      <c r="AE558" s="3">
        <v>13000</v>
      </c>
      <c r="AF558" s="3">
        <f t="shared" si="394"/>
        <v>500</v>
      </c>
      <c r="AG558" s="4"/>
      <c r="AH558" s="4">
        <f>AE558*1.03+110</f>
        <v>13500</v>
      </c>
      <c r="AJ558" s="3">
        <v>2856</v>
      </c>
      <c r="AK558" s="3">
        <f t="shared" si="383"/>
        <v>10644</v>
      </c>
      <c r="AL558" s="3">
        <v>13500</v>
      </c>
      <c r="AM558" s="3">
        <f t="shared" si="384"/>
        <v>0</v>
      </c>
      <c r="AO558" s="3">
        <f>AH558*1.03</f>
        <v>13905</v>
      </c>
      <c r="AP558" s="3"/>
      <c r="AQ558" s="3">
        <f t="shared" si="395"/>
        <v>14322.15</v>
      </c>
      <c r="AR558" s="3">
        <f t="shared" si="395"/>
        <v>0</v>
      </c>
      <c r="AS558" s="3">
        <f t="shared" si="395"/>
        <v>14751.8145</v>
      </c>
      <c r="AT558" s="3">
        <f t="shared" si="395"/>
        <v>0</v>
      </c>
      <c r="AU558" s="3">
        <f t="shared" si="395"/>
        <v>15194.368935</v>
      </c>
      <c r="AV558" s="3"/>
      <c r="AW558" s="3">
        <f t="shared" si="396"/>
        <v>15650.20000305</v>
      </c>
      <c r="AX558" s="3">
        <f t="shared" si="396"/>
        <v>0</v>
      </c>
      <c r="AY558" s="3">
        <f t="shared" si="396"/>
        <v>16119.7060031415</v>
      </c>
      <c r="AZ558" s="3">
        <f t="shared" si="396"/>
        <v>0</v>
      </c>
      <c r="BA558" s="3">
        <f t="shared" si="396"/>
        <v>16603.297183235747</v>
      </c>
      <c r="BB558" s="3"/>
      <c r="BC558" s="3">
        <f t="shared" si="397"/>
        <v>17101.396098732821</v>
      </c>
      <c r="BD558" s="3">
        <f t="shared" si="397"/>
        <v>0</v>
      </c>
      <c r="BE558" s="3">
        <f t="shared" si="397"/>
        <v>17614.437981694806</v>
      </c>
    </row>
    <row r="559" spans="1:57" x14ac:dyDescent="0.25">
      <c r="A559" s="3" t="s">
        <v>430</v>
      </c>
      <c r="B559" s="3">
        <v>6000</v>
      </c>
      <c r="D559" s="3">
        <v>0</v>
      </c>
      <c r="E559" s="3">
        <f t="shared" si="385"/>
        <v>6000</v>
      </c>
      <c r="F559" s="5">
        <v>6000</v>
      </c>
      <c r="H559" s="5">
        <f t="shared" si="386"/>
        <v>0</v>
      </c>
      <c r="J559" s="5">
        <v>0</v>
      </c>
      <c r="K559" s="4">
        <f t="shared" si="387"/>
        <v>5000</v>
      </c>
      <c r="L559" s="4">
        <v>5000</v>
      </c>
      <c r="N559" s="4">
        <f t="shared" si="388"/>
        <v>-1000</v>
      </c>
      <c r="P559" s="3">
        <f>L559*1.0281+9</f>
        <v>5149.5</v>
      </c>
      <c r="Q559" s="3"/>
      <c r="R559" s="3">
        <v>0</v>
      </c>
      <c r="S559" s="3">
        <f t="shared" si="389"/>
        <v>5150</v>
      </c>
      <c r="T559" s="3">
        <v>5150</v>
      </c>
      <c r="U559" s="3">
        <f t="shared" si="390"/>
        <v>0.5</v>
      </c>
      <c r="V559" s="3"/>
      <c r="W559" s="3">
        <f t="shared" si="391"/>
        <v>5150</v>
      </c>
      <c r="X559" s="3"/>
      <c r="Y559" s="3">
        <v>5150</v>
      </c>
      <c r="Z559" s="3">
        <f t="shared" si="392"/>
        <v>0</v>
      </c>
      <c r="AA559" s="3"/>
      <c r="AB559" s="3"/>
      <c r="AC559" s="3">
        <v>0</v>
      </c>
      <c r="AD559" s="3">
        <f t="shared" si="393"/>
        <v>4000</v>
      </c>
      <c r="AE559" s="3">
        <v>4000</v>
      </c>
      <c r="AF559" s="3">
        <f t="shared" si="394"/>
        <v>-1150</v>
      </c>
      <c r="AG559" s="4"/>
      <c r="AH559" s="4">
        <f>AE559*1.03+380</f>
        <v>4500</v>
      </c>
      <c r="AJ559" s="3">
        <v>2424</v>
      </c>
      <c r="AK559" s="3">
        <f t="shared" si="383"/>
        <v>2076</v>
      </c>
      <c r="AL559" s="3">
        <v>4500</v>
      </c>
      <c r="AM559" s="3">
        <f t="shared" si="384"/>
        <v>0</v>
      </c>
      <c r="AO559" s="3">
        <f>AH559*1.03</f>
        <v>4635</v>
      </c>
      <c r="AP559" s="3"/>
      <c r="AQ559" s="3">
        <f t="shared" si="395"/>
        <v>4774.05</v>
      </c>
      <c r="AR559" s="3">
        <f t="shared" si="395"/>
        <v>0</v>
      </c>
      <c r="AS559" s="3">
        <f t="shared" si="395"/>
        <v>4917.2715000000007</v>
      </c>
      <c r="AT559" s="3">
        <f t="shared" si="395"/>
        <v>0</v>
      </c>
      <c r="AU559" s="3">
        <f t="shared" si="395"/>
        <v>5064.7896450000007</v>
      </c>
      <c r="AV559" s="3"/>
      <c r="AW559" s="3">
        <f t="shared" si="396"/>
        <v>5216.7333343500013</v>
      </c>
      <c r="AX559" s="3">
        <f t="shared" si="396"/>
        <v>0</v>
      </c>
      <c r="AY559" s="3">
        <f t="shared" si="396"/>
        <v>5373.2353343805016</v>
      </c>
      <c r="AZ559" s="3">
        <f t="shared" si="396"/>
        <v>0</v>
      </c>
      <c r="BA559" s="3">
        <f t="shared" si="396"/>
        <v>5534.4323944119169</v>
      </c>
      <c r="BB559" s="3"/>
      <c r="BC559" s="3">
        <f t="shared" si="397"/>
        <v>5700.4653662442743</v>
      </c>
      <c r="BD559" s="3">
        <f t="shared" si="397"/>
        <v>0</v>
      </c>
      <c r="BE559" s="3">
        <f t="shared" si="397"/>
        <v>5871.4793272316028</v>
      </c>
    </row>
    <row r="560" spans="1:57" x14ac:dyDescent="0.25">
      <c r="A560" s="3" t="s">
        <v>431</v>
      </c>
      <c r="B560" s="5">
        <v>5000</v>
      </c>
      <c r="D560" s="5">
        <v>0</v>
      </c>
      <c r="E560" s="3">
        <f t="shared" si="385"/>
        <v>5000</v>
      </c>
      <c r="F560" s="5">
        <v>5000</v>
      </c>
      <c r="H560" s="5">
        <f t="shared" si="386"/>
        <v>0</v>
      </c>
      <c r="J560" s="5">
        <v>0</v>
      </c>
      <c r="K560" s="4">
        <f t="shared" si="387"/>
        <v>5000</v>
      </c>
      <c r="L560" s="4">
        <v>5000</v>
      </c>
      <c r="N560" s="4">
        <f t="shared" si="388"/>
        <v>0</v>
      </c>
      <c r="P560" s="3">
        <v>1000</v>
      </c>
      <c r="Q560" s="3"/>
      <c r="R560" s="3">
        <v>0</v>
      </c>
      <c r="S560" s="3">
        <f t="shared" si="389"/>
        <v>1000</v>
      </c>
      <c r="T560" s="3">
        <v>1000</v>
      </c>
      <c r="U560" s="3">
        <f t="shared" si="390"/>
        <v>0</v>
      </c>
      <c r="V560" s="3"/>
      <c r="W560" s="3">
        <f t="shared" si="391"/>
        <v>1000</v>
      </c>
      <c r="X560" s="3"/>
      <c r="Y560" s="3">
        <v>1000</v>
      </c>
      <c r="Z560" s="3">
        <f t="shared" si="392"/>
        <v>0</v>
      </c>
      <c r="AA560" s="3"/>
      <c r="AB560" s="3"/>
      <c r="AC560" s="3">
        <v>0</v>
      </c>
      <c r="AD560" s="3">
        <f t="shared" si="393"/>
        <v>0</v>
      </c>
      <c r="AE560" s="3">
        <v>0</v>
      </c>
      <c r="AF560" s="3">
        <f t="shared" si="394"/>
        <v>-1000</v>
      </c>
      <c r="AG560" s="4"/>
      <c r="AH560" s="4">
        <f>AE560*1.03</f>
        <v>0</v>
      </c>
      <c r="AJ560" s="3"/>
      <c r="AK560" s="3">
        <f t="shared" si="383"/>
        <v>0</v>
      </c>
      <c r="AL560" s="3"/>
      <c r="AM560" s="3">
        <f t="shared" si="384"/>
        <v>0</v>
      </c>
      <c r="AO560" s="3">
        <f>AH560*1.0281</f>
        <v>0</v>
      </c>
      <c r="AP560" s="3"/>
      <c r="AQ560" s="3">
        <f>AO560*1.0281</f>
        <v>0</v>
      </c>
      <c r="AR560" s="3"/>
      <c r="AS560" s="3">
        <f>AQ560*1.0281</f>
        <v>0</v>
      </c>
      <c r="AT560" s="3"/>
      <c r="AU560" s="3">
        <f>AS560*1.0281</f>
        <v>0</v>
      </c>
      <c r="AV560" s="42"/>
      <c r="AW560" s="3">
        <f>AU560*1.0281</f>
        <v>0</v>
      </c>
      <c r="AX560" s="42"/>
      <c r="AY560" s="3">
        <f>AW560*1.0281</f>
        <v>0</v>
      </c>
      <c r="AZ560" s="42"/>
      <c r="BA560" s="3">
        <f>AY560*1.0281</f>
        <v>0</v>
      </c>
      <c r="BB560" s="42"/>
      <c r="BC560" s="3">
        <f>BA560*1.0281</f>
        <v>0</v>
      </c>
      <c r="BE560" s="3">
        <f>BC560*1.0281</f>
        <v>0</v>
      </c>
    </row>
    <row r="561" spans="1:57" x14ac:dyDescent="0.25">
      <c r="A561" s="3" t="s">
        <v>432</v>
      </c>
      <c r="B561" s="5">
        <v>2000</v>
      </c>
      <c r="D561" s="5">
        <v>0</v>
      </c>
      <c r="E561" s="3">
        <f t="shared" si="385"/>
        <v>2000</v>
      </c>
      <c r="F561" s="5">
        <v>2000</v>
      </c>
      <c r="H561" s="5">
        <f t="shared" si="386"/>
        <v>0</v>
      </c>
      <c r="J561" s="5">
        <v>0</v>
      </c>
      <c r="K561" s="4">
        <f t="shared" si="387"/>
        <v>2000</v>
      </c>
      <c r="L561" s="4">
        <v>2000</v>
      </c>
      <c r="N561" s="4">
        <f t="shared" si="388"/>
        <v>0</v>
      </c>
      <c r="S561" s="3">
        <f t="shared" si="389"/>
        <v>0</v>
      </c>
      <c r="T561" s="3"/>
      <c r="U561" s="3">
        <f t="shared" si="390"/>
        <v>0</v>
      </c>
      <c r="W561" s="3">
        <f t="shared" si="391"/>
        <v>0</v>
      </c>
      <c r="X561" s="3"/>
      <c r="Z561" s="3">
        <f t="shared" si="392"/>
        <v>0</v>
      </c>
      <c r="AD561" s="3">
        <f t="shared" si="393"/>
        <v>0</v>
      </c>
      <c r="AE561" s="3"/>
      <c r="AF561" s="3">
        <f t="shared" si="394"/>
        <v>0</v>
      </c>
      <c r="AK561" s="3">
        <f t="shared" si="383"/>
        <v>0</v>
      </c>
      <c r="AM561" s="3">
        <f t="shared" si="384"/>
        <v>0</v>
      </c>
    </row>
    <row r="562" spans="1:57" x14ac:dyDescent="0.25">
      <c r="A562" s="3"/>
      <c r="B562" s="48">
        <f>SUM(B555:B561)</f>
        <v>46300</v>
      </c>
      <c r="C562" s="32"/>
      <c r="D562" s="48">
        <f>SUM(D555:D561)</f>
        <v>1237</v>
      </c>
      <c r="E562" s="48">
        <f>SUM(E555:E561)</f>
        <v>45063</v>
      </c>
      <c r="F562" s="48">
        <f>SUM(F555:F561)</f>
        <v>46300</v>
      </c>
      <c r="G562" s="32"/>
      <c r="H562" s="48">
        <f>SUM(H555:H561)</f>
        <v>0</v>
      </c>
      <c r="I562" s="36"/>
      <c r="J562" s="48">
        <f>SUM(J555:J561)</f>
        <v>1533</v>
      </c>
      <c r="K562" s="48">
        <f>SUM(K555:K561)</f>
        <v>35767</v>
      </c>
      <c r="L562" s="48">
        <f>SUM(L555:L561)</f>
        <v>37300</v>
      </c>
      <c r="M562" s="32"/>
      <c r="N562" s="48">
        <f>SUM(N555:N561)</f>
        <v>-9000</v>
      </c>
      <c r="P562" s="48">
        <f>SUM(P555:P561)</f>
        <v>34929.25</v>
      </c>
      <c r="R562" s="48">
        <f t="shared" ref="R562:Z562" si="398">SUM(R555:R561)</f>
        <v>3306</v>
      </c>
      <c r="S562" s="48">
        <f t="shared" si="398"/>
        <v>30624</v>
      </c>
      <c r="T562" s="48">
        <f t="shared" si="398"/>
        <v>33930</v>
      </c>
      <c r="U562" s="48">
        <f t="shared" si="398"/>
        <v>-999.25</v>
      </c>
      <c r="V562" s="48">
        <f t="shared" si="398"/>
        <v>6573</v>
      </c>
      <c r="W562" s="48">
        <f t="shared" si="398"/>
        <v>27357</v>
      </c>
      <c r="X562" s="48"/>
      <c r="Y562" s="48">
        <f t="shared" si="398"/>
        <v>33930</v>
      </c>
      <c r="Z562" s="48">
        <f t="shared" si="398"/>
        <v>0</v>
      </c>
      <c r="AC562" s="48">
        <f>SUM(AC555:AC561)</f>
        <v>15594</v>
      </c>
      <c r="AD562" s="48">
        <f>SUM(AD555:AD561)</f>
        <v>17436</v>
      </c>
      <c r="AE562" s="48">
        <f>SUM(AE555:AE561)</f>
        <v>33030</v>
      </c>
      <c r="AF562" s="48">
        <f>SUM(AF555:AF561)</f>
        <v>-900</v>
      </c>
      <c r="AH562" s="36">
        <f>SUM(AH555:AH561)</f>
        <v>34999.9</v>
      </c>
      <c r="AI562" s="32"/>
      <c r="AJ562" s="48">
        <f>SUM(AJ555:AJ561)</f>
        <v>8894</v>
      </c>
      <c r="AK562" s="48">
        <f>SUM(AK555:AK561)</f>
        <v>26106</v>
      </c>
      <c r="AL562" s="48">
        <f>SUM(AL555:AL561)</f>
        <v>35000</v>
      </c>
      <c r="AM562" s="48">
        <f>SUM(AM555:AM561)</f>
        <v>0.1000000000003638</v>
      </c>
      <c r="AN562" s="32"/>
      <c r="AO562" s="48">
        <f>SUM(AO555:AO561)</f>
        <v>36049.896999999997</v>
      </c>
      <c r="AQ562" s="48">
        <f>SUM(AQ555:AQ561)</f>
        <v>37131.393910000006</v>
      </c>
      <c r="AS562" s="48">
        <f>SUM(AS555:AS561)</f>
        <v>38245.3357273</v>
      </c>
      <c r="AT562" s="48"/>
      <c r="AU562" s="48">
        <f>SUM(AU555:AU561)</f>
        <v>39392.695799118999</v>
      </c>
      <c r="AW562" s="48">
        <f>SUM(AW555:AW561)</f>
        <v>40574.476673092569</v>
      </c>
      <c r="AY562" s="48">
        <f>SUM(AY555:AY561)</f>
        <v>41791.71097328535</v>
      </c>
      <c r="BA562" s="48">
        <f>SUM(BA555:BA561)</f>
        <v>43045.462302483917</v>
      </c>
      <c r="BC562" s="48">
        <f>SUM(BC555:BC561)</f>
        <v>44336.826171558438</v>
      </c>
      <c r="BE562" s="48">
        <f>SUM(BE555:BE561)</f>
        <v>45666.930956705182</v>
      </c>
    </row>
    <row r="563" spans="1:57" x14ac:dyDescent="0.25">
      <c r="A563" s="7" t="s">
        <v>433</v>
      </c>
    </row>
    <row r="564" spans="1:57" x14ac:dyDescent="0.25">
      <c r="A564" s="3" t="s">
        <v>434</v>
      </c>
      <c r="B564" s="3">
        <v>35020</v>
      </c>
      <c r="D564" s="3">
        <v>0</v>
      </c>
      <c r="E564" s="3">
        <f t="shared" ref="E564:E582" si="399">F564-D564</f>
        <v>35020</v>
      </c>
      <c r="F564" s="5">
        <v>35020</v>
      </c>
      <c r="H564" s="5">
        <f t="shared" ref="H564:H582" si="400">F564-B564</f>
        <v>0</v>
      </c>
      <c r="J564" s="5">
        <v>0</v>
      </c>
      <c r="K564" s="4">
        <f t="shared" ref="K564:K582" si="401">L564-J564</f>
        <v>35020</v>
      </c>
      <c r="L564" s="4">
        <v>35020</v>
      </c>
      <c r="N564" s="4">
        <f t="shared" ref="N564:N582" si="402">L564-F564</f>
        <v>0</v>
      </c>
      <c r="P564" s="3">
        <v>36070</v>
      </c>
      <c r="Q564" s="3"/>
      <c r="R564" s="3">
        <v>0</v>
      </c>
      <c r="S564" s="3">
        <f t="shared" ref="S564:S582" si="403">T564-R564</f>
        <v>36070</v>
      </c>
      <c r="T564" s="3">
        <v>36070</v>
      </c>
      <c r="U564" s="3">
        <f t="shared" ref="U564:U582" si="404">T564-P564</f>
        <v>0</v>
      </c>
      <c r="V564" s="3"/>
      <c r="W564" s="3">
        <f t="shared" ref="W564:W582" si="405">Y564-V564</f>
        <v>36070</v>
      </c>
      <c r="X564" s="3"/>
      <c r="Y564" s="3">
        <v>36070</v>
      </c>
      <c r="Z564" s="3">
        <f t="shared" ref="Z564:Z582" si="406">Y564-T564</f>
        <v>0</v>
      </c>
      <c r="AA564" s="3"/>
      <c r="AB564" s="3"/>
      <c r="AC564" s="3">
        <v>0</v>
      </c>
      <c r="AD564" s="3">
        <f t="shared" ref="AD564:AD582" si="407">AE564-AC564</f>
        <v>36070</v>
      </c>
      <c r="AE564" s="3">
        <v>36070</v>
      </c>
      <c r="AF564" s="3">
        <f t="shared" ref="AF564:AF582" si="408">AE564-Y564</f>
        <v>0</v>
      </c>
      <c r="AG564" s="4"/>
      <c r="AH564" s="4">
        <f>AE564*1.05+26</f>
        <v>37899.5</v>
      </c>
      <c r="AJ564" s="3">
        <v>0</v>
      </c>
      <c r="AK564" s="3">
        <f t="shared" ref="AK564:AK583" si="409">AL564-AJ564</f>
        <v>37900</v>
      </c>
      <c r="AL564" s="3">
        <v>37900</v>
      </c>
      <c r="AM564" s="3">
        <f t="shared" ref="AM564:AM583" si="410">AL564-AH564</f>
        <v>0.5</v>
      </c>
      <c r="AO564" s="3">
        <f>AH564*1.05</f>
        <v>39794.474999999999</v>
      </c>
      <c r="AP564" s="3"/>
      <c r="AQ564" s="3">
        <f>AO564*1.05</f>
        <v>41784.198750000003</v>
      </c>
      <c r="AR564" s="3"/>
      <c r="AS564" s="3">
        <f>AQ564*1.05</f>
        <v>43873.408687500007</v>
      </c>
      <c r="AT564" s="3"/>
      <c r="AU564" s="3">
        <f>AS564*1.05</f>
        <v>46067.079121875009</v>
      </c>
      <c r="AV564" s="3"/>
      <c r="AW564" s="3">
        <f>AU564*1.05</f>
        <v>48370.433077968759</v>
      </c>
      <c r="AX564" s="42"/>
      <c r="AY564" s="3">
        <f>AW564*1.05</f>
        <v>50788.954731867198</v>
      </c>
      <c r="AZ564" s="42"/>
      <c r="BA564" s="3">
        <f>AY564*1.05</f>
        <v>53328.402468460561</v>
      </c>
      <c r="BB564" s="42"/>
      <c r="BC564" s="3">
        <f>BA564*1.05</f>
        <v>55994.822591883589</v>
      </c>
      <c r="BE564" s="3">
        <f>BC564*1.05</f>
        <v>58794.563721477767</v>
      </c>
    </row>
    <row r="565" spans="1:57" x14ac:dyDescent="0.25">
      <c r="A565" s="3" t="s">
        <v>435</v>
      </c>
      <c r="B565" s="3">
        <v>7720</v>
      </c>
      <c r="D565" s="3">
        <v>0</v>
      </c>
      <c r="E565" s="3">
        <f t="shared" si="399"/>
        <v>7720</v>
      </c>
      <c r="F565" s="5">
        <v>7720</v>
      </c>
      <c r="H565" s="5">
        <f t="shared" si="400"/>
        <v>0</v>
      </c>
      <c r="J565" s="5">
        <v>0</v>
      </c>
      <c r="K565" s="4">
        <f t="shared" si="401"/>
        <v>7720</v>
      </c>
      <c r="L565" s="4">
        <v>7720</v>
      </c>
      <c r="N565" s="4">
        <f t="shared" si="402"/>
        <v>0</v>
      </c>
      <c r="P565" s="3">
        <v>7940</v>
      </c>
      <c r="Q565" s="3"/>
      <c r="R565" s="3">
        <v>0</v>
      </c>
      <c r="S565" s="3">
        <f t="shared" si="403"/>
        <v>7940</v>
      </c>
      <c r="T565" s="3">
        <v>7940</v>
      </c>
      <c r="U565" s="3">
        <f t="shared" si="404"/>
        <v>0</v>
      </c>
      <c r="V565" s="3"/>
      <c r="W565" s="3">
        <f t="shared" si="405"/>
        <v>7940</v>
      </c>
      <c r="X565" s="3"/>
      <c r="Y565" s="3">
        <v>7940</v>
      </c>
      <c r="Z565" s="3">
        <f t="shared" si="406"/>
        <v>0</v>
      </c>
      <c r="AA565" s="3"/>
      <c r="AB565" s="3"/>
      <c r="AC565" s="3">
        <v>0</v>
      </c>
      <c r="AD565" s="3">
        <f t="shared" si="407"/>
        <v>7940</v>
      </c>
      <c r="AE565" s="3">
        <v>7940</v>
      </c>
      <c r="AF565" s="3">
        <f t="shared" si="408"/>
        <v>0</v>
      </c>
      <c r="AG565" s="4"/>
      <c r="AH565" s="4">
        <f>AE565*1.05+13</f>
        <v>8350</v>
      </c>
      <c r="AJ565" s="3">
        <v>0</v>
      </c>
      <c r="AK565" s="3">
        <f t="shared" si="409"/>
        <v>8350</v>
      </c>
      <c r="AL565" s="3">
        <v>8350</v>
      </c>
      <c r="AM565" s="3">
        <f t="shared" si="410"/>
        <v>0</v>
      </c>
      <c r="AO565" s="3">
        <f>AH565*1.05</f>
        <v>8767.5</v>
      </c>
      <c r="AP565" s="3"/>
      <c r="AQ565" s="3">
        <f>AO565*1.05</f>
        <v>9205.875</v>
      </c>
      <c r="AR565" s="3"/>
      <c r="AS565" s="3">
        <f>AQ565*1.05</f>
        <v>9666.1687500000007</v>
      </c>
      <c r="AT565" s="3"/>
      <c r="AU565" s="3">
        <f>AS565*1.05</f>
        <v>10149.477187500001</v>
      </c>
      <c r="AV565" s="42"/>
      <c r="AW565" s="3">
        <f>AU565*1.05</f>
        <v>10656.951046875001</v>
      </c>
      <c r="AX565" s="42"/>
      <c r="AY565" s="3">
        <f>AW565*1.05</f>
        <v>11189.798599218751</v>
      </c>
      <c r="AZ565" s="42"/>
      <c r="BA565" s="3">
        <f>AY565*1.05</f>
        <v>11749.28852917969</v>
      </c>
      <c r="BB565" s="42"/>
      <c r="BC565" s="3">
        <f>BA565*1.05</f>
        <v>12336.752955638674</v>
      </c>
      <c r="BE565" s="3">
        <f>BC565*1.05</f>
        <v>12953.590603420609</v>
      </c>
    </row>
    <row r="566" spans="1:57" x14ac:dyDescent="0.25">
      <c r="A566" s="3" t="s">
        <v>436</v>
      </c>
      <c r="B566" s="3">
        <v>31850</v>
      </c>
      <c r="D566" s="3">
        <v>6800</v>
      </c>
      <c r="E566" s="3">
        <f t="shared" si="399"/>
        <v>25050</v>
      </c>
      <c r="F566" s="5">
        <v>31850</v>
      </c>
      <c r="H566" s="5">
        <f t="shared" si="400"/>
        <v>0</v>
      </c>
      <c r="J566" s="3">
        <v>13188</v>
      </c>
      <c r="K566" s="4">
        <f t="shared" si="401"/>
        <v>16812</v>
      </c>
      <c r="L566" s="4">
        <v>30000</v>
      </c>
      <c r="N566" s="4">
        <f t="shared" si="402"/>
        <v>-1850</v>
      </c>
      <c r="P566" s="3">
        <f>L566*1.0275+75</f>
        <v>30900.000000000004</v>
      </c>
      <c r="Q566" s="3"/>
      <c r="R566" s="3">
        <v>7052</v>
      </c>
      <c r="S566" s="3">
        <f t="shared" si="403"/>
        <v>23848</v>
      </c>
      <c r="T566" s="3">
        <v>30900</v>
      </c>
      <c r="U566" s="3">
        <f t="shared" si="404"/>
        <v>0</v>
      </c>
      <c r="V566" s="3">
        <v>13221</v>
      </c>
      <c r="W566" s="3">
        <f t="shared" si="405"/>
        <v>17679</v>
      </c>
      <c r="X566" s="3"/>
      <c r="Y566" s="3">
        <v>30900</v>
      </c>
      <c r="Z566" s="3">
        <f t="shared" si="406"/>
        <v>0</v>
      </c>
      <c r="AA566" s="3"/>
      <c r="AB566" s="3"/>
      <c r="AC566" s="3">
        <v>19589</v>
      </c>
      <c r="AD566" s="3">
        <f t="shared" si="407"/>
        <v>12311</v>
      </c>
      <c r="AE566" s="3">
        <v>31900</v>
      </c>
      <c r="AF566" s="3">
        <f t="shared" si="408"/>
        <v>1000</v>
      </c>
      <c r="AG566" s="4"/>
      <c r="AH566" s="4">
        <f>AE566*1.0325+13</f>
        <v>32949.75</v>
      </c>
      <c r="AJ566" s="3">
        <v>6155</v>
      </c>
      <c r="AK566" s="3">
        <f t="shared" si="409"/>
        <v>26795</v>
      </c>
      <c r="AL566" s="3">
        <v>32950</v>
      </c>
      <c r="AM566" s="3">
        <f t="shared" si="410"/>
        <v>0.25</v>
      </c>
      <c r="AO566" s="3">
        <f t="shared" ref="AO566:AO579" si="411">AH566*1.03</f>
        <v>33938.2425</v>
      </c>
      <c r="AP566" s="3"/>
      <c r="AQ566" s="3">
        <f t="shared" ref="AQ566:AU579" si="412">AO566*1.03</f>
        <v>34956.389775000003</v>
      </c>
      <c r="AR566" s="3">
        <f t="shared" si="412"/>
        <v>0</v>
      </c>
      <c r="AS566" s="3">
        <f t="shared" si="412"/>
        <v>36005.081468250006</v>
      </c>
      <c r="AT566" s="3">
        <f t="shared" si="412"/>
        <v>0</v>
      </c>
      <c r="AU566" s="3">
        <f t="shared" si="412"/>
        <v>37085.23391229751</v>
      </c>
      <c r="AV566" s="3"/>
      <c r="AW566" s="3">
        <f t="shared" ref="AW566:BA579" si="413">AU566*1.03</f>
        <v>38197.790929666437</v>
      </c>
      <c r="AX566" s="3">
        <f t="shared" si="413"/>
        <v>0</v>
      </c>
      <c r="AY566" s="3">
        <f t="shared" si="413"/>
        <v>39343.724657556428</v>
      </c>
      <c r="AZ566" s="3">
        <f t="shared" si="413"/>
        <v>0</v>
      </c>
      <c r="BA566" s="3">
        <f t="shared" si="413"/>
        <v>40524.036397283118</v>
      </c>
      <c r="BB566" s="3"/>
      <c r="BC566" s="3">
        <f t="shared" ref="BC566:BE579" si="414">BA566*1.03</f>
        <v>41739.757489201613</v>
      </c>
      <c r="BD566" s="3">
        <f t="shared" si="414"/>
        <v>0</v>
      </c>
      <c r="BE566" s="3">
        <f t="shared" si="414"/>
        <v>42991.950213877659</v>
      </c>
    </row>
    <row r="567" spans="1:57" x14ac:dyDescent="0.25">
      <c r="A567" s="3" t="s">
        <v>437</v>
      </c>
      <c r="B567" s="3">
        <v>33000</v>
      </c>
      <c r="D567" s="3">
        <v>13434</v>
      </c>
      <c r="E567" s="3">
        <f t="shared" si="399"/>
        <v>40166</v>
      </c>
      <c r="F567" s="5">
        <v>53600</v>
      </c>
      <c r="H567" s="5">
        <f t="shared" si="400"/>
        <v>20600</v>
      </c>
      <c r="J567" s="3">
        <v>24421</v>
      </c>
      <c r="K567" s="4">
        <f t="shared" si="401"/>
        <v>28179</v>
      </c>
      <c r="L567" s="4">
        <v>52600</v>
      </c>
      <c r="N567" s="4">
        <f t="shared" si="402"/>
        <v>-1000</v>
      </c>
      <c r="P567" s="3">
        <f>B567*1.0325+27</f>
        <v>34099.5</v>
      </c>
      <c r="Q567" s="3"/>
      <c r="R567" s="3">
        <v>11712</v>
      </c>
      <c r="S567" s="3">
        <f t="shared" si="403"/>
        <v>22388</v>
      </c>
      <c r="T567" s="3">
        <v>34100</v>
      </c>
      <c r="U567" s="3">
        <f t="shared" si="404"/>
        <v>0.5</v>
      </c>
      <c r="V567" s="3">
        <v>23379</v>
      </c>
      <c r="W567" s="3">
        <f t="shared" si="405"/>
        <v>10721</v>
      </c>
      <c r="X567" s="3"/>
      <c r="Y567" s="3">
        <v>34100</v>
      </c>
      <c r="Z567" s="3">
        <f t="shared" si="406"/>
        <v>0</v>
      </c>
      <c r="AA567" s="3"/>
      <c r="AB567" s="3"/>
      <c r="AC567" s="3">
        <v>15409</v>
      </c>
      <c r="AD567" s="3">
        <f t="shared" si="407"/>
        <v>14591</v>
      </c>
      <c r="AE567" s="3">
        <v>30000</v>
      </c>
      <c r="AF567" s="3">
        <f t="shared" si="408"/>
        <v>-4100</v>
      </c>
      <c r="AG567" s="4"/>
      <c r="AH567" s="4">
        <f>AE567*1.03</f>
        <v>30900</v>
      </c>
      <c r="AJ567" s="3">
        <v>13119</v>
      </c>
      <c r="AK567" s="3">
        <f t="shared" si="409"/>
        <v>17781</v>
      </c>
      <c r="AL567" s="3">
        <v>30900</v>
      </c>
      <c r="AM567" s="3">
        <f t="shared" si="410"/>
        <v>0</v>
      </c>
      <c r="AO567" s="3">
        <f t="shared" si="411"/>
        <v>31827</v>
      </c>
      <c r="AP567" s="3"/>
      <c r="AQ567" s="3">
        <f t="shared" si="412"/>
        <v>32781.81</v>
      </c>
      <c r="AR567" s="3">
        <f t="shared" si="412"/>
        <v>0</v>
      </c>
      <c r="AS567" s="3">
        <f t="shared" si="412"/>
        <v>33765.264299999995</v>
      </c>
      <c r="AT567" s="3">
        <f t="shared" si="412"/>
        <v>0</v>
      </c>
      <c r="AU567" s="3">
        <f t="shared" si="412"/>
        <v>34778.222228999999</v>
      </c>
      <c r="AV567" s="3"/>
      <c r="AW567" s="3">
        <f t="shared" si="413"/>
        <v>35821.568895869998</v>
      </c>
      <c r="AX567" s="3">
        <f t="shared" si="413"/>
        <v>0</v>
      </c>
      <c r="AY567" s="3">
        <f t="shared" si="413"/>
        <v>36896.215962746101</v>
      </c>
      <c r="AZ567" s="3">
        <f t="shared" si="413"/>
        <v>0</v>
      </c>
      <c r="BA567" s="3">
        <f t="shared" si="413"/>
        <v>38003.102441628485</v>
      </c>
      <c r="BB567" s="3"/>
      <c r="BC567" s="3">
        <f t="shared" si="414"/>
        <v>39143.195514877341</v>
      </c>
      <c r="BD567" s="3">
        <f t="shared" si="414"/>
        <v>0</v>
      </c>
      <c r="BE567" s="3">
        <f t="shared" si="414"/>
        <v>40317.491380323663</v>
      </c>
    </row>
    <row r="568" spans="1:57" x14ac:dyDescent="0.25">
      <c r="A568" s="3" t="s">
        <v>438</v>
      </c>
      <c r="B568" s="3">
        <v>17000</v>
      </c>
      <c r="D568" s="3">
        <v>4617</v>
      </c>
      <c r="E568" s="3">
        <f t="shared" si="399"/>
        <v>15383</v>
      </c>
      <c r="F568" s="5">
        <v>20000</v>
      </c>
      <c r="H568" s="5">
        <f t="shared" si="400"/>
        <v>3000</v>
      </c>
      <c r="J568" s="3">
        <v>0</v>
      </c>
      <c r="K568" s="4">
        <f t="shared" si="401"/>
        <v>15000</v>
      </c>
      <c r="L568" s="4">
        <v>15000</v>
      </c>
      <c r="N568" s="4">
        <f t="shared" si="402"/>
        <v>-5000</v>
      </c>
      <c r="P568" s="3">
        <f>B568*1.0325+47</f>
        <v>17599.5</v>
      </c>
      <c r="Q568" s="3"/>
      <c r="R568" s="3"/>
      <c r="S568" s="3">
        <f t="shared" si="403"/>
        <v>17600</v>
      </c>
      <c r="T568" s="3">
        <v>17600</v>
      </c>
      <c r="U568" s="3">
        <f t="shared" si="404"/>
        <v>0.5</v>
      </c>
      <c r="V568" s="3">
        <v>12955</v>
      </c>
      <c r="W568" s="3">
        <f t="shared" si="405"/>
        <v>4645</v>
      </c>
      <c r="X568" s="3"/>
      <c r="Y568" s="3">
        <v>17600</v>
      </c>
      <c r="Z568" s="3">
        <f t="shared" si="406"/>
        <v>0</v>
      </c>
      <c r="AA568" s="3"/>
      <c r="AB568" s="3"/>
      <c r="AC568" s="3">
        <v>7875</v>
      </c>
      <c r="AD568" s="3">
        <f t="shared" si="407"/>
        <v>7125</v>
      </c>
      <c r="AE568" s="3">
        <v>15000</v>
      </c>
      <c r="AF568" s="3">
        <f t="shared" si="408"/>
        <v>-2600</v>
      </c>
      <c r="AG568" s="4"/>
      <c r="AH568" s="4">
        <f>AE568*1.03</f>
        <v>15450</v>
      </c>
      <c r="AJ568" s="3"/>
      <c r="AK568" s="3">
        <f t="shared" si="409"/>
        <v>10450</v>
      </c>
      <c r="AL568" s="3">
        <v>10450</v>
      </c>
      <c r="AM568" s="3">
        <f t="shared" si="410"/>
        <v>-5000</v>
      </c>
      <c r="AO568" s="3">
        <f t="shared" si="411"/>
        <v>15913.5</v>
      </c>
      <c r="AP568" s="3"/>
      <c r="AQ568" s="3">
        <f t="shared" si="412"/>
        <v>16390.904999999999</v>
      </c>
      <c r="AR568" s="3">
        <f t="shared" si="412"/>
        <v>0</v>
      </c>
      <c r="AS568" s="3">
        <f t="shared" si="412"/>
        <v>16882.632149999998</v>
      </c>
      <c r="AT568" s="3">
        <f t="shared" si="412"/>
        <v>0</v>
      </c>
      <c r="AU568" s="3">
        <f t="shared" si="412"/>
        <v>17389.1111145</v>
      </c>
      <c r="AV568" s="3"/>
      <c r="AW568" s="3">
        <f t="shared" si="413"/>
        <v>17910.784447934999</v>
      </c>
      <c r="AX568" s="3">
        <f t="shared" si="413"/>
        <v>0</v>
      </c>
      <c r="AY568" s="3">
        <f t="shared" si="413"/>
        <v>18448.10798137305</v>
      </c>
      <c r="AZ568" s="3">
        <f t="shared" si="413"/>
        <v>0</v>
      </c>
      <c r="BA568" s="3">
        <f t="shared" si="413"/>
        <v>19001.551220814243</v>
      </c>
      <c r="BB568" s="3"/>
      <c r="BC568" s="3">
        <f t="shared" si="414"/>
        <v>19571.597757438671</v>
      </c>
      <c r="BD568" s="3">
        <f t="shared" si="414"/>
        <v>0</v>
      </c>
      <c r="BE568" s="3">
        <f t="shared" si="414"/>
        <v>20158.745690161832</v>
      </c>
    </row>
    <row r="569" spans="1:57" x14ac:dyDescent="0.25">
      <c r="A569" s="3" t="s">
        <v>439</v>
      </c>
      <c r="B569" s="3">
        <v>23450</v>
      </c>
      <c r="D569" s="3"/>
      <c r="E569" s="3">
        <f t="shared" si="399"/>
        <v>0</v>
      </c>
      <c r="F569" s="5">
        <v>0</v>
      </c>
      <c r="H569" s="5">
        <f t="shared" si="400"/>
        <v>-23450</v>
      </c>
      <c r="J569" s="3">
        <v>0</v>
      </c>
      <c r="K569" s="4">
        <f t="shared" si="401"/>
        <v>0</v>
      </c>
      <c r="L569" s="4">
        <v>0</v>
      </c>
      <c r="N569" s="4">
        <f t="shared" si="402"/>
        <v>0</v>
      </c>
      <c r="P569" s="3">
        <f>B569*1.0325+88</f>
        <v>24300.125</v>
      </c>
      <c r="Q569" s="3"/>
      <c r="R569" s="3"/>
      <c r="S569" s="3">
        <f t="shared" si="403"/>
        <v>24300</v>
      </c>
      <c r="T569" s="3">
        <v>24300</v>
      </c>
      <c r="U569" s="3">
        <f t="shared" si="404"/>
        <v>-0.125</v>
      </c>
      <c r="V569" s="3"/>
      <c r="W569" s="3">
        <f t="shared" si="405"/>
        <v>24300</v>
      </c>
      <c r="X569" s="3"/>
      <c r="Y569" s="3">
        <v>24300</v>
      </c>
      <c r="Z569" s="3">
        <f t="shared" si="406"/>
        <v>0</v>
      </c>
      <c r="AA569" s="3"/>
      <c r="AB569" s="3"/>
      <c r="AC569" s="3">
        <v>10959</v>
      </c>
      <c r="AD569" s="3">
        <f t="shared" si="407"/>
        <v>9041</v>
      </c>
      <c r="AE569" s="3">
        <v>20000</v>
      </c>
      <c r="AF569" s="3">
        <f t="shared" si="408"/>
        <v>-4300</v>
      </c>
      <c r="AG569" s="4"/>
      <c r="AH569" s="4">
        <f>AE569*1.03</f>
        <v>20600</v>
      </c>
      <c r="AJ569" s="3"/>
      <c r="AK569" s="3">
        <f t="shared" si="409"/>
        <v>15600</v>
      </c>
      <c r="AL569" s="3">
        <v>15600</v>
      </c>
      <c r="AM569" s="3">
        <f t="shared" si="410"/>
        <v>-5000</v>
      </c>
      <c r="AO569" s="3">
        <f t="shared" si="411"/>
        <v>21218</v>
      </c>
      <c r="AP569" s="3"/>
      <c r="AQ569" s="3">
        <f t="shared" si="412"/>
        <v>21854.54</v>
      </c>
      <c r="AR569" s="3">
        <f t="shared" si="412"/>
        <v>0</v>
      </c>
      <c r="AS569" s="3">
        <f t="shared" si="412"/>
        <v>22510.176200000002</v>
      </c>
      <c r="AT569" s="3">
        <f t="shared" si="412"/>
        <v>0</v>
      </c>
      <c r="AU569" s="3">
        <f t="shared" si="412"/>
        <v>23185.481486000001</v>
      </c>
      <c r="AV569" s="3"/>
      <c r="AW569" s="3">
        <f t="shared" si="413"/>
        <v>23881.04593058</v>
      </c>
      <c r="AX569" s="3">
        <f t="shared" si="413"/>
        <v>0</v>
      </c>
      <c r="AY569" s="3">
        <f t="shared" si="413"/>
        <v>24597.4773084974</v>
      </c>
      <c r="AZ569" s="3">
        <f t="shared" si="413"/>
        <v>0</v>
      </c>
      <c r="BA569" s="3">
        <f t="shared" si="413"/>
        <v>25335.401627752322</v>
      </c>
      <c r="BB569" s="3"/>
      <c r="BC569" s="3">
        <f t="shared" si="414"/>
        <v>26095.463676584892</v>
      </c>
      <c r="BD569" s="3">
        <f t="shared" si="414"/>
        <v>0</v>
      </c>
      <c r="BE569" s="3">
        <f t="shared" si="414"/>
        <v>26878.327586882438</v>
      </c>
    </row>
    <row r="570" spans="1:57" x14ac:dyDescent="0.25">
      <c r="A570" s="3" t="s">
        <v>440</v>
      </c>
      <c r="B570" s="3">
        <v>24950</v>
      </c>
      <c r="D570" s="3">
        <v>10283</v>
      </c>
      <c r="E570" s="3">
        <f t="shared" si="399"/>
        <v>14667</v>
      </c>
      <c r="F570" s="5">
        <v>24950</v>
      </c>
      <c r="H570" s="5">
        <f t="shared" si="400"/>
        <v>0</v>
      </c>
      <c r="J570" s="3">
        <v>13592</v>
      </c>
      <c r="K570" s="4">
        <f t="shared" si="401"/>
        <v>11358</v>
      </c>
      <c r="L570" s="4">
        <v>24950</v>
      </c>
      <c r="N570" s="4">
        <f t="shared" si="402"/>
        <v>0</v>
      </c>
      <c r="P570" s="3">
        <f>B570*1.0281-1</f>
        <v>25650.095000000001</v>
      </c>
      <c r="Q570" s="3"/>
      <c r="R570" s="3">
        <v>6722</v>
      </c>
      <c r="S570" s="3">
        <f t="shared" si="403"/>
        <v>18928</v>
      </c>
      <c r="T570" s="3">
        <v>25650</v>
      </c>
      <c r="U570" s="3">
        <f t="shared" si="404"/>
        <v>-9.5000000001164153E-2</v>
      </c>
      <c r="V570" s="3"/>
      <c r="W570" s="3">
        <f t="shared" si="405"/>
        <v>25650</v>
      </c>
      <c r="X570" s="3"/>
      <c r="Y570" s="3">
        <v>25650</v>
      </c>
      <c r="Z570" s="3">
        <f t="shared" si="406"/>
        <v>0</v>
      </c>
      <c r="AA570" s="3"/>
      <c r="AB570" s="3"/>
      <c r="AC570" s="3">
        <v>19100</v>
      </c>
      <c r="AD570" s="3">
        <f t="shared" si="407"/>
        <v>8400</v>
      </c>
      <c r="AE570" s="3">
        <v>27500</v>
      </c>
      <c r="AF570" s="3">
        <f t="shared" si="408"/>
        <v>1850</v>
      </c>
      <c r="AG570" s="4"/>
      <c r="AH570" s="4">
        <f>AE570*1.03+25</f>
        <v>28350</v>
      </c>
      <c r="AJ570" s="3">
        <v>6697</v>
      </c>
      <c r="AK570" s="3">
        <f t="shared" si="409"/>
        <v>21653</v>
      </c>
      <c r="AL570" s="3">
        <v>28350</v>
      </c>
      <c r="AM570" s="3">
        <f t="shared" si="410"/>
        <v>0</v>
      </c>
      <c r="AO570" s="3">
        <f t="shared" si="411"/>
        <v>29200.5</v>
      </c>
      <c r="AP570" s="3"/>
      <c r="AQ570" s="3">
        <f t="shared" si="412"/>
        <v>30076.514999999999</v>
      </c>
      <c r="AR570" s="3">
        <f t="shared" si="412"/>
        <v>0</v>
      </c>
      <c r="AS570" s="3">
        <f t="shared" si="412"/>
        <v>30978.810450000001</v>
      </c>
      <c r="AT570" s="3">
        <f t="shared" si="412"/>
        <v>0</v>
      </c>
      <c r="AU570" s="3">
        <f t="shared" si="412"/>
        <v>31908.174763500003</v>
      </c>
      <c r="AV570" s="3"/>
      <c r="AW570" s="3">
        <f t="shared" si="413"/>
        <v>32865.420006405002</v>
      </c>
      <c r="AX570" s="3">
        <f t="shared" si="413"/>
        <v>0</v>
      </c>
      <c r="AY570" s="3">
        <f t="shared" si="413"/>
        <v>33851.382606597152</v>
      </c>
      <c r="AZ570" s="3">
        <f t="shared" si="413"/>
        <v>0</v>
      </c>
      <c r="BA570" s="3">
        <f t="shared" si="413"/>
        <v>34866.924084795064</v>
      </c>
      <c r="BB570" s="3"/>
      <c r="BC570" s="3">
        <f t="shared" si="414"/>
        <v>35912.931807338915</v>
      </c>
      <c r="BD570" s="3">
        <f t="shared" si="414"/>
        <v>0</v>
      </c>
      <c r="BE570" s="3">
        <f t="shared" si="414"/>
        <v>36990.319761559083</v>
      </c>
    </row>
    <row r="571" spans="1:57" x14ac:dyDescent="0.25">
      <c r="A571" s="3" t="s">
        <v>441</v>
      </c>
      <c r="B571" s="3">
        <v>3200</v>
      </c>
      <c r="D571" s="3"/>
      <c r="E571" s="3">
        <f t="shared" si="399"/>
        <v>3200</v>
      </c>
      <c r="F571" s="5">
        <v>3200</v>
      </c>
      <c r="H571" s="5">
        <f t="shared" si="400"/>
        <v>0</v>
      </c>
      <c r="J571" s="3">
        <v>6862</v>
      </c>
      <c r="K571" s="4">
        <f t="shared" si="401"/>
        <v>2138</v>
      </c>
      <c r="L571" s="4">
        <v>9000</v>
      </c>
      <c r="N571" s="4">
        <f t="shared" si="402"/>
        <v>5800</v>
      </c>
      <c r="P571" s="3">
        <f>L571*1.0281+47</f>
        <v>9299.9</v>
      </c>
      <c r="Q571" s="3"/>
      <c r="R571" s="3"/>
      <c r="S571" s="3">
        <f t="shared" si="403"/>
        <v>9300</v>
      </c>
      <c r="T571" s="3">
        <v>9300</v>
      </c>
      <c r="U571" s="3">
        <f t="shared" si="404"/>
        <v>0.1000000000003638</v>
      </c>
      <c r="V571" s="3"/>
      <c r="W571" s="3">
        <f t="shared" si="405"/>
        <v>9300</v>
      </c>
      <c r="X571" s="3"/>
      <c r="Y571" s="3">
        <v>9300</v>
      </c>
      <c r="Z571" s="3">
        <f t="shared" si="406"/>
        <v>0</v>
      </c>
      <c r="AA571" s="3"/>
      <c r="AB571" s="3"/>
      <c r="AC571" s="3">
        <v>0</v>
      </c>
      <c r="AD571" s="3">
        <f t="shared" si="407"/>
        <v>5000</v>
      </c>
      <c r="AE571" s="3">
        <v>5000</v>
      </c>
      <c r="AF571" s="3">
        <f t="shared" si="408"/>
        <v>-4300</v>
      </c>
      <c r="AG571" s="4"/>
      <c r="AH571" s="4">
        <f>AE571*1.03</f>
        <v>5150</v>
      </c>
      <c r="AJ571" s="3"/>
      <c r="AK571" s="3">
        <f t="shared" si="409"/>
        <v>5000</v>
      </c>
      <c r="AL571" s="3">
        <v>5000</v>
      </c>
      <c r="AM571" s="3">
        <f t="shared" si="410"/>
        <v>-150</v>
      </c>
      <c r="AO571" s="3">
        <f t="shared" si="411"/>
        <v>5304.5</v>
      </c>
      <c r="AP571" s="3"/>
      <c r="AQ571" s="3">
        <f t="shared" si="412"/>
        <v>5463.6350000000002</v>
      </c>
      <c r="AR571" s="3">
        <f t="shared" si="412"/>
        <v>0</v>
      </c>
      <c r="AS571" s="3">
        <f t="shared" si="412"/>
        <v>5627.5440500000004</v>
      </c>
      <c r="AT571" s="3">
        <f t="shared" si="412"/>
        <v>0</v>
      </c>
      <c r="AU571" s="3">
        <f t="shared" si="412"/>
        <v>5796.3703715000001</v>
      </c>
      <c r="AV571" s="3"/>
      <c r="AW571" s="3">
        <f t="shared" si="413"/>
        <v>5970.2614826449999</v>
      </c>
      <c r="AX571" s="3">
        <f t="shared" si="413"/>
        <v>0</v>
      </c>
      <c r="AY571" s="3">
        <f t="shared" si="413"/>
        <v>6149.3693271243501</v>
      </c>
      <c r="AZ571" s="3">
        <f t="shared" si="413"/>
        <v>0</v>
      </c>
      <c r="BA571" s="3">
        <f t="shared" si="413"/>
        <v>6333.8504069380806</v>
      </c>
      <c r="BB571" s="3"/>
      <c r="BC571" s="3">
        <f t="shared" si="414"/>
        <v>6523.865919146223</v>
      </c>
      <c r="BD571" s="3">
        <f t="shared" si="414"/>
        <v>0</v>
      </c>
      <c r="BE571" s="3">
        <f t="shared" si="414"/>
        <v>6719.5818967206096</v>
      </c>
    </row>
    <row r="572" spans="1:57" x14ac:dyDescent="0.25">
      <c r="A572" s="3" t="s">
        <v>442</v>
      </c>
      <c r="B572" s="3">
        <v>79600</v>
      </c>
      <c r="D572" s="3">
        <v>28004</v>
      </c>
      <c r="E572" s="3">
        <f t="shared" si="399"/>
        <v>51596</v>
      </c>
      <c r="F572" s="5">
        <v>79600</v>
      </c>
      <c r="H572" s="5">
        <f t="shared" si="400"/>
        <v>0</v>
      </c>
      <c r="J572" s="3">
        <v>62822</v>
      </c>
      <c r="K572" s="4">
        <f t="shared" si="401"/>
        <v>16778</v>
      </c>
      <c r="L572" s="4">
        <v>79600</v>
      </c>
      <c r="N572" s="4">
        <f t="shared" si="402"/>
        <v>0</v>
      </c>
      <c r="P572" s="3">
        <f>L572*1.0281+63</f>
        <v>81899.759999999995</v>
      </c>
      <c r="Q572" s="3"/>
      <c r="R572" s="3">
        <v>27820</v>
      </c>
      <c r="S572" s="3">
        <f t="shared" si="403"/>
        <v>54080</v>
      </c>
      <c r="T572" s="3">
        <v>81900</v>
      </c>
      <c r="U572" s="3">
        <f t="shared" si="404"/>
        <v>0.24000000000523869</v>
      </c>
      <c r="V572" s="3">
        <v>68748</v>
      </c>
      <c r="W572" s="3">
        <f t="shared" si="405"/>
        <v>13152</v>
      </c>
      <c r="X572" s="3"/>
      <c r="Y572" s="3">
        <v>81900</v>
      </c>
      <c r="Z572" s="3">
        <f t="shared" si="406"/>
        <v>0</v>
      </c>
      <c r="AA572" s="3"/>
      <c r="AB572" s="3"/>
      <c r="AC572" s="3">
        <v>114784</v>
      </c>
      <c r="AD572" s="3">
        <f t="shared" si="407"/>
        <v>15216</v>
      </c>
      <c r="AE572" s="3">
        <v>130000</v>
      </c>
      <c r="AF572" s="3">
        <f t="shared" si="408"/>
        <v>48100</v>
      </c>
      <c r="AG572" s="4"/>
      <c r="AH572" s="4">
        <f>AE572*1.03</f>
        <v>133900</v>
      </c>
      <c r="AJ572" s="3">
        <v>31318</v>
      </c>
      <c r="AK572" s="3">
        <f t="shared" si="409"/>
        <v>102582</v>
      </c>
      <c r="AL572" s="3">
        <v>133900</v>
      </c>
      <c r="AM572" s="3">
        <f t="shared" si="410"/>
        <v>0</v>
      </c>
      <c r="AO572" s="3">
        <f t="shared" si="411"/>
        <v>137917</v>
      </c>
      <c r="AP572" s="3"/>
      <c r="AQ572" s="3">
        <f t="shared" si="412"/>
        <v>142054.51</v>
      </c>
      <c r="AR572" s="3">
        <f t="shared" si="412"/>
        <v>0</v>
      </c>
      <c r="AS572" s="3">
        <f t="shared" si="412"/>
        <v>146316.1453</v>
      </c>
      <c r="AT572" s="3">
        <f t="shared" si="412"/>
        <v>0</v>
      </c>
      <c r="AU572" s="3">
        <f t="shared" si="412"/>
        <v>150705.629659</v>
      </c>
      <c r="AV572" s="3"/>
      <c r="AW572" s="3">
        <f t="shared" si="413"/>
        <v>155226.79854876999</v>
      </c>
      <c r="AX572" s="3">
        <f t="shared" si="413"/>
        <v>0</v>
      </c>
      <c r="AY572" s="3">
        <f t="shared" si="413"/>
        <v>159883.60250523311</v>
      </c>
      <c r="AZ572" s="3">
        <f t="shared" si="413"/>
        <v>0</v>
      </c>
      <c r="BA572" s="3">
        <f t="shared" si="413"/>
        <v>164680.11058039012</v>
      </c>
      <c r="BB572" s="3"/>
      <c r="BC572" s="3">
        <f t="shared" si="414"/>
        <v>169620.51389780184</v>
      </c>
      <c r="BD572" s="3">
        <f t="shared" si="414"/>
        <v>0</v>
      </c>
      <c r="BE572" s="3">
        <f t="shared" si="414"/>
        <v>174709.12931473591</v>
      </c>
    </row>
    <row r="573" spans="1:57" x14ac:dyDescent="0.25">
      <c r="A573" s="3" t="s">
        <v>443</v>
      </c>
      <c r="B573" s="3">
        <v>47750</v>
      </c>
      <c r="D573" s="3">
        <v>5617</v>
      </c>
      <c r="E573" s="3">
        <f t="shared" si="399"/>
        <v>41983</v>
      </c>
      <c r="F573" s="5">
        <v>47600</v>
      </c>
      <c r="H573" s="5">
        <f t="shared" si="400"/>
        <v>-150</v>
      </c>
      <c r="J573" s="3">
        <v>16127</v>
      </c>
      <c r="K573" s="4">
        <f t="shared" si="401"/>
        <v>31473</v>
      </c>
      <c r="L573" s="4">
        <v>47600</v>
      </c>
      <c r="N573" s="4">
        <f t="shared" si="402"/>
        <v>0</v>
      </c>
      <c r="P573" s="3">
        <f>L573*1.0281+62</f>
        <v>48999.56</v>
      </c>
      <c r="Q573" s="3"/>
      <c r="R573" s="3">
        <v>3816</v>
      </c>
      <c r="S573" s="3">
        <f t="shared" si="403"/>
        <v>45184</v>
      </c>
      <c r="T573" s="3">
        <v>49000</v>
      </c>
      <c r="U573" s="3">
        <f t="shared" si="404"/>
        <v>0.44000000000232831</v>
      </c>
      <c r="V573" s="3">
        <v>7366</v>
      </c>
      <c r="W573" s="3">
        <f t="shared" si="405"/>
        <v>41634</v>
      </c>
      <c r="X573" s="3"/>
      <c r="Y573" s="3">
        <v>49000</v>
      </c>
      <c r="Z573" s="3">
        <f t="shared" si="406"/>
        <v>0</v>
      </c>
      <c r="AA573" s="3"/>
      <c r="AB573" s="3"/>
      <c r="AC573" s="3">
        <v>10861</v>
      </c>
      <c r="AD573" s="3">
        <f t="shared" si="407"/>
        <v>9139</v>
      </c>
      <c r="AE573" s="3">
        <v>20000</v>
      </c>
      <c r="AF573" s="3">
        <f t="shared" si="408"/>
        <v>-29000</v>
      </c>
      <c r="AG573" s="4"/>
      <c r="AH573" s="4">
        <f>AE573*1.03</f>
        <v>20600</v>
      </c>
      <c r="AJ573" s="3">
        <v>898</v>
      </c>
      <c r="AK573" s="3">
        <f t="shared" si="409"/>
        <v>19702</v>
      </c>
      <c r="AL573" s="3">
        <v>20600</v>
      </c>
      <c r="AM573" s="3">
        <f t="shared" si="410"/>
        <v>0</v>
      </c>
      <c r="AO573" s="3">
        <f t="shared" si="411"/>
        <v>21218</v>
      </c>
      <c r="AP573" s="3"/>
      <c r="AQ573" s="3">
        <f t="shared" si="412"/>
        <v>21854.54</v>
      </c>
      <c r="AR573" s="3">
        <f t="shared" si="412"/>
        <v>0</v>
      </c>
      <c r="AS573" s="3">
        <f t="shared" si="412"/>
        <v>22510.176200000002</v>
      </c>
      <c r="AT573" s="3">
        <f t="shared" si="412"/>
        <v>0</v>
      </c>
      <c r="AU573" s="3">
        <f t="shared" si="412"/>
        <v>23185.481486000001</v>
      </c>
      <c r="AV573" s="3"/>
      <c r="AW573" s="3">
        <f t="shared" si="413"/>
        <v>23881.04593058</v>
      </c>
      <c r="AX573" s="3">
        <f t="shared" si="413"/>
        <v>0</v>
      </c>
      <c r="AY573" s="3">
        <f t="shared" si="413"/>
        <v>24597.4773084974</v>
      </c>
      <c r="AZ573" s="3">
        <f t="shared" si="413"/>
        <v>0</v>
      </c>
      <c r="BA573" s="3">
        <f t="shared" si="413"/>
        <v>25335.401627752322</v>
      </c>
      <c r="BB573" s="3"/>
      <c r="BC573" s="3">
        <f t="shared" si="414"/>
        <v>26095.463676584892</v>
      </c>
      <c r="BD573" s="3">
        <f t="shared" si="414"/>
        <v>0</v>
      </c>
      <c r="BE573" s="3">
        <f t="shared" si="414"/>
        <v>26878.327586882438</v>
      </c>
    </row>
    <row r="574" spans="1:57" x14ac:dyDescent="0.25">
      <c r="A574" s="3" t="s">
        <v>444</v>
      </c>
      <c r="B574" s="3">
        <v>26550</v>
      </c>
      <c r="D574" s="3">
        <v>7101</v>
      </c>
      <c r="E574" s="3">
        <f t="shared" si="399"/>
        <v>19449</v>
      </c>
      <c r="F574" s="5">
        <v>26550</v>
      </c>
      <c r="H574" s="5">
        <f t="shared" si="400"/>
        <v>0</v>
      </c>
      <c r="J574" s="3">
        <v>12880</v>
      </c>
      <c r="K574" s="4">
        <f t="shared" si="401"/>
        <v>13620</v>
      </c>
      <c r="L574" s="4">
        <v>26500</v>
      </c>
      <c r="N574" s="4">
        <f t="shared" si="402"/>
        <v>-50</v>
      </c>
      <c r="P574" s="3">
        <f>L574*1.0281+55</f>
        <v>27299.65</v>
      </c>
      <c r="Q574" s="3"/>
      <c r="R574" s="3">
        <v>5105</v>
      </c>
      <c r="S574" s="3">
        <f t="shared" si="403"/>
        <v>22195</v>
      </c>
      <c r="T574" s="3">
        <v>27300</v>
      </c>
      <c r="U574" s="3">
        <f t="shared" si="404"/>
        <v>0.34999999999854481</v>
      </c>
      <c r="V574" s="3">
        <v>12063</v>
      </c>
      <c r="W574" s="3">
        <f t="shared" si="405"/>
        <v>15237</v>
      </c>
      <c r="X574" s="3"/>
      <c r="Y574" s="3">
        <v>27300</v>
      </c>
      <c r="Z574" s="3">
        <f t="shared" si="406"/>
        <v>0</v>
      </c>
      <c r="AA574" s="3"/>
      <c r="AB574" s="3"/>
      <c r="AC574" s="3">
        <v>18905</v>
      </c>
      <c r="AD574" s="3">
        <f t="shared" si="407"/>
        <v>10395</v>
      </c>
      <c r="AE574" s="3">
        <v>29300</v>
      </c>
      <c r="AF574" s="3">
        <f t="shared" si="408"/>
        <v>2000</v>
      </c>
      <c r="AG574" s="4"/>
      <c r="AH574" s="4">
        <f>AE574*1.03+21</f>
        <v>30200</v>
      </c>
      <c r="AJ574" s="3">
        <v>6350</v>
      </c>
      <c r="AK574" s="3">
        <f t="shared" si="409"/>
        <v>23650</v>
      </c>
      <c r="AL574" s="3">
        <v>30000</v>
      </c>
      <c r="AM574" s="3">
        <f t="shared" si="410"/>
        <v>-200</v>
      </c>
      <c r="AO574" s="3">
        <f t="shared" si="411"/>
        <v>31106</v>
      </c>
      <c r="AP574" s="3"/>
      <c r="AQ574" s="3">
        <f t="shared" si="412"/>
        <v>32039.18</v>
      </c>
      <c r="AR574" s="3">
        <f t="shared" si="412"/>
        <v>0</v>
      </c>
      <c r="AS574" s="3">
        <f t="shared" si="412"/>
        <v>33000.3554</v>
      </c>
      <c r="AT574" s="3">
        <f t="shared" si="412"/>
        <v>0</v>
      </c>
      <c r="AU574" s="3">
        <f t="shared" si="412"/>
        <v>33990.366062000001</v>
      </c>
      <c r="AV574" s="3"/>
      <c r="AW574" s="3">
        <f t="shared" si="413"/>
        <v>35010.077043860001</v>
      </c>
      <c r="AX574" s="3">
        <f t="shared" si="413"/>
        <v>0</v>
      </c>
      <c r="AY574" s="3">
        <f t="shared" si="413"/>
        <v>36060.379355175799</v>
      </c>
      <c r="AZ574" s="3">
        <f t="shared" si="413"/>
        <v>0</v>
      </c>
      <c r="BA574" s="3">
        <f t="shared" si="413"/>
        <v>37142.190735831071</v>
      </c>
      <c r="BB574" s="3"/>
      <c r="BC574" s="3">
        <f t="shared" si="414"/>
        <v>38256.456457906002</v>
      </c>
      <c r="BD574" s="3">
        <f t="shared" si="414"/>
        <v>0</v>
      </c>
      <c r="BE574" s="3">
        <f t="shared" si="414"/>
        <v>39404.150151643182</v>
      </c>
    </row>
    <row r="575" spans="1:57" x14ac:dyDescent="0.25">
      <c r="A575" s="3" t="s">
        <v>445</v>
      </c>
      <c r="B575" s="3">
        <v>2000</v>
      </c>
      <c r="D575" s="3">
        <v>175</v>
      </c>
      <c r="E575" s="3">
        <f t="shared" si="399"/>
        <v>1825</v>
      </c>
      <c r="F575" s="5">
        <v>2000</v>
      </c>
      <c r="H575" s="5">
        <f t="shared" si="400"/>
        <v>0</v>
      </c>
      <c r="J575" s="3">
        <v>292</v>
      </c>
      <c r="K575" s="4">
        <f t="shared" si="401"/>
        <v>1708</v>
      </c>
      <c r="L575" s="4">
        <v>2000</v>
      </c>
      <c r="N575" s="4">
        <f t="shared" si="402"/>
        <v>0</v>
      </c>
      <c r="P575" s="3">
        <f>L575*1.0281-6</f>
        <v>2050.1999999999998</v>
      </c>
      <c r="Q575" s="3"/>
      <c r="R575" s="3">
        <v>4918</v>
      </c>
      <c r="S575" s="3">
        <f t="shared" si="403"/>
        <v>2132</v>
      </c>
      <c r="T575" s="3">
        <v>7050</v>
      </c>
      <c r="U575" s="3">
        <f t="shared" si="404"/>
        <v>4999.8</v>
      </c>
      <c r="V575" s="3">
        <v>9257</v>
      </c>
      <c r="W575" s="3">
        <f t="shared" si="405"/>
        <v>4243</v>
      </c>
      <c r="X575" s="3"/>
      <c r="Y575" s="3">
        <v>13500</v>
      </c>
      <c r="Z575" s="3">
        <f t="shared" si="406"/>
        <v>6450</v>
      </c>
      <c r="AA575" s="3"/>
      <c r="AB575" s="3"/>
      <c r="AC575" s="3">
        <v>15259</v>
      </c>
      <c r="AD575" s="3">
        <f t="shared" si="407"/>
        <v>7141</v>
      </c>
      <c r="AE575" s="3">
        <v>22400</v>
      </c>
      <c r="AF575" s="3">
        <f t="shared" si="408"/>
        <v>8900</v>
      </c>
      <c r="AG575" s="4"/>
      <c r="AH575" s="4">
        <f>AE575*1.03+28</f>
        <v>23100</v>
      </c>
      <c r="AJ575" s="3">
        <v>1041</v>
      </c>
      <c r="AK575" s="3">
        <f t="shared" si="409"/>
        <v>21959</v>
      </c>
      <c r="AL575" s="3">
        <v>23000</v>
      </c>
      <c r="AM575" s="3">
        <f t="shared" si="410"/>
        <v>-100</v>
      </c>
      <c r="AO575" s="3">
        <f t="shared" si="411"/>
        <v>23793</v>
      </c>
      <c r="AP575" s="3"/>
      <c r="AQ575" s="3">
        <f t="shared" si="412"/>
        <v>24506.79</v>
      </c>
      <c r="AR575" s="3">
        <f t="shared" si="412"/>
        <v>0</v>
      </c>
      <c r="AS575" s="3">
        <f t="shared" si="412"/>
        <v>25241.993700000003</v>
      </c>
      <c r="AT575" s="3">
        <f t="shared" si="412"/>
        <v>0</v>
      </c>
      <c r="AU575" s="3">
        <f t="shared" si="412"/>
        <v>25999.253511000003</v>
      </c>
      <c r="AV575" s="3"/>
      <c r="AW575" s="3">
        <f t="shared" si="413"/>
        <v>26779.231116330004</v>
      </c>
      <c r="AX575" s="3">
        <f t="shared" si="413"/>
        <v>0</v>
      </c>
      <c r="AY575" s="3">
        <f t="shared" si="413"/>
        <v>27582.608049819904</v>
      </c>
      <c r="AZ575" s="3">
        <f t="shared" si="413"/>
        <v>0</v>
      </c>
      <c r="BA575" s="3">
        <f t="shared" si="413"/>
        <v>28410.086291314503</v>
      </c>
      <c r="BB575" s="3"/>
      <c r="BC575" s="3">
        <f t="shared" si="414"/>
        <v>29262.388880053939</v>
      </c>
      <c r="BD575" s="3">
        <f t="shared" si="414"/>
        <v>0</v>
      </c>
      <c r="BE575" s="3">
        <f t="shared" si="414"/>
        <v>30140.260546455556</v>
      </c>
    </row>
    <row r="576" spans="1:57" x14ac:dyDescent="0.25">
      <c r="A576" s="3" t="s">
        <v>446</v>
      </c>
      <c r="B576" s="3">
        <v>1600</v>
      </c>
      <c r="D576" s="3"/>
      <c r="E576" s="3">
        <f t="shared" si="399"/>
        <v>1600</v>
      </c>
      <c r="F576" s="5">
        <v>1600</v>
      </c>
      <c r="H576" s="5">
        <f>F576-B576</f>
        <v>0</v>
      </c>
      <c r="J576" s="3"/>
      <c r="K576" s="4">
        <f t="shared" si="401"/>
        <v>0</v>
      </c>
      <c r="L576" s="4"/>
      <c r="N576" s="4">
        <f t="shared" si="402"/>
        <v>-1600</v>
      </c>
      <c r="P576" s="3">
        <f>B576*1.0281+5</f>
        <v>1649.96</v>
      </c>
      <c r="Q576" s="3"/>
      <c r="R576" s="3"/>
      <c r="S576" s="3">
        <f t="shared" si="403"/>
        <v>1650</v>
      </c>
      <c r="T576" s="3">
        <v>1650</v>
      </c>
      <c r="U576" s="3">
        <f t="shared" si="404"/>
        <v>3.999999999996362E-2</v>
      </c>
      <c r="V576" s="3"/>
      <c r="W576" s="3">
        <f t="shared" si="405"/>
        <v>1650</v>
      </c>
      <c r="X576" s="3"/>
      <c r="Y576" s="3">
        <v>1650</v>
      </c>
      <c r="Z576" s="3">
        <f t="shared" si="406"/>
        <v>0</v>
      </c>
      <c r="AA576" s="3"/>
      <c r="AB576" s="3"/>
      <c r="AC576" s="3">
        <v>0</v>
      </c>
      <c r="AD576" s="3">
        <f t="shared" si="407"/>
        <v>1650</v>
      </c>
      <c r="AE576" s="3">
        <v>1650</v>
      </c>
      <c r="AF576" s="3">
        <f t="shared" si="408"/>
        <v>0</v>
      </c>
      <c r="AG576" s="4"/>
      <c r="AH576" s="4">
        <f>AE576*1.03</f>
        <v>1699.5</v>
      </c>
      <c r="AJ576" s="3"/>
      <c r="AK576" s="3">
        <f t="shared" si="409"/>
        <v>1500</v>
      </c>
      <c r="AL576" s="3">
        <v>1500</v>
      </c>
      <c r="AM576" s="3">
        <f t="shared" si="410"/>
        <v>-199.5</v>
      </c>
      <c r="AO576" s="3">
        <f t="shared" si="411"/>
        <v>1750.4850000000001</v>
      </c>
      <c r="AP576" s="3"/>
      <c r="AQ576" s="3">
        <f t="shared" si="412"/>
        <v>1802.9995500000002</v>
      </c>
      <c r="AR576" s="3">
        <f t="shared" si="412"/>
        <v>0</v>
      </c>
      <c r="AS576" s="3">
        <f t="shared" si="412"/>
        <v>1857.0895365000003</v>
      </c>
      <c r="AT576" s="3">
        <f t="shared" si="412"/>
        <v>0</v>
      </c>
      <c r="AU576" s="3">
        <f t="shared" si="412"/>
        <v>1912.8022225950003</v>
      </c>
      <c r="AV576" s="3"/>
      <c r="AW576" s="3">
        <f t="shared" si="413"/>
        <v>1970.1862892728504</v>
      </c>
      <c r="AX576" s="3">
        <f t="shared" si="413"/>
        <v>0</v>
      </c>
      <c r="AY576" s="3">
        <f t="shared" si="413"/>
        <v>2029.291877951036</v>
      </c>
      <c r="AZ576" s="3">
        <f t="shared" si="413"/>
        <v>0</v>
      </c>
      <c r="BA576" s="3">
        <f t="shared" si="413"/>
        <v>2090.1706342895673</v>
      </c>
      <c r="BB576" s="3"/>
      <c r="BC576" s="3">
        <f t="shared" si="414"/>
        <v>2152.8757533182543</v>
      </c>
      <c r="BD576" s="3">
        <f t="shared" si="414"/>
        <v>0</v>
      </c>
      <c r="BE576" s="3">
        <f t="shared" si="414"/>
        <v>2217.4620259178018</v>
      </c>
    </row>
    <row r="577" spans="1:57" x14ac:dyDescent="0.25">
      <c r="A577" s="3" t="s">
        <v>447</v>
      </c>
      <c r="B577" s="3"/>
      <c r="D577" s="3"/>
      <c r="E577" s="3">
        <f t="shared" si="399"/>
        <v>0</v>
      </c>
      <c r="H577" s="5">
        <f t="shared" si="400"/>
        <v>0</v>
      </c>
      <c r="J577" s="3"/>
      <c r="K577" s="4">
        <f t="shared" si="401"/>
        <v>0</v>
      </c>
      <c r="L577" s="4"/>
      <c r="N577" s="4">
        <f t="shared" si="402"/>
        <v>0</v>
      </c>
      <c r="P577" s="3"/>
      <c r="Q577" s="3"/>
      <c r="R577" s="3"/>
      <c r="S577" s="3">
        <f t="shared" si="403"/>
        <v>0</v>
      </c>
      <c r="T577" s="3"/>
      <c r="U577" s="3">
        <f t="shared" si="404"/>
        <v>0</v>
      </c>
      <c r="V577" s="3"/>
      <c r="W577" s="3">
        <f t="shared" si="405"/>
        <v>0</v>
      </c>
      <c r="X577" s="3"/>
      <c r="Y577" s="3"/>
      <c r="Z577" s="3">
        <f t="shared" si="406"/>
        <v>0</v>
      </c>
      <c r="AA577" s="3"/>
      <c r="AB577" s="3"/>
      <c r="AC577" s="3"/>
      <c r="AD577" s="3">
        <f t="shared" si="407"/>
        <v>0</v>
      </c>
      <c r="AE577" s="3"/>
      <c r="AF577" s="3">
        <f t="shared" si="408"/>
        <v>0</v>
      </c>
      <c r="AG577" s="4"/>
      <c r="AH577" s="4">
        <f>AE577*1.03</f>
        <v>0</v>
      </c>
      <c r="AJ577" s="3"/>
      <c r="AK577" s="3">
        <f t="shared" si="409"/>
        <v>0</v>
      </c>
      <c r="AL577" s="3"/>
      <c r="AM577" s="3">
        <f t="shared" si="410"/>
        <v>0</v>
      </c>
      <c r="AO577" s="3">
        <f t="shared" si="411"/>
        <v>0</v>
      </c>
      <c r="AP577" s="3"/>
      <c r="AQ577" s="3">
        <f t="shared" si="412"/>
        <v>0</v>
      </c>
      <c r="AR577" s="3">
        <f t="shared" si="412"/>
        <v>0</v>
      </c>
      <c r="AS577" s="3">
        <f t="shared" si="412"/>
        <v>0</v>
      </c>
      <c r="AT577" s="3">
        <f t="shared" si="412"/>
        <v>0</v>
      </c>
      <c r="AU577" s="3">
        <f t="shared" si="412"/>
        <v>0</v>
      </c>
      <c r="AV577" s="3"/>
      <c r="AW577" s="3">
        <f t="shared" si="413"/>
        <v>0</v>
      </c>
      <c r="AX577" s="3">
        <f t="shared" si="413"/>
        <v>0</v>
      </c>
      <c r="AY577" s="3">
        <f t="shared" si="413"/>
        <v>0</v>
      </c>
      <c r="AZ577" s="3">
        <f t="shared" si="413"/>
        <v>0</v>
      </c>
      <c r="BA577" s="3">
        <f t="shared" si="413"/>
        <v>0</v>
      </c>
      <c r="BB577" s="3"/>
      <c r="BC577" s="3">
        <f t="shared" si="414"/>
        <v>0</v>
      </c>
      <c r="BD577" s="3">
        <f t="shared" si="414"/>
        <v>0</v>
      </c>
      <c r="BE577" s="3">
        <f t="shared" si="414"/>
        <v>0</v>
      </c>
    </row>
    <row r="578" spans="1:57" x14ac:dyDescent="0.25">
      <c r="A578" s="3" t="s">
        <v>448</v>
      </c>
      <c r="B578" s="3">
        <v>2500</v>
      </c>
      <c r="D578" s="3"/>
      <c r="E578" s="3">
        <f t="shared" si="399"/>
        <v>2500</v>
      </c>
      <c r="F578" s="5">
        <v>2500</v>
      </c>
      <c r="H578" s="5">
        <f t="shared" si="400"/>
        <v>0</v>
      </c>
      <c r="J578" s="3"/>
      <c r="K578" s="4">
        <f t="shared" si="401"/>
        <v>0</v>
      </c>
      <c r="L578" s="4"/>
      <c r="N578" s="4">
        <f t="shared" si="402"/>
        <v>-2500</v>
      </c>
      <c r="P578" s="3">
        <f>2500*1.0281-70</f>
        <v>2500.25</v>
      </c>
      <c r="Q578" s="3"/>
      <c r="R578" s="3"/>
      <c r="S578" s="3">
        <f t="shared" si="403"/>
        <v>2500</v>
      </c>
      <c r="T578" s="3">
        <v>2500</v>
      </c>
      <c r="U578" s="3">
        <f t="shared" si="404"/>
        <v>-0.25</v>
      </c>
      <c r="V578" s="3"/>
      <c r="W578" s="3">
        <f t="shared" si="405"/>
        <v>2500</v>
      </c>
      <c r="X578" s="3"/>
      <c r="Y578" s="3">
        <v>2500</v>
      </c>
      <c r="Z578" s="3">
        <f t="shared" si="406"/>
        <v>0</v>
      </c>
      <c r="AA578" s="3"/>
      <c r="AB578" s="3"/>
      <c r="AC578" s="3"/>
      <c r="AD578" s="3">
        <f t="shared" si="407"/>
        <v>2500</v>
      </c>
      <c r="AE578" s="3">
        <v>2500</v>
      </c>
      <c r="AF578" s="3">
        <f t="shared" si="408"/>
        <v>0</v>
      </c>
      <c r="AG578" s="4"/>
      <c r="AH578" s="4">
        <f>AE578*1.03+25</f>
        <v>2600</v>
      </c>
      <c r="AJ578" s="3"/>
      <c r="AK578" s="3">
        <f t="shared" si="409"/>
        <v>2600</v>
      </c>
      <c r="AL578" s="3">
        <v>2600</v>
      </c>
      <c r="AM578" s="3">
        <f t="shared" si="410"/>
        <v>0</v>
      </c>
      <c r="AO578" s="3">
        <f t="shared" si="411"/>
        <v>2678</v>
      </c>
      <c r="AP578" s="3"/>
      <c r="AQ578" s="3">
        <f t="shared" si="412"/>
        <v>2758.34</v>
      </c>
      <c r="AR578" s="3">
        <f t="shared" si="412"/>
        <v>0</v>
      </c>
      <c r="AS578" s="3">
        <f t="shared" si="412"/>
        <v>2841.0902000000001</v>
      </c>
      <c r="AT578" s="3">
        <f t="shared" si="412"/>
        <v>0</v>
      </c>
      <c r="AU578" s="3">
        <f t="shared" si="412"/>
        <v>2926.3229060000003</v>
      </c>
      <c r="AV578" s="3"/>
      <c r="AW578" s="3">
        <f t="shared" si="413"/>
        <v>3014.1125931800002</v>
      </c>
      <c r="AX578" s="3">
        <f t="shared" si="413"/>
        <v>0</v>
      </c>
      <c r="AY578" s="3">
        <f t="shared" si="413"/>
        <v>3104.5359709754002</v>
      </c>
      <c r="AZ578" s="3">
        <f t="shared" si="413"/>
        <v>0</v>
      </c>
      <c r="BA578" s="3">
        <f t="shared" si="413"/>
        <v>3197.6720501046625</v>
      </c>
      <c r="BB578" s="3"/>
      <c r="BC578" s="3">
        <f t="shared" si="414"/>
        <v>3293.6022116078025</v>
      </c>
      <c r="BD578" s="3">
        <f t="shared" si="414"/>
        <v>0</v>
      </c>
      <c r="BE578" s="3">
        <f t="shared" si="414"/>
        <v>3392.4102779560367</v>
      </c>
    </row>
    <row r="579" spans="1:57" x14ac:dyDescent="0.25">
      <c r="A579" s="3" t="s">
        <v>449</v>
      </c>
      <c r="B579" s="3">
        <v>13800</v>
      </c>
      <c r="D579" s="3">
        <f>6905+1854</f>
        <v>8759</v>
      </c>
      <c r="E579" s="3">
        <f t="shared" si="399"/>
        <v>5041</v>
      </c>
      <c r="F579" s="5">
        <v>13800</v>
      </c>
      <c r="H579" s="5">
        <f t="shared" si="400"/>
        <v>0</v>
      </c>
      <c r="J579" s="3">
        <v>18688</v>
      </c>
      <c r="K579" s="4">
        <f t="shared" si="401"/>
        <v>1312</v>
      </c>
      <c r="L579" s="4">
        <v>20000</v>
      </c>
      <c r="N579" s="4">
        <f t="shared" si="402"/>
        <v>6200</v>
      </c>
      <c r="P579" s="3">
        <v>30000</v>
      </c>
      <c r="Q579" s="3"/>
      <c r="R579" s="3">
        <v>2636</v>
      </c>
      <c r="S579" s="3">
        <f t="shared" si="403"/>
        <v>22364</v>
      </c>
      <c r="T579" s="3">
        <v>25000</v>
      </c>
      <c r="U579" s="3">
        <f t="shared" si="404"/>
        <v>-5000</v>
      </c>
      <c r="V579" s="3">
        <v>3378</v>
      </c>
      <c r="W579" s="3">
        <f t="shared" si="405"/>
        <v>21622</v>
      </c>
      <c r="X579" s="3"/>
      <c r="Y579" s="3">
        <v>25000</v>
      </c>
      <c r="Z579" s="3">
        <f t="shared" si="406"/>
        <v>0</v>
      </c>
      <c r="AA579" s="3"/>
      <c r="AB579" s="3"/>
      <c r="AC579" s="3">
        <v>3378</v>
      </c>
      <c r="AD579" s="3">
        <f t="shared" si="407"/>
        <v>16622</v>
      </c>
      <c r="AE579" s="3">
        <v>20000</v>
      </c>
      <c r="AF579" s="3">
        <f t="shared" si="408"/>
        <v>-5000</v>
      </c>
      <c r="AG579" s="4"/>
      <c r="AH579" s="4">
        <f>AE579*1.03</f>
        <v>20600</v>
      </c>
      <c r="AJ579" s="3"/>
      <c r="AK579" s="3">
        <f t="shared" si="409"/>
        <v>20000</v>
      </c>
      <c r="AL579" s="3">
        <v>20000</v>
      </c>
      <c r="AM579" s="3">
        <f t="shared" si="410"/>
        <v>-600</v>
      </c>
      <c r="AO579" s="3">
        <f t="shared" si="411"/>
        <v>21218</v>
      </c>
      <c r="AP579" s="3"/>
      <c r="AQ579" s="3">
        <f t="shared" si="412"/>
        <v>21854.54</v>
      </c>
      <c r="AR579" s="3">
        <f t="shared" si="412"/>
        <v>0</v>
      </c>
      <c r="AS579" s="3">
        <f t="shared" si="412"/>
        <v>22510.176200000002</v>
      </c>
      <c r="AT579" s="3">
        <f t="shared" si="412"/>
        <v>0</v>
      </c>
      <c r="AU579" s="3">
        <f t="shared" si="412"/>
        <v>23185.481486000001</v>
      </c>
      <c r="AV579" s="3"/>
      <c r="AW579" s="3">
        <f t="shared" si="413"/>
        <v>23881.04593058</v>
      </c>
      <c r="AX579" s="3">
        <f t="shared" si="413"/>
        <v>0</v>
      </c>
      <c r="AY579" s="3">
        <f t="shared" si="413"/>
        <v>24597.4773084974</v>
      </c>
      <c r="AZ579" s="3">
        <f t="shared" si="413"/>
        <v>0</v>
      </c>
      <c r="BA579" s="3">
        <f t="shared" si="413"/>
        <v>25335.401627752322</v>
      </c>
      <c r="BB579" s="3"/>
      <c r="BC579" s="3">
        <f t="shared" si="414"/>
        <v>26095.463676584892</v>
      </c>
      <c r="BD579" s="3">
        <f t="shared" si="414"/>
        <v>0</v>
      </c>
      <c r="BE579" s="3">
        <f t="shared" si="414"/>
        <v>26878.327586882438</v>
      </c>
    </row>
    <row r="580" spans="1:57" x14ac:dyDescent="0.25">
      <c r="A580" s="3" t="s">
        <v>289</v>
      </c>
      <c r="B580" s="3">
        <v>3500</v>
      </c>
      <c r="D580" s="3">
        <v>0</v>
      </c>
      <c r="E580" s="3">
        <f t="shared" si="399"/>
        <v>3500</v>
      </c>
      <c r="F580" s="5">
        <v>3500</v>
      </c>
      <c r="H580" s="5">
        <f t="shared" si="400"/>
        <v>0</v>
      </c>
      <c r="J580" s="5">
        <v>0</v>
      </c>
      <c r="K580" s="4">
        <f t="shared" si="401"/>
        <v>3500</v>
      </c>
      <c r="L580" s="4">
        <v>3500</v>
      </c>
      <c r="N580" s="4">
        <f t="shared" si="402"/>
        <v>0</v>
      </c>
      <c r="P580" s="3">
        <v>3500</v>
      </c>
      <c r="Q580" s="3"/>
      <c r="R580" s="3">
        <v>0</v>
      </c>
      <c r="S580" s="3">
        <f t="shared" si="403"/>
        <v>3500</v>
      </c>
      <c r="T580" s="3">
        <v>3500</v>
      </c>
      <c r="U580" s="3">
        <f t="shared" si="404"/>
        <v>0</v>
      </c>
      <c r="V580" s="3">
        <v>0</v>
      </c>
      <c r="W580" s="3">
        <f t="shared" si="405"/>
        <v>3500</v>
      </c>
      <c r="X580" s="3"/>
      <c r="Y580" s="3">
        <v>3500</v>
      </c>
      <c r="Z580" s="3">
        <f t="shared" si="406"/>
        <v>0</v>
      </c>
      <c r="AA580" s="3"/>
      <c r="AB580" s="3"/>
      <c r="AC580" s="3">
        <v>0</v>
      </c>
      <c r="AD580" s="3">
        <f t="shared" si="407"/>
        <v>3500</v>
      </c>
      <c r="AE580" s="3">
        <v>3500</v>
      </c>
      <c r="AF580" s="3">
        <f t="shared" si="408"/>
        <v>0</v>
      </c>
      <c r="AG580" s="4"/>
      <c r="AH580" s="4">
        <v>3500</v>
      </c>
      <c r="AJ580" s="3">
        <v>0</v>
      </c>
      <c r="AK580" s="3">
        <f t="shared" si="409"/>
        <v>3500</v>
      </c>
      <c r="AL580" s="3">
        <v>3500</v>
      </c>
      <c r="AM580" s="3">
        <f t="shared" si="410"/>
        <v>0</v>
      </c>
      <c r="AO580" s="3">
        <v>3500</v>
      </c>
      <c r="AP580" s="3"/>
      <c r="AQ580" s="3">
        <v>3500</v>
      </c>
      <c r="AR580" s="3"/>
      <c r="AS580" s="3">
        <v>3500</v>
      </c>
      <c r="AT580" s="3"/>
      <c r="AU580" s="3">
        <v>3500</v>
      </c>
      <c r="AV580" s="42"/>
      <c r="AW580" s="3">
        <v>3500</v>
      </c>
      <c r="AX580" s="42"/>
      <c r="AY580" s="3">
        <v>3500</v>
      </c>
      <c r="AZ580" s="42"/>
      <c r="BA580" s="3">
        <v>3500</v>
      </c>
      <c r="BB580" s="42"/>
      <c r="BC580" s="3">
        <v>3500</v>
      </c>
      <c r="BE580" s="3">
        <v>3500</v>
      </c>
    </row>
    <row r="581" spans="1:57" x14ac:dyDescent="0.25">
      <c r="A581" s="3" t="s">
        <v>450</v>
      </c>
      <c r="B581" s="3"/>
      <c r="D581" s="3"/>
      <c r="E581" s="3"/>
      <c r="K581" s="4"/>
      <c r="L581" s="4"/>
      <c r="N581" s="4"/>
      <c r="P581" s="3">
        <v>10000</v>
      </c>
      <c r="Q581" s="3"/>
      <c r="R581" s="3">
        <v>0</v>
      </c>
      <c r="S581" s="3">
        <f t="shared" si="403"/>
        <v>10000</v>
      </c>
      <c r="T581" s="3">
        <v>10000</v>
      </c>
      <c r="U581" s="3">
        <f t="shared" si="404"/>
        <v>0</v>
      </c>
      <c r="V581" s="3"/>
      <c r="W581" s="3">
        <f t="shared" si="405"/>
        <v>10000</v>
      </c>
      <c r="X581" s="3"/>
      <c r="Y581" s="3">
        <v>10000</v>
      </c>
      <c r="Z581" s="3">
        <f t="shared" si="406"/>
        <v>0</v>
      </c>
      <c r="AA581" s="3"/>
      <c r="AB581" s="3"/>
      <c r="AC581" s="3">
        <v>0</v>
      </c>
      <c r="AD581" s="3">
        <f t="shared" si="407"/>
        <v>10000</v>
      </c>
      <c r="AE581" s="3">
        <v>10000</v>
      </c>
      <c r="AF581" s="3">
        <f t="shared" si="408"/>
        <v>0</v>
      </c>
      <c r="AG581" s="4"/>
      <c r="AH581" s="4">
        <v>10000</v>
      </c>
      <c r="AJ581" s="3">
        <v>0</v>
      </c>
      <c r="AK581" s="3">
        <f t="shared" si="409"/>
        <v>10000</v>
      </c>
      <c r="AL581" s="3">
        <v>10000</v>
      </c>
      <c r="AM581" s="3">
        <f t="shared" si="410"/>
        <v>0</v>
      </c>
      <c r="AO581" s="3">
        <v>10000</v>
      </c>
      <c r="AP581" s="3"/>
      <c r="AQ581" s="3">
        <v>10000</v>
      </c>
      <c r="AR581" s="3"/>
      <c r="AS581" s="3">
        <v>10000</v>
      </c>
      <c r="AT581" s="3"/>
      <c r="AU581" s="3">
        <v>10000</v>
      </c>
      <c r="AV581" s="42"/>
      <c r="AW581" s="3">
        <v>10000</v>
      </c>
      <c r="AX581" s="42"/>
      <c r="AY581" s="3">
        <v>10000</v>
      </c>
      <c r="AZ581" s="42"/>
      <c r="BA581" s="3">
        <v>10000</v>
      </c>
      <c r="BB581" s="42"/>
      <c r="BC581" s="3">
        <v>10000</v>
      </c>
      <c r="BE581" s="3">
        <v>10000</v>
      </c>
    </row>
    <row r="582" spans="1:57" x14ac:dyDescent="0.25">
      <c r="A582" s="3" t="s">
        <v>451</v>
      </c>
      <c r="B582" s="3">
        <v>25000</v>
      </c>
      <c r="D582" s="3"/>
      <c r="E582" s="3">
        <f t="shared" si="399"/>
        <v>25000</v>
      </c>
      <c r="F582" s="5">
        <v>25000</v>
      </c>
      <c r="H582" s="5">
        <f t="shared" si="400"/>
        <v>0</v>
      </c>
      <c r="J582" s="5">
        <v>0</v>
      </c>
      <c r="K582" s="4">
        <f t="shared" si="401"/>
        <v>25000</v>
      </c>
      <c r="L582" s="4">
        <v>25000</v>
      </c>
      <c r="N582" s="4">
        <f t="shared" si="402"/>
        <v>0</v>
      </c>
      <c r="P582" s="3">
        <v>50000</v>
      </c>
      <c r="Q582" s="3"/>
      <c r="R582" s="3">
        <v>1169</v>
      </c>
      <c r="S582" s="3">
        <f t="shared" si="403"/>
        <v>48831</v>
      </c>
      <c r="T582" s="3">
        <v>50000</v>
      </c>
      <c r="U582" s="3">
        <f t="shared" si="404"/>
        <v>0</v>
      </c>
      <c r="V582" s="3">
        <v>3227</v>
      </c>
      <c r="W582" s="3">
        <f t="shared" si="405"/>
        <v>40323</v>
      </c>
      <c r="X582" s="3"/>
      <c r="Y582" s="3">
        <v>43550</v>
      </c>
      <c r="Z582" s="3">
        <f t="shared" si="406"/>
        <v>-6450</v>
      </c>
      <c r="AA582" s="3"/>
      <c r="AB582" s="3"/>
      <c r="AC582" s="3">
        <v>6559</v>
      </c>
      <c r="AD582" s="3">
        <f t="shared" si="407"/>
        <v>21441</v>
      </c>
      <c r="AE582" s="3">
        <v>28000</v>
      </c>
      <c r="AF582" s="3">
        <f t="shared" si="408"/>
        <v>-15550</v>
      </c>
      <c r="AG582" s="4"/>
      <c r="AH582" s="4">
        <v>62500</v>
      </c>
      <c r="AJ582" s="3">
        <v>6886</v>
      </c>
      <c r="AK582" s="3">
        <f t="shared" si="409"/>
        <v>53114</v>
      </c>
      <c r="AL582" s="3">
        <v>60000</v>
      </c>
      <c r="AM582" s="3">
        <f t="shared" si="410"/>
        <v>-2500</v>
      </c>
      <c r="AO582" s="3">
        <v>87000</v>
      </c>
      <c r="AP582" s="3"/>
      <c r="AQ582" s="3">
        <f>AO582*1.03</f>
        <v>89610</v>
      </c>
      <c r="AR582" s="3">
        <f>AP582*1.03</f>
        <v>0</v>
      </c>
      <c r="AS582" s="3">
        <f>AQ582*1.03</f>
        <v>92298.3</v>
      </c>
      <c r="AT582" s="3">
        <f>AR582*1.03</f>
        <v>0</v>
      </c>
      <c r="AU582" s="3">
        <f>AS582*1.03</f>
        <v>95067.249000000011</v>
      </c>
      <c r="AV582" s="3"/>
      <c r="AW582" s="3">
        <f>AU582*1.03</f>
        <v>97919.266470000017</v>
      </c>
      <c r="AX582" s="3">
        <f>AV582*1.03</f>
        <v>0</v>
      </c>
      <c r="AY582" s="3">
        <f>AW582*1.03</f>
        <v>100856.84446410002</v>
      </c>
      <c r="AZ582" s="3">
        <f>AX582*1.03</f>
        <v>0</v>
      </c>
      <c r="BA582" s="3">
        <f>AY582*1.03</f>
        <v>103882.54979802303</v>
      </c>
      <c r="BB582" s="3"/>
      <c r="BC582" s="3">
        <f>BA582*1.03</f>
        <v>106999.02629196372</v>
      </c>
      <c r="BD582" s="3">
        <f>BB582*1.03</f>
        <v>0</v>
      </c>
      <c r="BE582" s="3">
        <f>BC582*1.03</f>
        <v>110208.99708072263</v>
      </c>
    </row>
    <row r="583" spans="1:57" x14ac:dyDescent="0.25">
      <c r="A583" s="3" t="s">
        <v>452</v>
      </c>
      <c r="B583" s="3"/>
      <c r="D583" s="3"/>
      <c r="E583" s="3"/>
      <c r="F583" s="3"/>
      <c r="H583" s="3"/>
      <c r="I583" s="3"/>
      <c r="J583" s="3"/>
      <c r="K583" s="3"/>
      <c r="L583" s="3"/>
      <c r="N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4"/>
      <c r="AH583" s="4"/>
      <c r="AJ583" s="3"/>
      <c r="AK583" s="3">
        <f t="shared" si="409"/>
        <v>0</v>
      </c>
      <c r="AL583" s="3"/>
      <c r="AM583" s="3">
        <f t="shared" si="410"/>
        <v>0</v>
      </c>
      <c r="AO583" s="3"/>
      <c r="AP583" s="3"/>
      <c r="AQ583" s="3"/>
      <c r="AR583" s="3"/>
      <c r="AS583" s="3"/>
      <c r="AT583" s="3"/>
      <c r="AU583" s="3"/>
      <c r="AV583" s="42"/>
      <c r="AW583" s="3"/>
      <c r="AY583" s="3"/>
      <c r="BA583" s="3"/>
      <c r="BC583" s="3"/>
      <c r="BE583" s="3"/>
    </row>
    <row r="584" spans="1:57" x14ac:dyDescent="0.25">
      <c r="A584" s="3"/>
      <c r="B584" s="48">
        <f>SUM(B564:B583)+2</f>
        <v>378492</v>
      </c>
      <c r="C584" s="32"/>
      <c r="D584" s="48">
        <f>SUM(D564:D583)+2</f>
        <v>84792</v>
      </c>
      <c r="E584" s="48">
        <f>SUM(E564:E583)+2</f>
        <v>293702</v>
      </c>
      <c r="F584" s="48">
        <f>SUM(F564:F583)+2</f>
        <v>378492</v>
      </c>
      <c r="G584" s="32"/>
      <c r="H584" s="48">
        <f>SUM(H564:H583)</f>
        <v>0</v>
      </c>
      <c r="I584" s="36"/>
      <c r="J584" s="48">
        <f>SUM(J564:J583)</f>
        <v>168872</v>
      </c>
      <c r="K584" s="48">
        <f>SUM(K564:K583)</f>
        <v>209618</v>
      </c>
      <c r="L584" s="48">
        <f>SUM(L564:L583)</f>
        <v>378490</v>
      </c>
      <c r="M584" s="32"/>
      <c r="N584" s="48">
        <f>SUM(N564:N583)</f>
        <v>0</v>
      </c>
      <c r="P584" s="48">
        <f>SUM(P564:P583)</f>
        <v>443758.50000000006</v>
      </c>
      <c r="R584" s="48">
        <f t="shared" ref="R584:Z584" si="415">SUM(R564:R583)</f>
        <v>70950</v>
      </c>
      <c r="S584" s="48">
        <f t="shared" si="415"/>
        <v>372810</v>
      </c>
      <c r="T584" s="48">
        <f t="shared" si="415"/>
        <v>443760</v>
      </c>
      <c r="U584" s="48">
        <f t="shared" si="415"/>
        <v>1.500000000005457</v>
      </c>
      <c r="V584" s="48">
        <f t="shared" si="415"/>
        <v>153594</v>
      </c>
      <c r="W584" s="48">
        <f t="shared" si="415"/>
        <v>290166</v>
      </c>
      <c r="X584" s="48"/>
      <c r="Y584" s="48">
        <f t="shared" si="415"/>
        <v>443760</v>
      </c>
      <c r="Z584" s="48">
        <f t="shared" si="415"/>
        <v>0</v>
      </c>
      <c r="AC584" s="48">
        <f>SUM(AC564:AC583)</f>
        <v>242678</v>
      </c>
      <c r="AD584" s="48">
        <f>SUM(AD564:AD583)</f>
        <v>198082</v>
      </c>
      <c r="AE584" s="48">
        <f>SUM(AE564:AE583)</f>
        <v>440760</v>
      </c>
      <c r="AF584" s="48">
        <f>SUM(AF564:AF583)</f>
        <v>-3000</v>
      </c>
      <c r="AH584" s="36">
        <f>SUM(AH564:AH583)</f>
        <v>488348.75</v>
      </c>
      <c r="AI584" s="32"/>
      <c r="AJ584" s="48">
        <f>SUM(AJ564:AJ583)</f>
        <v>72464</v>
      </c>
      <c r="AK584" s="48">
        <f>SUM(AK564:AK583)</f>
        <v>402136</v>
      </c>
      <c r="AL584" s="48">
        <f>SUM(AL564:AL583)</f>
        <v>474600</v>
      </c>
      <c r="AM584" s="48">
        <f>SUM(AM564:AM583)</f>
        <v>-13748.75</v>
      </c>
      <c r="AN584" s="32"/>
      <c r="AO584" s="48">
        <f>SUM(AO564:AO583)</f>
        <v>526144.20250000001</v>
      </c>
      <c r="AQ584" s="48">
        <f>SUM(AQ564:AQ583)</f>
        <v>542494.76807500003</v>
      </c>
      <c r="AS584" s="48">
        <f>SUM(AS564:AS583)</f>
        <v>559384.41259224992</v>
      </c>
      <c r="AT584" s="48"/>
      <c r="AU584" s="48">
        <f>SUM(AU564:AU583)</f>
        <v>576831.73651876766</v>
      </c>
      <c r="AW584" s="48">
        <f>SUM(AW564:AW583)</f>
        <v>594856.01974051807</v>
      </c>
      <c r="AY584" s="48">
        <f>SUM(AY564:AY583)</f>
        <v>613477.24801523052</v>
      </c>
      <c r="BA584" s="48">
        <f>SUM(BA564:BA583)</f>
        <v>632716.14052230923</v>
      </c>
      <c r="BC584" s="48">
        <f>SUM(BC564:BC583)</f>
        <v>652594.17855793121</v>
      </c>
      <c r="BE584" s="48">
        <f>SUM(BE564:BE583)</f>
        <v>673133.63542561966</v>
      </c>
    </row>
    <row r="585" spans="1:57" s="42" customFormat="1" x14ac:dyDescent="0.25">
      <c r="A585" s="7" t="s">
        <v>453</v>
      </c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4"/>
      <c r="N585" s="3"/>
      <c r="O585" s="4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4"/>
      <c r="AH585" s="4"/>
      <c r="AI585" s="4"/>
      <c r="AJ585" s="3"/>
      <c r="AK585" s="3"/>
      <c r="AL585" s="3"/>
      <c r="AM585" s="3"/>
      <c r="AN585" s="4"/>
      <c r="AO585" s="3"/>
      <c r="AP585" s="3"/>
      <c r="AQ585" s="3"/>
      <c r="AR585" s="3"/>
      <c r="AS585" s="3"/>
      <c r="AT585" s="3"/>
      <c r="AU585" s="3"/>
      <c r="AW585" s="3"/>
      <c r="AY585" s="3"/>
      <c r="BA585" s="3"/>
      <c r="BC585" s="3"/>
      <c r="BE585" s="3"/>
    </row>
    <row r="586" spans="1:57" x14ac:dyDescent="0.25">
      <c r="A586" s="3" t="s">
        <v>90</v>
      </c>
      <c r="B586" s="35">
        <v>46750</v>
      </c>
      <c r="C586" s="32"/>
      <c r="D586" s="35">
        <v>9917</v>
      </c>
      <c r="E586" s="35">
        <f>F586-D586</f>
        <v>36833</v>
      </c>
      <c r="F586" s="35">
        <v>46750</v>
      </c>
      <c r="G586" s="32"/>
      <c r="H586" s="35">
        <f>F586-B586</f>
        <v>0</v>
      </c>
      <c r="I586" s="36"/>
      <c r="J586" s="35">
        <v>19487</v>
      </c>
      <c r="K586" s="35">
        <f>L586-J586</f>
        <v>25513</v>
      </c>
      <c r="L586" s="35">
        <v>45000</v>
      </c>
      <c r="M586" s="32"/>
      <c r="N586" s="35">
        <f>L586-F586</f>
        <v>-1750</v>
      </c>
      <c r="P586" s="35">
        <f>L586*1.0325+37</f>
        <v>46499.5</v>
      </c>
      <c r="R586" s="70">
        <v>9995</v>
      </c>
      <c r="S586" s="70">
        <f>T586-R586</f>
        <v>36505</v>
      </c>
      <c r="T586" s="70">
        <v>46500</v>
      </c>
      <c r="U586" s="70">
        <f>T586-P586</f>
        <v>0.5</v>
      </c>
      <c r="V586" s="71">
        <v>20325</v>
      </c>
      <c r="W586" s="71">
        <f>Y586-V586</f>
        <v>26175</v>
      </c>
      <c r="X586" s="71"/>
      <c r="Y586" s="71">
        <v>46500</v>
      </c>
      <c r="Z586" s="70">
        <f>Y586-T586</f>
        <v>0</v>
      </c>
      <c r="AC586" s="71">
        <v>31147</v>
      </c>
      <c r="AD586" s="71">
        <f>AE586-AC586</f>
        <v>13853</v>
      </c>
      <c r="AE586" s="71">
        <v>45000</v>
      </c>
      <c r="AF586" s="71">
        <f>AE586-Y586</f>
        <v>-1500</v>
      </c>
      <c r="AH586" s="36">
        <f>AE586*1.03</f>
        <v>46350</v>
      </c>
      <c r="AI586" s="32"/>
      <c r="AJ586" s="35">
        <v>14779</v>
      </c>
      <c r="AK586" s="35">
        <f>AL586-AJ586</f>
        <v>35221</v>
      </c>
      <c r="AL586" s="35">
        <v>50000</v>
      </c>
      <c r="AM586" s="35">
        <f>AL586-AH586</f>
        <v>3650</v>
      </c>
      <c r="AN586" s="32"/>
      <c r="AO586" s="35">
        <f>AH586*1.03</f>
        <v>47740.5</v>
      </c>
      <c r="AQ586" s="35">
        <f>AO586*1.03</f>
        <v>49172.715000000004</v>
      </c>
      <c r="AS586" s="35">
        <f>AQ586*1.03</f>
        <v>50647.896450000007</v>
      </c>
      <c r="AT586" s="35"/>
      <c r="AU586" s="35">
        <f>AS586*1.03</f>
        <v>52167.33334350001</v>
      </c>
      <c r="AW586" s="35">
        <f>AU586*1.03</f>
        <v>53732.353343805014</v>
      </c>
      <c r="AY586" s="35">
        <f>AW586*1.03</f>
        <v>55344.323944119169</v>
      </c>
      <c r="BA586" s="35">
        <f>AY586*1.03</f>
        <v>57004.653662442746</v>
      </c>
      <c r="BC586" s="35">
        <f>BA586*1.03</f>
        <v>58714.793272316027</v>
      </c>
      <c r="BE586" s="35">
        <f>BC586*1.03</f>
        <v>60476.237070485506</v>
      </c>
    </row>
    <row r="587" spans="1:57" x14ac:dyDescent="0.25">
      <c r="A587" s="7" t="s">
        <v>133</v>
      </c>
    </row>
    <row r="588" spans="1:57" x14ac:dyDescent="0.25">
      <c r="A588" s="3" t="s">
        <v>454</v>
      </c>
      <c r="B588" s="3"/>
      <c r="D588" s="3"/>
      <c r="E588" s="3"/>
      <c r="F588" s="3"/>
      <c r="H588" s="3"/>
      <c r="I588" s="3"/>
      <c r="J588" s="3"/>
      <c r="K588" s="4">
        <f>L588-J588</f>
        <v>0</v>
      </c>
      <c r="L588" s="4"/>
      <c r="N588" s="4">
        <f>L588-F588</f>
        <v>0</v>
      </c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>
        <f>AE588-AC588</f>
        <v>0</v>
      </c>
      <c r="AE588" s="3"/>
      <c r="AF588" s="3">
        <f>AE588-Y588</f>
        <v>0</v>
      </c>
      <c r="AG588" s="4"/>
      <c r="AH588" s="4"/>
      <c r="AJ588" s="3"/>
      <c r="AK588" s="3">
        <f>AL588-AJ588</f>
        <v>0</v>
      </c>
      <c r="AL588" s="3"/>
      <c r="AM588" s="3">
        <f>AL588-AH588</f>
        <v>0</v>
      </c>
      <c r="AO588" s="3">
        <v>6000</v>
      </c>
      <c r="AP588" s="3"/>
      <c r="AQ588" s="3"/>
      <c r="AR588" s="3"/>
      <c r="AS588" s="3"/>
      <c r="AT588" s="3"/>
      <c r="AU588" s="3"/>
      <c r="AV588" s="42"/>
      <c r="AW588" s="3"/>
      <c r="AX588" s="42"/>
      <c r="AY588" s="3">
        <v>7000</v>
      </c>
      <c r="AZ588" s="42"/>
      <c r="BA588" s="3"/>
      <c r="BB588" s="42"/>
      <c r="BC588" s="3"/>
      <c r="BE588" s="3"/>
    </row>
    <row r="589" spans="1:57" x14ac:dyDescent="0.25">
      <c r="A589" s="3" t="s">
        <v>455</v>
      </c>
      <c r="B589" s="3">
        <v>34000</v>
      </c>
      <c r="D589" s="3">
        <v>2069</v>
      </c>
      <c r="E589" s="3">
        <f>F589-D589</f>
        <v>32931</v>
      </c>
      <c r="F589" s="5">
        <v>35000</v>
      </c>
      <c r="H589" s="5">
        <f>F589-B589</f>
        <v>1000</v>
      </c>
      <c r="J589" s="5">
        <v>3130</v>
      </c>
      <c r="K589" s="4">
        <f>L589-J589</f>
        <v>31870</v>
      </c>
      <c r="L589" s="4">
        <v>35000</v>
      </c>
      <c r="N589" s="4">
        <f>L589-F589</f>
        <v>0</v>
      </c>
      <c r="P589" s="3">
        <v>35000</v>
      </c>
      <c r="Q589" s="3"/>
      <c r="R589" s="3">
        <v>256</v>
      </c>
      <c r="S589" s="3">
        <f>T589-R589</f>
        <v>34744</v>
      </c>
      <c r="T589" s="3">
        <v>35000</v>
      </c>
      <c r="U589" s="3">
        <f>T589-P589</f>
        <v>0</v>
      </c>
      <c r="V589" s="3">
        <v>2739</v>
      </c>
      <c r="W589" s="3">
        <f>Y589-V589</f>
        <v>32261</v>
      </c>
      <c r="X589" s="3"/>
      <c r="Y589" s="3">
        <v>35000</v>
      </c>
      <c r="Z589" s="3">
        <f>Y589-T589</f>
        <v>0</v>
      </c>
      <c r="AA589" s="3"/>
      <c r="AB589" s="3"/>
      <c r="AC589" s="3">
        <v>7110</v>
      </c>
      <c r="AD589" s="3">
        <f>AE589-AC589</f>
        <v>27890</v>
      </c>
      <c r="AE589" s="3">
        <v>35000</v>
      </c>
      <c r="AF589" s="3">
        <f>AE589-Y589</f>
        <v>0</v>
      </c>
      <c r="AG589" s="4"/>
      <c r="AH589" s="4">
        <v>35000</v>
      </c>
      <c r="AJ589" s="3">
        <v>2384</v>
      </c>
      <c r="AK589" s="3">
        <f>AL589-AJ589</f>
        <v>102616</v>
      </c>
      <c r="AL589" s="3">
        <v>105000</v>
      </c>
      <c r="AM589" s="3">
        <f>AL589-AH589</f>
        <v>70000</v>
      </c>
      <c r="AO589" s="3">
        <v>35000</v>
      </c>
      <c r="AP589" s="3"/>
      <c r="AQ589" s="3">
        <v>35000</v>
      </c>
      <c r="AR589" s="3"/>
      <c r="AS589" s="3">
        <v>35000</v>
      </c>
      <c r="AT589" s="3"/>
      <c r="AU589" s="3">
        <v>35000</v>
      </c>
      <c r="AV589" s="42"/>
      <c r="AW589" s="3">
        <v>35000</v>
      </c>
      <c r="AX589" s="42"/>
      <c r="AY589" s="3">
        <v>35000</v>
      </c>
      <c r="AZ589" s="42"/>
      <c r="BA589" s="3">
        <v>35000</v>
      </c>
      <c r="BB589" s="42"/>
      <c r="BC589" s="3">
        <v>33000</v>
      </c>
      <c r="BE589" s="3">
        <v>33000</v>
      </c>
    </row>
    <row r="590" spans="1:57" x14ac:dyDescent="0.25">
      <c r="A590" s="3"/>
      <c r="B590" s="68">
        <f>SUM(B589)</f>
        <v>34000</v>
      </c>
      <c r="C590" s="55"/>
      <c r="D590" s="68">
        <f>SUM(D589)</f>
        <v>2069</v>
      </c>
      <c r="E590" s="68">
        <f>SUM(E589)</f>
        <v>32931</v>
      </c>
      <c r="F590" s="68">
        <f>SUM(F589)</f>
        <v>35000</v>
      </c>
      <c r="G590" s="55"/>
      <c r="H590" s="68">
        <f>SUM(H589)</f>
        <v>1000</v>
      </c>
      <c r="I590" s="56"/>
      <c r="J590" s="68">
        <f>SUM(J589)</f>
        <v>3130</v>
      </c>
      <c r="K590" s="68">
        <f>SUM(K589)</f>
        <v>31870</v>
      </c>
      <c r="L590" s="68">
        <f>SUM(L589)</f>
        <v>35000</v>
      </c>
      <c r="M590" s="55"/>
      <c r="N590" s="68">
        <f>SUM(N589)</f>
        <v>0</v>
      </c>
      <c r="P590" s="68">
        <f>SUM(P589)</f>
        <v>35000</v>
      </c>
      <c r="R590" s="68">
        <f t="shared" ref="R590:Z590" si="416">SUM(R589)</f>
        <v>256</v>
      </c>
      <c r="S590" s="68">
        <f t="shared" si="416"/>
        <v>34744</v>
      </c>
      <c r="T590" s="68">
        <f t="shared" si="416"/>
        <v>35000</v>
      </c>
      <c r="U590" s="68">
        <f t="shared" si="416"/>
        <v>0</v>
      </c>
      <c r="V590" s="68">
        <f t="shared" si="416"/>
        <v>2739</v>
      </c>
      <c r="W590" s="68">
        <f t="shared" si="416"/>
        <v>32261</v>
      </c>
      <c r="X590" s="68"/>
      <c r="Y590" s="68">
        <f t="shared" si="416"/>
        <v>35000</v>
      </c>
      <c r="Z590" s="68">
        <f t="shared" si="416"/>
        <v>0</v>
      </c>
      <c r="AC590" s="68">
        <f>SUM(AC589)</f>
        <v>7110</v>
      </c>
      <c r="AD590" s="68">
        <f>SUM(AD589)</f>
        <v>27890</v>
      </c>
      <c r="AE590" s="68">
        <f>SUM(AE589)</f>
        <v>35000</v>
      </c>
      <c r="AF590" s="68">
        <f>SUM(AF589)</f>
        <v>0</v>
      </c>
      <c r="AH590" s="56">
        <f>SUM(AH589)</f>
        <v>35000</v>
      </c>
      <c r="AI590" s="55"/>
      <c r="AJ590" s="68">
        <f>SUM(AJ589)</f>
        <v>2384</v>
      </c>
      <c r="AK590" s="68">
        <f>SUM(AK589)</f>
        <v>102616</v>
      </c>
      <c r="AL590" s="68">
        <f>SUM(AL589)</f>
        <v>105000</v>
      </c>
      <c r="AM590" s="68">
        <f>SUM(AM589)</f>
        <v>70000</v>
      </c>
      <c r="AN590" s="55"/>
      <c r="AO590" s="68">
        <f>SUM(AO589)</f>
        <v>35000</v>
      </c>
      <c r="AQ590" s="68">
        <f>SUM(AQ589)</f>
        <v>35000</v>
      </c>
      <c r="AS590" s="68">
        <f>SUM(AS589)</f>
        <v>35000</v>
      </c>
      <c r="AT590" s="68"/>
      <c r="AU590" s="68">
        <f>SUM(AU589)</f>
        <v>35000</v>
      </c>
      <c r="AW590" s="68">
        <f>SUM(AW589)</f>
        <v>35000</v>
      </c>
      <c r="AY590" s="68">
        <f>SUM(AY589)</f>
        <v>35000</v>
      </c>
      <c r="BA590" s="68">
        <f>SUM(BA589)</f>
        <v>35000</v>
      </c>
      <c r="BC590" s="68">
        <f>SUM(BC589)</f>
        <v>33000</v>
      </c>
      <c r="BE590" s="68">
        <f>SUM(BE589)</f>
        <v>33000</v>
      </c>
    </row>
    <row r="591" spans="1:57" x14ac:dyDescent="0.25">
      <c r="A591" s="7" t="s">
        <v>456</v>
      </c>
    </row>
    <row r="592" spans="1:57" x14ac:dyDescent="0.25">
      <c r="A592" s="3" t="s">
        <v>457</v>
      </c>
      <c r="B592" s="35">
        <v>4000</v>
      </c>
      <c r="C592" s="32"/>
      <c r="D592" s="35">
        <v>0</v>
      </c>
      <c r="E592" s="35">
        <f>F592-D592</f>
        <v>4000</v>
      </c>
      <c r="F592" s="35">
        <v>4000</v>
      </c>
      <c r="G592" s="32"/>
      <c r="H592" s="35">
        <f>F592-B592</f>
        <v>0</v>
      </c>
      <c r="I592" s="36"/>
      <c r="J592" s="35">
        <v>0</v>
      </c>
      <c r="K592" s="35">
        <f>L592-J592</f>
        <v>4000</v>
      </c>
      <c r="L592" s="35">
        <v>4000</v>
      </c>
      <c r="M592" s="32"/>
      <c r="N592" s="35">
        <f>L592-F592</f>
        <v>0</v>
      </c>
      <c r="P592" s="73">
        <v>5000</v>
      </c>
      <c r="R592" s="70">
        <v>0</v>
      </c>
      <c r="S592" s="70">
        <f>T592-R592</f>
        <v>5000</v>
      </c>
      <c r="T592" s="70">
        <v>5000</v>
      </c>
      <c r="U592" s="70">
        <f>T592-P592</f>
        <v>0</v>
      </c>
      <c r="V592" s="71">
        <v>0</v>
      </c>
      <c r="W592" s="71">
        <f>Y592-V592</f>
        <v>2000</v>
      </c>
      <c r="X592" s="71"/>
      <c r="Y592" s="71">
        <v>2000</v>
      </c>
      <c r="Z592" s="70">
        <f>Y592-T592</f>
        <v>-3000</v>
      </c>
      <c r="AC592" s="71">
        <v>0</v>
      </c>
      <c r="AD592" s="71">
        <f>AE592-AC592</f>
        <v>2000</v>
      </c>
      <c r="AE592" s="71">
        <v>2000</v>
      </c>
      <c r="AF592" s="71">
        <f>AE592-Y592</f>
        <v>0</v>
      </c>
      <c r="AH592" s="36"/>
      <c r="AI592" s="32"/>
      <c r="AJ592" s="35"/>
      <c r="AK592" s="35">
        <f t="shared" ref="AK592:AK599" si="417">AL592-AJ592</f>
        <v>0</v>
      </c>
      <c r="AL592" s="35"/>
      <c r="AM592" s="35">
        <f t="shared" ref="AM592:AM599" si="418">AL592-AH592</f>
        <v>0</v>
      </c>
      <c r="AN592" s="32"/>
      <c r="AO592" s="35"/>
      <c r="AQ592" s="35"/>
      <c r="AS592" s="35">
        <v>5400</v>
      </c>
      <c r="AT592" s="35"/>
      <c r="AU592" s="35"/>
      <c r="AW592" s="35"/>
      <c r="AY592" s="35"/>
      <c r="BA592" s="35">
        <v>5750</v>
      </c>
      <c r="BC592" s="35"/>
      <c r="BE592" s="35"/>
    </row>
    <row r="593" spans="1:57" x14ac:dyDescent="0.25">
      <c r="A593" s="7" t="s">
        <v>135</v>
      </c>
      <c r="V593" s="38"/>
      <c r="W593" s="38"/>
      <c r="X593" s="38"/>
      <c r="Y593" s="38"/>
    </row>
    <row r="594" spans="1:57" x14ac:dyDescent="0.25">
      <c r="A594" s="3" t="s">
        <v>90</v>
      </c>
      <c r="B594" s="35">
        <v>33000</v>
      </c>
      <c r="C594" s="32"/>
      <c r="D594" s="35">
        <v>15348</v>
      </c>
      <c r="E594" s="35">
        <f>F594-D594</f>
        <v>19652</v>
      </c>
      <c r="F594" s="35">
        <v>35000</v>
      </c>
      <c r="G594" s="32"/>
      <c r="H594" s="35">
        <f>F594-B594-1</f>
        <v>1999</v>
      </c>
      <c r="I594" s="36"/>
      <c r="J594" s="35">
        <v>30787</v>
      </c>
      <c r="K594" s="35">
        <f>L594-J594</f>
        <v>14213</v>
      </c>
      <c r="L594" s="35">
        <v>45000</v>
      </c>
      <c r="M594" s="32"/>
      <c r="N594" s="35">
        <f>L594-F594</f>
        <v>10000</v>
      </c>
      <c r="P594" s="35">
        <f>L594*1.0281+35</f>
        <v>46299.5</v>
      </c>
      <c r="R594" s="70">
        <v>12497</v>
      </c>
      <c r="S594" s="70">
        <f>T594-R594</f>
        <v>33803</v>
      </c>
      <c r="T594" s="70">
        <v>46300</v>
      </c>
      <c r="U594" s="70">
        <f>T594-P594</f>
        <v>0.5</v>
      </c>
      <c r="V594" s="71">
        <v>22306</v>
      </c>
      <c r="W594" s="71">
        <f>Y594-V594</f>
        <v>23994</v>
      </c>
      <c r="X594" s="71"/>
      <c r="Y594" s="71">
        <v>46300</v>
      </c>
      <c r="Z594" s="70">
        <f>Y594-T594</f>
        <v>0</v>
      </c>
      <c r="AC594" s="71">
        <v>35651</v>
      </c>
      <c r="AD594" s="71">
        <f>AE594-AC594</f>
        <v>11349</v>
      </c>
      <c r="AE594" s="71">
        <v>47000</v>
      </c>
      <c r="AF594" s="71">
        <f>AE594-Y594</f>
        <v>700</v>
      </c>
      <c r="AH594" s="232">
        <f>P594*1.03+12</f>
        <v>47700.485000000001</v>
      </c>
      <c r="AI594" s="32"/>
      <c r="AJ594" s="218">
        <v>6227</v>
      </c>
      <c r="AK594" s="218">
        <f t="shared" si="417"/>
        <v>41473</v>
      </c>
      <c r="AL594" s="218">
        <v>47700</v>
      </c>
      <c r="AM594" s="218">
        <f t="shared" si="418"/>
        <v>-0.48500000000058208</v>
      </c>
      <c r="AN594" s="32"/>
      <c r="AO594" s="35">
        <f>AH594*1.03</f>
        <v>49131.49955</v>
      </c>
      <c r="AQ594" s="35">
        <f>AO594*1.03</f>
        <v>50605.444536499999</v>
      </c>
      <c r="AS594" s="35">
        <f>AQ594*1.03</f>
        <v>52123.607872594999</v>
      </c>
      <c r="AT594" s="35"/>
      <c r="AU594" s="35">
        <f>AS594*1.03</f>
        <v>53687.316108772851</v>
      </c>
      <c r="AW594" s="35">
        <f>AU594*1.03</f>
        <v>55297.935592036039</v>
      </c>
      <c r="AY594" s="35">
        <f>AW594*1.03</f>
        <v>56956.873659797122</v>
      </c>
      <c r="BA594" s="35">
        <f>AY594*1.03</f>
        <v>58665.579869591034</v>
      </c>
      <c r="BC594" s="35">
        <f>BA594*1.03</f>
        <v>60425.547265678768</v>
      </c>
      <c r="BE594" s="35">
        <f>BC594*1.03</f>
        <v>62238.313683649132</v>
      </c>
    </row>
    <row r="595" spans="1:57" x14ac:dyDescent="0.25">
      <c r="A595" s="7" t="s">
        <v>458</v>
      </c>
      <c r="V595" s="38"/>
      <c r="W595" s="38"/>
      <c r="X595" s="38"/>
      <c r="Y595" s="38"/>
    </row>
    <row r="596" spans="1:57" s="42" customFormat="1" x14ac:dyDescent="0.25">
      <c r="A596" s="3" t="s">
        <v>90</v>
      </c>
      <c r="B596" s="35">
        <v>21100</v>
      </c>
      <c r="C596" s="32"/>
      <c r="D596" s="35">
        <v>5797</v>
      </c>
      <c r="E596" s="35">
        <f>F596-D596</f>
        <v>15303</v>
      </c>
      <c r="F596" s="35">
        <v>21100</v>
      </c>
      <c r="G596" s="32"/>
      <c r="H596" s="35">
        <f>F596-B596</f>
        <v>0</v>
      </c>
      <c r="I596" s="36"/>
      <c r="J596" s="35">
        <v>11476</v>
      </c>
      <c r="K596" s="35">
        <f>L596-J596</f>
        <v>10524</v>
      </c>
      <c r="L596" s="35">
        <v>22000</v>
      </c>
      <c r="M596" s="32"/>
      <c r="N596" s="35">
        <f>L596-F596</f>
        <v>900</v>
      </c>
      <c r="O596" s="4"/>
      <c r="P596" s="35">
        <f>L596*1.0281+32</f>
        <v>22650.2</v>
      </c>
      <c r="Q596" s="3"/>
      <c r="R596" s="70">
        <v>6626</v>
      </c>
      <c r="S596" s="70">
        <f>T596-R596</f>
        <v>16024</v>
      </c>
      <c r="T596" s="70">
        <v>22650</v>
      </c>
      <c r="U596" s="70">
        <f>T596-P596</f>
        <v>-0.2000000000007276</v>
      </c>
      <c r="V596" s="71">
        <v>13248</v>
      </c>
      <c r="W596" s="71">
        <f>Y596-V596</f>
        <v>9402</v>
      </c>
      <c r="X596" s="71"/>
      <c r="Y596" s="71">
        <v>22650</v>
      </c>
      <c r="Z596" s="70">
        <f>Y596-T596</f>
        <v>0</v>
      </c>
      <c r="AA596" s="3"/>
      <c r="AB596" s="3"/>
      <c r="AC596" s="71">
        <v>21840</v>
      </c>
      <c r="AD596" s="71">
        <f>AE596-AC596</f>
        <v>5160</v>
      </c>
      <c r="AE596" s="71">
        <v>27000</v>
      </c>
      <c r="AF596" s="71">
        <f>AE596-Y596</f>
        <v>4350</v>
      </c>
      <c r="AG596" s="4"/>
      <c r="AH596" s="36">
        <f>B596*1.03+17</f>
        <v>21750</v>
      </c>
      <c r="AI596" s="32"/>
      <c r="AJ596" s="35">
        <v>0</v>
      </c>
      <c r="AK596" s="35">
        <f t="shared" si="417"/>
        <v>21750</v>
      </c>
      <c r="AL596" s="35">
        <v>21750</v>
      </c>
      <c r="AM596" s="35">
        <f t="shared" si="418"/>
        <v>0</v>
      </c>
      <c r="AN596" s="32"/>
      <c r="AO596" s="35">
        <f>AE603*1.03</f>
        <v>55455.200000000004</v>
      </c>
      <c r="AP596" s="3"/>
      <c r="AQ596" s="35">
        <f>AH596*1.03</f>
        <v>22402.5</v>
      </c>
      <c r="AR596" s="3"/>
      <c r="AS596" s="35">
        <f>AO596*1.03</f>
        <v>57118.856000000007</v>
      </c>
      <c r="AT596" s="35"/>
      <c r="AU596" s="35">
        <f>AQ596*1.03</f>
        <v>23074.575000000001</v>
      </c>
      <c r="AW596" s="35">
        <f>AS596*1.03</f>
        <v>58832.421680000007</v>
      </c>
      <c r="AY596" s="35">
        <f>AU596*1.03</f>
        <v>23766.812250000003</v>
      </c>
      <c r="BA596" s="35">
        <f>AW596*1.03</f>
        <v>60597.394330400006</v>
      </c>
      <c r="BC596" s="35">
        <f>AY596*1.03</f>
        <v>24479.816617500004</v>
      </c>
      <c r="BE596" s="35">
        <f>BA596*1.03</f>
        <v>62415.31616031201</v>
      </c>
    </row>
    <row r="597" spans="1:57" x14ac:dyDescent="0.25">
      <c r="A597" s="7" t="s">
        <v>57</v>
      </c>
      <c r="V597" s="38"/>
      <c r="W597" s="38"/>
      <c r="X597" s="38"/>
      <c r="Y597" s="38"/>
    </row>
    <row r="598" spans="1:57" x14ac:dyDescent="0.25">
      <c r="A598" s="3" t="s">
        <v>459</v>
      </c>
      <c r="V598" s="38"/>
      <c r="W598" s="38"/>
      <c r="X598" s="38"/>
      <c r="Y598" s="38"/>
      <c r="AH598" s="4">
        <f>10000-2000</f>
        <v>8000</v>
      </c>
      <c r="AJ598" s="5">
        <v>0</v>
      </c>
      <c r="AK598" s="3">
        <f t="shared" si="417"/>
        <v>5000</v>
      </c>
      <c r="AL598" s="5">
        <v>5000</v>
      </c>
      <c r="AM598" s="3">
        <f t="shared" si="418"/>
        <v>-3000</v>
      </c>
      <c r="AO598" s="3">
        <f>AH598*1.03</f>
        <v>8240</v>
      </c>
      <c r="AP598" s="3"/>
      <c r="AQ598" s="3">
        <f>AO598*1.03</f>
        <v>8487.2000000000007</v>
      </c>
      <c r="AR598" s="3">
        <f>AP598*1.03</f>
        <v>0</v>
      </c>
      <c r="AS598" s="3">
        <f>AQ598*1.03</f>
        <v>8741.8160000000007</v>
      </c>
      <c r="AT598" s="3">
        <f>AR598*1.03</f>
        <v>0</v>
      </c>
      <c r="AU598" s="3">
        <f>AS598*1.03</f>
        <v>9004.0704800000003</v>
      </c>
      <c r="AV598" s="3"/>
      <c r="AW598" s="3">
        <f>AU598*1.03</f>
        <v>9274.1925944000013</v>
      </c>
      <c r="AX598" s="3">
        <f>AV598*1.03</f>
        <v>0</v>
      </c>
      <c r="AY598" s="3">
        <f>AW598*1.03</f>
        <v>9552.4183722320013</v>
      </c>
      <c r="AZ598" s="3">
        <f>AX598*1.03</f>
        <v>0</v>
      </c>
      <c r="BA598" s="3">
        <f>AY598*1.03</f>
        <v>9838.990923398962</v>
      </c>
      <c r="BB598" s="3"/>
      <c r="BC598" s="3">
        <f>BA598*1.03</f>
        <v>10134.16065110093</v>
      </c>
      <c r="BD598" s="3">
        <f>BB598*1.03</f>
        <v>0</v>
      </c>
      <c r="BE598" s="3">
        <f>BC598*1.03</f>
        <v>10438.185470633958</v>
      </c>
    </row>
    <row r="599" spans="1:57" x14ac:dyDescent="0.25">
      <c r="A599" s="3" t="s">
        <v>460</v>
      </c>
      <c r="B599" s="3">
        <v>1550</v>
      </c>
      <c r="D599" s="3">
        <v>0</v>
      </c>
      <c r="E599" s="3">
        <f>F599-D599</f>
        <v>1000</v>
      </c>
      <c r="F599" s="5">
        <v>1000</v>
      </c>
      <c r="H599" s="5">
        <f>F599-B599</f>
        <v>-550</v>
      </c>
      <c r="K599" s="4">
        <f>L599-J599</f>
        <v>1000</v>
      </c>
      <c r="L599" s="4">
        <v>1000</v>
      </c>
      <c r="N599" s="4">
        <f>L599-F599</f>
        <v>0</v>
      </c>
      <c r="P599" s="3">
        <f>L599*1.0281+22</f>
        <v>1050.0999999999999</v>
      </c>
      <c r="Q599" s="3"/>
      <c r="R599" s="3"/>
      <c r="S599" s="3">
        <f>T599-R599</f>
        <v>1050</v>
      </c>
      <c r="T599" s="3">
        <v>1050</v>
      </c>
      <c r="U599" s="3">
        <f>T599-P599</f>
        <v>-9.9999999999909051E-2</v>
      </c>
      <c r="V599" s="7"/>
      <c r="W599" s="7"/>
      <c r="X599" s="7"/>
      <c r="Y599" s="7">
        <v>1050</v>
      </c>
      <c r="Z599" s="3">
        <f>Y599-T599</f>
        <v>0</v>
      </c>
      <c r="AA599" s="3"/>
      <c r="AB599" s="3"/>
      <c r="AC599" s="3"/>
      <c r="AD599" s="3">
        <f>AE599-AC599</f>
        <v>1000</v>
      </c>
      <c r="AE599" s="3">
        <v>1000</v>
      </c>
      <c r="AF599" s="3">
        <f>AE599-Y599</f>
        <v>-50</v>
      </c>
      <c r="AG599" s="4"/>
      <c r="AH599" s="4">
        <f>AE599*1.03+20</f>
        <v>1050</v>
      </c>
      <c r="AJ599" s="3">
        <v>0</v>
      </c>
      <c r="AK599" s="3">
        <f t="shared" si="417"/>
        <v>1000</v>
      </c>
      <c r="AL599" s="3">
        <v>1000</v>
      </c>
      <c r="AM599" s="3">
        <f t="shared" si="418"/>
        <v>-50</v>
      </c>
      <c r="AO599" s="3">
        <f>AH599*1.0281</f>
        <v>1079.5050000000001</v>
      </c>
      <c r="AP599" s="3"/>
      <c r="AQ599" s="3">
        <f>AO599*1.0281</f>
        <v>1109.8390905000001</v>
      </c>
      <c r="AR599" s="3"/>
      <c r="AS599" s="3">
        <f>AQ599*1.0281</f>
        <v>1141.0255689430501</v>
      </c>
      <c r="AT599" s="3"/>
      <c r="AU599" s="3">
        <f>AS599*1.0281</f>
        <v>1173.0883874303497</v>
      </c>
      <c r="AV599" s="42"/>
      <c r="AW599" s="3">
        <f>AU599*1.0281</f>
        <v>1206.0521711171425</v>
      </c>
      <c r="AX599" s="42"/>
      <c r="AY599" s="3">
        <f>AW599*1.0281</f>
        <v>1239.9422371255341</v>
      </c>
      <c r="AZ599" s="42"/>
      <c r="BA599" s="3">
        <f>AY599*1.0281</f>
        <v>1274.7846139887617</v>
      </c>
      <c r="BB599" s="42"/>
      <c r="BC599" s="3">
        <f>BA599*1.0281</f>
        <v>1310.6060616418461</v>
      </c>
      <c r="BE599" s="3">
        <f>BC599*1.0281</f>
        <v>1347.434091973982</v>
      </c>
    </row>
    <row r="600" spans="1:57" ht="15.75" thickBot="1" x14ac:dyDescent="0.3">
      <c r="A600" s="7" t="s">
        <v>249</v>
      </c>
      <c r="B600" s="43">
        <f>B599+B596+B594+B592+B590+B586+B584+B562+B553-2</f>
        <v>576690</v>
      </c>
      <c r="C600" s="32"/>
      <c r="D600" s="43">
        <f>D599+D596+D594+D592+D590+D586+D584+D562+D553-1</f>
        <v>120848</v>
      </c>
      <c r="E600" s="43">
        <f>E599+E596+E594+E592+E590+E586+E584+E562+E553-1</f>
        <v>457794</v>
      </c>
      <c r="F600" s="43">
        <f>F599+F596+F594+F592+F590+F586+F584+F562+F553-1</f>
        <v>578641</v>
      </c>
      <c r="G600" s="32"/>
      <c r="H600" s="43">
        <f>H599+H596+H594+H592+H590+H586+H584+H562+H553-1</f>
        <v>1948</v>
      </c>
      <c r="I600" s="36"/>
      <c r="J600" s="43">
        <f>J599+J596+J594+J592+J590+J586+J584+J562+J553-1</f>
        <v>237514</v>
      </c>
      <c r="K600" s="43">
        <f>K599+K596+K594+K592+K590+K586+K584+K562+K553-1</f>
        <v>340274</v>
      </c>
      <c r="L600" s="43">
        <f>L599+L596+L594+L592+L590+L586+L584+L562+L553-1</f>
        <v>577789</v>
      </c>
      <c r="M600" s="32"/>
      <c r="N600" s="43">
        <f>N599+N596+N594+N592+N590+N586+N584+N562+N553-1</f>
        <v>-851</v>
      </c>
      <c r="P600" s="43">
        <f>P599+P596+P594+P592+P590+P586+P584+P562+P553</f>
        <v>642937.45000000007</v>
      </c>
      <c r="R600" s="74">
        <f t="shared" ref="R600:W600" si="419">R599+R596+R594+R592+R590+R586+R584+R562+R553</f>
        <v>105341</v>
      </c>
      <c r="S600" s="74">
        <f t="shared" si="419"/>
        <v>538849</v>
      </c>
      <c r="T600" s="74">
        <f t="shared" si="419"/>
        <v>644190</v>
      </c>
      <c r="U600" s="74">
        <f t="shared" si="419"/>
        <v>1252.5500000000052</v>
      </c>
      <c r="V600" s="74">
        <f t="shared" si="419"/>
        <v>221276</v>
      </c>
      <c r="W600" s="74">
        <f t="shared" si="419"/>
        <v>422364</v>
      </c>
      <c r="X600" s="74"/>
      <c r="Y600" s="74">
        <f>Y599+Y596+Y594+Y592+Y590+Y586+Y584+Y562+Y553</f>
        <v>644690</v>
      </c>
      <c r="Z600" s="74">
        <f>Z599+Z596+Z594+Z592+Z590+Z586+Z584+Z562+Z553</f>
        <v>500</v>
      </c>
      <c r="AC600" s="74">
        <f>AC599+AC596+AC594+AC592+AC590+AC586+AC584+AC562+AC553</f>
        <v>363072</v>
      </c>
      <c r="AD600" s="74">
        <f>AD599+AD596+AD594+AD592+AD590+AD586+AD584+AD562+AD553</f>
        <v>286218</v>
      </c>
      <c r="AE600" s="74">
        <f>AE599+AE596+AE594+AE592+AE590+AE586+AE584+AE562+AE553</f>
        <v>649290</v>
      </c>
      <c r="AF600" s="74">
        <f>AF599+AF596+AF594+AF592+AF590+AF586+AF584+AF562+AF553</f>
        <v>4600</v>
      </c>
      <c r="AH600" s="36">
        <f>AH599+AH598+AH596+AH594+AH592+AH590+AH586+AH584+AH562+AH553</f>
        <v>695819.13500000001</v>
      </c>
      <c r="AI600" s="32"/>
      <c r="AJ600" s="43">
        <f>AJ599+AJ598+AJ596+AJ594+AJ592+AJ590+AJ586+AJ584+AJ562+AJ553</f>
        <v>107648</v>
      </c>
      <c r="AK600" s="43">
        <f>AK599+AK598+AK596+AK594+AK592+AK590+AK586+AK584+AK562+AK553</f>
        <v>643922</v>
      </c>
      <c r="AL600" s="43">
        <f>AL599+AL598+AL596+AL594+AL592+AL590+AL586+AL584+AL562+AL553</f>
        <v>751570</v>
      </c>
      <c r="AM600" s="43">
        <f>AM599+AM598+AM596+AM594+AM592+AM590+AM586+AM584+AM562+AM553</f>
        <v>55750.864999999998</v>
      </c>
      <c r="AN600" s="32"/>
      <c r="AO600" s="43">
        <f>AO599+AO598+AO596+AO594+AO592+AO590+AO586+AO584+AO562+AO553</f>
        <v>771764.40405000001</v>
      </c>
      <c r="AQ600" s="43">
        <f>AQ599+AQ598+AQ596+AQ594+AQ592+AQ590+AQ586+AQ584+AQ562+AQ553</f>
        <v>759640.16861199995</v>
      </c>
      <c r="AS600" s="43">
        <f>AS599+AS598+AS596+AS594+AS592+AS590+AS586+AS584+AS562+AS553</f>
        <v>821361.3474510879</v>
      </c>
      <c r="AT600" s="43"/>
      <c r="AU600" s="43">
        <f>AU599+AU598+AU596+AU594+AU592+AU590+AU586+AU584+AU562+AU553</f>
        <v>804220.96479478979</v>
      </c>
      <c r="AW600" s="43">
        <f>AW599+AW598+AW596+AW594+AW592+AW590+AW586+AW584+AW562+AW553</f>
        <v>863005.30542688479</v>
      </c>
      <c r="AY600" s="43">
        <f>AY599+AY598+AY596+AY594+AY592+AY590+AY586+AY584+AY562+AY553</f>
        <v>851713.13869266317</v>
      </c>
      <c r="BA600" s="43">
        <f>BA599+BA598+BA596+BA594+BA592+BA590+BA586+BA584+BA562+BA553</f>
        <v>918839.32974271441</v>
      </c>
      <c r="BC600" s="43">
        <f>BC599+BC598+BC596+BC594+BC592+BC590+BC586+BC584+BC562+BC553</f>
        <v>900315.64182136988</v>
      </c>
      <c r="BE600" s="43">
        <f>BE599+BE598+BE596+BE594+BE592+BE590+BE586+BE584+BE562+BE553</f>
        <v>964420.35747973144</v>
      </c>
    </row>
    <row r="601" spans="1:57" s="42" customFormat="1" ht="15.75" thickTop="1" x14ac:dyDescent="0.25">
      <c r="A601" s="7" t="s">
        <v>137</v>
      </c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4"/>
      <c r="N601" s="3"/>
      <c r="O601" s="4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4"/>
      <c r="AH601" s="4"/>
      <c r="AI601" s="4"/>
      <c r="AJ601" s="3"/>
      <c r="AK601" s="3"/>
      <c r="AL601" s="3"/>
      <c r="AM601" s="3"/>
      <c r="AN601" s="4"/>
      <c r="AO601" s="3"/>
      <c r="AP601" s="3"/>
      <c r="AQ601" s="3"/>
      <c r="AR601" s="3"/>
      <c r="AS601" s="3"/>
      <c r="AT601" s="3"/>
      <c r="AU601" s="3"/>
      <c r="AW601" s="3"/>
      <c r="AY601" s="3"/>
      <c r="BA601" s="3"/>
      <c r="BC601" s="3"/>
      <c r="BE601" s="3"/>
    </row>
    <row r="602" spans="1:57" x14ac:dyDescent="0.25">
      <c r="A602" s="7" t="s">
        <v>461</v>
      </c>
    </row>
    <row r="603" spans="1:57" x14ac:dyDescent="0.25">
      <c r="A603" s="3" t="s">
        <v>462</v>
      </c>
      <c r="B603" s="3">
        <v>52050</v>
      </c>
      <c r="D603" s="3">
        <v>0</v>
      </c>
      <c r="E603" s="3">
        <f t="shared" ref="E603:E613" si="420">F603-D603</f>
        <v>52050</v>
      </c>
      <c r="F603" s="5">
        <v>52050</v>
      </c>
      <c r="H603" s="5">
        <f t="shared" ref="H603:H613" si="421">F603-B603</f>
        <v>0</v>
      </c>
      <c r="J603" s="5">
        <v>26022</v>
      </c>
      <c r="K603" s="4">
        <f t="shared" ref="K603:K617" si="422">L603-J603</f>
        <v>26028</v>
      </c>
      <c r="L603" s="4">
        <v>52050</v>
      </c>
      <c r="N603" s="4">
        <f t="shared" ref="N603:N617" si="423">L603-F603</f>
        <v>0</v>
      </c>
      <c r="P603" s="3">
        <v>53850</v>
      </c>
      <c r="Q603" s="3"/>
      <c r="R603" s="3">
        <v>26918</v>
      </c>
      <c r="S603" s="3">
        <f t="shared" ref="S603:S617" si="424">T603-R603</f>
        <v>26932</v>
      </c>
      <c r="T603" s="3">
        <v>53850</v>
      </c>
      <c r="U603" s="3">
        <f t="shared" ref="U603:U617" si="425">T603-P603</f>
        <v>0</v>
      </c>
      <c r="V603" s="3">
        <v>26918</v>
      </c>
      <c r="W603" s="3">
        <f t="shared" ref="W603:W617" si="426">Y603-V603</f>
        <v>26932</v>
      </c>
      <c r="X603" s="3"/>
      <c r="Y603" s="3">
        <v>53850</v>
      </c>
      <c r="Z603" s="3">
        <f t="shared" ref="Z603:Z617" si="427">Y603-T603</f>
        <v>0</v>
      </c>
      <c r="AA603" s="3"/>
      <c r="AB603" s="3"/>
      <c r="AC603" s="3">
        <f>26918+26918</f>
        <v>53836</v>
      </c>
      <c r="AD603" s="3">
        <f t="shared" ref="AD603:AD617" si="428">AE603-AC603</f>
        <v>4</v>
      </c>
      <c r="AE603" s="3">
        <v>53840</v>
      </c>
      <c r="AF603" s="3">
        <f t="shared" ref="AF603:AF617" si="429">AE603-Y603</f>
        <v>-10</v>
      </c>
      <c r="AG603" s="4"/>
      <c r="AH603" s="4">
        <v>55750</v>
      </c>
      <c r="AJ603" s="3">
        <v>0</v>
      </c>
      <c r="AK603" s="3">
        <f t="shared" ref="AK603:AK617" si="430">AL603-AJ603</f>
        <v>55750</v>
      </c>
      <c r="AL603" s="3">
        <v>55750</v>
      </c>
      <c r="AM603" s="3">
        <f t="shared" ref="AM603:AM617" si="431">AL603-AH603</f>
        <v>0</v>
      </c>
      <c r="AO603" s="3">
        <f>AH603*1.03</f>
        <v>57422.5</v>
      </c>
      <c r="AP603" s="3"/>
      <c r="AQ603" s="3">
        <f>AO603*1.03</f>
        <v>59145.175000000003</v>
      </c>
      <c r="AR603" s="3"/>
      <c r="AS603" s="3">
        <f>AQ603*1.03</f>
        <v>60919.530250000003</v>
      </c>
      <c r="AT603" s="3"/>
      <c r="AU603" s="3">
        <f>AS603*1.03</f>
        <v>62747.116157500008</v>
      </c>
      <c r="AV603" s="42"/>
      <c r="AW603" s="3">
        <f>AU603*1.03</f>
        <v>64629.52964222501</v>
      </c>
      <c r="AX603" s="42"/>
      <c r="AY603" s="3">
        <f>AW603*1.03</f>
        <v>66568.415531491759</v>
      </c>
      <c r="AZ603" s="42"/>
      <c r="BA603" s="3">
        <f>AY603*1.03</f>
        <v>68565.467997436514</v>
      </c>
      <c r="BB603" s="42"/>
      <c r="BC603" s="3">
        <f>BA603*1.03</f>
        <v>70622.432037359613</v>
      </c>
      <c r="BE603" s="3">
        <f>BC603*1.03</f>
        <v>72741.104998480398</v>
      </c>
    </row>
    <row r="604" spans="1:57" x14ac:dyDescent="0.25">
      <c r="A604" s="3" t="s">
        <v>463</v>
      </c>
      <c r="B604" s="3">
        <v>46000</v>
      </c>
      <c r="D604" s="3">
        <v>12942</v>
      </c>
      <c r="E604" s="3">
        <f t="shared" si="420"/>
        <v>35058</v>
      </c>
      <c r="F604" s="5">
        <v>48000</v>
      </c>
      <c r="H604" s="5">
        <f t="shared" si="421"/>
        <v>2000</v>
      </c>
      <c r="J604" s="5">
        <v>22233</v>
      </c>
      <c r="K604" s="4">
        <f t="shared" si="422"/>
        <v>25767</v>
      </c>
      <c r="L604" s="4">
        <v>48000</v>
      </c>
      <c r="N604" s="4">
        <f t="shared" si="423"/>
        <v>0</v>
      </c>
      <c r="P604" s="3">
        <f>L604*1.0275+4030</f>
        <v>53350.000000000007</v>
      </c>
      <c r="Q604" s="3"/>
      <c r="R604" s="3">
        <v>15949</v>
      </c>
      <c r="S604" s="3">
        <f t="shared" si="424"/>
        <v>43401</v>
      </c>
      <c r="T604" s="3">
        <v>59350</v>
      </c>
      <c r="U604" s="3">
        <f t="shared" si="425"/>
        <v>5999.9999999999927</v>
      </c>
      <c r="V604" s="3">
        <v>27062</v>
      </c>
      <c r="W604" s="3">
        <f t="shared" si="426"/>
        <v>32288</v>
      </c>
      <c r="X604" s="3"/>
      <c r="Y604" s="3">
        <v>59350</v>
      </c>
      <c r="Z604" s="3">
        <f t="shared" si="427"/>
        <v>0</v>
      </c>
      <c r="AA604" s="3"/>
      <c r="AB604" s="3"/>
      <c r="AC604" s="3">
        <v>38620</v>
      </c>
      <c r="AD604" s="3">
        <f t="shared" si="428"/>
        <v>19380</v>
      </c>
      <c r="AE604" s="3">
        <v>58000</v>
      </c>
      <c r="AF604" s="3">
        <f t="shared" si="429"/>
        <v>-1350</v>
      </c>
      <c r="AG604" s="4"/>
      <c r="AH604" s="4">
        <v>54900</v>
      </c>
      <c r="AJ604" s="3">
        <v>13207</v>
      </c>
      <c r="AK604" s="3">
        <f t="shared" si="430"/>
        <v>41693</v>
      </c>
      <c r="AL604" s="3">
        <v>54900</v>
      </c>
      <c r="AM604" s="3">
        <f t="shared" si="431"/>
        <v>0</v>
      </c>
      <c r="AO604" s="3">
        <f>AH604*1.03</f>
        <v>56547</v>
      </c>
      <c r="AP604" s="3"/>
      <c r="AQ604" s="3">
        <f>AO604*1.03</f>
        <v>58243.41</v>
      </c>
      <c r="AR604" s="3"/>
      <c r="AS604" s="3">
        <f>AQ604*1.03</f>
        <v>59990.712300000007</v>
      </c>
      <c r="AT604" s="3"/>
      <c r="AU604" s="3">
        <f>AS604*1.03</f>
        <v>61790.433669000005</v>
      </c>
      <c r="AV604" s="42"/>
      <c r="AW604" s="3">
        <f>AU604*1.03</f>
        <v>63644.146679070007</v>
      </c>
      <c r="AX604" s="42"/>
      <c r="AY604" s="3">
        <f>AW604*1.03</f>
        <v>65553.471079442112</v>
      </c>
      <c r="AZ604" s="42"/>
      <c r="BA604" s="3">
        <f>AY604*1.03</f>
        <v>67520.075211825373</v>
      </c>
      <c r="BB604" s="42"/>
      <c r="BC604" s="3">
        <f>BA604*1.03</f>
        <v>69545.677468180133</v>
      </c>
      <c r="BE604" s="3">
        <f>BC604*1.03</f>
        <v>71632.047792225538</v>
      </c>
    </row>
    <row r="605" spans="1:57" x14ac:dyDescent="0.25">
      <c r="A605" s="3" t="s">
        <v>299</v>
      </c>
      <c r="B605" s="3">
        <f>1000+500</f>
        <v>1500</v>
      </c>
      <c r="D605" s="3">
        <v>0</v>
      </c>
      <c r="E605" s="3">
        <f t="shared" si="420"/>
        <v>1000</v>
      </c>
      <c r="F605" s="5">
        <v>1000</v>
      </c>
      <c r="H605" s="5">
        <f t="shared" si="421"/>
        <v>-500</v>
      </c>
      <c r="J605" s="5">
        <v>202</v>
      </c>
      <c r="K605" s="4">
        <f t="shared" si="422"/>
        <v>798</v>
      </c>
      <c r="L605" s="4">
        <v>1000</v>
      </c>
      <c r="N605" s="4">
        <f t="shared" si="423"/>
        <v>0</v>
      </c>
      <c r="P605" s="3">
        <f>L605*1.0281+72</f>
        <v>1100.0999999999999</v>
      </c>
      <c r="Q605" s="3"/>
      <c r="R605" s="3">
        <v>190</v>
      </c>
      <c r="S605" s="3">
        <f t="shared" si="424"/>
        <v>910</v>
      </c>
      <c r="T605" s="3">
        <v>1100</v>
      </c>
      <c r="U605" s="3">
        <f t="shared" si="425"/>
        <v>-9.9999999999909051E-2</v>
      </c>
      <c r="V605" s="3">
        <v>491</v>
      </c>
      <c r="W605" s="3">
        <f t="shared" si="426"/>
        <v>609</v>
      </c>
      <c r="X605" s="3"/>
      <c r="Y605" s="3">
        <v>1100</v>
      </c>
      <c r="Z605" s="3">
        <f t="shared" si="427"/>
        <v>0</v>
      </c>
      <c r="AA605" s="3"/>
      <c r="AB605" s="3"/>
      <c r="AC605" s="3">
        <v>491</v>
      </c>
      <c r="AD605" s="3">
        <f t="shared" si="428"/>
        <v>609</v>
      </c>
      <c r="AE605" s="3">
        <v>1100</v>
      </c>
      <c r="AF605" s="3">
        <f t="shared" si="429"/>
        <v>0</v>
      </c>
      <c r="AG605" s="4"/>
      <c r="AH605" s="4">
        <f>AE605*1.03+17</f>
        <v>1150</v>
      </c>
      <c r="AJ605" s="3">
        <v>0</v>
      </c>
      <c r="AK605" s="3">
        <f t="shared" si="430"/>
        <v>1150</v>
      </c>
      <c r="AL605" s="3">
        <v>1150</v>
      </c>
      <c r="AM605" s="3">
        <f t="shared" si="431"/>
        <v>0</v>
      </c>
      <c r="AO605" s="3">
        <f>AH605*1.03</f>
        <v>1184.5</v>
      </c>
      <c r="AP605" s="3"/>
      <c r="AQ605" s="3">
        <f>AO605*1.03</f>
        <v>1220.0350000000001</v>
      </c>
      <c r="AR605" s="3"/>
      <c r="AS605" s="3">
        <f>AQ605*1.03</f>
        <v>1256.6360500000001</v>
      </c>
      <c r="AT605" s="3"/>
      <c r="AU605" s="3">
        <f>AS605*1.03</f>
        <v>1294.3351315000002</v>
      </c>
      <c r="AV605" s="42"/>
      <c r="AW605" s="3">
        <f>AU605*1.03</f>
        <v>1333.1651854450004</v>
      </c>
      <c r="AX605" s="42"/>
      <c r="AY605" s="3">
        <f>AW605*1.03</f>
        <v>1373.1601410083504</v>
      </c>
      <c r="AZ605" s="42"/>
      <c r="BA605" s="3">
        <f>AY605*1.03</f>
        <v>1414.354945238601</v>
      </c>
      <c r="BB605" s="42"/>
      <c r="BC605" s="3">
        <f>BA605*1.03</f>
        <v>1456.7855935957591</v>
      </c>
      <c r="BE605" s="3">
        <f>BC605*1.03</f>
        <v>1500.4891614036319</v>
      </c>
    </row>
    <row r="606" spans="1:57" x14ac:dyDescent="0.25">
      <c r="A606" s="3" t="s">
        <v>327</v>
      </c>
      <c r="B606" s="3">
        <v>12000</v>
      </c>
      <c r="D606" s="3">
        <v>3000</v>
      </c>
      <c r="E606" s="3">
        <f t="shared" si="420"/>
        <v>9000</v>
      </c>
      <c r="F606" s="5">
        <v>12000</v>
      </c>
      <c r="H606" s="5">
        <f t="shared" si="421"/>
        <v>0</v>
      </c>
      <c r="J606" s="5">
        <v>5176</v>
      </c>
      <c r="K606" s="4">
        <f t="shared" si="422"/>
        <v>6824</v>
      </c>
      <c r="L606" s="4">
        <v>12000</v>
      </c>
      <c r="N606" s="4">
        <f t="shared" si="423"/>
        <v>0</v>
      </c>
      <c r="P606" s="3">
        <f>L606*1.0281+13</f>
        <v>12350.2</v>
      </c>
      <c r="Q606" s="3"/>
      <c r="R606" s="3">
        <v>2145</v>
      </c>
      <c r="S606" s="3">
        <f t="shared" si="424"/>
        <v>10205</v>
      </c>
      <c r="T606" s="3">
        <v>12350</v>
      </c>
      <c r="U606" s="3">
        <f t="shared" si="425"/>
        <v>-0.2000000000007276</v>
      </c>
      <c r="V606" s="3">
        <v>5486</v>
      </c>
      <c r="W606" s="3">
        <f t="shared" si="426"/>
        <v>7014</v>
      </c>
      <c r="X606" s="3"/>
      <c r="Y606" s="3">
        <v>12500</v>
      </c>
      <c r="Z606" s="3">
        <f t="shared" si="427"/>
        <v>150</v>
      </c>
      <c r="AA606" s="3"/>
      <c r="AB606" s="3"/>
      <c r="AC606" s="3">
        <v>8888</v>
      </c>
      <c r="AD606" s="3">
        <f t="shared" si="428"/>
        <v>3612</v>
      </c>
      <c r="AE606" s="3">
        <v>12500</v>
      </c>
      <c r="AF606" s="3">
        <f t="shared" si="429"/>
        <v>0</v>
      </c>
      <c r="AG606" s="4"/>
      <c r="AH606" s="4">
        <f>AE606*1.03+25-100</f>
        <v>12800</v>
      </c>
      <c r="AJ606" s="3">
        <v>2308</v>
      </c>
      <c r="AK606" s="3">
        <f t="shared" si="430"/>
        <v>10492</v>
      </c>
      <c r="AL606" s="3">
        <v>12800</v>
      </c>
      <c r="AM606" s="3">
        <f t="shared" si="431"/>
        <v>0</v>
      </c>
      <c r="AO606" s="3">
        <f>AH606*1.03</f>
        <v>13184</v>
      </c>
      <c r="AP606" s="3"/>
      <c r="AQ606" s="3">
        <f>AO606*1.03</f>
        <v>13579.52</v>
      </c>
      <c r="AR606" s="3"/>
      <c r="AS606" s="3">
        <f>AQ606*1.03</f>
        <v>13986.9056</v>
      </c>
      <c r="AT606" s="3"/>
      <c r="AU606" s="3">
        <f>AS606*1.03</f>
        <v>14406.512768000001</v>
      </c>
      <c r="AV606" s="42"/>
      <c r="AW606" s="3">
        <f>AU606*1.03</f>
        <v>14838.70815104</v>
      </c>
      <c r="AX606" s="42"/>
      <c r="AY606" s="3">
        <f>AW606*1.03</f>
        <v>15283.869395571201</v>
      </c>
      <c r="AZ606" s="42"/>
      <c r="BA606" s="3">
        <f>AY606*1.03</f>
        <v>15742.385477438336</v>
      </c>
      <c r="BB606" s="42"/>
      <c r="BC606" s="3">
        <f>BA606*1.03</f>
        <v>16214.657041761488</v>
      </c>
      <c r="BE606" s="3">
        <f>BC606*1.03</f>
        <v>16701.096753014332</v>
      </c>
    </row>
    <row r="607" spans="1:57" x14ac:dyDescent="0.25">
      <c r="A607" s="3" t="s">
        <v>464</v>
      </c>
      <c r="B607" s="3">
        <v>10650</v>
      </c>
      <c r="D607" s="3">
        <v>838</v>
      </c>
      <c r="E607" s="3">
        <f t="shared" si="420"/>
        <v>8162</v>
      </c>
      <c r="F607" s="5">
        <v>9000</v>
      </c>
      <c r="H607" s="5">
        <f t="shared" si="421"/>
        <v>-1650</v>
      </c>
      <c r="J607" s="5">
        <v>3134</v>
      </c>
      <c r="K607" s="4">
        <f t="shared" si="422"/>
        <v>5866</v>
      </c>
      <c r="L607" s="4">
        <v>9000</v>
      </c>
      <c r="N607" s="4">
        <f t="shared" si="423"/>
        <v>0</v>
      </c>
      <c r="P607" s="3">
        <f>L607*1.17+20</f>
        <v>10550</v>
      </c>
      <c r="Q607" s="3"/>
      <c r="R607" s="3">
        <v>899</v>
      </c>
      <c r="S607" s="3">
        <f t="shared" si="424"/>
        <v>9101</v>
      </c>
      <c r="T607" s="3">
        <v>10000</v>
      </c>
      <c r="U607" s="3">
        <f t="shared" si="425"/>
        <v>-550</v>
      </c>
      <c r="V607" s="3">
        <v>3995</v>
      </c>
      <c r="W607" s="3">
        <f t="shared" si="426"/>
        <v>7255</v>
      </c>
      <c r="X607" s="3"/>
      <c r="Y607" s="3">
        <v>11250</v>
      </c>
      <c r="Z607" s="3">
        <f t="shared" si="427"/>
        <v>1250</v>
      </c>
      <c r="AA607" s="3"/>
      <c r="AB607" s="3"/>
      <c r="AC607" s="3">
        <v>3995</v>
      </c>
      <c r="AD607" s="3">
        <f t="shared" si="428"/>
        <v>5005</v>
      </c>
      <c r="AE607" s="3">
        <v>9000</v>
      </c>
      <c r="AF607" s="3">
        <f t="shared" si="429"/>
        <v>-2250</v>
      </c>
      <c r="AG607" s="4"/>
      <c r="AH607" s="4">
        <f>P607*1.075+9</f>
        <v>11350.25</v>
      </c>
      <c r="AJ607" s="3">
        <v>3243</v>
      </c>
      <c r="AK607" s="3">
        <f t="shared" si="430"/>
        <v>8107</v>
      </c>
      <c r="AL607" s="3">
        <v>11350</v>
      </c>
      <c r="AM607" s="3">
        <f t="shared" si="431"/>
        <v>-0.25</v>
      </c>
      <c r="AO607" s="3">
        <f>AH607*1.05</f>
        <v>11917.762500000001</v>
      </c>
      <c r="AP607" s="3"/>
      <c r="AQ607" s="3">
        <f>AO607*1.03</f>
        <v>12275.295375000002</v>
      </c>
      <c r="AR607" s="3"/>
      <c r="AS607" s="3">
        <f>AQ607*1.03</f>
        <v>12643.554236250002</v>
      </c>
      <c r="AT607" s="3"/>
      <c r="AU607" s="3">
        <f>AS607*1.03</f>
        <v>13022.860863337502</v>
      </c>
      <c r="AV607" s="42"/>
      <c r="AW607" s="3">
        <f>AU607*1.03</f>
        <v>13413.546689237628</v>
      </c>
      <c r="AX607" s="42"/>
      <c r="AY607" s="3">
        <f>AW607*1.03</f>
        <v>13815.953089914758</v>
      </c>
      <c r="AZ607" s="42"/>
      <c r="BA607" s="3">
        <f>AY607*1.03</f>
        <v>14230.431682612201</v>
      </c>
      <c r="BB607" s="42"/>
      <c r="BC607" s="3">
        <f>BA607*1.03</f>
        <v>14657.344633090568</v>
      </c>
      <c r="BE607" s="3">
        <f>BC607*1.03</f>
        <v>15097.064972083286</v>
      </c>
    </row>
    <row r="608" spans="1:57" x14ac:dyDescent="0.25">
      <c r="A608" s="3" t="s">
        <v>331</v>
      </c>
      <c r="B608" s="3">
        <v>850</v>
      </c>
      <c r="D608" s="3">
        <v>680</v>
      </c>
      <c r="E608" s="3">
        <f t="shared" si="420"/>
        <v>320</v>
      </c>
      <c r="F608" s="5">
        <v>1000</v>
      </c>
      <c r="H608" s="5">
        <f t="shared" si="421"/>
        <v>150</v>
      </c>
      <c r="J608" s="5">
        <v>0</v>
      </c>
      <c r="K608" s="4">
        <f t="shared" si="422"/>
        <v>1000</v>
      </c>
      <c r="L608" s="4">
        <v>1000</v>
      </c>
      <c r="N608" s="4">
        <f t="shared" si="423"/>
        <v>0</v>
      </c>
      <c r="P608" s="3">
        <f>L608*1.07+30</f>
        <v>1100</v>
      </c>
      <c r="Q608" s="3"/>
      <c r="R608" s="3">
        <v>0</v>
      </c>
      <c r="S608" s="3">
        <f t="shared" si="424"/>
        <v>750</v>
      </c>
      <c r="T608" s="3">
        <v>750</v>
      </c>
      <c r="U608" s="3">
        <f t="shared" si="425"/>
        <v>-350</v>
      </c>
      <c r="V608" s="3">
        <v>0</v>
      </c>
      <c r="W608" s="3">
        <f t="shared" si="426"/>
        <v>750</v>
      </c>
      <c r="X608" s="3"/>
      <c r="Y608" s="3">
        <v>750</v>
      </c>
      <c r="Z608" s="3">
        <f t="shared" si="427"/>
        <v>0</v>
      </c>
      <c r="AA608" s="3"/>
      <c r="AB608" s="3"/>
      <c r="AC608" s="3">
        <v>478</v>
      </c>
      <c r="AD608" s="3">
        <f t="shared" si="428"/>
        <v>272</v>
      </c>
      <c r="AE608" s="3">
        <v>750</v>
      </c>
      <c r="AF608" s="3">
        <f t="shared" si="429"/>
        <v>0</v>
      </c>
      <c r="AG608" s="4"/>
      <c r="AH608" s="4">
        <f>P608*1.07+23</f>
        <v>1200</v>
      </c>
      <c r="AJ608" s="3">
        <v>0</v>
      </c>
      <c r="AK608" s="3">
        <f t="shared" si="430"/>
        <v>1000</v>
      </c>
      <c r="AL608" s="3">
        <v>1000</v>
      </c>
      <c r="AM608" s="3">
        <f t="shared" si="431"/>
        <v>-200</v>
      </c>
      <c r="AO608" s="3">
        <f>AH608*1.07</f>
        <v>1284</v>
      </c>
      <c r="AP608" s="3"/>
      <c r="AQ608" s="3">
        <f>AO608*1.07</f>
        <v>1373.88</v>
      </c>
      <c r="AR608" s="3"/>
      <c r="AS608" s="3">
        <f>AQ608*1.07</f>
        <v>1470.0516000000002</v>
      </c>
      <c r="AT608" s="3"/>
      <c r="AU608" s="3">
        <f>AS608*1.07</f>
        <v>1572.9552120000003</v>
      </c>
      <c r="AV608" s="42"/>
      <c r="AW608" s="3">
        <f>AU608*1.07</f>
        <v>1683.0620768400004</v>
      </c>
      <c r="AX608" s="42"/>
      <c r="AY608" s="3">
        <f>AW608*1.07</f>
        <v>1800.8764222188006</v>
      </c>
      <c r="AZ608" s="42"/>
      <c r="BA608" s="3">
        <f>AY608*1.07</f>
        <v>1926.9377717741168</v>
      </c>
      <c r="BB608" s="42"/>
      <c r="BC608" s="3">
        <f>BA608*1.07</f>
        <v>2061.8234157983052</v>
      </c>
      <c r="BE608" s="3">
        <f>BC608*1.07</f>
        <v>2206.1510549041868</v>
      </c>
    </row>
    <row r="609" spans="1:57" x14ac:dyDescent="0.25">
      <c r="A609" s="3" t="s">
        <v>332</v>
      </c>
      <c r="B609" s="3">
        <v>1750</v>
      </c>
      <c r="D609" s="3">
        <v>255</v>
      </c>
      <c r="E609" s="3">
        <f t="shared" si="420"/>
        <v>1495</v>
      </c>
      <c r="F609" s="5">
        <v>1750</v>
      </c>
      <c r="H609" s="5">
        <f t="shared" si="421"/>
        <v>0</v>
      </c>
      <c r="J609" s="5">
        <v>427</v>
      </c>
      <c r="K609" s="4">
        <f t="shared" si="422"/>
        <v>1323</v>
      </c>
      <c r="L609" s="4">
        <v>1750</v>
      </c>
      <c r="N609" s="4">
        <f t="shared" si="423"/>
        <v>0</v>
      </c>
      <c r="P609" s="3">
        <f>L609*1.0281+1</f>
        <v>1800.175</v>
      </c>
      <c r="Q609" s="3"/>
      <c r="R609" s="3">
        <v>277</v>
      </c>
      <c r="S609" s="3">
        <f t="shared" si="424"/>
        <v>1123</v>
      </c>
      <c r="T609" s="3">
        <v>1400</v>
      </c>
      <c r="U609" s="3">
        <f t="shared" si="425"/>
        <v>-400.17499999999995</v>
      </c>
      <c r="V609" s="3">
        <v>422</v>
      </c>
      <c r="W609" s="3">
        <f t="shared" si="426"/>
        <v>978</v>
      </c>
      <c r="X609" s="3"/>
      <c r="Y609" s="3">
        <v>1400</v>
      </c>
      <c r="Z609" s="3">
        <f t="shared" si="427"/>
        <v>0</v>
      </c>
      <c r="AA609" s="3"/>
      <c r="AB609" s="3"/>
      <c r="AC609" s="3">
        <v>98</v>
      </c>
      <c r="AD609" s="3">
        <f t="shared" si="428"/>
        <v>1302</v>
      </c>
      <c r="AE609" s="3">
        <v>1400</v>
      </c>
      <c r="AF609" s="3">
        <f t="shared" si="429"/>
        <v>0</v>
      </c>
      <c r="AG609" s="4"/>
      <c r="AH609" s="4">
        <f>AE609*1.03+8</f>
        <v>1450</v>
      </c>
      <c r="AJ609" s="3"/>
      <c r="AK609" s="3">
        <f t="shared" si="430"/>
        <v>1450</v>
      </c>
      <c r="AL609" s="3">
        <v>1450</v>
      </c>
      <c r="AM609" s="3">
        <f t="shared" si="431"/>
        <v>0</v>
      </c>
      <c r="AO609" s="3">
        <f>AH609*1.03</f>
        <v>1493.5</v>
      </c>
      <c r="AP609" s="3"/>
      <c r="AQ609" s="3">
        <f>AO609*1.03</f>
        <v>1538.3050000000001</v>
      </c>
      <c r="AR609" s="3"/>
      <c r="AS609" s="3">
        <f>AQ609*1.03</f>
        <v>1584.45415</v>
      </c>
      <c r="AT609" s="3"/>
      <c r="AU609" s="3">
        <f>AS609*1.03</f>
        <v>1631.9877745000001</v>
      </c>
      <c r="AV609" s="42"/>
      <c r="AW609" s="3">
        <f>AU609*1.03</f>
        <v>1680.9474077350001</v>
      </c>
      <c r="AX609" s="42"/>
      <c r="AY609" s="3">
        <f>AW609*1.03</f>
        <v>1731.3758299670501</v>
      </c>
      <c r="AZ609" s="42"/>
      <c r="BA609" s="3">
        <f>AY609*1.03</f>
        <v>1783.3171048660618</v>
      </c>
      <c r="BB609" s="42"/>
      <c r="BC609" s="3">
        <f>BA609*1.03</f>
        <v>1836.8166180120436</v>
      </c>
      <c r="BE609" s="3">
        <f>BC609*1.03</f>
        <v>1891.921116552405</v>
      </c>
    </row>
    <row r="610" spans="1:57" x14ac:dyDescent="0.25">
      <c r="A610" s="3" t="s">
        <v>465</v>
      </c>
      <c r="B610" s="3">
        <v>1000</v>
      </c>
      <c r="D610" s="3">
        <v>0</v>
      </c>
      <c r="E610" s="3">
        <f t="shared" si="420"/>
        <v>1000</v>
      </c>
      <c r="F610" s="5">
        <v>1000</v>
      </c>
      <c r="H610" s="5">
        <f t="shared" si="421"/>
        <v>0</v>
      </c>
      <c r="J610" s="5">
        <v>150</v>
      </c>
      <c r="K610" s="4">
        <f t="shared" si="422"/>
        <v>850</v>
      </c>
      <c r="L610" s="4">
        <v>1000</v>
      </c>
      <c r="N610" s="4">
        <f t="shared" si="423"/>
        <v>0</v>
      </c>
      <c r="P610" s="3">
        <f>L610*1.0281+22</f>
        <v>1050.0999999999999</v>
      </c>
      <c r="Q610" s="3"/>
      <c r="R610" s="3">
        <v>84</v>
      </c>
      <c r="S610" s="3">
        <f t="shared" si="424"/>
        <v>916</v>
      </c>
      <c r="T610" s="3">
        <v>1000</v>
      </c>
      <c r="U610" s="3">
        <f t="shared" si="425"/>
        <v>-50.099999999999909</v>
      </c>
      <c r="V610" s="3">
        <f>675+48+36</f>
        <v>759</v>
      </c>
      <c r="W610" s="3">
        <f t="shared" si="426"/>
        <v>241</v>
      </c>
      <c r="X610" s="3"/>
      <c r="Y610" s="3">
        <v>1000</v>
      </c>
      <c r="Z610" s="3">
        <f t="shared" si="427"/>
        <v>0</v>
      </c>
      <c r="AA610" s="3"/>
      <c r="AB610" s="3"/>
      <c r="AC610" s="3">
        <v>704</v>
      </c>
      <c r="AD610" s="3">
        <f t="shared" si="428"/>
        <v>296</v>
      </c>
      <c r="AE610" s="3">
        <v>1000</v>
      </c>
      <c r="AF610" s="3">
        <f t="shared" si="429"/>
        <v>0</v>
      </c>
      <c r="AG610" s="4"/>
      <c r="AH610" s="4">
        <f>AE610*1.03</f>
        <v>1030</v>
      </c>
      <c r="AJ610" s="3">
        <v>245</v>
      </c>
      <c r="AK610" s="3">
        <f t="shared" si="430"/>
        <v>785</v>
      </c>
      <c r="AL610" s="3">
        <v>1030</v>
      </c>
      <c r="AM610" s="3">
        <f t="shared" si="431"/>
        <v>0</v>
      </c>
      <c r="AO610" s="3">
        <f>AH610*1.03</f>
        <v>1060.9000000000001</v>
      </c>
      <c r="AP610" s="3"/>
      <c r="AQ610" s="3">
        <f t="shared" ref="AQ610:BC610" si="432">AO610*1.03</f>
        <v>1092.7270000000001</v>
      </c>
      <c r="AR610" s="3"/>
      <c r="AS610" s="3">
        <f t="shared" si="432"/>
        <v>1125.50881</v>
      </c>
      <c r="AT610" s="3"/>
      <c r="AU610" s="3">
        <f t="shared" si="432"/>
        <v>1159.2740743000002</v>
      </c>
      <c r="AV610" s="42"/>
      <c r="AW610" s="3">
        <f t="shared" si="432"/>
        <v>1194.0522965290002</v>
      </c>
      <c r="AX610" s="42"/>
      <c r="AY610" s="3">
        <f t="shared" si="432"/>
        <v>1229.8738654248702</v>
      </c>
      <c r="AZ610" s="42"/>
      <c r="BA610" s="3">
        <f t="shared" si="432"/>
        <v>1266.7700813876163</v>
      </c>
      <c r="BB610" s="42"/>
      <c r="BC610" s="3">
        <f t="shared" si="432"/>
        <v>1304.7731838292448</v>
      </c>
      <c r="BE610" s="3">
        <f>BC610*1.03</f>
        <v>1343.9163793441221</v>
      </c>
    </row>
    <row r="611" spans="1:57" x14ac:dyDescent="0.25">
      <c r="A611" s="3" t="s">
        <v>466</v>
      </c>
      <c r="B611" s="3">
        <v>700</v>
      </c>
      <c r="D611" s="3">
        <v>530</v>
      </c>
      <c r="E611" s="3">
        <f t="shared" si="420"/>
        <v>170</v>
      </c>
      <c r="F611" s="5">
        <v>700</v>
      </c>
      <c r="H611" s="5">
        <f t="shared" si="421"/>
        <v>0</v>
      </c>
      <c r="J611" s="5">
        <v>531</v>
      </c>
      <c r="K611" s="4">
        <f t="shared" si="422"/>
        <v>169</v>
      </c>
      <c r="L611" s="4">
        <v>700</v>
      </c>
      <c r="N611" s="4">
        <f t="shared" si="423"/>
        <v>0</v>
      </c>
      <c r="P611" s="3">
        <f>L611*1.0281+30</f>
        <v>749.67</v>
      </c>
      <c r="Q611" s="3"/>
      <c r="R611" s="3">
        <v>94</v>
      </c>
      <c r="S611" s="3">
        <f t="shared" si="424"/>
        <v>606</v>
      </c>
      <c r="T611" s="3">
        <v>700</v>
      </c>
      <c r="U611" s="3">
        <f t="shared" si="425"/>
        <v>-49.669999999999959</v>
      </c>
      <c r="V611" s="3">
        <v>546</v>
      </c>
      <c r="W611" s="3">
        <f t="shared" si="426"/>
        <v>154</v>
      </c>
      <c r="X611" s="3"/>
      <c r="Y611" s="3">
        <v>700</v>
      </c>
      <c r="Z611" s="3">
        <f t="shared" si="427"/>
        <v>0</v>
      </c>
      <c r="AA611" s="3"/>
      <c r="AB611" s="3"/>
      <c r="AC611" s="3">
        <v>546</v>
      </c>
      <c r="AD611" s="3">
        <f t="shared" si="428"/>
        <v>154</v>
      </c>
      <c r="AE611" s="3">
        <v>700</v>
      </c>
      <c r="AF611" s="3">
        <f t="shared" si="429"/>
        <v>0</v>
      </c>
      <c r="AG611" s="4"/>
      <c r="AH611" s="4">
        <f>AE611*1.03+29</f>
        <v>750</v>
      </c>
      <c r="AJ611" s="3">
        <v>561</v>
      </c>
      <c r="AK611" s="3">
        <f t="shared" si="430"/>
        <v>189</v>
      </c>
      <c r="AL611" s="3">
        <v>750</v>
      </c>
      <c r="AM611" s="3">
        <f t="shared" si="431"/>
        <v>0</v>
      </c>
      <c r="AO611" s="3">
        <f>AH611*1.03</f>
        <v>772.5</v>
      </c>
      <c r="AP611" s="3"/>
      <c r="AQ611" s="3">
        <f>AO611*1.03</f>
        <v>795.67500000000007</v>
      </c>
      <c r="AR611" s="3"/>
      <c r="AS611" s="3">
        <f>AQ611*1.03</f>
        <v>819.54525000000012</v>
      </c>
      <c r="AT611" s="3"/>
      <c r="AU611" s="3">
        <f>AS611*1.03</f>
        <v>844.1316075000002</v>
      </c>
      <c r="AV611" s="42"/>
      <c r="AW611" s="3">
        <f>AU611*1.03</f>
        <v>869.45555572500018</v>
      </c>
      <c r="AX611" s="42"/>
      <c r="AY611" s="3">
        <f>AW611*1.03</f>
        <v>895.53922239675023</v>
      </c>
      <c r="AZ611" s="42"/>
      <c r="BA611" s="3">
        <f>AY611*1.03</f>
        <v>922.40539906865274</v>
      </c>
      <c r="BB611" s="42"/>
      <c r="BC611" s="3">
        <f>BA611*1.03</f>
        <v>950.07756104071234</v>
      </c>
      <c r="BE611" s="3">
        <f>BC611*1.03</f>
        <v>978.57988787193369</v>
      </c>
    </row>
    <row r="612" spans="1:57" s="42" customFormat="1" x14ac:dyDescent="0.25">
      <c r="A612" s="3" t="s">
        <v>467</v>
      </c>
      <c r="B612" s="3">
        <v>1500</v>
      </c>
      <c r="C612" s="3"/>
      <c r="D612" s="3">
        <v>405</v>
      </c>
      <c r="E612" s="3">
        <f t="shared" si="420"/>
        <v>1095</v>
      </c>
      <c r="F612" s="5">
        <v>1500</v>
      </c>
      <c r="G612" s="3"/>
      <c r="H612" s="5">
        <f t="shared" si="421"/>
        <v>0</v>
      </c>
      <c r="I612" s="5"/>
      <c r="J612" s="5">
        <v>840</v>
      </c>
      <c r="K612" s="4">
        <f t="shared" si="422"/>
        <v>910</v>
      </c>
      <c r="L612" s="4">
        <v>1750</v>
      </c>
      <c r="M612" s="4"/>
      <c r="N612" s="4">
        <f t="shared" si="423"/>
        <v>250</v>
      </c>
      <c r="O612" s="4"/>
      <c r="P612" s="3">
        <f>L612*1.0281+1</f>
        <v>1800.175</v>
      </c>
      <c r="Q612" s="3"/>
      <c r="R612" s="3">
        <v>427</v>
      </c>
      <c r="S612" s="3">
        <f t="shared" si="424"/>
        <v>1373</v>
      </c>
      <c r="T612" s="3">
        <v>1800</v>
      </c>
      <c r="U612" s="3">
        <f t="shared" si="425"/>
        <v>-0.17499999999995453</v>
      </c>
      <c r="V612" s="3">
        <v>916</v>
      </c>
      <c r="W612" s="3">
        <f t="shared" si="426"/>
        <v>884</v>
      </c>
      <c r="X612" s="3"/>
      <c r="Y612" s="3">
        <v>1800</v>
      </c>
      <c r="Z612" s="3">
        <f t="shared" si="427"/>
        <v>0</v>
      </c>
      <c r="AA612" s="3"/>
      <c r="AB612" s="3"/>
      <c r="AC612" s="3">
        <v>1390</v>
      </c>
      <c r="AD612" s="3">
        <f t="shared" si="428"/>
        <v>410</v>
      </c>
      <c r="AE612" s="3">
        <v>1800</v>
      </c>
      <c r="AF612" s="3">
        <f t="shared" si="429"/>
        <v>0</v>
      </c>
      <c r="AG612" s="4"/>
      <c r="AH612" s="4">
        <f>AE612*1.03-4</f>
        <v>1850</v>
      </c>
      <c r="AI612" s="4"/>
      <c r="AJ612" s="3">
        <v>370</v>
      </c>
      <c r="AK612" s="3">
        <f t="shared" si="430"/>
        <v>1480</v>
      </c>
      <c r="AL612" s="3">
        <v>1850</v>
      </c>
      <c r="AM612" s="3">
        <f t="shared" si="431"/>
        <v>0</v>
      </c>
      <c r="AN612" s="4"/>
      <c r="AO612" s="3">
        <f>AH612*1.03</f>
        <v>1905.5</v>
      </c>
      <c r="AP612" s="3"/>
      <c r="AQ612" s="3">
        <f>AO612*1.03</f>
        <v>1962.665</v>
      </c>
      <c r="AR612" s="3"/>
      <c r="AS612" s="3">
        <f>AQ612*1.03</f>
        <v>2021.54495</v>
      </c>
      <c r="AT612" s="3"/>
      <c r="AU612" s="3">
        <f>AS612*1.03</f>
        <v>2082.1912984999999</v>
      </c>
      <c r="AW612" s="3">
        <f>AU612*1.03</f>
        <v>2144.6570374550001</v>
      </c>
      <c r="AY612" s="3">
        <f>AW612*1.03</f>
        <v>2208.9967485786501</v>
      </c>
      <c r="BA612" s="3">
        <f>AY612*1.03</f>
        <v>2275.2666510360095</v>
      </c>
      <c r="BC612" s="3">
        <f>BA612*1.03</f>
        <v>2343.5246505670898</v>
      </c>
      <c r="BE612" s="3">
        <f>BC612*1.03</f>
        <v>2413.8303900841024</v>
      </c>
    </row>
    <row r="613" spans="1:57" x14ac:dyDescent="0.25">
      <c r="A613" s="3" t="s">
        <v>468</v>
      </c>
      <c r="B613" s="3">
        <v>2420</v>
      </c>
      <c r="D613" s="3">
        <v>0</v>
      </c>
      <c r="E613" s="3">
        <f t="shared" si="420"/>
        <v>2420</v>
      </c>
      <c r="F613" s="5">
        <v>2420</v>
      </c>
      <c r="H613" s="5">
        <f t="shared" si="421"/>
        <v>0</v>
      </c>
      <c r="J613" s="5">
        <v>0</v>
      </c>
      <c r="K613" s="4">
        <f t="shared" si="422"/>
        <v>2420</v>
      </c>
      <c r="L613" s="4">
        <v>2420</v>
      </c>
      <c r="N613" s="4">
        <f t="shared" si="423"/>
        <v>0</v>
      </c>
      <c r="P613" s="3">
        <v>2500</v>
      </c>
      <c r="Q613" s="3"/>
      <c r="R613" s="3">
        <v>0</v>
      </c>
      <c r="S613" s="3">
        <f t="shared" si="424"/>
        <v>2500</v>
      </c>
      <c r="T613" s="3">
        <v>2500</v>
      </c>
      <c r="U613" s="3">
        <f t="shared" si="425"/>
        <v>0</v>
      </c>
      <c r="V613" s="3">
        <v>0</v>
      </c>
      <c r="W613" s="3">
        <f t="shared" si="426"/>
        <v>2500</v>
      </c>
      <c r="X613" s="3"/>
      <c r="Y613" s="3">
        <v>2500</v>
      </c>
      <c r="Z613" s="3">
        <f t="shared" si="427"/>
        <v>0</v>
      </c>
      <c r="AA613" s="3"/>
      <c r="AB613" s="3"/>
      <c r="AC613" s="3">
        <v>0</v>
      </c>
      <c r="AD613" s="3">
        <f t="shared" si="428"/>
        <v>2500</v>
      </c>
      <c r="AE613" s="3">
        <v>2500</v>
      </c>
      <c r="AF613" s="3">
        <f t="shared" si="429"/>
        <v>0</v>
      </c>
      <c r="AG613" s="4"/>
      <c r="AH613" s="4">
        <f>AE613*1.05+25</f>
        <v>2650</v>
      </c>
      <c r="AJ613" s="3">
        <v>0</v>
      </c>
      <c r="AK613" s="3">
        <f t="shared" si="430"/>
        <v>2650</v>
      </c>
      <c r="AL613" s="3">
        <v>2650</v>
      </c>
      <c r="AM613" s="3">
        <f t="shared" si="431"/>
        <v>0</v>
      </c>
      <c r="AO613" s="3">
        <f>AH613*1.05</f>
        <v>2782.5</v>
      </c>
      <c r="AP613" s="3"/>
      <c r="AQ613" s="3">
        <f>AO613*1.05</f>
        <v>2921.625</v>
      </c>
      <c r="AR613" s="3"/>
      <c r="AS613" s="3">
        <f>AQ613*1.05</f>
        <v>3067.7062500000002</v>
      </c>
      <c r="AT613" s="3"/>
      <c r="AU613" s="3">
        <f>AS613*1.05</f>
        <v>3221.0915625000002</v>
      </c>
      <c r="AV613" s="42"/>
      <c r="AW613" s="3">
        <f>AU613*1.05</f>
        <v>3382.1461406250005</v>
      </c>
      <c r="AX613" s="42"/>
      <c r="AY613" s="3">
        <f>AW613*1.05</f>
        <v>3551.2534476562505</v>
      </c>
      <c r="AZ613" s="42"/>
      <c r="BA613" s="3">
        <f>AY613*1.05</f>
        <v>3728.8161200390632</v>
      </c>
      <c r="BB613" s="42"/>
      <c r="BC613" s="3">
        <f>BA613*1.05</f>
        <v>3915.2569260410164</v>
      </c>
      <c r="BE613" s="3">
        <f>BC613*1.05</f>
        <v>4111.0197723430674</v>
      </c>
    </row>
    <row r="614" spans="1:57" x14ac:dyDescent="0.25">
      <c r="A614" s="3" t="s">
        <v>289</v>
      </c>
      <c r="B614" s="3">
        <v>28500</v>
      </c>
      <c r="D614" s="3">
        <v>0</v>
      </c>
      <c r="E614" s="3">
        <f>F614-D614</f>
        <v>28500</v>
      </c>
      <c r="F614" s="5">
        <v>28500</v>
      </c>
      <c r="H614" s="5">
        <f>F614-B614</f>
        <v>0</v>
      </c>
      <c r="J614" s="5">
        <v>0</v>
      </c>
      <c r="K614" s="4">
        <f t="shared" si="422"/>
        <v>28500</v>
      </c>
      <c r="L614" s="4">
        <v>28500</v>
      </c>
      <c r="N614" s="4">
        <f t="shared" si="423"/>
        <v>0</v>
      </c>
      <c r="P614" s="3">
        <f>B614</f>
        <v>28500</v>
      </c>
      <c r="Q614" s="3"/>
      <c r="R614" s="3">
        <v>0</v>
      </c>
      <c r="S614" s="3">
        <f t="shared" si="424"/>
        <v>28500</v>
      </c>
      <c r="T614" s="3">
        <v>28500</v>
      </c>
      <c r="U614" s="3">
        <f t="shared" si="425"/>
        <v>0</v>
      </c>
      <c r="V614" s="3">
        <v>0</v>
      </c>
      <c r="W614" s="3">
        <f t="shared" si="426"/>
        <v>28500</v>
      </c>
      <c r="X614" s="3"/>
      <c r="Y614" s="3">
        <v>28500</v>
      </c>
      <c r="Z614" s="3">
        <f t="shared" si="427"/>
        <v>0</v>
      </c>
      <c r="AA614" s="3"/>
      <c r="AB614" s="3"/>
      <c r="AC614" s="3">
        <v>0</v>
      </c>
      <c r="AD614" s="3">
        <f t="shared" si="428"/>
        <v>28500</v>
      </c>
      <c r="AE614" s="3">
        <v>28500</v>
      </c>
      <c r="AF614" s="3">
        <f t="shared" si="429"/>
        <v>0</v>
      </c>
      <c r="AG614" s="4"/>
      <c r="AH614" s="4">
        <f>P614</f>
        <v>28500</v>
      </c>
      <c r="AJ614" s="3">
        <v>0</v>
      </c>
      <c r="AK614" s="3">
        <f t="shared" si="430"/>
        <v>28500</v>
      </c>
      <c r="AL614" s="3">
        <v>28500</v>
      </c>
      <c r="AM614" s="3">
        <f t="shared" si="431"/>
        <v>0</v>
      </c>
      <c r="AO614" s="3">
        <f>AH614</f>
        <v>28500</v>
      </c>
      <c r="AP614" s="3"/>
      <c r="AQ614" s="3">
        <f>AO614</f>
        <v>28500</v>
      </c>
      <c r="AR614" s="3"/>
      <c r="AS614" s="3">
        <f>AQ614</f>
        <v>28500</v>
      </c>
      <c r="AT614" s="3"/>
      <c r="AU614" s="3">
        <f>AS614</f>
        <v>28500</v>
      </c>
      <c r="AV614" s="42"/>
      <c r="AW614" s="3">
        <f>AU614</f>
        <v>28500</v>
      </c>
      <c r="AX614" s="42"/>
      <c r="AY614" s="3">
        <f>AW614</f>
        <v>28500</v>
      </c>
      <c r="AZ614" s="42"/>
      <c r="BA614" s="3">
        <f>AY614</f>
        <v>28500</v>
      </c>
      <c r="BB614" s="42"/>
      <c r="BC614" s="3">
        <f>BA614</f>
        <v>28500</v>
      </c>
      <c r="BE614" s="3">
        <f>BC614</f>
        <v>28500</v>
      </c>
    </row>
    <row r="615" spans="1:57" x14ac:dyDescent="0.25">
      <c r="A615" s="3" t="s">
        <v>469</v>
      </c>
      <c r="B615" s="3">
        <v>1650</v>
      </c>
      <c r="D615" s="3">
        <v>1550</v>
      </c>
      <c r="E615" s="3">
        <f>F615-D615</f>
        <v>100</v>
      </c>
      <c r="F615" s="5">
        <v>1650</v>
      </c>
      <c r="H615" s="5">
        <f>F615-B615</f>
        <v>0</v>
      </c>
      <c r="J615" s="5">
        <v>1550</v>
      </c>
      <c r="K615" s="4">
        <f t="shared" si="422"/>
        <v>0</v>
      </c>
      <c r="L615" s="4">
        <v>1550</v>
      </c>
      <c r="N615" s="4">
        <f t="shared" si="423"/>
        <v>-100</v>
      </c>
      <c r="P615" s="3">
        <f>L615*1.0281+6</f>
        <v>1599.5550000000001</v>
      </c>
      <c r="Q615" s="3"/>
      <c r="R615" s="3">
        <v>0</v>
      </c>
      <c r="S615" s="3">
        <f t="shared" si="424"/>
        <v>1500</v>
      </c>
      <c r="T615" s="3">
        <v>1500</v>
      </c>
      <c r="U615" s="3">
        <f t="shared" si="425"/>
        <v>-99.555000000000064</v>
      </c>
      <c r="V615" s="3"/>
      <c r="W615" s="3">
        <f t="shared" si="426"/>
        <v>1500</v>
      </c>
      <c r="X615" s="3"/>
      <c r="Y615" s="3">
        <v>1500</v>
      </c>
      <c r="Z615" s="3">
        <f t="shared" si="427"/>
        <v>0</v>
      </c>
      <c r="AA615" s="3"/>
      <c r="AB615" s="3"/>
      <c r="AC615" s="3">
        <v>0</v>
      </c>
      <c r="AD615" s="3">
        <f t="shared" si="428"/>
        <v>1500</v>
      </c>
      <c r="AE615" s="3">
        <v>1500</v>
      </c>
      <c r="AF615" s="3">
        <f t="shared" si="429"/>
        <v>0</v>
      </c>
      <c r="AG615" s="4"/>
      <c r="AH615" s="4">
        <f>AE615*1.03+5</f>
        <v>1550</v>
      </c>
      <c r="AJ615" s="3">
        <v>0</v>
      </c>
      <c r="AK615" s="3">
        <f t="shared" si="430"/>
        <v>1500</v>
      </c>
      <c r="AL615" s="3">
        <v>1500</v>
      </c>
      <c r="AM615" s="3">
        <f t="shared" si="431"/>
        <v>-50</v>
      </c>
      <c r="AO615" s="3">
        <f>AH615*1.03</f>
        <v>1596.5</v>
      </c>
      <c r="AP615" s="3"/>
      <c r="AQ615" s="3">
        <f>AO615*1.03</f>
        <v>1644.395</v>
      </c>
      <c r="AR615" s="3"/>
      <c r="AS615" s="3">
        <f>AQ615*1.03</f>
        <v>1693.72685</v>
      </c>
      <c r="AT615" s="3"/>
      <c r="AU615" s="3">
        <f>AS615*1.03</f>
        <v>1744.5386555</v>
      </c>
      <c r="AV615" s="42"/>
      <c r="AW615" s="3">
        <f>AU615*1.03</f>
        <v>1796.874815165</v>
      </c>
      <c r="AX615" s="42"/>
      <c r="AY615" s="3">
        <f>AW615*1.03</f>
        <v>1850.7810596199499</v>
      </c>
      <c r="AZ615" s="42"/>
      <c r="BA615" s="3">
        <f>AY615*1.03</f>
        <v>1906.3044914085485</v>
      </c>
      <c r="BB615" s="42"/>
      <c r="BC615" s="3">
        <f>BA615*1.03</f>
        <v>1963.4936261508051</v>
      </c>
      <c r="BE615" s="3">
        <f>BC615*1.03</f>
        <v>2022.3984349353293</v>
      </c>
    </row>
    <row r="616" spans="1:57" x14ac:dyDescent="0.25">
      <c r="A616" s="3" t="s">
        <v>470</v>
      </c>
      <c r="B616" s="3">
        <v>6400</v>
      </c>
      <c r="D616" s="3">
        <v>3929</v>
      </c>
      <c r="E616" s="3">
        <f>F616-D616</f>
        <v>2471</v>
      </c>
      <c r="F616" s="5">
        <v>6400</v>
      </c>
      <c r="H616" s="5">
        <f>F616-B616</f>
        <v>0</v>
      </c>
      <c r="J616" s="5">
        <v>6485</v>
      </c>
      <c r="K616" s="4">
        <f t="shared" si="422"/>
        <v>1015</v>
      </c>
      <c r="L616" s="4">
        <v>7500</v>
      </c>
      <c r="N616" s="4">
        <f t="shared" si="423"/>
        <v>1100</v>
      </c>
      <c r="P616" s="3">
        <f>L616*1.0281-11</f>
        <v>7699.75</v>
      </c>
      <c r="Q616" s="3"/>
      <c r="R616" s="3">
        <v>6755</v>
      </c>
      <c r="S616" s="3">
        <f t="shared" si="424"/>
        <v>1945</v>
      </c>
      <c r="T616" s="3">
        <v>8700</v>
      </c>
      <c r="U616" s="3">
        <f t="shared" si="425"/>
        <v>1000.25</v>
      </c>
      <c r="V616" s="3">
        <v>8460</v>
      </c>
      <c r="W616" s="3">
        <f t="shared" si="426"/>
        <v>240</v>
      </c>
      <c r="X616" s="3"/>
      <c r="Y616" s="3">
        <v>8700</v>
      </c>
      <c r="Z616" s="3">
        <f t="shared" si="427"/>
        <v>0</v>
      </c>
      <c r="AA616" s="3"/>
      <c r="AB616" s="3"/>
      <c r="AC616" s="3">
        <v>9108</v>
      </c>
      <c r="AD616" s="3">
        <f t="shared" si="428"/>
        <v>1892</v>
      </c>
      <c r="AE616" s="3">
        <v>11000</v>
      </c>
      <c r="AF616" s="3">
        <f t="shared" si="429"/>
        <v>2300</v>
      </c>
      <c r="AG616" s="4"/>
      <c r="AH616" s="4">
        <v>10000</v>
      </c>
      <c r="AJ616" s="3">
        <v>5861</v>
      </c>
      <c r="AK616" s="3">
        <f t="shared" si="430"/>
        <v>4139</v>
      </c>
      <c r="AL616" s="3">
        <v>10000</v>
      </c>
      <c r="AM616" s="3">
        <f t="shared" si="431"/>
        <v>0</v>
      </c>
      <c r="AO616" s="3">
        <f>AH616*1.03</f>
        <v>10300</v>
      </c>
      <c r="AP616" s="3"/>
      <c r="AQ616" s="3">
        <f>AO616*1.03</f>
        <v>10609</v>
      </c>
      <c r="AR616" s="3"/>
      <c r="AS616" s="3">
        <f>AQ616*1.03</f>
        <v>10927.27</v>
      </c>
      <c r="AT616" s="3"/>
      <c r="AU616" s="3">
        <f>AS616*1.03</f>
        <v>11255.088100000001</v>
      </c>
      <c r="AV616" s="42"/>
      <c r="AW616" s="3">
        <f>AU616*1.03</f>
        <v>11592.740743</v>
      </c>
      <c r="AX616" s="42"/>
      <c r="AY616" s="3">
        <f>AW616*1.03</f>
        <v>11940.52296529</v>
      </c>
      <c r="AZ616" s="42"/>
      <c r="BA616" s="3">
        <f>AY616*1.03</f>
        <v>12298.7386542487</v>
      </c>
      <c r="BB616" s="42"/>
      <c r="BC616" s="3">
        <f>BA616*1.03</f>
        <v>12667.700813876161</v>
      </c>
      <c r="BE616" s="3">
        <f>BC616*1.03</f>
        <v>13047.731838292446</v>
      </c>
    </row>
    <row r="617" spans="1:57" x14ac:dyDescent="0.25">
      <c r="A617" s="3" t="s">
        <v>471</v>
      </c>
      <c r="B617" s="3">
        <v>4300</v>
      </c>
      <c r="D617" s="3">
        <v>3450</v>
      </c>
      <c r="E617" s="3">
        <f>F617-D617</f>
        <v>850</v>
      </c>
      <c r="F617" s="5">
        <v>4300</v>
      </c>
      <c r="H617" s="5">
        <f>F617-B617</f>
        <v>0</v>
      </c>
      <c r="J617" s="5">
        <v>3557</v>
      </c>
      <c r="K617" s="4">
        <f t="shared" si="422"/>
        <v>743</v>
      </c>
      <c r="L617" s="4">
        <v>4300</v>
      </c>
      <c r="N617" s="4">
        <f t="shared" si="423"/>
        <v>0</v>
      </c>
      <c r="P617" s="3">
        <f>L617*1.0281+29</f>
        <v>4449.83</v>
      </c>
      <c r="Q617" s="3"/>
      <c r="R617" s="3">
        <v>5897</v>
      </c>
      <c r="S617" s="3">
        <f t="shared" si="424"/>
        <v>553</v>
      </c>
      <c r="T617" s="3">
        <v>6450</v>
      </c>
      <c r="U617" s="3">
        <f t="shared" si="425"/>
        <v>2000.17</v>
      </c>
      <c r="V617" s="3">
        <f>2195+41+3724</f>
        <v>5960</v>
      </c>
      <c r="W617" s="3">
        <f t="shared" si="426"/>
        <v>490</v>
      </c>
      <c r="X617" s="3"/>
      <c r="Y617" s="3">
        <v>6450</v>
      </c>
      <c r="Z617" s="3">
        <f t="shared" si="427"/>
        <v>0</v>
      </c>
      <c r="AA617" s="3"/>
      <c r="AB617" s="3"/>
      <c r="AC617" s="3">
        <v>6897</v>
      </c>
      <c r="AD617" s="3">
        <f t="shared" si="428"/>
        <v>1603</v>
      </c>
      <c r="AE617" s="3">
        <v>8500</v>
      </c>
      <c r="AF617" s="3">
        <f t="shared" si="429"/>
        <v>2050</v>
      </c>
      <c r="AG617" s="4"/>
      <c r="AH617" s="4">
        <f>AE617*1.03-5</f>
        <v>8750</v>
      </c>
      <c r="AJ617" s="3">
        <v>0</v>
      </c>
      <c r="AK617" s="3">
        <f t="shared" si="430"/>
        <v>6000</v>
      </c>
      <c r="AL617" s="3">
        <v>6000</v>
      </c>
      <c r="AM617" s="3">
        <f t="shared" si="431"/>
        <v>-2750</v>
      </c>
      <c r="AO617" s="3">
        <f>AH617*1.03</f>
        <v>9012.5</v>
      </c>
      <c r="AP617" s="3"/>
      <c r="AQ617" s="3">
        <f>AO617*1.03</f>
        <v>9282.875</v>
      </c>
      <c r="AR617" s="3"/>
      <c r="AS617" s="3">
        <f>AQ617*1.03</f>
        <v>9561.3612499999999</v>
      </c>
      <c r="AT617" s="3"/>
      <c r="AU617" s="3">
        <f>AS617*1.03</f>
        <v>9848.2020874999998</v>
      </c>
      <c r="AV617" s="42"/>
      <c r="AW617" s="3">
        <f>AU617*1.03</f>
        <v>10143.648150125</v>
      </c>
      <c r="AX617" s="42"/>
      <c r="AY617" s="3">
        <f>AW617*1.03</f>
        <v>10447.95759462875</v>
      </c>
      <c r="AZ617" s="42"/>
      <c r="BA617" s="3">
        <f>AY617*1.03</f>
        <v>10761.396322467612</v>
      </c>
      <c r="BB617" s="42"/>
      <c r="BC617" s="3">
        <f>BA617*1.03</f>
        <v>11084.238212141641</v>
      </c>
      <c r="BE617" s="3">
        <f>BC617*1.03</f>
        <v>11416.765358505891</v>
      </c>
    </row>
    <row r="618" spans="1:57" x14ac:dyDescent="0.25">
      <c r="A618" s="3"/>
      <c r="B618" s="48">
        <f>SUM(B603:B617)</f>
        <v>171270</v>
      </c>
      <c r="C618" s="32"/>
      <c r="D618" s="48">
        <f>SUM(D603:D617)-1</f>
        <v>27578</v>
      </c>
      <c r="E618" s="48">
        <f>SUM(E603:E617)-1</f>
        <v>143690</v>
      </c>
      <c r="F618" s="48">
        <f>SUM(F603:F617)-1</f>
        <v>171269</v>
      </c>
      <c r="G618" s="32"/>
      <c r="H618" s="48">
        <f>SUM(H603:H617)-1</f>
        <v>-1</v>
      </c>
      <c r="I618" s="36"/>
      <c r="J618" s="48">
        <f>SUM(J603:J617)-1</f>
        <v>70306</v>
      </c>
      <c r="K618" s="48">
        <f>SUM(K603:K617)-1</f>
        <v>102212</v>
      </c>
      <c r="L618" s="48">
        <f>SUM(L603:L617)-1</f>
        <v>172519</v>
      </c>
      <c r="M618" s="32"/>
      <c r="N618" s="48">
        <f>SUM(N603:N617)-1</f>
        <v>1249</v>
      </c>
      <c r="P618" s="48">
        <f>SUM(P603:P617)</f>
        <v>182449.55499999996</v>
      </c>
      <c r="R618" s="48">
        <f t="shared" ref="R618:Z618" si="433">SUM(R603:R617)</f>
        <v>59635</v>
      </c>
      <c r="S618" s="48">
        <f t="shared" si="433"/>
        <v>130315</v>
      </c>
      <c r="T618" s="48">
        <f t="shared" si="433"/>
        <v>189950</v>
      </c>
      <c r="U618" s="48">
        <f t="shared" si="433"/>
        <v>7500.4449999999915</v>
      </c>
      <c r="V618" s="48">
        <f t="shared" si="433"/>
        <v>81015</v>
      </c>
      <c r="W618" s="48">
        <f t="shared" si="433"/>
        <v>110335</v>
      </c>
      <c r="X618" s="48"/>
      <c r="Y618" s="48">
        <f t="shared" si="433"/>
        <v>191350</v>
      </c>
      <c r="Z618" s="48">
        <f t="shared" si="433"/>
        <v>1400</v>
      </c>
      <c r="AC618" s="48">
        <f>SUM(AC603:AC617)</f>
        <v>125051</v>
      </c>
      <c r="AD618" s="48">
        <f>SUM(AD603:AD617)</f>
        <v>67039</v>
      </c>
      <c r="AE618" s="48">
        <f>SUM(AE603:AE617)</f>
        <v>192090</v>
      </c>
      <c r="AF618" s="48">
        <f>SUM(AF603:AF617)</f>
        <v>740</v>
      </c>
      <c r="AH618" s="36">
        <f>SUM(AH603:AH617)</f>
        <v>193680.25</v>
      </c>
      <c r="AI618" s="32"/>
      <c r="AJ618" s="48">
        <f>SUM(AJ603:AJ617)</f>
        <v>25795</v>
      </c>
      <c r="AK618" s="48">
        <f>SUM(AK603:AK617)</f>
        <v>164885</v>
      </c>
      <c r="AL618" s="48">
        <f>SUM(AL603:AL617)</f>
        <v>190680</v>
      </c>
      <c r="AM618" s="48">
        <f>SUM(AM603:AM617)</f>
        <v>-3000.25</v>
      </c>
      <c r="AN618" s="32"/>
      <c r="AO618" s="48">
        <f>SUM(AO603:AO617)</f>
        <v>198963.66250000001</v>
      </c>
      <c r="AQ618" s="48">
        <f>SUM(AQ603:AQ617)</f>
        <v>204184.582375</v>
      </c>
      <c r="AS618" s="48">
        <f>SUM(AS603:AS617)</f>
        <v>209568.50754625001</v>
      </c>
      <c r="AT618" s="48"/>
      <c r="AU618" s="48">
        <f>SUM(AU603:AU617)</f>
        <v>215120.71896163744</v>
      </c>
      <c r="AW618" s="48">
        <f>SUM(AW603:AW617)</f>
        <v>220846.68057021662</v>
      </c>
      <c r="AY618" s="48">
        <f>SUM(AY603:AY617)</f>
        <v>226752.04639320925</v>
      </c>
      <c r="BA618" s="48">
        <f>SUM(BA603:BA617)</f>
        <v>232842.66791084746</v>
      </c>
      <c r="BC618" s="48">
        <f>SUM(BC603:BC617)</f>
        <v>239124.60178144459</v>
      </c>
      <c r="BE618" s="48">
        <f>SUM(BE603:BE617)</f>
        <v>245604.11791004069</v>
      </c>
    </row>
    <row r="619" spans="1:57" s="42" customFormat="1" x14ac:dyDescent="0.25">
      <c r="A619" s="7" t="s">
        <v>142</v>
      </c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4"/>
      <c r="N619" s="3"/>
      <c r="O619" s="4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4"/>
      <c r="AH619" s="4"/>
      <c r="AI619" s="4"/>
      <c r="AJ619" s="3"/>
      <c r="AK619" s="3"/>
      <c r="AL619" s="3"/>
      <c r="AM619" s="3"/>
      <c r="AN619" s="4"/>
      <c r="AO619" s="3"/>
      <c r="AP619" s="3"/>
      <c r="AQ619" s="3"/>
      <c r="AR619" s="3"/>
      <c r="AS619" s="3"/>
      <c r="AT619" s="3"/>
      <c r="AU619" s="3"/>
      <c r="AW619" s="3"/>
      <c r="AY619" s="3"/>
      <c r="BA619" s="3"/>
      <c r="BC619" s="3"/>
      <c r="BE619" s="3"/>
    </row>
    <row r="620" spans="1:57" x14ac:dyDescent="0.25">
      <c r="A620" s="3" t="s">
        <v>90</v>
      </c>
      <c r="B620" s="3">
        <v>6000</v>
      </c>
      <c r="D620" s="3">
        <v>3792</v>
      </c>
      <c r="E620" s="3">
        <f>F620-D620</f>
        <v>2208</v>
      </c>
      <c r="F620" s="5">
        <v>6000</v>
      </c>
      <c r="H620" s="5">
        <f>F620-B620</f>
        <v>0</v>
      </c>
      <c r="J620" s="5">
        <v>5806</v>
      </c>
      <c r="K620" s="4">
        <f>L620-J620</f>
        <v>1194</v>
      </c>
      <c r="L620" s="4">
        <v>7000</v>
      </c>
      <c r="N620" s="4">
        <f>L620-F620</f>
        <v>1000</v>
      </c>
      <c r="P620" s="3">
        <f>L620*1.0281+203</f>
        <v>7399.7</v>
      </c>
      <c r="Q620" s="3"/>
      <c r="R620" s="3">
        <v>7870</v>
      </c>
      <c r="S620" s="3">
        <f>T620-R620</f>
        <v>1530</v>
      </c>
      <c r="T620" s="3">
        <v>9400</v>
      </c>
      <c r="U620" s="3">
        <f>T620-P620</f>
        <v>2000.3000000000002</v>
      </c>
      <c r="V620" s="3">
        <v>9076</v>
      </c>
      <c r="W620" s="3">
        <f>Y620-V620</f>
        <v>2924</v>
      </c>
      <c r="X620" s="3"/>
      <c r="Y620" s="3">
        <v>12000</v>
      </c>
      <c r="Z620" s="3">
        <f>Y620-T620</f>
        <v>2600</v>
      </c>
      <c r="AA620" s="3"/>
      <c r="AB620" s="3"/>
      <c r="AC620" s="3">
        <v>9273</v>
      </c>
      <c r="AD620" s="3">
        <f>AE620-AC620</f>
        <v>3227</v>
      </c>
      <c r="AE620" s="3">
        <v>12500</v>
      </c>
      <c r="AF620" s="3">
        <f>AE620-Y620</f>
        <v>500</v>
      </c>
      <c r="AG620" s="4"/>
      <c r="AH620" s="4">
        <v>10000</v>
      </c>
      <c r="AJ620" s="3">
        <v>6877</v>
      </c>
      <c r="AK620" s="3">
        <f>AL620-AJ620</f>
        <v>3123</v>
      </c>
      <c r="AL620" s="3">
        <v>10000</v>
      </c>
      <c r="AM620" s="3">
        <f>AL620-AH620</f>
        <v>0</v>
      </c>
      <c r="AO620" s="3">
        <f>AH620*1.03</f>
        <v>10300</v>
      </c>
      <c r="AP620" s="3"/>
      <c r="AQ620" s="3">
        <f>AO620*1.03</f>
        <v>10609</v>
      </c>
      <c r="AR620" s="3"/>
      <c r="AS620" s="3">
        <f>AQ620*1.03</f>
        <v>10927.27</v>
      </c>
      <c r="AT620" s="3"/>
      <c r="AU620" s="3">
        <f>AS620*1.03</f>
        <v>11255.088100000001</v>
      </c>
      <c r="AV620" s="42"/>
      <c r="AW620" s="3">
        <f>AU620*1.03</f>
        <v>11592.740743</v>
      </c>
      <c r="AX620" s="42"/>
      <c r="AY620" s="3">
        <f>AW620*1.03</f>
        <v>11940.52296529</v>
      </c>
      <c r="AZ620" s="42"/>
      <c r="BA620" s="3">
        <f>AY620*1.03</f>
        <v>12298.7386542487</v>
      </c>
      <c r="BB620" s="42"/>
      <c r="BC620" s="3">
        <f>BA620*1.03</f>
        <v>12667.700813876161</v>
      </c>
      <c r="BE620" s="3">
        <f>BC620*1.03</f>
        <v>13047.731838292446</v>
      </c>
    </row>
    <row r="621" spans="1:57" x14ac:dyDescent="0.25">
      <c r="A621" s="3" t="s">
        <v>472</v>
      </c>
      <c r="B621" s="3"/>
      <c r="D621" s="3"/>
      <c r="E621" s="3">
        <f>F621-D621</f>
        <v>0</v>
      </c>
      <c r="H621" s="5">
        <f>F621-B621</f>
        <v>0</v>
      </c>
      <c r="K621" s="4">
        <f>L621-J621</f>
        <v>0</v>
      </c>
      <c r="L621" s="4"/>
      <c r="N621" s="4">
        <f>L621-F621</f>
        <v>0</v>
      </c>
      <c r="P621" s="3"/>
      <c r="Q621" s="3"/>
      <c r="R621" s="3"/>
      <c r="S621" s="3">
        <f>T621-R621</f>
        <v>0</v>
      </c>
      <c r="T621" s="3"/>
      <c r="U621" s="3">
        <f>T621-P621</f>
        <v>0</v>
      </c>
      <c r="V621" s="3"/>
      <c r="W621" s="3">
        <f>Y621-V621</f>
        <v>0</v>
      </c>
      <c r="X621" s="3"/>
      <c r="Y621" s="3"/>
      <c r="Z621" s="3">
        <f>Y621-T621</f>
        <v>0</v>
      </c>
      <c r="AA621" s="3"/>
      <c r="AB621" s="3"/>
      <c r="AC621" s="3"/>
      <c r="AD621" s="3">
        <f>AE621-AC621</f>
        <v>0</v>
      </c>
      <c r="AE621" s="3"/>
      <c r="AF621" s="3">
        <f>AE621-Y621</f>
        <v>0</v>
      </c>
      <c r="AG621" s="4"/>
      <c r="AH621" s="4"/>
      <c r="AJ621" s="3"/>
      <c r="AK621" s="3">
        <f>AL621-AJ621</f>
        <v>0</v>
      </c>
      <c r="AL621" s="3"/>
      <c r="AM621" s="3">
        <f>AL621-AH621</f>
        <v>0</v>
      </c>
      <c r="AO621" s="3"/>
      <c r="AP621" s="3"/>
      <c r="AQ621" s="3"/>
      <c r="AR621" s="3"/>
      <c r="AS621" s="3"/>
      <c r="AT621" s="3"/>
      <c r="AU621" s="3"/>
      <c r="AV621" s="42"/>
      <c r="AW621" s="3"/>
      <c r="AX621" s="42"/>
      <c r="AY621" s="3"/>
      <c r="AZ621" s="42"/>
      <c r="BA621" s="3"/>
      <c r="BB621" s="42"/>
      <c r="BC621" s="3"/>
      <c r="BE621" s="3"/>
    </row>
    <row r="622" spans="1:57" x14ac:dyDescent="0.25">
      <c r="A622" s="3" t="s">
        <v>289</v>
      </c>
      <c r="B622" s="3">
        <v>8750</v>
      </c>
      <c r="D622" s="3">
        <v>0</v>
      </c>
      <c r="E622" s="3">
        <f>F622-D622</f>
        <v>8750</v>
      </c>
      <c r="F622" s="5">
        <v>8750</v>
      </c>
      <c r="H622" s="5">
        <f>F622-B622</f>
        <v>0</v>
      </c>
      <c r="J622" s="5">
        <v>0</v>
      </c>
      <c r="K622" s="4">
        <f>L622-J622</f>
        <v>8750</v>
      </c>
      <c r="L622" s="4">
        <v>8750</v>
      </c>
      <c r="N622" s="4">
        <f>L622-F622</f>
        <v>0</v>
      </c>
      <c r="P622" s="3">
        <v>8750</v>
      </c>
      <c r="Q622" s="3"/>
      <c r="R622" s="3">
        <v>0</v>
      </c>
      <c r="S622" s="3">
        <f>T622-R622</f>
        <v>8750</v>
      </c>
      <c r="T622" s="3">
        <v>8750</v>
      </c>
      <c r="U622" s="3">
        <f>T622-P622</f>
        <v>0</v>
      </c>
      <c r="V622" s="3">
        <v>0</v>
      </c>
      <c r="W622" s="3">
        <f>Y622-V622</f>
        <v>8750</v>
      </c>
      <c r="X622" s="3"/>
      <c r="Y622" s="3">
        <v>8750</v>
      </c>
      <c r="Z622" s="3">
        <f>Y622-T622</f>
        <v>0</v>
      </c>
      <c r="AA622" s="3"/>
      <c r="AB622" s="3"/>
      <c r="AC622" s="3">
        <v>0</v>
      </c>
      <c r="AD622" s="3">
        <f>AE622-AC622</f>
        <v>8750</v>
      </c>
      <c r="AE622" s="3">
        <v>8750</v>
      </c>
      <c r="AF622" s="3">
        <f>AE622-Y622</f>
        <v>0</v>
      </c>
      <c r="AG622" s="4"/>
      <c r="AH622" s="4">
        <v>8750</v>
      </c>
      <c r="AJ622" s="3">
        <v>0</v>
      </c>
      <c r="AK622" s="3">
        <f>AL622-AJ622</f>
        <v>8750</v>
      </c>
      <c r="AL622" s="3">
        <v>8750</v>
      </c>
      <c r="AM622" s="3">
        <f>AL622-AH622</f>
        <v>0</v>
      </c>
      <c r="AO622" s="3">
        <v>8750</v>
      </c>
      <c r="AP622" s="3"/>
      <c r="AQ622" s="3">
        <v>8750</v>
      </c>
      <c r="AR622" s="3"/>
      <c r="AS622" s="3">
        <v>8750</v>
      </c>
      <c r="AT622" s="3"/>
      <c r="AU622" s="3">
        <v>8750</v>
      </c>
      <c r="AV622" s="42"/>
      <c r="AW622" s="3">
        <v>8750</v>
      </c>
      <c r="AX622" s="42"/>
      <c r="AY622" s="3">
        <v>8750</v>
      </c>
      <c r="AZ622" s="42"/>
      <c r="BA622" s="3">
        <v>8750</v>
      </c>
      <c r="BB622" s="42"/>
      <c r="BC622" s="3">
        <v>8750</v>
      </c>
      <c r="BE622" s="3">
        <v>8750</v>
      </c>
    </row>
    <row r="623" spans="1:57" x14ac:dyDescent="0.25">
      <c r="A623" s="3"/>
      <c r="B623" s="48">
        <f>SUM(B620:B622)</f>
        <v>14750</v>
      </c>
      <c r="C623" s="32"/>
      <c r="D623" s="48">
        <f>SUM(D620:D622)</f>
        <v>3792</v>
      </c>
      <c r="E623" s="48">
        <f>SUM(E620:E622)</f>
        <v>10958</v>
      </c>
      <c r="F623" s="48">
        <f>SUM(F620:F622)</f>
        <v>14750</v>
      </c>
      <c r="G623" s="32"/>
      <c r="H623" s="48">
        <f>SUM(H620:H622)</f>
        <v>0</v>
      </c>
      <c r="I623" s="36"/>
      <c r="J623" s="48">
        <f>SUM(J620:J622)</f>
        <v>5806</v>
      </c>
      <c r="K623" s="48">
        <f>SUM(K620:K622)</f>
        <v>9944</v>
      </c>
      <c r="L623" s="48">
        <f>SUM(L620:L622)</f>
        <v>15750</v>
      </c>
      <c r="M623" s="32"/>
      <c r="N623" s="48">
        <f>SUM(N620:N622)</f>
        <v>1000</v>
      </c>
      <c r="P623" s="48">
        <f>SUM(P620:P622)</f>
        <v>16149.7</v>
      </c>
      <c r="R623" s="48">
        <f t="shared" ref="R623:Z623" si="434">SUM(R620:R622)</f>
        <v>7870</v>
      </c>
      <c r="S623" s="48">
        <f t="shared" si="434"/>
        <v>10280</v>
      </c>
      <c r="T623" s="48">
        <f t="shared" si="434"/>
        <v>18150</v>
      </c>
      <c r="U623" s="48">
        <f t="shared" si="434"/>
        <v>2000.3000000000002</v>
      </c>
      <c r="V623" s="48">
        <f t="shared" si="434"/>
        <v>9076</v>
      </c>
      <c r="W623" s="48">
        <f t="shared" si="434"/>
        <v>11674</v>
      </c>
      <c r="X623" s="48"/>
      <c r="Y623" s="48">
        <f t="shared" si="434"/>
        <v>20750</v>
      </c>
      <c r="Z623" s="48">
        <f t="shared" si="434"/>
        <v>2600</v>
      </c>
      <c r="AC623" s="48">
        <f>SUM(AC620:AC622)</f>
        <v>9273</v>
      </c>
      <c r="AD623" s="48">
        <f>SUM(AD620:AD622)</f>
        <v>11977</v>
      </c>
      <c r="AE623" s="48">
        <f>SUM(AE620:AE622)</f>
        <v>21250</v>
      </c>
      <c r="AF623" s="48">
        <f>SUM(AF620:AF622)</f>
        <v>500</v>
      </c>
      <c r="AH623" s="36">
        <f>SUM(AH620:AH622)</f>
        <v>18750</v>
      </c>
      <c r="AI623" s="32"/>
      <c r="AJ623" s="48">
        <f>SUM(AJ620:AJ622)</f>
        <v>6877</v>
      </c>
      <c r="AK623" s="48">
        <f>SUM(AK620:AK622)</f>
        <v>11873</v>
      </c>
      <c r="AL623" s="48">
        <f>SUM(AL620:AL622)</f>
        <v>18750</v>
      </c>
      <c r="AM623" s="48">
        <f>SUM(AM620:AM622)</f>
        <v>0</v>
      </c>
      <c r="AN623" s="32"/>
      <c r="AO623" s="48">
        <f>SUM(AO620:AO622)</f>
        <v>19050</v>
      </c>
      <c r="AQ623" s="48">
        <f>SUM(AQ620:AQ622)</f>
        <v>19359</v>
      </c>
      <c r="AS623" s="48">
        <f>SUM(AS620:AS622)</f>
        <v>19677.27</v>
      </c>
      <c r="AT623" s="48"/>
      <c r="AU623" s="48">
        <f>SUM(AU620:AU622)</f>
        <v>20005.088100000001</v>
      </c>
      <c r="AW623" s="48">
        <f>SUM(AW620:AW622)</f>
        <v>20342.740743000002</v>
      </c>
      <c r="AY623" s="48">
        <f>SUM(AY620:AY622)</f>
        <v>20690.522965290002</v>
      </c>
      <c r="BA623" s="48">
        <f>SUM(BA620:BA622)</f>
        <v>21048.7386542487</v>
      </c>
      <c r="BC623" s="48">
        <f>SUM(BC620:BC622)</f>
        <v>21417.700813876159</v>
      </c>
      <c r="BE623" s="48">
        <f>SUM(BE620:BE622)</f>
        <v>21797.731838292446</v>
      </c>
    </row>
    <row r="624" spans="1:57" x14ac:dyDescent="0.25">
      <c r="A624" s="7" t="s">
        <v>473</v>
      </c>
    </row>
    <row r="625" spans="1:57" x14ac:dyDescent="0.25">
      <c r="A625" s="3" t="s">
        <v>327</v>
      </c>
      <c r="Z625" s="3">
        <f>Y625-T625</f>
        <v>0</v>
      </c>
      <c r="AK625" s="3">
        <f>AL625-AJ625</f>
        <v>0</v>
      </c>
      <c r="AM625" s="3">
        <f>AL625-AH625</f>
        <v>0</v>
      </c>
    </row>
    <row r="626" spans="1:57" x14ac:dyDescent="0.25">
      <c r="A626" s="3" t="s">
        <v>464</v>
      </c>
      <c r="Z626" s="3">
        <f>Y626-T626</f>
        <v>0</v>
      </c>
      <c r="AK626" s="3">
        <f>AL626-AJ626</f>
        <v>0</v>
      </c>
      <c r="AM626" s="3">
        <f>AL626-AH626</f>
        <v>0</v>
      </c>
    </row>
    <row r="627" spans="1:57" x14ac:dyDescent="0.25">
      <c r="A627" s="3" t="s">
        <v>332</v>
      </c>
      <c r="Z627" s="3">
        <f>Y627-T627</f>
        <v>0</v>
      </c>
      <c r="AK627" s="3">
        <f>AL627-AJ627</f>
        <v>0</v>
      </c>
      <c r="AM627" s="3">
        <f>AL627-AH627</f>
        <v>0</v>
      </c>
    </row>
    <row r="628" spans="1:57" x14ac:dyDescent="0.25">
      <c r="A628" s="3" t="s">
        <v>467</v>
      </c>
      <c r="E628" s="3">
        <f>F628-D628</f>
        <v>0</v>
      </c>
      <c r="H628" s="5">
        <f>F628-B628</f>
        <v>0</v>
      </c>
      <c r="K628" s="4">
        <f>L628-J628</f>
        <v>0</v>
      </c>
      <c r="L628" s="4"/>
      <c r="N628" s="4">
        <f>L628-F628</f>
        <v>0</v>
      </c>
      <c r="Z628" s="3">
        <f>Y628-T628</f>
        <v>0</v>
      </c>
      <c r="AK628" s="3">
        <f>AL628-AJ628</f>
        <v>0</v>
      </c>
      <c r="AM628" s="3">
        <f>AL628-AH628</f>
        <v>0</v>
      </c>
    </row>
    <row r="629" spans="1:57" x14ac:dyDescent="0.25">
      <c r="A629" s="3" t="s">
        <v>90</v>
      </c>
      <c r="B629" s="3">
        <v>3000</v>
      </c>
      <c r="D629" s="3">
        <v>0</v>
      </c>
      <c r="E629" s="3">
        <f>F629-D629</f>
        <v>1500</v>
      </c>
      <c r="F629" s="5">
        <v>1500</v>
      </c>
      <c r="H629" s="5">
        <f>F629-B629</f>
        <v>-1500</v>
      </c>
      <c r="K629" s="4">
        <f>L629-J629</f>
        <v>1000</v>
      </c>
      <c r="L629" s="4">
        <v>1000</v>
      </c>
      <c r="N629" s="4">
        <f>L629-F629</f>
        <v>-500</v>
      </c>
      <c r="P629" s="3">
        <f>2000+200</f>
        <v>2200</v>
      </c>
      <c r="Q629" s="3"/>
      <c r="R629" s="3">
        <v>0</v>
      </c>
      <c r="S629" s="3">
        <f>T629-R629</f>
        <v>2200</v>
      </c>
      <c r="T629" s="3">
        <v>2200</v>
      </c>
      <c r="U629" s="3">
        <f>T629-P629</f>
        <v>0</v>
      </c>
      <c r="V629" s="3"/>
      <c r="W629" s="3">
        <f>Y629-V629</f>
        <v>2200</v>
      </c>
      <c r="X629" s="3"/>
      <c r="Y629" s="3">
        <v>2200</v>
      </c>
      <c r="Z629" s="3">
        <f>Y629-T629</f>
        <v>0</v>
      </c>
      <c r="AA629" s="3"/>
      <c r="AB629" s="3"/>
      <c r="AC629" s="3">
        <v>0</v>
      </c>
      <c r="AD629" s="3">
        <f>AE629-AC629</f>
        <v>0</v>
      </c>
      <c r="AE629" s="3">
        <v>0</v>
      </c>
      <c r="AF629" s="3">
        <f>AE629-Y629</f>
        <v>-2200</v>
      </c>
      <c r="AG629" s="4"/>
      <c r="AH629" s="4"/>
      <c r="AJ629" s="3"/>
      <c r="AK629" s="3">
        <f>AL629-AJ629</f>
        <v>0</v>
      </c>
      <c r="AL629" s="3"/>
      <c r="AM629" s="3">
        <f>AL629-AH629</f>
        <v>0</v>
      </c>
      <c r="AO629" s="3"/>
      <c r="AP629" s="3"/>
      <c r="AQ629" s="3"/>
      <c r="AR629" s="3"/>
      <c r="AS629" s="3"/>
      <c r="AT629" s="3"/>
      <c r="AU629" s="3"/>
      <c r="AV629" s="42"/>
      <c r="AW629" s="3"/>
      <c r="AX629" s="42"/>
      <c r="AY629" s="3"/>
      <c r="AZ629" s="42"/>
      <c r="BA629" s="3"/>
      <c r="BB629" s="42"/>
      <c r="BC629" s="3"/>
      <c r="BE629" s="3"/>
    </row>
    <row r="630" spans="1:57" x14ac:dyDescent="0.25">
      <c r="A630" s="3"/>
      <c r="B630" s="48">
        <f>SUM(B625:B629)</f>
        <v>3000</v>
      </c>
      <c r="C630" s="32"/>
      <c r="D630" s="48">
        <f>SUM(D625:D629)</f>
        <v>0</v>
      </c>
      <c r="E630" s="48">
        <f>SUM(E625:E629)</f>
        <v>1500</v>
      </c>
      <c r="F630" s="48">
        <f>SUM(F625:F629)</f>
        <v>1500</v>
      </c>
      <c r="G630" s="32"/>
      <c r="H630" s="48">
        <f>SUM(H625:H629)</f>
        <v>-1500</v>
      </c>
      <c r="I630" s="36"/>
      <c r="J630" s="48">
        <f>SUM(J625:J629)</f>
        <v>0</v>
      </c>
      <c r="K630" s="48">
        <f>SUM(K625:K629)</f>
        <v>1000</v>
      </c>
      <c r="L630" s="48">
        <f>SUM(L625:L629)</f>
        <v>1000</v>
      </c>
      <c r="M630" s="32"/>
      <c r="N630" s="48">
        <f>SUM(N625:N629)</f>
        <v>-500</v>
      </c>
      <c r="P630" s="48">
        <f>SUM(P625:P629)</f>
        <v>2200</v>
      </c>
      <c r="R630" s="48">
        <f t="shared" ref="R630:Z630" si="435">SUM(R625:R629)</f>
        <v>0</v>
      </c>
      <c r="S630" s="48">
        <f t="shared" si="435"/>
        <v>2200</v>
      </c>
      <c r="T630" s="48">
        <f t="shared" si="435"/>
        <v>2200</v>
      </c>
      <c r="U630" s="48">
        <f t="shared" si="435"/>
        <v>0</v>
      </c>
      <c r="V630" s="48">
        <f t="shared" si="435"/>
        <v>0</v>
      </c>
      <c r="W630" s="48">
        <f t="shared" si="435"/>
        <v>2200</v>
      </c>
      <c r="X630" s="48"/>
      <c r="Y630" s="48">
        <f t="shared" si="435"/>
        <v>2200</v>
      </c>
      <c r="Z630" s="48">
        <f t="shared" si="435"/>
        <v>0</v>
      </c>
      <c r="AC630" s="48">
        <f>SUM(AC625:AC629)</f>
        <v>0</v>
      </c>
      <c r="AD630" s="48">
        <f>SUM(AD625:AD629)</f>
        <v>0</v>
      </c>
      <c r="AE630" s="48">
        <f>SUM(AE625:AE629)</f>
        <v>0</v>
      </c>
      <c r="AF630" s="48">
        <f>SUM(AF625:AF629)</f>
        <v>-2200</v>
      </c>
      <c r="AH630" s="36">
        <f>SUM(AH625:AH629)</f>
        <v>0</v>
      </c>
      <c r="AI630" s="32"/>
      <c r="AJ630" s="48">
        <f>SUM(AJ625:AJ629)</f>
        <v>0</v>
      </c>
      <c r="AK630" s="48">
        <f>SUM(AK625:AK629)</f>
        <v>0</v>
      </c>
      <c r="AL630" s="48">
        <f>SUM(AL625:AL629)</f>
        <v>0</v>
      </c>
      <c r="AM630" s="48">
        <f>SUM(AM625:AM629)</f>
        <v>0</v>
      </c>
      <c r="AN630" s="32"/>
      <c r="AO630" s="48">
        <f>SUM(AO625:AO629)</f>
        <v>0</v>
      </c>
      <c r="AQ630" s="48">
        <f>SUM(AQ625:AQ629)</f>
        <v>0</v>
      </c>
      <c r="AS630" s="48">
        <f>SUM(AS625:AS629)</f>
        <v>0</v>
      </c>
      <c r="AT630" s="48"/>
      <c r="AU630" s="48">
        <f>SUM(AU625:AU629)</f>
        <v>0</v>
      </c>
      <c r="AW630" s="48">
        <f>SUM(AW625:AW629)</f>
        <v>0</v>
      </c>
      <c r="AY630" s="48">
        <f>SUM(AY625:AY629)</f>
        <v>0</v>
      </c>
      <c r="BA630" s="48">
        <f>SUM(BA625:BA629)</f>
        <v>0</v>
      </c>
      <c r="BC630" s="48">
        <f>SUM(BC625:BC629)</f>
        <v>0</v>
      </c>
      <c r="BE630" s="48">
        <f>SUM(BE625:BE629)</f>
        <v>0</v>
      </c>
    </row>
    <row r="631" spans="1:57" x14ac:dyDescent="0.25">
      <c r="A631" s="7" t="s">
        <v>474</v>
      </c>
    </row>
    <row r="632" spans="1:57" x14ac:dyDescent="0.25">
      <c r="A632" s="3" t="s">
        <v>459</v>
      </c>
      <c r="B632" s="3">
        <v>2750</v>
      </c>
      <c r="D632" s="3">
        <v>1540</v>
      </c>
      <c r="E632" s="3">
        <f>F632-D632</f>
        <v>1210</v>
      </c>
      <c r="F632" s="5">
        <v>2750</v>
      </c>
      <c r="H632" s="5">
        <f>F632-B632</f>
        <v>0</v>
      </c>
      <c r="J632" s="5">
        <v>3792</v>
      </c>
      <c r="K632" s="4">
        <f>L632-J632</f>
        <v>8</v>
      </c>
      <c r="L632" s="4">
        <v>3800</v>
      </c>
      <c r="N632" s="4">
        <f>L632-F632</f>
        <v>1050</v>
      </c>
      <c r="P632" s="3">
        <f>L632*1.0281-7+250</f>
        <v>4149.7800000000007</v>
      </c>
      <c r="Q632" s="3"/>
      <c r="R632" s="3">
        <v>6310</v>
      </c>
      <c r="S632" s="3">
        <f>T632-R632</f>
        <v>190</v>
      </c>
      <c r="T632" s="3">
        <v>6500</v>
      </c>
      <c r="U632" s="3">
        <f>T632-P632</f>
        <v>2350.2199999999993</v>
      </c>
      <c r="V632" s="3">
        <v>6310</v>
      </c>
      <c r="W632" s="3">
        <f>Y632-V632</f>
        <v>190</v>
      </c>
      <c r="X632" s="3"/>
      <c r="Y632" s="3">
        <v>6500</v>
      </c>
      <c r="Z632" s="3">
        <f>Y632-T632</f>
        <v>0</v>
      </c>
      <c r="AA632" s="3"/>
      <c r="AB632" s="3"/>
      <c r="AC632" s="3">
        <v>6310</v>
      </c>
      <c r="AD632" s="3">
        <f>AE632-AC632</f>
        <v>190</v>
      </c>
      <c r="AE632" s="3">
        <v>6500</v>
      </c>
      <c r="AF632" s="3">
        <f>AE632-Y632</f>
        <v>0</v>
      </c>
      <c r="AG632" s="4"/>
      <c r="AH632" s="4">
        <v>4150</v>
      </c>
      <c r="AJ632" s="3">
        <v>6469</v>
      </c>
      <c r="AK632" s="3">
        <f>AL632-AJ632</f>
        <v>531</v>
      </c>
      <c r="AL632" s="3">
        <v>7000</v>
      </c>
      <c r="AM632" s="3">
        <f>AL632-AH632</f>
        <v>2850</v>
      </c>
      <c r="AO632" s="3">
        <f>AH632*1.03</f>
        <v>4274.5</v>
      </c>
      <c r="AP632" s="3"/>
      <c r="AQ632" s="3">
        <f>AO632*1.03</f>
        <v>4402.7349999999997</v>
      </c>
      <c r="AR632" s="3"/>
      <c r="AS632" s="3">
        <f>AQ632*1.03</f>
        <v>4534.8170499999997</v>
      </c>
      <c r="AT632" s="3"/>
      <c r="AU632" s="3">
        <f>AS632*1.03</f>
        <v>4670.8615614999999</v>
      </c>
      <c r="AV632" s="42"/>
      <c r="AW632" s="3">
        <f>AU632*1.03</f>
        <v>4810.9874083450004</v>
      </c>
      <c r="AX632" s="42"/>
      <c r="AY632" s="3">
        <f>AW632*1.03</f>
        <v>4955.3170305953508</v>
      </c>
      <c r="AZ632" s="42"/>
      <c r="BA632" s="3">
        <f>AY632*1.03</f>
        <v>5103.9765415132115</v>
      </c>
      <c r="BB632" s="42"/>
      <c r="BC632" s="3">
        <f>BA632*1.03</f>
        <v>5257.0958377586076</v>
      </c>
      <c r="BE632" s="3">
        <f>BC632*1.03</f>
        <v>5414.8087128913658</v>
      </c>
    </row>
    <row r="633" spans="1:57" x14ac:dyDescent="0.25">
      <c r="A633" s="3" t="s">
        <v>475</v>
      </c>
      <c r="B633" s="3"/>
      <c r="D633" s="3"/>
      <c r="E633" s="3">
        <f>F633-D633</f>
        <v>0</v>
      </c>
      <c r="H633" s="5">
        <f>F633-B633</f>
        <v>0</v>
      </c>
      <c r="K633" s="4">
        <f>L633-J633</f>
        <v>0</v>
      </c>
      <c r="L633" s="4"/>
      <c r="N633" s="4">
        <f>L633-F633</f>
        <v>0</v>
      </c>
      <c r="P633" s="3"/>
      <c r="Q633" s="3"/>
      <c r="R633" s="3"/>
      <c r="S633" s="3">
        <f>T633-R633</f>
        <v>0</v>
      </c>
      <c r="T633" s="3"/>
      <c r="U633" s="3">
        <f>T633-P633</f>
        <v>0</v>
      </c>
      <c r="V633" s="3"/>
      <c r="W633" s="3">
        <f>Y633-V633</f>
        <v>0</v>
      </c>
      <c r="X633" s="3"/>
      <c r="Y633" s="3"/>
      <c r="Z633" s="3">
        <f>Y633-T633</f>
        <v>0</v>
      </c>
      <c r="AA633" s="3"/>
      <c r="AB633" s="3"/>
      <c r="AC633" s="3"/>
      <c r="AD633" s="3">
        <f>AE633-AC633</f>
        <v>0</v>
      </c>
      <c r="AE633" s="3"/>
      <c r="AF633" s="3">
        <f>AE633-Y633</f>
        <v>0</v>
      </c>
      <c r="AG633" s="4"/>
      <c r="AH633" s="4"/>
      <c r="AJ633" s="3"/>
      <c r="AK633" s="3">
        <f>AL633-AJ633</f>
        <v>0</v>
      </c>
      <c r="AL633" s="3"/>
      <c r="AM633" s="3">
        <f>AL633-AH633</f>
        <v>0</v>
      </c>
      <c r="AO633" s="3"/>
      <c r="AP633" s="3"/>
      <c r="AQ633" s="3"/>
      <c r="AR633" s="3"/>
      <c r="AS633" s="3"/>
      <c r="AT633" s="3"/>
      <c r="AU633" s="3"/>
      <c r="AV633" s="42"/>
      <c r="AW633" s="3"/>
      <c r="AX633" s="42"/>
      <c r="AY633" s="3"/>
      <c r="AZ633" s="42"/>
      <c r="BA633" s="3"/>
      <c r="BB633" s="42"/>
      <c r="BC633" s="3"/>
      <c r="BE633" s="3"/>
    </row>
    <row r="634" spans="1:57" x14ac:dyDescent="0.25">
      <c r="A634" s="3" t="s">
        <v>331</v>
      </c>
      <c r="B634" s="3">
        <v>400</v>
      </c>
      <c r="D634" s="3"/>
      <c r="E634" s="3">
        <f>F634-D634</f>
        <v>400</v>
      </c>
      <c r="F634" s="5">
        <v>400</v>
      </c>
      <c r="H634" s="5">
        <f>F634-B634</f>
        <v>0</v>
      </c>
      <c r="K634" s="4">
        <f>L634-J634</f>
        <v>0</v>
      </c>
      <c r="L634" s="4">
        <v>0</v>
      </c>
      <c r="N634" s="4">
        <f>L634-F634</f>
        <v>-400</v>
      </c>
      <c r="P634" s="3"/>
      <c r="Q634" s="3"/>
      <c r="R634" s="3"/>
      <c r="S634" s="3">
        <f>T634-R634</f>
        <v>0</v>
      </c>
      <c r="T634" s="3"/>
      <c r="U634" s="3">
        <f>T634-P634</f>
        <v>0</v>
      </c>
      <c r="V634" s="3"/>
      <c r="W634" s="3">
        <f>Y634-V634</f>
        <v>0</v>
      </c>
      <c r="X634" s="3"/>
      <c r="Y634" s="3"/>
      <c r="Z634" s="3">
        <f>Y634-T634</f>
        <v>0</v>
      </c>
      <c r="AA634" s="3"/>
      <c r="AB634" s="3"/>
      <c r="AC634" s="3"/>
      <c r="AD634" s="3">
        <f>AE634-AC634</f>
        <v>0</v>
      </c>
      <c r="AE634" s="3"/>
      <c r="AF634" s="3">
        <f>AE634-Y634</f>
        <v>0</v>
      </c>
      <c r="AG634" s="4"/>
      <c r="AH634" s="4"/>
      <c r="AJ634" s="3"/>
      <c r="AK634" s="3">
        <f>AL634-AJ634</f>
        <v>0</v>
      </c>
      <c r="AL634" s="3"/>
      <c r="AM634" s="3">
        <f>AL634-AH634</f>
        <v>0</v>
      </c>
      <c r="AO634" s="3"/>
      <c r="AP634" s="3"/>
      <c r="AQ634" s="3"/>
      <c r="AR634" s="3"/>
      <c r="AS634" s="3"/>
      <c r="AT634" s="3"/>
      <c r="AU634" s="3"/>
      <c r="AV634" s="42"/>
      <c r="AW634" s="3"/>
      <c r="AX634" s="42"/>
      <c r="AY634" s="3"/>
      <c r="AZ634" s="42"/>
      <c r="BA634" s="3"/>
      <c r="BB634" s="42"/>
      <c r="BC634" s="3"/>
      <c r="BE634" s="3"/>
    </row>
    <row r="635" spans="1:57" x14ac:dyDescent="0.25">
      <c r="A635" s="3" t="s">
        <v>289</v>
      </c>
      <c r="B635" s="3">
        <v>2300</v>
      </c>
      <c r="D635" s="3">
        <v>0</v>
      </c>
      <c r="E635" s="3">
        <f>F635-D635</f>
        <v>2300</v>
      </c>
      <c r="F635" s="5">
        <v>2300</v>
      </c>
      <c r="H635" s="5">
        <f>F635-B635</f>
        <v>0</v>
      </c>
      <c r="K635" s="4">
        <f>L635-J635</f>
        <v>2300</v>
      </c>
      <c r="L635" s="4">
        <v>2300</v>
      </c>
      <c r="N635" s="4">
        <f>L635-F635</f>
        <v>0</v>
      </c>
      <c r="P635" s="3">
        <v>2300</v>
      </c>
      <c r="Q635" s="3"/>
      <c r="R635" s="3">
        <v>0</v>
      </c>
      <c r="S635" s="3">
        <f>T635-R635</f>
        <v>2300</v>
      </c>
      <c r="T635" s="3">
        <v>2300</v>
      </c>
      <c r="U635" s="3">
        <f>T635-P635</f>
        <v>0</v>
      </c>
      <c r="V635" s="3">
        <v>0</v>
      </c>
      <c r="W635" s="3">
        <f>Y635-V635</f>
        <v>2300</v>
      </c>
      <c r="X635" s="3"/>
      <c r="Y635" s="3">
        <v>2300</v>
      </c>
      <c r="Z635" s="3">
        <f>Y635-T635</f>
        <v>0</v>
      </c>
      <c r="AA635" s="3"/>
      <c r="AB635" s="3"/>
      <c r="AC635" s="3">
        <v>0</v>
      </c>
      <c r="AD635" s="3">
        <f>AE635-AC635</f>
        <v>2300</v>
      </c>
      <c r="AE635" s="3">
        <v>2300</v>
      </c>
      <c r="AF635" s="3">
        <f>AE635-Y635</f>
        <v>0</v>
      </c>
      <c r="AG635" s="4"/>
      <c r="AH635" s="4">
        <v>2300</v>
      </c>
      <c r="AJ635" s="3">
        <v>0</v>
      </c>
      <c r="AK635" s="3">
        <f>AL635-AJ635</f>
        <v>2300</v>
      </c>
      <c r="AL635" s="3">
        <v>2300</v>
      </c>
      <c r="AM635" s="3">
        <f>AL635-AH635</f>
        <v>0</v>
      </c>
      <c r="AO635" s="3">
        <v>2300</v>
      </c>
      <c r="AP635" s="3"/>
      <c r="AQ635" s="3">
        <v>2300</v>
      </c>
      <c r="AR635" s="3"/>
      <c r="AS635" s="3">
        <v>2300</v>
      </c>
      <c r="AT635" s="3"/>
      <c r="AU635" s="3">
        <v>2300</v>
      </c>
      <c r="AV635" s="42"/>
      <c r="AW635" s="3">
        <v>2300</v>
      </c>
      <c r="AX635" s="42"/>
      <c r="AY635" s="3">
        <v>2300</v>
      </c>
      <c r="AZ635" s="42"/>
      <c r="BA635" s="3">
        <v>2300</v>
      </c>
      <c r="BB635" s="42"/>
      <c r="BC635" s="3">
        <v>2300</v>
      </c>
      <c r="BE635" s="3">
        <v>2300</v>
      </c>
    </row>
    <row r="636" spans="1:57" x14ac:dyDescent="0.25">
      <c r="A636" s="3" t="s">
        <v>374</v>
      </c>
      <c r="B636" s="48">
        <f>SUM(B632:B635)</f>
        <v>5450</v>
      </c>
      <c r="C636" s="32"/>
      <c r="D636" s="48">
        <f>SUM(D632:D635)</f>
        <v>1540</v>
      </c>
      <c r="E636" s="48">
        <f>SUM(E632:E635)</f>
        <v>3910</v>
      </c>
      <c r="F636" s="48">
        <f>SUM(F632:F635)</f>
        <v>5450</v>
      </c>
      <c r="G636" s="32"/>
      <c r="H636" s="48">
        <f>SUM(H632:H635)</f>
        <v>0</v>
      </c>
      <c r="I636" s="36"/>
      <c r="J636" s="48">
        <f>SUM(J632:J635)</f>
        <v>3792</v>
      </c>
      <c r="K636" s="48">
        <f>SUM(K632:K635)</f>
        <v>2308</v>
      </c>
      <c r="L636" s="48">
        <f>SUM(L632:L635)</f>
        <v>6100</v>
      </c>
      <c r="M636" s="32"/>
      <c r="N636" s="48">
        <f>SUM(N632:N635)</f>
        <v>650</v>
      </c>
      <c r="P636" s="48">
        <f>SUM(P632:P635)</f>
        <v>6449.7800000000007</v>
      </c>
      <c r="R636" s="48">
        <f t="shared" ref="R636:Z636" si="436">SUM(R632:R635)</f>
        <v>6310</v>
      </c>
      <c r="S636" s="48">
        <f t="shared" si="436"/>
        <v>2490</v>
      </c>
      <c r="T636" s="48">
        <f t="shared" si="436"/>
        <v>8800</v>
      </c>
      <c r="U636" s="48">
        <f t="shared" si="436"/>
        <v>2350.2199999999993</v>
      </c>
      <c r="V636" s="48">
        <f t="shared" si="436"/>
        <v>6310</v>
      </c>
      <c r="W636" s="48">
        <f t="shared" si="436"/>
        <v>2490</v>
      </c>
      <c r="X636" s="48"/>
      <c r="Y636" s="48">
        <f t="shared" si="436"/>
        <v>8800</v>
      </c>
      <c r="Z636" s="48">
        <f t="shared" si="436"/>
        <v>0</v>
      </c>
      <c r="AC636" s="48">
        <f>SUM(AC632:AC635)</f>
        <v>6310</v>
      </c>
      <c r="AD636" s="48">
        <f>SUM(AD632:AD635)</f>
        <v>2490</v>
      </c>
      <c r="AE636" s="48">
        <f>SUM(AE632:AE635)</f>
        <v>8800</v>
      </c>
      <c r="AF636" s="48">
        <f>SUM(AF632:AF635)</f>
        <v>0</v>
      </c>
      <c r="AH636" s="36">
        <f>SUM(AH632:AH635)</f>
        <v>6450</v>
      </c>
      <c r="AI636" s="32"/>
      <c r="AJ636" s="48">
        <f>SUM(AJ632:AJ635)</f>
        <v>6469</v>
      </c>
      <c r="AK636" s="48">
        <f>SUM(AK632:AK635)</f>
        <v>2831</v>
      </c>
      <c r="AL636" s="48">
        <f>SUM(AL632:AL635)</f>
        <v>9300</v>
      </c>
      <c r="AM636" s="48">
        <f>SUM(AM632:AM635)</f>
        <v>2850</v>
      </c>
      <c r="AN636" s="32"/>
      <c r="AO636" s="48">
        <f>SUM(AO632:AO635)</f>
        <v>6574.5</v>
      </c>
      <c r="AQ636" s="48">
        <f>SUM(AQ632:AQ635)</f>
        <v>6702.7349999999997</v>
      </c>
      <c r="AS636" s="48">
        <f>SUM(AS632:AS635)</f>
        <v>6834.8170499999997</v>
      </c>
      <c r="AT636" s="48"/>
      <c r="AU636" s="48">
        <f>SUM(AU632:AU635)</f>
        <v>6970.8615614999999</v>
      </c>
      <c r="AW636" s="48">
        <f>SUM(AW632:AW635)</f>
        <v>7110.9874083450004</v>
      </c>
      <c r="AY636" s="48">
        <f>SUM(AY632:AY635)</f>
        <v>7255.3170305953508</v>
      </c>
      <c r="BA636" s="48">
        <f>SUM(BA632:BA635)</f>
        <v>7403.9765415132115</v>
      </c>
      <c r="BC636" s="48">
        <f>SUM(BC632:BC635)</f>
        <v>7557.0958377586076</v>
      </c>
      <c r="BE636" s="48">
        <f>SUM(BE632:BE635)</f>
        <v>7714.8087128913658</v>
      </c>
    </row>
    <row r="637" spans="1:57" x14ac:dyDescent="0.25">
      <c r="A637" s="7" t="s">
        <v>151</v>
      </c>
    </row>
    <row r="638" spans="1:57" x14ac:dyDescent="0.25">
      <c r="A638" s="3" t="s">
        <v>476</v>
      </c>
      <c r="AK638" s="3">
        <f t="shared" ref="AK638:AK645" si="437">AL638-AJ638</f>
        <v>0</v>
      </c>
      <c r="AM638" s="3">
        <f t="shared" ref="AM638:AM645" si="438">AL638-AH638</f>
        <v>0</v>
      </c>
    </row>
    <row r="639" spans="1:57" x14ac:dyDescent="0.25">
      <c r="A639" s="3" t="s">
        <v>477</v>
      </c>
      <c r="AK639" s="3">
        <f t="shared" si="437"/>
        <v>0</v>
      </c>
      <c r="AM639" s="3">
        <f t="shared" si="438"/>
        <v>0</v>
      </c>
    </row>
    <row r="640" spans="1:57" x14ac:dyDescent="0.25">
      <c r="A640" s="3" t="s">
        <v>478</v>
      </c>
      <c r="AK640" s="3">
        <f t="shared" si="437"/>
        <v>0</v>
      </c>
      <c r="AM640" s="3">
        <f t="shared" si="438"/>
        <v>0</v>
      </c>
    </row>
    <row r="641" spans="1:57" x14ac:dyDescent="0.25">
      <c r="A641" s="3" t="s">
        <v>479</v>
      </c>
      <c r="AK641" s="3">
        <f t="shared" si="437"/>
        <v>0</v>
      </c>
      <c r="AM641" s="3">
        <f t="shared" si="438"/>
        <v>0</v>
      </c>
    </row>
    <row r="642" spans="1:57" x14ac:dyDescent="0.25">
      <c r="A642" s="3" t="s">
        <v>480</v>
      </c>
      <c r="B642" s="3"/>
      <c r="D642" s="3"/>
      <c r="E642" s="3"/>
      <c r="F642" s="3"/>
      <c r="H642" s="3"/>
      <c r="I642" s="3"/>
      <c r="J642" s="3"/>
      <c r="K642" s="3"/>
      <c r="L642" s="3"/>
      <c r="N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4"/>
      <c r="AH642" s="4"/>
      <c r="AJ642" s="3"/>
      <c r="AK642" s="3">
        <f t="shared" si="437"/>
        <v>0</v>
      </c>
      <c r="AL642" s="3"/>
      <c r="AM642" s="3">
        <f t="shared" si="438"/>
        <v>0</v>
      </c>
      <c r="AO642" s="3"/>
      <c r="AP642" s="3"/>
      <c r="AQ642" s="3"/>
      <c r="AR642" s="3"/>
      <c r="AS642" s="3"/>
      <c r="AT642" s="3"/>
      <c r="AU642" s="3"/>
      <c r="AV642" s="42"/>
      <c r="AW642" s="3"/>
      <c r="AY642" s="3"/>
      <c r="BA642" s="3"/>
      <c r="BC642" s="3"/>
      <c r="BE642" s="3"/>
    </row>
    <row r="643" spans="1:57" x14ac:dyDescent="0.25">
      <c r="A643" s="3" t="s">
        <v>481</v>
      </c>
      <c r="B643" s="3"/>
      <c r="D643" s="3"/>
      <c r="E643" s="3"/>
      <c r="F643" s="3"/>
      <c r="H643" s="3"/>
      <c r="I643" s="3"/>
      <c r="J643" s="3"/>
      <c r="K643" s="3"/>
      <c r="L643" s="3"/>
      <c r="N643" s="3"/>
      <c r="P643" s="3">
        <v>0</v>
      </c>
      <c r="Q643" s="3"/>
      <c r="R643" s="3"/>
      <c r="S643" s="3">
        <f>T643-R643</f>
        <v>0</v>
      </c>
      <c r="T643" s="3"/>
      <c r="U643" s="3">
        <f>T643-P643</f>
        <v>0</v>
      </c>
      <c r="V643" s="3"/>
      <c r="W643" s="3">
        <f>Y643-V643</f>
        <v>0</v>
      </c>
      <c r="X643" s="3"/>
      <c r="Y643" s="3"/>
      <c r="Z643" s="3">
        <f>Y643-T643</f>
        <v>0</v>
      </c>
      <c r="AA643" s="3"/>
      <c r="AB643" s="3"/>
      <c r="AC643" s="3"/>
      <c r="AD643" s="3">
        <f>AE643-AC643</f>
        <v>0</v>
      </c>
      <c r="AE643" s="3"/>
      <c r="AF643" s="3">
        <f>AE643-Y643</f>
        <v>0</v>
      </c>
      <c r="AG643" s="4"/>
      <c r="AH643" s="4">
        <f>P643*1.0281</f>
        <v>0</v>
      </c>
      <c r="AJ643" s="3"/>
      <c r="AK643" s="3">
        <f t="shared" si="437"/>
        <v>0</v>
      </c>
      <c r="AL643" s="3"/>
      <c r="AM643" s="3">
        <f t="shared" si="438"/>
        <v>0</v>
      </c>
      <c r="AO643" s="3">
        <f>AH643*1.0281</f>
        <v>0</v>
      </c>
      <c r="AP643" s="3"/>
      <c r="AQ643" s="3">
        <f>AO643*1.0281</f>
        <v>0</v>
      </c>
      <c r="AR643" s="3"/>
      <c r="AS643" s="3">
        <f>AQ643*1.0281</f>
        <v>0</v>
      </c>
      <c r="AT643" s="3"/>
      <c r="AU643" s="3">
        <f>AS643*1.0281</f>
        <v>0</v>
      </c>
      <c r="AV643" s="42"/>
      <c r="AW643" s="3">
        <f>AU643*1.0281</f>
        <v>0</v>
      </c>
      <c r="AX643" s="42"/>
      <c r="AY643" s="3">
        <f>AW643*1.0281</f>
        <v>0</v>
      </c>
      <c r="AZ643" s="42"/>
      <c r="BA643" s="3">
        <f>AY643*1.0281</f>
        <v>0</v>
      </c>
      <c r="BB643" s="42"/>
      <c r="BC643" s="3">
        <f>BA643*1.0281</f>
        <v>0</v>
      </c>
      <c r="BE643" s="3">
        <f>BC643*1.0281</f>
        <v>0</v>
      </c>
    </row>
    <row r="644" spans="1:57" x14ac:dyDescent="0.25">
      <c r="A644" s="3" t="s">
        <v>90</v>
      </c>
      <c r="B644" s="3">
        <v>7400</v>
      </c>
      <c r="D644" s="3"/>
      <c r="E644" s="3">
        <f>F644-D644</f>
        <v>3500</v>
      </c>
      <c r="F644" s="5">
        <v>3500</v>
      </c>
      <c r="H644" s="5">
        <f>F644-B644</f>
        <v>-3900</v>
      </c>
      <c r="J644" s="5">
        <v>1540</v>
      </c>
      <c r="K644" s="4">
        <f>L644-J644</f>
        <v>1460</v>
      </c>
      <c r="L644" s="4">
        <v>3000</v>
      </c>
      <c r="N644" s="4">
        <f>L644-F644</f>
        <v>-500</v>
      </c>
      <c r="P644" s="3">
        <f>L644*1.0281+16</f>
        <v>3100.3</v>
      </c>
      <c r="Q644" s="3"/>
      <c r="R644" s="3">
        <v>1685</v>
      </c>
      <c r="S644" s="3">
        <f>T644-R644</f>
        <v>1415</v>
      </c>
      <c r="T644" s="3">
        <v>3100</v>
      </c>
      <c r="U644" s="3">
        <f>T644-P644</f>
        <v>-0.3000000000001819</v>
      </c>
      <c r="V644" s="3">
        <v>1685</v>
      </c>
      <c r="W644" s="3">
        <f>Y644-V644</f>
        <v>1415</v>
      </c>
      <c r="X644" s="3"/>
      <c r="Y644" s="3">
        <v>3100</v>
      </c>
      <c r="Z644" s="3">
        <f>Y644-T644</f>
        <v>0</v>
      </c>
      <c r="AA644" s="3"/>
      <c r="AB644" s="3"/>
      <c r="AC644" s="3">
        <v>1685</v>
      </c>
      <c r="AD644" s="3">
        <f>AE644-AC644</f>
        <v>1415</v>
      </c>
      <c r="AE644" s="3">
        <v>3100</v>
      </c>
      <c r="AF644" s="3">
        <f>AE644-Y644</f>
        <v>0</v>
      </c>
      <c r="AG644" s="4"/>
      <c r="AH644" s="4">
        <f>AE644*1.03+7</f>
        <v>3200</v>
      </c>
      <c r="AJ644" s="3"/>
      <c r="AK644" s="3">
        <f t="shared" si="437"/>
        <v>3200</v>
      </c>
      <c r="AL644" s="3">
        <v>3200</v>
      </c>
      <c r="AM644" s="3">
        <f t="shared" si="438"/>
        <v>0</v>
      </c>
      <c r="AO644" s="3">
        <f>AH644*1.03-196</f>
        <v>3100</v>
      </c>
      <c r="AP644" s="3"/>
      <c r="AQ644" s="3">
        <f>AO644*1.03</f>
        <v>3193</v>
      </c>
      <c r="AR644" s="3"/>
      <c r="AS644" s="3">
        <f>AQ644*1.03</f>
        <v>3288.79</v>
      </c>
      <c r="AT644" s="3"/>
      <c r="AU644" s="3">
        <f>AS644*1.03</f>
        <v>3387.4537</v>
      </c>
      <c r="AV644" s="42"/>
      <c r="AW644" s="3">
        <f>AU644*1.03</f>
        <v>3489.077311</v>
      </c>
      <c r="AX644" s="42"/>
      <c r="AY644" s="3">
        <f>AW644*1.03</f>
        <v>3593.7496303299999</v>
      </c>
      <c r="AZ644" s="42"/>
      <c r="BA644" s="3">
        <f>AY644*1.03</f>
        <v>3701.5621192398999</v>
      </c>
      <c r="BB644" s="42"/>
      <c r="BC644" s="3">
        <f>BA644*1.03</f>
        <v>3812.6089828170971</v>
      </c>
      <c r="BE644" s="3">
        <f>BC644*1.03</f>
        <v>3926.9872523016102</v>
      </c>
    </row>
    <row r="645" spans="1:57" x14ac:dyDescent="0.25">
      <c r="A645" s="3" t="s">
        <v>482</v>
      </c>
      <c r="B645" s="3">
        <v>7000</v>
      </c>
      <c r="D645" s="3">
        <v>10657</v>
      </c>
      <c r="E645" s="3">
        <f>F645-D645</f>
        <v>3343</v>
      </c>
      <c r="F645" s="5">
        <v>14000</v>
      </c>
      <c r="H645" s="5">
        <f>F645-B645</f>
        <v>7000</v>
      </c>
      <c r="J645" s="5">
        <v>12259</v>
      </c>
      <c r="K645" s="4">
        <f>L645-J645</f>
        <v>3241</v>
      </c>
      <c r="L645" s="4">
        <v>15500</v>
      </c>
      <c r="N645" s="4">
        <f>L645-F645</f>
        <v>1500</v>
      </c>
      <c r="P645" s="3">
        <v>13000</v>
      </c>
      <c r="Q645" s="3"/>
      <c r="R645" s="3">
        <v>8115</v>
      </c>
      <c r="S645" s="3">
        <f>T645-R645</f>
        <v>4885</v>
      </c>
      <c r="T645" s="3">
        <v>13000</v>
      </c>
      <c r="U645" s="3">
        <f>T645-P645</f>
        <v>0</v>
      </c>
      <c r="V645" s="3">
        <v>8426</v>
      </c>
      <c r="W645" s="3">
        <f>Y645-V645</f>
        <v>4574</v>
      </c>
      <c r="X645" s="3"/>
      <c r="Y645" s="3">
        <v>13000</v>
      </c>
      <c r="Z645" s="3">
        <f>Y645-T645</f>
        <v>0</v>
      </c>
      <c r="AA645" s="3"/>
      <c r="AB645" s="3"/>
      <c r="AC645" s="3">
        <v>10463</v>
      </c>
      <c r="AD645" s="3">
        <f>AE645-AC645</f>
        <v>3537</v>
      </c>
      <c r="AE645" s="3">
        <v>14000</v>
      </c>
      <c r="AF645" s="3">
        <f>AE645-Y645</f>
        <v>1000</v>
      </c>
      <c r="AG645" s="4"/>
      <c r="AH645" s="4">
        <v>13000</v>
      </c>
      <c r="AJ645" s="3">
        <v>7896</v>
      </c>
      <c r="AK645" s="3">
        <f t="shared" si="437"/>
        <v>5104</v>
      </c>
      <c r="AL645" s="3">
        <v>13000</v>
      </c>
      <c r="AM645" s="3">
        <f t="shared" si="438"/>
        <v>0</v>
      </c>
      <c r="AO645" s="3">
        <f>AH645*1.03+16</f>
        <v>13406</v>
      </c>
      <c r="AP645" s="3"/>
      <c r="AQ645" s="3">
        <f>AO645*1.03</f>
        <v>13808.18</v>
      </c>
      <c r="AR645" s="3"/>
      <c r="AS645" s="3">
        <f>AQ645*1.03</f>
        <v>14222.4254</v>
      </c>
      <c r="AT645" s="3"/>
      <c r="AU645" s="3">
        <f>AS645*1.03</f>
        <v>14649.098162</v>
      </c>
      <c r="AV645" s="42"/>
      <c r="AW645" s="3">
        <f>AU645*1.03</f>
        <v>15088.571106860001</v>
      </c>
      <c r="AX645" s="42"/>
      <c r="AY645" s="3">
        <f>AW645*1.03</f>
        <v>15541.228240065802</v>
      </c>
      <c r="AZ645" s="42"/>
      <c r="BA645" s="3">
        <f>AY645*1.03</f>
        <v>16007.465087267778</v>
      </c>
      <c r="BB645" s="42"/>
      <c r="BC645" s="3">
        <f>BA645*1.03</f>
        <v>16487.689039885812</v>
      </c>
      <c r="BE645" s="3">
        <f>BC645*1.03</f>
        <v>16982.319711082386</v>
      </c>
    </row>
    <row r="646" spans="1:57" x14ac:dyDescent="0.25">
      <c r="A646" s="3"/>
      <c r="B646" s="48">
        <f>SUM(B638:B645)</f>
        <v>14400</v>
      </c>
      <c r="C646" s="32"/>
      <c r="D646" s="48">
        <f>SUM(D638:D645)</f>
        <v>10657</v>
      </c>
      <c r="E646" s="48">
        <f>SUM(E638:E645)</f>
        <v>6843</v>
      </c>
      <c r="F646" s="48">
        <f>SUM(F638:F645)</f>
        <v>17500</v>
      </c>
      <c r="G646" s="32"/>
      <c r="H646" s="48">
        <f>SUM(H638:H645)</f>
        <v>3100</v>
      </c>
      <c r="I646" s="36"/>
      <c r="J646" s="48">
        <f>SUM(J638:J645)</f>
        <v>13799</v>
      </c>
      <c r="K646" s="48">
        <f>SUM(K638:K645)</f>
        <v>4701</v>
      </c>
      <c r="L646" s="48">
        <f>SUM(L638:L645)</f>
        <v>18500</v>
      </c>
      <c r="M646" s="32"/>
      <c r="N646" s="48">
        <f>SUM(N638:N645)</f>
        <v>1000</v>
      </c>
      <c r="P646" s="48">
        <f>SUM(P638:P645)</f>
        <v>16100.3</v>
      </c>
      <c r="R646" s="48">
        <f t="shared" ref="R646:Z646" si="439">SUM(R638:R645)</f>
        <v>9800</v>
      </c>
      <c r="S646" s="48">
        <f t="shared" si="439"/>
        <v>6300</v>
      </c>
      <c r="T646" s="48">
        <f t="shared" si="439"/>
        <v>16100</v>
      </c>
      <c r="U646" s="48">
        <f t="shared" si="439"/>
        <v>-0.3000000000001819</v>
      </c>
      <c r="V646" s="48">
        <f t="shared" si="439"/>
        <v>10111</v>
      </c>
      <c r="W646" s="48">
        <f t="shared" si="439"/>
        <v>5989</v>
      </c>
      <c r="X646" s="48"/>
      <c r="Y646" s="48">
        <f t="shared" si="439"/>
        <v>16100</v>
      </c>
      <c r="Z646" s="48">
        <f t="shared" si="439"/>
        <v>0</v>
      </c>
      <c r="AC646" s="48">
        <f>SUM(AC638:AC645)</f>
        <v>12148</v>
      </c>
      <c r="AD646" s="48">
        <f>SUM(AD638:AD645)</f>
        <v>4952</v>
      </c>
      <c r="AE646" s="48">
        <f>SUM(AE638:AE645)</f>
        <v>17100</v>
      </c>
      <c r="AF646" s="48">
        <f>SUM(AF638:AF645)</f>
        <v>1000</v>
      </c>
      <c r="AH646" s="36">
        <f>SUM(AH638:AH645)</f>
        <v>16200</v>
      </c>
      <c r="AI646" s="32"/>
      <c r="AJ646" s="48">
        <f>SUM(AJ638:AJ645)</f>
        <v>7896</v>
      </c>
      <c r="AK646" s="48">
        <f>SUM(AK638:AK645)</f>
        <v>8304</v>
      </c>
      <c r="AL646" s="48">
        <f>SUM(AL638:AL645)</f>
        <v>16200</v>
      </c>
      <c r="AM646" s="48">
        <f>SUM(AM638:AM645)</f>
        <v>0</v>
      </c>
      <c r="AN646" s="32"/>
      <c r="AO646" s="48">
        <f>SUM(AO638:AO645)</f>
        <v>16506</v>
      </c>
      <c r="AQ646" s="48">
        <f>SUM(AQ638:AQ645)</f>
        <v>17001.18</v>
      </c>
      <c r="AS646" s="48">
        <f>SUM(AS638:AS645)</f>
        <v>17511.215400000001</v>
      </c>
      <c r="AT646" s="48"/>
      <c r="AU646" s="48">
        <f>SUM(AU638:AU645)</f>
        <v>18036.551862</v>
      </c>
      <c r="AW646" s="48">
        <f>SUM(AW638:AW645)</f>
        <v>18577.64841786</v>
      </c>
      <c r="AY646" s="48">
        <f>SUM(AY638:AY645)</f>
        <v>19134.977870395804</v>
      </c>
      <c r="BA646" s="48">
        <f>SUM(BA638:BA645)</f>
        <v>19709.027206507679</v>
      </c>
      <c r="BC646" s="48">
        <f>SUM(BC638:BC645)</f>
        <v>20300.298022702911</v>
      </c>
      <c r="BE646" s="48">
        <f>SUM(BE638:BE645)</f>
        <v>20909.306963383995</v>
      </c>
    </row>
    <row r="647" spans="1:57" x14ac:dyDescent="0.25">
      <c r="A647" s="7" t="s">
        <v>483</v>
      </c>
    </row>
    <row r="648" spans="1:57" x14ac:dyDescent="0.25">
      <c r="A648" s="3" t="s">
        <v>484</v>
      </c>
      <c r="AK648" s="3">
        <f>AL648-AJ648</f>
        <v>0</v>
      </c>
      <c r="AM648" s="3">
        <f>AL648-AH648</f>
        <v>0</v>
      </c>
    </row>
    <row r="649" spans="1:57" x14ac:dyDescent="0.25">
      <c r="A649" s="3" t="s">
        <v>485</v>
      </c>
      <c r="B649" s="3">
        <v>75000</v>
      </c>
      <c r="D649" s="3">
        <v>11136</v>
      </c>
      <c r="E649" s="3">
        <f>F649-D649</f>
        <v>68864</v>
      </c>
      <c r="F649" s="5">
        <v>80000</v>
      </c>
      <c r="H649" s="5">
        <f>F649-B649</f>
        <v>5000</v>
      </c>
      <c r="J649" s="5">
        <v>22990</v>
      </c>
      <c r="K649" s="4">
        <f>L649-J649</f>
        <v>57010</v>
      </c>
      <c r="L649" s="4">
        <v>80000</v>
      </c>
      <c r="N649" s="4">
        <f>L649-F649</f>
        <v>0</v>
      </c>
      <c r="P649" s="3">
        <f>L649*1.0281+2752</f>
        <v>85000</v>
      </c>
      <c r="Q649" s="3"/>
      <c r="R649" s="3">
        <v>12462</v>
      </c>
      <c r="S649" s="3">
        <f>T649-R649</f>
        <v>72538</v>
      </c>
      <c r="T649" s="3">
        <v>85000</v>
      </c>
      <c r="U649" s="3">
        <f>T649-P649</f>
        <v>0</v>
      </c>
      <c r="V649" s="3">
        <v>37778</v>
      </c>
      <c r="W649" s="3">
        <f>Y649-V649</f>
        <v>47222</v>
      </c>
      <c r="X649" s="3"/>
      <c r="Y649" s="3">
        <v>85000</v>
      </c>
      <c r="Z649" s="3">
        <f>Y649-T649</f>
        <v>0</v>
      </c>
      <c r="AA649" s="3"/>
      <c r="AB649" s="3"/>
      <c r="AC649" s="3">
        <v>58210</v>
      </c>
      <c r="AD649" s="3">
        <f>AE649-AC649</f>
        <v>24290</v>
      </c>
      <c r="AE649" s="3">
        <v>82500</v>
      </c>
      <c r="AF649" s="3">
        <f>AE649-Y649</f>
        <v>-2500</v>
      </c>
      <c r="AG649" s="4"/>
      <c r="AH649" s="4">
        <v>82500</v>
      </c>
      <c r="AJ649" s="3">
        <v>21606</v>
      </c>
      <c r="AK649" s="3">
        <f>AL649-AJ649</f>
        <v>80894</v>
      </c>
      <c r="AL649" s="3">
        <v>102500</v>
      </c>
      <c r="AM649" s="3">
        <f>AL649-AH649</f>
        <v>20000</v>
      </c>
      <c r="AO649" s="3">
        <f>AH649*1.03</f>
        <v>84975</v>
      </c>
      <c r="AP649" s="3"/>
      <c r="AQ649" s="3">
        <f>AO649*1.03</f>
        <v>87524.25</v>
      </c>
      <c r="AR649" s="3"/>
      <c r="AS649" s="3">
        <f>AQ649*1.03</f>
        <v>90149.977500000008</v>
      </c>
      <c r="AT649" s="3"/>
      <c r="AU649" s="3">
        <f>AS649*1.03</f>
        <v>92854.476825000005</v>
      </c>
      <c r="AV649" s="42"/>
      <c r="AW649" s="3">
        <f>AU649*1.03</f>
        <v>95640.111129750003</v>
      </c>
      <c r="AX649" s="42"/>
      <c r="AY649" s="3">
        <f>AW649*1.03</f>
        <v>98509.314463642499</v>
      </c>
      <c r="AZ649" s="42"/>
      <c r="BA649" s="3">
        <f>AY649*1.03</f>
        <v>101464.59389755178</v>
      </c>
      <c r="BB649" s="42"/>
      <c r="BC649" s="3">
        <f>BA649*1.03</f>
        <v>104508.53171447833</v>
      </c>
      <c r="BE649" s="3">
        <f>BC649*1.03</f>
        <v>107643.78766591269</v>
      </c>
    </row>
    <row r="650" spans="1:57" x14ac:dyDescent="0.25">
      <c r="A650" s="3" t="s">
        <v>289</v>
      </c>
      <c r="B650" s="3">
        <v>50000</v>
      </c>
      <c r="D650" s="3">
        <v>0</v>
      </c>
      <c r="E650" s="3">
        <f>F650-D650</f>
        <v>50000</v>
      </c>
      <c r="F650" s="5">
        <v>50000</v>
      </c>
      <c r="H650" s="5">
        <f>F650-B650</f>
        <v>0</v>
      </c>
      <c r="K650" s="4">
        <f>L650-J650</f>
        <v>50000</v>
      </c>
      <c r="L650" s="4">
        <v>50000</v>
      </c>
      <c r="N650" s="4">
        <f>L650-F650</f>
        <v>0</v>
      </c>
      <c r="P650" s="3">
        <v>50000</v>
      </c>
      <c r="Q650" s="3"/>
      <c r="R650" s="3"/>
      <c r="S650" s="3">
        <f>T650-R650</f>
        <v>50000</v>
      </c>
      <c r="T650" s="3">
        <v>50000</v>
      </c>
      <c r="U650" s="3">
        <f>T650-P650</f>
        <v>0</v>
      </c>
      <c r="V650" s="3">
        <v>0</v>
      </c>
      <c r="W650" s="3">
        <f>Y650-V650</f>
        <v>50000</v>
      </c>
      <c r="X650" s="3"/>
      <c r="Y650" s="3">
        <v>50000</v>
      </c>
      <c r="Z650" s="3">
        <f>Y650-T650</f>
        <v>0</v>
      </c>
      <c r="AA650" s="3"/>
      <c r="AB650" s="3"/>
      <c r="AC650" s="3">
        <v>0</v>
      </c>
      <c r="AD650" s="3">
        <f>AE650-AC650</f>
        <v>50000</v>
      </c>
      <c r="AE650" s="3">
        <v>50000</v>
      </c>
      <c r="AF650" s="3">
        <f>AE650-Y650</f>
        <v>0</v>
      </c>
      <c r="AG650" s="4"/>
      <c r="AH650" s="4">
        <v>50000</v>
      </c>
      <c r="AJ650" s="3">
        <v>0</v>
      </c>
      <c r="AK650" s="3">
        <f>AL650-AJ650</f>
        <v>50000</v>
      </c>
      <c r="AL650" s="3">
        <v>50000</v>
      </c>
      <c r="AM650" s="3">
        <f>AL650-AH650</f>
        <v>0</v>
      </c>
      <c r="AO650" s="3">
        <v>50000</v>
      </c>
      <c r="AP650" s="3"/>
      <c r="AQ650" s="3">
        <v>50000</v>
      </c>
      <c r="AR650" s="3"/>
      <c r="AS650" s="3">
        <v>50000</v>
      </c>
      <c r="AT650" s="3"/>
      <c r="AU650" s="3">
        <v>50000</v>
      </c>
      <c r="AV650" s="42"/>
      <c r="AW650" s="3">
        <v>50000</v>
      </c>
      <c r="AX650" s="42"/>
      <c r="AY650" s="3">
        <v>50000</v>
      </c>
      <c r="AZ650" s="42"/>
      <c r="BA650" s="3">
        <v>50000</v>
      </c>
      <c r="BB650" s="42"/>
      <c r="BC650" s="3">
        <v>50000</v>
      </c>
      <c r="BE650" s="3">
        <v>50000</v>
      </c>
    </row>
    <row r="651" spans="1:57" ht="15.75" thickBot="1" x14ac:dyDescent="0.3">
      <c r="A651" s="3"/>
      <c r="B651" s="48">
        <f>SUM(B648:B650)</f>
        <v>125000</v>
      </c>
      <c r="C651" s="32"/>
      <c r="D651" s="48">
        <f>SUM(D648:D650)</f>
        <v>11136</v>
      </c>
      <c r="E651" s="48">
        <f>SUM(E648:E650)</f>
        <v>118864</v>
      </c>
      <c r="F651" s="48">
        <f>SUM(F648:F650)</f>
        <v>130000</v>
      </c>
      <c r="G651" s="32"/>
      <c r="H651" s="48">
        <f>SUM(H648:H650)</f>
        <v>5000</v>
      </c>
      <c r="I651" s="36"/>
      <c r="J651" s="48">
        <f>SUM(J648:J650)</f>
        <v>22990</v>
      </c>
      <c r="K651" s="48">
        <f>SUM(K648:K650)</f>
        <v>107010</v>
      </c>
      <c r="L651" s="48">
        <f>SUM(L648:L650)</f>
        <v>130000</v>
      </c>
      <c r="M651" s="32"/>
      <c r="N651" s="48">
        <f>SUM(N648:N650)</f>
        <v>0</v>
      </c>
      <c r="P651" s="48">
        <f>SUM(P648:P650)</f>
        <v>135000</v>
      </c>
      <c r="R651" s="48">
        <f t="shared" ref="R651:Z651" si="440">SUM(R648:R650)</f>
        <v>12462</v>
      </c>
      <c r="S651" s="48">
        <f t="shared" si="440"/>
        <v>122538</v>
      </c>
      <c r="T651" s="48">
        <f t="shared" si="440"/>
        <v>135000</v>
      </c>
      <c r="U651" s="48">
        <f t="shared" si="440"/>
        <v>0</v>
      </c>
      <c r="V651" s="48">
        <f t="shared" si="440"/>
        <v>37778</v>
      </c>
      <c r="W651" s="48">
        <f t="shared" si="440"/>
        <v>97222</v>
      </c>
      <c r="X651" s="48"/>
      <c r="Y651" s="48">
        <f t="shared" si="440"/>
        <v>135000</v>
      </c>
      <c r="Z651" s="48">
        <f t="shared" si="440"/>
        <v>0</v>
      </c>
      <c r="AC651" s="48">
        <f>SUM(AC648:AC650)</f>
        <v>58210</v>
      </c>
      <c r="AD651" s="48">
        <f>SUM(AD648:AD650)</f>
        <v>74290</v>
      </c>
      <c r="AE651" s="48">
        <f>SUM(AE648:AE650)</f>
        <v>132500</v>
      </c>
      <c r="AF651" s="48">
        <f>SUM(AF648:AF650)</f>
        <v>-2500</v>
      </c>
      <c r="AH651" s="36">
        <f>SUM(AH648:AH650)</f>
        <v>132500</v>
      </c>
      <c r="AI651" s="32"/>
      <c r="AJ651" s="48">
        <f>SUM(AJ648:AJ650)</f>
        <v>21606</v>
      </c>
      <c r="AK651" s="48">
        <f>SUM(AK648:AK650)</f>
        <v>130894</v>
      </c>
      <c r="AL651" s="48">
        <f>SUM(AL648:AL650)</f>
        <v>152500</v>
      </c>
      <c r="AM651" s="48">
        <f>SUM(AM648:AM650)</f>
        <v>20000</v>
      </c>
      <c r="AN651" s="32"/>
      <c r="AO651" s="48">
        <f>SUM(AO648:AO650)</f>
        <v>134975</v>
      </c>
      <c r="AQ651" s="48">
        <f>SUM(AQ648:AQ650)</f>
        <v>137524.25</v>
      </c>
      <c r="AS651" s="48">
        <f>SUM(AS648:AS650)</f>
        <v>140149.97750000001</v>
      </c>
      <c r="AT651" s="48"/>
      <c r="AU651" s="48">
        <f>SUM(AU648:AU650)</f>
        <v>142854.47682500002</v>
      </c>
      <c r="AW651" s="48">
        <f>SUM(AW648:AW650)</f>
        <v>145640.11112975</v>
      </c>
      <c r="AY651" s="48">
        <f>SUM(AY648:AY650)</f>
        <v>148509.31446364248</v>
      </c>
      <c r="BA651" s="48">
        <f>SUM(BA648:BA650)</f>
        <v>151464.59389755176</v>
      </c>
      <c r="BC651" s="48">
        <f>SUM(BC648:BC650)</f>
        <v>154508.53171447833</v>
      </c>
      <c r="BE651" s="48">
        <f>SUM(BE648:BE650)</f>
        <v>157643.78766591271</v>
      </c>
    </row>
    <row r="652" spans="1:57" x14ac:dyDescent="0.25">
      <c r="A652" s="3"/>
      <c r="B652" s="8" t="s">
        <v>8</v>
      </c>
      <c r="C652" s="9"/>
      <c r="D652" s="10" t="s">
        <v>9</v>
      </c>
      <c r="E652" s="11" t="s">
        <v>10</v>
      </c>
      <c r="F652" s="12" t="s">
        <v>11</v>
      </c>
      <c r="G652" s="9"/>
      <c r="H652" s="8" t="s">
        <v>12</v>
      </c>
      <c r="I652" s="13"/>
      <c r="J652" s="10" t="s">
        <v>9</v>
      </c>
      <c r="K652" s="11" t="s">
        <v>10</v>
      </c>
      <c r="L652" s="11" t="s">
        <v>11</v>
      </c>
      <c r="M652" s="9"/>
      <c r="N652" s="11" t="s">
        <v>12</v>
      </c>
      <c r="P652" s="12" t="s">
        <v>8</v>
      </c>
      <c r="R652" s="14" t="s">
        <v>9</v>
      </c>
      <c r="S652" s="15" t="s">
        <v>10</v>
      </c>
      <c r="T652" s="16" t="s">
        <v>11</v>
      </c>
      <c r="U652" s="17" t="s">
        <v>13</v>
      </c>
      <c r="V652" s="14" t="s">
        <v>9</v>
      </c>
      <c r="W652" s="15" t="s">
        <v>10</v>
      </c>
      <c r="X652" s="15"/>
      <c r="Y652" s="16" t="s">
        <v>11</v>
      </c>
      <c r="Z652" s="17" t="s">
        <v>13</v>
      </c>
      <c r="AC652" s="14" t="s">
        <v>9</v>
      </c>
      <c r="AD652" s="15" t="s">
        <v>10</v>
      </c>
      <c r="AE652" s="16" t="s">
        <v>11</v>
      </c>
      <c r="AF652" s="15" t="s">
        <v>13</v>
      </c>
      <c r="AH652" s="13" t="s">
        <v>8</v>
      </c>
      <c r="AI652" s="9"/>
      <c r="AJ652" s="11" t="s">
        <v>9</v>
      </c>
      <c r="AK652" s="11" t="s">
        <v>10</v>
      </c>
      <c r="AL652" s="12" t="s">
        <v>11</v>
      </c>
      <c r="AM652" s="10" t="s">
        <v>13</v>
      </c>
      <c r="AN652" s="9"/>
      <c r="AO652" s="12" t="s">
        <v>8</v>
      </c>
      <c r="AQ652" s="8" t="s">
        <v>8</v>
      </c>
      <c r="AS652" s="8" t="s">
        <v>8</v>
      </c>
      <c r="AT652" s="8"/>
      <c r="AU652" s="8" t="s">
        <v>8</v>
      </c>
      <c r="AW652" s="8" t="s">
        <v>8</v>
      </c>
      <c r="AY652" s="8" t="s">
        <v>8</v>
      </c>
      <c r="BA652" s="8" t="s">
        <v>8</v>
      </c>
      <c r="BC652" s="8" t="s">
        <v>8</v>
      </c>
      <c r="BE652" s="8" t="s">
        <v>8</v>
      </c>
    </row>
    <row r="653" spans="1:57" ht="15.75" thickBot="1" x14ac:dyDescent="0.3">
      <c r="A653" s="3"/>
      <c r="B653" s="19" t="s">
        <v>14</v>
      </c>
      <c r="C653" s="9"/>
      <c r="D653" s="20" t="s">
        <v>15</v>
      </c>
      <c r="E653" s="21"/>
      <c r="F653" s="22" t="s">
        <v>16</v>
      </c>
      <c r="G653" s="9"/>
      <c r="H653" s="19"/>
      <c r="I653" s="13"/>
      <c r="J653" s="20" t="s">
        <v>17</v>
      </c>
      <c r="K653" s="21"/>
      <c r="L653" s="21" t="s">
        <v>16</v>
      </c>
      <c r="M653" s="9"/>
      <c r="N653" s="21"/>
      <c r="P653" s="22" t="s">
        <v>18</v>
      </c>
      <c r="R653" s="23" t="s">
        <v>19</v>
      </c>
      <c r="S653" s="24"/>
      <c r="T653" s="25" t="s">
        <v>20</v>
      </c>
      <c r="U653" s="26"/>
      <c r="V653" s="23" t="s">
        <v>21</v>
      </c>
      <c r="W653" s="24"/>
      <c r="X653" s="24"/>
      <c r="Y653" s="25" t="s">
        <v>21</v>
      </c>
      <c r="Z653" s="26"/>
      <c r="AC653" s="23" t="s">
        <v>22</v>
      </c>
      <c r="AD653" s="24"/>
      <c r="AE653" s="25" t="s">
        <v>23</v>
      </c>
      <c r="AF653" s="24"/>
      <c r="AH653" s="13" t="s">
        <v>24</v>
      </c>
      <c r="AI653" s="9"/>
      <c r="AJ653" s="21" t="s">
        <v>1144</v>
      </c>
      <c r="AK653" s="21"/>
      <c r="AL653" s="22" t="s">
        <v>1144</v>
      </c>
      <c r="AM653" s="20"/>
      <c r="AN653" s="9"/>
      <c r="AO653" s="22" t="s">
        <v>25</v>
      </c>
      <c r="AQ653" s="19" t="s">
        <v>26</v>
      </c>
      <c r="AS653" s="19" t="s">
        <v>27</v>
      </c>
      <c r="AT653" s="19"/>
      <c r="AU653" s="19" t="s">
        <v>28</v>
      </c>
      <c r="AW653" s="19" t="s">
        <v>29</v>
      </c>
      <c r="AY653" s="19" t="s">
        <v>30</v>
      </c>
      <c r="BA653" s="19" t="s">
        <v>31</v>
      </c>
      <c r="BC653" s="19" t="str">
        <f>BC4</f>
        <v>2021-22</v>
      </c>
      <c r="BE653" s="19" t="str">
        <f>BE4</f>
        <v>2022-23</v>
      </c>
    </row>
    <row r="654" spans="1:57" x14ac:dyDescent="0.25">
      <c r="A654" s="7" t="s">
        <v>486</v>
      </c>
    </row>
    <row r="655" spans="1:57" x14ac:dyDescent="0.25">
      <c r="A655" s="3" t="s">
        <v>487</v>
      </c>
      <c r="B655" s="3">
        <v>192000</v>
      </c>
      <c r="D655" s="3">
        <f>41031+595</f>
        <v>41626</v>
      </c>
      <c r="E655" s="3">
        <f t="shared" ref="E655:E663" si="441">F655-D655</f>
        <v>150374</v>
      </c>
      <c r="F655" s="5">
        <v>192000</v>
      </c>
      <c r="H655" s="5">
        <f t="shared" ref="H655:H663" si="442">F655-B655</f>
        <v>0</v>
      </c>
      <c r="J655" s="5">
        <v>90424</v>
      </c>
      <c r="K655" s="4">
        <f t="shared" ref="K655:K663" si="443">L655-J655</f>
        <v>101576</v>
      </c>
      <c r="L655" s="4">
        <v>192000</v>
      </c>
      <c r="N655" s="4">
        <f t="shared" ref="N655:N663" si="444">L655-F655</f>
        <v>0</v>
      </c>
      <c r="P655" s="3">
        <f>L655*1.0281+26605</f>
        <v>224000.2</v>
      </c>
      <c r="Q655" s="3"/>
      <c r="R655" s="3">
        <v>48119</v>
      </c>
      <c r="S655" s="3">
        <f t="shared" ref="S655:S663" si="445">T655-R655</f>
        <v>175881</v>
      </c>
      <c r="T655" s="3">
        <v>224000</v>
      </c>
      <c r="U655" s="3">
        <f t="shared" ref="U655:U663" si="446">T655-P655</f>
        <v>-0.20000000001164153</v>
      </c>
      <c r="V655" s="3">
        <f>16896+64118+3038</f>
        <v>84052</v>
      </c>
      <c r="W655" s="3">
        <f t="shared" ref="W655:W663" si="447">Y655-V655</f>
        <v>139948</v>
      </c>
      <c r="X655" s="3"/>
      <c r="Y655" s="3">
        <v>224000</v>
      </c>
      <c r="Z655" s="3">
        <f t="shared" ref="Z655:Z663" si="448">Y655-T655</f>
        <v>0</v>
      </c>
      <c r="AA655" s="3"/>
      <c r="AB655" s="3"/>
      <c r="AC655" s="3">
        <v>151334</v>
      </c>
      <c r="AD655" s="3">
        <f t="shared" ref="AD655:AD663" si="449">AE655-AC655</f>
        <v>63666</v>
      </c>
      <c r="AE655" s="3">
        <v>215000</v>
      </c>
      <c r="AF655" s="3">
        <f t="shared" ref="AF655:AF663" si="450">AE655-Y655</f>
        <v>-9000</v>
      </c>
      <c r="AG655" s="4"/>
      <c r="AH655" s="4">
        <v>204000</v>
      </c>
      <c r="AJ655" s="3">
        <v>59900</v>
      </c>
      <c r="AK655" s="3">
        <f t="shared" ref="AK655:AK663" si="451">AL655-AJ655</f>
        <v>144100</v>
      </c>
      <c r="AL655" s="3">
        <v>204000</v>
      </c>
      <c r="AM655" s="3">
        <f t="shared" ref="AM655:AM663" si="452">AL655-AH655</f>
        <v>0</v>
      </c>
      <c r="AO655" s="3">
        <f>AH655*1.03</f>
        <v>210120</v>
      </c>
      <c r="AP655" s="3"/>
      <c r="AQ655" s="3">
        <f>AO655*1.03</f>
        <v>216423.6</v>
      </c>
      <c r="AR655" s="3"/>
      <c r="AS655" s="3">
        <f>AQ655*1.03</f>
        <v>222916.30800000002</v>
      </c>
      <c r="AT655" s="3"/>
      <c r="AU655" s="3">
        <f>AS655*1.03</f>
        <v>229603.79724000001</v>
      </c>
      <c r="AV655" s="42"/>
      <c r="AW655" s="3">
        <f>AU655*1.03</f>
        <v>236491.91115720003</v>
      </c>
      <c r="AX655" s="42"/>
      <c r="AY655" s="3">
        <f>AW655*1.03</f>
        <v>243586.66849191603</v>
      </c>
      <c r="AZ655" s="42"/>
      <c r="BA655" s="3">
        <f>AY655*1.03</f>
        <v>250894.26854667353</v>
      </c>
      <c r="BB655" s="42"/>
      <c r="BC655" s="3">
        <f>BA655*1.03</f>
        <v>258421.09660307373</v>
      </c>
      <c r="BE655" s="3">
        <f>BC655*1.03</f>
        <v>266173.72950116597</v>
      </c>
    </row>
    <row r="656" spans="1:57" x14ac:dyDescent="0.25">
      <c r="A656" s="3" t="s">
        <v>488</v>
      </c>
      <c r="B656" s="3"/>
      <c r="D656" s="3"/>
      <c r="E656" s="3">
        <f t="shared" si="441"/>
        <v>0</v>
      </c>
      <c r="H656" s="5">
        <f t="shared" si="442"/>
        <v>0</v>
      </c>
      <c r="J656" s="5">
        <v>0</v>
      </c>
      <c r="K656" s="4">
        <f t="shared" si="443"/>
        <v>5000</v>
      </c>
      <c r="L656" s="4">
        <v>5000</v>
      </c>
      <c r="N656" s="4">
        <f t="shared" si="444"/>
        <v>5000</v>
      </c>
      <c r="P656" s="3"/>
      <c r="Q656" s="3"/>
      <c r="R656" s="3"/>
      <c r="S656" s="3">
        <f t="shared" si="445"/>
        <v>0</v>
      </c>
      <c r="T656" s="3"/>
      <c r="U656" s="3">
        <f t="shared" si="446"/>
        <v>0</v>
      </c>
      <c r="V656" s="3"/>
      <c r="W656" s="3">
        <f t="shared" si="447"/>
        <v>0</v>
      </c>
      <c r="X656" s="3"/>
      <c r="Y656" s="3"/>
      <c r="Z656" s="3">
        <f t="shared" si="448"/>
        <v>0</v>
      </c>
      <c r="AA656" s="3"/>
      <c r="AB656" s="3"/>
      <c r="AC656" s="3"/>
      <c r="AD656" s="3">
        <f t="shared" si="449"/>
        <v>0</v>
      </c>
      <c r="AE656" s="3"/>
      <c r="AF656" s="3">
        <f t="shared" si="450"/>
        <v>0</v>
      </c>
      <c r="AG656" s="4"/>
      <c r="AH656" s="4"/>
      <c r="AJ656" s="3"/>
      <c r="AK656" s="3">
        <f t="shared" si="451"/>
        <v>0</v>
      </c>
      <c r="AL656" s="3"/>
      <c r="AM656" s="3">
        <f t="shared" si="452"/>
        <v>0</v>
      </c>
      <c r="AO656" s="3"/>
      <c r="AP656" s="3"/>
      <c r="AQ656" s="3"/>
      <c r="AR656" s="3"/>
      <c r="AS656" s="3"/>
      <c r="AT656" s="3"/>
      <c r="AU656" s="3"/>
      <c r="AV656" s="42"/>
      <c r="AW656" s="3"/>
      <c r="AX656" s="42"/>
      <c r="AY656" s="3"/>
      <c r="AZ656" s="42"/>
      <c r="BA656" s="3"/>
      <c r="BB656" s="42"/>
      <c r="BC656" s="3"/>
      <c r="BE656" s="3"/>
    </row>
    <row r="657" spans="1:57" x14ac:dyDescent="0.25">
      <c r="A657" s="3" t="s">
        <v>489</v>
      </c>
      <c r="B657" s="3"/>
      <c r="D657" s="3"/>
      <c r="E657" s="3">
        <f t="shared" si="441"/>
        <v>21180</v>
      </c>
      <c r="F657" s="5">
        <v>21180</v>
      </c>
      <c r="H657" s="5">
        <f t="shared" si="442"/>
        <v>21180</v>
      </c>
      <c r="J657" s="5">
        <v>0</v>
      </c>
      <c r="K657" s="4">
        <f t="shared" si="443"/>
        <v>0</v>
      </c>
      <c r="L657" s="4">
        <v>0</v>
      </c>
      <c r="N657" s="4">
        <f t="shared" si="444"/>
        <v>-21180</v>
      </c>
      <c r="P657" s="3"/>
      <c r="Q657" s="3"/>
      <c r="R657" s="3"/>
      <c r="S657" s="3">
        <f t="shared" si="445"/>
        <v>0</v>
      </c>
      <c r="T657" s="3"/>
      <c r="U657" s="3">
        <f t="shared" si="446"/>
        <v>0</v>
      </c>
      <c r="V657" s="3"/>
      <c r="W657" s="3">
        <f t="shared" si="447"/>
        <v>0</v>
      </c>
      <c r="X657" s="3"/>
      <c r="Y657" s="3"/>
      <c r="Z657" s="3">
        <f t="shared" si="448"/>
        <v>0</v>
      </c>
      <c r="AA657" s="3"/>
      <c r="AB657" s="3"/>
      <c r="AC657" s="3"/>
      <c r="AD657" s="3">
        <f t="shared" si="449"/>
        <v>0</v>
      </c>
      <c r="AE657" s="3"/>
      <c r="AF657" s="3">
        <f t="shared" si="450"/>
        <v>0</v>
      </c>
      <c r="AG657" s="4"/>
      <c r="AH657" s="4"/>
      <c r="AJ657" s="3"/>
      <c r="AK657" s="3">
        <f t="shared" si="451"/>
        <v>0</v>
      </c>
      <c r="AL657" s="3"/>
      <c r="AM657" s="3">
        <f t="shared" si="452"/>
        <v>0</v>
      </c>
      <c r="AO657" s="3"/>
      <c r="AP657" s="3"/>
      <c r="AQ657" s="3"/>
      <c r="AR657" s="3"/>
      <c r="AS657" s="3"/>
      <c r="AT657" s="3"/>
      <c r="AU657" s="3"/>
      <c r="AV657" s="42"/>
      <c r="AW657" s="3"/>
      <c r="AX657" s="42"/>
      <c r="AY657" s="3"/>
      <c r="AZ657" s="42"/>
      <c r="BA657" s="3"/>
      <c r="BB657" s="42"/>
      <c r="BC657" s="3"/>
      <c r="BE657" s="3"/>
    </row>
    <row r="658" spans="1:57" x14ac:dyDescent="0.25">
      <c r="A658" s="3" t="s">
        <v>490</v>
      </c>
      <c r="B658" s="3"/>
      <c r="D658" s="3"/>
      <c r="E658" s="3"/>
      <c r="K658" s="4"/>
      <c r="L658" s="4"/>
      <c r="N658" s="4"/>
      <c r="P658" s="3"/>
      <c r="Q658" s="3"/>
      <c r="R658" s="3"/>
      <c r="S658" s="3">
        <f>T658-R658</f>
        <v>21500</v>
      </c>
      <c r="T658" s="3">
        <v>21500</v>
      </c>
      <c r="U658" s="3">
        <f>T658-P658</f>
        <v>21500</v>
      </c>
      <c r="V658" s="3"/>
      <c r="W658" s="3">
        <f t="shared" si="447"/>
        <v>21500</v>
      </c>
      <c r="X658" s="3"/>
      <c r="Y658" s="3">
        <v>21500</v>
      </c>
      <c r="Z658" s="3">
        <f t="shared" si="448"/>
        <v>0</v>
      </c>
      <c r="AA658" s="3"/>
      <c r="AB658" s="3"/>
      <c r="AC658" s="3">
        <v>0</v>
      </c>
      <c r="AD658" s="3">
        <f t="shared" si="449"/>
        <v>21500</v>
      </c>
      <c r="AE658" s="3">
        <v>21500</v>
      </c>
      <c r="AF658" s="3">
        <f t="shared" si="450"/>
        <v>0</v>
      </c>
      <c r="AG658" s="4"/>
      <c r="AH658" s="4"/>
      <c r="AJ658" s="3"/>
      <c r="AK658" s="3">
        <f t="shared" si="451"/>
        <v>0</v>
      </c>
      <c r="AL658" s="3"/>
      <c r="AM658" s="3">
        <f t="shared" si="452"/>
        <v>0</v>
      </c>
      <c r="AO658" s="3"/>
      <c r="AP658" s="3"/>
      <c r="AQ658" s="3"/>
      <c r="AR658" s="3"/>
      <c r="AS658" s="3"/>
      <c r="AT658" s="3"/>
      <c r="AU658" s="3"/>
      <c r="AV658" s="42"/>
      <c r="AW658" s="3"/>
      <c r="AX658" s="42"/>
      <c r="AY658" s="3"/>
      <c r="AZ658" s="42"/>
      <c r="BA658" s="3"/>
      <c r="BB658" s="42"/>
      <c r="BC658" s="3"/>
      <c r="BE658" s="3"/>
    </row>
    <row r="659" spans="1:57" s="42" customFormat="1" x14ac:dyDescent="0.25">
      <c r="A659" s="3" t="s">
        <v>491</v>
      </c>
      <c r="B659" s="3"/>
      <c r="C659" s="3"/>
      <c r="D659" s="3"/>
      <c r="E659" s="3"/>
      <c r="F659" s="3"/>
      <c r="G659" s="3"/>
      <c r="H659" s="3"/>
      <c r="I659" s="3"/>
      <c r="J659" s="3"/>
      <c r="K659" s="4"/>
      <c r="L659" s="4"/>
      <c r="M659" s="4"/>
      <c r="N659" s="4"/>
      <c r="O659" s="4"/>
      <c r="P659" s="3"/>
      <c r="Q659" s="3"/>
      <c r="R659" s="3"/>
      <c r="S659" s="3">
        <f t="shared" si="445"/>
        <v>0</v>
      </c>
      <c r="T659" s="3"/>
      <c r="U659" s="3">
        <f t="shared" si="446"/>
        <v>0</v>
      </c>
      <c r="V659" s="3"/>
      <c r="W659" s="3">
        <f t="shared" si="447"/>
        <v>0</v>
      </c>
      <c r="X659" s="3"/>
      <c r="Y659" s="3"/>
      <c r="Z659" s="3">
        <f t="shared" si="448"/>
        <v>0</v>
      </c>
      <c r="AA659" s="3"/>
      <c r="AB659" s="3"/>
      <c r="AC659" s="3"/>
      <c r="AD659" s="3">
        <f t="shared" si="449"/>
        <v>0</v>
      </c>
      <c r="AE659" s="3"/>
      <c r="AF659" s="3">
        <f t="shared" si="450"/>
        <v>0</v>
      </c>
      <c r="AG659" s="4"/>
      <c r="AH659" s="4">
        <v>10000</v>
      </c>
      <c r="AI659" s="4"/>
      <c r="AJ659" s="3"/>
      <c r="AK659" s="3">
        <f t="shared" si="451"/>
        <v>0</v>
      </c>
      <c r="AL659" s="3">
        <v>0</v>
      </c>
      <c r="AM659" s="3">
        <f t="shared" si="452"/>
        <v>-10000</v>
      </c>
      <c r="AN659" s="4"/>
      <c r="AO659" s="3"/>
      <c r="AP659" s="3"/>
      <c r="AQ659" s="3"/>
      <c r="AR659" s="3"/>
      <c r="AS659" s="3"/>
      <c r="AT659" s="3"/>
      <c r="AU659" s="3"/>
      <c r="AW659" s="3"/>
      <c r="AY659" s="3"/>
      <c r="BA659" s="3"/>
      <c r="BC659" s="3"/>
      <c r="BE659" s="3"/>
    </row>
    <row r="660" spans="1:57" x14ac:dyDescent="0.25">
      <c r="A660" s="3" t="s">
        <v>177</v>
      </c>
      <c r="B660" s="3"/>
      <c r="D660" s="3"/>
      <c r="E660" s="3">
        <f t="shared" si="441"/>
        <v>0</v>
      </c>
      <c r="H660" s="5">
        <f t="shared" si="442"/>
        <v>0</v>
      </c>
      <c r="K660" s="4">
        <f t="shared" si="443"/>
        <v>0</v>
      </c>
      <c r="L660" s="4"/>
      <c r="N660" s="4">
        <f t="shared" si="444"/>
        <v>0</v>
      </c>
      <c r="P660" s="3"/>
      <c r="Q660" s="3"/>
      <c r="R660" s="3"/>
      <c r="S660" s="3">
        <f t="shared" si="445"/>
        <v>0</v>
      </c>
      <c r="T660" s="3"/>
      <c r="U660" s="3">
        <f t="shared" si="446"/>
        <v>0</v>
      </c>
      <c r="V660" s="3"/>
      <c r="W660" s="3">
        <f t="shared" si="447"/>
        <v>0</v>
      </c>
      <c r="X660" s="3"/>
      <c r="Y660" s="3"/>
      <c r="Z660" s="3">
        <f t="shared" si="448"/>
        <v>0</v>
      </c>
      <c r="AA660" s="3"/>
      <c r="AB660" s="3"/>
      <c r="AC660" s="3"/>
      <c r="AD660" s="3">
        <f t="shared" si="449"/>
        <v>0</v>
      </c>
      <c r="AE660" s="3"/>
      <c r="AF660" s="3">
        <f t="shared" si="450"/>
        <v>0</v>
      </c>
      <c r="AG660" s="4"/>
      <c r="AH660" s="4"/>
      <c r="AJ660" s="3"/>
      <c r="AK660" s="3">
        <f t="shared" si="451"/>
        <v>0</v>
      </c>
      <c r="AL660" s="3"/>
      <c r="AM660" s="3">
        <f t="shared" si="452"/>
        <v>0</v>
      </c>
      <c r="AO660" s="3"/>
      <c r="AP660" s="3"/>
      <c r="AQ660" s="3"/>
      <c r="AR660" s="3"/>
      <c r="AS660" s="3"/>
      <c r="AT660" s="3"/>
      <c r="AU660" s="3"/>
      <c r="AV660" s="42"/>
      <c r="AW660" s="3"/>
      <c r="AX660" s="42"/>
      <c r="AY660" s="3"/>
      <c r="AZ660" s="42"/>
      <c r="BA660" s="3"/>
      <c r="BB660" s="42"/>
      <c r="BC660" s="3"/>
      <c r="BE660" s="3"/>
    </row>
    <row r="661" spans="1:57" x14ac:dyDescent="0.25">
      <c r="A661" s="3" t="s">
        <v>178</v>
      </c>
      <c r="B661" s="3"/>
      <c r="D661" s="3">
        <v>715</v>
      </c>
      <c r="E661" s="3">
        <f t="shared" si="441"/>
        <v>5</v>
      </c>
      <c r="F661" s="5">
        <v>720</v>
      </c>
      <c r="H661" s="5">
        <f t="shared" si="442"/>
        <v>720</v>
      </c>
      <c r="J661" s="5">
        <v>715</v>
      </c>
      <c r="K661" s="4">
        <f t="shared" si="443"/>
        <v>5</v>
      </c>
      <c r="L661" s="4">
        <v>720</v>
      </c>
      <c r="N661" s="4">
        <f t="shared" si="444"/>
        <v>0</v>
      </c>
      <c r="P661" s="3"/>
      <c r="Q661" s="3"/>
      <c r="R661" s="3"/>
      <c r="S661" s="3">
        <f t="shared" si="445"/>
        <v>0</v>
      </c>
      <c r="T661" s="3"/>
      <c r="U661" s="3">
        <f t="shared" si="446"/>
        <v>0</v>
      </c>
      <c r="V661" s="3"/>
      <c r="W661" s="3">
        <f t="shared" si="447"/>
        <v>0</v>
      </c>
      <c r="X661" s="3"/>
      <c r="Y661" s="3"/>
      <c r="Z661" s="3">
        <f t="shared" si="448"/>
        <v>0</v>
      </c>
      <c r="AA661" s="3"/>
      <c r="AB661" s="3"/>
      <c r="AC661" s="3"/>
      <c r="AD661" s="3">
        <f t="shared" si="449"/>
        <v>0</v>
      </c>
      <c r="AE661" s="3"/>
      <c r="AF661" s="3">
        <f t="shared" si="450"/>
        <v>0</v>
      </c>
      <c r="AG661" s="4"/>
      <c r="AH661" s="4"/>
      <c r="AJ661" s="3"/>
      <c r="AK661" s="3">
        <f t="shared" si="451"/>
        <v>0</v>
      </c>
      <c r="AL661" s="3"/>
      <c r="AM661" s="3">
        <f t="shared" si="452"/>
        <v>0</v>
      </c>
      <c r="AO661" s="3"/>
      <c r="AP661" s="3"/>
      <c r="AQ661" s="3"/>
      <c r="AR661" s="3"/>
      <c r="AS661" s="3"/>
      <c r="AT661" s="3"/>
      <c r="AU661" s="3"/>
      <c r="AV661" s="42"/>
      <c r="AW661" s="3"/>
      <c r="AX661" s="42"/>
      <c r="AY661" s="3"/>
      <c r="AZ661" s="42"/>
      <c r="BA661" s="3"/>
      <c r="BB661" s="42"/>
      <c r="BC661" s="3"/>
      <c r="BE661" s="3"/>
    </row>
    <row r="662" spans="1:57" x14ac:dyDescent="0.25">
      <c r="A662" s="3" t="s">
        <v>492</v>
      </c>
      <c r="B662" s="3"/>
      <c r="D662" s="3"/>
      <c r="E662" s="3"/>
      <c r="K662" s="4"/>
      <c r="L662" s="4"/>
      <c r="N662" s="4"/>
      <c r="P662" s="3"/>
      <c r="Q662" s="3"/>
      <c r="R662" s="3"/>
      <c r="S662" s="3">
        <f t="shared" si="445"/>
        <v>0</v>
      </c>
      <c r="T662" s="3"/>
      <c r="U662" s="3">
        <f t="shared" si="446"/>
        <v>0</v>
      </c>
      <c r="V662" s="3">
        <v>6504</v>
      </c>
      <c r="W662" s="3">
        <f t="shared" si="447"/>
        <v>1</v>
      </c>
      <c r="X662" s="3"/>
      <c r="Y662" s="3">
        <v>6505</v>
      </c>
      <c r="Z662" s="3">
        <f t="shared" si="448"/>
        <v>6505</v>
      </c>
      <c r="AA662" s="3"/>
      <c r="AB662" s="3"/>
      <c r="AC662" s="3">
        <v>6505</v>
      </c>
      <c r="AD662" s="3">
        <f t="shared" si="449"/>
        <v>0</v>
      </c>
      <c r="AE662" s="3">
        <v>6505</v>
      </c>
      <c r="AF662" s="3">
        <f t="shared" si="450"/>
        <v>0</v>
      </c>
      <c r="AG662" s="4"/>
      <c r="AH662" s="4"/>
      <c r="AJ662" s="3"/>
      <c r="AK662" s="3">
        <f t="shared" si="451"/>
        <v>0</v>
      </c>
      <c r="AL662" s="3"/>
      <c r="AM662" s="3">
        <f t="shared" si="452"/>
        <v>0</v>
      </c>
      <c r="AO662" s="3"/>
      <c r="AP662" s="3"/>
      <c r="AQ662" s="3"/>
      <c r="AR662" s="3"/>
      <c r="AS662" s="3"/>
      <c r="AT662" s="3"/>
      <c r="AU662" s="3"/>
      <c r="AV662" s="42"/>
      <c r="AW662" s="3"/>
      <c r="AX662" s="42"/>
      <c r="AY662" s="3"/>
      <c r="AZ662" s="42"/>
      <c r="BA662" s="3"/>
      <c r="BB662" s="42"/>
      <c r="BC662" s="3"/>
      <c r="BE662" s="3"/>
    </row>
    <row r="663" spans="1:57" x14ac:dyDescent="0.25">
      <c r="A663" s="3" t="s">
        <v>289</v>
      </c>
      <c r="B663" s="3">
        <v>26000</v>
      </c>
      <c r="D663" s="3">
        <v>0</v>
      </c>
      <c r="E663" s="3">
        <f t="shared" si="441"/>
        <v>26000</v>
      </c>
      <c r="F663" s="5">
        <v>26000</v>
      </c>
      <c r="H663" s="5">
        <f t="shared" si="442"/>
        <v>0</v>
      </c>
      <c r="J663" s="5">
        <v>0</v>
      </c>
      <c r="K663" s="4">
        <f t="shared" si="443"/>
        <v>26000</v>
      </c>
      <c r="L663" s="4">
        <v>26000</v>
      </c>
      <c r="N663" s="4">
        <f t="shared" si="444"/>
        <v>0</v>
      </c>
      <c r="P663" s="3">
        <v>26000</v>
      </c>
      <c r="Q663" s="3"/>
      <c r="R663" s="3">
        <v>0</v>
      </c>
      <c r="S663" s="3">
        <f t="shared" si="445"/>
        <v>26000</v>
      </c>
      <c r="T663" s="3">
        <v>26000</v>
      </c>
      <c r="U663" s="3">
        <f t="shared" si="446"/>
        <v>0</v>
      </c>
      <c r="V663" s="3">
        <v>0</v>
      </c>
      <c r="W663" s="3">
        <f t="shared" si="447"/>
        <v>26000</v>
      </c>
      <c r="X663" s="3"/>
      <c r="Y663" s="3">
        <v>26000</v>
      </c>
      <c r="Z663" s="3">
        <f t="shared" si="448"/>
        <v>0</v>
      </c>
      <c r="AA663" s="3"/>
      <c r="AB663" s="3"/>
      <c r="AC663" s="3">
        <v>0</v>
      </c>
      <c r="AD663" s="3">
        <f t="shared" si="449"/>
        <v>26000</v>
      </c>
      <c r="AE663" s="3">
        <v>26000</v>
      </c>
      <c r="AF663" s="3">
        <f t="shared" si="450"/>
        <v>0</v>
      </c>
      <c r="AG663" s="4"/>
      <c r="AH663" s="4">
        <v>26000</v>
      </c>
      <c r="AJ663" s="3"/>
      <c r="AK663" s="3">
        <f t="shared" si="451"/>
        <v>26000</v>
      </c>
      <c r="AL663" s="3">
        <v>26000</v>
      </c>
      <c r="AM663" s="3">
        <f t="shared" si="452"/>
        <v>0</v>
      </c>
      <c r="AO663" s="3">
        <v>26000</v>
      </c>
      <c r="AP663" s="3"/>
      <c r="AQ663" s="3">
        <v>26000</v>
      </c>
      <c r="AR663" s="3"/>
      <c r="AS663" s="3">
        <v>26000</v>
      </c>
      <c r="AT663" s="3"/>
      <c r="AU663" s="3">
        <v>26000</v>
      </c>
      <c r="AV663" s="42"/>
      <c r="AW663" s="3">
        <v>26000</v>
      </c>
      <c r="AX663" s="42"/>
      <c r="AY663" s="3">
        <v>26000</v>
      </c>
      <c r="AZ663" s="42"/>
      <c r="BA663" s="3">
        <v>26000</v>
      </c>
      <c r="BB663" s="42"/>
      <c r="BC663" s="3">
        <v>26000</v>
      </c>
      <c r="BE663" s="3">
        <v>26000</v>
      </c>
    </row>
    <row r="664" spans="1:57" x14ac:dyDescent="0.25">
      <c r="A664" s="3"/>
      <c r="B664" s="48">
        <f>SUM(B655:B663)</f>
        <v>218000</v>
      </c>
      <c r="C664" s="32"/>
      <c r="D664" s="48">
        <f>SUM(D655:D663)</f>
        <v>42341</v>
      </c>
      <c r="E664" s="48">
        <f>SUM(E655:E663)</f>
        <v>197559</v>
      </c>
      <c r="F664" s="48">
        <f>SUM(F655:F663)</f>
        <v>239900</v>
      </c>
      <c r="G664" s="32"/>
      <c r="H664" s="48">
        <f>SUM(H655:H663)</f>
        <v>21900</v>
      </c>
      <c r="I664" s="36"/>
      <c r="J664" s="48">
        <f>SUM(J655:J663)</f>
        <v>91139</v>
      </c>
      <c r="K664" s="48">
        <f>SUM(K655:K663)</f>
        <v>132581</v>
      </c>
      <c r="L664" s="48">
        <f>SUM(L655:L663)</f>
        <v>223720</v>
      </c>
      <c r="M664" s="32"/>
      <c r="N664" s="48">
        <f>SUM(N655:N663)</f>
        <v>-16180</v>
      </c>
      <c r="P664" s="48">
        <f>SUM(P655:P663)</f>
        <v>250000.2</v>
      </c>
      <c r="R664" s="48">
        <f t="shared" ref="R664:Z664" si="453">SUM(R655:R663)</f>
        <v>48119</v>
      </c>
      <c r="S664" s="48">
        <f t="shared" si="453"/>
        <v>223381</v>
      </c>
      <c r="T664" s="48">
        <f t="shared" si="453"/>
        <v>271500</v>
      </c>
      <c r="U664" s="48">
        <f t="shared" si="453"/>
        <v>21499.799999999988</v>
      </c>
      <c r="V664" s="48">
        <f t="shared" si="453"/>
        <v>90556</v>
      </c>
      <c r="W664" s="48">
        <f t="shared" si="453"/>
        <v>187449</v>
      </c>
      <c r="X664" s="48"/>
      <c r="Y664" s="48">
        <f t="shared" si="453"/>
        <v>278005</v>
      </c>
      <c r="Z664" s="48">
        <f t="shared" si="453"/>
        <v>6505</v>
      </c>
      <c r="AC664" s="48">
        <f>SUM(AC655:AC663)</f>
        <v>157839</v>
      </c>
      <c r="AD664" s="48">
        <f>SUM(AD655:AD663)</f>
        <v>111166</v>
      </c>
      <c r="AE664" s="48">
        <f>SUM(AE655:AE663)</f>
        <v>269005</v>
      </c>
      <c r="AF664" s="48">
        <f>SUM(AF655:AF663)</f>
        <v>-9000</v>
      </c>
      <c r="AH664" s="36">
        <f>SUM(AH655:AH663)</f>
        <v>240000</v>
      </c>
      <c r="AI664" s="32"/>
      <c r="AJ664" s="48">
        <f>SUM(AJ655:AJ663)</f>
        <v>59900</v>
      </c>
      <c r="AK664" s="48">
        <f>SUM(AK655:AK663)</f>
        <v>170100</v>
      </c>
      <c r="AL664" s="48">
        <f>SUM(AL655:AL663)</f>
        <v>230000</v>
      </c>
      <c r="AM664" s="48">
        <f>SUM(AM655:AM663)</f>
        <v>-10000</v>
      </c>
      <c r="AN664" s="32"/>
      <c r="AO664" s="48">
        <f>SUM(AO655:AO663)</f>
        <v>236120</v>
      </c>
      <c r="AQ664" s="48">
        <f>SUM(AQ655:AQ663)</f>
        <v>242423.6</v>
      </c>
      <c r="AS664" s="48">
        <f>SUM(AS655:AS663)</f>
        <v>248916.30800000002</v>
      </c>
      <c r="AT664" s="48"/>
      <c r="AU664" s="48">
        <f>SUM(AU655:AU663)</f>
        <v>255603.79724000001</v>
      </c>
      <c r="AW664" s="48">
        <f>SUM(AW655:AW663)</f>
        <v>262491.9111572</v>
      </c>
      <c r="AY664" s="48">
        <f>SUM(AY655:AY663)</f>
        <v>269586.66849191603</v>
      </c>
      <c r="BA664" s="48">
        <f>SUM(BA655:BA663)</f>
        <v>276894.26854667353</v>
      </c>
      <c r="BC664" s="48">
        <f>SUM(BC655:BC663)</f>
        <v>284421.09660307376</v>
      </c>
      <c r="BE664" s="48">
        <f>SUM(BE655:BE663)</f>
        <v>292173.72950116597</v>
      </c>
    </row>
    <row r="665" spans="1:57" x14ac:dyDescent="0.25">
      <c r="A665" s="7" t="s">
        <v>57</v>
      </c>
    </row>
    <row r="666" spans="1:57" x14ac:dyDescent="0.25">
      <c r="A666" s="3" t="s">
        <v>90</v>
      </c>
      <c r="K666" s="4">
        <f>L666-J666</f>
        <v>0</v>
      </c>
      <c r="L666" s="4"/>
      <c r="N666" s="4">
        <f>L666-F666</f>
        <v>0</v>
      </c>
    </row>
    <row r="667" spans="1:57" ht="15.75" thickBot="1" x14ac:dyDescent="0.3">
      <c r="A667" s="7" t="s">
        <v>249</v>
      </c>
      <c r="B667" s="43">
        <f>B666+B664+B651+B646+B636+B630+B623+B618</f>
        <v>551870</v>
      </c>
      <c r="C667" s="32"/>
      <c r="D667" s="43">
        <f>D666+D664+D651+D646+D636+D630+D623+D618</f>
        <v>97044</v>
      </c>
      <c r="E667" s="43">
        <f>E666+E664+E651+E646+E636+E630+E623+E618</f>
        <v>483324</v>
      </c>
      <c r="F667" s="43">
        <f>F666+F664+F651+F646+F636+F630+F623+F618</f>
        <v>580369</v>
      </c>
      <c r="G667" s="32"/>
      <c r="H667" s="43">
        <f>H666+H664+H651+H646+H636+H630+H623+H618</f>
        <v>28499</v>
      </c>
      <c r="I667" s="36"/>
      <c r="J667" s="43">
        <f>J666+J664+J651+J646+J636+J630+J623+J618</f>
        <v>207832</v>
      </c>
      <c r="K667" s="43">
        <f>K666+K664+K651+K646+K636+K630+K623+K618</f>
        <v>359756</v>
      </c>
      <c r="L667" s="43">
        <f>L666+L664+L651+L646+L636+L630+L623+L618</f>
        <v>567589</v>
      </c>
      <c r="M667" s="32"/>
      <c r="N667" s="43">
        <f>N666+N664+N651+N646+N636+N630+N623+N618</f>
        <v>-12781</v>
      </c>
      <c r="P667" s="43">
        <f>P666+P664+P651+P646+P636+P630+P623+P618</f>
        <v>608349.53500000003</v>
      </c>
      <c r="R667" s="43">
        <f t="shared" ref="R667:Z667" si="454">R666+R664+R651+R646+R636+R630+R623+R618</f>
        <v>144196</v>
      </c>
      <c r="S667" s="43">
        <f t="shared" si="454"/>
        <v>497504</v>
      </c>
      <c r="T667" s="43">
        <f t="shared" si="454"/>
        <v>641700</v>
      </c>
      <c r="U667" s="43">
        <f t="shared" si="454"/>
        <v>33350.464999999975</v>
      </c>
      <c r="V667" s="43">
        <f t="shared" si="454"/>
        <v>234846</v>
      </c>
      <c r="W667" s="43">
        <f t="shared" si="454"/>
        <v>417359</v>
      </c>
      <c r="X667" s="43"/>
      <c r="Y667" s="43">
        <f t="shared" si="454"/>
        <v>652205</v>
      </c>
      <c r="Z667" s="43">
        <f t="shared" si="454"/>
        <v>10505</v>
      </c>
      <c r="AC667" s="43">
        <f>AC666+AC664+AC651+AC646+AC636+AC630+AC623+AC618</f>
        <v>368831</v>
      </c>
      <c r="AD667" s="43">
        <f>AD666+AD664+AD651+AD646+AD636+AD630+AD623+AD618</f>
        <v>271914</v>
      </c>
      <c r="AE667" s="43">
        <f>AE666+AE664+AE651+AE646+AE636+AE630+AE623+AE618</f>
        <v>640745</v>
      </c>
      <c r="AF667" s="43">
        <f>AF666+AF664+AF651+AF646+AF636+AF630+AF623+AF618</f>
        <v>-11460</v>
      </c>
      <c r="AH667" s="36">
        <f>AH666+AH664+AH651+AH646+AH636+AH630+AH623+AH618</f>
        <v>607580.25</v>
      </c>
      <c r="AI667" s="32"/>
      <c r="AJ667" s="43">
        <f>AJ666+AJ664+AJ651+AJ646+AJ636+AJ630+AJ623+AJ618</f>
        <v>128543</v>
      </c>
      <c r="AK667" s="43">
        <f>AK666+AK664+AK651+AK646+AK636+AK630+AK623+AK618</f>
        <v>488887</v>
      </c>
      <c r="AL667" s="43">
        <f>AL666+AL664+AL651+AL646+AL636+AL630+AL623+AL618</f>
        <v>617430</v>
      </c>
      <c r="AM667" s="43">
        <f>AM666+AM664+AM651+AM646+AM636+AM630+AM623+AM618</f>
        <v>9849.75</v>
      </c>
      <c r="AN667" s="32"/>
      <c r="AO667" s="43">
        <f>AO666+AO664+AO651+AO646+AO636+AO630+AO623+AO618</f>
        <v>612189.16249999998</v>
      </c>
      <c r="AQ667" s="43">
        <f>AQ666+AQ664+AQ651+AQ646+AQ636+AQ630+AQ623+AQ618</f>
        <v>627195.3473749999</v>
      </c>
      <c r="AS667" s="43">
        <f>AS666+AS664+AS651+AS646+AS636+AS630+AS623+AS618</f>
        <v>642658.09549625008</v>
      </c>
      <c r="AT667" s="43"/>
      <c r="AU667" s="43">
        <f>AU666+AU664+AU651+AU646+AU636+AU630+AU623+AU618</f>
        <v>658591.49455013743</v>
      </c>
      <c r="AW667" s="43">
        <f>AW666+AW664+AW651+AW646+AW636+AW630+AW623+AW618</f>
        <v>675010.07942637161</v>
      </c>
      <c r="AY667" s="43">
        <f>AY666+AY664+AY651+AY646+AY636+AY630+AY623+AY618</f>
        <v>691928.84721504897</v>
      </c>
      <c r="BA667" s="43">
        <f>BA666+BA664+BA651+BA646+BA636+BA630+BA623+BA618</f>
        <v>709363.27275734232</v>
      </c>
      <c r="BC667" s="43">
        <f>BC666+BC664+BC651+BC646+BC636+BC630+BC623+BC618</f>
        <v>727329.32477333443</v>
      </c>
      <c r="BE667" s="43">
        <f>BE666+BE664+BE651+BE646+BE636+BE630+BE623+BE618</f>
        <v>745843.48259168712</v>
      </c>
    </row>
    <row r="668" spans="1:57" ht="15.75" thickTop="1" x14ac:dyDescent="0.25">
      <c r="A668" s="7" t="s">
        <v>184</v>
      </c>
    </row>
    <row r="669" spans="1:57" x14ac:dyDescent="0.25">
      <c r="A669" s="7" t="s">
        <v>185</v>
      </c>
    </row>
    <row r="670" spans="1:57" ht="15.75" thickBot="1" x14ac:dyDescent="0.3">
      <c r="A670" s="3" t="s">
        <v>493</v>
      </c>
      <c r="B670" s="49">
        <v>33100</v>
      </c>
      <c r="C670" s="32"/>
      <c r="D670" s="49">
        <v>216</v>
      </c>
      <c r="E670" s="49">
        <f>F670-D670</f>
        <v>32884</v>
      </c>
      <c r="F670" s="49">
        <v>33100</v>
      </c>
      <c r="G670" s="32"/>
      <c r="H670" s="49">
        <f>F670-B670</f>
        <v>0</v>
      </c>
      <c r="I670" s="36"/>
      <c r="J670" s="49">
        <v>298</v>
      </c>
      <c r="K670" s="49">
        <f>L670-J670</f>
        <v>32802</v>
      </c>
      <c r="L670" s="49">
        <v>33100</v>
      </c>
      <c r="M670" s="32"/>
      <c r="N670" s="49">
        <f>L670-F670</f>
        <v>0</v>
      </c>
      <c r="P670" s="49">
        <v>34500</v>
      </c>
      <c r="R670" s="71">
        <v>303</v>
      </c>
      <c r="S670" s="71">
        <f>T670-R670</f>
        <v>33697</v>
      </c>
      <c r="T670" s="71">
        <v>34000</v>
      </c>
      <c r="U670" s="71">
        <f>T670-P670</f>
        <v>-500</v>
      </c>
      <c r="V670" s="71">
        <v>7649</v>
      </c>
      <c r="W670" s="71">
        <f>Y670-V670</f>
        <v>26351</v>
      </c>
      <c r="X670" s="71"/>
      <c r="Y670" s="71">
        <v>34000</v>
      </c>
      <c r="Z670" s="71">
        <f>Y670-T670</f>
        <v>0</v>
      </c>
      <c r="AC670" s="71">
        <v>20792</v>
      </c>
      <c r="AD670" s="71">
        <f>AE670-AC670</f>
        <v>14208</v>
      </c>
      <c r="AE670" s="71">
        <v>35000</v>
      </c>
      <c r="AF670" s="71">
        <f>AE670-Y670</f>
        <v>1000</v>
      </c>
      <c r="AH670" s="36">
        <f>AE670*1.03</f>
        <v>36050</v>
      </c>
      <c r="AI670" s="32"/>
      <c r="AJ670" s="49">
        <v>1491</v>
      </c>
      <c r="AK670" s="49">
        <f>AL670-AJ670</f>
        <v>34559</v>
      </c>
      <c r="AL670" s="49">
        <v>36050</v>
      </c>
      <c r="AM670" s="49">
        <f>AL670-AH670</f>
        <v>0</v>
      </c>
      <c r="AN670" s="32"/>
      <c r="AO670" s="49">
        <f>AH670*1.03</f>
        <v>37131.5</v>
      </c>
      <c r="AQ670" s="49">
        <f>AO670*1.03</f>
        <v>38245.445</v>
      </c>
      <c r="AS670" s="49">
        <f>AQ670*1.03</f>
        <v>39392.808349999999</v>
      </c>
      <c r="AT670" s="49"/>
      <c r="AU670" s="49">
        <f>AS670*1.03</f>
        <v>40574.5926005</v>
      </c>
      <c r="AW670" s="49">
        <f>AU670*1.03</f>
        <v>41791.830378514998</v>
      </c>
      <c r="AY670" s="49">
        <f>AW670*1.03</f>
        <v>43045.585289870447</v>
      </c>
      <c r="BA670" s="49">
        <f>AY670*1.03</f>
        <v>44336.952848566565</v>
      </c>
      <c r="BC670" s="49">
        <f>BA670*1.03</f>
        <v>45667.061434023562</v>
      </c>
      <c r="BE670" s="49">
        <f>BC670*1.03</f>
        <v>47037.07327704427</v>
      </c>
    </row>
    <row r="671" spans="1:57" ht="15.75" thickTop="1" x14ac:dyDescent="0.25">
      <c r="A671" s="7" t="s">
        <v>190</v>
      </c>
    </row>
    <row r="672" spans="1:57" s="42" customFormat="1" x14ac:dyDescent="0.25">
      <c r="A672" s="7" t="s">
        <v>494</v>
      </c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4"/>
      <c r="N672" s="3"/>
      <c r="O672" s="4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4"/>
      <c r="AH672" s="4"/>
      <c r="AI672" s="4"/>
      <c r="AJ672" s="3"/>
      <c r="AK672" s="3"/>
      <c r="AL672" s="3"/>
      <c r="AM672" s="3"/>
      <c r="AN672" s="4"/>
      <c r="AO672" s="3"/>
      <c r="AP672" s="3"/>
      <c r="AQ672" s="3"/>
      <c r="AR672" s="3"/>
      <c r="AS672" s="3"/>
      <c r="AT672" s="3"/>
      <c r="AU672" s="3"/>
      <c r="AW672" s="3"/>
      <c r="AY672" s="3"/>
      <c r="BA672" s="3"/>
      <c r="BC672" s="3"/>
      <c r="BE672" s="3"/>
    </row>
    <row r="673" spans="1:57" x14ac:dyDescent="0.25">
      <c r="A673" s="7" t="s">
        <v>495</v>
      </c>
      <c r="AD673" s="3">
        <f>AE673-AC673</f>
        <v>0</v>
      </c>
      <c r="AE673" s="3"/>
      <c r="AF673" s="3">
        <f>AE673-Y673</f>
        <v>0</v>
      </c>
    </row>
    <row r="674" spans="1:57" x14ac:dyDescent="0.25">
      <c r="A674" s="3" t="s">
        <v>496</v>
      </c>
      <c r="B674" s="3">
        <f>87000-12500</f>
        <v>74500</v>
      </c>
      <c r="D674" s="3">
        <v>19210</v>
      </c>
      <c r="E674" s="3">
        <f>F674-D674</f>
        <v>53790</v>
      </c>
      <c r="F674" s="5">
        <v>73000</v>
      </c>
      <c r="H674" s="5">
        <f>F674-B674</f>
        <v>-1500</v>
      </c>
      <c r="J674" s="3">
        <v>31558</v>
      </c>
      <c r="K674" s="4">
        <f>L674-J674</f>
        <v>41442</v>
      </c>
      <c r="L674" s="4">
        <v>73000</v>
      </c>
      <c r="N674" s="4">
        <f>L674-F674</f>
        <v>0</v>
      </c>
      <c r="P674" s="3">
        <f>B674*1.03+65+4000-2000</f>
        <v>78800</v>
      </c>
      <c r="Q674" s="3"/>
      <c r="R674" s="3">
        <v>20634</v>
      </c>
      <c r="S674" s="3">
        <f>T674-R674</f>
        <v>58166</v>
      </c>
      <c r="T674" s="3">
        <v>78800</v>
      </c>
      <c r="U674" s="3">
        <f>T674-P674</f>
        <v>0</v>
      </c>
      <c r="V674" s="3">
        <v>47750</v>
      </c>
      <c r="W674" s="3">
        <f>Y674-V674</f>
        <v>31050</v>
      </c>
      <c r="X674" s="3"/>
      <c r="Y674" s="3">
        <v>78800</v>
      </c>
      <c r="Z674" s="3">
        <f>Y674-T674</f>
        <v>0</v>
      </c>
      <c r="AA674" s="3"/>
      <c r="AB674" s="3"/>
      <c r="AC674" s="3">
        <v>68985</v>
      </c>
      <c r="AD674" s="3">
        <f>AE674-AC674</f>
        <v>14815</v>
      </c>
      <c r="AE674" s="3">
        <v>83800</v>
      </c>
      <c r="AF674" s="3">
        <f>AE674-Y674</f>
        <v>5000</v>
      </c>
      <c r="AG674" s="4"/>
      <c r="AH674" s="4">
        <f>P674*1.03-14</f>
        <v>81150</v>
      </c>
      <c r="AJ674" s="5">
        <v>25737</v>
      </c>
      <c r="AK674" s="3">
        <f>AL674-AJ674</f>
        <v>55413</v>
      </c>
      <c r="AL674" s="5">
        <v>81150</v>
      </c>
      <c r="AM674" s="3">
        <f>AL674-AH674</f>
        <v>0</v>
      </c>
      <c r="AO674" s="5">
        <f>AH674*1.03</f>
        <v>83584.5</v>
      </c>
      <c r="AQ674" s="5">
        <f>AO674*1.03</f>
        <v>86092.035000000003</v>
      </c>
      <c r="AS674" s="5">
        <f>AQ674*1.03</f>
        <v>88674.796050000004</v>
      </c>
      <c r="AU674" s="5">
        <f>AS674*1.03</f>
        <v>91335.03993150001</v>
      </c>
      <c r="AW674" s="5">
        <f>AU674*1.03</f>
        <v>94075.09112944502</v>
      </c>
      <c r="AY674" s="5">
        <f>AW674*1.035</f>
        <v>97367.719318975593</v>
      </c>
      <c r="BA674" s="5">
        <f>AY674*1.035</f>
        <v>100775.58949513973</v>
      </c>
      <c r="BC674" s="5">
        <f>BA674*1.035</f>
        <v>104302.73512746961</v>
      </c>
      <c r="BE674" s="5">
        <f>BC674*1.035</f>
        <v>107953.33085693105</v>
      </c>
    </row>
    <row r="675" spans="1:57" x14ac:dyDescent="0.25">
      <c r="A675" s="3" t="s">
        <v>497</v>
      </c>
      <c r="B675" s="3"/>
      <c r="D675" s="3"/>
      <c r="E675" s="3"/>
      <c r="J675" s="3"/>
      <c r="K675" s="4">
        <f>L675-J675</f>
        <v>16000</v>
      </c>
      <c r="L675" s="4">
        <v>16000</v>
      </c>
      <c r="N675" s="4">
        <f>L675-F675</f>
        <v>16000</v>
      </c>
      <c r="P675" s="3"/>
      <c r="Q675" s="3"/>
      <c r="R675" s="3"/>
      <c r="S675" s="3">
        <f>T675-R675</f>
        <v>0</v>
      </c>
      <c r="T675" s="3"/>
      <c r="U675" s="3">
        <f>T675-P675</f>
        <v>0</v>
      </c>
      <c r="V675" s="3"/>
      <c r="W675" s="3">
        <f>Y675-V675</f>
        <v>0</v>
      </c>
      <c r="X675" s="3"/>
      <c r="Y675" s="3"/>
      <c r="Z675" s="3">
        <f>Y675-T675</f>
        <v>0</v>
      </c>
      <c r="AA675" s="3"/>
      <c r="AB675" s="3"/>
      <c r="AC675" s="3"/>
      <c r="AD675" s="3">
        <f>AE675-AC675</f>
        <v>0</v>
      </c>
      <c r="AE675" s="3"/>
      <c r="AF675" s="3">
        <f>AE675-Y675</f>
        <v>0</v>
      </c>
      <c r="AG675" s="4"/>
      <c r="AH675" s="4"/>
      <c r="AK675" s="3">
        <f>AL675-AJ675</f>
        <v>0</v>
      </c>
      <c r="AM675" s="3">
        <f>AL675-AH675</f>
        <v>0</v>
      </c>
    </row>
    <row r="676" spans="1:57" x14ac:dyDescent="0.25">
      <c r="A676" s="3" t="s">
        <v>498</v>
      </c>
      <c r="B676" s="3">
        <v>51550</v>
      </c>
      <c r="D676" s="3">
        <v>7881</v>
      </c>
      <c r="E676" s="3">
        <f>F676-D676</f>
        <v>43669</v>
      </c>
      <c r="F676" s="5">
        <v>51550</v>
      </c>
      <c r="H676" s="5">
        <f>F676-B676</f>
        <v>0</v>
      </c>
      <c r="J676" s="3">
        <v>68002</v>
      </c>
      <c r="K676" s="4">
        <f>L676-J676</f>
        <v>-16452</v>
      </c>
      <c r="L676" s="4">
        <v>51550</v>
      </c>
      <c r="N676" s="4">
        <f>L676-F676</f>
        <v>0</v>
      </c>
      <c r="P676" s="3">
        <v>60840</v>
      </c>
      <c r="Q676" s="3"/>
      <c r="R676" s="3"/>
      <c r="S676" s="3">
        <f>T676-R676</f>
        <v>60840</v>
      </c>
      <c r="T676" s="3">
        <v>60840</v>
      </c>
      <c r="U676" s="3">
        <f>T676-P676</f>
        <v>0</v>
      </c>
      <c r="V676" s="3">
        <v>37446</v>
      </c>
      <c r="W676" s="3">
        <f>Y676-V676</f>
        <v>13394</v>
      </c>
      <c r="X676" s="3"/>
      <c r="Y676" s="3">
        <v>50840</v>
      </c>
      <c r="Z676" s="3">
        <f>Y676-T676</f>
        <v>-10000</v>
      </c>
      <c r="AA676" s="3"/>
      <c r="AB676" s="3"/>
      <c r="AC676" s="3">
        <v>37447</v>
      </c>
      <c r="AD676" s="3">
        <f>AE676-AC676</f>
        <v>2553</v>
      </c>
      <c r="AE676" s="3">
        <v>40000</v>
      </c>
      <c r="AF676" s="3">
        <f>AE676-Y676</f>
        <v>-10840</v>
      </c>
      <c r="AG676" s="4"/>
      <c r="AH676" s="4">
        <v>62520</v>
      </c>
      <c r="AJ676" s="3"/>
      <c r="AK676" s="3">
        <f>AL676-AJ676</f>
        <v>62520</v>
      </c>
      <c r="AL676" s="3">
        <v>62520</v>
      </c>
      <c r="AM676" s="3">
        <f>AL676-AH676</f>
        <v>0</v>
      </c>
      <c r="AO676" s="3">
        <v>60370</v>
      </c>
      <c r="AP676" s="3"/>
      <c r="AQ676" s="3">
        <v>65000</v>
      </c>
      <c r="AR676" s="3"/>
      <c r="AS676" s="3">
        <v>65000</v>
      </c>
      <c r="AT676" s="3"/>
      <c r="AU676" s="3">
        <v>65000</v>
      </c>
      <c r="AV676" s="42"/>
      <c r="AW676" s="3">
        <v>65000</v>
      </c>
      <c r="AX676" s="42"/>
      <c r="AY676" s="3">
        <v>70000</v>
      </c>
      <c r="AZ676" s="42"/>
      <c r="BA676" s="3">
        <v>70000</v>
      </c>
      <c r="BB676" s="42"/>
      <c r="BC676" s="3">
        <v>70000</v>
      </c>
      <c r="BE676" s="3">
        <v>70000</v>
      </c>
    </row>
    <row r="677" spans="1:57" x14ac:dyDescent="0.25">
      <c r="A677" s="3"/>
      <c r="B677" s="48">
        <f>SUM(B674:B676)</f>
        <v>126050</v>
      </c>
      <c r="C677" s="32"/>
      <c r="D677" s="48">
        <f>SUM(D674:D676)</f>
        <v>27091</v>
      </c>
      <c r="E677" s="48">
        <f>SUM(E674:E676)</f>
        <v>97459</v>
      </c>
      <c r="F677" s="48">
        <f>SUM(F674:F676)</f>
        <v>124550</v>
      </c>
      <c r="G677" s="32"/>
      <c r="H677" s="48">
        <f>SUM(H674:H676)</f>
        <v>-1500</v>
      </c>
      <c r="I677" s="36"/>
      <c r="J677" s="48">
        <f>SUM(J674:J676)</f>
        <v>99560</v>
      </c>
      <c r="K677" s="48">
        <f>SUM(K674:K676)</f>
        <v>40990</v>
      </c>
      <c r="L677" s="48">
        <f>SUM(L674:L676)</f>
        <v>140550</v>
      </c>
      <c r="M677" s="32"/>
      <c r="N677" s="48">
        <f>SUM(N674:N676)</f>
        <v>16000</v>
      </c>
      <c r="P677" s="48">
        <f>SUM(P674:P676)</f>
        <v>139640</v>
      </c>
      <c r="R677" s="48">
        <f t="shared" ref="R677:Z677" si="455">SUM(R674:R676)</f>
        <v>20634</v>
      </c>
      <c r="S677" s="48">
        <f t="shared" si="455"/>
        <v>119006</v>
      </c>
      <c r="T677" s="48">
        <f t="shared" si="455"/>
        <v>139640</v>
      </c>
      <c r="U677" s="48">
        <f t="shared" si="455"/>
        <v>0</v>
      </c>
      <c r="V677" s="48">
        <f t="shared" si="455"/>
        <v>85196</v>
      </c>
      <c r="W677" s="48">
        <f t="shared" si="455"/>
        <v>44444</v>
      </c>
      <c r="X677" s="48"/>
      <c r="Y677" s="48">
        <f t="shared" si="455"/>
        <v>129640</v>
      </c>
      <c r="Z677" s="48">
        <f t="shared" si="455"/>
        <v>-10000</v>
      </c>
      <c r="AC677" s="48">
        <f>SUM(AC674:AC676)</f>
        <v>106432</v>
      </c>
      <c r="AD677" s="48">
        <f>SUM(AD674:AD676)</f>
        <v>17368</v>
      </c>
      <c r="AE677" s="48">
        <f>SUM(AE674:AE676)</f>
        <v>123800</v>
      </c>
      <c r="AF677" s="48">
        <f>SUM(AF674:AF676)</f>
        <v>-5840</v>
      </c>
      <c r="AH677" s="36">
        <f>SUM(AH674:AH676)</f>
        <v>143670</v>
      </c>
      <c r="AI677" s="32"/>
      <c r="AJ677" s="48">
        <f>SUM(AJ674:AJ676)</f>
        <v>25737</v>
      </c>
      <c r="AK677" s="48">
        <f>SUM(AK674:AK676)</f>
        <v>117933</v>
      </c>
      <c r="AL677" s="48">
        <f>SUM(AL674:AL676)</f>
        <v>143670</v>
      </c>
      <c r="AM677" s="48">
        <f>SUM(AM674:AM676)</f>
        <v>0</v>
      </c>
      <c r="AN677" s="32"/>
      <c r="AO677" s="48">
        <f>SUM(AO674:AO676)</f>
        <v>143954.5</v>
      </c>
      <c r="AQ677" s="48">
        <f>SUM(AQ674:AQ676)</f>
        <v>151092.035</v>
      </c>
      <c r="AS677" s="48">
        <f>SUM(AS674:AS676)</f>
        <v>153674.79605</v>
      </c>
      <c r="AT677" s="48"/>
      <c r="AU677" s="48">
        <f>SUM(AU674:AU676)</f>
        <v>156335.03993150001</v>
      </c>
      <c r="AW677" s="48">
        <f>SUM(AW674:AW676)</f>
        <v>159075.09112944501</v>
      </c>
      <c r="AY677" s="48">
        <f>SUM(AY674:AY676)</f>
        <v>167367.71931897558</v>
      </c>
      <c r="BA677" s="48">
        <f>SUM(BA674:BA676)</f>
        <v>170775.58949513972</v>
      </c>
      <c r="BC677" s="48">
        <f>SUM(BC674:BC676)</f>
        <v>174302.73512746961</v>
      </c>
      <c r="BE677" s="48">
        <f>SUM(BE674:BE676)</f>
        <v>177953.33085693105</v>
      </c>
    </row>
    <row r="678" spans="1:57" x14ac:dyDescent="0.25">
      <c r="A678" s="7" t="s">
        <v>499</v>
      </c>
    </row>
    <row r="679" spans="1:57" x14ac:dyDescent="0.25">
      <c r="A679" s="3" t="s">
        <v>500</v>
      </c>
      <c r="B679" s="3">
        <f>210000-20000</f>
        <v>190000</v>
      </c>
      <c r="D679" s="3">
        <v>95159</v>
      </c>
      <c r="E679" s="3">
        <f>F679-D679</f>
        <v>94841</v>
      </c>
      <c r="F679" s="5">
        <v>190000</v>
      </c>
      <c r="H679" s="5">
        <f>F679-B679</f>
        <v>0</v>
      </c>
      <c r="J679" s="3">
        <v>250326</v>
      </c>
      <c r="K679" s="4">
        <f>L679-J679</f>
        <v>19674</v>
      </c>
      <c r="L679" s="4">
        <v>270000</v>
      </c>
      <c r="N679" s="4">
        <f>L679-F679</f>
        <v>80000</v>
      </c>
      <c r="P679" s="3">
        <f>B679*1.03+1000+16700-13400</f>
        <v>200000</v>
      </c>
      <c r="Q679" s="3"/>
      <c r="R679" s="3">
        <v>98137</v>
      </c>
      <c r="S679" s="3">
        <f>T679-R679</f>
        <v>101863</v>
      </c>
      <c r="T679" s="3">
        <v>200000</v>
      </c>
      <c r="U679" s="3">
        <f>T679-P679</f>
        <v>0</v>
      </c>
      <c r="V679" s="3">
        <v>201037</v>
      </c>
      <c r="W679" s="3">
        <f>Y679-V679</f>
        <v>48963</v>
      </c>
      <c r="X679" s="3"/>
      <c r="Y679" s="3">
        <v>250000</v>
      </c>
      <c r="Z679" s="3">
        <f>Y679-T679</f>
        <v>50000</v>
      </c>
      <c r="AA679" s="3"/>
      <c r="AB679" s="3"/>
      <c r="AC679" s="3">
        <v>249589</v>
      </c>
      <c r="AD679" s="3">
        <f>AE679-AC679</f>
        <v>45411</v>
      </c>
      <c r="AE679" s="3">
        <v>295000</v>
      </c>
      <c r="AF679" s="3">
        <f>AE679-Y679</f>
        <v>45000</v>
      </c>
      <c r="AG679" s="4"/>
      <c r="AH679" s="4">
        <f>P679*1.03</f>
        <v>206000</v>
      </c>
      <c r="AJ679" s="5">
        <v>98997</v>
      </c>
      <c r="AK679" s="3">
        <f>AL679-AJ679</f>
        <v>107003</v>
      </c>
      <c r="AL679" s="5">
        <v>206000</v>
      </c>
      <c r="AM679" s="3">
        <f>AL679-AH679</f>
        <v>0</v>
      </c>
      <c r="AO679" s="5">
        <f>AH679*1.03</f>
        <v>212180</v>
      </c>
      <c r="AQ679" s="5">
        <f>AO679*1.03</f>
        <v>218545.4</v>
      </c>
      <c r="AS679" s="5">
        <f>AQ679*1.03</f>
        <v>225101.76199999999</v>
      </c>
      <c r="AU679" s="5">
        <f>AS679*1.03</f>
        <v>231854.81485999998</v>
      </c>
      <c r="AW679" s="5">
        <f>AU679*1.03</f>
        <v>238810.4593058</v>
      </c>
      <c r="AY679" s="5">
        <f>AW679*1.03</f>
        <v>245974.773084974</v>
      </c>
      <c r="BA679" s="5">
        <f>AY679*1.03</f>
        <v>253354.01627752322</v>
      </c>
      <c r="BC679" s="5">
        <f>BA679*1.03</f>
        <v>260954.63676584893</v>
      </c>
      <c r="BE679" s="5">
        <f>BC679*1.03</f>
        <v>268783.27586882439</v>
      </c>
    </row>
    <row r="680" spans="1:57" x14ac:dyDescent="0.25">
      <c r="A680" s="3" t="s">
        <v>195</v>
      </c>
      <c r="B680" s="3">
        <v>20000</v>
      </c>
      <c r="D680" s="3"/>
      <c r="E680" s="3">
        <f>F680-D680</f>
        <v>20000</v>
      </c>
      <c r="F680" s="5">
        <v>20000</v>
      </c>
      <c r="H680" s="5">
        <f>F680-B680</f>
        <v>0</v>
      </c>
      <c r="J680" s="3"/>
      <c r="K680" s="4">
        <f>L680-J680</f>
        <v>20000</v>
      </c>
      <c r="L680" s="4">
        <v>20000</v>
      </c>
      <c r="N680" s="4">
        <f>L680-F680</f>
        <v>0</v>
      </c>
      <c r="P680" s="3">
        <v>25000</v>
      </c>
      <c r="Q680" s="3"/>
      <c r="R680" s="3"/>
      <c r="S680" s="3">
        <f>T680-R680</f>
        <v>25000</v>
      </c>
      <c r="T680" s="3">
        <v>25000</v>
      </c>
      <c r="U680" s="3">
        <f>T680-P680</f>
        <v>0</v>
      </c>
      <c r="V680" s="3"/>
      <c r="W680" s="3">
        <f>Y680-V680</f>
        <v>25000</v>
      </c>
      <c r="X680" s="3"/>
      <c r="Y680" s="3">
        <v>25000</v>
      </c>
      <c r="Z680" s="3">
        <f>Y680-T680</f>
        <v>0</v>
      </c>
      <c r="AA680" s="3"/>
      <c r="AB680" s="3"/>
      <c r="AC680" s="3">
        <v>0</v>
      </c>
      <c r="AD680" s="3">
        <f>AE680-AC680</f>
        <v>25000</v>
      </c>
      <c r="AE680" s="3">
        <v>25000</v>
      </c>
      <c r="AF680" s="3">
        <f>AE680-Y680</f>
        <v>0</v>
      </c>
      <c r="AG680" s="4"/>
      <c r="AH680" s="4">
        <v>25000</v>
      </c>
      <c r="AJ680" s="3">
        <v>0</v>
      </c>
      <c r="AK680" s="3">
        <f>AL680-AJ680</f>
        <v>25000</v>
      </c>
      <c r="AL680" s="3">
        <v>25000</v>
      </c>
      <c r="AM680" s="3">
        <f>AL680-AH680</f>
        <v>0</v>
      </c>
      <c r="AO680" s="3">
        <v>25000</v>
      </c>
      <c r="AP680" s="3"/>
      <c r="AQ680" s="3">
        <v>25000</v>
      </c>
      <c r="AR680" s="3"/>
      <c r="AS680" s="3">
        <v>25000</v>
      </c>
      <c r="AT680" s="3"/>
      <c r="AU680" s="3">
        <v>25000</v>
      </c>
      <c r="AV680" s="42"/>
      <c r="AW680" s="3">
        <v>25000</v>
      </c>
      <c r="AX680" s="42"/>
      <c r="AY680" s="3">
        <v>21790</v>
      </c>
      <c r="AZ680" s="42"/>
      <c r="BA680" s="3"/>
      <c r="BB680" s="42"/>
      <c r="BC680" s="3"/>
      <c r="BE680" s="3"/>
    </row>
    <row r="681" spans="1:57" x14ac:dyDescent="0.25">
      <c r="A681" s="3" t="s">
        <v>497</v>
      </c>
      <c r="B681" s="3"/>
      <c r="D681" s="3"/>
      <c r="E681" s="3"/>
      <c r="J681" s="3"/>
      <c r="K681" s="4">
        <f>L681-J681</f>
        <v>97450</v>
      </c>
      <c r="L681" s="4">
        <v>97450</v>
      </c>
      <c r="N681" s="4">
        <f>L681-F681</f>
        <v>97450</v>
      </c>
      <c r="P681" s="3"/>
      <c r="Q681" s="3"/>
      <c r="R681" s="3"/>
      <c r="S681" s="3">
        <f>T681-R681</f>
        <v>0</v>
      </c>
      <c r="T681" s="3"/>
      <c r="U681" s="3">
        <f>T681-P681</f>
        <v>0</v>
      </c>
      <c r="V681" s="3"/>
      <c r="W681" s="3">
        <f>Y681-V681</f>
        <v>0</v>
      </c>
      <c r="X681" s="3"/>
      <c r="Y681" s="3"/>
      <c r="Z681" s="3">
        <f>Y681-T681</f>
        <v>0</v>
      </c>
      <c r="AA681" s="3"/>
      <c r="AB681" s="3"/>
      <c r="AC681" s="3"/>
      <c r="AD681" s="3">
        <f>AE681-AC681</f>
        <v>0</v>
      </c>
      <c r="AE681" s="3"/>
      <c r="AF681" s="3">
        <f>AE681-Y681</f>
        <v>0</v>
      </c>
      <c r="AG681" s="4"/>
      <c r="AH681" s="4"/>
      <c r="AJ681" s="3"/>
      <c r="AK681" s="3">
        <f>AL681-AJ681</f>
        <v>0</v>
      </c>
      <c r="AL681" s="3"/>
      <c r="AM681" s="3">
        <f>AL681-AH681</f>
        <v>0</v>
      </c>
      <c r="AO681" s="3"/>
      <c r="AP681" s="3"/>
      <c r="AQ681" s="3"/>
      <c r="AR681" s="3"/>
      <c r="AS681" s="3"/>
      <c r="AT681" s="3"/>
      <c r="AU681" s="3"/>
      <c r="AV681" s="42"/>
      <c r="AW681" s="3"/>
      <c r="AX681" s="42"/>
      <c r="AY681" s="3"/>
      <c r="AZ681" s="42"/>
      <c r="BA681" s="3"/>
      <c r="BB681" s="42"/>
      <c r="BC681" s="3"/>
      <c r="BE681" s="3"/>
    </row>
    <row r="682" spans="1:57" x14ac:dyDescent="0.25">
      <c r="A682" s="3" t="s">
        <v>498</v>
      </c>
      <c r="B682" s="3">
        <v>234150</v>
      </c>
      <c r="D682" s="3">
        <v>3803</v>
      </c>
      <c r="E682" s="3">
        <f>F682-D682</f>
        <v>230347</v>
      </c>
      <c r="F682" s="5">
        <v>234150</v>
      </c>
      <c r="H682" s="5">
        <f>F682-B682</f>
        <v>0</v>
      </c>
      <c r="J682" s="3">
        <v>331601</v>
      </c>
      <c r="K682" s="4">
        <f>L682-J682</f>
        <v>-97451</v>
      </c>
      <c r="L682" s="4">
        <v>234150</v>
      </c>
      <c r="N682" s="4">
        <f>L682-F682</f>
        <v>0</v>
      </c>
      <c r="P682" s="3">
        <v>279900</v>
      </c>
      <c r="Q682" s="3"/>
      <c r="R682" s="3"/>
      <c r="S682" s="3">
        <f>T682-R682</f>
        <v>279900</v>
      </c>
      <c r="T682" s="3">
        <v>279900</v>
      </c>
      <c r="U682" s="3">
        <f>T682-P682</f>
        <v>0</v>
      </c>
      <c r="V682" s="3">
        <v>341934</v>
      </c>
      <c r="W682" s="3">
        <f>Y682-V682</f>
        <v>7966</v>
      </c>
      <c r="X682" s="3"/>
      <c r="Y682" s="3">
        <v>349900</v>
      </c>
      <c r="Z682" s="3">
        <f>Y682-T682</f>
        <v>70000</v>
      </c>
      <c r="AA682" s="3"/>
      <c r="AB682" s="3"/>
      <c r="AC682" s="3">
        <v>341934</v>
      </c>
      <c r="AD682" s="3">
        <f>AE682-AC682</f>
        <v>10066</v>
      </c>
      <c r="AE682" s="3">
        <v>352000</v>
      </c>
      <c r="AF682" s="3">
        <f>AE682-Y682</f>
        <v>2100</v>
      </c>
      <c r="AG682" s="4"/>
      <c r="AH682" s="4">
        <v>314100</v>
      </c>
      <c r="AJ682" s="3">
        <v>0</v>
      </c>
      <c r="AK682" s="3">
        <f>AL682-AJ682</f>
        <v>314100</v>
      </c>
      <c r="AL682" s="3">
        <v>314100</v>
      </c>
      <c r="AM682" s="3">
        <f>AL682-AH682</f>
        <v>0</v>
      </c>
      <c r="AO682" s="3">
        <v>342000</v>
      </c>
      <c r="AP682" s="3"/>
      <c r="AQ682" s="3">
        <v>320000</v>
      </c>
      <c r="AR682" s="3"/>
      <c r="AS682" s="3">
        <v>320000</v>
      </c>
      <c r="AT682" s="3"/>
      <c r="AU682" s="3">
        <v>320000</v>
      </c>
      <c r="AV682" s="42"/>
      <c r="AW682" s="3">
        <v>320000</v>
      </c>
      <c r="AX682" s="42"/>
      <c r="AY682" s="3">
        <v>340000</v>
      </c>
      <c r="AZ682" s="42"/>
      <c r="BA682" s="3">
        <v>340000</v>
      </c>
      <c r="BB682" s="42"/>
      <c r="BC682" s="3">
        <v>340000</v>
      </c>
      <c r="BE682" s="3">
        <v>340000</v>
      </c>
    </row>
    <row r="683" spans="1:57" x14ac:dyDescent="0.25">
      <c r="A683" s="3"/>
      <c r="B683" s="48">
        <f>SUM(B679:B682)</f>
        <v>444150</v>
      </c>
      <c r="C683" s="32"/>
      <c r="D683" s="48">
        <f>SUM(D679:D682)</f>
        <v>98962</v>
      </c>
      <c r="E683" s="48">
        <f>SUM(E679:E682)</f>
        <v>345188</v>
      </c>
      <c r="F683" s="48">
        <f>SUM(F679:F682)</f>
        <v>444150</v>
      </c>
      <c r="G683" s="32"/>
      <c r="H683" s="48">
        <f>SUM(H679:H682)</f>
        <v>0</v>
      </c>
      <c r="I683" s="36"/>
      <c r="J683" s="48">
        <f>SUM(J679:J682)</f>
        <v>581927</v>
      </c>
      <c r="K683" s="48">
        <f>SUM(K679:K682)</f>
        <v>39673</v>
      </c>
      <c r="L683" s="48">
        <f>SUM(L679:L682)</f>
        <v>621600</v>
      </c>
      <c r="M683" s="32"/>
      <c r="N683" s="48">
        <f>SUM(N679:N682)</f>
        <v>177450</v>
      </c>
      <c r="P683" s="48">
        <f>SUM(P679:P682)</f>
        <v>504900</v>
      </c>
      <c r="R683" s="48">
        <f t="shared" ref="R683:Z683" si="456">SUM(R679:R682)</f>
        <v>98137</v>
      </c>
      <c r="S683" s="48">
        <f t="shared" si="456"/>
        <v>406763</v>
      </c>
      <c r="T683" s="48">
        <f t="shared" si="456"/>
        <v>504900</v>
      </c>
      <c r="U683" s="48">
        <f t="shared" si="456"/>
        <v>0</v>
      </c>
      <c r="V683" s="48">
        <f t="shared" si="456"/>
        <v>542971</v>
      </c>
      <c r="W683" s="48">
        <f t="shared" si="456"/>
        <v>81929</v>
      </c>
      <c r="X683" s="48"/>
      <c r="Y683" s="48">
        <f t="shared" si="456"/>
        <v>624900</v>
      </c>
      <c r="Z683" s="48">
        <f t="shared" si="456"/>
        <v>120000</v>
      </c>
      <c r="AC683" s="48">
        <f>SUM(AC679:AC682)</f>
        <v>591523</v>
      </c>
      <c r="AD683" s="48">
        <f>SUM(AD679:AD682)</f>
        <v>80477</v>
      </c>
      <c r="AE683" s="48">
        <f>SUM(AE679:AE682)</f>
        <v>672000</v>
      </c>
      <c r="AF683" s="48">
        <f>SUM(AF679:AF682)</f>
        <v>47100</v>
      </c>
      <c r="AH683" s="36">
        <f>SUM(AH679:AH682)</f>
        <v>545100</v>
      </c>
      <c r="AI683" s="32"/>
      <c r="AJ683" s="48">
        <f>SUM(AJ679:AJ682)</f>
        <v>98997</v>
      </c>
      <c r="AK683" s="48">
        <f>SUM(AK679:AK682)</f>
        <v>446103</v>
      </c>
      <c r="AL683" s="48">
        <f>SUM(AL679:AL682)</f>
        <v>545100</v>
      </c>
      <c r="AM683" s="48">
        <f>SUM(AM679:AM682)</f>
        <v>0</v>
      </c>
      <c r="AN683" s="32"/>
      <c r="AO683" s="48">
        <f>SUM(AO679:AO682)</f>
        <v>579180</v>
      </c>
      <c r="AQ683" s="48">
        <f>SUM(AQ679:AQ682)</f>
        <v>563545.4</v>
      </c>
      <c r="AS683" s="48">
        <f>SUM(AS679:AS682)</f>
        <v>570101.76199999999</v>
      </c>
      <c r="AT683" s="48"/>
      <c r="AU683" s="48">
        <f>SUM(AU679:AU682)</f>
        <v>576854.81486000004</v>
      </c>
      <c r="AW683" s="48">
        <f>SUM(AW679:AW682)</f>
        <v>583810.45930580003</v>
      </c>
      <c r="AY683" s="48">
        <f>SUM(AY679:AY682)</f>
        <v>607764.77308497403</v>
      </c>
      <c r="BA683" s="48">
        <f>SUM(BA679:BA682)</f>
        <v>593354.01627752325</v>
      </c>
      <c r="BC683" s="48">
        <f>SUM(BC679:BC682)</f>
        <v>600954.63676584896</v>
      </c>
      <c r="BE683" s="48">
        <f>SUM(BE679:BE682)</f>
        <v>608783.27586882445</v>
      </c>
    </row>
    <row r="684" spans="1:57" x14ac:dyDescent="0.25">
      <c r="A684" s="7" t="s">
        <v>501</v>
      </c>
    </row>
    <row r="685" spans="1:57" x14ac:dyDescent="0.25">
      <c r="A685" s="3" t="s">
        <v>502</v>
      </c>
      <c r="B685" s="3">
        <f>192500-15000</f>
        <v>177500</v>
      </c>
      <c r="D685" s="3">
        <v>18040</v>
      </c>
      <c r="E685" s="3">
        <f>F685-D685</f>
        <v>154460</v>
      </c>
      <c r="F685" s="5">
        <v>172500</v>
      </c>
      <c r="H685" s="5">
        <f>F685-B685</f>
        <v>-5000</v>
      </c>
      <c r="J685" s="3">
        <v>87399</v>
      </c>
      <c r="K685" s="4">
        <f>L685-J685</f>
        <v>85101</v>
      </c>
      <c r="L685" s="4">
        <v>172500</v>
      </c>
      <c r="N685" s="4">
        <f>L685-F685</f>
        <v>0</v>
      </c>
      <c r="P685" s="3">
        <f>B685*1.03+1125+17000-10950</f>
        <v>190000</v>
      </c>
      <c r="Q685" s="3"/>
      <c r="R685" s="3">
        <v>97351</v>
      </c>
      <c r="S685" s="3">
        <f>T685-R685</f>
        <v>92649</v>
      </c>
      <c r="T685" s="3">
        <v>190000</v>
      </c>
      <c r="U685" s="3">
        <f>T685-P685</f>
        <v>0</v>
      </c>
      <c r="V685" s="3">
        <v>119275</v>
      </c>
      <c r="W685" s="3">
        <f>Y685-V685</f>
        <v>70725</v>
      </c>
      <c r="X685" s="3"/>
      <c r="Y685" s="3">
        <v>190000</v>
      </c>
      <c r="Z685" s="3">
        <f>Y685-T685</f>
        <v>0</v>
      </c>
      <c r="AA685" s="3"/>
      <c r="AB685" s="3"/>
      <c r="AC685" s="3">
        <v>136766</v>
      </c>
      <c r="AD685" s="3">
        <f>AE685-AC685</f>
        <v>53234</v>
      </c>
      <c r="AE685" s="3">
        <v>190000</v>
      </c>
      <c r="AF685" s="3">
        <f>AE685-Y685</f>
        <v>0</v>
      </c>
      <c r="AG685" s="4"/>
      <c r="AH685" s="4">
        <f>P685*1.03-30000</f>
        <v>165700</v>
      </c>
      <c r="AJ685" s="3">
        <v>58415</v>
      </c>
      <c r="AK685" s="3">
        <f>AL685-AJ685</f>
        <v>107285</v>
      </c>
      <c r="AL685" s="3">
        <v>165700</v>
      </c>
      <c r="AM685" s="3">
        <f>AL685-AH685</f>
        <v>0</v>
      </c>
      <c r="AO685" s="3">
        <f>AH685*1.03</f>
        <v>170671</v>
      </c>
      <c r="AQ685" s="5">
        <f>AO685*1.03</f>
        <v>175791.13</v>
      </c>
      <c r="AS685" s="5">
        <f>AQ685*1.03</f>
        <v>181064.8639</v>
      </c>
      <c r="AU685" s="5">
        <f>AS685*1.03</f>
        <v>186496.809817</v>
      </c>
      <c r="AW685" s="5">
        <f>AU685*1.03</f>
        <v>192091.71411150999</v>
      </c>
      <c r="AY685" s="5">
        <f>AW685*1.03</f>
        <v>197854.46553485529</v>
      </c>
      <c r="BA685" s="5">
        <f>AY685*1.03</f>
        <v>203790.09950090095</v>
      </c>
      <c r="BC685" s="5">
        <f>BA685*1.03</f>
        <v>209903.802485928</v>
      </c>
      <c r="BE685" s="5">
        <f>BC685*1.03</f>
        <v>216200.91656050584</v>
      </c>
    </row>
    <row r="686" spans="1:57" x14ac:dyDescent="0.25">
      <c r="A686" s="3" t="s">
        <v>503</v>
      </c>
      <c r="B686" s="3"/>
      <c r="D686" s="3"/>
      <c r="E686" s="3">
        <f>F686-D686</f>
        <v>0</v>
      </c>
      <c r="H686" s="5">
        <f>F686-B686</f>
        <v>0</v>
      </c>
      <c r="J686" s="3"/>
      <c r="K686" s="4">
        <f>L686-J686</f>
        <v>0</v>
      </c>
      <c r="L686" s="4"/>
      <c r="N686" s="4">
        <f>L686-F686</f>
        <v>0</v>
      </c>
      <c r="P686" s="3"/>
      <c r="Q686" s="3"/>
      <c r="R686" s="3"/>
      <c r="S686" s="3">
        <f>T686-R686</f>
        <v>0</v>
      </c>
      <c r="T686" s="3"/>
      <c r="U686" s="3">
        <f>T686-P686</f>
        <v>0</v>
      </c>
      <c r="V686" s="3"/>
      <c r="W686" s="3">
        <f>Y686-V686</f>
        <v>0</v>
      </c>
      <c r="X686" s="3"/>
      <c r="Y686" s="3"/>
      <c r="Z686" s="3">
        <f>Y686-T686</f>
        <v>0</v>
      </c>
      <c r="AA686" s="3"/>
      <c r="AB686" s="3"/>
      <c r="AC686" s="3"/>
      <c r="AD686" s="3">
        <f>AE686-AC686</f>
        <v>0</v>
      </c>
      <c r="AE686" s="3"/>
      <c r="AF686" s="3">
        <f>AE686-Y686</f>
        <v>0</v>
      </c>
      <c r="AG686" s="4"/>
      <c r="AH686" s="4"/>
      <c r="AJ686" s="3"/>
      <c r="AK686" s="3">
        <f>AL686-AJ686</f>
        <v>0</v>
      </c>
      <c r="AL686" s="3"/>
      <c r="AM686" s="3">
        <f>AL686-AH686</f>
        <v>0</v>
      </c>
      <c r="AO686" s="3"/>
    </row>
    <row r="687" spans="1:57" x14ac:dyDescent="0.25">
      <c r="A687" s="3" t="s">
        <v>504</v>
      </c>
      <c r="B687" s="3">
        <v>60000</v>
      </c>
      <c r="D687" s="3">
        <v>5120</v>
      </c>
      <c r="E687" s="3">
        <f>F687-D687</f>
        <v>54880</v>
      </c>
      <c r="F687" s="5">
        <v>60000</v>
      </c>
      <c r="H687" s="5">
        <f>F687-B687</f>
        <v>0</v>
      </c>
      <c r="J687" s="3">
        <v>31193</v>
      </c>
      <c r="K687" s="4">
        <f>L687-J687</f>
        <v>28807</v>
      </c>
      <c r="L687" s="4">
        <v>60000</v>
      </c>
      <c r="N687" s="4">
        <f>L687-F687</f>
        <v>0</v>
      </c>
      <c r="P687" s="3">
        <v>120000</v>
      </c>
      <c r="Q687" s="3"/>
      <c r="R687" s="3"/>
      <c r="S687" s="3">
        <f>T687-R687</f>
        <v>120000</v>
      </c>
      <c r="T687" s="3">
        <v>120000</v>
      </c>
      <c r="U687" s="3">
        <f>T687-P687</f>
        <v>0</v>
      </c>
      <c r="V687" s="3">
        <v>0</v>
      </c>
      <c r="W687" s="3">
        <f>Y687-V687</f>
        <v>120000</v>
      </c>
      <c r="X687" s="3"/>
      <c r="Y687" s="3">
        <v>120000</v>
      </c>
      <c r="Z687" s="3">
        <f>Y687-T687</f>
        <v>0</v>
      </c>
      <c r="AA687" s="3"/>
      <c r="AB687" s="3"/>
      <c r="AC687" s="3"/>
      <c r="AD687" s="3">
        <f>AE687-AC687</f>
        <v>50000</v>
      </c>
      <c r="AE687" s="3">
        <v>50000</v>
      </c>
      <c r="AF687" s="3">
        <f>AE687-Y687</f>
        <v>-70000</v>
      </c>
      <c r="AG687" s="4"/>
      <c r="AH687" s="4">
        <v>70000</v>
      </c>
      <c r="AJ687" s="3"/>
      <c r="AK687" s="3">
        <f>AL687-AJ687</f>
        <v>70000</v>
      </c>
      <c r="AL687" s="3">
        <v>70000</v>
      </c>
      <c r="AM687" s="3">
        <f>AL687-AH687</f>
        <v>0</v>
      </c>
      <c r="AO687" s="3">
        <v>40000</v>
      </c>
      <c r="AP687" s="3"/>
      <c r="AQ687" s="3">
        <v>40000</v>
      </c>
      <c r="AR687" s="3"/>
      <c r="AS687" s="3">
        <v>40000</v>
      </c>
      <c r="AT687" s="3"/>
      <c r="AU687" s="3">
        <v>40000</v>
      </c>
      <c r="AV687" s="42"/>
      <c r="AW687" s="3">
        <v>60000</v>
      </c>
      <c r="AX687" s="42"/>
      <c r="AY687" s="3">
        <v>80000</v>
      </c>
      <c r="AZ687" s="42"/>
      <c r="BA687" s="3">
        <v>80000</v>
      </c>
      <c r="BB687" s="42"/>
      <c r="BC687" s="3">
        <v>80000</v>
      </c>
      <c r="BE687" s="3">
        <v>80000</v>
      </c>
    </row>
    <row r="688" spans="1:57" x14ac:dyDescent="0.25">
      <c r="A688" s="3"/>
      <c r="B688" s="48">
        <f>SUM(B685:B687)</f>
        <v>237500</v>
      </c>
      <c r="C688" s="32"/>
      <c r="D688" s="48">
        <f>SUM(D685:D687)</f>
        <v>23160</v>
      </c>
      <c r="E688" s="48">
        <f>SUM(E685:E687)</f>
        <v>209340</v>
      </c>
      <c r="F688" s="48">
        <f>SUM(F685:F687)</f>
        <v>232500</v>
      </c>
      <c r="G688" s="32"/>
      <c r="H688" s="48">
        <f>SUM(H685:H687)</f>
        <v>-5000</v>
      </c>
      <c r="I688" s="36"/>
      <c r="J688" s="48">
        <f>SUM(J686:J687)</f>
        <v>31193</v>
      </c>
      <c r="K688" s="48">
        <f>SUM(K685:K687)</f>
        <v>113908</v>
      </c>
      <c r="L688" s="48">
        <f>SUM(L685:L687)</f>
        <v>232500</v>
      </c>
      <c r="M688" s="32"/>
      <c r="N688" s="48">
        <f>SUM(N685:N687)</f>
        <v>0</v>
      </c>
      <c r="P688" s="48">
        <f>SUM(P685:P687)</f>
        <v>310000</v>
      </c>
      <c r="R688" s="48">
        <f t="shared" ref="R688:Z688" si="457">SUM(R685:R687)</f>
        <v>97351</v>
      </c>
      <c r="S688" s="48">
        <f t="shared" si="457"/>
        <v>212649</v>
      </c>
      <c r="T688" s="48">
        <f t="shared" si="457"/>
        <v>310000</v>
      </c>
      <c r="U688" s="48">
        <f t="shared" si="457"/>
        <v>0</v>
      </c>
      <c r="V688" s="48">
        <f t="shared" si="457"/>
        <v>119275</v>
      </c>
      <c r="W688" s="48">
        <f t="shared" si="457"/>
        <v>190725</v>
      </c>
      <c r="X688" s="48"/>
      <c r="Y688" s="48">
        <f t="shared" si="457"/>
        <v>310000</v>
      </c>
      <c r="Z688" s="48">
        <f t="shared" si="457"/>
        <v>0</v>
      </c>
      <c r="AC688" s="48">
        <f>SUM(AC685:AC687)</f>
        <v>136766</v>
      </c>
      <c r="AD688" s="48">
        <f>SUM(AD685:AD687)</f>
        <v>103234</v>
      </c>
      <c r="AE688" s="48">
        <f>SUM(AE685:AE687)</f>
        <v>240000</v>
      </c>
      <c r="AF688" s="48">
        <f>SUM(AF685:AF687)</f>
        <v>-70000</v>
      </c>
      <c r="AH688" s="36">
        <f>SUM(AH685:AH687)</f>
        <v>235700</v>
      </c>
      <c r="AI688" s="32"/>
      <c r="AJ688" s="48">
        <f>SUM(AJ685:AJ687)</f>
        <v>58415</v>
      </c>
      <c r="AK688" s="48">
        <f>SUM(AK685:AK687)</f>
        <v>177285</v>
      </c>
      <c r="AL688" s="48">
        <f>SUM(AL685:AL687)</f>
        <v>235700</v>
      </c>
      <c r="AM688" s="48">
        <f>SUM(AM685:AM687)</f>
        <v>0</v>
      </c>
      <c r="AN688" s="32"/>
      <c r="AO688" s="48">
        <f>SUM(AO685:AO687)</f>
        <v>210671</v>
      </c>
      <c r="AP688" s="32"/>
      <c r="AQ688" s="48">
        <f>SUM(AQ685:AQ687)</f>
        <v>215791.13</v>
      </c>
      <c r="AS688" s="48">
        <f>SUM(AS685:AS687)</f>
        <v>221064.8639</v>
      </c>
      <c r="AT688" s="48"/>
      <c r="AU688" s="48">
        <f>SUM(AU685:AU687)</f>
        <v>226496.809817</v>
      </c>
      <c r="AW688" s="48">
        <f>SUM(AW685:AW687)</f>
        <v>252091.71411150999</v>
      </c>
      <c r="AY688" s="48">
        <f>SUM(AY685:AY687)</f>
        <v>277854.46553485526</v>
      </c>
      <c r="BA688" s="48">
        <f>SUM(BA685:BA687)</f>
        <v>283790.09950090095</v>
      </c>
      <c r="BC688" s="48">
        <f>SUM(BC685:BC687)</f>
        <v>289903.802485928</v>
      </c>
      <c r="BE688" s="48">
        <f>SUM(BE685:BE687)</f>
        <v>296200.91656050587</v>
      </c>
    </row>
    <row r="689" spans="1:57" x14ac:dyDescent="0.25">
      <c r="A689" s="7" t="s">
        <v>201</v>
      </c>
    </row>
    <row r="690" spans="1:57" x14ac:dyDescent="0.25">
      <c r="A690" s="3" t="s">
        <v>202</v>
      </c>
      <c r="Z690" s="3">
        <f>Y690-T690</f>
        <v>0</v>
      </c>
      <c r="AK690" s="3">
        <f>AL690-AJ690</f>
        <v>0</v>
      </c>
      <c r="AM690" s="3">
        <f>AL690-AH690</f>
        <v>0</v>
      </c>
    </row>
    <row r="691" spans="1:57" x14ac:dyDescent="0.25">
      <c r="A691" s="3" t="s">
        <v>201</v>
      </c>
      <c r="B691" s="3">
        <v>45000</v>
      </c>
      <c r="D691" s="3">
        <f>431+2320</f>
        <v>2751</v>
      </c>
      <c r="E691" s="3">
        <f>F691-D691</f>
        <v>37249</v>
      </c>
      <c r="F691" s="5">
        <v>40000</v>
      </c>
      <c r="H691" s="5">
        <f>F691-B691</f>
        <v>-5000</v>
      </c>
      <c r="J691" s="3">
        <v>6738</v>
      </c>
      <c r="K691" s="4">
        <f>L691-J691</f>
        <v>23262</v>
      </c>
      <c r="L691" s="4">
        <v>30000</v>
      </c>
      <c r="N691" s="4">
        <f>L691-F691</f>
        <v>-10000</v>
      </c>
      <c r="P691" s="5">
        <f>B691*1.03+2500+6000-3650</f>
        <v>51200</v>
      </c>
      <c r="R691" s="5">
        <v>26518</v>
      </c>
      <c r="S691" s="3">
        <f>T691-R691</f>
        <v>24682</v>
      </c>
      <c r="T691" s="3">
        <v>51200</v>
      </c>
      <c r="U691" s="3">
        <f>T691-P691</f>
        <v>0</v>
      </c>
      <c r="V691" s="5">
        <f>19578+7124</f>
        <v>26702</v>
      </c>
      <c r="W691" s="3">
        <f>Y691-V691</f>
        <v>24498</v>
      </c>
      <c r="X691" s="3"/>
      <c r="Y691" s="5">
        <v>51200</v>
      </c>
      <c r="Z691" s="3">
        <f>Y691-T691</f>
        <v>0</v>
      </c>
      <c r="AC691" s="5">
        <v>27351</v>
      </c>
      <c r="AD691" s="3">
        <f>AE691-AC691</f>
        <v>23849</v>
      </c>
      <c r="AE691" s="3">
        <v>51200</v>
      </c>
      <c r="AF691" s="3">
        <f>AE691-Y691</f>
        <v>0</v>
      </c>
      <c r="AH691" s="4">
        <f>P691*1.03-36</f>
        <v>52700</v>
      </c>
      <c r="AJ691" s="5">
        <f>213+11967</f>
        <v>12180</v>
      </c>
      <c r="AK691" s="3">
        <f>AL691-AJ691</f>
        <v>40520</v>
      </c>
      <c r="AL691" s="5">
        <v>52700</v>
      </c>
      <c r="AM691" s="3">
        <f>AL691-AH691</f>
        <v>0</v>
      </c>
      <c r="AO691" s="5">
        <f>AH691*1.03</f>
        <v>54281</v>
      </c>
      <c r="AQ691" s="5">
        <f>AO691*1.03</f>
        <v>55909.43</v>
      </c>
      <c r="AS691" s="5">
        <f>AQ691*1.03</f>
        <v>57586.712899999999</v>
      </c>
      <c r="AU691" s="5">
        <f>AS691*1.03</f>
        <v>59314.314287000001</v>
      </c>
      <c r="AW691" s="5">
        <f>AU691*1.03</f>
        <v>61093.743715610006</v>
      </c>
      <c r="AY691" s="5">
        <f>AW691*1.03</f>
        <v>62926.55602707831</v>
      </c>
      <c r="BA691" s="5">
        <f>AY691*1.03</f>
        <v>64814.352707890663</v>
      </c>
      <c r="BC691" s="5">
        <f>BA691*1.03</f>
        <v>66758.783289127387</v>
      </c>
      <c r="BE691" s="5">
        <f>BC691*1.03</f>
        <v>68761.546787801213</v>
      </c>
    </row>
    <row r="692" spans="1:57" x14ac:dyDescent="0.25">
      <c r="A692" s="3"/>
      <c r="B692" s="48">
        <f>SUM(B690:B691)</f>
        <v>45000</v>
      </c>
      <c r="C692" s="32"/>
      <c r="D692" s="48">
        <f>SUM(D690:D691)</f>
        <v>2751</v>
      </c>
      <c r="E692" s="48">
        <f>SUM(E690:E691)</f>
        <v>37249</v>
      </c>
      <c r="F692" s="48">
        <f>SUM(F690:F691)</f>
        <v>40000</v>
      </c>
      <c r="G692" s="32"/>
      <c r="H692" s="48">
        <f>SUM(H690:H691)</f>
        <v>-5000</v>
      </c>
      <c r="I692" s="36"/>
      <c r="J692" s="48">
        <f>SUM(J690:J691)</f>
        <v>6738</v>
      </c>
      <c r="K692" s="48">
        <f>SUM(K690:K691)</f>
        <v>23262</v>
      </c>
      <c r="L692" s="48">
        <f>SUM(L690:L691)</f>
        <v>30000</v>
      </c>
      <c r="M692" s="32"/>
      <c r="N692" s="48">
        <f>SUM(N690:N691)</f>
        <v>-10000</v>
      </c>
      <c r="P692" s="48">
        <f>SUM(P690:P691)</f>
        <v>51200</v>
      </c>
      <c r="R692" s="48">
        <f t="shared" ref="R692:Z692" si="458">SUM(R690:R691)</f>
        <v>26518</v>
      </c>
      <c r="S692" s="48">
        <f t="shared" si="458"/>
        <v>24682</v>
      </c>
      <c r="T692" s="48">
        <f t="shared" si="458"/>
        <v>51200</v>
      </c>
      <c r="U692" s="48">
        <f t="shared" si="458"/>
        <v>0</v>
      </c>
      <c r="V692" s="48">
        <f t="shared" si="458"/>
        <v>26702</v>
      </c>
      <c r="W692" s="48">
        <f t="shared" si="458"/>
        <v>24498</v>
      </c>
      <c r="X692" s="48"/>
      <c r="Y692" s="48">
        <f t="shared" si="458"/>
        <v>51200</v>
      </c>
      <c r="Z692" s="48">
        <f t="shared" si="458"/>
        <v>0</v>
      </c>
      <c r="AC692" s="48">
        <f>SUM(AC690:AC691)</f>
        <v>27351</v>
      </c>
      <c r="AD692" s="48">
        <f>SUM(AD690:AD691)</f>
        <v>23849</v>
      </c>
      <c r="AE692" s="48">
        <f>SUM(AE690:AE691)</f>
        <v>51200</v>
      </c>
      <c r="AF692" s="48">
        <f>SUM(AF690:AF691)</f>
        <v>0</v>
      </c>
      <c r="AH692" s="36">
        <f>SUM(AH690:AH691)</f>
        <v>52700</v>
      </c>
      <c r="AI692" s="32"/>
      <c r="AJ692" s="48">
        <f>SUM(AJ690:AJ691)</f>
        <v>12180</v>
      </c>
      <c r="AK692" s="48">
        <f>SUM(AK690:AK691)</f>
        <v>40520</v>
      </c>
      <c r="AL692" s="48">
        <f>SUM(AL690:AL691)</f>
        <v>52700</v>
      </c>
      <c r="AM692" s="48">
        <f>SUM(AM690:AM691)</f>
        <v>0</v>
      </c>
      <c r="AN692" s="32"/>
      <c r="AO692" s="48">
        <f>SUM(AO690:AO691)</f>
        <v>54281</v>
      </c>
      <c r="AQ692" s="48">
        <f>SUM(AQ690:AQ691)</f>
        <v>55909.43</v>
      </c>
      <c r="AS692" s="48">
        <f>SUM(AS690:AS691)</f>
        <v>57586.712899999999</v>
      </c>
      <c r="AT692" s="48"/>
      <c r="AU692" s="48">
        <f>SUM(AU690:AU691)</f>
        <v>59314.314287000001</v>
      </c>
      <c r="AW692" s="48">
        <f>SUM(AW690:AW691)</f>
        <v>61093.743715610006</v>
      </c>
      <c r="AY692" s="48">
        <f>SUM(AY690:AY691)</f>
        <v>62926.55602707831</v>
      </c>
      <c r="BA692" s="48">
        <f>SUM(BA690:BA691)</f>
        <v>64814.352707890663</v>
      </c>
      <c r="BC692" s="48">
        <f>SUM(BC690:BC691)</f>
        <v>66758.783289127387</v>
      </c>
      <c r="BE692" s="48">
        <f>SUM(BE690:BE691)</f>
        <v>68761.546787801213</v>
      </c>
    </row>
    <row r="693" spans="1:57" x14ac:dyDescent="0.25">
      <c r="A693" s="7" t="s">
        <v>505</v>
      </c>
    </row>
    <row r="694" spans="1:57" s="42" customFormat="1" x14ac:dyDescent="0.25">
      <c r="A694" s="3" t="s">
        <v>90</v>
      </c>
      <c r="B694" s="35">
        <v>350</v>
      </c>
      <c r="C694" s="32"/>
      <c r="D694" s="35">
        <v>1281</v>
      </c>
      <c r="E694" s="35">
        <f>F694-D694</f>
        <v>219</v>
      </c>
      <c r="F694" s="35">
        <v>1500</v>
      </c>
      <c r="G694" s="32"/>
      <c r="H694" s="35">
        <f>F694-B694</f>
        <v>1150</v>
      </c>
      <c r="I694" s="36"/>
      <c r="J694" s="35">
        <v>1281</v>
      </c>
      <c r="K694" s="35">
        <f>L694-J694</f>
        <v>219</v>
      </c>
      <c r="L694" s="35">
        <v>1500</v>
      </c>
      <c r="M694" s="32"/>
      <c r="N694" s="35">
        <f>L694-F694</f>
        <v>0</v>
      </c>
      <c r="O694" s="4"/>
      <c r="P694" s="35">
        <v>380</v>
      </c>
      <c r="Q694" s="3"/>
      <c r="R694" s="71">
        <v>141</v>
      </c>
      <c r="S694" s="71">
        <f>T694-R694</f>
        <v>239</v>
      </c>
      <c r="T694" s="71">
        <v>380</v>
      </c>
      <c r="U694" s="71">
        <f>T694-P694</f>
        <v>0</v>
      </c>
      <c r="V694" s="71">
        <v>141</v>
      </c>
      <c r="W694" s="71">
        <f>Y694-V694</f>
        <v>239</v>
      </c>
      <c r="X694" s="71"/>
      <c r="Y694" s="71">
        <v>380</v>
      </c>
      <c r="Z694" s="71">
        <f>Y694-T694</f>
        <v>0</v>
      </c>
      <c r="AA694" s="3"/>
      <c r="AB694" s="3"/>
      <c r="AC694" s="71">
        <v>141</v>
      </c>
      <c r="AD694" s="71">
        <f>AE694-AC694</f>
        <v>239</v>
      </c>
      <c r="AE694" s="71">
        <v>380</v>
      </c>
      <c r="AF694" s="71">
        <f>AE694-Y694</f>
        <v>0</v>
      </c>
      <c r="AG694" s="4"/>
      <c r="AH694" s="36">
        <v>400</v>
      </c>
      <c r="AI694" s="32"/>
      <c r="AJ694" s="35">
        <v>112</v>
      </c>
      <c r="AK694" s="35">
        <f t="shared" ref="AK694:AK714" si="459">AL694-AJ694</f>
        <v>288</v>
      </c>
      <c r="AL694" s="35">
        <v>400</v>
      </c>
      <c r="AM694" s="35">
        <f t="shared" ref="AM694:AM714" si="460">AL694-AH694</f>
        <v>0</v>
      </c>
      <c r="AN694" s="32"/>
      <c r="AO694" s="35">
        <v>420</v>
      </c>
      <c r="AP694" s="3"/>
      <c r="AQ694" s="35">
        <v>440</v>
      </c>
      <c r="AR694" s="3"/>
      <c r="AS694" s="35">
        <v>460</v>
      </c>
      <c r="AT694" s="35"/>
      <c r="AU694" s="35">
        <v>480</v>
      </c>
      <c r="AW694" s="35">
        <v>500</v>
      </c>
      <c r="AY694" s="35">
        <v>550</v>
      </c>
      <c r="BA694" s="35">
        <v>550</v>
      </c>
      <c r="BC694" s="35">
        <v>550</v>
      </c>
      <c r="BE694" s="35">
        <v>550</v>
      </c>
    </row>
    <row r="695" spans="1:57" x14ac:dyDescent="0.25">
      <c r="A695" s="7" t="s">
        <v>204</v>
      </c>
    </row>
    <row r="696" spans="1:57" x14ac:dyDescent="0.25">
      <c r="A696" s="3" t="s">
        <v>207</v>
      </c>
      <c r="AK696" s="3">
        <f t="shared" si="459"/>
        <v>0</v>
      </c>
      <c r="AM696" s="3">
        <f t="shared" si="460"/>
        <v>0</v>
      </c>
    </row>
    <row r="697" spans="1:57" x14ac:dyDescent="0.25">
      <c r="A697" s="3" t="s">
        <v>506</v>
      </c>
      <c r="AD697" s="3">
        <f t="shared" ref="AD697:AD712" si="461">AE697-AC697</f>
        <v>0</v>
      </c>
      <c r="AE697" s="3"/>
      <c r="AF697" s="3">
        <f t="shared" ref="AF697:AF712" si="462">AE697-Y697</f>
        <v>0</v>
      </c>
      <c r="AK697" s="3">
        <f t="shared" si="459"/>
        <v>0</v>
      </c>
      <c r="AM697" s="3">
        <f t="shared" si="460"/>
        <v>0</v>
      </c>
    </row>
    <row r="698" spans="1:57" x14ac:dyDescent="0.25">
      <c r="A698" s="3" t="s">
        <v>507</v>
      </c>
      <c r="Z698" s="3">
        <f t="shared" ref="Z698:Z712" si="463">Y698-T698</f>
        <v>0</v>
      </c>
      <c r="AD698" s="3">
        <f t="shared" si="461"/>
        <v>0</v>
      </c>
      <c r="AE698" s="3"/>
      <c r="AF698" s="3">
        <f t="shared" si="462"/>
        <v>0</v>
      </c>
      <c r="AK698" s="3">
        <f t="shared" si="459"/>
        <v>0</v>
      </c>
      <c r="AM698" s="3">
        <f t="shared" si="460"/>
        <v>0</v>
      </c>
    </row>
    <row r="699" spans="1:57" x14ac:dyDescent="0.25">
      <c r="A699" s="3" t="s">
        <v>508</v>
      </c>
      <c r="B699" s="3">
        <v>303000</v>
      </c>
      <c r="D699" s="3">
        <v>45765</v>
      </c>
      <c r="E699" s="3">
        <f t="shared" ref="E699:E712" si="464">F699-D699</f>
        <v>224605</v>
      </c>
      <c r="F699" s="5">
        <v>270370</v>
      </c>
      <c r="H699" s="5">
        <f t="shared" ref="H699:H712" si="465">F699-B699</f>
        <v>-32630</v>
      </c>
      <c r="J699" s="3">
        <v>216544</v>
      </c>
      <c r="K699" s="4">
        <f t="shared" ref="K699:K712" si="466">L699-J699</f>
        <v>28736</v>
      </c>
      <c r="L699" s="4">
        <v>245280</v>
      </c>
      <c r="N699" s="4">
        <f t="shared" ref="N699:N712" si="467">L699-F699</f>
        <v>-25090</v>
      </c>
      <c r="P699" s="3">
        <f>P253-P260</f>
        <v>317000</v>
      </c>
      <c r="Q699" s="3"/>
      <c r="R699" s="3">
        <v>85885</v>
      </c>
      <c r="S699" s="3">
        <f t="shared" ref="S699:S712" si="468">T699-R699</f>
        <v>231115</v>
      </c>
      <c r="T699" s="3">
        <v>317000</v>
      </c>
      <c r="U699" s="3">
        <f t="shared" ref="U699:U712" si="469">T699-P699</f>
        <v>0</v>
      </c>
      <c r="V699" s="3">
        <v>166898</v>
      </c>
      <c r="W699" s="3">
        <f t="shared" ref="W699:W712" si="470">Y699-V699</f>
        <v>160752</v>
      </c>
      <c r="X699" s="3"/>
      <c r="Y699" s="3">
        <v>327650</v>
      </c>
      <c r="Z699" s="3">
        <f t="shared" si="463"/>
        <v>10650</v>
      </c>
      <c r="AA699" s="3"/>
      <c r="AB699" s="3"/>
      <c r="AC699" s="3">
        <v>190026</v>
      </c>
      <c r="AD699" s="3">
        <f t="shared" si="461"/>
        <v>115734</v>
      </c>
      <c r="AE699" s="3">
        <f>327650-21890</f>
        <v>305760</v>
      </c>
      <c r="AF699" s="3">
        <f t="shared" si="462"/>
        <v>-21890</v>
      </c>
      <c r="AG699" s="4"/>
      <c r="AH699" s="4">
        <f>AH253-AH260</f>
        <v>324950</v>
      </c>
      <c r="AJ699" s="3">
        <v>68587</v>
      </c>
      <c r="AK699" s="3">
        <f t="shared" si="459"/>
        <v>256363</v>
      </c>
      <c r="AL699" s="3">
        <v>324950</v>
      </c>
      <c r="AM699" s="3">
        <f t="shared" si="460"/>
        <v>0</v>
      </c>
      <c r="AO699" s="3">
        <f>AO253-AO260</f>
        <v>333049.99999999994</v>
      </c>
      <c r="AP699" s="3">
        <f>AP253-AP260</f>
        <v>0</v>
      </c>
      <c r="AQ699" s="3">
        <f>AQ253-AQ260</f>
        <v>341400</v>
      </c>
      <c r="AR699" s="3">
        <f>AR253-AR260</f>
        <v>0</v>
      </c>
      <c r="AS699" s="3">
        <f>AS253-AS260</f>
        <v>349950</v>
      </c>
      <c r="AT699" s="3"/>
      <c r="AU699" s="3">
        <f>AU253-AU260</f>
        <v>358700</v>
      </c>
      <c r="AV699" s="3"/>
      <c r="AW699" s="3">
        <f>AW253-AW260</f>
        <v>367650</v>
      </c>
      <c r="AX699" s="3">
        <f>AX253-AX260</f>
        <v>0</v>
      </c>
      <c r="AY699" s="3">
        <f>AY253-AY260</f>
        <v>376800</v>
      </c>
      <c r="AZ699" s="3">
        <f>AZ253-AZ260</f>
        <v>0</v>
      </c>
      <c r="BA699" s="3">
        <f>BA253-BA260</f>
        <v>386200</v>
      </c>
      <c r="BB699" s="3"/>
      <c r="BC699" s="3">
        <f>BC253-BC260</f>
        <v>395950</v>
      </c>
      <c r="BE699" s="3">
        <f>BE253-BE260</f>
        <v>395950</v>
      </c>
    </row>
    <row r="700" spans="1:57" x14ac:dyDescent="0.25">
      <c r="A700" s="3" t="s">
        <v>509</v>
      </c>
      <c r="B700" s="3"/>
      <c r="D700" s="3"/>
      <c r="E700" s="3">
        <f t="shared" si="464"/>
        <v>0</v>
      </c>
      <c r="J700" s="3"/>
      <c r="K700" s="4">
        <f>L700-J700</f>
        <v>16800</v>
      </c>
      <c r="L700" s="4">
        <v>16800</v>
      </c>
      <c r="N700" s="4">
        <f>L700-F700</f>
        <v>16800</v>
      </c>
      <c r="P700" s="3"/>
      <c r="Q700" s="3"/>
      <c r="R700" s="3"/>
      <c r="S700" s="3">
        <f t="shared" si="468"/>
        <v>0</v>
      </c>
      <c r="T700" s="3"/>
      <c r="U700" s="3">
        <f t="shared" si="469"/>
        <v>0</v>
      </c>
      <c r="V700" s="3"/>
      <c r="W700" s="3">
        <f t="shared" si="470"/>
        <v>31990</v>
      </c>
      <c r="X700" s="3"/>
      <c r="Y700" s="3">
        <v>31990</v>
      </c>
      <c r="Z700" s="3">
        <f t="shared" si="463"/>
        <v>31990</v>
      </c>
      <c r="AA700" s="3"/>
      <c r="AB700" s="3"/>
      <c r="AC700" s="3"/>
      <c r="AD700" s="3">
        <f t="shared" si="461"/>
        <v>31990</v>
      </c>
      <c r="AE700" s="3">
        <f>31990</f>
        <v>31990</v>
      </c>
      <c r="AF700" s="3">
        <f t="shared" si="462"/>
        <v>0</v>
      </c>
      <c r="AG700" s="4"/>
      <c r="AH700" s="4"/>
      <c r="AJ700" s="3">
        <v>109628</v>
      </c>
      <c r="AK700" s="3">
        <f t="shared" si="459"/>
        <v>0</v>
      </c>
      <c r="AL700" s="3">
        <v>109628</v>
      </c>
      <c r="AM700" s="3">
        <f t="shared" si="460"/>
        <v>109628</v>
      </c>
      <c r="AO700" s="3"/>
      <c r="AP700" s="3"/>
      <c r="AQ700" s="3"/>
      <c r="AR700" s="3"/>
      <c r="AS700" s="3"/>
      <c r="AT700" s="3"/>
      <c r="AU700" s="3"/>
      <c r="AV700" s="42"/>
      <c r="AW700" s="3"/>
      <c r="AX700" s="42"/>
      <c r="AY700" s="3"/>
      <c r="AZ700" s="42"/>
      <c r="BA700" s="3"/>
      <c r="BB700" s="42"/>
      <c r="BC700" s="3"/>
      <c r="BE700" s="3"/>
    </row>
    <row r="701" spans="1:57" x14ac:dyDescent="0.25">
      <c r="A701" s="3" t="s">
        <v>508</v>
      </c>
      <c r="B701" s="3"/>
      <c r="D701" s="3"/>
      <c r="E701" s="3">
        <f t="shared" si="464"/>
        <v>0</v>
      </c>
      <c r="H701" s="5">
        <f t="shared" si="465"/>
        <v>0</v>
      </c>
      <c r="J701" s="3"/>
      <c r="K701" s="4">
        <f t="shared" si="466"/>
        <v>0</v>
      </c>
      <c r="L701" s="4"/>
      <c r="N701" s="4">
        <f t="shared" si="467"/>
        <v>0</v>
      </c>
      <c r="P701" s="3"/>
      <c r="Q701" s="3"/>
      <c r="R701" s="3"/>
      <c r="S701" s="3">
        <f t="shared" si="468"/>
        <v>0</v>
      </c>
      <c r="T701" s="3"/>
      <c r="U701" s="3">
        <f t="shared" si="469"/>
        <v>0</v>
      </c>
      <c r="V701" s="3"/>
      <c r="W701" s="3">
        <f t="shared" si="470"/>
        <v>0</v>
      </c>
      <c r="X701" s="3"/>
      <c r="Y701" s="3"/>
      <c r="Z701" s="3">
        <f t="shared" si="463"/>
        <v>0</v>
      </c>
      <c r="AA701" s="3"/>
      <c r="AB701" s="3"/>
      <c r="AC701" s="3"/>
      <c r="AD701" s="3">
        <f t="shared" si="461"/>
        <v>0</v>
      </c>
      <c r="AE701" s="3"/>
      <c r="AF701" s="3">
        <f t="shared" si="462"/>
        <v>0</v>
      </c>
      <c r="AG701" s="4"/>
      <c r="AH701" s="4"/>
      <c r="AJ701" s="3"/>
      <c r="AK701" s="3">
        <f t="shared" si="459"/>
        <v>0</v>
      </c>
      <c r="AL701" s="3"/>
      <c r="AM701" s="3">
        <f t="shared" si="460"/>
        <v>0</v>
      </c>
      <c r="AO701" s="3"/>
      <c r="AP701" s="3"/>
      <c r="AQ701" s="3"/>
      <c r="AR701" s="3"/>
      <c r="AS701" s="3"/>
      <c r="AT701" s="3"/>
      <c r="AU701" s="3"/>
      <c r="AV701" s="42"/>
      <c r="AW701" s="3"/>
      <c r="AX701" s="42"/>
      <c r="AY701" s="3"/>
      <c r="AZ701" s="42"/>
      <c r="BA701" s="3"/>
      <c r="BB701" s="42"/>
      <c r="BC701" s="3"/>
      <c r="BE701" s="3"/>
    </row>
    <row r="702" spans="1:57" x14ac:dyDescent="0.25">
      <c r="A702" s="3" t="s">
        <v>510</v>
      </c>
      <c r="B702" s="3"/>
      <c r="D702" s="3"/>
      <c r="E702" s="3">
        <f t="shared" si="464"/>
        <v>0</v>
      </c>
      <c r="H702" s="5">
        <f t="shared" si="465"/>
        <v>0</v>
      </c>
      <c r="J702" s="3"/>
      <c r="K702" s="4">
        <f t="shared" si="466"/>
        <v>0</v>
      </c>
      <c r="L702" s="4"/>
      <c r="N702" s="4">
        <f t="shared" si="467"/>
        <v>0</v>
      </c>
      <c r="P702" s="3"/>
      <c r="Q702" s="3"/>
      <c r="R702" s="3"/>
      <c r="S702" s="3">
        <f t="shared" si="468"/>
        <v>0</v>
      </c>
      <c r="T702" s="3"/>
      <c r="U702" s="3">
        <f t="shared" si="469"/>
        <v>0</v>
      </c>
      <c r="V702" s="3"/>
      <c r="W702" s="3">
        <f t="shared" si="470"/>
        <v>0</v>
      </c>
      <c r="X702" s="3"/>
      <c r="Y702" s="3"/>
      <c r="Z702" s="3">
        <f t="shared" si="463"/>
        <v>0</v>
      </c>
      <c r="AA702" s="3"/>
      <c r="AB702" s="3"/>
      <c r="AC702" s="3"/>
      <c r="AD702" s="3">
        <f t="shared" si="461"/>
        <v>0</v>
      </c>
      <c r="AE702" s="3"/>
      <c r="AF702" s="3">
        <f t="shared" si="462"/>
        <v>0</v>
      </c>
      <c r="AG702" s="4"/>
      <c r="AH702" s="4"/>
      <c r="AJ702" s="3"/>
      <c r="AK702" s="3">
        <f t="shared" si="459"/>
        <v>0</v>
      </c>
      <c r="AL702" s="3"/>
      <c r="AM702" s="3">
        <f t="shared" si="460"/>
        <v>0</v>
      </c>
      <c r="AO702" s="3"/>
      <c r="AP702" s="3"/>
      <c r="AQ702" s="3"/>
      <c r="AR702" s="3"/>
      <c r="AS702" s="3"/>
      <c r="AT702" s="3"/>
      <c r="AU702" s="3"/>
      <c r="AV702" s="42"/>
      <c r="AW702" s="3"/>
      <c r="AX702" s="42"/>
      <c r="AY702" s="3"/>
      <c r="AZ702" s="42"/>
      <c r="BA702" s="3"/>
      <c r="BB702" s="42"/>
      <c r="BC702" s="3"/>
      <c r="BE702" s="3"/>
    </row>
    <row r="703" spans="1:57" x14ac:dyDescent="0.25">
      <c r="A703" s="3" t="s">
        <v>511</v>
      </c>
      <c r="B703" s="3">
        <v>80000</v>
      </c>
      <c r="D703" s="3"/>
      <c r="E703" s="3">
        <f t="shared" si="464"/>
        <v>66440</v>
      </c>
      <c r="F703" s="5">
        <v>66440</v>
      </c>
      <c r="H703" s="5">
        <f t="shared" si="465"/>
        <v>-13560</v>
      </c>
      <c r="J703" s="3">
        <v>105477</v>
      </c>
      <c r="K703" s="4">
        <f t="shared" si="466"/>
        <v>24243</v>
      </c>
      <c r="L703" s="4">
        <v>129720</v>
      </c>
      <c r="N703" s="4">
        <f t="shared" si="467"/>
        <v>63280</v>
      </c>
      <c r="P703" s="3">
        <f>P706</f>
        <v>67350</v>
      </c>
      <c r="Q703" s="3"/>
      <c r="R703" s="3"/>
      <c r="S703" s="3">
        <f t="shared" si="468"/>
        <v>67350</v>
      </c>
      <c r="T703" s="3">
        <v>67350</v>
      </c>
      <c r="U703" s="3">
        <f t="shared" si="469"/>
        <v>0</v>
      </c>
      <c r="V703" s="3">
        <v>7600</v>
      </c>
      <c r="W703" s="3">
        <f t="shared" si="470"/>
        <v>59750</v>
      </c>
      <c r="X703" s="3"/>
      <c r="Y703" s="3">
        <v>67350</v>
      </c>
      <c r="Z703" s="3">
        <f t="shared" si="463"/>
        <v>0</v>
      </c>
      <c r="AA703" s="3"/>
      <c r="AB703" s="3"/>
      <c r="AC703" s="3">
        <v>53585</v>
      </c>
      <c r="AD703" s="3">
        <f t="shared" si="461"/>
        <v>35655</v>
      </c>
      <c r="AE703" s="3">
        <v>89240</v>
      </c>
      <c r="AF703" s="3">
        <f t="shared" si="462"/>
        <v>21890</v>
      </c>
      <c r="AG703" s="4"/>
      <c r="AH703" s="4">
        <f t="shared" ref="AH703:BC703" si="471">AH706</f>
        <v>69050</v>
      </c>
      <c r="AJ703" s="3"/>
      <c r="AK703" s="3">
        <f t="shared" si="459"/>
        <v>69050</v>
      </c>
      <c r="AL703" s="4">
        <f>AL706</f>
        <v>69050</v>
      </c>
      <c r="AM703" s="3">
        <f t="shared" si="460"/>
        <v>0</v>
      </c>
      <c r="AO703" s="3">
        <f t="shared" si="471"/>
        <v>70800</v>
      </c>
      <c r="AP703" s="3">
        <f t="shared" si="471"/>
        <v>0</v>
      </c>
      <c r="AQ703" s="3">
        <f t="shared" si="471"/>
        <v>72550</v>
      </c>
      <c r="AR703" s="3">
        <f t="shared" si="471"/>
        <v>0</v>
      </c>
      <c r="AS703" s="3">
        <f t="shared" si="471"/>
        <v>74350</v>
      </c>
      <c r="AT703" s="3"/>
      <c r="AU703" s="3">
        <f t="shared" si="471"/>
        <v>76200</v>
      </c>
      <c r="AV703" s="3"/>
      <c r="AW703" s="3">
        <f t="shared" si="471"/>
        <v>78100</v>
      </c>
      <c r="AX703" s="42"/>
      <c r="AY703" s="3">
        <f t="shared" si="471"/>
        <v>80100</v>
      </c>
      <c r="AZ703" s="3">
        <f t="shared" si="471"/>
        <v>0</v>
      </c>
      <c r="BA703" s="3">
        <f t="shared" si="471"/>
        <v>82100</v>
      </c>
      <c r="BB703" s="3"/>
      <c r="BC703" s="3">
        <f t="shared" si="471"/>
        <v>84100</v>
      </c>
      <c r="BE703" s="3">
        <f>BE706</f>
        <v>84100</v>
      </c>
    </row>
    <row r="704" spans="1:57" x14ac:dyDescent="0.25">
      <c r="A704" s="3" t="s">
        <v>512</v>
      </c>
      <c r="B704" s="3"/>
      <c r="D704" s="3">
        <v>38190</v>
      </c>
      <c r="E704" s="3">
        <f t="shared" si="464"/>
        <v>0</v>
      </c>
      <c r="F704" s="5">
        <v>38190</v>
      </c>
      <c r="H704" s="5">
        <f t="shared" si="465"/>
        <v>38190</v>
      </c>
      <c r="K704" s="4">
        <f t="shared" si="466"/>
        <v>0</v>
      </c>
      <c r="L704" s="4"/>
      <c r="N704" s="4">
        <f t="shared" si="467"/>
        <v>-38190</v>
      </c>
      <c r="P704" s="3"/>
      <c r="Q704" s="3"/>
      <c r="R704" s="3"/>
      <c r="S704" s="3">
        <f t="shared" si="468"/>
        <v>0</v>
      </c>
      <c r="T704" s="3"/>
      <c r="U704" s="3">
        <f t="shared" si="469"/>
        <v>0</v>
      </c>
      <c r="V704" s="3"/>
      <c r="W704" s="3">
        <f t="shared" si="470"/>
        <v>0</v>
      </c>
      <c r="X704" s="3"/>
      <c r="Y704" s="3"/>
      <c r="Z704" s="3">
        <f t="shared" si="463"/>
        <v>0</v>
      </c>
      <c r="AA704" s="3"/>
      <c r="AB704" s="3"/>
      <c r="AC704" s="3"/>
      <c r="AD704" s="3">
        <f t="shared" si="461"/>
        <v>0</v>
      </c>
      <c r="AE704" s="3"/>
      <c r="AF704" s="3">
        <f t="shared" si="462"/>
        <v>0</v>
      </c>
      <c r="AG704" s="4"/>
      <c r="AH704" s="4"/>
      <c r="AJ704" s="3"/>
      <c r="AK704" s="3">
        <f t="shared" si="459"/>
        <v>0</v>
      </c>
      <c r="AL704" s="4"/>
      <c r="AM704" s="3">
        <f t="shared" si="460"/>
        <v>0</v>
      </c>
      <c r="AO704" s="3"/>
      <c r="AP704" s="3"/>
      <c r="AQ704" s="3"/>
      <c r="AR704" s="3"/>
      <c r="AS704" s="3"/>
      <c r="AT704" s="3"/>
      <c r="AU704" s="3"/>
      <c r="AV704" s="42"/>
      <c r="AW704" s="3"/>
      <c r="AX704" s="42"/>
      <c r="AY704" s="3"/>
      <c r="AZ704" s="42"/>
      <c r="BA704" s="3"/>
      <c r="BB704" s="42"/>
      <c r="BC704" s="3"/>
      <c r="BE704" s="3"/>
    </row>
    <row r="705" spans="1:57" x14ac:dyDescent="0.25">
      <c r="A705" s="3" t="s">
        <v>513</v>
      </c>
      <c r="B705" s="3"/>
      <c r="D705" s="3"/>
      <c r="E705" s="3">
        <f t="shared" si="464"/>
        <v>0</v>
      </c>
      <c r="H705" s="5">
        <f t="shared" si="465"/>
        <v>0</v>
      </c>
      <c r="K705" s="4">
        <f t="shared" si="466"/>
        <v>0</v>
      </c>
      <c r="L705" s="4"/>
      <c r="N705" s="4">
        <f t="shared" si="467"/>
        <v>0</v>
      </c>
      <c r="P705" s="3"/>
      <c r="Q705" s="3"/>
      <c r="R705" s="3"/>
      <c r="S705" s="3">
        <f t="shared" si="468"/>
        <v>0</v>
      </c>
      <c r="T705" s="3"/>
      <c r="U705" s="3">
        <f t="shared" si="469"/>
        <v>0</v>
      </c>
      <c r="V705" s="3"/>
      <c r="W705" s="3">
        <f t="shared" si="470"/>
        <v>0</v>
      </c>
      <c r="X705" s="3"/>
      <c r="Y705" s="3"/>
      <c r="Z705" s="3">
        <f t="shared" si="463"/>
        <v>0</v>
      </c>
      <c r="AA705" s="3"/>
      <c r="AB705" s="3"/>
      <c r="AC705" s="3"/>
      <c r="AD705" s="3">
        <f t="shared" si="461"/>
        <v>0</v>
      </c>
      <c r="AE705" s="3"/>
      <c r="AF705" s="3">
        <f t="shared" si="462"/>
        <v>0</v>
      </c>
      <c r="AG705" s="4"/>
      <c r="AH705" s="4"/>
      <c r="AJ705" s="3"/>
      <c r="AK705" s="3">
        <f t="shared" si="459"/>
        <v>0</v>
      </c>
      <c r="AL705" s="4"/>
      <c r="AM705" s="3">
        <f t="shared" si="460"/>
        <v>0</v>
      </c>
      <c r="AO705" s="3"/>
      <c r="AP705" s="3"/>
      <c r="AQ705" s="3"/>
      <c r="AR705" s="3"/>
      <c r="AS705" s="3"/>
      <c r="AT705" s="3"/>
      <c r="AU705" s="3"/>
      <c r="AV705" s="42"/>
      <c r="AW705" s="3"/>
      <c r="AX705" s="42"/>
      <c r="AY705" s="3"/>
      <c r="AZ705" s="42"/>
      <c r="BA705" s="3"/>
      <c r="BB705" s="42"/>
      <c r="BC705" s="3"/>
      <c r="BE705" s="3"/>
    </row>
    <row r="706" spans="1:57" x14ac:dyDescent="0.25">
      <c r="A706" s="3" t="s">
        <v>514</v>
      </c>
      <c r="B706" s="3">
        <v>80000</v>
      </c>
      <c r="D706" s="3">
        <v>43324</v>
      </c>
      <c r="E706" s="3">
        <f t="shared" si="464"/>
        <v>21676</v>
      </c>
      <c r="F706" s="5">
        <v>65000</v>
      </c>
      <c r="H706" s="5">
        <f t="shared" si="465"/>
        <v>-15000</v>
      </c>
      <c r="K706" s="4">
        <f t="shared" si="466"/>
        <v>65000</v>
      </c>
      <c r="L706" s="4">
        <v>65000</v>
      </c>
      <c r="N706" s="4">
        <f t="shared" si="467"/>
        <v>0</v>
      </c>
      <c r="P706" s="3">
        <f>P260</f>
        <v>67350</v>
      </c>
      <c r="Q706" s="3"/>
      <c r="R706" s="3"/>
      <c r="S706" s="3">
        <f t="shared" si="468"/>
        <v>67350</v>
      </c>
      <c r="T706" s="3">
        <v>67350</v>
      </c>
      <c r="U706" s="3">
        <f t="shared" si="469"/>
        <v>0</v>
      </c>
      <c r="V706" s="3">
        <v>7600</v>
      </c>
      <c r="W706" s="3">
        <f t="shared" si="470"/>
        <v>59750</v>
      </c>
      <c r="X706" s="3"/>
      <c r="Y706" s="3">
        <v>67350</v>
      </c>
      <c r="Z706" s="3">
        <f t="shared" si="463"/>
        <v>0</v>
      </c>
      <c r="AA706" s="3"/>
      <c r="AB706" s="3"/>
      <c r="AC706" s="3">
        <v>53585</v>
      </c>
      <c r="AD706" s="3">
        <f t="shared" si="461"/>
        <v>13765</v>
      </c>
      <c r="AE706" s="3">
        <v>67350</v>
      </c>
      <c r="AF706" s="3">
        <f t="shared" si="462"/>
        <v>0</v>
      </c>
      <c r="AG706" s="4"/>
      <c r="AH706" s="4">
        <f>AH260</f>
        <v>69050</v>
      </c>
      <c r="AJ706" s="3"/>
      <c r="AK706" s="3">
        <f t="shared" si="459"/>
        <v>69050</v>
      </c>
      <c r="AL706" s="4">
        <f>AL260</f>
        <v>69050</v>
      </c>
      <c r="AM706" s="3">
        <f t="shared" si="460"/>
        <v>0</v>
      </c>
      <c r="AO706" s="3">
        <f>AO260</f>
        <v>70800</v>
      </c>
      <c r="AP706" s="3"/>
      <c r="AQ706" s="3">
        <f>AQ260</f>
        <v>72550</v>
      </c>
      <c r="AR706" s="3"/>
      <c r="AS706" s="3">
        <f>AS260</f>
        <v>74350</v>
      </c>
      <c r="AT706" s="3"/>
      <c r="AU706" s="3">
        <f>AU260</f>
        <v>76200</v>
      </c>
      <c r="AV706" s="42"/>
      <c r="AW706" s="3">
        <f>AW260</f>
        <v>78100</v>
      </c>
      <c r="AX706" s="42"/>
      <c r="AY706" s="3">
        <f>AY260</f>
        <v>80100</v>
      </c>
      <c r="AZ706" s="42"/>
      <c r="BA706" s="3">
        <f>BA260</f>
        <v>82100</v>
      </c>
      <c r="BB706" s="42"/>
      <c r="BC706" s="3">
        <f>BC260</f>
        <v>84100</v>
      </c>
      <c r="BE706" s="3">
        <f>BE260</f>
        <v>84100</v>
      </c>
    </row>
    <row r="707" spans="1:57" x14ac:dyDescent="0.25">
      <c r="A707" s="3" t="s">
        <v>515</v>
      </c>
      <c r="B707" s="3"/>
      <c r="D707" s="3"/>
      <c r="E707" s="3">
        <f t="shared" si="464"/>
        <v>0</v>
      </c>
      <c r="H707" s="5">
        <f t="shared" si="465"/>
        <v>0</v>
      </c>
      <c r="K707" s="4">
        <f t="shared" si="466"/>
        <v>0</v>
      </c>
      <c r="L707" s="4"/>
      <c r="N707" s="4">
        <f t="shared" si="467"/>
        <v>0</v>
      </c>
      <c r="P707" s="3"/>
      <c r="Q707" s="3"/>
      <c r="R707" s="3"/>
      <c r="S707" s="3">
        <f t="shared" si="468"/>
        <v>0</v>
      </c>
      <c r="T707" s="3"/>
      <c r="U707" s="3">
        <f t="shared" si="469"/>
        <v>0</v>
      </c>
      <c r="V707" s="3"/>
      <c r="W707" s="3">
        <f t="shared" si="470"/>
        <v>0</v>
      </c>
      <c r="X707" s="3"/>
      <c r="Y707" s="3"/>
      <c r="Z707" s="3">
        <f t="shared" si="463"/>
        <v>0</v>
      </c>
      <c r="AA707" s="3"/>
      <c r="AB707" s="3"/>
      <c r="AC707" s="3"/>
      <c r="AD707" s="3">
        <f t="shared" si="461"/>
        <v>0</v>
      </c>
      <c r="AE707" s="3"/>
      <c r="AF707" s="3">
        <f t="shared" si="462"/>
        <v>0</v>
      </c>
      <c r="AG707" s="4"/>
      <c r="AH707" s="4"/>
      <c r="AJ707" s="3"/>
      <c r="AK707" s="3">
        <f t="shared" si="459"/>
        <v>0</v>
      </c>
      <c r="AL707" s="3"/>
      <c r="AM707" s="3">
        <f t="shared" si="460"/>
        <v>0</v>
      </c>
      <c r="AO707" s="3"/>
    </row>
    <row r="708" spans="1:57" x14ac:dyDescent="0.25">
      <c r="A708" s="3" t="s">
        <v>516</v>
      </c>
      <c r="B708" s="3"/>
      <c r="D708" s="3"/>
      <c r="E708" s="3">
        <f t="shared" si="464"/>
        <v>0</v>
      </c>
      <c r="H708" s="5">
        <f t="shared" si="465"/>
        <v>0</v>
      </c>
      <c r="K708" s="4">
        <f t="shared" si="466"/>
        <v>0</v>
      </c>
      <c r="L708" s="4"/>
      <c r="N708" s="4">
        <f t="shared" si="467"/>
        <v>0</v>
      </c>
      <c r="P708" s="3"/>
      <c r="Q708" s="3"/>
      <c r="R708" s="3"/>
      <c r="S708" s="3">
        <f t="shared" si="468"/>
        <v>0</v>
      </c>
      <c r="T708" s="3"/>
      <c r="U708" s="3">
        <f t="shared" si="469"/>
        <v>0</v>
      </c>
      <c r="V708" s="3"/>
      <c r="W708" s="3">
        <f t="shared" si="470"/>
        <v>0</v>
      </c>
      <c r="X708" s="3"/>
      <c r="Y708" s="3"/>
      <c r="Z708" s="3">
        <f t="shared" si="463"/>
        <v>0</v>
      </c>
      <c r="AA708" s="3"/>
      <c r="AB708" s="3"/>
      <c r="AC708" s="3"/>
      <c r="AD708" s="3">
        <f t="shared" si="461"/>
        <v>0</v>
      </c>
      <c r="AE708" s="3"/>
      <c r="AF708" s="3">
        <f t="shared" si="462"/>
        <v>0</v>
      </c>
      <c r="AG708" s="4"/>
      <c r="AH708" s="4"/>
      <c r="AJ708" s="3"/>
      <c r="AK708" s="3">
        <f t="shared" si="459"/>
        <v>0</v>
      </c>
      <c r="AL708" s="3"/>
      <c r="AM708" s="3">
        <f t="shared" si="460"/>
        <v>0</v>
      </c>
      <c r="AO708" s="3"/>
    </row>
    <row r="709" spans="1:57" x14ac:dyDescent="0.25">
      <c r="A709" s="3" t="s">
        <v>517</v>
      </c>
      <c r="B709" s="3">
        <v>141000</v>
      </c>
      <c r="D709" s="3"/>
      <c r="E709" s="3">
        <f t="shared" si="464"/>
        <v>141000</v>
      </c>
      <c r="F709" s="5">
        <v>141000</v>
      </c>
      <c r="H709" s="5">
        <f t="shared" si="465"/>
        <v>0</v>
      </c>
      <c r="J709" s="75">
        <v>0</v>
      </c>
      <c r="K709" s="4">
        <f t="shared" si="466"/>
        <v>10000</v>
      </c>
      <c r="L709" s="4">
        <v>10000</v>
      </c>
      <c r="N709" s="4">
        <f t="shared" si="467"/>
        <v>-131000</v>
      </c>
      <c r="P709" s="3"/>
      <c r="Q709" s="3"/>
      <c r="R709" s="3"/>
      <c r="S709" s="3">
        <f t="shared" si="468"/>
        <v>0</v>
      </c>
      <c r="T709" s="3"/>
      <c r="U709" s="3">
        <f t="shared" si="469"/>
        <v>0</v>
      </c>
      <c r="V709" s="3"/>
      <c r="W709" s="3">
        <f t="shared" si="470"/>
        <v>0</v>
      </c>
      <c r="X709" s="3"/>
      <c r="Y709" s="3"/>
      <c r="Z709" s="3">
        <f t="shared" si="463"/>
        <v>0</v>
      </c>
      <c r="AA709" s="3"/>
      <c r="AB709" s="3"/>
      <c r="AC709" s="3"/>
      <c r="AD709" s="3">
        <f t="shared" si="461"/>
        <v>0</v>
      </c>
      <c r="AE709" s="3"/>
      <c r="AF709" s="3">
        <f t="shared" si="462"/>
        <v>0</v>
      </c>
      <c r="AG709" s="4"/>
      <c r="AH709" s="4"/>
      <c r="AJ709" s="3"/>
      <c r="AK709" s="3">
        <f t="shared" si="459"/>
        <v>0</v>
      </c>
      <c r="AL709" s="3"/>
      <c r="AM709" s="3">
        <f t="shared" si="460"/>
        <v>0</v>
      </c>
      <c r="AO709" s="3"/>
      <c r="AQ709" s="3"/>
      <c r="AS709" s="3"/>
      <c r="AT709" s="3"/>
      <c r="AU709" s="3"/>
      <c r="AW709" s="3"/>
      <c r="AY709" s="3"/>
      <c r="BA709" s="3"/>
      <c r="BC709" s="3"/>
      <c r="BE709" s="3"/>
    </row>
    <row r="710" spans="1:57" x14ac:dyDescent="0.25">
      <c r="A710" s="3" t="s">
        <v>518</v>
      </c>
      <c r="B710" s="3"/>
      <c r="D710" s="3"/>
      <c r="E710" s="3">
        <f t="shared" si="464"/>
        <v>0</v>
      </c>
      <c r="H710" s="5">
        <f t="shared" si="465"/>
        <v>0</v>
      </c>
      <c r="K710" s="4">
        <f t="shared" si="466"/>
        <v>0</v>
      </c>
      <c r="L710" s="4"/>
      <c r="N710" s="4">
        <f t="shared" si="467"/>
        <v>0</v>
      </c>
      <c r="P710" s="3"/>
      <c r="Q710" s="3"/>
      <c r="R710" s="3"/>
      <c r="S710" s="3">
        <f t="shared" si="468"/>
        <v>0</v>
      </c>
      <c r="T710" s="3"/>
      <c r="U710" s="3">
        <f t="shared" si="469"/>
        <v>0</v>
      </c>
      <c r="V710" s="3"/>
      <c r="W710" s="3">
        <f t="shared" si="470"/>
        <v>0</v>
      </c>
      <c r="X710" s="3"/>
      <c r="Y710" s="3"/>
      <c r="Z710" s="3">
        <f t="shared" si="463"/>
        <v>0</v>
      </c>
      <c r="AA710" s="3"/>
      <c r="AB710" s="3"/>
      <c r="AC710" s="3"/>
      <c r="AD710" s="3">
        <f t="shared" si="461"/>
        <v>0</v>
      </c>
      <c r="AE710" s="3"/>
      <c r="AF710" s="3">
        <f t="shared" si="462"/>
        <v>0</v>
      </c>
      <c r="AG710" s="4"/>
      <c r="AH710" s="4"/>
      <c r="AJ710" s="3"/>
      <c r="AK710" s="3">
        <f t="shared" si="459"/>
        <v>0</v>
      </c>
      <c r="AL710" s="3"/>
      <c r="AM710" s="3">
        <f t="shared" si="460"/>
        <v>0</v>
      </c>
      <c r="AO710" s="3"/>
    </row>
    <row r="711" spans="1:57" x14ac:dyDescent="0.25">
      <c r="A711" s="3" t="s">
        <v>518</v>
      </c>
      <c r="B711" s="3"/>
      <c r="D711" s="3"/>
      <c r="E711" s="3">
        <f t="shared" si="464"/>
        <v>0</v>
      </c>
      <c r="H711" s="5">
        <f t="shared" si="465"/>
        <v>0</v>
      </c>
      <c r="K711" s="4">
        <f t="shared" si="466"/>
        <v>0</v>
      </c>
      <c r="L711" s="4"/>
      <c r="N711" s="4">
        <f t="shared" si="467"/>
        <v>0</v>
      </c>
      <c r="P711" s="3"/>
      <c r="Q711" s="3"/>
      <c r="R711" s="3"/>
      <c r="S711" s="3">
        <f t="shared" si="468"/>
        <v>0</v>
      </c>
      <c r="T711" s="3"/>
      <c r="U711" s="3">
        <f t="shared" si="469"/>
        <v>0</v>
      </c>
      <c r="V711" s="3"/>
      <c r="W711" s="3">
        <f t="shared" si="470"/>
        <v>0</v>
      </c>
      <c r="X711" s="3"/>
      <c r="Y711" s="3"/>
      <c r="Z711" s="3">
        <f t="shared" si="463"/>
        <v>0</v>
      </c>
      <c r="AA711" s="3"/>
      <c r="AB711" s="3"/>
      <c r="AC711" s="3"/>
      <c r="AD711" s="3">
        <f t="shared" si="461"/>
        <v>0</v>
      </c>
      <c r="AE711" s="3"/>
      <c r="AF711" s="3">
        <f t="shared" si="462"/>
        <v>0</v>
      </c>
      <c r="AG711" s="4"/>
      <c r="AH711" s="4"/>
      <c r="AJ711" s="3"/>
      <c r="AK711" s="3">
        <f t="shared" si="459"/>
        <v>0</v>
      </c>
      <c r="AL711" s="3"/>
      <c r="AM711" s="3">
        <f t="shared" si="460"/>
        <v>0</v>
      </c>
      <c r="AO711" s="3"/>
    </row>
    <row r="712" spans="1:57" x14ac:dyDescent="0.25">
      <c r="A712" s="3" t="s">
        <v>195</v>
      </c>
      <c r="B712" s="3"/>
      <c r="D712" s="3"/>
      <c r="E712" s="3">
        <f t="shared" si="464"/>
        <v>0</v>
      </c>
      <c r="H712" s="5">
        <f t="shared" si="465"/>
        <v>0</v>
      </c>
      <c r="K712" s="4">
        <f t="shared" si="466"/>
        <v>0</v>
      </c>
      <c r="L712" s="4"/>
      <c r="N712" s="4">
        <f t="shared" si="467"/>
        <v>0</v>
      </c>
      <c r="P712" s="3"/>
      <c r="Q712" s="3"/>
      <c r="R712" s="3"/>
      <c r="S712" s="3">
        <f t="shared" si="468"/>
        <v>0</v>
      </c>
      <c r="T712" s="3"/>
      <c r="U712" s="3">
        <f t="shared" si="469"/>
        <v>0</v>
      </c>
      <c r="V712" s="3"/>
      <c r="W712" s="3">
        <f t="shared" si="470"/>
        <v>0</v>
      </c>
      <c r="X712" s="3"/>
      <c r="Y712" s="3"/>
      <c r="Z712" s="3">
        <f t="shared" si="463"/>
        <v>0</v>
      </c>
      <c r="AA712" s="3"/>
      <c r="AB712" s="3"/>
      <c r="AC712" s="3"/>
      <c r="AD712" s="3">
        <f t="shared" si="461"/>
        <v>0</v>
      </c>
      <c r="AE712" s="3"/>
      <c r="AF712" s="3">
        <f t="shared" si="462"/>
        <v>0</v>
      </c>
      <c r="AG712" s="4"/>
      <c r="AH712" s="4"/>
      <c r="AJ712" s="3"/>
      <c r="AK712" s="3">
        <f t="shared" si="459"/>
        <v>0</v>
      </c>
      <c r="AL712" s="3"/>
      <c r="AM712" s="3">
        <f t="shared" si="460"/>
        <v>0</v>
      </c>
      <c r="AO712" s="3"/>
    </row>
    <row r="713" spans="1:57" x14ac:dyDescent="0.25">
      <c r="A713" s="3" t="s">
        <v>519</v>
      </c>
      <c r="AK713" s="3">
        <f t="shared" si="459"/>
        <v>0</v>
      </c>
      <c r="AM713" s="3">
        <f t="shared" si="460"/>
        <v>0</v>
      </c>
    </row>
    <row r="714" spans="1:57" x14ac:dyDescent="0.25">
      <c r="A714" s="3" t="s">
        <v>520</v>
      </c>
      <c r="AK714" s="3">
        <f t="shared" si="459"/>
        <v>0</v>
      </c>
      <c r="AM714" s="3">
        <f t="shared" si="460"/>
        <v>0</v>
      </c>
    </row>
    <row r="715" spans="1:57" x14ac:dyDescent="0.25">
      <c r="A715" s="3"/>
      <c r="B715" s="48">
        <f>SUM(B696:B714)</f>
        <v>604000</v>
      </c>
      <c r="C715" s="32"/>
      <c r="D715" s="48">
        <f>SUM(D696:D714)</f>
        <v>127279</v>
      </c>
      <c r="E715" s="48">
        <f>SUM(E696:E714)</f>
        <v>453721</v>
      </c>
      <c r="F715" s="48">
        <f>SUM(F696:F714)</f>
        <v>581000</v>
      </c>
      <c r="G715" s="32"/>
      <c r="H715" s="48">
        <f>SUM(H696:H714)</f>
        <v>-23000</v>
      </c>
      <c r="I715" s="36"/>
      <c r="J715" s="48">
        <f>SUM(J696:J714)</f>
        <v>322021</v>
      </c>
      <c r="K715" s="48">
        <f>SUM(K696:K714)</f>
        <v>144779</v>
      </c>
      <c r="L715" s="48">
        <f>SUM(L696:L714)</f>
        <v>466800</v>
      </c>
      <c r="M715" s="32"/>
      <c r="N715" s="48">
        <f>SUM(N696:N714)</f>
        <v>-114200</v>
      </c>
      <c r="P715" s="48">
        <f>SUM(P696:P714)</f>
        <v>451700</v>
      </c>
      <c r="R715" s="48">
        <f t="shared" ref="R715:Z715" si="472">SUM(R696:R714)</f>
        <v>85885</v>
      </c>
      <c r="S715" s="48">
        <f t="shared" si="472"/>
        <v>365815</v>
      </c>
      <c r="T715" s="48">
        <f t="shared" si="472"/>
        <v>451700</v>
      </c>
      <c r="U715" s="48">
        <f t="shared" si="472"/>
        <v>0</v>
      </c>
      <c r="V715" s="48">
        <f t="shared" si="472"/>
        <v>182098</v>
      </c>
      <c r="W715" s="48">
        <f t="shared" si="472"/>
        <v>312242</v>
      </c>
      <c r="X715" s="48"/>
      <c r="Y715" s="48">
        <f t="shared" si="472"/>
        <v>494340</v>
      </c>
      <c r="Z715" s="48">
        <f t="shared" si="472"/>
        <v>42640</v>
      </c>
      <c r="AC715" s="48">
        <f>SUM(AC696:AC714)</f>
        <v>297196</v>
      </c>
      <c r="AD715" s="48">
        <f>SUM(AD696:AD714)</f>
        <v>197144</v>
      </c>
      <c r="AE715" s="48">
        <f>SUM(AE696:AE714)</f>
        <v>494340</v>
      </c>
      <c r="AF715" s="48">
        <f>SUM(AF696:AF714)</f>
        <v>0</v>
      </c>
      <c r="AH715" s="36">
        <f>SUM(AH696:AH714)</f>
        <v>463050</v>
      </c>
      <c r="AI715" s="32"/>
      <c r="AJ715" s="48">
        <f>SUM(AJ696:AJ714)</f>
        <v>178215</v>
      </c>
      <c r="AK715" s="48">
        <f>SUM(AK696:AK714)</f>
        <v>394463</v>
      </c>
      <c r="AL715" s="48">
        <f>SUM(AL696:AL714)</f>
        <v>572678</v>
      </c>
      <c r="AM715" s="48">
        <f>SUM(AM696:AM714)</f>
        <v>109628</v>
      </c>
      <c r="AN715" s="32"/>
      <c r="AO715" s="48">
        <f>SUM(AO696:AO714)</f>
        <v>474649.99999999994</v>
      </c>
      <c r="AQ715" s="48">
        <f>SUM(AQ696:AQ714)</f>
        <v>486500</v>
      </c>
      <c r="AS715" s="48">
        <f>SUM(AS696:AS714)</f>
        <v>498650</v>
      </c>
      <c r="AT715" s="48"/>
      <c r="AU715" s="48">
        <f>SUM(AU696:AU714)</f>
        <v>511100</v>
      </c>
      <c r="AW715" s="48">
        <f>SUM(AW696:AW714)</f>
        <v>523850</v>
      </c>
      <c r="AY715" s="48">
        <f>SUM(AY696:AY714)</f>
        <v>537000</v>
      </c>
      <c r="BA715" s="48">
        <f>SUM(BA696:BA714)</f>
        <v>550400</v>
      </c>
      <c r="BC715" s="48">
        <f>SUM(BC696:BC714)</f>
        <v>564150</v>
      </c>
      <c r="BE715" s="48">
        <f>SUM(BE696:BE714)</f>
        <v>564150</v>
      </c>
    </row>
    <row r="716" spans="1:57" x14ac:dyDescent="0.25">
      <c r="A716" s="7" t="s">
        <v>57</v>
      </c>
    </row>
    <row r="717" spans="1:57" x14ac:dyDescent="0.25">
      <c r="A717" s="3" t="s">
        <v>521</v>
      </c>
      <c r="B717" s="5">
        <v>29000</v>
      </c>
      <c r="E717" s="3">
        <f t="shared" ref="E717:E734" si="473">F717-D717</f>
        <v>29000</v>
      </c>
      <c r="F717" s="5">
        <v>29000</v>
      </c>
      <c r="H717" s="5">
        <f t="shared" ref="H717:H734" si="474">F717-B717</f>
        <v>0</v>
      </c>
      <c r="K717" s="4">
        <f t="shared" ref="K717:K746" si="475">L717-J717</f>
        <v>29000</v>
      </c>
      <c r="L717" s="4">
        <v>29000</v>
      </c>
      <c r="N717" s="4">
        <f t="shared" ref="N717:N746" si="476">L717-F717</f>
        <v>0</v>
      </c>
      <c r="P717" s="3">
        <v>29000</v>
      </c>
      <c r="Q717" s="3"/>
      <c r="R717" s="3"/>
      <c r="S717" s="3">
        <f t="shared" ref="S717:S746" si="477">T717-R717</f>
        <v>29000</v>
      </c>
      <c r="T717" s="3">
        <v>29000</v>
      </c>
      <c r="U717" s="3">
        <f t="shared" ref="U717:U746" si="478">T717-P717</f>
        <v>0</v>
      </c>
      <c r="V717" s="3"/>
      <c r="W717" s="3">
        <f t="shared" ref="W717:W746" si="479">Y717-V717</f>
        <v>29000</v>
      </c>
      <c r="X717" s="3"/>
      <c r="Y717" s="3">
        <v>29000</v>
      </c>
      <c r="Z717" s="3">
        <f t="shared" ref="Z717:Z746" si="480">Y717-T717</f>
        <v>0</v>
      </c>
      <c r="AA717" s="3"/>
      <c r="AB717" s="3"/>
      <c r="AC717" s="3">
        <v>0</v>
      </c>
      <c r="AD717" s="3">
        <f t="shared" ref="AD717:AD746" si="481">AE717-AC717</f>
        <v>29000</v>
      </c>
      <c r="AE717" s="3">
        <v>29000</v>
      </c>
      <c r="AF717" s="3">
        <f t="shared" ref="AF717:AF746" si="482">AE717-Y717</f>
        <v>0</v>
      </c>
      <c r="AG717" s="4"/>
      <c r="AH717" s="4">
        <v>29000</v>
      </c>
      <c r="AJ717" s="3"/>
      <c r="AK717" s="3">
        <f t="shared" ref="AK717:AK746" si="483">AL717-AJ717</f>
        <v>29000</v>
      </c>
      <c r="AL717" s="3">
        <v>29000</v>
      </c>
      <c r="AM717" s="3">
        <f t="shared" ref="AM717:AM746" si="484">AL717-AH717</f>
        <v>0</v>
      </c>
      <c r="AO717" s="3">
        <v>29000</v>
      </c>
      <c r="AP717" s="3"/>
      <c r="AQ717" s="3">
        <v>29000</v>
      </c>
      <c r="AR717" s="3"/>
      <c r="AS717" s="3">
        <v>29000</v>
      </c>
      <c r="AT717" s="3"/>
      <c r="AU717" s="3">
        <v>29000</v>
      </c>
      <c r="AV717" s="42"/>
      <c r="AW717" s="3">
        <v>29000</v>
      </c>
      <c r="AX717" s="42"/>
      <c r="AY717" s="3">
        <v>29000</v>
      </c>
      <c r="AZ717" s="42"/>
      <c r="BA717" s="3">
        <v>29000</v>
      </c>
      <c r="BB717" s="42"/>
      <c r="BC717" s="3">
        <v>29000</v>
      </c>
      <c r="BE717" s="3">
        <v>29000</v>
      </c>
    </row>
    <row r="718" spans="1:57" x14ac:dyDescent="0.25">
      <c r="A718" s="3" t="s">
        <v>522</v>
      </c>
      <c r="E718" s="3">
        <f t="shared" si="473"/>
        <v>0</v>
      </c>
      <c r="H718" s="5">
        <f t="shared" si="474"/>
        <v>0</v>
      </c>
      <c r="K718" s="4">
        <f t="shared" si="475"/>
        <v>0</v>
      </c>
      <c r="L718" s="4"/>
      <c r="N718" s="4">
        <f t="shared" si="476"/>
        <v>0</v>
      </c>
      <c r="P718" s="3"/>
      <c r="Q718" s="3"/>
      <c r="R718" s="3"/>
      <c r="S718" s="3">
        <f t="shared" si="477"/>
        <v>0</v>
      </c>
      <c r="T718" s="3"/>
      <c r="U718" s="3">
        <f t="shared" si="478"/>
        <v>0</v>
      </c>
      <c r="V718" s="3"/>
      <c r="W718" s="3">
        <f t="shared" si="479"/>
        <v>0</v>
      </c>
      <c r="X718" s="3"/>
      <c r="Y718" s="3"/>
      <c r="Z718" s="3">
        <f t="shared" si="480"/>
        <v>0</v>
      </c>
      <c r="AA718" s="3"/>
      <c r="AB718" s="3"/>
      <c r="AC718" s="3"/>
      <c r="AD718" s="3">
        <f t="shared" si="481"/>
        <v>0</v>
      </c>
      <c r="AE718" s="3"/>
      <c r="AF718" s="3">
        <f t="shared" si="482"/>
        <v>0</v>
      </c>
      <c r="AG718" s="4"/>
      <c r="AH718" s="4"/>
      <c r="AJ718" s="3"/>
      <c r="AK718" s="3">
        <f t="shared" si="483"/>
        <v>0</v>
      </c>
      <c r="AL718" s="3"/>
      <c r="AM718" s="3">
        <f t="shared" si="484"/>
        <v>0</v>
      </c>
      <c r="AO718" s="3"/>
      <c r="AP718" s="3"/>
      <c r="AQ718" s="3"/>
      <c r="AR718" s="3"/>
      <c r="AS718" s="3"/>
      <c r="AT718" s="3"/>
      <c r="AU718" s="3"/>
      <c r="AV718" s="42"/>
      <c r="AW718" s="3"/>
      <c r="AX718" s="42"/>
      <c r="AY718" s="3"/>
      <c r="AZ718" s="42"/>
      <c r="BA718" s="3"/>
      <c r="BB718" s="42"/>
      <c r="BC718" s="3"/>
      <c r="BE718" s="3"/>
    </row>
    <row r="719" spans="1:57" x14ac:dyDescent="0.25">
      <c r="A719" s="3" t="s">
        <v>523</v>
      </c>
      <c r="E719" s="3">
        <f t="shared" si="473"/>
        <v>0</v>
      </c>
      <c r="H719" s="5">
        <f t="shared" si="474"/>
        <v>0</v>
      </c>
      <c r="J719" s="3"/>
      <c r="K719" s="4">
        <f t="shared" si="475"/>
        <v>0</v>
      </c>
      <c r="L719" s="4"/>
      <c r="N719" s="4">
        <f t="shared" si="476"/>
        <v>0</v>
      </c>
      <c r="P719" s="3"/>
      <c r="Q719" s="3"/>
      <c r="R719" s="3"/>
      <c r="S719" s="3">
        <f t="shared" si="477"/>
        <v>0</v>
      </c>
      <c r="T719" s="3"/>
      <c r="U719" s="3">
        <f t="shared" si="478"/>
        <v>0</v>
      </c>
      <c r="V719" s="3"/>
      <c r="W719" s="3">
        <f t="shared" si="479"/>
        <v>0</v>
      </c>
      <c r="X719" s="3"/>
      <c r="Y719" s="3"/>
      <c r="Z719" s="3">
        <f t="shared" si="480"/>
        <v>0</v>
      </c>
      <c r="AA719" s="3"/>
      <c r="AB719" s="3"/>
      <c r="AC719" s="3"/>
      <c r="AD719" s="3">
        <f t="shared" si="481"/>
        <v>0</v>
      </c>
      <c r="AE719" s="3"/>
      <c r="AF719" s="3">
        <f t="shared" si="482"/>
        <v>0</v>
      </c>
      <c r="AG719" s="4"/>
      <c r="AH719" s="4"/>
      <c r="AJ719" s="3"/>
      <c r="AK719" s="3">
        <f t="shared" si="483"/>
        <v>0</v>
      </c>
      <c r="AL719" s="3"/>
      <c r="AM719" s="3">
        <f t="shared" si="484"/>
        <v>0</v>
      </c>
      <c r="AO719" s="3"/>
      <c r="AP719" s="3"/>
      <c r="AQ719" s="3"/>
      <c r="AR719" s="3"/>
      <c r="AS719" s="3"/>
      <c r="AT719" s="3"/>
      <c r="AU719" s="3"/>
      <c r="AV719" s="42"/>
      <c r="AW719" s="3"/>
      <c r="AX719" s="42"/>
      <c r="AY719" s="3"/>
      <c r="AZ719" s="42"/>
      <c r="BA719" s="3"/>
      <c r="BB719" s="42"/>
      <c r="BC719" s="3"/>
      <c r="BE719" s="3"/>
    </row>
    <row r="720" spans="1:57" x14ac:dyDescent="0.25">
      <c r="A720" s="3" t="s">
        <v>524</v>
      </c>
      <c r="D720" s="5">
        <v>154542</v>
      </c>
      <c r="E720" s="3">
        <f t="shared" si="473"/>
        <v>562960</v>
      </c>
      <c r="F720" s="5">
        <v>717502</v>
      </c>
      <c r="H720" s="5">
        <f t="shared" si="474"/>
        <v>717502</v>
      </c>
      <c r="J720" s="3">
        <f>552924+26428</f>
        <v>579352</v>
      </c>
      <c r="K720" s="4">
        <f t="shared" si="475"/>
        <v>138148</v>
      </c>
      <c r="L720" s="4">
        <v>717500</v>
      </c>
      <c r="N720" s="4">
        <f t="shared" si="476"/>
        <v>-2</v>
      </c>
      <c r="P720" s="3"/>
      <c r="Q720" s="3"/>
      <c r="R720" s="3"/>
      <c r="S720" s="3">
        <f t="shared" si="477"/>
        <v>0</v>
      </c>
      <c r="T720" s="3"/>
      <c r="U720" s="3">
        <f t="shared" si="478"/>
        <v>0</v>
      </c>
      <c r="V720" s="3"/>
      <c r="W720" s="3">
        <f t="shared" si="479"/>
        <v>0</v>
      </c>
      <c r="X720" s="3"/>
      <c r="Y720" s="3"/>
      <c r="Z720" s="3">
        <f t="shared" si="480"/>
        <v>0</v>
      </c>
      <c r="AA720" s="3"/>
      <c r="AB720" s="3"/>
      <c r="AC720" s="3"/>
      <c r="AD720" s="3">
        <f t="shared" si="481"/>
        <v>0</v>
      </c>
      <c r="AE720" s="3"/>
      <c r="AF720" s="3">
        <f t="shared" si="482"/>
        <v>0</v>
      </c>
      <c r="AG720" s="4"/>
      <c r="AH720" s="4"/>
      <c r="AJ720" s="3"/>
      <c r="AK720" s="3">
        <f t="shared" si="483"/>
        <v>0</v>
      </c>
      <c r="AL720" s="3"/>
      <c r="AM720" s="3">
        <f t="shared" si="484"/>
        <v>0</v>
      </c>
      <c r="AO720" s="3"/>
      <c r="AP720" s="3"/>
      <c r="AQ720" s="3"/>
      <c r="AR720" s="3"/>
      <c r="AS720" s="3"/>
      <c r="AT720" s="3"/>
      <c r="AU720" s="3"/>
      <c r="AV720" s="42"/>
      <c r="AW720" s="3"/>
      <c r="AX720" s="42"/>
      <c r="AY720" s="3"/>
      <c r="AZ720" s="42"/>
      <c r="BA720" s="3"/>
      <c r="BB720" s="42"/>
      <c r="BC720" s="3"/>
      <c r="BE720" s="3"/>
    </row>
    <row r="721" spans="1:57" x14ac:dyDescent="0.25">
      <c r="A721" s="3" t="s">
        <v>525</v>
      </c>
      <c r="B721" s="3">
        <v>2750000</v>
      </c>
      <c r="D721" s="3">
        <f>10803+2606+409776</f>
        <v>423185</v>
      </c>
      <c r="E721" s="3">
        <f t="shared" si="473"/>
        <v>1394868</v>
      </c>
      <c r="F721" s="3">
        <v>1818053</v>
      </c>
      <c r="H721" s="5">
        <f t="shared" si="474"/>
        <v>-931947</v>
      </c>
      <c r="J721" s="3">
        <v>936548</v>
      </c>
      <c r="K721" s="4">
        <f t="shared" si="475"/>
        <v>881502</v>
      </c>
      <c r="L721" s="4">
        <v>1818050</v>
      </c>
      <c r="N721" s="4">
        <f t="shared" si="476"/>
        <v>-3</v>
      </c>
      <c r="P721" s="3"/>
      <c r="Q721" s="3"/>
      <c r="R721" s="3"/>
      <c r="S721" s="3">
        <f t="shared" si="477"/>
        <v>0</v>
      </c>
      <c r="T721" s="3"/>
      <c r="U721" s="3">
        <f t="shared" si="478"/>
        <v>0</v>
      </c>
      <c r="V721" s="3"/>
      <c r="W721" s="3">
        <f t="shared" si="479"/>
        <v>0</v>
      </c>
      <c r="X721" s="3"/>
      <c r="Y721" s="3"/>
      <c r="Z721" s="3">
        <f t="shared" si="480"/>
        <v>0</v>
      </c>
      <c r="AA721" s="3"/>
      <c r="AB721" s="3"/>
      <c r="AC721" s="3"/>
      <c r="AD721" s="3">
        <f t="shared" si="481"/>
        <v>0</v>
      </c>
      <c r="AE721" s="3"/>
      <c r="AF721" s="3">
        <f t="shared" si="482"/>
        <v>0</v>
      </c>
      <c r="AG721" s="4"/>
      <c r="AH721" s="4"/>
      <c r="AJ721" s="3"/>
      <c r="AK721" s="3">
        <f t="shared" si="483"/>
        <v>0</v>
      </c>
      <c r="AL721" s="3"/>
      <c r="AM721" s="3">
        <f t="shared" si="484"/>
        <v>0</v>
      </c>
      <c r="AO721" s="3"/>
      <c r="AP721" s="3"/>
      <c r="AQ721" s="3"/>
      <c r="AR721" s="3"/>
      <c r="AS721" s="3"/>
      <c r="AT721" s="3"/>
      <c r="AU721" s="3"/>
      <c r="AV721" s="42"/>
      <c r="AW721" s="3"/>
      <c r="AX721" s="42"/>
      <c r="AY721" s="3"/>
      <c r="AZ721" s="42"/>
      <c r="BA721" s="3"/>
      <c r="BB721" s="42"/>
      <c r="BC721" s="3"/>
      <c r="BE721" s="3"/>
    </row>
    <row r="722" spans="1:57" x14ac:dyDescent="0.25">
      <c r="A722" s="3" t="s">
        <v>227</v>
      </c>
      <c r="B722" s="3"/>
      <c r="D722" s="3"/>
      <c r="E722" s="3">
        <f t="shared" si="473"/>
        <v>0</v>
      </c>
      <c r="H722" s="5">
        <f t="shared" si="474"/>
        <v>0</v>
      </c>
      <c r="J722" s="3"/>
      <c r="K722" s="4">
        <f t="shared" si="475"/>
        <v>0</v>
      </c>
      <c r="L722" s="4"/>
      <c r="N722" s="4">
        <f t="shared" si="476"/>
        <v>0</v>
      </c>
      <c r="P722" s="3"/>
      <c r="Q722" s="3"/>
      <c r="R722" s="3"/>
      <c r="S722" s="3">
        <f t="shared" si="477"/>
        <v>0</v>
      </c>
      <c r="T722" s="3"/>
      <c r="U722" s="3">
        <f t="shared" si="478"/>
        <v>0</v>
      </c>
      <c r="V722" s="3"/>
      <c r="W722" s="3">
        <f t="shared" si="479"/>
        <v>0</v>
      </c>
      <c r="X722" s="3"/>
      <c r="Y722" s="3"/>
      <c r="Z722" s="3">
        <f t="shared" si="480"/>
        <v>0</v>
      </c>
      <c r="AA722" s="3"/>
      <c r="AB722" s="3"/>
      <c r="AC722" s="3"/>
      <c r="AD722" s="3">
        <f t="shared" si="481"/>
        <v>0</v>
      </c>
      <c r="AE722" s="3"/>
      <c r="AF722" s="3">
        <f t="shared" si="482"/>
        <v>0</v>
      </c>
      <c r="AG722" s="4"/>
      <c r="AH722" s="4"/>
      <c r="AJ722" s="3"/>
      <c r="AK722" s="3">
        <f t="shared" si="483"/>
        <v>0</v>
      </c>
      <c r="AL722" s="3"/>
      <c r="AM722" s="3">
        <f t="shared" si="484"/>
        <v>0</v>
      </c>
      <c r="AO722" s="3"/>
      <c r="AP722" s="3"/>
      <c r="AQ722" s="3"/>
      <c r="AR722" s="3"/>
      <c r="AS722" s="3"/>
      <c r="AT722" s="3"/>
      <c r="AU722" s="3"/>
      <c r="AV722" s="42"/>
      <c r="AW722" s="3"/>
      <c r="AX722" s="42"/>
      <c r="AY722" s="3"/>
      <c r="AZ722" s="42"/>
      <c r="BA722" s="3"/>
      <c r="BB722" s="42"/>
      <c r="BC722" s="3"/>
      <c r="BE722" s="3"/>
    </row>
    <row r="723" spans="1:57" x14ac:dyDescent="0.25">
      <c r="A723" s="3" t="s">
        <v>228</v>
      </c>
      <c r="B723" s="3"/>
      <c r="D723" s="3">
        <v>164719</v>
      </c>
      <c r="E723" s="3">
        <f t="shared" si="473"/>
        <v>849388</v>
      </c>
      <c r="F723" s="5">
        <v>1014107</v>
      </c>
      <c r="H723" s="5">
        <f t="shared" si="474"/>
        <v>1014107</v>
      </c>
      <c r="J723" s="3">
        <v>185697</v>
      </c>
      <c r="K723" s="4">
        <f t="shared" si="475"/>
        <v>828408</v>
      </c>
      <c r="L723" s="4">
        <v>1014105</v>
      </c>
      <c r="N723" s="4">
        <f t="shared" si="476"/>
        <v>-2</v>
      </c>
      <c r="P723" s="3"/>
      <c r="Q723" s="3"/>
      <c r="R723" s="3"/>
      <c r="S723" s="3">
        <f t="shared" si="477"/>
        <v>0</v>
      </c>
      <c r="T723" s="3"/>
      <c r="U723" s="3">
        <f t="shared" si="478"/>
        <v>0</v>
      </c>
      <c r="V723" s="3"/>
      <c r="W723" s="3">
        <f t="shared" si="479"/>
        <v>0</v>
      </c>
      <c r="X723" s="3"/>
      <c r="Y723" s="3"/>
      <c r="Z723" s="3">
        <f t="shared" si="480"/>
        <v>0</v>
      </c>
      <c r="AA723" s="3"/>
      <c r="AB723" s="3"/>
      <c r="AC723" s="3"/>
      <c r="AD723" s="3">
        <f t="shared" si="481"/>
        <v>0</v>
      </c>
      <c r="AE723" s="3"/>
      <c r="AF723" s="3">
        <f t="shared" si="482"/>
        <v>0</v>
      </c>
      <c r="AG723" s="4"/>
      <c r="AH723" s="4"/>
      <c r="AJ723" s="3"/>
      <c r="AK723" s="3">
        <f t="shared" si="483"/>
        <v>0</v>
      </c>
      <c r="AL723" s="3"/>
      <c r="AM723" s="3">
        <f t="shared" si="484"/>
        <v>0</v>
      </c>
      <c r="AO723" s="3"/>
      <c r="AP723" s="3"/>
      <c r="AQ723" s="3"/>
      <c r="AR723" s="3"/>
      <c r="AS723" s="3"/>
      <c r="AT723" s="3"/>
      <c r="AU723" s="3"/>
      <c r="AV723" s="42"/>
      <c r="AW723" s="3"/>
      <c r="AX723" s="42"/>
      <c r="AY723" s="3"/>
      <c r="AZ723" s="42"/>
      <c r="BA723" s="3"/>
      <c r="BB723" s="42"/>
      <c r="BC723" s="3"/>
      <c r="BE723" s="3"/>
    </row>
    <row r="724" spans="1:57" x14ac:dyDescent="0.25">
      <c r="A724" s="3" t="s">
        <v>218</v>
      </c>
      <c r="B724" s="3"/>
      <c r="D724" s="3"/>
      <c r="E724" s="3"/>
      <c r="J724" s="3"/>
      <c r="K724" s="4"/>
      <c r="L724" s="4"/>
      <c r="N724" s="4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4"/>
      <c r="AH724" s="4">
        <v>2500000</v>
      </c>
      <c r="AJ724" s="3">
        <v>11577</v>
      </c>
      <c r="AK724" s="3">
        <f t="shared" si="483"/>
        <v>2488423</v>
      </c>
      <c r="AL724" s="3">
        <v>2500000</v>
      </c>
      <c r="AM724" s="3">
        <f t="shared" si="484"/>
        <v>0</v>
      </c>
      <c r="AO724" s="3"/>
      <c r="AP724" s="3"/>
      <c r="AQ724" s="3"/>
      <c r="AR724" s="3"/>
      <c r="AS724" s="3"/>
      <c r="AT724" s="3"/>
      <c r="AU724" s="3"/>
      <c r="AV724" s="42"/>
      <c r="AW724" s="3"/>
      <c r="AX724" s="42"/>
      <c r="AY724" s="3"/>
      <c r="AZ724" s="42"/>
      <c r="BA724" s="3"/>
      <c r="BB724" s="42"/>
      <c r="BC724" s="3"/>
      <c r="BE724" s="3"/>
    </row>
    <row r="725" spans="1:57" x14ac:dyDescent="0.25">
      <c r="A725" s="3" t="s">
        <v>229</v>
      </c>
      <c r="B725" s="3"/>
      <c r="D725" s="3"/>
      <c r="E725" s="3">
        <f>F725-D725</f>
        <v>157220</v>
      </c>
      <c r="F725" s="5">
        <v>157220</v>
      </c>
      <c r="H725" s="5">
        <f>F725-B725</f>
        <v>157220</v>
      </c>
      <c r="J725" s="3"/>
      <c r="K725" s="4">
        <f t="shared" si="475"/>
        <v>157220</v>
      </c>
      <c r="L725" s="4">
        <v>157220</v>
      </c>
      <c r="N725" s="4">
        <f t="shared" si="476"/>
        <v>0</v>
      </c>
      <c r="P725" s="3"/>
      <c r="Q725" s="3"/>
      <c r="R725" s="3"/>
      <c r="S725" s="3">
        <f t="shared" si="477"/>
        <v>0</v>
      </c>
      <c r="T725" s="3"/>
      <c r="U725" s="3">
        <f t="shared" si="478"/>
        <v>0</v>
      </c>
      <c r="V725" s="3"/>
      <c r="W725" s="3">
        <f t="shared" si="479"/>
        <v>0</v>
      </c>
      <c r="X725" s="3"/>
      <c r="Y725" s="3"/>
      <c r="Z725" s="3">
        <f t="shared" si="480"/>
        <v>0</v>
      </c>
      <c r="AA725" s="3"/>
      <c r="AB725" s="3"/>
      <c r="AC725" s="3"/>
      <c r="AD725" s="3">
        <f t="shared" si="481"/>
        <v>0</v>
      </c>
      <c r="AE725" s="3"/>
      <c r="AF725" s="3">
        <f t="shared" si="482"/>
        <v>0</v>
      </c>
      <c r="AG725" s="4"/>
      <c r="AH725" s="4"/>
      <c r="AJ725" s="3"/>
      <c r="AK725" s="3">
        <f t="shared" si="483"/>
        <v>0</v>
      </c>
      <c r="AL725" s="3"/>
      <c r="AM725" s="3">
        <f t="shared" si="484"/>
        <v>0</v>
      </c>
      <c r="AO725" s="3"/>
      <c r="AP725" s="3"/>
      <c r="AQ725" s="3"/>
      <c r="AR725" s="3"/>
      <c r="AS725" s="3"/>
      <c r="AT725" s="3"/>
      <c r="AU725" s="3"/>
      <c r="AV725" s="42"/>
      <c r="AW725" s="3"/>
      <c r="AX725" s="42"/>
      <c r="AY725" s="3"/>
      <c r="AZ725" s="42"/>
      <c r="BA725" s="3"/>
      <c r="BB725" s="42"/>
      <c r="BC725" s="3"/>
      <c r="BE725" s="3"/>
    </row>
    <row r="726" spans="1:57" x14ac:dyDescent="0.25">
      <c r="A726" s="3" t="s">
        <v>526</v>
      </c>
      <c r="B726" s="3"/>
      <c r="D726" s="3"/>
      <c r="E726" s="3"/>
      <c r="J726" s="3"/>
      <c r="K726" s="4"/>
      <c r="L726" s="4"/>
      <c r="N726" s="4"/>
      <c r="P726" s="3">
        <v>2500000</v>
      </c>
      <c r="Q726" s="3"/>
      <c r="R726" s="3">
        <f>32722+11140+350897+117156</f>
        <v>511915</v>
      </c>
      <c r="S726" s="3">
        <f t="shared" si="477"/>
        <v>1988085</v>
      </c>
      <c r="T726" s="3">
        <v>2500000</v>
      </c>
      <c r="U726" s="3">
        <f t="shared" si="478"/>
        <v>0</v>
      </c>
      <c r="V726" s="3">
        <v>1014503</v>
      </c>
      <c r="W726" s="3">
        <f t="shared" si="479"/>
        <v>1485497</v>
      </c>
      <c r="X726" s="3"/>
      <c r="Y726" s="3">
        <v>2500000</v>
      </c>
      <c r="Z726" s="3">
        <f t="shared" si="480"/>
        <v>0</v>
      </c>
      <c r="AA726" s="3"/>
      <c r="AB726" s="3"/>
      <c r="AC726" s="3">
        <v>1391117</v>
      </c>
      <c r="AD726" s="3">
        <f t="shared" si="481"/>
        <v>1108883</v>
      </c>
      <c r="AE726" s="3">
        <v>2500000</v>
      </c>
      <c r="AF726" s="3">
        <f t="shared" si="482"/>
        <v>0</v>
      </c>
      <c r="AG726" s="4"/>
      <c r="AH726" s="4">
        <v>1500000</v>
      </c>
      <c r="AJ726" s="3">
        <f>7499+37228+193450</f>
        <v>238177</v>
      </c>
      <c r="AK726" s="3">
        <f t="shared" si="483"/>
        <v>1261823</v>
      </c>
      <c r="AL726" s="3">
        <v>1500000</v>
      </c>
      <c r="AM726" s="3">
        <f t="shared" si="484"/>
        <v>0</v>
      </c>
      <c r="AO726" s="3"/>
      <c r="AP726" s="3"/>
      <c r="AQ726" s="3"/>
      <c r="AR726" s="3"/>
      <c r="AS726" s="3"/>
      <c r="AT726" s="3"/>
      <c r="AU726" s="3"/>
      <c r="AV726" s="42"/>
      <c r="AW726" s="3"/>
      <c r="AX726" s="42"/>
      <c r="AY726" s="3"/>
      <c r="AZ726" s="42"/>
      <c r="BA726" s="3"/>
      <c r="BB726" s="42"/>
      <c r="BC726" s="3"/>
      <c r="BE726" s="3"/>
    </row>
    <row r="727" spans="1:57" x14ac:dyDescent="0.25">
      <c r="A727" s="3" t="s">
        <v>527</v>
      </c>
      <c r="B727" s="5">
        <v>4800</v>
      </c>
      <c r="D727" s="5">
        <v>348</v>
      </c>
      <c r="E727" s="3">
        <f t="shared" si="473"/>
        <v>4452</v>
      </c>
      <c r="F727" s="5">
        <v>4800</v>
      </c>
      <c r="H727" s="5">
        <f t="shared" si="474"/>
        <v>0</v>
      </c>
      <c r="J727" s="3">
        <v>349</v>
      </c>
      <c r="K727" s="4">
        <f t="shared" si="475"/>
        <v>4451</v>
      </c>
      <c r="L727" s="4">
        <v>4800</v>
      </c>
      <c r="N727" s="4">
        <f t="shared" si="476"/>
        <v>0</v>
      </c>
      <c r="P727" s="3"/>
      <c r="Q727" s="3"/>
      <c r="R727" s="3">
        <v>3713</v>
      </c>
      <c r="S727" s="3">
        <f t="shared" si="477"/>
        <v>1087</v>
      </c>
      <c r="T727" s="3">
        <v>4800</v>
      </c>
      <c r="U727" s="3">
        <f t="shared" si="478"/>
        <v>4800</v>
      </c>
      <c r="V727" s="3">
        <v>8321</v>
      </c>
      <c r="W727" s="3">
        <f t="shared" si="479"/>
        <v>11679</v>
      </c>
      <c r="X727" s="3"/>
      <c r="Y727" s="3">
        <v>20000</v>
      </c>
      <c r="Z727" s="3">
        <f t="shared" si="480"/>
        <v>15200</v>
      </c>
      <c r="AA727" s="3"/>
      <c r="AB727" s="3"/>
      <c r="AC727" s="3">
        <v>21330</v>
      </c>
      <c r="AD727" s="3">
        <f t="shared" si="481"/>
        <v>3670</v>
      </c>
      <c r="AE727" s="3">
        <v>25000</v>
      </c>
      <c r="AF727" s="3">
        <f t="shared" si="482"/>
        <v>5000</v>
      </c>
      <c r="AG727" s="4"/>
      <c r="AH727" s="4">
        <v>3000</v>
      </c>
      <c r="AJ727" s="3">
        <v>1563</v>
      </c>
      <c r="AK727" s="3">
        <f t="shared" si="483"/>
        <v>1437</v>
      </c>
      <c r="AL727" s="3">
        <v>3000</v>
      </c>
      <c r="AM727" s="3">
        <f t="shared" si="484"/>
        <v>0</v>
      </c>
      <c r="AO727" s="3">
        <f>AH727*1.03</f>
        <v>3090</v>
      </c>
      <c r="AP727" s="3"/>
      <c r="AQ727" s="3">
        <f>AO727*1.03</f>
        <v>3182.7000000000003</v>
      </c>
      <c r="AR727" s="3"/>
      <c r="AS727" s="3">
        <f>AQ727*1.03</f>
        <v>3278.1810000000005</v>
      </c>
      <c r="AT727" s="3"/>
      <c r="AU727" s="3">
        <f>AS727*1.03</f>
        <v>3376.5264300000008</v>
      </c>
      <c r="AV727" s="42"/>
      <c r="AW727" s="3">
        <f>AU727*1.03</f>
        <v>3477.8222229000007</v>
      </c>
      <c r="AX727" s="42"/>
      <c r="AY727" s="3">
        <f>AW727*1.03</f>
        <v>3582.1568895870009</v>
      </c>
      <c r="AZ727" s="42"/>
      <c r="BA727" s="3">
        <f>AY727*1.03</f>
        <v>3689.621596274611</v>
      </c>
      <c r="BB727" s="42"/>
      <c r="BC727" s="3">
        <f>BA727*1.03</f>
        <v>3800.3102441628494</v>
      </c>
      <c r="BE727" s="3">
        <f>BC727*1.03</f>
        <v>3914.3195514877348</v>
      </c>
    </row>
    <row r="728" spans="1:57" x14ac:dyDescent="0.25">
      <c r="A728" s="3" t="s">
        <v>90</v>
      </c>
      <c r="E728" s="3">
        <f t="shared" si="473"/>
        <v>0</v>
      </c>
      <c r="H728" s="5">
        <f t="shared" si="474"/>
        <v>0</v>
      </c>
      <c r="J728" s="3"/>
      <c r="K728" s="4">
        <f t="shared" si="475"/>
        <v>0</v>
      </c>
      <c r="L728" s="4"/>
      <c r="N728" s="4">
        <f t="shared" si="476"/>
        <v>0</v>
      </c>
      <c r="P728" s="3"/>
      <c r="Q728" s="3"/>
      <c r="R728" s="3"/>
      <c r="S728" s="3">
        <f t="shared" si="477"/>
        <v>0</v>
      </c>
      <c r="T728" s="3"/>
      <c r="U728" s="3">
        <f t="shared" si="478"/>
        <v>0</v>
      </c>
      <c r="V728" s="3"/>
      <c r="W728" s="3">
        <f t="shared" si="479"/>
        <v>0</v>
      </c>
      <c r="X728" s="3"/>
      <c r="Y728" s="3"/>
      <c r="Z728" s="3">
        <f t="shared" si="480"/>
        <v>0</v>
      </c>
      <c r="AA728" s="3"/>
      <c r="AB728" s="3"/>
      <c r="AC728" s="3"/>
      <c r="AD728" s="3">
        <f t="shared" si="481"/>
        <v>0</v>
      </c>
      <c r="AE728" s="3"/>
      <c r="AF728" s="3">
        <f t="shared" si="482"/>
        <v>0</v>
      </c>
      <c r="AG728" s="4"/>
      <c r="AH728" s="4"/>
      <c r="AJ728" s="3"/>
      <c r="AK728" s="3">
        <f t="shared" si="483"/>
        <v>0</v>
      </c>
      <c r="AL728" s="3"/>
      <c r="AM728" s="3">
        <f t="shared" si="484"/>
        <v>0</v>
      </c>
      <c r="AO728" s="3"/>
      <c r="AP728" s="3"/>
      <c r="AQ728" s="3"/>
      <c r="AR728" s="3"/>
      <c r="AS728" s="3"/>
      <c r="AT728" s="3"/>
      <c r="AU728" s="3"/>
      <c r="AV728" s="42"/>
      <c r="AW728" s="3"/>
      <c r="AX728" s="42"/>
      <c r="AY728" s="3"/>
      <c r="AZ728" s="42"/>
      <c r="BA728" s="3"/>
      <c r="BB728" s="42"/>
      <c r="BC728" s="3"/>
      <c r="BE728" s="3"/>
    </row>
    <row r="729" spans="1:57" x14ac:dyDescent="0.25">
      <c r="A729" s="3" t="s">
        <v>248</v>
      </c>
      <c r="B729" s="5">
        <v>20000</v>
      </c>
      <c r="D729" s="5">
        <v>6166</v>
      </c>
      <c r="E729" s="3">
        <f t="shared" si="473"/>
        <v>23834</v>
      </c>
      <c r="F729" s="5">
        <v>30000</v>
      </c>
      <c r="H729" s="5">
        <f t="shared" si="474"/>
        <v>10000</v>
      </c>
      <c r="J729" s="3">
        <v>11236</v>
      </c>
      <c r="K729" s="4">
        <f t="shared" si="475"/>
        <v>18764</v>
      </c>
      <c r="L729" s="4">
        <v>30000</v>
      </c>
      <c r="N729" s="4">
        <f t="shared" si="476"/>
        <v>0</v>
      </c>
      <c r="P729" s="3">
        <v>30000</v>
      </c>
      <c r="Q729" s="3"/>
      <c r="R729" s="3">
        <v>1305</v>
      </c>
      <c r="S729" s="3">
        <f t="shared" si="477"/>
        <v>28695</v>
      </c>
      <c r="T729" s="3">
        <v>30000</v>
      </c>
      <c r="U729" s="3">
        <f t="shared" si="478"/>
        <v>0</v>
      </c>
      <c r="V729" s="3">
        <v>5971</v>
      </c>
      <c r="W729" s="3">
        <f t="shared" si="479"/>
        <v>24029</v>
      </c>
      <c r="X729" s="3"/>
      <c r="Y729" s="3">
        <v>30000</v>
      </c>
      <c r="Z729" s="3">
        <f t="shared" si="480"/>
        <v>0</v>
      </c>
      <c r="AA729" s="3"/>
      <c r="AB729" s="3"/>
      <c r="AC729" s="3">
        <v>6572</v>
      </c>
      <c r="AD729" s="3">
        <f t="shared" si="481"/>
        <v>23428</v>
      </c>
      <c r="AE729" s="3">
        <v>30000</v>
      </c>
      <c r="AF729" s="3">
        <f t="shared" si="482"/>
        <v>0</v>
      </c>
      <c r="AG729" s="4"/>
      <c r="AH729" s="4">
        <v>30000</v>
      </c>
      <c r="AJ729" s="3">
        <v>1175</v>
      </c>
      <c r="AK729" s="3">
        <f t="shared" si="483"/>
        <v>28825</v>
      </c>
      <c r="AL729" s="3">
        <v>30000</v>
      </c>
      <c r="AM729" s="3">
        <f t="shared" si="484"/>
        <v>0</v>
      </c>
      <c r="AO729" s="3">
        <v>30000</v>
      </c>
      <c r="AP729" s="3"/>
      <c r="AQ729" s="3">
        <v>30000</v>
      </c>
      <c r="AR729" s="3"/>
      <c r="AS729" s="3">
        <v>30000</v>
      </c>
      <c r="AT729" s="3"/>
      <c r="AU729" s="3">
        <v>30000</v>
      </c>
      <c r="AV729" s="42"/>
      <c r="AW729" s="3">
        <v>30000</v>
      </c>
      <c r="AX729" s="42"/>
      <c r="AY729" s="3">
        <v>30000</v>
      </c>
      <c r="AZ729" s="42"/>
      <c r="BA729" s="3">
        <v>30000</v>
      </c>
      <c r="BB729" s="42"/>
      <c r="BC729" s="3">
        <v>30000</v>
      </c>
      <c r="BE729" s="3">
        <v>30000</v>
      </c>
    </row>
    <row r="730" spans="1:57" s="42" customFormat="1" x14ac:dyDescent="0.25">
      <c r="A730" s="3" t="s">
        <v>528</v>
      </c>
      <c r="B730" s="3"/>
      <c r="C730" s="3"/>
      <c r="D730" s="3"/>
      <c r="E730" s="3">
        <f t="shared" si="473"/>
        <v>0</v>
      </c>
      <c r="F730" s="3"/>
      <c r="G730" s="3"/>
      <c r="H730" s="3">
        <f t="shared" si="474"/>
        <v>0</v>
      </c>
      <c r="I730" s="3"/>
      <c r="J730" s="3"/>
      <c r="K730" s="4">
        <f t="shared" si="475"/>
        <v>0</v>
      </c>
      <c r="L730" s="4"/>
      <c r="M730" s="4"/>
      <c r="N730" s="4">
        <f t="shared" si="476"/>
        <v>0</v>
      </c>
      <c r="O730" s="4"/>
      <c r="P730" s="3"/>
      <c r="Q730" s="3"/>
      <c r="R730" s="3"/>
      <c r="S730" s="3">
        <f t="shared" si="477"/>
        <v>0</v>
      </c>
      <c r="T730" s="3"/>
      <c r="U730" s="3">
        <f t="shared" si="478"/>
        <v>0</v>
      </c>
      <c r="V730" s="3"/>
      <c r="W730" s="3">
        <f t="shared" si="479"/>
        <v>0</v>
      </c>
      <c r="X730" s="3"/>
      <c r="Y730" s="3"/>
      <c r="Z730" s="3">
        <f t="shared" si="480"/>
        <v>0</v>
      </c>
      <c r="AA730" s="3"/>
      <c r="AB730" s="3"/>
      <c r="AC730" s="3"/>
      <c r="AD730" s="3">
        <f t="shared" si="481"/>
        <v>0</v>
      </c>
      <c r="AE730" s="3"/>
      <c r="AF730" s="3">
        <f t="shared" si="482"/>
        <v>0</v>
      </c>
      <c r="AG730" s="4"/>
      <c r="AH730" s="4"/>
      <c r="AI730" s="4"/>
      <c r="AJ730" s="3"/>
      <c r="AK730" s="3">
        <f t="shared" si="483"/>
        <v>0</v>
      </c>
      <c r="AL730" s="3"/>
      <c r="AM730" s="3">
        <f t="shared" si="484"/>
        <v>0</v>
      </c>
      <c r="AN730" s="4"/>
      <c r="AO730" s="3"/>
      <c r="AP730" s="3"/>
      <c r="AQ730" s="3"/>
      <c r="AR730" s="3"/>
      <c r="AS730" s="3"/>
      <c r="AT730" s="3"/>
      <c r="AU730" s="3"/>
      <c r="AW730" s="3"/>
      <c r="AY730" s="3"/>
      <c r="BA730" s="3"/>
      <c r="BC730" s="3"/>
      <c r="BE730" s="3"/>
    </row>
    <row r="731" spans="1:57" x14ac:dyDescent="0.25">
      <c r="A731" s="3" t="s">
        <v>529</v>
      </c>
      <c r="E731" s="3">
        <f t="shared" si="473"/>
        <v>0</v>
      </c>
      <c r="H731" s="5">
        <f t="shared" si="474"/>
        <v>0</v>
      </c>
      <c r="J731" s="3"/>
      <c r="K731" s="4">
        <f t="shared" si="475"/>
        <v>0</v>
      </c>
      <c r="L731" s="4"/>
      <c r="N731" s="4">
        <f t="shared" si="476"/>
        <v>0</v>
      </c>
      <c r="P731" s="3"/>
      <c r="Q731" s="3"/>
      <c r="R731" s="3"/>
      <c r="S731" s="3">
        <f t="shared" si="477"/>
        <v>0</v>
      </c>
      <c r="T731" s="3"/>
      <c r="U731" s="3">
        <f t="shared" si="478"/>
        <v>0</v>
      </c>
      <c r="V731" s="3"/>
      <c r="W731" s="3">
        <f t="shared" si="479"/>
        <v>0</v>
      </c>
      <c r="X731" s="3"/>
      <c r="Y731" s="3"/>
      <c r="Z731" s="3">
        <f t="shared" si="480"/>
        <v>0</v>
      </c>
      <c r="AA731" s="3"/>
      <c r="AB731" s="3"/>
      <c r="AC731" s="3"/>
      <c r="AD731" s="3">
        <f t="shared" si="481"/>
        <v>0</v>
      </c>
      <c r="AE731" s="3"/>
      <c r="AF731" s="3">
        <f t="shared" si="482"/>
        <v>0</v>
      </c>
      <c r="AG731" s="4"/>
      <c r="AH731" s="4"/>
      <c r="AJ731" s="3"/>
      <c r="AK731" s="3">
        <f t="shared" si="483"/>
        <v>0</v>
      </c>
      <c r="AL731" s="3"/>
      <c r="AM731" s="3">
        <f t="shared" si="484"/>
        <v>0</v>
      </c>
      <c r="AO731" s="3"/>
      <c r="AP731" s="3"/>
      <c r="AQ731" s="3"/>
      <c r="AR731" s="3"/>
      <c r="AS731" s="3"/>
      <c r="AT731" s="3"/>
      <c r="AU731" s="3"/>
      <c r="AV731" s="42"/>
      <c r="AW731" s="3"/>
      <c r="AX731" s="42"/>
      <c r="AY731" s="3"/>
      <c r="AZ731" s="42"/>
      <c r="BA731" s="3"/>
      <c r="BB731" s="42"/>
      <c r="BC731" s="3"/>
      <c r="BE731" s="3"/>
    </row>
    <row r="732" spans="1:57" x14ac:dyDescent="0.25">
      <c r="A732" s="3" t="s">
        <v>530</v>
      </c>
      <c r="E732" s="3">
        <f t="shared" si="473"/>
        <v>0</v>
      </c>
      <c r="H732" s="5">
        <f t="shared" si="474"/>
        <v>0</v>
      </c>
      <c r="J732" s="3"/>
      <c r="K732" s="4">
        <f t="shared" si="475"/>
        <v>0</v>
      </c>
      <c r="L732" s="4"/>
      <c r="N732" s="4">
        <f t="shared" si="476"/>
        <v>0</v>
      </c>
      <c r="P732" s="3"/>
      <c r="Q732" s="3"/>
      <c r="R732" s="3"/>
      <c r="S732" s="3">
        <f t="shared" si="477"/>
        <v>0</v>
      </c>
      <c r="T732" s="3"/>
      <c r="U732" s="3">
        <f t="shared" si="478"/>
        <v>0</v>
      </c>
      <c r="V732" s="3"/>
      <c r="W732" s="3">
        <f t="shared" si="479"/>
        <v>0</v>
      </c>
      <c r="X732" s="3"/>
      <c r="Y732" s="3"/>
      <c r="Z732" s="3">
        <f t="shared" si="480"/>
        <v>0</v>
      </c>
      <c r="AA732" s="3"/>
      <c r="AB732" s="3"/>
      <c r="AC732" s="3"/>
      <c r="AD732" s="3">
        <f t="shared" si="481"/>
        <v>0</v>
      </c>
      <c r="AE732" s="3"/>
      <c r="AF732" s="3">
        <f t="shared" si="482"/>
        <v>0</v>
      </c>
      <c r="AG732" s="4"/>
      <c r="AH732" s="4"/>
      <c r="AJ732" s="3"/>
      <c r="AK732" s="3">
        <f t="shared" si="483"/>
        <v>0</v>
      </c>
      <c r="AL732" s="3"/>
      <c r="AM732" s="3">
        <f t="shared" si="484"/>
        <v>0</v>
      </c>
      <c r="AO732" s="3"/>
      <c r="AP732" s="3"/>
      <c r="AQ732" s="3"/>
      <c r="AR732" s="3"/>
      <c r="AS732" s="3"/>
      <c r="AT732" s="3"/>
      <c r="AU732" s="3"/>
      <c r="AV732" s="42"/>
      <c r="AW732" s="3"/>
      <c r="AX732" s="42"/>
      <c r="AY732" s="3"/>
      <c r="AZ732" s="42"/>
      <c r="BA732" s="3"/>
      <c r="BB732" s="42"/>
      <c r="BC732" s="3"/>
      <c r="BE732" s="3"/>
    </row>
    <row r="733" spans="1:57" x14ac:dyDescent="0.25">
      <c r="A733" s="3" t="s">
        <v>531</v>
      </c>
      <c r="E733" s="3">
        <f t="shared" si="473"/>
        <v>0</v>
      </c>
      <c r="H733" s="5">
        <f t="shared" si="474"/>
        <v>0</v>
      </c>
      <c r="J733" s="3"/>
      <c r="K733" s="4">
        <f t="shared" si="475"/>
        <v>0</v>
      </c>
      <c r="L733" s="4"/>
      <c r="N733" s="4">
        <f t="shared" si="476"/>
        <v>0</v>
      </c>
      <c r="P733" s="3"/>
      <c r="Q733" s="3"/>
      <c r="R733" s="3"/>
      <c r="S733" s="3">
        <f t="shared" si="477"/>
        <v>0</v>
      </c>
      <c r="T733" s="3"/>
      <c r="U733" s="3">
        <f t="shared" si="478"/>
        <v>0</v>
      </c>
      <c r="V733" s="3"/>
      <c r="W733" s="3">
        <f t="shared" si="479"/>
        <v>0</v>
      </c>
      <c r="X733" s="3"/>
      <c r="Y733" s="3"/>
      <c r="Z733" s="3">
        <f t="shared" si="480"/>
        <v>0</v>
      </c>
      <c r="AA733" s="3"/>
      <c r="AB733" s="3"/>
      <c r="AC733" s="3"/>
      <c r="AD733" s="3">
        <f t="shared" si="481"/>
        <v>0</v>
      </c>
      <c r="AE733" s="3"/>
      <c r="AF733" s="3">
        <f t="shared" si="482"/>
        <v>0</v>
      </c>
      <c r="AG733" s="4"/>
      <c r="AH733" s="4"/>
      <c r="AJ733" s="3"/>
      <c r="AK733" s="3">
        <f t="shared" si="483"/>
        <v>0</v>
      </c>
      <c r="AL733" s="3"/>
      <c r="AM733" s="3">
        <f t="shared" si="484"/>
        <v>0</v>
      </c>
      <c r="AO733" s="3"/>
      <c r="AP733" s="3"/>
      <c r="AQ733" s="3"/>
      <c r="AR733" s="3"/>
      <c r="AS733" s="3"/>
      <c r="AT733" s="3"/>
      <c r="AU733" s="3"/>
      <c r="AV733" s="42"/>
      <c r="AW733" s="3"/>
      <c r="AX733" s="42"/>
      <c r="AY733" s="3"/>
      <c r="AZ733" s="42"/>
      <c r="BA733" s="3"/>
      <c r="BB733" s="42"/>
      <c r="BC733" s="3"/>
      <c r="BE733" s="3"/>
    </row>
    <row r="734" spans="1:57" x14ac:dyDescent="0.25">
      <c r="A734" s="3" t="s">
        <v>234</v>
      </c>
      <c r="E734" s="3">
        <f t="shared" si="473"/>
        <v>0</v>
      </c>
      <c r="H734" s="5">
        <f t="shared" si="474"/>
        <v>0</v>
      </c>
      <c r="J734" s="3"/>
      <c r="K734" s="4">
        <f t="shared" si="475"/>
        <v>0</v>
      </c>
      <c r="L734" s="4"/>
      <c r="N734" s="4">
        <f t="shared" si="476"/>
        <v>0</v>
      </c>
      <c r="P734" s="3"/>
      <c r="Q734" s="3"/>
      <c r="R734" s="3"/>
      <c r="S734" s="3">
        <f t="shared" si="477"/>
        <v>0</v>
      </c>
      <c r="T734" s="3"/>
      <c r="U734" s="3">
        <f t="shared" si="478"/>
        <v>0</v>
      </c>
      <c r="V734" s="3"/>
      <c r="W734" s="3">
        <f t="shared" si="479"/>
        <v>0</v>
      </c>
      <c r="X734" s="3"/>
      <c r="Y734" s="3"/>
      <c r="Z734" s="3">
        <f t="shared" si="480"/>
        <v>0</v>
      </c>
      <c r="AA734" s="3"/>
      <c r="AB734" s="3"/>
      <c r="AC734" s="3"/>
      <c r="AD734" s="3">
        <f t="shared" si="481"/>
        <v>0</v>
      </c>
      <c r="AE734" s="3"/>
      <c r="AF734" s="3">
        <f t="shared" si="482"/>
        <v>0</v>
      </c>
      <c r="AG734" s="4"/>
      <c r="AH734" s="4"/>
      <c r="AJ734" s="3"/>
      <c r="AK734" s="3">
        <f t="shared" si="483"/>
        <v>0</v>
      </c>
      <c r="AL734" s="3"/>
      <c r="AM734" s="3">
        <f t="shared" si="484"/>
        <v>0</v>
      </c>
      <c r="AO734" s="3"/>
      <c r="AP734" s="3"/>
      <c r="AQ734" s="3"/>
      <c r="AR734" s="3"/>
      <c r="AS734" s="3"/>
      <c r="AT734" s="3"/>
      <c r="AU734" s="3"/>
      <c r="AV734" s="42"/>
      <c r="AW734" s="3"/>
      <c r="AX734" s="42"/>
      <c r="AY734" s="3"/>
      <c r="AZ734" s="42"/>
      <c r="BA734" s="3"/>
      <c r="BB734" s="42"/>
      <c r="BC734" s="3"/>
      <c r="BE734" s="3"/>
    </row>
    <row r="735" spans="1:57" x14ac:dyDescent="0.25">
      <c r="A735" s="3" t="s">
        <v>532</v>
      </c>
      <c r="J735" s="3"/>
      <c r="K735" s="4">
        <f t="shared" si="475"/>
        <v>0</v>
      </c>
      <c r="L735" s="4"/>
      <c r="N735" s="4">
        <f t="shared" si="476"/>
        <v>0</v>
      </c>
      <c r="P735" s="3"/>
      <c r="Q735" s="3"/>
      <c r="R735" s="3"/>
      <c r="S735" s="3">
        <f t="shared" si="477"/>
        <v>0</v>
      </c>
      <c r="T735" s="3"/>
      <c r="U735" s="3">
        <f t="shared" si="478"/>
        <v>0</v>
      </c>
      <c r="V735" s="3"/>
      <c r="W735" s="3">
        <f t="shared" si="479"/>
        <v>0</v>
      </c>
      <c r="X735" s="3"/>
      <c r="Y735" s="3"/>
      <c r="Z735" s="3">
        <f t="shared" si="480"/>
        <v>0</v>
      </c>
      <c r="AA735" s="3"/>
      <c r="AB735" s="3"/>
      <c r="AC735" s="3"/>
      <c r="AD735" s="3">
        <f t="shared" si="481"/>
        <v>0</v>
      </c>
      <c r="AE735" s="3"/>
      <c r="AF735" s="3">
        <f t="shared" si="482"/>
        <v>0</v>
      </c>
      <c r="AG735" s="4"/>
      <c r="AH735" s="4"/>
      <c r="AJ735" s="3"/>
      <c r="AK735" s="3">
        <f t="shared" si="483"/>
        <v>0</v>
      </c>
      <c r="AL735" s="3"/>
      <c r="AM735" s="3">
        <f t="shared" si="484"/>
        <v>0</v>
      </c>
      <c r="AO735" s="3"/>
      <c r="AP735" s="3"/>
      <c r="AQ735" s="3"/>
      <c r="AR735" s="3"/>
      <c r="AS735" s="3"/>
      <c r="AT735" s="3"/>
      <c r="AU735" s="3"/>
      <c r="AV735" s="42"/>
      <c r="AW735" s="3"/>
      <c r="AX735" s="42"/>
      <c r="AY735" s="3"/>
      <c r="AZ735" s="42"/>
      <c r="BA735" s="3"/>
      <c r="BB735" s="42"/>
      <c r="BC735" s="3"/>
      <c r="BE735" s="3"/>
    </row>
    <row r="736" spans="1:57" x14ac:dyDescent="0.25">
      <c r="A736" s="3" t="s">
        <v>533</v>
      </c>
      <c r="J736" s="3"/>
      <c r="K736" s="4">
        <f t="shared" si="475"/>
        <v>0</v>
      </c>
      <c r="L736" s="4"/>
      <c r="N736" s="4">
        <f t="shared" si="476"/>
        <v>0</v>
      </c>
      <c r="P736" s="3"/>
      <c r="Q736" s="3"/>
      <c r="R736" s="3"/>
      <c r="S736" s="3">
        <f t="shared" si="477"/>
        <v>0</v>
      </c>
      <c r="T736" s="3"/>
      <c r="U736" s="3">
        <f t="shared" si="478"/>
        <v>0</v>
      </c>
      <c r="V736" s="3"/>
      <c r="W736" s="3">
        <f t="shared" si="479"/>
        <v>0</v>
      </c>
      <c r="X736" s="3"/>
      <c r="Y736" s="3"/>
      <c r="Z736" s="3">
        <f t="shared" si="480"/>
        <v>0</v>
      </c>
      <c r="AA736" s="3"/>
      <c r="AB736" s="3"/>
      <c r="AC736" s="3"/>
      <c r="AD736" s="3">
        <f t="shared" si="481"/>
        <v>0</v>
      </c>
      <c r="AE736" s="3"/>
      <c r="AF736" s="3">
        <f t="shared" si="482"/>
        <v>0</v>
      </c>
      <c r="AG736" s="4"/>
      <c r="AH736" s="4"/>
      <c r="AJ736" s="3"/>
      <c r="AK736" s="3">
        <f t="shared" si="483"/>
        <v>0</v>
      </c>
      <c r="AL736" s="3"/>
      <c r="AM736" s="3">
        <f t="shared" si="484"/>
        <v>0</v>
      </c>
      <c r="AO736" s="3"/>
      <c r="AP736" s="3"/>
      <c r="AQ736" s="3"/>
      <c r="AR736" s="3"/>
      <c r="AS736" s="3"/>
      <c r="AT736" s="3"/>
      <c r="AU736" s="3"/>
      <c r="AV736" s="42"/>
      <c r="AW736" s="3"/>
      <c r="AX736" s="42"/>
      <c r="AY736" s="3"/>
      <c r="AZ736" s="42"/>
      <c r="BA736" s="3"/>
      <c r="BB736" s="42"/>
      <c r="BC736" s="3"/>
      <c r="BE736" s="3"/>
    </row>
    <row r="737" spans="1:57" x14ac:dyDescent="0.25">
      <c r="A737" s="3" t="s">
        <v>534</v>
      </c>
      <c r="J737" s="3"/>
      <c r="K737" s="4">
        <f t="shared" si="475"/>
        <v>0</v>
      </c>
      <c r="L737" s="4"/>
      <c r="N737" s="4">
        <f t="shared" si="476"/>
        <v>0</v>
      </c>
      <c r="P737" s="3"/>
      <c r="Q737" s="3"/>
      <c r="R737" s="3"/>
      <c r="S737" s="3">
        <f t="shared" si="477"/>
        <v>0</v>
      </c>
      <c r="T737" s="3"/>
      <c r="U737" s="3">
        <f t="shared" si="478"/>
        <v>0</v>
      </c>
      <c r="V737" s="3"/>
      <c r="W737" s="3">
        <f t="shared" si="479"/>
        <v>0</v>
      </c>
      <c r="X737" s="3"/>
      <c r="Y737" s="3"/>
      <c r="Z737" s="3">
        <f t="shared" si="480"/>
        <v>0</v>
      </c>
      <c r="AA737" s="3"/>
      <c r="AB737" s="3"/>
      <c r="AC737" s="3"/>
      <c r="AD737" s="3">
        <f t="shared" si="481"/>
        <v>0</v>
      </c>
      <c r="AE737" s="3"/>
      <c r="AF737" s="3">
        <f t="shared" si="482"/>
        <v>0</v>
      </c>
      <c r="AG737" s="4"/>
      <c r="AH737" s="4"/>
      <c r="AJ737" s="3"/>
      <c r="AK737" s="3">
        <f t="shared" si="483"/>
        <v>0</v>
      </c>
      <c r="AL737" s="3"/>
      <c r="AM737" s="3">
        <f t="shared" si="484"/>
        <v>0</v>
      </c>
      <c r="AO737" s="3"/>
      <c r="AP737" s="3"/>
      <c r="AQ737" s="3"/>
      <c r="AR737" s="3"/>
      <c r="AS737" s="3"/>
      <c r="AT737" s="3"/>
      <c r="AU737" s="3"/>
      <c r="AV737" s="42"/>
      <c r="AW737" s="3"/>
      <c r="AX737" s="42"/>
      <c r="AY737" s="3"/>
      <c r="AZ737" s="42"/>
      <c r="BA737" s="3"/>
      <c r="BB737" s="42"/>
      <c r="BC737" s="3"/>
      <c r="BE737" s="3"/>
    </row>
    <row r="738" spans="1:57" x14ac:dyDescent="0.25">
      <c r="A738" s="3" t="s">
        <v>234</v>
      </c>
      <c r="J738" s="3"/>
      <c r="K738" s="4">
        <f t="shared" si="475"/>
        <v>0</v>
      </c>
      <c r="L738" s="4"/>
      <c r="N738" s="4">
        <f t="shared" si="476"/>
        <v>0</v>
      </c>
      <c r="P738" s="3"/>
      <c r="Q738" s="3"/>
      <c r="R738" s="3"/>
      <c r="S738" s="3">
        <f t="shared" si="477"/>
        <v>0</v>
      </c>
      <c r="T738" s="3"/>
      <c r="U738" s="3">
        <f t="shared" si="478"/>
        <v>0</v>
      </c>
      <c r="V738" s="3"/>
      <c r="W738" s="3">
        <f t="shared" si="479"/>
        <v>0</v>
      </c>
      <c r="X738" s="3"/>
      <c r="Y738" s="3"/>
      <c r="Z738" s="3">
        <f t="shared" si="480"/>
        <v>0</v>
      </c>
      <c r="AA738" s="3"/>
      <c r="AB738" s="3"/>
      <c r="AC738" s="3"/>
      <c r="AD738" s="3">
        <f t="shared" si="481"/>
        <v>0</v>
      </c>
      <c r="AE738" s="3"/>
      <c r="AF738" s="3">
        <f t="shared" si="482"/>
        <v>0</v>
      </c>
      <c r="AG738" s="4"/>
      <c r="AH738" s="4"/>
      <c r="AJ738" s="3"/>
      <c r="AK738" s="3">
        <f t="shared" si="483"/>
        <v>0</v>
      </c>
      <c r="AL738" s="3"/>
      <c r="AM738" s="3">
        <f t="shared" si="484"/>
        <v>0</v>
      </c>
      <c r="AO738" s="3"/>
      <c r="AP738" s="3"/>
      <c r="AQ738" s="3"/>
      <c r="AR738" s="3"/>
      <c r="AS738" s="3"/>
      <c r="AT738" s="3"/>
      <c r="AU738" s="3"/>
      <c r="AV738" s="42"/>
      <c r="AW738" s="3"/>
      <c r="AX738" s="42"/>
      <c r="AY738" s="3"/>
      <c r="AZ738" s="42"/>
      <c r="BA738" s="3"/>
      <c r="BB738" s="42"/>
      <c r="BC738" s="3"/>
      <c r="BE738" s="3"/>
    </row>
    <row r="739" spans="1:57" x14ac:dyDescent="0.25">
      <c r="A739" s="3" t="s">
        <v>535</v>
      </c>
      <c r="J739" s="3"/>
      <c r="K739" s="4">
        <f t="shared" si="475"/>
        <v>0</v>
      </c>
      <c r="L739" s="4"/>
      <c r="N739" s="4">
        <f t="shared" si="476"/>
        <v>0</v>
      </c>
      <c r="P739" s="3"/>
      <c r="Q739" s="3"/>
      <c r="R739" s="3"/>
      <c r="S739" s="3">
        <f t="shared" si="477"/>
        <v>0</v>
      </c>
      <c r="T739" s="3"/>
      <c r="U739" s="3">
        <f t="shared" si="478"/>
        <v>0</v>
      </c>
      <c r="V739" s="3"/>
      <c r="W739" s="3">
        <f t="shared" si="479"/>
        <v>0</v>
      </c>
      <c r="X739" s="3"/>
      <c r="Y739" s="3"/>
      <c r="Z739" s="3">
        <f t="shared" si="480"/>
        <v>0</v>
      </c>
      <c r="AA739" s="3"/>
      <c r="AB739" s="3"/>
      <c r="AC739" s="3"/>
      <c r="AD739" s="3">
        <f t="shared" si="481"/>
        <v>0</v>
      </c>
      <c r="AE739" s="3"/>
      <c r="AF739" s="3">
        <f t="shared" si="482"/>
        <v>0</v>
      </c>
      <c r="AG739" s="4"/>
      <c r="AH739" s="4"/>
      <c r="AJ739" s="3"/>
      <c r="AK739" s="3">
        <f t="shared" si="483"/>
        <v>0</v>
      </c>
      <c r="AL739" s="3"/>
      <c r="AM739" s="3">
        <f t="shared" si="484"/>
        <v>0</v>
      </c>
      <c r="AO739" s="3"/>
      <c r="AP739" s="3"/>
      <c r="AQ739" s="3"/>
      <c r="AR739" s="3"/>
      <c r="AS739" s="3"/>
      <c r="AT739" s="3"/>
      <c r="AU739" s="3"/>
      <c r="AV739" s="42"/>
      <c r="AW739" s="3"/>
      <c r="AX739" s="42"/>
      <c r="AY739" s="3"/>
      <c r="AZ739" s="42"/>
      <c r="BA739" s="3"/>
      <c r="BB739" s="42"/>
      <c r="BC739" s="3"/>
      <c r="BE739" s="3"/>
    </row>
    <row r="740" spans="1:57" x14ac:dyDescent="0.25">
      <c r="A740" s="3" t="s">
        <v>536</v>
      </c>
      <c r="J740" s="3"/>
      <c r="K740" s="4">
        <f t="shared" si="475"/>
        <v>0</v>
      </c>
      <c r="L740" s="4"/>
      <c r="N740" s="4">
        <f t="shared" si="476"/>
        <v>0</v>
      </c>
      <c r="P740" s="3"/>
      <c r="Q740" s="3"/>
      <c r="R740" s="3"/>
      <c r="S740" s="3">
        <f t="shared" si="477"/>
        <v>0</v>
      </c>
      <c r="T740" s="3"/>
      <c r="U740" s="3">
        <f t="shared" si="478"/>
        <v>0</v>
      </c>
      <c r="V740" s="3"/>
      <c r="W740" s="3">
        <f t="shared" si="479"/>
        <v>0</v>
      </c>
      <c r="X740" s="3"/>
      <c r="Y740" s="3"/>
      <c r="Z740" s="3">
        <f t="shared" si="480"/>
        <v>0</v>
      </c>
      <c r="AA740" s="3"/>
      <c r="AB740" s="3"/>
      <c r="AC740" s="3"/>
      <c r="AD740" s="3">
        <f t="shared" si="481"/>
        <v>0</v>
      </c>
      <c r="AE740" s="3"/>
      <c r="AF740" s="3">
        <f t="shared" si="482"/>
        <v>0</v>
      </c>
      <c r="AG740" s="4"/>
      <c r="AH740" s="4"/>
      <c r="AJ740" s="3"/>
      <c r="AK740" s="3">
        <f t="shared" si="483"/>
        <v>0</v>
      </c>
      <c r="AL740" s="3"/>
      <c r="AM740" s="3">
        <f t="shared" si="484"/>
        <v>0</v>
      </c>
      <c r="AO740" s="3"/>
      <c r="AP740" s="3"/>
      <c r="AQ740" s="3"/>
      <c r="AR740" s="3"/>
      <c r="AS740" s="3"/>
      <c r="AT740" s="3"/>
      <c r="AU740" s="3"/>
      <c r="AV740" s="42"/>
      <c r="AW740" s="3"/>
      <c r="AX740" s="42"/>
      <c r="AY740" s="3"/>
      <c r="AZ740" s="42"/>
      <c r="BA740" s="3"/>
      <c r="BB740" s="42"/>
      <c r="BC740" s="3"/>
      <c r="BE740" s="3"/>
    </row>
    <row r="741" spans="1:57" x14ac:dyDescent="0.25">
      <c r="A741" s="3" t="s">
        <v>537</v>
      </c>
      <c r="J741" s="3"/>
      <c r="K741" s="4">
        <f t="shared" si="475"/>
        <v>0</v>
      </c>
      <c r="L741" s="4"/>
      <c r="N741" s="4">
        <f t="shared" si="476"/>
        <v>0</v>
      </c>
      <c r="P741" s="3"/>
      <c r="Q741" s="3"/>
      <c r="R741" s="3"/>
      <c r="S741" s="3">
        <f t="shared" si="477"/>
        <v>0</v>
      </c>
      <c r="T741" s="3"/>
      <c r="U741" s="3">
        <f t="shared" si="478"/>
        <v>0</v>
      </c>
      <c r="V741" s="3"/>
      <c r="W741" s="3">
        <f t="shared" si="479"/>
        <v>0</v>
      </c>
      <c r="X741" s="3"/>
      <c r="Y741" s="3"/>
      <c r="Z741" s="3">
        <f t="shared" si="480"/>
        <v>0</v>
      </c>
      <c r="AA741" s="3"/>
      <c r="AB741" s="3"/>
      <c r="AC741" s="3"/>
      <c r="AD741" s="3">
        <f t="shared" si="481"/>
        <v>0</v>
      </c>
      <c r="AE741" s="3"/>
      <c r="AF741" s="3">
        <f t="shared" si="482"/>
        <v>0</v>
      </c>
      <c r="AG741" s="4"/>
      <c r="AH741" s="4"/>
      <c r="AJ741" s="3"/>
      <c r="AK741" s="3">
        <f t="shared" si="483"/>
        <v>0</v>
      </c>
      <c r="AL741" s="3"/>
      <c r="AM741" s="3">
        <f t="shared" si="484"/>
        <v>0</v>
      </c>
      <c r="AO741" s="3"/>
      <c r="AP741" s="3"/>
      <c r="AQ741" s="3"/>
      <c r="AR741" s="3"/>
      <c r="AS741" s="3"/>
      <c r="AT741" s="3"/>
      <c r="AU741" s="3"/>
      <c r="AV741" s="42"/>
      <c r="AW741" s="3"/>
      <c r="AX741" s="42"/>
      <c r="AY741" s="3"/>
      <c r="AZ741" s="42"/>
      <c r="BA741" s="3"/>
      <c r="BB741" s="42"/>
      <c r="BC741" s="3"/>
      <c r="BE741" s="3"/>
    </row>
    <row r="742" spans="1:57" x14ac:dyDescent="0.25">
      <c r="A742" s="3" t="s">
        <v>538</v>
      </c>
      <c r="J742" s="3"/>
      <c r="K742" s="4">
        <f t="shared" si="475"/>
        <v>0</v>
      </c>
      <c r="L742" s="4"/>
      <c r="N742" s="4">
        <f t="shared" si="476"/>
        <v>0</v>
      </c>
      <c r="P742" s="3">
        <f>B742*1.03</f>
        <v>0</v>
      </c>
      <c r="Q742" s="3"/>
      <c r="R742" s="3"/>
      <c r="S742" s="3">
        <f t="shared" si="477"/>
        <v>0</v>
      </c>
      <c r="T742" s="3"/>
      <c r="U742" s="3">
        <f t="shared" si="478"/>
        <v>0</v>
      </c>
      <c r="V742" s="3"/>
      <c r="W742" s="3">
        <f t="shared" si="479"/>
        <v>0</v>
      </c>
      <c r="X742" s="3"/>
      <c r="Y742" s="3"/>
      <c r="Z742" s="3">
        <f t="shared" si="480"/>
        <v>0</v>
      </c>
      <c r="AA742" s="3"/>
      <c r="AB742" s="3"/>
      <c r="AC742" s="3"/>
      <c r="AD742" s="3">
        <f t="shared" si="481"/>
        <v>0</v>
      </c>
      <c r="AE742" s="3"/>
      <c r="AF742" s="3">
        <f t="shared" si="482"/>
        <v>0</v>
      </c>
      <c r="AG742" s="4"/>
      <c r="AH742" s="4">
        <f>P742*1.03</f>
        <v>0</v>
      </c>
      <c r="AJ742" s="3"/>
      <c r="AK742" s="3">
        <f t="shared" si="483"/>
        <v>0</v>
      </c>
      <c r="AL742" s="3"/>
      <c r="AM742" s="3">
        <f t="shared" si="484"/>
        <v>0</v>
      </c>
      <c r="AO742" s="3">
        <f>AH742*1.03</f>
        <v>0</v>
      </c>
      <c r="AP742" s="3"/>
      <c r="AQ742" s="3">
        <f>AO742*1.03</f>
        <v>0</v>
      </c>
      <c r="AR742" s="3"/>
      <c r="AS742" s="3">
        <f>AQ742*1.03</f>
        <v>0</v>
      </c>
      <c r="AT742" s="3"/>
      <c r="AU742" s="3">
        <f>AS742*1.03</f>
        <v>0</v>
      </c>
      <c r="AV742" s="42"/>
      <c r="AW742" s="3">
        <f>AU742*1.03</f>
        <v>0</v>
      </c>
      <c r="AX742" s="42"/>
      <c r="AY742" s="3">
        <f>AW742*1.03</f>
        <v>0</v>
      </c>
      <c r="AZ742" s="42"/>
      <c r="BA742" s="3">
        <f>AY742*1.03</f>
        <v>0</v>
      </c>
      <c r="BB742" s="42"/>
      <c r="BC742" s="3">
        <f>BA742*1.03</f>
        <v>0</v>
      </c>
      <c r="BE742" s="3">
        <f>BC742*1.03</f>
        <v>0</v>
      </c>
    </row>
    <row r="743" spans="1:57" x14ac:dyDescent="0.25">
      <c r="A743" s="3" t="s">
        <v>539</v>
      </c>
      <c r="E743" s="3">
        <f>F743-D743</f>
        <v>0</v>
      </c>
      <c r="H743" s="5">
        <f>F743-B743</f>
        <v>0</v>
      </c>
      <c r="J743" s="3"/>
      <c r="K743" s="4">
        <f t="shared" si="475"/>
        <v>0</v>
      </c>
      <c r="L743" s="4"/>
      <c r="N743" s="4">
        <f t="shared" si="476"/>
        <v>0</v>
      </c>
      <c r="P743" s="3"/>
      <c r="Q743" s="3"/>
      <c r="R743" s="3"/>
      <c r="S743" s="3">
        <f t="shared" si="477"/>
        <v>0</v>
      </c>
      <c r="T743" s="3"/>
      <c r="U743" s="3">
        <f t="shared" si="478"/>
        <v>0</v>
      </c>
      <c r="V743" s="3"/>
      <c r="W743" s="3">
        <f t="shared" si="479"/>
        <v>0</v>
      </c>
      <c r="X743" s="3"/>
      <c r="Y743" s="3"/>
      <c r="Z743" s="3">
        <f t="shared" si="480"/>
        <v>0</v>
      </c>
      <c r="AA743" s="3"/>
      <c r="AB743" s="3"/>
      <c r="AC743" s="3"/>
      <c r="AD743" s="3">
        <f t="shared" si="481"/>
        <v>0</v>
      </c>
      <c r="AE743" s="3"/>
      <c r="AF743" s="3">
        <f t="shared" si="482"/>
        <v>0</v>
      </c>
      <c r="AG743" s="4"/>
      <c r="AH743" s="4"/>
      <c r="AJ743" s="3"/>
      <c r="AK743" s="3">
        <f t="shared" si="483"/>
        <v>0</v>
      </c>
      <c r="AL743" s="3"/>
      <c r="AM743" s="3">
        <f t="shared" si="484"/>
        <v>0</v>
      </c>
      <c r="AO743" s="3"/>
      <c r="AP743" s="3"/>
      <c r="AQ743" s="3"/>
      <c r="AR743" s="3"/>
      <c r="AS743" s="3"/>
      <c r="AT743" s="3"/>
      <c r="AU743" s="3"/>
      <c r="AV743" s="42"/>
      <c r="AW743" s="3"/>
      <c r="AX743" s="42"/>
      <c r="AY743" s="3"/>
      <c r="AZ743" s="42"/>
      <c r="BA743" s="3"/>
      <c r="BB743" s="42"/>
      <c r="BC743" s="3"/>
      <c r="BE743" s="3"/>
    </row>
    <row r="744" spans="1:57" x14ac:dyDescent="0.25">
      <c r="A744" s="3" t="s">
        <v>540</v>
      </c>
      <c r="B744" s="5">
        <v>12600</v>
      </c>
      <c r="E744" s="3">
        <f>F744-D744</f>
        <v>12600</v>
      </c>
      <c r="F744" s="5">
        <v>12600</v>
      </c>
      <c r="H744" s="5">
        <f>F744-B744</f>
        <v>0</v>
      </c>
      <c r="J744" s="3">
        <v>3344</v>
      </c>
      <c r="K744" s="4">
        <f t="shared" si="475"/>
        <v>9256</v>
      </c>
      <c r="L744" s="4">
        <v>12600</v>
      </c>
      <c r="N744" s="4">
        <f t="shared" si="476"/>
        <v>0</v>
      </c>
      <c r="P744" s="3">
        <f>L744*1.03+22</f>
        <v>13000</v>
      </c>
      <c r="Q744" s="3"/>
      <c r="R744" s="3">
        <v>143</v>
      </c>
      <c r="S744" s="3">
        <f t="shared" si="477"/>
        <v>12857</v>
      </c>
      <c r="T744" s="3">
        <v>13000</v>
      </c>
      <c r="U744" s="3">
        <f t="shared" si="478"/>
        <v>0</v>
      </c>
      <c r="V744" s="3">
        <v>3939</v>
      </c>
      <c r="W744" s="3">
        <f t="shared" si="479"/>
        <v>9061</v>
      </c>
      <c r="X744" s="3"/>
      <c r="Y744" s="3">
        <v>13000</v>
      </c>
      <c r="Z744" s="3">
        <f t="shared" si="480"/>
        <v>0</v>
      </c>
      <c r="AA744" s="3"/>
      <c r="AB744" s="3"/>
      <c r="AC744" s="3">
        <v>7650</v>
      </c>
      <c r="AD744" s="3">
        <f t="shared" si="481"/>
        <v>5350</v>
      </c>
      <c r="AE744" s="3">
        <v>13000</v>
      </c>
      <c r="AF744" s="3">
        <f t="shared" si="482"/>
        <v>0</v>
      </c>
      <c r="AG744" s="4"/>
      <c r="AH744" s="4">
        <f>P744*1.03+10</f>
        <v>13400</v>
      </c>
      <c r="AJ744" s="3">
        <v>45</v>
      </c>
      <c r="AK744" s="3">
        <f t="shared" si="483"/>
        <v>13355</v>
      </c>
      <c r="AL744" s="3">
        <v>13400</v>
      </c>
      <c r="AM744" s="3">
        <f t="shared" si="484"/>
        <v>0</v>
      </c>
      <c r="AO744" s="3">
        <f>AH744*1.03</f>
        <v>13802</v>
      </c>
      <c r="AP744" s="3"/>
      <c r="AQ744" s="3">
        <f>AO744*1.03</f>
        <v>14216.06</v>
      </c>
      <c r="AR744" s="3"/>
      <c r="AS744" s="3">
        <f>AQ744*1.03</f>
        <v>14642.541799999999</v>
      </c>
      <c r="AT744" s="3"/>
      <c r="AU744" s="3">
        <f>AS744*1.03</f>
        <v>15081.818053999999</v>
      </c>
      <c r="AV744" s="42"/>
      <c r="AW744" s="3">
        <f>AU744*1.03</f>
        <v>15534.272595619999</v>
      </c>
      <c r="AX744" s="42"/>
      <c r="AY744" s="3">
        <f>AW744*1.03</f>
        <v>16000.3007734886</v>
      </c>
      <c r="AZ744" s="42"/>
      <c r="BA744" s="3">
        <f>AY744*1.03</f>
        <v>16480.309796693258</v>
      </c>
      <c r="BB744" s="42"/>
      <c r="BC744" s="3">
        <f>BA744*1.03</f>
        <v>16974.719090594055</v>
      </c>
      <c r="BE744" s="3">
        <f>BC744*1.03</f>
        <v>17483.960663311878</v>
      </c>
    </row>
    <row r="745" spans="1:57" x14ac:dyDescent="0.25">
      <c r="A745" s="3" t="s">
        <v>541</v>
      </c>
      <c r="B745" s="76">
        <v>2000</v>
      </c>
      <c r="E745" s="3"/>
      <c r="J745" s="3"/>
      <c r="K745" s="4"/>
      <c r="L745" s="4"/>
      <c r="N745" s="4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4"/>
      <c r="AH745" s="4">
        <v>8000</v>
      </c>
      <c r="AJ745" s="3"/>
      <c r="AK745" s="3">
        <f t="shared" si="483"/>
        <v>8000</v>
      </c>
      <c r="AL745" s="3">
        <v>8000</v>
      </c>
      <c r="AM745" s="3">
        <f t="shared" si="484"/>
        <v>0</v>
      </c>
      <c r="AO745" s="3"/>
      <c r="AP745" s="3"/>
      <c r="AQ745" s="3"/>
      <c r="AR745" s="3"/>
      <c r="AS745" s="3"/>
      <c r="AT745" s="3"/>
      <c r="AU745" s="3"/>
      <c r="AV745" s="42"/>
      <c r="AW745" s="3"/>
      <c r="AX745" s="42"/>
      <c r="AY745" s="3"/>
      <c r="AZ745" s="42"/>
      <c r="BA745" s="3"/>
      <c r="BB745" s="42"/>
      <c r="BC745" s="3"/>
      <c r="BE745" s="3"/>
    </row>
    <row r="746" spans="1:57" x14ac:dyDescent="0.25">
      <c r="A746" s="3" t="s">
        <v>537</v>
      </c>
      <c r="B746" s="5">
        <v>6250</v>
      </c>
      <c r="D746" s="5">
        <v>0</v>
      </c>
      <c r="E746" s="3">
        <f>F746-D746</f>
        <v>6250</v>
      </c>
      <c r="F746" s="5">
        <v>6250</v>
      </c>
      <c r="H746" s="5">
        <f>F746-B746</f>
        <v>0</v>
      </c>
      <c r="K746" s="4">
        <f t="shared" si="475"/>
        <v>6250</v>
      </c>
      <c r="L746" s="4">
        <v>6250</v>
      </c>
      <c r="N746" s="4">
        <f t="shared" si="476"/>
        <v>0</v>
      </c>
      <c r="P746" s="3">
        <f>L746+200</f>
        <v>6450</v>
      </c>
      <c r="Q746" s="3"/>
      <c r="R746" s="3">
        <v>0</v>
      </c>
      <c r="S746" s="3">
        <f t="shared" si="477"/>
        <v>6450</v>
      </c>
      <c r="T746" s="3">
        <v>6450</v>
      </c>
      <c r="U746" s="3">
        <f t="shared" si="478"/>
        <v>0</v>
      </c>
      <c r="V746" s="3"/>
      <c r="W746" s="3">
        <f t="shared" si="479"/>
        <v>6450</v>
      </c>
      <c r="X746" s="3"/>
      <c r="Y746" s="3">
        <v>6450</v>
      </c>
      <c r="Z746" s="3">
        <f t="shared" si="480"/>
        <v>0</v>
      </c>
      <c r="AA746" s="3"/>
      <c r="AB746" s="3"/>
      <c r="AC746" s="3">
        <v>0</v>
      </c>
      <c r="AD746" s="3">
        <f t="shared" si="481"/>
        <v>6450</v>
      </c>
      <c r="AE746" s="3">
        <v>6450</v>
      </c>
      <c r="AF746" s="3">
        <f t="shared" si="482"/>
        <v>0</v>
      </c>
      <c r="AG746" s="4"/>
      <c r="AH746" s="4">
        <f>P746+200</f>
        <v>6650</v>
      </c>
      <c r="AJ746" s="3">
        <v>0</v>
      </c>
      <c r="AK746" s="3">
        <f t="shared" si="483"/>
        <v>6650</v>
      </c>
      <c r="AL746" s="3">
        <v>6650</v>
      </c>
      <c r="AM746" s="3">
        <f t="shared" si="484"/>
        <v>0</v>
      </c>
      <c r="AO746" s="3">
        <f>AH746+200</f>
        <v>6850</v>
      </c>
      <c r="AP746" s="3"/>
      <c r="AQ746" s="3">
        <f>AO746+200</f>
        <v>7050</v>
      </c>
      <c r="AR746" s="3"/>
      <c r="AS746" s="3">
        <f>AQ746+200</f>
        <v>7250</v>
      </c>
      <c r="AT746" s="3"/>
      <c r="AU746" s="3">
        <f>AS746+200</f>
        <v>7450</v>
      </c>
      <c r="AV746" s="42"/>
      <c r="AW746" s="3">
        <f>AU746+200</f>
        <v>7650</v>
      </c>
      <c r="AX746" s="42"/>
      <c r="AY746" s="3">
        <f>AW746+200</f>
        <v>7850</v>
      </c>
      <c r="AZ746" s="42"/>
      <c r="BA746" s="3">
        <f>AY746+200</f>
        <v>8050</v>
      </c>
      <c r="BB746" s="42"/>
      <c r="BC746" s="3">
        <f>BA746+200</f>
        <v>8250</v>
      </c>
      <c r="BE746" s="3">
        <f>BC746+200</f>
        <v>8450</v>
      </c>
    </row>
    <row r="747" spans="1:57" ht="15.75" thickBot="1" x14ac:dyDescent="0.3">
      <c r="A747" s="3"/>
      <c r="B747" s="48">
        <f>SUM(B717:B746)</f>
        <v>2824650</v>
      </c>
      <c r="C747" s="32"/>
      <c r="D747" s="48">
        <f>SUM(D717:D746)</f>
        <v>748960</v>
      </c>
      <c r="E747" s="48">
        <f>SUM(E717:E746)</f>
        <v>3040572</v>
      </c>
      <c r="F747" s="48">
        <f>SUM(F717:F746)</f>
        <v>3789532</v>
      </c>
      <c r="G747" s="32"/>
      <c r="H747" s="48">
        <f>SUM(H717:H746)</f>
        <v>966882</v>
      </c>
      <c r="I747" s="36"/>
      <c r="J747" s="48">
        <f>SUM(J717:J746)</f>
        <v>1716526</v>
      </c>
      <c r="K747" s="48">
        <f>SUM(K717:K746)</f>
        <v>2072999</v>
      </c>
      <c r="L747" s="48">
        <f>SUM(L717:L746)</f>
        <v>3789525</v>
      </c>
      <c r="M747" s="32"/>
      <c r="N747" s="48">
        <f>SUM(N717:N746)</f>
        <v>-7</v>
      </c>
      <c r="P747" s="48">
        <f>SUM(P717:P746)</f>
        <v>2578450</v>
      </c>
      <c r="R747" s="48">
        <f t="shared" ref="R747:Z747" si="485">SUM(R717:R746)</f>
        <v>517076</v>
      </c>
      <c r="S747" s="48">
        <f t="shared" si="485"/>
        <v>2066174</v>
      </c>
      <c r="T747" s="48">
        <f t="shared" si="485"/>
        <v>2583250</v>
      </c>
      <c r="U747" s="48">
        <f t="shared" si="485"/>
        <v>4800</v>
      </c>
      <c r="V747" s="48">
        <f t="shared" si="485"/>
        <v>1032734</v>
      </c>
      <c r="W747" s="48">
        <f t="shared" si="485"/>
        <v>1565716</v>
      </c>
      <c r="X747" s="48"/>
      <c r="Y747" s="48">
        <f t="shared" si="485"/>
        <v>2598450</v>
      </c>
      <c r="Z747" s="48">
        <f t="shared" si="485"/>
        <v>15200</v>
      </c>
      <c r="AC747" s="48">
        <f>SUM(AC717:AC746)</f>
        <v>1426669</v>
      </c>
      <c r="AD747" s="48">
        <f>SUM(AD717:AD746)</f>
        <v>1176781</v>
      </c>
      <c r="AE747" s="48">
        <f>SUM(AE717:AE746)</f>
        <v>2603450</v>
      </c>
      <c r="AF747" s="48">
        <f>SUM(AF717:AF746)</f>
        <v>5000</v>
      </c>
      <c r="AH747" s="36">
        <f>SUM(AH717:AH746)</f>
        <v>4090050</v>
      </c>
      <c r="AI747" s="32"/>
      <c r="AJ747" s="48">
        <f>SUM(AJ717:AJ746)</f>
        <v>252537</v>
      </c>
      <c r="AK747" s="48">
        <f>SUM(AK717:AK746)</f>
        <v>3837513</v>
      </c>
      <c r="AL747" s="48">
        <f>SUM(AL717:AL746)</f>
        <v>4090050</v>
      </c>
      <c r="AM747" s="48">
        <f>SUM(AM717:AM746)</f>
        <v>0</v>
      </c>
      <c r="AN747" s="32"/>
      <c r="AO747" s="48">
        <f>SUM(AO717:AO746)</f>
        <v>82742</v>
      </c>
      <c r="AQ747" s="48">
        <f>SUM(AQ717:AQ746)</f>
        <v>83448.759999999995</v>
      </c>
      <c r="AS747" s="48">
        <f>SUM(AS717:AS746)</f>
        <v>84170.722799999989</v>
      </c>
      <c r="AT747" s="48"/>
      <c r="AU747" s="48">
        <f>SUM(AU717:AU746)</f>
        <v>84908.344484000001</v>
      </c>
      <c r="AW747" s="48">
        <f>SUM(AW717:AW746)</f>
        <v>85662.094818519996</v>
      </c>
      <c r="AY747" s="48">
        <f>SUM(AY717:AY746)</f>
        <v>86432.457663075606</v>
      </c>
      <c r="BA747" s="48">
        <f>SUM(BA717:BA746)</f>
        <v>87219.931392967861</v>
      </c>
      <c r="BC747" s="48">
        <f>SUM(BC717:BC746)</f>
        <v>88025.02933475691</v>
      </c>
      <c r="BE747" s="48">
        <f>SUM(BE717:BE746)</f>
        <v>88848.280214799612</v>
      </c>
    </row>
    <row r="748" spans="1:57" x14ac:dyDescent="0.25">
      <c r="A748" s="3"/>
      <c r="B748" s="8" t="s">
        <v>8</v>
      </c>
      <c r="C748" s="9"/>
      <c r="D748" s="10" t="s">
        <v>9</v>
      </c>
      <c r="E748" s="11" t="s">
        <v>10</v>
      </c>
      <c r="F748" s="12" t="s">
        <v>11</v>
      </c>
      <c r="G748" s="9"/>
      <c r="H748" s="8" t="s">
        <v>12</v>
      </c>
      <c r="I748" s="13"/>
      <c r="J748" s="10" t="s">
        <v>9</v>
      </c>
      <c r="K748" s="11" t="s">
        <v>10</v>
      </c>
      <c r="L748" s="11" t="s">
        <v>11</v>
      </c>
      <c r="M748" s="9"/>
      <c r="N748" s="11" t="s">
        <v>12</v>
      </c>
      <c r="P748" s="12" t="s">
        <v>8</v>
      </c>
      <c r="R748" s="14" t="s">
        <v>9</v>
      </c>
      <c r="S748" s="15" t="s">
        <v>10</v>
      </c>
      <c r="T748" s="16" t="s">
        <v>11</v>
      </c>
      <c r="U748" s="17" t="s">
        <v>13</v>
      </c>
      <c r="V748" s="14" t="s">
        <v>9</v>
      </c>
      <c r="W748" s="15" t="s">
        <v>10</v>
      </c>
      <c r="X748" s="15"/>
      <c r="Y748" s="16" t="s">
        <v>11</v>
      </c>
      <c r="Z748" s="17" t="s">
        <v>13</v>
      </c>
      <c r="AC748" s="14" t="s">
        <v>9</v>
      </c>
      <c r="AD748" s="15" t="s">
        <v>10</v>
      </c>
      <c r="AE748" s="16" t="s">
        <v>11</v>
      </c>
      <c r="AF748" s="15" t="s">
        <v>13</v>
      </c>
      <c r="AH748" s="13" t="s">
        <v>8</v>
      </c>
      <c r="AI748" s="9"/>
      <c r="AJ748" s="11" t="s">
        <v>9</v>
      </c>
      <c r="AK748" s="11" t="s">
        <v>10</v>
      </c>
      <c r="AL748" s="12" t="s">
        <v>11</v>
      </c>
      <c r="AM748" s="10" t="s">
        <v>13</v>
      </c>
      <c r="AN748" s="9"/>
      <c r="AO748" s="12" t="s">
        <v>8</v>
      </c>
      <c r="AQ748" s="8" t="s">
        <v>8</v>
      </c>
      <c r="AS748" s="8" t="s">
        <v>8</v>
      </c>
      <c r="AT748" s="8"/>
      <c r="AU748" s="8" t="s">
        <v>8</v>
      </c>
      <c r="AW748" s="8" t="s">
        <v>8</v>
      </c>
      <c r="AY748" s="8" t="s">
        <v>8</v>
      </c>
      <c r="BA748" s="8" t="s">
        <v>8</v>
      </c>
      <c r="BC748" s="8" t="s">
        <v>8</v>
      </c>
      <c r="BE748" s="8" t="s">
        <v>8</v>
      </c>
    </row>
    <row r="749" spans="1:57" ht="15.75" thickBot="1" x14ac:dyDescent="0.3">
      <c r="A749" s="3"/>
      <c r="B749" s="19" t="s">
        <v>14</v>
      </c>
      <c r="C749" s="9"/>
      <c r="D749" s="20" t="s">
        <v>15</v>
      </c>
      <c r="E749" s="21"/>
      <c r="F749" s="22" t="s">
        <v>16</v>
      </c>
      <c r="G749" s="9"/>
      <c r="H749" s="19"/>
      <c r="I749" s="13"/>
      <c r="J749" s="20" t="s">
        <v>17</v>
      </c>
      <c r="K749" s="21"/>
      <c r="L749" s="21" t="s">
        <v>16</v>
      </c>
      <c r="M749" s="9"/>
      <c r="N749" s="21"/>
      <c r="P749" s="22" t="s">
        <v>18</v>
      </c>
      <c r="R749" s="23" t="s">
        <v>19</v>
      </c>
      <c r="S749" s="24"/>
      <c r="T749" s="25" t="s">
        <v>20</v>
      </c>
      <c r="U749" s="26"/>
      <c r="V749" s="23" t="s">
        <v>21</v>
      </c>
      <c r="W749" s="24"/>
      <c r="X749" s="24"/>
      <c r="Y749" s="25" t="s">
        <v>21</v>
      </c>
      <c r="Z749" s="26"/>
      <c r="AC749" s="23" t="s">
        <v>22</v>
      </c>
      <c r="AD749" s="24"/>
      <c r="AE749" s="25" t="s">
        <v>23</v>
      </c>
      <c r="AF749" s="24"/>
      <c r="AH749" s="13" t="s">
        <v>24</v>
      </c>
      <c r="AI749" s="9"/>
      <c r="AJ749" s="21" t="s">
        <v>1144</v>
      </c>
      <c r="AK749" s="21"/>
      <c r="AL749" s="22" t="s">
        <v>1144</v>
      </c>
      <c r="AM749" s="20"/>
      <c r="AN749" s="9"/>
      <c r="AO749" s="22" t="s">
        <v>25</v>
      </c>
      <c r="AQ749" s="19" t="s">
        <v>26</v>
      </c>
      <c r="AS749" s="19" t="s">
        <v>27</v>
      </c>
      <c r="AT749" s="19"/>
      <c r="AU749" s="19" t="s">
        <v>28</v>
      </c>
      <c r="AW749" s="19" t="s">
        <v>29</v>
      </c>
      <c r="AY749" s="19" t="s">
        <v>30</v>
      </c>
      <c r="BA749" s="19" t="s">
        <v>31</v>
      </c>
      <c r="BC749" s="19">
        <f>BC100</f>
        <v>0</v>
      </c>
      <c r="BE749" s="19">
        <f>BE100</f>
        <v>0</v>
      </c>
    </row>
    <row r="750" spans="1:57" x14ac:dyDescent="0.25">
      <c r="A750" s="7" t="s">
        <v>542</v>
      </c>
      <c r="B750" s="3"/>
      <c r="D750" s="3"/>
      <c r="E750" s="3"/>
      <c r="F750" s="3"/>
      <c r="H750" s="3"/>
      <c r="I750" s="3"/>
      <c r="J750" s="3"/>
      <c r="K750" s="3"/>
      <c r="L750" s="3"/>
      <c r="N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4"/>
      <c r="AH750" s="4"/>
      <c r="AJ750" s="3"/>
      <c r="AK750" s="3"/>
      <c r="AL750" s="3"/>
      <c r="AM750" s="3"/>
    </row>
    <row r="751" spans="1:57" x14ac:dyDescent="0.25">
      <c r="A751" s="3" t="s">
        <v>543</v>
      </c>
      <c r="B751" s="3">
        <v>260000</v>
      </c>
      <c r="D751" s="3">
        <f>4824</f>
        <v>4824</v>
      </c>
      <c r="E751" s="3">
        <f t="shared" ref="E751:E779" si="486">F751-D751</f>
        <v>255176</v>
      </c>
      <c r="F751" s="5">
        <v>260000</v>
      </c>
      <c r="H751" s="5">
        <f t="shared" ref="H751:H779" si="487">F751-B751</f>
        <v>0</v>
      </c>
      <c r="K751" s="4">
        <f t="shared" ref="K751:K779" si="488">L751-J751</f>
        <v>66550</v>
      </c>
      <c r="L751" s="4">
        <v>66550</v>
      </c>
      <c r="N751" s="4">
        <f t="shared" ref="N751:N779" si="489">L751-F751</f>
        <v>-193450</v>
      </c>
      <c r="P751" s="3">
        <v>190000</v>
      </c>
      <c r="Q751" s="3"/>
      <c r="R751" s="3"/>
      <c r="S751" s="3">
        <f t="shared" ref="S751:S779" si="490">T751-R751</f>
        <v>190000</v>
      </c>
      <c r="T751" s="3">
        <v>190000</v>
      </c>
      <c r="U751" s="3">
        <f t="shared" ref="U751:U779" si="491">T751-P751</f>
        <v>0</v>
      </c>
      <c r="V751" s="3"/>
      <c r="W751" s="3">
        <f t="shared" ref="W751:W779" si="492">Y751-V751</f>
        <v>190000</v>
      </c>
      <c r="X751" s="3"/>
      <c r="Y751" s="3">
        <v>190000</v>
      </c>
      <c r="Z751" s="3">
        <f t="shared" ref="Z751:Z779" si="493">Y751-T751</f>
        <v>0</v>
      </c>
      <c r="AA751" s="3"/>
      <c r="AB751" s="3"/>
      <c r="AC751" s="3">
        <f>230+5740</f>
        <v>5970</v>
      </c>
      <c r="AD751" s="3">
        <f t="shared" ref="AD751:AD778" si="494">AE751-AC751</f>
        <v>64030</v>
      </c>
      <c r="AE751" s="3">
        <v>70000</v>
      </c>
      <c r="AF751" s="3">
        <f t="shared" ref="AF751:AF778" si="495">AE751-Y751</f>
        <v>-120000</v>
      </c>
      <c r="AG751" s="4"/>
      <c r="AH751" s="4">
        <v>230000</v>
      </c>
      <c r="AJ751" s="3">
        <v>2575</v>
      </c>
      <c r="AK751" s="3">
        <f t="shared" ref="AK751:AK779" si="496">AL751-AJ751</f>
        <v>227425</v>
      </c>
      <c r="AL751" s="3">
        <v>230000</v>
      </c>
      <c r="AM751" s="3">
        <f t="shared" ref="AM751:AM779" si="497">AL751-AH751</f>
        <v>0</v>
      </c>
      <c r="AO751" s="3">
        <v>240000</v>
      </c>
      <c r="AP751" s="3"/>
      <c r="AQ751" s="3">
        <v>240000</v>
      </c>
      <c r="AR751" s="3"/>
      <c r="AS751" s="3">
        <v>270000</v>
      </c>
      <c r="AT751" s="3"/>
      <c r="AU751" s="3">
        <v>280000</v>
      </c>
      <c r="AV751" s="3"/>
      <c r="AW751" s="3">
        <v>280000</v>
      </c>
      <c r="AX751" s="3"/>
      <c r="AY751" s="3">
        <v>310000</v>
      </c>
      <c r="AZ751" s="3"/>
      <c r="BA751" s="3">
        <v>320000</v>
      </c>
      <c r="BB751" s="42"/>
      <c r="BC751" s="3">
        <v>320000</v>
      </c>
      <c r="BE751" s="3">
        <v>320000</v>
      </c>
    </row>
    <row r="752" spans="1:57" x14ac:dyDescent="0.25">
      <c r="A752" s="3" t="s">
        <v>544</v>
      </c>
      <c r="B752" s="3"/>
      <c r="D752" s="3"/>
      <c r="E752" s="3">
        <f t="shared" si="486"/>
        <v>0</v>
      </c>
      <c r="H752" s="5">
        <f t="shared" si="487"/>
        <v>0</v>
      </c>
      <c r="K752" s="4">
        <f t="shared" si="488"/>
        <v>0</v>
      </c>
      <c r="L752" s="4"/>
      <c r="N752" s="4">
        <f t="shared" si="489"/>
        <v>0</v>
      </c>
      <c r="P752" s="3"/>
      <c r="Q752" s="3"/>
      <c r="R752" s="3"/>
      <c r="S752" s="3">
        <f t="shared" si="490"/>
        <v>0</v>
      </c>
      <c r="T752" s="3"/>
      <c r="U752" s="3">
        <f t="shared" si="491"/>
        <v>0</v>
      </c>
      <c r="V752" s="3"/>
      <c r="W752" s="3">
        <f t="shared" si="492"/>
        <v>0</v>
      </c>
      <c r="X752" s="3"/>
      <c r="Y752" s="3"/>
      <c r="Z752" s="3">
        <f t="shared" si="493"/>
        <v>0</v>
      </c>
      <c r="AA752" s="3"/>
      <c r="AB752" s="3"/>
      <c r="AC752" s="3"/>
      <c r="AD752" s="3">
        <f t="shared" si="494"/>
        <v>0</v>
      </c>
      <c r="AE752" s="3"/>
      <c r="AF752" s="3">
        <f t="shared" si="495"/>
        <v>0</v>
      </c>
      <c r="AG752" s="4"/>
      <c r="AH752" s="4"/>
      <c r="AJ752" s="3"/>
      <c r="AK752" s="3">
        <f t="shared" si="496"/>
        <v>0</v>
      </c>
      <c r="AL752" s="3"/>
      <c r="AM752" s="3">
        <f t="shared" si="497"/>
        <v>0</v>
      </c>
      <c r="AO752" s="3"/>
      <c r="AP752" s="3"/>
      <c r="AQ752" s="3"/>
      <c r="AR752" s="3"/>
      <c r="AS752" s="3"/>
      <c r="AT752" s="3"/>
      <c r="AU752" s="3"/>
      <c r="AV752" s="42"/>
      <c r="AW752" s="3"/>
      <c r="AX752" s="42"/>
      <c r="AY752" s="3"/>
      <c r="AZ752" s="42"/>
      <c r="BA752" s="3"/>
      <c r="BB752" s="42"/>
      <c r="BC752" s="3"/>
      <c r="BE752" s="3"/>
    </row>
    <row r="753" spans="1:57" x14ac:dyDescent="0.25">
      <c r="A753" s="3" t="s">
        <v>545</v>
      </c>
      <c r="B753" s="3">
        <v>18000</v>
      </c>
      <c r="D753" s="3"/>
      <c r="E753" s="3">
        <f t="shared" si="486"/>
        <v>18000</v>
      </c>
      <c r="F753" s="5">
        <v>18000</v>
      </c>
      <c r="H753" s="5">
        <f t="shared" si="487"/>
        <v>0</v>
      </c>
      <c r="J753" s="5">
        <v>17</v>
      </c>
      <c r="K753" s="4">
        <f t="shared" si="488"/>
        <v>17983</v>
      </c>
      <c r="L753" s="4">
        <v>18000</v>
      </c>
      <c r="N753" s="4">
        <f t="shared" si="489"/>
        <v>0</v>
      </c>
      <c r="P753" s="3">
        <v>39000</v>
      </c>
      <c r="Q753" s="3"/>
      <c r="R753" s="3"/>
      <c r="S753" s="3">
        <f t="shared" si="490"/>
        <v>39000</v>
      </c>
      <c r="T753" s="3">
        <v>39000</v>
      </c>
      <c r="U753" s="3">
        <f t="shared" si="491"/>
        <v>0</v>
      </c>
      <c r="V753" s="3">
        <v>978</v>
      </c>
      <c r="W753" s="3">
        <f t="shared" si="492"/>
        <v>38022</v>
      </c>
      <c r="X753" s="3"/>
      <c r="Y753" s="3">
        <v>39000</v>
      </c>
      <c r="Z753" s="3">
        <f t="shared" si="493"/>
        <v>0</v>
      </c>
      <c r="AA753" s="3"/>
      <c r="AB753" s="3"/>
      <c r="AC753" s="3">
        <v>1161</v>
      </c>
      <c r="AD753" s="3">
        <f t="shared" si="494"/>
        <v>37839</v>
      </c>
      <c r="AE753" s="3">
        <v>39000</v>
      </c>
      <c r="AF753" s="3">
        <f t="shared" si="495"/>
        <v>0</v>
      </c>
      <c r="AG753" s="4"/>
      <c r="AH753" s="4">
        <v>29000</v>
      </c>
      <c r="AJ753" s="3">
        <v>0</v>
      </c>
      <c r="AK753" s="3">
        <f t="shared" si="496"/>
        <v>29000</v>
      </c>
      <c r="AL753" s="3">
        <v>29000</v>
      </c>
      <c r="AM753" s="3">
        <f t="shared" si="497"/>
        <v>0</v>
      </c>
      <c r="AO753" s="3">
        <v>23000</v>
      </c>
      <c r="AP753" s="3"/>
      <c r="AQ753" s="3">
        <v>66000</v>
      </c>
      <c r="AR753" s="3"/>
      <c r="AS753" s="3">
        <v>22500</v>
      </c>
      <c r="AT753" s="3"/>
      <c r="AU753" s="3">
        <v>36000</v>
      </c>
      <c r="AV753" s="42"/>
      <c r="AW753" s="3">
        <v>65500</v>
      </c>
      <c r="AX753" s="42"/>
      <c r="AY753" s="3">
        <v>18000</v>
      </c>
      <c r="AZ753" s="42"/>
      <c r="BA753" s="3">
        <v>29500</v>
      </c>
      <c r="BB753" s="42"/>
      <c r="BC753" s="3">
        <v>12500</v>
      </c>
      <c r="BE753" s="3">
        <v>12500</v>
      </c>
    </row>
    <row r="754" spans="1:57" x14ac:dyDescent="0.25">
      <c r="A754" s="3" t="s">
        <v>546</v>
      </c>
      <c r="B754" s="3"/>
      <c r="D754" s="3"/>
      <c r="E754" s="3">
        <f t="shared" si="486"/>
        <v>0</v>
      </c>
      <c r="H754" s="5">
        <f t="shared" si="487"/>
        <v>0</v>
      </c>
      <c r="K754" s="4">
        <f t="shared" si="488"/>
        <v>0</v>
      </c>
      <c r="L754" s="4"/>
      <c r="N754" s="4">
        <f t="shared" si="489"/>
        <v>0</v>
      </c>
      <c r="P754" s="3"/>
      <c r="Q754" s="3"/>
      <c r="R754" s="3"/>
      <c r="S754" s="3">
        <f t="shared" si="490"/>
        <v>0</v>
      </c>
      <c r="T754" s="3"/>
      <c r="U754" s="3">
        <f t="shared" si="491"/>
        <v>0</v>
      </c>
      <c r="V754" s="3">
        <v>31150</v>
      </c>
      <c r="W754" s="3">
        <f t="shared" si="492"/>
        <v>0</v>
      </c>
      <c r="X754" s="3"/>
      <c r="Y754" s="3">
        <v>31150</v>
      </c>
      <c r="Z754" s="3">
        <f t="shared" si="493"/>
        <v>31150</v>
      </c>
      <c r="AA754" s="3"/>
      <c r="AB754" s="3"/>
      <c r="AC754" s="3">
        <v>42444</v>
      </c>
      <c r="AD754" s="3">
        <f t="shared" si="494"/>
        <v>6</v>
      </c>
      <c r="AE754" s="3">
        <v>42450</v>
      </c>
      <c r="AF754" s="3">
        <f t="shared" si="495"/>
        <v>11300</v>
      </c>
      <c r="AG754" s="4"/>
      <c r="AH754" s="4"/>
      <c r="AJ754" s="3"/>
      <c r="AK754" s="3">
        <f t="shared" si="496"/>
        <v>0</v>
      </c>
      <c r="AL754" s="3"/>
      <c r="AM754" s="3">
        <f t="shared" si="497"/>
        <v>0</v>
      </c>
      <c r="AO754" s="3"/>
      <c r="AP754" s="3"/>
      <c r="AQ754" s="3"/>
      <c r="AR754" s="3"/>
      <c r="AS754" s="3"/>
      <c r="AT754" s="3"/>
      <c r="AU754" s="3"/>
      <c r="AV754" s="42"/>
      <c r="AW754" s="3"/>
      <c r="AX754" s="42"/>
      <c r="AY754" s="3"/>
      <c r="AZ754" s="42"/>
      <c r="BA754" s="3"/>
      <c r="BB754" s="42"/>
      <c r="BC754" s="3"/>
      <c r="BE754" s="3"/>
    </row>
    <row r="755" spans="1:57" x14ac:dyDescent="0.25">
      <c r="A755" s="3" t="s">
        <v>547</v>
      </c>
      <c r="B755" s="3">
        <v>5000</v>
      </c>
      <c r="D755" s="3"/>
      <c r="E755" s="3">
        <f t="shared" si="486"/>
        <v>5000</v>
      </c>
      <c r="F755" s="5">
        <v>5000</v>
      </c>
      <c r="H755" s="5">
        <f t="shared" si="487"/>
        <v>0</v>
      </c>
      <c r="K755" s="4">
        <f t="shared" si="488"/>
        <v>5000</v>
      </c>
      <c r="L755" s="4">
        <v>5000</v>
      </c>
      <c r="N755" s="4">
        <f t="shared" si="489"/>
        <v>0</v>
      </c>
      <c r="P755" s="3">
        <v>7000</v>
      </c>
      <c r="Q755" s="3"/>
      <c r="R755" s="3"/>
      <c r="S755" s="3">
        <f t="shared" si="490"/>
        <v>7000</v>
      </c>
      <c r="T755" s="3">
        <v>7000</v>
      </c>
      <c r="U755" s="3">
        <f t="shared" si="491"/>
        <v>0</v>
      </c>
      <c r="V755" s="3"/>
      <c r="W755" s="3">
        <f t="shared" si="492"/>
        <v>7000</v>
      </c>
      <c r="X755" s="3"/>
      <c r="Y755" s="3">
        <v>7000</v>
      </c>
      <c r="Z755" s="3">
        <f t="shared" si="493"/>
        <v>0</v>
      </c>
      <c r="AA755" s="3"/>
      <c r="AB755" s="3"/>
      <c r="AC755" s="3"/>
      <c r="AD755" s="3">
        <f t="shared" si="494"/>
        <v>7000</v>
      </c>
      <c r="AE755" s="3">
        <v>7000</v>
      </c>
      <c r="AF755" s="3">
        <f t="shared" si="495"/>
        <v>0</v>
      </c>
      <c r="AG755" s="4"/>
      <c r="AH755" s="4">
        <v>7000</v>
      </c>
      <c r="AJ755" s="3">
        <v>0</v>
      </c>
      <c r="AK755" s="3">
        <f t="shared" si="496"/>
        <v>7000</v>
      </c>
      <c r="AL755" s="3">
        <v>7000</v>
      </c>
      <c r="AM755" s="3">
        <f t="shared" si="497"/>
        <v>0</v>
      </c>
      <c r="AO755" s="3">
        <v>7000</v>
      </c>
      <c r="AP755" s="3"/>
      <c r="AQ755" s="3">
        <v>7000</v>
      </c>
      <c r="AR755" s="3"/>
      <c r="AS755" s="3">
        <v>8000</v>
      </c>
      <c r="AT755" s="3"/>
      <c r="AU755" s="3">
        <v>8000</v>
      </c>
      <c r="AV755" s="42"/>
      <c r="AW755" s="3">
        <v>8000</v>
      </c>
      <c r="AX755" s="42"/>
      <c r="AY755" s="3">
        <v>8000</v>
      </c>
      <c r="AZ755" s="42"/>
      <c r="BA755" s="3">
        <v>8000</v>
      </c>
      <c r="BB755" s="42"/>
      <c r="BC755" s="3">
        <v>10000</v>
      </c>
      <c r="BE755" s="3">
        <v>10000</v>
      </c>
    </row>
    <row r="756" spans="1:57" x14ac:dyDescent="0.25">
      <c r="A756" s="3" t="s">
        <v>548</v>
      </c>
      <c r="B756" s="3"/>
      <c r="D756" s="3"/>
      <c r="E756" s="3">
        <f t="shared" si="486"/>
        <v>0</v>
      </c>
      <c r="H756" s="5">
        <f t="shared" si="487"/>
        <v>0</v>
      </c>
      <c r="K756" s="4">
        <f t="shared" si="488"/>
        <v>0</v>
      </c>
      <c r="L756" s="4"/>
      <c r="N756" s="4">
        <f t="shared" si="489"/>
        <v>0</v>
      </c>
      <c r="P756" s="3"/>
      <c r="Q756" s="3"/>
      <c r="R756" s="3"/>
      <c r="S756" s="3">
        <f t="shared" si="490"/>
        <v>0</v>
      </c>
      <c r="T756" s="3"/>
      <c r="U756" s="3">
        <f t="shared" si="491"/>
        <v>0</v>
      </c>
      <c r="V756" s="3"/>
      <c r="W756" s="3">
        <f t="shared" si="492"/>
        <v>0</v>
      </c>
      <c r="X756" s="3"/>
      <c r="Y756" s="3"/>
      <c r="Z756" s="3">
        <f t="shared" si="493"/>
        <v>0</v>
      </c>
      <c r="AA756" s="3"/>
      <c r="AB756" s="3"/>
      <c r="AC756" s="3"/>
      <c r="AD756" s="3">
        <f t="shared" si="494"/>
        <v>0</v>
      </c>
      <c r="AE756" s="3"/>
      <c r="AF756" s="3">
        <f t="shared" si="495"/>
        <v>0</v>
      </c>
      <c r="AG756" s="4"/>
      <c r="AH756" s="4"/>
      <c r="AJ756" s="3"/>
      <c r="AK756" s="3">
        <f t="shared" si="496"/>
        <v>0</v>
      </c>
      <c r="AL756" s="3"/>
      <c r="AM756" s="3">
        <f t="shared" si="497"/>
        <v>0</v>
      </c>
      <c r="AO756" s="3"/>
      <c r="AP756" s="3"/>
      <c r="AQ756" s="3"/>
      <c r="AR756" s="3"/>
      <c r="AS756" s="3"/>
      <c r="AT756" s="3"/>
      <c r="AU756" s="3"/>
      <c r="AV756" s="42"/>
      <c r="AW756" s="3"/>
      <c r="AX756" s="42"/>
      <c r="AY756" s="3"/>
      <c r="AZ756" s="42"/>
      <c r="BA756" s="3"/>
      <c r="BB756" s="42"/>
      <c r="BC756" s="3"/>
      <c r="BE756" s="3"/>
    </row>
    <row r="757" spans="1:57" x14ac:dyDescent="0.25">
      <c r="A757" s="3" t="s">
        <v>549</v>
      </c>
      <c r="B757" s="3">
        <v>46000</v>
      </c>
      <c r="D757" s="3"/>
      <c r="E757" s="3">
        <f t="shared" si="486"/>
        <v>46000</v>
      </c>
      <c r="F757" s="5">
        <v>46000</v>
      </c>
      <c r="H757" s="5">
        <f t="shared" si="487"/>
        <v>0</v>
      </c>
      <c r="J757" s="5">
        <f>5455+26399</f>
        <v>31854</v>
      </c>
      <c r="K757" s="4">
        <f t="shared" si="488"/>
        <v>14146</v>
      </c>
      <c r="L757" s="4">
        <v>46000</v>
      </c>
      <c r="N757" s="4">
        <f t="shared" si="489"/>
        <v>0</v>
      </c>
      <c r="P757" s="3">
        <v>41000</v>
      </c>
      <c r="Q757" s="3"/>
      <c r="R757" s="3"/>
      <c r="S757" s="3">
        <f t="shared" si="490"/>
        <v>41000</v>
      </c>
      <c r="T757" s="3">
        <v>41000</v>
      </c>
      <c r="U757" s="3">
        <f t="shared" si="491"/>
        <v>0</v>
      </c>
      <c r="V757" s="3">
        <v>25338</v>
      </c>
      <c r="W757" s="3">
        <f t="shared" si="492"/>
        <v>15662</v>
      </c>
      <c r="X757" s="3"/>
      <c r="Y757" s="3">
        <v>41000</v>
      </c>
      <c r="Z757" s="3">
        <f t="shared" si="493"/>
        <v>0</v>
      </c>
      <c r="AA757" s="3"/>
      <c r="AB757" s="3"/>
      <c r="AC757" s="3">
        <v>49519</v>
      </c>
      <c r="AD757" s="3">
        <f t="shared" si="494"/>
        <v>10481</v>
      </c>
      <c r="AE757" s="3">
        <v>60000</v>
      </c>
      <c r="AF757" s="3">
        <f t="shared" si="495"/>
        <v>19000</v>
      </c>
      <c r="AG757" s="4"/>
      <c r="AH757" s="4">
        <v>45000</v>
      </c>
      <c r="AJ757" s="3">
        <v>13194</v>
      </c>
      <c r="AK757" s="3">
        <f t="shared" si="496"/>
        <v>31806</v>
      </c>
      <c r="AL757" s="3">
        <v>45000</v>
      </c>
      <c r="AM757" s="3">
        <f t="shared" si="497"/>
        <v>0</v>
      </c>
      <c r="AO757" s="3">
        <v>66000</v>
      </c>
      <c r="AP757" s="3"/>
      <c r="AQ757" s="3">
        <v>50000</v>
      </c>
      <c r="AR757" s="3"/>
      <c r="AS757" s="3">
        <v>50000</v>
      </c>
      <c r="AT757" s="3"/>
      <c r="AU757" s="3">
        <v>50000</v>
      </c>
      <c r="AV757" s="42"/>
      <c r="AW757" s="3">
        <v>50000</v>
      </c>
      <c r="AX757" s="42"/>
      <c r="AY757" s="3">
        <v>60000</v>
      </c>
      <c r="AZ757" s="42"/>
      <c r="BA757" s="3">
        <v>60000</v>
      </c>
      <c r="BB757" s="42"/>
      <c r="BC757" s="3">
        <v>60000</v>
      </c>
      <c r="BE757" s="3">
        <v>60000</v>
      </c>
    </row>
    <row r="758" spans="1:57" x14ac:dyDescent="0.25">
      <c r="A758" s="3" t="s">
        <v>550</v>
      </c>
      <c r="B758" s="3"/>
      <c r="D758" s="3"/>
      <c r="E758" s="3">
        <f t="shared" si="486"/>
        <v>0</v>
      </c>
      <c r="H758" s="5">
        <f t="shared" si="487"/>
        <v>0</v>
      </c>
      <c r="K758" s="4">
        <f t="shared" si="488"/>
        <v>0</v>
      </c>
      <c r="L758" s="4"/>
      <c r="N758" s="4">
        <f t="shared" si="489"/>
        <v>0</v>
      </c>
      <c r="P758" s="3"/>
      <c r="Q758" s="3"/>
      <c r="R758" s="3"/>
      <c r="S758" s="3">
        <f t="shared" si="490"/>
        <v>0</v>
      </c>
      <c r="T758" s="3"/>
      <c r="U758" s="3">
        <f t="shared" si="491"/>
        <v>0</v>
      </c>
      <c r="V758" s="3"/>
      <c r="W758" s="3">
        <f t="shared" si="492"/>
        <v>0</v>
      </c>
      <c r="X758" s="3"/>
      <c r="Y758" s="3"/>
      <c r="Z758" s="3">
        <f t="shared" si="493"/>
        <v>0</v>
      </c>
      <c r="AA758" s="3"/>
      <c r="AB758" s="3"/>
      <c r="AC758" s="3"/>
      <c r="AD758" s="3">
        <f t="shared" si="494"/>
        <v>0</v>
      </c>
      <c r="AE758" s="3"/>
      <c r="AF758" s="3">
        <f t="shared" si="495"/>
        <v>0</v>
      </c>
      <c r="AG758" s="4"/>
      <c r="AH758" s="4"/>
      <c r="AJ758" s="3"/>
      <c r="AK758" s="3">
        <f t="shared" si="496"/>
        <v>0</v>
      </c>
      <c r="AL758" s="3"/>
      <c r="AM758" s="3">
        <f t="shared" si="497"/>
        <v>0</v>
      </c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42"/>
      <c r="BC758" s="3"/>
      <c r="BE758" s="3"/>
    </row>
    <row r="759" spans="1:57" x14ac:dyDescent="0.25">
      <c r="A759" s="3" t="s">
        <v>551</v>
      </c>
      <c r="B759" s="3"/>
      <c r="D759" s="3"/>
      <c r="E759" s="3"/>
      <c r="H759" s="5">
        <f>F759-B759</f>
        <v>0</v>
      </c>
      <c r="J759" s="5">
        <v>422</v>
      </c>
      <c r="K759" s="4">
        <f>L759-J759</f>
        <v>2078</v>
      </c>
      <c r="L759" s="4">
        <v>2500</v>
      </c>
      <c r="N759" s="4">
        <f>L759-F759</f>
        <v>2500</v>
      </c>
      <c r="P759" s="3"/>
      <c r="Q759" s="3"/>
      <c r="R759" s="3"/>
      <c r="S759" s="3">
        <f t="shared" si="490"/>
        <v>0</v>
      </c>
      <c r="T759" s="3"/>
      <c r="U759" s="3">
        <f t="shared" si="491"/>
        <v>0</v>
      </c>
      <c r="V759" s="3">
        <v>623</v>
      </c>
      <c r="W759" s="3">
        <f t="shared" si="492"/>
        <v>27</v>
      </c>
      <c r="X759" s="3"/>
      <c r="Y759" s="3">
        <v>650</v>
      </c>
      <c r="Z759" s="3">
        <f t="shared" si="493"/>
        <v>650</v>
      </c>
      <c r="AA759" s="3"/>
      <c r="AB759" s="3"/>
      <c r="AC759" s="3">
        <v>623</v>
      </c>
      <c r="AD759" s="3">
        <f t="shared" si="494"/>
        <v>27</v>
      </c>
      <c r="AE759" s="3">
        <v>650</v>
      </c>
      <c r="AF759" s="3">
        <f t="shared" si="495"/>
        <v>0</v>
      </c>
      <c r="AG759" s="4"/>
      <c r="AH759" s="4"/>
      <c r="AJ759" s="3"/>
      <c r="AK759" s="3">
        <f t="shared" si="496"/>
        <v>0</v>
      </c>
      <c r="AL759" s="3"/>
      <c r="AM759" s="3">
        <f t="shared" si="497"/>
        <v>0</v>
      </c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42"/>
      <c r="BC759" s="3"/>
      <c r="BE759" s="3"/>
    </row>
    <row r="760" spans="1:57" x14ac:dyDescent="0.25">
      <c r="A760" s="3" t="s">
        <v>552</v>
      </c>
      <c r="B760" s="3"/>
      <c r="D760" s="3"/>
      <c r="E760" s="3"/>
      <c r="K760" s="4">
        <f>L760-J760</f>
        <v>2500</v>
      </c>
      <c r="L760" s="4">
        <v>2500</v>
      </c>
      <c r="N760" s="4">
        <f>L760-F760</f>
        <v>2500</v>
      </c>
      <c r="P760" s="3"/>
      <c r="Q760" s="3"/>
      <c r="R760" s="3"/>
      <c r="S760" s="3">
        <f t="shared" si="490"/>
        <v>0</v>
      </c>
      <c r="T760" s="3"/>
      <c r="U760" s="3">
        <f t="shared" si="491"/>
        <v>0</v>
      </c>
      <c r="V760" s="3"/>
      <c r="W760" s="3">
        <f t="shared" si="492"/>
        <v>0</v>
      </c>
      <c r="X760" s="3"/>
      <c r="Y760" s="3"/>
      <c r="Z760" s="3">
        <f t="shared" si="493"/>
        <v>0</v>
      </c>
      <c r="AA760" s="3"/>
      <c r="AB760" s="3"/>
      <c r="AC760" s="3"/>
      <c r="AD760" s="3">
        <f t="shared" si="494"/>
        <v>0</v>
      </c>
      <c r="AE760" s="3"/>
      <c r="AF760" s="3">
        <f t="shared" si="495"/>
        <v>0</v>
      </c>
      <c r="AG760" s="4"/>
      <c r="AH760" s="4"/>
      <c r="AJ760" s="3"/>
      <c r="AK760" s="3">
        <f t="shared" si="496"/>
        <v>0</v>
      </c>
      <c r="AL760" s="3"/>
      <c r="AM760" s="3">
        <f t="shared" si="497"/>
        <v>0</v>
      </c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42"/>
      <c r="BC760" s="3"/>
      <c r="BE760" s="3"/>
    </row>
    <row r="761" spans="1:57" x14ac:dyDescent="0.25">
      <c r="A761" s="3" t="s">
        <v>553</v>
      </c>
      <c r="B761" s="3">
        <v>18000</v>
      </c>
      <c r="D761" s="3"/>
      <c r="E761" s="3">
        <f t="shared" si="486"/>
        <v>18000</v>
      </c>
      <c r="F761" s="5">
        <v>18000</v>
      </c>
      <c r="J761" s="5">
        <v>17</v>
      </c>
      <c r="K761" s="4">
        <f t="shared" si="488"/>
        <v>17983</v>
      </c>
      <c r="L761" s="4">
        <v>18000</v>
      </c>
      <c r="N761" s="4">
        <f t="shared" si="489"/>
        <v>0</v>
      </c>
      <c r="P761" s="3">
        <v>39000</v>
      </c>
      <c r="Q761" s="3"/>
      <c r="R761" s="3"/>
      <c r="S761" s="3">
        <f t="shared" si="490"/>
        <v>39000</v>
      </c>
      <c r="T761" s="3">
        <v>39000</v>
      </c>
      <c r="U761" s="3">
        <f t="shared" si="491"/>
        <v>0</v>
      </c>
      <c r="V761" s="3">
        <v>978</v>
      </c>
      <c r="W761" s="3">
        <f t="shared" si="492"/>
        <v>38022</v>
      </c>
      <c r="X761" s="3"/>
      <c r="Y761" s="3">
        <v>39000</v>
      </c>
      <c r="Z761" s="3">
        <f t="shared" si="493"/>
        <v>0</v>
      </c>
      <c r="AA761" s="3"/>
      <c r="AB761" s="3"/>
      <c r="AC761" s="3">
        <v>1058</v>
      </c>
      <c r="AD761" s="3">
        <f t="shared" si="494"/>
        <v>37942</v>
      </c>
      <c r="AE761" s="3">
        <v>39000</v>
      </c>
      <c r="AF761" s="3">
        <f t="shared" si="495"/>
        <v>0</v>
      </c>
      <c r="AG761" s="4"/>
      <c r="AH761" s="4">
        <v>29000</v>
      </c>
      <c r="AJ761" s="3">
        <v>0</v>
      </c>
      <c r="AK761" s="3">
        <f t="shared" si="496"/>
        <v>29000</v>
      </c>
      <c r="AL761" s="3">
        <v>29000</v>
      </c>
      <c r="AM761" s="3">
        <f t="shared" si="497"/>
        <v>0</v>
      </c>
      <c r="AO761" s="3">
        <v>23000</v>
      </c>
      <c r="AP761" s="3"/>
      <c r="AQ761" s="3">
        <v>66000</v>
      </c>
      <c r="AR761" s="3"/>
      <c r="AS761" s="3">
        <v>22500</v>
      </c>
      <c r="AT761" s="3"/>
      <c r="AU761" s="3">
        <v>36000</v>
      </c>
      <c r="AV761" s="42"/>
      <c r="AW761" s="3">
        <v>65500</v>
      </c>
      <c r="AX761" s="42"/>
      <c r="AY761" s="3">
        <v>18000</v>
      </c>
      <c r="AZ761" s="42"/>
      <c r="BA761" s="3">
        <v>29500</v>
      </c>
      <c r="BB761" s="42"/>
      <c r="BC761" s="3">
        <v>12500</v>
      </c>
      <c r="BE761" s="3">
        <v>12500</v>
      </c>
    </row>
    <row r="762" spans="1:57" x14ac:dyDescent="0.25">
      <c r="A762" s="3" t="s">
        <v>554</v>
      </c>
      <c r="B762" s="3"/>
      <c r="D762" s="3"/>
      <c r="E762" s="3"/>
      <c r="J762" s="5">
        <v>422</v>
      </c>
      <c r="K762" s="4">
        <f t="shared" si="488"/>
        <v>2078</v>
      </c>
      <c r="L762" s="4">
        <v>2500</v>
      </c>
      <c r="N762" s="4">
        <f t="shared" si="489"/>
        <v>2500</v>
      </c>
      <c r="P762" s="3"/>
      <c r="Q762" s="3"/>
      <c r="R762" s="3"/>
      <c r="S762" s="3">
        <f t="shared" si="490"/>
        <v>0</v>
      </c>
      <c r="T762" s="3"/>
      <c r="U762" s="3">
        <f t="shared" si="491"/>
        <v>0</v>
      </c>
      <c r="V762" s="3">
        <v>623</v>
      </c>
      <c r="W762" s="3">
        <f t="shared" si="492"/>
        <v>27</v>
      </c>
      <c r="X762" s="3"/>
      <c r="Y762" s="3">
        <v>650</v>
      </c>
      <c r="Z762" s="3">
        <f t="shared" si="493"/>
        <v>650</v>
      </c>
      <c r="AA762" s="3"/>
      <c r="AB762" s="3"/>
      <c r="AC762" s="3">
        <v>623</v>
      </c>
      <c r="AD762" s="3">
        <f t="shared" si="494"/>
        <v>27</v>
      </c>
      <c r="AE762" s="3">
        <v>650</v>
      </c>
      <c r="AF762" s="3">
        <f t="shared" si="495"/>
        <v>0</v>
      </c>
      <c r="AG762" s="4"/>
      <c r="AH762" s="4"/>
      <c r="AJ762" s="3"/>
      <c r="AK762" s="3">
        <f t="shared" si="496"/>
        <v>0</v>
      </c>
      <c r="AL762" s="3"/>
      <c r="AM762" s="3">
        <f t="shared" si="497"/>
        <v>0</v>
      </c>
      <c r="AO762" s="3"/>
      <c r="AP762" s="3"/>
      <c r="AQ762" s="3"/>
      <c r="AR762" s="3"/>
      <c r="AS762" s="3"/>
      <c r="AT762" s="3"/>
      <c r="AU762" s="3"/>
      <c r="AV762" s="42"/>
      <c r="AW762" s="3"/>
      <c r="AX762" s="42"/>
      <c r="AY762" s="3"/>
      <c r="AZ762" s="42"/>
      <c r="BA762" s="3"/>
      <c r="BB762" s="42"/>
      <c r="BC762" s="3"/>
      <c r="BE762" s="3"/>
    </row>
    <row r="763" spans="1:57" x14ac:dyDescent="0.25">
      <c r="A763" s="3" t="s">
        <v>555</v>
      </c>
      <c r="B763" s="3"/>
      <c r="D763" s="3"/>
      <c r="E763" s="3"/>
      <c r="K763" s="4">
        <f>L763-J763</f>
        <v>2500</v>
      </c>
      <c r="L763" s="4">
        <v>2500</v>
      </c>
      <c r="N763" s="4">
        <f>L763-F763</f>
        <v>2500</v>
      </c>
      <c r="P763" s="3"/>
      <c r="Q763" s="3"/>
      <c r="R763" s="3"/>
      <c r="S763" s="3">
        <f t="shared" si="490"/>
        <v>0</v>
      </c>
      <c r="T763" s="3"/>
      <c r="U763" s="3">
        <f t="shared" si="491"/>
        <v>0</v>
      </c>
      <c r="V763" s="3"/>
      <c r="W763" s="3">
        <f t="shared" si="492"/>
        <v>0</v>
      </c>
      <c r="X763" s="3"/>
      <c r="Y763" s="3"/>
      <c r="Z763" s="3">
        <f t="shared" si="493"/>
        <v>0</v>
      </c>
      <c r="AA763" s="3"/>
      <c r="AB763" s="3"/>
      <c r="AC763" s="3"/>
      <c r="AD763" s="3">
        <f t="shared" si="494"/>
        <v>0</v>
      </c>
      <c r="AE763" s="3"/>
      <c r="AF763" s="3">
        <f t="shared" si="495"/>
        <v>0</v>
      </c>
      <c r="AG763" s="4"/>
      <c r="AH763" s="4"/>
      <c r="AJ763" s="3"/>
      <c r="AK763" s="3">
        <f t="shared" si="496"/>
        <v>0</v>
      </c>
      <c r="AL763" s="3"/>
      <c r="AM763" s="3">
        <f t="shared" si="497"/>
        <v>0</v>
      </c>
      <c r="AO763" s="3"/>
      <c r="AP763" s="3"/>
      <c r="AQ763" s="3"/>
      <c r="AR763" s="3"/>
      <c r="AS763" s="3"/>
      <c r="AT763" s="3"/>
      <c r="AU763" s="3"/>
      <c r="AV763" s="42"/>
      <c r="AW763" s="3"/>
      <c r="AX763" s="42"/>
      <c r="AY763" s="3"/>
      <c r="AZ763" s="42"/>
      <c r="BA763" s="3"/>
      <c r="BB763" s="42"/>
      <c r="BC763" s="3"/>
      <c r="BE763" s="3"/>
    </row>
    <row r="764" spans="1:57" x14ac:dyDescent="0.25">
      <c r="A764" s="3" t="s">
        <v>556</v>
      </c>
      <c r="B764" s="3"/>
      <c r="D764" s="3"/>
      <c r="E764" s="3">
        <f>F764-D764</f>
        <v>0</v>
      </c>
      <c r="H764" s="5">
        <f>F764-B764</f>
        <v>0</v>
      </c>
      <c r="K764" s="4">
        <f>L764-J764</f>
        <v>0</v>
      </c>
      <c r="L764" s="4"/>
      <c r="N764" s="4">
        <f>L764-F764</f>
        <v>0</v>
      </c>
      <c r="P764" s="3">
        <v>7000</v>
      </c>
      <c r="Q764" s="3"/>
      <c r="R764" s="3"/>
      <c r="S764" s="3">
        <f t="shared" si="490"/>
        <v>7000</v>
      </c>
      <c r="T764" s="3">
        <v>7000</v>
      </c>
      <c r="U764" s="3">
        <f t="shared" si="491"/>
        <v>0</v>
      </c>
      <c r="V764" s="3"/>
      <c r="W764" s="3">
        <f t="shared" si="492"/>
        <v>7000</v>
      </c>
      <c r="X764" s="3"/>
      <c r="Y764" s="3">
        <v>7000</v>
      </c>
      <c r="Z764" s="3">
        <f t="shared" si="493"/>
        <v>0</v>
      </c>
      <c r="AA764" s="3"/>
      <c r="AB764" s="3"/>
      <c r="AC764" s="3"/>
      <c r="AD764" s="3">
        <f t="shared" si="494"/>
        <v>7000</v>
      </c>
      <c r="AE764" s="3">
        <v>7000</v>
      </c>
      <c r="AF764" s="3">
        <f t="shared" si="495"/>
        <v>0</v>
      </c>
      <c r="AG764" s="4"/>
      <c r="AH764" s="4">
        <v>7000</v>
      </c>
      <c r="AJ764" s="3">
        <v>0</v>
      </c>
      <c r="AK764" s="3">
        <f t="shared" si="496"/>
        <v>7000</v>
      </c>
      <c r="AL764" s="3">
        <v>7000</v>
      </c>
      <c r="AM764" s="3">
        <f t="shared" si="497"/>
        <v>0</v>
      </c>
      <c r="AO764" s="3">
        <v>7000</v>
      </c>
      <c r="AP764" s="3"/>
      <c r="AQ764" s="3">
        <v>7000</v>
      </c>
      <c r="AR764" s="3"/>
      <c r="AS764" s="3">
        <v>8000</v>
      </c>
      <c r="AT764" s="3"/>
      <c r="AU764" s="3">
        <v>8000</v>
      </c>
      <c r="AV764" s="42"/>
      <c r="AW764" s="3">
        <v>8000</v>
      </c>
      <c r="AX764" s="42"/>
      <c r="AY764" s="3">
        <v>8000</v>
      </c>
      <c r="AZ764" s="42"/>
      <c r="BA764" s="3">
        <v>8000</v>
      </c>
      <c r="BB764" s="42"/>
      <c r="BC764" s="3">
        <v>10000</v>
      </c>
      <c r="BE764" s="3">
        <v>10000</v>
      </c>
    </row>
    <row r="765" spans="1:57" x14ac:dyDescent="0.25">
      <c r="A765" s="3" t="s">
        <v>557</v>
      </c>
      <c r="B765" s="3"/>
      <c r="D765" s="3"/>
      <c r="E765" s="3">
        <f t="shared" si="486"/>
        <v>0</v>
      </c>
      <c r="H765" s="5">
        <f t="shared" si="487"/>
        <v>0</v>
      </c>
      <c r="K765" s="4">
        <f t="shared" si="488"/>
        <v>0</v>
      </c>
      <c r="L765" s="4"/>
      <c r="N765" s="4">
        <f t="shared" si="489"/>
        <v>0</v>
      </c>
      <c r="P765" s="3"/>
      <c r="Q765" s="3"/>
      <c r="R765" s="3"/>
      <c r="S765" s="3">
        <f t="shared" si="490"/>
        <v>0</v>
      </c>
      <c r="T765" s="3"/>
      <c r="U765" s="3">
        <f t="shared" si="491"/>
        <v>0</v>
      </c>
      <c r="V765" s="3">
        <v>31150</v>
      </c>
      <c r="W765" s="3">
        <f t="shared" si="492"/>
        <v>0</v>
      </c>
      <c r="X765" s="3"/>
      <c r="Y765" s="3">
        <v>31150</v>
      </c>
      <c r="Z765" s="3">
        <f t="shared" si="493"/>
        <v>31150</v>
      </c>
      <c r="AA765" s="3"/>
      <c r="AB765" s="3"/>
      <c r="AC765" s="3">
        <v>1161</v>
      </c>
      <c r="AD765" s="3">
        <f t="shared" si="494"/>
        <v>27359</v>
      </c>
      <c r="AE765" s="3">
        <v>28520</v>
      </c>
      <c r="AF765" s="3">
        <f t="shared" si="495"/>
        <v>-2630</v>
      </c>
      <c r="AG765" s="4"/>
      <c r="AH765" s="4"/>
      <c r="AJ765" s="3"/>
      <c r="AK765" s="3">
        <f t="shared" si="496"/>
        <v>0</v>
      </c>
      <c r="AL765" s="3"/>
      <c r="AM765" s="3">
        <f t="shared" si="497"/>
        <v>0</v>
      </c>
      <c r="AO765" s="3"/>
      <c r="AP765" s="3"/>
      <c r="AQ765" s="3"/>
      <c r="AR765" s="3"/>
      <c r="AS765" s="3"/>
      <c r="AT765" s="3"/>
      <c r="AU765" s="3"/>
      <c r="AV765" s="42"/>
      <c r="AW765" s="3"/>
      <c r="AX765" s="42"/>
      <c r="AY765" s="3"/>
      <c r="AZ765" s="42"/>
      <c r="BA765" s="3"/>
      <c r="BB765" s="42"/>
      <c r="BC765" s="3"/>
      <c r="BE765" s="3"/>
    </row>
    <row r="766" spans="1:57" x14ac:dyDescent="0.25">
      <c r="A766" s="3" t="s">
        <v>558</v>
      </c>
      <c r="B766" s="3"/>
      <c r="D766" s="3"/>
      <c r="E766" s="3">
        <f t="shared" si="486"/>
        <v>0</v>
      </c>
      <c r="H766" s="5">
        <f t="shared" si="487"/>
        <v>0</v>
      </c>
      <c r="K766" s="4">
        <f t="shared" si="488"/>
        <v>0</v>
      </c>
      <c r="L766" s="4"/>
      <c r="N766" s="4">
        <f t="shared" si="489"/>
        <v>0</v>
      </c>
      <c r="P766" s="3"/>
      <c r="Q766" s="3"/>
      <c r="R766" s="3"/>
      <c r="S766" s="3">
        <f t="shared" si="490"/>
        <v>0</v>
      </c>
      <c r="T766" s="3"/>
      <c r="U766" s="3">
        <f t="shared" si="491"/>
        <v>0</v>
      </c>
      <c r="V766" s="3"/>
      <c r="W766" s="3">
        <f t="shared" si="492"/>
        <v>0</v>
      </c>
      <c r="X766" s="3"/>
      <c r="Y766" s="3"/>
      <c r="Z766" s="3">
        <f t="shared" si="493"/>
        <v>0</v>
      </c>
      <c r="AA766" s="3"/>
      <c r="AB766" s="3"/>
      <c r="AC766" s="3"/>
      <c r="AD766" s="3">
        <f t="shared" si="494"/>
        <v>0</v>
      </c>
      <c r="AE766" s="3"/>
      <c r="AF766" s="3">
        <f t="shared" si="495"/>
        <v>0</v>
      </c>
      <c r="AG766" s="4"/>
      <c r="AH766" s="4"/>
      <c r="AJ766" s="3"/>
      <c r="AK766" s="3">
        <f t="shared" si="496"/>
        <v>0</v>
      </c>
      <c r="AL766" s="3"/>
      <c r="AM766" s="3">
        <f t="shared" si="497"/>
        <v>0</v>
      </c>
      <c r="AO766" s="3"/>
      <c r="AP766" s="3"/>
      <c r="AQ766" s="3"/>
      <c r="AR766" s="3"/>
      <c r="AS766" s="3"/>
      <c r="AT766" s="3"/>
      <c r="AU766" s="3"/>
      <c r="AV766" s="42"/>
      <c r="AW766" s="3"/>
      <c r="AX766" s="42"/>
      <c r="AY766" s="3"/>
      <c r="AZ766" s="42"/>
      <c r="BA766" s="3"/>
      <c r="BB766" s="42"/>
      <c r="BC766" s="3"/>
      <c r="BE766" s="3"/>
    </row>
    <row r="767" spans="1:57" x14ac:dyDescent="0.25">
      <c r="A767" s="3" t="s">
        <v>559</v>
      </c>
      <c r="B767" s="3"/>
      <c r="D767" s="3"/>
      <c r="E767" s="3">
        <f t="shared" si="486"/>
        <v>0</v>
      </c>
      <c r="H767" s="5">
        <f t="shared" si="487"/>
        <v>0</v>
      </c>
      <c r="K767" s="4">
        <f t="shared" si="488"/>
        <v>0</v>
      </c>
      <c r="L767" s="4"/>
      <c r="N767" s="4">
        <f t="shared" si="489"/>
        <v>0</v>
      </c>
      <c r="P767" s="3">
        <v>300000</v>
      </c>
      <c r="Q767" s="3"/>
      <c r="R767" s="3"/>
      <c r="S767" s="3">
        <f t="shared" si="490"/>
        <v>300000</v>
      </c>
      <c r="T767" s="3">
        <v>300000</v>
      </c>
      <c r="U767" s="3">
        <f t="shared" si="491"/>
        <v>0</v>
      </c>
      <c r="V767" s="3">
        <v>1469</v>
      </c>
      <c r="W767" s="3">
        <f t="shared" si="492"/>
        <v>273531</v>
      </c>
      <c r="X767" s="3"/>
      <c r="Y767" s="3">
        <v>275000</v>
      </c>
      <c r="Z767" s="3">
        <f t="shared" si="493"/>
        <v>-25000</v>
      </c>
      <c r="AA767" s="3"/>
      <c r="AB767" s="3"/>
      <c r="AC767" s="3">
        <v>1469</v>
      </c>
      <c r="AD767" s="3">
        <f t="shared" si="494"/>
        <v>273531</v>
      </c>
      <c r="AE767" s="3">
        <v>275000</v>
      </c>
      <c r="AF767" s="3">
        <f t="shared" si="495"/>
        <v>0</v>
      </c>
      <c r="AG767" s="4"/>
      <c r="AH767" s="4"/>
      <c r="AJ767" s="3"/>
      <c r="AK767" s="3">
        <f t="shared" si="496"/>
        <v>75000</v>
      </c>
      <c r="AL767" s="3">
        <v>75000</v>
      </c>
      <c r="AM767" s="3">
        <f t="shared" si="497"/>
        <v>75000</v>
      </c>
      <c r="AO767" s="3"/>
      <c r="AP767" s="3"/>
      <c r="AQ767" s="3"/>
      <c r="AR767" s="3"/>
      <c r="AS767" s="3"/>
      <c r="AT767" s="3"/>
      <c r="AU767" s="3"/>
      <c r="AV767" s="42"/>
      <c r="AW767" s="3"/>
      <c r="AX767" s="42"/>
      <c r="AY767" s="3"/>
      <c r="AZ767" s="42"/>
      <c r="BA767" s="3"/>
      <c r="BB767" s="42"/>
      <c r="BC767" s="3"/>
      <c r="BE767" s="3"/>
    </row>
    <row r="768" spans="1:57" x14ac:dyDescent="0.25">
      <c r="A768" s="3" t="s">
        <v>560</v>
      </c>
      <c r="B768" s="3"/>
      <c r="D768" s="3"/>
      <c r="E768" s="3">
        <f t="shared" si="486"/>
        <v>0</v>
      </c>
      <c r="H768" s="5">
        <f t="shared" si="487"/>
        <v>0</v>
      </c>
      <c r="K768" s="4">
        <f t="shared" si="488"/>
        <v>0</v>
      </c>
      <c r="L768" s="4"/>
      <c r="N768" s="4">
        <f t="shared" si="489"/>
        <v>0</v>
      </c>
      <c r="P768" s="3"/>
      <c r="Q768" s="3"/>
      <c r="R768" s="3"/>
      <c r="S768" s="3">
        <f t="shared" si="490"/>
        <v>0</v>
      </c>
      <c r="T768" s="3"/>
      <c r="U768" s="3">
        <f t="shared" si="491"/>
        <v>0</v>
      </c>
      <c r="V768" s="3"/>
      <c r="W768" s="3">
        <f t="shared" si="492"/>
        <v>0</v>
      </c>
      <c r="X768" s="3"/>
      <c r="Y768" s="3"/>
      <c r="Z768" s="3">
        <f t="shared" si="493"/>
        <v>0</v>
      </c>
      <c r="AA768" s="3"/>
      <c r="AB768" s="3"/>
      <c r="AC768" s="3"/>
      <c r="AD768" s="3">
        <f t="shared" si="494"/>
        <v>0</v>
      </c>
      <c r="AE768" s="3"/>
      <c r="AF768" s="3">
        <f t="shared" si="495"/>
        <v>0</v>
      </c>
      <c r="AG768" s="4"/>
      <c r="AH768" s="4"/>
      <c r="AJ768" s="3"/>
      <c r="AK768" s="3">
        <f t="shared" si="496"/>
        <v>0</v>
      </c>
      <c r="AL768" s="3"/>
      <c r="AM768" s="3">
        <f t="shared" si="497"/>
        <v>0</v>
      </c>
      <c r="AO768" s="3"/>
      <c r="AP768" s="3"/>
      <c r="AQ768" s="3"/>
      <c r="AR768" s="3"/>
      <c r="AS768" s="3"/>
      <c r="AT768" s="3"/>
      <c r="AU768" s="3"/>
      <c r="AV768" s="42"/>
      <c r="AW768" s="3"/>
      <c r="AX768" s="42"/>
      <c r="AY768" s="3"/>
      <c r="AZ768" s="42"/>
      <c r="BA768" s="3"/>
      <c r="BB768" s="42"/>
      <c r="BC768" s="3"/>
      <c r="BE768" s="3"/>
    </row>
    <row r="769" spans="1:57" x14ac:dyDescent="0.25">
      <c r="A769" s="3" t="s">
        <v>241</v>
      </c>
      <c r="B769" s="4">
        <v>49000</v>
      </c>
      <c r="C769" s="4"/>
      <c r="D769" s="4"/>
      <c r="E769" s="3">
        <f t="shared" si="486"/>
        <v>49000</v>
      </c>
      <c r="F769" s="5">
        <v>49000</v>
      </c>
      <c r="H769" s="5">
        <f t="shared" si="487"/>
        <v>0</v>
      </c>
      <c r="K769" s="4">
        <f t="shared" si="488"/>
        <v>49000</v>
      </c>
      <c r="L769" s="4">
        <v>49000</v>
      </c>
      <c r="N769" s="4">
        <f t="shared" si="489"/>
        <v>0</v>
      </c>
      <c r="P769" s="3"/>
      <c r="Q769" s="3"/>
      <c r="R769" s="3"/>
      <c r="S769" s="3">
        <f t="shared" si="490"/>
        <v>49000</v>
      </c>
      <c r="T769" s="3">
        <v>49000</v>
      </c>
      <c r="U769" s="3">
        <f t="shared" si="491"/>
        <v>49000</v>
      </c>
      <c r="V769" s="3">
        <v>0</v>
      </c>
      <c r="W769" s="3">
        <f t="shared" si="492"/>
        <v>49000</v>
      </c>
      <c r="X769" s="3"/>
      <c r="Y769" s="3">
        <v>49000</v>
      </c>
      <c r="Z769" s="3">
        <f t="shared" si="493"/>
        <v>0</v>
      </c>
      <c r="AA769" s="3"/>
      <c r="AB769" s="3"/>
      <c r="AC769" s="3">
        <v>0</v>
      </c>
      <c r="AD769" s="3">
        <f t="shared" si="494"/>
        <v>49000</v>
      </c>
      <c r="AE769" s="3">
        <v>49000</v>
      </c>
      <c r="AF769" s="3">
        <f t="shared" si="495"/>
        <v>0</v>
      </c>
      <c r="AG769" s="4"/>
      <c r="AH769" s="4"/>
      <c r="AJ769" s="3"/>
      <c r="AK769" s="3">
        <f t="shared" si="496"/>
        <v>49000</v>
      </c>
      <c r="AL769" s="3">
        <v>49000</v>
      </c>
      <c r="AM769" s="3">
        <f t="shared" si="497"/>
        <v>49000</v>
      </c>
      <c r="AO769" s="3"/>
      <c r="AP769" s="3"/>
      <c r="AQ769" s="3"/>
      <c r="AR769" s="3"/>
      <c r="AS769" s="3"/>
      <c r="AT769" s="3"/>
      <c r="AU769" s="3"/>
      <c r="AV769" s="42"/>
      <c r="AW769" s="3"/>
      <c r="AX769" s="42"/>
      <c r="AY769" s="3"/>
      <c r="AZ769" s="42"/>
      <c r="BA769" s="3"/>
      <c r="BB769" s="42"/>
      <c r="BC769" s="3"/>
      <c r="BE769" s="3"/>
    </row>
    <row r="770" spans="1:57" x14ac:dyDescent="0.25">
      <c r="A770" s="3" t="s">
        <v>561</v>
      </c>
      <c r="B770" s="3"/>
      <c r="D770" s="3"/>
      <c r="E770" s="3">
        <f t="shared" si="486"/>
        <v>0</v>
      </c>
      <c r="H770" s="5">
        <f t="shared" si="487"/>
        <v>0</v>
      </c>
      <c r="K770" s="4">
        <f t="shared" si="488"/>
        <v>0</v>
      </c>
      <c r="L770" s="4"/>
      <c r="N770" s="4">
        <f t="shared" si="489"/>
        <v>0</v>
      </c>
      <c r="P770" s="3"/>
      <c r="Q770" s="3"/>
      <c r="R770" s="3"/>
      <c r="S770" s="3">
        <f t="shared" si="490"/>
        <v>0</v>
      </c>
      <c r="T770" s="3"/>
      <c r="U770" s="3">
        <f t="shared" si="491"/>
        <v>0</v>
      </c>
      <c r="V770" s="3"/>
      <c r="W770" s="3">
        <f t="shared" si="492"/>
        <v>0</v>
      </c>
      <c r="X770" s="3"/>
      <c r="Y770" s="3"/>
      <c r="Z770" s="3">
        <f t="shared" si="493"/>
        <v>0</v>
      </c>
      <c r="AA770" s="3"/>
      <c r="AB770" s="3"/>
      <c r="AC770" s="3"/>
      <c r="AD770" s="3">
        <f t="shared" si="494"/>
        <v>0</v>
      </c>
      <c r="AE770" s="3"/>
      <c r="AF770" s="3">
        <f t="shared" si="495"/>
        <v>0</v>
      </c>
      <c r="AG770" s="4"/>
      <c r="AH770" s="4"/>
      <c r="AJ770" s="3"/>
      <c r="AK770" s="3">
        <f t="shared" si="496"/>
        <v>0</v>
      </c>
      <c r="AL770" s="3"/>
      <c r="AM770" s="3">
        <f t="shared" si="497"/>
        <v>0</v>
      </c>
      <c r="AO770" s="3"/>
      <c r="AP770" s="3"/>
      <c r="AQ770" s="3"/>
      <c r="AR770" s="3"/>
      <c r="AS770" s="3"/>
      <c r="AT770" s="3"/>
      <c r="AU770" s="3"/>
      <c r="AV770" s="42"/>
      <c r="AW770" s="3"/>
      <c r="AX770" s="42"/>
      <c r="AY770" s="3"/>
      <c r="AZ770" s="42"/>
      <c r="BA770" s="3"/>
      <c r="BB770" s="42"/>
      <c r="BC770" s="3"/>
      <c r="BE770" s="3"/>
    </row>
    <row r="771" spans="1:57" x14ac:dyDescent="0.25">
      <c r="A771" s="3" t="s">
        <v>562</v>
      </c>
      <c r="B771" s="3"/>
      <c r="D771" s="3"/>
      <c r="E771" s="3">
        <f t="shared" si="486"/>
        <v>0</v>
      </c>
      <c r="H771" s="5">
        <f t="shared" si="487"/>
        <v>0</v>
      </c>
      <c r="K771" s="4">
        <f t="shared" si="488"/>
        <v>0</v>
      </c>
      <c r="L771" s="4"/>
      <c r="N771" s="4">
        <f t="shared" si="489"/>
        <v>0</v>
      </c>
      <c r="P771" s="3"/>
      <c r="Q771" s="3"/>
      <c r="R771" s="3"/>
      <c r="S771" s="3">
        <f t="shared" si="490"/>
        <v>0</v>
      </c>
      <c r="T771" s="3"/>
      <c r="U771" s="3">
        <f t="shared" si="491"/>
        <v>0</v>
      </c>
      <c r="V771" s="3"/>
      <c r="W771" s="3">
        <f t="shared" si="492"/>
        <v>0</v>
      </c>
      <c r="X771" s="3"/>
      <c r="Y771" s="3"/>
      <c r="Z771" s="3">
        <f t="shared" si="493"/>
        <v>0</v>
      </c>
      <c r="AA771" s="3"/>
      <c r="AB771" s="3"/>
      <c r="AC771" s="3"/>
      <c r="AD771" s="3">
        <f t="shared" si="494"/>
        <v>0</v>
      </c>
      <c r="AE771" s="3"/>
      <c r="AF771" s="3">
        <f t="shared" si="495"/>
        <v>0</v>
      </c>
      <c r="AG771" s="4"/>
      <c r="AH771" s="4"/>
      <c r="AJ771" s="3"/>
      <c r="AK771" s="3">
        <f t="shared" si="496"/>
        <v>0</v>
      </c>
      <c r="AL771" s="3"/>
      <c r="AM771" s="3">
        <f t="shared" si="497"/>
        <v>0</v>
      </c>
      <c r="AO771" s="3"/>
      <c r="AP771" s="3"/>
      <c r="AQ771" s="3"/>
      <c r="AR771" s="3"/>
      <c r="AS771" s="3"/>
      <c r="AT771" s="3"/>
      <c r="AU771" s="3"/>
      <c r="AV771" s="42"/>
      <c r="AW771" s="3"/>
      <c r="AX771" s="42"/>
      <c r="AY771" s="3"/>
      <c r="AZ771" s="42"/>
      <c r="BA771" s="3"/>
      <c r="BB771" s="42"/>
      <c r="BC771" s="3"/>
      <c r="BE771" s="3"/>
    </row>
    <row r="772" spans="1:57" x14ac:dyDescent="0.25">
      <c r="A772" s="3" t="s">
        <v>563</v>
      </c>
      <c r="B772" s="3"/>
      <c r="D772" s="3"/>
      <c r="E772" s="3">
        <f t="shared" si="486"/>
        <v>0</v>
      </c>
      <c r="H772" s="5">
        <f t="shared" si="487"/>
        <v>0</v>
      </c>
      <c r="K772" s="4">
        <f t="shared" si="488"/>
        <v>0</v>
      </c>
      <c r="L772" s="4"/>
      <c r="N772" s="4">
        <f t="shared" si="489"/>
        <v>0</v>
      </c>
      <c r="P772" s="3"/>
      <c r="Q772" s="3"/>
      <c r="R772" s="3"/>
      <c r="S772" s="3">
        <f t="shared" si="490"/>
        <v>0</v>
      </c>
      <c r="T772" s="3"/>
      <c r="U772" s="3">
        <f t="shared" si="491"/>
        <v>0</v>
      </c>
      <c r="V772" s="3"/>
      <c r="W772" s="3">
        <f t="shared" si="492"/>
        <v>0</v>
      </c>
      <c r="X772" s="3"/>
      <c r="Y772" s="3"/>
      <c r="Z772" s="3">
        <f t="shared" si="493"/>
        <v>0</v>
      </c>
      <c r="AA772" s="3"/>
      <c r="AB772" s="3"/>
      <c r="AC772" s="3"/>
      <c r="AD772" s="3">
        <f t="shared" si="494"/>
        <v>0</v>
      </c>
      <c r="AE772" s="3"/>
      <c r="AF772" s="3">
        <f t="shared" si="495"/>
        <v>0</v>
      </c>
      <c r="AG772" s="4"/>
      <c r="AH772" s="4"/>
      <c r="AJ772" s="3"/>
      <c r="AK772" s="3">
        <f t="shared" si="496"/>
        <v>0</v>
      </c>
      <c r="AL772" s="3"/>
      <c r="AM772" s="3">
        <f t="shared" si="497"/>
        <v>0</v>
      </c>
      <c r="AO772" s="3"/>
      <c r="AP772" s="3"/>
      <c r="AQ772" s="3"/>
      <c r="AR772" s="3"/>
      <c r="AS772" s="3"/>
      <c r="AT772" s="3"/>
      <c r="AU772" s="3"/>
      <c r="AV772" s="42"/>
      <c r="AW772" s="3"/>
      <c r="AX772" s="42"/>
      <c r="AY772" s="3"/>
      <c r="AZ772" s="42"/>
      <c r="BA772" s="3"/>
      <c r="BB772" s="42"/>
      <c r="BC772" s="3"/>
      <c r="BE772" s="3"/>
    </row>
    <row r="773" spans="1:57" x14ac:dyDescent="0.25">
      <c r="A773" s="3" t="s">
        <v>564</v>
      </c>
      <c r="B773" s="3"/>
      <c r="D773" s="3"/>
      <c r="E773" s="3">
        <f t="shared" si="486"/>
        <v>0</v>
      </c>
      <c r="H773" s="5">
        <f t="shared" si="487"/>
        <v>0</v>
      </c>
      <c r="K773" s="4">
        <f t="shared" si="488"/>
        <v>0</v>
      </c>
      <c r="L773" s="4"/>
      <c r="N773" s="4">
        <f t="shared" si="489"/>
        <v>0</v>
      </c>
      <c r="P773" s="3"/>
      <c r="Q773" s="3"/>
      <c r="R773" s="3"/>
      <c r="S773" s="3">
        <f t="shared" si="490"/>
        <v>0</v>
      </c>
      <c r="T773" s="3"/>
      <c r="U773" s="3">
        <f t="shared" si="491"/>
        <v>0</v>
      </c>
      <c r="V773" s="3"/>
      <c r="W773" s="3">
        <f t="shared" si="492"/>
        <v>0</v>
      </c>
      <c r="X773" s="3"/>
      <c r="Y773" s="3"/>
      <c r="Z773" s="3">
        <f t="shared" si="493"/>
        <v>0</v>
      </c>
      <c r="AA773" s="3"/>
      <c r="AB773" s="3"/>
      <c r="AC773" s="3"/>
      <c r="AD773" s="3">
        <f t="shared" si="494"/>
        <v>0</v>
      </c>
      <c r="AE773" s="3"/>
      <c r="AF773" s="3">
        <f t="shared" si="495"/>
        <v>0</v>
      </c>
      <c r="AG773" s="4"/>
      <c r="AH773" s="4"/>
      <c r="AJ773" s="3"/>
      <c r="AK773" s="3">
        <f t="shared" si="496"/>
        <v>0</v>
      </c>
      <c r="AL773" s="3"/>
      <c r="AM773" s="3">
        <f t="shared" si="497"/>
        <v>0</v>
      </c>
      <c r="AO773" s="3"/>
      <c r="AP773" s="3"/>
      <c r="AQ773" s="3"/>
      <c r="AR773" s="3"/>
      <c r="AS773" s="3"/>
      <c r="AT773" s="3"/>
      <c r="AU773" s="3"/>
      <c r="AV773" s="42"/>
      <c r="AW773" s="3"/>
      <c r="AX773" s="42"/>
      <c r="AY773" s="3"/>
      <c r="AZ773" s="42"/>
      <c r="BA773" s="3"/>
      <c r="BB773" s="42"/>
      <c r="BC773" s="3"/>
      <c r="BE773" s="3"/>
    </row>
    <row r="774" spans="1:57" x14ac:dyDescent="0.25">
      <c r="A774" s="3" t="s">
        <v>565</v>
      </c>
      <c r="B774" s="3">
        <v>366000</v>
      </c>
      <c r="D774" s="3"/>
      <c r="E774" s="3">
        <f t="shared" si="486"/>
        <v>366000</v>
      </c>
      <c r="F774" s="5">
        <v>366000</v>
      </c>
      <c r="H774" s="5">
        <f t="shared" si="487"/>
        <v>0</v>
      </c>
      <c r="J774" s="5">
        <v>79157</v>
      </c>
      <c r="K774" s="4">
        <f t="shared" si="488"/>
        <v>286843</v>
      </c>
      <c r="L774" s="4">
        <v>366000</v>
      </c>
      <c r="N774" s="4">
        <f t="shared" si="489"/>
        <v>0</v>
      </c>
      <c r="P774" s="3">
        <v>372000</v>
      </c>
      <c r="Q774" s="3"/>
      <c r="R774" s="3">
        <v>50297</v>
      </c>
      <c r="S774" s="3">
        <f t="shared" si="490"/>
        <v>321703</v>
      </c>
      <c r="T774" s="3">
        <v>372000</v>
      </c>
      <c r="U774" s="3">
        <f t="shared" si="491"/>
        <v>0</v>
      </c>
      <c r="V774" s="3">
        <v>222035</v>
      </c>
      <c r="W774" s="3">
        <f t="shared" si="492"/>
        <v>208485</v>
      </c>
      <c r="X774" s="3"/>
      <c r="Y774" s="3">
        <v>430520</v>
      </c>
      <c r="Z774" s="3">
        <f t="shared" si="493"/>
        <v>58520</v>
      </c>
      <c r="AA774" s="3"/>
      <c r="AB774" s="3"/>
      <c r="AC774" s="3">
        <v>487391</v>
      </c>
      <c r="AD774" s="3">
        <f t="shared" si="494"/>
        <v>2609</v>
      </c>
      <c r="AE774" s="3">
        <v>490000</v>
      </c>
      <c r="AF774" s="3">
        <f t="shared" si="495"/>
        <v>59480</v>
      </c>
      <c r="AG774" s="4"/>
      <c r="AH774" s="4">
        <v>319000</v>
      </c>
      <c r="AJ774" s="3">
        <v>0</v>
      </c>
      <c r="AK774" s="3">
        <f t="shared" si="496"/>
        <v>319000</v>
      </c>
      <c r="AL774" s="3">
        <v>319000</v>
      </c>
      <c r="AM774" s="3">
        <f t="shared" si="497"/>
        <v>0</v>
      </c>
      <c r="AO774" s="3">
        <v>370000</v>
      </c>
      <c r="AP774" s="3"/>
      <c r="AQ774" s="3">
        <v>476000</v>
      </c>
      <c r="AR774" s="3"/>
      <c r="AS774" s="3">
        <v>476000</v>
      </c>
      <c r="AT774" s="3"/>
      <c r="AU774" s="3">
        <v>476000</v>
      </c>
      <c r="AV774" s="42"/>
      <c r="AW774" s="3">
        <v>450000</v>
      </c>
      <c r="AX774" s="42"/>
      <c r="AY774" s="3">
        <v>450000</v>
      </c>
      <c r="AZ774" s="42"/>
      <c r="BA774" s="3">
        <v>450000</v>
      </c>
      <c r="BB774" s="42"/>
      <c r="BC774" s="3">
        <v>450000</v>
      </c>
      <c r="BE774" s="3">
        <v>450000</v>
      </c>
    </row>
    <row r="775" spans="1:57" x14ac:dyDescent="0.25">
      <c r="A775" s="3" t="s">
        <v>566</v>
      </c>
      <c r="B775" s="3"/>
      <c r="D775" s="3"/>
      <c r="E775" s="3">
        <f t="shared" si="486"/>
        <v>0</v>
      </c>
      <c r="H775" s="5">
        <f t="shared" si="487"/>
        <v>0</v>
      </c>
      <c r="K775" s="4">
        <f t="shared" si="488"/>
        <v>0</v>
      </c>
      <c r="L775" s="4"/>
      <c r="N775" s="4">
        <f t="shared" si="489"/>
        <v>0</v>
      </c>
      <c r="S775" s="3">
        <f t="shared" si="490"/>
        <v>0</v>
      </c>
      <c r="T775" s="3"/>
      <c r="U775" s="3">
        <f t="shared" si="491"/>
        <v>0</v>
      </c>
      <c r="W775" s="3">
        <f t="shared" si="492"/>
        <v>0</v>
      </c>
      <c r="X775" s="3"/>
      <c r="Z775" s="3">
        <f t="shared" si="493"/>
        <v>0</v>
      </c>
      <c r="AD775" s="3">
        <f t="shared" si="494"/>
        <v>0</v>
      </c>
      <c r="AE775" s="3"/>
      <c r="AF775" s="3">
        <f t="shared" si="495"/>
        <v>0</v>
      </c>
      <c r="AK775" s="3">
        <f t="shared" si="496"/>
        <v>0</v>
      </c>
      <c r="AM775" s="3">
        <f t="shared" si="497"/>
        <v>0</v>
      </c>
    </row>
    <row r="776" spans="1:57" x14ac:dyDescent="0.25">
      <c r="A776" s="3" t="s">
        <v>567</v>
      </c>
      <c r="E776" s="3">
        <f t="shared" si="486"/>
        <v>0</v>
      </c>
      <c r="H776" s="5">
        <f t="shared" si="487"/>
        <v>0</v>
      </c>
      <c r="K776" s="4">
        <f t="shared" si="488"/>
        <v>0</v>
      </c>
      <c r="L776" s="4"/>
      <c r="N776" s="4">
        <f t="shared" si="489"/>
        <v>0</v>
      </c>
      <c r="S776" s="3">
        <f t="shared" si="490"/>
        <v>0</v>
      </c>
      <c r="T776" s="3"/>
      <c r="U776" s="3">
        <f t="shared" si="491"/>
        <v>0</v>
      </c>
      <c r="W776" s="3">
        <f t="shared" si="492"/>
        <v>0</v>
      </c>
      <c r="X776" s="3"/>
      <c r="Z776" s="3">
        <f t="shared" si="493"/>
        <v>0</v>
      </c>
      <c r="AD776" s="3">
        <f t="shared" si="494"/>
        <v>0</v>
      </c>
      <c r="AE776" s="3"/>
      <c r="AF776" s="3">
        <f t="shared" si="495"/>
        <v>0</v>
      </c>
      <c r="AK776" s="3">
        <f t="shared" si="496"/>
        <v>0</v>
      </c>
      <c r="AM776" s="3">
        <f t="shared" si="497"/>
        <v>0</v>
      </c>
    </row>
    <row r="777" spans="1:57" x14ac:dyDescent="0.25">
      <c r="A777" s="3" t="s">
        <v>568</v>
      </c>
      <c r="E777" s="3">
        <f t="shared" si="486"/>
        <v>0</v>
      </c>
      <c r="H777" s="5">
        <f t="shared" si="487"/>
        <v>0</v>
      </c>
      <c r="K777" s="4">
        <f t="shared" si="488"/>
        <v>0</v>
      </c>
      <c r="L777" s="4"/>
      <c r="N777" s="4">
        <f t="shared" si="489"/>
        <v>0</v>
      </c>
      <c r="S777" s="3">
        <f t="shared" si="490"/>
        <v>0</v>
      </c>
      <c r="T777" s="3"/>
      <c r="U777" s="3">
        <f t="shared" si="491"/>
        <v>0</v>
      </c>
      <c r="W777" s="3">
        <f t="shared" si="492"/>
        <v>0</v>
      </c>
      <c r="X777" s="3"/>
      <c r="Z777" s="3">
        <f t="shared" si="493"/>
        <v>0</v>
      </c>
      <c r="AD777" s="3">
        <f t="shared" si="494"/>
        <v>0</v>
      </c>
      <c r="AE777" s="3"/>
      <c r="AF777" s="3">
        <f t="shared" si="495"/>
        <v>0</v>
      </c>
      <c r="AK777" s="3">
        <f t="shared" si="496"/>
        <v>0</v>
      </c>
      <c r="AM777" s="3">
        <f t="shared" si="497"/>
        <v>0</v>
      </c>
    </row>
    <row r="778" spans="1:57" x14ac:dyDescent="0.25">
      <c r="A778" s="3"/>
      <c r="E778" s="3"/>
      <c r="K778" s="4">
        <f t="shared" si="488"/>
        <v>0</v>
      </c>
      <c r="L778" s="4"/>
      <c r="N778" s="4">
        <f t="shared" si="489"/>
        <v>0</v>
      </c>
      <c r="S778" s="3">
        <f t="shared" si="490"/>
        <v>0</v>
      </c>
      <c r="T778" s="3"/>
      <c r="U778" s="3">
        <f t="shared" si="491"/>
        <v>0</v>
      </c>
      <c r="W778" s="3">
        <f t="shared" si="492"/>
        <v>0</v>
      </c>
      <c r="X778" s="3"/>
      <c r="Z778" s="3">
        <f t="shared" si="493"/>
        <v>0</v>
      </c>
      <c r="AD778" s="3">
        <f t="shared" si="494"/>
        <v>0</v>
      </c>
      <c r="AE778" s="3"/>
      <c r="AF778" s="3">
        <f t="shared" si="495"/>
        <v>0</v>
      </c>
      <c r="AK778" s="3">
        <f t="shared" si="496"/>
        <v>0</v>
      </c>
      <c r="AM778" s="3">
        <f t="shared" si="497"/>
        <v>0</v>
      </c>
    </row>
    <row r="779" spans="1:57" x14ac:dyDescent="0.25">
      <c r="A779" s="3" t="s">
        <v>569</v>
      </c>
      <c r="E779" s="3">
        <f t="shared" si="486"/>
        <v>0</v>
      </c>
      <c r="H779" s="5">
        <f t="shared" si="487"/>
        <v>0</v>
      </c>
      <c r="K779" s="4">
        <f t="shared" si="488"/>
        <v>0</v>
      </c>
      <c r="L779" s="4"/>
      <c r="N779" s="4">
        <f t="shared" si="489"/>
        <v>0</v>
      </c>
      <c r="S779" s="3">
        <f t="shared" si="490"/>
        <v>0</v>
      </c>
      <c r="T779" s="3"/>
      <c r="U779" s="3">
        <f t="shared" si="491"/>
        <v>0</v>
      </c>
      <c r="W779" s="3">
        <f t="shared" si="492"/>
        <v>0</v>
      </c>
      <c r="X779" s="3"/>
      <c r="Z779" s="3">
        <f t="shared" si="493"/>
        <v>0</v>
      </c>
      <c r="AD779" s="3">
        <f>AE779-AC779</f>
        <v>0</v>
      </c>
      <c r="AE779" s="3"/>
      <c r="AF779" s="3">
        <f>AE779-Y779</f>
        <v>0</v>
      </c>
      <c r="AK779" s="3">
        <f t="shared" si="496"/>
        <v>0</v>
      </c>
      <c r="AM779" s="3">
        <f t="shared" si="497"/>
        <v>0</v>
      </c>
    </row>
    <row r="780" spans="1:57" x14ac:dyDescent="0.25">
      <c r="A780" s="3"/>
      <c r="B780" s="48">
        <f>SUM(B751:B779)</f>
        <v>762000</v>
      </c>
      <c r="C780" s="32"/>
      <c r="D780" s="48">
        <f>SUM(D751:D779)</f>
        <v>4824</v>
      </c>
      <c r="E780" s="48">
        <f>SUM(E751:E779)</f>
        <v>757176</v>
      </c>
      <c r="F780" s="48">
        <f>SUM(F751:F779)</f>
        <v>762000</v>
      </c>
      <c r="G780" s="32"/>
      <c r="H780" s="48">
        <f>SUM(H751:H779)</f>
        <v>0</v>
      </c>
      <c r="I780" s="36"/>
      <c r="J780" s="48">
        <f>SUM(J761:J779)</f>
        <v>79596</v>
      </c>
      <c r="K780" s="48">
        <f>SUM(K761:K779)</f>
        <v>358404</v>
      </c>
      <c r="L780" s="48">
        <f>SUM(L761:L779)</f>
        <v>438000</v>
      </c>
      <c r="M780" s="32"/>
      <c r="N780" s="48">
        <f>SUM(N751:N779)</f>
        <v>-183450</v>
      </c>
      <c r="P780" s="48">
        <f>SUM(P751:P779)</f>
        <v>995000</v>
      </c>
      <c r="R780" s="48">
        <f t="shared" ref="R780:Z780" si="498">SUM(R751:R779)</f>
        <v>50297</v>
      </c>
      <c r="S780" s="48">
        <f t="shared" si="498"/>
        <v>993703</v>
      </c>
      <c r="T780" s="48">
        <f t="shared" si="498"/>
        <v>1044000</v>
      </c>
      <c r="U780" s="48">
        <f t="shared" si="498"/>
        <v>49000</v>
      </c>
      <c r="V780" s="48">
        <f t="shared" si="498"/>
        <v>314344</v>
      </c>
      <c r="W780" s="48">
        <f t="shared" si="498"/>
        <v>826776</v>
      </c>
      <c r="X780" s="48"/>
      <c r="Y780" s="48">
        <f t="shared" si="498"/>
        <v>1141120</v>
      </c>
      <c r="Z780" s="48">
        <f t="shared" si="498"/>
        <v>97120</v>
      </c>
      <c r="AC780" s="48">
        <f>SUM(AC751:AC779)</f>
        <v>591419</v>
      </c>
      <c r="AD780" s="48">
        <f>SUM(AD751:AD779)</f>
        <v>516851</v>
      </c>
      <c r="AE780" s="48">
        <f>SUM(AE751:AE779)</f>
        <v>1108270</v>
      </c>
      <c r="AF780" s="48">
        <f>SUM(AF751:AF779)</f>
        <v>-32850</v>
      </c>
      <c r="AH780" s="36">
        <f>SUM(AH751:AH779)</f>
        <v>666000</v>
      </c>
      <c r="AI780" s="32"/>
      <c r="AJ780" s="48">
        <f>SUM(AJ751:AJ779)</f>
        <v>15769</v>
      </c>
      <c r="AK780" s="48">
        <f>SUM(AK751:AK779)</f>
        <v>774231</v>
      </c>
      <c r="AL780" s="48">
        <f>SUM(AL751:AL779)</f>
        <v>790000</v>
      </c>
      <c r="AM780" s="48">
        <f>SUM(AM751:AM779)</f>
        <v>124000</v>
      </c>
      <c r="AN780" s="32"/>
      <c r="AO780" s="48">
        <f>SUM(AO751:AO779)</f>
        <v>736000</v>
      </c>
      <c r="AQ780" s="48">
        <f>SUM(AQ751:AQ779)</f>
        <v>912000</v>
      </c>
      <c r="AS780" s="48">
        <f>SUM(AS751:AS779)</f>
        <v>857000</v>
      </c>
      <c r="AT780" s="48"/>
      <c r="AU780" s="48">
        <f>SUM(AU751:AU779)</f>
        <v>894000</v>
      </c>
      <c r="AW780" s="48">
        <f>SUM(AW751:AW779)</f>
        <v>927000</v>
      </c>
      <c r="AY780" s="48">
        <f>SUM(AY751:AY779)</f>
        <v>872000</v>
      </c>
      <c r="BA780" s="48">
        <f>SUM(BA751:BA779)</f>
        <v>905000</v>
      </c>
      <c r="BC780" s="48">
        <f>SUM(BC751:BC779)</f>
        <v>875000</v>
      </c>
      <c r="BE780" s="48">
        <f>SUM(BE751:BE779)</f>
        <v>875000</v>
      </c>
    </row>
    <row r="781" spans="1:57" ht="15.75" thickBot="1" x14ac:dyDescent="0.3">
      <c r="A781" s="7" t="s">
        <v>249</v>
      </c>
      <c r="B781" s="49">
        <f xml:space="preserve"> B780+B747+B715+B694+B692+B688+B683+B677</f>
        <v>5043700</v>
      </c>
      <c r="C781" s="32"/>
      <c r="D781" s="49">
        <f xml:space="preserve"> D780+D747+D715+D694+D692+D688+D683+D677</f>
        <v>1034308</v>
      </c>
      <c r="E781" s="49">
        <f xml:space="preserve"> E780+E747+E715+E694+E692+E688+E683+E677</f>
        <v>4940924</v>
      </c>
      <c r="F781" s="49">
        <f xml:space="preserve"> F780+F747+F715+F694+F692+F688+F683+F677</f>
        <v>5975232</v>
      </c>
      <c r="G781" s="32"/>
      <c r="H781" s="49">
        <f xml:space="preserve"> H780+H747+H715+H694+H692+H688+H683+H677</f>
        <v>933532</v>
      </c>
      <c r="I781" s="36"/>
      <c r="J781" s="49">
        <f xml:space="preserve"> J780+J747+J715+J694+J692+J688+J683+J677</f>
        <v>2838842</v>
      </c>
      <c r="K781" s="49">
        <f xml:space="preserve"> K780+K747+K715+K694+K692+K688+K683+K677</f>
        <v>2794234</v>
      </c>
      <c r="L781" s="49">
        <f xml:space="preserve"> L780+L747+L715+L694+L692+L688+L683+L677</f>
        <v>5720475</v>
      </c>
      <c r="M781" s="32"/>
      <c r="N781" s="49">
        <f xml:space="preserve"> N780+N747+N715+N694+N692+N688+N683+N677</f>
        <v>-114207</v>
      </c>
      <c r="P781" s="49">
        <f xml:space="preserve"> P780+P747+P715+P694+P692+P688+P683+P677</f>
        <v>5031270</v>
      </c>
      <c r="R781" s="49">
        <f t="shared" ref="R781:Z781" si="499" xml:space="preserve"> R780+R747+R715+R694+R692+R688+R683+R677</f>
        <v>896039</v>
      </c>
      <c r="S781" s="49">
        <f t="shared" si="499"/>
        <v>4189031</v>
      </c>
      <c r="T781" s="49">
        <f t="shared" si="499"/>
        <v>5085070</v>
      </c>
      <c r="U781" s="49">
        <f t="shared" si="499"/>
        <v>53800</v>
      </c>
      <c r="V781" s="49">
        <f t="shared" si="499"/>
        <v>2303461</v>
      </c>
      <c r="W781" s="49">
        <f t="shared" si="499"/>
        <v>3046569</v>
      </c>
      <c r="X781" s="49"/>
      <c r="Y781" s="49">
        <f t="shared" si="499"/>
        <v>5350030</v>
      </c>
      <c r="Z781" s="49">
        <f t="shared" si="499"/>
        <v>264960</v>
      </c>
      <c r="AC781" s="49">
        <f xml:space="preserve"> AC780+AC747+AC715+AC694+AC692+AC688+AC683+AC677</f>
        <v>3177497</v>
      </c>
      <c r="AD781" s="49">
        <f xml:space="preserve"> AD780+AD747+AD715+AD694+AD692+AD688+AD683+AD677</f>
        <v>2115943</v>
      </c>
      <c r="AE781" s="49">
        <f xml:space="preserve"> AE780+AE747+AE715+AE694+AE692+AE688+AE683+AE677</f>
        <v>5293440</v>
      </c>
      <c r="AF781" s="49">
        <f xml:space="preserve"> AF780+AF747+AF715+AF694+AF692+AF688+AF683+AF677</f>
        <v>-56590</v>
      </c>
      <c r="AH781" s="36">
        <f xml:space="preserve"> AH780+AH747+AH715+AH694+AH692+AH688+AH683+AH677</f>
        <v>6196670</v>
      </c>
      <c r="AI781" s="32"/>
      <c r="AJ781" s="49">
        <f xml:space="preserve"> AJ780+AJ747+AJ715+AJ694+AJ692+AJ688+AJ683+AJ677</f>
        <v>641962</v>
      </c>
      <c r="AK781" s="49">
        <f xml:space="preserve"> AK780+AK747+AK715+AK694+AK692+AK688+AK683+AK677</f>
        <v>5788336</v>
      </c>
      <c r="AL781" s="49">
        <f xml:space="preserve"> AL780+AL747+AL715+AL694+AL692+AL688+AL683+AL677</f>
        <v>6430298</v>
      </c>
      <c r="AM781" s="49">
        <f xml:space="preserve"> AM780+AM747+AM715+AM694+AM692+AM688+AM683+AM677</f>
        <v>233628</v>
      </c>
      <c r="AN781" s="32"/>
      <c r="AO781" s="49">
        <f xml:space="preserve"> AO780+AO747+AO715+AO694+AO692+AO688+AO683+AO677</f>
        <v>2281898.5</v>
      </c>
      <c r="AQ781" s="49">
        <f xml:space="preserve"> AQ780+AQ747+AQ715+AQ694+AQ692+AQ688+AQ683+AQ677</f>
        <v>2468726.7549999999</v>
      </c>
      <c r="AS781" s="49">
        <f xml:space="preserve"> AS780+AS747+AS715+AS694+AS692+AS688+AS683+AS677</f>
        <v>2442708.8576500001</v>
      </c>
      <c r="AT781" s="49"/>
      <c r="AU781" s="49">
        <f xml:space="preserve"> AU780+AU747+AU715+AU694+AU692+AU688+AU683+AU677</f>
        <v>2509489.3233795003</v>
      </c>
      <c r="AW781" s="49">
        <f xml:space="preserve"> AW780+AW747+AW715+AW694+AW692+AW688+AW683+AW677</f>
        <v>2593083.103080885</v>
      </c>
      <c r="AY781" s="49">
        <f xml:space="preserve"> AY780+AY747+AY715+AY694+AY692+AY688+AY683+AY677</f>
        <v>2611895.9716289588</v>
      </c>
      <c r="BA781" s="49">
        <f xml:space="preserve"> BA780+BA747+BA715+BA694+BA692+BA688+BA683+BA677</f>
        <v>2655903.989374422</v>
      </c>
      <c r="BC781" s="49">
        <f xml:space="preserve"> BC780+BC747+BC715+BC694+BC692+BC688+BC683+BC677</f>
        <v>2659644.9870031308</v>
      </c>
      <c r="BE781" s="49">
        <f xml:space="preserve"> BE780+BE747+BE715+BE694+BE692+BE688+BE683+BE677</f>
        <v>2680247.3502888619</v>
      </c>
    </row>
    <row r="782" spans="1:57" ht="15.75" thickTop="1" x14ac:dyDescent="0.25">
      <c r="A782" s="7" t="s">
        <v>570</v>
      </c>
    </row>
    <row r="783" spans="1:57" x14ac:dyDescent="0.25">
      <c r="A783" s="7" t="s">
        <v>251</v>
      </c>
      <c r="Z783" s="3">
        <f>Y783-T783</f>
        <v>0</v>
      </c>
    </row>
    <row r="784" spans="1:57" x14ac:dyDescent="0.25">
      <c r="A784" s="3" t="s">
        <v>493</v>
      </c>
      <c r="B784" s="3">
        <v>7000</v>
      </c>
      <c r="D784" s="3">
        <v>2910</v>
      </c>
      <c r="E784" s="3">
        <f>F784-D784</f>
        <v>4090</v>
      </c>
      <c r="F784" s="5">
        <v>7000</v>
      </c>
      <c r="H784" s="5">
        <f>F784-B784</f>
        <v>0</v>
      </c>
      <c r="J784" s="5">
        <v>5218</v>
      </c>
      <c r="K784" s="4">
        <f>L784-J784</f>
        <v>1782</v>
      </c>
      <c r="L784" s="4">
        <v>7000</v>
      </c>
      <c r="N784" s="4">
        <f>L784-F784</f>
        <v>0</v>
      </c>
      <c r="P784" s="3">
        <v>9000</v>
      </c>
      <c r="Q784" s="3"/>
      <c r="R784" s="3">
        <v>3341</v>
      </c>
      <c r="S784" s="3">
        <f>T784-R784</f>
        <v>5659</v>
      </c>
      <c r="T784" s="3">
        <v>9000</v>
      </c>
      <c r="U784" s="3">
        <f>T784-P784</f>
        <v>0</v>
      </c>
      <c r="V784" s="3">
        <v>3741</v>
      </c>
      <c r="W784" s="3">
        <f>Y784-V784</f>
        <v>5259</v>
      </c>
      <c r="X784" s="3"/>
      <c r="Y784" s="3">
        <v>9000</v>
      </c>
      <c r="Z784" s="3">
        <f>Y784-T784</f>
        <v>0</v>
      </c>
      <c r="AA784" s="3"/>
      <c r="AB784" s="3"/>
      <c r="AC784" s="3">
        <v>4042</v>
      </c>
      <c r="AD784" s="3">
        <f>AE784-AC784</f>
        <v>4958</v>
      </c>
      <c r="AE784" s="3">
        <v>9000</v>
      </c>
      <c r="AF784" s="3">
        <f>AE784-Y784</f>
        <v>0</v>
      </c>
      <c r="AG784" s="4"/>
      <c r="AH784" s="4">
        <f>AE784*1.03+10000+730</f>
        <v>20000</v>
      </c>
      <c r="AJ784" s="3">
        <v>4950</v>
      </c>
      <c r="AK784" s="3">
        <f>AL784-AJ784</f>
        <v>15050</v>
      </c>
      <c r="AL784" s="3">
        <v>20000</v>
      </c>
      <c r="AM784" s="3">
        <f>AL784-AH784</f>
        <v>0</v>
      </c>
      <c r="AO784" s="63">
        <f>AH784*1.03+10000+21-10321</f>
        <v>20300</v>
      </c>
      <c r="AP784" s="63"/>
      <c r="AQ784" s="63">
        <v>15610</v>
      </c>
      <c r="AR784" s="3"/>
      <c r="AS784" s="3">
        <v>10150</v>
      </c>
      <c r="AT784" s="3"/>
      <c r="AU784" s="3">
        <f>AS784*1.03</f>
        <v>10454.5</v>
      </c>
      <c r="AV784" s="42"/>
      <c r="AW784" s="3">
        <f>AU784*1.03</f>
        <v>10768.135</v>
      </c>
      <c r="AX784" s="42"/>
      <c r="AY784" s="3">
        <f>AW784*1.03</f>
        <v>11091.179050000001</v>
      </c>
      <c r="AZ784" s="42"/>
      <c r="BA784" s="3">
        <f>AY784*1.03</f>
        <v>11423.914421500001</v>
      </c>
      <c r="BB784" s="42"/>
      <c r="BC784" s="3">
        <f>BA784*1.03</f>
        <v>11766.631854145002</v>
      </c>
      <c r="BE784" s="3">
        <f>BC784*1.03</f>
        <v>12119.630809769353</v>
      </c>
    </row>
    <row r="785" spans="1:57" x14ac:dyDescent="0.25">
      <c r="A785" s="3" t="s">
        <v>289</v>
      </c>
      <c r="B785" s="3">
        <v>15500</v>
      </c>
      <c r="D785" s="3">
        <v>0</v>
      </c>
      <c r="E785" s="3">
        <f>F785-D785</f>
        <v>15500</v>
      </c>
      <c r="F785" s="5">
        <v>15500</v>
      </c>
      <c r="H785" s="5">
        <f>F785-B785</f>
        <v>0</v>
      </c>
      <c r="K785" s="4">
        <f>L785-J785</f>
        <v>15500</v>
      </c>
      <c r="L785" s="4">
        <v>15500</v>
      </c>
      <c r="N785" s="4">
        <f>L785-F785</f>
        <v>0</v>
      </c>
      <c r="P785" s="3">
        <v>15500</v>
      </c>
      <c r="Q785" s="3"/>
      <c r="R785" s="3">
        <v>0</v>
      </c>
      <c r="S785" s="3">
        <f>T785-R785</f>
        <v>15500</v>
      </c>
      <c r="T785" s="3">
        <v>15500</v>
      </c>
      <c r="U785" s="3">
        <f>T785-P785</f>
        <v>0</v>
      </c>
      <c r="V785" s="3">
        <v>0</v>
      </c>
      <c r="W785" s="3">
        <f>Y785-V785</f>
        <v>15500</v>
      </c>
      <c r="X785" s="3"/>
      <c r="Y785" s="3">
        <v>15500</v>
      </c>
      <c r="Z785" s="3">
        <f>Y785-T785</f>
        <v>0</v>
      </c>
      <c r="AA785" s="3"/>
      <c r="AB785" s="3"/>
      <c r="AC785" s="3">
        <v>0</v>
      </c>
      <c r="AD785" s="3">
        <f>AE785-AC785</f>
        <v>15500</v>
      </c>
      <c r="AE785" s="3">
        <v>15500</v>
      </c>
      <c r="AF785" s="3">
        <f>AE785-Y785</f>
        <v>0</v>
      </c>
      <c r="AG785" s="4"/>
      <c r="AH785" s="4">
        <v>15500</v>
      </c>
      <c r="AJ785" s="3">
        <v>0</v>
      </c>
      <c r="AK785" s="3">
        <f>AL785-AJ785</f>
        <v>15500</v>
      </c>
      <c r="AL785" s="3">
        <v>15500</v>
      </c>
      <c r="AM785" s="3">
        <f>AL785-AH785</f>
        <v>0</v>
      </c>
      <c r="AO785" s="3">
        <v>15500</v>
      </c>
      <c r="AP785" s="3"/>
      <c r="AQ785" s="3">
        <v>15500</v>
      </c>
      <c r="AR785" s="3"/>
      <c r="AS785" s="3">
        <v>15500</v>
      </c>
      <c r="AT785" s="3"/>
      <c r="AU785" s="3">
        <v>15500</v>
      </c>
      <c r="AV785" s="42"/>
      <c r="AW785" s="3">
        <v>15500</v>
      </c>
      <c r="AX785" s="42"/>
      <c r="AY785" s="3">
        <v>15500</v>
      </c>
      <c r="AZ785" s="42"/>
      <c r="BA785" s="3">
        <v>15500</v>
      </c>
      <c r="BB785" s="42"/>
      <c r="BC785" s="3">
        <v>15500</v>
      </c>
      <c r="BE785" s="3">
        <v>15500</v>
      </c>
    </row>
    <row r="786" spans="1:57" x14ac:dyDescent="0.25">
      <c r="A786" s="3"/>
      <c r="B786" s="48">
        <f>SUM(B784:B785)</f>
        <v>22500</v>
      </c>
      <c r="C786" s="32"/>
      <c r="D786" s="48">
        <f>SUM(D784:D785)</f>
        <v>2910</v>
      </c>
      <c r="E786" s="48">
        <f>SUM(E784:E785)</f>
        <v>19590</v>
      </c>
      <c r="F786" s="48">
        <f>SUM(F784:F785)</f>
        <v>22500</v>
      </c>
      <c r="G786" s="32"/>
      <c r="H786" s="48">
        <f>SUM(H784:H785)</f>
        <v>0</v>
      </c>
      <c r="I786" s="36"/>
      <c r="J786" s="48">
        <f>SUM(J784:J785)</f>
        <v>5218</v>
      </c>
      <c r="K786" s="48">
        <f>SUM(K784:K785)</f>
        <v>17282</v>
      </c>
      <c r="L786" s="48">
        <f>SUM(L784:L785)</f>
        <v>22500</v>
      </c>
      <c r="M786" s="32"/>
      <c r="N786" s="48">
        <f>SUM(N784:N785)</f>
        <v>0</v>
      </c>
      <c r="P786" s="48">
        <f>SUM(P784:P785)</f>
        <v>24500</v>
      </c>
      <c r="R786" s="48">
        <f t="shared" ref="R786:Z786" si="500">SUM(R784:R785)</f>
        <v>3341</v>
      </c>
      <c r="S786" s="48">
        <f t="shared" si="500"/>
        <v>21159</v>
      </c>
      <c r="T786" s="48">
        <f t="shared" si="500"/>
        <v>24500</v>
      </c>
      <c r="U786" s="48">
        <f t="shared" si="500"/>
        <v>0</v>
      </c>
      <c r="V786" s="48">
        <f t="shared" si="500"/>
        <v>3741</v>
      </c>
      <c r="W786" s="48">
        <f t="shared" si="500"/>
        <v>20759</v>
      </c>
      <c r="X786" s="48"/>
      <c r="Y786" s="48">
        <f t="shared" si="500"/>
        <v>24500</v>
      </c>
      <c r="Z786" s="48">
        <f t="shared" si="500"/>
        <v>0</v>
      </c>
      <c r="AC786" s="48">
        <f>SUM(AC784:AC785)</f>
        <v>4042</v>
      </c>
      <c r="AD786" s="48">
        <f>SUM(AD784:AD785)</f>
        <v>20458</v>
      </c>
      <c r="AE786" s="48">
        <f>SUM(AE784:AE785)</f>
        <v>24500</v>
      </c>
      <c r="AF786" s="48">
        <f>SUM(AF784:AF785)</f>
        <v>0</v>
      </c>
      <c r="AH786" s="36">
        <f>SUM(AH784:AH785)</f>
        <v>35500</v>
      </c>
      <c r="AI786" s="32"/>
      <c r="AJ786" s="48">
        <f>SUM(AJ784:AJ785)</f>
        <v>4950</v>
      </c>
      <c r="AK786" s="48">
        <f>SUM(AK784:AK785)</f>
        <v>30550</v>
      </c>
      <c r="AL786" s="48">
        <f>SUM(AL784:AL785)</f>
        <v>35500</v>
      </c>
      <c r="AM786" s="48">
        <f>SUM(AM784:AM785)</f>
        <v>0</v>
      </c>
      <c r="AN786" s="32"/>
      <c r="AO786" s="48">
        <f>SUM(AO784:AO785)</f>
        <v>35800</v>
      </c>
      <c r="AQ786" s="48">
        <f>SUM(AQ784:AQ785)</f>
        <v>31110</v>
      </c>
      <c r="AS786" s="48">
        <f>SUM(AS784:AS785)</f>
        <v>25650</v>
      </c>
      <c r="AT786" s="48"/>
      <c r="AU786" s="48">
        <f>SUM(AU784:AU785)</f>
        <v>25954.5</v>
      </c>
      <c r="AW786" s="48">
        <f>SUM(AW784:AW785)</f>
        <v>26268.135000000002</v>
      </c>
      <c r="AY786" s="48">
        <f>SUM(AY784:AY785)</f>
        <v>26591.179049999999</v>
      </c>
      <c r="BA786" s="48">
        <f>SUM(BA784:BA785)</f>
        <v>26923.914421500001</v>
      </c>
      <c r="BC786" s="48">
        <f>SUM(BC784:BC785)</f>
        <v>27266.631854145002</v>
      </c>
      <c r="BE786" s="48">
        <f>SUM(BE784:BE785)</f>
        <v>27619.630809769355</v>
      </c>
    </row>
    <row r="787" spans="1:57" x14ac:dyDescent="0.25">
      <c r="A787" s="7" t="s">
        <v>253</v>
      </c>
    </row>
    <row r="788" spans="1:57" x14ac:dyDescent="0.25">
      <c r="A788" s="3" t="s">
        <v>304</v>
      </c>
      <c r="B788" s="3">
        <v>117500</v>
      </c>
      <c r="D788" s="3">
        <v>29287</v>
      </c>
      <c r="E788" s="3">
        <f t="shared" ref="E788:E811" si="501">F788-D788</f>
        <v>88213</v>
      </c>
      <c r="F788" s="5">
        <v>117500</v>
      </c>
      <c r="H788" s="5">
        <f t="shared" ref="H788:H811" si="502">F788-B788</f>
        <v>0</v>
      </c>
      <c r="J788" s="5">
        <v>57509</v>
      </c>
      <c r="K788" s="4">
        <f t="shared" ref="K788:K811" si="503">L788-J788</f>
        <v>60491</v>
      </c>
      <c r="L788" s="4">
        <v>118000</v>
      </c>
      <c r="N788" s="4">
        <f t="shared" ref="N788:N811" si="504">L788-F788</f>
        <v>500</v>
      </c>
      <c r="P788" s="3">
        <v>123000</v>
      </c>
      <c r="Q788" s="3"/>
      <c r="R788" s="3">
        <v>28311</v>
      </c>
      <c r="S788" s="3">
        <f t="shared" ref="S788:S811" si="505">T788-R788</f>
        <v>94689</v>
      </c>
      <c r="T788" s="3">
        <v>123000</v>
      </c>
      <c r="U788" s="3">
        <f t="shared" ref="U788:U811" si="506">T788-P788</f>
        <v>0</v>
      </c>
      <c r="V788" s="3">
        <v>63630</v>
      </c>
      <c r="W788" s="3">
        <f t="shared" ref="W788:W811" si="507">Y788-V788</f>
        <v>63370</v>
      </c>
      <c r="X788" s="3"/>
      <c r="Y788" s="3">
        <v>127000</v>
      </c>
      <c r="Z788" s="3">
        <f t="shared" ref="Z788:Z811" si="508">Y788-T788</f>
        <v>4000</v>
      </c>
      <c r="AA788" s="3"/>
      <c r="AB788" s="3"/>
      <c r="AC788" s="3">
        <f>105222+2222</f>
        <v>107444</v>
      </c>
      <c r="AD788" s="3">
        <f t="shared" ref="AD788:AD811" si="509">AE788-AC788</f>
        <v>19556</v>
      </c>
      <c r="AE788" s="3">
        <v>127000</v>
      </c>
      <c r="AF788" s="3">
        <f t="shared" ref="AF788:AF811" si="510">AE788-Y788</f>
        <v>0</v>
      </c>
      <c r="AG788" s="4"/>
      <c r="AH788" s="4">
        <v>126150</v>
      </c>
      <c r="AJ788" s="3">
        <v>33268</v>
      </c>
      <c r="AK788" s="3">
        <f t="shared" ref="AK788:AK811" si="511">AL788-AJ788</f>
        <v>92882</v>
      </c>
      <c r="AL788" s="3">
        <v>126150</v>
      </c>
      <c r="AM788" s="3">
        <f t="shared" ref="AM788:AM811" si="512">AL788-AH788</f>
        <v>0</v>
      </c>
      <c r="AO788" s="3">
        <f t="shared" ref="AO788:AO794" si="513">AH788*1.03</f>
        <v>129934.5</v>
      </c>
      <c r="AP788" s="3" t="e">
        <f>#REF!*1.03</f>
        <v>#REF!</v>
      </c>
      <c r="AQ788" s="3">
        <f t="shared" ref="AQ788:BC800" si="514">AO788*1.03</f>
        <v>133832.535</v>
      </c>
      <c r="AR788" s="3" t="e">
        <f t="shared" si="514"/>
        <v>#REF!</v>
      </c>
      <c r="AS788" s="3">
        <f t="shared" si="514"/>
        <v>137847.51105</v>
      </c>
      <c r="AT788" s="3" t="e">
        <f t="shared" si="514"/>
        <v>#REF!</v>
      </c>
      <c r="AU788" s="3">
        <f t="shared" si="514"/>
        <v>141982.93638150001</v>
      </c>
      <c r="AV788" s="3"/>
      <c r="AW788" s="3">
        <f>AU788*1.03</f>
        <v>146242.42447294501</v>
      </c>
      <c r="AX788" s="3">
        <f>AV788*1.03</f>
        <v>0</v>
      </c>
      <c r="AY788" s="3">
        <f>AW788*1.03</f>
        <v>150629.69720713337</v>
      </c>
      <c r="AZ788" s="3">
        <f>AX788*1.03</f>
        <v>0</v>
      </c>
      <c r="BA788" s="3">
        <f>AY788*1.03</f>
        <v>155148.58812334738</v>
      </c>
      <c r="BB788" s="3"/>
      <c r="BC788" s="3">
        <f>BA788*1.03</f>
        <v>159803.04576704779</v>
      </c>
      <c r="BD788" s="3">
        <f>BB788*1.03</f>
        <v>0</v>
      </c>
      <c r="BE788" s="3">
        <f>BC788*1.03</f>
        <v>164597.13714005923</v>
      </c>
    </row>
    <row r="789" spans="1:57" x14ac:dyDescent="0.25">
      <c r="A789" s="3" t="s">
        <v>305</v>
      </c>
      <c r="B789" s="3">
        <v>10000</v>
      </c>
      <c r="D789" s="3">
        <v>1991</v>
      </c>
      <c r="E789" s="3">
        <f t="shared" si="501"/>
        <v>8009</v>
      </c>
      <c r="F789" s="5">
        <v>10000</v>
      </c>
      <c r="H789" s="5">
        <f t="shared" si="502"/>
        <v>0</v>
      </c>
      <c r="J789" s="5">
        <v>3845</v>
      </c>
      <c r="K789" s="4">
        <f t="shared" si="503"/>
        <v>6155</v>
      </c>
      <c r="L789" s="4">
        <v>10000</v>
      </c>
      <c r="N789" s="4">
        <f t="shared" si="504"/>
        <v>0</v>
      </c>
      <c r="P789" s="3">
        <v>15000</v>
      </c>
      <c r="Q789" s="3"/>
      <c r="R789" s="3">
        <v>27332</v>
      </c>
      <c r="S789" s="3">
        <f t="shared" si="505"/>
        <v>10168</v>
      </c>
      <c r="T789" s="3">
        <v>37500</v>
      </c>
      <c r="U789" s="3">
        <f t="shared" si="506"/>
        <v>22500</v>
      </c>
      <c r="V789" s="3">
        <f>6629-831+21535</f>
        <v>27333</v>
      </c>
      <c r="W789" s="3">
        <f t="shared" si="507"/>
        <v>12667</v>
      </c>
      <c r="X789" s="3"/>
      <c r="Y789" s="3">
        <v>40000</v>
      </c>
      <c r="Z789" s="3">
        <f t="shared" si="508"/>
        <v>2500</v>
      </c>
      <c r="AA789" s="3"/>
      <c r="AB789" s="3"/>
      <c r="AC789" s="3">
        <f>27522+1111</f>
        <v>28633</v>
      </c>
      <c r="AD789" s="3">
        <f t="shared" si="509"/>
        <v>11367</v>
      </c>
      <c r="AE789" s="3">
        <v>40000</v>
      </c>
      <c r="AF789" s="3">
        <f t="shared" si="510"/>
        <v>0</v>
      </c>
      <c r="AG789" s="4"/>
      <c r="AH789" s="4">
        <v>15500</v>
      </c>
      <c r="AJ789" s="3">
        <v>2251</v>
      </c>
      <c r="AK789" s="3">
        <f t="shared" si="511"/>
        <v>13249</v>
      </c>
      <c r="AL789" s="3">
        <v>15500</v>
      </c>
      <c r="AM789" s="3">
        <f t="shared" si="512"/>
        <v>0</v>
      </c>
      <c r="AO789" s="3">
        <f t="shared" si="513"/>
        <v>15965</v>
      </c>
      <c r="AP789" s="3" t="e">
        <f>#REF!*1.03</f>
        <v>#REF!</v>
      </c>
      <c r="AQ789" s="3">
        <f t="shared" si="514"/>
        <v>16443.95</v>
      </c>
      <c r="AR789" s="3" t="e">
        <f>AP789*1.03</f>
        <v>#REF!</v>
      </c>
      <c r="AS789" s="3">
        <f t="shared" si="514"/>
        <v>16937.268500000002</v>
      </c>
      <c r="AT789" s="3" t="e">
        <f>AR789*1.03</f>
        <v>#REF!</v>
      </c>
      <c r="AU789" s="3">
        <f t="shared" si="514"/>
        <v>17445.386555000001</v>
      </c>
      <c r="AV789" s="3"/>
      <c r="AW789" s="3">
        <f t="shared" si="514"/>
        <v>17968.748151650001</v>
      </c>
      <c r="AX789" s="3">
        <f>AV789*1.03</f>
        <v>0</v>
      </c>
      <c r="AY789" s="3">
        <f t="shared" si="514"/>
        <v>18507.810596199502</v>
      </c>
      <c r="AZ789" s="3">
        <f>AX789*1.03</f>
        <v>0</v>
      </c>
      <c r="BA789" s="3">
        <f t="shared" si="514"/>
        <v>19063.044914085487</v>
      </c>
      <c r="BB789" s="3"/>
      <c r="BC789" s="3">
        <f t="shared" si="514"/>
        <v>19634.936261508054</v>
      </c>
      <c r="BD789" s="3">
        <f>BB789*1.03</f>
        <v>0</v>
      </c>
      <c r="BE789" s="3">
        <f t="shared" ref="BE789:BE800" si="515">BC789*1.03</f>
        <v>20223.984349353297</v>
      </c>
    </row>
    <row r="790" spans="1:57" x14ac:dyDescent="0.25">
      <c r="A790" s="3" t="s">
        <v>571</v>
      </c>
      <c r="B790" s="3">
        <v>80000</v>
      </c>
      <c r="D790" s="3">
        <v>0</v>
      </c>
      <c r="E790" s="3">
        <f t="shared" si="501"/>
        <v>45000</v>
      </c>
      <c r="F790" s="5">
        <v>45000</v>
      </c>
      <c r="H790" s="5">
        <f t="shared" si="502"/>
        <v>-35000</v>
      </c>
      <c r="J790" s="5">
        <v>0</v>
      </c>
      <c r="K790" s="4">
        <f t="shared" si="503"/>
        <v>20000</v>
      </c>
      <c r="L790" s="4">
        <v>20000</v>
      </c>
      <c r="N790" s="4">
        <f t="shared" si="504"/>
        <v>-25000</v>
      </c>
      <c r="P790" s="3">
        <v>0</v>
      </c>
      <c r="Q790" s="3"/>
      <c r="R790" s="3"/>
      <c r="S790" s="3">
        <f t="shared" si="505"/>
        <v>0</v>
      </c>
      <c r="T790" s="3"/>
      <c r="U790" s="3">
        <f t="shared" si="506"/>
        <v>0</v>
      </c>
      <c r="V790" s="3">
        <v>2984</v>
      </c>
      <c r="W790" s="3">
        <f t="shared" si="507"/>
        <v>-2984</v>
      </c>
      <c r="X790" s="3"/>
      <c r="Y790" s="3"/>
      <c r="Z790" s="3">
        <f t="shared" si="508"/>
        <v>0</v>
      </c>
      <c r="AA790" s="3"/>
      <c r="AB790" s="3"/>
      <c r="AC790" s="3"/>
      <c r="AD790" s="3">
        <f t="shared" si="509"/>
        <v>40000</v>
      </c>
      <c r="AE790" s="3">
        <v>40000</v>
      </c>
      <c r="AF790" s="3">
        <f t="shared" si="510"/>
        <v>40000</v>
      </c>
      <c r="AG790" s="4"/>
      <c r="AH790" s="4">
        <v>75000</v>
      </c>
      <c r="AJ790" s="3">
        <v>8580</v>
      </c>
      <c r="AK790" s="3">
        <f t="shared" si="511"/>
        <v>56420</v>
      </c>
      <c r="AL790" s="3">
        <v>65000</v>
      </c>
      <c r="AM790" s="3">
        <f t="shared" si="512"/>
        <v>-10000</v>
      </c>
      <c r="AO790" s="3">
        <f t="shared" si="513"/>
        <v>77250</v>
      </c>
      <c r="AP790" s="3"/>
      <c r="AQ790" s="3">
        <f t="shared" si="514"/>
        <v>79567.5</v>
      </c>
      <c r="AR790" s="3">
        <f>AP790*1.03</f>
        <v>0</v>
      </c>
      <c r="AS790" s="3">
        <f t="shared" si="514"/>
        <v>81954.525000000009</v>
      </c>
      <c r="AT790" s="3">
        <f>AR790*1.03</f>
        <v>0</v>
      </c>
      <c r="AU790" s="3">
        <f t="shared" si="514"/>
        <v>84413.16075000001</v>
      </c>
      <c r="AV790" s="3"/>
      <c r="AW790" s="3">
        <f t="shared" si="514"/>
        <v>86945.555572500016</v>
      </c>
      <c r="AX790" s="3">
        <f>AV790*1.03</f>
        <v>0</v>
      </c>
      <c r="AY790" s="3">
        <f t="shared" si="514"/>
        <v>89553.922239675012</v>
      </c>
      <c r="AZ790" s="3">
        <f>AX790*1.03</f>
        <v>0</v>
      </c>
      <c r="BA790" s="3">
        <f t="shared" si="514"/>
        <v>92240.539906865262</v>
      </c>
      <c r="BB790" s="3"/>
      <c r="BC790" s="3">
        <f t="shared" si="514"/>
        <v>95007.756104071217</v>
      </c>
      <c r="BD790" s="3">
        <f>BB790*1.03</f>
        <v>0</v>
      </c>
      <c r="BE790" s="3">
        <f t="shared" si="515"/>
        <v>97857.988787193361</v>
      </c>
    </row>
    <row r="791" spans="1:57" x14ac:dyDescent="0.25">
      <c r="A791" s="3" t="s">
        <v>299</v>
      </c>
      <c r="B791" s="3">
        <v>2200</v>
      </c>
      <c r="D791" s="3">
        <v>110</v>
      </c>
      <c r="E791" s="3">
        <f t="shared" si="501"/>
        <v>2090</v>
      </c>
      <c r="F791" s="5">
        <v>2200</v>
      </c>
      <c r="H791" s="5">
        <f t="shared" si="502"/>
        <v>0</v>
      </c>
      <c r="J791" s="5">
        <v>701</v>
      </c>
      <c r="K791" s="4">
        <f t="shared" si="503"/>
        <v>1499</v>
      </c>
      <c r="L791" s="4">
        <v>2200</v>
      </c>
      <c r="N791" s="4">
        <f t="shared" si="504"/>
        <v>0</v>
      </c>
      <c r="P791" s="3">
        <f>L791*1.0281+38</f>
        <v>2299.8200000000002</v>
      </c>
      <c r="Q791" s="3"/>
      <c r="R791" s="3">
        <v>690</v>
      </c>
      <c r="S791" s="3">
        <f t="shared" si="505"/>
        <v>1610</v>
      </c>
      <c r="T791" s="3">
        <v>2300</v>
      </c>
      <c r="U791" s="3">
        <f t="shared" si="506"/>
        <v>0.17999999999983629</v>
      </c>
      <c r="V791" s="3">
        <f>2516+614</f>
        <v>3130</v>
      </c>
      <c r="W791" s="3">
        <f t="shared" si="507"/>
        <v>-830</v>
      </c>
      <c r="X791" s="3"/>
      <c r="Y791" s="3">
        <v>2300</v>
      </c>
      <c r="Z791" s="3">
        <f t="shared" si="508"/>
        <v>0</v>
      </c>
      <c r="AA791" s="3"/>
      <c r="AB791" s="3"/>
      <c r="AC791" s="3">
        <f>2513+906</f>
        <v>3419</v>
      </c>
      <c r="AD791" s="3">
        <f t="shared" si="509"/>
        <v>581</v>
      </c>
      <c r="AE791" s="3">
        <v>4000</v>
      </c>
      <c r="AF791" s="3">
        <f t="shared" si="510"/>
        <v>1700</v>
      </c>
      <c r="AG791" s="4"/>
      <c r="AH791" s="4">
        <v>3500</v>
      </c>
      <c r="AJ791" s="3">
        <v>117</v>
      </c>
      <c r="AK791" s="3">
        <f t="shared" si="511"/>
        <v>3383</v>
      </c>
      <c r="AL791" s="3">
        <v>3500</v>
      </c>
      <c r="AM791" s="3">
        <f t="shared" si="512"/>
        <v>0</v>
      </c>
      <c r="AO791" s="3">
        <f t="shared" si="513"/>
        <v>3605</v>
      </c>
      <c r="AP791" s="3"/>
      <c r="AQ791" s="3">
        <f t="shared" si="514"/>
        <v>3713.15</v>
      </c>
      <c r="AR791" s="3"/>
      <c r="AS791" s="3">
        <f t="shared" si="514"/>
        <v>3824.5445</v>
      </c>
      <c r="AT791" s="3"/>
      <c r="AU791" s="3">
        <f t="shared" si="514"/>
        <v>3939.280835</v>
      </c>
      <c r="AV791" s="42"/>
      <c r="AW791" s="3">
        <f t="shared" si="514"/>
        <v>4057.45926005</v>
      </c>
      <c r="AX791" s="42"/>
      <c r="AY791" s="3">
        <f t="shared" si="514"/>
        <v>4179.1830378515006</v>
      </c>
      <c r="AZ791" s="42"/>
      <c r="BA791" s="3">
        <f t="shared" si="514"/>
        <v>4304.558528987046</v>
      </c>
      <c r="BB791" s="42"/>
      <c r="BC791" s="3">
        <f t="shared" si="514"/>
        <v>4433.6952848566571</v>
      </c>
      <c r="BE791" s="3">
        <f t="shared" si="515"/>
        <v>4566.7061434023572</v>
      </c>
    </row>
    <row r="792" spans="1:57" x14ac:dyDescent="0.25">
      <c r="A792" s="3" t="s">
        <v>572</v>
      </c>
      <c r="B792" s="3">
        <v>11000</v>
      </c>
      <c r="D792" s="3">
        <v>2418</v>
      </c>
      <c r="E792" s="3">
        <f t="shared" si="501"/>
        <v>8582</v>
      </c>
      <c r="F792" s="5">
        <v>11000</v>
      </c>
      <c r="H792" s="5">
        <f t="shared" si="502"/>
        <v>0</v>
      </c>
      <c r="J792" s="5">
        <v>6606</v>
      </c>
      <c r="K792" s="4">
        <f t="shared" si="503"/>
        <v>4394</v>
      </c>
      <c r="L792" s="4">
        <v>11000</v>
      </c>
      <c r="N792" s="4">
        <f t="shared" si="504"/>
        <v>0</v>
      </c>
      <c r="P792" s="3">
        <f>L792*1.0281-9</f>
        <v>11300.1</v>
      </c>
      <c r="Q792" s="3"/>
      <c r="R792" s="3">
        <v>5724</v>
      </c>
      <c r="S792" s="3">
        <f t="shared" si="505"/>
        <v>5576</v>
      </c>
      <c r="T792" s="3">
        <v>11300</v>
      </c>
      <c r="U792" s="3">
        <f t="shared" si="506"/>
        <v>-0.1000000000003638</v>
      </c>
      <c r="V792" s="3">
        <v>7594</v>
      </c>
      <c r="W792" s="3">
        <f t="shared" si="507"/>
        <v>3706</v>
      </c>
      <c r="X792" s="3"/>
      <c r="Y792" s="3">
        <v>11300</v>
      </c>
      <c r="Z792" s="3">
        <f t="shared" si="508"/>
        <v>0</v>
      </c>
      <c r="AA792" s="3"/>
      <c r="AB792" s="3"/>
      <c r="AC792" s="3">
        <f>9362+600</f>
        <v>9962</v>
      </c>
      <c r="AD792" s="3">
        <f t="shared" si="509"/>
        <v>2038</v>
      </c>
      <c r="AE792" s="3">
        <v>12000</v>
      </c>
      <c r="AF792" s="3">
        <f t="shared" si="510"/>
        <v>700</v>
      </c>
      <c r="AG792" s="4"/>
      <c r="AH792" s="4">
        <f>AE792*1.03-10-1000</f>
        <v>11350</v>
      </c>
      <c r="AJ792" s="3">
        <v>1015</v>
      </c>
      <c r="AK792" s="3">
        <f t="shared" si="511"/>
        <v>10335</v>
      </c>
      <c r="AL792" s="3">
        <v>11350</v>
      </c>
      <c r="AM792" s="3">
        <f t="shared" si="512"/>
        <v>0</v>
      </c>
      <c r="AO792" s="3">
        <f t="shared" si="513"/>
        <v>11690.5</v>
      </c>
      <c r="AP792" s="3"/>
      <c r="AQ792" s="3">
        <f t="shared" si="514"/>
        <v>12041.215</v>
      </c>
      <c r="AR792" s="3"/>
      <c r="AS792" s="3">
        <f t="shared" si="514"/>
        <v>12402.45145</v>
      </c>
      <c r="AT792" s="3"/>
      <c r="AU792" s="3">
        <f t="shared" si="514"/>
        <v>12774.524993500001</v>
      </c>
      <c r="AV792" s="42"/>
      <c r="AW792" s="3">
        <f t="shared" si="514"/>
        <v>13157.760743305002</v>
      </c>
      <c r="AX792" s="42"/>
      <c r="AY792" s="3">
        <f t="shared" si="514"/>
        <v>13552.493565604153</v>
      </c>
      <c r="AZ792" s="42"/>
      <c r="BA792" s="3">
        <f t="shared" si="514"/>
        <v>13959.068372572277</v>
      </c>
      <c r="BB792" s="42"/>
      <c r="BC792" s="3">
        <f t="shared" si="514"/>
        <v>14377.840423749447</v>
      </c>
      <c r="BE792" s="3">
        <f t="shared" si="515"/>
        <v>14809.17563646193</v>
      </c>
    </row>
    <row r="793" spans="1:57" x14ac:dyDescent="0.25">
      <c r="A793" s="3" t="s">
        <v>324</v>
      </c>
      <c r="B793" s="3">
        <v>1500</v>
      </c>
      <c r="D793" s="3">
        <v>208</v>
      </c>
      <c r="E793" s="3">
        <f t="shared" si="501"/>
        <v>1292</v>
      </c>
      <c r="F793" s="5">
        <v>1500</v>
      </c>
      <c r="H793" s="5">
        <f t="shared" si="502"/>
        <v>0</v>
      </c>
      <c r="J793" s="5">
        <v>450</v>
      </c>
      <c r="K793" s="4">
        <f t="shared" si="503"/>
        <v>1050</v>
      </c>
      <c r="L793" s="4">
        <v>1500</v>
      </c>
      <c r="N793" s="4">
        <f t="shared" si="504"/>
        <v>0</v>
      </c>
      <c r="P793" s="3">
        <f>L793*1.0281+8</f>
        <v>1550.15</v>
      </c>
      <c r="Q793" s="3"/>
      <c r="R793" s="3">
        <v>167</v>
      </c>
      <c r="S793" s="3">
        <f t="shared" si="505"/>
        <v>1383</v>
      </c>
      <c r="T793" s="3">
        <v>1550</v>
      </c>
      <c r="U793" s="3">
        <f t="shared" si="506"/>
        <v>-0.15000000000009095</v>
      </c>
      <c r="V793" s="3">
        <v>280</v>
      </c>
      <c r="W793" s="3">
        <f t="shared" si="507"/>
        <v>1270</v>
      </c>
      <c r="X793" s="3"/>
      <c r="Y793" s="3">
        <v>1550</v>
      </c>
      <c r="Z793" s="3">
        <f t="shared" si="508"/>
        <v>0</v>
      </c>
      <c r="AA793" s="3"/>
      <c r="AB793" s="3"/>
      <c r="AC793" s="3">
        <v>530</v>
      </c>
      <c r="AD793" s="3">
        <f t="shared" si="509"/>
        <v>1020</v>
      </c>
      <c r="AE793" s="3">
        <v>1550</v>
      </c>
      <c r="AF793" s="3">
        <f t="shared" si="510"/>
        <v>0</v>
      </c>
      <c r="AG793" s="4"/>
      <c r="AH793" s="4">
        <f>AE793*1.03+3</f>
        <v>1599.5</v>
      </c>
      <c r="AJ793" s="3">
        <v>67</v>
      </c>
      <c r="AK793" s="3">
        <f t="shared" si="511"/>
        <v>1533</v>
      </c>
      <c r="AL793" s="3">
        <v>1600</v>
      </c>
      <c r="AM793" s="3">
        <f t="shared" si="512"/>
        <v>0.5</v>
      </c>
      <c r="AO793" s="3">
        <f t="shared" si="513"/>
        <v>1647.4850000000001</v>
      </c>
      <c r="AP793" s="3"/>
      <c r="AQ793" s="3">
        <f t="shared" si="514"/>
        <v>1696.9095500000001</v>
      </c>
      <c r="AR793" s="3"/>
      <c r="AS793" s="3">
        <f t="shared" si="514"/>
        <v>1747.8168365000001</v>
      </c>
      <c r="AT793" s="3"/>
      <c r="AU793" s="3">
        <f t="shared" si="514"/>
        <v>1800.2513415950002</v>
      </c>
      <c r="AV793" s="42"/>
      <c r="AW793" s="3">
        <f t="shared" si="514"/>
        <v>1854.2588818428503</v>
      </c>
      <c r="AX793" s="42"/>
      <c r="AY793" s="3">
        <f t="shared" si="514"/>
        <v>1909.8866482981359</v>
      </c>
      <c r="AZ793" s="42"/>
      <c r="BA793" s="3">
        <f t="shared" si="514"/>
        <v>1967.18324774708</v>
      </c>
      <c r="BB793" s="42"/>
      <c r="BC793" s="3">
        <f t="shared" si="514"/>
        <v>2026.1987451794926</v>
      </c>
      <c r="BE793" s="3">
        <f t="shared" si="515"/>
        <v>2086.9847075348775</v>
      </c>
    </row>
    <row r="794" spans="1:57" x14ac:dyDescent="0.25">
      <c r="A794" s="3" t="s">
        <v>327</v>
      </c>
      <c r="B794" s="3">
        <v>8000</v>
      </c>
      <c r="D794" s="3">
        <v>1921</v>
      </c>
      <c r="E794" s="3">
        <f t="shared" si="501"/>
        <v>6079</v>
      </c>
      <c r="F794" s="5">
        <v>8000</v>
      </c>
      <c r="H794" s="5">
        <f t="shared" si="502"/>
        <v>0</v>
      </c>
      <c r="J794" s="5">
        <v>3315</v>
      </c>
      <c r="K794" s="4">
        <f t="shared" si="503"/>
        <v>4685</v>
      </c>
      <c r="L794" s="4">
        <v>8000</v>
      </c>
      <c r="N794" s="4">
        <f t="shared" si="504"/>
        <v>0</v>
      </c>
      <c r="P794" s="3">
        <f>L794*1.0281+25</f>
        <v>8249.7999999999993</v>
      </c>
      <c r="Q794" s="3"/>
      <c r="R794" s="3">
        <v>1374</v>
      </c>
      <c r="S794" s="3">
        <f t="shared" si="505"/>
        <v>6876</v>
      </c>
      <c r="T794" s="3">
        <v>8250</v>
      </c>
      <c r="U794" s="3">
        <f t="shared" si="506"/>
        <v>0.2000000000007276</v>
      </c>
      <c r="V794" s="3">
        <v>3514</v>
      </c>
      <c r="W794" s="3">
        <f t="shared" si="507"/>
        <v>4736</v>
      </c>
      <c r="X794" s="3"/>
      <c r="Y794" s="3">
        <v>8250</v>
      </c>
      <c r="Z794" s="3">
        <f t="shared" si="508"/>
        <v>0</v>
      </c>
      <c r="AA794" s="3"/>
      <c r="AB794" s="3"/>
      <c r="AC794" s="3">
        <v>4994</v>
      </c>
      <c r="AD794" s="3">
        <f t="shared" si="509"/>
        <v>3256</v>
      </c>
      <c r="AE794" s="3">
        <v>8250</v>
      </c>
      <c r="AF794" s="3">
        <f t="shared" si="510"/>
        <v>0</v>
      </c>
      <c r="AG794" s="4"/>
      <c r="AH794" s="4">
        <f>AE794*1.03+2</f>
        <v>8499.5</v>
      </c>
      <c r="AJ794" s="3">
        <v>1485</v>
      </c>
      <c r="AK794" s="3">
        <f t="shared" si="511"/>
        <v>7015</v>
      </c>
      <c r="AL794" s="3">
        <v>8500</v>
      </c>
      <c r="AM794" s="3">
        <f t="shared" si="512"/>
        <v>0.5</v>
      </c>
      <c r="AO794" s="3">
        <f t="shared" si="513"/>
        <v>8754.4850000000006</v>
      </c>
      <c r="AP794" s="3"/>
      <c r="AQ794" s="3">
        <f t="shared" si="514"/>
        <v>9017.1195500000013</v>
      </c>
      <c r="AR794" s="3"/>
      <c r="AS794" s="3">
        <f t="shared" si="514"/>
        <v>9287.6331365000024</v>
      </c>
      <c r="AT794" s="3"/>
      <c r="AU794" s="3">
        <f t="shared" si="514"/>
        <v>9566.2621305950033</v>
      </c>
      <c r="AV794" s="42"/>
      <c r="AW794" s="3">
        <f t="shared" si="514"/>
        <v>9853.2499945128529</v>
      </c>
      <c r="AX794" s="42"/>
      <c r="AY794" s="3">
        <f t="shared" si="514"/>
        <v>10148.847494348238</v>
      </c>
      <c r="AZ794" s="42"/>
      <c r="BA794" s="3">
        <f t="shared" si="514"/>
        <v>10453.312919178685</v>
      </c>
      <c r="BB794" s="42"/>
      <c r="BC794" s="3">
        <f t="shared" si="514"/>
        <v>10766.912306754046</v>
      </c>
      <c r="BE794" s="3">
        <f t="shared" si="515"/>
        <v>11089.919675956668</v>
      </c>
    </row>
    <row r="795" spans="1:57" x14ac:dyDescent="0.25">
      <c r="A795" s="3" t="s">
        <v>464</v>
      </c>
      <c r="B795" s="3">
        <v>7100</v>
      </c>
      <c r="D795" s="3">
        <v>478</v>
      </c>
      <c r="E795" s="3">
        <f t="shared" si="501"/>
        <v>6622</v>
      </c>
      <c r="F795" s="5">
        <v>7100</v>
      </c>
      <c r="H795" s="5">
        <f t="shared" si="502"/>
        <v>0</v>
      </c>
      <c r="J795" s="5">
        <v>2091</v>
      </c>
      <c r="K795" s="4">
        <f t="shared" si="503"/>
        <v>5009</v>
      </c>
      <c r="L795" s="4">
        <v>7100</v>
      </c>
      <c r="N795" s="4">
        <f t="shared" si="504"/>
        <v>0</v>
      </c>
      <c r="P795" s="3">
        <f>L795*1.17+43</f>
        <v>8350</v>
      </c>
      <c r="Q795" s="3"/>
      <c r="R795" s="3">
        <v>1456</v>
      </c>
      <c r="S795" s="3">
        <f t="shared" si="505"/>
        <v>6894</v>
      </c>
      <c r="T795" s="3">
        <v>8350</v>
      </c>
      <c r="U795" s="3">
        <f t="shared" si="506"/>
        <v>0</v>
      </c>
      <c r="V795" s="3">
        <v>1456</v>
      </c>
      <c r="W795" s="3">
        <f t="shared" si="507"/>
        <v>6894</v>
      </c>
      <c r="X795" s="3"/>
      <c r="Y795" s="3">
        <v>8350</v>
      </c>
      <c r="Z795" s="3">
        <f t="shared" si="508"/>
        <v>0</v>
      </c>
      <c r="AA795" s="3"/>
      <c r="AB795" s="3"/>
      <c r="AC795" s="3">
        <v>1454</v>
      </c>
      <c r="AD795" s="3">
        <f t="shared" si="509"/>
        <v>6546</v>
      </c>
      <c r="AE795" s="3">
        <v>8000</v>
      </c>
      <c r="AF795" s="3">
        <f t="shared" si="510"/>
        <v>-350</v>
      </c>
      <c r="AG795" s="4"/>
      <c r="AH795" s="4">
        <f>AE795*1.075</f>
        <v>8600</v>
      </c>
      <c r="AJ795" s="3">
        <v>2271</v>
      </c>
      <c r="AK795" s="3">
        <f t="shared" si="511"/>
        <v>6329</v>
      </c>
      <c r="AL795" s="3">
        <v>8600</v>
      </c>
      <c r="AM795" s="3">
        <f t="shared" si="512"/>
        <v>0</v>
      </c>
      <c r="AO795" s="3">
        <f>AH795*1.05</f>
        <v>9030</v>
      </c>
      <c r="AP795" s="3"/>
      <c r="AQ795" s="3">
        <f t="shared" si="514"/>
        <v>9300.9</v>
      </c>
      <c r="AR795" s="3"/>
      <c r="AS795" s="3">
        <f t="shared" si="514"/>
        <v>9579.9269999999997</v>
      </c>
      <c r="AT795" s="3"/>
      <c r="AU795" s="3">
        <f t="shared" si="514"/>
        <v>9867.3248100000001</v>
      </c>
      <c r="AV795" s="42"/>
      <c r="AW795" s="3">
        <f t="shared" si="514"/>
        <v>10163.3445543</v>
      </c>
      <c r="AX795" s="42"/>
      <c r="AY795" s="3">
        <f t="shared" si="514"/>
        <v>10468.244890929</v>
      </c>
      <c r="AZ795" s="42"/>
      <c r="BA795" s="3">
        <f t="shared" si="514"/>
        <v>10782.292237656869</v>
      </c>
      <c r="BB795" s="42"/>
      <c r="BC795" s="3">
        <f t="shared" si="514"/>
        <v>11105.761004786576</v>
      </c>
      <c r="BE795" s="3">
        <f t="shared" si="515"/>
        <v>11438.933834930174</v>
      </c>
    </row>
    <row r="796" spans="1:57" x14ac:dyDescent="0.25">
      <c r="A796" s="3" t="s">
        <v>573</v>
      </c>
      <c r="B796" s="3">
        <v>7400</v>
      </c>
      <c r="D796" s="3">
        <f>677+114+10</f>
        <v>801</v>
      </c>
      <c r="E796" s="3">
        <f t="shared" si="501"/>
        <v>6599</v>
      </c>
      <c r="F796" s="5">
        <v>7400</v>
      </c>
      <c r="H796" s="5">
        <f t="shared" si="502"/>
        <v>0</v>
      </c>
      <c r="J796" s="5">
        <v>1343</v>
      </c>
      <c r="K796" s="4">
        <f t="shared" si="503"/>
        <v>5557</v>
      </c>
      <c r="L796" s="4">
        <v>6900</v>
      </c>
      <c r="N796" s="4">
        <f t="shared" si="504"/>
        <v>-500</v>
      </c>
      <c r="P796" s="3">
        <f>L796*1.0281+6</f>
        <v>7099.89</v>
      </c>
      <c r="Q796" s="3"/>
      <c r="R796" s="3">
        <f>4006+427</f>
        <v>4433</v>
      </c>
      <c r="S796" s="3">
        <f t="shared" si="505"/>
        <v>2667</v>
      </c>
      <c r="T796" s="3">
        <v>7100</v>
      </c>
      <c r="U796" s="3">
        <f t="shared" si="506"/>
        <v>0.10999999999967258</v>
      </c>
      <c r="V796" s="3">
        <f>210+105+1706+1063+2949</f>
        <v>6033</v>
      </c>
      <c r="W796" s="3">
        <f t="shared" si="507"/>
        <v>1067</v>
      </c>
      <c r="X796" s="3"/>
      <c r="Y796" s="3">
        <v>7100</v>
      </c>
      <c r="Z796" s="3">
        <f t="shared" si="508"/>
        <v>0</v>
      </c>
      <c r="AA796" s="3"/>
      <c r="AB796" s="3"/>
      <c r="AC796" s="3">
        <v>5509</v>
      </c>
      <c r="AD796" s="3">
        <f t="shared" si="509"/>
        <v>1591</v>
      </c>
      <c r="AE796" s="3">
        <v>7100</v>
      </c>
      <c r="AF796" s="3">
        <f t="shared" si="510"/>
        <v>0</v>
      </c>
      <c r="AG796" s="4"/>
      <c r="AH796" s="4">
        <f>AE796*1.03-13</f>
        <v>7300</v>
      </c>
      <c r="AJ796" s="3">
        <v>336</v>
      </c>
      <c r="AK796" s="3">
        <f t="shared" si="511"/>
        <v>6664</v>
      </c>
      <c r="AL796" s="3">
        <v>7000</v>
      </c>
      <c r="AM796" s="3">
        <f t="shared" si="512"/>
        <v>-300</v>
      </c>
      <c r="AO796" s="3">
        <f>AH796*1.03</f>
        <v>7519</v>
      </c>
      <c r="AP796" s="3"/>
      <c r="AQ796" s="3">
        <f t="shared" si="514"/>
        <v>7744.5700000000006</v>
      </c>
      <c r="AR796" s="3"/>
      <c r="AS796" s="3">
        <f t="shared" si="514"/>
        <v>7976.9071000000013</v>
      </c>
      <c r="AT796" s="3"/>
      <c r="AU796" s="3">
        <f t="shared" si="514"/>
        <v>8216.2143130000022</v>
      </c>
      <c r="AV796" s="42"/>
      <c r="AW796" s="3">
        <f t="shared" si="514"/>
        <v>8462.7007423900031</v>
      </c>
      <c r="AX796" s="42"/>
      <c r="AY796" s="3">
        <f t="shared" si="514"/>
        <v>8716.5817646617033</v>
      </c>
      <c r="AZ796" s="42"/>
      <c r="BA796" s="3">
        <f t="shared" si="514"/>
        <v>8978.0792176015548</v>
      </c>
      <c r="BB796" s="42"/>
      <c r="BC796" s="3">
        <f t="shared" si="514"/>
        <v>9247.4215941296025</v>
      </c>
      <c r="BE796" s="3">
        <f t="shared" si="515"/>
        <v>9524.8442419534913</v>
      </c>
    </row>
    <row r="797" spans="1:57" x14ac:dyDescent="0.25">
      <c r="A797" s="3" t="s">
        <v>574</v>
      </c>
      <c r="B797" s="3">
        <v>10300</v>
      </c>
      <c r="D797" s="3">
        <v>4529</v>
      </c>
      <c r="E797" s="3">
        <f t="shared" si="501"/>
        <v>5771</v>
      </c>
      <c r="F797" s="5">
        <v>10300</v>
      </c>
      <c r="H797" s="5">
        <f t="shared" si="502"/>
        <v>0</v>
      </c>
      <c r="J797" s="5">
        <v>6105</v>
      </c>
      <c r="K797" s="4">
        <f t="shared" si="503"/>
        <v>4195</v>
      </c>
      <c r="L797" s="4">
        <v>10300</v>
      </c>
      <c r="N797" s="4">
        <f t="shared" si="504"/>
        <v>0</v>
      </c>
      <c r="P797" s="3">
        <f>L797*1.0281+11</f>
        <v>10600.43</v>
      </c>
      <c r="Q797" s="3"/>
      <c r="R797" s="3">
        <f>64+350+1062+771+86</f>
        <v>2333</v>
      </c>
      <c r="S797" s="3">
        <f t="shared" si="505"/>
        <v>8267</v>
      </c>
      <c r="T797" s="3">
        <v>10600</v>
      </c>
      <c r="U797" s="3">
        <f t="shared" si="506"/>
        <v>-0.43000000000029104</v>
      </c>
      <c r="V797" s="3">
        <f>679+205+8+285+720+1026+177</f>
        <v>3100</v>
      </c>
      <c r="W797" s="3">
        <f t="shared" si="507"/>
        <v>7500</v>
      </c>
      <c r="X797" s="3"/>
      <c r="Y797" s="3">
        <v>10600</v>
      </c>
      <c r="Z797" s="3">
        <f t="shared" si="508"/>
        <v>0</v>
      </c>
      <c r="AA797" s="3"/>
      <c r="AB797" s="3"/>
      <c r="AC797" s="3">
        <v>12275</v>
      </c>
      <c r="AD797" s="3">
        <f t="shared" si="509"/>
        <v>2725</v>
      </c>
      <c r="AE797" s="3">
        <v>15000</v>
      </c>
      <c r="AF797" s="3">
        <f t="shared" si="510"/>
        <v>4400</v>
      </c>
      <c r="AG797" s="4"/>
      <c r="AH797" s="4">
        <f>AE797*1.03</f>
        <v>15450</v>
      </c>
      <c r="AJ797" s="3">
        <v>4730</v>
      </c>
      <c r="AK797" s="3">
        <f t="shared" si="511"/>
        <v>10720</v>
      </c>
      <c r="AL797" s="3">
        <v>15450</v>
      </c>
      <c r="AM797" s="3">
        <f t="shared" si="512"/>
        <v>0</v>
      </c>
      <c r="AO797" s="3">
        <f>AH797*1.03</f>
        <v>15913.5</v>
      </c>
      <c r="AP797" s="3"/>
      <c r="AQ797" s="3">
        <f t="shared" si="514"/>
        <v>16390.904999999999</v>
      </c>
      <c r="AR797" s="3"/>
      <c r="AS797" s="3">
        <f t="shared" si="514"/>
        <v>16882.632149999998</v>
      </c>
      <c r="AT797" s="3"/>
      <c r="AU797" s="3">
        <f t="shared" si="514"/>
        <v>17389.1111145</v>
      </c>
      <c r="AV797" s="42"/>
      <c r="AW797" s="3">
        <f t="shared" si="514"/>
        <v>17910.784447934999</v>
      </c>
      <c r="AX797" s="42"/>
      <c r="AY797" s="3">
        <f t="shared" si="514"/>
        <v>18448.10798137305</v>
      </c>
      <c r="AZ797" s="42"/>
      <c r="BA797" s="3">
        <f t="shared" si="514"/>
        <v>19001.551220814243</v>
      </c>
      <c r="BB797" s="42"/>
      <c r="BC797" s="3">
        <f t="shared" si="514"/>
        <v>19571.597757438671</v>
      </c>
      <c r="BE797" s="3">
        <f t="shared" si="515"/>
        <v>20158.745690161832</v>
      </c>
    </row>
    <row r="798" spans="1:57" x14ac:dyDescent="0.25">
      <c r="A798" s="3" t="s">
        <v>575</v>
      </c>
      <c r="B798" s="3">
        <v>30300</v>
      </c>
      <c r="D798" s="3">
        <v>5524</v>
      </c>
      <c r="E798" s="3">
        <f t="shared" si="501"/>
        <v>24776</v>
      </c>
      <c r="F798" s="5">
        <v>30300</v>
      </c>
      <c r="H798" s="5">
        <f t="shared" si="502"/>
        <v>0</v>
      </c>
      <c r="J798" s="5">
        <v>13245</v>
      </c>
      <c r="K798" s="4">
        <f t="shared" si="503"/>
        <v>17055</v>
      </c>
      <c r="L798" s="4">
        <v>30300</v>
      </c>
      <c r="N798" s="4">
        <f t="shared" si="504"/>
        <v>0</v>
      </c>
      <c r="P798" s="3">
        <f>L798*1.0281-1</f>
        <v>31150.43</v>
      </c>
      <c r="Q798" s="3"/>
      <c r="R798" s="3">
        <v>7004</v>
      </c>
      <c r="S798" s="3">
        <f t="shared" si="505"/>
        <v>24146</v>
      </c>
      <c r="T798" s="3">
        <v>31150</v>
      </c>
      <c r="U798" s="3">
        <f t="shared" si="506"/>
        <v>-0.43000000000029104</v>
      </c>
      <c r="V798" s="3">
        <f>5704+11279</f>
        <v>16983</v>
      </c>
      <c r="W798" s="3">
        <f t="shared" si="507"/>
        <v>14167</v>
      </c>
      <c r="X798" s="3"/>
      <c r="Y798" s="3">
        <v>31150</v>
      </c>
      <c r="Z798" s="3">
        <f t="shared" si="508"/>
        <v>0</v>
      </c>
      <c r="AA798" s="3"/>
      <c r="AB798" s="3"/>
      <c r="AC798" s="3">
        <v>21051</v>
      </c>
      <c r="AD798" s="3">
        <f t="shared" si="509"/>
        <v>9949</v>
      </c>
      <c r="AE798" s="3">
        <v>31000</v>
      </c>
      <c r="AF798" s="3">
        <f t="shared" si="510"/>
        <v>-150</v>
      </c>
      <c r="AG798" s="4"/>
      <c r="AH798" s="4">
        <f>AE798*1.03+20</f>
        <v>31950</v>
      </c>
      <c r="AJ798" s="3">
        <v>3643</v>
      </c>
      <c r="AK798" s="3">
        <f t="shared" si="511"/>
        <v>28307</v>
      </c>
      <c r="AL798" s="3">
        <v>31950</v>
      </c>
      <c r="AM798" s="3">
        <f t="shared" si="512"/>
        <v>0</v>
      </c>
      <c r="AO798" s="3">
        <f>AH798*1.03</f>
        <v>32908.5</v>
      </c>
      <c r="AP798" s="3"/>
      <c r="AQ798" s="3">
        <f t="shared" si="514"/>
        <v>33895.754999999997</v>
      </c>
      <c r="AR798" s="3"/>
      <c r="AS798" s="3">
        <f t="shared" si="514"/>
        <v>34912.627649999995</v>
      </c>
      <c r="AT798" s="3"/>
      <c r="AU798" s="3">
        <f t="shared" si="514"/>
        <v>35960.006479499993</v>
      </c>
      <c r="AV798" s="42"/>
      <c r="AW798" s="3">
        <f t="shared" si="514"/>
        <v>37038.806673884996</v>
      </c>
      <c r="AX798" s="42"/>
      <c r="AY798" s="3">
        <f t="shared" si="514"/>
        <v>38149.970874101549</v>
      </c>
      <c r="AZ798" s="42"/>
      <c r="BA798" s="3">
        <f t="shared" si="514"/>
        <v>39294.470000324596</v>
      </c>
      <c r="BB798" s="42"/>
      <c r="BC798" s="3">
        <f t="shared" si="514"/>
        <v>40473.304100334339</v>
      </c>
      <c r="BE798" s="3">
        <f t="shared" si="515"/>
        <v>41687.503223344371</v>
      </c>
    </row>
    <row r="799" spans="1:57" x14ac:dyDescent="0.25">
      <c r="A799" s="3" t="s">
        <v>467</v>
      </c>
      <c r="B799" s="3">
        <v>2600</v>
      </c>
      <c r="D799" s="3">
        <v>283</v>
      </c>
      <c r="E799" s="3">
        <f t="shared" si="501"/>
        <v>2317</v>
      </c>
      <c r="F799" s="5">
        <v>2600</v>
      </c>
      <c r="H799" s="5">
        <f t="shared" si="502"/>
        <v>0</v>
      </c>
      <c r="J799" s="5">
        <v>626</v>
      </c>
      <c r="K799" s="4">
        <f t="shared" si="503"/>
        <v>1974</v>
      </c>
      <c r="L799" s="4">
        <v>2600</v>
      </c>
      <c r="N799" s="4">
        <f t="shared" si="504"/>
        <v>0</v>
      </c>
      <c r="P799" s="3">
        <f>L799*1.0281+27</f>
        <v>2700.06</v>
      </c>
      <c r="Q799" s="3"/>
      <c r="R799" s="3">
        <v>480</v>
      </c>
      <c r="S799" s="3">
        <f t="shared" si="505"/>
        <v>2220</v>
      </c>
      <c r="T799" s="3">
        <v>2700</v>
      </c>
      <c r="U799" s="3">
        <f t="shared" si="506"/>
        <v>-5.999999999994543E-2</v>
      </c>
      <c r="V799" s="3">
        <v>923</v>
      </c>
      <c r="W799" s="3">
        <f t="shared" si="507"/>
        <v>1777</v>
      </c>
      <c r="X799" s="3"/>
      <c r="Y799" s="3">
        <v>2700</v>
      </c>
      <c r="Z799" s="3">
        <f t="shared" si="508"/>
        <v>0</v>
      </c>
      <c r="AA799" s="3"/>
      <c r="AB799" s="3"/>
      <c r="AC799" s="3">
        <f>2378+482</f>
        <v>2860</v>
      </c>
      <c r="AD799" s="3">
        <f t="shared" si="509"/>
        <v>890</v>
      </c>
      <c r="AE799" s="3">
        <v>3750</v>
      </c>
      <c r="AF799" s="3">
        <f t="shared" si="510"/>
        <v>1050</v>
      </c>
      <c r="AG799" s="4"/>
      <c r="AH799" s="4">
        <f>P799*1.03+19</f>
        <v>2800.0617999999999</v>
      </c>
      <c r="AJ799" s="3">
        <v>236</v>
      </c>
      <c r="AK799" s="3">
        <f t="shared" si="511"/>
        <v>2564</v>
      </c>
      <c r="AL799" s="3">
        <v>2800</v>
      </c>
      <c r="AM799" s="3">
        <f t="shared" si="512"/>
        <v>-6.1799999999948341E-2</v>
      </c>
      <c r="AO799" s="3">
        <f>AH799*1.03</f>
        <v>2884.063654</v>
      </c>
      <c r="AP799" s="3"/>
      <c r="AQ799" s="3">
        <f t="shared" si="514"/>
        <v>2970.5855636199999</v>
      </c>
      <c r="AR799" s="3"/>
      <c r="AS799" s="3">
        <f t="shared" si="514"/>
        <v>3059.7031305286</v>
      </c>
      <c r="AT799" s="3"/>
      <c r="AU799" s="3">
        <f t="shared" si="514"/>
        <v>3151.4942244444583</v>
      </c>
      <c r="AV799" s="42"/>
      <c r="AW799" s="3">
        <f t="shared" si="514"/>
        <v>3246.0390511777923</v>
      </c>
      <c r="AX799" s="42"/>
      <c r="AY799" s="3">
        <f t="shared" si="514"/>
        <v>3343.4202227131263</v>
      </c>
      <c r="AZ799" s="42"/>
      <c r="BA799" s="3">
        <f t="shared" si="514"/>
        <v>3443.7228293945204</v>
      </c>
      <c r="BB799" s="42"/>
      <c r="BC799" s="3">
        <f t="shared" si="514"/>
        <v>3547.0345142763563</v>
      </c>
      <c r="BE799" s="3">
        <f t="shared" si="515"/>
        <v>3653.445549704647</v>
      </c>
    </row>
    <row r="800" spans="1:57" x14ac:dyDescent="0.25">
      <c r="A800" s="3" t="s">
        <v>576</v>
      </c>
      <c r="B800" s="3">
        <v>2750</v>
      </c>
      <c r="D800" s="3">
        <v>2749</v>
      </c>
      <c r="E800" s="3">
        <f t="shared" si="501"/>
        <v>1</v>
      </c>
      <c r="F800" s="5">
        <v>2750</v>
      </c>
      <c r="H800" s="5">
        <f t="shared" si="502"/>
        <v>0</v>
      </c>
      <c r="J800" s="5">
        <v>2749</v>
      </c>
      <c r="K800" s="4">
        <f t="shared" si="503"/>
        <v>1</v>
      </c>
      <c r="L800" s="4">
        <v>2750</v>
      </c>
      <c r="N800" s="4">
        <f t="shared" si="504"/>
        <v>0</v>
      </c>
      <c r="P800" s="3">
        <v>4850</v>
      </c>
      <c r="Q800" s="3"/>
      <c r="R800" s="3">
        <v>2850</v>
      </c>
      <c r="S800" s="3">
        <f t="shared" si="505"/>
        <v>0</v>
      </c>
      <c r="T800" s="3">
        <v>2850</v>
      </c>
      <c r="U800" s="3">
        <f t="shared" si="506"/>
        <v>-2000</v>
      </c>
      <c r="V800" s="3">
        <v>2850</v>
      </c>
      <c r="W800" s="3">
        <f t="shared" si="507"/>
        <v>0</v>
      </c>
      <c r="X800" s="3"/>
      <c r="Y800" s="3">
        <v>2850</v>
      </c>
      <c r="Z800" s="3">
        <f t="shared" si="508"/>
        <v>0</v>
      </c>
      <c r="AA800" s="3"/>
      <c r="AB800" s="3"/>
      <c r="AC800" s="3">
        <v>2848</v>
      </c>
      <c r="AD800" s="3">
        <f t="shared" si="509"/>
        <v>2</v>
      </c>
      <c r="AE800" s="3">
        <v>2850</v>
      </c>
      <c r="AF800" s="3">
        <f t="shared" si="510"/>
        <v>0</v>
      </c>
      <c r="AG800" s="4"/>
      <c r="AH800" s="4">
        <f>AE800*1.03+14</f>
        <v>2949.5</v>
      </c>
      <c r="AJ800" s="3">
        <v>0</v>
      </c>
      <c r="AK800" s="3">
        <f t="shared" si="511"/>
        <v>2950</v>
      </c>
      <c r="AL800" s="3">
        <v>2950</v>
      </c>
      <c r="AM800" s="3">
        <f t="shared" si="512"/>
        <v>0.5</v>
      </c>
      <c r="AO800" s="3">
        <f>AH800*1.03</f>
        <v>3037.9850000000001</v>
      </c>
      <c r="AP800" s="3"/>
      <c r="AQ800" s="3">
        <f t="shared" si="514"/>
        <v>3129.12455</v>
      </c>
      <c r="AR800" s="3"/>
      <c r="AS800" s="3">
        <f t="shared" si="514"/>
        <v>3222.9982865000002</v>
      </c>
      <c r="AT800" s="3"/>
      <c r="AU800" s="3">
        <f t="shared" si="514"/>
        <v>3319.6882350950004</v>
      </c>
      <c r="AV800" s="42"/>
      <c r="AW800" s="3">
        <f t="shared" si="514"/>
        <v>3419.2788821478507</v>
      </c>
      <c r="AX800" s="42"/>
      <c r="AY800" s="3">
        <f t="shared" si="514"/>
        <v>3521.8572486122862</v>
      </c>
      <c r="AZ800" s="42"/>
      <c r="BA800" s="3">
        <f t="shared" si="514"/>
        <v>3627.5129660706548</v>
      </c>
      <c r="BB800" s="42"/>
      <c r="BC800" s="3">
        <f t="shared" si="514"/>
        <v>3736.3383550527747</v>
      </c>
      <c r="BE800" s="3">
        <f t="shared" si="515"/>
        <v>3848.428505704358</v>
      </c>
    </row>
    <row r="801" spans="1:57" x14ac:dyDescent="0.25">
      <c r="A801" s="3" t="s">
        <v>577</v>
      </c>
      <c r="B801" s="3">
        <v>25950</v>
      </c>
      <c r="D801" s="3">
        <v>0</v>
      </c>
      <c r="E801" s="3">
        <f t="shared" si="501"/>
        <v>25950</v>
      </c>
      <c r="F801" s="5">
        <v>25950</v>
      </c>
      <c r="H801" s="5">
        <f t="shared" si="502"/>
        <v>0</v>
      </c>
      <c r="J801" s="5">
        <v>0</v>
      </c>
      <c r="K801" s="4">
        <f t="shared" si="503"/>
        <v>25950</v>
      </c>
      <c r="L801" s="4">
        <v>25950</v>
      </c>
      <c r="N801" s="4">
        <f t="shared" si="504"/>
        <v>0</v>
      </c>
      <c r="P801" s="3">
        <v>26750</v>
      </c>
      <c r="Q801" s="3"/>
      <c r="R801" s="3">
        <v>0</v>
      </c>
      <c r="S801" s="3">
        <f t="shared" si="505"/>
        <v>26750</v>
      </c>
      <c r="T801" s="3">
        <v>26750</v>
      </c>
      <c r="U801" s="3">
        <f t="shared" si="506"/>
        <v>0</v>
      </c>
      <c r="V801" s="3">
        <v>0</v>
      </c>
      <c r="W801" s="3">
        <f t="shared" si="507"/>
        <v>26750</v>
      </c>
      <c r="X801" s="3"/>
      <c r="Y801" s="3">
        <v>26750</v>
      </c>
      <c r="Z801" s="3">
        <f t="shared" si="508"/>
        <v>0</v>
      </c>
      <c r="AA801" s="3"/>
      <c r="AB801" s="3"/>
      <c r="AC801" s="3">
        <v>0</v>
      </c>
      <c r="AD801" s="3">
        <f t="shared" si="509"/>
        <v>26750</v>
      </c>
      <c r="AE801" s="3">
        <v>26750</v>
      </c>
      <c r="AF801" s="3">
        <f t="shared" si="510"/>
        <v>0</v>
      </c>
      <c r="AG801" s="4"/>
      <c r="AH801" s="4">
        <f>AE801*1.05+12</f>
        <v>28099.5</v>
      </c>
      <c r="AJ801" s="3">
        <v>0</v>
      </c>
      <c r="AK801" s="3">
        <f t="shared" si="511"/>
        <v>28100</v>
      </c>
      <c r="AL801" s="3">
        <v>28100</v>
      </c>
      <c r="AM801" s="3">
        <f t="shared" si="512"/>
        <v>0.5</v>
      </c>
      <c r="AO801" s="3">
        <f>AH801*1.05</f>
        <v>29504.475000000002</v>
      </c>
      <c r="AP801" s="3"/>
      <c r="AQ801" s="3">
        <f>AO801*1.05</f>
        <v>30979.698750000003</v>
      </c>
      <c r="AR801" s="3"/>
      <c r="AS801" s="3">
        <f>AQ801*1.05</f>
        <v>32528.683687500004</v>
      </c>
      <c r="AT801" s="3"/>
      <c r="AU801" s="3">
        <f>AS801*1.05</f>
        <v>34155.117871875009</v>
      </c>
      <c r="AV801" s="42"/>
      <c r="AW801" s="3">
        <f>AU801*1.05</f>
        <v>35862.873765468757</v>
      </c>
      <c r="AX801" s="42"/>
      <c r="AY801" s="3">
        <f>AW801*1.05</f>
        <v>37656.017453742199</v>
      </c>
      <c r="AZ801" s="42"/>
      <c r="BA801" s="3">
        <f>AY801*1.05</f>
        <v>39538.818326429311</v>
      </c>
      <c r="BB801" s="42"/>
      <c r="BC801" s="3">
        <f>BA801*1.05</f>
        <v>41515.759242750777</v>
      </c>
      <c r="BE801" s="3">
        <f>BC801*1.05</f>
        <v>43591.547204888317</v>
      </c>
    </row>
    <row r="802" spans="1:57" x14ac:dyDescent="0.25">
      <c r="A802" s="3" t="s">
        <v>578</v>
      </c>
      <c r="B802" s="3">
        <v>1000</v>
      </c>
      <c r="D802" s="3">
        <v>0</v>
      </c>
      <c r="E802" s="3">
        <f t="shared" si="501"/>
        <v>1000</v>
      </c>
      <c r="F802" s="5">
        <v>1000</v>
      </c>
      <c r="H802" s="5">
        <f t="shared" si="502"/>
        <v>0</v>
      </c>
      <c r="K802" s="4">
        <f t="shared" si="503"/>
        <v>1000</v>
      </c>
      <c r="L802" s="4">
        <v>1000</v>
      </c>
      <c r="N802" s="4">
        <f t="shared" si="504"/>
        <v>0</v>
      </c>
      <c r="P802" s="3">
        <v>1000</v>
      </c>
      <c r="Q802" s="3"/>
      <c r="R802" s="3">
        <v>0</v>
      </c>
      <c r="S802" s="3">
        <f t="shared" si="505"/>
        <v>1000</v>
      </c>
      <c r="T802" s="3">
        <v>1000</v>
      </c>
      <c r="U802" s="3">
        <f t="shared" si="506"/>
        <v>0</v>
      </c>
      <c r="V802" s="3">
        <v>0</v>
      </c>
      <c r="W802" s="3">
        <f t="shared" si="507"/>
        <v>1000</v>
      </c>
      <c r="X802" s="3"/>
      <c r="Y802" s="3">
        <v>1000</v>
      </c>
      <c r="Z802" s="3">
        <f t="shared" si="508"/>
        <v>0</v>
      </c>
      <c r="AA802" s="3"/>
      <c r="AB802" s="3"/>
      <c r="AC802" s="3">
        <v>0</v>
      </c>
      <c r="AD802" s="3">
        <f t="shared" si="509"/>
        <v>0</v>
      </c>
      <c r="AE802" s="3">
        <v>0</v>
      </c>
      <c r="AF802" s="3">
        <f t="shared" si="510"/>
        <v>-1000</v>
      </c>
      <c r="AG802" s="4"/>
      <c r="AH802" s="4"/>
      <c r="AJ802" s="3"/>
      <c r="AK802" s="3">
        <f t="shared" si="511"/>
        <v>0</v>
      </c>
      <c r="AL802" s="3"/>
      <c r="AM802" s="3">
        <f t="shared" si="512"/>
        <v>0</v>
      </c>
      <c r="AO802" s="3"/>
      <c r="AP802" s="3"/>
      <c r="AQ802" s="3"/>
      <c r="AR802" s="3"/>
      <c r="AS802" s="3"/>
      <c r="AT802" s="3"/>
      <c r="AU802" s="3"/>
      <c r="AV802" s="42"/>
      <c r="AW802" s="3"/>
      <c r="AX802" s="42"/>
      <c r="AY802" s="3"/>
      <c r="AZ802" s="42"/>
      <c r="BA802" s="3"/>
      <c r="BB802" s="42"/>
      <c r="BC802" s="3"/>
      <c r="BE802" s="3"/>
    </row>
    <row r="803" spans="1:57" x14ac:dyDescent="0.25">
      <c r="A803" s="3" t="s">
        <v>579</v>
      </c>
      <c r="B803" s="3"/>
      <c r="D803" s="3"/>
      <c r="E803" s="3"/>
      <c r="K803" s="4"/>
      <c r="L803" s="4"/>
      <c r="N803" s="4"/>
      <c r="P803" s="3"/>
      <c r="Q803" s="3"/>
      <c r="R803" s="3"/>
      <c r="S803" s="3">
        <f>T803-R803</f>
        <v>800</v>
      </c>
      <c r="T803" s="3">
        <v>800</v>
      </c>
      <c r="U803" s="3">
        <f>T803-P803</f>
        <v>800</v>
      </c>
      <c r="V803" s="3">
        <v>0</v>
      </c>
      <c r="W803" s="3">
        <f t="shared" si="507"/>
        <v>800</v>
      </c>
      <c r="X803" s="3"/>
      <c r="Y803" s="3">
        <v>800</v>
      </c>
      <c r="Z803" s="3">
        <f t="shared" si="508"/>
        <v>0</v>
      </c>
      <c r="AA803" s="3"/>
      <c r="AB803" s="3"/>
      <c r="AC803" s="3">
        <v>0</v>
      </c>
      <c r="AD803" s="3">
        <f t="shared" si="509"/>
        <v>800</v>
      </c>
      <c r="AE803" s="3">
        <v>800</v>
      </c>
      <c r="AF803" s="3">
        <f t="shared" si="510"/>
        <v>0</v>
      </c>
      <c r="AG803" s="4"/>
      <c r="AH803" s="4">
        <f>AE803*1.03+26</f>
        <v>850</v>
      </c>
      <c r="AJ803" s="3"/>
      <c r="AK803" s="3">
        <f t="shared" si="511"/>
        <v>850</v>
      </c>
      <c r="AL803" s="3">
        <v>850</v>
      </c>
      <c r="AM803" s="3">
        <f t="shared" si="512"/>
        <v>0</v>
      </c>
      <c r="AO803" s="3">
        <f>AH803*1.03</f>
        <v>875.5</v>
      </c>
      <c r="AP803" s="3"/>
      <c r="AQ803" s="3">
        <f>AO803*1.03</f>
        <v>901.76499999999999</v>
      </c>
      <c r="AR803" s="3"/>
      <c r="AS803" s="3">
        <f>AQ803*1.03</f>
        <v>928.81795</v>
      </c>
      <c r="AT803" s="3"/>
      <c r="AU803" s="3">
        <f>AS803*1.03</f>
        <v>956.68248849999998</v>
      </c>
      <c r="AV803" s="42"/>
      <c r="AW803" s="3">
        <f>AU803*1.03</f>
        <v>985.38296315499997</v>
      </c>
      <c r="AX803" s="42"/>
      <c r="AY803" s="3">
        <f>AW803*1.03</f>
        <v>1014.94445204965</v>
      </c>
      <c r="AZ803" s="42"/>
      <c r="BA803" s="3">
        <f>AY803*1.03</f>
        <v>1045.3927856111395</v>
      </c>
      <c r="BB803" s="42"/>
      <c r="BC803" s="3">
        <f>BA803*1.03</f>
        <v>1076.7545691794737</v>
      </c>
      <c r="BE803" s="3">
        <f>BC803*1.03</f>
        <v>1109.0572062548579</v>
      </c>
    </row>
    <row r="804" spans="1:57" x14ac:dyDescent="0.25">
      <c r="A804" s="3" t="s">
        <v>580</v>
      </c>
      <c r="B804" s="3"/>
      <c r="D804" s="3"/>
      <c r="E804" s="3"/>
      <c r="K804" s="4"/>
      <c r="L804" s="4"/>
      <c r="N804" s="4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4"/>
      <c r="AH804" s="4">
        <v>0</v>
      </c>
      <c r="AJ804" s="3"/>
      <c r="AK804" s="3">
        <f t="shared" si="511"/>
        <v>0</v>
      </c>
      <c r="AL804" s="3"/>
      <c r="AM804" s="3">
        <f t="shared" si="512"/>
        <v>0</v>
      </c>
      <c r="AO804" s="3">
        <f>3760-10</f>
        <v>3750</v>
      </c>
      <c r="AP804" s="3"/>
      <c r="AQ804" s="3">
        <f>3760-10</f>
        <v>3750</v>
      </c>
      <c r="AR804" s="3"/>
      <c r="AS804" s="3">
        <f>3760-10</f>
        <v>3750</v>
      </c>
      <c r="AT804" s="3"/>
      <c r="AU804" s="3">
        <f>3760-10</f>
        <v>3750</v>
      </c>
      <c r="AV804" s="42"/>
      <c r="AW804" s="3">
        <f>3760-10</f>
        <v>3750</v>
      </c>
      <c r="AX804" s="42"/>
      <c r="AY804" s="3">
        <f>3760-10</f>
        <v>3750</v>
      </c>
      <c r="AZ804" s="42"/>
      <c r="BA804" s="3">
        <f>3760-10</f>
        <v>3750</v>
      </c>
      <c r="BB804" s="42"/>
      <c r="BC804" s="3">
        <f>3760-10</f>
        <v>3750</v>
      </c>
      <c r="BE804" s="3">
        <f>3760-10</f>
        <v>3750</v>
      </c>
    </row>
    <row r="805" spans="1:57" x14ac:dyDescent="0.25">
      <c r="A805" s="3" t="s">
        <v>581</v>
      </c>
      <c r="B805" s="3"/>
      <c r="D805" s="3"/>
      <c r="E805" s="3"/>
      <c r="K805" s="4"/>
      <c r="L805" s="4"/>
      <c r="N805" s="4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4"/>
      <c r="AH805" s="4">
        <v>600</v>
      </c>
      <c r="AJ805" s="3"/>
      <c r="AK805" s="3">
        <f t="shared" si="511"/>
        <v>600</v>
      </c>
      <c r="AL805" s="3">
        <v>600</v>
      </c>
      <c r="AM805" s="3">
        <f t="shared" si="512"/>
        <v>0</v>
      </c>
      <c r="AO805" s="3"/>
      <c r="AP805" s="3"/>
      <c r="AQ805" s="3"/>
      <c r="AR805" s="3"/>
      <c r="AS805" s="3"/>
      <c r="AT805" s="3"/>
      <c r="AU805" s="3"/>
      <c r="AV805" s="42"/>
      <c r="AW805" s="3"/>
      <c r="AX805" s="42"/>
      <c r="AY805" s="3"/>
      <c r="AZ805" s="42"/>
      <c r="BA805" s="3"/>
      <c r="BB805" s="42"/>
      <c r="BC805" s="3"/>
      <c r="BE805" s="3"/>
    </row>
    <row r="806" spans="1:57" x14ac:dyDescent="0.25">
      <c r="A806" s="3" t="s">
        <v>260</v>
      </c>
      <c r="B806" s="3">
        <v>17500</v>
      </c>
      <c r="D806" s="3">
        <v>0</v>
      </c>
      <c r="E806" s="3">
        <f t="shared" si="501"/>
        <v>17500</v>
      </c>
      <c r="F806" s="5">
        <v>17500</v>
      </c>
      <c r="H806" s="5">
        <f t="shared" si="502"/>
        <v>0</v>
      </c>
      <c r="J806" s="5">
        <v>0</v>
      </c>
      <c r="K806" s="4">
        <f t="shared" si="503"/>
        <v>17500</v>
      </c>
      <c r="L806" s="4">
        <v>17500</v>
      </c>
      <c r="N806" s="4">
        <f t="shared" si="504"/>
        <v>0</v>
      </c>
      <c r="P806" s="3">
        <v>17500</v>
      </c>
      <c r="Q806" s="3"/>
      <c r="R806" s="3">
        <v>0</v>
      </c>
      <c r="S806" s="3">
        <f t="shared" si="505"/>
        <v>17500</v>
      </c>
      <c r="T806" s="3">
        <v>17500</v>
      </c>
      <c r="U806" s="3">
        <f t="shared" si="506"/>
        <v>0</v>
      </c>
      <c r="V806" s="3">
        <v>0</v>
      </c>
      <c r="W806" s="3">
        <f t="shared" si="507"/>
        <v>0</v>
      </c>
      <c r="X806" s="3"/>
      <c r="Y806" s="3">
        <v>0</v>
      </c>
      <c r="Z806" s="3">
        <f t="shared" si="508"/>
        <v>-17500</v>
      </c>
      <c r="AA806" s="3"/>
      <c r="AB806" s="3"/>
      <c r="AC806" s="3">
        <v>0</v>
      </c>
      <c r="AD806" s="3">
        <f t="shared" si="509"/>
        <v>0</v>
      </c>
      <c r="AE806" s="3">
        <v>0</v>
      </c>
      <c r="AF806" s="3">
        <f t="shared" si="510"/>
        <v>0</v>
      </c>
      <c r="AG806" s="4"/>
      <c r="AH806" s="4"/>
      <c r="AJ806" s="3"/>
      <c r="AK806" s="3">
        <f t="shared" si="511"/>
        <v>0</v>
      </c>
      <c r="AL806" s="3"/>
      <c r="AM806" s="3">
        <f t="shared" si="512"/>
        <v>0</v>
      </c>
      <c r="AO806" s="3"/>
      <c r="AP806" s="3"/>
      <c r="AQ806" s="3"/>
      <c r="AR806" s="3"/>
      <c r="AS806" s="3"/>
      <c r="AT806" s="3"/>
      <c r="AU806" s="3"/>
      <c r="AV806" s="42"/>
      <c r="AW806" s="3"/>
      <c r="AX806" s="42"/>
      <c r="AY806" s="3"/>
      <c r="AZ806" s="42"/>
      <c r="BA806" s="3"/>
      <c r="BB806" s="42"/>
      <c r="BC806" s="3"/>
      <c r="BE806" s="3"/>
    </row>
    <row r="807" spans="1:57" x14ac:dyDescent="0.25">
      <c r="A807" s="3" t="s">
        <v>289</v>
      </c>
      <c r="B807" s="3">
        <v>5750</v>
      </c>
      <c r="D807" s="3">
        <v>0</v>
      </c>
      <c r="E807" s="3">
        <f t="shared" si="501"/>
        <v>5750</v>
      </c>
      <c r="F807" s="5">
        <v>5750</v>
      </c>
      <c r="H807" s="5">
        <f t="shared" si="502"/>
        <v>0</v>
      </c>
      <c r="J807" s="5">
        <v>0</v>
      </c>
      <c r="K807" s="4">
        <f t="shared" si="503"/>
        <v>5750</v>
      </c>
      <c r="L807" s="4">
        <v>5750</v>
      </c>
      <c r="N807" s="4">
        <f t="shared" si="504"/>
        <v>0</v>
      </c>
      <c r="P807" s="3">
        <v>5750</v>
      </c>
      <c r="Q807" s="3"/>
      <c r="R807" s="3">
        <v>0</v>
      </c>
      <c r="S807" s="3">
        <f t="shared" si="505"/>
        <v>5750</v>
      </c>
      <c r="T807" s="3">
        <v>5750</v>
      </c>
      <c r="U807" s="3">
        <f t="shared" si="506"/>
        <v>0</v>
      </c>
      <c r="V807" s="3">
        <v>0</v>
      </c>
      <c r="W807" s="3">
        <f t="shared" si="507"/>
        <v>5750</v>
      </c>
      <c r="X807" s="3"/>
      <c r="Y807" s="3">
        <v>5750</v>
      </c>
      <c r="Z807" s="3">
        <f>Y807-T807</f>
        <v>0</v>
      </c>
      <c r="AA807" s="3"/>
      <c r="AB807" s="3"/>
      <c r="AC807" s="3">
        <v>0</v>
      </c>
      <c r="AD807" s="3">
        <f t="shared" si="509"/>
        <v>5750</v>
      </c>
      <c r="AE807" s="3">
        <v>5750</v>
      </c>
      <c r="AF807" s="3">
        <f t="shared" si="510"/>
        <v>0</v>
      </c>
      <c r="AG807" s="4"/>
      <c r="AH807" s="4">
        <v>5750</v>
      </c>
      <c r="AJ807" s="3">
        <v>0</v>
      </c>
      <c r="AK807" s="3">
        <f t="shared" si="511"/>
        <v>5750</v>
      </c>
      <c r="AL807" s="3">
        <v>5750</v>
      </c>
      <c r="AM807" s="3">
        <f t="shared" si="512"/>
        <v>0</v>
      </c>
      <c r="AO807" s="3">
        <v>5750</v>
      </c>
      <c r="AP807" s="3"/>
      <c r="AQ807" s="3">
        <v>5750</v>
      </c>
      <c r="AR807" s="3"/>
      <c r="AS807" s="3">
        <v>5750</v>
      </c>
      <c r="AT807" s="3"/>
      <c r="AU807" s="3">
        <v>5750</v>
      </c>
      <c r="AV807" s="42"/>
      <c r="AW807" s="3">
        <v>5750</v>
      </c>
      <c r="AX807" s="42"/>
      <c r="AY807" s="3">
        <v>5750</v>
      </c>
      <c r="AZ807" s="42"/>
      <c r="BA807" s="3">
        <v>5750</v>
      </c>
      <c r="BB807" s="42"/>
      <c r="BC807" s="3">
        <v>5750</v>
      </c>
      <c r="BE807" s="3">
        <v>5750</v>
      </c>
    </row>
    <row r="808" spans="1:57" x14ac:dyDescent="0.25">
      <c r="A808" s="3" t="s">
        <v>582</v>
      </c>
      <c r="B808" s="3"/>
      <c r="D808" s="3"/>
      <c r="E808" s="3">
        <f t="shared" si="501"/>
        <v>0</v>
      </c>
      <c r="H808" s="5">
        <f t="shared" si="502"/>
        <v>0</v>
      </c>
      <c r="K808" s="4">
        <f t="shared" si="503"/>
        <v>0</v>
      </c>
      <c r="L808" s="4"/>
      <c r="N808" s="4">
        <f t="shared" si="504"/>
        <v>0</v>
      </c>
      <c r="P808" s="3"/>
      <c r="Q808" s="3"/>
      <c r="R808" s="3"/>
      <c r="S808" s="3">
        <f t="shared" si="505"/>
        <v>0</v>
      </c>
      <c r="T808" s="3"/>
      <c r="U808" s="3">
        <f t="shared" si="506"/>
        <v>0</v>
      </c>
      <c r="V808" s="3"/>
      <c r="W808" s="3">
        <f t="shared" si="507"/>
        <v>0</v>
      </c>
      <c r="X808" s="3"/>
      <c r="Y808" s="3"/>
      <c r="Z808" s="3">
        <f t="shared" si="508"/>
        <v>0</v>
      </c>
      <c r="AA808" s="3"/>
      <c r="AB808" s="3"/>
      <c r="AC808" s="3"/>
      <c r="AD808" s="3">
        <f t="shared" si="509"/>
        <v>0</v>
      </c>
      <c r="AE808" s="3"/>
      <c r="AF808" s="3">
        <f t="shared" si="510"/>
        <v>0</v>
      </c>
      <c r="AG808" s="4"/>
      <c r="AH808" s="4"/>
      <c r="AJ808" s="3"/>
      <c r="AK808" s="3">
        <f t="shared" si="511"/>
        <v>0</v>
      </c>
      <c r="AL808" s="3"/>
      <c r="AM808" s="3">
        <f t="shared" si="512"/>
        <v>0</v>
      </c>
      <c r="AO808" s="3"/>
      <c r="AP808" s="3"/>
      <c r="AQ808" s="3"/>
      <c r="AR808" s="3"/>
      <c r="AS808" s="3"/>
      <c r="AT808" s="3"/>
      <c r="AU808" s="3"/>
      <c r="AV808" s="42"/>
      <c r="AW808" s="3"/>
      <c r="AX808" s="42"/>
      <c r="AY808" s="3"/>
      <c r="AZ808" s="42"/>
      <c r="BA808" s="3"/>
      <c r="BB808" s="42"/>
      <c r="BC808" s="3"/>
      <c r="BE808" s="3"/>
    </row>
    <row r="809" spans="1:57" x14ac:dyDescent="0.25">
      <c r="A809" s="3" t="s">
        <v>583</v>
      </c>
      <c r="B809" s="3"/>
      <c r="D809" s="3"/>
      <c r="E809" s="3">
        <f t="shared" si="501"/>
        <v>0</v>
      </c>
      <c r="H809" s="5">
        <f t="shared" si="502"/>
        <v>0</v>
      </c>
      <c r="K809" s="4">
        <f t="shared" si="503"/>
        <v>0</v>
      </c>
      <c r="L809" s="4"/>
      <c r="N809" s="4">
        <f t="shared" si="504"/>
        <v>0</v>
      </c>
      <c r="P809" s="3"/>
      <c r="Q809" s="3"/>
      <c r="R809" s="3"/>
      <c r="S809" s="3">
        <f t="shared" si="505"/>
        <v>0</v>
      </c>
      <c r="T809" s="3"/>
      <c r="U809" s="3">
        <f t="shared" si="506"/>
        <v>0</v>
      </c>
      <c r="V809" s="3"/>
      <c r="W809" s="3">
        <f t="shared" si="507"/>
        <v>0</v>
      </c>
      <c r="X809" s="3"/>
      <c r="Y809" s="3"/>
      <c r="Z809" s="3">
        <f t="shared" si="508"/>
        <v>0</v>
      </c>
      <c r="AA809" s="3"/>
      <c r="AB809" s="3"/>
      <c r="AC809" s="3"/>
      <c r="AD809" s="3">
        <f t="shared" si="509"/>
        <v>0</v>
      </c>
      <c r="AE809" s="3"/>
      <c r="AF809" s="3">
        <f t="shared" si="510"/>
        <v>0</v>
      </c>
      <c r="AG809" s="4"/>
      <c r="AH809" s="4"/>
      <c r="AJ809" s="3"/>
      <c r="AK809" s="3">
        <f t="shared" si="511"/>
        <v>0</v>
      </c>
      <c r="AL809" s="3"/>
      <c r="AM809" s="3">
        <f t="shared" si="512"/>
        <v>0</v>
      </c>
      <c r="AO809" s="3"/>
      <c r="AP809" s="3"/>
      <c r="AQ809" s="3"/>
      <c r="AR809" s="3"/>
      <c r="AS809" s="3"/>
      <c r="AT809" s="3"/>
      <c r="AU809" s="3"/>
      <c r="AV809" s="42"/>
      <c r="AW809" s="3"/>
      <c r="AX809" s="42"/>
      <c r="AY809" s="3"/>
      <c r="AZ809" s="42"/>
      <c r="BA809" s="3"/>
      <c r="BB809" s="42"/>
      <c r="BC809" s="3"/>
      <c r="BE809" s="3"/>
    </row>
    <row r="810" spans="1:57" x14ac:dyDescent="0.25">
      <c r="A810" s="3" t="s">
        <v>584</v>
      </c>
      <c r="B810" s="3">
        <v>850</v>
      </c>
      <c r="D810" s="3">
        <v>800</v>
      </c>
      <c r="E810" s="3">
        <f>F810-D810</f>
        <v>0</v>
      </c>
      <c r="F810" s="5">
        <v>800</v>
      </c>
      <c r="H810" s="5">
        <f>F810-B810</f>
        <v>-50</v>
      </c>
      <c r="J810" s="5">
        <v>800</v>
      </c>
      <c r="K810" s="4">
        <f>L810-J810</f>
        <v>0</v>
      </c>
      <c r="L810" s="4">
        <v>800</v>
      </c>
      <c r="N810" s="4">
        <f>L810-F810</f>
        <v>0</v>
      </c>
      <c r="P810" s="3">
        <f>L810*1.0281+28</f>
        <v>850.48</v>
      </c>
      <c r="Q810" s="3"/>
      <c r="R810" s="3">
        <v>800</v>
      </c>
      <c r="S810" s="3">
        <f t="shared" si="505"/>
        <v>0</v>
      </c>
      <c r="T810" s="3">
        <v>800</v>
      </c>
      <c r="U810" s="3">
        <f t="shared" si="506"/>
        <v>-50.480000000000018</v>
      </c>
      <c r="V810" s="3">
        <v>800</v>
      </c>
      <c r="W810" s="3">
        <f t="shared" si="507"/>
        <v>0</v>
      </c>
      <c r="X810" s="3"/>
      <c r="Y810" s="3">
        <v>800</v>
      </c>
      <c r="Z810" s="3">
        <f t="shared" si="508"/>
        <v>0</v>
      </c>
      <c r="AA810" s="3"/>
      <c r="AB810" s="3"/>
      <c r="AC810" s="3">
        <v>800</v>
      </c>
      <c r="AD810" s="3">
        <f t="shared" si="509"/>
        <v>0</v>
      </c>
      <c r="AE810" s="3">
        <v>800</v>
      </c>
      <c r="AF810" s="3">
        <f t="shared" si="510"/>
        <v>0</v>
      </c>
      <c r="AG810" s="4"/>
      <c r="AH810" s="4">
        <f>AE810*1.03+26</f>
        <v>850</v>
      </c>
      <c r="AJ810" s="3">
        <v>800</v>
      </c>
      <c r="AK810" s="3">
        <f t="shared" si="511"/>
        <v>0</v>
      </c>
      <c r="AL810" s="3">
        <v>800</v>
      </c>
      <c r="AM810" s="3">
        <f t="shared" si="512"/>
        <v>-50</v>
      </c>
      <c r="AO810" s="3">
        <f>AH810*1.03</f>
        <v>875.5</v>
      </c>
      <c r="AP810" s="3"/>
      <c r="AQ810" s="3">
        <f>AO810*1.03</f>
        <v>901.76499999999999</v>
      </c>
      <c r="AR810" s="3"/>
      <c r="AS810" s="3">
        <f>AQ810*1.03</f>
        <v>928.81795</v>
      </c>
      <c r="AT810" s="3"/>
      <c r="AU810" s="3">
        <f>AS810*1.03</f>
        <v>956.68248849999998</v>
      </c>
      <c r="AV810" s="42"/>
      <c r="AW810" s="3">
        <f>AU810*1.03</f>
        <v>985.38296315499997</v>
      </c>
      <c r="AX810" s="42"/>
      <c r="AY810" s="3">
        <f>AW810*1.03</f>
        <v>1014.94445204965</v>
      </c>
      <c r="AZ810" s="42"/>
      <c r="BA810" s="3">
        <f>AY810*1.03</f>
        <v>1045.3927856111395</v>
      </c>
      <c r="BB810" s="42"/>
      <c r="BC810" s="3">
        <f>BA810*1.03</f>
        <v>1076.7545691794737</v>
      </c>
      <c r="BE810" s="3">
        <f>BC810*1.03</f>
        <v>1109.0572062548579</v>
      </c>
    </row>
    <row r="811" spans="1:57" x14ac:dyDescent="0.25">
      <c r="A811" s="3" t="s">
        <v>585</v>
      </c>
      <c r="B811" s="3">
        <v>850</v>
      </c>
      <c r="D811" s="3">
        <v>800</v>
      </c>
      <c r="E811" s="3">
        <f t="shared" si="501"/>
        <v>0</v>
      </c>
      <c r="F811" s="5">
        <v>800</v>
      </c>
      <c r="H811" s="5">
        <f t="shared" si="502"/>
        <v>-50</v>
      </c>
      <c r="J811" s="5">
        <v>800</v>
      </c>
      <c r="K811" s="4">
        <f t="shared" si="503"/>
        <v>0</v>
      </c>
      <c r="L811" s="4">
        <v>800</v>
      </c>
      <c r="N811" s="4">
        <f t="shared" si="504"/>
        <v>0</v>
      </c>
      <c r="P811" s="3"/>
      <c r="Q811" s="3"/>
      <c r="R811" s="3"/>
      <c r="S811" s="3">
        <f t="shared" si="505"/>
        <v>0</v>
      </c>
      <c r="T811" s="3"/>
      <c r="U811" s="3">
        <f t="shared" si="506"/>
        <v>0</v>
      </c>
      <c r="V811" s="3"/>
      <c r="W811" s="3">
        <f t="shared" si="507"/>
        <v>0</v>
      </c>
      <c r="X811" s="3"/>
      <c r="Y811" s="3"/>
      <c r="Z811" s="3">
        <f t="shared" si="508"/>
        <v>0</v>
      </c>
      <c r="AA811" s="3"/>
      <c r="AB811" s="3"/>
      <c r="AC811" s="3"/>
      <c r="AD811" s="3">
        <f t="shared" si="509"/>
        <v>0</v>
      </c>
      <c r="AE811" s="3"/>
      <c r="AF811" s="3">
        <f t="shared" si="510"/>
        <v>0</v>
      </c>
      <c r="AG811" s="4"/>
      <c r="AH811" s="4"/>
      <c r="AJ811" s="3"/>
      <c r="AK811" s="3">
        <f t="shared" si="511"/>
        <v>0</v>
      </c>
      <c r="AL811" s="3"/>
      <c r="AM811" s="3">
        <f t="shared" si="512"/>
        <v>0</v>
      </c>
      <c r="AO811" s="3"/>
      <c r="AP811" s="3"/>
      <c r="AQ811" s="3"/>
      <c r="AR811" s="3"/>
      <c r="AS811" s="3"/>
      <c r="AT811" s="3"/>
      <c r="AU811" s="3"/>
      <c r="AV811" s="42"/>
      <c r="AW811" s="3"/>
      <c r="AX811" s="42"/>
      <c r="AY811" s="3"/>
      <c r="AZ811" s="42"/>
      <c r="BA811" s="3"/>
      <c r="BB811" s="42"/>
      <c r="BC811" s="3"/>
      <c r="BE811" s="3"/>
    </row>
    <row r="812" spans="1:57" x14ac:dyDescent="0.25">
      <c r="A812" s="3"/>
      <c r="B812" s="48">
        <f>SUM(B788:B811)-1</f>
        <v>342549</v>
      </c>
      <c r="C812" s="32"/>
      <c r="D812" s="48">
        <f>SUM(D788:D811)-1</f>
        <v>51898</v>
      </c>
      <c r="E812" s="48">
        <f>SUM(E788:E811)-1</f>
        <v>255550</v>
      </c>
      <c r="F812" s="48">
        <f>SUM(F788:F811)-1</f>
        <v>307449</v>
      </c>
      <c r="G812" s="32"/>
      <c r="H812" s="48">
        <f>SUM(H788:H811)-1</f>
        <v>-35101</v>
      </c>
      <c r="I812" s="36"/>
      <c r="J812" s="48">
        <f>SUM(J788:J811)-1</f>
        <v>100184</v>
      </c>
      <c r="K812" s="48">
        <f>SUM(K788:K811)-1</f>
        <v>182264</v>
      </c>
      <c r="L812" s="48">
        <f>SUM(L788:L811)-1</f>
        <v>282449</v>
      </c>
      <c r="M812" s="32"/>
      <c r="N812" s="48">
        <f>SUM(N788:N811)-1</f>
        <v>-25001</v>
      </c>
      <c r="P812" s="48">
        <f>SUM(P788:P811)</f>
        <v>278001.15999999997</v>
      </c>
      <c r="R812" s="48">
        <f t="shared" ref="R812:Z812" si="516">SUM(R788:R811)</f>
        <v>82954</v>
      </c>
      <c r="S812" s="48">
        <f t="shared" si="516"/>
        <v>216296</v>
      </c>
      <c r="T812" s="48">
        <f t="shared" si="516"/>
        <v>299250</v>
      </c>
      <c r="U812" s="48">
        <f t="shared" si="516"/>
        <v>21248.84</v>
      </c>
      <c r="V812" s="48">
        <f t="shared" si="516"/>
        <v>140610</v>
      </c>
      <c r="W812" s="48">
        <f t="shared" si="516"/>
        <v>147640</v>
      </c>
      <c r="X812" s="48"/>
      <c r="Y812" s="48">
        <f t="shared" si="516"/>
        <v>288250</v>
      </c>
      <c r="Z812" s="48">
        <f t="shared" si="516"/>
        <v>-11000</v>
      </c>
      <c r="AC812" s="48">
        <f>SUM(AC788:AC811)</f>
        <v>201779</v>
      </c>
      <c r="AD812" s="48">
        <f>SUM(AD788:AD811)</f>
        <v>132821</v>
      </c>
      <c r="AE812" s="48">
        <f>SUM(AE788:AE811)</f>
        <v>334600</v>
      </c>
      <c r="AF812" s="48">
        <f>SUM(AF788:AF811)</f>
        <v>46350</v>
      </c>
      <c r="AH812" s="36">
        <f>SUM(AH788:AH811)+2</f>
        <v>346800.06180000002</v>
      </c>
      <c r="AI812" s="32"/>
      <c r="AJ812" s="48">
        <f>SUM(AJ788:AJ811)+2</f>
        <v>58801</v>
      </c>
      <c r="AK812" s="48">
        <f>SUM(AK788:AK811)+2</f>
        <v>277653</v>
      </c>
      <c r="AL812" s="48">
        <f>SUM(AL788:AL811)+2</f>
        <v>336452</v>
      </c>
      <c r="AM812" s="48">
        <f>SUM(AM788:AM811)+2</f>
        <v>-10346.061799999999</v>
      </c>
      <c r="AN812" s="32"/>
      <c r="AO812" s="48">
        <f>SUM(AO788:AO811)</f>
        <v>360895.49365399993</v>
      </c>
      <c r="AQ812" s="48">
        <f>SUM(AQ788:AQ811)</f>
        <v>372027.44796362007</v>
      </c>
      <c r="AS812" s="48">
        <f>SUM(AS788:AS811)</f>
        <v>383522.86537752865</v>
      </c>
      <c r="AT812" s="48"/>
      <c r="AU812" s="48">
        <f>SUM(AU788:AU811)</f>
        <v>395394.12501260446</v>
      </c>
      <c r="AW812" s="48">
        <f>SUM(AW788:AW811)</f>
        <v>407654.05112042016</v>
      </c>
      <c r="AY812" s="48">
        <f>SUM(AY788:AY811)</f>
        <v>420315.93012934225</v>
      </c>
      <c r="BA812" s="48">
        <f>SUM(BA788:BA811)</f>
        <v>433393.52838229726</v>
      </c>
      <c r="BC812" s="48">
        <f>SUM(BC788:BC811)</f>
        <v>446901.11060029484</v>
      </c>
      <c r="BE812" s="48">
        <f>SUM(BE788:BE811)</f>
        <v>460853.45910315868</v>
      </c>
    </row>
    <row r="813" spans="1:57" x14ac:dyDescent="0.25">
      <c r="A813" s="7" t="s">
        <v>261</v>
      </c>
    </row>
    <row r="814" spans="1:57" x14ac:dyDescent="0.25">
      <c r="A814" s="3" t="s">
        <v>586</v>
      </c>
      <c r="AK814" s="3">
        <f>AL814-AJ814</f>
        <v>0</v>
      </c>
      <c r="AM814" s="3">
        <f>AL814-AH814</f>
        <v>0</v>
      </c>
    </row>
    <row r="815" spans="1:57" x14ac:dyDescent="0.25">
      <c r="A815" s="3" t="s">
        <v>587</v>
      </c>
      <c r="AK815" s="3">
        <f>AL815-AJ815</f>
        <v>0</v>
      </c>
      <c r="AM815" s="3">
        <f>AL815-AH815</f>
        <v>0</v>
      </c>
    </row>
    <row r="816" spans="1:57" x14ac:dyDescent="0.25">
      <c r="A816" s="3" t="s">
        <v>588</v>
      </c>
      <c r="B816" s="3">
        <v>20600</v>
      </c>
      <c r="D816" s="3">
        <v>8110</v>
      </c>
      <c r="E816" s="3">
        <f>F816-D816</f>
        <v>12490</v>
      </c>
      <c r="F816" s="5">
        <v>20600</v>
      </c>
      <c r="H816" s="5">
        <f>F816-B816</f>
        <v>0</v>
      </c>
      <c r="J816" s="5">
        <v>8640</v>
      </c>
      <c r="K816" s="4">
        <f>L816-J816</f>
        <v>11960</v>
      </c>
      <c r="L816" s="4">
        <v>20600</v>
      </c>
      <c r="N816" s="4">
        <f>L816-F816</f>
        <v>0</v>
      </c>
      <c r="P816" s="3">
        <f>L816*1.0281+121</f>
        <v>21299.86</v>
      </c>
      <c r="Q816" s="3"/>
      <c r="R816" s="3">
        <v>5483</v>
      </c>
      <c r="S816" s="3">
        <f>T816-R816</f>
        <v>15817</v>
      </c>
      <c r="T816" s="3">
        <v>21300</v>
      </c>
      <c r="U816" s="3">
        <f>T816-P816</f>
        <v>0.13999999999941792</v>
      </c>
      <c r="V816" s="3">
        <v>8211</v>
      </c>
      <c r="W816" s="3">
        <f>Y816-V816</f>
        <v>13089</v>
      </c>
      <c r="X816" s="3"/>
      <c r="Y816" s="3">
        <v>21300</v>
      </c>
      <c r="Z816" s="3">
        <f>Y816-T816</f>
        <v>0</v>
      </c>
      <c r="AA816" s="3"/>
      <c r="AB816" s="3"/>
      <c r="AC816" s="3">
        <v>13092</v>
      </c>
      <c r="AD816" s="3">
        <f>AE816-AC816</f>
        <v>8208</v>
      </c>
      <c r="AE816" s="3">
        <v>21300</v>
      </c>
      <c r="AF816" s="3">
        <f>AE816-Y816</f>
        <v>0</v>
      </c>
      <c r="AG816" s="4"/>
      <c r="AH816" s="4">
        <f>AE816*1.03+11</f>
        <v>21950</v>
      </c>
      <c r="AJ816" s="3">
        <v>5598</v>
      </c>
      <c r="AK816" s="3">
        <f>AL816-AJ816</f>
        <v>16352</v>
      </c>
      <c r="AL816" s="3">
        <v>21950</v>
      </c>
      <c r="AM816" s="3">
        <f>AL816-AH816</f>
        <v>0</v>
      </c>
      <c r="AO816" s="3">
        <f>AH816*1.03</f>
        <v>22608.5</v>
      </c>
      <c r="AP816" s="3"/>
      <c r="AQ816" s="3">
        <f>AO816*1.03</f>
        <v>23286.755000000001</v>
      </c>
      <c r="AR816" s="3"/>
      <c r="AS816" s="3">
        <f>AQ816*1.03</f>
        <v>23985.357650000002</v>
      </c>
      <c r="AT816" s="3"/>
      <c r="AU816" s="3">
        <f>AS816*1.03</f>
        <v>24704.918379500003</v>
      </c>
      <c r="AV816" s="42"/>
      <c r="AW816" s="3">
        <f>AU816*1.03</f>
        <v>25446.065930885004</v>
      </c>
      <c r="AX816" s="42"/>
      <c r="AY816" s="3">
        <f>AW816*1.03</f>
        <v>26209.447908811555</v>
      </c>
      <c r="AZ816" s="42"/>
      <c r="BA816" s="3">
        <f>AY816*1.03</f>
        <v>26995.731346075903</v>
      </c>
      <c r="BB816" s="42"/>
      <c r="BC816" s="3">
        <f>BA816*1.03</f>
        <v>27805.603286458179</v>
      </c>
      <c r="BE816" s="3">
        <f>BC816*1.03</f>
        <v>28639.771385051925</v>
      </c>
    </row>
    <row r="817" spans="1:57" x14ac:dyDescent="0.25">
      <c r="A817" s="3" t="s">
        <v>589</v>
      </c>
      <c r="B817" s="3">
        <f>3740+10</f>
        <v>3750</v>
      </c>
      <c r="D817" s="3">
        <v>3750</v>
      </c>
      <c r="E817" s="3">
        <f>F817-D817</f>
        <v>0</v>
      </c>
      <c r="F817" s="5">
        <v>3750</v>
      </c>
      <c r="H817" s="5">
        <f>F817-B817</f>
        <v>0</v>
      </c>
      <c r="J817" s="5">
        <v>0</v>
      </c>
      <c r="K817" s="4">
        <f>L817-J817</f>
        <v>3750</v>
      </c>
      <c r="L817" s="4">
        <v>3750</v>
      </c>
      <c r="N817" s="4">
        <f>L817-F817</f>
        <v>0</v>
      </c>
      <c r="P817" s="3">
        <v>3850</v>
      </c>
      <c r="Q817" s="3"/>
      <c r="R817" s="3">
        <v>0</v>
      </c>
      <c r="S817" s="3">
        <f>T817-R817</f>
        <v>3850</v>
      </c>
      <c r="T817" s="3">
        <v>3850</v>
      </c>
      <c r="U817" s="3">
        <f>T817-P817</f>
        <v>0</v>
      </c>
      <c r="V817" s="3">
        <v>0</v>
      </c>
      <c r="W817" s="3">
        <f>Y817-V817</f>
        <v>3850</v>
      </c>
      <c r="X817" s="3"/>
      <c r="Y817" s="3">
        <v>3850</v>
      </c>
      <c r="Z817" s="3">
        <f>Y817-T817</f>
        <v>0</v>
      </c>
      <c r="AA817" s="3"/>
      <c r="AB817" s="3"/>
      <c r="AC817" s="3">
        <v>0</v>
      </c>
      <c r="AD817" s="3">
        <f>AE817-AC817</f>
        <v>3850</v>
      </c>
      <c r="AE817" s="3">
        <v>3850</v>
      </c>
      <c r="AF817" s="3">
        <f>AE817-Y817</f>
        <v>0</v>
      </c>
      <c r="AG817" s="4"/>
      <c r="AH817" s="4">
        <f>AE817*1.05+7</f>
        <v>4049.5</v>
      </c>
      <c r="AJ817" s="3">
        <v>0</v>
      </c>
      <c r="AK817" s="3">
        <f>AL817-AJ817</f>
        <v>4050</v>
      </c>
      <c r="AL817" s="3">
        <v>4050</v>
      </c>
      <c r="AM817" s="3">
        <f>AL817-AH817</f>
        <v>0.5</v>
      </c>
      <c r="AO817" s="3">
        <f>AH817*1.03</f>
        <v>4170.9849999999997</v>
      </c>
      <c r="AP817" s="3"/>
      <c r="AQ817" s="3">
        <f>AO817*1.03</f>
        <v>4296.1145499999993</v>
      </c>
      <c r="AR817" s="3"/>
      <c r="AS817" s="3">
        <f>AQ817*1.03</f>
        <v>4424.9979864999996</v>
      </c>
      <c r="AT817" s="3"/>
      <c r="AU817" s="3">
        <f>AS817*1.03</f>
        <v>4557.7479260949995</v>
      </c>
      <c r="AV817" s="42"/>
      <c r="AW817" s="3">
        <f>AU817*1.03</f>
        <v>4694.4803638778494</v>
      </c>
      <c r="AX817" s="42"/>
      <c r="AY817" s="3">
        <f>AW817*1.03</f>
        <v>4835.3147747941848</v>
      </c>
      <c r="AZ817" s="42"/>
      <c r="BA817" s="3">
        <f>AY817*1.03</f>
        <v>4980.3742180380104</v>
      </c>
      <c r="BB817" s="42"/>
      <c r="BC817" s="3">
        <f>BA817*1.03</f>
        <v>5129.7854445791509</v>
      </c>
      <c r="BE817" s="3">
        <f>BC817*1.03</f>
        <v>5283.6790079165257</v>
      </c>
    </row>
    <row r="818" spans="1:57" x14ac:dyDescent="0.25">
      <c r="A818" s="3" t="s">
        <v>289</v>
      </c>
      <c r="B818" s="3">
        <v>21000</v>
      </c>
      <c r="D818" s="3">
        <v>0</v>
      </c>
      <c r="E818" s="3">
        <f>F818-D818</f>
        <v>21000</v>
      </c>
      <c r="F818" s="5">
        <v>21000</v>
      </c>
      <c r="H818" s="5">
        <f>F818-B818</f>
        <v>0</v>
      </c>
      <c r="J818" s="5">
        <v>0</v>
      </c>
      <c r="K818" s="4">
        <f>L818-J818</f>
        <v>21000</v>
      </c>
      <c r="L818" s="4">
        <v>21000</v>
      </c>
      <c r="N818" s="4">
        <f>L818-F818</f>
        <v>0</v>
      </c>
      <c r="P818" s="3">
        <v>21000</v>
      </c>
      <c r="Q818" s="3"/>
      <c r="R818" s="3">
        <v>0</v>
      </c>
      <c r="S818" s="3">
        <f>T818-R818</f>
        <v>21000</v>
      </c>
      <c r="T818" s="3">
        <v>21000</v>
      </c>
      <c r="U818" s="3">
        <f>T818-P818</f>
        <v>0</v>
      </c>
      <c r="V818" s="3">
        <v>0</v>
      </c>
      <c r="W818" s="3">
        <f>Y818-V818</f>
        <v>21000</v>
      </c>
      <c r="X818" s="3"/>
      <c r="Y818" s="3">
        <v>21000</v>
      </c>
      <c r="Z818" s="3">
        <f>Y818-T818</f>
        <v>0</v>
      </c>
      <c r="AA818" s="3"/>
      <c r="AB818" s="3"/>
      <c r="AC818" s="3">
        <v>0</v>
      </c>
      <c r="AD818" s="3">
        <f>AE818-AC818</f>
        <v>21000</v>
      </c>
      <c r="AE818" s="3">
        <v>21000</v>
      </c>
      <c r="AF818" s="3">
        <f>AE818-Y818</f>
        <v>0</v>
      </c>
      <c r="AG818" s="4"/>
      <c r="AH818" s="4">
        <v>21000</v>
      </c>
      <c r="AJ818" s="3">
        <v>0</v>
      </c>
      <c r="AK818" s="3">
        <f>AL818-AJ818</f>
        <v>21000</v>
      </c>
      <c r="AL818" s="3">
        <v>21000</v>
      </c>
      <c r="AM818" s="3">
        <f>AL818-AH818</f>
        <v>0</v>
      </c>
      <c r="AO818" s="3">
        <v>21000</v>
      </c>
      <c r="AP818" s="3"/>
      <c r="AQ818" s="3">
        <v>21000</v>
      </c>
      <c r="AR818" s="3"/>
      <c r="AS818" s="3">
        <v>21000</v>
      </c>
      <c r="AT818" s="3"/>
      <c r="AU818" s="3">
        <v>21000</v>
      </c>
      <c r="AV818" s="42"/>
      <c r="AW818" s="3">
        <v>21000</v>
      </c>
      <c r="AX818" s="42"/>
      <c r="AY818" s="3">
        <v>21000</v>
      </c>
      <c r="AZ818" s="42"/>
      <c r="BA818" s="3">
        <v>21000</v>
      </c>
      <c r="BB818" s="42"/>
      <c r="BC818" s="3">
        <v>21000</v>
      </c>
      <c r="BE818" s="3">
        <v>21000</v>
      </c>
    </row>
    <row r="819" spans="1:57" x14ac:dyDescent="0.25">
      <c r="A819" s="3"/>
      <c r="B819" s="48">
        <f>SUM(B814:B818)</f>
        <v>45350</v>
      </c>
      <c r="C819" s="32"/>
      <c r="D819" s="48">
        <f>SUM(D814:D818)</f>
        <v>11860</v>
      </c>
      <c r="E819" s="48">
        <f>SUM(E814:E818)</f>
        <v>33490</v>
      </c>
      <c r="F819" s="48">
        <f>SUM(F814:F818)</f>
        <v>45350</v>
      </c>
      <c r="G819" s="32"/>
      <c r="H819" s="48">
        <f>SUM(H814:H818)</f>
        <v>0</v>
      </c>
      <c r="I819" s="36"/>
      <c r="J819" s="48">
        <f>SUM(J814:J818)</f>
        <v>8640</v>
      </c>
      <c r="K819" s="48">
        <f>SUM(K814:K818)</f>
        <v>36710</v>
      </c>
      <c r="L819" s="48">
        <f>SUM(L814:L818)</f>
        <v>45350</v>
      </c>
      <c r="M819" s="32"/>
      <c r="N819" s="48">
        <f>SUM(N814:N818)</f>
        <v>0</v>
      </c>
      <c r="P819" s="48">
        <f>SUM(P814:P818)</f>
        <v>46149.86</v>
      </c>
      <c r="R819" s="48">
        <f t="shared" ref="R819:Z819" si="517">SUM(R814:R818)</f>
        <v>5483</v>
      </c>
      <c r="S819" s="48">
        <f t="shared" si="517"/>
        <v>40667</v>
      </c>
      <c r="T819" s="48">
        <f t="shared" si="517"/>
        <v>46150</v>
      </c>
      <c r="U819" s="48">
        <f t="shared" si="517"/>
        <v>0.13999999999941792</v>
      </c>
      <c r="V819" s="48">
        <f t="shared" si="517"/>
        <v>8211</v>
      </c>
      <c r="W819" s="48">
        <f t="shared" si="517"/>
        <v>37939</v>
      </c>
      <c r="X819" s="48"/>
      <c r="Y819" s="48">
        <f t="shared" si="517"/>
        <v>46150</v>
      </c>
      <c r="Z819" s="48">
        <f t="shared" si="517"/>
        <v>0</v>
      </c>
      <c r="AC819" s="48">
        <f>SUM(AC814:AC818)</f>
        <v>13092</v>
      </c>
      <c r="AD819" s="48">
        <f>SUM(AD814:AD818)</f>
        <v>33058</v>
      </c>
      <c r="AE819" s="48">
        <f>SUM(AE814:AE818)</f>
        <v>46150</v>
      </c>
      <c r="AF819" s="48">
        <f>SUM(AF814:AF818)</f>
        <v>0</v>
      </c>
      <c r="AH819" s="36">
        <f>SUM(AH814:AH818)</f>
        <v>46999.5</v>
      </c>
      <c r="AI819" s="32"/>
      <c r="AJ819" s="48">
        <f>SUM(AJ814:AJ818)</f>
        <v>5598</v>
      </c>
      <c r="AK819" s="48">
        <f>SUM(AK814:AK818)</f>
        <v>41402</v>
      </c>
      <c r="AL819" s="48">
        <f>SUM(AL814:AL818)</f>
        <v>47000</v>
      </c>
      <c r="AM819" s="48">
        <f>SUM(AM814:AM818)</f>
        <v>0.5</v>
      </c>
      <c r="AN819" s="32"/>
      <c r="AO819" s="48">
        <f>SUM(AO814:AO818)</f>
        <v>47779.485000000001</v>
      </c>
      <c r="AQ819" s="48">
        <f>SUM(AQ814:AQ818)</f>
        <v>48582.869550000003</v>
      </c>
      <c r="AS819" s="48">
        <f>SUM(AS814:AS818)</f>
        <v>49410.355636499997</v>
      </c>
      <c r="AT819" s="48"/>
      <c r="AU819" s="48">
        <f>SUM(AU814:AU818)</f>
        <v>50262.666305595005</v>
      </c>
      <c r="AW819" s="48">
        <f>SUM(AW814:AW818)</f>
        <v>51140.546294762855</v>
      </c>
      <c r="AY819" s="48">
        <f>SUM(AY814:AY818)</f>
        <v>52044.762683605739</v>
      </c>
      <c r="BA819" s="48">
        <f>SUM(BA814:BA818)</f>
        <v>52976.10556411391</v>
      </c>
      <c r="BC819" s="48">
        <f>SUM(BC814:BC818)</f>
        <v>53935.388731037332</v>
      </c>
      <c r="BE819" s="48">
        <f>SUM(BE814:BE818)</f>
        <v>54923.450392968451</v>
      </c>
    </row>
    <row r="820" spans="1:57" x14ac:dyDescent="0.25">
      <c r="A820" s="7" t="s">
        <v>57</v>
      </c>
    </row>
    <row r="821" spans="1:57" x14ac:dyDescent="0.25">
      <c r="A821" s="3" t="s">
        <v>273</v>
      </c>
      <c r="B821" s="3">
        <v>110000</v>
      </c>
      <c r="D821" s="3">
        <v>48500</v>
      </c>
      <c r="E821" s="3">
        <f t="shared" ref="E821:E832" si="518">F821-D821</f>
        <v>61500</v>
      </c>
      <c r="F821" s="5">
        <v>110000</v>
      </c>
      <c r="H821" s="5">
        <f t="shared" ref="H821:H832" si="519">F821-B821</f>
        <v>0</v>
      </c>
      <c r="J821" s="5">
        <v>75841</v>
      </c>
      <c r="K821" s="4">
        <f t="shared" ref="K821:K832" si="520">L821-J821</f>
        <v>44159</v>
      </c>
      <c r="L821" s="4">
        <v>120000</v>
      </c>
      <c r="N821" s="4">
        <f t="shared" ref="N821:N832" si="521">L821-F821</f>
        <v>10000</v>
      </c>
      <c r="P821" s="3">
        <v>85000</v>
      </c>
      <c r="Q821" s="3"/>
      <c r="R821" s="3">
        <v>10845</v>
      </c>
      <c r="S821" s="3">
        <f t="shared" ref="S821:S832" si="522">T821-R821</f>
        <v>74155</v>
      </c>
      <c r="T821" s="3">
        <v>85000</v>
      </c>
      <c r="U821" s="3">
        <f t="shared" ref="U821:U832" si="523">T821-P821</f>
        <v>0</v>
      </c>
      <c r="V821" s="3">
        <v>132160</v>
      </c>
      <c r="W821" s="3">
        <f t="shared" ref="W821:W832" si="524">Y821-V821</f>
        <v>22840</v>
      </c>
      <c r="X821" s="3"/>
      <c r="Y821" s="3">
        <v>155000</v>
      </c>
      <c r="Z821" s="3">
        <f t="shared" ref="Z821:Z832" si="525">Y821-T821</f>
        <v>70000</v>
      </c>
      <c r="AA821" s="3"/>
      <c r="AB821" s="3"/>
      <c r="AC821" s="3">
        <v>150949</v>
      </c>
      <c r="AD821" s="3">
        <f t="shared" ref="AD821:AD832" si="526">AE821-AC821</f>
        <v>19051</v>
      </c>
      <c r="AE821" s="3">
        <v>170000</v>
      </c>
      <c r="AF821" s="3">
        <f t="shared" ref="AF821:AF832" si="527">AE821-Y821</f>
        <v>15000</v>
      </c>
      <c r="AG821" s="4"/>
      <c r="AH821" s="4">
        <v>135000</v>
      </c>
      <c r="AJ821" s="3">
        <v>75338</v>
      </c>
      <c r="AK821" s="3">
        <f t="shared" ref="AK821:AK832" si="528">AL821-AJ821</f>
        <v>59662</v>
      </c>
      <c r="AL821" s="3">
        <v>135000</v>
      </c>
      <c r="AM821" s="3">
        <f t="shared" ref="AM821:AM832" si="529">AL821-AH821</f>
        <v>0</v>
      </c>
      <c r="AO821" s="3">
        <f>AH821*1.03</f>
        <v>139050</v>
      </c>
      <c r="AP821" s="3"/>
      <c r="AQ821" s="3">
        <f>AO821*1.03</f>
        <v>143221.5</v>
      </c>
      <c r="AR821" s="3"/>
      <c r="AS821" s="3">
        <f>AQ821*1.03</f>
        <v>147518.14499999999</v>
      </c>
      <c r="AT821" s="3"/>
      <c r="AU821" s="3">
        <f>AS821*1.03</f>
        <v>151943.68935</v>
      </c>
      <c r="AV821" s="42"/>
      <c r="AW821" s="3">
        <f>AU821*1.03</f>
        <v>156502.0000305</v>
      </c>
      <c r="AX821" s="42"/>
      <c r="AY821" s="3">
        <f>AW821*1.03</f>
        <v>161197.06003141499</v>
      </c>
      <c r="AZ821" s="42"/>
      <c r="BA821" s="3">
        <f>AY821*1.03</f>
        <v>166032.97183235743</v>
      </c>
      <c r="BB821" s="42"/>
      <c r="BC821" s="3">
        <f>BA821*1.03</f>
        <v>171013.96098732817</v>
      </c>
      <c r="BE821" s="3">
        <f>BC821*1.03</f>
        <v>176144.37981694803</v>
      </c>
    </row>
    <row r="822" spans="1:57" x14ac:dyDescent="0.25">
      <c r="A822" s="3" t="s">
        <v>590</v>
      </c>
      <c r="B822" s="3"/>
      <c r="D822" s="3">
        <v>23046</v>
      </c>
      <c r="E822" s="3">
        <f t="shared" si="518"/>
        <v>41954</v>
      </c>
      <c r="F822" s="5">
        <v>65000</v>
      </c>
      <c r="H822" s="5">
        <f t="shared" si="519"/>
        <v>65000</v>
      </c>
      <c r="J822" s="5">
        <v>40210</v>
      </c>
      <c r="K822" s="4">
        <f t="shared" si="520"/>
        <v>24790</v>
      </c>
      <c r="L822" s="4">
        <v>65000</v>
      </c>
      <c r="N822" s="4">
        <f t="shared" si="521"/>
        <v>0</v>
      </c>
      <c r="P822" s="3"/>
      <c r="Q822" s="3"/>
      <c r="R822" s="3"/>
      <c r="S822" s="3">
        <f t="shared" si="522"/>
        <v>0</v>
      </c>
      <c r="T822" s="3"/>
      <c r="U822" s="3">
        <f t="shared" si="523"/>
        <v>0</v>
      </c>
      <c r="V822" s="3"/>
      <c r="W822" s="3">
        <f t="shared" si="524"/>
        <v>0</v>
      </c>
      <c r="X822" s="3"/>
      <c r="Y822" s="3"/>
      <c r="Z822" s="3">
        <f t="shared" si="525"/>
        <v>0</v>
      </c>
      <c r="AA822" s="3"/>
      <c r="AB822" s="3"/>
      <c r="AC822" s="3"/>
      <c r="AD822" s="3">
        <f t="shared" si="526"/>
        <v>0</v>
      </c>
      <c r="AE822" s="3"/>
      <c r="AF822" s="3">
        <f t="shared" si="527"/>
        <v>0</v>
      </c>
      <c r="AG822" s="4"/>
      <c r="AH822" s="4"/>
      <c r="AJ822" s="3"/>
      <c r="AK822" s="3">
        <f t="shared" si="528"/>
        <v>0</v>
      </c>
      <c r="AL822" s="3"/>
      <c r="AM822" s="3">
        <f t="shared" si="529"/>
        <v>0</v>
      </c>
      <c r="AO822" s="3"/>
      <c r="AP822" s="3"/>
      <c r="AQ822" s="3"/>
      <c r="AR822" s="3"/>
      <c r="AS822" s="3"/>
      <c r="AT822" s="3"/>
      <c r="AU822" s="3"/>
      <c r="AV822" s="42"/>
      <c r="AW822" s="3"/>
      <c r="AX822" s="42"/>
      <c r="AY822" s="3"/>
      <c r="AZ822" s="42"/>
      <c r="BA822" s="3"/>
      <c r="BB822" s="42"/>
      <c r="BC822" s="3"/>
      <c r="BE822" s="3"/>
    </row>
    <row r="823" spans="1:57" x14ac:dyDescent="0.25">
      <c r="A823" s="3" t="s">
        <v>266</v>
      </c>
      <c r="B823" s="3">
        <v>80000</v>
      </c>
      <c r="D823" s="3">
        <v>0</v>
      </c>
      <c r="E823" s="3">
        <f t="shared" si="518"/>
        <v>45000</v>
      </c>
      <c r="F823" s="5">
        <v>45000</v>
      </c>
      <c r="H823" s="5">
        <f t="shared" si="519"/>
        <v>-35000</v>
      </c>
      <c r="J823" s="5">
        <v>0</v>
      </c>
      <c r="K823" s="4">
        <f t="shared" si="520"/>
        <v>20000</v>
      </c>
      <c r="L823" s="4">
        <v>20000</v>
      </c>
      <c r="N823" s="4">
        <f t="shared" si="521"/>
        <v>-25000</v>
      </c>
      <c r="P823" s="3">
        <v>0</v>
      </c>
      <c r="Q823" s="3"/>
      <c r="R823" s="3"/>
      <c r="S823" s="3">
        <f t="shared" si="522"/>
        <v>40000</v>
      </c>
      <c r="T823" s="3">
        <v>40000</v>
      </c>
      <c r="U823" s="3">
        <f t="shared" si="523"/>
        <v>40000</v>
      </c>
      <c r="V823" s="3">
        <v>2984</v>
      </c>
      <c r="W823" s="3">
        <f t="shared" si="524"/>
        <v>37016</v>
      </c>
      <c r="X823" s="3"/>
      <c r="Y823" s="3">
        <v>40000</v>
      </c>
      <c r="Z823" s="3">
        <f t="shared" si="525"/>
        <v>0</v>
      </c>
      <c r="AA823" s="3"/>
      <c r="AB823" s="3"/>
      <c r="AC823" s="3"/>
      <c r="AD823" s="3">
        <f t="shared" si="526"/>
        <v>0</v>
      </c>
      <c r="AE823" s="3">
        <v>0</v>
      </c>
      <c r="AF823" s="3">
        <f t="shared" si="527"/>
        <v>-40000</v>
      </c>
      <c r="AG823" s="4"/>
      <c r="AH823" s="4"/>
      <c r="AJ823" s="3"/>
      <c r="AK823" s="3">
        <f t="shared" si="528"/>
        <v>0</v>
      </c>
      <c r="AL823" s="3"/>
      <c r="AM823" s="3">
        <f t="shared" si="529"/>
        <v>0</v>
      </c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E823" s="3"/>
    </row>
    <row r="824" spans="1:57" x14ac:dyDescent="0.25">
      <c r="A824" s="3" t="s">
        <v>591</v>
      </c>
      <c r="B824" s="3">
        <v>15000</v>
      </c>
      <c r="D824" s="3">
        <v>3358</v>
      </c>
      <c r="E824" s="3">
        <f t="shared" si="518"/>
        <v>11642</v>
      </c>
      <c r="F824" s="5">
        <v>15000</v>
      </c>
      <c r="H824" s="5">
        <f t="shared" si="519"/>
        <v>0</v>
      </c>
      <c r="J824" s="5">
        <v>3358</v>
      </c>
      <c r="K824" s="4">
        <f t="shared" si="520"/>
        <v>11642</v>
      </c>
      <c r="L824" s="4">
        <v>15000</v>
      </c>
      <c r="N824" s="4">
        <f t="shared" si="521"/>
        <v>0</v>
      </c>
      <c r="P824" s="3">
        <v>15000</v>
      </c>
      <c r="Q824" s="3"/>
      <c r="R824" s="3">
        <v>3366</v>
      </c>
      <c r="S824" s="3">
        <f t="shared" si="522"/>
        <v>4134</v>
      </c>
      <c r="T824" s="3">
        <v>7500</v>
      </c>
      <c r="U824" s="3">
        <f t="shared" si="523"/>
        <v>-7500</v>
      </c>
      <c r="V824" s="3">
        <v>3366</v>
      </c>
      <c r="W824" s="3">
        <f t="shared" si="524"/>
        <v>4134</v>
      </c>
      <c r="X824" s="3"/>
      <c r="Y824" s="3">
        <v>7500</v>
      </c>
      <c r="Z824" s="3">
        <f t="shared" si="525"/>
        <v>0</v>
      </c>
      <c r="AA824" s="3"/>
      <c r="AB824" s="3"/>
      <c r="AC824" s="3">
        <v>3973</v>
      </c>
      <c r="AD824" s="3">
        <f t="shared" si="526"/>
        <v>3527</v>
      </c>
      <c r="AE824" s="3">
        <v>7500</v>
      </c>
      <c r="AF824" s="3">
        <f t="shared" si="527"/>
        <v>0</v>
      </c>
      <c r="AG824" s="4"/>
      <c r="AH824" s="4">
        <f>AE824*1.03+25</f>
        <v>7750</v>
      </c>
      <c r="AJ824" s="3">
        <v>15118</v>
      </c>
      <c r="AK824" s="3">
        <f t="shared" si="528"/>
        <v>2</v>
      </c>
      <c r="AL824" s="3">
        <v>15120</v>
      </c>
      <c r="AM824" s="3">
        <f t="shared" si="529"/>
        <v>7370</v>
      </c>
      <c r="AO824" s="3">
        <f>AH824-1000</f>
        <v>6750</v>
      </c>
      <c r="AP824" s="3"/>
      <c r="AQ824" s="3">
        <f>AO824-1000</f>
        <v>5750</v>
      </c>
      <c r="AR824" s="3"/>
      <c r="AS824" s="3">
        <f>AQ824-1000</f>
        <v>4750</v>
      </c>
      <c r="AT824" s="3"/>
      <c r="AU824" s="3">
        <f>AS824-1000</f>
        <v>3750</v>
      </c>
      <c r="AV824" s="42"/>
      <c r="AW824" s="3">
        <f>AU824-1000</f>
        <v>2750</v>
      </c>
      <c r="AX824" s="42"/>
      <c r="AY824" s="3">
        <f>AW824-1000</f>
        <v>1750</v>
      </c>
      <c r="AZ824" s="42"/>
      <c r="BA824" s="3">
        <f>AY824-1000</f>
        <v>750</v>
      </c>
      <c r="BB824" s="42"/>
      <c r="BC824" s="3"/>
      <c r="BE824" s="3"/>
    </row>
    <row r="825" spans="1:57" x14ac:dyDescent="0.25">
      <c r="A825" s="3" t="s">
        <v>592</v>
      </c>
      <c r="B825" s="3">
        <v>5000</v>
      </c>
      <c r="D825" s="3">
        <v>0</v>
      </c>
      <c r="E825" s="3">
        <f t="shared" si="518"/>
        <v>5000</v>
      </c>
      <c r="F825" s="5">
        <v>5000</v>
      </c>
      <c r="H825" s="5">
        <f t="shared" si="519"/>
        <v>0</v>
      </c>
      <c r="J825" s="5">
        <v>0</v>
      </c>
      <c r="K825" s="4">
        <f t="shared" si="520"/>
        <v>5000</v>
      </c>
      <c r="L825" s="4">
        <v>5000</v>
      </c>
      <c r="N825" s="4">
        <f t="shared" si="521"/>
        <v>0</v>
      </c>
      <c r="P825" s="3">
        <v>5000</v>
      </c>
      <c r="Q825" s="3"/>
      <c r="R825" s="3">
        <v>0</v>
      </c>
      <c r="S825" s="3">
        <f t="shared" si="522"/>
        <v>5000</v>
      </c>
      <c r="T825" s="3">
        <v>5000</v>
      </c>
      <c r="U825" s="3">
        <f t="shared" si="523"/>
        <v>0</v>
      </c>
      <c r="V825" s="3">
        <v>0</v>
      </c>
      <c r="W825" s="3">
        <f t="shared" si="524"/>
        <v>5000</v>
      </c>
      <c r="X825" s="3"/>
      <c r="Y825" s="3">
        <v>5000</v>
      </c>
      <c r="Z825" s="3">
        <f t="shared" si="525"/>
        <v>0</v>
      </c>
      <c r="AA825" s="3"/>
      <c r="AB825" s="3"/>
      <c r="AC825" s="3">
        <v>0</v>
      </c>
      <c r="AD825" s="3">
        <f t="shared" si="526"/>
        <v>5000</v>
      </c>
      <c r="AE825" s="3">
        <v>5000</v>
      </c>
      <c r="AF825" s="3">
        <f t="shared" si="527"/>
        <v>0</v>
      </c>
      <c r="AG825" s="4"/>
      <c r="AH825" s="4">
        <v>5000</v>
      </c>
      <c r="AJ825" s="3">
        <v>0</v>
      </c>
      <c r="AK825" s="3">
        <f t="shared" si="528"/>
        <v>5000</v>
      </c>
      <c r="AL825" s="3">
        <v>5000</v>
      </c>
      <c r="AM825" s="3">
        <f t="shared" si="529"/>
        <v>0</v>
      </c>
      <c r="AO825" s="3">
        <v>5000</v>
      </c>
      <c r="AP825" s="3"/>
      <c r="AQ825" s="3">
        <v>5000</v>
      </c>
      <c r="AR825" s="3"/>
      <c r="AS825" s="3">
        <v>5000</v>
      </c>
      <c r="AT825" s="3"/>
      <c r="AU825" s="3">
        <v>5000</v>
      </c>
      <c r="AV825" s="42"/>
      <c r="AW825" s="3">
        <v>5000</v>
      </c>
      <c r="AX825" s="42"/>
      <c r="AY825" s="3">
        <v>5000</v>
      </c>
      <c r="AZ825" s="42"/>
      <c r="BA825" s="3">
        <v>5000</v>
      </c>
      <c r="BB825" s="42"/>
      <c r="BC825" s="3">
        <v>5000</v>
      </c>
      <c r="BE825" s="3">
        <v>5000</v>
      </c>
    </row>
    <row r="826" spans="1:57" x14ac:dyDescent="0.25">
      <c r="A826" s="3" t="s">
        <v>593</v>
      </c>
      <c r="B826" s="3">
        <v>15000</v>
      </c>
      <c r="D826" s="3">
        <v>0</v>
      </c>
      <c r="E826" s="3">
        <f t="shared" si="518"/>
        <v>15000</v>
      </c>
      <c r="F826" s="5">
        <v>15000</v>
      </c>
      <c r="H826" s="5">
        <f t="shared" si="519"/>
        <v>0</v>
      </c>
      <c r="J826" s="5">
        <v>0</v>
      </c>
      <c r="K826" s="4">
        <f t="shared" si="520"/>
        <v>15000</v>
      </c>
      <c r="L826" s="4">
        <v>15000</v>
      </c>
      <c r="N826" s="4">
        <f t="shared" si="521"/>
        <v>0</v>
      </c>
      <c r="P826" s="3">
        <v>8000</v>
      </c>
      <c r="Q826" s="3"/>
      <c r="R826" s="3">
        <v>0</v>
      </c>
      <c r="S826" s="3">
        <f t="shared" si="522"/>
        <v>8000</v>
      </c>
      <c r="T826" s="3">
        <v>8000</v>
      </c>
      <c r="U826" s="3">
        <f t="shared" si="523"/>
        <v>0</v>
      </c>
      <c r="V826" s="3">
        <v>0</v>
      </c>
      <c r="W826" s="3">
        <f t="shared" si="524"/>
        <v>8000</v>
      </c>
      <c r="X826" s="3"/>
      <c r="Y826" s="3">
        <v>8000</v>
      </c>
      <c r="Z826" s="3">
        <f t="shared" si="525"/>
        <v>0</v>
      </c>
      <c r="AA826" s="3"/>
      <c r="AB826" s="3"/>
      <c r="AC826" s="3">
        <v>0</v>
      </c>
      <c r="AD826" s="3">
        <f t="shared" si="526"/>
        <v>8000</v>
      </c>
      <c r="AE826" s="3">
        <v>8000</v>
      </c>
      <c r="AF826" s="3">
        <f t="shared" si="527"/>
        <v>0</v>
      </c>
      <c r="AG826" s="4"/>
      <c r="AH826" s="4">
        <v>7000</v>
      </c>
      <c r="AJ826" s="3">
        <v>0</v>
      </c>
      <c r="AK826" s="3">
        <f t="shared" si="528"/>
        <v>7000</v>
      </c>
      <c r="AL826" s="3">
        <v>7000</v>
      </c>
      <c r="AM826" s="3">
        <f t="shared" si="529"/>
        <v>0</v>
      </c>
      <c r="AO826" s="3">
        <v>6000</v>
      </c>
      <c r="AP826" s="3"/>
      <c r="AQ826" s="3">
        <v>6000</v>
      </c>
      <c r="AR826" s="3"/>
      <c r="AS826" s="3">
        <v>6000</v>
      </c>
      <c r="AT826" s="3"/>
      <c r="AU826" s="3">
        <v>6000</v>
      </c>
      <c r="AV826" s="42"/>
      <c r="AW826" s="3">
        <v>6000</v>
      </c>
      <c r="AX826" s="42"/>
      <c r="AY826" s="3">
        <v>6000</v>
      </c>
      <c r="AZ826" s="42"/>
      <c r="BA826" s="3">
        <v>6000</v>
      </c>
      <c r="BB826" s="42"/>
      <c r="BC826" s="3">
        <v>6000</v>
      </c>
      <c r="BE826" s="3">
        <v>6000</v>
      </c>
    </row>
    <row r="827" spans="1:57" x14ac:dyDescent="0.25">
      <c r="A827" s="3" t="s">
        <v>594</v>
      </c>
      <c r="B827" s="3">
        <v>7000</v>
      </c>
      <c r="D827" s="3">
        <v>5000</v>
      </c>
      <c r="E827" s="3">
        <f t="shared" si="518"/>
        <v>3500</v>
      </c>
      <c r="F827" s="5">
        <v>8500</v>
      </c>
      <c r="H827" s="5">
        <f t="shared" si="519"/>
        <v>1500</v>
      </c>
      <c r="J827" s="5">
        <v>9944</v>
      </c>
      <c r="K827" s="4">
        <f t="shared" si="520"/>
        <v>3056</v>
      </c>
      <c r="L827" s="4">
        <v>13000</v>
      </c>
      <c r="N827" s="4">
        <f t="shared" si="521"/>
        <v>4500</v>
      </c>
      <c r="P827" s="3">
        <v>5000</v>
      </c>
      <c r="Q827" s="3"/>
      <c r="R827" s="3">
        <v>6675</v>
      </c>
      <c r="S827" s="3">
        <f t="shared" si="522"/>
        <v>1325</v>
      </c>
      <c r="T827" s="3">
        <v>8000</v>
      </c>
      <c r="U827" s="3">
        <f t="shared" si="523"/>
        <v>3000</v>
      </c>
      <c r="V827" s="3">
        <v>7707</v>
      </c>
      <c r="W827" s="3">
        <f t="shared" si="524"/>
        <v>293</v>
      </c>
      <c r="X827" s="3"/>
      <c r="Y827" s="3">
        <v>8000</v>
      </c>
      <c r="Z827" s="3">
        <f t="shared" si="525"/>
        <v>0</v>
      </c>
      <c r="AA827" s="3"/>
      <c r="AB827" s="3"/>
      <c r="AC827" s="3">
        <v>30347</v>
      </c>
      <c r="AD827" s="3">
        <f t="shared" si="526"/>
        <v>4653</v>
      </c>
      <c r="AE827" s="3">
        <v>35000</v>
      </c>
      <c r="AF827" s="3">
        <f t="shared" si="527"/>
        <v>27000</v>
      </c>
      <c r="AG827" s="4"/>
      <c r="AH827" s="4">
        <v>30000</v>
      </c>
      <c r="AJ827" s="3">
        <v>12065</v>
      </c>
      <c r="AK827" s="3">
        <f t="shared" si="528"/>
        <v>17935</v>
      </c>
      <c r="AL827" s="3">
        <v>30000</v>
      </c>
      <c r="AM827" s="3">
        <f t="shared" si="529"/>
        <v>0</v>
      </c>
      <c r="AO827" s="3">
        <v>12500</v>
      </c>
      <c r="AP827" s="3"/>
      <c r="AQ827" s="3">
        <f>AO827*1.03</f>
        <v>12875</v>
      </c>
      <c r="AR827" s="3"/>
      <c r="AS827" s="3">
        <f>AQ827*1.03</f>
        <v>13261.25</v>
      </c>
      <c r="AT827" s="3"/>
      <c r="AU827" s="3">
        <f>AS827*1.03</f>
        <v>13659.0875</v>
      </c>
      <c r="AV827" s="42"/>
      <c r="AW827" s="3">
        <f>AU827*1.03</f>
        <v>14068.860124999999</v>
      </c>
      <c r="AX827" s="42"/>
      <c r="AY827" s="3">
        <f>AW827*1.03</f>
        <v>14490.925928749999</v>
      </c>
      <c r="AZ827" s="42"/>
      <c r="BA827" s="3">
        <f>AY827*1.03</f>
        <v>14925.6537066125</v>
      </c>
      <c r="BB827" s="42"/>
      <c r="BC827" s="3">
        <f>BA827*1.03</f>
        <v>15373.423317810875</v>
      </c>
      <c r="BE827" s="3">
        <f>BC827*1.03</f>
        <v>15834.626017345201</v>
      </c>
    </row>
    <row r="828" spans="1:57" x14ac:dyDescent="0.25">
      <c r="A828" s="3" t="s">
        <v>595</v>
      </c>
      <c r="B828" s="3"/>
      <c r="D828" s="3"/>
      <c r="E828" s="3">
        <f t="shared" si="518"/>
        <v>0</v>
      </c>
      <c r="H828" s="5">
        <f t="shared" si="519"/>
        <v>0</v>
      </c>
      <c r="K828" s="4">
        <f t="shared" si="520"/>
        <v>0</v>
      </c>
      <c r="L828" s="4"/>
      <c r="N828" s="4">
        <f t="shared" si="521"/>
        <v>0</v>
      </c>
      <c r="P828" s="3"/>
      <c r="Q828" s="3"/>
      <c r="R828" s="3"/>
      <c r="S828" s="3">
        <f t="shared" si="522"/>
        <v>0</v>
      </c>
      <c r="T828" s="3"/>
      <c r="U828" s="3">
        <f t="shared" si="523"/>
        <v>0</v>
      </c>
      <c r="V828" s="3"/>
      <c r="W828" s="3">
        <f t="shared" si="524"/>
        <v>0</v>
      </c>
      <c r="X828" s="3"/>
      <c r="Y828" s="3"/>
      <c r="Z828" s="3">
        <f t="shared" si="525"/>
        <v>0</v>
      </c>
      <c r="AA828" s="3"/>
      <c r="AB828" s="3"/>
      <c r="AC828" s="3"/>
      <c r="AD828" s="3">
        <f t="shared" si="526"/>
        <v>0</v>
      </c>
      <c r="AE828" s="3"/>
      <c r="AF828" s="3">
        <f t="shared" si="527"/>
        <v>0</v>
      </c>
      <c r="AG828" s="4"/>
      <c r="AH828" s="4"/>
      <c r="AJ828" s="3"/>
      <c r="AK828" s="3">
        <f t="shared" si="528"/>
        <v>0</v>
      </c>
      <c r="AL828" s="3"/>
      <c r="AM828" s="3">
        <f t="shared" si="529"/>
        <v>0</v>
      </c>
      <c r="AO828" s="3"/>
      <c r="AP828" s="3"/>
      <c r="AQ828" s="3"/>
      <c r="AR828" s="3"/>
      <c r="AS828" s="3"/>
      <c r="AT828" s="3"/>
      <c r="AU828" s="3"/>
      <c r="AV828" s="42"/>
      <c r="AW828" s="3"/>
      <c r="AX828" s="42"/>
      <c r="AY828" s="3"/>
      <c r="AZ828" s="42"/>
      <c r="BA828" s="3"/>
      <c r="BB828" s="42"/>
      <c r="BC828" s="3"/>
      <c r="BE828" s="3"/>
    </row>
    <row r="829" spans="1:57" x14ac:dyDescent="0.25">
      <c r="A829" s="3" t="s">
        <v>596</v>
      </c>
      <c r="B829" s="3">
        <v>3000</v>
      </c>
      <c r="D829" s="3">
        <v>3449</v>
      </c>
      <c r="E829" s="3">
        <f t="shared" si="518"/>
        <v>1051</v>
      </c>
      <c r="F829" s="5">
        <v>4500</v>
      </c>
      <c r="H829" s="5">
        <f t="shared" si="519"/>
        <v>1500</v>
      </c>
      <c r="J829" s="5">
        <v>3499</v>
      </c>
      <c r="K829" s="4">
        <f t="shared" si="520"/>
        <v>1001</v>
      </c>
      <c r="L829" s="4">
        <v>4500</v>
      </c>
      <c r="N829" s="4">
        <f t="shared" si="521"/>
        <v>0</v>
      </c>
      <c r="P829" s="3">
        <f>L829*1.0281+24</f>
        <v>4650.45</v>
      </c>
      <c r="Q829" s="3"/>
      <c r="R829" s="3">
        <v>2225</v>
      </c>
      <c r="S829" s="3">
        <f t="shared" si="522"/>
        <v>1425</v>
      </c>
      <c r="T829" s="3">
        <v>3650</v>
      </c>
      <c r="U829" s="3">
        <f t="shared" si="523"/>
        <v>-1000.4499999999998</v>
      </c>
      <c r="V829" s="3">
        <v>5455</v>
      </c>
      <c r="W829" s="3">
        <f t="shared" si="524"/>
        <v>-1805</v>
      </c>
      <c r="X829" s="3"/>
      <c r="Y829" s="3">
        <v>3650</v>
      </c>
      <c r="Z829" s="3">
        <f t="shared" si="525"/>
        <v>0</v>
      </c>
      <c r="AA829" s="3"/>
      <c r="AB829" s="3"/>
      <c r="AC829" s="3"/>
      <c r="AD829" s="3">
        <f t="shared" si="526"/>
        <v>0</v>
      </c>
      <c r="AE829" s="3">
        <v>0</v>
      </c>
      <c r="AF829" s="3">
        <f t="shared" si="527"/>
        <v>-3650</v>
      </c>
      <c r="AG829" s="4"/>
      <c r="AH829" s="4">
        <v>2500</v>
      </c>
      <c r="AJ829" s="3">
        <v>3359</v>
      </c>
      <c r="AK829" s="3">
        <f t="shared" si="528"/>
        <v>1</v>
      </c>
      <c r="AL829" s="3">
        <v>3360</v>
      </c>
      <c r="AM829" s="3">
        <f t="shared" si="529"/>
        <v>860</v>
      </c>
      <c r="AO829" s="3">
        <f>AH829*1.03</f>
        <v>2575</v>
      </c>
      <c r="AP829" s="3"/>
      <c r="AQ829" s="3">
        <f>AO829*1.03</f>
        <v>2652.25</v>
      </c>
      <c r="AR829" s="3"/>
      <c r="AS829" s="3">
        <f>AQ829*1.03</f>
        <v>2731.8175000000001</v>
      </c>
      <c r="AT829" s="3"/>
      <c r="AU829" s="3">
        <f>AS829*1.03</f>
        <v>2813.7720250000002</v>
      </c>
      <c r="AV829" s="42"/>
      <c r="AW829" s="3">
        <f>AU829*1.03</f>
        <v>2898.1851857500001</v>
      </c>
      <c r="AX829" s="42"/>
      <c r="AY829" s="3">
        <f>AW829*1.03</f>
        <v>2985.1307413224999</v>
      </c>
      <c r="AZ829" s="42"/>
      <c r="BA829" s="3">
        <f>AY829*1.03</f>
        <v>3074.684663562175</v>
      </c>
      <c r="BB829" s="42"/>
      <c r="BC829" s="3">
        <f>BA829*1.03</f>
        <v>3166.9252034690403</v>
      </c>
      <c r="BE829" s="3">
        <f>BC829*1.03</f>
        <v>3261.9329595731115</v>
      </c>
    </row>
    <row r="830" spans="1:57" x14ac:dyDescent="0.25">
      <c r="A830" s="3" t="s">
        <v>597</v>
      </c>
      <c r="B830" s="3"/>
      <c r="D830" s="3"/>
      <c r="E830" s="3">
        <f t="shared" si="518"/>
        <v>0</v>
      </c>
      <c r="H830" s="5">
        <f t="shared" si="519"/>
        <v>0</v>
      </c>
      <c r="K830" s="4">
        <f t="shared" si="520"/>
        <v>0</v>
      </c>
      <c r="L830" s="4"/>
      <c r="N830" s="4">
        <f t="shared" si="521"/>
        <v>0</v>
      </c>
      <c r="P830" s="3"/>
      <c r="Q830" s="3"/>
      <c r="R830" s="3"/>
      <c r="S830" s="3">
        <f t="shared" si="522"/>
        <v>0</v>
      </c>
      <c r="T830" s="3"/>
      <c r="U830" s="3">
        <f t="shared" si="523"/>
        <v>0</v>
      </c>
      <c r="V830" s="3"/>
      <c r="W830" s="3">
        <f t="shared" si="524"/>
        <v>0</v>
      </c>
      <c r="X830" s="3"/>
      <c r="Y830" s="3"/>
      <c r="Z830" s="3">
        <f t="shared" si="525"/>
        <v>0</v>
      </c>
      <c r="AA830" s="3"/>
      <c r="AB830" s="3"/>
      <c r="AC830" s="3"/>
      <c r="AD830" s="3">
        <f t="shared" si="526"/>
        <v>0</v>
      </c>
      <c r="AE830" s="3"/>
      <c r="AF830" s="3">
        <f t="shared" si="527"/>
        <v>0</v>
      </c>
      <c r="AG830" s="4"/>
      <c r="AH830" s="4"/>
      <c r="AJ830" s="3"/>
      <c r="AK830" s="3">
        <f t="shared" si="528"/>
        <v>0</v>
      </c>
      <c r="AL830" s="3"/>
      <c r="AM830" s="3">
        <f t="shared" si="529"/>
        <v>0</v>
      </c>
      <c r="AO830" s="3"/>
      <c r="AP830" s="3"/>
      <c r="AQ830" s="3"/>
      <c r="AR830" s="3"/>
      <c r="AS830" s="3"/>
      <c r="AT830" s="3"/>
      <c r="AU830" s="3"/>
      <c r="AV830" s="42"/>
      <c r="AW830" s="3"/>
      <c r="AX830" s="42"/>
      <c r="AY830" s="3"/>
      <c r="AZ830" s="42"/>
      <c r="BA830" s="3"/>
      <c r="BB830" s="42"/>
      <c r="BC830" s="3"/>
      <c r="BE830" s="3"/>
    </row>
    <row r="831" spans="1:57" x14ac:dyDescent="0.25">
      <c r="A831" s="3" t="s">
        <v>598</v>
      </c>
      <c r="B831" s="3"/>
      <c r="D831" s="3"/>
      <c r="E831" s="3">
        <f t="shared" si="518"/>
        <v>0</v>
      </c>
      <c r="H831" s="5">
        <f t="shared" si="519"/>
        <v>0</v>
      </c>
      <c r="K831" s="4">
        <f t="shared" si="520"/>
        <v>0</v>
      </c>
      <c r="L831" s="4"/>
      <c r="N831" s="4">
        <f t="shared" si="521"/>
        <v>0</v>
      </c>
      <c r="P831" s="3"/>
      <c r="Q831" s="3"/>
      <c r="R831" s="3"/>
      <c r="S831" s="3">
        <f t="shared" si="522"/>
        <v>0</v>
      </c>
      <c r="T831" s="3"/>
      <c r="U831" s="3">
        <f t="shared" si="523"/>
        <v>0</v>
      </c>
      <c r="V831" s="3"/>
      <c r="W831" s="3">
        <f t="shared" si="524"/>
        <v>0</v>
      </c>
      <c r="X831" s="3"/>
      <c r="Y831" s="3"/>
      <c r="Z831" s="3">
        <f t="shared" si="525"/>
        <v>0</v>
      </c>
      <c r="AA831" s="3"/>
      <c r="AB831" s="3"/>
      <c r="AC831" s="3"/>
      <c r="AD831" s="3">
        <f t="shared" si="526"/>
        <v>0</v>
      </c>
      <c r="AE831" s="3"/>
      <c r="AF831" s="3">
        <f t="shared" si="527"/>
        <v>0</v>
      </c>
      <c r="AG831" s="4"/>
      <c r="AH831" s="4"/>
      <c r="AJ831" s="3"/>
      <c r="AK831" s="3">
        <f t="shared" si="528"/>
        <v>0</v>
      </c>
      <c r="AL831" s="3"/>
      <c r="AM831" s="3">
        <f t="shared" si="529"/>
        <v>0</v>
      </c>
      <c r="AO831" s="3"/>
      <c r="AP831" s="3"/>
      <c r="AQ831" s="3"/>
      <c r="AR831" s="3"/>
      <c r="AS831" s="3"/>
      <c r="AT831" s="3"/>
      <c r="AU831" s="3"/>
      <c r="AV831" s="42"/>
      <c r="AW831" s="3"/>
      <c r="AX831" s="42"/>
      <c r="AY831" s="3"/>
      <c r="AZ831" s="42"/>
      <c r="BA831" s="3"/>
      <c r="BB831" s="42"/>
      <c r="BC831" s="3"/>
      <c r="BE831" s="3"/>
    </row>
    <row r="832" spans="1:57" x14ac:dyDescent="0.25">
      <c r="A832" s="3" t="s">
        <v>599</v>
      </c>
      <c r="B832" s="3">
        <v>1500</v>
      </c>
      <c r="D832" s="3">
        <v>0</v>
      </c>
      <c r="E832" s="3">
        <f t="shared" si="518"/>
        <v>1500</v>
      </c>
      <c r="F832" s="5">
        <v>1500</v>
      </c>
      <c r="H832" s="5">
        <f t="shared" si="519"/>
        <v>0</v>
      </c>
      <c r="J832" s="5">
        <v>0</v>
      </c>
      <c r="K832" s="4">
        <f t="shared" si="520"/>
        <v>1500</v>
      </c>
      <c r="L832" s="4">
        <v>1500</v>
      </c>
      <c r="N832" s="4">
        <f t="shared" si="521"/>
        <v>0</v>
      </c>
      <c r="P832" s="3">
        <v>0</v>
      </c>
      <c r="Q832" s="3"/>
      <c r="R832" s="3"/>
      <c r="S832" s="3">
        <f t="shared" si="522"/>
        <v>0</v>
      </c>
      <c r="T832" s="3"/>
      <c r="U832" s="3">
        <f t="shared" si="523"/>
        <v>0</v>
      </c>
      <c r="V832" s="3"/>
      <c r="W832" s="3">
        <f t="shared" si="524"/>
        <v>1500</v>
      </c>
      <c r="X832" s="3"/>
      <c r="Y832" s="3">
        <v>1500</v>
      </c>
      <c r="Z832" s="3">
        <f t="shared" si="525"/>
        <v>1500</v>
      </c>
      <c r="AA832" s="3"/>
      <c r="AB832" s="3"/>
      <c r="AC832" s="3"/>
      <c r="AD832" s="3">
        <f t="shared" si="526"/>
        <v>3000</v>
      </c>
      <c r="AE832" s="3">
        <v>3000</v>
      </c>
      <c r="AF832" s="3">
        <f t="shared" si="527"/>
        <v>1500</v>
      </c>
      <c r="AG832" s="4"/>
      <c r="AH832" s="4"/>
      <c r="AJ832" s="3"/>
      <c r="AK832" s="3">
        <f t="shared" si="528"/>
        <v>0</v>
      </c>
      <c r="AL832" s="3"/>
      <c r="AM832" s="3">
        <f t="shared" si="529"/>
        <v>0</v>
      </c>
      <c r="AO832" s="3">
        <v>3000</v>
      </c>
      <c r="AP832" s="3"/>
      <c r="AQ832" s="3"/>
      <c r="AR832" s="3"/>
      <c r="AS832" s="3">
        <v>3000</v>
      </c>
      <c r="AT832" s="3"/>
      <c r="AU832" s="3"/>
      <c r="AV832" s="42"/>
      <c r="AW832" s="3">
        <v>3000</v>
      </c>
      <c r="AX832" s="42"/>
      <c r="AY832" s="3"/>
      <c r="AZ832" s="42"/>
      <c r="BA832" s="3">
        <v>3000</v>
      </c>
      <c r="BB832" s="42"/>
      <c r="BC832" s="3"/>
      <c r="BE832" s="3">
        <v>3000</v>
      </c>
    </row>
    <row r="833" spans="1:57" x14ac:dyDescent="0.25">
      <c r="A833" s="3"/>
      <c r="B833" s="48">
        <f>SUM(B821:B832)</f>
        <v>236500</v>
      </c>
      <c r="C833" s="32"/>
      <c r="D833" s="48">
        <f>SUM(D821:D832)</f>
        <v>83353</v>
      </c>
      <c r="E833" s="48">
        <f>SUM(E821:E832)</f>
        <v>186147</v>
      </c>
      <c r="F833" s="48">
        <f>SUM(F821:F832)</f>
        <v>269500</v>
      </c>
      <c r="G833" s="32"/>
      <c r="H833" s="48">
        <f>SUM(H821:H832)</f>
        <v>33000</v>
      </c>
      <c r="I833" s="36"/>
      <c r="J833" s="48">
        <f>SUM(J821:J832)</f>
        <v>132852</v>
      </c>
      <c r="K833" s="48">
        <f>SUM(K821:K832)</f>
        <v>126148</v>
      </c>
      <c r="L833" s="48">
        <f>SUM(L821:L832)</f>
        <v>259000</v>
      </c>
      <c r="M833" s="32"/>
      <c r="N833" s="48">
        <f>SUM(N821:N832)</f>
        <v>-10500</v>
      </c>
      <c r="P833" s="48">
        <f>SUM(P821:P832)</f>
        <v>122650.45</v>
      </c>
      <c r="R833" s="48">
        <f t="shared" ref="R833:Z833" si="530">SUM(R821:R832)</f>
        <v>23111</v>
      </c>
      <c r="S833" s="48">
        <f t="shared" si="530"/>
        <v>134039</v>
      </c>
      <c r="T833" s="48">
        <f t="shared" si="530"/>
        <v>157150</v>
      </c>
      <c r="U833" s="48">
        <f t="shared" si="530"/>
        <v>34499.550000000003</v>
      </c>
      <c r="V833" s="48">
        <f t="shared" si="530"/>
        <v>151672</v>
      </c>
      <c r="W833" s="48">
        <f t="shared" si="530"/>
        <v>76978</v>
      </c>
      <c r="X833" s="48"/>
      <c r="Y833" s="48">
        <f t="shared" si="530"/>
        <v>228650</v>
      </c>
      <c r="Z833" s="48">
        <f t="shared" si="530"/>
        <v>71500</v>
      </c>
      <c r="AC833" s="48">
        <f>SUM(AC821:AC832)</f>
        <v>185269</v>
      </c>
      <c r="AD833" s="48">
        <f>SUM(AD821:AD832)</f>
        <v>43231</v>
      </c>
      <c r="AE833" s="48">
        <f>SUM(AE821:AE832)</f>
        <v>228500</v>
      </c>
      <c r="AF833" s="48">
        <f>SUM(AF821:AF832)</f>
        <v>-150</v>
      </c>
      <c r="AH833" s="36">
        <f>SUM(AH821:AH832)</f>
        <v>187250</v>
      </c>
      <c r="AI833" s="32"/>
      <c r="AJ833" s="48">
        <f>SUM(AJ821:AJ832)</f>
        <v>105880</v>
      </c>
      <c r="AK833" s="48">
        <f>SUM(AK821:AK832)</f>
        <v>89600</v>
      </c>
      <c r="AL833" s="48">
        <f>SUM(AL821:AL832)</f>
        <v>195480</v>
      </c>
      <c r="AM833" s="48">
        <f>SUM(AM821:AM832)</f>
        <v>8230</v>
      </c>
      <c r="AN833" s="32"/>
      <c r="AO833" s="48">
        <f>SUM(AO821:AO832)</f>
        <v>174875</v>
      </c>
      <c r="AQ833" s="48">
        <f>SUM(AQ821:AQ832)</f>
        <v>175498.75</v>
      </c>
      <c r="AS833" s="48">
        <f>SUM(AS821:AS832)</f>
        <v>182261.21249999999</v>
      </c>
      <c r="AT833" s="48"/>
      <c r="AU833" s="48">
        <f>SUM(AU821:AU832)</f>
        <v>183166.54887500001</v>
      </c>
      <c r="AW833" s="48">
        <f>SUM(AW821:AW832)</f>
        <v>190219.04534124999</v>
      </c>
      <c r="AY833" s="48">
        <f>SUM(AY821:AY832)</f>
        <v>191423.11670148748</v>
      </c>
      <c r="BA833" s="48">
        <f>SUM(BA821:BA832)</f>
        <v>198783.3102025321</v>
      </c>
      <c r="BC833" s="48">
        <f>SUM(BC821:BC832)</f>
        <v>200554.30950860807</v>
      </c>
      <c r="BE833" s="48">
        <f>SUM(BE821:BE832)</f>
        <v>209240.93879386634</v>
      </c>
    </row>
    <row r="834" spans="1:57" ht="15.75" thickBot="1" x14ac:dyDescent="0.3">
      <c r="A834" s="7" t="s">
        <v>249</v>
      </c>
      <c r="B834" s="49">
        <f>B833+B819+B812+B786</f>
        <v>646899</v>
      </c>
      <c r="C834" s="32"/>
      <c r="D834" s="49">
        <f>D833+D819+D812+D786</f>
        <v>150021</v>
      </c>
      <c r="E834" s="49">
        <f>E833+E819+E812+E786</f>
        <v>494777</v>
      </c>
      <c r="F834" s="49">
        <f>F833+F819+F812+F786</f>
        <v>644799</v>
      </c>
      <c r="G834" s="32"/>
      <c r="H834" s="49">
        <f>H833+H819+H812+H786</f>
        <v>-2101</v>
      </c>
      <c r="I834" s="36"/>
      <c r="J834" s="49">
        <f>J833+J819+J812+J786</f>
        <v>246894</v>
      </c>
      <c r="K834" s="49">
        <f>K833+K819+K812+K786</f>
        <v>362404</v>
      </c>
      <c r="L834" s="49">
        <f>L833+L819+L812+L786</f>
        <v>609299</v>
      </c>
      <c r="M834" s="32"/>
      <c r="N834" s="49">
        <f>N833+N819+N812+N786</f>
        <v>-35501</v>
      </c>
      <c r="P834" s="49">
        <f>P833+P819+P812+P786</f>
        <v>471301.47</v>
      </c>
      <c r="R834" s="49">
        <f t="shared" ref="R834:Z834" si="531">R833+R819+R812+R786</f>
        <v>114889</v>
      </c>
      <c r="S834" s="49">
        <f t="shared" si="531"/>
        <v>412161</v>
      </c>
      <c r="T834" s="49">
        <f t="shared" si="531"/>
        <v>527050</v>
      </c>
      <c r="U834" s="49">
        <f t="shared" si="531"/>
        <v>55748.53</v>
      </c>
      <c r="V834" s="49">
        <f t="shared" si="531"/>
        <v>304234</v>
      </c>
      <c r="W834" s="49">
        <f t="shared" si="531"/>
        <v>283316</v>
      </c>
      <c r="X834" s="49"/>
      <c r="Y834" s="49">
        <f t="shared" si="531"/>
        <v>587550</v>
      </c>
      <c r="Z834" s="49">
        <f t="shared" si="531"/>
        <v>60500</v>
      </c>
      <c r="AC834" s="49">
        <f>AC833+AC819+AC812+AC786</f>
        <v>404182</v>
      </c>
      <c r="AD834" s="49">
        <f>AD833+AD819+AD812+AD786</f>
        <v>229568</v>
      </c>
      <c r="AE834" s="49">
        <f>AE833+AE819+AE812+AE786</f>
        <v>633750</v>
      </c>
      <c r="AF834" s="49">
        <f>AF833+AF819+AF812+AF786</f>
        <v>46200</v>
      </c>
      <c r="AH834" s="36">
        <f>AH833+AH819+AH812+AH786</f>
        <v>616549.56180000002</v>
      </c>
      <c r="AI834" s="32"/>
      <c r="AJ834" s="49">
        <f>AJ833+AJ819+AJ812+AJ786</f>
        <v>175229</v>
      </c>
      <c r="AK834" s="49">
        <f>AK833+AK819+AK812+AK786</f>
        <v>439205</v>
      </c>
      <c r="AL834" s="49">
        <f>AL833+AL819+AL812+AL786</f>
        <v>614432</v>
      </c>
      <c r="AM834" s="49">
        <f>AM833+AM819+AM812+AM786</f>
        <v>-2115.5617999999995</v>
      </c>
      <c r="AN834" s="32"/>
      <c r="AO834" s="49">
        <f>AO833+AO819+AO812+AO786</f>
        <v>619349.97865399998</v>
      </c>
      <c r="AQ834" s="49">
        <f>AQ833+AQ819+AQ812+AQ786</f>
        <v>627219.06751362002</v>
      </c>
      <c r="AS834" s="49">
        <f>AS833+AS819+AS812+AS786</f>
        <v>640844.43351402867</v>
      </c>
      <c r="AT834" s="49"/>
      <c r="AU834" s="49">
        <f>AU833+AU819+AU812+AU786</f>
        <v>654777.84019319946</v>
      </c>
      <c r="AW834" s="49">
        <f>AW833+AW819+AW812+AW786</f>
        <v>675281.777756433</v>
      </c>
      <c r="AY834" s="49">
        <f>AY833+AY819+AY812+AY786</f>
        <v>690374.98856443551</v>
      </c>
      <c r="BA834" s="49">
        <f>BA833+BA819+BA812+BA786</f>
        <v>712076.85857044335</v>
      </c>
      <c r="BC834" s="49">
        <f>BC833+BC819+BC812+BC786</f>
        <v>728657.44069408521</v>
      </c>
      <c r="BE834" s="49">
        <f>BE833+BE819+BE812+BE786</f>
        <v>752637.47909976286</v>
      </c>
    </row>
    <row r="835" spans="1:57" ht="16.5" thickTop="1" thickBot="1" x14ac:dyDescent="0.3">
      <c r="A835" s="3"/>
      <c r="B835" s="3"/>
      <c r="D835" s="3"/>
      <c r="E835" s="3"/>
      <c r="F835" s="3"/>
      <c r="H835" s="3"/>
      <c r="I835" s="3"/>
      <c r="J835" s="3"/>
      <c r="K835" s="3"/>
      <c r="L835" s="3"/>
      <c r="N835" s="3"/>
      <c r="P835" s="3"/>
      <c r="R835" s="3"/>
      <c r="S835" s="3"/>
      <c r="T835" s="3"/>
      <c r="U835" s="3"/>
      <c r="V835" s="3"/>
      <c r="W835" s="3"/>
      <c r="X835" s="3"/>
      <c r="Y835" s="3"/>
      <c r="Z835" s="3"/>
      <c r="AC835" s="3"/>
      <c r="AD835" s="3"/>
      <c r="AE835" s="3"/>
      <c r="AF835" s="3"/>
      <c r="AH835" s="4"/>
      <c r="AO835" s="3"/>
      <c r="AQ835" s="3"/>
      <c r="AS835" s="3"/>
      <c r="AT835" s="3"/>
      <c r="AU835" s="3"/>
      <c r="AW835" s="3"/>
      <c r="AY835" s="3"/>
      <c r="BA835" s="3"/>
      <c r="BC835" s="3"/>
      <c r="BE835" s="3"/>
    </row>
    <row r="836" spans="1:57" ht="16.5" thickTop="1" thickBot="1" x14ac:dyDescent="0.3">
      <c r="A836" s="7" t="s">
        <v>600</v>
      </c>
      <c r="B836" s="65">
        <f>B834+B781+B670+B667+B600+B546+B519+B493+B461</f>
        <v>9432799</v>
      </c>
      <c r="C836" s="32"/>
      <c r="D836" s="65">
        <f>D834+D781+D670+D667+D600+D546+D519+D493+D461</f>
        <v>2149817</v>
      </c>
      <c r="E836" s="65">
        <f>E834+E781+E670+E667+E600+E546+E519+E493+E461</f>
        <v>8187132</v>
      </c>
      <c r="F836" s="65">
        <f>F834+F781+F670+F667+F600+F546+F519+F493+F461</f>
        <v>10336946</v>
      </c>
      <c r="G836" s="32"/>
      <c r="H836" s="65">
        <f>H834+H781+H670+H667+H600+H546+H519+H493+H461</f>
        <v>906145</v>
      </c>
      <c r="I836" s="36"/>
      <c r="J836" s="65">
        <f>J834+J781+J670+J667+J600+J546+J519+J493+J461</f>
        <v>4922292</v>
      </c>
      <c r="K836" s="65">
        <f>K834+K781+K670+K667+K600+K546+K519+K493+K461</f>
        <v>5102687</v>
      </c>
      <c r="L836" s="65">
        <f>L834+L781+L670+L667+L600+L546+L519+L493+L461</f>
        <v>10112378</v>
      </c>
      <c r="M836" s="32"/>
      <c r="N836" s="65">
        <f>N834+N781+N670+N667+N600+N546+N519+N493+N461</f>
        <v>-84018</v>
      </c>
      <c r="P836" s="65">
        <f>P834+P781+P670+P667+P600+P546+P519+P493+P461</f>
        <v>9583693.9279999994</v>
      </c>
      <c r="R836" s="65">
        <f t="shared" ref="R836:W836" si="532">R834+R781+R670+R667+R600+R546+R519+R493+R461</f>
        <v>2066467</v>
      </c>
      <c r="S836" s="65">
        <f t="shared" si="532"/>
        <v>7703180.5571074998</v>
      </c>
      <c r="T836" s="65">
        <f t="shared" si="532"/>
        <v>9769648.5571075007</v>
      </c>
      <c r="U836" s="65" t="e">
        <f t="shared" si="532"/>
        <v>#VALUE!</v>
      </c>
      <c r="V836" s="65">
        <f t="shared" si="532"/>
        <v>4357450</v>
      </c>
      <c r="W836" s="65">
        <f t="shared" si="532"/>
        <v>5748263</v>
      </c>
      <c r="X836" s="65"/>
      <c r="Y836" s="65">
        <f>Y834+Y781+Y670+Y667+Y600+Y546+Y519+Y493+Y461</f>
        <v>10106764</v>
      </c>
      <c r="Z836" s="65">
        <f>Z834+Z781+Z670+Z667+Z600+Z546+Z519+Z493+Z461</f>
        <v>337114.44289250002</v>
      </c>
      <c r="AC836" s="65">
        <f>AC834+AC781+AC670+AC667+AC600+AC546+AC519+AC493+AC461</f>
        <v>6158898</v>
      </c>
      <c r="AD836" s="65">
        <f>AD834+AD781+AD670+AD667+AD600+AD546+AD519+AD493+AD461</f>
        <v>3968115</v>
      </c>
      <c r="AE836" s="65">
        <f>AE834+AE781+AE670+AE667+AE600+AE546+AE519+AE493+AE461</f>
        <v>10127014</v>
      </c>
      <c r="AF836" s="65">
        <f>AF834+AF781+AF670+AF667+AF600+AF546+AF519+AF493+AF461</f>
        <v>20249</v>
      </c>
      <c r="AH836" s="36">
        <f>AH834+AH781+AH670+AH667+AH600+AH546+AH519+AH493+AH461</f>
        <v>11179806.910800001</v>
      </c>
      <c r="AI836" s="32"/>
      <c r="AJ836" s="65">
        <f>AJ834+AJ781+AJ670+AJ667+AJ600+AJ546+AJ519+AJ493+AJ461</f>
        <v>1883035</v>
      </c>
      <c r="AK836" s="65">
        <f>AK834+AK781+AK670+AK667+AK600+AK546+AK519+AK493+AK461</f>
        <v>9639992</v>
      </c>
      <c r="AL836" s="65">
        <f>AL834+AL781+AL670+AL667+AL600+AL546+AL519+AL493+AL461</f>
        <v>11523025</v>
      </c>
      <c r="AM836" s="65">
        <f>AM834+AM781+AM670+AM667+AM600+AM546+AM519+AM493+AM461</f>
        <v>343220.08920000005</v>
      </c>
      <c r="AN836" s="32"/>
      <c r="AO836" s="65">
        <f>AO834+AO781+AO670+AO667+AO600+AO546+AO519+AO493+AO461</f>
        <v>7398326.5693990011</v>
      </c>
      <c r="AQ836" s="65">
        <f>AQ834+AQ781+AQ670+AQ667+AQ600+AQ546+AQ519+AQ493+AQ461</f>
        <v>7649554.2615115466</v>
      </c>
      <c r="AS836" s="65">
        <f>AS834+AS781+AS670+AS667+AS600+AS546+AS519+AS493+AS461</f>
        <v>7814214.0318514518</v>
      </c>
      <c r="AT836" s="65"/>
      <c r="AU836" s="65">
        <f>AU834+AU781+AU670+AU667+AU600+AU546+AU519+AU493+AU461</f>
        <v>7937934.9903156627</v>
      </c>
      <c r="AW836" s="65">
        <f>AW834+AW781+AW670+AW667+AW600+AW546+AW519+AW493+AW461</f>
        <v>8213432.9309608378</v>
      </c>
      <c r="AY836" s="65">
        <f>AY834+AY781+AY670+AY667+AY600+AY546+AY519+AY493+AY461</f>
        <v>8211534.7053512242</v>
      </c>
      <c r="BA836" s="65">
        <f>BA834+BA781+BA670+BA667+BA600+BA546+BA519+BA493+BA461</f>
        <v>8490950.4739840925</v>
      </c>
      <c r="BC836" s="65">
        <f>BC834+BC781+BC670+BC667+BC600+BC546+BC519+BC493+BC461</f>
        <v>8567610.906329412</v>
      </c>
      <c r="BE836" s="65">
        <f>BE834+BE781+BE670+BE667+BE600+BE546+BE519+BE493+BE461</f>
        <v>8796567.5835316647</v>
      </c>
    </row>
    <row r="837" spans="1:57" s="42" customFormat="1" ht="16.5" thickTop="1" thickBot="1" x14ac:dyDescent="0.3">
      <c r="A837" s="7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4"/>
      <c r="P837" s="32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4"/>
      <c r="AH837" s="32"/>
      <c r="AI837" s="32"/>
      <c r="AJ837" s="3"/>
      <c r="AK837" s="3"/>
      <c r="AL837" s="3"/>
      <c r="AM837" s="3"/>
      <c r="AN837" s="4"/>
      <c r="AO837" s="32"/>
      <c r="AP837" s="3"/>
      <c r="AQ837" s="32"/>
      <c r="AR837" s="3"/>
      <c r="AS837" s="32"/>
      <c r="AT837" s="32"/>
      <c r="AU837" s="32"/>
      <c r="AW837" s="32"/>
      <c r="AY837" s="32"/>
      <c r="BA837" s="32"/>
      <c r="BC837" s="32"/>
      <c r="BE837" s="32"/>
    </row>
    <row r="838" spans="1:57" x14ac:dyDescent="0.25">
      <c r="A838" s="3"/>
      <c r="B838" s="8" t="s">
        <v>8</v>
      </c>
      <c r="C838" s="9"/>
      <c r="D838" s="10" t="s">
        <v>9</v>
      </c>
      <c r="E838" s="11" t="s">
        <v>10</v>
      </c>
      <c r="F838" s="12" t="s">
        <v>11</v>
      </c>
      <c r="G838" s="9"/>
      <c r="H838" s="8" t="s">
        <v>12</v>
      </c>
      <c r="I838" s="13"/>
      <c r="J838" s="10" t="s">
        <v>9</v>
      </c>
      <c r="K838" s="11" t="s">
        <v>10</v>
      </c>
      <c r="L838" s="11" t="s">
        <v>11</v>
      </c>
      <c r="M838" s="9"/>
      <c r="N838" s="11" t="s">
        <v>12</v>
      </c>
      <c r="P838" s="12" t="s">
        <v>8</v>
      </c>
      <c r="R838" s="14" t="s">
        <v>9</v>
      </c>
      <c r="S838" s="15" t="s">
        <v>10</v>
      </c>
      <c r="T838" s="16" t="s">
        <v>11</v>
      </c>
      <c r="U838" s="17" t="s">
        <v>13</v>
      </c>
      <c r="V838" s="14" t="s">
        <v>9</v>
      </c>
      <c r="W838" s="15" t="s">
        <v>10</v>
      </c>
      <c r="X838" s="15"/>
      <c r="Y838" s="16" t="s">
        <v>11</v>
      </c>
      <c r="Z838" s="17" t="s">
        <v>13</v>
      </c>
      <c r="AC838" s="14" t="s">
        <v>9</v>
      </c>
      <c r="AD838" s="15" t="s">
        <v>10</v>
      </c>
      <c r="AE838" s="16" t="s">
        <v>11</v>
      </c>
      <c r="AF838" s="15" t="s">
        <v>13</v>
      </c>
      <c r="AH838" s="13" t="s">
        <v>8</v>
      </c>
      <c r="AI838" s="9"/>
      <c r="AJ838" s="11" t="s">
        <v>9</v>
      </c>
      <c r="AK838" s="11" t="s">
        <v>10</v>
      </c>
      <c r="AL838" s="12" t="s">
        <v>11</v>
      </c>
      <c r="AM838" s="10" t="s">
        <v>13</v>
      </c>
      <c r="AN838" s="9"/>
      <c r="AO838" s="12" t="s">
        <v>8</v>
      </c>
      <c r="AQ838" s="8" t="s">
        <v>8</v>
      </c>
      <c r="AS838" s="8" t="s">
        <v>8</v>
      </c>
      <c r="AT838" s="8"/>
      <c r="AU838" s="8" t="s">
        <v>8</v>
      </c>
      <c r="AW838" s="8" t="s">
        <v>8</v>
      </c>
      <c r="AY838" s="8" t="s">
        <v>8</v>
      </c>
      <c r="BA838" s="8" t="s">
        <v>8</v>
      </c>
      <c r="BC838" s="8" t="s">
        <v>8</v>
      </c>
      <c r="BE838" s="8" t="s">
        <v>8</v>
      </c>
    </row>
    <row r="839" spans="1:57" ht="15.75" thickBot="1" x14ac:dyDescent="0.3">
      <c r="A839" s="3"/>
      <c r="B839" s="19" t="s">
        <v>14</v>
      </c>
      <c r="C839" s="9"/>
      <c r="D839" s="20" t="s">
        <v>15</v>
      </c>
      <c r="E839" s="21"/>
      <c r="F839" s="22" t="s">
        <v>16</v>
      </c>
      <c r="G839" s="9"/>
      <c r="H839" s="19"/>
      <c r="I839" s="13"/>
      <c r="J839" s="20" t="s">
        <v>17</v>
      </c>
      <c r="K839" s="21"/>
      <c r="L839" s="21" t="s">
        <v>16</v>
      </c>
      <c r="M839" s="9"/>
      <c r="N839" s="21"/>
      <c r="P839" s="22" t="s">
        <v>18</v>
      </c>
      <c r="R839" s="23" t="s">
        <v>19</v>
      </c>
      <c r="S839" s="24"/>
      <c r="T839" s="25" t="s">
        <v>20</v>
      </c>
      <c r="U839" s="26"/>
      <c r="V839" s="23" t="s">
        <v>21</v>
      </c>
      <c r="W839" s="24"/>
      <c r="X839" s="24"/>
      <c r="Y839" s="25" t="s">
        <v>21</v>
      </c>
      <c r="Z839" s="26"/>
      <c r="AC839" s="23" t="s">
        <v>22</v>
      </c>
      <c r="AD839" s="24"/>
      <c r="AE839" s="25" t="s">
        <v>23</v>
      </c>
      <c r="AF839" s="24"/>
      <c r="AH839" s="13" t="s">
        <v>24</v>
      </c>
      <c r="AI839" s="9"/>
      <c r="AJ839" s="21" t="s">
        <v>1144</v>
      </c>
      <c r="AK839" s="21"/>
      <c r="AL839" s="22" t="s">
        <v>1144</v>
      </c>
      <c r="AM839" s="20"/>
      <c r="AN839" s="9"/>
      <c r="AO839" s="22" t="s">
        <v>25</v>
      </c>
      <c r="AQ839" s="19" t="s">
        <v>26</v>
      </c>
      <c r="AS839" s="19" t="s">
        <v>27</v>
      </c>
      <c r="AT839" s="19"/>
      <c r="AU839" s="19" t="s">
        <v>28</v>
      </c>
      <c r="AW839" s="19" t="s">
        <v>29</v>
      </c>
      <c r="AY839" s="19" t="s">
        <v>30</v>
      </c>
      <c r="BA839" s="19" t="s">
        <v>31</v>
      </c>
      <c r="BC839" s="19">
        <f>BC190</f>
        <v>0</v>
      </c>
      <c r="BE839" s="19">
        <f>BE190</f>
        <v>0</v>
      </c>
    </row>
    <row r="840" spans="1:57" x14ac:dyDescent="0.25">
      <c r="A840" s="28" t="s">
        <v>601</v>
      </c>
    </row>
    <row r="841" spans="1:57" x14ac:dyDescent="0.25">
      <c r="A841" s="3" t="s">
        <v>396</v>
      </c>
      <c r="B841" s="5">
        <v>500000</v>
      </c>
      <c r="D841" s="5">
        <v>331616</v>
      </c>
      <c r="E841" s="3">
        <f t="shared" ref="E841:E904" si="533">F841-D841</f>
        <v>168384</v>
      </c>
      <c r="F841" s="5">
        <v>500000</v>
      </c>
      <c r="H841" s="5">
        <f t="shared" ref="H841:H904" si="534">F841-B841</f>
        <v>0</v>
      </c>
      <c r="J841" s="5">
        <v>347646</v>
      </c>
      <c r="K841" s="4">
        <f t="shared" ref="K841:K904" si="535">L841-J841</f>
        <v>152354</v>
      </c>
      <c r="L841" s="4">
        <v>500000</v>
      </c>
      <c r="N841" s="4">
        <f t="shared" ref="N841:N904" si="536">L841-F841</f>
        <v>0</v>
      </c>
      <c r="P841" s="3">
        <v>467000</v>
      </c>
      <c r="Q841" s="3"/>
      <c r="R841" s="3">
        <v>81259</v>
      </c>
      <c r="S841" s="3">
        <f t="shared" ref="S841:S907" si="537">T841-R841</f>
        <v>385741</v>
      </c>
      <c r="T841" s="3">
        <v>467000</v>
      </c>
      <c r="U841" s="3">
        <f t="shared" ref="U841:U907" si="538">T841-P841</f>
        <v>0</v>
      </c>
      <c r="V841" s="3">
        <f>443915-174912</f>
        <v>269003</v>
      </c>
      <c r="W841" s="3">
        <f t="shared" ref="W841:W907" si="539">Y841-V841</f>
        <v>197997</v>
      </c>
      <c r="X841" s="3"/>
      <c r="Y841" s="3">
        <v>467000</v>
      </c>
      <c r="Z841" s="3">
        <f t="shared" ref="Z841:Z904" si="540">Y841-T841</f>
        <v>0</v>
      </c>
      <c r="AA841" s="3"/>
      <c r="AB841" s="3"/>
      <c r="AC841" s="3">
        <v>343965</v>
      </c>
      <c r="AD841" s="3">
        <f t="shared" ref="AD841:AD907" si="541">AE841-AC841</f>
        <v>123035</v>
      </c>
      <c r="AE841" s="3">
        <v>467000</v>
      </c>
      <c r="AF841" s="3">
        <f t="shared" ref="AF841:AF907" si="542">AE841-Y841</f>
        <v>0</v>
      </c>
      <c r="AG841" s="4"/>
      <c r="AH841" s="4">
        <v>407512</v>
      </c>
      <c r="AJ841" s="3">
        <v>250029</v>
      </c>
      <c r="AK841" s="3">
        <f t="shared" ref="AK841:AK904" si="543">AL841-AJ841</f>
        <v>157471</v>
      </c>
      <c r="AL841" s="3">
        <v>407500</v>
      </c>
      <c r="AM841" s="3">
        <f t="shared" ref="AM841:AM904" si="544">AL841-AH841</f>
        <v>-12</v>
      </c>
      <c r="AO841" s="3">
        <v>474066</v>
      </c>
      <c r="AP841" s="3"/>
      <c r="AQ841" s="3">
        <v>176664</v>
      </c>
      <c r="AR841" s="3"/>
      <c r="AS841" s="3">
        <v>338307</v>
      </c>
      <c r="AT841" s="3"/>
      <c r="AU841" s="3">
        <v>440779</v>
      </c>
      <c r="AV841" s="42"/>
      <c r="AW841" s="3">
        <v>493321</v>
      </c>
      <c r="AX841" s="42"/>
      <c r="AY841" s="3">
        <v>245934</v>
      </c>
      <c r="AZ841" s="42"/>
      <c r="BA841" s="3">
        <v>548620</v>
      </c>
      <c r="BB841" s="42"/>
      <c r="BC841" s="3">
        <v>361382</v>
      </c>
      <c r="BD841" s="42"/>
      <c r="BE841" s="3">
        <v>361382</v>
      </c>
    </row>
    <row r="842" spans="1:57" s="77" customFormat="1" hidden="1" x14ac:dyDescent="0.25">
      <c r="A842" s="29" t="s">
        <v>602</v>
      </c>
      <c r="B842" s="29"/>
      <c r="C842" s="3"/>
      <c r="D842" s="29"/>
      <c r="E842" s="3">
        <f t="shared" si="533"/>
        <v>0</v>
      </c>
      <c r="F842" s="29"/>
      <c r="G842" s="3"/>
      <c r="H842" s="5">
        <f t="shared" si="534"/>
        <v>0</v>
      </c>
      <c r="I842" s="5"/>
      <c r="J842" s="5"/>
      <c r="K842" s="4">
        <f t="shared" si="535"/>
        <v>0</v>
      </c>
      <c r="L842" s="4"/>
      <c r="M842" s="4"/>
      <c r="N842" s="4">
        <f t="shared" si="536"/>
        <v>0</v>
      </c>
      <c r="O842" s="4"/>
      <c r="P842" s="3"/>
      <c r="Q842" s="3"/>
      <c r="R842" s="3"/>
      <c r="S842" s="3">
        <f t="shared" si="537"/>
        <v>0</v>
      </c>
      <c r="T842" s="3"/>
      <c r="U842" s="3">
        <f t="shared" si="538"/>
        <v>0</v>
      </c>
      <c r="V842" s="3"/>
      <c r="W842" s="3">
        <f t="shared" si="539"/>
        <v>0</v>
      </c>
      <c r="X842" s="3"/>
      <c r="Y842" s="3"/>
      <c r="Z842" s="3">
        <f t="shared" si="540"/>
        <v>0</v>
      </c>
      <c r="AA842" s="3"/>
      <c r="AB842" s="3"/>
      <c r="AC842" s="3"/>
      <c r="AD842" s="3">
        <f t="shared" si="541"/>
        <v>0</v>
      </c>
      <c r="AE842" s="3"/>
      <c r="AF842" s="3">
        <f t="shared" si="542"/>
        <v>0</v>
      </c>
      <c r="AG842" s="4"/>
      <c r="AH842" s="4"/>
      <c r="AI842" s="4"/>
      <c r="AJ842" s="3"/>
      <c r="AK842" s="3">
        <f t="shared" si="543"/>
        <v>0</v>
      </c>
      <c r="AL842" s="3"/>
      <c r="AM842" s="3">
        <f t="shared" si="544"/>
        <v>0</v>
      </c>
      <c r="AN842" s="4"/>
      <c r="AO842" s="3"/>
      <c r="AP842" s="3"/>
      <c r="AQ842" s="3"/>
      <c r="AR842" s="3"/>
      <c r="AS842" s="3"/>
      <c r="AT842" s="3"/>
      <c r="AU842" s="3"/>
      <c r="AV842" s="42"/>
      <c r="AW842" s="3"/>
      <c r="AX842" s="42"/>
      <c r="AY842" s="3"/>
      <c r="AZ842" s="42"/>
      <c r="BA842" s="3"/>
      <c r="BB842" s="42"/>
      <c r="BC842" s="3"/>
      <c r="BD842" s="42"/>
      <c r="BE842" s="3"/>
    </row>
    <row r="843" spans="1:57" hidden="1" x14ac:dyDescent="0.25">
      <c r="A843" s="3" t="s">
        <v>603</v>
      </c>
      <c r="E843" s="3">
        <f t="shared" si="533"/>
        <v>0</v>
      </c>
      <c r="H843" s="5">
        <f t="shared" si="534"/>
        <v>0</v>
      </c>
      <c r="K843" s="4">
        <f t="shared" si="535"/>
        <v>0</v>
      </c>
      <c r="L843" s="4"/>
      <c r="N843" s="4">
        <f t="shared" si="536"/>
        <v>0</v>
      </c>
      <c r="P843" s="3"/>
      <c r="Q843" s="3"/>
      <c r="R843" s="3"/>
      <c r="S843" s="3">
        <f t="shared" si="537"/>
        <v>0</v>
      </c>
      <c r="T843" s="3"/>
      <c r="U843" s="3">
        <f t="shared" si="538"/>
        <v>0</v>
      </c>
      <c r="V843" s="3"/>
      <c r="W843" s="3">
        <f t="shared" si="539"/>
        <v>0</v>
      </c>
      <c r="X843" s="3"/>
      <c r="Y843" s="3"/>
      <c r="Z843" s="3">
        <f t="shared" si="540"/>
        <v>0</v>
      </c>
      <c r="AA843" s="3"/>
      <c r="AB843" s="3"/>
      <c r="AC843" s="3"/>
      <c r="AD843" s="3">
        <f t="shared" si="541"/>
        <v>0</v>
      </c>
      <c r="AE843" s="3"/>
      <c r="AF843" s="3">
        <f t="shared" si="542"/>
        <v>0</v>
      </c>
      <c r="AG843" s="4"/>
      <c r="AH843" s="4"/>
      <c r="AJ843" s="3"/>
      <c r="AK843" s="3">
        <f t="shared" si="543"/>
        <v>0</v>
      </c>
      <c r="AL843" s="3"/>
      <c r="AM843" s="3">
        <f t="shared" si="544"/>
        <v>0</v>
      </c>
      <c r="AO843" s="3"/>
      <c r="AP843" s="3"/>
      <c r="AQ843" s="3"/>
      <c r="AR843" s="3"/>
      <c r="AS843" s="3"/>
      <c r="AT843" s="3"/>
      <c r="AU843" s="3"/>
      <c r="AV843" s="42"/>
      <c r="AW843" s="3"/>
      <c r="AX843" s="42"/>
      <c r="AY843" s="3"/>
      <c r="AZ843" s="42"/>
      <c r="BA843" s="3"/>
      <c r="BB843" s="42"/>
      <c r="BC843" s="3"/>
      <c r="BD843" s="42"/>
      <c r="BE843" s="3"/>
    </row>
    <row r="844" spans="1:57" s="77" customFormat="1" hidden="1" x14ac:dyDescent="0.25">
      <c r="A844" s="29" t="s">
        <v>604</v>
      </c>
      <c r="B844" s="29"/>
      <c r="C844" s="3"/>
      <c r="D844" s="29"/>
      <c r="E844" s="3">
        <f t="shared" si="533"/>
        <v>0</v>
      </c>
      <c r="F844" s="29"/>
      <c r="G844" s="3"/>
      <c r="H844" s="5">
        <f t="shared" si="534"/>
        <v>0</v>
      </c>
      <c r="I844" s="5"/>
      <c r="J844" s="5"/>
      <c r="K844" s="4">
        <f t="shared" si="535"/>
        <v>0</v>
      </c>
      <c r="L844" s="4"/>
      <c r="M844" s="4"/>
      <c r="N844" s="4">
        <f t="shared" si="536"/>
        <v>0</v>
      </c>
      <c r="O844" s="4"/>
      <c r="P844" s="3"/>
      <c r="Q844" s="3"/>
      <c r="R844" s="3"/>
      <c r="S844" s="3">
        <f t="shared" si="537"/>
        <v>0</v>
      </c>
      <c r="T844" s="3"/>
      <c r="U844" s="3">
        <f t="shared" si="538"/>
        <v>0</v>
      </c>
      <c r="V844" s="3"/>
      <c r="W844" s="3">
        <f t="shared" si="539"/>
        <v>0</v>
      </c>
      <c r="X844" s="3"/>
      <c r="Y844" s="3"/>
      <c r="Z844" s="3">
        <f t="shared" si="540"/>
        <v>0</v>
      </c>
      <c r="AA844" s="3"/>
      <c r="AB844" s="3"/>
      <c r="AC844" s="3"/>
      <c r="AD844" s="3">
        <f t="shared" si="541"/>
        <v>0</v>
      </c>
      <c r="AE844" s="3"/>
      <c r="AF844" s="3">
        <f t="shared" si="542"/>
        <v>0</v>
      </c>
      <c r="AG844" s="4"/>
      <c r="AH844" s="4"/>
      <c r="AI844" s="4"/>
      <c r="AJ844" s="3"/>
      <c r="AK844" s="3">
        <f t="shared" si="543"/>
        <v>0</v>
      </c>
      <c r="AL844" s="3"/>
      <c r="AM844" s="3">
        <f t="shared" si="544"/>
        <v>0</v>
      </c>
      <c r="AN844" s="4"/>
      <c r="AO844" s="3"/>
      <c r="AP844" s="3"/>
      <c r="AQ844" s="3"/>
      <c r="AR844" s="3"/>
      <c r="AS844" s="3"/>
      <c r="AT844" s="3"/>
      <c r="AU844" s="3"/>
      <c r="AV844" s="42"/>
      <c r="AW844" s="3"/>
      <c r="AX844" s="42"/>
      <c r="AY844" s="3"/>
      <c r="AZ844" s="42"/>
      <c r="BA844" s="3"/>
      <c r="BB844" s="42"/>
      <c r="BC844" s="3"/>
      <c r="BD844" s="42"/>
      <c r="BE844" s="3"/>
    </row>
    <row r="845" spans="1:57" s="77" customFormat="1" x14ac:dyDescent="0.25">
      <c r="A845" s="29" t="s">
        <v>605</v>
      </c>
      <c r="B845" s="29"/>
      <c r="C845" s="3"/>
      <c r="D845" s="29"/>
      <c r="E845" s="3"/>
      <c r="F845" s="29"/>
      <c r="G845" s="3"/>
      <c r="H845" s="5"/>
      <c r="I845" s="5"/>
      <c r="J845" s="5"/>
      <c r="K845" s="4"/>
      <c r="L845" s="4"/>
      <c r="M845" s="4"/>
      <c r="N845" s="4"/>
      <c r="O845" s="4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4"/>
      <c r="AH845" s="4">
        <v>25000</v>
      </c>
      <c r="AI845" s="4"/>
      <c r="AJ845" s="3">
        <v>0</v>
      </c>
      <c r="AK845" s="3">
        <f t="shared" si="543"/>
        <v>25000</v>
      </c>
      <c r="AL845" s="3">
        <v>25000</v>
      </c>
      <c r="AM845" s="3">
        <f t="shared" si="544"/>
        <v>0</v>
      </c>
      <c r="AN845" s="4"/>
      <c r="AO845" s="3"/>
      <c r="AP845" s="3"/>
      <c r="AQ845" s="3"/>
      <c r="AR845" s="3"/>
      <c r="AS845" s="3">
        <v>25000</v>
      </c>
      <c r="AT845" s="3"/>
      <c r="AU845" s="3"/>
      <c r="AV845" s="42"/>
      <c r="AW845" s="3"/>
      <c r="AX845" s="42"/>
      <c r="AY845" s="3">
        <v>25000</v>
      </c>
      <c r="AZ845" s="42"/>
      <c r="BA845" s="3"/>
      <c r="BB845" s="42"/>
      <c r="BC845" s="3"/>
      <c r="BD845" s="42"/>
      <c r="BE845" s="3"/>
    </row>
    <row r="846" spans="1:57" x14ac:dyDescent="0.25">
      <c r="A846" s="3" t="s">
        <v>606</v>
      </c>
      <c r="E846" s="3">
        <f t="shared" si="533"/>
        <v>0</v>
      </c>
      <c r="H846" s="5">
        <f t="shared" si="534"/>
        <v>0</v>
      </c>
      <c r="K846" s="4">
        <f t="shared" si="535"/>
        <v>0</v>
      </c>
      <c r="L846" s="4"/>
      <c r="N846" s="4">
        <f t="shared" si="536"/>
        <v>0</v>
      </c>
      <c r="P846" s="3"/>
      <c r="Q846" s="3"/>
      <c r="R846" s="3"/>
      <c r="S846" s="3">
        <f t="shared" si="537"/>
        <v>0</v>
      </c>
      <c r="T846" s="3"/>
      <c r="U846" s="3">
        <f t="shared" si="538"/>
        <v>0</v>
      </c>
      <c r="V846" s="3"/>
      <c r="W846" s="3">
        <f t="shared" si="539"/>
        <v>0</v>
      </c>
      <c r="X846" s="3"/>
      <c r="Y846" s="3"/>
      <c r="Z846" s="3">
        <f t="shared" si="540"/>
        <v>0</v>
      </c>
      <c r="AA846" s="3"/>
      <c r="AB846" s="3"/>
      <c r="AC846" s="3"/>
      <c r="AD846" s="3">
        <f t="shared" si="541"/>
        <v>0</v>
      </c>
      <c r="AE846" s="3"/>
      <c r="AF846" s="3">
        <f t="shared" si="542"/>
        <v>0</v>
      </c>
      <c r="AG846" s="4"/>
      <c r="AH846" s="4">
        <v>15000</v>
      </c>
      <c r="AJ846" s="3"/>
      <c r="AK846" s="3">
        <f t="shared" si="543"/>
        <v>15000</v>
      </c>
      <c r="AL846" s="3">
        <v>15000</v>
      </c>
      <c r="AM846" s="3">
        <f t="shared" si="544"/>
        <v>0</v>
      </c>
      <c r="AO846" s="3"/>
      <c r="AP846" s="3"/>
      <c r="AQ846" s="3"/>
      <c r="AR846" s="3"/>
      <c r="AS846" s="3">
        <v>15000</v>
      </c>
      <c r="AT846" s="3"/>
      <c r="AU846" s="3"/>
      <c r="AV846" s="42"/>
      <c r="AW846" s="3"/>
      <c r="AX846" s="42"/>
      <c r="AY846" s="3">
        <v>15000</v>
      </c>
      <c r="AZ846" s="42"/>
      <c r="BA846" s="3"/>
      <c r="BB846" s="42"/>
      <c r="BC846" s="3"/>
      <c r="BD846" s="42"/>
      <c r="BE846" s="3"/>
    </row>
    <row r="847" spans="1:57" s="77" customFormat="1" hidden="1" x14ac:dyDescent="0.25">
      <c r="A847" s="29" t="s">
        <v>607</v>
      </c>
      <c r="B847" s="29"/>
      <c r="C847" s="3"/>
      <c r="D847" s="29"/>
      <c r="E847" s="3">
        <f t="shared" si="533"/>
        <v>0</v>
      </c>
      <c r="F847" s="29"/>
      <c r="G847" s="3"/>
      <c r="H847" s="5">
        <f t="shared" si="534"/>
        <v>0</v>
      </c>
      <c r="I847" s="5"/>
      <c r="J847" s="5"/>
      <c r="K847" s="4">
        <f t="shared" si="535"/>
        <v>0</v>
      </c>
      <c r="L847" s="4"/>
      <c r="M847" s="4"/>
      <c r="N847" s="4">
        <f t="shared" si="536"/>
        <v>0</v>
      </c>
      <c r="O847" s="4"/>
      <c r="P847" s="3"/>
      <c r="Q847" s="3"/>
      <c r="R847" s="3"/>
      <c r="S847" s="3">
        <f t="shared" si="537"/>
        <v>0</v>
      </c>
      <c r="T847" s="3"/>
      <c r="U847" s="3">
        <f t="shared" si="538"/>
        <v>0</v>
      </c>
      <c r="V847" s="3"/>
      <c r="W847" s="3">
        <f t="shared" si="539"/>
        <v>0</v>
      </c>
      <c r="X847" s="3"/>
      <c r="Y847" s="3"/>
      <c r="Z847" s="3">
        <f t="shared" si="540"/>
        <v>0</v>
      </c>
      <c r="AA847" s="3"/>
      <c r="AB847" s="3"/>
      <c r="AC847" s="3"/>
      <c r="AD847" s="3">
        <f t="shared" si="541"/>
        <v>0</v>
      </c>
      <c r="AE847" s="3"/>
      <c r="AF847" s="3">
        <f t="shared" si="542"/>
        <v>0</v>
      </c>
      <c r="AG847" s="4"/>
      <c r="AH847" s="4"/>
      <c r="AI847" s="4"/>
      <c r="AJ847" s="3"/>
      <c r="AK847" s="3">
        <f t="shared" si="543"/>
        <v>0</v>
      </c>
      <c r="AL847" s="3"/>
      <c r="AM847" s="3">
        <f t="shared" si="544"/>
        <v>0</v>
      </c>
      <c r="AN847" s="4"/>
      <c r="AO847" s="3"/>
      <c r="AP847" s="3"/>
      <c r="AQ847" s="3"/>
      <c r="AR847" s="3"/>
      <c r="AS847" s="3"/>
      <c r="AT847" s="3"/>
      <c r="AU847" s="3"/>
      <c r="AV847" s="42"/>
      <c r="AW847" s="3"/>
      <c r="AX847" s="42"/>
      <c r="AY847" s="3"/>
      <c r="AZ847" s="42"/>
      <c r="BA847" s="3"/>
      <c r="BB847" s="42"/>
      <c r="BC847" s="3"/>
      <c r="BD847" s="42"/>
      <c r="BE847" s="3"/>
    </row>
    <row r="848" spans="1:57" hidden="1" x14ac:dyDescent="0.25">
      <c r="A848" s="3" t="s">
        <v>608</v>
      </c>
      <c r="B848" s="5">
        <v>24000</v>
      </c>
      <c r="E848" s="3">
        <f t="shared" si="533"/>
        <v>24000</v>
      </c>
      <c r="F848" s="5">
        <v>24000</v>
      </c>
      <c r="H848" s="5">
        <f t="shared" si="534"/>
        <v>0</v>
      </c>
      <c r="J848" s="5">
        <v>0</v>
      </c>
      <c r="K848" s="4">
        <f t="shared" si="535"/>
        <v>24000</v>
      </c>
      <c r="L848" s="4">
        <v>24000</v>
      </c>
      <c r="N848" s="4">
        <f t="shared" si="536"/>
        <v>0</v>
      </c>
      <c r="P848" s="3"/>
      <c r="Q848" s="3"/>
      <c r="R848" s="3"/>
      <c r="S848" s="3">
        <f t="shared" si="537"/>
        <v>0</v>
      </c>
      <c r="T848" s="3"/>
      <c r="U848" s="3">
        <f t="shared" si="538"/>
        <v>0</v>
      </c>
      <c r="V848" s="3"/>
      <c r="W848" s="3">
        <f t="shared" si="539"/>
        <v>0</v>
      </c>
      <c r="X848" s="3"/>
      <c r="Y848" s="3"/>
      <c r="Z848" s="3">
        <f t="shared" si="540"/>
        <v>0</v>
      </c>
      <c r="AA848" s="3"/>
      <c r="AB848" s="3"/>
      <c r="AC848" s="3"/>
      <c r="AD848" s="3">
        <f t="shared" si="541"/>
        <v>0</v>
      </c>
      <c r="AE848" s="3"/>
      <c r="AF848" s="3">
        <f t="shared" si="542"/>
        <v>0</v>
      </c>
      <c r="AG848" s="4"/>
      <c r="AH848" s="4"/>
      <c r="AJ848" s="3"/>
      <c r="AK848" s="3">
        <f t="shared" si="543"/>
        <v>0</v>
      </c>
      <c r="AL848" s="3"/>
      <c r="AM848" s="3">
        <f t="shared" si="544"/>
        <v>0</v>
      </c>
      <c r="AO848" s="3"/>
      <c r="AP848" s="3"/>
      <c r="AQ848" s="3">
        <v>25000</v>
      </c>
      <c r="AR848" s="3"/>
      <c r="AS848" s="3"/>
      <c r="AT848" s="3"/>
      <c r="AU848" s="3"/>
      <c r="AV848" s="42"/>
      <c r="AW848" s="3"/>
      <c r="AX848" s="42"/>
      <c r="AY848" s="3">
        <v>27000</v>
      </c>
      <c r="AZ848" s="42"/>
      <c r="BA848" s="3"/>
      <c r="BB848" s="42"/>
      <c r="BC848" s="3"/>
      <c r="BD848" s="42"/>
      <c r="BE848" s="3"/>
    </row>
    <row r="849" spans="1:57" hidden="1" x14ac:dyDescent="0.25">
      <c r="A849" s="3" t="s">
        <v>609</v>
      </c>
      <c r="B849" s="5">
        <v>6000</v>
      </c>
      <c r="E849" s="3">
        <f t="shared" si="533"/>
        <v>6000</v>
      </c>
      <c r="F849" s="5">
        <v>6000</v>
      </c>
      <c r="H849" s="5">
        <f t="shared" si="534"/>
        <v>0</v>
      </c>
      <c r="J849" s="5">
        <v>0</v>
      </c>
      <c r="K849" s="4">
        <f t="shared" si="535"/>
        <v>6000</v>
      </c>
      <c r="L849" s="4">
        <v>6000</v>
      </c>
      <c r="N849" s="4">
        <f t="shared" si="536"/>
        <v>0</v>
      </c>
      <c r="P849" s="3"/>
      <c r="Q849" s="3"/>
      <c r="R849" s="3"/>
      <c r="S849" s="3">
        <f t="shared" si="537"/>
        <v>0</v>
      </c>
      <c r="T849" s="3"/>
      <c r="U849" s="3">
        <f t="shared" si="538"/>
        <v>0</v>
      </c>
      <c r="V849" s="3"/>
      <c r="W849" s="3">
        <f t="shared" si="539"/>
        <v>0</v>
      </c>
      <c r="X849" s="3"/>
      <c r="Y849" s="3"/>
      <c r="Z849" s="3">
        <f t="shared" si="540"/>
        <v>0</v>
      </c>
      <c r="AA849" s="3"/>
      <c r="AB849" s="3"/>
      <c r="AC849" s="3"/>
      <c r="AD849" s="3">
        <f t="shared" si="541"/>
        <v>0</v>
      </c>
      <c r="AE849" s="3"/>
      <c r="AF849" s="3">
        <f t="shared" si="542"/>
        <v>0</v>
      </c>
      <c r="AG849" s="4"/>
      <c r="AH849" s="4"/>
      <c r="AJ849" s="3"/>
      <c r="AK849" s="3">
        <f t="shared" si="543"/>
        <v>0</v>
      </c>
      <c r="AL849" s="3"/>
      <c r="AM849" s="3">
        <f t="shared" si="544"/>
        <v>0</v>
      </c>
      <c r="AO849" s="3"/>
      <c r="AP849" s="3"/>
      <c r="AQ849" s="3"/>
      <c r="AR849" s="3"/>
      <c r="AS849" s="3"/>
      <c r="AT849" s="3"/>
      <c r="AU849" s="3"/>
      <c r="AV849" s="42"/>
      <c r="AW849" s="3"/>
      <c r="AX849" s="42"/>
      <c r="AY849" s="3"/>
      <c r="AZ849" s="42"/>
      <c r="BA849" s="3"/>
      <c r="BB849" s="42"/>
      <c r="BC849" s="3"/>
      <c r="BD849" s="42"/>
      <c r="BE849" s="3"/>
    </row>
    <row r="850" spans="1:57" s="77" customFormat="1" hidden="1" x14ac:dyDescent="0.25">
      <c r="A850" s="29" t="s">
        <v>610</v>
      </c>
      <c r="B850" s="29"/>
      <c r="C850" s="3"/>
      <c r="D850" s="29"/>
      <c r="E850" s="3">
        <f t="shared" si="533"/>
        <v>0</v>
      </c>
      <c r="F850" s="29"/>
      <c r="G850" s="3"/>
      <c r="H850" s="5">
        <f t="shared" si="534"/>
        <v>0</v>
      </c>
      <c r="I850" s="5"/>
      <c r="J850" s="5"/>
      <c r="K850" s="4">
        <f t="shared" si="535"/>
        <v>0</v>
      </c>
      <c r="L850" s="4"/>
      <c r="M850" s="4"/>
      <c r="N850" s="4">
        <f t="shared" si="536"/>
        <v>0</v>
      </c>
      <c r="O850" s="4"/>
      <c r="P850" s="3"/>
      <c r="Q850" s="3"/>
      <c r="R850" s="3"/>
      <c r="S850" s="3">
        <f t="shared" si="537"/>
        <v>0</v>
      </c>
      <c r="T850" s="3"/>
      <c r="U850" s="3">
        <f t="shared" si="538"/>
        <v>0</v>
      </c>
      <c r="V850" s="3"/>
      <c r="W850" s="3">
        <f t="shared" si="539"/>
        <v>0</v>
      </c>
      <c r="X850" s="3"/>
      <c r="Y850" s="3"/>
      <c r="Z850" s="3">
        <f t="shared" si="540"/>
        <v>0</v>
      </c>
      <c r="AA850" s="3"/>
      <c r="AB850" s="3"/>
      <c r="AC850" s="3"/>
      <c r="AD850" s="3">
        <f t="shared" si="541"/>
        <v>0</v>
      </c>
      <c r="AE850" s="3"/>
      <c r="AF850" s="3">
        <f t="shared" si="542"/>
        <v>0</v>
      </c>
      <c r="AG850" s="4"/>
      <c r="AH850" s="4"/>
      <c r="AI850" s="4"/>
      <c r="AJ850" s="3"/>
      <c r="AK850" s="3">
        <f t="shared" si="543"/>
        <v>0</v>
      </c>
      <c r="AL850" s="3"/>
      <c r="AM850" s="3">
        <f t="shared" si="544"/>
        <v>0</v>
      </c>
      <c r="AN850" s="4"/>
      <c r="AO850" s="3"/>
      <c r="AP850" s="3"/>
      <c r="AQ850" s="3"/>
      <c r="AR850" s="3"/>
      <c r="AS850" s="3"/>
      <c r="AT850" s="3"/>
      <c r="AU850" s="3"/>
      <c r="AV850" s="42"/>
      <c r="AW850" s="3"/>
      <c r="AX850" s="42"/>
      <c r="AY850" s="3"/>
      <c r="AZ850" s="42"/>
      <c r="BA850" s="3"/>
      <c r="BB850" s="42"/>
      <c r="BC850" s="3"/>
      <c r="BD850" s="42"/>
      <c r="BE850" s="3"/>
    </row>
    <row r="851" spans="1:57" hidden="1" x14ac:dyDescent="0.25">
      <c r="A851" s="3" t="s">
        <v>611</v>
      </c>
      <c r="E851" s="3">
        <f t="shared" si="533"/>
        <v>0</v>
      </c>
      <c r="H851" s="5">
        <f t="shared" si="534"/>
        <v>0</v>
      </c>
      <c r="K851" s="4">
        <f t="shared" si="535"/>
        <v>0</v>
      </c>
      <c r="L851" s="4"/>
      <c r="N851" s="4">
        <f t="shared" si="536"/>
        <v>0</v>
      </c>
      <c r="P851" s="3">
        <v>20000</v>
      </c>
      <c r="Q851" s="3"/>
      <c r="R851" s="3"/>
      <c r="S851" s="3">
        <f t="shared" si="537"/>
        <v>20000</v>
      </c>
      <c r="T851" s="3">
        <v>20000</v>
      </c>
      <c r="U851" s="3">
        <f t="shared" si="538"/>
        <v>0</v>
      </c>
      <c r="V851" s="3"/>
      <c r="W851" s="3">
        <f t="shared" si="539"/>
        <v>20000</v>
      </c>
      <c r="X851" s="3"/>
      <c r="Y851" s="3">
        <v>20000</v>
      </c>
      <c r="Z851" s="3">
        <f t="shared" si="540"/>
        <v>0</v>
      </c>
      <c r="AA851" s="3"/>
      <c r="AB851" s="3"/>
      <c r="AC851" s="3">
        <v>0</v>
      </c>
      <c r="AD851" s="3">
        <f t="shared" si="541"/>
        <v>20000</v>
      </c>
      <c r="AE851" s="3">
        <v>20000</v>
      </c>
      <c r="AF851" s="3">
        <f t="shared" si="542"/>
        <v>0</v>
      </c>
      <c r="AG851" s="4"/>
      <c r="AH851" s="4"/>
      <c r="AJ851" s="3"/>
      <c r="AK851" s="3">
        <f t="shared" si="543"/>
        <v>0</v>
      </c>
      <c r="AL851" s="3"/>
      <c r="AM851" s="3">
        <f t="shared" si="544"/>
        <v>0</v>
      </c>
      <c r="AO851" s="3"/>
      <c r="AP851" s="3"/>
      <c r="AQ851" s="3">
        <v>22000</v>
      </c>
      <c r="AR851" s="3"/>
      <c r="AS851" s="3"/>
      <c r="AT851" s="3"/>
      <c r="AU851" s="3"/>
      <c r="AV851" s="42"/>
      <c r="AW851" s="3">
        <v>24000</v>
      </c>
      <c r="AX851" s="42"/>
      <c r="AY851" s="3"/>
      <c r="AZ851" s="42"/>
      <c r="BA851" s="3"/>
      <c r="BB851" s="42"/>
      <c r="BC851" s="3">
        <v>26000</v>
      </c>
      <c r="BD851" s="42"/>
      <c r="BE851" s="3"/>
    </row>
    <row r="852" spans="1:57" hidden="1" x14ac:dyDescent="0.25">
      <c r="A852" s="3" t="s">
        <v>612</v>
      </c>
      <c r="B852" s="3"/>
      <c r="D852" s="3"/>
      <c r="E852" s="3">
        <f t="shared" si="533"/>
        <v>0</v>
      </c>
      <c r="F852" s="3"/>
      <c r="H852" s="5">
        <f t="shared" si="534"/>
        <v>0</v>
      </c>
      <c r="K852" s="4">
        <f t="shared" si="535"/>
        <v>0</v>
      </c>
      <c r="L852" s="4"/>
      <c r="N852" s="4">
        <f t="shared" si="536"/>
        <v>0</v>
      </c>
      <c r="P852" s="3"/>
      <c r="Q852" s="3"/>
      <c r="R852" s="3"/>
      <c r="S852" s="3">
        <f t="shared" si="537"/>
        <v>0</v>
      </c>
      <c r="T852" s="3"/>
      <c r="U852" s="3">
        <f t="shared" si="538"/>
        <v>0</v>
      </c>
      <c r="V852" s="3"/>
      <c r="W852" s="3">
        <f t="shared" si="539"/>
        <v>0</v>
      </c>
      <c r="X852" s="3"/>
      <c r="Y852" s="3"/>
      <c r="Z852" s="3">
        <f t="shared" si="540"/>
        <v>0</v>
      </c>
      <c r="AA852" s="3"/>
      <c r="AB852" s="3"/>
      <c r="AC852" s="3"/>
      <c r="AD852" s="3">
        <f t="shared" si="541"/>
        <v>0</v>
      </c>
      <c r="AE852" s="3"/>
      <c r="AF852" s="3">
        <f t="shared" si="542"/>
        <v>0</v>
      </c>
      <c r="AG852" s="4"/>
      <c r="AH852" s="4"/>
      <c r="AJ852" s="3"/>
      <c r="AK852" s="3">
        <f t="shared" si="543"/>
        <v>0</v>
      </c>
      <c r="AL852" s="3"/>
      <c r="AM852" s="3">
        <f t="shared" si="544"/>
        <v>0</v>
      </c>
      <c r="AO852" s="3"/>
      <c r="AP852" s="3"/>
      <c r="AQ852" s="3"/>
      <c r="AR852" s="3"/>
      <c r="AS852" s="3"/>
      <c r="AT852" s="3"/>
      <c r="AU852" s="3"/>
      <c r="AV852" s="42"/>
      <c r="AW852" s="3"/>
      <c r="AX852" s="42"/>
      <c r="AY852" s="3"/>
      <c r="AZ852" s="42"/>
      <c r="BA852" s="3"/>
      <c r="BB852" s="42"/>
      <c r="BC852" s="3"/>
      <c r="BD852" s="42"/>
      <c r="BE852" s="3"/>
    </row>
    <row r="853" spans="1:57" s="77" customFormat="1" x14ac:dyDescent="0.25">
      <c r="A853" s="3" t="s">
        <v>613</v>
      </c>
      <c r="B853" s="3"/>
      <c r="C853" s="3"/>
      <c r="D853" s="29"/>
      <c r="E853" s="3">
        <f t="shared" si="533"/>
        <v>0</v>
      </c>
      <c r="F853" s="29"/>
      <c r="G853" s="3"/>
      <c r="H853" s="5">
        <f t="shared" si="534"/>
        <v>0</v>
      </c>
      <c r="I853" s="5"/>
      <c r="J853" s="5"/>
      <c r="K853" s="4">
        <f t="shared" si="535"/>
        <v>0</v>
      </c>
      <c r="L853" s="4"/>
      <c r="M853" s="4"/>
      <c r="N853" s="4">
        <f t="shared" si="536"/>
        <v>0</v>
      </c>
      <c r="O853" s="4"/>
      <c r="P853" s="3">
        <v>10000</v>
      </c>
      <c r="Q853" s="3"/>
      <c r="R853" s="3"/>
      <c r="S853" s="3">
        <f t="shared" si="537"/>
        <v>10000</v>
      </c>
      <c r="T853" s="3">
        <v>10000</v>
      </c>
      <c r="U853" s="3">
        <f t="shared" si="538"/>
        <v>0</v>
      </c>
      <c r="V853" s="3"/>
      <c r="W853" s="3">
        <f t="shared" si="539"/>
        <v>10000</v>
      </c>
      <c r="X853" s="3"/>
      <c r="Y853" s="3">
        <v>10000</v>
      </c>
      <c r="Z853" s="3">
        <f t="shared" si="540"/>
        <v>0</v>
      </c>
      <c r="AA853" s="3"/>
      <c r="AB853" s="3"/>
      <c r="AC853" s="3">
        <v>0</v>
      </c>
      <c r="AD853" s="3">
        <f t="shared" si="541"/>
        <v>0</v>
      </c>
      <c r="AE853" s="3">
        <v>0</v>
      </c>
      <c r="AF853" s="3">
        <f t="shared" si="542"/>
        <v>-10000</v>
      </c>
      <c r="AG853" s="4"/>
      <c r="AH853" s="4">
        <f>P853*1.03</f>
        <v>10300</v>
      </c>
      <c r="AI853" s="4"/>
      <c r="AJ853" s="3"/>
      <c r="AK853" s="3">
        <f t="shared" si="543"/>
        <v>10300</v>
      </c>
      <c r="AL853" s="3">
        <v>10300</v>
      </c>
      <c r="AM853" s="3">
        <f t="shared" si="544"/>
        <v>0</v>
      </c>
      <c r="AN853" s="4"/>
      <c r="AO853" s="3">
        <f>AH853*1.0281</f>
        <v>10589.43</v>
      </c>
      <c r="AP853" s="3"/>
      <c r="AQ853" s="3">
        <f>AO853*1.0281</f>
        <v>10886.992983</v>
      </c>
      <c r="AR853" s="3"/>
      <c r="AS853" s="3">
        <f>AQ853*1.0281</f>
        <v>11192.9174858223</v>
      </c>
      <c r="AT853" s="3"/>
      <c r="AU853" s="3">
        <f>AS853*1.0281</f>
        <v>11507.438467173906</v>
      </c>
      <c r="AV853" s="42"/>
      <c r="AW853" s="3">
        <f>AU853*1.0281</f>
        <v>11830.797488101492</v>
      </c>
      <c r="AX853" s="42"/>
      <c r="AY853" s="3">
        <f>AW853*1.0281</f>
        <v>12163.242897517144</v>
      </c>
      <c r="AZ853" s="42"/>
      <c r="BA853" s="3">
        <f>AY853*1.0281</f>
        <v>12505.030022937377</v>
      </c>
      <c r="BB853" s="42"/>
      <c r="BC853" s="3">
        <f>BA853*1.0281</f>
        <v>12856.421366581917</v>
      </c>
      <c r="BD853" s="42"/>
      <c r="BE853" s="3">
        <f>BC853*1.0281</f>
        <v>13217.686806982869</v>
      </c>
    </row>
    <row r="854" spans="1:57" hidden="1" x14ac:dyDescent="0.25">
      <c r="A854" s="3" t="s">
        <v>614</v>
      </c>
      <c r="B854" s="3">
        <v>250000</v>
      </c>
      <c r="E854" s="3">
        <f t="shared" si="533"/>
        <v>266000</v>
      </c>
      <c r="F854" s="5">
        <v>266000</v>
      </c>
      <c r="H854" s="5">
        <f t="shared" si="534"/>
        <v>16000</v>
      </c>
      <c r="K854" s="4">
        <f t="shared" si="535"/>
        <v>266000</v>
      </c>
      <c r="L854" s="4">
        <v>266000</v>
      </c>
      <c r="N854" s="4">
        <f t="shared" si="536"/>
        <v>0</v>
      </c>
      <c r="P854" s="3"/>
      <c r="Q854" s="3"/>
      <c r="R854" s="3"/>
      <c r="S854" s="3">
        <f t="shared" si="537"/>
        <v>0</v>
      </c>
      <c r="T854" s="3"/>
      <c r="U854" s="3">
        <f t="shared" si="538"/>
        <v>0</v>
      </c>
      <c r="V854" s="3"/>
      <c r="W854" s="3">
        <f t="shared" si="539"/>
        <v>0</v>
      </c>
      <c r="X854" s="3"/>
      <c r="Y854" s="3"/>
      <c r="Z854" s="3">
        <f t="shared" si="540"/>
        <v>0</v>
      </c>
      <c r="AA854" s="3"/>
      <c r="AB854" s="3"/>
      <c r="AC854" s="3"/>
      <c r="AD854" s="3">
        <f t="shared" si="541"/>
        <v>0</v>
      </c>
      <c r="AE854" s="3"/>
      <c r="AF854" s="3">
        <f t="shared" si="542"/>
        <v>0</v>
      </c>
      <c r="AG854" s="4"/>
      <c r="AH854" s="4"/>
      <c r="AJ854" s="3"/>
      <c r="AK854" s="3">
        <f t="shared" si="543"/>
        <v>0</v>
      </c>
      <c r="AL854" s="3"/>
      <c r="AM854" s="3">
        <f t="shared" si="544"/>
        <v>0</v>
      </c>
      <c r="AO854" s="3"/>
      <c r="AP854" s="3"/>
      <c r="AQ854" s="3"/>
      <c r="AR854" s="3"/>
      <c r="AS854" s="3"/>
      <c r="AT854" s="3"/>
      <c r="AU854" s="3">
        <v>135000</v>
      </c>
      <c r="AV854" s="42"/>
      <c r="AW854" s="3"/>
      <c r="AX854" s="42"/>
      <c r="AY854" s="3"/>
      <c r="AZ854" s="42"/>
      <c r="BA854" s="3"/>
      <c r="BB854" s="42"/>
      <c r="BC854" s="3"/>
      <c r="BD854" s="42"/>
      <c r="BE854" s="3">
        <v>135000</v>
      </c>
    </row>
    <row r="855" spans="1:57" s="77" customFormat="1" hidden="1" x14ac:dyDescent="0.25">
      <c r="A855" s="3" t="s">
        <v>615</v>
      </c>
      <c r="B855" s="3"/>
      <c r="C855" s="3"/>
      <c r="D855" s="29"/>
      <c r="E855" s="3">
        <f t="shared" si="533"/>
        <v>0</v>
      </c>
      <c r="F855" s="29"/>
      <c r="G855" s="3"/>
      <c r="H855" s="5">
        <f t="shared" si="534"/>
        <v>0</v>
      </c>
      <c r="I855" s="5"/>
      <c r="J855" s="5"/>
      <c r="K855" s="4">
        <f t="shared" si="535"/>
        <v>0</v>
      </c>
      <c r="L855" s="4"/>
      <c r="M855" s="4"/>
      <c r="N855" s="4">
        <f t="shared" si="536"/>
        <v>0</v>
      </c>
      <c r="O855" s="4"/>
      <c r="P855" s="3"/>
      <c r="Q855" s="3"/>
      <c r="R855" s="3"/>
      <c r="S855" s="3">
        <f t="shared" si="537"/>
        <v>0</v>
      </c>
      <c r="T855" s="3"/>
      <c r="U855" s="3">
        <f t="shared" si="538"/>
        <v>0</v>
      </c>
      <c r="V855" s="3"/>
      <c r="W855" s="3">
        <f t="shared" si="539"/>
        <v>0</v>
      </c>
      <c r="X855" s="3"/>
      <c r="Y855" s="3"/>
      <c r="Z855" s="3">
        <f t="shared" si="540"/>
        <v>0</v>
      </c>
      <c r="AA855" s="3"/>
      <c r="AB855" s="3"/>
      <c r="AC855" s="3"/>
      <c r="AD855" s="3">
        <f t="shared" si="541"/>
        <v>0</v>
      </c>
      <c r="AE855" s="3"/>
      <c r="AF855" s="3">
        <f t="shared" si="542"/>
        <v>0</v>
      </c>
      <c r="AG855" s="4"/>
      <c r="AH855" s="4"/>
      <c r="AI855" s="4"/>
      <c r="AJ855" s="3"/>
      <c r="AK855" s="3">
        <f t="shared" si="543"/>
        <v>0</v>
      </c>
      <c r="AL855" s="3"/>
      <c r="AM855" s="3">
        <f t="shared" si="544"/>
        <v>0</v>
      </c>
      <c r="AN855" s="4"/>
      <c r="AO855" s="3"/>
      <c r="AP855" s="3"/>
      <c r="AQ855" s="3"/>
      <c r="AR855" s="3"/>
      <c r="AS855" s="3"/>
      <c r="AT855" s="3"/>
      <c r="AU855" s="3"/>
      <c r="AV855" s="42"/>
      <c r="AW855" s="3"/>
      <c r="AX855" s="42"/>
      <c r="AY855" s="3"/>
      <c r="AZ855" s="42"/>
      <c r="BA855" s="3"/>
      <c r="BB855" s="42"/>
      <c r="BC855" s="3"/>
      <c r="BD855" s="42"/>
      <c r="BE855" s="3"/>
    </row>
    <row r="856" spans="1:57" hidden="1" x14ac:dyDescent="0.25">
      <c r="A856" s="78" t="s">
        <v>616</v>
      </c>
      <c r="B856" s="3"/>
      <c r="E856" s="3">
        <f t="shared" si="533"/>
        <v>0</v>
      </c>
      <c r="H856" s="5">
        <f t="shared" si="534"/>
        <v>0</v>
      </c>
      <c r="K856" s="4">
        <f t="shared" si="535"/>
        <v>0</v>
      </c>
      <c r="L856" s="4"/>
      <c r="N856" s="4">
        <f t="shared" si="536"/>
        <v>0</v>
      </c>
      <c r="P856" s="3"/>
      <c r="Q856" s="3"/>
      <c r="R856" s="3"/>
      <c r="S856" s="3">
        <f t="shared" si="537"/>
        <v>0</v>
      </c>
      <c r="T856" s="3"/>
      <c r="U856" s="3">
        <f t="shared" si="538"/>
        <v>0</v>
      </c>
      <c r="V856" s="3"/>
      <c r="W856" s="3">
        <f t="shared" si="539"/>
        <v>0</v>
      </c>
      <c r="X856" s="3"/>
      <c r="Y856" s="3"/>
      <c r="Z856" s="3">
        <f t="shared" si="540"/>
        <v>0</v>
      </c>
      <c r="AA856" s="3"/>
      <c r="AB856" s="3"/>
      <c r="AC856" s="3"/>
      <c r="AD856" s="3">
        <f t="shared" si="541"/>
        <v>0</v>
      </c>
      <c r="AE856" s="3"/>
      <c r="AF856" s="3">
        <f t="shared" si="542"/>
        <v>0</v>
      </c>
      <c r="AG856" s="4"/>
      <c r="AH856" s="4"/>
      <c r="AJ856" s="3"/>
      <c r="AK856" s="3">
        <f t="shared" si="543"/>
        <v>0</v>
      </c>
      <c r="AL856" s="3"/>
      <c r="AM856" s="3">
        <f t="shared" si="544"/>
        <v>0</v>
      </c>
      <c r="AO856" s="3">
        <v>2000</v>
      </c>
      <c r="AP856" s="3"/>
      <c r="AQ856" s="3">
        <v>2000</v>
      </c>
      <c r="AR856" s="3"/>
      <c r="AS856" s="3"/>
      <c r="AT856" s="3"/>
      <c r="AU856" s="3">
        <v>2000</v>
      </c>
      <c r="AV856" s="42"/>
      <c r="AW856" s="3"/>
      <c r="AX856" s="42"/>
      <c r="AY856" s="3">
        <v>2000</v>
      </c>
      <c r="AZ856" s="42"/>
      <c r="BA856" s="3"/>
      <c r="BB856" s="42"/>
      <c r="BC856" s="3">
        <v>2000</v>
      </c>
      <c r="BD856" s="42"/>
      <c r="BE856" s="3">
        <v>2000</v>
      </c>
    </row>
    <row r="857" spans="1:57" s="77" customFormat="1" hidden="1" x14ac:dyDescent="0.25">
      <c r="A857" s="3" t="s">
        <v>617</v>
      </c>
      <c r="B857" s="3"/>
      <c r="C857" s="3"/>
      <c r="D857" s="29"/>
      <c r="E857" s="3">
        <f t="shared" si="533"/>
        <v>0</v>
      </c>
      <c r="F857" s="29"/>
      <c r="G857" s="3"/>
      <c r="H857" s="5">
        <f t="shared" si="534"/>
        <v>0</v>
      </c>
      <c r="I857" s="5"/>
      <c r="J857" s="5"/>
      <c r="K857" s="4">
        <f t="shared" si="535"/>
        <v>0</v>
      </c>
      <c r="L857" s="4"/>
      <c r="M857" s="4"/>
      <c r="N857" s="4">
        <f t="shared" si="536"/>
        <v>0</v>
      </c>
      <c r="O857" s="4"/>
      <c r="P857" s="3"/>
      <c r="Q857" s="3"/>
      <c r="R857" s="3"/>
      <c r="S857" s="3">
        <f t="shared" si="537"/>
        <v>0</v>
      </c>
      <c r="T857" s="3"/>
      <c r="U857" s="3">
        <f t="shared" si="538"/>
        <v>0</v>
      </c>
      <c r="V857" s="3"/>
      <c r="W857" s="3">
        <f t="shared" si="539"/>
        <v>0</v>
      </c>
      <c r="X857" s="3"/>
      <c r="Y857" s="3"/>
      <c r="Z857" s="3">
        <f t="shared" si="540"/>
        <v>0</v>
      </c>
      <c r="AA857" s="3"/>
      <c r="AB857" s="3"/>
      <c r="AC857" s="3"/>
      <c r="AD857" s="3">
        <f t="shared" si="541"/>
        <v>0</v>
      </c>
      <c r="AE857" s="3"/>
      <c r="AF857" s="3">
        <f t="shared" si="542"/>
        <v>0</v>
      </c>
      <c r="AG857" s="4"/>
      <c r="AH857" s="4"/>
      <c r="AI857" s="4"/>
      <c r="AJ857" s="3"/>
      <c r="AK857" s="3">
        <f t="shared" si="543"/>
        <v>0</v>
      </c>
      <c r="AL857" s="3"/>
      <c r="AM857" s="3">
        <f t="shared" si="544"/>
        <v>0</v>
      </c>
      <c r="AN857" s="4"/>
      <c r="AO857" s="3"/>
      <c r="AP857" s="3"/>
      <c r="AQ857" s="3"/>
      <c r="AR857" s="3"/>
      <c r="AS857" s="3"/>
      <c r="AT857" s="3"/>
      <c r="AU857" s="3"/>
      <c r="AV857" s="42"/>
      <c r="AW857" s="3"/>
      <c r="AX857" s="42"/>
      <c r="AY857" s="3"/>
      <c r="AZ857" s="42"/>
      <c r="BA857" s="3"/>
      <c r="BB857" s="42"/>
      <c r="BC857" s="3"/>
      <c r="BD857" s="42"/>
      <c r="BE857" s="3"/>
    </row>
    <row r="858" spans="1:57" s="77" customFormat="1" hidden="1" x14ac:dyDescent="0.25">
      <c r="A858" s="3" t="s">
        <v>618</v>
      </c>
      <c r="B858" s="3">
        <v>10000</v>
      </c>
      <c r="C858" s="3"/>
      <c r="D858" s="29"/>
      <c r="E858" s="3">
        <f t="shared" si="533"/>
        <v>10000</v>
      </c>
      <c r="F858" s="29">
        <v>10000</v>
      </c>
      <c r="G858" s="3"/>
      <c r="H858" s="5">
        <f t="shared" si="534"/>
        <v>0</v>
      </c>
      <c r="I858" s="5"/>
      <c r="J858" s="5">
        <v>9090</v>
      </c>
      <c r="K858" s="4">
        <f t="shared" si="535"/>
        <v>0</v>
      </c>
      <c r="L858" s="4">
        <v>9090</v>
      </c>
      <c r="M858" s="4"/>
      <c r="N858" s="4">
        <f t="shared" si="536"/>
        <v>-910</v>
      </c>
      <c r="O858" s="4"/>
      <c r="P858" s="3"/>
      <c r="Q858" s="3"/>
      <c r="R858" s="3"/>
      <c r="S858" s="3">
        <f t="shared" si="537"/>
        <v>0</v>
      </c>
      <c r="T858" s="3"/>
      <c r="U858" s="3">
        <f t="shared" si="538"/>
        <v>0</v>
      </c>
      <c r="V858" s="3"/>
      <c r="W858" s="3">
        <f t="shared" si="539"/>
        <v>0</v>
      </c>
      <c r="X858" s="3"/>
      <c r="Y858" s="3"/>
      <c r="Z858" s="3">
        <f t="shared" si="540"/>
        <v>0</v>
      </c>
      <c r="AA858" s="3"/>
      <c r="AB858" s="3"/>
      <c r="AC858" s="3"/>
      <c r="AD858" s="3">
        <f t="shared" si="541"/>
        <v>0</v>
      </c>
      <c r="AE858" s="3"/>
      <c r="AF858" s="3">
        <f t="shared" si="542"/>
        <v>0</v>
      </c>
      <c r="AG858" s="4"/>
      <c r="AH858" s="4"/>
      <c r="AI858" s="4"/>
      <c r="AJ858" s="3"/>
      <c r="AK858" s="3">
        <f t="shared" si="543"/>
        <v>0</v>
      </c>
      <c r="AL858" s="3"/>
      <c r="AM858" s="3">
        <f t="shared" si="544"/>
        <v>0</v>
      </c>
      <c r="AN858" s="4"/>
      <c r="AO858" s="3">
        <v>2500</v>
      </c>
      <c r="AP858" s="3"/>
      <c r="AQ858" s="3"/>
      <c r="AR858" s="3"/>
      <c r="AS858" s="3"/>
      <c r="AT858" s="3"/>
      <c r="AU858" s="3"/>
      <c r="AV858" s="42"/>
      <c r="AW858" s="3"/>
      <c r="AX858" s="42"/>
      <c r="AY858" s="3"/>
      <c r="AZ858" s="42"/>
      <c r="BA858" s="3"/>
      <c r="BB858" s="42"/>
      <c r="BC858" s="3"/>
      <c r="BD858" s="42"/>
      <c r="BE858" s="3"/>
    </row>
    <row r="859" spans="1:57" hidden="1" x14ac:dyDescent="0.25">
      <c r="A859" s="3" t="s">
        <v>619</v>
      </c>
      <c r="B859" s="3"/>
      <c r="E859" s="3">
        <f t="shared" si="533"/>
        <v>0</v>
      </c>
      <c r="H859" s="5">
        <f t="shared" si="534"/>
        <v>0</v>
      </c>
      <c r="K859" s="4">
        <f t="shared" si="535"/>
        <v>0</v>
      </c>
      <c r="L859" s="4"/>
      <c r="N859" s="4">
        <f t="shared" si="536"/>
        <v>0</v>
      </c>
      <c r="P859" s="3">
        <v>10000</v>
      </c>
      <c r="Q859" s="3"/>
      <c r="R859" s="3"/>
      <c r="S859" s="3">
        <f t="shared" si="537"/>
        <v>5000</v>
      </c>
      <c r="T859" s="3">
        <v>5000</v>
      </c>
      <c r="U859" s="3">
        <f t="shared" si="538"/>
        <v>-5000</v>
      </c>
      <c r="V859" s="3"/>
      <c r="W859" s="3">
        <f t="shared" si="539"/>
        <v>5000</v>
      </c>
      <c r="X859" s="3"/>
      <c r="Y859" s="3">
        <v>5000</v>
      </c>
      <c r="Z859" s="3">
        <f t="shared" si="540"/>
        <v>0</v>
      </c>
      <c r="AA859" s="3"/>
      <c r="AB859" s="3"/>
      <c r="AC859" s="3"/>
      <c r="AD859" s="3">
        <f t="shared" si="541"/>
        <v>5000</v>
      </c>
      <c r="AE859" s="3">
        <v>5000</v>
      </c>
      <c r="AF859" s="3">
        <f t="shared" si="542"/>
        <v>0</v>
      </c>
      <c r="AG859" s="4"/>
      <c r="AH859" s="4"/>
      <c r="AJ859" s="3"/>
      <c r="AK859" s="3">
        <f t="shared" si="543"/>
        <v>0</v>
      </c>
      <c r="AL859" s="3"/>
      <c r="AM859" s="3">
        <f t="shared" si="544"/>
        <v>0</v>
      </c>
      <c r="AO859" s="3">
        <v>10000</v>
      </c>
      <c r="AP859" s="3"/>
      <c r="AQ859" s="3"/>
      <c r="AR859" s="3"/>
      <c r="AS859" s="3"/>
      <c r="AT859" s="3"/>
      <c r="AU859" s="3"/>
      <c r="AV859" s="42"/>
      <c r="AW859" s="3"/>
      <c r="AX859" s="42"/>
      <c r="AY859" s="3"/>
      <c r="AZ859" s="42"/>
      <c r="BA859" s="3"/>
      <c r="BB859" s="42"/>
      <c r="BC859" s="3"/>
      <c r="BD859" s="42"/>
      <c r="BE859" s="3"/>
    </row>
    <row r="860" spans="1:57" s="77" customFormat="1" hidden="1" x14ac:dyDescent="0.25">
      <c r="A860" s="3" t="s">
        <v>620</v>
      </c>
      <c r="B860" s="3"/>
      <c r="C860" s="3"/>
      <c r="D860" s="29"/>
      <c r="E860" s="3">
        <f t="shared" si="533"/>
        <v>0</v>
      </c>
      <c r="F860" s="29"/>
      <c r="G860" s="3"/>
      <c r="H860" s="5">
        <f t="shared" si="534"/>
        <v>0</v>
      </c>
      <c r="I860" s="5"/>
      <c r="J860" s="5"/>
      <c r="K860" s="4">
        <f t="shared" si="535"/>
        <v>0</v>
      </c>
      <c r="L860" s="4"/>
      <c r="M860" s="4"/>
      <c r="N860" s="4">
        <f t="shared" si="536"/>
        <v>0</v>
      </c>
      <c r="O860" s="4"/>
      <c r="P860" s="3"/>
      <c r="Q860" s="3"/>
      <c r="R860" s="3"/>
      <c r="S860" s="3">
        <f t="shared" si="537"/>
        <v>0</v>
      </c>
      <c r="T860" s="3"/>
      <c r="U860" s="3">
        <f t="shared" si="538"/>
        <v>0</v>
      </c>
      <c r="V860" s="3"/>
      <c r="W860" s="3">
        <f t="shared" si="539"/>
        <v>0</v>
      </c>
      <c r="X860" s="3"/>
      <c r="Y860" s="3"/>
      <c r="Z860" s="3">
        <f t="shared" si="540"/>
        <v>0</v>
      </c>
      <c r="AA860" s="3"/>
      <c r="AB860" s="3"/>
      <c r="AC860" s="3"/>
      <c r="AD860" s="3">
        <f t="shared" si="541"/>
        <v>0</v>
      </c>
      <c r="AE860" s="3"/>
      <c r="AF860" s="3">
        <f t="shared" si="542"/>
        <v>0</v>
      </c>
      <c r="AG860" s="4"/>
      <c r="AH860" s="4"/>
      <c r="AI860" s="4"/>
      <c r="AJ860" s="3"/>
      <c r="AK860" s="3">
        <f t="shared" si="543"/>
        <v>0</v>
      </c>
      <c r="AL860" s="3"/>
      <c r="AM860" s="3">
        <f t="shared" si="544"/>
        <v>0</v>
      </c>
      <c r="AN860" s="4"/>
      <c r="AO860" s="3">
        <v>10000</v>
      </c>
      <c r="AP860" s="3"/>
      <c r="AQ860" s="3"/>
      <c r="AR860" s="3"/>
      <c r="AS860" s="3"/>
      <c r="AT860" s="3"/>
      <c r="AU860" s="3"/>
      <c r="AV860" s="42"/>
      <c r="AW860" s="3"/>
      <c r="AX860" s="42"/>
      <c r="AY860" s="3"/>
      <c r="AZ860" s="42"/>
      <c r="BA860" s="3"/>
      <c r="BB860" s="42"/>
      <c r="BC860" s="3"/>
      <c r="BD860" s="42"/>
      <c r="BE860" s="3"/>
    </row>
    <row r="861" spans="1:57" hidden="1" x14ac:dyDescent="0.25">
      <c r="A861" s="3" t="s">
        <v>621</v>
      </c>
      <c r="B861" s="3">
        <v>10000</v>
      </c>
      <c r="E861" s="3">
        <f t="shared" si="533"/>
        <v>10000</v>
      </c>
      <c r="F861" s="5">
        <v>10000</v>
      </c>
      <c r="H861" s="5">
        <f t="shared" si="534"/>
        <v>0</v>
      </c>
      <c r="K861" s="4">
        <f t="shared" si="535"/>
        <v>10000</v>
      </c>
      <c r="L861" s="4">
        <v>10000</v>
      </c>
      <c r="N861" s="4">
        <f t="shared" si="536"/>
        <v>0</v>
      </c>
      <c r="P861" s="3">
        <v>15000</v>
      </c>
      <c r="Q861" s="3"/>
      <c r="R861" s="3"/>
      <c r="S861" s="3">
        <f t="shared" si="537"/>
        <v>5000</v>
      </c>
      <c r="T861" s="3">
        <v>5000</v>
      </c>
      <c r="U861" s="3">
        <f t="shared" si="538"/>
        <v>-10000</v>
      </c>
      <c r="V861" s="3"/>
      <c r="W861" s="3">
        <f t="shared" si="539"/>
        <v>10000</v>
      </c>
      <c r="X861" s="3"/>
      <c r="Y861" s="3">
        <v>10000</v>
      </c>
      <c r="Z861" s="3">
        <f t="shared" si="540"/>
        <v>5000</v>
      </c>
      <c r="AA861" s="3"/>
      <c r="AB861" s="3"/>
      <c r="AC861" s="3"/>
      <c r="AD861" s="3">
        <f t="shared" si="541"/>
        <v>10000</v>
      </c>
      <c r="AE861" s="3">
        <v>10000</v>
      </c>
      <c r="AF861" s="3">
        <f t="shared" si="542"/>
        <v>0</v>
      </c>
      <c r="AG861" s="4"/>
      <c r="AH861" s="4"/>
      <c r="AJ861" s="3"/>
      <c r="AK861" s="3">
        <f t="shared" si="543"/>
        <v>0</v>
      </c>
      <c r="AL861" s="3"/>
      <c r="AM861" s="3">
        <f t="shared" si="544"/>
        <v>0</v>
      </c>
      <c r="AO861" s="3"/>
      <c r="AP861" s="3"/>
      <c r="AQ861" s="3"/>
      <c r="AR861" s="3"/>
      <c r="AS861" s="3"/>
      <c r="AT861" s="3"/>
      <c r="AU861" s="3"/>
      <c r="AV861" s="42"/>
      <c r="AW861" s="3"/>
      <c r="AX861" s="42"/>
      <c r="AY861" s="3"/>
      <c r="AZ861" s="42"/>
      <c r="BA861" s="3"/>
      <c r="BB861" s="42"/>
      <c r="BC861" s="3"/>
      <c r="BD861" s="42"/>
      <c r="BE861" s="3"/>
    </row>
    <row r="862" spans="1:57" hidden="1" x14ac:dyDescent="0.25">
      <c r="A862" s="3" t="s">
        <v>622</v>
      </c>
      <c r="B862" s="3">
        <v>10000</v>
      </c>
      <c r="E862" s="3">
        <f t="shared" si="533"/>
        <v>10000</v>
      </c>
      <c r="F862" s="5">
        <v>10000</v>
      </c>
      <c r="H862" s="5">
        <f t="shared" si="534"/>
        <v>0</v>
      </c>
      <c r="K862" s="4">
        <f t="shared" si="535"/>
        <v>10000</v>
      </c>
      <c r="L862" s="4">
        <v>10000</v>
      </c>
      <c r="N862" s="4">
        <f t="shared" si="536"/>
        <v>0</v>
      </c>
      <c r="P862" s="3">
        <v>10000</v>
      </c>
      <c r="Q862" s="3"/>
      <c r="R862" s="3"/>
      <c r="S862" s="3">
        <f t="shared" si="537"/>
        <v>5000</v>
      </c>
      <c r="T862" s="3">
        <v>5000</v>
      </c>
      <c r="U862" s="3">
        <f t="shared" si="538"/>
        <v>-5000</v>
      </c>
      <c r="V862" s="3">
        <v>2940</v>
      </c>
      <c r="W862" s="3">
        <f t="shared" si="539"/>
        <v>60</v>
      </c>
      <c r="X862" s="3"/>
      <c r="Y862" s="3">
        <v>3000</v>
      </c>
      <c r="Z862" s="3">
        <f t="shared" si="540"/>
        <v>-2000</v>
      </c>
      <c r="AA862" s="3"/>
      <c r="AB862" s="3"/>
      <c r="AC862" s="3">
        <v>2940</v>
      </c>
      <c r="AD862" s="3">
        <f t="shared" si="541"/>
        <v>60</v>
      </c>
      <c r="AE862" s="3">
        <v>3000</v>
      </c>
      <c r="AF862" s="3">
        <f t="shared" si="542"/>
        <v>0</v>
      </c>
      <c r="AG862" s="4"/>
      <c r="AH862" s="4"/>
      <c r="AJ862" s="3"/>
      <c r="AK862" s="3">
        <f t="shared" si="543"/>
        <v>0</v>
      </c>
      <c r="AL862" s="3"/>
      <c r="AM862" s="3">
        <f t="shared" si="544"/>
        <v>0</v>
      </c>
      <c r="AO862" s="3"/>
      <c r="AP862" s="3"/>
      <c r="AQ862" s="3"/>
      <c r="AR862" s="3"/>
      <c r="AS862" s="3"/>
      <c r="AT862" s="3"/>
      <c r="AU862" s="3"/>
      <c r="AV862" s="42"/>
      <c r="AW862" s="3"/>
      <c r="AX862" s="42"/>
      <c r="AY862" s="3"/>
      <c r="AZ862" s="42"/>
      <c r="BA862" s="3"/>
      <c r="BB862" s="42"/>
      <c r="BC862" s="3"/>
      <c r="BD862" s="42"/>
      <c r="BE862" s="3"/>
    </row>
    <row r="863" spans="1:57" hidden="1" x14ac:dyDescent="0.25">
      <c r="A863" s="3" t="s">
        <v>623</v>
      </c>
      <c r="B863" s="3">
        <v>5500</v>
      </c>
      <c r="E863" s="3">
        <f t="shared" si="533"/>
        <v>5500</v>
      </c>
      <c r="F863" s="5">
        <v>5500</v>
      </c>
      <c r="H863" s="5">
        <f t="shared" si="534"/>
        <v>0</v>
      </c>
      <c r="K863" s="4">
        <f t="shared" si="535"/>
        <v>5500</v>
      </c>
      <c r="L863" s="4">
        <v>5500</v>
      </c>
      <c r="N863" s="4">
        <f t="shared" si="536"/>
        <v>0</v>
      </c>
      <c r="P863" s="3"/>
      <c r="Q863" s="3"/>
      <c r="R863" s="3"/>
      <c r="S863" s="3">
        <f t="shared" si="537"/>
        <v>0</v>
      </c>
      <c r="T863" s="3"/>
      <c r="U863" s="3">
        <f t="shared" si="538"/>
        <v>0</v>
      </c>
      <c r="V863" s="3"/>
      <c r="W863" s="3">
        <f t="shared" si="539"/>
        <v>0</v>
      </c>
      <c r="X863" s="3"/>
      <c r="Y863" s="3"/>
      <c r="Z863" s="3">
        <f t="shared" si="540"/>
        <v>0</v>
      </c>
      <c r="AA863" s="3"/>
      <c r="AB863" s="3"/>
      <c r="AC863" s="3"/>
      <c r="AD863" s="3">
        <f t="shared" si="541"/>
        <v>0</v>
      </c>
      <c r="AE863" s="3"/>
      <c r="AF863" s="3">
        <f t="shared" si="542"/>
        <v>0</v>
      </c>
      <c r="AG863" s="4"/>
      <c r="AH863" s="4"/>
      <c r="AJ863" s="3"/>
      <c r="AK863" s="3">
        <f t="shared" si="543"/>
        <v>0</v>
      </c>
      <c r="AL863" s="3"/>
      <c r="AM863" s="3">
        <f t="shared" si="544"/>
        <v>0</v>
      </c>
      <c r="AO863" s="3"/>
      <c r="AP863" s="3"/>
      <c r="AQ863" s="3"/>
      <c r="AR863" s="3"/>
      <c r="AS863" s="3"/>
      <c r="AT863" s="3"/>
      <c r="AU863" s="3"/>
      <c r="AV863" s="42"/>
      <c r="AW863" s="3"/>
      <c r="AX863" s="42"/>
      <c r="AY863" s="3"/>
      <c r="AZ863" s="42"/>
      <c r="BA863" s="3"/>
      <c r="BB863" s="42"/>
      <c r="BC863" s="3"/>
      <c r="BD863" s="42"/>
      <c r="BE863" s="3"/>
    </row>
    <row r="864" spans="1:57" s="77" customFormat="1" hidden="1" x14ac:dyDescent="0.25">
      <c r="A864" s="3" t="s">
        <v>624</v>
      </c>
      <c r="B864" s="3"/>
      <c r="C864" s="3"/>
      <c r="D864" s="29"/>
      <c r="E864" s="3">
        <f t="shared" si="533"/>
        <v>0</v>
      </c>
      <c r="F864" s="29"/>
      <c r="G864" s="3"/>
      <c r="H864" s="5">
        <f t="shared" si="534"/>
        <v>0</v>
      </c>
      <c r="I864" s="5"/>
      <c r="J864" s="5"/>
      <c r="K864" s="4">
        <f t="shared" si="535"/>
        <v>0</v>
      </c>
      <c r="L864" s="4"/>
      <c r="M864" s="4"/>
      <c r="N864" s="4">
        <f t="shared" si="536"/>
        <v>0</v>
      </c>
      <c r="O864" s="4"/>
      <c r="P864" s="3"/>
      <c r="Q864" s="3"/>
      <c r="R864" s="3"/>
      <c r="S864" s="3">
        <f t="shared" si="537"/>
        <v>0</v>
      </c>
      <c r="T864" s="3"/>
      <c r="U864" s="3">
        <f t="shared" si="538"/>
        <v>0</v>
      </c>
      <c r="V864" s="3"/>
      <c r="W864" s="3">
        <f t="shared" si="539"/>
        <v>0</v>
      </c>
      <c r="X864" s="3"/>
      <c r="Y864" s="3"/>
      <c r="Z864" s="3">
        <f t="shared" si="540"/>
        <v>0</v>
      </c>
      <c r="AA864" s="3"/>
      <c r="AB864" s="3"/>
      <c r="AC864" s="3"/>
      <c r="AD864" s="3">
        <f t="shared" si="541"/>
        <v>0</v>
      </c>
      <c r="AE864" s="3"/>
      <c r="AF864" s="3">
        <f t="shared" si="542"/>
        <v>0</v>
      </c>
      <c r="AG864" s="4"/>
      <c r="AH864" s="4"/>
      <c r="AI864" s="4"/>
      <c r="AJ864" s="3"/>
      <c r="AK864" s="3">
        <f t="shared" si="543"/>
        <v>0</v>
      </c>
      <c r="AL864" s="3"/>
      <c r="AM864" s="3">
        <f t="shared" si="544"/>
        <v>0</v>
      </c>
      <c r="AN864" s="4"/>
      <c r="AO864" s="3"/>
      <c r="AP864" s="3"/>
      <c r="AQ864" s="3"/>
      <c r="AR864" s="3"/>
      <c r="AS864" s="3">
        <v>25000</v>
      </c>
      <c r="AT864" s="3"/>
      <c r="AU864" s="3"/>
      <c r="AV864" s="42"/>
      <c r="AW864" s="3"/>
      <c r="AX864" s="42"/>
      <c r="AY864" s="3"/>
      <c r="AZ864" s="42"/>
      <c r="BA864" s="3"/>
      <c r="BB864" s="42"/>
      <c r="BC864" s="3"/>
      <c r="BD864" s="42"/>
      <c r="BE864" s="3"/>
    </row>
    <row r="865" spans="1:57" hidden="1" x14ac:dyDescent="0.25">
      <c r="A865" s="3" t="s">
        <v>625</v>
      </c>
      <c r="B865" s="3"/>
      <c r="E865" s="3">
        <f t="shared" si="533"/>
        <v>0</v>
      </c>
      <c r="H865" s="5">
        <f t="shared" si="534"/>
        <v>0</v>
      </c>
      <c r="K865" s="4">
        <f t="shared" si="535"/>
        <v>0</v>
      </c>
      <c r="L865" s="4"/>
      <c r="N865" s="4">
        <f t="shared" si="536"/>
        <v>0</v>
      </c>
      <c r="P865" s="3"/>
      <c r="Q865" s="3"/>
      <c r="R865" s="3"/>
      <c r="S865" s="3">
        <f t="shared" si="537"/>
        <v>0</v>
      </c>
      <c r="T865" s="3"/>
      <c r="U865" s="3">
        <f t="shared" si="538"/>
        <v>0</v>
      </c>
      <c r="V865" s="3"/>
      <c r="W865" s="3">
        <f t="shared" si="539"/>
        <v>0</v>
      </c>
      <c r="X865" s="3"/>
      <c r="Y865" s="3"/>
      <c r="Z865" s="3">
        <f t="shared" si="540"/>
        <v>0</v>
      </c>
      <c r="AA865" s="3"/>
      <c r="AB865" s="3"/>
      <c r="AC865" s="3"/>
      <c r="AD865" s="3">
        <f t="shared" si="541"/>
        <v>0</v>
      </c>
      <c r="AE865" s="3"/>
      <c r="AF865" s="3">
        <f t="shared" si="542"/>
        <v>0</v>
      </c>
      <c r="AG865" s="4"/>
      <c r="AH865" s="4"/>
      <c r="AJ865" s="3"/>
      <c r="AK865" s="3">
        <f t="shared" si="543"/>
        <v>0</v>
      </c>
      <c r="AL865" s="3"/>
      <c r="AM865" s="3">
        <f t="shared" si="544"/>
        <v>0</v>
      </c>
      <c r="AO865" s="3"/>
      <c r="AP865" s="3"/>
      <c r="AQ865" s="3"/>
      <c r="AR865" s="3"/>
      <c r="AS865" s="3"/>
      <c r="AT865" s="3"/>
      <c r="AU865" s="3"/>
      <c r="AV865" s="42"/>
      <c r="AW865" s="3"/>
      <c r="AX865" s="42"/>
      <c r="AY865" s="3"/>
      <c r="AZ865" s="42"/>
      <c r="BA865" s="3"/>
      <c r="BB865" s="42"/>
      <c r="BC865" s="3"/>
      <c r="BD865" s="42"/>
      <c r="BE865" s="3"/>
    </row>
    <row r="866" spans="1:57" s="77" customFormat="1" hidden="1" x14ac:dyDescent="0.25">
      <c r="A866" s="3" t="s">
        <v>626</v>
      </c>
      <c r="B866" s="3"/>
      <c r="C866" s="3"/>
      <c r="D866" s="29"/>
      <c r="E866" s="3">
        <f t="shared" si="533"/>
        <v>0</v>
      </c>
      <c r="F866" s="29"/>
      <c r="G866" s="3"/>
      <c r="H866" s="5">
        <f t="shared" si="534"/>
        <v>0</v>
      </c>
      <c r="I866" s="5"/>
      <c r="J866" s="5"/>
      <c r="K866" s="4">
        <f t="shared" si="535"/>
        <v>0</v>
      </c>
      <c r="L866" s="4"/>
      <c r="M866" s="4"/>
      <c r="N866" s="4">
        <f t="shared" si="536"/>
        <v>0</v>
      </c>
      <c r="O866" s="4"/>
      <c r="P866" s="3"/>
      <c r="Q866" s="3"/>
      <c r="R866" s="3"/>
      <c r="S866" s="3">
        <f t="shared" si="537"/>
        <v>0</v>
      </c>
      <c r="T866" s="3"/>
      <c r="U866" s="3">
        <f t="shared" si="538"/>
        <v>0</v>
      </c>
      <c r="V866" s="3"/>
      <c r="W866" s="3">
        <f t="shared" si="539"/>
        <v>0</v>
      </c>
      <c r="X866" s="3"/>
      <c r="Y866" s="3"/>
      <c r="Z866" s="3">
        <f t="shared" si="540"/>
        <v>0</v>
      </c>
      <c r="AA866" s="3"/>
      <c r="AB866" s="3"/>
      <c r="AC866" s="3"/>
      <c r="AD866" s="3">
        <f t="shared" si="541"/>
        <v>0</v>
      </c>
      <c r="AE866" s="3"/>
      <c r="AF866" s="3">
        <f t="shared" si="542"/>
        <v>0</v>
      </c>
      <c r="AG866" s="4"/>
      <c r="AH866" s="4"/>
      <c r="AI866" s="4"/>
      <c r="AJ866" s="3"/>
      <c r="AK866" s="3">
        <f t="shared" si="543"/>
        <v>0</v>
      </c>
      <c r="AL866" s="3"/>
      <c r="AM866" s="3">
        <f t="shared" si="544"/>
        <v>0</v>
      </c>
      <c r="AN866" s="4"/>
      <c r="AO866" s="3"/>
      <c r="AP866" s="3"/>
      <c r="AQ866" s="3"/>
      <c r="AR866" s="3"/>
      <c r="AS866" s="3"/>
      <c r="AT866" s="3"/>
      <c r="AU866" s="3"/>
      <c r="AV866" s="42"/>
      <c r="AW866" s="3"/>
      <c r="AX866" s="42"/>
      <c r="AY866" s="3"/>
      <c r="AZ866" s="42"/>
      <c r="BA866" s="3"/>
      <c r="BB866" s="42"/>
      <c r="BC866" s="3"/>
      <c r="BD866" s="42"/>
      <c r="BE866" s="3"/>
    </row>
    <row r="867" spans="1:57" s="77" customFormat="1" x14ac:dyDescent="0.25">
      <c r="A867" s="3" t="s">
        <v>627</v>
      </c>
      <c r="B867" s="3"/>
      <c r="C867" s="3"/>
      <c r="D867" s="29"/>
      <c r="E867" s="3"/>
      <c r="F867" s="29"/>
      <c r="G867" s="3"/>
      <c r="H867" s="5"/>
      <c r="I867" s="5"/>
      <c r="J867" s="5"/>
      <c r="K867" s="4"/>
      <c r="L867" s="4"/>
      <c r="M867" s="4"/>
      <c r="N867" s="4"/>
      <c r="O867" s="4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4"/>
      <c r="AH867" s="4">
        <v>25000</v>
      </c>
      <c r="AI867" s="4"/>
      <c r="AJ867" s="3"/>
      <c r="AK867" s="3">
        <f t="shared" si="543"/>
        <v>25000</v>
      </c>
      <c r="AL867" s="3">
        <v>25000</v>
      </c>
      <c r="AM867" s="3">
        <f t="shared" si="544"/>
        <v>0</v>
      </c>
      <c r="AN867" s="4"/>
      <c r="AO867" s="3"/>
      <c r="AP867" s="3"/>
      <c r="AQ867" s="3"/>
      <c r="AR867" s="3"/>
      <c r="AS867" s="3"/>
      <c r="AT867" s="3"/>
      <c r="AU867" s="3"/>
      <c r="AV867" s="42"/>
      <c r="AW867" s="3"/>
      <c r="AX867" s="42"/>
      <c r="AY867" s="3"/>
      <c r="AZ867" s="42"/>
      <c r="BA867" s="3"/>
      <c r="BB867" s="42"/>
      <c r="BC867" s="3"/>
      <c r="BD867" s="42"/>
      <c r="BE867" s="3"/>
    </row>
    <row r="868" spans="1:57" x14ac:dyDescent="0.25">
      <c r="A868" s="3" t="s">
        <v>628</v>
      </c>
      <c r="B868" s="3"/>
      <c r="E868" s="3">
        <f t="shared" si="533"/>
        <v>0</v>
      </c>
      <c r="H868" s="5">
        <f t="shared" si="534"/>
        <v>0</v>
      </c>
      <c r="K868" s="4">
        <f t="shared" si="535"/>
        <v>0</v>
      </c>
      <c r="L868" s="4"/>
      <c r="N868" s="4">
        <f t="shared" si="536"/>
        <v>0</v>
      </c>
      <c r="P868" s="3"/>
      <c r="Q868" s="3"/>
      <c r="R868" s="3"/>
      <c r="S868" s="3">
        <f t="shared" si="537"/>
        <v>0</v>
      </c>
      <c r="T868" s="3"/>
      <c r="U868" s="3">
        <f t="shared" si="538"/>
        <v>0</v>
      </c>
      <c r="V868" s="3"/>
      <c r="W868" s="3">
        <f t="shared" si="539"/>
        <v>0</v>
      </c>
      <c r="X868" s="3"/>
      <c r="Y868" s="3"/>
      <c r="Z868" s="3">
        <f t="shared" si="540"/>
        <v>0</v>
      </c>
      <c r="AA868" s="3"/>
      <c r="AB868" s="3"/>
      <c r="AC868" s="3"/>
      <c r="AD868" s="3">
        <f t="shared" si="541"/>
        <v>0</v>
      </c>
      <c r="AE868" s="3"/>
      <c r="AF868" s="3">
        <f t="shared" si="542"/>
        <v>0</v>
      </c>
      <c r="AG868" s="4"/>
      <c r="AH868" s="4">
        <v>1000</v>
      </c>
      <c r="AJ868" s="3"/>
      <c r="AK868" s="3">
        <f t="shared" si="543"/>
        <v>1000</v>
      </c>
      <c r="AL868" s="3">
        <v>1000</v>
      </c>
      <c r="AM868" s="3">
        <f t="shared" si="544"/>
        <v>0</v>
      </c>
      <c r="AO868" s="3">
        <v>1000</v>
      </c>
      <c r="AP868" s="3"/>
      <c r="AQ868" s="3">
        <v>1000</v>
      </c>
      <c r="AR868" s="3"/>
      <c r="AS868" s="3">
        <v>1000</v>
      </c>
      <c r="AT868" s="3"/>
      <c r="AU868" s="3">
        <v>1000</v>
      </c>
      <c r="AV868" s="42"/>
      <c r="AW868" s="3">
        <v>1000</v>
      </c>
      <c r="AX868" s="3"/>
      <c r="AY868" s="3">
        <v>1000</v>
      </c>
      <c r="AZ868" s="42"/>
      <c r="BA868" s="3">
        <v>1000</v>
      </c>
      <c r="BB868" s="3"/>
      <c r="BC868" s="3">
        <v>1000</v>
      </c>
      <c r="BD868" s="42"/>
      <c r="BE868" s="3">
        <v>1000</v>
      </c>
    </row>
    <row r="869" spans="1:57" hidden="1" x14ac:dyDescent="0.25">
      <c r="A869" s="3"/>
      <c r="B869" s="3"/>
      <c r="E869" s="3"/>
      <c r="K869" s="4"/>
      <c r="L869" s="4"/>
      <c r="N869" s="4"/>
      <c r="P869" s="3"/>
      <c r="Q869" s="3"/>
      <c r="R869" s="3"/>
      <c r="S869" s="3">
        <f t="shared" si="537"/>
        <v>0</v>
      </c>
      <c r="T869" s="3"/>
      <c r="U869" s="3">
        <f t="shared" si="538"/>
        <v>0</v>
      </c>
      <c r="V869" s="3"/>
      <c r="W869" s="3">
        <f t="shared" si="539"/>
        <v>0</v>
      </c>
      <c r="X869" s="3"/>
      <c r="Y869" s="3"/>
      <c r="Z869" s="3">
        <f t="shared" si="540"/>
        <v>0</v>
      </c>
      <c r="AA869" s="3"/>
      <c r="AB869" s="3"/>
      <c r="AC869" s="3"/>
      <c r="AD869" s="3">
        <f t="shared" si="541"/>
        <v>0</v>
      </c>
      <c r="AE869" s="3"/>
      <c r="AF869" s="3">
        <f t="shared" si="542"/>
        <v>0</v>
      </c>
      <c r="AG869" s="4"/>
      <c r="AH869" s="4"/>
      <c r="AJ869" s="3"/>
      <c r="AK869" s="3">
        <f t="shared" si="543"/>
        <v>0</v>
      </c>
      <c r="AL869" s="3"/>
      <c r="AM869" s="3">
        <f t="shared" si="544"/>
        <v>0</v>
      </c>
      <c r="AO869" s="3"/>
      <c r="AP869" s="3"/>
      <c r="AQ869" s="3"/>
      <c r="AR869" s="3"/>
      <c r="AS869" s="3"/>
      <c r="AT869" s="3"/>
      <c r="AU869" s="3"/>
      <c r="AV869" s="42"/>
      <c r="AW869" s="3"/>
      <c r="AX869" s="3"/>
      <c r="AY869" s="3"/>
      <c r="AZ869" s="42"/>
      <c r="BA869" s="3"/>
      <c r="BB869" s="3"/>
      <c r="BC869" s="3"/>
      <c r="BD869" s="42"/>
      <c r="BE869" s="3"/>
    </row>
    <row r="870" spans="1:57" hidden="1" x14ac:dyDescent="0.25">
      <c r="A870" s="3" t="s">
        <v>629</v>
      </c>
      <c r="B870" s="3"/>
      <c r="E870" s="3">
        <f t="shared" si="533"/>
        <v>34000</v>
      </c>
      <c r="F870" s="5">
        <v>34000</v>
      </c>
      <c r="H870" s="5">
        <f t="shared" si="534"/>
        <v>34000</v>
      </c>
      <c r="K870" s="4">
        <f t="shared" si="535"/>
        <v>34000</v>
      </c>
      <c r="L870" s="4">
        <v>34000</v>
      </c>
      <c r="N870" s="4">
        <f t="shared" si="536"/>
        <v>0</v>
      </c>
      <c r="P870" s="3"/>
      <c r="Q870" s="3"/>
      <c r="R870" s="3"/>
      <c r="S870" s="3">
        <f t="shared" si="537"/>
        <v>0</v>
      </c>
      <c r="T870" s="3"/>
      <c r="U870" s="3">
        <f t="shared" si="538"/>
        <v>0</v>
      </c>
      <c r="V870" s="3"/>
      <c r="W870" s="3">
        <f t="shared" si="539"/>
        <v>0</v>
      </c>
      <c r="X870" s="3"/>
      <c r="Y870" s="3"/>
      <c r="Z870" s="3">
        <f t="shared" si="540"/>
        <v>0</v>
      </c>
      <c r="AA870" s="3"/>
      <c r="AB870" s="3"/>
      <c r="AC870" s="3"/>
      <c r="AD870" s="3">
        <f t="shared" si="541"/>
        <v>0</v>
      </c>
      <c r="AE870" s="3"/>
      <c r="AF870" s="3">
        <f t="shared" si="542"/>
        <v>0</v>
      </c>
      <c r="AG870" s="4"/>
      <c r="AH870" s="4"/>
      <c r="AJ870" s="3"/>
      <c r="AK870" s="3">
        <f t="shared" si="543"/>
        <v>0</v>
      </c>
      <c r="AL870" s="3"/>
      <c r="AM870" s="3">
        <f t="shared" si="544"/>
        <v>0</v>
      </c>
      <c r="AO870" s="3"/>
      <c r="AP870" s="3"/>
      <c r="AQ870" s="3"/>
      <c r="AR870" s="3"/>
      <c r="AS870" s="3"/>
      <c r="AT870" s="3"/>
      <c r="AU870" s="3"/>
      <c r="AV870" s="42"/>
      <c r="AW870" s="3"/>
      <c r="AX870" s="42"/>
      <c r="AY870" s="3"/>
      <c r="AZ870" s="42"/>
      <c r="BA870" s="3"/>
      <c r="BB870" s="42"/>
      <c r="BC870" s="3"/>
      <c r="BD870" s="42"/>
      <c r="BE870" s="3"/>
    </row>
    <row r="871" spans="1:57" s="77" customFormat="1" hidden="1" x14ac:dyDescent="0.25">
      <c r="A871" s="3" t="s">
        <v>630</v>
      </c>
      <c r="B871" s="3"/>
      <c r="C871" s="3"/>
      <c r="D871" s="29"/>
      <c r="E871" s="3">
        <f t="shared" si="533"/>
        <v>0</v>
      </c>
      <c r="F871" s="29"/>
      <c r="G871" s="3"/>
      <c r="H871" s="5">
        <f t="shared" si="534"/>
        <v>0</v>
      </c>
      <c r="I871" s="5"/>
      <c r="J871" s="5"/>
      <c r="K871" s="4">
        <f t="shared" si="535"/>
        <v>0</v>
      </c>
      <c r="L871" s="4"/>
      <c r="M871" s="4"/>
      <c r="N871" s="4">
        <f t="shared" si="536"/>
        <v>0</v>
      </c>
      <c r="O871" s="4"/>
      <c r="P871" s="3"/>
      <c r="Q871" s="3"/>
      <c r="R871" s="3"/>
      <c r="S871" s="3">
        <f t="shared" si="537"/>
        <v>0</v>
      </c>
      <c r="T871" s="3"/>
      <c r="U871" s="3">
        <f t="shared" si="538"/>
        <v>0</v>
      </c>
      <c r="V871" s="3"/>
      <c r="W871" s="3">
        <f t="shared" si="539"/>
        <v>0</v>
      </c>
      <c r="X871" s="3"/>
      <c r="Y871" s="3"/>
      <c r="Z871" s="3">
        <f t="shared" si="540"/>
        <v>0</v>
      </c>
      <c r="AA871" s="3"/>
      <c r="AB871" s="3"/>
      <c r="AC871" s="3"/>
      <c r="AD871" s="3">
        <f t="shared" si="541"/>
        <v>0</v>
      </c>
      <c r="AE871" s="3"/>
      <c r="AF871" s="3">
        <f t="shared" si="542"/>
        <v>0</v>
      </c>
      <c r="AG871" s="4"/>
      <c r="AH871" s="4"/>
      <c r="AI871" s="4"/>
      <c r="AJ871" s="3"/>
      <c r="AK871" s="3">
        <f t="shared" si="543"/>
        <v>0</v>
      </c>
      <c r="AL871" s="3"/>
      <c r="AM871" s="3">
        <f t="shared" si="544"/>
        <v>0</v>
      </c>
      <c r="AN871" s="4"/>
      <c r="AO871" s="3"/>
      <c r="AP871" s="3"/>
      <c r="AQ871" s="3"/>
      <c r="AR871" s="3"/>
      <c r="AS871" s="3"/>
      <c r="AT871" s="3"/>
      <c r="AU871" s="3"/>
      <c r="AV871" s="42"/>
      <c r="AW871" s="3"/>
      <c r="AX871" s="42"/>
      <c r="AY871" s="3"/>
      <c r="AZ871" s="42"/>
      <c r="BA871" s="3"/>
      <c r="BB871" s="42"/>
      <c r="BC871" s="3"/>
      <c r="BD871" s="42"/>
      <c r="BE871" s="3"/>
    </row>
    <row r="872" spans="1:57" hidden="1" x14ac:dyDescent="0.25">
      <c r="A872" s="3" t="s">
        <v>631</v>
      </c>
      <c r="B872" s="3"/>
      <c r="E872" s="3">
        <f t="shared" si="533"/>
        <v>0</v>
      </c>
      <c r="H872" s="5">
        <f t="shared" si="534"/>
        <v>0</v>
      </c>
      <c r="K872" s="4">
        <f t="shared" si="535"/>
        <v>0</v>
      </c>
      <c r="L872" s="4"/>
      <c r="N872" s="4">
        <f t="shared" si="536"/>
        <v>0</v>
      </c>
      <c r="P872" s="3">
        <v>5000</v>
      </c>
      <c r="Q872" s="3"/>
      <c r="R872" s="3"/>
      <c r="S872" s="3">
        <f t="shared" si="537"/>
        <v>6200</v>
      </c>
      <c r="T872" s="3">
        <v>6200</v>
      </c>
      <c r="U872" s="3">
        <f t="shared" si="538"/>
        <v>1200</v>
      </c>
      <c r="V872" s="3"/>
      <c r="W872" s="3">
        <f t="shared" si="539"/>
        <v>9900</v>
      </c>
      <c r="X872" s="3"/>
      <c r="Y872" s="3">
        <v>9900</v>
      </c>
      <c r="Z872" s="3">
        <f t="shared" si="540"/>
        <v>3700</v>
      </c>
      <c r="AA872" s="3"/>
      <c r="AB872" s="3"/>
      <c r="AC872" s="3">
        <v>10750</v>
      </c>
      <c r="AD872" s="3">
        <f t="shared" si="541"/>
        <v>0</v>
      </c>
      <c r="AE872" s="3">
        <v>10750</v>
      </c>
      <c r="AF872" s="3">
        <f t="shared" si="542"/>
        <v>850</v>
      </c>
      <c r="AG872" s="4"/>
      <c r="AH872" s="4"/>
      <c r="AJ872" s="3"/>
      <c r="AK872" s="3">
        <f t="shared" si="543"/>
        <v>0</v>
      </c>
      <c r="AL872" s="3"/>
      <c r="AM872" s="3">
        <f t="shared" si="544"/>
        <v>0</v>
      </c>
      <c r="AO872" s="3"/>
      <c r="AP872" s="3"/>
      <c r="AQ872" s="3"/>
      <c r="AR872" s="3"/>
      <c r="AS872" s="3"/>
      <c r="AT872" s="3"/>
      <c r="AU872" s="3"/>
      <c r="AV872" s="42"/>
      <c r="AW872" s="3"/>
      <c r="AX872" s="42"/>
      <c r="AY872" s="3"/>
      <c r="AZ872" s="42"/>
      <c r="BA872" s="3"/>
      <c r="BB872" s="42"/>
      <c r="BC872" s="3"/>
      <c r="BD872" s="42"/>
      <c r="BE872" s="3"/>
    </row>
    <row r="873" spans="1:57" s="77" customFormat="1" hidden="1" x14ac:dyDescent="0.25">
      <c r="A873" s="3" t="s">
        <v>632</v>
      </c>
      <c r="B873" s="3"/>
      <c r="C873" s="3"/>
      <c r="D873" s="29"/>
      <c r="E873" s="3">
        <f t="shared" si="533"/>
        <v>0</v>
      </c>
      <c r="F873" s="29"/>
      <c r="G873" s="3"/>
      <c r="H873" s="5">
        <f t="shared" si="534"/>
        <v>0</v>
      </c>
      <c r="I873" s="5"/>
      <c r="J873" s="5"/>
      <c r="K873" s="4">
        <f t="shared" si="535"/>
        <v>0</v>
      </c>
      <c r="L873" s="4"/>
      <c r="M873" s="4"/>
      <c r="N873" s="4">
        <f t="shared" si="536"/>
        <v>0</v>
      </c>
      <c r="O873" s="4"/>
      <c r="P873" s="3"/>
      <c r="Q873" s="3"/>
      <c r="R873" s="3"/>
      <c r="S873" s="3">
        <f t="shared" si="537"/>
        <v>0</v>
      </c>
      <c r="T873" s="3"/>
      <c r="U873" s="3">
        <f t="shared" si="538"/>
        <v>0</v>
      </c>
      <c r="V873" s="3"/>
      <c r="W873" s="3">
        <f t="shared" si="539"/>
        <v>0</v>
      </c>
      <c r="X873" s="3"/>
      <c r="Y873" s="3"/>
      <c r="Z873" s="3">
        <f t="shared" si="540"/>
        <v>0</v>
      </c>
      <c r="AA873" s="3"/>
      <c r="AB873" s="3"/>
      <c r="AC873" s="3"/>
      <c r="AD873" s="3">
        <f t="shared" si="541"/>
        <v>0</v>
      </c>
      <c r="AE873" s="3"/>
      <c r="AF873" s="3">
        <f t="shared" si="542"/>
        <v>0</v>
      </c>
      <c r="AG873" s="4"/>
      <c r="AH873" s="4"/>
      <c r="AI873" s="4"/>
      <c r="AJ873" s="3"/>
      <c r="AK873" s="3">
        <f t="shared" si="543"/>
        <v>0</v>
      </c>
      <c r="AL873" s="3"/>
      <c r="AM873" s="3">
        <f t="shared" si="544"/>
        <v>0</v>
      </c>
      <c r="AN873" s="4"/>
      <c r="AO873" s="3"/>
      <c r="AP873" s="3"/>
      <c r="AQ873" s="3"/>
      <c r="AR873" s="3"/>
      <c r="AS873" s="3"/>
      <c r="AT873" s="3"/>
      <c r="AU873" s="3"/>
      <c r="AV873" s="42"/>
      <c r="AW873" s="3"/>
      <c r="AX873" s="42"/>
      <c r="AY873" s="3"/>
      <c r="AZ873" s="42"/>
      <c r="BA873" s="3"/>
      <c r="BB873" s="42"/>
      <c r="BC873" s="3"/>
      <c r="BD873" s="42"/>
      <c r="BE873" s="3"/>
    </row>
    <row r="874" spans="1:57" x14ac:dyDescent="0.25">
      <c r="A874" s="3" t="s">
        <v>633</v>
      </c>
      <c r="B874" s="3"/>
      <c r="E874" s="3">
        <f t="shared" si="533"/>
        <v>0</v>
      </c>
      <c r="H874" s="5">
        <f t="shared" si="534"/>
        <v>0</v>
      </c>
      <c r="K874" s="4">
        <f t="shared" si="535"/>
        <v>0</v>
      </c>
      <c r="L874" s="4"/>
      <c r="N874" s="4">
        <f t="shared" si="536"/>
        <v>0</v>
      </c>
      <c r="P874" s="3"/>
      <c r="Q874" s="3"/>
      <c r="R874" s="3"/>
      <c r="S874" s="3">
        <f t="shared" si="537"/>
        <v>0</v>
      </c>
      <c r="T874" s="3"/>
      <c r="U874" s="3">
        <f t="shared" si="538"/>
        <v>0</v>
      </c>
      <c r="V874" s="3"/>
      <c r="W874" s="3">
        <f t="shared" si="539"/>
        <v>0</v>
      </c>
      <c r="X874" s="3"/>
      <c r="Y874" s="3"/>
      <c r="Z874" s="3">
        <f t="shared" si="540"/>
        <v>0</v>
      </c>
      <c r="AA874" s="3"/>
      <c r="AB874" s="3"/>
      <c r="AC874" s="3">
        <v>1540</v>
      </c>
      <c r="AD874" s="3">
        <f t="shared" si="541"/>
        <v>10</v>
      </c>
      <c r="AE874" s="3">
        <v>1550</v>
      </c>
      <c r="AF874" s="3">
        <f t="shared" si="542"/>
        <v>1550</v>
      </c>
      <c r="AG874" s="4"/>
      <c r="AH874" s="4">
        <v>10000</v>
      </c>
      <c r="AJ874" s="3"/>
      <c r="AK874" s="3">
        <f t="shared" si="543"/>
        <v>10000</v>
      </c>
      <c r="AL874" s="3">
        <v>10000</v>
      </c>
      <c r="AM874" s="3">
        <f t="shared" si="544"/>
        <v>0</v>
      </c>
      <c r="AO874" s="3">
        <v>10000</v>
      </c>
      <c r="AP874" s="3"/>
      <c r="AQ874" s="3"/>
      <c r="AR874" s="3"/>
      <c r="AS874" s="3"/>
      <c r="AT874" s="3"/>
      <c r="AU874" s="3"/>
      <c r="AV874" s="42"/>
      <c r="AW874" s="3"/>
      <c r="AX874" s="42"/>
      <c r="AY874" s="3"/>
      <c r="AZ874" s="42"/>
      <c r="BA874" s="3"/>
      <c r="BB874" s="42"/>
      <c r="BC874" s="3"/>
      <c r="BD874" s="42"/>
      <c r="BE874" s="3"/>
    </row>
    <row r="875" spans="1:57" hidden="1" x14ac:dyDescent="0.25">
      <c r="A875" s="3" t="s">
        <v>634</v>
      </c>
      <c r="B875" s="3"/>
      <c r="E875" s="3">
        <f t="shared" si="533"/>
        <v>0</v>
      </c>
      <c r="H875" s="5">
        <f t="shared" si="534"/>
        <v>0</v>
      </c>
      <c r="K875" s="4">
        <f t="shared" si="535"/>
        <v>0</v>
      </c>
      <c r="L875" s="4"/>
      <c r="N875" s="4">
        <f t="shared" si="536"/>
        <v>0</v>
      </c>
      <c r="P875" s="3"/>
      <c r="Q875" s="3"/>
      <c r="R875" s="3"/>
      <c r="S875" s="3">
        <f t="shared" si="537"/>
        <v>0</v>
      </c>
      <c r="T875" s="3"/>
      <c r="U875" s="3">
        <f t="shared" si="538"/>
        <v>0</v>
      </c>
      <c r="V875" s="3"/>
      <c r="W875" s="3">
        <f t="shared" si="539"/>
        <v>0</v>
      </c>
      <c r="X875" s="3"/>
      <c r="Y875" s="3"/>
      <c r="Z875" s="3">
        <f t="shared" si="540"/>
        <v>0</v>
      </c>
      <c r="AA875" s="3"/>
      <c r="AB875" s="3"/>
      <c r="AC875" s="3"/>
      <c r="AD875" s="3">
        <f t="shared" si="541"/>
        <v>0</v>
      </c>
      <c r="AE875" s="3"/>
      <c r="AF875" s="3">
        <f t="shared" si="542"/>
        <v>0</v>
      </c>
      <c r="AG875" s="4"/>
      <c r="AH875" s="4"/>
      <c r="AJ875" s="3"/>
      <c r="AK875" s="3">
        <f t="shared" si="543"/>
        <v>0</v>
      </c>
      <c r="AL875" s="3"/>
      <c r="AM875" s="3">
        <f t="shared" si="544"/>
        <v>0</v>
      </c>
      <c r="AO875" s="3"/>
      <c r="AP875" s="3"/>
      <c r="AQ875" s="3"/>
      <c r="AR875" s="3"/>
      <c r="AS875" s="3"/>
      <c r="AT875" s="3"/>
      <c r="AU875" s="3"/>
      <c r="AV875" s="42"/>
      <c r="AW875" s="3"/>
      <c r="AX875" s="42"/>
      <c r="AY875" s="3"/>
      <c r="AZ875" s="42"/>
      <c r="BA875" s="3"/>
      <c r="BB875" s="42"/>
      <c r="BC875" s="3"/>
      <c r="BD875" s="42"/>
      <c r="BE875" s="3"/>
    </row>
    <row r="876" spans="1:57" hidden="1" x14ac:dyDescent="0.25">
      <c r="A876" s="3" t="s">
        <v>635</v>
      </c>
      <c r="B876" s="3"/>
      <c r="E876" s="3"/>
      <c r="K876" s="4"/>
      <c r="L876" s="4"/>
      <c r="N876" s="4"/>
      <c r="P876" s="3">
        <v>40000</v>
      </c>
      <c r="Q876" s="3"/>
      <c r="R876" s="3"/>
      <c r="S876" s="3">
        <f t="shared" si="537"/>
        <v>45000</v>
      </c>
      <c r="T876" s="3">
        <v>45000</v>
      </c>
      <c r="U876" s="3">
        <f t="shared" si="538"/>
        <v>5000</v>
      </c>
      <c r="V876" s="3"/>
      <c r="W876" s="3">
        <f t="shared" si="539"/>
        <v>45000</v>
      </c>
      <c r="X876" s="3"/>
      <c r="Y876" s="3">
        <v>45000</v>
      </c>
      <c r="Z876" s="3">
        <f t="shared" si="540"/>
        <v>0</v>
      </c>
      <c r="AA876" s="3"/>
      <c r="AB876" s="3"/>
      <c r="AC876" s="3">
        <v>0</v>
      </c>
      <c r="AD876" s="3">
        <f t="shared" si="541"/>
        <v>0</v>
      </c>
      <c r="AE876" s="3">
        <v>0</v>
      </c>
      <c r="AF876" s="3">
        <f t="shared" si="542"/>
        <v>-45000</v>
      </c>
      <c r="AG876" s="4"/>
      <c r="AH876" s="4"/>
      <c r="AJ876" s="3"/>
      <c r="AK876" s="3">
        <f t="shared" si="543"/>
        <v>0</v>
      </c>
      <c r="AL876" s="3"/>
      <c r="AM876" s="3">
        <f t="shared" si="544"/>
        <v>0</v>
      </c>
      <c r="AO876" s="3"/>
      <c r="AP876" s="3"/>
      <c r="AQ876" s="3"/>
      <c r="AR876" s="3"/>
      <c r="AS876" s="3"/>
      <c r="AT876" s="3"/>
      <c r="AU876" s="3"/>
      <c r="AV876" s="42"/>
      <c r="AW876" s="3"/>
      <c r="AX876" s="42"/>
      <c r="AY876" s="3"/>
      <c r="AZ876" s="42"/>
      <c r="BA876" s="3"/>
      <c r="BB876" s="42"/>
      <c r="BC876" s="3"/>
      <c r="BD876" s="42"/>
      <c r="BE876" s="3"/>
    </row>
    <row r="877" spans="1:57" s="77" customFormat="1" hidden="1" x14ac:dyDescent="0.25">
      <c r="A877" s="3" t="s">
        <v>636</v>
      </c>
      <c r="B877" s="3"/>
      <c r="C877" s="3"/>
      <c r="D877" s="29"/>
      <c r="E877" s="3">
        <f t="shared" si="533"/>
        <v>0</v>
      </c>
      <c r="F877" s="29"/>
      <c r="G877" s="3"/>
      <c r="H877" s="5">
        <f t="shared" si="534"/>
        <v>0</v>
      </c>
      <c r="I877" s="5"/>
      <c r="J877" s="5"/>
      <c r="K877" s="4">
        <f t="shared" si="535"/>
        <v>0</v>
      </c>
      <c r="L877" s="4"/>
      <c r="M877" s="4"/>
      <c r="N877" s="4">
        <f t="shared" si="536"/>
        <v>0</v>
      </c>
      <c r="O877" s="4"/>
      <c r="P877" s="3"/>
      <c r="Q877" s="3"/>
      <c r="R877" s="3"/>
      <c r="S877" s="3">
        <f t="shared" si="537"/>
        <v>0</v>
      </c>
      <c r="T877" s="3"/>
      <c r="U877" s="3">
        <f t="shared" si="538"/>
        <v>0</v>
      </c>
      <c r="V877" s="3"/>
      <c r="W877" s="3">
        <f t="shared" si="539"/>
        <v>0</v>
      </c>
      <c r="X877" s="3"/>
      <c r="Y877" s="3"/>
      <c r="Z877" s="3">
        <f t="shared" si="540"/>
        <v>0</v>
      </c>
      <c r="AA877" s="3"/>
      <c r="AB877" s="3"/>
      <c r="AC877" s="3"/>
      <c r="AD877" s="3">
        <f t="shared" si="541"/>
        <v>0</v>
      </c>
      <c r="AE877" s="3"/>
      <c r="AF877" s="3">
        <f t="shared" si="542"/>
        <v>0</v>
      </c>
      <c r="AG877" s="4"/>
      <c r="AH877" s="4"/>
      <c r="AI877" s="4"/>
      <c r="AJ877" s="3"/>
      <c r="AK877" s="3">
        <f t="shared" si="543"/>
        <v>0</v>
      </c>
      <c r="AL877" s="3"/>
      <c r="AM877" s="3">
        <f t="shared" si="544"/>
        <v>0</v>
      </c>
      <c r="AN877" s="4"/>
      <c r="AO877" s="3"/>
      <c r="AP877" s="3"/>
      <c r="AQ877" s="3"/>
      <c r="AR877" s="3"/>
      <c r="AS877" s="3"/>
      <c r="AT877" s="3"/>
      <c r="AU877" s="3"/>
      <c r="AV877" s="42"/>
      <c r="AW877" s="3"/>
      <c r="AX877" s="42"/>
      <c r="AY877" s="3"/>
      <c r="AZ877" s="42"/>
      <c r="BA877" s="3"/>
      <c r="BB877" s="42"/>
      <c r="BC877" s="3"/>
      <c r="BD877" s="42"/>
      <c r="BE877" s="3"/>
    </row>
    <row r="878" spans="1:57" hidden="1" x14ac:dyDescent="0.25">
      <c r="A878" s="3" t="s">
        <v>637</v>
      </c>
      <c r="B878" s="3"/>
      <c r="E878" s="3">
        <f t="shared" si="533"/>
        <v>0</v>
      </c>
      <c r="H878" s="5">
        <f t="shared" si="534"/>
        <v>0</v>
      </c>
      <c r="K878" s="4">
        <f t="shared" si="535"/>
        <v>0</v>
      </c>
      <c r="L878" s="4"/>
      <c r="N878" s="4">
        <f t="shared" si="536"/>
        <v>0</v>
      </c>
      <c r="P878" s="3"/>
      <c r="Q878" s="3"/>
      <c r="R878" s="3"/>
      <c r="S878" s="3">
        <f t="shared" si="537"/>
        <v>0</v>
      </c>
      <c r="T878" s="3"/>
      <c r="U878" s="3">
        <f t="shared" si="538"/>
        <v>0</v>
      </c>
      <c r="V878" s="3"/>
      <c r="W878" s="3">
        <f t="shared" si="539"/>
        <v>0</v>
      </c>
      <c r="X878" s="3"/>
      <c r="Y878" s="3"/>
      <c r="Z878" s="3">
        <f t="shared" si="540"/>
        <v>0</v>
      </c>
      <c r="AA878" s="3"/>
      <c r="AB878" s="3"/>
      <c r="AC878" s="3"/>
      <c r="AD878" s="3">
        <f t="shared" si="541"/>
        <v>0</v>
      </c>
      <c r="AE878" s="3"/>
      <c r="AF878" s="3">
        <f t="shared" si="542"/>
        <v>0</v>
      </c>
      <c r="AG878" s="4"/>
      <c r="AH878" s="4"/>
      <c r="AJ878" s="3"/>
      <c r="AK878" s="3">
        <f t="shared" si="543"/>
        <v>0</v>
      </c>
      <c r="AL878" s="3"/>
      <c r="AM878" s="3">
        <f t="shared" si="544"/>
        <v>0</v>
      </c>
      <c r="AO878" s="3"/>
      <c r="AP878" s="3"/>
      <c r="AQ878" s="3"/>
      <c r="AR878" s="3"/>
      <c r="AS878" s="3"/>
      <c r="AT878" s="3"/>
      <c r="AU878" s="3"/>
      <c r="AV878" s="42"/>
      <c r="AW878" s="3"/>
      <c r="AX878" s="42"/>
      <c r="AY878" s="3"/>
      <c r="AZ878" s="42"/>
      <c r="BA878" s="3"/>
      <c r="BB878" s="42"/>
      <c r="BC878" s="3"/>
      <c r="BD878" s="42"/>
      <c r="BE878" s="3"/>
    </row>
    <row r="879" spans="1:57" s="77" customFormat="1" hidden="1" x14ac:dyDescent="0.25">
      <c r="A879" s="3" t="s">
        <v>638</v>
      </c>
      <c r="B879" s="3">
        <v>5000</v>
      </c>
      <c r="C879" s="3"/>
      <c r="D879" s="29"/>
      <c r="E879" s="3">
        <f t="shared" si="533"/>
        <v>5000</v>
      </c>
      <c r="F879" s="29">
        <v>5000</v>
      </c>
      <c r="G879" s="3"/>
      <c r="H879" s="5">
        <f t="shared" si="534"/>
        <v>0</v>
      </c>
      <c r="I879" s="5"/>
      <c r="J879" s="5"/>
      <c r="K879" s="4">
        <f t="shared" si="535"/>
        <v>5000</v>
      </c>
      <c r="L879" s="4">
        <v>5000</v>
      </c>
      <c r="M879" s="4"/>
      <c r="N879" s="4">
        <f t="shared" si="536"/>
        <v>0</v>
      </c>
      <c r="O879" s="4"/>
      <c r="P879" s="3"/>
      <c r="Q879" s="3"/>
      <c r="R879" s="3"/>
      <c r="S879" s="3">
        <f t="shared" si="537"/>
        <v>0</v>
      </c>
      <c r="T879" s="3"/>
      <c r="U879" s="3">
        <f t="shared" si="538"/>
        <v>0</v>
      </c>
      <c r="V879" s="3"/>
      <c r="W879" s="3">
        <f t="shared" si="539"/>
        <v>0</v>
      </c>
      <c r="X879" s="3"/>
      <c r="Y879" s="3"/>
      <c r="Z879" s="3">
        <f t="shared" si="540"/>
        <v>0</v>
      </c>
      <c r="AA879" s="3"/>
      <c r="AB879" s="3"/>
      <c r="AC879" s="3"/>
      <c r="AD879" s="3">
        <f t="shared" si="541"/>
        <v>0</v>
      </c>
      <c r="AE879" s="3"/>
      <c r="AF879" s="3">
        <f t="shared" si="542"/>
        <v>0</v>
      </c>
      <c r="AG879" s="4"/>
      <c r="AH879" s="4"/>
      <c r="AI879" s="4"/>
      <c r="AJ879" s="3"/>
      <c r="AK879" s="3">
        <f t="shared" si="543"/>
        <v>0</v>
      </c>
      <c r="AL879" s="3"/>
      <c r="AM879" s="3">
        <f t="shared" si="544"/>
        <v>0</v>
      </c>
      <c r="AN879" s="4"/>
      <c r="AO879" s="3"/>
      <c r="AP879" s="3"/>
      <c r="AQ879" s="3"/>
      <c r="AR879" s="3"/>
      <c r="AS879" s="3"/>
      <c r="AT879" s="3"/>
      <c r="AU879" s="3"/>
      <c r="AV879" s="42"/>
      <c r="AW879" s="3"/>
      <c r="AX879" s="42"/>
      <c r="AY879" s="3"/>
      <c r="AZ879" s="42"/>
      <c r="BA879" s="3"/>
      <c r="BB879" s="42"/>
      <c r="BC879" s="3"/>
      <c r="BD879" s="42"/>
      <c r="BE879" s="3"/>
    </row>
    <row r="880" spans="1:57" hidden="1" x14ac:dyDescent="0.25">
      <c r="A880" s="3" t="s">
        <v>639</v>
      </c>
      <c r="B880" s="3">
        <v>10600</v>
      </c>
      <c r="D880" s="3"/>
      <c r="E880" s="3">
        <f t="shared" si="533"/>
        <v>10600</v>
      </c>
      <c r="F880" s="3">
        <v>10600</v>
      </c>
      <c r="H880" s="5">
        <f t="shared" si="534"/>
        <v>0</v>
      </c>
      <c r="J880" s="5">
        <v>2210</v>
      </c>
      <c r="K880" s="4">
        <f t="shared" si="535"/>
        <v>8390</v>
      </c>
      <c r="L880" s="4">
        <v>10600</v>
      </c>
      <c r="N880" s="4">
        <f t="shared" si="536"/>
        <v>0</v>
      </c>
      <c r="P880" s="3">
        <v>5000</v>
      </c>
      <c r="Q880" s="3"/>
      <c r="R880" s="3"/>
      <c r="S880" s="3">
        <f t="shared" si="537"/>
        <v>5000</v>
      </c>
      <c r="T880" s="3">
        <v>5000</v>
      </c>
      <c r="U880" s="3">
        <f t="shared" si="538"/>
        <v>0</v>
      </c>
      <c r="V880" s="3"/>
      <c r="W880" s="3">
        <f t="shared" si="539"/>
        <v>5000</v>
      </c>
      <c r="X880" s="3"/>
      <c r="Y880" s="3">
        <v>5000</v>
      </c>
      <c r="Z880" s="3">
        <f t="shared" si="540"/>
        <v>0</v>
      </c>
      <c r="AA880" s="3"/>
      <c r="AB880" s="3"/>
      <c r="AC880" s="3">
        <v>0</v>
      </c>
      <c r="AD880" s="3">
        <f t="shared" si="541"/>
        <v>5000</v>
      </c>
      <c r="AE880" s="3">
        <v>5000</v>
      </c>
      <c r="AF880" s="3">
        <f t="shared" si="542"/>
        <v>0</v>
      </c>
      <c r="AG880" s="4"/>
      <c r="AH880" s="231">
        <v>0</v>
      </c>
      <c r="AJ880" s="3"/>
      <c r="AK880" s="3">
        <f t="shared" si="543"/>
        <v>0</v>
      </c>
      <c r="AL880" s="3"/>
      <c r="AM880" s="3">
        <f t="shared" si="544"/>
        <v>0</v>
      </c>
      <c r="AO880" s="3">
        <v>5000</v>
      </c>
      <c r="AP880" s="3"/>
      <c r="AQ880" s="3">
        <v>5000</v>
      </c>
      <c r="AR880" s="3"/>
      <c r="AS880" s="3">
        <v>5000</v>
      </c>
      <c r="AT880" s="3"/>
      <c r="AU880" s="3">
        <v>5000</v>
      </c>
      <c r="AV880" s="42"/>
      <c r="AW880" s="3">
        <v>5000</v>
      </c>
      <c r="AX880" s="42"/>
      <c r="AY880" s="3">
        <v>5000</v>
      </c>
      <c r="AZ880" s="42"/>
      <c r="BA880" s="3">
        <v>5000</v>
      </c>
      <c r="BB880" s="42"/>
      <c r="BC880" s="3">
        <v>5000</v>
      </c>
      <c r="BD880" s="42"/>
      <c r="BE880" s="3">
        <v>5000</v>
      </c>
    </row>
    <row r="881" spans="1:57" hidden="1" x14ac:dyDescent="0.25">
      <c r="A881" s="3" t="s">
        <v>640</v>
      </c>
      <c r="B881" s="3">
        <v>15000</v>
      </c>
      <c r="D881" s="3"/>
      <c r="E881" s="3">
        <f t="shared" si="533"/>
        <v>15000</v>
      </c>
      <c r="F881" s="3">
        <v>15000</v>
      </c>
      <c r="H881" s="5">
        <f t="shared" si="534"/>
        <v>0</v>
      </c>
      <c r="K881" s="4">
        <f t="shared" si="535"/>
        <v>15000</v>
      </c>
      <c r="L881" s="4">
        <v>15000</v>
      </c>
      <c r="N881" s="4">
        <f t="shared" si="536"/>
        <v>0</v>
      </c>
      <c r="P881" s="3"/>
      <c r="Q881" s="3"/>
      <c r="R881" s="3"/>
      <c r="S881" s="3">
        <f t="shared" si="537"/>
        <v>0</v>
      </c>
      <c r="T881" s="3"/>
      <c r="U881" s="3">
        <f t="shared" si="538"/>
        <v>0</v>
      </c>
      <c r="V881" s="3"/>
      <c r="W881" s="3">
        <f t="shared" si="539"/>
        <v>0</v>
      </c>
      <c r="X881" s="3"/>
      <c r="Y881" s="3"/>
      <c r="Z881" s="3">
        <f t="shared" si="540"/>
        <v>0</v>
      </c>
      <c r="AA881" s="3"/>
      <c r="AB881" s="3"/>
      <c r="AC881" s="3"/>
      <c r="AD881" s="3">
        <f t="shared" si="541"/>
        <v>0</v>
      </c>
      <c r="AE881" s="3"/>
      <c r="AF881" s="3">
        <f t="shared" si="542"/>
        <v>0</v>
      </c>
      <c r="AG881" s="4"/>
      <c r="AH881" s="4"/>
      <c r="AJ881" s="3"/>
      <c r="AK881" s="3">
        <f t="shared" si="543"/>
        <v>0</v>
      </c>
      <c r="AL881" s="3"/>
      <c r="AM881" s="3">
        <f t="shared" si="544"/>
        <v>0</v>
      </c>
      <c r="AO881" s="3"/>
      <c r="AP881" s="3"/>
      <c r="AQ881" s="3"/>
      <c r="AR881" s="3"/>
      <c r="AS881" s="3"/>
      <c r="AT881" s="3"/>
      <c r="AU881" s="3"/>
      <c r="AV881" s="42"/>
      <c r="AW881" s="3"/>
      <c r="AX881" s="42"/>
      <c r="AY881" s="3"/>
      <c r="AZ881" s="42"/>
      <c r="BA881" s="3"/>
      <c r="BB881" s="42"/>
      <c r="BC881" s="3"/>
      <c r="BD881" s="42"/>
      <c r="BE881" s="3"/>
    </row>
    <row r="882" spans="1:57" hidden="1" x14ac:dyDescent="0.25">
      <c r="A882" s="3" t="s">
        <v>641</v>
      </c>
      <c r="B882" s="3"/>
      <c r="D882" s="3"/>
      <c r="E882" s="3">
        <f t="shared" si="533"/>
        <v>0</v>
      </c>
      <c r="F882" s="3"/>
      <c r="H882" s="5">
        <f t="shared" si="534"/>
        <v>0</v>
      </c>
      <c r="K882" s="4">
        <f t="shared" si="535"/>
        <v>0</v>
      </c>
      <c r="L882" s="4"/>
      <c r="N882" s="4">
        <f t="shared" si="536"/>
        <v>0</v>
      </c>
      <c r="P882" s="3"/>
      <c r="Q882" s="3"/>
      <c r="R882" s="3"/>
      <c r="S882" s="3">
        <f t="shared" si="537"/>
        <v>0</v>
      </c>
      <c r="T882" s="3"/>
      <c r="U882" s="3">
        <f t="shared" si="538"/>
        <v>0</v>
      </c>
      <c r="V882" s="3"/>
      <c r="W882" s="3">
        <f t="shared" si="539"/>
        <v>0</v>
      </c>
      <c r="X882" s="3"/>
      <c r="Y882" s="3"/>
      <c r="Z882" s="3">
        <f t="shared" si="540"/>
        <v>0</v>
      </c>
      <c r="AA882" s="3"/>
      <c r="AB882" s="3"/>
      <c r="AC882" s="3"/>
      <c r="AD882" s="3">
        <f t="shared" si="541"/>
        <v>0</v>
      </c>
      <c r="AE882" s="3"/>
      <c r="AF882" s="3">
        <f t="shared" si="542"/>
        <v>0</v>
      </c>
      <c r="AG882" s="4"/>
      <c r="AH882" s="4"/>
      <c r="AJ882" s="3"/>
      <c r="AK882" s="3">
        <f t="shared" si="543"/>
        <v>0</v>
      </c>
      <c r="AL882" s="3"/>
      <c r="AM882" s="3">
        <f t="shared" si="544"/>
        <v>0</v>
      </c>
      <c r="AO882" s="3"/>
      <c r="AP882" s="3"/>
      <c r="AQ882" s="3"/>
      <c r="AR882" s="3"/>
      <c r="AS882" s="3"/>
      <c r="AT882" s="3"/>
      <c r="AU882" s="3"/>
      <c r="AV882" s="42"/>
      <c r="AW882" s="3"/>
      <c r="AX882" s="42"/>
      <c r="AY882" s="3"/>
      <c r="AZ882" s="42"/>
      <c r="BA882" s="3"/>
      <c r="BB882" s="42"/>
      <c r="BC882" s="3"/>
      <c r="BD882" s="42"/>
      <c r="BE882" s="3"/>
    </row>
    <row r="883" spans="1:57" s="77" customFormat="1" x14ac:dyDescent="0.25">
      <c r="A883" s="3" t="s">
        <v>642</v>
      </c>
      <c r="B883" s="3"/>
      <c r="C883" s="3"/>
      <c r="D883" s="29"/>
      <c r="E883" s="3">
        <f t="shared" si="533"/>
        <v>0</v>
      </c>
      <c r="F883" s="29"/>
      <c r="G883" s="3"/>
      <c r="H883" s="5">
        <f t="shared" si="534"/>
        <v>0</v>
      </c>
      <c r="I883" s="5"/>
      <c r="J883" s="5"/>
      <c r="K883" s="4">
        <f t="shared" si="535"/>
        <v>0</v>
      </c>
      <c r="L883" s="4"/>
      <c r="M883" s="4"/>
      <c r="N883" s="4">
        <f t="shared" si="536"/>
        <v>0</v>
      </c>
      <c r="O883" s="4"/>
      <c r="P883" s="3">
        <v>2500</v>
      </c>
      <c r="Q883" s="3"/>
      <c r="R883" s="3"/>
      <c r="S883" s="3">
        <f t="shared" si="537"/>
        <v>0</v>
      </c>
      <c r="T883" s="3">
        <v>0</v>
      </c>
      <c r="U883" s="3">
        <f t="shared" si="538"/>
        <v>-2500</v>
      </c>
      <c r="V883" s="3"/>
      <c r="W883" s="3">
        <f t="shared" si="539"/>
        <v>0</v>
      </c>
      <c r="X883" s="3"/>
      <c r="Y883" s="3"/>
      <c r="Z883" s="3">
        <f t="shared" si="540"/>
        <v>0</v>
      </c>
      <c r="AA883" s="3"/>
      <c r="AB883" s="3"/>
      <c r="AC883" s="3"/>
      <c r="AD883" s="3">
        <f t="shared" si="541"/>
        <v>0</v>
      </c>
      <c r="AE883" s="3"/>
      <c r="AF883" s="3">
        <f t="shared" si="542"/>
        <v>0</v>
      </c>
      <c r="AG883" s="4"/>
      <c r="AH883" s="4">
        <v>2500</v>
      </c>
      <c r="AI883" s="4"/>
      <c r="AJ883" s="3"/>
      <c r="AK883" s="3">
        <f t="shared" si="543"/>
        <v>2500</v>
      </c>
      <c r="AL883" s="3">
        <v>2500</v>
      </c>
      <c r="AM883" s="3">
        <f t="shared" si="544"/>
        <v>0</v>
      </c>
      <c r="AN883" s="4"/>
      <c r="AO883" s="3">
        <v>2500</v>
      </c>
      <c r="AP883" s="3"/>
      <c r="AQ883" s="3">
        <v>2500</v>
      </c>
      <c r="AR883" s="3"/>
      <c r="AS883" s="3">
        <v>2500</v>
      </c>
      <c r="AT883" s="3"/>
      <c r="AU883" s="3">
        <v>2500</v>
      </c>
      <c r="AV883" s="42"/>
      <c r="AW883" s="3">
        <v>2500</v>
      </c>
      <c r="AX883" s="42"/>
      <c r="AY883" s="3">
        <v>2500</v>
      </c>
      <c r="AZ883" s="42"/>
      <c r="BA883" s="3">
        <v>2500</v>
      </c>
      <c r="BB883" s="42"/>
      <c r="BC883" s="3">
        <v>2500</v>
      </c>
      <c r="BD883" s="42"/>
      <c r="BE883" s="3">
        <v>2500</v>
      </c>
    </row>
    <row r="884" spans="1:57" hidden="1" x14ac:dyDescent="0.25">
      <c r="A884" s="3" t="s">
        <v>643</v>
      </c>
      <c r="B884" s="3"/>
      <c r="E884" s="3">
        <f t="shared" si="533"/>
        <v>0</v>
      </c>
      <c r="H884" s="5">
        <f t="shared" si="534"/>
        <v>0</v>
      </c>
      <c r="K884" s="4">
        <f t="shared" si="535"/>
        <v>0</v>
      </c>
      <c r="L884" s="4"/>
      <c r="N884" s="4">
        <f t="shared" si="536"/>
        <v>0</v>
      </c>
      <c r="P884" s="3"/>
      <c r="Q884" s="3"/>
      <c r="R884" s="3"/>
      <c r="S884" s="3">
        <f t="shared" si="537"/>
        <v>0</v>
      </c>
      <c r="T884" s="3"/>
      <c r="U884" s="3">
        <f t="shared" si="538"/>
        <v>0</v>
      </c>
      <c r="V884" s="3"/>
      <c r="W884" s="3">
        <f t="shared" si="539"/>
        <v>0</v>
      </c>
      <c r="X884" s="3"/>
      <c r="Y884" s="3"/>
      <c r="Z884" s="3">
        <f t="shared" si="540"/>
        <v>0</v>
      </c>
      <c r="AA884" s="3"/>
      <c r="AB884" s="3"/>
      <c r="AC884" s="3"/>
      <c r="AD884" s="3">
        <f t="shared" si="541"/>
        <v>0</v>
      </c>
      <c r="AE884" s="3"/>
      <c r="AF884" s="3">
        <f t="shared" si="542"/>
        <v>0</v>
      </c>
      <c r="AG884" s="4"/>
      <c r="AH884" s="4"/>
      <c r="AJ884" s="3"/>
      <c r="AK884" s="3">
        <f t="shared" si="543"/>
        <v>0</v>
      </c>
      <c r="AL884" s="3"/>
      <c r="AM884" s="3">
        <f t="shared" si="544"/>
        <v>0</v>
      </c>
      <c r="AO884" s="3">
        <v>25000</v>
      </c>
      <c r="AP884" s="3"/>
      <c r="AQ884" s="3"/>
      <c r="AR884" s="3"/>
      <c r="AS884" s="3"/>
      <c r="AT884" s="3"/>
      <c r="AU884" s="3"/>
      <c r="AV884" s="42"/>
      <c r="AW884" s="3"/>
      <c r="AX884" s="42"/>
      <c r="AY884" s="3"/>
      <c r="AZ884" s="42"/>
      <c r="BA884" s="3"/>
      <c r="BB884" s="42"/>
      <c r="BC884" s="3"/>
      <c r="BD884" s="42"/>
      <c r="BE884" s="3"/>
    </row>
    <row r="885" spans="1:57" hidden="1" x14ac:dyDescent="0.25">
      <c r="A885" s="3" t="s">
        <v>644</v>
      </c>
      <c r="B885" s="3"/>
      <c r="E885" s="3">
        <f t="shared" si="533"/>
        <v>0</v>
      </c>
      <c r="H885" s="5">
        <f t="shared" si="534"/>
        <v>0</v>
      </c>
      <c r="K885" s="4">
        <f t="shared" si="535"/>
        <v>0</v>
      </c>
      <c r="L885" s="4"/>
      <c r="N885" s="4">
        <f t="shared" si="536"/>
        <v>0</v>
      </c>
      <c r="P885" s="3"/>
      <c r="Q885" s="3"/>
      <c r="R885" s="3"/>
      <c r="S885" s="3">
        <f t="shared" si="537"/>
        <v>0</v>
      </c>
      <c r="T885" s="3"/>
      <c r="U885" s="3">
        <f t="shared" si="538"/>
        <v>0</v>
      </c>
      <c r="V885" s="3"/>
      <c r="W885" s="3">
        <f t="shared" si="539"/>
        <v>0</v>
      </c>
      <c r="X885" s="3"/>
      <c r="Y885" s="3"/>
      <c r="Z885" s="3">
        <f t="shared" si="540"/>
        <v>0</v>
      </c>
      <c r="AA885" s="3"/>
      <c r="AB885" s="3"/>
      <c r="AC885" s="3"/>
      <c r="AD885" s="3">
        <f t="shared" si="541"/>
        <v>0</v>
      </c>
      <c r="AE885" s="3"/>
      <c r="AF885" s="3">
        <f t="shared" si="542"/>
        <v>0</v>
      </c>
      <c r="AG885" s="4"/>
      <c r="AH885" s="4"/>
      <c r="AJ885" s="3"/>
      <c r="AK885" s="3">
        <f t="shared" si="543"/>
        <v>0</v>
      </c>
      <c r="AL885" s="3"/>
      <c r="AM885" s="3">
        <f t="shared" si="544"/>
        <v>0</v>
      </c>
      <c r="AO885" s="3"/>
      <c r="AP885" s="3"/>
      <c r="AQ885" s="3"/>
      <c r="AR885" s="3"/>
      <c r="AS885" s="3"/>
      <c r="AT885" s="3"/>
      <c r="AU885" s="3"/>
      <c r="AV885" s="42"/>
      <c r="AW885" s="3"/>
      <c r="AX885" s="42"/>
      <c r="AY885" s="3"/>
      <c r="AZ885" s="42"/>
      <c r="BA885" s="3"/>
      <c r="BB885" s="42"/>
      <c r="BC885" s="3"/>
      <c r="BD885" s="42"/>
      <c r="BE885" s="3"/>
    </row>
    <row r="886" spans="1:57" s="77" customFormat="1" hidden="1" x14ac:dyDescent="0.25">
      <c r="A886" s="3" t="s">
        <v>645</v>
      </c>
      <c r="B886" s="3"/>
      <c r="C886" s="3"/>
      <c r="D886" s="29"/>
      <c r="E886" s="3">
        <f t="shared" si="533"/>
        <v>0</v>
      </c>
      <c r="F886" s="29"/>
      <c r="G886" s="3"/>
      <c r="H886" s="5">
        <f t="shared" si="534"/>
        <v>0</v>
      </c>
      <c r="I886" s="5"/>
      <c r="J886" s="5"/>
      <c r="K886" s="4">
        <f t="shared" si="535"/>
        <v>0</v>
      </c>
      <c r="L886" s="4"/>
      <c r="M886" s="4"/>
      <c r="N886" s="4">
        <f t="shared" si="536"/>
        <v>0</v>
      </c>
      <c r="O886" s="4"/>
      <c r="P886" s="3"/>
      <c r="Q886" s="3"/>
      <c r="R886" s="3"/>
      <c r="S886" s="3">
        <f t="shared" si="537"/>
        <v>0</v>
      </c>
      <c r="T886" s="3"/>
      <c r="U886" s="3">
        <f t="shared" si="538"/>
        <v>0</v>
      </c>
      <c r="V886" s="3"/>
      <c r="W886" s="3">
        <f t="shared" si="539"/>
        <v>0</v>
      </c>
      <c r="X886" s="3"/>
      <c r="Y886" s="3"/>
      <c r="Z886" s="3">
        <f t="shared" si="540"/>
        <v>0</v>
      </c>
      <c r="AA886" s="3"/>
      <c r="AB886" s="3"/>
      <c r="AC886" s="3"/>
      <c r="AD886" s="3">
        <f t="shared" si="541"/>
        <v>0</v>
      </c>
      <c r="AE886" s="3"/>
      <c r="AF886" s="3">
        <f t="shared" si="542"/>
        <v>0</v>
      </c>
      <c r="AG886" s="4"/>
      <c r="AH886" s="4"/>
      <c r="AI886" s="4"/>
      <c r="AJ886" s="3"/>
      <c r="AK886" s="3">
        <f t="shared" si="543"/>
        <v>0</v>
      </c>
      <c r="AL886" s="3"/>
      <c r="AM886" s="3">
        <f t="shared" si="544"/>
        <v>0</v>
      </c>
      <c r="AN886" s="4"/>
      <c r="AO886" s="3"/>
      <c r="AP886" s="3"/>
      <c r="AQ886" s="3"/>
      <c r="AR886" s="3"/>
      <c r="AS886" s="3"/>
      <c r="AT886" s="3"/>
      <c r="AU886" s="3"/>
      <c r="AV886" s="42"/>
      <c r="AW886" s="3"/>
      <c r="AX886" s="42"/>
      <c r="AY886" s="3"/>
      <c r="AZ886" s="42"/>
      <c r="BA886" s="3"/>
      <c r="BB886" s="42"/>
      <c r="BC886" s="3"/>
      <c r="BD886" s="42"/>
      <c r="BE886" s="3"/>
    </row>
    <row r="887" spans="1:57" hidden="1" x14ac:dyDescent="0.25">
      <c r="A887" s="3" t="s">
        <v>646</v>
      </c>
      <c r="B887" s="3"/>
      <c r="E887" s="3">
        <f t="shared" si="533"/>
        <v>0</v>
      </c>
      <c r="H887" s="5">
        <f t="shared" si="534"/>
        <v>0</v>
      </c>
      <c r="K887" s="4">
        <f t="shared" si="535"/>
        <v>0</v>
      </c>
      <c r="L887" s="4"/>
      <c r="N887" s="4">
        <f t="shared" si="536"/>
        <v>0</v>
      </c>
      <c r="P887" s="3">
        <v>25000</v>
      </c>
      <c r="Q887" s="3"/>
      <c r="R887" s="3"/>
      <c r="S887" s="3">
        <f t="shared" si="537"/>
        <v>25000</v>
      </c>
      <c r="T887" s="3">
        <v>25000</v>
      </c>
      <c r="U887" s="3">
        <f t="shared" si="538"/>
        <v>0</v>
      </c>
      <c r="V887" s="3"/>
      <c r="W887" s="3">
        <f t="shared" si="539"/>
        <v>0</v>
      </c>
      <c r="X887" s="3"/>
      <c r="Y887" s="3">
        <v>0</v>
      </c>
      <c r="Z887" s="3">
        <f t="shared" si="540"/>
        <v>-25000</v>
      </c>
      <c r="AA887" s="3"/>
      <c r="AB887" s="3"/>
      <c r="AC887" s="3"/>
      <c r="AD887" s="3">
        <f t="shared" si="541"/>
        <v>0</v>
      </c>
      <c r="AE887" s="3"/>
      <c r="AF887" s="3">
        <f t="shared" si="542"/>
        <v>0</v>
      </c>
      <c r="AG887" s="4"/>
      <c r="AH887" s="4">
        <f>AA887-V887</f>
        <v>0</v>
      </c>
      <c r="AJ887" s="3"/>
      <c r="AK887" s="3">
        <f t="shared" si="543"/>
        <v>0</v>
      </c>
      <c r="AL887" s="3"/>
      <c r="AM887" s="3">
        <f t="shared" si="544"/>
        <v>0</v>
      </c>
      <c r="AO887" s="3"/>
      <c r="AP887" s="3"/>
      <c r="AQ887" s="3"/>
      <c r="AR887" s="3"/>
      <c r="AS887" s="3"/>
      <c r="AT887" s="3"/>
      <c r="AU887" s="3"/>
      <c r="AV887" s="42"/>
      <c r="AW887" s="3"/>
      <c r="AX887" s="42"/>
      <c r="AY887" s="3"/>
      <c r="AZ887" s="42"/>
      <c r="BA887" s="3"/>
      <c r="BB887" s="42"/>
      <c r="BC887" s="3"/>
      <c r="BD887" s="42"/>
      <c r="BE887" s="3"/>
    </row>
    <row r="888" spans="1:57" s="77" customFormat="1" hidden="1" x14ac:dyDescent="0.25">
      <c r="A888" s="3" t="s">
        <v>647</v>
      </c>
      <c r="B888" s="3"/>
      <c r="C888" s="3"/>
      <c r="D888" s="29"/>
      <c r="E888" s="3">
        <f t="shared" si="533"/>
        <v>0</v>
      </c>
      <c r="F888" s="29"/>
      <c r="G888" s="3"/>
      <c r="H888" s="5">
        <f t="shared" si="534"/>
        <v>0</v>
      </c>
      <c r="I888" s="5"/>
      <c r="J888" s="5"/>
      <c r="K888" s="4">
        <f t="shared" si="535"/>
        <v>0</v>
      </c>
      <c r="L888" s="4"/>
      <c r="M888" s="4"/>
      <c r="N888" s="4">
        <f t="shared" si="536"/>
        <v>0</v>
      </c>
      <c r="O888" s="4"/>
      <c r="P888" s="3">
        <v>5000</v>
      </c>
      <c r="Q888" s="3"/>
      <c r="R888" s="3"/>
      <c r="S888" s="3">
        <f t="shared" si="537"/>
        <v>5000</v>
      </c>
      <c r="T888" s="3">
        <v>5000</v>
      </c>
      <c r="U888" s="3">
        <f t="shared" si="538"/>
        <v>0</v>
      </c>
      <c r="V888" s="3"/>
      <c r="W888" s="3">
        <f t="shared" si="539"/>
        <v>0</v>
      </c>
      <c r="X888" s="3"/>
      <c r="Y888" s="3">
        <v>0</v>
      </c>
      <c r="Z888" s="3">
        <f t="shared" si="540"/>
        <v>-5000</v>
      </c>
      <c r="AA888" s="3"/>
      <c r="AB888" s="3"/>
      <c r="AC888" s="3"/>
      <c r="AD888" s="3">
        <f t="shared" si="541"/>
        <v>0</v>
      </c>
      <c r="AE888" s="3"/>
      <c r="AF888" s="3">
        <f t="shared" si="542"/>
        <v>0</v>
      </c>
      <c r="AG888" s="4"/>
      <c r="AH888" s="4">
        <f>AA888-V888</f>
        <v>0</v>
      </c>
      <c r="AI888" s="4"/>
      <c r="AJ888" s="3"/>
      <c r="AK888" s="3">
        <f t="shared" si="543"/>
        <v>0</v>
      </c>
      <c r="AL888" s="3"/>
      <c r="AM888" s="3">
        <f t="shared" si="544"/>
        <v>0</v>
      </c>
      <c r="AN888" s="4"/>
      <c r="AO888" s="3"/>
      <c r="AP888" s="3"/>
      <c r="AQ888" s="3"/>
      <c r="AR888" s="3"/>
      <c r="AS888" s="3"/>
      <c r="AT888" s="3"/>
      <c r="AU888" s="3"/>
      <c r="AV888" s="42"/>
      <c r="AW888" s="3"/>
      <c r="AX888" s="42"/>
      <c r="AY888" s="3"/>
      <c r="AZ888" s="42"/>
      <c r="BA888" s="3"/>
      <c r="BB888" s="42"/>
      <c r="BC888" s="3"/>
      <c r="BD888" s="42"/>
      <c r="BE888" s="3"/>
    </row>
    <row r="889" spans="1:57" s="77" customFormat="1" x14ac:dyDescent="0.25">
      <c r="A889" s="3" t="s">
        <v>648</v>
      </c>
      <c r="B889" s="3"/>
      <c r="C889" s="3"/>
      <c r="D889" s="29"/>
      <c r="E889" s="3"/>
      <c r="F889" s="29"/>
      <c r="G889" s="3"/>
      <c r="H889" s="5"/>
      <c r="I889" s="5"/>
      <c r="J889" s="5"/>
      <c r="K889" s="4"/>
      <c r="L889" s="4"/>
      <c r="M889" s="4"/>
      <c r="N889" s="4"/>
      <c r="O889" s="4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4"/>
      <c r="AH889" s="4">
        <v>240000</v>
      </c>
      <c r="AI889" s="4"/>
      <c r="AJ889" s="3">
        <v>24605</v>
      </c>
      <c r="AK889" s="3">
        <f t="shared" si="543"/>
        <v>215395</v>
      </c>
      <c r="AL889" s="3">
        <v>240000</v>
      </c>
      <c r="AM889" s="3">
        <f t="shared" si="544"/>
        <v>0</v>
      </c>
      <c r="AN889" s="4"/>
      <c r="AO889" s="3"/>
      <c r="AP889" s="3"/>
      <c r="AQ889" s="3"/>
      <c r="AR889" s="3"/>
      <c r="AS889" s="3"/>
      <c r="AT889" s="3"/>
      <c r="AU889" s="3"/>
      <c r="AV889" s="42"/>
      <c r="AW889" s="3"/>
      <c r="AX889" s="42"/>
      <c r="AY889" s="3"/>
      <c r="AZ889" s="42"/>
      <c r="BA889" s="3"/>
      <c r="BB889" s="42"/>
      <c r="BC889" s="3"/>
      <c r="BD889" s="42"/>
      <c r="BE889" s="3"/>
    </row>
    <row r="890" spans="1:57" hidden="1" x14ac:dyDescent="0.25">
      <c r="A890" s="3" t="s">
        <v>649</v>
      </c>
      <c r="B890" s="3"/>
      <c r="D890" s="5">
        <v>4727</v>
      </c>
      <c r="E890" s="3">
        <f t="shared" si="533"/>
        <v>5273</v>
      </c>
      <c r="F890" s="5">
        <v>10000</v>
      </c>
      <c r="H890" s="5">
        <f t="shared" si="534"/>
        <v>10000</v>
      </c>
      <c r="K890" s="4">
        <f t="shared" si="535"/>
        <v>10000</v>
      </c>
      <c r="L890" s="4">
        <v>10000</v>
      </c>
      <c r="N890" s="4">
        <f t="shared" si="536"/>
        <v>0</v>
      </c>
      <c r="P890" s="3"/>
      <c r="Q890" s="3"/>
      <c r="R890" s="3"/>
      <c r="S890" s="3">
        <f t="shared" si="537"/>
        <v>0</v>
      </c>
      <c r="T890" s="3"/>
      <c r="U890" s="3">
        <f t="shared" si="538"/>
        <v>0</v>
      </c>
      <c r="V890" s="3"/>
      <c r="W890" s="3">
        <f t="shared" si="539"/>
        <v>0</v>
      </c>
      <c r="X890" s="3"/>
      <c r="Y890" s="3"/>
      <c r="Z890" s="3">
        <f t="shared" si="540"/>
        <v>0</v>
      </c>
      <c r="AA890" s="3"/>
      <c r="AB890" s="3"/>
      <c r="AC890" s="3"/>
      <c r="AD890" s="3">
        <f t="shared" si="541"/>
        <v>0</v>
      </c>
      <c r="AE890" s="3"/>
      <c r="AF890" s="3">
        <f t="shared" si="542"/>
        <v>0</v>
      </c>
      <c r="AG890" s="4"/>
      <c r="AH890" s="4"/>
      <c r="AJ890" s="3"/>
      <c r="AK890" s="3">
        <f t="shared" si="543"/>
        <v>0</v>
      </c>
      <c r="AL890" s="3"/>
      <c r="AM890" s="3">
        <f t="shared" si="544"/>
        <v>0</v>
      </c>
      <c r="AO890" s="3"/>
      <c r="AP890" s="3"/>
      <c r="AQ890" s="3"/>
      <c r="AR890" s="3"/>
      <c r="AS890" s="3"/>
      <c r="AT890" s="3"/>
      <c r="AU890" s="3"/>
      <c r="AV890" s="42"/>
      <c r="AW890" s="3"/>
      <c r="AX890" s="42"/>
      <c r="AY890" s="3"/>
      <c r="AZ890" s="42"/>
      <c r="BA890" s="3"/>
      <c r="BB890" s="42"/>
      <c r="BC890" s="3"/>
      <c r="BD890" s="42"/>
      <c r="BE890" s="3"/>
    </row>
    <row r="891" spans="1:57" s="77" customFormat="1" hidden="1" x14ac:dyDescent="0.25">
      <c r="A891" s="3" t="s">
        <v>650</v>
      </c>
      <c r="B891" s="3"/>
      <c r="C891" s="3"/>
      <c r="D891" s="29"/>
      <c r="E891" s="3">
        <f t="shared" si="533"/>
        <v>0</v>
      </c>
      <c r="F891" s="29"/>
      <c r="G891" s="3"/>
      <c r="H891" s="5">
        <f t="shared" si="534"/>
        <v>0</v>
      </c>
      <c r="I891" s="5"/>
      <c r="J891" s="5"/>
      <c r="K891" s="4">
        <f t="shared" si="535"/>
        <v>0</v>
      </c>
      <c r="L891" s="4"/>
      <c r="M891" s="4"/>
      <c r="N891" s="4">
        <f t="shared" si="536"/>
        <v>0</v>
      </c>
      <c r="O891" s="4"/>
      <c r="P891" s="3"/>
      <c r="Q891" s="3"/>
      <c r="R891" s="3"/>
      <c r="S891" s="3">
        <f t="shared" si="537"/>
        <v>0</v>
      </c>
      <c r="T891" s="3"/>
      <c r="U891" s="3">
        <f t="shared" si="538"/>
        <v>0</v>
      </c>
      <c r="V891" s="3"/>
      <c r="W891" s="3">
        <f t="shared" si="539"/>
        <v>0</v>
      </c>
      <c r="X891" s="3"/>
      <c r="Y891" s="3"/>
      <c r="Z891" s="3">
        <f t="shared" si="540"/>
        <v>0</v>
      </c>
      <c r="AA891" s="3"/>
      <c r="AB891" s="3"/>
      <c r="AC891" s="3"/>
      <c r="AD891" s="3">
        <f t="shared" si="541"/>
        <v>0</v>
      </c>
      <c r="AE891" s="3"/>
      <c r="AF891" s="3">
        <f t="shared" si="542"/>
        <v>0</v>
      </c>
      <c r="AG891" s="4"/>
      <c r="AH891" s="4"/>
      <c r="AI891" s="4"/>
      <c r="AJ891" s="3"/>
      <c r="AK891" s="3">
        <f t="shared" si="543"/>
        <v>0</v>
      </c>
      <c r="AL891" s="3"/>
      <c r="AM891" s="3">
        <f t="shared" si="544"/>
        <v>0</v>
      </c>
      <c r="AN891" s="4"/>
      <c r="AO891" s="3"/>
      <c r="AP891" s="3"/>
      <c r="AQ891" s="3"/>
      <c r="AR891" s="3"/>
      <c r="AS891" s="3"/>
      <c r="AT891" s="3"/>
      <c r="AU891" s="3"/>
      <c r="AV891" s="42"/>
      <c r="AW891" s="3"/>
      <c r="AX891" s="42"/>
      <c r="AY891" s="3"/>
      <c r="AZ891" s="42"/>
      <c r="BA891" s="3"/>
      <c r="BB891" s="42"/>
      <c r="BC891" s="3"/>
      <c r="BD891" s="42"/>
      <c r="BE891" s="3"/>
    </row>
    <row r="892" spans="1:57" hidden="1" x14ac:dyDescent="0.25">
      <c r="A892" s="3" t="s">
        <v>651</v>
      </c>
      <c r="B892" s="3"/>
      <c r="E892" s="3">
        <f t="shared" si="533"/>
        <v>0</v>
      </c>
      <c r="H892" s="5">
        <f t="shared" si="534"/>
        <v>0</v>
      </c>
      <c r="K892" s="4">
        <f t="shared" si="535"/>
        <v>0</v>
      </c>
      <c r="L892" s="4"/>
      <c r="N892" s="4">
        <f t="shared" si="536"/>
        <v>0</v>
      </c>
      <c r="P892" s="3"/>
      <c r="Q892" s="3"/>
      <c r="R892" s="3"/>
      <c r="S892" s="3">
        <f t="shared" si="537"/>
        <v>0</v>
      </c>
      <c r="T892" s="3"/>
      <c r="U892" s="3">
        <f t="shared" si="538"/>
        <v>0</v>
      </c>
      <c r="V892" s="3"/>
      <c r="W892" s="3">
        <f t="shared" si="539"/>
        <v>0</v>
      </c>
      <c r="X892" s="3"/>
      <c r="Y892" s="3"/>
      <c r="Z892" s="3">
        <f t="shared" si="540"/>
        <v>0</v>
      </c>
      <c r="AA892" s="3"/>
      <c r="AB892" s="3"/>
      <c r="AC892" s="3"/>
      <c r="AD892" s="3">
        <f t="shared" si="541"/>
        <v>0</v>
      </c>
      <c r="AE892" s="3"/>
      <c r="AF892" s="3">
        <f t="shared" si="542"/>
        <v>0</v>
      </c>
      <c r="AG892" s="4"/>
      <c r="AH892" s="4"/>
      <c r="AJ892" s="3"/>
      <c r="AK892" s="3">
        <f t="shared" si="543"/>
        <v>0</v>
      </c>
      <c r="AL892" s="3"/>
      <c r="AM892" s="3">
        <f t="shared" si="544"/>
        <v>0</v>
      </c>
      <c r="AO892" s="3"/>
      <c r="AP892" s="3"/>
      <c r="AQ892" s="3"/>
      <c r="AR892" s="3"/>
      <c r="AS892" s="3"/>
      <c r="AT892" s="3"/>
      <c r="AU892" s="3"/>
      <c r="AV892" s="42"/>
      <c r="AW892" s="3"/>
      <c r="AX892" s="42"/>
      <c r="AY892" s="3"/>
      <c r="AZ892" s="42"/>
      <c r="BA892" s="3"/>
      <c r="BB892" s="42"/>
      <c r="BC892" s="3"/>
      <c r="BD892" s="42"/>
      <c r="BE892" s="3"/>
    </row>
    <row r="893" spans="1:57" s="77" customFormat="1" hidden="1" x14ac:dyDescent="0.25">
      <c r="A893" s="3" t="s">
        <v>652</v>
      </c>
      <c r="B893" s="3"/>
      <c r="C893" s="3"/>
      <c r="D893" s="29"/>
      <c r="E893" s="3">
        <f t="shared" si="533"/>
        <v>0</v>
      </c>
      <c r="F893" s="29"/>
      <c r="G893" s="3"/>
      <c r="H893" s="5">
        <f t="shared" si="534"/>
        <v>0</v>
      </c>
      <c r="I893" s="5"/>
      <c r="J893" s="5"/>
      <c r="K893" s="4">
        <f t="shared" si="535"/>
        <v>0</v>
      </c>
      <c r="L893" s="4"/>
      <c r="M893" s="4"/>
      <c r="N893" s="4">
        <f t="shared" si="536"/>
        <v>0</v>
      </c>
      <c r="O893" s="4"/>
      <c r="P893" s="3"/>
      <c r="Q893" s="3"/>
      <c r="R893" s="3"/>
      <c r="S893" s="3">
        <f t="shared" si="537"/>
        <v>0</v>
      </c>
      <c r="T893" s="3"/>
      <c r="U893" s="3">
        <f t="shared" si="538"/>
        <v>0</v>
      </c>
      <c r="V893" s="3"/>
      <c r="W893" s="3">
        <f t="shared" si="539"/>
        <v>0</v>
      </c>
      <c r="X893" s="3"/>
      <c r="Y893" s="3"/>
      <c r="Z893" s="3">
        <f t="shared" si="540"/>
        <v>0</v>
      </c>
      <c r="AA893" s="3"/>
      <c r="AB893" s="3"/>
      <c r="AC893" s="3"/>
      <c r="AD893" s="3">
        <f t="shared" si="541"/>
        <v>0</v>
      </c>
      <c r="AE893" s="3"/>
      <c r="AF893" s="3">
        <f t="shared" si="542"/>
        <v>0</v>
      </c>
      <c r="AG893" s="4"/>
      <c r="AH893" s="4"/>
      <c r="AI893" s="4"/>
      <c r="AJ893" s="3"/>
      <c r="AK893" s="3">
        <f t="shared" si="543"/>
        <v>0</v>
      </c>
      <c r="AL893" s="3"/>
      <c r="AM893" s="3">
        <f t="shared" si="544"/>
        <v>0</v>
      </c>
      <c r="AN893" s="4"/>
      <c r="AO893" s="3"/>
      <c r="AP893" s="3"/>
      <c r="AQ893" s="3"/>
      <c r="AR893" s="3"/>
      <c r="AS893" s="3"/>
      <c r="AT893" s="3"/>
      <c r="AU893" s="3"/>
      <c r="AV893" s="42"/>
      <c r="AW893" s="3"/>
      <c r="AX893" s="42"/>
      <c r="AY893" s="3"/>
      <c r="AZ893" s="42"/>
      <c r="BA893" s="3"/>
      <c r="BB893" s="42"/>
      <c r="BC893" s="3"/>
      <c r="BD893" s="42"/>
      <c r="BE893" s="3"/>
    </row>
    <row r="894" spans="1:57" hidden="1" x14ac:dyDescent="0.25">
      <c r="A894" s="3" t="s">
        <v>653</v>
      </c>
      <c r="B894" s="3">
        <v>20000</v>
      </c>
      <c r="E894" s="3">
        <f t="shared" si="533"/>
        <v>10000</v>
      </c>
      <c r="F894" s="5">
        <v>10000</v>
      </c>
      <c r="H894" s="5">
        <f t="shared" si="534"/>
        <v>-10000</v>
      </c>
      <c r="J894" s="5">
        <v>3418</v>
      </c>
      <c r="K894" s="4">
        <f t="shared" si="535"/>
        <v>6582</v>
      </c>
      <c r="L894" s="4">
        <v>10000</v>
      </c>
      <c r="N894" s="4">
        <f t="shared" si="536"/>
        <v>0</v>
      </c>
      <c r="P894" s="3">
        <v>55000</v>
      </c>
      <c r="Q894" s="3"/>
      <c r="R894" s="3">
        <v>2940</v>
      </c>
      <c r="S894" s="3">
        <f t="shared" si="537"/>
        <v>52060</v>
      </c>
      <c r="T894" s="3">
        <v>55000</v>
      </c>
      <c r="U894" s="3">
        <f t="shared" si="538"/>
        <v>0</v>
      </c>
      <c r="V894" s="3"/>
      <c r="W894" s="3">
        <f t="shared" si="539"/>
        <v>0</v>
      </c>
      <c r="X894" s="3"/>
      <c r="Y894" s="3">
        <v>0</v>
      </c>
      <c r="Z894" s="3">
        <f t="shared" si="540"/>
        <v>-55000</v>
      </c>
      <c r="AA894" s="3"/>
      <c r="AB894" s="3"/>
      <c r="AC894" s="3"/>
      <c r="AD894" s="3">
        <f t="shared" si="541"/>
        <v>0</v>
      </c>
      <c r="AE894" s="3"/>
      <c r="AF894" s="3">
        <f t="shared" si="542"/>
        <v>0</v>
      </c>
      <c r="AG894" s="4"/>
      <c r="AH894" s="4"/>
      <c r="AJ894" s="3"/>
      <c r="AK894" s="3">
        <f t="shared" si="543"/>
        <v>0</v>
      </c>
      <c r="AL894" s="3"/>
      <c r="AM894" s="3">
        <f t="shared" si="544"/>
        <v>0</v>
      </c>
      <c r="AO894" s="3"/>
      <c r="AP894" s="3"/>
      <c r="AQ894" s="3"/>
      <c r="AR894" s="3"/>
      <c r="AS894" s="3"/>
      <c r="AT894" s="3"/>
      <c r="AU894" s="3"/>
      <c r="AV894" s="42"/>
      <c r="AW894" s="3"/>
      <c r="AX894" s="42"/>
      <c r="AY894" s="3"/>
      <c r="AZ894" s="42"/>
      <c r="BA894" s="3"/>
      <c r="BB894" s="42"/>
      <c r="BC894" s="3"/>
      <c r="BD894" s="42"/>
      <c r="BE894" s="3"/>
    </row>
    <row r="895" spans="1:57" s="77" customFormat="1" hidden="1" x14ac:dyDescent="0.25">
      <c r="A895" s="3" t="s">
        <v>654</v>
      </c>
      <c r="B895" s="3"/>
      <c r="C895" s="3"/>
      <c r="D895" s="29"/>
      <c r="E895" s="3">
        <f t="shared" si="533"/>
        <v>0</v>
      </c>
      <c r="F895" s="29"/>
      <c r="G895" s="3"/>
      <c r="H895" s="5">
        <f t="shared" si="534"/>
        <v>0</v>
      </c>
      <c r="I895" s="5"/>
      <c r="J895" s="5"/>
      <c r="K895" s="4">
        <f t="shared" si="535"/>
        <v>0</v>
      </c>
      <c r="L895" s="4"/>
      <c r="M895" s="4"/>
      <c r="N895" s="4">
        <f t="shared" si="536"/>
        <v>0</v>
      </c>
      <c r="O895" s="4"/>
      <c r="P895" s="3">
        <v>15000</v>
      </c>
      <c r="Q895" s="3"/>
      <c r="R895" s="3"/>
      <c r="S895" s="3">
        <f t="shared" si="537"/>
        <v>15000</v>
      </c>
      <c r="T895" s="3">
        <v>15000</v>
      </c>
      <c r="U895" s="3">
        <f t="shared" si="538"/>
        <v>0</v>
      </c>
      <c r="V895" s="3"/>
      <c r="W895" s="3">
        <f t="shared" si="539"/>
        <v>0</v>
      </c>
      <c r="X895" s="3"/>
      <c r="Y895" s="3">
        <v>0</v>
      </c>
      <c r="Z895" s="3">
        <f t="shared" si="540"/>
        <v>-15000</v>
      </c>
      <c r="AA895" s="3"/>
      <c r="AB895" s="3"/>
      <c r="AC895" s="3"/>
      <c r="AD895" s="3">
        <f t="shared" si="541"/>
        <v>0</v>
      </c>
      <c r="AE895" s="3"/>
      <c r="AF895" s="3">
        <f t="shared" si="542"/>
        <v>0</v>
      </c>
      <c r="AG895" s="4"/>
      <c r="AH895" s="4"/>
      <c r="AI895" s="4"/>
      <c r="AJ895" s="3"/>
      <c r="AK895" s="3">
        <f t="shared" si="543"/>
        <v>0</v>
      </c>
      <c r="AL895" s="3"/>
      <c r="AM895" s="3">
        <f t="shared" si="544"/>
        <v>0</v>
      </c>
      <c r="AN895" s="4"/>
      <c r="AO895" s="3"/>
      <c r="AP895" s="3"/>
      <c r="AQ895" s="3"/>
      <c r="AR895" s="3"/>
      <c r="AS895" s="3"/>
      <c r="AT895" s="3"/>
      <c r="AU895" s="3"/>
      <c r="AV895" s="42"/>
      <c r="AW895" s="3"/>
      <c r="AX895" s="42"/>
      <c r="AY895" s="3"/>
      <c r="AZ895" s="42"/>
      <c r="BA895" s="3"/>
      <c r="BB895" s="42"/>
      <c r="BC895" s="3"/>
      <c r="BD895" s="42"/>
      <c r="BE895" s="3"/>
    </row>
    <row r="896" spans="1:57" hidden="1" x14ac:dyDescent="0.25">
      <c r="A896" s="3" t="s">
        <v>655</v>
      </c>
      <c r="B896" s="3"/>
      <c r="E896" s="3">
        <f t="shared" si="533"/>
        <v>0</v>
      </c>
      <c r="H896" s="5">
        <f t="shared" si="534"/>
        <v>0</v>
      </c>
      <c r="K896" s="4">
        <f t="shared" si="535"/>
        <v>0</v>
      </c>
      <c r="L896" s="4"/>
      <c r="N896" s="4">
        <f t="shared" si="536"/>
        <v>0</v>
      </c>
      <c r="P896" s="3"/>
      <c r="Q896" s="3"/>
      <c r="R896" s="3"/>
      <c r="S896" s="3">
        <f t="shared" si="537"/>
        <v>0</v>
      </c>
      <c r="T896" s="3"/>
      <c r="U896" s="3">
        <f t="shared" si="538"/>
        <v>0</v>
      </c>
      <c r="V896" s="3"/>
      <c r="W896" s="3">
        <f t="shared" si="539"/>
        <v>0</v>
      </c>
      <c r="X896" s="3"/>
      <c r="Y896" s="3"/>
      <c r="Z896" s="3">
        <f t="shared" si="540"/>
        <v>0</v>
      </c>
      <c r="AA896" s="3"/>
      <c r="AB896" s="3"/>
      <c r="AC896" s="3"/>
      <c r="AD896" s="3">
        <f t="shared" si="541"/>
        <v>0</v>
      </c>
      <c r="AE896" s="3"/>
      <c r="AF896" s="3">
        <f t="shared" si="542"/>
        <v>0</v>
      </c>
      <c r="AG896" s="4"/>
      <c r="AH896" s="4"/>
      <c r="AJ896" s="3"/>
      <c r="AK896" s="3">
        <f t="shared" si="543"/>
        <v>0</v>
      </c>
      <c r="AL896" s="3"/>
      <c r="AM896" s="3">
        <f t="shared" si="544"/>
        <v>0</v>
      </c>
      <c r="AO896" s="3"/>
      <c r="AP896" s="3"/>
      <c r="AQ896" s="3"/>
      <c r="AR896" s="3"/>
      <c r="AS896" s="3"/>
      <c r="AT896" s="3"/>
      <c r="AU896" s="3"/>
      <c r="AV896" s="42"/>
      <c r="AW896" s="3"/>
      <c r="AX896" s="42"/>
      <c r="AY896" s="3"/>
      <c r="AZ896" s="42"/>
      <c r="BA896" s="3"/>
      <c r="BB896" s="42"/>
      <c r="BC896" s="3"/>
      <c r="BD896" s="42"/>
      <c r="BE896" s="3"/>
    </row>
    <row r="897" spans="1:57" hidden="1" x14ac:dyDescent="0.25">
      <c r="A897" s="3" t="s">
        <v>656</v>
      </c>
      <c r="B897" s="3"/>
      <c r="E897" s="3">
        <f t="shared" si="533"/>
        <v>0</v>
      </c>
      <c r="H897" s="5">
        <f t="shared" si="534"/>
        <v>0</v>
      </c>
      <c r="K897" s="4">
        <f t="shared" si="535"/>
        <v>0</v>
      </c>
      <c r="L897" s="4"/>
      <c r="N897" s="4">
        <f t="shared" si="536"/>
        <v>0</v>
      </c>
      <c r="P897" s="3"/>
      <c r="Q897" s="3"/>
      <c r="R897" s="3"/>
      <c r="S897" s="3">
        <f t="shared" si="537"/>
        <v>0</v>
      </c>
      <c r="T897" s="3"/>
      <c r="U897" s="3">
        <f t="shared" si="538"/>
        <v>0</v>
      </c>
      <c r="V897" s="3"/>
      <c r="W897" s="3">
        <f t="shared" si="539"/>
        <v>0</v>
      </c>
      <c r="X897" s="3"/>
      <c r="Y897" s="3"/>
      <c r="Z897" s="3">
        <f t="shared" si="540"/>
        <v>0</v>
      </c>
      <c r="AA897" s="3"/>
      <c r="AB897" s="3"/>
      <c r="AC897" s="3"/>
      <c r="AD897" s="3">
        <f t="shared" si="541"/>
        <v>0</v>
      </c>
      <c r="AE897" s="3"/>
      <c r="AF897" s="3">
        <f t="shared" si="542"/>
        <v>0</v>
      </c>
      <c r="AG897" s="4"/>
      <c r="AH897" s="4"/>
      <c r="AJ897" s="3"/>
      <c r="AK897" s="3">
        <f t="shared" si="543"/>
        <v>0</v>
      </c>
      <c r="AL897" s="3"/>
      <c r="AM897" s="3">
        <f t="shared" si="544"/>
        <v>0</v>
      </c>
      <c r="AO897" s="3"/>
      <c r="AP897" s="3"/>
      <c r="AQ897" s="3"/>
      <c r="AR897" s="3"/>
      <c r="AS897" s="3"/>
      <c r="AT897" s="3"/>
      <c r="AU897" s="3"/>
      <c r="AV897" s="42"/>
      <c r="AW897" s="3"/>
      <c r="AX897" s="42"/>
      <c r="AY897" s="3"/>
      <c r="AZ897" s="42"/>
      <c r="BA897" s="3"/>
      <c r="BB897" s="42"/>
      <c r="BC897" s="3"/>
      <c r="BD897" s="42"/>
      <c r="BE897" s="3"/>
    </row>
    <row r="898" spans="1:57" hidden="1" x14ac:dyDescent="0.25">
      <c r="A898" s="3" t="s">
        <v>657</v>
      </c>
      <c r="B898" s="3"/>
      <c r="E898" s="3">
        <f t="shared" si="533"/>
        <v>0</v>
      </c>
      <c r="H898" s="5">
        <f t="shared" si="534"/>
        <v>0</v>
      </c>
      <c r="K898" s="4">
        <f t="shared" si="535"/>
        <v>0</v>
      </c>
      <c r="L898" s="4"/>
      <c r="N898" s="4">
        <f t="shared" si="536"/>
        <v>0</v>
      </c>
      <c r="P898" s="3"/>
      <c r="Q898" s="3"/>
      <c r="R898" s="3"/>
      <c r="S898" s="3">
        <f t="shared" si="537"/>
        <v>0</v>
      </c>
      <c r="T898" s="3"/>
      <c r="U898" s="3">
        <f t="shared" si="538"/>
        <v>0</v>
      </c>
      <c r="V898" s="3"/>
      <c r="W898" s="3">
        <f t="shared" si="539"/>
        <v>0</v>
      </c>
      <c r="X898" s="3"/>
      <c r="Y898" s="3"/>
      <c r="Z898" s="3">
        <f t="shared" si="540"/>
        <v>0</v>
      </c>
      <c r="AA898" s="3"/>
      <c r="AB898" s="3"/>
      <c r="AC898" s="3"/>
      <c r="AD898" s="3">
        <f t="shared" si="541"/>
        <v>0</v>
      </c>
      <c r="AE898" s="3"/>
      <c r="AF898" s="3">
        <f t="shared" si="542"/>
        <v>0</v>
      </c>
      <c r="AG898" s="4"/>
      <c r="AH898" s="4"/>
      <c r="AJ898" s="3"/>
      <c r="AK898" s="3">
        <f t="shared" si="543"/>
        <v>0</v>
      </c>
      <c r="AL898" s="3"/>
      <c r="AM898" s="3">
        <f t="shared" si="544"/>
        <v>0</v>
      </c>
      <c r="AO898" s="3"/>
      <c r="AP898" s="3"/>
      <c r="AQ898" s="3"/>
      <c r="AR898" s="3"/>
      <c r="AS898" s="3"/>
      <c r="AT898" s="3"/>
      <c r="AU898" s="3"/>
      <c r="AV898" s="42"/>
      <c r="AW898" s="3"/>
      <c r="AX898" s="42"/>
      <c r="AY898" s="3"/>
      <c r="AZ898" s="42"/>
      <c r="BA898" s="3"/>
      <c r="BB898" s="42"/>
      <c r="BC898" s="3"/>
      <c r="BD898" s="42"/>
      <c r="BE898" s="3"/>
    </row>
    <row r="899" spans="1:57" s="77" customFormat="1" hidden="1" x14ac:dyDescent="0.25">
      <c r="A899" s="3" t="s">
        <v>658</v>
      </c>
      <c r="B899" s="3"/>
      <c r="C899" s="3"/>
      <c r="D899" s="29"/>
      <c r="E899" s="3">
        <f t="shared" si="533"/>
        <v>0</v>
      </c>
      <c r="F899" s="29"/>
      <c r="G899" s="3"/>
      <c r="H899" s="5">
        <f t="shared" si="534"/>
        <v>0</v>
      </c>
      <c r="I899" s="5"/>
      <c r="J899" s="5"/>
      <c r="K899" s="4">
        <f t="shared" si="535"/>
        <v>0</v>
      </c>
      <c r="L899" s="4"/>
      <c r="M899" s="4"/>
      <c r="N899" s="4">
        <f t="shared" si="536"/>
        <v>0</v>
      </c>
      <c r="O899" s="4"/>
      <c r="P899" s="3"/>
      <c r="Q899" s="3"/>
      <c r="R899" s="3"/>
      <c r="S899" s="3">
        <f t="shared" si="537"/>
        <v>0</v>
      </c>
      <c r="T899" s="3"/>
      <c r="U899" s="3">
        <f t="shared" si="538"/>
        <v>0</v>
      </c>
      <c r="V899" s="3"/>
      <c r="W899" s="3">
        <f t="shared" si="539"/>
        <v>0</v>
      </c>
      <c r="X899" s="3"/>
      <c r="Y899" s="3"/>
      <c r="Z899" s="3">
        <f t="shared" si="540"/>
        <v>0</v>
      </c>
      <c r="AA899" s="3"/>
      <c r="AB899" s="3"/>
      <c r="AC899" s="3"/>
      <c r="AD899" s="3">
        <f t="shared" si="541"/>
        <v>0</v>
      </c>
      <c r="AE899" s="3"/>
      <c r="AF899" s="3">
        <f t="shared" si="542"/>
        <v>0</v>
      </c>
      <c r="AG899" s="4"/>
      <c r="AH899" s="4"/>
      <c r="AI899" s="4"/>
      <c r="AJ899" s="3"/>
      <c r="AK899" s="3">
        <f t="shared" si="543"/>
        <v>0</v>
      </c>
      <c r="AL899" s="3"/>
      <c r="AM899" s="3">
        <f t="shared" si="544"/>
        <v>0</v>
      </c>
      <c r="AN899" s="4"/>
      <c r="AO899" s="3"/>
      <c r="AP899" s="3"/>
      <c r="AQ899" s="3"/>
      <c r="AR899" s="3"/>
      <c r="AS899" s="3"/>
      <c r="AT899" s="3"/>
      <c r="AU899" s="3"/>
      <c r="AV899" s="42"/>
      <c r="AW899" s="3"/>
      <c r="AX899" s="42"/>
      <c r="AY899" s="3"/>
      <c r="AZ899" s="42"/>
      <c r="BA899" s="3"/>
      <c r="BB899" s="42"/>
      <c r="BC899" s="3"/>
      <c r="BD899" s="42"/>
      <c r="BE899" s="3"/>
    </row>
    <row r="900" spans="1:57" hidden="1" x14ac:dyDescent="0.25">
      <c r="A900" s="3" t="s">
        <v>659</v>
      </c>
      <c r="B900" s="3"/>
      <c r="E900" s="3">
        <f t="shared" si="533"/>
        <v>0</v>
      </c>
      <c r="H900" s="5">
        <f t="shared" si="534"/>
        <v>0</v>
      </c>
      <c r="K900" s="4">
        <f t="shared" si="535"/>
        <v>0</v>
      </c>
      <c r="L900" s="4"/>
      <c r="N900" s="4">
        <f t="shared" si="536"/>
        <v>0</v>
      </c>
      <c r="P900" s="3"/>
      <c r="Q900" s="3"/>
      <c r="R900" s="3"/>
      <c r="S900" s="3">
        <f t="shared" si="537"/>
        <v>0</v>
      </c>
      <c r="T900" s="3"/>
      <c r="U900" s="3">
        <f t="shared" si="538"/>
        <v>0</v>
      </c>
      <c r="V900" s="3"/>
      <c r="W900" s="3">
        <f t="shared" si="539"/>
        <v>0</v>
      </c>
      <c r="X900" s="3"/>
      <c r="Y900" s="3"/>
      <c r="Z900" s="3">
        <f t="shared" si="540"/>
        <v>0</v>
      </c>
      <c r="AA900" s="3"/>
      <c r="AB900" s="3"/>
      <c r="AC900" s="3"/>
      <c r="AD900" s="3">
        <f t="shared" si="541"/>
        <v>0</v>
      </c>
      <c r="AE900" s="3"/>
      <c r="AF900" s="3">
        <f t="shared" si="542"/>
        <v>0</v>
      </c>
      <c r="AG900" s="4"/>
      <c r="AH900" s="4"/>
      <c r="AJ900" s="3"/>
      <c r="AK900" s="3">
        <f t="shared" si="543"/>
        <v>0</v>
      </c>
      <c r="AL900" s="3"/>
      <c r="AM900" s="3">
        <f t="shared" si="544"/>
        <v>0</v>
      </c>
      <c r="AO900" s="3"/>
      <c r="AP900" s="3"/>
      <c r="AQ900" s="3"/>
      <c r="AR900" s="3"/>
      <c r="AS900" s="3"/>
      <c r="AT900" s="3"/>
      <c r="AU900" s="3"/>
      <c r="AV900" s="42"/>
      <c r="AW900" s="3"/>
      <c r="AX900" s="42"/>
      <c r="AY900" s="3"/>
      <c r="AZ900" s="42"/>
      <c r="BA900" s="3"/>
      <c r="BB900" s="42"/>
      <c r="BC900" s="3"/>
      <c r="BD900" s="42"/>
      <c r="BE900" s="3"/>
    </row>
    <row r="901" spans="1:57" s="77" customFormat="1" hidden="1" x14ac:dyDescent="0.25">
      <c r="A901" s="3" t="s">
        <v>660</v>
      </c>
      <c r="B901" s="3"/>
      <c r="C901" s="3"/>
      <c r="D901" s="29"/>
      <c r="E901" s="3">
        <f t="shared" si="533"/>
        <v>0</v>
      </c>
      <c r="F901" s="29"/>
      <c r="G901" s="3"/>
      <c r="H901" s="5">
        <f t="shared" si="534"/>
        <v>0</v>
      </c>
      <c r="I901" s="5"/>
      <c r="J901" s="5"/>
      <c r="K901" s="4">
        <f t="shared" si="535"/>
        <v>0</v>
      </c>
      <c r="L901" s="4"/>
      <c r="M901" s="4"/>
      <c r="N901" s="4">
        <f t="shared" si="536"/>
        <v>0</v>
      </c>
      <c r="O901" s="4"/>
      <c r="P901" s="3"/>
      <c r="Q901" s="3"/>
      <c r="R901" s="3"/>
      <c r="S901" s="3">
        <f t="shared" si="537"/>
        <v>0</v>
      </c>
      <c r="T901" s="3"/>
      <c r="U901" s="3">
        <f t="shared" si="538"/>
        <v>0</v>
      </c>
      <c r="V901" s="3"/>
      <c r="W901" s="3">
        <f t="shared" si="539"/>
        <v>0</v>
      </c>
      <c r="X901" s="3"/>
      <c r="Y901" s="3"/>
      <c r="Z901" s="3">
        <f t="shared" si="540"/>
        <v>0</v>
      </c>
      <c r="AA901" s="3"/>
      <c r="AB901" s="3"/>
      <c r="AC901" s="3"/>
      <c r="AD901" s="3">
        <f t="shared" si="541"/>
        <v>0</v>
      </c>
      <c r="AE901" s="3"/>
      <c r="AF901" s="3">
        <f t="shared" si="542"/>
        <v>0</v>
      </c>
      <c r="AG901" s="4"/>
      <c r="AH901" s="4"/>
      <c r="AI901" s="4"/>
      <c r="AJ901" s="3"/>
      <c r="AK901" s="3">
        <f t="shared" si="543"/>
        <v>0</v>
      </c>
      <c r="AL901" s="3"/>
      <c r="AM901" s="3">
        <f t="shared" si="544"/>
        <v>0</v>
      </c>
      <c r="AN901" s="4"/>
      <c r="AO901" s="3"/>
      <c r="AP901" s="3"/>
      <c r="AQ901" s="3"/>
      <c r="AR901" s="3"/>
      <c r="AS901" s="3"/>
      <c r="AT901" s="3"/>
      <c r="AU901" s="3"/>
      <c r="AV901" s="42"/>
      <c r="AW901" s="3"/>
      <c r="AX901" s="42"/>
      <c r="AY901" s="3"/>
      <c r="AZ901" s="42"/>
      <c r="BA901" s="3"/>
      <c r="BB901" s="42"/>
      <c r="BC901" s="3"/>
      <c r="BD901" s="42"/>
      <c r="BE901" s="3"/>
    </row>
    <row r="902" spans="1:57" hidden="1" x14ac:dyDescent="0.25">
      <c r="A902" s="3" t="s">
        <v>661</v>
      </c>
      <c r="B902" s="3">
        <v>15000</v>
      </c>
      <c r="E902" s="3">
        <f t="shared" si="533"/>
        <v>15000</v>
      </c>
      <c r="F902" s="5">
        <v>15000</v>
      </c>
      <c r="H902" s="5">
        <f t="shared" si="534"/>
        <v>0</v>
      </c>
      <c r="J902" s="5">
        <v>4862</v>
      </c>
      <c r="K902" s="4">
        <f t="shared" si="535"/>
        <v>10138</v>
      </c>
      <c r="L902" s="4">
        <v>15000</v>
      </c>
      <c r="N902" s="4">
        <f t="shared" si="536"/>
        <v>0</v>
      </c>
      <c r="P902" s="3"/>
      <c r="Q902" s="3"/>
      <c r="R902" s="3"/>
      <c r="S902" s="3">
        <f t="shared" si="537"/>
        <v>0</v>
      </c>
      <c r="T902" s="3"/>
      <c r="U902" s="3">
        <f t="shared" si="538"/>
        <v>0</v>
      </c>
      <c r="V902" s="3"/>
      <c r="W902" s="3">
        <f t="shared" si="539"/>
        <v>0</v>
      </c>
      <c r="X902" s="3"/>
      <c r="Y902" s="3"/>
      <c r="Z902" s="3">
        <f t="shared" si="540"/>
        <v>0</v>
      </c>
      <c r="AA902" s="3"/>
      <c r="AB902" s="3"/>
      <c r="AC902" s="3"/>
      <c r="AD902" s="3">
        <f t="shared" si="541"/>
        <v>0</v>
      </c>
      <c r="AE902" s="3"/>
      <c r="AF902" s="3">
        <f t="shared" si="542"/>
        <v>0</v>
      </c>
      <c r="AG902" s="4"/>
      <c r="AH902" s="4"/>
      <c r="AJ902" s="3"/>
      <c r="AK902" s="3">
        <f t="shared" si="543"/>
        <v>0</v>
      </c>
      <c r="AL902" s="3"/>
      <c r="AM902" s="3">
        <f t="shared" si="544"/>
        <v>0</v>
      </c>
      <c r="AO902" s="3"/>
      <c r="AP902" s="3"/>
      <c r="AQ902" s="3"/>
      <c r="AR902" s="3"/>
      <c r="AS902" s="3"/>
      <c r="AT902" s="3"/>
      <c r="AU902" s="3"/>
      <c r="AV902" s="42"/>
      <c r="AW902" s="3"/>
      <c r="AX902" s="42"/>
      <c r="AY902" s="3"/>
      <c r="AZ902" s="42"/>
      <c r="BA902" s="3"/>
      <c r="BB902" s="42"/>
      <c r="BC902" s="3"/>
      <c r="BD902" s="42"/>
      <c r="BE902" s="3"/>
    </row>
    <row r="903" spans="1:57" s="77" customFormat="1" hidden="1" x14ac:dyDescent="0.25">
      <c r="A903" s="3" t="s">
        <v>662</v>
      </c>
      <c r="B903" s="3"/>
      <c r="C903" s="3"/>
      <c r="D903" s="29"/>
      <c r="E903" s="3">
        <f t="shared" si="533"/>
        <v>0</v>
      </c>
      <c r="F903" s="29"/>
      <c r="G903" s="3"/>
      <c r="H903" s="5">
        <f t="shared" si="534"/>
        <v>0</v>
      </c>
      <c r="I903" s="5"/>
      <c r="J903" s="5"/>
      <c r="K903" s="4">
        <f t="shared" si="535"/>
        <v>0</v>
      </c>
      <c r="L903" s="4"/>
      <c r="M903" s="4"/>
      <c r="N903" s="4">
        <f t="shared" si="536"/>
        <v>0</v>
      </c>
      <c r="O903" s="4"/>
      <c r="P903" s="3"/>
      <c r="Q903" s="3"/>
      <c r="R903" s="3"/>
      <c r="S903" s="3">
        <f t="shared" si="537"/>
        <v>0</v>
      </c>
      <c r="T903" s="3"/>
      <c r="U903" s="3">
        <f t="shared" si="538"/>
        <v>0</v>
      </c>
      <c r="V903" s="3"/>
      <c r="W903" s="3">
        <f t="shared" si="539"/>
        <v>0</v>
      </c>
      <c r="X903" s="3"/>
      <c r="Y903" s="3"/>
      <c r="Z903" s="3">
        <f t="shared" si="540"/>
        <v>0</v>
      </c>
      <c r="AA903" s="3"/>
      <c r="AB903" s="3"/>
      <c r="AC903" s="3"/>
      <c r="AD903" s="3">
        <f t="shared" si="541"/>
        <v>0</v>
      </c>
      <c r="AE903" s="3"/>
      <c r="AF903" s="3">
        <f t="shared" si="542"/>
        <v>0</v>
      </c>
      <c r="AG903" s="4"/>
      <c r="AH903" s="4"/>
      <c r="AI903" s="4"/>
      <c r="AJ903" s="3"/>
      <c r="AK903" s="3">
        <f t="shared" si="543"/>
        <v>0</v>
      </c>
      <c r="AL903" s="3"/>
      <c r="AM903" s="3">
        <f t="shared" si="544"/>
        <v>0</v>
      </c>
      <c r="AN903" s="4"/>
      <c r="AO903" s="3"/>
      <c r="AP903" s="3"/>
      <c r="AQ903" s="3"/>
      <c r="AR903" s="3"/>
      <c r="AS903" s="3"/>
      <c r="AT903" s="3"/>
      <c r="AU903" s="3"/>
      <c r="AV903" s="42"/>
      <c r="AW903" s="3"/>
      <c r="AX903" s="42"/>
      <c r="AY903" s="3"/>
      <c r="AZ903" s="42"/>
      <c r="BA903" s="3"/>
      <c r="BB903" s="42"/>
      <c r="BC903" s="3"/>
      <c r="BD903" s="42"/>
      <c r="BE903" s="3"/>
    </row>
    <row r="904" spans="1:57" hidden="1" x14ac:dyDescent="0.25">
      <c r="A904" s="3" t="s">
        <v>663</v>
      </c>
      <c r="B904" s="3"/>
      <c r="E904" s="3">
        <f t="shared" si="533"/>
        <v>0</v>
      </c>
      <c r="H904" s="5">
        <f t="shared" si="534"/>
        <v>0</v>
      </c>
      <c r="K904" s="4">
        <f t="shared" si="535"/>
        <v>0</v>
      </c>
      <c r="L904" s="4"/>
      <c r="N904" s="4">
        <f t="shared" si="536"/>
        <v>0</v>
      </c>
      <c r="P904" s="3"/>
      <c r="Q904" s="3"/>
      <c r="R904" s="3"/>
      <c r="S904" s="3">
        <f t="shared" si="537"/>
        <v>0</v>
      </c>
      <c r="T904" s="3"/>
      <c r="U904" s="3">
        <f t="shared" si="538"/>
        <v>0</v>
      </c>
      <c r="V904" s="3"/>
      <c r="W904" s="3">
        <f t="shared" si="539"/>
        <v>0</v>
      </c>
      <c r="X904" s="3"/>
      <c r="Y904" s="3"/>
      <c r="Z904" s="3">
        <f t="shared" si="540"/>
        <v>0</v>
      </c>
      <c r="AA904" s="3"/>
      <c r="AB904" s="3"/>
      <c r="AC904" s="3"/>
      <c r="AD904" s="3">
        <f t="shared" si="541"/>
        <v>0</v>
      </c>
      <c r="AE904" s="3"/>
      <c r="AF904" s="3">
        <f t="shared" si="542"/>
        <v>0</v>
      </c>
      <c r="AG904" s="4"/>
      <c r="AH904" s="4"/>
      <c r="AJ904" s="3"/>
      <c r="AK904" s="3">
        <f t="shared" si="543"/>
        <v>0</v>
      </c>
      <c r="AL904" s="3"/>
      <c r="AM904" s="3">
        <f t="shared" si="544"/>
        <v>0</v>
      </c>
      <c r="AO904" s="3"/>
      <c r="AP904" s="3"/>
      <c r="AQ904" s="3"/>
      <c r="AR904" s="3"/>
      <c r="AS904" s="3"/>
      <c r="AT904" s="3"/>
      <c r="AU904" s="3"/>
      <c r="AV904" s="42"/>
      <c r="AW904" s="3"/>
      <c r="AX904" s="42"/>
      <c r="AY904" s="3"/>
      <c r="AZ904" s="42"/>
      <c r="BA904" s="3"/>
      <c r="BB904" s="42"/>
      <c r="BC904" s="3"/>
      <c r="BD904" s="42"/>
      <c r="BE904" s="3"/>
    </row>
    <row r="905" spans="1:57" s="77" customFormat="1" hidden="1" x14ac:dyDescent="0.25">
      <c r="A905" s="3" t="s">
        <v>664</v>
      </c>
      <c r="B905" s="3"/>
      <c r="C905" s="3"/>
      <c r="D905" s="29"/>
      <c r="E905" s="3">
        <f t="shared" ref="E905:E930" si="545">F905-D905</f>
        <v>0</v>
      </c>
      <c r="F905" s="29"/>
      <c r="G905" s="3"/>
      <c r="H905" s="5">
        <f t="shared" ref="H905:H930" si="546">F905-B905</f>
        <v>0</v>
      </c>
      <c r="I905" s="5"/>
      <c r="J905" s="5"/>
      <c r="K905" s="4">
        <f t="shared" ref="K905:K975" si="547">L905-J905</f>
        <v>0</v>
      </c>
      <c r="L905" s="4"/>
      <c r="M905" s="4"/>
      <c r="N905" s="4">
        <f t="shared" ref="N905:N975" si="548">L905-F905</f>
        <v>0</v>
      </c>
      <c r="O905" s="4"/>
      <c r="P905" s="3"/>
      <c r="Q905" s="3"/>
      <c r="R905" s="3"/>
      <c r="S905" s="3">
        <f t="shared" si="537"/>
        <v>0</v>
      </c>
      <c r="T905" s="3"/>
      <c r="U905" s="3">
        <f t="shared" si="538"/>
        <v>0</v>
      </c>
      <c r="V905" s="3"/>
      <c r="W905" s="3">
        <f t="shared" si="539"/>
        <v>0</v>
      </c>
      <c r="X905" s="3"/>
      <c r="Y905" s="3"/>
      <c r="Z905" s="3">
        <f t="shared" ref="Z905:Z968" si="549">Y905-T905</f>
        <v>0</v>
      </c>
      <c r="AA905" s="3"/>
      <c r="AB905" s="3"/>
      <c r="AC905" s="3"/>
      <c r="AD905" s="3">
        <f t="shared" si="541"/>
        <v>0</v>
      </c>
      <c r="AE905" s="3"/>
      <c r="AF905" s="3">
        <f t="shared" si="542"/>
        <v>0</v>
      </c>
      <c r="AG905" s="4"/>
      <c r="AH905" s="4"/>
      <c r="AI905" s="4"/>
      <c r="AJ905" s="3"/>
      <c r="AK905" s="3">
        <f t="shared" ref="AK905:AK968" si="550">AL905-AJ905</f>
        <v>0</v>
      </c>
      <c r="AL905" s="3"/>
      <c r="AM905" s="3">
        <f t="shared" ref="AM905:AM968" si="551">AL905-AH905</f>
        <v>0</v>
      </c>
      <c r="AN905" s="4"/>
      <c r="AO905" s="3"/>
      <c r="AP905" s="3"/>
      <c r="AQ905" s="3"/>
      <c r="AR905" s="3"/>
      <c r="AS905" s="3"/>
      <c r="AT905" s="3"/>
      <c r="AU905" s="3"/>
      <c r="AV905" s="42"/>
      <c r="AW905" s="3"/>
      <c r="AX905" s="42"/>
      <c r="AY905" s="3"/>
      <c r="AZ905" s="42"/>
      <c r="BA905" s="3"/>
      <c r="BB905" s="42"/>
      <c r="BC905" s="3"/>
      <c r="BD905" s="42"/>
      <c r="BE905" s="3"/>
    </row>
    <row r="906" spans="1:57" hidden="1" x14ac:dyDescent="0.25">
      <c r="A906" s="3" t="s">
        <v>665</v>
      </c>
      <c r="B906" s="3"/>
      <c r="E906" s="3">
        <f t="shared" si="545"/>
        <v>0</v>
      </c>
      <c r="H906" s="5">
        <f t="shared" si="546"/>
        <v>0</v>
      </c>
      <c r="K906" s="4">
        <f t="shared" si="547"/>
        <v>0</v>
      </c>
      <c r="L906" s="4"/>
      <c r="N906" s="4">
        <f t="shared" si="548"/>
        <v>0</v>
      </c>
      <c r="P906" s="3">
        <v>10000</v>
      </c>
      <c r="Q906" s="3"/>
      <c r="R906" s="3"/>
      <c r="S906" s="3">
        <f t="shared" si="537"/>
        <v>5000</v>
      </c>
      <c r="T906" s="3">
        <v>5000</v>
      </c>
      <c r="U906" s="3">
        <f t="shared" si="538"/>
        <v>-5000</v>
      </c>
      <c r="V906" s="3"/>
      <c r="W906" s="3">
        <f t="shared" si="539"/>
        <v>5000</v>
      </c>
      <c r="X906" s="3"/>
      <c r="Y906" s="3">
        <v>5000</v>
      </c>
      <c r="Z906" s="3">
        <f t="shared" si="549"/>
        <v>0</v>
      </c>
      <c r="AA906" s="3"/>
      <c r="AB906" s="3"/>
      <c r="AC906" s="3"/>
      <c r="AD906" s="3">
        <f t="shared" si="541"/>
        <v>5000</v>
      </c>
      <c r="AE906" s="3">
        <v>5000</v>
      </c>
      <c r="AF906" s="3">
        <f t="shared" si="542"/>
        <v>0</v>
      </c>
      <c r="AG906" s="4"/>
      <c r="AH906" s="4"/>
      <c r="AJ906" s="3"/>
      <c r="AK906" s="3">
        <f t="shared" si="550"/>
        <v>0</v>
      </c>
      <c r="AL906" s="3"/>
      <c r="AM906" s="3">
        <f t="shared" si="551"/>
        <v>0</v>
      </c>
      <c r="AO906" s="3"/>
      <c r="AP906" s="3"/>
      <c r="AQ906" s="3"/>
      <c r="AR906" s="3"/>
      <c r="AS906" s="3"/>
      <c r="AT906" s="3"/>
      <c r="AU906" s="3"/>
      <c r="AV906" s="42"/>
      <c r="AW906" s="3"/>
      <c r="AX906" s="42"/>
      <c r="AY906" s="3"/>
      <c r="AZ906" s="42"/>
      <c r="BA906" s="3"/>
      <c r="BB906" s="42"/>
      <c r="BC906" s="3"/>
      <c r="BD906" s="42"/>
      <c r="BE906" s="3"/>
    </row>
    <row r="907" spans="1:57" s="77" customFormat="1" hidden="1" x14ac:dyDescent="0.25">
      <c r="A907" s="3" t="s">
        <v>666</v>
      </c>
      <c r="B907" s="3"/>
      <c r="C907" s="3"/>
      <c r="D907" s="29"/>
      <c r="E907" s="3">
        <f t="shared" si="545"/>
        <v>0</v>
      </c>
      <c r="F907" s="29"/>
      <c r="G907" s="3"/>
      <c r="H907" s="5">
        <f t="shared" si="546"/>
        <v>0</v>
      </c>
      <c r="I907" s="5"/>
      <c r="J907" s="5"/>
      <c r="K907" s="4">
        <f t="shared" si="547"/>
        <v>0</v>
      </c>
      <c r="L907" s="4"/>
      <c r="M907" s="4"/>
      <c r="N907" s="4">
        <f t="shared" si="548"/>
        <v>0</v>
      </c>
      <c r="O907" s="4"/>
      <c r="P907" s="3">
        <v>4000</v>
      </c>
      <c r="Q907" s="3"/>
      <c r="R907" s="3"/>
      <c r="S907" s="3">
        <f t="shared" si="537"/>
        <v>2000</v>
      </c>
      <c r="T907" s="3">
        <v>2000</v>
      </c>
      <c r="U907" s="3">
        <f t="shared" si="538"/>
        <v>-2000</v>
      </c>
      <c r="V907" s="3"/>
      <c r="W907" s="3">
        <f t="shared" si="539"/>
        <v>2000</v>
      </c>
      <c r="X907" s="3"/>
      <c r="Y907" s="3">
        <v>2000</v>
      </c>
      <c r="Z907" s="3">
        <f t="shared" si="549"/>
        <v>0</v>
      </c>
      <c r="AA907" s="3"/>
      <c r="AB907" s="3"/>
      <c r="AC907" s="3"/>
      <c r="AD907" s="3">
        <f t="shared" si="541"/>
        <v>2000</v>
      </c>
      <c r="AE907" s="3">
        <v>2000</v>
      </c>
      <c r="AF907" s="3">
        <f t="shared" si="542"/>
        <v>0</v>
      </c>
      <c r="AG907" s="4"/>
      <c r="AH907" s="4"/>
      <c r="AI907" s="4"/>
      <c r="AJ907" s="3"/>
      <c r="AK907" s="3">
        <f t="shared" si="550"/>
        <v>0</v>
      </c>
      <c r="AL907" s="3"/>
      <c r="AM907" s="3">
        <f t="shared" si="551"/>
        <v>0</v>
      </c>
      <c r="AN907" s="4"/>
      <c r="AO907" s="3"/>
      <c r="AP907" s="3"/>
      <c r="AQ907" s="3"/>
      <c r="AR907" s="3"/>
      <c r="AS907" s="3"/>
      <c r="AT907" s="3"/>
      <c r="AU907" s="3"/>
      <c r="AV907" s="42"/>
      <c r="AW907" s="3"/>
      <c r="AX907" s="42"/>
      <c r="AY907" s="3"/>
      <c r="AZ907" s="42"/>
      <c r="BA907" s="3"/>
      <c r="BB907" s="42"/>
      <c r="BC907" s="3"/>
      <c r="BD907" s="42"/>
      <c r="BE907" s="3"/>
    </row>
    <row r="908" spans="1:57" s="77" customFormat="1" hidden="1" x14ac:dyDescent="0.25">
      <c r="A908" s="3" t="s">
        <v>667</v>
      </c>
      <c r="B908" s="3"/>
      <c r="C908" s="3"/>
      <c r="D908" s="29">
        <v>8436</v>
      </c>
      <c r="E908" s="3">
        <f t="shared" si="545"/>
        <v>11564</v>
      </c>
      <c r="F908" s="29">
        <v>20000</v>
      </c>
      <c r="G908" s="3"/>
      <c r="H908" s="5">
        <f t="shared" si="546"/>
        <v>20000</v>
      </c>
      <c r="I908" s="5"/>
      <c r="J908" s="5">
        <v>20000</v>
      </c>
      <c r="K908" s="4">
        <f t="shared" si="547"/>
        <v>0</v>
      </c>
      <c r="L908" s="4">
        <v>20000</v>
      </c>
      <c r="M908" s="4"/>
      <c r="N908" s="4">
        <f t="shared" si="548"/>
        <v>0</v>
      </c>
      <c r="O908" s="4"/>
      <c r="P908" s="3"/>
      <c r="Q908" s="3"/>
      <c r="R908" s="3"/>
      <c r="S908" s="3">
        <f t="shared" ref="S908:S975" si="552">T908-R908</f>
        <v>0</v>
      </c>
      <c r="T908" s="3"/>
      <c r="U908" s="3">
        <f t="shared" ref="U908:U975" si="553">T908-P908</f>
        <v>0</v>
      </c>
      <c r="V908" s="3"/>
      <c r="W908" s="3">
        <f t="shared" ref="W908:W975" si="554">Y908-V908</f>
        <v>0</v>
      </c>
      <c r="X908" s="3"/>
      <c r="Y908" s="3"/>
      <c r="Z908" s="3">
        <f t="shared" si="549"/>
        <v>0</v>
      </c>
      <c r="AA908" s="3"/>
      <c r="AB908" s="3"/>
      <c r="AC908" s="3"/>
      <c r="AD908" s="3">
        <f t="shared" ref="AD908:AD975" si="555">AE908-AC908</f>
        <v>0</v>
      </c>
      <c r="AE908" s="3"/>
      <c r="AF908" s="3">
        <f t="shared" ref="AF908:AF975" si="556">AE908-Y908</f>
        <v>0</v>
      </c>
      <c r="AG908" s="4"/>
      <c r="AH908" s="4"/>
      <c r="AI908" s="4"/>
      <c r="AJ908" s="3"/>
      <c r="AK908" s="3">
        <f t="shared" si="550"/>
        <v>0</v>
      </c>
      <c r="AL908" s="3"/>
      <c r="AM908" s="3">
        <f t="shared" si="551"/>
        <v>0</v>
      </c>
      <c r="AN908" s="4"/>
      <c r="AO908" s="3"/>
      <c r="AP908" s="3"/>
      <c r="AQ908" s="3"/>
      <c r="AR908" s="3"/>
      <c r="AS908" s="3"/>
      <c r="AT908" s="3"/>
      <c r="AU908" s="3"/>
      <c r="AV908" s="42"/>
      <c r="AW908" s="3"/>
      <c r="AX908" s="42"/>
      <c r="AY908" s="3"/>
      <c r="AZ908" s="42"/>
      <c r="BA908" s="3"/>
      <c r="BB908" s="42"/>
      <c r="BC908" s="3"/>
      <c r="BD908" s="42"/>
      <c r="BE908" s="3"/>
    </row>
    <row r="909" spans="1:57" x14ac:dyDescent="0.25">
      <c r="A909" s="3" t="s">
        <v>668</v>
      </c>
      <c r="B909" s="3"/>
      <c r="E909" s="3">
        <f t="shared" si="545"/>
        <v>0</v>
      </c>
      <c r="H909" s="5">
        <f t="shared" si="546"/>
        <v>0</v>
      </c>
      <c r="K909" s="4">
        <f t="shared" si="547"/>
        <v>0</v>
      </c>
      <c r="L909" s="4"/>
      <c r="N909" s="4">
        <f t="shared" si="548"/>
        <v>0</v>
      </c>
      <c r="P909" s="3"/>
      <c r="Q909" s="3"/>
      <c r="R909" s="3"/>
      <c r="S909" s="3">
        <f t="shared" si="552"/>
        <v>0</v>
      </c>
      <c r="T909" s="3"/>
      <c r="U909" s="3">
        <f t="shared" si="553"/>
        <v>0</v>
      </c>
      <c r="V909" s="3"/>
      <c r="W909" s="3">
        <f t="shared" si="554"/>
        <v>0</v>
      </c>
      <c r="X909" s="3"/>
      <c r="Y909" s="3"/>
      <c r="Z909" s="3">
        <f t="shared" si="549"/>
        <v>0</v>
      </c>
      <c r="AA909" s="3"/>
      <c r="AB909" s="3"/>
      <c r="AC909" s="3"/>
      <c r="AD909" s="3">
        <f t="shared" si="555"/>
        <v>0</v>
      </c>
      <c r="AE909" s="3"/>
      <c r="AF909" s="3">
        <f t="shared" si="556"/>
        <v>0</v>
      </c>
      <c r="AG909" s="4"/>
      <c r="AH909" s="4">
        <v>5000</v>
      </c>
      <c r="AJ909" s="3">
        <v>0</v>
      </c>
      <c r="AK909" s="3">
        <f t="shared" si="550"/>
        <v>5000</v>
      </c>
      <c r="AL909" s="3">
        <v>5000</v>
      </c>
      <c r="AM909" s="3">
        <f t="shared" si="551"/>
        <v>0</v>
      </c>
      <c r="AO909" s="3"/>
      <c r="AP909" s="3"/>
      <c r="AQ909" s="3"/>
      <c r="AR909" s="3"/>
      <c r="AS909" s="3"/>
      <c r="AT909" s="3"/>
      <c r="AU909" s="3"/>
      <c r="AV909" s="42"/>
      <c r="AW909" s="3"/>
      <c r="AX909" s="42"/>
      <c r="AY909" s="3"/>
      <c r="AZ909" s="42"/>
      <c r="BA909" s="3"/>
      <c r="BB909" s="42"/>
      <c r="BC909" s="3"/>
      <c r="BD909" s="42"/>
      <c r="BE909" s="3"/>
    </row>
    <row r="910" spans="1:57" s="77" customFormat="1" hidden="1" x14ac:dyDescent="0.25">
      <c r="A910" s="3" t="s">
        <v>669</v>
      </c>
      <c r="B910" s="3"/>
      <c r="C910" s="3"/>
      <c r="D910" s="29"/>
      <c r="E910" s="3">
        <f t="shared" si="545"/>
        <v>0</v>
      </c>
      <c r="F910" s="29"/>
      <c r="G910" s="3"/>
      <c r="H910" s="5">
        <f t="shared" si="546"/>
        <v>0</v>
      </c>
      <c r="I910" s="5"/>
      <c r="J910" s="5"/>
      <c r="K910" s="4">
        <f t="shared" si="547"/>
        <v>0</v>
      </c>
      <c r="L910" s="4"/>
      <c r="M910" s="4"/>
      <c r="N910" s="4">
        <f t="shared" si="548"/>
        <v>0</v>
      </c>
      <c r="O910" s="4"/>
      <c r="P910" s="3"/>
      <c r="Q910" s="3"/>
      <c r="R910" s="3"/>
      <c r="S910" s="3">
        <f t="shared" si="552"/>
        <v>0</v>
      </c>
      <c r="T910" s="3"/>
      <c r="U910" s="3">
        <f t="shared" si="553"/>
        <v>0</v>
      </c>
      <c r="V910" s="3"/>
      <c r="W910" s="3">
        <f t="shared" si="554"/>
        <v>0</v>
      </c>
      <c r="X910" s="3"/>
      <c r="Y910" s="3"/>
      <c r="Z910" s="3">
        <f t="shared" si="549"/>
        <v>0</v>
      </c>
      <c r="AA910" s="3"/>
      <c r="AB910" s="3"/>
      <c r="AC910" s="3"/>
      <c r="AD910" s="3">
        <f t="shared" si="555"/>
        <v>0</v>
      </c>
      <c r="AE910" s="3"/>
      <c r="AF910" s="3">
        <f t="shared" si="556"/>
        <v>0</v>
      </c>
      <c r="AG910" s="4"/>
      <c r="AH910" s="4"/>
      <c r="AI910" s="4"/>
      <c r="AJ910" s="3"/>
      <c r="AK910" s="3">
        <f t="shared" si="550"/>
        <v>0</v>
      </c>
      <c r="AL910" s="3"/>
      <c r="AM910" s="3">
        <f t="shared" si="551"/>
        <v>0</v>
      </c>
      <c r="AN910" s="4"/>
      <c r="AO910" s="3"/>
      <c r="AP910" s="3"/>
      <c r="AQ910" s="3"/>
      <c r="AR910" s="3"/>
      <c r="AS910" s="3"/>
      <c r="AT910" s="3"/>
      <c r="AU910" s="3"/>
      <c r="AV910" s="42"/>
      <c r="AW910" s="3"/>
      <c r="AX910" s="42"/>
      <c r="AY910" s="3"/>
      <c r="AZ910" s="42"/>
      <c r="BA910" s="3"/>
      <c r="BB910" s="42"/>
      <c r="BC910" s="3"/>
      <c r="BD910" s="42"/>
      <c r="BE910" s="3"/>
    </row>
    <row r="911" spans="1:57" hidden="1" x14ac:dyDescent="0.25">
      <c r="A911" s="3" t="s">
        <v>670</v>
      </c>
      <c r="B911" s="3"/>
      <c r="E911" s="3">
        <f t="shared" si="545"/>
        <v>0</v>
      </c>
      <c r="H911" s="5">
        <f t="shared" si="546"/>
        <v>0</v>
      </c>
      <c r="K911" s="4">
        <f t="shared" si="547"/>
        <v>0</v>
      </c>
      <c r="L911" s="4"/>
      <c r="N911" s="4">
        <f t="shared" si="548"/>
        <v>0</v>
      </c>
      <c r="P911" s="3"/>
      <c r="Q911" s="3"/>
      <c r="R911" s="3"/>
      <c r="S911" s="3">
        <f t="shared" si="552"/>
        <v>0</v>
      </c>
      <c r="T911" s="3"/>
      <c r="U911" s="3">
        <f t="shared" si="553"/>
        <v>0</v>
      </c>
      <c r="V911" s="3"/>
      <c r="W911" s="3">
        <f t="shared" si="554"/>
        <v>0</v>
      </c>
      <c r="X911" s="3"/>
      <c r="Y911" s="3"/>
      <c r="Z911" s="3">
        <f t="shared" si="549"/>
        <v>0</v>
      </c>
      <c r="AA911" s="3"/>
      <c r="AB911" s="3"/>
      <c r="AC911" s="3"/>
      <c r="AD911" s="3">
        <f t="shared" si="555"/>
        <v>0</v>
      </c>
      <c r="AE911" s="3"/>
      <c r="AF911" s="3">
        <f t="shared" si="556"/>
        <v>0</v>
      </c>
      <c r="AG911" s="4"/>
      <c r="AH911" s="4"/>
      <c r="AJ911" s="3"/>
      <c r="AK911" s="3">
        <f t="shared" si="550"/>
        <v>0</v>
      </c>
      <c r="AL911" s="3"/>
      <c r="AM911" s="3">
        <f t="shared" si="551"/>
        <v>0</v>
      </c>
      <c r="AO911" s="3"/>
      <c r="AP911" s="3"/>
      <c r="AQ911" s="3"/>
      <c r="AR911" s="3"/>
      <c r="AS911" s="3"/>
      <c r="AT911" s="3"/>
      <c r="AU911" s="3"/>
      <c r="AV911" s="42"/>
      <c r="AW911" s="3"/>
      <c r="AX911" s="42"/>
      <c r="AY911" s="3"/>
      <c r="AZ911" s="42"/>
      <c r="BA911" s="3"/>
      <c r="BB911" s="42"/>
      <c r="BC911" s="3"/>
      <c r="BD911" s="42"/>
      <c r="BE911" s="3"/>
    </row>
    <row r="912" spans="1:57" s="77" customFormat="1" hidden="1" x14ac:dyDescent="0.25">
      <c r="A912" s="3" t="s">
        <v>671</v>
      </c>
      <c r="B912" s="3"/>
      <c r="C912" s="3"/>
      <c r="D912" s="29">
        <v>30000</v>
      </c>
      <c r="E912" s="3">
        <f t="shared" si="545"/>
        <v>0</v>
      </c>
      <c r="F912" s="29">
        <v>30000</v>
      </c>
      <c r="G912" s="3"/>
      <c r="H912" s="5">
        <f t="shared" si="546"/>
        <v>30000</v>
      </c>
      <c r="I912" s="5"/>
      <c r="J912" s="5">
        <v>30000</v>
      </c>
      <c r="K912" s="4">
        <f t="shared" si="547"/>
        <v>0</v>
      </c>
      <c r="L912" s="4">
        <v>30000</v>
      </c>
      <c r="M912" s="4"/>
      <c r="N912" s="4">
        <f t="shared" si="548"/>
        <v>0</v>
      </c>
      <c r="O912" s="4"/>
      <c r="P912" s="3"/>
      <c r="Q912" s="3"/>
      <c r="R912" s="3"/>
      <c r="S912" s="3">
        <f t="shared" si="552"/>
        <v>0</v>
      </c>
      <c r="T912" s="3"/>
      <c r="U912" s="3">
        <f t="shared" si="553"/>
        <v>0</v>
      </c>
      <c r="V912" s="3"/>
      <c r="W912" s="3">
        <f t="shared" si="554"/>
        <v>0</v>
      </c>
      <c r="X912" s="3"/>
      <c r="Y912" s="3"/>
      <c r="Z912" s="3">
        <f t="shared" si="549"/>
        <v>0</v>
      </c>
      <c r="AA912" s="3"/>
      <c r="AB912" s="3"/>
      <c r="AC912" s="3"/>
      <c r="AD912" s="3">
        <f t="shared" si="555"/>
        <v>0</v>
      </c>
      <c r="AE912" s="3"/>
      <c r="AF912" s="3">
        <f t="shared" si="556"/>
        <v>0</v>
      </c>
      <c r="AG912" s="4"/>
      <c r="AH912" s="4"/>
      <c r="AI912" s="4"/>
      <c r="AJ912" s="3"/>
      <c r="AK912" s="3">
        <f t="shared" si="550"/>
        <v>0</v>
      </c>
      <c r="AL912" s="3"/>
      <c r="AM912" s="3">
        <f t="shared" si="551"/>
        <v>0</v>
      </c>
      <c r="AN912" s="4"/>
      <c r="AO912" s="3"/>
      <c r="AP912" s="3"/>
      <c r="AQ912" s="3"/>
      <c r="AR912" s="3"/>
      <c r="AS912" s="3"/>
      <c r="AT912" s="3"/>
      <c r="AU912" s="3"/>
      <c r="AV912" s="42"/>
      <c r="AW912" s="3"/>
      <c r="AX912" s="42"/>
      <c r="AY912" s="3"/>
      <c r="AZ912" s="42"/>
      <c r="BA912" s="3"/>
      <c r="BB912" s="42"/>
      <c r="BC912" s="3"/>
      <c r="BD912" s="42"/>
      <c r="BE912" s="3"/>
    </row>
    <row r="913" spans="1:57" hidden="1" x14ac:dyDescent="0.25">
      <c r="A913" s="3" t="s">
        <v>672</v>
      </c>
      <c r="B913" s="3"/>
      <c r="E913" s="3">
        <f t="shared" si="545"/>
        <v>0</v>
      </c>
      <c r="H913" s="5">
        <f t="shared" si="546"/>
        <v>0</v>
      </c>
      <c r="K913" s="4">
        <f t="shared" si="547"/>
        <v>0</v>
      </c>
      <c r="L913" s="4"/>
      <c r="N913" s="4">
        <f t="shared" si="548"/>
        <v>0</v>
      </c>
      <c r="P913" s="3"/>
      <c r="Q913" s="3"/>
      <c r="R913" s="3"/>
      <c r="S913" s="3">
        <f t="shared" si="552"/>
        <v>0</v>
      </c>
      <c r="T913" s="3"/>
      <c r="U913" s="3">
        <f t="shared" si="553"/>
        <v>0</v>
      </c>
      <c r="V913" s="3"/>
      <c r="W913" s="3">
        <f t="shared" si="554"/>
        <v>0</v>
      </c>
      <c r="X913" s="3"/>
      <c r="Y913" s="3"/>
      <c r="Z913" s="3">
        <f t="shared" si="549"/>
        <v>0</v>
      </c>
      <c r="AA913" s="3"/>
      <c r="AB913" s="3"/>
      <c r="AC913" s="3"/>
      <c r="AD913" s="3">
        <f t="shared" si="555"/>
        <v>0</v>
      </c>
      <c r="AE913" s="3"/>
      <c r="AF913" s="3">
        <f t="shared" si="556"/>
        <v>0</v>
      </c>
      <c r="AG913" s="4"/>
      <c r="AH913" s="4"/>
      <c r="AJ913" s="3"/>
      <c r="AK913" s="3">
        <f t="shared" si="550"/>
        <v>0</v>
      </c>
      <c r="AL913" s="3"/>
      <c r="AM913" s="3">
        <f t="shared" si="551"/>
        <v>0</v>
      </c>
      <c r="AO913" s="3"/>
      <c r="AP913" s="3"/>
      <c r="AQ913" s="3"/>
      <c r="AR913" s="3"/>
      <c r="AS913" s="3"/>
      <c r="AT913" s="3"/>
      <c r="AU913" s="3"/>
      <c r="AV913" s="42"/>
      <c r="AW913" s="3"/>
      <c r="AX913" s="42"/>
      <c r="AY913" s="3"/>
      <c r="AZ913" s="42"/>
      <c r="BA913" s="3"/>
      <c r="BB913" s="42"/>
      <c r="BC913" s="3"/>
      <c r="BD913" s="42"/>
      <c r="BE913" s="3"/>
    </row>
    <row r="914" spans="1:57" s="77" customFormat="1" hidden="1" x14ac:dyDescent="0.25">
      <c r="A914" s="3" t="s">
        <v>673</v>
      </c>
      <c r="B914" s="3"/>
      <c r="C914" s="3"/>
      <c r="D914" s="29"/>
      <c r="E914" s="3">
        <f t="shared" si="545"/>
        <v>0</v>
      </c>
      <c r="F914" s="29"/>
      <c r="G914" s="3"/>
      <c r="H914" s="5">
        <f t="shared" si="546"/>
        <v>0</v>
      </c>
      <c r="I914" s="5"/>
      <c r="J914" s="5"/>
      <c r="K914" s="4">
        <f t="shared" si="547"/>
        <v>0</v>
      </c>
      <c r="L914" s="4"/>
      <c r="M914" s="4"/>
      <c r="N914" s="4">
        <f t="shared" si="548"/>
        <v>0</v>
      </c>
      <c r="O914" s="4"/>
      <c r="P914" s="3"/>
      <c r="Q914" s="3"/>
      <c r="R914" s="3"/>
      <c r="S914" s="3">
        <f t="shared" si="552"/>
        <v>0</v>
      </c>
      <c r="T914" s="3"/>
      <c r="U914" s="3">
        <f t="shared" si="553"/>
        <v>0</v>
      </c>
      <c r="V914" s="3"/>
      <c r="W914" s="3">
        <f t="shared" si="554"/>
        <v>0</v>
      </c>
      <c r="X914" s="3"/>
      <c r="Y914" s="3"/>
      <c r="Z914" s="3">
        <f t="shared" si="549"/>
        <v>0</v>
      </c>
      <c r="AA914" s="3"/>
      <c r="AB914" s="3"/>
      <c r="AC914" s="3"/>
      <c r="AD914" s="3">
        <f t="shared" si="555"/>
        <v>0</v>
      </c>
      <c r="AE914" s="3"/>
      <c r="AF914" s="3">
        <f t="shared" si="556"/>
        <v>0</v>
      </c>
      <c r="AG914" s="4"/>
      <c r="AH914" s="4"/>
      <c r="AI914" s="4"/>
      <c r="AJ914" s="3"/>
      <c r="AK914" s="3">
        <f t="shared" si="550"/>
        <v>0</v>
      </c>
      <c r="AL914" s="3"/>
      <c r="AM914" s="3">
        <f t="shared" si="551"/>
        <v>0</v>
      </c>
      <c r="AN914" s="4"/>
      <c r="AO914" s="3"/>
      <c r="AP914" s="3"/>
      <c r="AQ914" s="3">
        <v>45000</v>
      </c>
      <c r="AR914" s="3"/>
      <c r="AS914" s="3"/>
      <c r="AT914" s="3"/>
      <c r="AU914" s="3">
        <v>37500</v>
      </c>
      <c r="AV914" s="42"/>
      <c r="AW914" s="3"/>
      <c r="AX914" s="42"/>
      <c r="AY914" s="3"/>
      <c r="AZ914" s="42"/>
      <c r="BA914" s="3"/>
      <c r="BB914" s="42"/>
      <c r="BC914" s="3"/>
      <c r="BD914" s="42"/>
      <c r="BE914" s="3"/>
    </row>
    <row r="915" spans="1:57" s="77" customFormat="1" hidden="1" x14ac:dyDescent="0.25">
      <c r="A915" s="3" t="s">
        <v>674</v>
      </c>
      <c r="B915" s="3">
        <v>5000</v>
      </c>
      <c r="C915" s="3"/>
      <c r="D915" s="29"/>
      <c r="E915" s="3">
        <f t="shared" si="545"/>
        <v>5000</v>
      </c>
      <c r="F915" s="29">
        <v>5000</v>
      </c>
      <c r="G915" s="3"/>
      <c r="H915" s="5">
        <f t="shared" si="546"/>
        <v>0</v>
      </c>
      <c r="I915" s="5"/>
      <c r="J915" s="5">
        <v>1517</v>
      </c>
      <c r="K915" s="4">
        <f t="shared" si="547"/>
        <v>483</v>
      </c>
      <c r="L915" s="4">
        <v>2000</v>
      </c>
      <c r="M915" s="4"/>
      <c r="N915" s="4">
        <f t="shared" si="548"/>
        <v>-3000</v>
      </c>
      <c r="O915" s="4"/>
      <c r="P915" s="3">
        <v>3000</v>
      </c>
      <c r="Q915" s="3"/>
      <c r="R915" s="3"/>
      <c r="S915" s="3">
        <f t="shared" si="552"/>
        <v>3000</v>
      </c>
      <c r="T915" s="3">
        <v>3000</v>
      </c>
      <c r="U915" s="3">
        <f t="shared" si="553"/>
        <v>0</v>
      </c>
      <c r="V915" s="3"/>
      <c r="W915" s="3">
        <f t="shared" si="554"/>
        <v>3000</v>
      </c>
      <c r="X915" s="3"/>
      <c r="Y915" s="3">
        <v>3000</v>
      </c>
      <c r="Z915" s="3">
        <f t="shared" si="549"/>
        <v>0</v>
      </c>
      <c r="AA915" s="3"/>
      <c r="AB915" s="3"/>
      <c r="AC915" s="3"/>
      <c r="AD915" s="3">
        <f t="shared" si="555"/>
        <v>3000</v>
      </c>
      <c r="AE915" s="3">
        <v>3000</v>
      </c>
      <c r="AF915" s="3">
        <f t="shared" si="556"/>
        <v>0</v>
      </c>
      <c r="AG915" s="4"/>
      <c r="AH915" s="4"/>
      <c r="AI915" s="4"/>
      <c r="AJ915" s="3"/>
      <c r="AK915" s="3">
        <f t="shared" si="550"/>
        <v>0</v>
      </c>
      <c r="AL915" s="3"/>
      <c r="AM915" s="3">
        <f t="shared" si="551"/>
        <v>0</v>
      </c>
      <c r="AN915" s="4"/>
      <c r="AO915" s="3"/>
      <c r="AP915" s="3"/>
      <c r="AQ915" s="3"/>
      <c r="AR915" s="3"/>
      <c r="AS915" s="3"/>
      <c r="AT915" s="3"/>
      <c r="AU915" s="3"/>
      <c r="AV915" s="42"/>
      <c r="AW915" s="3"/>
      <c r="AX915" s="42"/>
      <c r="AY915" s="3"/>
      <c r="AZ915" s="42"/>
      <c r="BA915" s="3"/>
      <c r="BB915" s="42"/>
      <c r="BC915" s="3"/>
      <c r="BD915" s="42"/>
      <c r="BE915" s="3"/>
    </row>
    <row r="916" spans="1:57" hidden="1" x14ac:dyDescent="0.25">
      <c r="A916" s="3" t="s">
        <v>675</v>
      </c>
      <c r="B916" s="3"/>
      <c r="E916" s="3">
        <f t="shared" si="545"/>
        <v>0</v>
      </c>
      <c r="H916" s="5">
        <f t="shared" si="546"/>
        <v>0</v>
      </c>
      <c r="K916" s="4">
        <f t="shared" si="547"/>
        <v>0</v>
      </c>
      <c r="L916" s="4"/>
      <c r="N916" s="4">
        <f t="shared" si="548"/>
        <v>0</v>
      </c>
      <c r="P916" s="3"/>
      <c r="Q916" s="3"/>
      <c r="R916" s="3"/>
      <c r="S916" s="3">
        <f t="shared" si="552"/>
        <v>0</v>
      </c>
      <c r="T916" s="3"/>
      <c r="U916" s="3">
        <f t="shared" si="553"/>
        <v>0</v>
      </c>
      <c r="V916" s="3"/>
      <c r="W916" s="3">
        <f t="shared" si="554"/>
        <v>0</v>
      </c>
      <c r="X916" s="3"/>
      <c r="Y916" s="3"/>
      <c r="Z916" s="3">
        <f t="shared" si="549"/>
        <v>0</v>
      </c>
      <c r="AA916" s="3"/>
      <c r="AB916" s="3"/>
      <c r="AC916" s="3"/>
      <c r="AD916" s="3">
        <f t="shared" si="555"/>
        <v>0</v>
      </c>
      <c r="AE916" s="3"/>
      <c r="AF916" s="3">
        <f t="shared" si="556"/>
        <v>0</v>
      </c>
      <c r="AG916" s="4"/>
      <c r="AH916" s="4"/>
      <c r="AJ916" s="3"/>
      <c r="AK916" s="3">
        <f t="shared" si="550"/>
        <v>0</v>
      </c>
      <c r="AL916" s="3"/>
      <c r="AM916" s="3">
        <f t="shared" si="551"/>
        <v>0</v>
      </c>
      <c r="AO916" s="3"/>
      <c r="AP916" s="3"/>
      <c r="AQ916" s="3"/>
      <c r="AR916" s="3"/>
      <c r="AS916" s="3"/>
      <c r="AT916" s="3"/>
      <c r="AU916" s="3"/>
      <c r="AV916" s="42"/>
      <c r="AW916" s="3"/>
      <c r="AX916" s="42"/>
      <c r="AY916" s="3"/>
      <c r="AZ916" s="42"/>
      <c r="BA916" s="3"/>
      <c r="BB916" s="42"/>
      <c r="BC916" s="3"/>
      <c r="BD916" s="42"/>
      <c r="BE916" s="3"/>
    </row>
    <row r="917" spans="1:57" s="77" customFormat="1" hidden="1" x14ac:dyDescent="0.25">
      <c r="A917" s="3" t="s">
        <v>676</v>
      </c>
      <c r="B917" s="3"/>
      <c r="C917" s="3"/>
      <c r="D917" s="29"/>
      <c r="E917" s="3">
        <f t="shared" si="545"/>
        <v>0</v>
      </c>
      <c r="F917" s="29"/>
      <c r="G917" s="3"/>
      <c r="H917" s="5">
        <f t="shared" si="546"/>
        <v>0</v>
      </c>
      <c r="I917" s="5"/>
      <c r="J917" s="5"/>
      <c r="K917" s="4">
        <f t="shared" si="547"/>
        <v>0</v>
      </c>
      <c r="L917" s="4"/>
      <c r="M917" s="4"/>
      <c r="N917" s="4">
        <f t="shared" si="548"/>
        <v>0</v>
      </c>
      <c r="O917" s="4"/>
      <c r="P917" s="3"/>
      <c r="Q917" s="3"/>
      <c r="R917" s="3"/>
      <c r="S917" s="3">
        <f t="shared" si="552"/>
        <v>0</v>
      </c>
      <c r="T917" s="3"/>
      <c r="U917" s="3">
        <f t="shared" si="553"/>
        <v>0</v>
      </c>
      <c r="V917" s="3"/>
      <c r="W917" s="3">
        <f t="shared" si="554"/>
        <v>0</v>
      </c>
      <c r="X917" s="3"/>
      <c r="Y917" s="3"/>
      <c r="Z917" s="3">
        <f t="shared" si="549"/>
        <v>0</v>
      </c>
      <c r="AA917" s="3"/>
      <c r="AB917" s="3"/>
      <c r="AC917" s="3"/>
      <c r="AD917" s="3">
        <f t="shared" si="555"/>
        <v>0</v>
      </c>
      <c r="AE917" s="3"/>
      <c r="AF917" s="3">
        <f t="shared" si="556"/>
        <v>0</v>
      </c>
      <c r="AG917" s="4"/>
      <c r="AH917" s="4"/>
      <c r="AI917" s="4"/>
      <c r="AJ917" s="3"/>
      <c r="AK917" s="3">
        <f t="shared" si="550"/>
        <v>0</v>
      </c>
      <c r="AL917" s="3"/>
      <c r="AM917" s="3">
        <f t="shared" si="551"/>
        <v>0</v>
      </c>
      <c r="AN917" s="4"/>
      <c r="AO917" s="3"/>
      <c r="AP917" s="3"/>
      <c r="AQ917" s="3"/>
      <c r="AR917" s="3"/>
      <c r="AS917" s="3"/>
      <c r="AT917" s="3"/>
      <c r="AU917" s="3"/>
      <c r="AV917" s="42"/>
      <c r="AW917" s="3"/>
      <c r="AX917" s="42"/>
      <c r="AY917" s="3"/>
      <c r="AZ917" s="42"/>
      <c r="BA917" s="3"/>
      <c r="BB917" s="42"/>
      <c r="BC917" s="3"/>
      <c r="BD917" s="42"/>
      <c r="BE917" s="3"/>
    </row>
    <row r="918" spans="1:57" s="77" customFormat="1" hidden="1" x14ac:dyDescent="0.25">
      <c r="A918" s="3" t="s">
        <v>677</v>
      </c>
      <c r="B918" s="3"/>
      <c r="C918" s="3"/>
      <c r="D918" s="29"/>
      <c r="E918" s="3"/>
      <c r="F918" s="29"/>
      <c r="G918" s="3"/>
      <c r="H918" s="5"/>
      <c r="I918" s="5"/>
      <c r="J918" s="5"/>
      <c r="K918" s="4"/>
      <c r="L918" s="4"/>
      <c r="M918" s="4"/>
      <c r="N918" s="4"/>
      <c r="O918" s="4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4"/>
      <c r="AH918" s="4"/>
      <c r="AI918" s="4"/>
      <c r="AJ918" s="3"/>
      <c r="AK918" s="3">
        <f t="shared" si="550"/>
        <v>0</v>
      </c>
      <c r="AL918" s="3"/>
      <c r="AM918" s="3">
        <f t="shared" si="551"/>
        <v>0</v>
      </c>
      <c r="AN918" s="4"/>
      <c r="AO918" s="3"/>
      <c r="AP918" s="3"/>
      <c r="AQ918" s="3"/>
      <c r="AR918" s="3"/>
      <c r="AS918" s="3"/>
      <c r="AT918" s="3"/>
      <c r="AU918" s="3"/>
      <c r="AV918" s="42"/>
      <c r="AW918" s="3"/>
      <c r="AX918" s="42"/>
      <c r="AY918" s="3"/>
      <c r="AZ918" s="42"/>
      <c r="BA918" s="3"/>
      <c r="BB918" s="42"/>
      <c r="BC918" s="3"/>
      <c r="BD918" s="42"/>
      <c r="BE918" s="3"/>
    </row>
    <row r="919" spans="1:57" s="77" customFormat="1" x14ac:dyDescent="0.25">
      <c r="A919" s="3" t="s">
        <v>678</v>
      </c>
      <c r="B919" s="3"/>
      <c r="C919" s="3"/>
      <c r="D919" s="3"/>
      <c r="E919" s="3"/>
      <c r="F919" s="3"/>
      <c r="G919" s="3"/>
      <c r="H919" s="3"/>
      <c r="I919" s="3"/>
      <c r="J919" s="3"/>
      <c r="K919" s="4"/>
      <c r="L919" s="4"/>
      <c r="M919" s="4"/>
      <c r="N919" s="4"/>
      <c r="O919" s="4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4"/>
      <c r="AH919" s="4">
        <v>100000</v>
      </c>
      <c r="AI919" s="4"/>
      <c r="AJ919" s="3">
        <v>0</v>
      </c>
      <c r="AK919" s="3">
        <f t="shared" si="550"/>
        <v>100000</v>
      </c>
      <c r="AL919" s="3">
        <v>100000</v>
      </c>
      <c r="AM919" s="3">
        <f t="shared" si="551"/>
        <v>0</v>
      </c>
      <c r="AN919" s="4"/>
      <c r="AO919" s="3"/>
      <c r="AP919" s="3"/>
      <c r="AQ919" s="3"/>
      <c r="AR919" s="3"/>
      <c r="AS919" s="3"/>
      <c r="AT919" s="3"/>
      <c r="AU919" s="3"/>
      <c r="AV919" s="42"/>
      <c r="AW919" s="3"/>
      <c r="AX919" s="42"/>
      <c r="AY919" s="3"/>
      <c r="AZ919" s="42"/>
      <c r="BA919" s="3"/>
      <c r="BB919" s="42"/>
      <c r="BC919" s="3"/>
      <c r="BD919" s="42"/>
      <c r="BE919" s="3"/>
    </row>
    <row r="920" spans="1:57" hidden="1" x14ac:dyDescent="0.25">
      <c r="A920" s="3" t="s">
        <v>679</v>
      </c>
      <c r="B920" s="3"/>
      <c r="D920" s="3"/>
      <c r="E920" s="3">
        <f t="shared" si="545"/>
        <v>0</v>
      </c>
      <c r="F920" s="3"/>
      <c r="H920" s="5">
        <f t="shared" si="546"/>
        <v>0</v>
      </c>
      <c r="K920" s="4">
        <f t="shared" si="547"/>
        <v>0</v>
      </c>
      <c r="L920" s="4"/>
      <c r="N920" s="4">
        <f t="shared" si="548"/>
        <v>0</v>
      </c>
      <c r="P920" s="3">
        <v>3000</v>
      </c>
      <c r="Q920" s="3"/>
      <c r="R920" s="3"/>
      <c r="S920" s="3">
        <f t="shared" si="552"/>
        <v>3000</v>
      </c>
      <c r="T920" s="3">
        <v>3000</v>
      </c>
      <c r="U920" s="3">
        <f t="shared" si="553"/>
        <v>0</v>
      </c>
      <c r="V920" s="3"/>
      <c r="W920" s="3">
        <f t="shared" si="554"/>
        <v>3000</v>
      </c>
      <c r="X920" s="3"/>
      <c r="Y920" s="3">
        <v>3000</v>
      </c>
      <c r="Z920" s="3">
        <f t="shared" si="549"/>
        <v>0</v>
      </c>
      <c r="AA920" s="3"/>
      <c r="AB920" s="3"/>
      <c r="AC920" s="3"/>
      <c r="AD920" s="3">
        <f t="shared" si="555"/>
        <v>3000</v>
      </c>
      <c r="AE920" s="3">
        <v>3000</v>
      </c>
      <c r="AF920" s="3">
        <f t="shared" si="556"/>
        <v>0</v>
      </c>
      <c r="AG920" s="4"/>
      <c r="AH920" s="4"/>
      <c r="AJ920" s="3"/>
      <c r="AK920" s="3">
        <f t="shared" si="550"/>
        <v>0</v>
      </c>
      <c r="AL920" s="3"/>
      <c r="AM920" s="3">
        <f t="shared" si="551"/>
        <v>0</v>
      </c>
      <c r="AO920" s="3"/>
      <c r="AP920" s="3"/>
      <c r="AQ920" s="3"/>
      <c r="AR920" s="3"/>
      <c r="AS920" s="3"/>
      <c r="AT920" s="3"/>
      <c r="AU920" s="3"/>
      <c r="AV920" s="42"/>
      <c r="AW920" s="3"/>
      <c r="AX920" s="42"/>
      <c r="AY920" s="3"/>
      <c r="AZ920" s="42"/>
      <c r="BA920" s="3"/>
      <c r="BB920" s="42"/>
      <c r="BC920" s="3"/>
      <c r="BD920" s="42"/>
      <c r="BE920" s="3"/>
    </row>
    <row r="921" spans="1:57" s="77" customFormat="1" hidden="1" x14ac:dyDescent="0.25">
      <c r="A921" s="3" t="s">
        <v>680</v>
      </c>
      <c r="B921" s="3"/>
      <c r="C921" s="3"/>
      <c r="D921" s="29"/>
      <c r="E921" s="3">
        <f t="shared" si="545"/>
        <v>0</v>
      </c>
      <c r="F921" s="29"/>
      <c r="G921" s="3"/>
      <c r="H921" s="5">
        <f t="shared" si="546"/>
        <v>0</v>
      </c>
      <c r="I921" s="5"/>
      <c r="J921" s="5"/>
      <c r="K921" s="4">
        <f t="shared" si="547"/>
        <v>0</v>
      </c>
      <c r="L921" s="4"/>
      <c r="M921" s="4"/>
      <c r="N921" s="4">
        <f t="shared" si="548"/>
        <v>0</v>
      </c>
      <c r="O921" s="4"/>
      <c r="P921" s="3"/>
      <c r="Q921" s="3"/>
      <c r="R921" s="3"/>
      <c r="S921" s="3">
        <f t="shared" si="552"/>
        <v>0</v>
      </c>
      <c r="T921" s="3"/>
      <c r="U921" s="3">
        <f t="shared" si="553"/>
        <v>0</v>
      </c>
      <c r="V921" s="3"/>
      <c r="W921" s="3">
        <f t="shared" si="554"/>
        <v>0</v>
      </c>
      <c r="X921" s="3"/>
      <c r="Y921" s="3"/>
      <c r="Z921" s="3">
        <f t="shared" si="549"/>
        <v>0</v>
      </c>
      <c r="AA921" s="3"/>
      <c r="AB921" s="3"/>
      <c r="AC921" s="3"/>
      <c r="AD921" s="3">
        <f t="shared" si="555"/>
        <v>0</v>
      </c>
      <c r="AE921" s="3"/>
      <c r="AF921" s="3">
        <f t="shared" si="556"/>
        <v>0</v>
      </c>
      <c r="AG921" s="4"/>
      <c r="AH921" s="4"/>
      <c r="AI921" s="4"/>
      <c r="AJ921" s="3"/>
      <c r="AK921" s="3">
        <f t="shared" si="550"/>
        <v>0</v>
      </c>
      <c r="AL921" s="3"/>
      <c r="AM921" s="3">
        <f t="shared" si="551"/>
        <v>0</v>
      </c>
      <c r="AN921" s="4"/>
      <c r="AO921" s="3"/>
      <c r="AP921" s="3"/>
      <c r="AQ921" s="3"/>
      <c r="AR921" s="3"/>
      <c r="AS921" s="3"/>
      <c r="AT921" s="3"/>
      <c r="AU921" s="3"/>
      <c r="AV921" s="42"/>
      <c r="AW921" s="3"/>
      <c r="AX921" s="42"/>
      <c r="AY921" s="3"/>
      <c r="AZ921" s="42"/>
      <c r="BA921" s="3"/>
      <c r="BB921" s="42"/>
      <c r="BC921" s="3"/>
      <c r="BD921" s="42"/>
      <c r="BE921" s="3"/>
    </row>
    <row r="922" spans="1:57" hidden="1" x14ac:dyDescent="0.25">
      <c r="A922" s="3" t="s">
        <v>681</v>
      </c>
      <c r="B922" s="3"/>
      <c r="D922" s="3"/>
      <c r="E922" s="3">
        <f t="shared" si="545"/>
        <v>0</v>
      </c>
      <c r="F922" s="3"/>
      <c r="H922" s="5">
        <f t="shared" si="546"/>
        <v>0</v>
      </c>
      <c r="K922" s="4">
        <f t="shared" si="547"/>
        <v>0</v>
      </c>
      <c r="L922" s="4"/>
      <c r="N922" s="4">
        <f t="shared" si="548"/>
        <v>0</v>
      </c>
      <c r="P922" s="3"/>
      <c r="Q922" s="3"/>
      <c r="R922" s="3"/>
      <c r="S922" s="3">
        <f t="shared" si="552"/>
        <v>0</v>
      </c>
      <c r="T922" s="3"/>
      <c r="U922" s="3">
        <f t="shared" si="553"/>
        <v>0</v>
      </c>
      <c r="V922" s="3"/>
      <c r="W922" s="3">
        <f t="shared" si="554"/>
        <v>0</v>
      </c>
      <c r="X922" s="3"/>
      <c r="Y922" s="3"/>
      <c r="Z922" s="3">
        <f t="shared" si="549"/>
        <v>0</v>
      </c>
      <c r="AA922" s="3"/>
      <c r="AB922" s="3"/>
      <c r="AC922" s="3"/>
      <c r="AD922" s="3">
        <f t="shared" si="555"/>
        <v>0</v>
      </c>
      <c r="AE922" s="3"/>
      <c r="AF922" s="3">
        <f t="shared" si="556"/>
        <v>0</v>
      </c>
      <c r="AG922" s="4"/>
      <c r="AH922" s="4"/>
      <c r="AJ922" s="3"/>
      <c r="AK922" s="3">
        <f t="shared" si="550"/>
        <v>0</v>
      </c>
      <c r="AL922" s="3"/>
      <c r="AM922" s="3">
        <f t="shared" si="551"/>
        <v>0</v>
      </c>
      <c r="AO922" s="3"/>
      <c r="AP922" s="3"/>
      <c r="AQ922" s="3"/>
      <c r="AR922" s="3"/>
      <c r="AS922" s="3"/>
      <c r="AT922" s="3"/>
      <c r="AU922" s="3"/>
      <c r="AV922" s="42"/>
      <c r="AW922" s="3"/>
      <c r="AX922" s="42"/>
      <c r="AY922" s="3"/>
      <c r="AZ922" s="42"/>
      <c r="BA922" s="3"/>
      <c r="BB922" s="42"/>
      <c r="BC922" s="3"/>
      <c r="BD922" s="42"/>
      <c r="BE922" s="3"/>
    </row>
    <row r="923" spans="1:57" s="77" customFormat="1" hidden="1" x14ac:dyDescent="0.25">
      <c r="A923" s="3" t="s">
        <v>682</v>
      </c>
      <c r="B923" s="3"/>
      <c r="C923" s="3"/>
      <c r="D923" s="29"/>
      <c r="E923" s="3">
        <f t="shared" si="545"/>
        <v>0</v>
      </c>
      <c r="F923" s="29"/>
      <c r="G923" s="3"/>
      <c r="H923" s="5">
        <f t="shared" si="546"/>
        <v>0</v>
      </c>
      <c r="I923" s="5"/>
      <c r="J923" s="5"/>
      <c r="K923" s="4">
        <f t="shared" si="547"/>
        <v>0</v>
      </c>
      <c r="L923" s="4"/>
      <c r="M923" s="4"/>
      <c r="N923" s="4">
        <f t="shared" si="548"/>
        <v>0</v>
      </c>
      <c r="O923" s="4"/>
      <c r="P923" s="3"/>
      <c r="Q923" s="3"/>
      <c r="R923" s="3"/>
      <c r="S923" s="3">
        <f t="shared" si="552"/>
        <v>0</v>
      </c>
      <c r="T923" s="3"/>
      <c r="U923" s="3">
        <f t="shared" si="553"/>
        <v>0</v>
      </c>
      <c r="V923" s="3"/>
      <c r="W923" s="3">
        <f t="shared" si="554"/>
        <v>0</v>
      </c>
      <c r="X923" s="3"/>
      <c r="Y923" s="3"/>
      <c r="Z923" s="3">
        <f t="shared" si="549"/>
        <v>0</v>
      </c>
      <c r="AA923" s="3"/>
      <c r="AB923" s="3"/>
      <c r="AC923" s="3"/>
      <c r="AD923" s="3">
        <f t="shared" si="555"/>
        <v>0</v>
      </c>
      <c r="AE923" s="3"/>
      <c r="AF923" s="3">
        <f t="shared" si="556"/>
        <v>0</v>
      </c>
      <c r="AG923" s="4"/>
      <c r="AH923" s="4"/>
      <c r="AI923" s="4"/>
      <c r="AJ923" s="3"/>
      <c r="AK923" s="3">
        <f t="shared" si="550"/>
        <v>0</v>
      </c>
      <c r="AL923" s="3"/>
      <c r="AM923" s="3">
        <f t="shared" si="551"/>
        <v>0</v>
      </c>
      <c r="AN923" s="4"/>
      <c r="AO923" s="3"/>
      <c r="AP923" s="3"/>
      <c r="AQ923" s="3"/>
      <c r="AR923" s="3"/>
      <c r="AS923" s="3"/>
      <c r="AT923" s="3"/>
      <c r="AU923" s="3"/>
      <c r="AV923" s="42"/>
      <c r="AW923" s="3"/>
      <c r="AX923" s="42"/>
      <c r="AY923" s="3"/>
      <c r="AZ923" s="42"/>
      <c r="BA923" s="3"/>
      <c r="BB923" s="42"/>
      <c r="BC923" s="3"/>
      <c r="BD923" s="42"/>
      <c r="BE923" s="3"/>
    </row>
    <row r="924" spans="1:57" hidden="1" x14ac:dyDescent="0.25">
      <c r="A924" s="3" t="s">
        <v>683</v>
      </c>
      <c r="B924" s="3"/>
      <c r="D924" s="3"/>
      <c r="E924" s="3">
        <f t="shared" si="545"/>
        <v>0</v>
      </c>
      <c r="F924" s="3"/>
      <c r="H924" s="5">
        <f t="shared" si="546"/>
        <v>0</v>
      </c>
      <c r="K924" s="4">
        <f t="shared" si="547"/>
        <v>0</v>
      </c>
      <c r="L924" s="4"/>
      <c r="N924" s="4">
        <f t="shared" si="548"/>
        <v>0</v>
      </c>
      <c r="P924" s="3"/>
      <c r="Q924" s="3"/>
      <c r="R924" s="3"/>
      <c r="S924" s="3">
        <f t="shared" si="552"/>
        <v>0</v>
      </c>
      <c r="T924" s="3"/>
      <c r="U924" s="3">
        <f t="shared" si="553"/>
        <v>0</v>
      </c>
      <c r="V924" s="3"/>
      <c r="W924" s="3">
        <f t="shared" si="554"/>
        <v>0</v>
      </c>
      <c r="X924" s="3"/>
      <c r="Y924" s="3"/>
      <c r="Z924" s="3">
        <f t="shared" si="549"/>
        <v>0</v>
      </c>
      <c r="AA924" s="3"/>
      <c r="AB924" s="3"/>
      <c r="AC924" s="3"/>
      <c r="AD924" s="3">
        <f t="shared" si="555"/>
        <v>0</v>
      </c>
      <c r="AE924" s="3"/>
      <c r="AF924" s="3">
        <f t="shared" si="556"/>
        <v>0</v>
      </c>
      <c r="AG924" s="4"/>
      <c r="AH924" s="4"/>
      <c r="AJ924" s="3"/>
      <c r="AK924" s="3">
        <f t="shared" si="550"/>
        <v>0</v>
      </c>
      <c r="AL924" s="3"/>
      <c r="AM924" s="3">
        <f t="shared" si="551"/>
        <v>0</v>
      </c>
      <c r="AO924" s="3"/>
      <c r="AP924" s="3"/>
      <c r="AQ924" s="3"/>
      <c r="AR924" s="3"/>
      <c r="AS924" s="3"/>
      <c r="AT924" s="3"/>
      <c r="AU924" s="3"/>
      <c r="AV924" s="42"/>
      <c r="AW924" s="3"/>
      <c r="AX924" s="42"/>
      <c r="AY924" s="3"/>
      <c r="AZ924" s="42"/>
      <c r="BA924" s="3"/>
      <c r="BB924" s="42"/>
      <c r="BC924" s="3"/>
      <c r="BD924" s="42"/>
      <c r="BE924" s="3"/>
    </row>
    <row r="925" spans="1:57" s="77" customFormat="1" x14ac:dyDescent="0.25">
      <c r="A925" s="3" t="s">
        <v>684</v>
      </c>
      <c r="B925" s="3">
        <v>500</v>
      </c>
      <c r="C925" s="3"/>
      <c r="D925" s="29"/>
      <c r="E925" s="3">
        <f t="shared" si="545"/>
        <v>500</v>
      </c>
      <c r="F925" s="29">
        <v>500</v>
      </c>
      <c r="G925" s="3"/>
      <c r="H925" s="5">
        <f t="shared" si="546"/>
        <v>0</v>
      </c>
      <c r="I925" s="5"/>
      <c r="J925" s="5"/>
      <c r="K925" s="4">
        <f t="shared" si="547"/>
        <v>500</v>
      </c>
      <c r="L925" s="4">
        <v>500</v>
      </c>
      <c r="M925" s="4"/>
      <c r="N925" s="4">
        <f t="shared" si="548"/>
        <v>0</v>
      </c>
      <c r="O925" s="4"/>
      <c r="P925" s="3">
        <v>1000</v>
      </c>
      <c r="Q925" s="3"/>
      <c r="R925" s="3"/>
      <c r="S925" s="3">
        <f t="shared" si="552"/>
        <v>1000</v>
      </c>
      <c r="T925" s="3">
        <v>1000</v>
      </c>
      <c r="U925" s="3">
        <f t="shared" si="553"/>
        <v>0</v>
      </c>
      <c r="V925" s="3"/>
      <c r="W925" s="3">
        <f t="shared" si="554"/>
        <v>1000</v>
      </c>
      <c r="X925" s="3"/>
      <c r="Y925" s="3">
        <v>1000</v>
      </c>
      <c r="Z925" s="3">
        <f t="shared" si="549"/>
        <v>0</v>
      </c>
      <c r="AA925" s="3"/>
      <c r="AB925" s="3"/>
      <c r="AC925" s="3"/>
      <c r="AD925" s="3">
        <f t="shared" si="555"/>
        <v>1000</v>
      </c>
      <c r="AE925" s="3">
        <v>1000</v>
      </c>
      <c r="AF925" s="3">
        <f t="shared" si="556"/>
        <v>0</v>
      </c>
      <c r="AG925" s="4"/>
      <c r="AH925" s="4">
        <v>1000</v>
      </c>
      <c r="AI925" s="4"/>
      <c r="AJ925" s="3">
        <v>0</v>
      </c>
      <c r="AK925" s="3">
        <f t="shared" si="550"/>
        <v>0</v>
      </c>
      <c r="AL925" s="3">
        <v>0</v>
      </c>
      <c r="AM925" s="3">
        <f t="shared" si="551"/>
        <v>-1000</v>
      </c>
      <c r="AN925" s="4"/>
      <c r="AO925" s="3">
        <v>1000</v>
      </c>
      <c r="AP925" s="3"/>
      <c r="AQ925" s="3">
        <v>1000</v>
      </c>
      <c r="AR925" s="3"/>
      <c r="AS925" s="3">
        <v>1000</v>
      </c>
      <c r="AT925" s="3"/>
      <c r="AU925" s="3">
        <v>1000</v>
      </c>
      <c r="AV925" s="42"/>
      <c r="AW925" s="3">
        <v>1000</v>
      </c>
      <c r="AX925" s="42"/>
      <c r="AY925" s="3">
        <v>1000</v>
      </c>
      <c r="AZ925" s="42"/>
      <c r="BA925" s="3">
        <v>1000</v>
      </c>
      <c r="BB925" s="42"/>
      <c r="BC925" s="3">
        <v>1000</v>
      </c>
      <c r="BD925" s="42"/>
      <c r="BE925" s="3">
        <v>1000</v>
      </c>
    </row>
    <row r="926" spans="1:57" hidden="1" x14ac:dyDescent="0.25">
      <c r="A926" s="3" t="s">
        <v>685</v>
      </c>
      <c r="B926" s="3"/>
      <c r="E926" s="3">
        <f t="shared" si="545"/>
        <v>0</v>
      </c>
      <c r="H926" s="5">
        <f t="shared" si="546"/>
        <v>0</v>
      </c>
      <c r="K926" s="4">
        <f t="shared" si="547"/>
        <v>0</v>
      </c>
      <c r="L926" s="4"/>
      <c r="N926" s="4">
        <f t="shared" si="548"/>
        <v>0</v>
      </c>
      <c r="P926" s="3"/>
      <c r="Q926" s="3"/>
      <c r="R926" s="3"/>
      <c r="S926" s="3">
        <f t="shared" si="552"/>
        <v>0</v>
      </c>
      <c r="T926" s="3"/>
      <c r="U926" s="3">
        <f t="shared" si="553"/>
        <v>0</v>
      </c>
      <c r="V926" s="3"/>
      <c r="W926" s="3">
        <f t="shared" si="554"/>
        <v>0</v>
      </c>
      <c r="X926" s="3"/>
      <c r="Y926" s="3"/>
      <c r="Z926" s="3">
        <f t="shared" si="549"/>
        <v>0</v>
      </c>
      <c r="AA926" s="3"/>
      <c r="AB926" s="3"/>
      <c r="AC926" s="3"/>
      <c r="AD926" s="3">
        <f t="shared" si="555"/>
        <v>0</v>
      </c>
      <c r="AE926" s="3"/>
      <c r="AF926" s="3">
        <f t="shared" si="556"/>
        <v>0</v>
      </c>
      <c r="AG926" s="4"/>
      <c r="AH926" s="4"/>
      <c r="AJ926" s="3"/>
      <c r="AK926" s="3">
        <f t="shared" si="550"/>
        <v>0</v>
      </c>
      <c r="AL926" s="3"/>
      <c r="AM926" s="3">
        <f t="shared" si="551"/>
        <v>0</v>
      </c>
      <c r="AO926" s="3"/>
      <c r="AP926" s="3"/>
      <c r="AQ926" s="3"/>
      <c r="AR926" s="3"/>
      <c r="AS926" s="3"/>
      <c r="AT926" s="3"/>
      <c r="AU926" s="3"/>
      <c r="AV926" s="42"/>
      <c r="AW926" s="3"/>
      <c r="AX926" s="42"/>
      <c r="AY926" s="3"/>
      <c r="AZ926" s="42"/>
      <c r="BA926" s="3"/>
      <c r="BB926" s="42"/>
      <c r="BC926" s="3"/>
      <c r="BD926" s="42"/>
      <c r="BE926" s="3"/>
    </row>
    <row r="927" spans="1:57" hidden="1" x14ac:dyDescent="0.25">
      <c r="A927" s="3" t="s">
        <v>686</v>
      </c>
      <c r="B927" s="3"/>
      <c r="E927" s="3">
        <f t="shared" si="545"/>
        <v>0</v>
      </c>
      <c r="H927" s="5">
        <f t="shared" si="546"/>
        <v>0</v>
      </c>
      <c r="K927" s="4">
        <f t="shared" si="547"/>
        <v>0</v>
      </c>
      <c r="L927" s="4"/>
      <c r="N927" s="4">
        <f t="shared" si="548"/>
        <v>0</v>
      </c>
      <c r="P927" s="3"/>
      <c r="Q927" s="3"/>
      <c r="R927" s="3"/>
      <c r="S927" s="3">
        <f t="shared" si="552"/>
        <v>0</v>
      </c>
      <c r="T927" s="3"/>
      <c r="U927" s="3">
        <f t="shared" si="553"/>
        <v>0</v>
      </c>
      <c r="V927" s="3"/>
      <c r="W927" s="3">
        <f t="shared" si="554"/>
        <v>0</v>
      </c>
      <c r="X927" s="3"/>
      <c r="Y927" s="3"/>
      <c r="Z927" s="3">
        <f t="shared" si="549"/>
        <v>0</v>
      </c>
      <c r="AA927" s="3"/>
      <c r="AB927" s="3"/>
      <c r="AC927" s="3"/>
      <c r="AD927" s="3">
        <f t="shared" si="555"/>
        <v>0</v>
      </c>
      <c r="AE927" s="3"/>
      <c r="AF927" s="3">
        <f t="shared" si="556"/>
        <v>0</v>
      </c>
      <c r="AG927" s="4"/>
      <c r="AH927" s="4"/>
      <c r="AJ927" s="3"/>
      <c r="AK927" s="3">
        <f t="shared" si="550"/>
        <v>0</v>
      </c>
      <c r="AL927" s="3"/>
      <c r="AM927" s="3">
        <f t="shared" si="551"/>
        <v>0</v>
      </c>
      <c r="AO927" s="3"/>
      <c r="AP927" s="3"/>
      <c r="AQ927" s="3"/>
      <c r="AR927" s="3"/>
      <c r="AS927" s="3"/>
      <c r="AT927" s="3"/>
      <c r="AU927" s="3"/>
      <c r="AV927" s="42"/>
      <c r="AW927" s="3"/>
      <c r="AX927" s="42"/>
      <c r="AY927" s="3"/>
      <c r="AZ927" s="42"/>
      <c r="BA927" s="3"/>
      <c r="BB927" s="42"/>
      <c r="BC927" s="3"/>
      <c r="BD927" s="42"/>
      <c r="BE927" s="3"/>
    </row>
    <row r="928" spans="1:57" hidden="1" x14ac:dyDescent="0.25">
      <c r="A928" s="3" t="s">
        <v>687</v>
      </c>
      <c r="B928" s="3"/>
      <c r="E928" s="3">
        <f t="shared" si="545"/>
        <v>0</v>
      </c>
      <c r="H928" s="5">
        <f t="shared" si="546"/>
        <v>0</v>
      </c>
      <c r="K928" s="4">
        <f t="shared" si="547"/>
        <v>0</v>
      </c>
      <c r="L928" s="4"/>
      <c r="N928" s="4">
        <f t="shared" si="548"/>
        <v>0</v>
      </c>
      <c r="P928" s="3"/>
      <c r="Q928" s="3"/>
      <c r="R928" s="3"/>
      <c r="S928" s="3">
        <f t="shared" si="552"/>
        <v>0</v>
      </c>
      <c r="T928" s="3"/>
      <c r="U928" s="3">
        <f t="shared" si="553"/>
        <v>0</v>
      </c>
      <c r="V928" s="3"/>
      <c r="W928" s="3">
        <f t="shared" si="554"/>
        <v>0</v>
      </c>
      <c r="X928" s="3"/>
      <c r="Y928" s="3"/>
      <c r="Z928" s="3">
        <f t="shared" si="549"/>
        <v>0</v>
      </c>
      <c r="AA928" s="3"/>
      <c r="AB928" s="3"/>
      <c r="AC928" s="3"/>
      <c r="AD928" s="3">
        <f t="shared" si="555"/>
        <v>0</v>
      </c>
      <c r="AE928" s="3"/>
      <c r="AF928" s="3">
        <f t="shared" si="556"/>
        <v>0</v>
      </c>
      <c r="AG928" s="4"/>
      <c r="AH928" s="4"/>
      <c r="AJ928" s="3"/>
      <c r="AK928" s="3">
        <f t="shared" si="550"/>
        <v>0</v>
      </c>
      <c r="AL928" s="3"/>
      <c r="AM928" s="3">
        <f t="shared" si="551"/>
        <v>0</v>
      </c>
      <c r="AO928" s="3"/>
      <c r="AP928" s="3"/>
      <c r="AQ928" s="3"/>
      <c r="AR928" s="3"/>
      <c r="AS928" s="3"/>
      <c r="AT928" s="3"/>
      <c r="AU928" s="3"/>
      <c r="AV928" s="42"/>
      <c r="AW928" s="3"/>
      <c r="AX928" s="42"/>
      <c r="AY928" s="3"/>
      <c r="AZ928" s="42"/>
      <c r="BA928" s="3"/>
      <c r="BB928" s="42"/>
      <c r="BC928" s="3"/>
      <c r="BD928" s="42"/>
      <c r="BE928" s="3"/>
    </row>
    <row r="929" spans="1:57" s="77" customFormat="1" hidden="1" x14ac:dyDescent="0.25">
      <c r="A929" s="3" t="s">
        <v>688</v>
      </c>
      <c r="B929" s="3"/>
      <c r="C929" s="3"/>
      <c r="D929" s="29"/>
      <c r="E929" s="3">
        <f t="shared" si="545"/>
        <v>0</v>
      </c>
      <c r="F929" s="29"/>
      <c r="G929" s="3"/>
      <c r="H929" s="5">
        <f t="shared" si="546"/>
        <v>0</v>
      </c>
      <c r="I929" s="5"/>
      <c r="J929" s="5"/>
      <c r="K929" s="4">
        <f t="shared" si="547"/>
        <v>0</v>
      </c>
      <c r="L929" s="4"/>
      <c r="M929" s="4"/>
      <c r="N929" s="4">
        <f t="shared" si="548"/>
        <v>0</v>
      </c>
      <c r="O929" s="4"/>
      <c r="P929" s="3"/>
      <c r="Q929" s="3"/>
      <c r="R929" s="3"/>
      <c r="S929" s="3">
        <f t="shared" si="552"/>
        <v>0</v>
      </c>
      <c r="T929" s="3"/>
      <c r="U929" s="3">
        <f t="shared" si="553"/>
        <v>0</v>
      </c>
      <c r="V929" s="3"/>
      <c r="W929" s="3">
        <f t="shared" si="554"/>
        <v>0</v>
      </c>
      <c r="X929" s="3"/>
      <c r="Y929" s="3"/>
      <c r="Z929" s="3">
        <f t="shared" si="549"/>
        <v>0</v>
      </c>
      <c r="AA929" s="3"/>
      <c r="AB929" s="3"/>
      <c r="AC929" s="3"/>
      <c r="AD929" s="3">
        <f t="shared" si="555"/>
        <v>0</v>
      </c>
      <c r="AE929" s="3"/>
      <c r="AF929" s="3">
        <f t="shared" si="556"/>
        <v>0</v>
      </c>
      <c r="AG929" s="4"/>
      <c r="AH929" s="4"/>
      <c r="AI929" s="4"/>
      <c r="AJ929" s="3"/>
      <c r="AK929" s="3">
        <f t="shared" si="550"/>
        <v>0</v>
      </c>
      <c r="AL929" s="3"/>
      <c r="AM929" s="3">
        <f t="shared" si="551"/>
        <v>0</v>
      </c>
      <c r="AN929" s="4"/>
      <c r="AO929" s="3"/>
      <c r="AP929" s="3"/>
      <c r="AQ929" s="3"/>
      <c r="AR929" s="3"/>
      <c r="AS929" s="3"/>
      <c r="AT929" s="3"/>
      <c r="AU929" s="3"/>
      <c r="AV929" s="42"/>
      <c r="AW929" s="3"/>
      <c r="AX929" s="42"/>
      <c r="AY929" s="3"/>
      <c r="AZ929" s="42"/>
      <c r="BA929" s="3"/>
      <c r="BB929" s="42"/>
      <c r="BC929" s="3"/>
      <c r="BD929" s="42"/>
      <c r="BE929" s="3"/>
    </row>
    <row r="930" spans="1:57" hidden="1" x14ac:dyDescent="0.25">
      <c r="A930" s="3" t="s">
        <v>689</v>
      </c>
      <c r="B930" s="3"/>
      <c r="E930" s="3">
        <f t="shared" si="545"/>
        <v>0</v>
      </c>
      <c r="H930" s="5">
        <f t="shared" si="546"/>
        <v>0</v>
      </c>
      <c r="K930" s="4">
        <f t="shared" si="547"/>
        <v>0</v>
      </c>
      <c r="L930" s="4"/>
      <c r="N930" s="4">
        <f t="shared" si="548"/>
        <v>0</v>
      </c>
      <c r="P930" s="3"/>
      <c r="Q930" s="3"/>
      <c r="R930" s="3"/>
      <c r="S930" s="3">
        <f t="shared" si="552"/>
        <v>0</v>
      </c>
      <c r="T930" s="3"/>
      <c r="U930" s="3">
        <f t="shared" si="553"/>
        <v>0</v>
      </c>
      <c r="V930" s="3"/>
      <c r="W930" s="3">
        <f t="shared" si="554"/>
        <v>0</v>
      </c>
      <c r="X930" s="3"/>
      <c r="Y930" s="3"/>
      <c r="Z930" s="3">
        <f t="shared" si="549"/>
        <v>0</v>
      </c>
      <c r="AA930" s="3"/>
      <c r="AB930" s="3"/>
      <c r="AC930" s="3"/>
      <c r="AD930" s="3">
        <f t="shared" si="555"/>
        <v>0</v>
      </c>
      <c r="AE930" s="3"/>
      <c r="AF930" s="3">
        <f t="shared" si="556"/>
        <v>0</v>
      </c>
      <c r="AG930" s="4"/>
      <c r="AH930" s="4"/>
      <c r="AJ930" s="3"/>
      <c r="AK930" s="3">
        <f t="shared" si="550"/>
        <v>0</v>
      </c>
      <c r="AL930" s="3"/>
      <c r="AM930" s="3">
        <f t="shared" si="551"/>
        <v>0</v>
      </c>
      <c r="AO930" s="3"/>
      <c r="AP930" s="3"/>
      <c r="AQ930" s="3"/>
      <c r="AR930" s="3"/>
      <c r="AS930" s="3"/>
      <c r="AT930" s="3"/>
      <c r="AU930" s="3"/>
      <c r="AV930" s="42"/>
      <c r="AW930" s="3"/>
      <c r="AX930" s="42"/>
      <c r="AY930" s="3"/>
      <c r="AZ930" s="42"/>
      <c r="BA930" s="3"/>
      <c r="BB930" s="42"/>
      <c r="BC930" s="3"/>
      <c r="BD930" s="42"/>
      <c r="BE930" s="3"/>
    </row>
    <row r="931" spans="1:57" hidden="1" x14ac:dyDescent="0.25">
      <c r="A931" s="3" t="s">
        <v>690</v>
      </c>
      <c r="B931" s="3"/>
      <c r="K931" s="4">
        <f t="shared" si="547"/>
        <v>0</v>
      </c>
      <c r="L931" s="4"/>
      <c r="N931" s="4">
        <f t="shared" si="548"/>
        <v>0</v>
      </c>
      <c r="P931" s="3"/>
      <c r="Q931" s="3"/>
      <c r="R931" s="3"/>
      <c r="S931" s="3">
        <f t="shared" si="552"/>
        <v>0</v>
      </c>
      <c r="T931" s="3"/>
      <c r="U931" s="3">
        <f t="shared" si="553"/>
        <v>0</v>
      </c>
      <c r="V931" s="3"/>
      <c r="W931" s="3">
        <f t="shared" si="554"/>
        <v>0</v>
      </c>
      <c r="X931" s="3"/>
      <c r="Y931" s="3"/>
      <c r="Z931" s="3">
        <f t="shared" si="549"/>
        <v>0</v>
      </c>
      <c r="AA931" s="3"/>
      <c r="AB931" s="3"/>
      <c r="AC931" s="3"/>
      <c r="AD931" s="3">
        <f t="shared" si="555"/>
        <v>0</v>
      </c>
      <c r="AE931" s="3"/>
      <c r="AF931" s="3">
        <f t="shared" si="556"/>
        <v>0</v>
      </c>
      <c r="AG931" s="4"/>
      <c r="AH931" s="4"/>
      <c r="AJ931" s="3"/>
      <c r="AK931" s="3">
        <f t="shared" si="550"/>
        <v>0</v>
      </c>
      <c r="AL931" s="3"/>
      <c r="AM931" s="3">
        <f t="shared" si="551"/>
        <v>0</v>
      </c>
      <c r="AO931" s="3"/>
      <c r="AP931" s="3"/>
      <c r="AQ931" s="3"/>
      <c r="AR931" s="3"/>
      <c r="AS931" s="3"/>
      <c r="AT931" s="3"/>
      <c r="AU931" s="3"/>
      <c r="AV931" s="42"/>
      <c r="AW931" s="3"/>
      <c r="AX931" s="42"/>
      <c r="AY931" s="3"/>
      <c r="AZ931" s="42"/>
      <c r="BA931" s="3"/>
      <c r="BB931" s="42"/>
      <c r="BC931" s="3"/>
      <c r="BD931" s="42"/>
      <c r="BE931" s="3"/>
    </row>
    <row r="932" spans="1:57" s="77" customFormat="1" hidden="1" x14ac:dyDescent="0.25">
      <c r="A932" s="3" t="s">
        <v>691</v>
      </c>
      <c r="B932" s="3">
        <v>5000</v>
      </c>
      <c r="C932" s="3"/>
      <c r="D932" s="29"/>
      <c r="E932" s="3">
        <f>F932-D932</f>
        <v>5000</v>
      </c>
      <c r="F932" s="29">
        <v>5000</v>
      </c>
      <c r="G932" s="3"/>
      <c r="H932" s="5">
        <f t="shared" ref="H932:H994" si="557">F932-B932</f>
        <v>0</v>
      </c>
      <c r="I932" s="5"/>
      <c r="J932" s="5"/>
      <c r="K932" s="4">
        <f t="shared" si="547"/>
        <v>4000</v>
      </c>
      <c r="L932" s="4">
        <v>4000</v>
      </c>
      <c r="M932" s="4"/>
      <c r="N932" s="4">
        <f t="shared" si="548"/>
        <v>-1000</v>
      </c>
      <c r="O932" s="4"/>
      <c r="P932" s="3"/>
      <c r="Q932" s="3"/>
      <c r="R932" s="3"/>
      <c r="S932" s="3">
        <f t="shared" si="552"/>
        <v>0</v>
      </c>
      <c r="T932" s="3"/>
      <c r="U932" s="3">
        <f t="shared" si="553"/>
        <v>0</v>
      </c>
      <c r="V932" s="3"/>
      <c r="W932" s="3">
        <f t="shared" si="554"/>
        <v>0</v>
      </c>
      <c r="X932" s="3"/>
      <c r="Y932" s="3"/>
      <c r="Z932" s="3">
        <f t="shared" si="549"/>
        <v>0</v>
      </c>
      <c r="AA932" s="3"/>
      <c r="AB932" s="3"/>
      <c r="AC932" s="3"/>
      <c r="AD932" s="3">
        <f t="shared" si="555"/>
        <v>0</v>
      </c>
      <c r="AE932" s="3"/>
      <c r="AF932" s="3">
        <f t="shared" si="556"/>
        <v>0</v>
      </c>
      <c r="AG932" s="4"/>
      <c r="AH932" s="4"/>
      <c r="AI932" s="4"/>
      <c r="AJ932" s="3"/>
      <c r="AK932" s="3">
        <f t="shared" si="550"/>
        <v>0</v>
      </c>
      <c r="AL932" s="3"/>
      <c r="AM932" s="3">
        <f t="shared" si="551"/>
        <v>0</v>
      </c>
      <c r="AN932" s="4"/>
      <c r="AO932" s="3">
        <v>5000</v>
      </c>
      <c r="AP932" s="3"/>
      <c r="AQ932" s="3"/>
      <c r="AR932" s="3"/>
      <c r="AS932" s="3"/>
      <c r="AT932" s="3"/>
      <c r="AU932" s="3"/>
      <c r="AV932" s="42"/>
      <c r="AW932" s="3"/>
      <c r="AX932" s="42"/>
      <c r="AY932" s="3"/>
      <c r="AZ932" s="42"/>
      <c r="BA932" s="3"/>
      <c r="BB932" s="42"/>
      <c r="BC932" s="3"/>
      <c r="BD932" s="42"/>
      <c r="BE932" s="3"/>
    </row>
    <row r="933" spans="1:57" hidden="1" x14ac:dyDescent="0.25">
      <c r="A933" s="3" t="s">
        <v>692</v>
      </c>
      <c r="B933" s="3"/>
      <c r="E933" s="3"/>
      <c r="F933" s="29"/>
      <c r="H933" s="5">
        <f t="shared" si="557"/>
        <v>0</v>
      </c>
      <c r="K933" s="4">
        <f t="shared" si="547"/>
        <v>0</v>
      </c>
      <c r="L933" s="4"/>
      <c r="N933" s="4">
        <f t="shared" si="548"/>
        <v>0</v>
      </c>
      <c r="P933" s="3"/>
      <c r="Q933" s="3"/>
      <c r="R933" s="3"/>
      <c r="S933" s="3">
        <f t="shared" si="552"/>
        <v>0</v>
      </c>
      <c r="T933" s="3"/>
      <c r="U933" s="3">
        <f t="shared" si="553"/>
        <v>0</v>
      </c>
      <c r="V933" s="3"/>
      <c r="W933" s="3">
        <f t="shared" si="554"/>
        <v>0</v>
      </c>
      <c r="X933" s="3"/>
      <c r="Y933" s="3"/>
      <c r="Z933" s="3">
        <f t="shared" si="549"/>
        <v>0</v>
      </c>
      <c r="AA933" s="3"/>
      <c r="AB933" s="3"/>
      <c r="AC933" s="3"/>
      <c r="AD933" s="3">
        <f t="shared" si="555"/>
        <v>0</v>
      </c>
      <c r="AE933" s="3"/>
      <c r="AF933" s="3">
        <f t="shared" si="556"/>
        <v>0</v>
      </c>
      <c r="AG933" s="4"/>
      <c r="AH933" s="4"/>
      <c r="AJ933" s="3"/>
      <c r="AK933" s="3">
        <f t="shared" si="550"/>
        <v>0</v>
      </c>
      <c r="AL933" s="3"/>
      <c r="AM933" s="3">
        <f t="shared" si="551"/>
        <v>0</v>
      </c>
      <c r="AO933" s="3"/>
      <c r="AP933" s="3"/>
      <c r="AQ933" s="3"/>
      <c r="AR933" s="3"/>
      <c r="AS933" s="3"/>
      <c r="AT933" s="3"/>
      <c r="AU933" s="3"/>
      <c r="AV933" s="42"/>
      <c r="AW933" s="3"/>
      <c r="AX933" s="42"/>
      <c r="AY933" s="3"/>
      <c r="AZ933" s="42"/>
      <c r="BA933" s="3"/>
      <c r="BB933" s="42"/>
      <c r="BC933" s="3"/>
      <c r="BD933" s="42"/>
      <c r="BE933" s="3"/>
    </row>
    <row r="934" spans="1:57" s="77" customFormat="1" hidden="1" x14ac:dyDescent="0.25">
      <c r="A934" s="3" t="s">
        <v>693</v>
      </c>
      <c r="B934" s="3"/>
      <c r="C934" s="3"/>
      <c r="D934" s="29"/>
      <c r="E934" s="3">
        <f t="shared" ref="E934:E994" si="558">F934-D934</f>
        <v>0</v>
      </c>
      <c r="F934" s="5"/>
      <c r="G934" s="3"/>
      <c r="H934" s="5">
        <f t="shared" si="557"/>
        <v>0</v>
      </c>
      <c r="I934" s="5"/>
      <c r="J934" s="5"/>
      <c r="K934" s="4">
        <f t="shared" si="547"/>
        <v>0</v>
      </c>
      <c r="L934" s="4"/>
      <c r="M934" s="4"/>
      <c r="N934" s="4">
        <f t="shared" si="548"/>
        <v>0</v>
      </c>
      <c r="O934" s="4"/>
      <c r="P934" s="3"/>
      <c r="Q934" s="3"/>
      <c r="R934" s="3"/>
      <c r="S934" s="3">
        <f t="shared" si="552"/>
        <v>0</v>
      </c>
      <c r="T934" s="3"/>
      <c r="U934" s="3">
        <f t="shared" si="553"/>
        <v>0</v>
      </c>
      <c r="V934" s="3"/>
      <c r="W934" s="3">
        <f t="shared" si="554"/>
        <v>0</v>
      </c>
      <c r="X934" s="3"/>
      <c r="Y934" s="3"/>
      <c r="Z934" s="3">
        <f t="shared" si="549"/>
        <v>0</v>
      </c>
      <c r="AA934" s="3"/>
      <c r="AB934" s="3"/>
      <c r="AC934" s="3"/>
      <c r="AD934" s="3">
        <f t="shared" si="555"/>
        <v>0</v>
      </c>
      <c r="AE934" s="3"/>
      <c r="AF934" s="3">
        <f t="shared" si="556"/>
        <v>0</v>
      </c>
      <c r="AG934" s="4"/>
      <c r="AH934" s="4"/>
      <c r="AI934" s="4"/>
      <c r="AJ934" s="3"/>
      <c r="AK934" s="3">
        <f t="shared" si="550"/>
        <v>0</v>
      </c>
      <c r="AL934" s="3"/>
      <c r="AM934" s="3">
        <f t="shared" si="551"/>
        <v>0</v>
      </c>
      <c r="AN934" s="4"/>
      <c r="AO934" s="3"/>
      <c r="AP934" s="3"/>
      <c r="AQ934" s="3"/>
      <c r="AR934" s="3"/>
      <c r="AS934" s="3"/>
      <c r="AT934" s="3"/>
      <c r="AU934" s="3"/>
      <c r="AV934" s="42"/>
      <c r="AW934" s="3"/>
      <c r="AX934" s="42"/>
      <c r="AY934" s="3"/>
      <c r="AZ934" s="42"/>
      <c r="BA934" s="3"/>
      <c r="BB934" s="42"/>
      <c r="BC934" s="3"/>
      <c r="BD934" s="42"/>
      <c r="BE934" s="3"/>
    </row>
    <row r="935" spans="1:57" hidden="1" x14ac:dyDescent="0.25">
      <c r="A935" s="3" t="s">
        <v>694</v>
      </c>
      <c r="B935" s="3"/>
      <c r="E935" s="3">
        <f t="shared" si="558"/>
        <v>0</v>
      </c>
      <c r="F935" s="29"/>
      <c r="H935" s="5">
        <f t="shared" si="557"/>
        <v>0</v>
      </c>
      <c r="K935" s="4">
        <f t="shared" si="547"/>
        <v>0</v>
      </c>
      <c r="L935" s="4"/>
      <c r="N935" s="4">
        <f t="shared" si="548"/>
        <v>0</v>
      </c>
      <c r="P935" s="3"/>
      <c r="Q935" s="3"/>
      <c r="R935" s="3"/>
      <c r="S935" s="3">
        <f t="shared" si="552"/>
        <v>0</v>
      </c>
      <c r="T935" s="3"/>
      <c r="U935" s="3">
        <f t="shared" si="553"/>
        <v>0</v>
      </c>
      <c r="V935" s="3"/>
      <c r="W935" s="3">
        <f t="shared" si="554"/>
        <v>0</v>
      </c>
      <c r="X935" s="3"/>
      <c r="Y935" s="3"/>
      <c r="Z935" s="3">
        <f t="shared" si="549"/>
        <v>0</v>
      </c>
      <c r="AA935" s="3"/>
      <c r="AB935" s="3"/>
      <c r="AC935" s="3"/>
      <c r="AD935" s="3">
        <f t="shared" si="555"/>
        <v>0</v>
      </c>
      <c r="AE935" s="3"/>
      <c r="AF935" s="3">
        <f t="shared" si="556"/>
        <v>0</v>
      </c>
      <c r="AG935" s="4"/>
      <c r="AH935" s="4"/>
      <c r="AJ935" s="3"/>
      <c r="AK935" s="3">
        <f t="shared" si="550"/>
        <v>0</v>
      </c>
      <c r="AL935" s="3"/>
      <c r="AM935" s="3">
        <f t="shared" si="551"/>
        <v>0</v>
      </c>
      <c r="AO935" s="3"/>
      <c r="AP935" s="3"/>
      <c r="AQ935" s="3"/>
      <c r="AR935" s="3"/>
      <c r="AS935" s="3"/>
      <c r="AT935" s="3"/>
      <c r="AU935" s="3"/>
      <c r="AV935" s="42"/>
      <c r="AW935" s="3"/>
      <c r="AX935" s="42"/>
      <c r="AY935" s="3"/>
      <c r="AZ935" s="42"/>
      <c r="BA935" s="3"/>
      <c r="BB935" s="42"/>
      <c r="BC935" s="3"/>
      <c r="BD935" s="42"/>
      <c r="BE935" s="3"/>
    </row>
    <row r="936" spans="1:57" s="77" customFormat="1" hidden="1" x14ac:dyDescent="0.25">
      <c r="A936" s="3" t="s">
        <v>695</v>
      </c>
      <c r="B936" s="3"/>
      <c r="C936" s="3"/>
      <c r="D936" s="29"/>
      <c r="E936" s="3">
        <f t="shared" si="558"/>
        <v>0</v>
      </c>
      <c r="F936" s="5"/>
      <c r="G936" s="3"/>
      <c r="H936" s="5">
        <f t="shared" si="557"/>
        <v>0</v>
      </c>
      <c r="I936" s="5"/>
      <c r="J936" s="5"/>
      <c r="K936" s="4">
        <f t="shared" si="547"/>
        <v>0</v>
      </c>
      <c r="L936" s="4"/>
      <c r="M936" s="4"/>
      <c r="N936" s="4">
        <f t="shared" si="548"/>
        <v>0</v>
      </c>
      <c r="O936" s="4"/>
      <c r="P936" s="3">
        <v>20000</v>
      </c>
      <c r="Q936" s="3"/>
      <c r="R936" s="3"/>
      <c r="S936" s="3">
        <f t="shared" si="552"/>
        <v>20000</v>
      </c>
      <c r="T936" s="3">
        <v>20000</v>
      </c>
      <c r="U936" s="3">
        <f t="shared" si="553"/>
        <v>0</v>
      </c>
      <c r="V936" s="3"/>
      <c r="W936" s="3">
        <f t="shared" si="554"/>
        <v>20000</v>
      </c>
      <c r="X936" s="3"/>
      <c r="Y936" s="3">
        <v>20000</v>
      </c>
      <c r="Z936" s="3">
        <f t="shared" si="549"/>
        <v>0</v>
      </c>
      <c r="AA936" s="3"/>
      <c r="AB936" s="3"/>
      <c r="AC936" s="3"/>
      <c r="AD936" s="3">
        <f t="shared" si="555"/>
        <v>20000</v>
      </c>
      <c r="AE936" s="3">
        <v>20000</v>
      </c>
      <c r="AF936" s="3">
        <f t="shared" si="556"/>
        <v>0</v>
      </c>
      <c r="AG936" s="4"/>
      <c r="AH936" s="4"/>
      <c r="AI936" s="4"/>
      <c r="AJ936" s="3"/>
      <c r="AK936" s="3">
        <f t="shared" si="550"/>
        <v>0</v>
      </c>
      <c r="AL936" s="3"/>
      <c r="AM936" s="3">
        <f t="shared" si="551"/>
        <v>0</v>
      </c>
      <c r="AN936" s="4"/>
      <c r="AO936" s="3"/>
      <c r="AP936" s="3"/>
      <c r="AQ936" s="3"/>
      <c r="AR936" s="3"/>
      <c r="AS936" s="3"/>
      <c r="AT936" s="3"/>
      <c r="AU936" s="3"/>
      <c r="AV936" s="42"/>
      <c r="AW936" s="3"/>
      <c r="AX936" s="42"/>
      <c r="AY936" s="3"/>
      <c r="AZ936" s="42"/>
      <c r="BA936" s="3"/>
      <c r="BB936" s="42"/>
      <c r="BC936" s="3"/>
      <c r="BD936" s="42"/>
      <c r="BE936" s="3"/>
    </row>
    <row r="937" spans="1:57" x14ac:dyDescent="0.25">
      <c r="A937" s="3" t="s">
        <v>696</v>
      </c>
      <c r="B937" s="3">
        <f>26800+200</f>
        <v>27000</v>
      </c>
      <c r="D937" s="5">
        <f>14263+1548</f>
        <v>15811</v>
      </c>
      <c r="E937" s="3">
        <f t="shared" si="558"/>
        <v>11189</v>
      </c>
      <c r="F937" s="29">
        <v>27000</v>
      </c>
      <c r="H937" s="5">
        <f t="shared" si="557"/>
        <v>0</v>
      </c>
      <c r="J937" s="5">
        <f>3733</f>
        <v>3733</v>
      </c>
      <c r="K937" s="4">
        <f t="shared" si="547"/>
        <v>3267</v>
      </c>
      <c r="L937" s="4">
        <v>7000</v>
      </c>
      <c r="N937" s="4">
        <f t="shared" si="548"/>
        <v>-20000</v>
      </c>
      <c r="P937" s="3">
        <f>29300+10500</f>
        <v>39800</v>
      </c>
      <c r="Q937" s="3"/>
      <c r="R937" s="3"/>
      <c r="S937" s="3">
        <f t="shared" si="552"/>
        <v>39800</v>
      </c>
      <c r="T937" s="3">
        <v>39800</v>
      </c>
      <c r="U937" s="3">
        <f t="shared" si="553"/>
        <v>0</v>
      </c>
      <c r="V937" s="3">
        <f>20468-V949</f>
        <v>16028</v>
      </c>
      <c r="W937" s="3">
        <f t="shared" si="554"/>
        <v>23772</v>
      </c>
      <c r="X937" s="3"/>
      <c r="Y937" s="3">
        <v>39800</v>
      </c>
      <c r="Z937" s="3">
        <f t="shared" si="549"/>
        <v>0</v>
      </c>
      <c r="AA937" s="3"/>
      <c r="AB937" s="3"/>
      <c r="AC937" s="3">
        <v>40336</v>
      </c>
      <c r="AD937" s="3">
        <f t="shared" si="555"/>
        <v>664</v>
      </c>
      <c r="AE937" s="3">
        <v>41000</v>
      </c>
      <c r="AF937" s="3">
        <f>AE937-Y937</f>
        <v>1200</v>
      </c>
      <c r="AG937" s="4"/>
      <c r="AH937" s="4">
        <v>25000</v>
      </c>
      <c r="AJ937" s="3">
        <v>7245</v>
      </c>
      <c r="AK937" s="3">
        <f t="shared" si="550"/>
        <v>17755</v>
      </c>
      <c r="AL937" s="3">
        <v>25000</v>
      </c>
      <c r="AM937" s="3">
        <f t="shared" si="551"/>
        <v>0</v>
      </c>
      <c r="AO937" s="3">
        <v>24000</v>
      </c>
      <c r="AP937" s="3"/>
      <c r="AQ937" s="3">
        <v>9000</v>
      </c>
      <c r="AR937" s="3"/>
      <c r="AS937" s="3">
        <v>28000</v>
      </c>
      <c r="AT937" s="3"/>
      <c r="AU937" s="3">
        <v>28000</v>
      </c>
      <c r="AV937" s="42"/>
      <c r="AW937" s="3">
        <v>28000</v>
      </c>
      <c r="AX937" s="42"/>
      <c r="AY937" s="3">
        <v>28000</v>
      </c>
      <c r="AZ937" s="42"/>
      <c r="BA937" s="3">
        <v>28000</v>
      </c>
      <c r="BB937" s="42"/>
      <c r="BC937" s="3">
        <v>28000</v>
      </c>
      <c r="BD937" s="42"/>
      <c r="BE937" s="3">
        <v>28000</v>
      </c>
    </row>
    <row r="938" spans="1:57" x14ac:dyDescent="0.25">
      <c r="A938" s="3" t="s">
        <v>697</v>
      </c>
      <c r="B938" s="3"/>
      <c r="E938" s="3"/>
      <c r="F938" s="29"/>
      <c r="J938" s="5">
        <v>3733</v>
      </c>
      <c r="K938" s="4">
        <f>L938-J938</f>
        <v>29267</v>
      </c>
      <c r="L938" s="4">
        <v>33000</v>
      </c>
      <c r="N938" s="4">
        <f>L938-F938</f>
        <v>33000</v>
      </c>
      <c r="P938" s="3"/>
      <c r="Q938" s="3"/>
      <c r="R938" s="3"/>
      <c r="S938" s="3">
        <f t="shared" si="552"/>
        <v>0</v>
      </c>
      <c r="T938" s="3"/>
      <c r="U938" s="3">
        <f t="shared" si="553"/>
        <v>0</v>
      </c>
      <c r="V938" s="3"/>
      <c r="W938" s="3">
        <f t="shared" si="554"/>
        <v>0</v>
      </c>
      <c r="X938" s="3"/>
      <c r="Y938" s="3"/>
      <c r="Z938" s="3">
        <f t="shared" si="549"/>
        <v>0</v>
      </c>
      <c r="AA938" s="3"/>
      <c r="AB938" s="3"/>
      <c r="AC938" s="3"/>
      <c r="AD938" s="3">
        <f>AE938-AC938</f>
        <v>0</v>
      </c>
      <c r="AE938" s="3"/>
      <c r="AF938" s="3">
        <f>AE938-Y938</f>
        <v>0</v>
      </c>
      <c r="AG938" s="4"/>
      <c r="AH938" s="231">
        <v>25000</v>
      </c>
      <c r="AJ938" s="3">
        <v>4502</v>
      </c>
      <c r="AK938" s="3">
        <f t="shared" si="550"/>
        <v>20498</v>
      </c>
      <c r="AL938" s="3">
        <v>25000</v>
      </c>
      <c r="AM938" s="3">
        <f t="shared" si="551"/>
        <v>0</v>
      </c>
      <c r="AO938" s="3"/>
      <c r="AP938" s="3"/>
      <c r="AQ938" s="3"/>
      <c r="AR938" s="3"/>
      <c r="AS938" s="3"/>
      <c r="AT938" s="3"/>
      <c r="AU938" s="3"/>
      <c r="AV938" s="42"/>
      <c r="AW938" s="3"/>
      <c r="AX938" s="42"/>
      <c r="AY938" s="3"/>
      <c r="AZ938" s="42"/>
      <c r="BA938" s="3"/>
      <c r="BB938" s="42"/>
      <c r="BC938" s="3"/>
      <c r="BD938" s="42"/>
      <c r="BE938" s="3"/>
    </row>
    <row r="939" spans="1:57" s="77" customFormat="1" hidden="1" x14ac:dyDescent="0.25">
      <c r="A939" s="3" t="s">
        <v>698</v>
      </c>
      <c r="B939" s="3"/>
      <c r="C939" s="3"/>
      <c r="D939" s="29"/>
      <c r="E939" s="3">
        <f t="shared" si="558"/>
        <v>0</v>
      </c>
      <c r="F939" s="5"/>
      <c r="G939" s="3"/>
      <c r="H939" s="5">
        <f t="shared" si="557"/>
        <v>0</v>
      </c>
      <c r="I939" s="5"/>
      <c r="J939" s="5"/>
      <c r="K939" s="4">
        <f t="shared" si="547"/>
        <v>0</v>
      </c>
      <c r="L939" s="4"/>
      <c r="M939" s="4"/>
      <c r="N939" s="4">
        <f t="shared" si="548"/>
        <v>0</v>
      </c>
      <c r="O939" s="4"/>
      <c r="P939" s="3"/>
      <c r="Q939" s="3"/>
      <c r="R939" s="3"/>
      <c r="S939" s="3">
        <f t="shared" si="552"/>
        <v>0</v>
      </c>
      <c r="T939" s="3"/>
      <c r="U939" s="3">
        <f t="shared" si="553"/>
        <v>0</v>
      </c>
      <c r="V939" s="3"/>
      <c r="W939" s="3">
        <f t="shared" si="554"/>
        <v>0</v>
      </c>
      <c r="X939" s="3"/>
      <c r="Y939" s="3"/>
      <c r="Z939" s="3">
        <f t="shared" si="549"/>
        <v>0</v>
      </c>
      <c r="AA939" s="3"/>
      <c r="AB939" s="3"/>
      <c r="AC939" s="3"/>
      <c r="AD939" s="3">
        <f t="shared" si="555"/>
        <v>0</v>
      </c>
      <c r="AE939" s="3"/>
      <c r="AF939" s="3">
        <f t="shared" si="556"/>
        <v>0</v>
      </c>
      <c r="AG939" s="4"/>
      <c r="AH939" s="4"/>
      <c r="AI939" s="4"/>
      <c r="AJ939" s="3"/>
      <c r="AK939" s="3">
        <f t="shared" si="550"/>
        <v>0</v>
      </c>
      <c r="AL939" s="3"/>
      <c r="AM939" s="3">
        <f t="shared" si="551"/>
        <v>0</v>
      </c>
      <c r="AN939" s="4"/>
      <c r="AO939" s="3"/>
      <c r="AP939" s="3"/>
      <c r="AQ939" s="3"/>
      <c r="AR939" s="3"/>
      <c r="AS939" s="3"/>
      <c r="AT939" s="3"/>
      <c r="AU939" s="3"/>
      <c r="AV939" s="42"/>
      <c r="AW939" s="3"/>
      <c r="AX939" s="42"/>
      <c r="AY939" s="3"/>
      <c r="AZ939" s="42"/>
      <c r="BA939" s="3"/>
      <c r="BB939" s="42"/>
      <c r="BC939" s="3"/>
      <c r="BD939" s="42"/>
      <c r="BE939" s="3"/>
    </row>
    <row r="940" spans="1:57" hidden="1" x14ac:dyDescent="0.25">
      <c r="A940" s="3" t="s">
        <v>699</v>
      </c>
      <c r="B940" s="3"/>
      <c r="E940" s="3">
        <f t="shared" si="558"/>
        <v>0</v>
      </c>
      <c r="F940" s="29"/>
      <c r="H940" s="5">
        <f t="shared" si="557"/>
        <v>0</v>
      </c>
      <c r="K940" s="4">
        <f t="shared" si="547"/>
        <v>0</v>
      </c>
      <c r="L940" s="4"/>
      <c r="N940" s="4">
        <f t="shared" si="548"/>
        <v>0</v>
      </c>
      <c r="P940" s="3"/>
      <c r="Q940" s="3"/>
      <c r="R940" s="3"/>
      <c r="S940" s="3">
        <f t="shared" si="552"/>
        <v>0</v>
      </c>
      <c r="T940" s="3"/>
      <c r="U940" s="3">
        <f t="shared" si="553"/>
        <v>0</v>
      </c>
      <c r="V940" s="3"/>
      <c r="W940" s="3">
        <f t="shared" si="554"/>
        <v>0</v>
      </c>
      <c r="X940" s="3"/>
      <c r="Y940" s="3"/>
      <c r="Z940" s="3">
        <f t="shared" si="549"/>
        <v>0</v>
      </c>
      <c r="AA940" s="3"/>
      <c r="AB940" s="3"/>
      <c r="AC940" s="3"/>
      <c r="AD940" s="3">
        <f t="shared" si="555"/>
        <v>0</v>
      </c>
      <c r="AE940" s="3"/>
      <c r="AF940" s="3">
        <f t="shared" si="556"/>
        <v>0</v>
      </c>
      <c r="AG940" s="4"/>
      <c r="AH940" s="4"/>
      <c r="AJ940" s="3"/>
      <c r="AK940" s="3">
        <f t="shared" si="550"/>
        <v>0</v>
      </c>
      <c r="AL940" s="3"/>
      <c r="AM940" s="3">
        <f t="shared" si="551"/>
        <v>0</v>
      </c>
      <c r="AO940" s="3"/>
      <c r="AP940" s="3"/>
      <c r="AQ940" s="3"/>
      <c r="AR940" s="3"/>
      <c r="AS940" s="3"/>
      <c r="AT940" s="3"/>
      <c r="AU940" s="3"/>
      <c r="AV940" s="42"/>
      <c r="AW940" s="3"/>
      <c r="AX940" s="42"/>
      <c r="AY940" s="3"/>
      <c r="AZ940" s="42"/>
      <c r="BA940" s="3"/>
      <c r="BB940" s="42"/>
      <c r="BC940" s="3"/>
      <c r="BD940" s="42"/>
      <c r="BE940" s="3"/>
    </row>
    <row r="941" spans="1:57" s="77" customFormat="1" hidden="1" x14ac:dyDescent="0.25">
      <c r="A941" s="3" t="s">
        <v>700</v>
      </c>
      <c r="B941" s="3"/>
      <c r="C941" s="3"/>
      <c r="D941" s="29"/>
      <c r="E941" s="3">
        <f t="shared" si="558"/>
        <v>0</v>
      </c>
      <c r="F941" s="5"/>
      <c r="G941" s="3"/>
      <c r="H941" s="5">
        <f t="shared" si="557"/>
        <v>0</v>
      </c>
      <c r="I941" s="5"/>
      <c r="J941" s="5"/>
      <c r="K941" s="4">
        <f t="shared" si="547"/>
        <v>0</v>
      </c>
      <c r="L941" s="4"/>
      <c r="M941" s="4"/>
      <c r="N941" s="4">
        <f t="shared" si="548"/>
        <v>0</v>
      </c>
      <c r="O941" s="4"/>
      <c r="P941" s="3"/>
      <c r="Q941" s="3"/>
      <c r="R941" s="3"/>
      <c r="S941" s="3">
        <f t="shared" si="552"/>
        <v>0</v>
      </c>
      <c r="T941" s="3"/>
      <c r="U941" s="3">
        <f t="shared" si="553"/>
        <v>0</v>
      </c>
      <c r="V941" s="3"/>
      <c r="W941" s="3">
        <f t="shared" si="554"/>
        <v>0</v>
      </c>
      <c r="X941" s="3"/>
      <c r="Y941" s="3"/>
      <c r="Z941" s="3">
        <f t="shared" si="549"/>
        <v>0</v>
      </c>
      <c r="AA941" s="3"/>
      <c r="AB941" s="3"/>
      <c r="AC941" s="3"/>
      <c r="AD941" s="3">
        <f t="shared" si="555"/>
        <v>0</v>
      </c>
      <c r="AE941" s="3"/>
      <c r="AF941" s="3">
        <f t="shared" si="556"/>
        <v>0</v>
      </c>
      <c r="AG941" s="4"/>
      <c r="AH941" s="4"/>
      <c r="AI941" s="4"/>
      <c r="AJ941" s="3"/>
      <c r="AK941" s="3">
        <f t="shared" si="550"/>
        <v>0</v>
      </c>
      <c r="AL941" s="3"/>
      <c r="AM941" s="3">
        <f t="shared" si="551"/>
        <v>0</v>
      </c>
      <c r="AN941" s="4"/>
      <c r="AO941" s="3"/>
      <c r="AP941" s="3"/>
      <c r="AQ941" s="3"/>
      <c r="AR941" s="3"/>
      <c r="AS941" s="3"/>
      <c r="AT941" s="3"/>
      <c r="AU941" s="3"/>
      <c r="AV941" s="42"/>
      <c r="AW941" s="3"/>
      <c r="AX941" s="42"/>
      <c r="AY941" s="3"/>
      <c r="AZ941" s="42"/>
      <c r="BA941" s="3"/>
      <c r="BB941" s="42"/>
      <c r="BC941" s="3"/>
      <c r="BD941" s="42"/>
      <c r="BE941" s="3"/>
    </row>
    <row r="942" spans="1:57" hidden="1" x14ac:dyDescent="0.25">
      <c r="A942" s="3" t="s">
        <v>701</v>
      </c>
      <c r="B942" s="3"/>
      <c r="E942" s="3">
        <f t="shared" si="558"/>
        <v>0</v>
      </c>
      <c r="F942" s="29"/>
      <c r="H942" s="5">
        <f t="shared" si="557"/>
        <v>0</v>
      </c>
      <c r="K942" s="4">
        <f t="shared" si="547"/>
        <v>0</v>
      </c>
      <c r="L942" s="4"/>
      <c r="N942" s="4">
        <f t="shared" si="548"/>
        <v>0</v>
      </c>
      <c r="P942" s="3"/>
      <c r="Q942" s="3"/>
      <c r="R942" s="3"/>
      <c r="S942" s="3">
        <f t="shared" si="552"/>
        <v>0</v>
      </c>
      <c r="T942" s="3"/>
      <c r="U942" s="3">
        <f t="shared" si="553"/>
        <v>0</v>
      </c>
      <c r="V942" s="3"/>
      <c r="W942" s="3">
        <f t="shared" si="554"/>
        <v>0</v>
      </c>
      <c r="X942" s="3"/>
      <c r="Y942" s="3"/>
      <c r="Z942" s="3">
        <f t="shared" si="549"/>
        <v>0</v>
      </c>
      <c r="AA942" s="3"/>
      <c r="AB942" s="3"/>
      <c r="AC942" s="3"/>
      <c r="AD942" s="3">
        <f t="shared" si="555"/>
        <v>0</v>
      </c>
      <c r="AE942" s="3"/>
      <c r="AF942" s="3">
        <f t="shared" si="556"/>
        <v>0</v>
      </c>
      <c r="AG942" s="4"/>
      <c r="AH942" s="4"/>
      <c r="AJ942" s="3"/>
      <c r="AK942" s="3">
        <f t="shared" si="550"/>
        <v>0</v>
      </c>
      <c r="AL942" s="3"/>
      <c r="AM942" s="3">
        <f t="shared" si="551"/>
        <v>0</v>
      </c>
      <c r="AO942" s="3"/>
      <c r="AP942" s="3"/>
      <c r="AQ942" s="3"/>
      <c r="AR942" s="3"/>
      <c r="AS942" s="3"/>
      <c r="AT942" s="3"/>
      <c r="AU942" s="3"/>
      <c r="AV942" s="42"/>
      <c r="AW942" s="3"/>
      <c r="AX942" s="42"/>
      <c r="AY942" s="3"/>
      <c r="AZ942" s="42"/>
      <c r="BA942" s="3"/>
      <c r="BB942" s="42"/>
      <c r="BC942" s="3"/>
      <c r="BD942" s="42"/>
      <c r="BE942" s="3"/>
    </row>
    <row r="943" spans="1:57" x14ac:dyDescent="0.25">
      <c r="A943" s="3" t="s">
        <v>702</v>
      </c>
      <c r="B943" s="3"/>
      <c r="E943" s="3"/>
      <c r="F943" s="29"/>
      <c r="K943" s="4"/>
      <c r="L943" s="4"/>
      <c r="N943" s="4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4"/>
      <c r="AH943" s="4">
        <v>80000</v>
      </c>
      <c r="AJ943" s="3">
        <v>0</v>
      </c>
      <c r="AK943" s="3">
        <f t="shared" si="550"/>
        <v>80000</v>
      </c>
      <c r="AL943" s="3">
        <v>80000</v>
      </c>
      <c r="AM943" s="3">
        <f t="shared" si="551"/>
        <v>0</v>
      </c>
      <c r="AO943" s="3"/>
      <c r="AP943" s="3"/>
      <c r="AQ943" s="3"/>
      <c r="AR943" s="3"/>
      <c r="AS943" s="3"/>
      <c r="AT943" s="3"/>
      <c r="AU943" s="3"/>
      <c r="AV943" s="42"/>
      <c r="AW943" s="3"/>
      <c r="AX943" s="42"/>
      <c r="AY943" s="3"/>
      <c r="AZ943" s="42"/>
      <c r="BA943" s="3"/>
      <c r="BB943" s="42"/>
      <c r="BC943" s="3"/>
      <c r="BD943" s="42"/>
      <c r="BE943" s="3"/>
    </row>
    <row r="944" spans="1:57" x14ac:dyDescent="0.25">
      <c r="A944" s="3" t="s">
        <v>703</v>
      </c>
      <c r="B944" s="3"/>
      <c r="E944" s="3"/>
      <c r="F944" s="29"/>
      <c r="K944" s="4"/>
      <c r="L944" s="4"/>
      <c r="N944" s="4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4"/>
      <c r="AH944" s="4">
        <v>20000</v>
      </c>
      <c r="AJ944" s="3">
        <v>0</v>
      </c>
      <c r="AK944" s="3">
        <f t="shared" si="550"/>
        <v>20000</v>
      </c>
      <c r="AL944" s="3">
        <v>20000</v>
      </c>
      <c r="AM944" s="3">
        <f t="shared" si="551"/>
        <v>0</v>
      </c>
      <c r="AO944" s="3"/>
      <c r="AP944" s="3"/>
      <c r="AQ944" s="3"/>
      <c r="AR944" s="3"/>
      <c r="AS944" s="3"/>
      <c r="AT944" s="3"/>
      <c r="AU944" s="3"/>
      <c r="AV944" s="42"/>
      <c r="AW944" s="3"/>
      <c r="AX944" s="42"/>
      <c r="AY944" s="3"/>
      <c r="AZ944" s="42"/>
      <c r="BA944" s="3"/>
      <c r="BB944" s="42"/>
      <c r="BC944" s="3"/>
      <c r="BD944" s="42"/>
      <c r="BE944" s="3"/>
    </row>
    <row r="945" spans="1:57" s="77" customFormat="1" x14ac:dyDescent="0.25">
      <c r="A945" s="3" t="s">
        <v>704</v>
      </c>
      <c r="B945" s="3">
        <v>2000</v>
      </c>
      <c r="C945" s="3"/>
      <c r="D945" s="29"/>
      <c r="E945" s="3">
        <f t="shared" si="558"/>
        <v>2000</v>
      </c>
      <c r="F945" s="5">
        <v>2000</v>
      </c>
      <c r="G945" s="3"/>
      <c r="H945" s="5">
        <f t="shared" si="557"/>
        <v>0</v>
      </c>
      <c r="I945" s="5"/>
      <c r="J945" s="5"/>
      <c r="K945" s="4">
        <f t="shared" si="547"/>
        <v>0</v>
      </c>
      <c r="L945" s="4"/>
      <c r="M945" s="4"/>
      <c r="N945" s="4">
        <f t="shared" si="548"/>
        <v>-2000</v>
      </c>
      <c r="O945" s="4"/>
      <c r="P945" s="3">
        <v>2000</v>
      </c>
      <c r="Q945" s="3"/>
      <c r="R945" s="3"/>
      <c r="S945" s="3">
        <f t="shared" si="552"/>
        <v>2000</v>
      </c>
      <c r="T945" s="3">
        <v>2000</v>
      </c>
      <c r="U945" s="3">
        <f t="shared" si="553"/>
        <v>0</v>
      </c>
      <c r="V945" s="3"/>
      <c r="W945" s="3">
        <f t="shared" si="554"/>
        <v>2000</v>
      </c>
      <c r="X945" s="3"/>
      <c r="Y945" s="3">
        <v>2000</v>
      </c>
      <c r="Z945" s="3">
        <f t="shared" si="549"/>
        <v>0</v>
      </c>
      <c r="AA945" s="3"/>
      <c r="AB945" s="3"/>
      <c r="AC945" s="3"/>
      <c r="AD945" s="3">
        <f>AE945-AC945</f>
        <v>2000</v>
      </c>
      <c r="AE945" s="3">
        <v>2000</v>
      </c>
      <c r="AF945" s="3">
        <f t="shared" si="556"/>
        <v>0</v>
      </c>
      <c r="AG945" s="4"/>
      <c r="AH945" s="4">
        <v>2000</v>
      </c>
      <c r="AI945" s="4"/>
      <c r="AJ945" s="3">
        <v>0</v>
      </c>
      <c r="AK945" s="3">
        <f t="shared" si="550"/>
        <v>2000</v>
      </c>
      <c r="AL945" s="3">
        <v>2000</v>
      </c>
      <c r="AM945" s="3">
        <f t="shared" si="551"/>
        <v>0</v>
      </c>
      <c r="AN945" s="4"/>
      <c r="AO945" s="3">
        <v>2000</v>
      </c>
      <c r="AP945" s="3"/>
      <c r="AQ945" s="3">
        <v>2000</v>
      </c>
      <c r="AR945" s="3"/>
      <c r="AS945" s="3">
        <v>2000</v>
      </c>
      <c r="AT945" s="3"/>
      <c r="AU945" s="3">
        <v>2000</v>
      </c>
      <c r="AV945" s="42"/>
      <c r="AW945" s="3">
        <v>2000</v>
      </c>
      <c r="AX945" s="42"/>
      <c r="AY945" s="3">
        <v>2000</v>
      </c>
      <c r="AZ945" s="42"/>
      <c r="BA945" s="3">
        <v>2000</v>
      </c>
      <c r="BB945" s="42"/>
      <c r="BC945" s="3">
        <v>2000</v>
      </c>
      <c r="BD945" s="42"/>
      <c r="BE945" s="3">
        <v>2000</v>
      </c>
    </row>
    <row r="946" spans="1:57" hidden="1" x14ac:dyDescent="0.25">
      <c r="A946" s="3" t="s">
        <v>705</v>
      </c>
      <c r="B946" s="3"/>
      <c r="E946" s="3">
        <f t="shared" si="558"/>
        <v>2000</v>
      </c>
      <c r="F946" s="29">
        <v>2000</v>
      </c>
      <c r="H946" s="5">
        <f t="shared" si="557"/>
        <v>2000</v>
      </c>
      <c r="K946" s="4">
        <f t="shared" si="547"/>
        <v>2000</v>
      </c>
      <c r="L946" s="4">
        <v>2000</v>
      </c>
      <c r="N946" s="4">
        <f t="shared" si="548"/>
        <v>0</v>
      </c>
      <c r="P946" s="3">
        <v>80000</v>
      </c>
      <c r="Q946" s="3"/>
      <c r="R946" s="3"/>
      <c r="S946" s="3">
        <f t="shared" si="552"/>
        <v>80000</v>
      </c>
      <c r="T946" s="3">
        <v>80000</v>
      </c>
      <c r="U946" s="3">
        <f t="shared" si="553"/>
        <v>0</v>
      </c>
      <c r="V946" s="3"/>
      <c r="W946" s="3">
        <f t="shared" si="554"/>
        <v>80000</v>
      </c>
      <c r="X946" s="3"/>
      <c r="Y946" s="3">
        <v>80000</v>
      </c>
      <c r="Z946" s="3">
        <f t="shared" si="549"/>
        <v>0</v>
      </c>
      <c r="AA946" s="3"/>
      <c r="AB946" s="3"/>
      <c r="AC946" s="3">
        <v>0</v>
      </c>
      <c r="AD946" s="3">
        <f>AE946-AC946</f>
        <v>80000</v>
      </c>
      <c r="AE946" s="3">
        <v>80000</v>
      </c>
      <c r="AF946" s="3">
        <f>AE946-Y946</f>
        <v>0</v>
      </c>
      <c r="AG946" s="4"/>
      <c r="AH946" s="4"/>
      <c r="AJ946" s="3"/>
      <c r="AK946" s="3">
        <f t="shared" si="550"/>
        <v>0</v>
      </c>
      <c r="AL946" s="3"/>
      <c r="AM946" s="3">
        <f t="shared" si="551"/>
        <v>0</v>
      </c>
      <c r="AO946" s="3"/>
      <c r="AP946" s="3"/>
      <c r="AQ946" s="3"/>
      <c r="AR946" s="3"/>
      <c r="AS946" s="3"/>
      <c r="AT946" s="3"/>
      <c r="AU946" s="3"/>
      <c r="AV946" s="42"/>
      <c r="AW946" s="3"/>
      <c r="AX946" s="42"/>
      <c r="AY946" s="3"/>
      <c r="AZ946" s="42"/>
      <c r="BA946" s="3"/>
      <c r="BB946" s="42"/>
      <c r="BC946" s="3"/>
      <c r="BD946" s="42"/>
      <c r="BE946" s="3"/>
    </row>
    <row r="947" spans="1:57" hidden="1" x14ac:dyDescent="0.25">
      <c r="A947" s="3" t="s">
        <v>706</v>
      </c>
      <c r="B947" s="3"/>
      <c r="E947" s="3">
        <f t="shared" si="558"/>
        <v>0</v>
      </c>
      <c r="H947" s="5">
        <f t="shared" si="557"/>
        <v>0</v>
      </c>
      <c r="K947" s="4">
        <f t="shared" si="547"/>
        <v>0</v>
      </c>
      <c r="L947" s="4"/>
      <c r="N947" s="4">
        <f t="shared" si="548"/>
        <v>0</v>
      </c>
      <c r="P947" s="3"/>
      <c r="Q947" s="3"/>
      <c r="R947" s="3"/>
      <c r="S947" s="3">
        <f t="shared" si="552"/>
        <v>0</v>
      </c>
      <c r="T947" s="3"/>
      <c r="U947" s="3">
        <f t="shared" si="553"/>
        <v>0</v>
      </c>
      <c r="V947" s="3"/>
      <c r="W947" s="3">
        <f t="shared" si="554"/>
        <v>0</v>
      </c>
      <c r="X947" s="3"/>
      <c r="Y947" s="3"/>
      <c r="Z947" s="3">
        <f t="shared" si="549"/>
        <v>0</v>
      </c>
      <c r="AA947" s="3"/>
      <c r="AB947" s="3"/>
      <c r="AC947" s="3"/>
      <c r="AD947" s="3">
        <f t="shared" si="555"/>
        <v>0</v>
      </c>
      <c r="AE947" s="3"/>
      <c r="AF947" s="3"/>
      <c r="AG947" s="4"/>
      <c r="AH947" s="4"/>
      <c r="AJ947" s="3"/>
      <c r="AK947" s="3">
        <f t="shared" si="550"/>
        <v>0</v>
      </c>
      <c r="AL947" s="3"/>
      <c r="AM947" s="3">
        <f t="shared" si="551"/>
        <v>0</v>
      </c>
      <c r="AO947" s="3"/>
      <c r="AP947" s="3"/>
      <c r="AQ947" s="3"/>
      <c r="AR947" s="3"/>
      <c r="AS947" s="3"/>
      <c r="AT947" s="3"/>
      <c r="AU947" s="3"/>
      <c r="AV947" s="42"/>
      <c r="AW947" s="3"/>
      <c r="AX947" s="42"/>
      <c r="AY947" s="3"/>
      <c r="AZ947" s="42"/>
      <c r="BA947" s="3"/>
      <c r="BB947" s="42"/>
      <c r="BC947" s="3"/>
      <c r="BD947" s="42"/>
      <c r="BE947" s="3"/>
    </row>
    <row r="948" spans="1:57" s="77" customFormat="1" hidden="1" x14ac:dyDescent="0.25">
      <c r="A948" s="3" t="s">
        <v>707</v>
      </c>
      <c r="B948" s="3"/>
      <c r="C948" s="3"/>
      <c r="D948" s="29"/>
      <c r="E948" s="3">
        <f t="shared" si="558"/>
        <v>0</v>
      </c>
      <c r="F948" s="5"/>
      <c r="G948" s="3"/>
      <c r="H948" s="5">
        <f t="shared" si="557"/>
        <v>0</v>
      </c>
      <c r="I948" s="5"/>
      <c r="J948" s="5"/>
      <c r="K948" s="4">
        <f t="shared" si="547"/>
        <v>0</v>
      </c>
      <c r="L948" s="4"/>
      <c r="M948" s="4"/>
      <c r="N948" s="4">
        <f t="shared" si="548"/>
        <v>0</v>
      </c>
      <c r="O948" s="4"/>
      <c r="P948" s="3"/>
      <c r="Q948" s="3"/>
      <c r="R948" s="3"/>
      <c r="S948" s="3">
        <f t="shared" si="552"/>
        <v>0</v>
      </c>
      <c r="T948" s="3"/>
      <c r="U948" s="3">
        <f t="shared" si="553"/>
        <v>0</v>
      </c>
      <c r="V948" s="3"/>
      <c r="W948" s="3">
        <f t="shared" si="554"/>
        <v>0</v>
      </c>
      <c r="X948" s="3"/>
      <c r="Y948" s="3"/>
      <c r="Z948" s="3">
        <f t="shared" si="549"/>
        <v>0</v>
      </c>
      <c r="AA948" s="3"/>
      <c r="AB948" s="3"/>
      <c r="AC948" s="3"/>
      <c r="AD948" s="3">
        <f t="shared" si="555"/>
        <v>0</v>
      </c>
      <c r="AE948" s="3"/>
      <c r="AF948" s="3"/>
      <c r="AG948" s="4"/>
      <c r="AH948" s="4"/>
      <c r="AI948" s="4"/>
      <c r="AJ948" s="3"/>
      <c r="AK948" s="3">
        <f t="shared" si="550"/>
        <v>0</v>
      </c>
      <c r="AL948" s="3"/>
      <c r="AM948" s="3">
        <f t="shared" si="551"/>
        <v>0</v>
      </c>
      <c r="AN948" s="4"/>
      <c r="AO948" s="3"/>
      <c r="AP948" s="3"/>
      <c r="AQ948" s="3"/>
      <c r="AR948" s="3"/>
      <c r="AS948" s="3"/>
      <c r="AT948" s="3"/>
      <c r="AU948" s="3"/>
      <c r="AV948" s="42"/>
      <c r="AW948" s="3"/>
      <c r="AX948" s="42"/>
      <c r="AY948" s="3"/>
      <c r="AZ948" s="42"/>
      <c r="BA948" s="3"/>
      <c r="BB948" s="42"/>
      <c r="BC948" s="3"/>
      <c r="BD948" s="42"/>
      <c r="BE948" s="3"/>
    </row>
    <row r="949" spans="1:57" x14ac:dyDescent="0.25">
      <c r="A949" s="3" t="s">
        <v>708</v>
      </c>
      <c r="B949" s="3">
        <v>5500</v>
      </c>
      <c r="E949" s="3">
        <f t="shared" si="558"/>
        <v>5500</v>
      </c>
      <c r="F949" s="29">
        <v>5500</v>
      </c>
      <c r="H949" s="5">
        <f t="shared" si="557"/>
        <v>0</v>
      </c>
      <c r="K949" s="4">
        <f t="shared" si="547"/>
        <v>5500</v>
      </c>
      <c r="L949" s="4">
        <v>5500</v>
      </c>
      <c r="N949" s="4">
        <f t="shared" si="548"/>
        <v>0</v>
      </c>
      <c r="P949" s="3">
        <f>B949*1.02-10</f>
        <v>5600</v>
      </c>
      <c r="Q949" s="3"/>
      <c r="R949" s="3"/>
      <c r="S949" s="3">
        <f t="shared" si="552"/>
        <v>5600</v>
      </c>
      <c r="T949" s="3">
        <v>5600</v>
      </c>
      <c r="U949" s="3">
        <f t="shared" si="553"/>
        <v>0</v>
      </c>
      <c r="V949" s="3">
        <v>4440</v>
      </c>
      <c r="W949" s="3">
        <f t="shared" si="554"/>
        <v>4440</v>
      </c>
      <c r="X949" s="3"/>
      <c r="Y949" s="3">
        <v>8880</v>
      </c>
      <c r="Z949" s="3">
        <f t="shared" si="549"/>
        <v>3280</v>
      </c>
      <c r="AA949" s="3"/>
      <c r="AB949" s="3"/>
      <c r="AC949" s="3">
        <v>11068</v>
      </c>
      <c r="AD949" s="3">
        <f>AE949-AC949</f>
        <v>2</v>
      </c>
      <c r="AE949" s="3">
        <v>11070</v>
      </c>
      <c r="AF949" s="3">
        <f>AE949-Y949</f>
        <v>2190</v>
      </c>
      <c r="AG949" s="4"/>
      <c r="AH949" s="4">
        <v>5500</v>
      </c>
      <c r="AJ949" s="3">
        <v>0</v>
      </c>
      <c r="AK949" s="3">
        <f t="shared" si="550"/>
        <v>5500</v>
      </c>
      <c r="AL949" s="3">
        <v>5500</v>
      </c>
      <c r="AM949" s="3">
        <f t="shared" si="551"/>
        <v>0</v>
      </c>
      <c r="AO949" s="3">
        <f>AH949*1.02</f>
        <v>5610</v>
      </c>
      <c r="AP949" s="3"/>
      <c r="AQ949" s="3">
        <f>AO949*1.02</f>
        <v>5722.2</v>
      </c>
      <c r="AR949" s="3"/>
      <c r="AS949" s="3">
        <f>AQ949*1.02</f>
        <v>5836.6440000000002</v>
      </c>
      <c r="AT949" s="3"/>
      <c r="AU949" s="3">
        <f>AS949*1.02</f>
        <v>5953.3768800000007</v>
      </c>
      <c r="AV949" s="42"/>
      <c r="AW949" s="3">
        <f>AU949*1.02</f>
        <v>6072.4444176000006</v>
      </c>
      <c r="AX949" s="42"/>
      <c r="AY949" s="3">
        <f>AW949*1.02</f>
        <v>6193.8933059520004</v>
      </c>
      <c r="AZ949" s="42"/>
      <c r="BA949" s="3">
        <f>AY949*1.02</f>
        <v>6317.7711720710404</v>
      </c>
      <c r="BB949" s="42"/>
      <c r="BC949" s="3">
        <f>BA949*1.02</f>
        <v>6444.1265955124609</v>
      </c>
      <c r="BD949" s="42"/>
      <c r="BE949" s="3">
        <f>BC949*1.02</f>
        <v>6573.0091274227107</v>
      </c>
    </row>
    <row r="950" spans="1:57" s="77" customFormat="1" hidden="1" x14ac:dyDescent="0.25">
      <c r="A950" s="3" t="s">
        <v>709</v>
      </c>
      <c r="B950" s="3"/>
      <c r="C950" s="3"/>
      <c r="D950" s="29"/>
      <c r="E950" s="3">
        <f t="shared" si="558"/>
        <v>0</v>
      </c>
      <c r="F950" s="5"/>
      <c r="G950" s="3"/>
      <c r="H950" s="5">
        <f t="shared" si="557"/>
        <v>0</v>
      </c>
      <c r="I950" s="5"/>
      <c r="J950" s="5"/>
      <c r="K950" s="4">
        <f t="shared" si="547"/>
        <v>0</v>
      </c>
      <c r="L950" s="4"/>
      <c r="M950" s="4"/>
      <c r="N950" s="4">
        <f t="shared" si="548"/>
        <v>0</v>
      </c>
      <c r="O950" s="4"/>
      <c r="P950" s="3"/>
      <c r="Q950" s="3"/>
      <c r="R950" s="3"/>
      <c r="S950" s="3">
        <f t="shared" si="552"/>
        <v>0</v>
      </c>
      <c r="T950" s="3"/>
      <c r="U950" s="3">
        <f t="shared" si="553"/>
        <v>0</v>
      </c>
      <c r="V950" s="3"/>
      <c r="W950" s="3">
        <f t="shared" si="554"/>
        <v>0</v>
      </c>
      <c r="X950" s="3"/>
      <c r="Y950" s="3"/>
      <c r="Z950" s="3">
        <f t="shared" si="549"/>
        <v>0</v>
      </c>
      <c r="AA950" s="3"/>
      <c r="AB950" s="3"/>
      <c r="AC950" s="3"/>
      <c r="AD950" s="3">
        <f t="shared" si="555"/>
        <v>0</v>
      </c>
      <c r="AE950" s="3"/>
      <c r="AF950" s="3">
        <f t="shared" si="556"/>
        <v>0</v>
      </c>
      <c r="AG950" s="4"/>
      <c r="AH950" s="4"/>
      <c r="AI950" s="4"/>
      <c r="AJ950" s="3"/>
      <c r="AK950" s="3">
        <f t="shared" si="550"/>
        <v>0</v>
      </c>
      <c r="AL950" s="3"/>
      <c r="AM950" s="3">
        <f t="shared" si="551"/>
        <v>0</v>
      </c>
      <c r="AN950" s="4"/>
      <c r="AO950" s="3"/>
      <c r="AP950" s="3"/>
      <c r="AQ950" s="3">
        <v>4000</v>
      </c>
      <c r="AR950" s="3"/>
      <c r="AS950" s="3"/>
      <c r="AT950" s="3"/>
      <c r="AU950" s="3"/>
      <c r="AV950" s="42"/>
      <c r="AW950" s="3"/>
      <c r="AX950" s="42"/>
      <c r="AY950" s="3"/>
      <c r="AZ950" s="42"/>
      <c r="BA950" s="3"/>
      <c r="BB950" s="42"/>
      <c r="BC950" s="3"/>
      <c r="BD950" s="42"/>
      <c r="BE950" s="3"/>
    </row>
    <row r="951" spans="1:57" hidden="1" x14ac:dyDescent="0.25">
      <c r="A951" s="3" t="s">
        <v>710</v>
      </c>
      <c r="B951" s="3">
        <v>3000</v>
      </c>
      <c r="D951" s="3"/>
      <c r="E951" s="3">
        <f>F951-D951</f>
        <v>3000</v>
      </c>
      <c r="F951" s="3">
        <v>3000</v>
      </c>
      <c r="H951" s="5">
        <f t="shared" si="557"/>
        <v>0</v>
      </c>
      <c r="K951" s="4">
        <f t="shared" si="547"/>
        <v>3000</v>
      </c>
      <c r="L951" s="4">
        <v>3000</v>
      </c>
      <c r="N951" s="4">
        <f t="shared" si="548"/>
        <v>0</v>
      </c>
      <c r="P951" s="3"/>
      <c r="Q951" s="3"/>
      <c r="R951" s="3"/>
      <c r="S951" s="3">
        <f t="shared" si="552"/>
        <v>0</v>
      </c>
      <c r="T951" s="3"/>
      <c r="U951" s="3">
        <f t="shared" si="553"/>
        <v>0</v>
      </c>
      <c r="V951" s="3"/>
      <c r="W951" s="3">
        <f t="shared" si="554"/>
        <v>0</v>
      </c>
      <c r="X951" s="3"/>
      <c r="Y951" s="3"/>
      <c r="Z951" s="3">
        <f t="shared" si="549"/>
        <v>0</v>
      </c>
      <c r="AA951" s="3"/>
      <c r="AB951" s="3"/>
      <c r="AC951" s="3"/>
      <c r="AD951" s="3">
        <f t="shared" si="555"/>
        <v>0</v>
      </c>
      <c r="AE951" s="3"/>
      <c r="AF951" s="3">
        <f t="shared" si="556"/>
        <v>0</v>
      </c>
      <c r="AG951" s="4"/>
      <c r="AH951" s="4"/>
      <c r="AJ951" s="3"/>
      <c r="AK951" s="3">
        <f t="shared" si="550"/>
        <v>0</v>
      </c>
      <c r="AL951" s="3"/>
      <c r="AM951" s="3">
        <f t="shared" si="551"/>
        <v>0</v>
      </c>
      <c r="AO951" s="3"/>
      <c r="AP951" s="3"/>
      <c r="AQ951" s="3"/>
      <c r="AR951" s="3"/>
      <c r="AS951" s="3"/>
      <c r="AT951" s="3"/>
      <c r="AU951" s="3"/>
      <c r="AV951" s="42"/>
      <c r="AW951" s="3"/>
      <c r="AX951" s="42"/>
      <c r="AY951" s="3"/>
      <c r="AZ951" s="42"/>
      <c r="BA951" s="3"/>
      <c r="BB951" s="42"/>
      <c r="BC951" s="3"/>
      <c r="BD951" s="42"/>
      <c r="BE951" s="3"/>
    </row>
    <row r="952" spans="1:57" s="77" customFormat="1" hidden="1" x14ac:dyDescent="0.25">
      <c r="A952" s="3" t="s">
        <v>711</v>
      </c>
      <c r="B952" s="3"/>
      <c r="C952" s="3"/>
      <c r="D952" s="29"/>
      <c r="E952" s="3">
        <f>F952-D952</f>
        <v>0</v>
      </c>
      <c r="F952" s="3"/>
      <c r="G952" s="3"/>
      <c r="H952" s="5">
        <f t="shared" si="557"/>
        <v>0</v>
      </c>
      <c r="I952" s="5"/>
      <c r="J952" s="5"/>
      <c r="K952" s="4">
        <f t="shared" si="547"/>
        <v>0</v>
      </c>
      <c r="L952" s="4"/>
      <c r="M952" s="4"/>
      <c r="N952" s="4">
        <f t="shared" si="548"/>
        <v>0</v>
      </c>
      <c r="O952" s="4"/>
      <c r="P952" s="3"/>
      <c r="Q952" s="3"/>
      <c r="R952" s="3"/>
      <c r="S952" s="3">
        <f t="shared" si="552"/>
        <v>0</v>
      </c>
      <c r="T952" s="3"/>
      <c r="U952" s="3">
        <f t="shared" si="553"/>
        <v>0</v>
      </c>
      <c r="V952" s="3"/>
      <c r="W952" s="3">
        <f t="shared" si="554"/>
        <v>0</v>
      </c>
      <c r="X952" s="3"/>
      <c r="Y952" s="3"/>
      <c r="Z952" s="3">
        <f t="shared" si="549"/>
        <v>0</v>
      </c>
      <c r="AA952" s="3"/>
      <c r="AB952" s="3"/>
      <c r="AC952" s="3"/>
      <c r="AD952" s="3">
        <f t="shared" si="555"/>
        <v>0</v>
      </c>
      <c r="AE952" s="3"/>
      <c r="AF952" s="3">
        <f t="shared" si="556"/>
        <v>0</v>
      </c>
      <c r="AG952" s="4"/>
      <c r="AH952" s="4"/>
      <c r="AI952" s="4"/>
      <c r="AJ952" s="3"/>
      <c r="AK952" s="3">
        <f t="shared" si="550"/>
        <v>0</v>
      </c>
      <c r="AL952" s="3"/>
      <c r="AM952" s="3">
        <f t="shared" si="551"/>
        <v>0</v>
      </c>
      <c r="AN952" s="4"/>
      <c r="AO952" s="3"/>
      <c r="AP952" s="3"/>
      <c r="AQ952" s="3"/>
      <c r="AR952" s="3"/>
      <c r="AS952" s="3"/>
      <c r="AT952" s="3"/>
      <c r="AU952" s="3"/>
      <c r="AV952" s="42"/>
      <c r="AW952" s="3"/>
      <c r="AX952" s="42"/>
      <c r="AY952" s="3"/>
      <c r="AZ952" s="42"/>
      <c r="BA952" s="3"/>
      <c r="BB952" s="42"/>
      <c r="BC952" s="3"/>
      <c r="BD952" s="42"/>
      <c r="BE952" s="3"/>
    </row>
    <row r="953" spans="1:57" s="77" customFormat="1" hidden="1" x14ac:dyDescent="0.25">
      <c r="A953" s="3" t="s">
        <v>712</v>
      </c>
      <c r="B953" s="3">
        <v>25000</v>
      </c>
      <c r="C953" s="3"/>
      <c r="D953" s="29"/>
      <c r="E953" s="3">
        <f>F953-D953</f>
        <v>25000</v>
      </c>
      <c r="F953" s="29">
        <v>25000</v>
      </c>
      <c r="G953" s="3"/>
      <c r="H953" s="5">
        <f t="shared" si="557"/>
        <v>0</v>
      </c>
      <c r="I953" s="5"/>
      <c r="J953" s="5">
        <v>0</v>
      </c>
      <c r="K953" s="4">
        <f t="shared" si="547"/>
        <v>25000</v>
      </c>
      <c r="L953" s="4">
        <v>25000</v>
      </c>
      <c r="M953" s="4"/>
      <c r="N953" s="4"/>
      <c r="O953" s="4"/>
      <c r="P953" s="3">
        <v>25000</v>
      </c>
      <c r="Q953" s="3"/>
      <c r="R953" s="3">
        <v>2348</v>
      </c>
      <c r="S953" s="3">
        <f t="shared" si="552"/>
        <v>49652</v>
      </c>
      <c r="T953" s="3">
        <v>52000</v>
      </c>
      <c r="U953" s="3">
        <f t="shared" si="553"/>
        <v>27000</v>
      </c>
      <c r="V953" s="3">
        <v>16670</v>
      </c>
      <c r="W953" s="3">
        <f t="shared" si="554"/>
        <v>35330</v>
      </c>
      <c r="X953" s="3"/>
      <c r="Y953" s="3">
        <v>52000</v>
      </c>
      <c r="Z953" s="3">
        <f t="shared" si="549"/>
        <v>0</v>
      </c>
      <c r="AA953" s="3"/>
      <c r="AB953" s="3"/>
      <c r="AC953" s="3">
        <v>62148</v>
      </c>
      <c r="AD953" s="3">
        <f t="shared" si="555"/>
        <v>52</v>
      </c>
      <c r="AE953" s="3">
        <v>62200</v>
      </c>
      <c r="AF953" s="3">
        <f t="shared" si="556"/>
        <v>10200</v>
      </c>
      <c r="AG953" s="4"/>
      <c r="AH953" s="4"/>
      <c r="AI953" s="4"/>
      <c r="AJ953" s="3"/>
      <c r="AK953" s="3">
        <f t="shared" si="550"/>
        <v>0</v>
      </c>
      <c r="AL953" s="3"/>
      <c r="AM953" s="3">
        <f t="shared" si="551"/>
        <v>0</v>
      </c>
      <c r="AN953" s="4"/>
      <c r="AO953" s="3"/>
      <c r="AP953" s="3"/>
      <c r="AQ953" s="3"/>
      <c r="AR953" s="3"/>
      <c r="AS953" s="3"/>
      <c r="AT953" s="3"/>
      <c r="AU953" s="3"/>
      <c r="AV953" s="42"/>
      <c r="AW953" s="3"/>
      <c r="AX953" s="42"/>
      <c r="AY953" s="3"/>
      <c r="AZ953" s="42"/>
      <c r="BA953" s="3"/>
      <c r="BB953" s="42"/>
      <c r="BC953" s="3"/>
      <c r="BD953" s="42"/>
      <c r="BE953" s="3"/>
    </row>
    <row r="954" spans="1:57" hidden="1" x14ac:dyDescent="0.25">
      <c r="A954" s="3" t="s">
        <v>713</v>
      </c>
      <c r="B954" s="3"/>
      <c r="E954" s="3">
        <f>F954-D954</f>
        <v>0</v>
      </c>
      <c r="F954" s="29"/>
      <c r="H954" s="5">
        <f t="shared" si="557"/>
        <v>0</v>
      </c>
      <c r="K954" s="4">
        <f t="shared" si="547"/>
        <v>0</v>
      </c>
      <c r="L954" s="4"/>
      <c r="N954" s="4">
        <f t="shared" si="548"/>
        <v>0</v>
      </c>
      <c r="P954" s="3">
        <v>10000</v>
      </c>
      <c r="Q954" s="3"/>
      <c r="R954" s="3"/>
      <c r="S954" s="3">
        <f t="shared" si="552"/>
        <v>7000</v>
      </c>
      <c r="T954" s="3">
        <v>7000</v>
      </c>
      <c r="U954" s="3">
        <f t="shared" si="553"/>
        <v>-3000</v>
      </c>
      <c r="V954" s="3"/>
      <c r="W954" s="3">
        <f t="shared" si="554"/>
        <v>7000</v>
      </c>
      <c r="X954" s="3"/>
      <c r="Y954" s="3">
        <v>7000</v>
      </c>
      <c r="Z954" s="3">
        <f t="shared" si="549"/>
        <v>0</v>
      </c>
      <c r="AA954" s="3"/>
      <c r="AB954" s="3"/>
      <c r="AC954" s="3"/>
      <c r="AD954" s="3">
        <f t="shared" si="555"/>
        <v>5000</v>
      </c>
      <c r="AE954" s="3">
        <v>5000</v>
      </c>
      <c r="AF954" s="3">
        <f t="shared" si="556"/>
        <v>-2000</v>
      </c>
      <c r="AG954" s="4"/>
      <c r="AH954" s="4"/>
      <c r="AJ954" s="3"/>
      <c r="AK954" s="3">
        <f t="shared" si="550"/>
        <v>0</v>
      </c>
      <c r="AL954" s="3"/>
      <c r="AM954" s="3">
        <f t="shared" si="551"/>
        <v>0</v>
      </c>
      <c r="AO954" s="3"/>
      <c r="AP954" s="3"/>
      <c r="AQ954" s="3"/>
      <c r="AR954" s="3"/>
      <c r="AS954" s="3"/>
      <c r="AT954" s="3"/>
      <c r="AU954" s="3"/>
      <c r="AV954" s="42"/>
      <c r="AW954" s="3"/>
      <c r="AX954" s="42"/>
      <c r="AY954" s="3"/>
      <c r="AZ954" s="42"/>
      <c r="BA954" s="3"/>
      <c r="BB954" s="42"/>
      <c r="BC954" s="3"/>
      <c r="BD954" s="42"/>
      <c r="BE954" s="3"/>
    </row>
    <row r="955" spans="1:57" s="77" customFormat="1" x14ac:dyDescent="0.25">
      <c r="A955" s="3" t="s">
        <v>714</v>
      </c>
      <c r="B955" s="3"/>
      <c r="C955" s="3"/>
      <c r="D955" s="29"/>
      <c r="E955" s="3">
        <f>F955-D955</f>
        <v>0</v>
      </c>
      <c r="F955" s="5"/>
      <c r="G955" s="3"/>
      <c r="H955" s="5">
        <f t="shared" si="557"/>
        <v>0</v>
      </c>
      <c r="I955" s="5"/>
      <c r="J955" s="5"/>
      <c r="K955" s="4">
        <f t="shared" si="547"/>
        <v>0</v>
      </c>
      <c r="L955" s="4"/>
      <c r="M955" s="4"/>
      <c r="N955" s="4">
        <f t="shared" si="548"/>
        <v>0</v>
      </c>
      <c r="O955" s="4"/>
      <c r="P955" s="3"/>
      <c r="Q955" s="3"/>
      <c r="R955" s="3"/>
      <c r="S955" s="3">
        <f t="shared" si="552"/>
        <v>0</v>
      </c>
      <c r="T955" s="3"/>
      <c r="U955" s="3">
        <f t="shared" si="553"/>
        <v>0</v>
      </c>
      <c r="V955" s="3"/>
      <c r="W955" s="3">
        <f t="shared" si="554"/>
        <v>0</v>
      </c>
      <c r="X955" s="3"/>
      <c r="Y955" s="3"/>
      <c r="Z955" s="3">
        <f t="shared" si="549"/>
        <v>0</v>
      </c>
      <c r="AA955" s="3"/>
      <c r="AB955" s="3"/>
      <c r="AC955" s="3"/>
      <c r="AD955" s="3">
        <f t="shared" si="555"/>
        <v>0</v>
      </c>
      <c r="AE955" s="3"/>
      <c r="AF955" s="3">
        <f t="shared" si="556"/>
        <v>0</v>
      </c>
      <c r="AG955" s="4"/>
      <c r="AH955" s="4">
        <v>5000</v>
      </c>
      <c r="AI955" s="4"/>
      <c r="AJ955" s="3">
        <v>0</v>
      </c>
      <c r="AK955" s="3">
        <f t="shared" si="550"/>
        <v>5000</v>
      </c>
      <c r="AL955" s="3">
        <v>5000</v>
      </c>
      <c r="AM955" s="3">
        <f t="shared" si="551"/>
        <v>0</v>
      </c>
      <c r="AN955" s="4"/>
      <c r="AO955" s="3">
        <v>5000</v>
      </c>
      <c r="AP955" s="3"/>
      <c r="AQ955" s="3">
        <v>5000</v>
      </c>
      <c r="AR955" s="3"/>
      <c r="AS955" s="3"/>
      <c r="AT955" s="3"/>
      <c r="AU955" s="3"/>
      <c r="AV955" s="42"/>
      <c r="AW955" s="3"/>
      <c r="AX955" s="42"/>
      <c r="AY955" s="3"/>
      <c r="AZ955" s="42"/>
      <c r="BA955" s="3"/>
      <c r="BB955" s="42"/>
      <c r="BC955" s="3"/>
      <c r="BD955" s="42"/>
      <c r="BE955" s="3"/>
    </row>
    <row r="956" spans="1:57" hidden="1" x14ac:dyDescent="0.25">
      <c r="A956" s="3" t="s">
        <v>715</v>
      </c>
      <c r="B956" s="3"/>
      <c r="E956" s="3">
        <f t="shared" si="558"/>
        <v>0</v>
      </c>
      <c r="F956" s="29"/>
      <c r="H956" s="5">
        <f t="shared" si="557"/>
        <v>0</v>
      </c>
      <c r="K956" s="4">
        <f t="shared" si="547"/>
        <v>0</v>
      </c>
      <c r="L956" s="4"/>
      <c r="N956" s="4">
        <f t="shared" si="548"/>
        <v>0</v>
      </c>
      <c r="P956" s="3"/>
      <c r="Q956" s="3"/>
      <c r="R956" s="3"/>
      <c r="S956" s="3">
        <f t="shared" si="552"/>
        <v>0</v>
      </c>
      <c r="T956" s="3"/>
      <c r="U956" s="3">
        <f t="shared" si="553"/>
        <v>0</v>
      </c>
      <c r="V956" s="3"/>
      <c r="W956" s="3">
        <f t="shared" si="554"/>
        <v>0</v>
      </c>
      <c r="X956" s="3"/>
      <c r="Y956" s="3"/>
      <c r="Z956" s="3">
        <f t="shared" si="549"/>
        <v>0</v>
      </c>
      <c r="AA956" s="3"/>
      <c r="AB956" s="3"/>
      <c r="AC956" s="3"/>
      <c r="AD956" s="3">
        <f t="shared" si="555"/>
        <v>0</v>
      </c>
      <c r="AE956" s="3"/>
      <c r="AF956" s="3">
        <f t="shared" si="556"/>
        <v>0</v>
      </c>
      <c r="AG956" s="4"/>
      <c r="AH956" s="4"/>
      <c r="AJ956" s="3"/>
      <c r="AK956" s="3">
        <f t="shared" si="550"/>
        <v>0</v>
      </c>
      <c r="AL956" s="3"/>
      <c r="AM956" s="3">
        <f t="shared" si="551"/>
        <v>0</v>
      </c>
      <c r="AO956" s="3"/>
      <c r="AP956" s="3"/>
      <c r="AQ956" s="3"/>
      <c r="AR956" s="3"/>
      <c r="AS956" s="3"/>
      <c r="AT956" s="3"/>
      <c r="AU956" s="3"/>
      <c r="AV956" s="42"/>
      <c r="AW956" s="3"/>
      <c r="AX956" s="42"/>
      <c r="AY956" s="3"/>
      <c r="AZ956" s="42"/>
      <c r="BA956" s="3"/>
      <c r="BB956" s="42"/>
      <c r="BC956" s="3"/>
      <c r="BD956" s="42"/>
      <c r="BE956" s="3"/>
    </row>
    <row r="957" spans="1:57" s="77" customFormat="1" hidden="1" x14ac:dyDescent="0.25">
      <c r="A957" s="3" t="s">
        <v>716</v>
      </c>
      <c r="B957" s="3"/>
      <c r="C957" s="3"/>
      <c r="D957" s="29"/>
      <c r="E957" s="3">
        <f t="shared" si="558"/>
        <v>0</v>
      </c>
      <c r="F957" s="5"/>
      <c r="G957" s="3"/>
      <c r="H957" s="5">
        <f t="shared" si="557"/>
        <v>0</v>
      </c>
      <c r="I957" s="5"/>
      <c r="J957" s="5"/>
      <c r="K957" s="4">
        <f t="shared" si="547"/>
        <v>0</v>
      </c>
      <c r="L957" s="4"/>
      <c r="M957" s="4"/>
      <c r="N957" s="4">
        <f t="shared" si="548"/>
        <v>0</v>
      </c>
      <c r="O957" s="4"/>
      <c r="P957" s="3"/>
      <c r="Q957" s="3"/>
      <c r="R957" s="3"/>
      <c r="S957" s="3">
        <f t="shared" si="552"/>
        <v>0</v>
      </c>
      <c r="T957" s="3"/>
      <c r="U957" s="3">
        <f t="shared" si="553"/>
        <v>0</v>
      </c>
      <c r="V957" s="3"/>
      <c r="W957" s="3">
        <f t="shared" si="554"/>
        <v>0</v>
      </c>
      <c r="X957" s="3"/>
      <c r="Y957" s="3"/>
      <c r="Z957" s="3">
        <f t="shared" si="549"/>
        <v>0</v>
      </c>
      <c r="AA957" s="3"/>
      <c r="AB957" s="3"/>
      <c r="AC957" s="3"/>
      <c r="AD957" s="3">
        <f t="shared" si="555"/>
        <v>0</v>
      </c>
      <c r="AE957" s="3"/>
      <c r="AF957" s="3">
        <f t="shared" si="556"/>
        <v>0</v>
      </c>
      <c r="AG957" s="4"/>
      <c r="AH957" s="4"/>
      <c r="AI957" s="4"/>
      <c r="AJ957" s="3"/>
      <c r="AK957" s="3">
        <f t="shared" si="550"/>
        <v>0</v>
      </c>
      <c r="AL957" s="3"/>
      <c r="AM957" s="3">
        <f t="shared" si="551"/>
        <v>0</v>
      </c>
      <c r="AN957" s="4"/>
      <c r="AO957" s="3"/>
      <c r="AP957" s="3"/>
      <c r="AQ957" s="3"/>
      <c r="AR957" s="3"/>
      <c r="AS957" s="3"/>
      <c r="AT957" s="3"/>
      <c r="AU957" s="3"/>
      <c r="AV957" s="42"/>
      <c r="AW957" s="3"/>
      <c r="AX957" s="42"/>
      <c r="AY957" s="3"/>
      <c r="AZ957" s="42"/>
      <c r="BA957" s="3"/>
      <c r="BB957" s="42"/>
      <c r="BC957" s="3"/>
      <c r="BD957" s="42"/>
      <c r="BE957" s="3"/>
    </row>
    <row r="958" spans="1:57" hidden="1" x14ac:dyDescent="0.25">
      <c r="A958" s="3" t="s">
        <v>717</v>
      </c>
      <c r="B958" s="3"/>
      <c r="D958" s="3"/>
      <c r="E958" s="3">
        <f t="shared" si="558"/>
        <v>0</v>
      </c>
      <c r="F958" s="29"/>
      <c r="H958" s="5">
        <f t="shared" si="557"/>
        <v>0</v>
      </c>
      <c r="K958" s="4">
        <f t="shared" si="547"/>
        <v>0</v>
      </c>
      <c r="L958" s="4"/>
      <c r="N958" s="4">
        <f t="shared" si="548"/>
        <v>0</v>
      </c>
      <c r="P958" s="3"/>
      <c r="Q958" s="3"/>
      <c r="R958" s="3"/>
      <c r="S958" s="3">
        <f t="shared" si="552"/>
        <v>0</v>
      </c>
      <c r="T958" s="3"/>
      <c r="U958" s="3">
        <f t="shared" si="553"/>
        <v>0</v>
      </c>
      <c r="V958" s="3"/>
      <c r="W958" s="3">
        <f t="shared" si="554"/>
        <v>0</v>
      </c>
      <c r="X958" s="3"/>
      <c r="Y958" s="3"/>
      <c r="Z958" s="3">
        <f t="shared" si="549"/>
        <v>0</v>
      </c>
      <c r="AA958" s="3"/>
      <c r="AB958" s="3"/>
      <c r="AC958" s="3"/>
      <c r="AD958" s="3">
        <f t="shared" si="555"/>
        <v>0</v>
      </c>
      <c r="AE958" s="3"/>
      <c r="AF958" s="3">
        <f t="shared" si="556"/>
        <v>0</v>
      </c>
      <c r="AG958" s="4"/>
      <c r="AH958" s="4"/>
      <c r="AJ958" s="3"/>
      <c r="AK958" s="3">
        <f t="shared" si="550"/>
        <v>0</v>
      </c>
      <c r="AL958" s="3"/>
      <c r="AM958" s="3">
        <f t="shared" si="551"/>
        <v>0</v>
      </c>
      <c r="AO958" s="3"/>
      <c r="AP958" s="3"/>
      <c r="AQ958" s="3"/>
      <c r="AR958" s="3"/>
      <c r="AS958" s="3"/>
      <c r="AT958" s="3"/>
      <c r="AU958" s="3"/>
      <c r="AV958" s="42"/>
      <c r="AW958" s="3"/>
      <c r="AX958" s="42"/>
      <c r="AY958" s="3"/>
      <c r="AZ958" s="42"/>
      <c r="BA958" s="3"/>
      <c r="BB958" s="42"/>
      <c r="BC958" s="3"/>
      <c r="BD958" s="42"/>
      <c r="BE958" s="3"/>
    </row>
    <row r="959" spans="1:57" s="77" customFormat="1" hidden="1" x14ac:dyDescent="0.25">
      <c r="A959" s="3" t="s">
        <v>718</v>
      </c>
      <c r="B959" s="3">
        <v>20000</v>
      </c>
      <c r="C959" s="3"/>
      <c r="D959" s="29"/>
      <c r="E959" s="3">
        <f>F959-D959</f>
        <v>20000</v>
      </c>
      <c r="F959" s="29">
        <v>20000</v>
      </c>
      <c r="G959" s="3"/>
      <c r="H959" s="5">
        <f t="shared" si="557"/>
        <v>0</v>
      </c>
      <c r="I959" s="5"/>
      <c r="J959" s="5"/>
      <c r="K959" s="4">
        <f t="shared" si="547"/>
        <v>20000</v>
      </c>
      <c r="L959" s="4">
        <v>20000</v>
      </c>
      <c r="M959" s="4"/>
      <c r="N959" s="4">
        <f t="shared" si="548"/>
        <v>0</v>
      </c>
      <c r="O959" s="4"/>
      <c r="P959" s="3">
        <v>20000</v>
      </c>
      <c r="Q959" s="3"/>
      <c r="R959" s="3"/>
      <c r="S959" s="3">
        <f t="shared" si="552"/>
        <v>20000</v>
      </c>
      <c r="T959" s="3">
        <v>20000</v>
      </c>
      <c r="U959" s="3">
        <f t="shared" si="553"/>
        <v>0</v>
      </c>
      <c r="V959" s="3">
        <v>7550</v>
      </c>
      <c r="W959" s="3">
        <f t="shared" si="554"/>
        <v>12450</v>
      </c>
      <c r="X959" s="3"/>
      <c r="Y959" s="3">
        <v>20000</v>
      </c>
      <c r="Z959" s="3">
        <f t="shared" si="549"/>
        <v>0</v>
      </c>
      <c r="AA959" s="3"/>
      <c r="AB959" s="3"/>
      <c r="AC959" s="3">
        <v>8550</v>
      </c>
      <c r="AD959" s="3">
        <f t="shared" si="555"/>
        <v>11450</v>
      </c>
      <c r="AE959" s="3">
        <v>20000</v>
      </c>
      <c r="AF959" s="3">
        <f t="shared" si="556"/>
        <v>0</v>
      </c>
      <c r="AG959" s="4"/>
      <c r="AH959" s="4"/>
      <c r="AI959" s="4"/>
      <c r="AJ959" s="3"/>
      <c r="AK959" s="3">
        <f t="shared" si="550"/>
        <v>0</v>
      </c>
      <c r="AL959" s="3"/>
      <c r="AM959" s="3">
        <f t="shared" si="551"/>
        <v>0</v>
      </c>
      <c r="AN959" s="4"/>
      <c r="AO959" s="3">
        <v>1000000</v>
      </c>
      <c r="AP959" s="3"/>
      <c r="AQ959" s="3">
        <v>1000000</v>
      </c>
      <c r="AR959" s="3"/>
      <c r="AS959" s="3"/>
      <c r="AT959" s="3"/>
      <c r="AU959" s="3"/>
      <c r="AV959" s="42"/>
      <c r="AW959" s="3"/>
      <c r="AX959" s="42"/>
      <c r="AY959" s="3"/>
      <c r="AZ959" s="42"/>
      <c r="BA959" s="3"/>
      <c r="BB959" s="42"/>
      <c r="BC959" s="3"/>
      <c r="BD959" s="42"/>
      <c r="BE959" s="3"/>
    </row>
    <row r="960" spans="1:57" s="42" customFormat="1" x14ac:dyDescent="0.25">
      <c r="A960" s="3" t="s">
        <v>719</v>
      </c>
      <c r="B960" s="3">
        <v>2000</v>
      </c>
      <c r="C960" s="3"/>
      <c r="D960" s="3"/>
      <c r="E960" s="3">
        <f>F960-D960</f>
        <v>2000</v>
      </c>
      <c r="F960" s="29">
        <v>2000</v>
      </c>
      <c r="G960" s="3"/>
      <c r="H960" s="5">
        <f t="shared" si="557"/>
        <v>0</v>
      </c>
      <c r="I960" s="5"/>
      <c r="J960" s="5"/>
      <c r="K960" s="4">
        <f t="shared" si="547"/>
        <v>2000</v>
      </c>
      <c r="L960" s="4">
        <v>2000</v>
      </c>
      <c r="M960" s="4"/>
      <c r="N960" s="4">
        <f t="shared" si="548"/>
        <v>0</v>
      </c>
      <c r="O960" s="4"/>
      <c r="P960" s="3">
        <v>2000</v>
      </c>
      <c r="Q960" s="3"/>
      <c r="R960" s="3"/>
      <c r="S960" s="3">
        <f t="shared" si="552"/>
        <v>2000</v>
      </c>
      <c r="T960" s="3">
        <v>2000</v>
      </c>
      <c r="U960" s="3">
        <f t="shared" si="553"/>
        <v>0</v>
      </c>
      <c r="V960" s="3"/>
      <c r="W960" s="3">
        <f t="shared" si="554"/>
        <v>2000</v>
      </c>
      <c r="X960" s="3"/>
      <c r="Y960" s="3">
        <v>2000</v>
      </c>
      <c r="Z960" s="3">
        <f t="shared" si="549"/>
        <v>0</v>
      </c>
      <c r="AA960" s="3"/>
      <c r="AB960" s="3"/>
      <c r="AC960" s="3">
        <v>0</v>
      </c>
      <c r="AD960" s="3">
        <f t="shared" si="555"/>
        <v>1000</v>
      </c>
      <c r="AE960" s="3">
        <v>1000</v>
      </c>
      <c r="AF960" s="3">
        <f t="shared" si="556"/>
        <v>-1000</v>
      </c>
      <c r="AG960" s="4"/>
      <c r="AH960" s="4">
        <v>2000</v>
      </c>
      <c r="AI960" s="4"/>
      <c r="AJ960" s="3">
        <v>0</v>
      </c>
      <c r="AK960" s="3">
        <f t="shared" si="550"/>
        <v>2000</v>
      </c>
      <c r="AL960" s="3">
        <v>2000</v>
      </c>
      <c r="AM960" s="3">
        <f t="shared" si="551"/>
        <v>0</v>
      </c>
      <c r="AN960" s="4"/>
      <c r="AO960" s="3"/>
      <c r="AP960" s="3"/>
      <c r="AQ960" s="3"/>
      <c r="AR960" s="3"/>
      <c r="AS960" s="3"/>
      <c r="AT960" s="3"/>
      <c r="AU960" s="3"/>
      <c r="AW960" s="3"/>
      <c r="AY960" s="3"/>
      <c r="BA960" s="3"/>
      <c r="BC960" s="3"/>
      <c r="BE960" s="3"/>
    </row>
    <row r="961" spans="1:57" s="77" customFormat="1" hidden="1" x14ac:dyDescent="0.25">
      <c r="A961" s="3" t="s">
        <v>460</v>
      </c>
      <c r="B961" s="3"/>
      <c r="C961" s="3"/>
      <c r="D961" s="29"/>
      <c r="E961" s="3"/>
      <c r="F961" s="3"/>
      <c r="G961" s="3"/>
      <c r="H961" s="5">
        <f t="shared" si="557"/>
        <v>0</v>
      </c>
      <c r="I961" s="5"/>
      <c r="J961" s="5"/>
      <c r="K961" s="4">
        <f t="shared" si="547"/>
        <v>0</v>
      </c>
      <c r="L961" s="4"/>
      <c r="M961" s="4"/>
      <c r="N961" s="4">
        <f t="shared" si="548"/>
        <v>0</v>
      </c>
      <c r="O961" s="4"/>
      <c r="P961" s="3"/>
      <c r="Q961" s="3"/>
      <c r="R961" s="3"/>
      <c r="S961" s="3">
        <f t="shared" si="552"/>
        <v>0</v>
      </c>
      <c r="T961" s="3"/>
      <c r="U961" s="3">
        <f t="shared" si="553"/>
        <v>0</v>
      </c>
      <c r="V961" s="3"/>
      <c r="W961" s="3">
        <f t="shared" si="554"/>
        <v>0</v>
      </c>
      <c r="X961" s="3"/>
      <c r="Y961" s="3"/>
      <c r="Z961" s="3">
        <f t="shared" si="549"/>
        <v>0</v>
      </c>
      <c r="AA961" s="3"/>
      <c r="AB961" s="3"/>
      <c r="AC961" s="3"/>
      <c r="AD961" s="3">
        <f t="shared" si="555"/>
        <v>0</v>
      </c>
      <c r="AE961" s="3"/>
      <c r="AF961" s="3">
        <f t="shared" si="556"/>
        <v>0</v>
      </c>
      <c r="AG961" s="4"/>
      <c r="AH961" s="4"/>
      <c r="AI961" s="4"/>
      <c r="AJ961" s="3"/>
      <c r="AK961" s="3">
        <f t="shared" si="550"/>
        <v>0</v>
      </c>
      <c r="AL961" s="3"/>
      <c r="AM961" s="3">
        <f t="shared" si="551"/>
        <v>0</v>
      </c>
      <c r="AN961" s="4"/>
      <c r="AO961" s="3"/>
      <c r="AP961" s="3"/>
      <c r="AQ961" s="3"/>
      <c r="AR961" s="3"/>
      <c r="AS961" s="3"/>
      <c r="AT961" s="3"/>
      <c r="AU961" s="3"/>
      <c r="AV961" s="42"/>
      <c r="AW961" s="3"/>
      <c r="AX961" s="42"/>
      <c r="AY961" s="3"/>
      <c r="AZ961" s="42"/>
      <c r="BA961" s="3"/>
      <c r="BB961" s="42"/>
      <c r="BC961" s="3"/>
      <c r="BD961" s="42"/>
      <c r="BE961" s="3"/>
    </row>
    <row r="962" spans="1:57" hidden="1" x14ac:dyDescent="0.25">
      <c r="A962" s="3" t="s">
        <v>720</v>
      </c>
      <c r="B962" s="3"/>
      <c r="E962" s="3">
        <f t="shared" si="558"/>
        <v>0</v>
      </c>
      <c r="F962" s="29"/>
      <c r="H962" s="5">
        <f t="shared" si="557"/>
        <v>0</v>
      </c>
      <c r="K962" s="4">
        <f t="shared" si="547"/>
        <v>0</v>
      </c>
      <c r="L962" s="4"/>
      <c r="N962" s="4">
        <f t="shared" si="548"/>
        <v>0</v>
      </c>
      <c r="P962" s="3"/>
      <c r="Q962" s="3"/>
      <c r="R962" s="3"/>
      <c r="S962" s="3">
        <f t="shared" si="552"/>
        <v>0</v>
      </c>
      <c r="T962" s="3"/>
      <c r="U962" s="3">
        <f t="shared" si="553"/>
        <v>0</v>
      </c>
      <c r="V962" s="3"/>
      <c r="W962" s="3">
        <f t="shared" si="554"/>
        <v>0</v>
      </c>
      <c r="X962" s="3"/>
      <c r="Y962" s="3"/>
      <c r="Z962" s="3">
        <f t="shared" si="549"/>
        <v>0</v>
      </c>
      <c r="AA962" s="3"/>
      <c r="AB962" s="3"/>
      <c r="AC962" s="3"/>
      <c r="AD962" s="3">
        <f t="shared" si="555"/>
        <v>0</v>
      </c>
      <c r="AE962" s="3"/>
      <c r="AF962" s="3">
        <f t="shared" si="556"/>
        <v>0</v>
      </c>
      <c r="AG962" s="4"/>
      <c r="AH962" s="4"/>
      <c r="AJ962" s="3"/>
      <c r="AK962" s="3">
        <f t="shared" si="550"/>
        <v>0</v>
      </c>
      <c r="AL962" s="3"/>
      <c r="AM962" s="3">
        <f t="shared" si="551"/>
        <v>0</v>
      </c>
      <c r="AO962" s="3"/>
      <c r="AP962" s="3"/>
      <c r="AQ962" s="3"/>
      <c r="AR962" s="3"/>
      <c r="AS962" s="3"/>
      <c r="AT962" s="3"/>
      <c r="AU962" s="3"/>
      <c r="AV962" s="42"/>
      <c r="AW962" s="3"/>
      <c r="AX962" s="42"/>
      <c r="AY962" s="3"/>
      <c r="AZ962" s="42"/>
      <c r="BA962" s="3"/>
      <c r="BB962" s="42"/>
      <c r="BC962" s="3"/>
      <c r="BD962" s="42"/>
      <c r="BE962" s="3"/>
    </row>
    <row r="963" spans="1:57" s="77" customFormat="1" hidden="1" x14ac:dyDescent="0.25">
      <c r="A963" s="3" t="s">
        <v>721</v>
      </c>
      <c r="B963" s="3"/>
      <c r="C963" s="3"/>
      <c r="D963" s="29"/>
      <c r="E963" s="3">
        <f t="shared" si="558"/>
        <v>0</v>
      </c>
      <c r="F963" s="5"/>
      <c r="G963" s="3"/>
      <c r="H963" s="5">
        <f t="shared" si="557"/>
        <v>0</v>
      </c>
      <c r="I963" s="5"/>
      <c r="J963" s="5"/>
      <c r="K963" s="4">
        <f t="shared" si="547"/>
        <v>0</v>
      </c>
      <c r="L963" s="4"/>
      <c r="M963" s="4"/>
      <c r="N963" s="4">
        <f t="shared" si="548"/>
        <v>0</v>
      </c>
      <c r="O963" s="4"/>
      <c r="P963" s="3"/>
      <c r="Q963" s="3"/>
      <c r="R963" s="3"/>
      <c r="S963" s="3">
        <f t="shared" si="552"/>
        <v>0</v>
      </c>
      <c r="T963" s="3"/>
      <c r="U963" s="3">
        <f t="shared" si="553"/>
        <v>0</v>
      </c>
      <c r="V963" s="3"/>
      <c r="W963" s="3">
        <f t="shared" si="554"/>
        <v>0</v>
      </c>
      <c r="X963" s="3"/>
      <c r="Y963" s="3"/>
      <c r="Z963" s="3">
        <f t="shared" si="549"/>
        <v>0</v>
      </c>
      <c r="AA963" s="3"/>
      <c r="AB963" s="3"/>
      <c r="AC963" s="3"/>
      <c r="AD963" s="3">
        <f t="shared" si="555"/>
        <v>0</v>
      </c>
      <c r="AE963" s="3"/>
      <c r="AF963" s="3">
        <f t="shared" si="556"/>
        <v>0</v>
      </c>
      <c r="AG963" s="4"/>
      <c r="AH963" s="4"/>
      <c r="AI963" s="4"/>
      <c r="AJ963" s="3"/>
      <c r="AK963" s="3">
        <f t="shared" si="550"/>
        <v>0</v>
      </c>
      <c r="AL963" s="3"/>
      <c r="AM963" s="3">
        <f t="shared" si="551"/>
        <v>0</v>
      </c>
      <c r="AN963" s="4"/>
      <c r="AO963" s="3"/>
      <c r="AP963" s="3"/>
      <c r="AQ963" s="3"/>
      <c r="AR963" s="3"/>
      <c r="AS963" s="3"/>
      <c r="AT963" s="3"/>
      <c r="AU963" s="3"/>
      <c r="AV963" s="42"/>
      <c r="AW963" s="3"/>
      <c r="AX963" s="42"/>
      <c r="AY963" s="3"/>
      <c r="AZ963" s="42"/>
      <c r="BA963" s="3"/>
      <c r="BB963" s="42"/>
      <c r="BC963" s="3"/>
      <c r="BD963" s="42"/>
      <c r="BE963" s="3"/>
    </row>
    <row r="964" spans="1:57" hidden="1" x14ac:dyDescent="0.25">
      <c r="A964" s="3" t="s">
        <v>722</v>
      </c>
      <c r="B964" s="3"/>
      <c r="E964" s="3">
        <f t="shared" si="558"/>
        <v>0</v>
      </c>
      <c r="F964" s="29"/>
      <c r="H964" s="5">
        <f t="shared" si="557"/>
        <v>0</v>
      </c>
      <c r="K964" s="4">
        <f t="shared" si="547"/>
        <v>0</v>
      </c>
      <c r="L964" s="4"/>
      <c r="N964" s="4">
        <f t="shared" si="548"/>
        <v>0</v>
      </c>
      <c r="P964" s="3"/>
      <c r="Q964" s="3"/>
      <c r="R964" s="3"/>
      <c r="S964" s="3">
        <f t="shared" si="552"/>
        <v>0</v>
      </c>
      <c r="T964" s="3"/>
      <c r="U964" s="3">
        <f t="shared" si="553"/>
        <v>0</v>
      </c>
      <c r="V964" s="3"/>
      <c r="W964" s="3">
        <f t="shared" si="554"/>
        <v>0</v>
      </c>
      <c r="X964" s="3"/>
      <c r="Y964" s="3"/>
      <c r="Z964" s="3">
        <f t="shared" si="549"/>
        <v>0</v>
      </c>
      <c r="AA964" s="3"/>
      <c r="AB964" s="3"/>
      <c r="AC964" s="3"/>
      <c r="AD964" s="3">
        <f t="shared" si="555"/>
        <v>0</v>
      </c>
      <c r="AE964" s="3"/>
      <c r="AF964" s="3">
        <f t="shared" si="556"/>
        <v>0</v>
      </c>
      <c r="AG964" s="4"/>
      <c r="AH964" s="4"/>
      <c r="AJ964" s="3"/>
      <c r="AK964" s="3">
        <f t="shared" si="550"/>
        <v>0</v>
      </c>
      <c r="AL964" s="3"/>
      <c r="AM964" s="3">
        <f t="shared" si="551"/>
        <v>0</v>
      </c>
      <c r="AO964" s="3"/>
      <c r="AP964" s="3"/>
      <c r="AQ964" s="3"/>
      <c r="AR964" s="3"/>
      <c r="AS964" s="3"/>
      <c r="AT964" s="3"/>
      <c r="AU964" s="3"/>
      <c r="AV964" s="42"/>
      <c r="AW964" s="3"/>
      <c r="AX964" s="42"/>
      <c r="AY964" s="3"/>
      <c r="AZ964" s="42"/>
      <c r="BA964" s="3"/>
      <c r="BB964" s="42"/>
      <c r="BC964" s="3"/>
      <c r="BD964" s="42"/>
      <c r="BE964" s="3"/>
    </row>
    <row r="965" spans="1:57" s="77" customFormat="1" hidden="1" x14ac:dyDescent="0.25">
      <c r="A965" s="3" t="s">
        <v>723</v>
      </c>
      <c r="B965" s="3"/>
      <c r="C965" s="3"/>
      <c r="D965" s="29"/>
      <c r="E965" s="3">
        <f t="shared" si="558"/>
        <v>0</v>
      </c>
      <c r="F965" s="5"/>
      <c r="G965" s="3"/>
      <c r="H965" s="5">
        <f t="shared" si="557"/>
        <v>0</v>
      </c>
      <c r="I965" s="5"/>
      <c r="J965" s="5"/>
      <c r="K965" s="4">
        <f t="shared" si="547"/>
        <v>0</v>
      </c>
      <c r="L965" s="4"/>
      <c r="M965" s="4"/>
      <c r="N965" s="4">
        <f t="shared" si="548"/>
        <v>0</v>
      </c>
      <c r="O965" s="4"/>
      <c r="P965" s="3"/>
      <c r="Q965" s="3"/>
      <c r="R965" s="3"/>
      <c r="S965" s="3">
        <f t="shared" si="552"/>
        <v>0</v>
      </c>
      <c r="T965" s="3"/>
      <c r="U965" s="3">
        <f t="shared" si="553"/>
        <v>0</v>
      </c>
      <c r="V965" s="3"/>
      <c r="W965" s="3">
        <f t="shared" si="554"/>
        <v>0</v>
      </c>
      <c r="X965" s="3"/>
      <c r="Y965" s="3"/>
      <c r="Z965" s="3">
        <f t="shared" si="549"/>
        <v>0</v>
      </c>
      <c r="AA965" s="3"/>
      <c r="AB965" s="3"/>
      <c r="AC965" s="3"/>
      <c r="AD965" s="3">
        <f t="shared" si="555"/>
        <v>0</v>
      </c>
      <c r="AE965" s="3"/>
      <c r="AF965" s="3">
        <f t="shared" si="556"/>
        <v>0</v>
      </c>
      <c r="AG965" s="4"/>
      <c r="AH965" s="4"/>
      <c r="AI965" s="4"/>
      <c r="AJ965" s="3"/>
      <c r="AK965" s="3">
        <f t="shared" si="550"/>
        <v>0</v>
      </c>
      <c r="AL965" s="3"/>
      <c r="AM965" s="3">
        <f t="shared" si="551"/>
        <v>0</v>
      </c>
      <c r="AN965" s="4"/>
      <c r="AO965" s="3"/>
      <c r="AP965" s="3"/>
      <c r="AQ965" s="3"/>
      <c r="AR965" s="3"/>
      <c r="AS965" s="3"/>
      <c r="AT965" s="3"/>
      <c r="AU965" s="3"/>
      <c r="AV965" s="42"/>
      <c r="AW965" s="3"/>
      <c r="AX965" s="42"/>
      <c r="AY965" s="3"/>
      <c r="AZ965" s="42"/>
      <c r="BA965" s="3"/>
      <c r="BB965" s="42"/>
      <c r="BC965" s="3"/>
      <c r="BD965" s="42"/>
      <c r="BE965" s="3"/>
    </row>
    <row r="966" spans="1:57" x14ac:dyDescent="0.25">
      <c r="A966" s="3" t="s">
        <v>724</v>
      </c>
      <c r="B966" s="3">
        <v>1000</v>
      </c>
      <c r="E966" s="3">
        <f>F966-D966</f>
        <v>1000</v>
      </c>
      <c r="F966" s="5">
        <v>1000</v>
      </c>
      <c r="H966" s="5">
        <f t="shared" si="557"/>
        <v>0</v>
      </c>
      <c r="K966" s="4">
        <f t="shared" si="547"/>
        <v>1000</v>
      </c>
      <c r="L966" s="4">
        <v>1000</v>
      </c>
      <c r="N966" s="4">
        <f t="shared" si="548"/>
        <v>0</v>
      </c>
      <c r="P966" s="3"/>
      <c r="Q966" s="3"/>
      <c r="R966" s="3"/>
      <c r="S966" s="3">
        <f t="shared" si="552"/>
        <v>0</v>
      </c>
      <c r="T966" s="3"/>
      <c r="U966" s="3">
        <f t="shared" si="553"/>
        <v>0</v>
      </c>
      <c r="V966" s="3"/>
      <c r="W966" s="3">
        <f t="shared" si="554"/>
        <v>0</v>
      </c>
      <c r="X966" s="3"/>
      <c r="Y966" s="3"/>
      <c r="Z966" s="3">
        <f t="shared" si="549"/>
        <v>0</v>
      </c>
      <c r="AA966" s="3"/>
      <c r="AB966" s="3"/>
      <c r="AC966" s="3"/>
      <c r="AD966" s="3">
        <f t="shared" si="555"/>
        <v>0</v>
      </c>
      <c r="AE966" s="3"/>
      <c r="AF966" s="3">
        <f t="shared" si="556"/>
        <v>0</v>
      </c>
      <c r="AG966" s="4"/>
      <c r="AH966" s="4">
        <v>1000</v>
      </c>
      <c r="AJ966" s="3">
        <v>0</v>
      </c>
      <c r="AK966" s="3">
        <f t="shared" si="550"/>
        <v>1000</v>
      </c>
      <c r="AL966" s="3">
        <v>1000</v>
      </c>
      <c r="AM966" s="3">
        <f t="shared" si="551"/>
        <v>0</v>
      </c>
      <c r="AO966" s="3"/>
      <c r="AP966" s="3"/>
      <c r="AQ966" s="3">
        <v>1000</v>
      </c>
      <c r="AR966" s="3"/>
      <c r="AS966" s="3"/>
      <c r="AT966" s="3"/>
      <c r="AU966" s="3">
        <v>1000</v>
      </c>
      <c r="AV966" s="42"/>
      <c r="AW966" s="3">
        <v>1000</v>
      </c>
      <c r="AX966" s="42"/>
      <c r="AY966" s="3">
        <v>1000</v>
      </c>
      <c r="AZ966" s="42"/>
      <c r="BA966" s="3">
        <v>1000</v>
      </c>
      <c r="BB966" s="42"/>
      <c r="BC966" s="3">
        <v>1000</v>
      </c>
      <c r="BD966" s="42"/>
      <c r="BE966" s="3">
        <v>1000</v>
      </c>
    </row>
    <row r="967" spans="1:57" hidden="1" x14ac:dyDescent="0.25">
      <c r="A967" s="3" t="s">
        <v>725</v>
      </c>
      <c r="B967" s="3"/>
      <c r="E967" s="3">
        <f t="shared" si="558"/>
        <v>0</v>
      </c>
      <c r="H967" s="5">
        <f t="shared" si="557"/>
        <v>0</v>
      </c>
      <c r="K967" s="4">
        <f t="shared" si="547"/>
        <v>0</v>
      </c>
      <c r="L967" s="4"/>
      <c r="N967" s="4">
        <f t="shared" si="548"/>
        <v>0</v>
      </c>
      <c r="P967" s="3"/>
      <c r="Q967" s="3"/>
      <c r="R967" s="3"/>
      <c r="S967" s="3">
        <f t="shared" si="552"/>
        <v>0</v>
      </c>
      <c r="T967" s="3"/>
      <c r="U967" s="3">
        <f t="shared" si="553"/>
        <v>0</v>
      </c>
      <c r="V967" s="3"/>
      <c r="W967" s="3">
        <f t="shared" si="554"/>
        <v>0</v>
      </c>
      <c r="X967" s="3"/>
      <c r="Y967" s="3"/>
      <c r="Z967" s="3">
        <f t="shared" si="549"/>
        <v>0</v>
      </c>
      <c r="AA967" s="3"/>
      <c r="AB967" s="3"/>
      <c r="AC967" s="3"/>
      <c r="AD967" s="3">
        <f t="shared" si="555"/>
        <v>0</v>
      </c>
      <c r="AE967" s="3"/>
      <c r="AF967" s="3">
        <f t="shared" si="556"/>
        <v>0</v>
      </c>
      <c r="AG967" s="4"/>
      <c r="AH967" s="4"/>
      <c r="AJ967" s="3"/>
      <c r="AK967" s="3">
        <f t="shared" si="550"/>
        <v>0</v>
      </c>
      <c r="AL967" s="3"/>
      <c r="AM967" s="3">
        <f t="shared" si="551"/>
        <v>0</v>
      </c>
      <c r="AO967" s="3"/>
      <c r="AP967" s="3"/>
      <c r="AQ967" s="3"/>
      <c r="AR967" s="3"/>
      <c r="AS967" s="3"/>
      <c r="AT967" s="3"/>
      <c r="AU967" s="3"/>
      <c r="AV967" s="42"/>
      <c r="AW967" s="3"/>
      <c r="AX967" s="42"/>
      <c r="AY967" s="3"/>
      <c r="AZ967" s="42"/>
      <c r="BA967" s="3"/>
      <c r="BB967" s="42"/>
      <c r="BC967" s="3"/>
      <c r="BD967" s="42"/>
      <c r="BE967" s="3"/>
    </row>
    <row r="968" spans="1:57" hidden="1" x14ac:dyDescent="0.25">
      <c r="A968" s="3" t="s">
        <v>726</v>
      </c>
      <c r="B968" s="3"/>
      <c r="E968" s="3">
        <f t="shared" si="558"/>
        <v>0</v>
      </c>
      <c r="H968" s="5">
        <f t="shared" si="557"/>
        <v>0</v>
      </c>
      <c r="K968" s="4">
        <f t="shared" si="547"/>
        <v>0</v>
      </c>
      <c r="L968" s="4"/>
      <c r="N968" s="4">
        <f t="shared" si="548"/>
        <v>0</v>
      </c>
      <c r="P968" s="3"/>
      <c r="Q968" s="3"/>
      <c r="R968" s="3"/>
      <c r="S968" s="3">
        <f t="shared" si="552"/>
        <v>0</v>
      </c>
      <c r="T968" s="3"/>
      <c r="U968" s="3">
        <f t="shared" si="553"/>
        <v>0</v>
      </c>
      <c r="V968" s="3"/>
      <c r="W968" s="3">
        <f t="shared" si="554"/>
        <v>0</v>
      </c>
      <c r="X968" s="3"/>
      <c r="Y968" s="3"/>
      <c r="Z968" s="3">
        <f t="shared" si="549"/>
        <v>0</v>
      </c>
      <c r="AA968" s="3"/>
      <c r="AB968" s="3"/>
      <c r="AC968" s="3"/>
      <c r="AD968" s="3">
        <f t="shared" si="555"/>
        <v>0</v>
      </c>
      <c r="AE968" s="3"/>
      <c r="AF968" s="3">
        <f t="shared" si="556"/>
        <v>0</v>
      </c>
      <c r="AG968" s="4"/>
      <c r="AH968" s="4"/>
      <c r="AJ968" s="3"/>
      <c r="AK968" s="3">
        <f t="shared" si="550"/>
        <v>0</v>
      </c>
      <c r="AL968" s="3"/>
      <c r="AM968" s="3">
        <f t="shared" si="551"/>
        <v>0</v>
      </c>
      <c r="AO968" s="3"/>
      <c r="AP968" s="3"/>
      <c r="AQ968" s="3"/>
      <c r="AR968" s="3"/>
      <c r="AS968" s="3"/>
      <c r="AT968" s="3"/>
      <c r="AU968" s="3"/>
      <c r="AV968" s="42"/>
      <c r="AW968" s="3"/>
      <c r="AX968" s="42"/>
      <c r="AY968" s="3"/>
      <c r="AZ968" s="42"/>
      <c r="BA968" s="3"/>
      <c r="BB968" s="42"/>
      <c r="BC968" s="3"/>
      <c r="BD968" s="42"/>
      <c r="BE968" s="3"/>
    </row>
    <row r="969" spans="1:57" hidden="1" x14ac:dyDescent="0.25">
      <c r="A969" s="3" t="s">
        <v>727</v>
      </c>
      <c r="B969" s="3"/>
      <c r="E969" s="3">
        <f t="shared" si="558"/>
        <v>0</v>
      </c>
      <c r="H969" s="5">
        <f t="shared" si="557"/>
        <v>0</v>
      </c>
      <c r="K969" s="4">
        <f t="shared" si="547"/>
        <v>0</v>
      </c>
      <c r="L969" s="4"/>
      <c r="N969" s="4">
        <f t="shared" si="548"/>
        <v>0</v>
      </c>
      <c r="P969" s="3"/>
      <c r="Q969" s="3"/>
      <c r="R969" s="3"/>
      <c r="S969" s="3">
        <f t="shared" si="552"/>
        <v>0</v>
      </c>
      <c r="T969" s="3"/>
      <c r="U969" s="3">
        <f t="shared" si="553"/>
        <v>0</v>
      </c>
      <c r="V969" s="3"/>
      <c r="W969" s="3">
        <f t="shared" si="554"/>
        <v>0</v>
      </c>
      <c r="X969" s="3"/>
      <c r="Y969" s="3"/>
      <c r="Z969" s="3">
        <f t="shared" ref="Z969:Z1037" si="559">Y969-T969</f>
        <v>0</v>
      </c>
      <c r="AA969" s="3"/>
      <c r="AB969" s="3"/>
      <c r="AC969" s="3"/>
      <c r="AD969" s="3">
        <f t="shared" si="555"/>
        <v>0</v>
      </c>
      <c r="AE969" s="3"/>
      <c r="AF969" s="3">
        <f t="shared" si="556"/>
        <v>0</v>
      </c>
      <c r="AG969" s="4"/>
      <c r="AH969" s="4"/>
      <c r="AJ969" s="3"/>
      <c r="AK969" s="3">
        <f t="shared" ref="AK969:AK1033" si="560">AL969-AJ969</f>
        <v>0</v>
      </c>
      <c r="AL969" s="3"/>
      <c r="AM969" s="3">
        <f t="shared" ref="AM969:AM1033" si="561">AL969-AH969</f>
        <v>0</v>
      </c>
      <c r="AO969" s="3"/>
      <c r="AP969" s="3"/>
      <c r="AQ969" s="3"/>
      <c r="AR969" s="3"/>
      <c r="AS969" s="3"/>
      <c r="AT969" s="3"/>
      <c r="AU969" s="3"/>
      <c r="AV969" s="42"/>
      <c r="AW969" s="3"/>
      <c r="AX969" s="42"/>
      <c r="AY969" s="3"/>
      <c r="AZ969" s="42"/>
      <c r="BA969" s="3"/>
      <c r="BB969" s="42"/>
      <c r="BC969" s="3"/>
      <c r="BD969" s="42"/>
      <c r="BE969" s="3"/>
    </row>
    <row r="970" spans="1:57" s="77" customFormat="1" hidden="1" x14ac:dyDescent="0.25">
      <c r="A970" s="3" t="s">
        <v>728</v>
      </c>
      <c r="B970" s="3"/>
      <c r="C970" s="3"/>
      <c r="D970" s="29"/>
      <c r="E970" s="3">
        <f t="shared" si="558"/>
        <v>0</v>
      </c>
      <c r="F970" s="5"/>
      <c r="G970" s="3"/>
      <c r="H970" s="5">
        <f t="shared" si="557"/>
        <v>0</v>
      </c>
      <c r="I970" s="5"/>
      <c r="J970" s="5"/>
      <c r="K970" s="4">
        <f t="shared" si="547"/>
        <v>0</v>
      </c>
      <c r="L970" s="4"/>
      <c r="M970" s="4"/>
      <c r="N970" s="4">
        <f t="shared" si="548"/>
        <v>0</v>
      </c>
      <c r="O970" s="4"/>
      <c r="P970" s="3"/>
      <c r="Q970" s="3"/>
      <c r="R970" s="3"/>
      <c r="S970" s="3">
        <f t="shared" si="552"/>
        <v>0</v>
      </c>
      <c r="T970" s="3"/>
      <c r="U970" s="3">
        <f t="shared" si="553"/>
        <v>0</v>
      </c>
      <c r="V970" s="3"/>
      <c r="W970" s="3">
        <f t="shared" si="554"/>
        <v>0</v>
      </c>
      <c r="X970" s="3"/>
      <c r="Y970" s="3"/>
      <c r="Z970" s="3">
        <f t="shared" si="559"/>
        <v>0</v>
      </c>
      <c r="AA970" s="3"/>
      <c r="AB970" s="3"/>
      <c r="AC970" s="3"/>
      <c r="AD970" s="3">
        <f t="shared" si="555"/>
        <v>0</v>
      </c>
      <c r="AE970" s="3"/>
      <c r="AF970" s="3">
        <f t="shared" si="556"/>
        <v>0</v>
      </c>
      <c r="AG970" s="4"/>
      <c r="AH970" s="4"/>
      <c r="AI970" s="4"/>
      <c r="AJ970" s="3"/>
      <c r="AK970" s="3">
        <f t="shared" si="560"/>
        <v>0</v>
      </c>
      <c r="AL970" s="3"/>
      <c r="AM970" s="3">
        <f t="shared" si="561"/>
        <v>0</v>
      </c>
      <c r="AN970" s="4"/>
      <c r="AO970" s="3"/>
      <c r="AP970" s="3"/>
      <c r="AQ970" s="3"/>
      <c r="AR970" s="3"/>
      <c r="AS970" s="3"/>
      <c r="AT970" s="3"/>
      <c r="AU970" s="3"/>
      <c r="AV970" s="42"/>
      <c r="AW970" s="3"/>
      <c r="AX970" s="42"/>
      <c r="AY970" s="3"/>
      <c r="AZ970" s="42"/>
      <c r="BA970" s="3"/>
      <c r="BB970" s="42"/>
      <c r="BC970" s="3"/>
      <c r="BD970" s="42"/>
      <c r="BE970" s="3"/>
    </row>
    <row r="971" spans="1:57" hidden="1" x14ac:dyDescent="0.25">
      <c r="A971" s="3" t="s">
        <v>729</v>
      </c>
      <c r="B971" s="3"/>
      <c r="E971" s="3">
        <f t="shared" si="558"/>
        <v>0</v>
      </c>
      <c r="F971" s="29"/>
      <c r="H971" s="5">
        <f t="shared" si="557"/>
        <v>0</v>
      </c>
      <c r="K971" s="4">
        <f t="shared" si="547"/>
        <v>0</v>
      </c>
      <c r="L971" s="4"/>
      <c r="N971" s="4">
        <f t="shared" si="548"/>
        <v>0</v>
      </c>
      <c r="P971" s="3"/>
      <c r="Q971" s="3"/>
      <c r="R971" s="3"/>
      <c r="S971" s="3">
        <f t="shared" si="552"/>
        <v>0</v>
      </c>
      <c r="T971" s="3"/>
      <c r="U971" s="3">
        <f t="shared" si="553"/>
        <v>0</v>
      </c>
      <c r="V971" s="3"/>
      <c r="W971" s="3">
        <f t="shared" si="554"/>
        <v>0</v>
      </c>
      <c r="X971" s="3"/>
      <c r="Y971" s="3"/>
      <c r="Z971" s="3">
        <f t="shared" si="559"/>
        <v>0</v>
      </c>
      <c r="AA971" s="3"/>
      <c r="AB971" s="3"/>
      <c r="AC971" s="3"/>
      <c r="AD971" s="3">
        <f t="shared" si="555"/>
        <v>0</v>
      </c>
      <c r="AE971" s="3"/>
      <c r="AF971" s="3">
        <f t="shared" si="556"/>
        <v>0</v>
      </c>
      <c r="AG971" s="4"/>
      <c r="AH971" s="4"/>
      <c r="AJ971" s="3"/>
      <c r="AK971" s="3">
        <f t="shared" si="560"/>
        <v>0</v>
      </c>
      <c r="AL971" s="3"/>
      <c r="AM971" s="3">
        <f t="shared" si="561"/>
        <v>0</v>
      </c>
      <c r="AO971" s="3"/>
      <c r="AP971" s="3"/>
      <c r="AQ971" s="3"/>
      <c r="AR971" s="3"/>
      <c r="AS971" s="3"/>
      <c r="AT971" s="3"/>
      <c r="AU971" s="3"/>
      <c r="AV971" s="42"/>
      <c r="AW971" s="3"/>
      <c r="AX971" s="42"/>
      <c r="AY971" s="3"/>
      <c r="AZ971" s="42"/>
      <c r="BA971" s="3"/>
      <c r="BB971" s="42"/>
      <c r="BC971" s="3"/>
      <c r="BD971" s="42"/>
      <c r="BE971" s="3"/>
    </row>
    <row r="972" spans="1:57" s="77" customFormat="1" hidden="1" x14ac:dyDescent="0.25">
      <c r="A972" s="3" t="s">
        <v>730</v>
      </c>
      <c r="B972" s="3"/>
      <c r="C972" s="3"/>
      <c r="D972" s="29"/>
      <c r="E972" s="3">
        <f t="shared" si="558"/>
        <v>0</v>
      </c>
      <c r="F972" s="5"/>
      <c r="G972" s="3"/>
      <c r="H972" s="5">
        <f t="shared" si="557"/>
        <v>0</v>
      </c>
      <c r="I972" s="5"/>
      <c r="J972" s="5"/>
      <c r="K972" s="4">
        <f t="shared" si="547"/>
        <v>0</v>
      </c>
      <c r="L972" s="4"/>
      <c r="M972" s="4"/>
      <c r="N972" s="4">
        <f t="shared" si="548"/>
        <v>0</v>
      </c>
      <c r="O972" s="4"/>
      <c r="P972" s="3"/>
      <c r="Q972" s="3"/>
      <c r="R972" s="3"/>
      <c r="S972" s="3">
        <f t="shared" si="552"/>
        <v>0</v>
      </c>
      <c r="T972" s="3"/>
      <c r="U972" s="3">
        <f t="shared" si="553"/>
        <v>0</v>
      </c>
      <c r="V972" s="3"/>
      <c r="W972" s="3">
        <f t="shared" si="554"/>
        <v>0</v>
      </c>
      <c r="X972" s="3"/>
      <c r="Y972" s="3"/>
      <c r="Z972" s="3">
        <f t="shared" si="559"/>
        <v>0</v>
      </c>
      <c r="AA972" s="3"/>
      <c r="AB972" s="3"/>
      <c r="AC972" s="3"/>
      <c r="AD972" s="3">
        <f t="shared" si="555"/>
        <v>0</v>
      </c>
      <c r="AE972" s="3"/>
      <c r="AF972" s="3">
        <f t="shared" si="556"/>
        <v>0</v>
      </c>
      <c r="AG972" s="4"/>
      <c r="AH972" s="4"/>
      <c r="AI972" s="4"/>
      <c r="AJ972" s="3"/>
      <c r="AK972" s="3">
        <f t="shared" si="560"/>
        <v>0</v>
      </c>
      <c r="AL972" s="3"/>
      <c r="AM972" s="3">
        <f t="shared" si="561"/>
        <v>0</v>
      </c>
      <c r="AN972" s="4"/>
      <c r="AO972" s="3"/>
      <c r="AP972" s="3"/>
      <c r="AQ972" s="3"/>
      <c r="AR972" s="3"/>
      <c r="AS972" s="3"/>
      <c r="AT972" s="3"/>
      <c r="AU972" s="3"/>
      <c r="AV972" s="42"/>
      <c r="AW972" s="3"/>
      <c r="AX972" s="42"/>
      <c r="AY972" s="3"/>
      <c r="AZ972" s="42"/>
      <c r="BA972" s="3"/>
      <c r="BB972" s="42"/>
      <c r="BC972" s="3"/>
      <c r="BD972" s="42"/>
      <c r="BE972" s="3"/>
    </row>
    <row r="973" spans="1:57" x14ac:dyDescent="0.25">
      <c r="A973" s="3" t="s">
        <v>731</v>
      </c>
      <c r="B973" s="3">
        <v>99000</v>
      </c>
      <c r="E973" s="3">
        <f>F973-D973</f>
        <v>99000</v>
      </c>
      <c r="F973" s="5">
        <v>99000</v>
      </c>
      <c r="H973" s="5">
        <f t="shared" si="557"/>
        <v>0</v>
      </c>
      <c r="J973" s="5">
        <v>99000</v>
      </c>
      <c r="K973" s="4">
        <f t="shared" si="547"/>
        <v>0</v>
      </c>
      <c r="L973" s="4">
        <v>99000</v>
      </c>
      <c r="N973" s="4">
        <f t="shared" si="548"/>
        <v>0</v>
      </c>
      <c r="P973" s="3">
        <v>149900</v>
      </c>
      <c r="Q973" s="3"/>
      <c r="R973" s="3">
        <v>0</v>
      </c>
      <c r="S973" s="3">
        <f t="shared" si="552"/>
        <v>149900</v>
      </c>
      <c r="T973" s="3">
        <v>149900</v>
      </c>
      <c r="U973" s="3">
        <f t="shared" si="553"/>
        <v>0</v>
      </c>
      <c r="V973" s="3"/>
      <c r="W973" s="3">
        <f t="shared" si="554"/>
        <v>149900</v>
      </c>
      <c r="X973" s="3"/>
      <c r="Y973" s="3">
        <v>149900</v>
      </c>
      <c r="Z973" s="3">
        <f t="shared" si="559"/>
        <v>0</v>
      </c>
      <c r="AA973" s="3"/>
      <c r="AB973" s="3"/>
      <c r="AC973" s="3"/>
      <c r="AD973" s="3">
        <f t="shared" si="555"/>
        <v>149900</v>
      </c>
      <c r="AE973" s="3">
        <v>149900</v>
      </c>
      <c r="AF973" s="3">
        <f t="shared" si="556"/>
        <v>0</v>
      </c>
      <c r="AG973" s="4"/>
      <c r="AH973" s="4">
        <v>114000</v>
      </c>
      <c r="AJ973" s="3">
        <v>0</v>
      </c>
      <c r="AK973" s="3">
        <f t="shared" si="560"/>
        <v>114000</v>
      </c>
      <c r="AL973" s="3">
        <v>114000</v>
      </c>
      <c r="AM973" s="3">
        <f t="shared" si="561"/>
        <v>0</v>
      </c>
      <c r="AO973" s="3"/>
      <c r="AP973" s="3"/>
      <c r="AQ973" s="3"/>
      <c r="AR973" s="3"/>
      <c r="AS973" s="3"/>
      <c r="AT973" s="3"/>
      <c r="AU973" s="3"/>
      <c r="AV973" s="42"/>
      <c r="AW973" s="3"/>
      <c r="AX973" s="42"/>
      <c r="AY973" s="3"/>
      <c r="AZ973" s="42"/>
      <c r="BA973" s="3"/>
      <c r="BB973" s="42"/>
      <c r="BC973" s="3"/>
      <c r="BD973" s="42"/>
      <c r="BE973" s="3"/>
    </row>
    <row r="974" spans="1:57" s="77" customFormat="1" hidden="1" x14ac:dyDescent="0.25">
      <c r="A974" s="3" t="s">
        <v>732</v>
      </c>
      <c r="B974" s="3"/>
      <c r="C974" s="3"/>
      <c r="D974" s="29"/>
      <c r="E974" s="3"/>
      <c r="F974" s="5"/>
      <c r="G974" s="3"/>
      <c r="H974" s="5">
        <f t="shared" si="557"/>
        <v>0</v>
      </c>
      <c r="I974" s="5"/>
      <c r="J974" s="5"/>
      <c r="K974" s="4">
        <f t="shared" si="547"/>
        <v>0</v>
      </c>
      <c r="L974" s="4"/>
      <c r="M974" s="4"/>
      <c r="N974" s="4">
        <f t="shared" si="548"/>
        <v>0</v>
      </c>
      <c r="O974" s="4"/>
      <c r="P974" s="3"/>
      <c r="Q974" s="3"/>
      <c r="R974" s="3"/>
      <c r="S974" s="3">
        <f t="shared" si="552"/>
        <v>0</v>
      </c>
      <c r="T974" s="3"/>
      <c r="U974" s="3">
        <f t="shared" si="553"/>
        <v>0</v>
      </c>
      <c r="V974" s="3"/>
      <c r="W974" s="3">
        <f t="shared" si="554"/>
        <v>0</v>
      </c>
      <c r="X974" s="3"/>
      <c r="Y974" s="3"/>
      <c r="Z974" s="3">
        <f t="shared" si="559"/>
        <v>0</v>
      </c>
      <c r="AA974" s="3"/>
      <c r="AB974" s="3"/>
      <c r="AC974" s="3"/>
      <c r="AD974" s="3">
        <f t="shared" si="555"/>
        <v>0</v>
      </c>
      <c r="AE974" s="3"/>
      <c r="AF974" s="3">
        <f t="shared" si="556"/>
        <v>0</v>
      </c>
      <c r="AG974" s="4"/>
      <c r="AH974" s="4"/>
      <c r="AI974" s="4"/>
      <c r="AJ974" s="3"/>
      <c r="AK974" s="3">
        <f t="shared" si="560"/>
        <v>0</v>
      </c>
      <c r="AL974" s="3"/>
      <c r="AM974" s="3">
        <f t="shared" si="561"/>
        <v>0</v>
      </c>
      <c r="AN974" s="4"/>
      <c r="AO974" s="3"/>
      <c r="AP974" s="3"/>
      <c r="AQ974" s="3"/>
      <c r="AR974" s="3"/>
      <c r="AS974" s="3"/>
      <c r="AT974" s="3"/>
      <c r="AU974" s="3"/>
      <c r="AV974" s="42"/>
      <c r="AW974" s="3"/>
      <c r="AX974" s="42"/>
      <c r="AY974" s="3"/>
      <c r="AZ974" s="42"/>
      <c r="BA974" s="3"/>
      <c r="BB974" s="42"/>
      <c r="BC974" s="3"/>
      <c r="BD974" s="42"/>
      <c r="BE974" s="3"/>
    </row>
    <row r="975" spans="1:57" hidden="1" x14ac:dyDescent="0.25">
      <c r="A975" s="3" t="s">
        <v>733</v>
      </c>
      <c r="B975" s="3"/>
      <c r="E975" s="3">
        <f t="shared" si="558"/>
        <v>0</v>
      </c>
      <c r="F975" s="29"/>
      <c r="H975" s="5">
        <f t="shared" si="557"/>
        <v>0</v>
      </c>
      <c r="K975" s="4">
        <f t="shared" si="547"/>
        <v>0</v>
      </c>
      <c r="L975" s="4"/>
      <c r="N975" s="4">
        <f t="shared" si="548"/>
        <v>0</v>
      </c>
      <c r="P975" s="3"/>
      <c r="Q975" s="3"/>
      <c r="R975" s="3"/>
      <c r="S975" s="3">
        <f t="shared" si="552"/>
        <v>0</v>
      </c>
      <c r="T975" s="3"/>
      <c r="U975" s="3">
        <f t="shared" si="553"/>
        <v>0</v>
      </c>
      <c r="V975" s="3"/>
      <c r="W975" s="3">
        <f t="shared" si="554"/>
        <v>0</v>
      </c>
      <c r="X975" s="3"/>
      <c r="Y975" s="3"/>
      <c r="Z975" s="3">
        <f t="shared" si="559"/>
        <v>0</v>
      </c>
      <c r="AA975" s="3"/>
      <c r="AB975" s="3"/>
      <c r="AC975" s="3"/>
      <c r="AD975" s="3">
        <f t="shared" si="555"/>
        <v>0</v>
      </c>
      <c r="AE975" s="3"/>
      <c r="AF975" s="3">
        <f t="shared" si="556"/>
        <v>0</v>
      </c>
      <c r="AG975" s="4"/>
      <c r="AH975" s="4"/>
      <c r="AJ975" s="3"/>
      <c r="AK975" s="3">
        <f t="shared" si="560"/>
        <v>0</v>
      </c>
      <c r="AL975" s="3"/>
      <c r="AM975" s="3">
        <f t="shared" si="561"/>
        <v>0</v>
      </c>
      <c r="AO975" s="3"/>
      <c r="AP975" s="3"/>
      <c r="AQ975" s="3"/>
      <c r="AR975" s="3"/>
      <c r="AS975" s="3"/>
      <c r="AT975" s="3"/>
      <c r="AU975" s="3"/>
      <c r="AV975" s="42"/>
      <c r="AW975" s="3"/>
      <c r="AX975" s="42"/>
      <c r="AY975" s="3"/>
      <c r="AZ975" s="42"/>
      <c r="BA975" s="3"/>
      <c r="BB975" s="42"/>
      <c r="BC975" s="3"/>
      <c r="BD975" s="42"/>
      <c r="BE975" s="3"/>
    </row>
    <row r="976" spans="1:57" s="77" customFormat="1" hidden="1" x14ac:dyDescent="0.25">
      <c r="A976" s="3" t="s">
        <v>734</v>
      </c>
      <c r="B976" s="3"/>
      <c r="C976" s="3"/>
      <c r="D976" s="29"/>
      <c r="E976" s="3">
        <f t="shared" si="558"/>
        <v>0</v>
      </c>
      <c r="F976" s="5"/>
      <c r="G976" s="3"/>
      <c r="H976" s="5">
        <f t="shared" si="557"/>
        <v>0</v>
      </c>
      <c r="I976" s="5"/>
      <c r="J976" s="5"/>
      <c r="K976" s="4">
        <f t="shared" ref="K976:K1034" si="562">L976-J976</f>
        <v>0</v>
      </c>
      <c r="L976" s="4"/>
      <c r="M976" s="4"/>
      <c r="N976" s="4">
        <f t="shared" ref="N976:N1034" si="563">L976-F976</f>
        <v>0</v>
      </c>
      <c r="O976" s="4"/>
      <c r="P976" s="3"/>
      <c r="Q976" s="3"/>
      <c r="R976" s="3"/>
      <c r="S976" s="3">
        <f t="shared" ref="S976:S1042" si="564">T976-R976</f>
        <v>0</v>
      </c>
      <c r="T976" s="3"/>
      <c r="U976" s="3">
        <f t="shared" ref="U976:U1042" si="565">T976-P976</f>
        <v>0</v>
      </c>
      <c r="V976" s="3"/>
      <c r="W976" s="3">
        <f t="shared" ref="W976:W1042" si="566">Y976-V976</f>
        <v>0</v>
      </c>
      <c r="X976" s="3"/>
      <c r="Y976" s="3"/>
      <c r="Z976" s="3">
        <f t="shared" si="559"/>
        <v>0</v>
      </c>
      <c r="AA976" s="3"/>
      <c r="AB976" s="3"/>
      <c r="AC976" s="3"/>
      <c r="AD976" s="3">
        <f t="shared" ref="AD976:AD1042" si="567">AE976-AC976</f>
        <v>0</v>
      </c>
      <c r="AE976" s="3"/>
      <c r="AF976" s="3">
        <f t="shared" ref="AF976:AF1042" si="568">AE976-Y976</f>
        <v>0</v>
      </c>
      <c r="AG976" s="4"/>
      <c r="AH976" s="4"/>
      <c r="AI976" s="4"/>
      <c r="AJ976" s="3"/>
      <c r="AK976" s="3">
        <f t="shared" si="560"/>
        <v>0</v>
      </c>
      <c r="AL976" s="3"/>
      <c r="AM976" s="3">
        <f t="shared" si="561"/>
        <v>0</v>
      </c>
      <c r="AN976" s="4"/>
      <c r="AO976" s="3"/>
      <c r="AP976" s="3"/>
      <c r="AQ976" s="3"/>
      <c r="AR976" s="3"/>
      <c r="AS976" s="3"/>
      <c r="AT976" s="3"/>
      <c r="AU976" s="3"/>
      <c r="AV976" s="42"/>
      <c r="AW976" s="3"/>
      <c r="AX976" s="42"/>
      <c r="AY976" s="3"/>
      <c r="AZ976" s="42"/>
      <c r="BA976" s="3"/>
      <c r="BB976" s="42"/>
      <c r="BC976" s="3"/>
      <c r="BD976" s="42"/>
      <c r="BE976" s="3"/>
    </row>
    <row r="977" spans="1:57" s="77" customFormat="1" x14ac:dyDescent="0.25">
      <c r="A977" s="3" t="s">
        <v>735</v>
      </c>
      <c r="B977" s="3"/>
      <c r="C977" s="3"/>
      <c r="D977" s="29"/>
      <c r="E977" s="3">
        <f t="shared" si="558"/>
        <v>0</v>
      </c>
      <c r="F977" s="29"/>
      <c r="G977" s="3"/>
      <c r="H977" s="5">
        <f t="shared" si="557"/>
        <v>0</v>
      </c>
      <c r="I977" s="5"/>
      <c r="J977" s="5"/>
      <c r="K977" s="4">
        <f t="shared" si="562"/>
        <v>0</v>
      </c>
      <c r="L977" s="4"/>
      <c r="M977" s="4"/>
      <c r="N977" s="4">
        <f t="shared" si="563"/>
        <v>0</v>
      </c>
      <c r="O977" s="4"/>
      <c r="P977" s="3">
        <v>45000</v>
      </c>
      <c r="Q977" s="3"/>
      <c r="R977" s="3">
        <v>0</v>
      </c>
      <c r="S977" s="3">
        <f t="shared" si="564"/>
        <v>45000</v>
      </c>
      <c r="T977" s="3">
        <v>45000</v>
      </c>
      <c r="U977" s="3">
        <f t="shared" si="565"/>
        <v>0</v>
      </c>
      <c r="V977" s="3"/>
      <c r="W977" s="3">
        <f t="shared" si="566"/>
        <v>45000</v>
      </c>
      <c r="X977" s="3"/>
      <c r="Y977" s="3">
        <v>45000</v>
      </c>
      <c r="Z977" s="3">
        <f t="shared" si="559"/>
        <v>0</v>
      </c>
      <c r="AA977" s="3"/>
      <c r="AB977" s="3"/>
      <c r="AC977" s="3"/>
      <c r="AD977" s="3">
        <f t="shared" si="567"/>
        <v>45000</v>
      </c>
      <c r="AE977" s="3">
        <v>45000</v>
      </c>
      <c r="AF977" s="3">
        <f t="shared" si="568"/>
        <v>0</v>
      </c>
      <c r="AG977" s="4"/>
      <c r="AH977" s="4">
        <v>30000</v>
      </c>
      <c r="AI977" s="4"/>
      <c r="AJ977" s="3">
        <v>0</v>
      </c>
      <c r="AK977" s="3">
        <f t="shared" si="560"/>
        <v>30000</v>
      </c>
      <c r="AL977" s="3">
        <v>30000</v>
      </c>
      <c r="AM977" s="3">
        <f t="shared" si="561"/>
        <v>0</v>
      </c>
      <c r="AN977" s="4"/>
      <c r="AO977" s="3"/>
      <c r="AP977" s="3"/>
      <c r="AQ977" s="3"/>
      <c r="AR977" s="3"/>
      <c r="AS977" s="3"/>
      <c r="AT977" s="3"/>
      <c r="AU977" s="3"/>
      <c r="AV977" s="42"/>
      <c r="AW977" s="3"/>
      <c r="AX977" s="42"/>
      <c r="AY977" s="3"/>
      <c r="AZ977" s="42"/>
      <c r="BA977" s="3"/>
      <c r="BB977" s="42"/>
      <c r="BC977" s="3"/>
      <c r="BD977" s="42"/>
      <c r="BE977" s="3"/>
    </row>
    <row r="978" spans="1:57" hidden="1" x14ac:dyDescent="0.25">
      <c r="A978" s="3" t="s">
        <v>736</v>
      </c>
      <c r="B978" s="3">
        <v>45000</v>
      </c>
      <c r="D978" s="5">
        <v>22505</v>
      </c>
      <c r="E978" s="3">
        <f t="shared" si="558"/>
        <v>22495</v>
      </c>
      <c r="F978" s="29">
        <v>45000</v>
      </c>
      <c r="H978" s="5">
        <f t="shared" si="557"/>
        <v>0</v>
      </c>
      <c r="J978" s="5">
        <v>27596</v>
      </c>
      <c r="K978" s="4">
        <f t="shared" si="562"/>
        <v>15859</v>
      </c>
      <c r="L978" s="4">
        <v>43455</v>
      </c>
      <c r="N978" s="4">
        <f t="shared" si="563"/>
        <v>-1545</v>
      </c>
      <c r="P978" s="3"/>
      <c r="Q978" s="3"/>
      <c r="R978" s="3"/>
      <c r="S978" s="3">
        <f t="shared" si="564"/>
        <v>0</v>
      </c>
      <c r="T978" s="3"/>
      <c r="U978" s="3">
        <f t="shared" si="565"/>
        <v>0</v>
      </c>
      <c r="V978" s="3"/>
      <c r="W978" s="3">
        <f t="shared" si="566"/>
        <v>0</v>
      </c>
      <c r="X978" s="3"/>
      <c r="Y978" s="3"/>
      <c r="Z978" s="3">
        <f t="shared" si="559"/>
        <v>0</v>
      </c>
      <c r="AA978" s="3"/>
      <c r="AB978" s="3"/>
      <c r="AC978" s="3"/>
      <c r="AD978" s="3">
        <f t="shared" si="567"/>
        <v>0</v>
      </c>
      <c r="AE978" s="3"/>
      <c r="AF978" s="3">
        <f t="shared" si="568"/>
        <v>0</v>
      </c>
      <c r="AG978" s="4"/>
      <c r="AH978" s="4"/>
      <c r="AJ978" s="3"/>
      <c r="AK978" s="3">
        <f t="shared" si="560"/>
        <v>0</v>
      </c>
      <c r="AL978" s="3"/>
      <c r="AM978" s="3">
        <f t="shared" si="561"/>
        <v>0</v>
      </c>
      <c r="AO978" s="3"/>
      <c r="AP978" s="3"/>
      <c r="AQ978" s="3"/>
      <c r="AR978" s="3"/>
      <c r="AS978" s="3"/>
      <c r="AT978" s="3"/>
      <c r="AU978" s="3"/>
      <c r="AV978" s="42"/>
      <c r="AW978" s="3"/>
      <c r="AX978" s="42"/>
      <c r="AY978" s="3"/>
      <c r="AZ978" s="42"/>
      <c r="BA978" s="3"/>
      <c r="BB978" s="42"/>
      <c r="BC978" s="3"/>
      <c r="BD978" s="42"/>
      <c r="BE978" s="3"/>
    </row>
    <row r="979" spans="1:57" s="77" customFormat="1" hidden="1" x14ac:dyDescent="0.25">
      <c r="A979" s="3" t="s">
        <v>737</v>
      </c>
      <c r="B979" s="3"/>
      <c r="C979" s="3"/>
      <c r="D979" s="29"/>
      <c r="E979" s="3">
        <f t="shared" si="558"/>
        <v>0</v>
      </c>
      <c r="F979" s="5"/>
      <c r="G979" s="3"/>
      <c r="H979" s="5">
        <f t="shared" si="557"/>
        <v>0</v>
      </c>
      <c r="I979" s="5"/>
      <c r="J979" s="5"/>
      <c r="K979" s="4">
        <f t="shared" si="562"/>
        <v>0</v>
      </c>
      <c r="L979" s="4"/>
      <c r="M979" s="4"/>
      <c r="N979" s="4">
        <f t="shared" si="563"/>
        <v>0</v>
      </c>
      <c r="O979" s="4"/>
      <c r="P979" s="3"/>
      <c r="Q979" s="3"/>
      <c r="R979" s="3"/>
      <c r="S979" s="3">
        <f t="shared" si="564"/>
        <v>0</v>
      </c>
      <c r="T979" s="3"/>
      <c r="U979" s="3">
        <f t="shared" si="565"/>
        <v>0</v>
      </c>
      <c r="V979" s="3"/>
      <c r="W979" s="3">
        <f t="shared" si="566"/>
        <v>0</v>
      </c>
      <c r="X979" s="3"/>
      <c r="Y979" s="3"/>
      <c r="Z979" s="3">
        <f t="shared" si="559"/>
        <v>0</v>
      </c>
      <c r="AA979" s="3"/>
      <c r="AB979" s="3"/>
      <c r="AC979" s="3"/>
      <c r="AD979" s="3">
        <f t="shared" si="567"/>
        <v>0</v>
      </c>
      <c r="AE979" s="3"/>
      <c r="AF979" s="3">
        <f t="shared" si="568"/>
        <v>0</v>
      </c>
      <c r="AG979" s="4"/>
      <c r="AH979" s="4"/>
      <c r="AI979" s="4"/>
      <c r="AJ979" s="3"/>
      <c r="AK979" s="3">
        <f t="shared" si="560"/>
        <v>0</v>
      </c>
      <c r="AL979" s="3"/>
      <c r="AM979" s="3">
        <f t="shared" si="561"/>
        <v>0</v>
      </c>
      <c r="AN979" s="4"/>
      <c r="AO979" s="3"/>
      <c r="AP979" s="3"/>
      <c r="AQ979" s="3"/>
      <c r="AR979" s="3"/>
      <c r="AS979" s="3"/>
      <c r="AT979" s="3"/>
      <c r="AU979" s="3"/>
      <c r="AV979" s="42"/>
      <c r="AW979" s="3"/>
      <c r="AX979" s="42"/>
      <c r="AY979" s="3"/>
      <c r="AZ979" s="42"/>
      <c r="BA979" s="3"/>
      <c r="BB979" s="42"/>
      <c r="BC979" s="3"/>
      <c r="BD979" s="42"/>
      <c r="BE979" s="3"/>
    </row>
    <row r="980" spans="1:57" hidden="1" x14ac:dyDescent="0.25">
      <c r="A980" s="3" t="s">
        <v>738</v>
      </c>
      <c r="B980" s="3"/>
      <c r="E980" s="3">
        <f t="shared" si="558"/>
        <v>0</v>
      </c>
      <c r="F980" s="29"/>
      <c r="H980" s="5">
        <f t="shared" si="557"/>
        <v>0</v>
      </c>
      <c r="K980" s="4">
        <f t="shared" si="562"/>
        <v>0</v>
      </c>
      <c r="L980" s="4"/>
      <c r="N980" s="4">
        <f t="shared" si="563"/>
        <v>0</v>
      </c>
      <c r="P980" s="3"/>
      <c r="Q980" s="3"/>
      <c r="R980" s="3"/>
      <c r="S980" s="3">
        <f t="shared" si="564"/>
        <v>0</v>
      </c>
      <c r="T980" s="3"/>
      <c r="U980" s="3">
        <f t="shared" si="565"/>
        <v>0</v>
      </c>
      <c r="V980" s="3"/>
      <c r="W980" s="3">
        <f t="shared" si="566"/>
        <v>0</v>
      </c>
      <c r="X980" s="3"/>
      <c r="Y980" s="3"/>
      <c r="Z980" s="3">
        <f t="shared" si="559"/>
        <v>0</v>
      </c>
      <c r="AA980" s="3"/>
      <c r="AB980" s="3"/>
      <c r="AC980" s="3"/>
      <c r="AD980" s="3">
        <f t="shared" si="567"/>
        <v>0</v>
      </c>
      <c r="AE980" s="3"/>
      <c r="AF980" s="3">
        <f t="shared" si="568"/>
        <v>0</v>
      </c>
      <c r="AG980" s="4"/>
      <c r="AH980" s="4"/>
      <c r="AJ980" s="3"/>
      <c r="AK980" s="3">
        <f t="shared" si="560"/>
        <v>0</v>
      </c>
      <c r="AL980" s="3"/>
      <c r="AM980" s="3">
        <f t="shared" si="561"/>
        <v>0</v>
      </c>
      <c r="AO980" s="3"/>
      <c r="AP980" s="3"/>
      <c r="AQ980" s="3"/>
      <c r="AR980" s="3"/>
      <c r="AS980" s="3"/>
      <c r="AT980" s="3"/>
      <c r="AU980" s="3"/>
      <c r="AV980" s="42"/>
      <c r="AW980" s="3"/>
      <c r="AX980" s="42"/>
      <c r="AY980" s="3"/>
      <c r="AZ980" s="42"/>
      <c r="BA980" s="3"/>
      <c r="BB980" s="42"/>
      <c r="BC980" s="3"/>
      <c r="BD980" s="42"/>
      <c r="BE980" s="3"/>
    </row>
    <row r="981" spans="1:57" hidden="1" x14ac:dyDescent="0.25">
      <c r="A981" s="3" t="s">
        <v>739</v>
      </c>
      <c r="B981" s="3"/>
      <c r="E981" s="3">
        <f t="shared" si="558"/>
        <v>0</v>
      </c>
      <c r="H981" s="5">
        <f t="shared" si="557"/>
        <v>0</v>
      </c>
      <c r="K981" s="4">
        <f t="shared" si="562"/>
        <v>0</v>
      </c>
      <c r="L981" s="4"/>
      <c r="N981" s="4">
        <f t="shared" si="563"/>
        <v>0</v>
      </c>
      <c r="P981" s="3"/>
      <c r="Q981" s="3"/>
      <c r="R981" s="3"/>
      <c r="S981" s="3">
        <f t="shared" si="564"/>
        <v>0</v>
      </c>
      <c r="T981" s="3"/>
      <c r="U981" s="3">
        <f t="shared" si="565"/>
        <v>0</v>
      </c>
      <c r="V981" s="3"/>
      <c r="W981" s="3">
        <f t="shared" si="566"/>
        <v>0</v>
      </c>
      <c r="X981" s="3"/>
      <c r="Y981" s="3"/>
      <c r="Z981" s="3">
        <f t="shared" si="559"/>
        <v>0</v>
      </c>
      <c r="AA981" s="3"/>
      <c r="AB981" s="3"/>
      <c r="AC981" s="3"/>
      <c r="AD981" s="3">
        <f t="shared" si="567"/>
        <v>0</v>
      </c>
      <c r="AE981" s="3"/>
      <c r="AF981" s="3">
        <f t="shared" si="568"/>
        <v>0</v>
      </c>
      <c r="AG981" s="4"/>
      <c r="AH981" s="4"/>
      <c r="AJ981" s="3"/>
      <c r="AK981" s="3">
        <f t="shared" si="560"/>
        <v>0</v>
      </c>
      <c r="AL981" s="3"/>
      <c r="AM981" s="3">
        <f t="shared" si="561"/>
        <v>0</v>
      </c>
      <c r="AO981" s="3"/>
      <c r="AP981" s="3"/>
      <c r="AQ981" s="3"/>
      <c r="AR981" s="3"/>
      <c r="AS981" s="3"/>
      <c r="AT981" s="3"/>
      <c r="AU981" s="3"/>
      <c r="AV981" s="42"/>
      <c r="AW981" s="3"/>
      <c r="AX981" s="42"/>
      <c r="AY981" s="3"/>
      <c r="AZ981" s="42"/>
      <c r="BA981" s="3"/>
      <c r="BB981" s="42"/>
      <c r="BC981" s="3"/>
      <c r="BD981" s="42"/>
      <c r="BE981" s="3"/>
    </row>
    <row r="982" spans="1:57" s="77" customFormat="1" hidden="1" x14ac:dyDescent="0.25">
      <c r="A982" s="3" t="s">
        <v>686</v>
      </c>
      <c r="B982" s="3"/>
      <c r="C982" s="3"/>
      <c r="D982" s="29"/>
      <c r="E982" s="3">
        <f t="shared" si="558"/>
        <v>0</v>
      </c>
      <c r="F982" s="5"/>
      <c r="G982" s="3"/>
      <c r="H982" s="5">
        <f t="shared" si="557"/>
        <v>0</v>
      </c>
      <c r="I982" s="5"/>
      <c r="J982" s="5"/>
      <c r="K982" s="4">
        <f t="shared" si="562"/>
        <v>0</v>
      </c>
      <c r="L982" s="4"/>
      <c r="M982" s="4"/>
      <c r="N982" s="4">
        <f t="shared" si="563"/>
        <v>0</v>
      </c>
      <c r="O982" s="4"/>
      <c r="P982" s="3"/>
      <c r="Q982" s="3"/>
      <c r="R982" s="3"/>
      <c r="S982" s="3">
        <f t="shared" si="564"/>
        <v>0</v>
      </c>
      <c r="T982" s="3"/>
      <c r="U982" s="3">
        <f t="shared" si="565"/>
        <v>0</v>
      </c>
      <c r="V982" s="3"/>
      <c r="W982" s="3">
        <f t="shared" si="566"/>
        <v>0</v>
      </c>
      <c r="X982" s="3"/>
      <c r="Y982" s="3"/>
      <c r="Z982" s="3">
        <f t="shared" si="559"/>
        <v>0</v>
      </c>
      <c r="AA982" s="3"/>
      <c r="AB982" s="3"/>
      <c r="AC982" s="3"/>
      <c r="AD982" s="3">
        <f t="shared" si="567"/>
        <v>0</v>
      </c>
      <c r="AE982" s="3"/>
      <c r="AF982" s="3">
        <f t="shared" si="568"/>
        <v>0</v>
      </c>
      <c r="AG982" s="4"/>
      <c r="AH982" s="4"/>
      <c r="AI982" s="4"/>
      <c r="AJ982" s="3"/>
      <c r="AK982" s="3">
        <f t="shared" si="560"/>
        <v>0</v>
      </c>
      <c r="AL982" s="3"/>
      <c r="AM982" s="3">
        <f t="shared" si="561"/>
        <v>0</v>
      </c>
      <c r="AN982" s="4"/>
      <c r="AO982" s="3"/>
      <c r="AP982" s="3"/>
      <c r="AQ982" s="3"/>
      <c r="AR982" s="3"/>
      <c r="AS982" s="3"/>
      <c r="AT982" s="3"/>
      <c r="AU982" s="3"/>
      <c r="AV982" s="42"/>
      <c r="AW982" s="3"/>
      <c r="AX982" s="42"/>
      <c r="AY982" s="3"/>
      <c r="AZ982" s="42"/>
      <c r="BA982" s="3"/>
      <c r="BB982" s="42"/>
      <c r="BC982" s="3"/>
      <c r="BD982" s="42"/>
      <c r="BE982" s="3"/>
    </row>
    <row r="983" spans="1:57" hidden="1" x14ac:dyDescent="0.25">
      <c r="A983" s="3" t="s">
        <v>740</v>
      </c>
      <c r="B983" s="3"/>
      <c r="E983" s="3">
        <f t="shared" si="558"/>
        <v>0</v>
      </c>
      <c r="F983" s="29"/>
      <c r="H983" s="5">
        <f t="shared" si="557"/>
        <v>0</v>
      </c>
      <c r="K983" s="4">
        <f t="shared" si="562"/>
        <v>0</v>
      </c>
      <c r="L983" s="4"/>
      <c r="N983" s="4">
        <f t="shared" si="563"/>
        <v>0</v>
      </c>
      <c r="P983" s="3"/>
      <c r="Q983" s="3"/>
      <c r="R983" s="3"/>
      <c r="S983" s="3">
        <f t="shared" si="564"/>
        <v>0</v>
      </c>
      <c r="T983" s="3"/>
      <c r="U983" s="3">
        <f t="shared" si="565"/>
        <v>0</v>
      </c>
      <c r="V983" s="3"/>
      <c r="W983" s="3">
        <f t="shared" si="566"/>
        <v>0</v>
      </c>
      <c r="X983" s="3"/>
      <c r="Y983" s="3"/>
      <c r="Z983" s="3">
        <f t="shared" si="559"/>
        <v>0</v>
      </c>
      <c r="AA983" s="3"/>
      <c r="AB983" s="3"/>
      <c r="AC983" s="3"/>
      <c r="AD983" s="3">
        <f t="shared" si="567"/>
        <v>0</v>
      </c>
      <c r="AE983" s="3"/>
      <c r="AF983" s="3">
        <f t="shared" si="568"/>
        <v>0</v>
      </c>
      <c r="AG983" s="4"/>
      <c r="AH983" s="4"/>
      <c r="AJ983" s="3"/>
      <c r="AK983" s="3">
        <f t="shared" si="560"/>
        <v>0</v>
      </c>
      <c r="AL983" s="3"/>
      <c r="AM983" s="3">
        <f t="shared" si="561"/>
        <v>0</v>
      </c>
      <c r="AO983" s="3"/>
      <c r="AP983" s="3"/>
      <c r="AQ983" s="3"/>
      <c r="AR983" s="3"/>
      <c r="AS983" s="3"/>
      <c r="AT983" s="3"/>
      <c r="AU983" s="3"/>
      <c r="AV983" s="42"/>
      <c r="AW983" s="3"/>
      <c r="AX983" s="42"/>
      <c r="AY983" s="3"/>
      <c r="AZ983" s="42"/>
      <c r="BA983" s="3"/>
      <c r="BB983" s="42"/>
      <c r="BC983" s="3"/>
      <c r="BD983" s="42"/>
      <c r="BE983" s="3"/>
    </row>
    <row r="984" spans="1:57" hidden="1" x14ac:dyDescent="0.25">
      <c r="A984" s="3" t="s">
        <v>741</v>
      </c>
      <c r="B984" s="3"/>
      <c r="E984" s="3">
        <f t="shared" si="558"/>
        <v>0</v>
      </c>
      <c r="H984" s="5">
        <f t="shared" si="557"/>
        <v>0</v>
      </c>
      <c r="K984" s="4">
        <f t="shared" si="562"/>
        <v>0</v>
      </c>
      <c r="L984" s="4"/>
      <c r="N984" s="4">
        <f t="shared" si="563"/>
        <v>0</v>
      </c>
      <c r="P984" s="3"/>
      <c r="Q984" s="3"/>
      <c r="R984" s="3"/>
      <c r="S984" s="3">
        <f t="shared" si="564"/>
        <v>0</v>
      </c>
      <c r="T984" s="3"/>
      <c r="U984" s="3">
        <f t="shared" si="565"/>
        <v>0</v>
      </c>
      <c r="V984" s="3"/>
      <c r="W984" s="3">
        <f t="shared" si="566"/>
        <v>0</v>
      </c>
      <c r="X984" s="3"/>
      <c r="Y984" s="3"/>
      <c r="Z984" s="3">
        <f t="shared" si="559"/>
        <v>0</v>
      </c>
      <c r="AA984" s="3"/>
      <c r="AB984" s="3"/>
      <c r="AC984" s="3"/>
      <c r="AD984" s="3">
        <f t="shared" si="567"/>
        <v>0</v>
      </c>
      <c r="AE984" s="3"/>
      <c r="AF984" s="3">
        <f t="shared" si="568"/>
        <v>0</v>
      </c>
      <c r="AG984" s="4"/>
      <c r="AH984" s="4"/>
      <c r="AJ984" s="3"/>
      <c r="AK984" s="3">
        <f t="shared" si="560"/>
        <v>0</v>
      </c>
      <c r="AL984" s="3"/>
      <c r="AM984" s="3">
        <f t="shared" si="561"/>
        <v>0</v>
      </c>
      <c r="AO984" s="3"/>
      <c r="AP984" s="3"/>
      <c r="AQ984" s="3"/>
      <c r="AR984" s="3"/>
      <c r="AS984" s="3"/>
      <c r="AT984" s="3"/>
      <c r="AU984" s="3"/>
      <c r="AV984" s="42"/>
      <c r="AW984" s="3"/>
      <c r="AX984" s="42"/>
      <c r="AY984" s="3"/>
      <c r="AZ984" s="42"/>
      <c r="BA984" s="3"/>
      <c r="BB984" s="42"/>
      <c r="BC984" s="3"/>
      <c r="BD984" s="42"/>
      <c r="BE984" s="3"/>
    </row>
    <row r="985" spans="1:57" s="77" customFormat="1" x14ac:dyDescent="0.25">
      <c r="A985" s="3" t="s">
        <v>742</v>
      </c>
      <c r="B985" s="3">
        <v>3500</v>
      </c>
      <c r="C985" s="3"/>
      <c r="D985" s="29"/>
      <c r="E985" s="3">
        <f t="shared" si="558"/>
        <v>3500</v>
      </c>
      <c r="F985" s="5">
        <v>3500</v>
      </c>
      <c r="G985" s="3"/>
      <c r="H985" s="5">
        <f t="shared" si="557"/>
        <v>0</v>
      </c>
      <c r="I985" s="5"/>
      <c r="J985" s="5">
        <v>566</v>
      </c>
      <c r="K985" s="4">
        <f t="shared" si="562"/>
        <v>2934</v>
      </c>
      <c r="L985" s="4">
        <v>3500</v>
      </c>
      <c r="M985" s="4"/>
      <c r="N985" s="4">
        <f t="shared" si="563"/>
        <v>0</v>
      </c>
      <c r="O985" s="4"/>
      <c r="P985" s="3">
        <v>3000</v>
      </c>
      <c r="Q985" s="3"/>
      <c r="R985" s="3">
        <v>594</v>
      </c>
      <c r="S985" s="3">
        <f t="shared" si="564"/>
        <v>2406</v>
      </c>
      <c r="T985" s="3">
        <v>3000</v>
      </c>
      <c r="U985" s="3">
        <f t="shared" si="565"/>
        <v>0</v>
      </c>
      <c r="V985" s="3">
        <v>1567</v>
      </c>
      <c r="W985" s="3">
        <f t="shared" si="566"/>
        <v>1433</v>
      </c>
      <c r="X985" s="3"/>
      <c r="Y985" s="3">
        <v>3000</v>
      </c>
      <c r="Z985" s="3">
        <f t="shared" si="559"/>
        <v>0</v>
      </c>
      <c r="AA985" s="3"/>
      <c r="AB985" s="3"/>
      <c r="AC985" s="3">
        <v>1920</v>
      </c>
      <c r="AD985" s="3">
        <f t="shared" si="567"/>
        <v>1080</v>
      </c>
      <c r="AE985" s="3">
        <v>3000</v>
      </c>
      <c r="AF985" s="3">
        <f t="shared" si="568"/>
        <v>0</v>
      </c>
      <c r="AG985" s="4"/>
      <c r="AH985" s="4">
        <v>2600</v>
      </c>
      <c r="AI985" s="4"/>
      <c r="AJ985" s="3">
        <v>809</v>
      </c>
      <c r="AK985" s="3">
        <f t="shared" si="560"/>
        <v>1791</v>
      </c>
      <c r="AL985" s="3">
        <v>2600</v>
      </c>
      <c r="AM985" s="3">
        <f t="shared" si="561"/>
        <v>0</v>
      </c>
      <c r="AN985" s="4"/>
      <c r="AO985" s="3">
        <v>3000</v>
      </c>
      <c r="AP985" s="3"/>
      <c r="AQ985" s="3">
        <v>2600</v>
      </c>
      <c r="AR985" s="3"/>
      <c r="AS985" s="3">
        <v>3000</v>
      </c>
      <c r="AT985" s="3"/>
      <c r="AU985" s="3">
        <v>2600</v>
      </c>
      <c r="AV985" s="42"/>
      <c r="AW985" s="3">
        <v>3000</v>
      </c>
      <c r="AX985" s="3"/>
      <c r="AY985" s="3">
        <v>2600</v>
      </c>
      <c r="AZ985" s="42"/>
      <c r="BA985" s="3">
        <v>3000</v>
      </c>
      <c r="BB985" s="42"/>
      <c r="BC985" s="3">
        <v>3000</v>
      </c>
      <c r="BD985" s="42"/>
      <c r="BE985" s="3">
        <v>3000</v>
      </c>
    </row>
    <row r="986" spans="1:57" hidden="1" x14ac:dyDescent="0.25">
      <c r="A986" s="3" t="s">
        <v>743</v>
      </c>
      <c r="B986" s="3"/>
      <c r="E986" s="3">
        <f t="shared" si="558"/>
        <v>0</v>
      </c>
      <c r="F986" s="29"/>
      <c r="H986" s="5">
        <f t="shared" si="557"/>
        <v>0</v>
      </c>
      <c r="K986" s="4">
        <f t="shared" si="562"/>
        <v>0</v>
      </c>
      <c r="L986" s="4"/>
      <c r="N986" s="4">
        <f t="shared" si="563"/>
        <v>0</v>
      </c>
      <c r="P986" s="3"/>
      <c r="Q986" s="3"/>
      <c r="R986" s="3"/>
      <c r="S986" s="3">
        <f t="shared" si="564"/>
        <v>0</v>
      </c>
      <c r="T986" s="3"/>
      <c r="U986" s="3">
        <f t="shared" si="565"/>
        <v>0</v>
      </c>
      <c r="V986" s="3"/>
      <c r="W986" s="3">
        <f t="shared" si="566"/>
        <v>0</v>
      </c>
      <c r="X986" s="3"/>
      <c r="Y986" s="3"/>
      <c r="Z986" s="3">
        <f t="shared" si="559"/>
        <v>0</v>
      </c>
      <c r="AA986" s="3"/>
      <c r="AB986" s="3"/>
      <c r="AC986" s="3"/>
      <c r="AD986" s="3">
        <f t="shared" si="567"/>
        <v>0</v>
      </c>
      <c r="AE986" s="3"/>
      <c r="AF986" s="3">
        <f t="shared" si="568"/>
        <v>0</v>
      </c>
      <c r="AG986" s="4"/>
      <c r="AH986" s="4"/>
      <c r="AJ986" s="3"/>
      <c r="AK986" s="3">
        <f t="shared" si="560"/>
        <v>0</v>
      </c>
      <c r="AL986" s="3"/>
      <c r="AM986" s="3">
        <f t="shared" si="561"/>
        <v>0</v>
      </c>
      <c r="AO986" s="3"/>
      <c r="AP986" s="3"/>
      <c r="AQ986" s="3"/>
      <c r="AR986" s="3"/>
      <c r="AS986" s="3"/>
      <c r="AT986" s="3"/>
      <c r="AU986" s="3"/>
      <c r="AV986" s="42"/>
      <c r="AW986" s="3"/>
      <c r="AX986" s="42"/>
      <c r="AY986" s="3"/>
      <c r="AZ986" s="42"/>
      <c r="BA986" s="3"/>
      <c r="BB986" s="42"/>
      <c r="BC986" s="3"/>
      <c r="BD986" s="42"/>
      <c r="BE986" s="3"/>
    </row>
    <row r="987" spans="1:57" s="77" customFormat="1" hidden="1" x14ac:dyDescent="0.25">
      <c r="A987" s="3" t="s">
        <v>744</v>
      </c>
      <c r="B987" s="3"/>
      <c r="C987" s="3"/>
      <c r="D987" s="29"/>
      <c r="E987" s="3">
        <f t="shared" si="558"/>
        <v>0</v>
      </c>
      <c r="F987" s="5"/>
      <c r="G987" s="3"/>
      <c r="H987" s="5">
        <f t="shared" si="557"/>
        <v>0</v>
      </c>
      <c r="I987" s="5"/>
      <c r="J987" s="5"/>
      <c r="K987" s="4">
        <f t="shared" si="562"/>
        <v>0</v>
      </c>
      <c r="L987" s="4"/>
      <c r="M987" s="4"/>
      <c r="N987" s="4">
        <f t="shared" si="563"/>
        <v>0</v>
      </c>
      <c r="O987" s="4"/>
      <c r="P987" s="3"/>
      <c r="Q987" s="3"/>
      <c r="R987" s="3"/>
      <c r="S987" s="3">
        <f t="shared" si="564"/>
        <v>0</v>
      </c>
      <c r="T987" s="3"/>
      <c r="U987" s="3">
        <f t="shared" si="565"/>
        <v>0</v>
      </c>
      <c r="V987" s="3"/>
      <c r="W987" s="3">
        <f t="shared" si="566"/>
        <v>0</v>
      </c>
      <c r="X987" s="3"/>
      <c r="Y987" s="3"/>
      <c r="Z987" s="3">
        <f t="shared" si="559"/>
        <v>0</v>
      </c>
      <c r="AA987" s="3"/>
      <c r="AB987" s="3"/>
      <c r="AC987" s="3"/>
      <c r="AD987" s="3">
        <f t="shared" si="567"/>
        <v>0</v>
      </c>
      <c r="AE987" s="3"/>
      <c r="AF987" s="3">
        <f t="shared" si="568"/>
        <v>0</v>
      </c>
      <c r="AG987" s="4"/>
      <c r="AH987" s="4"/>
      <c r="AI987" s="4"/>
      <c r="AJ987" s="3"/>
      <c r="AK987" s="3">
        <f t="shared" si="560"/>
        <v>0</v>
      </c>
      <c r="AL987" s="3"/>
      <c r="AM987" s="3">
        <f t="shared" si="561"/>
        <v>0</v>
      </c>
      <c r="AN987" s="4"/>
      <c r="AO987" s="3"/>
      <c r="AP987" s="3"/>
      <c r="AQ987" s="3"/>
      <c r="AR987" s="3"/>
      <c r="AS987" s="3"/>
      <c r="AT987" s="3"/>
      <c r="AU987" s="3"/>
      <c r="AV987" s="42"/>
      <c r="AW987" s="3"/>
      <c r="AX987" s="42"/>
      <c r="AY987" s="3"/>
      <c r="AZ987" s="42"/>
      <c r="BA987" s="3"/>
      <c r="BB987" s="42"/>
      <c r="BC987" s="3"/>
      <c r="BD987" s="42"/>
      <c r="BE987" s="3"/>
    </row>
    <row r="988" spans="1:57" hidden="1" x14ac:dyDescent="0.25">
      <c r="A988" s="3" t="s">
        <v>745</v>
      </c>
      <c r="B988" s="3"/>
      <c r="E988" s="3">
        <f t="shared" si="558"/>
        <v>0</v>
      </c>
      <c r="F988" s="29"/>
      <c r="H988" s="5">
        <f t="shared" si="557"/>
        <v>0</v>
      </c>
      <c r="K988" s="4">
        <f t="shared" si="562"/>
        <v>0</v>
      </c>
      <c r="L988" s="4"/>
      <c r="N988" s="4">
        <f t="shared" si="563"/>
        <v>0</v>
      </c>
      <c r="P988" s="3"/>
      <c r="Q988" s="3"/>
      <c r="R988" s="3"/>
      <c r="S988" s="3">
        <f t="shared" si="564"/>
        <v>0</v>
      </c>
      <c r="T988" s="3"/>
      <c r="U988" s="3">
        <f t="shared" si="565"/>
        <v>0</v>
      </c>
      <c r="V988" s="3"/>
      <c r="W988" s="3">
        <f t="shared" si="566"/>
        <v>0</v>
      </c>
      <c r="X988" s="3"/>
      <c r="Y988" s="3"/>
      <c r="Z988" s="3">
        <f t="shared" si="559"/>
        <v>0</v>
      </c>
      <c r="AA988" s="3"/>
      <c r="AB988" s="3"/>
      <c r="AC988" s="3"/>
      <c r="AD988" s="3">
        <f t="shared" si="567"/>
        <v>0</v>
      </c>
      <c r="AE988" s="3"/>
      <c r="AF988" s="3">
        <f t="shared" si="568"/>
        <v>0</v>
      </c>
      <c r="AG988" s="4"/>
      <c r="AH988" s="4"/>
      <c r="AJ988" s="3"/>
      <c r="AK988" s="3">
        <f t="shared" si="560"/>
        <v>0</v>
      </c>
      <c r="AL988" s="3"/>
      <c r="AM988" s="3">
        <f t="shared" si="561"/>
        <v>0</v>
      </c>
      <c r="AO988" s="3"/>
      <c r="AP988" s="3"/>
      <c r="AQ988" s="3"/>
      <c r="AR988" s="3"/>
      <c r="AS988" s="3"/>
      <c r="AT988" s="3"/>
      <c r="AU988" s="3"/>
      <c r="AV988" s="42"/>
      <c r="AW988" s="3"/>
      <c r="AX988" s="42"/>
      <c r="AY988" s="3"/>
      <c r="AZ988" s="42"/>
      <c r="BA988" s="3"/>
      <c r="BB988" s="42"/>
      <c r="BC988" s="3"/>
      <c r="BD988" s="42"/>
      <c r="BE988" s="3"/>
    </row>
    <row r="989" spans="1:57" s="77" customFormat="1" hidden="1" x14ac:dyDescent="0.25">
      <c r="A989" s="3" t="s">
        <v>746</v>
      </c>
      <c r="B989" s="3"/>
      <c r="C989" s="3"/>
      <c r="D989" s="29"/>
      <c r="E989" s="3">
        <f t="shared" si="558"/>
        <v>0</v>
      </c>
      <c r="F989" s="5"/>
      <c r="G989" s="3"/>
      <c r="H989" s="5">
        <f t="shared" si="557"/>
        <v>0</v>
      </c>
      <c r="I989" s="5"/>
      <c r="J989" s="5"/>
      <c r="K989" s="4">
        <f t="shared" si="562"/>
        <v>0</v>
      </c>
      <c r="L989" s="4"/>
      <c r="M989" s="4"/>
      <c r="N989" s="4">
        <f t="shared" si="563"/>
        <v>0</v>
      </c>
      <c r="O989" s="4"/>
      <c r="P989" s="3"/>
      <c r="Q989" s="3"/>
      <c r="R989" s="3"/>
      <c r="S989" s="3">
        <f t="shared" si="564"/>
        <v>0</v>
      </c>
      <c r="T989" s="3"/>
      <c r="U989" s="3">
        <f t="shared" si="565"/>
        <v>0</v>
      </c>
      <c r="V989" s="3"/>
      <c r="W989" s="3">
        <f t="shared" si="566"/>
        <v>0</v>
      </c>
      <c r="X989" s="3"/>
      <c r="Y989" s="3"/>
      <c r="Z989" s="3">
        <f t="shared" si="559"/>
        <v>0</v>
      </c>
      <c r="AA989" s="3"/>
      <c r="AB989" s="3"/>
      <c r="AC989" s="3"/>
      <c r="AD989" s="3">
        <f t="shared" si="567"/>
        <v>0</v>
      </c>
      <c r="AE989" s="3"/>
      <c r="AF989" s="3">
        <f t="shared" si="568"/>
        <v>0</v>
      </c>
      <c r="AG989" s="4"/>
      <c r="AH989" s="4"/>
      <c r="AI989" s="4"/>
      <c r="AJ989" s="3"/>
      <c r="AK989" s="3">
        <f t="shared" si="560"/>
        <v>0</v>
      </c>
      <c r="AL989" s="3"/>
      <c r="AM989" s="3">
        <f t="shared" si="561"/>
        <v>0</v>
      </c>
      <c r="AN989" s="4"/>
      <c r="AO989" s="3"/>
      <c r="AP989" s="3"/>
      <c r="AQ989" s="3"/>
      <c r="AR989" s="3"/>
      <c r="AS989" s="3"/>
      <c r="AT989" s="3"/>
      <c r="AU989" s="3"/>
      <c r="AV989" s="42"/>
      <c r="AW989" s="3"/>
      <c r="AX989" s="42"/>
      <c r="AY989" s="3"/>
      <c r="AZ989" s="42"/>
      <c r="BA989" s="3"/>
      <c r="BB989" s="42"/>
      <c r="BC989" s="3"/>
      <c r="BD989" s="42"/>
      <c r="BE989" s="3"/>
    </row>
    <row r="990" spans="1:57" hidden="1" x14ac:dyDescent="0.25">
      <c r="A990" s="3" t="s">
        <v>747</v>
      </c>
      <c r="B990" s="3"/>
      <c r="E990" s="3">
        <f t="shared" si="558"/>
        <v>0</v>
      </c>
      <c r="F990" s="29"/>
      <c r="H990" s="5">
        <f t="shared" si="557"/>
        <v>0</v>
      </c>
      <c r="K990" s="4">
        <f t="shared" si="562"/>
        <v>0</v>
      </c>
      <c r="L990" s="4"/>
      <c r="N990" s="4">
        <f t="shared" si="563"/>
        <v>0</v>
      </c>
      <c r="P990" s="3"/>
      <c r="Q990" s="3"/>
      <c r="R990" s="3"/>
      <c r="S990" s="3">
        <f t="shared" si="564"/>
        <v>0</v>
      </c>
      <c r="T990" s="3"/>
      <c r="U990" s="3">
        <f t="shared" si="565"/>
        <v>0</v>
      </c>
      <c r="V990" s="3"/>
      <c r="W990" s="3">
        <f t="shared" si="566"/>
        <v>0</v>
      </c>
      <c r="X990" s="3"/>
      <c r="Y990" s="3"/>
      <c r="Z990" s="3">
        <f t="shared" si="559"/>
        <v>0</v>
      </c>
      <c r="AA990" s="3"/>
      <c r="AB990" s="3"/>
      <c r="AC990" s="3"/>
      <c r="AD990" s="3">
        <f t="shared" si="567"/>
        <v>0</v>
      </c>
      <c r="AE990" s="3"/>
      <c r="AF990" s="3">
        <f t="shared" si="568"/>
        <v>0</v>
      </c>
      <c r="AG990" s="4"/>
      <c r="AH990" s="4"/>
      <c r="AJ990" s="3"/>
      <c r="AK990" s="3">
        <f t="shared" si="560"/>
        <v>0</v>
      </c>
      <c r="AL990" s="3"/>
      <c r="AM990" s="3">
        <f t="shared" si="561"/>
        <v>0</v>
      </c>
      <c r="AO990" s="3"/>
      <c r="AP990" s="3"/>
      <c r="AQ990" s="3"/>
      <c r="AR990" s="3"/>
      <c r="AS990" s="3"/>
      <c r="AT990" s="3"/>
      <c r="AU990" s="3"/>
      <c r="AV990" s="42"/>
      <c r="AW990" s="3"/>
      <c r="AX990" s="42"/>
      <c r="AY990" s="3"/>
      <c r="AZ990" s="42"/>
      <c r="BA990" s="3"/>
      <c r="BB990" s="42"/>
      <c r="BC990" s="3"/>
      <c r="BD990" s="42"/>
      <c r="BE990" s="3"/>
    </row>
    <row r="991" spans="1:57" x14ac:dyDescent="0.25">
      <c r="A991" s="3" t="s">
        <v>748</v>
      </c>
      <c r="B991" s="3"/>
      <c r="E991" s="3"/>
      <c r="F991" s="29"/>
      <c r="K991" s="4"/>
      <c r="L991" s="4"/>
      <c r="N991" s="4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4"/>
      <c r="AH991" s="4">
        <v>10000</v>
      </c>
      <c r="AJ991" s="3">
        <v>9284</v>
      </c>
      <c r="AK991" s="3">
        <f t="shared" si="560"/>
        <v>716</v>
      </c>
      <c r="AL991" s="3">
        <v>10000</v>
      </c>
      <c r="AM991" s="3">
        <f t="shared" si="561"/>
        <v>0</v>
      </c>
      <c r="AO991" s="3"/>
      <c r="AP991" s="3"/>
      <c r="AQ991" s="3">
        <v>2000</v>
      </c>
      <c r="AR991" s="3"/>
      <c r="AS991" s="3"/>
      <c r="AT991" s="3"/>
      <c r="AU991" s="3">
        <v>2000</v>
      </c>
      <c r="AV991" s="42"/>
      <c r="AW991" s="3"/>
      <c r="AX991" s="42"/>
      <c r="AY991" s="3">
        <v>2000</v>
      </c>
      <c r="AZ991" s="42"/>
      <c r="BA991" s="3"/>
      <c r="BB991" s="42"/>
      <c r="BC991" s="3">
        <v>2000</v>
      </c>
      <c r="BD991" s="42"/>
      <c r="BE991" s="3"/>
    </row>
    <row r="992" spans="1:57" hidden="1" x14ac:dyDescent="0.25">
      <c r="A992" s="3" t="s">
        <v>749</v>
      </c>
      <c r="B992" s="3">
        <v>12000</v>
      </c>
      <c r="E992" s="3">
        <f t="shared" si="558"/>
        <v>12000</v>
      </c>
      <c r="F992" s="5">
        <v>12000</v>
      </c>
      <c r="H992" s="5">
        <f t="shared" si="557"/>
        <v>0</v>
      </c>
      <c r="J992" s="5">
        <v>0</v>
      </c>
      <c r="K992" s="4">
        <f t="shared" si="562"/>
        <v>12000</v>
      </c>
      <c r="L992" s="4">
        <v>12000</v>
      </c>
      <c r="N992" s="4">
        <f t="shared" si="563"/>
        <v>0</v>
      </c>
      <c r="P992" s="3"/>
      <c r="Q992" s="3"/>
      <c r="R992" s="3"/>
      <c r="S992" s="3">
        <f t="shared" si="564"/>
        <v>0</v>
      </c>
      <c r="T992" s="3"/>
      <c r="U992" s="3">
        <f t="shared" si="565"/>
        <v>0</v>
      </c>
      <c r="V992" s="3"/>
      <c r="W992" s="3">
        <f t="shared" si="566"/>
        <v>0</v>
      </c>
      <c r="X992" s="3"/>
      <c r="Y992" s="3"/>
      <c r="Z992" s="3">
        <f t="shared" si="559"/>
        <v>0</v>
      </c>
      <c r="AA992" s="3"/>
      <c r="AB992" s="3"/>
      <c r="AC992" s="3"/>
      <c r="AD992" s="3">
        <f t="shared" si="567"/>
        <v>0</v>
      </c>
      <c r="AE992" s="3"/>
      <c r="AF992" s="3">
        <f t="shared" si="568"/>
        <v>0</v>
      </c>
      <c r="AG992" s="4"/>
      <c r="AH992" s="4"/>
      <c r="AJ992" s="3"/>
      <c r="AK992" s="3">
        <f t="shared" si="560"/>
        <v>0</v>
      </c>
      <c r="AL992" s="3"/>
      <c r="AM992" s="3">
        <f t="shared" si="561"/>
        <v>0</v>
      </c>
      <c r="AO992" s="3"/>
      <c r="AP992" s="3"/>
      <c r="AQ992" s="3"/>
      <c r="AR992" s="3"/>
      <c r="AS992" s="3"/>
      <c r="AT992" s="3"/>
      <c r="AU992" s="3"/>
      <c r="AV992" s="42"/>
      <c r="AW992" s="3"/>
      <c r="AX992" s="42"/>
      <c r="AY992" s="3"/>
      <c r="AZ992" s="42"/>
      <c r="BA992" s="3"/>
      <c r="BB992" s="42"/>
      <c r="BC992" s="3"/>
      <c r="BD992" s="42"/>
      <c r="BE992" s="3"/>
    </row>
    <row r="993" spans="1:57" s="77" customFormat="1" hidden="1" x14ac:dyDescent="0.25">
      <c r="A993" s="3" t="s">
        <v>750</v>
      </c>
      <c r="B993" s="3"/>
      <c r="C993" s="3"/>
      <c r="D993" s="29"/>
      <c r="E993" s="3">
        <f t="shared" si="558"/>
        <v>0</v>
      </c>
      <c r="F993" s="5"/>
      <c r="G993" s="3"/>
      <c r="H993" s="5">
        <f t="shared" si="557"/>
        <v>0</v>
      </c>
      <c r="I993" s="5"/>
      <c r="J993" s="5"/>
      <c r="K993" s="4">
        <f t="shared" si="562"/>
        <v>0</v>
      </c>
      <c r="L993" s="4"/>
      <c r="M993" s="4"/>
      <c r="N993" s="4">
        <f t="shared" si="563"/>
        <v>0</v>
      </c>
      <c r="O993" s="4"/>
      <c r="P993" s="3"/>
      <c r="Q993" s="3"/>
      <c r="R993" s="3"/>
      <c r="S993" s="3">
        <f t="shared" si="564"/>
        <v>0</v>
      </c>
      <c r="T993" s="3"/>
      <c r="U993" s="3">
        <f t="shared" si="565"/>
        <v>0</v>
      </c>
      <c r="V993" s="3"/>
      <c r="W993" s="3">
        <f t="shared" si="566"/>
        <v>0</v>
      </c>
      <c r="X993" s="3"/>
      <c r="Y993" s="3"/>
      <c r="Z993" s="3">
        <f t="shared" si="559"/>
        <v>0</v>
      </c>
      <c r="AA993" s="3"/>
      <c r="AB993" s="3"/>
      <c r="AC993" s="3"/>
      <c r="AD993" s="3">
        <f t="shared" si="567"/>
        <v>0</v>
      </c>
      <c r="AE993" s="3"/>
      <c r="AF993" s="3">
        <f t="shared" si="568"/>
        <v>0</v>
      </c>
      <c r="AG993" s="4"/>
      <c r="AH993" s="4"/>
      <c r="AI993" s="4"/>
      <c r="AJ993" s="3"/>
      <c r="AK993" s="3">
        <f t="shared" si="560"/>
        <v>0</v>
      </c>
      <c r="AL993" s="3"/>
      <c r="AM993" s="3">
        <f t="shared" si="561"/>
        <v>0</v>
      </c>
      <c r="AN993" s="4"/>
      <c r="AO993" s="3"/>
      <c r="AP993" s="3"/>
      <c r="AQ993" s="3"/>
      <c r="AR993" s="3"/>
      <c r="AS993" s="3"/>
      <c r="AT993" s="3"/>
      <c r="AU993" s="3"/>
      <c r="AV993" s="42"/>
      <c r="AW993" s="3"/>
      <c r="AX993" s="42"/>
      <c r="AY993" s="3"/>
      <c r="AZ993" s="42"/>
      <c r="BA993" s="3"/>
      <c r="BB993" s="42"/>
      <c r="BC993" s="3"/>
      <c r="BD993" s="42"/>
      <c r="BE993" s="3"/>
    </row>
    <row r="994" spans="1:57" hidden="1" x14ac:dyDescent="0.25">
      <c r="A994" s="3" t="s">
        <v>751</v>
      </c>
      <c r="B994" s="3"/>
      <c r="E994" s="3">
        <f t="shared" si="558"/>
        <v>0</v>
      </c>
      <c r="F994" s="29"/>
      <c r="H994" s="5">
        <f t="shared" si="557"/>
        <v>0</v>
      </c>
      <c r="K994" s="4">
        <f t="shared" si="562"/>
        <v>0</v>
      </c>
      <c r="L994" s="4"/>
      <c r="N994" s="4">
        <f t="shared" si="563"/>
        <v>0</v>
      </c>
      <c r="P994" s="3"/>
      <c r="Q994" s="3"/>
      <c r="R994" s="3"/>
      <c r="S994" s="3">
        <f t="shared" si="564"/>
        <v>0</v>
      </c>
      <c r="T994" s="3"/>
      <c r="U994" s="3">
        <f t="shared" si="565"/>
        <v>0</v>
      </c>
      <c r="V994" s="3"/>
      <c r="W994" s="3">
        <f t="shared" si="566"/>
        <v>0</v>
      </c>
      <c r="X994" s="3"/>
      <c r="Y994" s="3"/>
      <c r="Z994" s="3">
        <f t="shared" si="559"/>
        <v>0</v>
      </c>
      <c r="AA994" s="3"/>
      <c r="AB994" s="3"/>
      <c r="AC994" s="3"/>
      <c r="AD994" s="3">
        <f t="shared" si="567"/>
        <v>0</v>
      </c>
      <c r="AE994" s="3"/>
      <c r="AF994" s="3">
        <f t="shared" si="568"/>
        <v>0</v>
      </c>
      <c r="AG994" s="4"/>
      <c r="AH994" s="4"/>
      <c r="AJ994" s="3"/>
      <c r="AK994" s="3">
        <f t="shared" si="560"/>
        <v>0</v>
      </c>
      <c r="AL994" s="3"/>
      <c r="AM994" s="3">
        <f t="shared" si="561"/>
        <v>0</v>
      </c>
      <c r="AO994" s="3"/>
      <c r="AP994" s="3"/>
      <c r="AQ994" s="3"/>
      <c r="AR994" s="3"/>
      <c r="AS994" s="3"/>
      <c r="AT994" s="3"/>
      <c r="AU994" s="3"/>
      <c r="AV994" s="42"/>
      <c r="AW994" s="3"/>
      <c r="AX994" s="42"/>
      <c r="AY994" s="3"/>
      <c r="AZ994" s="42"/>
      <c r="BA994" s="3"/>
      <c r="BB994" s="42"/>
      <c r="BC994" s="3"/>
      <c r="BD994" s="42"/>
      <c r="BE994" s="3"/>
    </row>
    <row r="995" spans="1:57" hidden="1" x14ac:dyDescent="0.25">
      <c r="A995" s="3" t="s">
        <v>752</v>
      </c>
      <c r="B995" s="3"/>
      <c r="F995" s="29"/>
      <c r="H995" s="5">
        <f>F995-B995</f>
        <v>0</v>
      </c>
      <c r="K995" s="4">
        <f t="shared" si="562"/>
        <v>0</v>
      </c>
      <c r="L995" s="4"/>
      <c r="N995" s="4">
        <f t="shared" si="563"/>
        <v>0</v>
      </c>
      <c r="P995" s="3"/>
      <c r="Q995" s="3"/>
      <c r="R995" s="3"/>
      <c r="S995" s="3">
        <f t="shared" si="564"/>
        <v>0</v>
      </c>
      <c r="T995" s="3"/>
      <c r="U995" s="3">
        <f t="shared" si="565"/>
        <v>0</v>
      </c>
      <c r="V995" s="3"/>
      <c r="W995" s="3">
        <f t="shared" si="566"/>
        <v>0</v>
      </c>
      <c r="X995" s="3"/>
      <c r="Y995" s="3"/>
      <c r="Z995" s="3">
        <f t="shared" si="559"/>
        <v>0</v>
      </c>
      <c r="AA995" s="3"/>
      <c r="AB995" s="3"/>
      <c r="AC995" s="3"/>
      <c r="AD995" s="3">
        <f t="shared" si="567"/>
        <v>0</v>
      </c>
      <c r="AE995" s="3"/>
      <c r="AF995" s="3">
        <f t="shared" si="568"/>
        <v>0</v>
      </c>
      <c r="AG995" s="4"/>
      <c r="AH995" s="4"/>
      <c r="AJ995" s="3"/>
      <c r="AK995" s="3">
        <f t="shared" si="560"/>
        <v>0</v>
      </c>
      <c r="AL995" s="3"/>
      <c r="AM995" s="3">
        <f t="shared" si="561"/>
        <v>0</v>
      </c>
      <c r="AO995" s="3"/>
      <c r="AP995" s="3"/>
      <c r="AQ995" s="3"/>
      <c r="AR995" s="3"/>
      <c r="AS995" s="3"/>
      <c r="AT995" s="3"/>
      <c r="AU995" s="3"/>
      <c r="AV995" s="42"/>
      <c r="AW995" s="3"/>
      <c r="AX995" s="42"/>
      <c r="AY995" s="3"/>
      <c r="AZ995" s="42"/>
      <c r="BA995" s="3"/>
      <c r="BB995" s="42"/>
      <c r="BC995" s="3"/>
      <c r="BD995" s="42"/>
      <c r="BE995" s="3"/>
    </row>
    <row r="996" spans="1:57" x14ac:dyDescent="0.25">
      <c r="A996" s="3" t="s">
        <v>753</v>
      </c>
      <c r="B996" s="3">
        <v>6200</v>
      </c>
      <c r="D996" s="5">
        <v>2146</v>
      </c>
      <c r="E996" s="3">
        <f t="shared" ref="E996:E1042" si="569">F996-D996</f>
        <v>4054</v>
      </c>
      <c r="F996" s="5">
        <v>6200</v>
      </c>
      <c r="H996" s="5">
        <f t="shared" ref="H996:H1042" si="570">F996-B996</f>
        <v>0</v>
      </c>
      <c r="J996" s="5">
        <v>3065</v>
      </c>
      <c r="K996" s="4">
        <f t="shared" si="562"/>
        <v>3135</v>
      </c>
      <c r="L996" s="4">
        <v>6200</v>
      </c>
      <c r="N996" s="4">
        <f t="shared" si="563"/>
        <v>0</v>
      </c>
      <c r="P996" s="3">
        <f>B996*1.0281+26</f>
        <v>6400.22</v>
      </c>
      <c r="Q996" s="3"/>
      <c r="R996" s="3">
        <v>100</v>
      </c>
      <c r="S996" s="3">
        <f t="shared" si="564"/>
        <v>6300</v>
      </c>
      <c r="T996" s="3">
        <v>6400</v>
      </c>
      <c r="U996" s="3">
        <f t="shared" si="565"/>
        <v>-0.22000000000025466</v>
      </c>
      <c r="V996" s="3"/>
      <c r="W996" s="3">
        <f t="shared" si="566"/>
        <v>6400</v>
      </c>
      <c r="X996" s="3"/>
      <c r="Y996" s="3">
        <v>6400</v>
      </c>
      <c r="Z996" s="3">
        <f t="shared" si="559"/>
        <v>0</v>
      </c>
      <c r="AA996" s="3"/>
      <c r="AB996" s="3"/>
      <c r="AC996" s="3"/>
      <c r="AD996" s="3">
        <f t="shared" si="567"/>
        <v>4000</v>
      </c>
      <c r="AE996" s="3">
        <v>4000</v>
      </c>
      <c r="AF996" s="3">
        <f t="shared" si="568"/>
        <v>-2400</v>
      </c>
      <c r="AG996" s="4"/>
      <c r="AH996" s="4">
        <f>P996*1.03+8</f>
        <v>6600.2266000000009</v>
      </c>
      <c r="AJ996" s="3">
        <v>809</v>
      </c>
      <c r="AK996" s="3">
        <f t="shared" si="560"/>
        <v>5791</v>
      </c>
      <c r="AL996" s="3">
        <v>6600</v>
      </c>
      <c r="AM996" s="3">
        <f t="shared" si="561"/>
        <v>-0.22660000000087166</v>
      </c>
      <c r="AO996" s="3">
        <f>AH996*1.03</f>
        <v>6798.2333980000012</v>
      </c>
      <c r="AP996" s="3"/>
      <c r="AQ996" s="3">
        <f>AO996*1.03</f>
        <v>7002.1803999400017</v>
      </c>
      <c r="AR996" s="3"/>
      <c r="AS996" s="3">
        <f>AQ996*1.03</f>
        <v>7212.2458119382018</v>
      </c>
      <c r="AT996" s="3"/>
      <c r="AU996" s="3">
        <f>AS996*1.03</f>
        <v>7428.6131862963484</v>
      </c>
      <c r="AV996" s="42"/>
      <c r="AW996" s="3">
        <f>AU996*1.03</f>
        <v>7651.4715818852392</v>
      </c>
      <c r="AX996" s="42"/>
      <c r="AY996" s="3">
        <f>AW996*1.03</f>
        <v>7881.0157293417969</v>
      </c>
      <c r="AZ996" s="42"/>
      <c r="BA996" s="3">
        <f>AY996*1.03</f>
        <v>8117.4462012220511</v>
      </c>
      <c r="BB996" s="42"/>
      <c r="BC996" s="3">
        <f>BA996*1.03</f>
        <v>8360.9695872587126</v>
      </c>
      <c r="BD996" s="42"/>
      <c r="BE996" s="3">
        <f>BC996*1.03</f>
        <v>8611.7986748764743</v>
      </c>
    </row>
    <row r="997" spans="1:57" hidden="1" x14ac:dyDescent="0.25">
      <c r="A997" s="3" t="s">
        <v>754</v>
      </c>
      <c r="B997" s="3"/>
      <c r="E997" s="3"/>
      <c r="K997" s="4"/>
      <c r="L997" s="4"/>
      <c r="N997" s="4"/>
      <c r="P997" s="3"/>
      <c r="Q997" s="3"/>
      <c r="R997" s="3"/>
      <c r="S997" s="3">
        <f>T997-R997</f>
        <v>7900</v>
      </c>
      <c r="T997" s="3">
        <v>7900</v>
      </c>
      <c r="U997" s="3">
        <f>T997-P997</f>
        <v>7900</v>
      </c>
      <c r="V997" s="3"/>
      <c r="W997" s="3">
        <f t="shared" si="566"/>
        <v>7900</v>
      </c>
      <c r="X997" s="3"/>
      <c r="Y997" s="3">
        <v>7900</v>
      </c>
      <c r="Z997" s="3">
        <f t="shared" si="559"/>
        <v>0</v>
      </c>
      <c r="AA997" s="3"/>
      <c r="AB997" s="3"/>
      <c r="AC997" s="3">
        <v>10389</v>
      </c>
      <c r="AD997" s="3">
        <f t="shared" si="567"/>
        <v>1</v>
      </c>
      <c r="AE997" s="3">
        <v>10390</v>
      </c>
      <c r="AF997" s="3">
        <f t="shared" si="568"/>
        <v>2490</v>
      </c>
      <c r="AG997" s="4"/>
      <c r="AH997" s="4"/>
      <c r="AJ997" s="3"/>
      <c r="AK997" s="3">
        <f t="shared" si="560"/>
        <v>0</v>
      </c>
      <c r="AL997" s="3"/>
      <c r="AM997" s="3">
        <f t="shared" si="561"/>
        <v>0</v>
      </c>
      <c r="AO997" s="3"/>
      <c r="AP997" s="3"/>
      <c r="AQ997" s="3"/>
      <c r="AR997" s="3"/>
      <c r="AS997" s="3"/>
      <c r="AT997" s="3"/>
      <c r="AU997" s="3"/>
      <c r="AV997" s="42"/>
      <c r="AW997" s="3"/>
      <c r="AX997" s="42"/>
      <c r="AY997" s="3"/>
      <c r="AZ997" s="42"/>
      <c r="BA997" s="3"/>
      <c r="BB997" s="42"/>
      <c r="BC997" s="3"/>
      <c r="BD997" s="42"/>
      <c r="BE997" s="3"/>
    </row>
    <row r="998" spans="1:57" x14ac:dyDescent="0.25">
      <c r="A998" s="3" t="s">
        <v>755</v>
      </c>
      <c r="B998" s="3"/>
      <c r="E998" s="3"/>
      <c r="K998" s="4"/>
      <c r="L998" s="4"/>
      <c r="N998" s="4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4"/>
      <c r="AH998" s="4">
        <v>20000</v>
      </c>
      <c r="AJ998" s="3"/>
      <c r="AK998" s="3">
        <f t="shared" si="560"/>
        <v>29000</v>
      </c>
      <c r="AL998" s="3">
        <v>29000</v>
      </c>
      <c r="AM998" s="3">
        <f t="shared" si="561"/>
        <v>9000</v>
      </c>
      <c r="AO998" s="3"/>
      <c r="AP998" s="3"/>
      <c r="AQ998" s="3"/>
      <c r="AR998" s="3"/>
      <c r="AS998" s="3"/>
      <c r="AT998" s="3"/>
      <c r="AU998" s="3"/>
      <c r="AV998" s="42"/>
      <c r="AW998" s="3"/>
      <c r="AX998" s="42"/>
      <c r="AY998" s="3"/>
      <c r="AZ998" s="42"/>
      <c r="BA998" s="3"/>
      <c r="BB998" s="42"/>
      <c r="BC998" s="3"/>
      <c r="BD998" s="42"/>
      <c r="BE998" s="3"/>
    </row>
    <row r="999" spans="1:57" hidden="1" x14ac:dyDescent="0.25">
      <c r="A999" s="3" t="s">
        <v>756</v>
      </c>
      <c r="B999" s="3">
        <v>2000</v>
      </c>
      <c r="E999" s="3">
        <f t="shared" si="569"/>
        <v>2000</v>
      </c>
      <c r="F999" s="5">
        <v>2000</v>
      </c>
      <c r="H999" s="5">
        <f t="shared" si="570"/>
        <v>0</v>
      </c>
      <c r="K999" s="4">
        <f t="shared" si="562"/>
        <v>2000</v>
      </c>
      <c r="L999" s="4">
        <v>2000</v>
      </c>
      <c r="N999" s="4">
        <f t="shared" si="563"/>
        <v>0</v>
      </c>
      <c r="P999" s="3"/>
      <c r="Q999" s="3"/>
      <c r="R999" s="3"/>
      <c r="S999" s="3">
        <f t="shared" si="564"/>
        <v>0</v>
      </c>
      <c r="T999" s="3"/>
      <c r="U999" s="3">
        <f t="shared" si="565"/>
        <v>0</v>
      </c>
      <c r="V999" s="3"/>
      <c r="W999" s="3">
        <f t="shared" si="566"/>
        <v>0</v>
      </c>
      <c r="X999" s="3"/>
      <c r="Y999" s="3"/>
      <c r="Z999" s="3">
        <f t="shared" si="559"/>
        <v>0</v>
      </c>
      <c r="AA999" s="3"/>
      <c r="AB999" s="3"/>
      <c r="AC999" s="3"/>
      <c r="AD999" s="3">
        <f t="shared" si="567"/>
        <v>7500</v>
      </c>
      <c r="AE999" s="3">
        <v>7500</v>
      </c>
      <c r="AF999" s="3">
        <f t="shared" si="568"/>
        <v>7500</v>
      </c>
      <c r="AG999" s="4"/>
      <c r="AH999" s="4"/>
      <c r="AJ999" s="3"/>
      <c r="AK999" s="3">
        <f t="shared" si="560"/>
        <v>0</v>
      </c>
      <c r="AL999" s="3"/>
      <c r="AM999" s="3">
        <f t="shared" si="561"/>
        <v>0</v>
      </c>
      <c r="AO999" s="3"/>
      <c r="AP999" s="3"/>
      <c r="AQ999" s="3"/>
      <c r="AR999" s="3"/>
      <c r="AS999" s="3"/>
      <c r="AT999" s="3"/>
      <c r="AU999" s="3"/>
      <c r="AV999" s="42"/>
      <c r="AW999" s="3"/>
      <c r="AX999" s="42"/>
      <c r="AY999" s="3"/>
      <c r="AZ999" s="42"/>
      <c r="BA999" s="3"/>
      <c r="BB999" s="42"/>
      <c r="BC999" s="3"/>
      <c r="BD999" s="42"/>
      <c r="BE999" s="3"/>
    </row>
    <row r="1000" spans="1:57" s="77" customFormat="1" hidden="1" x14ac:dyDescent="0.25">
      <c r="A1000" s="3" t="s">
        <v>757</v>
      </c>
      <c r="B1000" s="3"/>
      <c r="C1000" s="3"/>
      <c r="D1000" s="29"/>
      <c r="E1000" s="3">
        <f t="shared" si="569"/>
        <v>0</v>
      </c>
      <c r="F1000" s="29"/>
      <c r="G1000" s="3"/>
      <c r="H1000" s="5">
        <f t="shared" si="570"/>
        <v>0</v>
      </c>
      <c r="I1000" s="5"/>
      <c r="J1000" s="5"/>
      <c r="K1000" s="4">
        <f t="shared" si="562"/>
        <v>0</v>
      </c>
      <c r="L1000" s="4"/>
      <c r="M1000" s="4"/>
      <c r="N1000" s="4">
        <f t="shared" si="563"/>
        <v>0</v>
      </c>
      <c r="O1000" s="4"/>
      <c r="P1000" s="3"/>
      <c r="Q1000" s="3"/>
      <c r="R1000" s="3"/>
      <c r="S1000" s="3">
        <f t="shared" si="564"/>
        <v>0</v>
      </c>
      <c r="T1000" s="3"/>
      <c r="U1000" s="3">
        <f t="shared" si="565"/>
        <v>0</v>
      </c>
      <c r="V1000" s="3"/>
      <c r="W1000" s="3">
        <f t="shared" si="566"/>
        <v>0</v>
      </c>
      <c r="X1000" s="3"/>
      <c r="Y1000" s="3"/>
      <c r="Z1000" s="3">
        <f t="shared" si="559"/>
        <v>0</v>
      </c>
      <c r="AA1000" s="3"/>
      <c r="AB1000" s="3"/>
      <c r="AC1000" s="3"/>
      <c r="AD1000" s="3">
        <f t="shared" si="567"/>
        <v>0</v>
      </c>
      <c r="AE1000" s="3"/>
      <c r="AF1000" s="3">
        <f t="shared" si="568"/>
        <v>0</v>
      </c>
      <c r="AG1000" s="4"/>
      <c r="AH1000" s="4"/>
      <c r="AI1000" s="4"/>
      <c r="AJ1000" s="3"/>
      <c r="AK1000" s="3">
        <f t="shared" si="560"/>
        <v>0</v>
      </c>
      <c r="AL1000" s="3"/>
      <c r="AM1000" s="3">
        <f t="shared" si="561"/>
        <v>0</v>
      </c>
      <c r="AN1000" s="4"/>
      <c r="AO1000" s="3"/>
      <c r="AP1000" s="3"/>
      <c r="AQ1000" s="3"/>
      <c r="AR1000" s="3"/>
      <c r="AS1000" s="3"/>
      <c r="AT1000" s="3"/>
      <c r="AU1000" s="3"/>
      <c r="AV1000" s="42"/>
      <c r="AW1000" s="3"/>
      <c r="AX1000" s="42"/>
      <c r="AY1000" s="3"/>
      <c r="AZ1000" s="42"/>
      <c r="BA1000" s="3"/>
      <c r="BB1000" s="42"/>
      <c r="BC1000" s="3"/>
      <c r="BD1000" s="42"/>
      <c r="BE1000" s="3"/>
    </row>
    <row r="1001" spans="1:57" hidden="1" x14ac:dyDescent="0.25">
      <c r="A1001" s="3" t="s">
        <v>758</v>
      </c>
      <c r="B1001" s="3"/>
      <c r="E1001" s="3">
        <f t="shared" si="569"/>
        <v>0</v>
      </c>
      <c r="H1001" s="5">
        <f t="shared" si="570"/>
        <v>0</v>
      </c>
      <c r="K1001" s="4">
        <f t="shared" si="562"/>
        <v>0</v>
      </c>
      <c r="L1001" s="4"/>
      <c r="N1001" s="4">
        <f t="shared" si="563"/>
        <v>0</v>
      </c>
      <c r="P1001" s="3"/>
      <c r="Q1001" s="3"/>
      <c r="R1001" s="3"/>
      <c r="S1001" s="3">
        <f t="shared" si="564"/>
        <v>0</v>
      </c>
      <c r="T1001" s="3"/>
      <c r="U1001" s="3">
        <f t="shared" si="565"/>
        <v>0</v>
      </c>
      <c r="V1001" s="3"/>
      <c r="W1001" s="3">
        <f t="shared" si="566"/>
        <v>0</v>
      </c>
      <c r="X1001" s="3"/>
      <c r="Y1001" s="3"/>
      <c r="Z1001" s="3">
        <f t="shared" si="559"/>
        <v>0</v>
      </c>
      <c r="AA1001" s="3"/>
      <c r="AB1001" s="3"/>
      <c r="AC1001" s="3"/>
      <c r="AD1001" s="3">
        <f t="shared" si="567"/>
        <v>0</v>
      </c>
      <c r="AE1001" s="3"/>
      <c r="AF1001" s="3">
        <f t="shared" si="568"/>
        <v>0</v>
      </c>
      <c r="AG1001" s="4"/>
      <c r="AH1001" s="4"/>
      <c r="AJ1001" s="3"/>
      <c r="AK1001" s="3">
        <f t="shared" si="560"/>
        <v>0</v>
      </c>
      <c r="AL1001" s="3"/>
      <c r="AM1001" s="3">
        <f t="shared" si="561"/>
        <v>0</v>
      </c>
      <c r="AO1001" s="3"/>
      <c r="AP1001" s="3"/>
      <c r="AQ1001" s="3"/>
      <c r="AR1001" s="3"/>
      <c r="AS1001" s="3"/>
      <c r="AT1001" s="3"/>
      <c r="AU1001" s="3"/>
      <c r="AV1001" s="42"/>
      <c r="AW1001" s="3"/>
      <c r="AX1001" s="42"/>
      <c r="AY1001" s="3"/>
      <c r="AZ1001" s="42"/>
      <c r="BA1001" s="3"/>
      <c r="BB1001" s="42"/>
      <c r="BC1001" s="3"/>
      <c r="BD1001" s="42"/>
      <c r="BE1001" s="3"/>
    </row>
    <row r="1002" spans="1:57" s="77" customFormat="1" hidden="1" x14ac:dyDescent="0.25">
      <c r="A1002" s="3" t="s">
        <v>759</v>
      </c>
      <c r="B1002" s="3"/>
      <c r="C1002" s="3"/>
      <c r="D1002" s="29"/>
      <c r="E1002" s="3">
        <f t="shared" si="569"/>
        <v>0</v>
      </c>
      <c r="F1002" s="29"/>
      <c r="G1002" s="3"/>
      <c r="H1002" s="5">
        <f t="shared" si="570"/>
        <v>0</v>
      </c>
      <c r="I1002" s="5"/>
      <c r="J1002" s="5"/>
      <c r="K1002" s="4">
        <f t="shared" si="562"/>
        <v>0</v>
      </c>
      <c r="L1002" s="4"/>
      <c r="M1002" s="4"/>
      <c r="N1002" s="4">
        <f t="shared" si="563"/>
        <v>0</v>
      </c>
      <c r="O1002" s="4"/>
      <c r="P1002" s="3"/>
      <c r="Q1002" s="3"/>
      <c r="R1002" s="3"/>
      <c r="S1002" s="3">
        <f t="shared" si="564"/>
        <v>0</v>
      </c>
      <c r="T1002" s="3"/>
      <c r="U1002" s="3">
        <f t="shared" si="565"/>
        <v>0</v>
      </c>
      <c r="V1002" s="3"/>
      <c r="W1002" s="3">
        <f t="shared" si="566"/>
        <v>0</v>
      </c>
      <c r="X1002" s="3"/>
      <c r="Y1002" s="3"/>
      <c r="Z1002" s="3">
        <f t="shared" si="559"/>
        <v>0</v>
      </c>
      <c r="AA1002" s="3"/>
      <c r="AB1002" s="3"/>
      <c r="AC1002" s="3"/>
      <c r="AD1002" s="3">
        <f t="shared" si="567"/>
        <v>0</v>
      </c>
      <c r="AE1002" s="3"/>
      <c r="AF1002" s="3">
        <f t="shared" si="568"/>
        <v>0</v>
      </c>
      <c r="AG1002" s="4"/>
      <c r="AH1002" s="4"/>
      <c r="AI1002" s="4"/>
      <c r="AJ1002" s="3"/>
      <c r="AK1002" s="3">
        <f t="shared" si="560"/>
        <v>0</v>
      </c>
      <c r="AL1002" s="3"/>
      <c r="AM1002" s="3">
        <f t="shared" si="561"/>
        <v>0</v>
      </c>
      <c r="AN1002" s="4"/>
      <c r="AO1002" s="3"/>
      <c r="AP1002" s="3"/>
      <c r="AQ1002" s="3"/>
      <c r="AR1002" s="3"/>
      <c r="AS1002" s="3"/>
      <c r="AT1002" s="3"/>
      <c r="AU1002" s="3"/>
      <c r="AV1002" s="42"/>
      <c r="AW1002" s="3"/>
      <c r="AX1002" s="42"/>
      <c r="AY1002" s="3"/>
      <c r="AZ1002" s="42"/>
      <c r="BA1002" s="3"/>
      <c r="BB1002" s="42"/>
      <c r="BC1002" s="3"/>
      <c r="BD1002" s="42"/>
      <c r="BE1002" s="3"/>
    </row>
    <row r="1003" spans="1:57" hidden="1" x14ac:dyDescent="0.25">
      <c r="A1003" s="3" t="s">
        <v>760</v>
      </c>
      <c r="B1003" s="3"/>
      <c r="E1003" s="3">
        <f t="shared" si="569"/>
        <v>0</v>
      </c>
      <c r="H1003" s="5">
        <f t="shared" si="570"/>
        <v>0</v>
      </c>
      <c r="K1003" s="4">
        <f t="shared" si="562"/>
        <v>0</v>
      </c>
      <c r="L1003" s="4"/>
      <c r="N1003" s="4">
        <f t="shared" si="563"/>
        <v>0</v>
      </c>
      <c r="P1003" s="3"/>
      <c r="Q1003" s="3"/>
      <c r="R1003" s="3"/>
      <c r="S1003" s="3">
        <f t="shared" si="564"/>
        <v>0</v>
      </c>
      <c r="T1003" s="3"/>
      <c r="U1003" s="3">
        <f t="shared" si="565"/>
        <v>0</v>
      </c>
      <c r="V1003" s="3"/>
      <c r="W1003" s="3">
        <f t="shared" si="566"/>
        <v>0</v>
      </c>
      <c r="X1003" s="3"/>
      <c r="Y1003" s="3"/>
      <c r="Z1003" s="3">
        <f t="shared" si="559"/>
        <v>0</v>
      </c>
      <c r="AA1003" s="3"/>
      <c r="AB1003" s="3"/>
      <c r="AC1003" s="3"/>
      <c r="AD1003" s="3">
        <f t="shared" si="567"/>
        <v>0</v>
      </c>
      <c r="AE1003" s="3"/>
      <c r="AF1003" s="3">
        <f t="shared" si="568"/>
        <v>0</v>
      </c>
      <c r="AG1003" s="4"/>
      <c r="AH1003" s="4"/>
      <c r="AJ1003" s="3"/>
      <c r="AK1003" s="3">
        <f t="shared" si="560"/>
        <v>0</v>
      </c>
      <c r="AL1003" s="3"/>
      <c r="AM1003" s="3">
        <f t="shared" si="561"/>
        <v>0</v>
      </c>
      <c r="AO1003" s="3"/>
      <c r="AP1003" s="3"/>
      <c r="AQ1003" s="3"/>
      <c r="AR1003" s="3"/>
      <c r="AS1003" s="3"/>
      <c r="AT1003" s="3"/>
      <c r="AU1003" s="3"/>
      <c r="AV1003" s="42"/>
      <c r="AW1003" s="3"/>
      <c r="AX1003" s="42"/>
      <c r="AY1003" s="3"/>
      <c r="AZ1003" s="42"/>
      <c r="BA1003" s="3"/>
      <c r="BB1003" s="42"/>
      <c r="BC1003" s="3"/>
      <c r="BD1003" s="42"/>
      <c r="BE1003" s="3"/>
    </row>
    <row r="1004" spans="1:57" s="77" customFormat="1" hidden="1" x14ac:dyDescent="0.25">
      <c r="A1004" s="3" t="s">
        <v>761</v>
      </c>
      <c r="B1004" s="3"/>
      <c r="C1004" s="3"/>
      <c r="D1004" s="29"/>
      <c r="E1004" s="3">
        <f t="shared" si="569"/>
        <v>0</v>
      </c>
      <c r="F1004" s="29"/>
      <c r="G1004" s="3"/>
      <c r="H1004" s="5">
        <f t="shared" si="570"/>
        <v>0</v>
      </c>
      <c r="I1004" s="5"/>
      <c r="J1004" s="5"/>
      <c r="K1004" s="4">
        <f t="shared" si="562"/>
        <v>0</v>
      </c>
      <c r="L1004" s="4"/>
      <c r="M1004" s="4"/>
      <c r="N1004" s="4">
        <f t="shared" si="563"/>
        <v>0</v>
      </c>
      <c r="O1004" s="4"/>
      <c r="P1004" s="3"/>
      <c r="Q1004" s="3"/>
      <c r="R1004" s="3"/>
      <c r="S1004" s="3">
        <f t="shared" si="564"/>
        <v>0</v>
      </c>
      <c r="T1004" s="3"/>
      <c r="U1004" s="3">
        <f t="shared" si="565"/>
        <v>0</v>
      </c>
      <c r="V1004" s="3"/>
      <c r="W1004" s="3">
        <f t="shared" si="566"/>
        <v>0</v>
      </c>
      <c r="X1004" s="3"/>
      <c r="Y1004" s="3"/>
      <c r="Z1004" s="3">
        <f t="shared" si="559"/>
        <v>0</v>
      </c>
      <c r="AA1004" s="3"/>
      <c r="AB1004" s="3"/>
      <c r="AC1004" s="3"/>
      <c r="AD1004" s="3">
        <f t="shared" si="567"/>
        <v>0</v>
      </c>
      <c r="AE1004" s="3"/>
      <c r="AF1004" s="3">
        <f t="shared" si="568"/>
        <v>0</v>
      </c>
      <c r="AG1004" s="4"/>
      <c r="AH1004" s="4"/>
      <c r="AI1004" s="4"/>
      <c r="AJ1004" s="3"/>
      <c r="AK1004" s="3">
        <f t="shared" si="560"/>
        <v>0</v>
      </c>
      <c r="AL1004" s="3"/>
      <c r="AM1004" s="3">
        <f t="shared" si="561"/>
        <v>0</v>
      </c>
      <c r="AN1004" s="4"/>
      <c r="AO1004" s="3"/>
      <c r="AP1004" s="3"/>
      <c r="AQ1004" s="3"/>
      <c r="AR1004" s="3"/>
      <c r="AS1004" s="3"/>
      <c r="AT1004" s="3"/>
      <c r="AU1004" s="3"/>
      <c r="AV1004" s="42"/>
      <c r="AW1004" s="3"/>
      <c r="AX1004" s="42"/>
      <c r="AY1004" s="3"/>
      <c r="AZ1004" s="42"/>
      <c r="BA1004" s="3"/>
      <c r="BB1004" s="42"/>
      <c r="BC1004" s="3"/>
      <c r="BD1004" s="42"/>
      <c r="BE1004" s="3"/>
    </row>
    <row r="1005" spans="1:57" hidden="1" x14ac:dyDescent="0.25">
      <c r="A1005" s="3" t="s">
        <v>762</v>
      </c>
      <c r="B1005" s="3"/>
      <c r="E1005" s="3">
        <f t="shared" si="569"/>
        <v>0</v>
      </c>
      <c r="H1005" s="5">
        <f t="shared" si="570"/>
        <v>0</v>
      </c>
      <c r="K1005" s="4">
        <f t="shared" si="562"/>
        <v>0</v>
      </c>
      <c r="L1005" s="4"/>
      <c r="N1005" s="4">
        <f t="shared" si="563"/>
        <v>0</v>
      </c>
      <c r="P1005" s="3">
        <v>2500</v>
      </c>
      <c r="Q1005" s="3"/>
      <c r="R1005" s="3"/>
      <c r="S1005" s="3">
        <f t="shared" si="564"/>
        <v>2500</v>
      </c>
      <c r="T1005" s="3">
        <v>2500</v>
      </c>
      <c r="U1005" s="3">
        <f t="shared" si="565"/>
        <v>0</v>
      </c>
      <c r="V1005" s="3"/>
      <c r="W1005" s="3">
        <f t="shared" si="566"/>
        <v>2500</v>
      </c>
      <c r="X1005" s="3"/>
      <c r="Y1005" s="3">
        <v>2500</v>
      </c>
      <c r="Z1005" s="3">
        <f t="shared" si="559"/>
        <v>0</v>
      </c>
      <c r="AA1005" s="3"/>
      <c r="AB1005" s="3"/>
      <c r="AC1005" s="3"/>
      <c r="AD1005" s="3">
        <f t="shared" si="567"/>
        <v>500</v>
      </c>
      <c r="AE1005" s="3">
        <v>500</v>
      </c>
      <c r="AF1005" s="3">
        <f t="shared" si="568"/>
        <v>-2000</v>
      </c>
      <c r="AG1005" s="4"/>
      <c r="AH1005" s="4"/>
      <c r="AJ1005" s="3"/>
      <c r="AK1005" s="3">
        <f t="shared" si="560"/>
        <v>0</v>
      </c>
      <c r="AL1005" s="3"/>
      <c r="AM1005" s="3">
        <f t="shared" si="561"/>
        <v>0</v>
      </c>
      <c r="AO1005" s="3"/>
      <c r="AP1005" s="3"/>
      <c r="AQ1005" s="3"/>
      <c r="AR1005" s="3"/>
      <c r="AS1005" s="3">
        <v>2500</v>
      </c>
      <c r="AT1005" s="3"/>
      <c r="AU1005" s="3"/>
      <c r="AV1005" s="42"/>
      <c r="AW1005" s="3"/>
      <c r="AX1005" s="42"/>
      <c r="AY1005" s="3"/>
      <c r="AZ1005" s="42"/>
      <c r="BA1005" s="3"/>
      <c r="BB1005" s="42"/>
      <c r="BC1005" s="3"/>
      <c r="BD1005" s="42"/>
      <c r="BE1005" s="3"/>
    </row>
    <row r="1006" spans="1:57" hidden="1" x14ac:dyDescent="0.25">
      <c r="A1006" s="3" t="s">
        <v>763</v>
      </c>
      <c r="B1006" s="3"/>
      <c r="E1006" s="3">
        <f t="shared" si="569"/>
        <v>0</v>
      </c>
      <c r="H1006" s="5">
        <f t="shared" si="570"/>
        <v>0</v>
      </c>
      <c r="K1006" s="4">
        <f t="shared" si="562"/>
        <v>0</v>
      </c>
      <c r="L1006" s="4"/>
      <c r="N1006" s="4">
        <f t="shared" si="563"/>
        <v>0</v>
      </c>
      <c r="P1006" s="3"/>
      <c r="Q1006" s="3"/>
      <c r="R1006" s="3"/>
      <c r="S1006" s="3">
        <f t="shared" si="564"/>
        <v>0</v>
      </c>
      <c r="T1006" s="3"/>
      <c r="U1006" s="3">
        <f t="shared" si="565"/>
        <v>0</v>
      </c>
      <c r="V1006" s="3"/>
      <c r="W1006" s="3">
        <f t="shared" si="566"/>
        <v>0</v>
      </c>
      <c r="X1006" s="3"/>
      <c r="Y1006" s="3"/>
      <c r="Z1006" s="3">
        <f t="shared" si="559"/>
        <v>0</v>
      </c>
      <c r="AA1006" s="3"/>
      <c r="AB1006" s="3"/>
      <c r="AC1006" s="3"/>
      <c r="AD1006" s="3">
        <f t="shared" si="567"/>
        <v>0</v>
      </c>
      <c r="AE1006" s="3"/>
      <c r="AF1006" s="3">
        <f t="shared" si="568"/>
        <v>0</v>
      </c>
      <c r="AG1006" s="4"/>
      <c r="AH1006" s="4"/>
      <c r="AJ1006" s="3"/>
      <c r="AK1006" s="3">
        <f t="shared" si="560"/>
        <v>0</v>
      </c>
      <c r="AL1006" s="3"/>
      <c r="AM1006" s="3">
        <f t="shared" si="561"/>
        <v>0</v>
      </c>
      <c r="AO1006" s="3"/>
      <c r="AP1006" s="3"/>
      <c r="AQ1006" s="3"/>
      <c r="AR1006" s="3"/>
      <c r="AS1006" s="3"/>
      <c r="AT1006" s="3"/>
      <c r="AU1006" s="3"/>
      <c r="AV1006" s="42"/>
      <c r="AW1006" s="3"/>
      <c r="AX1006" s="42"/>
      <c r="AY1006" s="3"/>
      <c r="AZ1006" s="42"/>
      <c r="BA1006" s="3"/>
      <c r="BB1006" s="42"/>
      <c r="BC1006" s="3"/>
      <c r="BD1006" s="42"/>
      <c r="BE1006" s="3"/>
    </row>
    <row r="1007" spans="1:57" hidden="1" x14ac:dyDescent="0.25">
      <c r="A1007" s="3" t="s">
        <v>764</v>
      </c>
      <c r="B1007" s="3"/>
      <c r="E1007" s="3">
        <f t="shared" si="569"/>
        <v>0</v>
      </c>
      <c r="H1007" s="5">
        <f t="shared" si="570"/>
        <v>0</v>
      </c>
      <c r="K1007" s="4">
        <f t="shared" si="562"/>
        <v>0</v>
      </c>
      <c r="L1007" s="4"/>
      <c r="N1007" s="4">
        <f t="shared" si="563"/>
        <v>0</v>
      </c>
      <c r="P1007" s="3"/>
      <c r="Q1007" s="3"/>
      <c r="R1007" s="3"/>
      <c r="S1007" s="3">
        <f t="shared" si="564"/>
        <v>0</v>
      </c>
      <c r="T1007" s="3"/>
      <c r="U1007" s="3">
        <f t="shared" si="565"/>
        <v>0</v>
      </c>
      <c r="V1007" s="3"/>
      <c r="W1007" s="3">
        <f t="shared" si="566"/>
        <v>0</v>
      </c>
      <c r="X1007" s="3"/>
      <c r="Y1007" s="3"/>
      <c r="Z1007" s="3">
        <f t="shared" si="559"/>
        <v>0</v>
      </c>
      <c r="AA1007" s="3"/>
      <c r="AB1007" s="3"/>
      <c r="AC1007" s="3"/>
      <c r="AD1007" s="3">
        <f t="shared" si="567"/>
        <v>0</v>
      </c>
      <c r="AE1007" s="3"/>
      <c r="AF1007" s="3">
        <f t="shared" si="568"/>
        <v>0</v>
      </c>
      <c r="AG1007" s="4"/>
      <c r="AH1007" s="4"/>
      <c r="AJ1007" s="3"/>
      <c r="AK1007" s="3">
        <f t="shared" si="560"/>
        <v>0</v>
      </c>
      <c r="AL1007" s="3"/>
      <c r="AM1007" s="3">
        <f t="shared" si="561"/>
        <v>0</v>
      </c>
      <c r="AO1007" s="3"/>
      <c r="AP1007" s="3"/>
      <c r="AQ1007" s="3"/>
      <c r="AR1007" s="3"/>
      <c r="AS1007" s="3"/>
      <c r="AT1007" s="3"/>
      <c r="AU1007" s="3"/>
      <c r="AV1007" s="42"/>
      <c r="AW1007" s="3"/>
      <c r="AX1007" s="42"/>
      <c r="AY1007" s="3"/>
      <c r="AZ1007" s="42"/>
      <c r="BA1007" s="3"/>
      <c r="BB1007" s="42"/>
      <c r="BC1007" s="3"/>
      <c r="BD1007" s="42"/>
      <c r="BE1007" s="3"/>
    </row>
    <row r="1008" spans="1:57" s="77" customFormat="1" hidden="1" x14ac:dyDescent="0.25">
      <c r="A1008" s="3" t="s">
        <v>765</v>
      </c>
      <c r="B1008" s="3"/>
      <c r="C1008" s="3"/>
      <c r="D1008" s="29"/>
      <c r="E1008" s="3">
        <f t="shared" si="569"/>
        <v>0</v>
      </c>
      <c r="F1008" s="29"/>
      <c r="G1008" s="3"/>
      <c r="H1008" s="5">
        <f t="shared" si="570"/>
        <v>0</v>
      </c>
      <c r="I1008" s="5"/>
      <c r="J1008" s="5"/>
      <c r="K1008" s="4">
        <f t="shared" si="562"/>
        <v>0</v>
      </c>
      <c r="L1008" s="4"/>
      <c r="M1008" s="4"/>
      <c r="N1008" s="4">
        <f t="shared" si="563"/>
        <v>0</v>
      </c>
      <c r="O1008" s="4"/>
      <c r="P1008" s="3"/>
      <c r="Q1008" s="3"/>
      <c r="R1008" s="3"/>
      <c r="S1008" s="3">
        <f t="shared" si="564"/>
        <v>0</v>
      </c>
      <c r="T1008" s="3"/>
      <c r="U1008" s="3">
        <f t="shared" si="565"/>
        <v>0</v>
      </c>
      <c r="V1008" s="3"/>
      <c r="W1008" s="3">
        <f t="shared" si="566"/>
        <v>0</v>
      </c>
      <c r="X1008" s="3"/>
      <c r="Y1008" s="3"/>
      <c r="Z1008" s="3">
        <f t="shared" si="559"/>
        <v>0</v>
      </c>
      <c r="AA1008" s="3"/>
      <c r="AB1008" s="3"/>
      <c r="AC1008" s="3"/>
      <c r="AD1008" s="3">
        <f t="shared" si="567"/>
        <v>0</v>
      </c>
      <c r="AE1008" s="3"/>
      <c r="AF1008" s="3">
        <f t="shared" si="568"/>
        <v>0</v>
      </c>
      <c r="AG1008" s="4"/>
      <c r="AH1008" s="4"/>
      <c r="AI1008" s="4"/>
      <c r="AJ1008" s="3"/>
      <c r="AK1008" s="3">
        <f t="shared" si="560"/>
        <v>0</v>
      </c>
      <c r="AL1008" s="3"/>
      <c r="AM1008" s="3">
        <f t="shared" si="561"/>
        <v>0</v>
      </c>
      <c r="AN1008" s="4"/>
      <c r="AO1008" s="3"/>
      <c r="AP1008" s="3"/>
      <c r="AQ1008" s="3"/>
      <c r="AR1008" s="3"/>
      <c r="AS1008" s="3"/>
      <c r="AT1008" s="3"/>
      <c r="AU1008" s="3"/>
      <c r="AV1008" s="42"/>
      <c r="AW1008" s="3"/>
      <c r="AX1008" s="42"/>
      <c r="AY1008" s="3"/>
      <c r="AZ1008" s="42"/>
      <c r="BA1008" s="3"/>
      <c r="BB1008" s="42"/>
      <c r="BC1008" s="3"/>
      <c r="BD1008" s="42"/>
      <c r="BE1008" s="3"/>
    </row>
    <row r="1009" spans="1:57" hidden="1" x14ac:dyDescent="0.25">
      <c r="A1009" s="3" t="s">
        <v>766</v>
      </c>
      <c r="B1009" s="3"/>
      <c r="D1009" s="3"/>
      <c r="E1009" s="3">
        <f t="shared" si="569"/>
        <v>0</v>
      </c>
      <c r="F1009" s="3"/>
      <c r="H1009" s="5">
        <f t="shared" si="570"/>
        <v>0</v>
      </c>
      <c r="K1009" s="4">
        <f t="shared" si="562"/>
        <v>0</v>
      </c>
      <c r="L1009" s="4"/>
      <c r="N1009" s="4">
        <f t="shared" si="563"/>
        <v>0</v>
      </c>
      <c r="P1009" s="3">
        <v>40000</v>
      </c>
      <c r="Q1009" s="3"/>
      <c r="R1009" s="3"/>
      <c r="S1009" s="3">
        <f t="shared" si="564"/>
        <v>40000</v>
      </c>
      <c r="T1009" s="3">
        <v>40000</v>
      </c>
      <c r="U1009" s="3">
        <f t="shared" si="565"/>
        <v>0</v>
      </c>
      <c r="V1009" s="3"/>
      <c r="W1009" s="3">
        <f t="shared" si="566"/>
        <v>40000</v>
      </c>
      <c r="X1009" s="3"/>
      <c r="Y1009" s="3">
        <v>40000</v>
      </c>
      <c r="Z1009" s="3">
        <f t="shared" si="559"/>
        <v>0</v>
      </c>
      <c r="AA1009" s="3"/>
      <c r="AB1009" s="3"/>
      <c r="AC1009" s="3">
        <v>9592</v>
      </c>
      <c r="AD1009" s="3">
        <f t="shared" si="567"/>
        <v>30408</v>
      </c>
      <c r="AE1009" s="3">
        <v>40000</v>
      </c>
      <c r="AF1009" s="3">
        <f t="shared" si="568"/>
        <v>0</v>
      </c>
      <c r="AG1009" s="4"/>
      <c r="AH1009" s="4"/>
      <c r="AJ1009" s="3"/>
      <c r="AK1009" s="3">
        <f t="shared" si="560"/>
        <v>0</v>
      </c>
      <c r="AL1009" s="3"/>
      <c r="AM1009" s="3">
        <f t="shared" si="561"/>
        <v>0</v>
      </c>
      <c r="AO1009" s="3"/>
      <c r="AP1009" s="3"/>
      <c r="AQ1009" s="3"/>
      <c r="AR1009" s="3"/>
      <c r="AS1009" s="3"/>
      <c r="AT1009" s="3"/>
      <c r="AU1009" s="3"/>
      <c r="AV1009" s="42"/>
      <c r="AW1009" s="3"/>
      <c r="AX1009" s="42"/>
      <c r="AY1009" s="3"/>
      <c r="AZ1009" s="42"/>
      <c r="BA1009" s="3"/>
      <c r="BB1009" s="42"/>
      <c r="BC1009" s="3"/>
      <c r="BD1009" s="42"/>
      <c r="BE1009" s="3"/>
    </row>
    <row r="1010" spans="1:57" s="77" customFormat="1" hidden="1" x14ac:dyDescent="0.25">
      <c r="A1010" s="3" t="s">
        <v>767</v>
      </c>
      <c r="B1010" s="3"/>
      <c r="C1010" s="3"/>
      <c r="D1010" s="29"/>
      <c r="E1010" s="3">
        <f t="shared" si="569"/>
        <v>0</v>
      </c>
      <c r="F1010" s="29"/>
      <c r="G1010" s="3"/>
      <c r="H1010" s="5">
        <f t="shared" si="570"/>
        <v>0</v>
      </c>
      <c r="I1010" s="5"/>
      <c r="J1010" s="5"/>
      <c r="K1010" s="4">
        <f t="shared" si="562"/>
        <v>0</v>
      </c>
      <c r="L1010" s="4"/>
      <c r="M1010" s="4"/>
      <c r="N1010" s="4">
        <f t="shared" si="563"/>
        <v>0</v>
      </c>
      <c r="O1010" s="4"/>
      <c r="P1010" s="3"/>
      <c r="Q1010" s="3"/>
      <c r="R1010" s="3"/>
      <c r="S1010" s="3">
        <f t="shared" si="564"/>
        <v>0</v>
      </c>
      <c r="T1010" s="3"/>
      <c r="U1010" s="3">
        <f t="shared" si="565"/>
        <v>0</v>
      </c>
      <c r="V1010" s="3"/>
      <c r="W1010" s="3">
        <f t="shared" si="566"/>
        <v>0</v>
      </c>
      <c r="X1010" s="3"/>
      <c r="Y1010" s="3"/>
      <c r="Z1010" s="3">
        <f t="shared" si="559"/>
        <v>0</v>
      </c>
      <c r="AA1010" s="3"/>
      <c r="AB1010" s="3"/>
      <c r="AC1010" s="3"/>
      <c r="AD1010" s="3">
        <f t="shared" si="567"/>
        <v>0</v>
      </c>
      <c r="AE1010" s="3"/>
      <c r="AF1010" s="3">
        <f t="shared" si="568"/>
        <v>0</v>
      </c>
      <c r="AG1010" s="4"/>
      <c r="AH1010" s="4"/>
      <c r="AI1010" s="4"/>
      <c r="AJ1010" s="3"/>
      <c r="AK1010" s="3">
        <f t="shared" si="560"/>
        <v>0</v>
      </c>
      <c r="AL1010" s="3"/>
      <c r="AM1010" s="3">
        <f t="shared" si="561"/>
        <v>0</v>
      </c>
      <c r="AN1010" s="4"/>
      <c r="AO1010" s="3"/>
      <c r="AP1010" s="3"/>
      <c r="AQ1010" s="3"/>
      <c r="AR1010" s="3"/>
      <c r="AS1010" s="3"/>
      <c r="AT1010" s="3"/>
      <c r="AU1010" s="3"/>
      <c r="AV1010" s="42"/>
      <c r="AW1010" s="3"/>
      <c r="AX1010" s="42"/>
      <c r="AY1010" s="3"/>
      <c r="AZ1010" s="42"/>
      <c r="BA1010" s="3"/>
      <c r="BB1010" s="42"/>
      <c r="BC1010" s="3"/>
      <c r="BD1010" s="42"/>
      <c r="BE1010" s="3"/>
    </row>
    <row r="1011" spans="1:57" hidden="1" x14ac:dyDescent="0.25">
      <c r="A1011" s="3" t="s">
        <v>768</v>
      </c>
      <c r="B1011" s="3"/>
      <c r="E1011" s="3">
        <f t="shared" si="569"/>
        <v>0</v>
      </c>
      <c r="H1011" s="5">
        <f t="shared" si="570"/>
        <v>0</v>
      </c>
      <c r="K1011" s="4">
        <f t="shared" si="562"/>
        <v>0</v>
      </c>
      <c r="L1011" s="4"/>
      <c r="N1011" s="4">
        <f t="shared" si="563"/>
        <v>0</v>
      </c>
      <c r="P1011" s="3"/>
      <c r="Q1011" s="3"/>
      <c r="R1011" s="3"/>
      <c r="S1011" s="3">
        <f t="shared" si="564"/>
        <v>0</v>
      </c>
      <c r="T1011" s="3"/>
      <c r="U1011" s="3">
        <f t="shared" si="565"/>
        <v>0</v>
      </c>
      <c r="V1011" s="3"/>
      <c r="W1011" s="3">
        <f t="shared" si="566"/>
        <v>0</v>
      </c>
      <c r="X1011" s="3"/>
      <c r="Y1011" s="3"/>
      <c r="Z1011" s="3">
        <f t="shared" si="559"/>
        <v>0</v>
      </c>
      <c r="AA1011" s="3"/>
      <c r="AB1011" s="3"/>
      <c r="AC1011" s="3"/>
      <c r="AD1011" s="3">
        <f t="shared" si="567"/>
        <v>0</v>
      </c>
      <c r="AE1011" s="3"/>
      <c r="AF1011" s="3">
        <f t="shared" si="568"/>
        <v>0</v>
      </c>
      <c r="AG1011" s="4"/>
      <c r="AH1011" s="4"/>
      <c r="AJ1011" s="3"/>
      <c r="AK1011" s="3">
        <f t="shared" si="560"/>
        <v>0</v>
      </c>
      <c r="AL1011" s="3"/>
      <c r="AM1011" s="3">
        <f t="shared" si="561"/>
        <v>0</v>
      </c>
      <c r="AO1011" s="3"/>
      <c r="AP1011" s="3"/>
      <c r="AQ1011" s="3"/>
      <c r="AR1011" s="3"/>
      <c r="AS1011" s="3"/>
      <c r="AT1011" s="3"/>
      <c r="AU1011" s="3"/>
      <c r="AV1011" s="42"/>
      <c r="AW1011" s="3"/>
      <c r="AX1011" s="42"/>
      <c r="AY1011" s="3"/>
      <c r="AZ1011" s="42"/>
      <c r="BA1011" s="3"/>
      <c r="BB1011" s="42"/>
      <c r="BC1011" s="3"/>
      <c r="BD1011" s="42"/>
      <c r="BE1011" s="3"/>
    </row>
    <row r="1012" spans="1:57" s="77" customFormat="1" hidden="1" x14ac:dyDescent="0.25">
      <c r="A1012" s="3" t="s">
        <v>769</v>
      </c>
      <c r="B1012" s="3"/>
      <c r="C1012" s="3"/>
      <c r="D1012" s="29"/>
      <c r="E1012" s="3">
        <f t="shared" si="569"/>
        <v>0</v>
      </c>
      <c r="F1012" s="29"/>
      <c r="G1012" s="3"/>
      <c r="H1012" s="5">
        <f t="shared" si="570"/>
        <v>0</v>
      </c>
      <c r="I1012" s="5"/>
      <c r="J1012" s="5"/>
      <c r="K1012" s="4">
        <f t="shared" si="562"/>
        <v>0</v>
      </c>
      <c r="L1012" s="4"/>
      <c r="M1012" s="4"/>
      <c r="N1012" s="4">
        <f t="shared" si="563"/>
        <v>0</v>
      </c>
      <c r="O1012" s="4"/>
      <c r="P1012" s="3"/>
      <c r="Q1012" s="3"/>
      <c r="R1012" s="3"/>
      <c r="S1012" s="3">
        <f t="shared" si="564"/>
        <v>0</v>
      </c>
      <c r="T1012" s="3"/>
      <c r="U1012" s="3">
        <f t="shared" si="565"/>
        <v>0</v>
      </c>
      <c r="V1012" s="3"/>
      <c r="W1012" s="3">
        <f t="shared" si="566"/>
        <v>0</v>
      </c>
      <c r="X1012" s="3"/>
      <c r="Y1012" s="3"/>
      <c r="Z1012" s="3">
        <f t="shared" si="559"/>
        <v>0</v>
      </c>
      <c r="AA1012" s="3"/>
      <c r="AB1012" s="3"/>
      <c r="AC1012" s="3"/>
      <c r="AD1012" s="3">
        <f t="shared" si="567"/>
        <v>0</v>
      </c>
      <c r="AE1012" s="3"/>
      <c r="AF1012" s="3">
        <f t="shared" si="568"/>
        <v>0</v>
      </c>
      <c r="AG1012" s="4"/>
      <c r="AH1012" s="4"/>
      <c r="AI1012" s="4"/>
      <c r="AJ1012" s="3"/>
      <c r="AK1012" s="3">
        <f t="shared" si="560"/>
        <v>0</v>
      </c>
      <c r="AL1012" s="3"/>
      <c r="AM1012" s="3">
        <f t="shared" si="561"/>
        <v>0</v>
      </c>
      <c r="AN1012" s="4"/>
      <c r="AO1012" s="3"/>
      <c r="AP1012" s="3"/>
      <c r="AQ1012" s="3"/>
      <c r="AR1012" s="3"/>
      <c r="AS1012" s="3"/>
      <c r="AT1012" s="3"/>
      <c r="AU1012" s="3"/>
      <c r="AV1012" s="42"/>
      <c r="AW1012" s="3"/>
      <c r="AX1012" s="42"/>
      <c r="AY1012" s="3"/>
      <c r="AZ1012" s="42"/>
      <c r="BA1012" s="3"/>
      <c r="BB1012" s="42"/>
      <c r="BC1012" s="3"/>
      <c r="BD1012" s="42"/>
      <c r="BE1012" s="3"/>
    </row>
    <row r="1013" spans="1:57" hidden="1" x14ac:dyDescent="0.25">
      <c r="A1013" s="3" t="s">
        <v>770</v>
      </c>
      <c r="B1013" s="3">
        <v>10000</v>
      </c>
      <c r="E1013" s="3">
        <f t="shared" si="569"/>
        <v>10000</v>
      </c>
      <c r="F1013" s="5">
        <v>10000</v>
      </c>
      <c r="H1013" s="5">
        <f t="shared" si="570"/>
        <v>0</v>
      </c>
      <c r="J1013" s="5">
        <v>0</v>
      </c>
      <c r="K1013" s="4">
        <f t="shared" si="562"/>
        <v>10000</v>
      </c>
      <c r="L1013" s="4">
        <v>10000</v>
      </c>
      <c r="N1013" s="4">
        <f t="shared" si="563"/>
        <v>0</v>
      </c>
      <c r="P1013" s="3">
        <v>10000</v>
      </c>
      <c r="Q1013" s="3"/>
      <c r="R1013" s="3"/>
      <c r="S1013" s="3">
        <f t="shared" si="564"/>
        <v>10000</v>
      </c>
      <c r="T1013" s="3">
        <v>10000</v>
      </c>
      <c r="U1013" s="3">
        <f t="shared" si="565"/>
        <v>0</v>
      </c>
      <c r="V1013" s="3"/>
      <c r="W1013" s="3">
        <f t="shared" si="566"/>
        <v>10000</v>
      </c>
      <c r="X1013" s="3"/>
      <c r="Y1013" s="3">
        <v>10000</v>
      </c>
      <c r="Z1013" s="3">
        <f t="shared" si="559"/>
        <v>0</v>
      </c>
      <c r="AA1013" s="3"/>
      <c r="AB1013" s="3"/>
      <c r="AC1013" s="3"/>
      <c r="AD1013" s="3">
        <f t="shared" si="567"/>
        <v>10000</v>
      </c>
      <c r="AE1013" s="3">
        <v>10000</v>
      </c>
      <c r="AF1013" s="3">
        <f t="shared" si="568"/>
        <v>0</v>
      </c>
      <c r="AG1013" s="4"/>
      <c r="AH1013" s="4"/>
      <c r="AJ1013" s="3"/>
      <c r="AK1013" s="3">
        <f t="shared" si="560"/>
        <v>0</v>
      </c>
      <c r="AL1013" s="3"/>
      <c r="AM1013" s="3">
        <f t="shared" si="561"/>
        <v>0</v>
      </c>
      <c r="AO1013" s="3"/>
      <c r="AP1013" s="3"/>
      <c r="AQ1013" s="3"/>
      <c r="AR1013" s="3"/>
      <c r="AS1013" s="3"/>
      <c r="AT1013" s="3"/>
      <c r="AU1013" s="3"/>
      <c r="AV1013" s="42"/>
      <c r="AW1013" s="3"/>
      <c r="AX1013" s="42"/>
      <c r="AY1013" s="3"/>
      <c r="AZ1013" s="42"/>
      <c r="BA1013" s="3"/>
      <c r="BB1013" s="42"/>
      <c r="BC1013" s="3"/>
      <c r="BD1013" s="42"/>
      <c r="BE1013" s="3"/>
    </row>
    <row r="1014" spans="1:57" hidden="1" x14ac:dyDescent="0.25">
      <c r="A1014" s="3" t="s">
        <v>771</v>
      </c>
      <c r="B1014" s="3"/>
      <c r="E1014" s="3"/>
      <c r="K1014" s="4"/>
      <c r="L1014" s="4"/>
      <c r="N1014" s="4"/>
      <c r="P1014" s="3"/>
      <c r="Q1014" s="3"/>
      <c r="R1014" s="3"/>
      <c r="S1014" s="3"/>
      <c r="T1014" s="3"/>
      <c r="U1014" s="3"/>
      <c r="V1014" s="3"/>
      <c r="W1014" s="3"/>
      <c r="X1014" s="3"/>
      <c r="Y1014" s="3">
        <v>0</v>
      </c>
      <c r="Z1014" s="3">
        <f>Y1014-T1014</f>
        <v>0</v>
      </c>
      <c r="AA1014" s="3"/>
      <c r="AB1014" s="3"/>
      <c r="AC1014" s="3">
        <v>3045</v>
      </c>
      <c r="AD1014" s="3">
        <f>AE1014-AC1014</f>
        <v>0</v>
      </c>
      <c r="AE1014" s="3">
        <v>3045</v>
      </c>
      <c r="AF1014" s="3">
        <f>AE1014-Y1014</f>
        <v>3045</v>
      </c>
      <c r="AG1014" s="4"/>
      <c r="AH1014" s="4"/>
      <c r="AJ1014" s="3"/>
      <c r="AK1014" s="3">
        <f t="shared" si="560"/>
        <v>0</v>
      </c>
      <c r="AL1014" s="3"/>
      <c r="AM1014" s="3">
        <f t="shared" si="561"/>
        <v>0</v>
      </c>
      <c r="AO1014" s="3"/>
      <c r="AP1014" s="3"/>
      <c r="AQ1014" s="3"/>
      <c r="AR1014" s="3"/>
      <c r="AS1014" s="3"/>
      <c r="AT1014" s="3"/>
      <c r="AU1014" s="3"/>
      <c r="AV1014" s="42"/>
      <c r="AW1014" s="3"/>
      <c r="AX1014" s="42"/>
      <c r="AY1014" s="3"/>
      <c r="AZ1014" s="42"/>
      <c r="BA1014" s="3"/>
      <c r="BB1014" s="42"/>
      <c r="BC1014" s="3"/>
      <c r="BD1014" s="42"/>
      <c r="BE1014" s="3"/>
    </row>
    <row r="1015" spans="1:57" s="77" customFormat="1" hidden="1" x14ac:dyDescent="0.25">
      <c r="A1015" s="3" t="s">
        <v>772</v>
      </c>
      <c r="B1015" s="3"/>
      <c r="C1015" s="3"/>
      <c r="D1015" s="29"/>
      <c r="E1015" s="3">
        <f t="shared" si="569"/>
        <v>0</v>
      </c>
      <c r="F1015" s="29"/>
      <c r="G1015" s="3"/>
      <c r="H1015" s="5">
        <f t="shared" si="570"/>
        <v>0</v>
      </c>
      <c r="I1015" s="5"/>
      <c r="J1015" s="5"/>
      <c r="K1015" s="4">
        <f t="shared" si="562"/>
        <v>0</v>
      </c>
      <c r="L1015" s="4"/>
      <c r="M1015" s="4"/>
      <c r="N1015" s="4">
        <f t="shared" si="563"/>
        <v>0</v>
      </c>
      <c r="O1015" s="4"/>
      <c r="P1015" s="3"/>
      <c r="Q1015" s="3"/>
      <c r="R1015" s="3"/>
      <c r="S1015" s="3">
        <f t="shared" si="564"/>
        <v>0</v>
      </c>
      <c r="T1015" s="3"/>
      <c r="U1015" s="3">
        <f t="shared" si="565"/>
        <v>0</v>
      </c>
      <c r="V1015" s="3"/>
      <c r="W1015" s="3">
        <f t="shared" si="566"/>
        <v>0</v>
      </c>
      <c r="X1015" s="3"/>
      <c r="Y1015" s="3"/>
      <c r="Z1015" s="3">
        <f t="shared" si="559"/>
        <v>0</v>
      </c>
      <c r="AA1015" s="3"/>
      <c r="AB1015" s="3"/>
      <c r="AC1015" s="3"/>
      <c r="AD1015" s="3">
        <f t="shared" si="567"/>
        <v>0</v>
      </c>
      <c r="AE1015" s="3"/>
      <c r="AF1015" s="3">
        <f t="shared" si="568"/>
        <v>0</v>
      </c>
      <c r="AG1015" s="4"/>
      <c r="AH1015" s="4"/>
      <c r="AI1015" s="4"/>
      <c r="AJ1015" s="3"/>
      <c r="AK1015" s="3">
        <f t="shared" si="560"/>
        <v>0</v>
      </c>
      <c r="AL1015" s="3"/>
      <c r="AM1015" s="3">
        <f t="shared" si="561"/>
        <v>0</v>
      </c>
      <c r="AN1015" s="4"/>
      <c r="AO1015" s="3">
        <v>10000</v>
      </c>
      <c r="AP1015" s="3"/>
      <c r="AQ1015" s="3">
        <v>10000</v>
      </c>
      <c r="AR1015" s="3"/>
      <c r="AS1015" s="3"/>
      <c r="AT1015" s="3"/>
      <c r="AU1015" s="3"/>
      <c r="AV1015" s="42"/>
      <c r="AW1015" s="3"/>
      <c r="AX1015" s="42"/>
      <c r="AY1015" s="3"/>
      <c r="AZ1015" s="42"/>
      <c r="BA1015" s="3"/>
      <c r="BB1015" s="42"/>
      <c r="BC1015" s="3"/>
      <c r="BD1015" s="42"/>
      <c r="BE1015" s="3"/>
    </row>
    <row r="1016" spans="1:57" hidden="1" x14ac:dyDescent="0.25">
      <c r="A1016" s="3" t="s">
        <v>773</v>
      </c>
      <c r="B1016" s="3"/>
      <c r="E1016" s="3">
        <f t="shared" si="569"/>
        <v>0</v>
      </c>
      <c r="H1016" s="5">
        <f t="shared" si="570"/>
        <v>0</v>
      </c>
      <c r="K1016" s="4">
        <f t="shared" si="562"/>
        <v>0</v>
      </c>
      <c r="L1016" s="4"/>
      <c r="N1016" s="4">
        <f t="shared" si="563"/>
        <v>0</v>
      </c>
      <c r="P1016" s="3"/>
      <c r="Q1016" s="3"/>
      <c r="R1016" s="3"/>
      <c r="S1016" s="3">
        <f t="shared" si="564"/>
        <v>0</v>
      </c>
      <c r="T1016" s="3"/>
      <c r="U1016" s="3">
        <f t="shared" si="565"/>
        <v>0</v>
      </c>
      <c r="V1016" s="3"/>
      <c r="W1016" s="3">
        <f t="shared" si="566"/>
        <v>0</v>
      </c>
      <c r="X1016" s="3"/>
      <c r="Y1016" s="3"/>
      <c r="Z1016" s="3">
        <f t="shared" si="559"/>
        <v>0</v>
      </c>
      <c r="AA1016" s="3"/>
      <c r="AB1016" s="3"/>
      <c r="AC1016" s="3"/>
      <c r="AD1016" s="3">
        <f t="shared" si="567"/>
        <v>0</v>
      </c>
      <c r="AE1016" s="3"/>
      <c r="AF1016" s="3">
        <f t="shared" si="568"/>
        <v>0</v>
      </c>
      <c r="AG1016" s="4"/>
      <c r="AH1016" s="4"/>
      <c r="AJ1016" s="3"/>
      <c r="AK1016" s="3">
        <f t="shared" si="560"/>
        <v>0</v>
      </c>
      <c r="AL1016" s="3"/>
      <c r="AM1016" s="3">
        <f t="shared" si="561"/>
        <v>0</v>
      </c>
      <c r="AO1016" s="3"/>
      <c r="AP1016" s="3"/>
      <c r="AQ1016" s="3"/>
      <c r="AR1016" s="3"/>
      <c r="AS1016" s="3"/>
      <c r="AT1016" s="3"/>
      <c r="AU1016" s="3">
        <v>135000</v>
      </c>
      <c r="AV1016" s="42"/>
      <c r="AW1016" s="3"/>
      <c r="AX1016" s="3"/>
      <c r="AY1016" s="3"/>
      <c r="AZ1016" s="42"/>
      <c r="BA1016" s="3"/>
      <c r="BB1016" s="42"/>
      <c r="BC1016" s="3"/>
      <c r="BD1016" s="42"/>
      <c r="BE1016" s="3"/>
    </row>
    <row r="1017" spans="1:57" s="77" customFormat="1" hidden="1" x14ac:dyDescent="0.25">
      <c r="A1017" s="3" t="s">
        <v>774</v>
      </c>
      <c r="B1017" s="3"/>
      <c r="C1017" s="3"/>
      <c r="D1017" s="29"/>
      <c r="E1017" s="3">
        <f t="shared" si="569"/>
        <v>0</v>
      </c>
      <c r="F1017" s="29"/>
      <c r="G1017" s="3"/>
      <c r="H1017" s="5">
        <f t="shared" si="570"/>
        <v>0</v>
      </c>
      <c r="I1017" s="5"/>
      <c r="J1017" s="5"/>
      <c r="K1017" s="4">
        <f t="shared" si="562"/>
        <v>0</v>
      </c>
      <c r="L1017" s="4"/>
      <c r="M1017" s="4"/>
      <c r="N1017" s="4">
        <f t="shared" si="563"/>
        <v>0</v>
      </c>
      <c r="O1017" s="4"/>
      <c r="P1017" s="3"/>
      <c r="Q1017" s="3"/>
      <c r="R1017" s="3"/>
      <c r="S1017" s="3">
        <f t="shared" si="564"/>
        <v>0</v>
      </c>
      <c r="T1017" s="3"/>
      <c r="U1017" s="3">
        <f t="shared" si="565"/>
        <v>0</v>
      </c>
      <c r="V1017" s="3"/>
      <c r="W1017" s="3">
        <f t="shared" si="566"/>
        <v>0</v>
      </c>
      <c r="X1017" s="3"/>
      <c r="Y1017" s="3"/>
      <c r="Z1017" s="3">
        <f t="shared" si="559"/>
        <v>0</v>
      </c>
      <c r="AA1017" s="3"/>
      <c r="AB1017" s="3"/>
      <c r="AC1017" s="3"/>
      <c r="AD1017" s="3">
        <f t="shared" si="567"/>
        <v>0</v>
      </c>
      <c r="AE1017" s="3"/>
      <c r="AF1017" s="3">
        <f t="shared" si="568"/>
        <v>0</v>
      </c>
      <c r="AG1017" s="4"/>
      <c r="AH1017" s="4"/>
      <c r="AI1017" s="4"/>
      <c r="AJ1017" s="3"/>
      <c r="AK1017" s="3">
        <f t="shared" si="560"/>
        <v>0</v>
      </c>
      <c r="AL1017" s="3"/>
      <c r="AM1017" s="3">
        <f t="shared" si="561"/>
        <v>0</v>
      </c>
      <c r="AN1017" s="4"/>
      <c r="AO1017" s="3"/>
      <c r="AP1017" s="3"/>
      <c r="AQ1017" s="3"/>
      <c r="AR1017" s="3"/>
      <c r="AS1017" s="3"/>
      <c r="AT1017" s="3"/>
      <c r="AU1017" s="3"/>
      <c r="AV1017" s="42"/>
      <c r="AW1017" s="3"/>
      <c r="AX1017" s="3"/>
      <c r="AY1017" s="3"/>
      <c r="AZ1017" s="42"/>
      <c r="BA1017" s="3"/>
      <c r="BB1017" s="42"/>
      <c r="BC1017" s="3"/>
      <c r="BD1017" s="42"/>
      <c r="BE1017" s="3"/>
    </row>
    <row r="1018" spans="1:57" hidden="1" x14ac:dyDescent="0.25">
      <c r="A1018" s="3" t="s">
        <v>775</v>
      </c>
      <c r="B1018" s="3"/>
      <c r="E1018" s="3">
        <f t="shared" si="569"/>
        <v>0</v>
      </c>
      <c r="H1018" s="5">
        <f t="shared" si="570"/>
        <v>0</v>
      </c>
      <c r="K1018" s="4">
        <f t="shared" si="562"/>
        <v>0</v>
      </c>
      <c r="L1018" s="4"/>
      <c r="N1018" s="4">
        <f t="shared" si="563"/>
        <v>0</v>
      </c>
      <c r="P1018" s="3"/>
      <c r="Q1018" s="3"/>
      <c r="R1018" s="3"/>
      <c r="S1018" s="3">
        <f t="shared" si="564"/>
        <v>0</v>
      </c>
      <c r="T1018" s="3"/>
      <c r="U1018" s="3">
        <f t="shared" si="565"/>
        <v>0</v>
      </c>
      <c r="V1018" s="3"/>
      <c r="W1018" s="3">
        <f t="shared" si="566"/>
        <v>0</v>
      </c>
      <c r="X1018" s="3"/>
      <c r="Y1018" s="3"/>
      <c r="Z1018" s="3">
        <f t="shared" si="559"/>
        <v>0</v>
      </c>
      <c r="AA1018" s="3"/>
      <c r="AB1018" s="3"/>
      <c r="AC1018" s="3"/>
      <c r="AD1018" s="3">
        <f t="shared" si="567"/>
        <v>0</v>
      </c>
      <c r="AE1018" s="3"/>
      <c r="AF1018" s="3">
        <f t="shared" si="568"/>
        <v>0</v>
      </c>
      <c r="AG1018" s="4"/>
      <c r="AH1018" s="4"/>
      <c r="AJ1018" s="3"/>
      <c r="AK1018" s="3">
        <f t="shared" si="560"/>
        <v>0</v>
      </c>
      <c r="AL1018" s="3"/>
      <c r="AM1018" s="3">
        <f t="shared" si="561"/>
        <v>0</v>
      </c>
      <c r="AO1018" s="3"/>
      <c r="AP1018" s="3"/>
      <c r="AQ1018" s="3"/>
      <c r="AR1018" s="3"/>
      <c r="AS1018" s="3"/>
      <c r="AT1018" s="3"/>
      <c r="AU1018" s="3"/>
      <c r="AV1018" s="42"/>
      <c r="AW1018" s="3"/>
      <c r="AX1018" s="42"/>
      <c r="AY1018" s="3"/>
      <c r="AZ1018" s="42"/>
      <c r="BA1018" s="3"/>
      <c r="BB1018" s="42"/>
      <c r="BC1018" s="3"/>
      <c r="BD1018" s="42"/>
      <c r="BE1018" s="3"/>
    </row>
    <row r="1019" spans="1:57" s="77" customFormat="1" hidden="1" x14ac:dyDescent="0.25">
      <c r="A1019" s="3" t="s">
        <v>776</v>
      </c>
      <c r="B1019" s="3"/>
      <c r="C1019" s="3"/>
      <c r="D1019" s="29"/>
      <c r="E1019" s="3">
        <f t="shared" si="569"/>
        <v>0</v>
      </c>
      <c r="F1019" s="29"/>
      <c r="G1019" s="3"/>
      <c r="H1019" s="5">
        <f t="shared" si="570"/>
        <v>0</v>
      </c>
      <c r="I1019" s="5"/>
      <c r="J1019" s="5"/>
      <c r="K1019" s="4">
        <f t="shared" si="562"/>
        <v>0</v>
      </c>
      <c r="L1019" s="4"/>
      <c r="M1019" s="4"/>
      <c r="N1019" s="4">
        <f t="shared" si="563"/>
        <v>0</v>
      </c>
      <c r="O1019" s="4"/>
      <c r="P1019" s="3"/>
      <c r="Q1019" s="3"/>
      <c r="R1019" s="3"/>
      <c r="S1019" s="3">
        <f t="shared" si="564"/>
        <v>0</v>
      </c>
      <c r="T1019" s="3"/>
      <c r="U1019" s="3">
        <f t="shared" si="565"/>
        <v>0</v>
      </c>
      <c r="V1019" s="3"/>
      <c r="W1019" s="3">
        <f t="shared" si="566"/>
        <v>0</v>
      </c>
      <c r="X1019" s="3"/>
      <c r="Y1019" s="3"/>
      <c r="Z1019" s="3">
        <f t="shared" si="559"/>
        <v>0</v>
      </c>
      <c r="AA1019" s="3"/>
      <c r="AB1019" s="3"/>
      <c r="AC1019" s="3"/>
      <c r="AD1019" s="3">
        <f t="shared" si="567"/>
        <v>0</v>
      </c>
      <c r="AE1019" s="3"/>
      <c r="AF1019" s="3">
        <f t="shared" si="568"/>
        <v>0</v>
      </c>
      <c r="AG1019" s="4"/>
      <c r="AH1019" s="4"/>
      <c r="AI1019" s="4"/>
      <c r="AJ1019" s="3"/>
      <c r="AK1019" s="3">
        <f t="shared" si="560"/>
        <v>0</v>
      </c>
      <c r="AL1019" s="3"/>
      <c r="AM1019" s="3">
        <f t="shared" si="561"/>
        <v>0</v>
      </c>
      <c r="AN1019" s="4"/>
      <c r="AO1019" s="3"/>
      <c r="AP1019" s="3"/>
      <c r="AQ1019" s="3"/>
      <c r="AR1019" s="3"/>
      <c r="AS1019" s="3"/>
      <c r="AT1019" s="3"/>
      <c r="AU1019" s="3"/>
      <c r="AV1019" s="42"/>
      <c r="AW1019" s="3"/>
      <c r="AX1019" s="42"/>
      <c r="AY1019" s="3"/>
      <c r="AZ1019" s="42"/>
      <c r="BA1019" s="3"/>
      <c r="BB1019" s="42"/>
      <c r="BC1019" s="3"/>
      <c r="BD1019" s="42"/>
      <c r="BE1019" s="3"/>
    </row>
    <row r="1020" spans="1:57" hidden="1" x14ac:dyDescent="0.25">
      <c r="A1020" s="3" t="s">
        <v>777</v>
      </c>
      <c r="B1020" s="3"/>
      <c r="E1020" s="3">
        <f t="shared" si="569"/>
        <v>0</v>
      </c>
      <c r="H1020" s="5">
        <f t="shared" si="570"/>
        <v>0</v>
      </c>
      <c r="K1020" s="4">
        <f t="shared" si="562"/>
        <v>0</v>
      </c>
      <c r="L1020" s="4"/>
      <c r="N1020" s="4">
        <f t="shared" si="563"/>
        <v>0</v>
      </c>
      <c r="P1020" s="3"/>
      <c r="Q1020" s="3"/>
      <c r="R1020" s="3"/>
      <c r="S1020" s="3">
        <f t="shared" si="564"/>
        <v>0</v>
      </c>
      <c r="T1020" s="3"/>
      <c r="U1020" s="3">
        <f t="shared" si="565"/>
        <v>0</v>
      </c>
      <c r="V1020" s="3"/>
      <c r="W1020" s="3">
        <f t="shared" si="566"/>
        <v>0</v>
      </c>
      <c r="X1020" s="3"/>
      <c r="Y1020" s="3"/>
      <c r="Z1020" s="3">
        <f t="shared" si="559"/>
        <v>0</v>
      </c>
      <c r="AA1020" s="3"/>
      <c r="AB1020" s="3"/>
      <c r="AC1020" s="3"/>
      <c r="AD1020" s="3">
        <f t="shared" si="567"/>
        <v>0</v>
      </c>
      <c r="AE1020" s="3"/>
      <c r="AF1020" s="3">
        <f t="shared" si="568"/>
        <v>0</v>
      </c>
      <c r="AG1020" s="4"/>
      <c r="AH1020" s="4"/>
      <c r="AJ1020" s="3"/>
      <c r="AK1020" s="3">
        <f t="shared" si="560"/>
        <v>0</v>
      </c>
      <c r="AL1020" s="3"/>
      <c r="AM1020" s="3">
        <f t="shared" si="561"/>
        <v>0</v>
      </c>
      <c r="AO1020" s="3"/>
      <c r="AP1020" s="3"/>
      <c r="AQ1020" s="3"/>
      <c r="AR1020" s="3"/>
      <c r="AS1020" s="3"/>
      <c r="AT1020" s="3"/>
      <c r="AU1020" s="3"/>
      <c r="AV1020" s="42"/>
      <c r="AW1020" s="3"/>
      <c r="AX1020" s="42"/>
      <c r="AY1020" s="3"/>
      <c r="AZ1020" s="42"/>
      <c r="BA1020" s="3"/>
      <c r="BB1020" s="42"/>
      <c r="BC1020" s="3"/>
      <c r="BD1020" s="42"/>
      <c r="BE1020" s="3"/>
    </row>
    <row r="1021" spans="1:57" s="77" customFormat="1" hidden="1" x14ac:dyDescent="0.25">
      <c r="A1021" s="3" t="s">
        <v>778</v>
      </c>
      <c r="B1021" s="3"/>
      <c r="C1021" s="3"/>
      <c r="D1021" s="29"/>
      <c r="E1021" s="3">
        <f t="shared" si="569"/>
        <v>0</v>
      </c>
      <c r="F1021" s="29"/>
      <c r="G1021" s="3"/>
      <c r="H1021" s="5">
        <f t="shared" si="570"/>
        <v>0</v>
      </c>
      <c r="I1021" s="5"/>
      <c r="J1021" s="5"/>
      <c r="K1021" s="4">
        <f t="shared" si="562"/>
        <v>0</v>
      </c>
      <c r="L1021" s="4"/>
      <c r="M1021" s="4"/>
      <c r="N1021" s="4">
        <f t="shared" si="563"/>
        <v>0</v>
      </c>
      <c r="O1021" s="4"/>
      <c r="P1021" s="3"/>
      <c r="Q1021" s="3"/>
      <c r="R1021" s="3"/>
      <c r="S1021" s="3">
        <f t="shared" si="564"/>
        <v>0</v>
      </c>
      <c r="T1021" s="3"/>
      <c r="U1021" s="3">
        <f t="shared" si="565"/>
        <v>0</v>
      </c>
      <c r="V1021" s="3"/>
      <c r="W1021" s="3">
        <f t="shared" si="566"/>
        <v>0</v>
      </c>
      <c r="X1021" s="3"/>
      <c r="Y1021" s="3"/>
      <c r="Z1021" s="3">
        <f t="shared" si="559"/>
        <v>0</v>
      </c>
      <c r="AA1021" s="3"/>
      <c r="AB1021" s="3"/>
      <c r="AC1021" s="3"/>
      <c r="AD1021" s="3">
        <f t="shared" si="567"/>
        <v>0</v>
      </c>
      <c r="AE1021" s="3"/>
      <c r="AF1021" s="3">
        <f t="shared" si="568"/>
        <v>0</v>
      </c>
      <c r="AG1021" s="4"/>
      <c r="AH1021" s="4"/>
      <c r="AI1021" s="4"/>
      <c r="AJ1021" s="3"/>
      <c r="AK1021" s="3">
        <f t="shared" si="560"/>
        <v>0</v>
      </c>
      <c r="AL1021" s="3"/>
      <c r="AM1021" s="3">
        <f t="shared" si="561"/>
        <v>0</v>
      </c>
      <c r="AN1021" s="4"/>
      <c r="AO1021" s="3"/>
      <c r="AP1021" s="3"/>
      <c r="AQ1021" s="3"/>
      <c r="AR1021" s="3"/>
      <c r="AS1021" s="3"/>
      <c r="AT1021" s="3"/>
      <c r="AU1021" s="3"/>
      <c r="AV1021" s="42"/>
      <c r="AW1021" s="3"/>
      <c r="AX1021" s="42"/>
      <c r="AY1021" s="3"/>
      <c r="AZ1021" s="42"/>
      <c r="BA1021" s="3"/>
      <c r="BB1021" s="42"/>
      <c r="BC1021" s="3"/>
      <c r="BD1021" s="42"/>
      <c r="BE1021" s="3"/>
    </row>
    <row r="1022" spans="1:57" s="77" customFormat="1" x14ac:dyDescent="0.25">
      <c r="A1022" s="3" t="s">
        <v>779</v>
      </c>
      <c r="B1022" s="3"/>
      <c r="C1022" s="3"/>
      <c r="D1022" s="29"/>
      <c r="E1022" s="3"/>
      <c r="F1022" s="29"/>
      <c r="G1022" s="3"/>
      <c r="H1022" s="5"/>
      <c r="I1022" s="5"/>
      <c r="J1022" s="5"/>
      <c r="K1022" s="4"/>
      <c r="L1022" s="4"/>
      <c r="M1022" s="4"/>
      <c r="N1022" s="4"/>
      <c r="O1022" s="4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4"/>
      <c r="AH1022" s="4">
        <v>30000</v>
      </c>
      <c r="AI1022" s="4"/>
      <c r="AJ1022" s="3">
        <v>0</v>
      </c>
      <c r="AK1022" s="3">
        <f t="shared" si="560"/>
        <v>30000</v>
      </c>
      <c r="AL1022" s="3">
        <v>30000</v>
      </c>
      <c r="AM1022" s="3">
        <f t="shared" si="561"/>
        <v>0</v>
      </c>
      <c r="AN1022" s="4"/>
      <c r="AO1022" s="3"/>
      <c r="AP1022" s="3"/>
      <c r="AQ1022" s="3"/>
      <c r="AR1022" s="3"/>
      <c r="AS1022" s="3"/>
      <c r="AT1022" s="3"/>
      <c r="AU1022" s="3"/>
      <c r="AV1022" s="42"/>
      <c r="AW1022" s="3"/>
      <c r="AX1022" s="42"/>
      <c r="AY1022" s="3"/>
      <c r="AZ1022" s="42"/>
      <c r="BA1022" s="3"/>
      <c r="BB1022" s="42"/>
      <c r="BC1022" s="3"/>
      <c r="BD1022" s="42"/>
      <c r="BE1022" s="3"/>
    </row>
    <row r="1023" spans="1:57" hidden="1" x14ac:dyDescent="0.25">
      <c r="A1023" s="3" t="s">
        <v>780</v>
      </c>
      <c r="B1023" s="3"/>
      <c r="E1023" s="3">
        <f t="shared" si="569"/>
        <v>0</v>
      </c>
      <c r="H1023" s="5">
        <f t="shared" si="570"/>
        <v>0</v>
      </c>
      <c r="K1023" s="4">
        <f t="shared" si="562"/>
        <v>0</v>
      </c>
      <c r="L1023" s="4"/>
      <c r="N1023" s="4">
        <f t="shared" si="563"/>
        <v>0</v>
      </c>
      <c r="P1023" s="3"/>
      <c r="Q1023" s="3"/>
      <c r="R1023" s="3"/>
      <c r="S1023" s="3">
        <f t="shared" si="564"/>
        <v>0</v>
      </c>
      <c r="T1023" s="3"/>
      <c r="U1023" s="3">
        <f t="shared" si="565"/>
        <v>0</v>
      </c>
      <c r="V1023" s="3"/>
      <c r="W1023" s="3">
        <f t="shared" si="566"/>
        <v>0</v>
      </c>
      <c r="X1023" s="3"/>
      <c r="Y1023" s="3"/>
      <c r="Z1023" s="3">
        <f t="shared" si="559"/>
        <v>0</v>
      </c>
      <c r="AA1023" s="3"/>
      <c r="AB1023" s="3"/>
      <c r="AC1023" s="3"/>
      <c r="AD1023" s="3">
        <f t="shared" si="567"/>
        <v>0</v>
      </c>
      <c r="AE1023" s="3"/>
      <c r="AF1023" s="3">
        <f t="shared" si="568"/>
        <v>0</v>
      </c>
      <c r="AG1023" s="4"/>
      <c r="AH1023" s="4"/>
      <c r="AJ1023" s="3"/>
      <c r="AK1023" s="3">
        <f t="shared" si="560"/>
        <v>0</v>
      </c>
      <c r="AL1023" s="3"/>
      <c r="AM1023" s="3">
        <f t="shared" si="561"/>
        <v>0</v>
      </c>
      <c r="AO1023" s="3"/>
      <c r="AP1023" s="3"/>
      <c r="AQ1023" s="3"/>
      <c r="AR1023" s="3"/>
      <c r="AS1023" s="3"/>
      <c r="AT1023" s="3"/>
      <c r="AU1023" s="3"/>
      <c r="AV1023" s="42"/>
      <c r="AW1023" s="3"/>
      <c r="AX1023" s="42"/>
      <c r="AY1023" s="3"/>
      <c r="AZ1023" s="42"/>
      <c r="BA1023" s="3"/>
      <c r="BB1023" s="42"/>
      <c r="BC1023" s="3"/>
      <c r="BD1023" s="42"/>
      <c r="BE1023" s="3"/>
    </row>
    <row r="1024" spans="1:57" s="77" customFormat="1" hidden="1" x14ac:dyDescent="0.25">
      <c r="A1024" s="3" t="s">
        <v>781</v>
      </c>
      <c r="B1024" s="3">
        <v>368450</v>
      </c>
      <c r="C1024" s="3"/>
      <c r="D1024" s="29">
        <v>75077</v>
      </c>
      <c r="E1024" s="3">
        <f t="shared" si="569"/>
        <v>293373</v>
      </c>
      <c r="F1024" s="29">
        <v>368450</v>
      </c>
      <c r="G1024" s="3"/>
      <c r="H1024" s="5">
        <f t="shared" si="570"/>
        <v>0</v>
      </c>
      <c r="I1024" s="5"/>
      <c r="J1024" s="5">
        <v>175606</v>
      </c>
      <c r="K1024" s="4">
        <f t="shared" si="562"/>
        <v>192844</v>
      </c>
      <c r="L1024" s="4">
        <v>368450</v>
      </c>
      <c r="M1024" s="4"/>
      <c r="N1024" s="4">
        <f t="shared" si="563"/>
        <v>0</v>
      </c>
      <c r="O1024" s="4"/>
      <c r="P1024" s="3"/>
      <c r="Q1024" s="3"/>
      <c r="R1024" s="3">
        <v>47893</v>
      </c>
      <c r="S1024" s="3">
        <f t="shared" si="564"/>
        <v>62107</v>
      </c>
      <c r="T1024" s="3">
        <v>110000</v>
      </c>
      <c r="U1024" s="3">
        <f t="shared" si="565"/>
        <v>110000</v>
      </c>
      <c r="V1024" s="3">
        <v>81001</v>
      </c>
      <c r="W1024" s="3">
        <f t="shared" si="566"/>
        <v>28999</v>
      </c>
      <c r="X1024" s="3"/>
      <c r="Y1024" s="3">
        <v>110000</v>
      </c>
      <c r="Z1024" s="3">
        <f t="shared" si="559"/>
        <v>0</v>
      </c>
      <c r="AA1024" s="3"/>
      <c r="AB1024" s="3"/>
      <c r="AC1024" s="3">
        <v>110642</v>
      </c>
      <c r="AD1024" s="3">
        <f t="shared" si="567"/>
        <v>7358</v>
      </c>
      <c r="AE1024" s="3">
        <v>118000</v>
      </c>
      <c r="AF1024" s="3">
        <f t="shared" si="568"/>
        <v>8000</v>
      </c>
      <c r="AG1024" s="4"/>
      <c r="AH1024" s="4"/>
      <c r="AI1024" s="4"/>
      <c r="AJ1024" s="3"/>
      <c r="AK1024" s="3">
        <f t="shared" si="560"/>
        <v>0</v>
      </c>
      <c r="AL1024" s="3"/>
      <c r="AM1024" s="3">
        <f t="shared" si="561"/>
        <v>0</v>
      </c>
      <c r="AN1024" s="4"/>
      <c r="AO1024" s="3"/>
      <c r="AP1024" s="3"/>
      <c r="AQ1024" s="3"/>
      <c r="AR1024" s="3"/>
      <c r="AS1024" s="3"/>
      <c r="AT1024" s="3"/>
      <c r="AU1024" s="3"/>
      <c r="AV1024" s="42"/>
      <c r="AW1024" s="3"/>
      <c r="AX1024" s="42"/>
      <c r="AY1024" s="3"/>
      <c r="AZ1024" s="42"/>
      <c r="BA1024" s="3"/>
      <c r="BB1024" s="42"/>
      <c r="BC1024" s="3"/>
      <c r="BD1024" s="42"/>
      <c r="BE1024" s="3"/>
    </row>
    <row r="1025" spans="1:57" x14ac:dyDescent="0.25">
      <c r="A1025" s="3" t="s">
        <v>782</v>
      </c>
      <c r="B1025" s="3"/>
      <c r="E1025" s="3">
        <f t="shared" si="569"/>
        <v>0</v>
      </c>
      <c r="H1025" s="5">
        <f t="shared" si="570"/>
        <v>0</v>
      </c>
      <c r="K1025" s="4">
        <f t="shared" si="562"/>
        <v>0</v>
      </c>
      <c r="L1025" s="4"/>
      <c r="N1025" s="4">
        <f t="shared" si="563"/>
        <v>0</v>
      </c>
      <c r="P1025" s="3"/>
      <c r="Q1025" s="3"/>
      <c r="R1025" s="3"/>
      <c r="S1025" s="3">
        <f t="shared" si="564"/>
        <v>0</v>
      </c>
      <c r="T1025" s="3"/>
      <c r="U1025" s="3">
        <f t="shared" si="565"/>
        <v>0</v>
      </c>
      <c r="V1025" s="3"/>
      <c r="W1025" s="3">
        <f t="shared" si="566"/>
        <v>0</v>
      </c>
      <c r="X1025" s="3"/>
      <c r="Y1025" s="3"/>
      <c r="Z1025" s="3">
        <f t="shared" si="559"/>
        <v>0</v>
      </c>
      <c r="AA1025" s="3"/>
      <c r="AB1025" s="3"/>
      <c r="AC1025" s="3"/>
      <c r="AD1025" s="3">
        <f t="shared" si="567"/>
        <v>0</v>
      </c>
      <c r="AE1025" s="3"/>
      <c r="AF1025" s="3">
        <f t="shared" si="568"/>
        <v>0</v>
      </c>
      <c r="AG1025" s="4"/>
      <c r="AH1025" s="4"/>
      <c r="AJ1025" s="3"/>
      <c r="AK1025" s="3">
        <f t="shared" si="560"/>
        <v>0</v>
      </c>
      <c r="AL1025" s="3"/>
      <c r="AM1025" s="3">
        <f t="shared" si="561"/>
        <v>0</v>
      </c>
      <c r="AO1025" s="3"/>
      <c r="AP1025" s="3"/>
      <c r="AQ1025" s="3"/>
      <c r="AR1025" s="3"/>
      <c r="AS1025" s="3"/>
      <c r="AT1025" s="3"/>
      <c r="AU1025" s="3"/>
      <c r="AV1025" s="42"/>
      <c r="AW1025" s="3"/>
      <c r="AX1025" s="42"/>
      <c r="AY1025" s="3"/>
      <c r="AZ1025" s="42"/>
      <c r="BA1025" s="3"/>
      <c r="BB1025" s="42"/>
      <c r="BC1025" s="3"/>
      <c r="BD1025" s="42"/>
      <c r="BE1025" s="3"/>
    </row>
    <row r="1026" spans="1:57" s="77" customFormat="1" x14ac:dyDescent="0.25">
      <c r="A1026" s="3" t="s">
        <v>783</v>
      </c>
      <c r="B1026" s="3"/>
      <c r="C1026" s="3"/>
      <c r="D1026" s="29"/>
      <c r="E1026" s="3">
        <f t="shared" si="569"/>
        <v>0</v>
      </c>
      <c r="F1026" s="29"/>
      <c r="G1026" s="3"/>
      <c r="H1026" s="5">
        <f t="shared" si="570"/>
        <v>0</v>
      </c>
      <c r="I1026" s="5"/>
      <c r="J1026" s="5"/>
      <c r="K1026" s="4">
        <f t="shared" si="562"/>
        <v>0</v>
      </c>
      <c r="L1026" s="4"/>
      <c r="M1026" s="4"/>
      <c r="N1026" s="4">
        <f t="shared" si="563"/>
        <v>0</v>
      </c>
      <c r="O1026" s="4"/>
      <c r="P1026" s="3"/>
      <c r="Q1026" s="3"/>
      <c r="R1026" s="3"/>
      <c r="S1026" s="3">
        <f t="shared" si="564"/>
        <v>0</v>
      </c>
      <c r="T1026" s="3"/>
      <c r="U1026" s="3">
        <f t="shared" si="565"/>
        <v>0</v>
      </c>
      <c r="V1026" s="3"/>
      <c r="W1026" s="3">
        <f t="shared" si="566"/>
        <v>0</v>
      </c>
      <c r="X1026" s="3"/>
      <c r="Y1026" s="3"/>
      <c r="Z1026" s="3">
        <f t="shared" si="559"/>
        <v>0</v>
      </c>
      <c r="AA1026" s="3"/>
      <c r="AB1026" s="3"/>
      <c r="AC1026" s="3"/>
      <c r="AD1026" s="3">
        <f t="shared" si="567"/>
        <v>0</v>
      </c>
      <c r="AE1026" s="3"/>
      <c r="AF1026" s="3">
        <f t="shared" si="568"/>
        <v>0</v>
      </c>
      <c r="AG1026" s="4"/>
      <c r="AH1026" s="4">
        <v>5000</v>
      </c>
      <c r="AI1026" s="4"/>
      <c r="AJ1026" s="3">
        <v>1909</v>
      </c>
      <c r="AK1026" s="3">
        <f t="shared" si="560"/>
        <v>3091</v>
      </c>
      <c r="AL1026" s="3">
        <v>5000</v>
      </c>
      <c r="AM1026" s="3">
        <f t="shared" si="561"/>
        <v>0</v>
      </c>
      <c r="AN1026" s="4"/>
      <c r="AO1026" s="3"/>
      <c r="AP1026" s="3"/>
      <c r="AQ1026" s="3"/>
      <c r="AR1026" s="3"/>
      <c r="AS1026" s="3"/>
      <c r="AT1026" s="3"/>
      <c r="AU1026" s="3"/>
      <c r="AV1026" s="42"/>
      <c r="AW1026" s="3"/>
      <c r="AX1026" s="42"/>
      <c r="AY1026" s="3"/>
      <c r="AZ1026" s="42"/>
      <c r="BA1026" s="3"/>
      <c r="BB1026" s="42"/>
      <c r="BC1026" s="3"/>
      <c r="BD1026" s="42"/>
      <c r="BE1026" s="3"/>
    </row>
    <row r="1027" spans="1:57" s="77" customFormat="1" x14ac:dyDescent="0.25">
      <c r="A1027" s="3" t="s">
        <v>1148</v>
      </c>
      <c r="B1027" s="3"/>
      <c r="C1027" s="3"/>
      <c r="D1027" s="29"/>
      <c r="E1027" s="3"/>
      <c r="F1027" s="29"/>
      <c r="G1027" s="3"/>
      <c r="H1027" s="5"/>
      <c r="I1027" s="5"/>
      <c r="J1027" s="5"/>
      <c r="K1027" s="4"/>
      <c r="L1027" s="4"/>
      <c r="M1027" s="4"/>
      <c r="N1027" s="4"/>
      <c r="O1027" s="4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4"/>
      <c r="AH1027" s="4"/>
      <c r="AI1027" s="4"/>
      <c r="AJ1027" s="3">
        <v>4293</v>
      </c>
      <c r="AK1027" s="3">
        <f t="shared" si="560"/>
        <v>707</v>
      </c>
      <c r="AL1027" s="3">
        <v>5000</v>
      </c>
      <c r="AM1027" s="3">
        <f t="shared" si="561"/>
        <v>5000</v>
      </c>
      <c r="AN1027" s="4"/>
      <c r="AO1027" s="3"/>
      <c r="AP1027" s="3"/>
      <c r="AQ1027" s="3"/>
      <c r="AR1027" s="3"/>
      <c r="AS1027" s="3"/>
      <c r="AT1027" s="3"/>
      <c r="AU1027" s="3"/>
      <c r="AV1027" s="42"/>
      <c r="AW1027" s="3"/>
      <c r="AX1027" s="42"/>
      <c r="AY1027" s="3"/>
      <c r="AZ1027" s="42"/>
      <c r="BA1027" s="3"/>
      <c r="BB1027" s="42"/>
      <c r="BC1027" s="3"/>
      <c r="BD1027" s="42"/>
      <c r="BE1027" s="3"/>
    </row>
    <row r="1028" spans="1:57" hidden="1" x14ac:dyDescent="0.25">
      <c r="A1028" s="3" t="s">
        <v>784</v>
      </c>
      <c r="B1028" s="3"/>
      <c r="E1028" s="3">
        <f t="shared" si="569"/>
        <v>0</v>
      </c>
      <c r="H1028" s="5">
        <f t="shared" si="570"/>
        <v>0</v>
      </c>
      <c r="K1028" s="4">
        <f t="shared" si="562"/>
        <v>0</v>
      </c>
      <c r="L1028" s="4"/>
      <c r="N1028" s="4">
        <f t="shared" si="563"/>
        <v>0</v>
      </c>
      <c r="P1028" s="3"/>
      <c r="Q1028" s="3"/>
      <c r="R1028" s="3"/>
      <c r="S1028" s="3">
        <f t="shared" si="564"/>
        <v>0</v>
      </c>
      <c r="T1028" s="3"/>
      <c r="U1028" s="3">
        <f t="shared" si="565"/>
        <v>0</v>
      </c>
      <c r="V1028" s="3"/>
      <c r="W1028" s="3">
        <f t="shared" si="566"/>
        <v>0</v>
      </c>
      <c r="X1028" s="3"/>
      <c r="Y1028" s="3"/>
      <c r="Z1028" s="3">
        <f t="shared" si="559"/>
        <v>0</v>
      </c>
      <c r="AA1028" s="3"/>
      <c r="AB1028" s="3"/>
      <c r="AC1028" s="3"/>
      <c r="AD1028" s="3">
        <f t="shared" si="567"/>
        <v>0</v>
      </c>
      <c r="AE1028" s="3"/>
      <c r="AF1028" s="3">
        <f t="shared" si="568"/>
        <v>0</v>
      </c>
      <c r="AG1028" s="4"/>
      <c r="AH1028" s="4"/>
      <c r="AJ1028" s="3"/>
      <c r="AK1028" s="3">
        <f t="shared" si="560"/>
        <v>0</v>
      </c>
      <c r="AL1028" s="3"/>
      <c r="AM1028" s="3">
        <f t="shared" si="561"/>
        <v>0</v>
      </c>
      <c r="AO1028" s="3"/>
      <c r="AP1028" s="3"/>
      <c r="AQ1028" s="3"/>
      <c r="AR1028" s="3"/>
      <c r="AS1028" s="3"/>
      <c r="AT1028" s="3"/>
      <c r="AU1028" s="3"/>
      <c r="AV1028" s="42"/>
      <c r="AW1028" s="3"/>
      <c r="AX1028" s="42"/>
      <c r="AY1028" s="3"/>
      <c r="AZ1028" s="42"/>
      <c r="BA1028" s="3"/>
      <c r="BB1028" s="42"/>
      <c r="BC1028" s="3"/>
      <c r="BD1028" s="42"/>
      <c r="BE1028" s="3"/>
    </row>
    <row r="1029" spans="1:57" hidden="1" x14ac:dyDescent="0.25">
      <c r="A1029" s="3" t="s">
        <v>785</v>
      </c>
      <c r="B1029" s="3"/>
      <c r="E1029" s="3">
        <f t="shared" si="569"/>
        <v>0</v>
      </c>
      <c r="H1029" s="5">
        <f t="shared" si="570"/>
        <v>0</v>
      </c>
      <c r="K1029" s="4">
        <f t="shared" si="562"/>
        <v>0</v>
      </c>
      <c r="L1029" s="4"/>
      <c r="N1029" s="4">
        <f t="shared" si="563"/>
        <v>0</v>
      </c>
      <c r="P1029" s="3"/>
      <c r="Q1029" s="3"/>
      <c r="R1029" s="3"/>
      <c r="S1029" s="3">
        <f t="shared" si="564"/>
        <v>0</v>
      </c>
      <c r="T1029" s="3"/>
      <c r="U1029" s="3">
        <f t="shared" si="565"/>
        <v>0</v>
      </c>
      <c r="V1029" s="3"/>
      <c r="W1029" s="3">
        <f t="shared" si="566"/>
        <v>0</v>
      </c>
      <c r="X1029" s="3"/>
      <c r="Y1029" s="3"/>
      <c r="Z1029" s="3">
        <f t="shared" si="559"/>
        <v>0</v>
      </c>
      <c r="AA1029" s="3"/>
      <c r="AB1029" s="3"/>
      <c r="AC1029" s="3"/>
      <c r="AD1029" s="3">
        <f t="shared" si="567"/>
        <v>0</v>
      </c>
      <c r="AE1029" s="3"/>
      <c r="AF1029" s="3">
        <f t="shared" si="568"/>
        <v>0</v>
      </c>
      <c r="AG1029" s="4"/>
      <c r="AH1029" s="4"/>
      <c r="AJ1029" s="3"/>
      <c r="AK1029" s="3">
        <f t="shared" si="560"/>
        <v>0</v>
      </c>
      <c r="AL1029" s="3"/>
      <c r="AM1029" s="3">
        <f t="shared" si="561"/>
        <v>0</v>
      </c>
      <c r="AO1029" s="3"/>
      <c r="AP1029" s="3"/>
      <c r="AQ1029" s="3"/>
      <c r="AR1029" s="3"/>
      <c r="AS1029" s="3"/>
      <c r="AT1029" s="3"/>
      <c r="AU1029" s="3"/>
      <c r="AV1029" s="42"/>
      <c r="AW1029" s="3"/>
      <c r="AX1029" s="42"/>
      <c r="AY1029" s="3"/>
      <c r="AZ1029" s="42"/>
      <c r="BA1029" s="3"/>
      <c r="BB1029" s="42"/>
      <c r="BC1029" s="3"/>
      <c r="BD1029" s="42"/>
      <c r="BE1029" s="3"/>
    </row>
    <row r="1030" spans="1:57" hidden="1" x14ac:dyDescent="0.25">
      <c r="A1030" s="3" t="s">
        <v>786</v>
      </c>
      <c r="B1030" s="3"/>
      <c r="E1030" s="3">
        <f t="shared" si="569"/>
        <v>0</v>
      </c>
      <c r="H1030" s="5">
        <f t="shared" si="570"/>
        <v>0</v>
      </c>
      <c r="K1030" s="4">
        <f t="shared" si="562"/>
        <v>0</v>
      </c>
      <c r="L1030" s="4"/>
      <c r="N1030" s="4">
        <f t="shared" si="563"/>
        <v>0</v>
      </c>
      <c r="P1030" s="3"/>
      <c r="Q1030" s="3"/>
      <c r="R1030" s="3"/>
      <c r="S1030" s="3">
        <f t="shared" si="564"/>
        <v>0</v>
      </c>
      <c r="T1030" s="3"/>
      <c r="U1030" s="3">
        <f t="shared" si="565"/>
        <v>0</v>
      </c>
      <c r="V1030" s="3"/>
      <c r="W1030" s="3">
        <f t="shared" si="566"/>
        <v>0</v>
      </c>
      <c r="X1030" s="3"/>
      <c r="Y1030" s="3"/>
      <c r="Z1030" s="3">
        <f t="shared" si="559"/>
        <v>0</v>
      </c>
      <c r="AA1030" s="3"/>
      <c r="AB1030" s="3"/>
      <c r="AC1030" s="3"/>
      <c r="AD1030" s="3">
        <f t="shared" si="567"/>
        <v>0</v>
      </c>
      <c r="AE1030" s="3"/>
      <c r="AF1030" s="3">
        <f t="shared" si="568"/>
        <v>0</v>
      </c>
      <c r="AG1030" s="4"/>
      <c r="AH1030" s="4"/>
      <c r="AJ1030" s="3"/>
      <c r="AK1030" s="3">
        <f t="shared" si="560"/>
        <v>0</v>
      </c>
      <c r="AL1030" s="3"/>
      <c r="AM1030" s="3">
        <f t="shared" si="561"/>
        <v>0</v>
      </c>
      <c r="AO1030" s="3"/>
      <c r="AP1030" s="3"/>
      <c r="AQ1030" s="3"/>
      <c r="AR1030" s="3"/>
      <c r="AS1030" s="3"/>
      <c r="AT1030" s="3"/>
      <c r="AU1030" s="3"/>
      <c r="AV1030" s="42"/>
      <c r="AW1030" s="3"/>
      <c r="AX1030" s="42"/>
      <c r="AY1030" s="3"/>
      <c r="AZ1030" s="42"/>
      <c r="BA1030" s="3"/>
      <c r="BB1030" s="42"/>
      <c r="BC1030" s="3"/>
      <c r="BD1030" s="42"/>
      <c r="BE1030" s="3"/>
    </row>
    <row r="1031" spans="1:57" hidden="1" x14ac:dyDescent="0.25">
      <c r="A1031" s="3" t="s">
        <v>787</v>
      </c>
      <c r="B1031" s="3"/>
      <c r="E1031" s="3">
        <f t="shared" si="569"/>
        <v>0</v>
      </c>
      <c r="H1031" s="5">
        <f t="shared" si="570"/>
        <v>0</v>
      </c>
      <c r="K1031" s="4">
        <f t="shared" si="562"/>
        <v>0</v>
      </c>
      <c r="L1031" s="4"/>
      <c r="N1031" s="4">
        <f t="shared" si="563"/>
        <v>0</v>
      </c>
      <c r="P1031" s="3"/>
      <c r="Q1031" s="3"/>
      <c r="R1031" s="3"/>
      <c r="S1031" s="3">
        <f t="shared" si="564"/>
        <v>0</v>
      </c>
      <c r="T1031" s="3"/>
      <c r="U1031" s="3">
        <f t="shared" si="565"/>
        <v>0</v>
      </c>
      <c r="V1031" s="3"/>
      <c r="W1031" s="3">
        <f t="shared" si="566"/>
        <v>0</v>
      </c>
      <c r="X1031" s="3"/>
      <c r="Y1031" s="3"/>
      <c r="Z1031" s="3">
        <f t="shared" si="559"/>
        <v>0</v>
      </c>
      <c r="AA1031" s="3"/>
      <c r="AB1031" s="3"/>
      <c r="AC1031" s="3"/>
      <c r="AD1031" s="3">
        <f t="shared" si="567"/>
        <v>0</v>
      </c>
      <c r="AE1031" s="3"/>
      <c r="AF1031" s="3">
        <f t="shared" si="568"/>
        <v>0</v>
      </c>
      <c r="AG1031" s="4"/>
      <c r="AH1031" s="4"/>
      <c r="AJ1031" s="3"/>
      <c r="AK1031" s="3">
        <f t="shared" si="560"/>
        <v>0</v>
      </c>
      <c r="AL1031" s="3"/>
      <c r="AM1031" s="3">
        <f t="shared" si="561"/>
        <v>0</v>
      </c>
      <c r="AO1031" s="3"/>
      <c r="AP1031" s="3"/>
      <c r="AQ1031" s="3"/>
      <c r="AR1031" s="3"/>
      <c r="AS1031" s="3"/>
      <c r="AT1031" s="3"/>
      <c r="AU1031" s="3"/>
      <c r="AV1031" s="42"/>
      <c r="AW1031" s="3"/>
      <c r="AX1031" s="42"/>
      <c r="AY1031" s="3"/>
      <c r="AZ1031" s="42"/>
      <c r="BA1031" s="3"/>
      <c r="BB1031" s="42"/>
      <c r="BC1031" s="3"/>
      <c r="BD1031" s="42"/>
      <c r="BE1031" s="3"/>
    </row>
    <row r="1032" spans="1:57" hidden="1" x14ac:dyDescent="0.25">
      <c r="A1032" s="3" t="s">
        <v>788</v>
      </c>
      <c r="B1032" s="3">
        <v>10000</v>
      </c>
      <c r="E1032" s="3">
        <f t="shared" si="569"/>
        <v>10000</v>
      </c>
      <c r="F1032" s="5">
        <v>10000</v>
      </c>
      <c r="H1032" s="5">
        <f t="shared" si="570"/>
        <v>0</v>
      </c>
      <c r="K1032" s="4">
        <f t="shared" si="562"/>
        <v>10000</v>
      </c>
      <c r="L1032" s="5">
        <v>10000</v>
      </c>
      <c r="N1032" s="4">
        <f t="shared" si="563"/>
        <v>0</v>
      </c>
      <c r="P1032" s="3"/>
      <c r="Q1032" s="3"/>
      <c r="R1032" s="3"/>
      <c r="S1032" s="3">
        <f t="shared" si="564"/>
        <v>0</v>
      </c>
      <c r="T1032" s="3"/>
      <c r="U1032" s="3">
        <f t="shared" si="565"/>
        <v>0</v>
      </c>
      <c r="V1032" s="3"/>
      <c r="W1032" s="3">
        <f t="shared" si="566"/>
        <v>0</v>
      </c>
      <c r="X1032" s="3"/>
      <c r="Y1032" s="3"/>
      <c r="Z1032" s="3">
        <f t="shared" si="559"/>
        <v>0</v>
      </c>
      <c r="AA1032" s="3"/>
      <c r="AB1032" s="3"/>
      <c r="AC1032" s="3"/>
      <c r="AD1032" s="3">
        <f t="shared" si="567"/>
        <v>0</v>
      </c>
      <c r="AE1032" s="3"/>
      <c r="AF1032" s="3">
        <f t="shared" si="568"/>
        <v>0</v>
      </c>
      <c r="AG1032" s="4"/>
      <c r="AH1032" s="4"/>
      <c r="AJ1032" s="3"/>
      <c r="AK1032" s="3">
        <f t="shared" si="560"/>
        <v>0</v>
      </c>
      <c r="AL1032" s="3"/>
      <c r="AM1032" s="3">
        <f t="shared" si="561"/>
        <v>0</v>
      </c>
      <c r="AO1032" s="3"/>
      <c r="AP1032" s="3"/>
      <c r="AQ1032" s="3"/>
      <c r="AR1032" s="3"/>
      <c r="AS1032" s="3"/>
      <c r="AT1032" s="3"/>
      <c r="AU1032" s="3"/>
      <c r="AV1032" s="42"/>
      <c r="AW1032" s="3"/>
      <c r="AX1032" s="42"/>
      <c r="AY1032" s="3"/>
      <c r="AZ1032" s="42"/>
      <c r="BA1032" s="3"/>
      <c r="BB1032" s="42"/>
      <c r="BC1032" s="3"/>
      <c r="BD1032" s="42"/>
      <c r="BE1032" s="3"/>
    </row>
    <row r="1033" spans="1:57" hidden="1" x14ac:dyDescent="0.25">
      <c r="A1033" s="3" t="s">
        <v>789</v>
      </c>
      <c r="B1033" s="3">
        <v>10000</v>
      </c>
      <c r="E1033" s="3">
        <f t="shared" si="569"/>
        <v>10000</v>
      </c>
      <c r="F1033" s="5">
        <v>10000</v>
      </c>
      <c r="H1033" s="5">
        <f t="shared" si="570"/>
        <v>0</v>
      </c>
      <c r="K1033" s="4">
        <f t="shared" si="562"/>
        <v>10000</v>
      </c>
      <c r="L1033" s="5">
        <v>10000</v>
      </c>
      <c r="N1033" s="4">
        <f t="shared" si="563"/>
        <v>0</v>
      </c>
      <c r="P1033" s="3"/>
      <c r="Q1033" s="3"/>
      <c r="R1033" s="3">
        <v>6466</v>
      </c>
      <c r="S1033" s="3">
        <f t="shared" si="564"/>
        <v>534</v>
      </c>
      <c r="T1033" s="3">
        <v>7000</v>
      </c>
      <c r="U1033" s="3">
        <f t="shared" si="565"/>
        <v>7000</v>
      </c>
      <c r="V1033" s="3">
        <v>7010</v>
      </c>
      <c r="W1033" s="3">
        <f t="shared" si="566"/>
        <v>-10</v>
      </c>
      <c r="X1033" s="3"/>
      <c r="Y1033" s="3">
        <v>7000</v>
      </c>
      <c r="Z1033" s="3">
        <f t="shared" si="559"/>
        <v>0</v>
      </c>
      <c r="AA1033" s="3"/>
      <c r="AB1033" s="3"/>
      <c r="AC1033" s="3">
        <v>9296</v>
      </c>
      <c r="AD1033" s="3">
        <f t="shared" si="567"/>
        <v>4</v>
      </c>
      <c r="AE1033" s="3">
        <v>9300</v>
      </c>
      <c r="AF1033" s="3">
        <f t="shared" si="568"/>
        <v>2300</v>
      </c>
      <c r="AG1033" s="4"/>
      <c r="AH1033" s="4"/>
      <c r="AJ1033" s="3"/>
      <c r="AK1033" s="3">
        <f t="shared" si="560"/>
        <v>0</v>
      </c>
      <c r="AL1033" s="3"/>
      <c r="AM1033" s="3">
        <f t="shared" si="561"/>
        <v>0</v>
      </c>
      <c r="AO1033" s="3"/>
      <c r="AP1033" s="3"/>
      <c r="AQ1033" s="3"/>
      <c r="AR1033" s="3"/>
      <c r="AS1033" s="3"/>
      <c r="AT1033" s="3"/>
      <c r="AU1033" s="3"/>
      <c r="AV1033" s="42"/>
      <c r="AW1033" s="3"/>
      <c r="AX1033" s="42"/>
      <c r="AY1033" s="3"/>
      <c r="AZ1033" s="42"/>
      <c r="BA1033" s="3"/>
      <c r="BB1033" s="42"/>
      <c r="BC1033" s="3"/>
      <c r="BD1033" s="42"/>
      <c r="BE1033" s="3"/>
    </row>
    <row r="1034" spans="1:57" hidden="1" x14ac:dyDescent="0.25">
      <c r="A1034" s="3" t="s">
        <v>790</v>
      </c>
      <c r="B1034" s="3">
        <v>20000</v>
      </c>
      <c r="E1034" s="3">
        <f t="shared" si="569"/>
        <v>20000</v>
      </c>
      <c r="F1034" s="5">
        <v>20000</v>
      </c>
      <c r="H1034" s="5">
        <f t="shared" si="570"/>
        <v>0</v>
      </c>
      <c r="K1034" s="4">
        <f t="shared" si="562"/>
        <v>20000</v>
      </c>
      <c r="L1034" s="5">
        <v>20000</v>
      </c>
      <c r="N1034" s="4">
        <f t="shared" si="563"/>
        <v>0</v>
      </c>
      <c r="P1034" s="3"/>
      <c r="Q1034" s="3"/>
      <c r="R1034" s="3"/>
      <c r="S1034" s="3">
        <f t="shared" si="564"/>
        <v>0</v>
      </c>
      <c r="T1034" s="3"/>
      <c r="U1034" s="3">
        <f t="shared" si="565"/>
        <v>0</v>
      </c>
      <c r="V1034" s="3">
        <v>7010</v>
      </c>
      <c r="W1034" s="3">
        <f t="shared" si="566"/>
        <v>-10</v>
      </c>
      <c r="X1034" s="3"/>
      <c r="Y1034" s="3">
        <v>7000</v>
      </c>
      <c r="Z1034" s="3">
        <f t="shared" si="559"/>
        <v>7000</v>
      </c>
      <c r="AA1034" s="3"/>
      <c r="AB1034" s="3"/>
      <c r="AC1034" s="3">
        <v>9296</v>
      </c>
      <c r="AD1034" s="3">
        <f t="shared" si="567"/>
        <v>4</v>
      </c>
      <c r="AE1034" s="3">
        <v>9300</v>
      </c>
      <c r="AF1034" s="3">
        <f t="shared" si="568"/>
        <v>2300</v>
      </c>
      <c r="AG1034" s="4"/>
      <c r="AH1034" s="4"/>
      <c r="AJ1034" s="3"/>
      <c r="AK1034" s="3">
        <f t="shared" ref="AK1034:AK1042" si="571">AL1034-AJ1034</f>
        <v>0</v>
      </c>
      <c r="AL1034" s="3"/>
      <c r="AM1034" s="3">
        <f t="shared" ref="AM1034:AM1042" si="572">AL1034-AH1034</f>
        <v>0</v>
      </c>
      <c r="AO1034" s="3"/>
      <c r="AP1034" s="3"/>
      <c r="AQ1034" s="3"/>
      <c r="AR1034" s="3"/>
      <c r="AS1034" s="3"/>
      <c r="AT1034" s="3"/>
      <c r="AU1034" s="3"/>
      <c r="AV1034" s="42"/>
      <c r="AW1034" s="3"/>
      <c r="AX1034" s="42"/>
      <c r="AY1034" s="3"/>
      <c r="AZ1034" s="42"/>
      <c r="BA1034" s="3"/>
      <c r="BB1034" s="42"/>
      <c r="BC1034" s="3"/>
      <c r="BD1034" s="42"/>
      <c r="BE1034" s="3"/>
    </row>
    <row r="1035" spans="1:57" x14ac:dyDescent="0.25">
      <c r="A1035" s="3" t="s">
        <v>791</v>
      </c>
      <c r="B1035" s="3">
        <v>40000</v>
      </c>
      <c r="E1035" s="3">
        <f t="shared" si="569"/>
        <v>40000</v>
      </c>
      <c r="F1035" s="5">
        <v>40000</v>
      </c>
      <c r="H1035" s="5">
        <f t="shared" si="570"/>
        <v>0</v>
      </c>
      <c r="K1035" s="4">
        <f>L1035-J1035</f>
        <v>40000</v>
      </c>
      <c r="L1035" s="5">
        <v>40000</v>
      </c>
      <c r="N1035" s="4">
        <f>L1035-F1035</f>
        <v>0</v>
      </c>
      <c r="P1035" s="3"/>
      <c r="Q1035" s="3"/>
      <c r="R1035" s="3">
        <v>204</v>
      </c>
      <c r="S1035" s="3">
        <f t="shared" si="564"/>
        <v>39796</v>
      </c>
      <c r="T1035" s="3">
        <v>40000</v>
      </c>
      <c r="U1035" s="3">
        <f t="shared" si="565"/>
        <v>40000</v>
      </c>
      <c r="V1035" s="3">
        <v>204</v>
      </c>
      <c r="W1035" s="3">
        <f t="shared" si="566"/>
        <v>39796</v>
      </c>
      <c r="X1035" s="3"/>
      <c r="Y1035" s="3">
        <v>40000</v>
      </c>
      <c r="Z1035" s="3">
        <f t="shared" si="559"/>
        <v>0</v>
      </c>
      <c r="AA1035" s="3"/>
      <c r="AB1035" s="3"/>
      <c r="AC1035" s="3">
        <v>204</v>
      </c>
      <c r="AD1035" s="3">
        <f t="shared" si="567"/>
        <v>39796</v>
      </c>
      <c r="AE1035" s="3">
        <v>40000</v>
      </c>
      <c r="AF1035" s="3">
        <f t="shared" si="568"/>
        <v>0</v>
      </c>
      <c r="AG1035" s="4"/>
      <c r="AH1035" s="4"/>
      <c r="AJ1035" s="3"/>
      <c r="AK1035" s="3">
        <f t="shared" si="571"/>
        <v>45000</v>
      </c>
      <c r="AL1035" s="3">
        <v>45000</v>
      </c>
      <c r="AM1035" s="3">
        <f t="shared" si="572"/>
        <v>45000</v>
      </c>
      <c r="AO1035" s="3"/>
      <c r="AP1035" s="3"/>
      <c r="AQ1035" s="3"/>
      <c r="AR1035" s="3"/>
      <c r="AS1035" s="3"/>
      <c r="AT1035" s="3"/>
      <c r="AU1035" s="3"/>
      <c r="AV1035" s="42"/>
      <c r="AW1035" s="3"/>
      <c r="AX1035" s="42"/>
      <c r="AY1035" s="3"/>
      <c r="AZ1035" s="42"/>
      <c r="BA1035" s="3"/>
      <c r="BB1035" s="42"/>
      <c r="BC1035" s="3"/>
      <c r="BD1035" s="42"/>
      <c r="BE1035" s="3"/>
    </row>
    <row r="1036" spans="1:57" hidden="1" x14ac:dyDescent="0.25">
      <c r="A1036" s="3" t="s">
        <v>792</v>
      </c>
      <c r="B1036" s="3"/>
      <c r="E1036" s="3">
        <f t="shared" si="569"/>
        <v>0</v>
      </c>
      <c r="H1036" s="5">
        <f t="shared" si="570"/>
        <v>0</v>
      </c>
      <c r="K1036" s="4">
        <f>L1036-J1036</f>
        <v>0</v>
      </c>
      <c r="L1036" s="4"/>
      <c r="N1036" s="4">
        <f>L1036-F1036</f>
        <v>0</v>
      </c>
      <c r="P1036" s="3"/>
      <c r="Q1036" s="3"/>
      <c r="R1036" s="3"/>
      <c r="S1036" s="3">
        <f t="shared" si="564"/>
        <v>0</v>
      </c>
      <c r="T1036" s="3"/>
      <c r="U1036" s="3">
        <f t="shared" si="565"/>
        <v>0</v>
      </c>
      <c r="V1036" s="3"/>
      <c r="W1036" s="3">
        <f t="shared" si="566"/>
        <v>0</v>
      </c>
      <c r="X1036" s="3"/>
      <c r="Y1036" s="3"/>
      <c r="Z1036" s="3">
        <f t="shared" si="559"/>
        <v>0</v>
      </c>
      <c r="AA1036" s="3"/>
      <c r="AB1036" s="3"/>
      <c r="AC1036" s="3"/>
      <c r="AD1036" s="3">
        <f t="shared" si="567"/>
        <v>0</v>
      </c>
      <c r="AE1036" s="3"/>
      <c r="AF1036" s="3">
        <f t="shared" si="568"/>
        <v>0</v>
      </c>
      <c r="AG1036" s="4"/>
      <c r="AH1036" s="4"/>
      <c r="AJ1036" s="3"/>
      <c r="AK1036" s="3">
        <f t="shared" si="571"/>
        <v>0</v>
      </c>
      <c r="AL1036" s="3"/>
      <c r="AM1036" s="3">
        <f t="shared" si="572"/>
        <v>0</v>
      </c>
      <c r="AO1036" s="3"/>
      <c r="AP1036" s="3"/>
      <c r="AQ1036" s="3"/>
      <c r="AR1036" s="3"/>
      <c r="AS1036" s="3"/>
      <c r="AT1036" s="3"/>
      <c r="AU1036" s="3"/>
      <c r="AV1036" s="42"/>
      <c r="AW1036" s="3"/>
      <c r="AX1036" s="42"/>
      <c r="AY1036" s="3"/>
      <c r="AZ1036" s="42"/>
      <c r="BA1036" s="3"/>
      <c r="BB1036" s="42"/>
      <c r="BC1036" s="3"/>
      <c r="BD1036" s="42"/>
      <c r="BE1036" s="3"/>
    </row>
    <row r="1037" spans="1:57" s="77" customFormat="1" hidden="1" x14ac:dyDescent="0.25">
      <c r="A1037" s="3" t="s">
        <v>793</v>
      </c>
      <c r="B1037" s="3"/>
      <c r="C1037" s="3"/>
      <c r="D1037" s="29"/>
      <c r="E1037" s="3">
        <f t="shared" si="569"/>
        <v>0</v>
      </c>
      <c r="F1037" s="29"/>
      <c r="G1037" s="3"/>
      <c r="H1037" s="5">
        <f t="shared" si="570"/>
        <v>0</v>
      </c>
      <c r="I1037" s="5"/>
      <c r="J1037" s="5"/>
      <c r="K1037" s="4">
        <f>L1037-J1037</f>
        <v>0</v>
      </c>
      <c r="L1037" s="4"/>
      <c r="M1037" s="4"/>
      <c r="N1037" s="4">
        <f>L1037-F1037</f>
        <v>0</v>
      </c>
      <c r="O1037" s="4"/>
      <c r="P1037" s="3"/>
      <c r="Q1037" s="3"/>
      <c r="R1037" s="3"/>
      <c r="S1037" s="3">
        <f t="shared" si="564"/>
        <v>0</v>
      </c>
      <c r="T1037" s="3"/>
      <c r="U1037" s="3">
        <f t="shared" si="565"/>
        <v>0</v>
      </c>
      <c r="V1037" s="3"/>
      <c r="W1037" s="3">
        <f t="shared" si="566"/>
        <v>0</v>
      </c>
      <c r="X1037" s="3"/>
      <c r="Y1037" s="3"/>
      <c r="Z1037" s="3">
        <f t="shared" si="559"/>
        <v>0</v>
      </c>
      <c r="AA1037" s="3"/>
      <c r="AB1037" s="3"/>
      <c r="AC1037" s="3"/>
      <c r="AD1037" s="3">
        <f t="shared" si="567"/>
        <v>0</v>
      </c>
      <c r="AE1037" s="3"/>
      <c r="AF1037" s="3">
        <f t="shared" si="568"/>
        <v>0</v>
      </c>
      <c r="AG1037" s="4"/>
      <c r="AH1037" s="4"/>
      <c r="AI1037" s="4"/>
      <c r="AJ1037" s="3"/>
      <c r="AK1037" s="3">
        <f t="shared" si="571"/>
        <v>0</v>
      </c>
      <c r="AL1037" s="3"/>
      <c r="AM1037" s="3">
        <f t="shared" si="572"/>
        <v>0</v>
      </c>
      <c r="AN1037" s="4"/>
      <c r="AO1037" s="3"/>
      <c r="AP1037" s="3"/>
      <c r="AQ1037" s="3"/>
      <c r="AR1037" s="3"/>
      <c r="AS1037" s="3"/>
      <c r="AT1037" s="3"/>
      <c r="AU1037" s="3"/>
      <c r="AV1037" s="42"/>
      <c r="AW1037" s="3"/>
      <c r="AX1037" s="42"/>
      <c r="AY1037" s="3"/>
      <c r="AZ1037" s="42"/>
      <c r="BA1037" s="3"/>
      <c r="BB1037" s="42"/>
      <c r="BC1037" s="3"/>
      <c r="BD1037" s="42"/>
      <c r="BE1037" s="3"/>
    </row>
    <row r="1038" spans="1:57" s="77" customFormat="1" x14ac:dyDescent="0.25">
      <c r="A1038" s="3" t="s">
        <v>794</v>
      </c>
      <c r="B1038" s="3"/>
      <c r="C1038" s="3"/>
      <c r="D1038" s="29"/>
      <c r="E1038" s="3"/>
      <c r="F1038" s="29"/>
      <c r="G1038" s="3"/>
      <c r="H1038" s="5"/>
      <c r="I1038" s="5"/>
      <c r="J1038" s="5"/>
      <c r="K1038" s="4"/>
      <c r="L1038" s="4"/>
      <c r="M1038" s="4"/>
      <c r="N1038" s="4"/>
      <c r="O1038" s="4"/>
      <c r="P1038" s="3"/>
      <c r="Q1038" s="3"/>
      <c r="R1038" s="3"/>
      <c r="S1038" s="3"/>
      <c r="T1038" s="3"/>
      <c r="U1038" s="3"/>
      <c r="V1038" s="3"/>
      <c r="W1038" s="3"/>
      <c r="X1038" s="3"/>
      <c r="Y1038" s="3">
        <v>0</v>
      </c>
      <c r="Z1038" s="3"/>
      <c r="AA1038" s="3"/>
      <c r="AB1038" s="3"/>
      <c r="AC1038" s="3">
        <v>0</v>
      </c>
      <c r="AD1038" s="3">
        <f>AE1038-AC1038</f>
        <v>12000</v>
      </c>
      <c r="AE1038" s="3">
        <v>12000</v>
      </c>
      <c r="AF1038" s="3">
        <f>AE1038-Y1038</f>
        <v>12000</v>
      </c>
      <c r="AG1038" s="4"/>
      <c r="AH1038" s="4"/>
      <c r="AI1038" s="4"/>
      <c r="AJ1038" s="3"/>
      <c r="AK1038" s="3">
        <f t="shared" si="571"/>
        <v>20000</v>
      </c>
      <c r="AL1038" s="3">
        <v>20000</v>
      </c>
      <c r="AM1038" s="3">
        <f t="shared" si="572"/>
        <v>20000</v>
      </c>
      <c r="AN1038" s="4"/>
      <c r="AO1038" s="3"/>
      <c r="AP1038" s="3"/>
      <c r="AQ1038" s="3"/>
      <c r="AR1038" s="3"/>
      <c r="AS1038" s="3"/>
      <c r="AT1038" s="3"/>
      <c r="AU1038" s="3"/>
      <c r="AV1038" s="42"/>
      <c r="AW1038" s="3"/>
      <c r="AX1038" s="42"/>
      <c r="AY1038" s="3"/>
      <c r="AZ1038" s="42"/>
      <c r="BA1038" s="3"/>
      <c r="BB1038" s="42"/>
      <c r="BC1038" s="3"/>
      <c r="BD1038" s="42"/>
      <c r="BE1038" s="3"/>
    </row>
    <row r="1039" spans="1:57" s="77" customFormat="1" x14ac:dyDescent="0.25">
      <c r="A1039" s="3" t="s">
        <v>795</v>
      </c>
      <c r="B1039" s="3">
        <v>1900</v>
      </c>
      <c r="C1039" s="3"/>
      <c r="D1039" s="29"/>
      <c r="E1039" s="3">
        <f t="shared" si="569"/>
        <v>1900</v>
      </c>
      <c r="F1039" s="29">
        <v>1900</v>
      </c>
      <c r="G1039" s="3"/>
      <c r="H1039" s="5">
        <f t="shared" si="570"/>
        <v>0</v>
      </c>
      <c r="I1039" s="5"/>
      <c r="J1039" s="5">
        <v>0</v>
      </c>
      <c r="K1039" s="4">
        <f>L1039-J1039</f>
        <v>1900</v>
      </c>
      <c r="L1039" s="4">
        <v>1900</v>
      </c>
      <c r="M1039" s="4"/>
      <c r="N1039" s="4">
        <f>L1039-F1039</f>
        <v>0</v>
      </c>
      <c r="O1039" s="4"/>
      <c r="P1039" s="3">
        <v>1900</v>
      </c>
      <c r="Q1039" s="3"/>
      <c r="R1039" s="3"/>
      <c r="S1039" s="3">
        <f t="shared" si="564"/>
        <v>1900</v>
      </c>
      <c r="T1039" s="3">
        <v>1900</v>
      </c>
      <c r="U1039" s="3">
        <f t="shared" si="565"/>
        <v>0</v>
      </c>
      <c r="V1039" s="3"/>
      <c r="W1039" s="3">
        <f t="shared" si="566"/>
        <v>1900</v>
      </c>
      <c r="X1039" s="3"/>
      <c r="Y1039" s="3">
        <v>1900</v>
      </c>
      <c r="Z1039" s="3">
        <f>Y1039-T1039</f>
        <v>0</v>
      </c>
      <c r="AA1039" s="3"/>
      <c r="AB1039" s="3"/>
      <c r="AC1039" s="3">
        <v>1900</v>
      </c>
      <c r="AD1039" s="3">
        <f t="shared" si="567"/>
        <v>0</v>
      </c>
      <c r="AE1039" s="3">
        <v>1900</v>
      </c>
      <c r="AF1039" s="3">
        <f t="shared" si="568"/>
        <v>0</v>
      </c>
      <c r="AG1039" s="4"/>
      <c r="AH1039" s="4">
        <v>1900</v>
      </c>
      <c r="AI1039" s="4"/>
      <c r="AJ1039" s="3"/>
      <c r="AK1039" s="3">
        <f t="shared" si="571"/>
        <v>1900</v>
      </c>
      <c r="AL1039" s="3">
        <v>1900</v>
      </c>
      <c r="AM1039" s="3">
        <f t="shared" si="572"/>
        <v>0</v>
      </c>
      <c r="AN1039" s="4"/>
      <c r="AO1039" s="3">
        <v>1900</v>
      </c>
      <c r="AP1039" s="3"/>
      <c r="AQ1039" s="3">
        <v>1900</v>
      </c>
      <c r="AR1039" s="3"/>
      <c r="AS1039" s="3"/>
      <c r="AT1039" s="3"/>
      <c r="AU1039" s="3"/>
      <c r="AV1039" s="42"/>
      <c r="AW1039" s="3"/>
      <c r="AX1039" s="42"/>
      <c r="AY1039" s="3"/>
      <c r="AZ1039" s="42"/>
      <c r="BA1039" s="3"/>
      <c r="BB1039" s="42"/>
      <c r="BC1039" s="3"/>
      <c r="BD1039" s="42"/>
      <c r="BE1039" s="3"/>
    </row>
    <row r="1040" spans="1:57" s="77" customFormat="1" x14ac:dyDescent="0.25">
      <c r="A1040" s="3" t="s">
        <v>796</v>
      </c>
      <c r="B1040" s="3"/>
      <c r="C1040" s="3"/>
      <c r="D1040" s="29"/>
      <c r="E1040" s="3"/>
      <c r="F1040" s="29"/>
      <c r="G1040" s="3"/>
      <c r="H1040" s="5"/>
      <c r="I1040" s="5"/>
      <c r="J1040" s="5"/>
      <c r="K1040" s="4"/>
      <c r="L1040" s="4"/>
      <c r="M1040" s="4"/>
      <c r="N1040" s="4"/>
      <c r="O1040" s="4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4"/>
      <c r="AH1040" s="4">
        <v>60000</v>
      </c>
      <c r="AI1040" s="4"/>
      <c r="AJ1040" s="3"/>
      <c r="AK1040" s="3">
        <f t="shared" si="571"/>
        <v>60000</v>
      </c>
      <c r="AL1040" s="3">
        <v>60000</v>
      </c>
      <c r="AM1040" s="3">
        <f t="shared" si="572"/>
        <v>0</v>
      </c>
      <c r="AN1040" s="4"/>
      <c r="AO1040" s="3"/>
      <c r="AP1040" s="3"/>
      <c r="AQ1040" s="3"/>
      <c r="AR1040" s="3"/>
      <c r="AS1040" s="3"/>
      <c r="AT1040" s="3"/>
      <c r="AU1040" s="3"/>
      <c r="AV1040" s="42"/>
      <c r="AW1040" s="3"/>
      <c r="AX1040" s="42"/>
      <c r="AY1040" s="3"/>
      <c r="AZ1040" s="42"/>
      <c r="BA1040" s="3"/>
      <c r="BB1040" s="42"/>
      <c r="BC1040" s="3"/>
      <c r="BD1040" s="42"/>
      <c r="BE1040" s="3"/>
    </row>
    <row r="1041" spans="1:57" s="77" customFormat="1" x14ac:dyDescent="0.25">
      <c r="A1041" s="3" t="s">
        <v>797</v>
      </c>
      <c r="B1041" s="3"/>
      <c r="C1041" s="3"/>
      <c r="D1041" s="29"/>
      <c r="E1041" s="3"/>
      <c r="F1041" s="29"/>
      <c r="G1041" s="3"/>
      <c r="H1041" s="5"/>
      <c r="I1041" s="5"/>
      <c r="J1041" s="5"/>
      <c r="K1041" s="4"/>
      <c r="L1041" s="4"/>
      <c r="M1041" s="4"/>
      <c r="N1041" s="4"/>
      <c r="O1041" s="4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4"/>
      <c r="AH1041" s="4"/>
      <c r="AI1041" s="4"/>
      <c r="AJ1041" s="3"/>
      <c r="AK1041" s="3">
        <f t="shared" si="571"/>
        <v>0</v>
      </c>
      <c r="AL1041" s="3"/>
      <c r="AM1041" s="3">
        <f t="shared" si="572"/>
        <v>0</v>
      </c>
      <c r="AN1041" s="4"/>
      <c r="AO1041" s="3">
        <v>268860</v>
      </c>
      <c r="AP1041" s="3"/>
      <c r="AQ1041" s="3">
        <v>268860</v>
      </c>
      <c r="AR1041" s="3"/>
      <c r="AS1041" s="3">
        <v>268860</v>
      </c>
      <c r="AT1041" s="3"/>
      <c r="AU1041" s="3">
        <v>268860</v>
      </c>
      <c r="AV1041" s="42"/>
      <c r="AW1041" s="3">
        <v>268860</v>
      </c>
      <c r="AX1041" s="42"/>
      <c r="AY1041" s="3">
        <v>268860</v>
      </c>
      <c r="AZ1041" s="42"/>
      <c r="BA1041" s="3">
        <v>268860</v>
      </c>
      <c r="BB1041" s="42"/>
      <c r="BC1041" s="3">
        <v>268860</v>
      </c>
      <c r="BD1041" s="42"/>
      <c r="BE1041" s="3">
        <v>268860</v>
      </c>
    </row>
    <row r="1042" spans="1:57" x14ac:dyDescent="0.25">
      <c r="A1042" s="3" t="s">
        <v>798</v>
      </c>
      <c r="E1042" s="3">
        <f t="shared" si="569"/>
        <v>0</v>
      </c>
      <c r="H1042" s="5">
        <f t="shared" si="570"/>
        <v>0</v>
      </c>
      <c r="K1042" s="4">
        <f>L1042-J1042</f>
        <v>0</v>
      </c>
      <c r="L1042" s="4"/>
      <c r="N1042" s="4">
        <f>L1042-F1042</f>
        <v>0</v>
      </c>
      <c r="P1042" s="3"/>
      <c r="Q1042" s="3"/>
      <c r="R1042" s="3"/>
      <c r="S1042" s="3">
        <f t="shared" si="564"/>
        <v>0</v>
      </c>
      <c r="T1042" s="3"/>
      <c r="U1042" s="3">
        <f t="shared" si="565"/>
        <v>0</v>
      </c>
      <c r="V1042" s="3"/>
      <c r="W1042" s="3">
        <f t="shared" si="566"/>
        <v>0</v>
      </c>
      <c r="X1042" s="3"/>
      <c r="Y1042" s="3"/>
      <c r="Z1042" s="3">
        <f>Y1042-T1042</f>
        <v>0</v>
      </c>
      <c r="AA1042" s="3"/>
      <c r="AB1042" s="3"/>
      <c r="AC1042" s="3"/>
      <c r="AD1042" s="3">
        <f t="shared" si="567"/>
        <v>0</v>
      </c>
      <c r="AE1042" s="3"/>
      <c r="AF1042" s="3">
        <f t="shared" si="568"/>
        <v>0</v>
      </c>
      <c r="AG1042" s="4"/>
      <c r="AH1042" s="4"/>
      <c r="AJ1042" s="3"/>
      <c r="AK1042" s="3">
        <f t="shared" si="571"/>
        <v>0</v>
      </c>
      <c r="AL1042" s="3"/>
      <c r="AM1042" s="3">
        <f t="shared" si="572"/>
        <v>0</v>
      </c>
      <c r="AO1042" s="3"/>
      <c r="AP1042" s="3"/>
      <c r="AQ1042" s="3"/>
      <c r="AR1042" s="3"/>
      <c r="AS1042" s="3"/>
      <c r="AT1042" s="3"/>
      <c r="AU1042" s="3"/>
      <c r="AV1042" s="42"/>
      <c r="AW1042" s="3"/>
      <c r="AX1042" s="42"/>
      <c r="AY1042" s="3"/>
      <c r="AZ1042" s="42"/>
      <c r="BA1042" s="3"/>
      <c r="BB1042" s="42"/>
      <c r="BC1042" s="3"/>
      <c r="BD1042" s="42"/>
      <c r="BE1042" s="3"/>
    </row>
    <row r="1043" spans="1:57" ht="15.75" thickBot="1" x14ac:dyDescent="0.3">
      <c r="A1043" s="3"/>
      <c r="B1043" s="43">
        <f>SUM(B841:B1042)</f>
        <v>1605150</v>
      </c>
      <c r="C1043" s="32"/>
      <c r="D1043" s="43">
        <f>SUM(D841:D1042)</f>
        <v>490318</v>
      </c>
      <c r="E1043" s="43">
        <f>SUM(E841:E1042)</f>
        <v>1216832</v>
      </c>
      <c r="F1043" s="43">
        <f>SUM(F841:F1042)</f>
        <v>1707150</v>
      </c>
      <c r="G1043" s="32"/>
      <c r="H1043" s="43">
        <f>SUM(H841:H1042)</f>
        <v>102000</v>
      </c>
      <c r="I1043" s="36"/>
      <c r="J1043" s="43">
        <f>SUM(J841:J1042)</f>
        <v>732042</v>
      </c>
      <c r="K1043" s="43">
        <f>SUM(K841:K1042)</f>
        <v>979653</v>
      </c>
      <c r="L1043" s="43">
        <f>SUM(L841:L1042)</f>
        <v>1711695</v>
      </c>
      <c r="M1043" s="32"/>
      <c r="N1043" s="43">
        <f>SUM(N841:N1042)</f>
        <v>4545</v>
      </c>
      <c r="P1043" s="44">
        <f>SUM(P841:P1042)</f>
        <v>1168600.22</v>
      </c>
      <c r="Q1043" s="3"/>
      <c r="R1043" s="74">
        <f t="shared" ref="R1043:Z1043" si="573">SUM(R841:R1042)</f>
        <v>141804</v>
      </c>
      <c r="S1043" s="74">
        <f t="shared" si="573"/>
        <v>1192396</v>
      </c>
      <c r="T1043" s="74">
        <f t="shared" si="573"/>
        <v>1334200</v>
      </c>
      <c r="U1043" s="74">
        <f t="shared" si="573"/>
        <v>165599.78</v>
      </c>
      <c r="V1043" s="74">
        <f t="shared" si="573"/>
        <v>413423</v>
      </c>
      <c r="W1043" s="74">
        <f t="shared" si="573"/>
        <v>837757</v>
      </c>
      <c r="X1043" s="74"/>
      <c r="Y1043" s="74">
        <f t="shared" si="573"/>
        <v>1251180</v>
      </c>
      <c r="Z1043" s="74">
        <f t="shared" si="573"/>
        <v>-83020</v>
      </c>
      <c r="AA1043" s="3"/>
      <c r="AB1043" s="3"/>
      <c r="AC1043" s="74">
        <f>SUM(AC841:AC1042)</f>
        <v>637581</v>
      </c>
      <c r="AD1043" s="74">
        <f>SUM(AD841:AD1042)</f>
        <v>604824</v>
      </c>
      <c r="AE1043" s="74">
        <f>SUM(AE841:AE1042)</f>
        <v>1242405</v>
      </c>
      <c r="AF1043" s="74">
        <f>SUM(AF841:AF1042)</f>
        <v>-8775</v>
      </c>
      <c r="AG1043" s="4"/>
      <c r="AH1043" s="32">
        <f>SUM(AH841:AH1042)</f>
        <v>1287912.2265999999</v>
      </c>
      <c r="AI1043" s="32"/>
      <c r="AJ1043" s="44">
        <f>SUM(AJ841:AJ1042)</f>
        <v>303485</v>
      </c>
      <c r="AK1043" s="44">
        <f>SUM(AK841:AK1042)</f>
        <v>1062415</v>
      </c>
      <c r="AL1043" s="44">
        <f>SUM(AL841:AL1042)</f>
        <v>1365900</v>
      </c>
      <c r="AM1043" s="44">
        <f>SUM(AM841:AM1042)</f>
        <v>77987.773400000005</v>
      </c>
      <c r="AN1043" s="32"/>
      <c r="AO1043" s="44">
        <f>SUM(AO841:AO1042)</f>
        <v>1885823.6633979999</v>
      </c>
      <c r="AP1043" s="3"/>
      <c r="AQ1043" s="44">
        <f>SUM(AQ841:AQ1042)</f>
        <v>1610135.3733829402</v>
      </c>
      <c r="AR1043" s="3"/>
      <c r="AS1043" s="44">
        <f>SUM(AS841:AS1042)</f>
        <v>741408.8072977605</v>
      </c>
      <c r="AT1043" s="44"/>
      <c r="AU1043" s="44">
        <f>SUM(AU841:AU1042)</f>
        <v>1089128.4285334703</v>
      </c>
      <c r="AV1043" s="42"/>
      <c r="AW1043" s="44">
        <f>SUM(AW841:AW1042)</f>
        <v>855235.71348758682</v>
      </c>
      <c r="AX1043" s="42"/>
      <c r="AY1043" s="44">
        <f>SUM(AY841:AY1042)</f>
        <v>655132.1519328109</v>
      </c>
      <c r="AZ1043" s="42"/>
      <c r="BA1043" s="44">
        <f>SUM(BA841:BA1042)</f>
        <v>887920.24739623035</v>
      </c>
      <c r="BB1043" s="42"/>
      <c r="BC1043" s="44">
        <f>SUM(BC841:BC1042)</f>
        <v>731403.51754935307</v>
      </c>
      <c r="BD1043" s="42"/>
      <c r="BE1043" s="44">
        <f>SUM(BE841:BE1042)</f>
        <v>839144.494609282</v>
      </c>
    </row>
    <row r="1044" spans="1:57" ht="16.5" thickTop="1" thickBot="1" x14ac:dyDescent="0.3">
      <c r="A1044" s="7"/>
      <c r="B1044" s="7"/>
      <c r="C1044" s="7"/>
      <c r="D1044" s="7"/>
      <c r="E1044" s="7"/>
      <c r="F1044" s="7"/>
      <c r="G1044" s="7"/>
      <c r="H1044" s="7"/>
      <c r="I1044" s="7"/>
      <c r="J1044" s="7"/>
      <c r="K1044" s="7"/>
      <c r="L1044" s="7"/>
      <c r="M1044" s="32"/>
      <c r="N1044" s="7"/>
      <c r="P1044" s="7"/>
      <c r="AH1044" s="32"/>
      <c r="AI1044" s="32"/>
      <c r="AO1044" s="7"/>
      <c r="AQ1044" s="7"/>
      <c r="AS1044" s="7"/>
      <c r="AT1044" s="7"/>
      <c r="AU1044" s="7"/>
      <c r="AW1044" s="7"/>
      <c r="AY1044" s="7"/>
      <c r="BA1044" s="7"/>
      <c r="BC1044" s="7"/>
      <c r="BE1044" s="7"/>
    </row>
    <row r="1045" spans="1:57" ht="15.75" thickBot="1" x14ac:dyDescent="0.3">
      <c r="A1045" s="3"/>
      <c r="B1045" s="67">
        <f>B1043+B836</f>
        <v>11037949</v>
      </c>
      <c r="C1045" s="32"/>
      <c r="D1045" s="67">
        <f>D1043+D836</f>
        <v>2640135</v>
      </c>
      <c r="E1045" s="67">
        <f>E1043+E836</f>
        <v>9403964</v>
      </c>
      <c r="F1045" s="67">
        <f>F1043+F836</f>
        <v>12044096</v>
      </c>
      <c r="G1045" s="32"/>
      <c r="H1045" s="67">
        <f>H1043+H836</f>
        <v>1008145</v>
      </c>
      <c r="I1045" s="36"/>
      <c r="J1045" s="67">
        <f>J1043+J836</f>
        <v>5654334</v>
      </c>
      <c r="K1045" s="67">
        <f>K1043+K836</f>
        <v>6082340</v>
      </c>
      <c r="L1045" s="67">
        <f>L1043+L836</f>
        <v>11824073</v>
      </c>
      <c r="M1045" s="32"/>
      <c r="N1045" s="67">
        <f>N1043+N836</f>
        <v>-79473</v>
      </c>
      <c r="P1045" s="67">
        <f>P1043+P836</f>
        <v>10752294.148</v>
      </c>
      <c r="R1045" s="67">
        <f t="shared" ref="R1045:Z1045" si="574">R1043+R836</f>
        <v>2208271</v>
      </c>
      <c r="S1045" s="67">
        <f t="shared" si="574"/>
        <v>8895576.5571075007</v>
      </c>
      <c r="T1045" s="67">
        <f t="shared" si="574"/>
        <v>11103848.557107501</v>
      </c>
      <c r="U1045" s="67" t="e">
        <f t="shared" si="574"/>
        <v>#VALUE!</v>
      </c>
      <c r="V1045" s="67">
        <f t="shared" si="574"/>
        <v>4770873</v>
      </c>
      <c r="W1045" s="67">
        <f t="shared" si="574"/>
        <v>6586020</v>
      </c>
      <c r="X1045" s="67"/>
      <c r="Y1045" s="67">
        <f t="shared" si="574"/>
        <v>11357944</v>
      </c>
      <c r="Z1045" s="67">
        <f t="shared" si="574"/>
        <v>254094.44289250002</v>
      </c>
      <c r="AC1045" s="67">
        <f>AC1043+AC836</f>
        <v>6796479</v>
      </c>
      <c r="AD1045" s="67">
        <f>AD1043+AD836</f>
        <v>4572939</v>
      </c>
      <c r="AE1045" s="67">
        <f>AE1043+AE836</f>
        <v>11369419</v>
      </c>
      <c r="AF1045" s="67">
        <f>AF1043+AF836</f>
        <v>11474</v>
      </c>
      <c r="AH1045" s="36">
        <f>AH1043+AH836</f>
        <v>12467719.137400001</v>
      </c>
      <c r="AI1045" s="32"/>
      <c r="AJ1045" s="67">
        <f>AJ1043+AJ836</f>
        <v>2186520</v>
      </c>
      <c r="AK1045" s="67">
        <f>AK1043+AK836</f>
        <v>10702407</v>
      </c>
      <c r="AL1045" s="67">
        <f>AL1043+AL836</f>
        <v>12888925</v>
      </c>
      <c r="AM1045" s="67">
        <f>AM1043+AM836</f>
        <v>421207.86260000005</v>
      </c>
      <c r="AN1045" s="32"/>
      <c r="AO1045" s="67">
        <f>AO1043+AO836</f>
        <v>9284150.2327970006</v>
      </c>
      <c r="AQ1045" s="67">
        <f>AQ1043+AQ836</f>
        <v>9259689.6348944865</v>
      </c>
      <c r="AS1045" s="67">
        <f>AS1043+AS836</f>
        <v>8555622.8391492125</v>
      </c>
      <c r="AT1045" s="67"/>
      <c r="AU1045" s="67">
        <f>AU1043+AU836</f>
        <v>9027063.418849133</v>
      </c>
      <c r="AW1045" s="67">
        <f>AW1043+AW836</f>
        <v>9068668.6444484238</v>
      </c>
      <c r="AY1045" s="67">
        <f>AY1043+AY836</f>
        <v>8866666.8572840355</v>
      </c>
      <c r="BA1045" s="67">
        <f>BA1043+BA836</f>
        <v>9378870.7213803232</v>
      </c>
      <c r="BC1045" s="67">
        <f>BC1043+BC836</f>
        <v>9299014.4238787647</v>
      </c>
      <c r="BE1045" s="67">
        <f>BE1043+BE836</f>
        <v>9635712.0781409461</v>
      </c>
    </row>
    <row r="1046" spans="1:57" x14ac:dyDescent="0.25">
      <c r="A1046" s="3"/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P1046" s="32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4"/>
      <c r="AH1046" s="32"/>
      <c r="AI1046" s="32"/>
      <c r="AJ1046" s="3"/>
      <c r="AK1046" s="3"/>
      <c r="AL1046" s="3"/>
      <c r="AM1046" s="3"/>
      <c r="AO1046" s="32"/>
      <c r="AP1046" s="3"/>
      <c r="AQ1046" s="32"/>
      <c r="AR1046" s="3"/>
      <c r="AS1046" s="32"/>
      <c r="AT1046" s="32"/>
      <c r="AU1046" s="32"/>
      <c r="AV1046" s="42"/>
      <c r="AW1046" s="32"/>
      <c r="AX1046" s="42"/>
      <c r="AY1046" s="32"/>
      <c r="AZ1046" s="42"/>
      <c r="BA1046" s="32"/>
      <c r="BB1046" s="42"/>
      <c r="BC1046" s="32"/>
      <c r="BD1046" s="42"/>
      <c r="BE1046" s="32"/>
    </row>
    <row r="1047" spans="1:57" ht="15.75" hidden="1" thickBot="1" x14ac:dyDescent="0.3">
      <c r="A1047" s="3"/>
      <c r="B1047" s="3"/>
      <c r="D1047" s="3"/>
      <c r="E1047" s="3"/>
      <c r="F1047" s="3"/>
      <c r="H1047" s="3"/>
      <c r="I1047" s="3"/>
      <c r="J1047" s="3"/>
      <c r="K1047" s="3"/>
      <c r="L1047" s="3"/>
      <c r="N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4"/>
      <c r="AH1047" s="4"/>
      <c r="AJ1047" s="3"/>
      <c r="AK1047" s="3"/>
      <c r="AL1047" s="3"/>
      <c r="AM1047" s="3"/>
      <c r="AO1047" s="3"/>
      <c r="AP1047" s="3"/>
      <c r="AQ1047" s="3"/>
      <c r="AR1047" s="3"/>
      <c r="AS1047" s="3"/>
      <c r="AT1047" s="3"/>
      <c r="AU1047" s="3"/>
      <c r="AV1047" s="42"/>
      <c r="AW1047" s="3"/>
      <c r="AX1047" s="42"/>
      <c r="AY1047" s="3"/>
      <c r="AZ1047" s="42"/>
      <c r="BA1047" s="3"/>
      <c r="BB1047" s="42"/>
      <c r="BC1047" s="3"/>
      <c r="BD1047" s="42"/>
      <c r="BE1047" s="3"/>
    </row>
    <row r="1048" spans="1:57" ht="15.75" hidden="1" thickBot="1" x14ac:dyDescent="0.3">
      <c r="A1048" s="79" t="s">
        <v>799</v>
      </c>
    </row>
    <row r="1049" spans="1:57" ht="15.75" hidden="1" thickBot="1" x14ac:dyDescent="0.3">
      <c r="A1049" s="3"/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59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59"/>
      <c r="AH1049" s="59"/>
      <c r="AI1049" s="51"/>
      <c r="AJ1049" s="6"/>
      <c r="AK1049" s="6"/>
      <c r="AL1049" s="6"/>
      <c r="AM1049" s="6"/>
      <c r="AN1049" s="51"/>
      <c r="AO1049" s="6"/>
      <c r="AP1049" s="6"/>
      <c r="AQ1049" s="6"/>
      <c r="AR1049" s="6"/>
      <c r="AS1049" s="6"/>
      <c r="AT1049" s="6"/>
      <c r="AU1049" s="6"/>
      <c r="AW1049" s="6"/>
      <c r="AY1049" s="6"/>
      <c r="BA1049" s="6"/>
      <c r="BC1049" s="6"/>
      <c r="BE1049" s="6"/>
    </row>
    <row r="1050" spans="1:57" ht="15.75" hidden="1" thickBot="1" x14ac:dyDescent="0.3">
      <c r="A1050" s="79" t="s">
        <v>800</v>
      </c>
      <c r="B1050" s="6"/>
      <c r="C1050" s="6"/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59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59"/>
      <c r="AH1050" s="59"/>
      <c r="AI1050" s="51"/>
      <c r="AJ1050" s="6"/>
      <c r="AK1050" s="6"/>
      <c r="AL1050" s="6"/>
      <c r="AM1050" s="6"/>
      <c r="AN1050" s="51"/>
      <c r="AO1050" s="6"/>
      <c r="AP1050" s="6"/>
      <c r="AQ1050" s="6"/>
      <c r="AR1050" s="6"/>
      <c r="AS1050" s="6"/>
      <c r="AT1050" s="6"/>
      <c r="AU1050" s="6"/>
      <c r="AW1050" s="6"/>
      <c r="AY1050" s="6"/>
      <c r="BA1050" s="6"/>
      <c r="BC1050" s="6"/>
      <c r="BE1050" s="6"/>
    </row>
    <row r="1051" spans="1:57" hidden="1" x14ac:dyDescent="0.25">
      <c r="A1051" s="80" t="s">
        <v>47</v>
      </c>
      <c r="B1051" s="6"/>
      <c r="C1051" s="6"/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59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59"/>
      <c r="AH1051" s="59"/>
      <c r="AI1051" s="51"/>
      <c r="AJ1051" s="6"/>
      <c r="AK1051" s="6"/>
      <c r="AL1051" s="6"/>
      <c r="AM1051" s="6"/>
      <c r="AN1051" s="51"/>
      <c r="AO1051" s="6"/>
      <c r="AP1051" s="6"/>
      <c r="AQ1051" s="6"/>
      <c r="AR1051" s="6"/>
      <c r="AS1051" s="6"/>
      <c r="AT1051" s="6"/>
      <c r="AU1051" s="6"/>
      <c r="AW1051" s="6"/>
      <c r="AY1051" s="6"/>
      <c r="BA1051" s="6"/>
      <c r="BC1051" s="6"/>
      <c r="BE1051" s="6"/>
    </row>
    <row r="1052" spans="1:57" hidden="1" x14ac:dyDescent="0.25">
      <c r="A1052" s="80" t="s">
        <v>58</v>
      </c>
      <c r="B1052" s="6"/>
      <c r="C1052" s="6"/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59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59"/>
      <c r="AH1052" s="59"/>
      <c r="AI1052" s="51"/>
      <c r="AJ1052" s="6"/>
      <c r="AK1052" s="6"/>
      <c r="AL1052" s="6"/>
      <c r="AM1052" s="6"/>
      <c r="AN1052" s="51"/>
      <c r="AO1052" s="6"/>
      <c r="AP1052" s="6"/>
      <c r="AQ1052" s="6"/>
      <c r="AR1052" s="6"/>
      <c r="AS1052" s="6"/>
      <c r="AT1052" s="6"/>
      <c r="AU1052" s="6"/>
      <c r="AW1052" s="6"/>
      <c r="AY1052" s="6"/>
      <c r="BA1052" s="6"/>
      <c r="BC1052" s="6"/>
      <c r="BE1052" s="6"/>
    </row>
    <row r="1053" spans="1:57" hidden="1" x14ac:dyDescent="0.25">
      <c r="A1053" s="80" t="s">
        <v>77</v>
      </c>
      <c r="B1053" s="6"/>
      <c r="C1053" s="6"/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59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59"/>
      <c r="AH1053" s="59"/>
      <c r="AI1053" s="51"/>
      <c r="AJ1053" s="6"/>
      <c r="AK1053" s="6"/>
      <c r="AL1053" s="6"/>
      <c r="AM1053" s="6"/>
      <c r="AN1053" s="51"/>
      <c r="AO1053" s="6"/>
      <c r="AP1053" s="6"/>
      <c r="AQ1053" s="6"/>
      <c r="AR1053" s="6"/>
      <c r="AS1053" s="6"/>
      <c r="AT1053" s="6"/>
      <c r="AU1053" s="6"/>
      <c r="AW1053" s="6"/>
      <c r="AY1053" s="6"/>
      <c r="BA1053" s="6"/>
      <c r="BC1053" s="6"/>
      <c r="BE1053" s="6"/>
    </row>
    <row r="1054" spans="1:57" hidden="1" x14ac:dyDescent="0.25">
      <c r="A1054" s="80" t="s">
        <v>96</v>
      </c>
      <c r="B1054" s="6"/>
      <c r="C1054" s="6"/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59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59"/>
      <c r="AH1054" s="59"/>
      <c r="AI1054" s="51"/>
      <c r="AJ1054" s="6"/>
      <c r="AK1054" s="6"/>
      <c r="AL1054" s="6"/>
      <c r="AM1054" s="6"/>
      <c r="AN1054" s="51"/>
      <c r="AO1054" s="6"/>
      <c r="AP1054" s="6"/>
      <c r="AQ1054" s="6"/>
      <c r="AR1054" s="6"/>
      <c r="AS1054" s="6"/>
      <c r="AT1054" s="6"/>
      <c r="AU1054" s="6"/>
      <c r="AW1054" s="6"/>
      <c r="AY1054" s="6"/>
      <c r="BA1054" s="6"/>
      <c r="BC1054" s="6"/>
      <c r="BE1054" s="6"/>
    </row>
    <row r="1055" spans="1:57" hidden="1" x14ac:dyDescent="0.25">
      <c r="A1055" s="80" t="s">
        <v>403</v>
      </c>
      <c r="B1055" s="6"/>
      <c r="C1055" s="6"/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59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59"/>
      <c r="AH1055" s="59"/>
      <c r="AI1055" s="51"/>
      <c r="AJ1055" s="6"/>
      <c r="AK1055" s="6"/>
      <c r="AL1055" s="6"/>
      <c r="AM1055" s="6"/>
      <c r="AN1055" s="51"/>
      <c r="AO1055" s="6"/>
      <c r="AP1055" s="6"/>
      <c r="AQ1055" s="6"/>
      <c r="AR1055" s="6"/>
      <c r="AS1055" s="6"/>
      <c r="AT1055" s="6"/>
      <c r="AU1055" s="6"/>
      <c r="AW1055" s="6"/>
      <c r="AY1055" s="6"/>
      <c r="BA1055" s="6"/>
      <c r="BC1055" s="6"/>
      <c r="BE1055" s="6"/>
    </row>
    <row r="1056" spans="1:57" hidden="1" x14ac:dyDescent="0.25">
      <c r="A1056" s="80" t="s">
        <v>801</v>
      </c>
      <c r="B1056" s="6"/>
      <c r="C1056" s="6"/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59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59"/>
      <c r="AH1056" s="59"/>
      <c r="AI1056" s="51"/>
      <c r="AJ1056" s="6"/>
      <c r="AK1056" s="6"/>
      <c r="AL1056" s="6"/>
      <c r="AM1056" s="6"/>
      <c r="AN1056" s="51"/>
      <c r="AO1056" s="6"/>
      <c r="AP1056" s="6"/>
      <c r="AQ1056" s="6"/>
      <c r="AR1056" s="6"/>
      <c r="AS1056" s="6"/>
      <c r="AT1056" s="6"/>
      <c r="AU1056" s="6"/>
      <c r="AW1056" s="6"/>
      <c r="AY1056" s="6"/>
      <c r="BA1056" s="6"/>
      <c r="BC1056" s="6"/>
      <c r="BE1056" s="6"/>
    </row>
    <row r="1057" spans="1:57" hidden="1" x14ac:dyDescent="0.25">
      <c r="A1057" s="80" t="s">
        <v>802</v>
      </c>
      <c r="B1057" s="6"/>
      <c r="C1057" s="6"/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59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59"/>
      <c r="AH1057" s="59"/>
      <c r="AI1057" s="51"/>
      <c r="AJ1057" s="6"/>
      <c r="AK1057" s="6"/>
      <c r="AL1057" s="6"/>
      <c r="AM1057" s="6"/>
      <c r="AN1057" s="51"/>
      <c r="AO1057" s="6"/>
      <c r="AP1057" s="6"/>
      <c r="AQ1057" s="6"/>
      <c r="AR1057" s="6"/>
      <c r="AS1057" s="6"/>
      <c r="AT1057" s="6"/>
      <c r="AU1057" s="6"/>
      <c r="AW1057" s="6"/>
      <c r="AY1057" s="6"/>
      <c r="BA1057" s="6"/>
      <c r="BC1057" s="6"/>
      <c r="BE1057" s="6"/>
    </row>
    <row r="1058" spans="1:57" hidden="1" x14ac:dyDescent="0.25">
      <c r="A1058" s="80" t="s">
        <v>803</v>
      </c>
      <c r="B1058" s="6"/>
      <c r="C1058" s="6"/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59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59"/>
      <c r="AH1058" s="59"/>
      <c r="AI1058" s="51"/>
      <c r="AJ1058" s="6"/>
      <c r="AK1058" s="6"/>
      <c r="AL1058" s="6"/>
      <c r="AM1058" s="6"/>
      <c r="AN1058" s="51"/>
      <c r="AO1058" s="6"/>
      <c r="AP1058" s="6"/>
      <c r="AQ1058" s="6"/>
      <c r="AR1058" s="6"/>
      <c r="AS1058" s="6"/>
      <c r="AT1058" s="6"/>
      <c r="AU1058" s="6"/>
      <c r="AW1058" s="6"/>
      <c r="AY1058" s="6"/>
      <c r="BA1058" s="6"/>
      <c r="BC1058" s="6"/>
      <c r="BE1058" s="6"/>
    </row>
    <row r="1059" spans="1:57" hidden="1" x14ac:dyDescent="0.25">
      <c r="A1059" s="80" t="s">
        <v>190</v>
      </c>
      <c r="B1059" s="6"/>
      <c r="C1059" s="6"/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59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59"/>
      <c r="AH1059" s="59"/>
      <c r="AI1059" s="51"/>
      <c r="AJ1059" s="6"/>
      <c r="AK1059" s="6"/>
      <c r="AL1059" s="6"/>
      <c r="AM1059" s="6"/>
      <c r="AN1059" s="51"/>
      <c r="AO1059" s="6"/>
      <c r="AP1059" s="6"/>
      <c r="AQ1059" s="6"/>
      <c r="AR1059" s="6"/>
      <c r="AS1059" s="6"/>
      <c r="AT1059" s="6"/>
      <c r="AU1059" s="6"/>
      <c r="AW1059" s="6"/>
      <c r="AY1059" s="6"/>
      <c r="BA1059" s="6"/>
      <c r="BC1059" s="6"/>
      <c r="BE1059" s="6"/>
    </row>
    <row r="1060" spans="1:57" hidden="1" x14ac:dyDescent="0.25">
      <c r="A1060" s="80" t="s">
        <v>570</v>
      </c>
      <c r="B1060" s="6"/>
      <c r="C1060" s="6"/>
      <c r="D1060" s="6"/>
      <c r="E1060" s="6"/>
      <c r="F1060" s="6"/>
      <c r="G1060" s="6"/>
      <c r="H1060" s="6"/>
      <c r="I1060" s="6"/>
      <c r="J1060" s="6"/>
      <c r="K1060" s="6"/>
      <c r="L1060" s="6"/>
      <c r="M1060" s="6"/>
      <c r="N1060" s="6"/>
      <c r="O1060" s="59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59"/>
      <c r="AH1060" s="59"/>
      <c r="AI1060" s="51"/>
      <c r="AJ1060" s="6"/>
      <c r="AK1060" s="6"/>
      <c r="AL1060" s="6"/>
      <c r="AM1060" s="6"/>
      <c r="AN1060" s="51"/>
      <c r="AO1060" s="6"/>
      <c r="AP1060" s="6"/>
      <c r="AQ1060" s="6"/>
      <c r="AR1060" s="6"/>
      <c r="AS1060" s="6"/>
      <c r="AT1060" s="6"/>
      <c r="AU1060" s="6"/>
      <c r="AW1060" s="6"/>
      <c r="AY1060" s="6"/>
      <c r="BA1060" s="6"/>
      <c r="BC1060" s="6"/>
      <c r="BE1060" s="6"/>
    </row>
    <row r="1061" spans="1:57" hidden="1" x14ac:dyDescent="0.25">
      <c r="A1061" s="80"/>
      <c r="B1061" s="6"/>
      <c r="C1061" s="6"/>
      <c r="D1061" s="6"/>
      <c r="E1061" s="6"/>
      <c r="F1061" s="6"/>
      <c r="G1061" s="6"/>
      <c r="H1061" s="6"/>
      <c r="I1061" s="6"/>
      <c r="J1061" s="6"/>
      <c r="K1061" s="6"/>
      <c r="L1061" s="6"/>
      <c r="M1061" s="6"/>
      <c r="N1061" s="6"/>
      <c r="O1061" s="59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59"/>
      <c r="AH1061" s="59"/>
      <c r="AI1061" s="51"/>
      <c r="AJ1061" s="6"/>
      <c r="AK1061" s="6"/>
      <c r="AL1061" s="6"/>
      <c r="AM1061" s="6"/>
      <c r="AN1061" s="51"/>
      <c r="AO1061" s="6"/>
      <c r="AP1061" s="6"/>
      <c r="AQ1061" s="6"/>
      <c r="AR1061" s="6"/>
      <c r="AS1061" s="6"/>
      <c r="AT1061" s="6"/>
      <c r="AU1061" s="6"/>
      <c r="AW1061" s="6"/>
      <c r="AY1061" s="6"/>
      <c r="BA1061" s="6"/>
      <c r="BC1061" s="6"/>
      <c r="BE1061" s="6"/>
    </row>
    <row r="1062" spans="1:57" ht="15.75" hidden="1" thickBot="1" x14ac:dyDescent="0.3">
      <c r="A1062" s="81" t="s">
        <v>804</v>
      </c>
      <c r="B1062" s="6"/>
      <c r="C1062" s="6"/>
      <c r="D1062" s="6"/>
      <c r="E1062" s="6"/>
      <c r="F1062" s="6"/>
      <c r="G1062" s="6"/>
      <c r="H1062" s="6"/>
      <c r="I1062" s="6"/>
      <c r="J1062" s="6"/>
      <c r="K1062" s="6"/>
      <c r="L1062" s="6"/>
      <c r="M1062" s="6"/>
      <c r="N1062" s="6"/>
      <c r="O1062" s="59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59"/>
      <c r="AH1062" s="59"/>
      <c r="AI1062" s="51"/>
      <c r="AJ1062" s="6"/>
      <c r="AK1062" s="6"/>
      <c r="AL1062" s="6"/>
      <c r="AM1062" s="6"/>
      <c r="AN1062" s="51"/>
      <c r="AO1062" s="6"/>
      <c r="AP1062" s="6"/>
      <c r="AQ1062" s="6"/>
      <c r="AR1062" s="6"/>
      <c r="AS1062" s="6"/>
      <c r="AT1062" s="6"/>
      <c r="AU1062" s="6"/>
      <c r="AW1062" s="6"/>
      <c r="AY1062" s="6"/>
      <c r="BA1062" s="6"/>
      <c r="BC1062" s="6"/>
      <c r="BE1062" s="6"/>
    </row>
    <row r="1063" spans="1:57" hidden="1" x14ac:dyDescent="0.25">
      <c r="A1063" s="7" t="s">
        <v>249</v>
      </c>
      <c r="B1063" s="6"/>
      <c r="C1063" s="6"/>
      <c r="D1063" s="6"/>
      <c r="E1063" s="6"/>
      <c r="F1063" s="6"/>
      <c r="G1063" s="6"/>
      <c r="H1063" s="6"/>
      <c r="I1063" s="6"/>
      <c r="J1063" s="6"/>
      <c r="K1063" s="6"/>
      <c r="L1063" s="6"/>
      <c r="M1063" s="6"/>
      <c r="N1063" s="6"/>
      <c r="O1063" s="59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59"/>
      <c r="AH1063" s="59"/>
      <c r="AI1063" s="51"/>
      <c r="AJ1063" s="6"/>
      <c r="AK1063" s="6"/>
      <c r="AL1063" s="6"/>
      <c r="AM1063" s="6"/>
      <c r="AN1063" s="51"/>
      <c r="AO1063" s="6"/>
      <c r="AP1063" s="6"/>
      <c r="AQ1063" s="6"/>
      <c r="AR1063" s="6"/>
      <c r="AS1063" s="6"/>
      <c r="AT1063" s="6"/>
      <c r="AU1063" s="6"/>
      <c r="AW1063" s="6"/>
      <c r="AY1063" s="6"/>
      <c r="BA1063" s="6"/>
      <c r="BC1063" s="6"/>
      <c r="BE1063" s="6"/>
    </row>
    <row r="1064" spans="1:57" x14ac:dyDescent="0.25">
      <c r="A1064" s="7"/>
      <c r="B1064" s="6"/>
      <c r="C1064" s="6"/>
      <c r="D1064" s="6"/>
      <c r="E1064" s="6"/>
      <c r="F1064" s="6"/>
      <c r="G1064" s="6"/>
      <c r="H1064" s="6"/>
      <c r="I1064" s="6"/>
      <c r="J1064" s="6"/>
      <c r="K1064" s="6"/>
      <c r="L1064" s="6"/>
      <c r="M1064" s="6"/>
      <c r="N1064" s="6"/>
      <c r="O1064" s="59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59"/>
      <c r="AH1064" s="59"/>
      <c r="AI1064" s="51"/>
      <c r="AJ1064" s="6"/>
      <c r="AK1064" s="6"/>
      <c r="AL1064" s="6"/>
      <c r="AM1064" s="6"/>
      <c r="AN1064" s="51"/>
      <c r="AO1064" s="6"/>
      <c r="AP1064" s="6"/>
      <c r="AQ1064" s="6"/>
      <c r="AR1064" s="6"/>
      <c r="AS1064" s="6"/>
      <c r="AT1064" s="6"/>
      <c r="AU1064" s="6"/>
      <c r="AW1064" s="6"/>
      <c r="AY1064" s="6"/>
      <c r="BA1064" s="6"/>
      <c r="BC1064" s="6"/>
      <c r="BE1064" s="6"/>
    </row>
    <row r="1065" spans="1:57" x14ac:dyDescent="0.25">
      <c r="A1065" s="1" t="s">
        <v>805</v>
      </c>
      <c r="B1065" s="3"/>
      <c r="D1065" s="3"/>
      <c r="E1065" s="3"/>
      <c r="F1065" s="3"/>
      <c r="H1065" s="3"/>
      <c r="I1065" s="3"/>
      <c r="J1065" s="3"/>
      <c r="K1065" s="3"/>
      <c r="L1065" s="3"/>
      <c r="N1065" s="3"/>
    </row>
    <row r="1066" spans="1:57" ht="23.25" customHeight="1" thickBot="1" x14ac:dyDescent="0.3">
      <c r="A1066" s="7"/>
    </row>
    <row r="1067" spans="1:57" x14ac:dyDescent="0.25">
      <c r="A1067" s="3"/>
      <c r="B1067" s="8" t="s">
        <v>8</v>
      </c>
      <c r="C1067" s="9"/>
      <c r="D1067" s="10" t="s">
        <v>9</v>
      </c>
      <c r="E1067" s="11" t="s">
        <v>10</v>
      </c>
      <c r="F1067" s="12" t="s">
        <v>11</v>
      </c>
      <c r="G1067" s="9"/>
      <c r="H1067" s="8" t="s">
        <v>12</v>
      </c>
      <c r="I1067" s="13"/>
      <c r="J1067" s="10" t="s">
        <v>9</v>
      </c>
      <c r="K1067" s="11" t="s">
        <v>10</v>
      </c>
      <c r="L1067" s="11" t="s">
        <v>11</v>
      </c>
      <c r="M1067" s="9"/>
      <c r="N1067" s="11" t="s">
        <v>12</v>
      </c>
      <c r="P1067" s="12" t="s">
        <v>8</v>
      </c>
      <c r="R1067" s="14" t="s">
        <v>9</v>
      </c>
      <c r="S1067" s="15" t="s">
        <v>10</v>
      </c>
      <c r="T1067" s="16" t="s">
        <v>11</v>
      </c>
      <c r="U1067" s="17" t="s">
        <v>13</v>
      </c>
      <c r="V1067" s="14" t="s">
        <v>9</v>
      </c>
      <c r="W1067" s="15" t="s">
        <v>10</v>
      </c>
      <c r="X1067" s="15"/>
      <c r="Y1067" s="16" t="s">
        <v>11</v>
      </c>
      <c r="Z1067" s="17" t="s">
        <v>13</v>
      </c>
      <c r="AC1067" s="14" t="s">
        <v>9</v>
      </c>
      <c r="AD1067" s="15" t="s">
        <v>10</v>
      </c>
      <c r="AE1067" s="16" t="s">
        <v>11</v>
      </c>
      <c r="AF1067" s="15" t="s">
        <v>13</v>
      </c>
      <c r="AH1067" s="13" t="s">
        <v>8</v>
      </c>
      <c r="AI1067" s="9"/>
      <c r="AJ1067" s="11" t="s">
        <v>9</v>
      </c>
      <c r="AK1067" s="11" t="s">
        <v>10</v>
      </c>
      <c r="AL1067" s="12" t="s">
        <v>11</v>
      </c>
      <c r="AM1067" s="10" t="s">
        <v>13</v>
      </c>
      <c r="AN1067" s="9"/>
      <c r="AO1067" s="12" t="s">
        <v>8</v>
      </c>
      <c r="AQ1067" s="8" t="s">
        <v>8</v>
      </c>
      <c r="AS1067" s="8" t="s">
        <v>8</v>
      </c>
      <c r="AT1067" s="8"/>
      <c r="AU1067" s="8" t="s">
        <v>8</v>
      </c>
      <c r="AW1067" s="8" t="s">
        <v>8</v>
      </c>
      <c r="AY1067" s="8" t="s">
        <v>8</v>
      </c>
      <c r="BA1067" s="8" t="s">
        <v>8</v>
      </c>
      <c r="BC1067" s="8" t="s">
        <v>8</v>
      </c>
      <c r="BE1067" s="8" t="s">
        <v>8</v>
      </c>
    </row>
    <row r="1068" spans="1:57" ht="15.75" thickBot="1" x14ac:dyDescent="0.3">
      <c r="A1068" s="3"/>
      <c r="B1068" s="19" t="s">
        <v>14</v>
      </c>
      <c r="C1068" s="9"/>
      <c r="D1068" s="20" t="s">
        <v>15</v>
      </c>
      <c r="E1068" s="21"/>
      <c r="F1068" s="22" t="s">
        <v>16</v>
      </c>
      <c r="G1068" s="9"/>
      <c r="H1068" s="19"/>
      <c r="I1068" s="13"/>
      <c r="J1068" s="20" t="s">
        <v>17</v>
      </c>
      <c r="K1068" s="21"/>
      <c r="L1068" s="21" t="s">
        <v>16</v>
      </c>
      <c r="M1068" s="9"/>
      <c r="N1068" s="21"/>
      <c r="P1068" s="22" t="s">
        <v>18</v>
      </c>
      <c r="R1068" s="23" t="s">
        <v>19</v>
      </c>
      <c r="S1068" s="24"/>
      <c r="T1068" s="25" t="s">
        <v>20</v>
      </c>
      <c r="U1068" s="26"/>
      <c r="V1068" s="23" t="s">
        <v>21</v>
      </c>
      <c r="W1068" s="24"/>
      <c r="X1068" s="24"/>
      <c r="Y1068" s="25" t="s">
        <v>21</v>
      </c>
      <c r="Z1068" s="26"/>
      <c r="AC1068" s="23" t="s">
        <v>22</v>
      </c>
      <c r="AD1068" s="24"/>
      <c r="AE1068" s="25" t="s">
        <v>23</v>
      </c>
      <c r="AF1068" s="24"/>
      <c r="AH1068" s="13" t="s">
        <v>24</v>
      </c>
      <c r="AI1068" s="9"/>
      <c r="AJ1068" s="21" t="s">
        <v>1144</v>
      </c>
      <c r="AK1068" s="21"/>
      <c r="AL1068" s="22" t="s">
        <v>1144</v>
      </c>
      <c r="AM1068" s="20"/>
      <c r="AN1068" s="9"/>
      <c r="AO1068" s="22" t="s">
        <v>25</v>
      </c>
      <c r="AQ1068" s="19" t="s">
        <v>26</v>
      </c>
      <c r="AS1068" s="19" t="s">
        <v>27</v>
      </c>
      <c r="AT1068" s="19"/>
      <c r="AU1068" s="19" t="s">
        <v>28</v>
      </c>
      <c r="AW1068" s="19" t="s">
        <v>29</v>
      </c>
      <c r="AY1068" s="19" t="s">
        <v>30</v>
      </c>
      <c r="BA1068" s="19" t="s">
        <v>31</v>
      </c>
      <c r="BC1068" s="19">
        <f>BC417</f>
        <v>0</v>
      </c>
      <c r="BE1068" s="19">
        <f>BE417</f>
        <v>0</v>
      </c>
    </row>
    <row r="1069" spans="1:57" hidden="1" x14ac:dyDescent="0.25">
      <c r="A1069" s="7"/>
    </row>
    <row r="1070" spans="1:57" hidden="1" x14ac:dyDescent="0.25">
      <c r="A1070" s="7"/>
    </row>
    <row r="1071" spans="1:57" hidden="1" x14ac:dyDescent="0.25">
      <c r="A1071" s="7"/>
    </row>
    <row r="1072" spans="1:57" x14ac:dyDescent="0.25">
      <c r="A1072" s="28" t="s">
        <v>1</v>
      </c>
    </row>
    <row r="1073" spans="1:57" x14ac:dyDescent="0.25">
      <c r="A1073" s="7"/>
    </row>
    <row r="1074" spans="1:57" x14ac:dyDescent="0.25">
      <c r="A1074" s="7"/>
    </row>
    <row r="1075" spans="1:57" x14ac:dyDescent="0.25">
      <c r="A1075" s="7" t="s">
        <v>34</v>
      </c>
      <c r="B1075" s="36">
        <v>495770</v>
      </c>
      <c r="C1075" s="32"/>
      <c r="D1075" s="36"/>
      <c r="E1075" s="36"/>
      <c r="F1075" s="36">
        <v>804507</v>
      </c>
      <c r="G1075" s="32"/>
      <c r="H1075" s="31">
        <f>F1075-B1075</f>
        <v>308737</v>
      </c>
      <c r="I1075" s="31"/>
      <c r="J1075" s="36"/>
      <c r="K1075" s="36"/>
      <c r="L1075" s="36">
        <v>804507</v>
      </c>
      <c r="M1075" s="32"/>
      <c r="N1075" s="31">
        <f>L1075-F1075</f>
        <v>0</v>
      </c>
      <c r="P1075" s="36">
        <v>791958</v>
      </c>
      <c r="T1075" s="36">
        <v>863634</v>
      </c>
      <c r="U1075" s="3">
        <f t="shared" ref="U1075:U1086" si="575">T1075-P1075</f>
        <v>71676</v>
      </c>
      <c r="Y1075" s="36">
        <v>863634</v>
      </c>
      <c r="Z1075" s="3">
        <f>Y1075-T1075</f>
        <v>0</v>
      </c>
      <c r="AE1075" s="36">
        <v>863634</v>
      </c>
      <c r="AF1075" s="30"/>
      <c r="AH1075" s="36">
        <f>P1086</f>
        <v>772397.02499999991</v>
      </c>
      <c r="AI1075" s="32"/>
      <c r="AL1075" s="38">
        <v>924582</v>
      </c>
      <c r="AM1075" s="31">
        <f>AL1075-AH1075</f>
        <v>152184.97500000009</v>
      </c>
      <c r="AO1075" s="36">
        <f>AH1086</f>
        <v>789797.90750000009</v>
      </c>
      <c r="AQ1075" s="36">
        <f>AO1086</f>
        <v>545059.72570900049</v>
      </c>
      <c r="AS1075" s="36">
        <f>AQ1086</f>
        <v>407580.46042130201</v>
      </c>
      <c r="AT1075" s="36"/>
      <c r="AU1075" s="36">
        <f>AS1086</f>
        <v>420445.27753521677</v>
      </c>
      <c r="AW1075" s="36">
        <f>AU1086</f>
        <v>386102.656723366</v>
      </c>
      <c r="AY1075" s="36">
        <f>AW1086</f>
        <v>247121.67589809874</v>
      </c>
      <c r="BA1075" s="36">
        <f>AY1086</f>
        <v>284344.71772143396</v>
      </c>
      <c r="BC1075" s="36">
        <f>BA1086</f>
        <v>218440.43933142407</v>
      </c>
      <c r="BE1075" s="36">
        <f>BC1086</f>
        <v>184757.78421423526</v>
      </c>
    </row>
    <row r="1076" spans="1:57" x14ac:dyDescent="0.25">
      <c r="A1076" s="3"/>
      <c r="B1076" s="36"/>
      <c r="C1076" s="32"/>
      <c r="D1076" s="36"/>
      <c r="E1076" s="36"/>
      <c r="F1076" s="36"/>
      <c r="G1076" s="32"/>
      <c r="H1076" s="36"/>
      <c r="I1076" s="36"/>
      <c r="J1076" s="36"/>
      <c r="K1076" s="36"/>
      <c r="L1076" s="36"/>
      <c r="M1076" s="32"/>
      <c r="N1076" s="36"/>
      <c r="P1076" s="36"/>
      <c r="T1076" s="36"/>
      <c r="Y1076" s="36"/>
      <c r="AE1076" s="82"/>
      <c r="AF1076" s="30"/>
      <c r="AH1076" s="36"/>
      <c r="AI1076" s="32"/>
      <c r="AO1076" s="36"/>
      <c r="AQ1076" s="36"/>
      <c r="AS1076" s="36"/>
      <c r="AT1076" s="36"/>
      <c r="AU1076" s="36"/>
      <c r="AW1076" s="36"/>
      <c r="AY1076" s="36"/>
      <c r="BA1076" s="36"/>
      <c r="BC1076" s="36"/>
      <c r="BE1076" s="36"/>
    </row>
    <row r="1077" spans="1:57" x14ac:dyDescent="0.25">
      <c r="A1077" s="7" t="s">
        <v>35</v>
      </c>
      <c r="B1077" s="31">
        <f>B1117</f>
        <v>684001</v>
      </c>
      <c r="C1077" s="7"/>
      <c r="D1077" s="31"/>
      <c r="E1077" s="31"/>
      <c r="F1077" s="31">
        <f>F1117</f>
        <v>684001</v>
      </c>
      <c r="G1077" s="7"/>
      <c r="H1077" s="31">
        <f>F1077-B1077</f>
        <v>0</v>
      </c>
      <c r="I1077" s="31"/>
      <c r="J1077" s="31"/>
      <c r="K1077" s="31"/>
      <c r="L1077" s="31">
        <f>L1117</f>
        <v>658151</v>
      </c>
      <c r="M1077" s="32"/>
      <c r="N1077" s="31">
        <f t="shared" ref="N1077:N1086" si="576">L1077-F1077</f>
        <v>-25850</v>
      </c>
      <c r="P1077" s="31">
        <f>P1117</f>
        <v>708229</v>
      </c>
      <c r="T1077" s="31">
        <f>T1117</f>
        <v>708230</v>
      </c>
      <c r="U1077" s="3">
        <f t="shared" si="575"/>
        <v>1</v>
      </c>
      <c r="Y1077" s="31">
        <f>Y1117</f>
        <v>744750</v>
      </c>
      <c r="Z1077" s="3">
        <f>Y1077-T1077</f>
        <v>36520</v>
      </c>
      <c r="AE1077" s="31">
        <f>AE1117</f>
        <v>741160</v>
      </c>
      <c r="AF1077" s="33">
        <f>AE1077-Y1077</f>
        <v>-3590</v>
      </c>
      <c r="AH1077" s="36">
        <f>AH1117</f>
        <v>772520.25000000012</v>
      </c>
      <c r="AI1077" s="32"/>
      <c r="AJ1077" s="31"/>
      <c r="AK1077" s="31"/>
      <c r="AL1077" s="31">
        <f>AL1117</f>
        <v>772522</v>
      </c>
      <c r="AM1077" s="31">
        <f>AM1117</f>
        <v>3.7500000000022737</v>
      </c>
      <c r="AN1077" s="32"/>
      <c r="AO1077" s="31">
        <f>AO1117</f>
        <v>844285.7062500004</v>
      </c>
      <c r="AQ1077" s="31">
        <f>AQ1117</f>
        <v>922073.54890625051</v>
      </c>
      <c r="AS1077" s="31">
        <f>AS1117</f>
        <v>988892.7376289065</v>
      </c>
      <c r="AT1077" s="31"/>
      <c r="AU1077" s="31">
        <f>AU1117</f>
        <v>1057999.3323196291</v>
      </c>
      <c r="AW1077" s="31">
        <f>AW1117</f>
        <v>1107756.6453619949</v>
      </c>
      <c r="AY1077" s="31">
        <f>AY1117</f>
        <v>1159982.6327171384</v>
      </c>
      <c r="BA1077" s="31">
        <f>BA1117</f>
        <v>1214800.2483172154</v>
      </c>
      <c r="BC1077" s="31">
        <f>BC1117</f>
        <v>1272338.5817964019</v>
      </c>
      <c r="BE1077" s="31">
        <f>BE1117</f>
        <v>1332733.1649761307</v>
      </c>
    </row>
    <row r="1078" spans="1:57" x14ac:dyDescent="0.25">
      <c r="A1078" s="7" t="s">
        <v>36</v>
      </c>
      <c r="B1078" s="35">
        <f>B1123</f>
        <v>243000</v>
      </c>
      <c r="C1078" s="32"/>
      <c r="D1078" s="36"/>
      <c r="E1078" s="36"/>
      <c r="F1078" s="35">
        <f>F1123</f>
        <v>243000</v>
      </c>
      <c r="G1078" s="32"/>
      <c r="H1078" s="35">
        <f t="shared" ref="H1078:H1096" si="577">F1078-B1078</f>
        <v>0</v>
      </c>
      <c r="I1078" s="36"/>
      <c r="J1078" s="36"/>
      <c r="K1078" s="36"/>
      <c r="L1078" s="35">
        <f>L1123</f>
        <v>243000</v>
      </c>
      <c r="M1078" s="32"/>
      <c r="N1078" s="31">
        <f t="shared" si="576"/>
        <v>0</v>
      </c>
      <c r="P1078" s="35">
        <f>P1123</f>
        <v>443000</v>
      </c>
      <c r="T1078" s="35">
        <f>T1123</f>
        <v>462000</v>
      </c>
      <c r="U1078" s="52">
        <f t="shared" si="575"/>
        <v>19000</v>
      </c>
      <c r="Y1078" s="35">
        <f>Y1123</f>
        <v>462000</v>
      </c>
      <c r="Z1078" s="52">
        <f>Y1078-T1078</f>
        <v>0</v>
      </c>
      <c r="AE1078" s="35">
        <f>AE1123</f>
        <v>462000</v>
      </c>
      <c r="AF1078" s="71">
        <f>AE1078-Y1078</f>
        <v>0</v>
      </c>
      <c r="AH1078" s="36">
        <f>AH1123</f>
        <v>243000</v>
      </c>
      <c r="AI1078" s="32"/>
      <c r="AJ1078" s="35"/>
      <c r="AK1078" s="35"/>
      <c r="AL1078" s="35">
        <f>AL1123</f>
        <v>250000</v>
      </c>
      <c r="AM1078" s="35">
        <f>AM1123</f>
        <v>7000</v>
      </c>
      <c r="AN1078" s="32"/>
      <c r="AO1078" s="35">
        <f>AO1123</f>
        <v>243000</v>
      </c>
      <c r="AQ1078" s="35">
        <f>AQ1123</f>
        <v>243000</v>
      </c>
      <c r="AS1078" s="35">
        <f>AS1123</f>
        <v>243000</v>
      </c>
      <c r="AT1078" s="35"/>
      <c r="AU1078" s="35">
        <f>AU1123</f>
        <v>243000</v>
      </c>
      <c r="AW1078" s="35">
        <f>AW1123</f>
        <v>943000</v>
      </c>
      <c r="AY1078" s="35">
        <f>AY1123</f>
        <v>493000</v>
      </c>
      <c r="BA1078" s="35">
        <f>BA1123</f>
        <v>243000</v>
      </c>
      <c r="BC1078" s="35">
        <f>BC1123</f>
        <v>243000</v>
      </c>
      <c r="BE1078" s="35">
        <f>BE1123</f>
        <v>243000</v>
      </c>
    </row>
    <row r="1079" spans="1:57" x14ac:dyDescent="0.25">
      <c r="A1079" s="3"/>
      <c r="B1079" s="36">
        <f>B1077+B1078</f>
        <v>927001</v>
      </c>
      <c r="C1079" s="32"/>
      <c r="D1079" s="36"/>
      <c r="E1079" s="36"/>
      <c r="F1079" s="36">
        <f>F1077+F1078</f>
        <v>927001</v>
      </c>
      <c r="G1079" s="32"/>
      <c r="H1079" s="31">
        <f t="shared" si="577"/>
        <v>0</v>
      </c>
      <c r="I1079" s="31"/>
      <c r="J1079" s="36"/>
      <c r="K1079" s="36"/>
      <c r="L1079" s="36">
        <f>L1077+L1078</f>
        <v>901151</v>
      </c>
      <c r="M1079" s="32"/>
      <c r="N1079" s="31">
        <f t="shared" si="576"/>
        <v>-25850</v>
      </c>
      <c r="P1079" s="36">
        <f>P1077+P1078</f>
        <v>1151229</v>
      </c>
      <c r="T1079" s="36">
        <f>T1077+T1078</f>
        <v>1170230</v>
      </c>
      <c r="U1079" s="3">
        <f t="shared" si="575"/>
        <v>19001</v>
      </c>
      <c r="Y1079" s="36">
        <f>Y1077+Y1078</f>
        <v>1206750</v>
      </c>
      <c r="Z1079" s="3">
        <f>Y1079-T1079</f>
        <v>36520</v>
      </c>
      <c r="AE1079" s="36">
        <f>AE1077+AE1078</f>
        <v>1203160</v>
      </c>
      <c r="AF1079" s="33">
        <f>AE1079-Y1079</f>
        <v>-3590</v>
      </c>
      <c r="AH1079" s="36">
        <f>AH1077+AH1078</f>
        <v>1015520.2500000001</v>
      </c>
      <c r="AI1079" s="32"/>
      <c r="AJ1079" s="36"/>
      <c r="AK1079" s="36"/>
      <c r="AL1079" s="36">
        <f>AL1077+AL1078</f>
        <v>1022522</v>
      </c>
      <c r="AM1079" s="36">
        <f>AM1077+AM1078</f>
        <v>7003.7500000000018</v>
      </c>
      <c r="AN1079" s="32"/>
      <c r="AO1079" s="36">
        <f>AO1077+AO1078</f>
        <v>1087285.7062500003</v>
      </c>
      <c r="AQ1079" s="36">
        <f>AQ1077+AQ1078</f>
        <v>1165073.5489062504</v>
      </c>
      <c r="AS1079" s="36">
        <f>AS1077+AS1078</f>
        <v>1231892.7376289065</v>
      </c>
      <c r="AT1079" s="36"/>
      <c r="AU1079" s="36">
        <f>AU1077+AU1078</f>
        <v>1300999.3323196291</v>
      </c>
      <c r="AW1079" s="36">
        <f>AW1077+AW1078</f>
        <v>2050756.6453619949</v>
      </c>
      <c r="AY1079" s="36">
        <f>AY1077+AY1078</f>
        <v>1652982.6327171384</v>
      </c>
      <c r="BA1079" s="36">
        <f>BA1077+BA1078</f>
        <v>1457800.2483172154</v>
      </c>
      <c r="BC1079" s="36">
        <f>BC1077+BC1078</f>
        <v>1515338.5817964019</v>
      </c>
      <c r="BE1079" s="36">
        <f>BE1077+BE1078</f>
        <v>1575733.1649761307</v>
      </c>
    </row>
    <row r="1080" spans="1:57" x14ac:dyDescent="0.25">
      <c r="A1080" s="7"/>
      <c r="B1080" s="29"/>
      <c r="D1080" s="29"/>
      <c r="E1080" s="29"/>
      <c r="F1080" s="29"/>
      <c r="H1080" s="31">
        <f t="shared" si="577"/>
        <v>0</v>
      </c>
      <c r="I1080" s="31"/>
      <c r="J1080" s="29"/>
      <c r="K1080" s="29"/>
      <c r="L1080" s="29"/>
      <c r="N1080" s="31">
        <f t="shared" ref="N1080:N1096" si="578">L1080-H1080</f>
        <v>0</v>
      </c>
      <c r="P1080" s="29"/>
      <c r="T1080" s="29"/>
      <c r="Y1080" s="29"/>
      <c r="AE1080" s="29"/>
      <c r="AF1080" s="33"/>
      <c r="AH1080" s="85"/>
      <c r="AO1080" s="29"/>
      <c r="AQ1080" s="29"/>
      <c r="AS1080" s="29"/>
      <c r="AT1080" s="29"/>
      <c r="AU1080" s="29"/>
      <c r="AW1080" s="29"/>
      <c r="AY1080" s="29"/>
      <c r="BA1080" s="29"/>
      <c r="BC1080" s="29"/>
      <c r="BE1080" s="29"/>
    </row>
    <row r="1081" spans="1:57" x14ac:dyDescent="0.25">
      <c r="A1081" s="7" t="s">
        <v>37</v>
      </c>
      <c r="B1081" s="36">
        <f>B1160</f>
        <v>787250</v>
      </c>
      <c r="C1081" s="32"/>
      <c r="D1081" s="36"/>
      <c r="E1081" s="36"/>
      <c r="F1081" s="36">
        <f>F1160</f>
        <v>787250</v>
      </c>
      <c r="G1081" s="32"/>
      <c r="H1081" s="31">
        <f t="shared" si="577"/>
        <v>0</v>
      </c>
      <c r="I1081" s="31"/>
      <c r="J1081" s="36"/>
      <c r="K1081" s="36"/>
      <c r="L1081" s="36">
        <f>L1160</f>
        <v>780100</v>
      </c>
      <c r="M1081" s="32"/>
      <c r="N1081" s="31">
        <f t="shared" si="576"/>
        <v>-7150</v>
      </c>
      <c r="P1081" s="36">
        <f>P1160</f>
        <v>811739.97499999998</v>
      </c>
      <c r="T1081" s="36">
        <f>T1160</f>
        <v>829139</v>
      </c>
      <c r="U1081" s="3">
        <f t="shared" si="575"/>
        <v>17399.025000000023</v>
      </c>
      <c r="Y1081" s="36">
        <f>Y1160</f>
        <v>859390</v>
      </c>
      <c r="Z1081" s="3">
        <f>Y1081-T1081</f>
        <v>30251</v>
      </c>
      <c r="AE1081" s="36">
        <f>AE1160</f>
        <v>853040</v>
      </c>
      <c r="AF1081" s="33">
        <f>AE1081-Y1081</f>
        <v>-6350</v>
      </c>
      <c r="AH1081" s="36">
        <f>AH1160</f>
        <v>821569.36749999993</v>
      </c>
      <c r="AI1081" s="32"/>
      <c r="AJ1081" s="36"/>
      <c r="AK1081" s="36"/>
      <c r="AL1081" s="36">
        <f>AL1160</f>
        <v>828570</v>
      </c>
      <c r="AM1081" s="36">
        <f>AM1160</f>
        <v>7000.6324999999924</v>
      </c>
      <c r="AN1081" s="32"/>
      <c r="AO1081" s="36">
        <f>AO1160</f>
        <v>843664.888041</v>
      </c>
      <c r="AQ1081" s="36">
        <f>AQ1160</f>
        <v>866725.54419394885</v>
      </c>
      <c r="AS1081" s="36">
        <f>AS1160</f>
        <v>899672.8324149918</v>
      </c>
      <c r="AT1081" s="36"/>
      <c r="AU1081" s="36">
        <f>AU1160</f>
        <v>915599.21238847985</v>
      </c>
      <c r="AW1081" s="36">
        <f>AW1160</f>
        <v>941547.10322197201</v>
      </c>
      <c r="AY1081" s="36">
        <f>AY1160</f>
        <v>978560.85223955463</v>
      </c>
      <c r="BA1081" s="36">
        <f>BA1160</f>
        <v>1006686.8258933491</v>
      </c>
      <c r="BC1081" s="36">
        <f>BC1160</f>
        <v>1035973.5050752984</v>
      </c>
      <c r="BE1081" s="36">
        <f>BE1160</f>
        <v>1066471.5850461479</v>
      </c>
    </row>
    <row r="1082" spans="1:57" x14ac:dyDescent="0.25">
      <c r="A1082" s="7" t="s">
        <v>38</v>
      </c>
      <c r="B1082" s="35">
        <f>B1203</f>
        <v>153830</v>
      </c>
      <c r="C1082" s="32"/>
      <c r="D1082" s="36"/>
      <c r="E1082" s="36"/>
      <c r="F1082" s="35">
        <f>F1203</f>
        <v>156530</v>
      </c>
      <c r="G1082" s="32"/>
      <c r="H1082" s="35">
        <f t="shared" si="577"/>
        <v>2700</v>
      </c>
      <c r="I1082" s="36"/>
      <c r="J1082" s="36"/>
      <c r="K1082" s="36"/>
      <c r="L1082" s="35">
        <f>L1203</f>
        <v>133600</v>
      </c>
      <c r="M1082" s="32"/>
      <c r="N1082" s="31">
        <f t="shared" si="576"/>
        <v>-22930</v>
      </c>
      <c r="P1082" s="35">
        <f>P1203</f>
        <v>359050</v>
      </c>
      <c r="T1082" s="35">
        <f>T1203</f>
        <v>359050</v>
      </c>
      <c r="U1082" s="52">
        <f t="shared" si="575"/>
        <v>0</v>
      </c>
      <c r="Y1082" s="35">
        <f>Y1203</f>
        <v>360960</v>
      </c>
      <c r="Z1082" s="52">
        <f>Y1082-T1082</f>
        <v>1910</v>
      </c>
      <c r="AE1082" s="35">
        <f>AE1203</f>
        <v>357990</v>
      </c>
      <c r="AF1082" s="71">
        <f>AE1082-Y1082</f>
        <v>-2970</v>
      </c>
      <c r="AH1082" s="36">
        <f>AH1203</f>
        <v>176550</v>
      </c>
      <c r="AI1082" s="32"/>
      <c r="AJ1082" s="35"/>
      <c r="AK1082" s="35"/>
      <c r="AL1082" s="35">
        <f>AL1203</f>
        <v>176550</v>
      </c>
      <c r="AM1082" s="35">
        <f>AM1203</f>
        <v>0</v>
      </c>
      <c r="AN1082" s="32"/>
      <c r="AO1082" s="35">
        <f>AO1203</f>
        <v>488359</v>
      </c>
      <c r="AQ1082" s="35">
        <f>AQ1203</f>
        <v>435827.27</v>
      </c>
      <c r="AS1082" s="35">
        <f>AS1203</f>
        <v>319355.08809999999</v>
      </c>
      <c r="AT1082" s="35"/>
      <c r="AU1082" s="35">
        <f>AU1203</f>
        <v>419742.740743</v>
      </c>
      <c r="AW1082" s="35">
        <f>AW1203</f>
        <v>1248190.5229652899</v>
      </c>
      <c r="AY1082" s="35">
        <f>AY1203</f>
        <v>637198.73865424865</v>
      </c>
      <c r="BA1082" s="35">
        <f>BA1203</f>
        <v>517017.70081387617</v>
      </c>
      <c r="BC1082" s="35">
        <f>BC1203</f>
        <v>513047.73183829244</v>
      </c>
      <c r="BE1082" s="35">
        <f>BE1203</f>
        <v>513439.1637934412</v>
      </c>
    </row>
    <row r="1083" spans="1:57" x14ac:dyDescent="0.25">
      <c r="A1083" s="3"/>
      <c r="B1083" s="36">
        <f>B1081+B1082</f>
        <v>941080</v>
      </c>
      <c r="C1083" s="32"/>
      <c r="D1083" s="36"/>
      <c r="E1083" s="36"/>
      <c r="F1083" s="36">
        <f>F1081+F1082</f>
        <v>943780</v>
      </c>
      <c r="G1083" s="32"/>
      <c r="H1083" s="31">
        <f t="shared" si="577"/>
        <v>2700</v>
      </c>
      <c r="I1083" s="31"/>
      <c r="J1083" s="36"/>
      <c r="K1083" s="36"/>
      <c r="L1083" s="36">
        <f>L1081+L1082</f>
        <v>913700</v>
      </c>
      <c r="M1083" s="32"/>
      <c r="N1083" s="31">
        <f t="shared" si="576"/>
        <v>-30080</v>
      </c>
      <c r="P1083" s="36">
        <f>P1081+P1082</f>
        <v>1170789.9750000001</v>
      </c>
      <c r="T1083" s="36">
        <f>T1081+T1082</f>
        <v>1188189</v>
      </c>
      <c r="U1083" s="3">
        <f t="shared" si="575"/>
        <v>17399.024999999907</v>
      </c>
      <c r="Y1083" s="36">
        <f>Y1081+Y1082</f>
        <v>1220350</v>
      </c>
      <c r="Z1083" s="3">
        <f>Y1083-T1083</f>
        <v>32161</v>
      </c>
      <c r="AE1083" s="36">
        <f>AE1081+AE1082</f>
        <v>1211030</v>
      </c>
      <c r="AF1083" s="33">
        <f>AE1083-Y1083</f>
        <v>-9320</v>
      </c>
      <c r="AH1083" s="36">
        <f>AH1081+AH1082</f>
        <v>998119.36749999993</v>
      </c>
      <c r="AI1083" s="32"/>
      <c r="AJ1083" s="36"/>
      <c r="AK1083" s="36"/>
      <c r="AL1083" s="36">
        <f>AL1081+AL1082</f>
        <v>1005120</v>
      </c>
      <c r="AM1083" s="36">
        <f>AM1081+AM1082</f>
        <v>7000.6324999999924</v>
      </c>
      <c r="AN1083" s="32"/>
      <c r="AO1083" s="36">
        <f>AO1081+AO1082</f>
        <v>1332023.8880409999</v>
      </c>
      <c r="AQ1083" s="36">
        <f>AQ1081+AQ1082</f>
        <v>1302552.8141939489</v>
      </c>
      <c r="AS1083" s="36">
        <f>AS1081+AS1082</f>
        <v>1219027.9205149917</v>
      </c>
      <c r="AT1083" s="36"/>
      <c r="AU1083" s="36">
        <f>AU1081+AU1082</f>
        <v>1335341.9531314799</v>
      </c>
      <c r="AW1083" s="36">
        <f>AW1081+AW1082</f>
        <v>2189737.6261872621</v>
      </c>
      <c r="AY1083" s="36">
        <f>AY1081+AY1082</f>
        <v>1615759.5908938032</v>
      </c>
      <c r="BA1083" s="36">
        <f>BA1081+BA1082</f>
        <v>1523704.5267072252</v>
      </c>
      <c r="BC1083" s="36">
        <f>BC1081+BC1082</f>
        <v>1549021.2369135907</v>
      </c>
      <c r="BE1083" s="36">
        <f>BE1081+BE1082</f>
        <v>1579910.7488395891</v>
      </c>
    </row>
    <row r="1084" spans="1:57" x14ac:dyDescent="0.25">
      <c r="A1084" s="3"/>
      <c r="B1084" s="31"/>
      <c r="C1084" s="7"/>
      <c r="D1084" s="31"/>
      <c r="E1084" s="31"/>
      <c r="F1084" s="31"/>
      <c r="G1084" s="7"/>
      <c r="H1084" s="31">
        <f t="shared" si="577"/>
        <v>0</v>
      </c>
      <c r="I1084" s="31"/>
      <c r="J1084" s="31"/>
      <c r="K1084" s="31"/>
      <c r="L1084" s="31"/>
      <c r="M1084" s="32"/>
      <c r="N1084" s="31">
        <f t="shared" si="576"/>
        <v>0</v>
      </c>
      <c r="P1084" s="31"/>
      <c r="T1084" s="31"/>
      <c r="Y1084" s="31"/>
      <c r="AE1084" s="31"/>
      <c r="AF1084" s="33"/>
      <c r="AH1084" s="36"/>
      <c r="AI1084" s="32"/>
      <c r="AO1084" s="31"/>
      <c r="AQ1084" s="31"/>
      <c r="AS1084" s="31"/>
      <c r="AT1084" s="31"/>
      <c r="AU1084" s="31"/>
      <c r="AW1084" s="31"/>
      <c r="AY1084" s="31"/>
      <c r="BA1084" s="31"/>
      <c r="BC1084" s="31"/>
      <c r="BE1084" s="31"/>
    </row>
    <row r="1085" spans="1:57" x14ac:dyDescent="0.25">
      <c r="A1085" s="7" t="s">
        <v>41</v>
      </c>
      <c r="B1085" s="35">
        <f>B1079-B1083</f>
        <v>-14079</v>
      </c>
      <c r="C1085" s="32"/>
      <c r="D1085" s="36"/>
      <c r="E1085" s="36"/>
      <c r="F1085" s="35">
        <f>F1079-F1083</f>
        <v>-16779</v>
      </c>
      <c r="G1085" s="32"/>
      <c r="H1085" s="35">
        <f t="shared" si="577"/>
        <v>-2700</v>
      </c>
      <c r="I1085" s="36"/>
      <c r="J1085" s="36"/>
      <c r="K1085" s="36"/>
      <c r="L1085" s="35">
        <f>L1079-L1083</f>
        <v>-12549</v>
      </c>
      <c r="M1085" s="32"/>
      <c r="N1085" s="31">
        <f t="shared" si="576"/>
        <v>4230</v>
      </c>
      <c r="P1085" s="35">
        <f>P1079-P1083</f>
        <v>-19560.975000000093</v>
      </c>
      <c r="T1085" s="35">
        <f>T1079-T1083</f>
        <v>-17959</v>
      </c>
      <c r="U1085" s="52">
        <f t="shared" si="575"/>
        <v>1601.9750000000931</v>
      </c>
      <c r="Y1085" s="35">
        <f>Y1079-Y1083</f>
        <v>-13600</v>
      </c>
      <c r="Z1085" s="52">
        <f>Y1085-T1085</f>
        <v>4359</v>
      </c>
      <c r="AE1085" s="35">
        <f>AE1079-AE1083</f>
        <v>-7870</v>
      </c>
      <c r="AF1085" s="71">
        <f>AE1085-Y1085</f>
        <v>5730</v>
      </c>
      <c r="AH1085" s="36">
        <f>AH1079-AH1083</f>
        <v>17400.882500000182</v>
      </c>
      <c r="AI1085" s="32"/>
      <c r="AJ1085" s="35"/>
      <c r="AK1085" s="35"/>
      <c r="AL1085" s="35">
        <f>AL1079-AL1083</f>
        <v>17402</v>
      </c>
      <c r="AM1085" s="35">
        <f>AM1079-AM1083</f>
        <v>3.117500000009386</v>
      </c>
      <c r="AN1085" s="32"/>
      <c r="AO1085" s="35">
        <f>AO1079-AO1083</f>
        <v>-244738.1817909996</v>
      </c>
      <c r="AQ1085" s="35">
        <f>AQ1079-AQ1083</f>
        <v>-137479.26528769848</v>
      </c>
      <c r="AS1085" s="35">
        <f>AS1079-AS1083</f>
        <v>12864.81711391476</v>
      </c>
      <c r="AT1085" s="35"/>
      <c r="AU1085" s="35">
        <f>AU1079-AU1083</f>
        <v>-34342.620811850764</v>
      </c>
      <c r="AW1085" s="35">
        <f>AW1079-AW1083</f>
        <v>-138980.98082526727</v>
      </c>
      <c r="AY1085" s="35">
        <f>AY1079-AY1083</f>
        <v>37223.041823335225</v>
      </c>
      <c r="BA1085" s="35">
        <f>BA1079-BA1083</f>
        <v>-65904.278390009888</v>
      </c>
      <c r="BC1085" s="35">
        <f>BC1079-BC1083</f>
        <v>-33682.655117188813</v>
      </c>
      <c r="BE1085" s="35">
        <f>BE1079-BE1083</f>
        <v>-4177.5838634583633</v>
      </c>
    </row>
    <row r="1086" spans="1:57" x14ac:dyDescent="0.25">
      <c r="A1086" s="7" t="s">
        <v>42</v>
      </c>
      <c r="B1086" s="36">
        <f>B1075+B1085</f>
        <v>481691</v>
      </c>
      <c r="C1086" s="32"/>
      <c r="D1086" s="36"/>
      <c r="E1086" s="36"/>
      <c r="F1086" s="36">
        <f>F1075+F1085</f>
        <v>787728</v>
      </c>
      <c r="G1086" s="32"/>
      <c r="H1086" s="31">
        <f t="shared" si="577"/>
        <v>306037</v>
      </c>
      <c r="I1086" s="31"/>
      <c r="J1086" s="36"/>
      <c r="K1086" s="36"/>
      <c r="L1086" s="36">
        <f>L1075+L1085</f>
        <v>791958</v>
      </c>
      <c r="M1086" s="32"/>
      <c r="N1086" s="31">
        <f t="shared" si="576"/>
        <v>4230</v>
      </c>
      <c r="P1086" s="36">
        <f>P1075+P1085</f>
        <v>772397.02499999991</v>
      </c>
      <c r="T1086" s="36">
        <f>T1075+T1085</f>
        <v>845675</v>
      </c>
      <c r="U1086" s="3">
        <f t="shared" si="575"/>
        <v>73277.975000000093</v>
      </c>
      <c r="Y1086" s="36">
        <f>Y1075+Y1085</f>
        <v>850034</v>
      </c>
      <c r="Z1086" s="3">
        <f>Y1086-T1086</f>
        <v>4359</v>
      </c>
      <c r="AE1086" s="36">
        <f>AE1075+AE1085</f>
        <v>855764</v>
      </c>
      <c r="AF1086" s="33">
        <f>AE1086-Y1086</f>
        <v>5730</v>
      </c>
      <c r="AH1086" s="36">
        <f>AH1075+AH1085</f>
        <v>789797.90750000009</v>
      </c>
      <c r="AI1086" s="32"/>
      <c r="AJ1086" s="36"/>
      <c r="AK1086" s="36"/>
      <c r="AL1086" s="36">
        <f>AL1075+AL1085</f>
        <v>941984</v>
      </c>
      <c r="AM1086" s="36">
        <f>AM1075+AM1085</f>
        <v>152188.09250000012</v>
      </c>
      <c r="AN1086" s="32"/>
      <c r="AO1086" s="36">
        <f>AO1075+AO1085</f>
        <v>545059.72570900049</v>
      </c>
      <c r="AQ1086" s="36">
        <f>AQ1075+AQ1085</f>
        <v>407580.46042130201</v>
      </c>
      <c r="AS1086" s="36">
        <f>AS1075+AS1085</f>
        <v>420445.27753521677</v>
      </c>
      <c r="AT1086" s="36"/>
      <c r="AU1086" s="36">
        <f>AU1075+AU1085</f>
        <v>386102.656723366</v>
      </c>
      <c r="AW1086" s="36">
        <f>AW1075+AW1085</f>
        <v>247121.67589809874</v>
      </c>
      <c r="AY1086" s="36">
        <f>AY1075+AY1085</f>
        <v>284344.71772143396</v>
      </c>
      <c r="BA1086" s="36">
        <f>BA1075+BA1085</f>
        <v>218440.43933142407</v>
      </c>
      <c r="BC1086" s="36">
        <f>BC1075+BC1085</f>
        <v>184757.78421423526</v>
      </c>
      <c r="BE1086" s="36">
        <f>BE1075+BE1085</f>
        <v>180580.2003507769</v>
      </c>
    </row>
    <row r="1087" spans="1:57" x14ac:dyDescent="0.25">
      <c r="A1087" s="3"/>
      <c r="B1087" s="36"/>
      <c r="C1087" s="32"/>
      <c r="D1087" s="36"/>
      <c r="E1087" s="36"/>
      <c r="F1087" s="36"/>
      <c r="G1087" s="32"/>
      <c r="H1087" s="31">
        <f t="shared" si="577"/>
        <v>0</v>
      </c>
      <c r="I1087" s="31"/>
      <c r="J1087" s="36"/>
      <c r="K1087" s="36"/>
      <c r="L1087" s="36"/>
      <c r="M1087" s="32"/>
      <c r="N1087" s="31">
        <f t="shared" si="578"/>
        <v>0</v>
      </c>
      <c r="P1087" s="36"/>
      <c r="T1087" s="36"/>
      <c r="Y1087" s="36"/>
      <c r="AE1087" s="36"/>
      <c r="AF1087" s="33"/>
      <c r="AH1087" s="36"/>
      <c r="AI1087" s="32"/>
      <c r="AO1087" s="36"/>
      <c r="AQ1087" s="36"/>
      <c r="AS1087" s="36"/>
      <c r="AT1087" s="36"/>
      <c r="AU1087" s="36"/>
      <c r="AW1087" s="36"/>
      <c r="AY1087" s="36"/>
      <c r="BA1087" s="36"/>
      <c r="BC1087" s="36"/>
      <c r="BE1087" s="36"/>
    </row>
    <row r="1088" spans="1:57" x14ac:dyDescent="0.25">
      <c r="A1088" s="28" t="s">
        <v>7</v>
      </c>
      <c r="B1088" s="36"/>
      <c r="C1088" s="32"/>
      <c r="D1088" s="36"/>
      <c r="E1088" s="36"/>
      <c r="F1088" s="36"/>
      <c r="G1088" s="32"/>
      <c r="H1088" s="31">
        <f t="shared" si="577"/>
        <v>0</v>
      </c>
      <c r="I1088" s="31"/>
      <c r="J1088" s="36"/>
      <c r="K1088" s="36"/>
      <c r="L1088" s="36"/>
      <c r="M1088" s="32"/>
      <c r="N1088" s="31">
        <f t="shared" si="578"/>
        <v>0</v>
      </c>
      <c r="P1088" s="36"/>
      <c r="T1088" s="36"/>
      <c r="Y1088" s="36"/>
      <c r="AE1088" s="36"/>
      <c r="AF1088" s="33"/>
      <c r="AH1088" s="36"/>
      <c r="AI1088" s="32"/>
      <c r="AO1088" s="36"/>
      <c r="AQ1088" s="36"/>
      <c r="AS1088" s="36"/>
      <c r="AT1088" s="36"/>
      <c r="AU1088" s="36"/>
      <c r="AW1088" s="36"/>
      <c r="AY1088" s="36"/>
      <c r="BA1088" s="36"/>
      <c r="BC1088" s="36"/>
      <c r="BE1088" s="36"/>
    </row>
    <row r="1089" spans="1:57" x14ac:dyDescent="0.25">
      <c r="A1089" s="7"/>
      <c r="B1089" s="36"/>
      <c r="C1089" s="32"/>
      <c r="D1089" s="36"/>
      <c r="E1089" s="36"/>
      <c r="F1089" s="36"/>
      <c r="G1089" s="32"/>
      <c r="H1089" s="31">
        <f t="shared" si="577"/>
        <v>0</v>
      </c>
      <c r="I1089" s="31"/>
      <c r="J1089" s="36"/>
      <c r="K1089" s="36"/>
      <c r="L1089" s="36"/>
      <c r="M1089" s="32"/>
      <c r="N1089" s="31">
        <f t="shared" si="578"/>
        <v>0</v>
      </c>
      <c r="P1089" s="36"/>
      <c r="T1089" s="36"/>
      <c r="Y1089" s="36"/>
      <c r="AE1089" s="36"/>
      <c r="AF1089" s="33"/>
      <c r="AH1089" s="36"/>
      <c r="AI1089" s="32"/>
      <c r="AO1089" s="36"/>
      <c r="AQ1089" s="36"/>
      <c r="AS1089" s="36"/>
      <c r="AT1089" s="36"/>
      <c r="AU1089" s="36"/>
      <c r="AW1089" s="36"/>
      <c r="AY1089" s="36"/>
      <c r="BA1089" s="36"/>
      <c r="BC1089" s="36"/>
      <c r="BE1089" s="36"/>
    </row>
    <row r="1090" spans="1:57" x14ac:dyDescent="0.25">
      <c r="A1090" s="7"/>
      <c r="B1090" s="36"/>
      <c r="C1090" s="32"/>
      <c r="D1090" s="36"/>
      <c r="E1090" s="36"/>
      <c r="F1090" s="36"/>
      <c r="G1090" s="32"/>
      <c r="H1090" s="31">
        <f t="shared" si="577"/>
        <v>0</v>
      </c>
      <c r="I1090" s="31"/>
      <c r="J1090" s="36"/>
      <c r="K1090" s="36"/>
      <c r="L1090" s="36"/>
      <c r="M1090" s="32"/>
      <c r="N1090" s="31">
        <f t="shared" si="578"/>
        <v>0</v>
      </c>
      <c r="P1090" s="36"/>
      <c r="T1090" s="36"/>
      <c r="Y1090" s="36"/>
      <c r="AE1090" s="36"/>
      <c r="AF1090" s="33"/>
      <c r="AH1090" s="36"/>
      <c r="AI1090" s="32"/>
      <c r="AO1090" s="36"/>
      <c r="AQ1090" s="36"/>
      <c r="AS1090" s="36"/>
      <c r="AT1090" s="36"/>
      <c r="AU1090" s="36"/>
      <c r="AW1090" s="36"/>
      <c r="AY1090" s="36"/>
      <c r="BA1090" s="36"/>
      <c r="BC1090" s="36"/>
      <c r="BE1090" s="36"/>
    </row>
    <row r="1091" spans="1:57" x14ac:dyDescent="0.25">
      <c r="A1091" s="7" t="s">
        <v>34</v>
      </c>
      <c r="B1091" s="36">
        <v>532500</v>
      </c>
      <c r="C1091" s="32"/>
      <c r="D1091" s="36"/>
      <c r="E1091" s="36"/>
      <c r="F1091" s="36">
        <v>532500</v>
      </c>
      <c r="G1091" s="32"/>
      <c r="H1091" s="31">
        <f t="shared" si="577"/>
        <v>0</v>
      </c>
      <c r="I1091" s="31"/>
      <c r="J1091" s="36"/>
      <c r="K1091" s="36"/>
      <c r="L1091" s="36">
        <v>532500</v>
      </c>
      <c r="M1091" s="32"/>
      <c r="N1091" s="31">
        <f t="shared" si="578"/>
        <v>532500</v>
      </c>
      <c r="P1091" s="36">
        <v>532500</v>
      </c>
      <c r="T1091" s="36">
        <v>532500</v>
      </c>
      <c r="U1091" s="3">
        <f t="shared" ref="U1091:U1096" si="579">T1091-P1091</f>
        <v>0</v>
      </c>
      <c r="Y1091" s="36">
        <v>532500</v>
      </c>
      <c r="Z1091" s="3">
        <f t="shared" ref="Z1091:Z1096" si="580">Y1091-T1091</f>
        <v>0</v>
      </c>
      <c r="AE1091" s="36">
        <v>532500</v>
      </c>
      <c r="AF1091" s="33">
        <f t="shared" ref="AF1091:AF1096" si="581">AE1091-Y1091</f>
        <v>0</v>
      </c>
      <c r="AH1091" s="36">
        <f>P1096</f>
        <v>336950</v>
      </c>
      <c r="AI1091" s="32"/>
      <c r="AJ1091" s="36"/>
      <c r="AK1091" s="36"/>
      <c r="AL1091" s="36">
        <v>732500</v>
      </c>
      <c r="AM1091" s="31">
        <f>AL1091-AH1091</f>
        <v>395550</v>
      </c>
      <c r="AN1091" s="32"/>
      <c r="AO1091" s="36">
        <f>AH1096</f>
        <v>441400</v>
      </c>
      <c r="AQ1091" s="36">
        <f>AO1096</f>
        <v>445850</v>
      </c>
      <c r="AS1091" s="36">
        <f>AQ1096</f>
        <v>450300</v>
      </c>
      <c r="AT1091" s="36"/>
      <c r="AU1091" s="36">
        <f>AS1096</f>
        <v>756100</v>
      </c>
      <c r="AW1091" s="36">
        <f>AU1096</f>
        <v>1161900</v>
      </c>
      <c r="AY1091" s="36">
        <f>AW1096</f>
        <v>467700</v>
      </c>
      <c r="BA1091" s="36">
        <f>AY1096</f>
        <v>223500</v>
      </c>
      <c r="BC1091" s="36">
        <f>BA1096</f>
        <v>727850</v>
      </c>
      <c r="BE1091" s="36">
        <f>BC1096</f>
        <v>1227850</v>
      </c>
    </row>
    <row r="1092" spans="1:57" x14ac:dyDescent="0.25">
      <c r="A1092" s="3"/>
      <c r="B1092" s="36"/>
      <c r="C1092" s="32"/>
      <c r="D1092" s="36"/>
      <c r="E1092" s="36"/>
      <c r="F1092" s="36"/>
      <c r="G1092" s="32"/>
      <c r="H1092" s="31">
        <f t="shared" si="577"/>
        <v>0</v>
      </c>
      <c r="I1092" s="31"/>
      <c r="J1092" s="36"/>
      <c r="K1092" s="36"/>
      <c r="L1092" s="36"/>
      <c r="M1092" s="32"/>
      <c r="N1092" s="31">
        <f t="shared" si="578"/>
        <v>0</v>
      </c>
      <c r="P1092" s="36"/>
      <c r="T1092" s="36"/>
      <c r="U1092" s="3">
        <f t="shared" si="579"/>
        <v>0</v>
      </c>
      <c r="Y1092" s="36"/>
      <c r="Z1092" s="3">
        <f t="shared" si="580"/>
        <v>0</v>
      </c>
      <c r="AE1092" s="36"/>
      <c r="AF1092" s="33">
        <f t="shared" si="581"/>
        <v>0</v>
      </c>
      <c r="AH1092" s="36"/>
      <c r="AI1092" s="32"/>
      <c r="AO1092" s="36"/>
      <c r="AQ1092" s="36"/>
      <c r="AS1092" s="36"/>
      <c r="AT1092" s="36"/>
      <c r="AU1092" s="36"/>
      <c r="AW1092" s="36"/>
      <c r="AY1092" s="36"/>
      <c r="BA1092" s="36"/>
      <c r="BC1092" s="36"/>
      <c r="BE1092" s="36"/>
    </row>
    <row r="1093" spans="1:57" x14ac:dyDescent="0.25">
      <c r="A1093" s="7" t="s">
        <v>43</v>
      </c>
      <c r="B1093" s="36">
        <f>B1200</f>
        <v>11900</v>
      </c>
      <c r="C1093" s="32"/>
      <c r="D1093" s="36"/>
      <c r="E1093" s="36"/>
      <c r="F1093" s="36">
        <f>F1200</f>
        <v>11900</v>
      </c>
      <c r="G1093" s="32"/>
      <c r="H1093" s="31">
        <f t="shared" si="577"/>
        <v>0</v>
      </c>
      <c r="I1093" s="31"/>
      <c r="J1093" s="36"/>
      <c r="K1093" s="36"/>
      <c r="L1093" s="36">
        <f>L1200</f>
        <v>11900</v>
      </c>
      <c r="M1093" s="32"/>
      <c r="N1093" s="31">
        <f t="shared" si="578"/>
        <v>11900</v>
      </c>
      <c r="P1093" s="36">
        <f>P1200</f>
        <v>4450</v>
      </c>
      <c r="T1093" s="36">
        <f>T1200</f>
        <v>4450</v>
      </c>
      <c r="U1093" s="3">
        <f t="shared" si="579"/>
        <v>0</v>
      </c>
      <c r="Y1093" s="36">
        <f>Y1200</f>
        <v>4450</v>
      </c>
      <c r="Z1093" s="3">
        <f t="shared" si="580"/>
        <v>0</v>
      </c>
      <c r="AE1093" s="36">
        <f>AE1200</f>
        <v>1480</v>
      </c>
      <c r="AF1093" s="33">
        <f t="shared" si="581"/>
        <v>-2970</v>
      </c>
      <c r="AH1093" s="36">
        <f>AH1200</f>
        <v>104450</v>
      </c>
      <c r="AI1093" s="32"/>
      <c r="AJ1093" s="36"/>
      <c r="AK1093" s="36"/>
      <c r="AL1093" s="36">
        <f>AL1200</f>
        <v>104450</v>
      </c>
      <c r="AM1093" s="36">
        <f>AM1200</f>
        <v>0</v>
      </c>
      <c r="AN1093" s="32"/>
      <c r="AO1093" s="36">
        <f>AO1200</f>
        <v>4450</v>
      </c>
      <c r="AQ1093" s="36">
        <f>AQ1200</f>
        <v>4450</v>
      </c>
      <c r="AS1093" s="36">
        <f>AS1200</f>
        <v>305800</v>
      </c>
      <c r="AT1093" s="36"/>
      <c r="AU1093" s="36">
        <f>AU1200</f>
        <v>405800</v>
      </c>
      <c r="AW1093" s="36">
        <f>AW1200</f>
        <v>5800</v>
      </c>
      <c r="AY1093" s="36">
        <f>AY1200</f>
        <v>5800</v>
      </c>
      <c r="BA1093" s="36">
        <f>BA1200</f>
        <v>504350</v>
      </c>
      <c r="BC1093" s="36">
        <f>BC1200</f>
        <v>500000</v>
      </c>
      <c r="BE1093" s="36">
        <f>BE1200</f>
        <v>500000</v>
      </c>
    </row>
    <row r="1094" spans="1:57" x14ac:dyDescent="0.25">
      <c r="A1094" s="7" t="s">
        <v>44</v>
      </c>
      <c r="B1094" s="35"/>
      <c r="C1094" s="32"/>
      <c r="D1094" s="36"/>
      <c r="E1094" s="36"/>
      <c r="F1094" s="35"/>
      <c r="G1094" s="32"/>
      <c r="H1094" s="35">
        <f t="shared" si="577"/>
        <v>0</v>
      </c>
      <c r="I1094" s="36"/>
      <c r="J1094" s="36"/>
      <c r="K1094" s="36"/>
      <c r="L1094" s="35"/>
      <c r="M1094" s="32"/>
      <c r="N1094" s="35">
        <f t="shared" si="578"/>
        <v>0</v>
      </c>
      <c r="P1094" s="35">
        <f>P1121</f>
        <v>200000</v>
      </c>
      <c r="T1094" s="35">
        <f>T1121</f>
        <v>200000</v>
      </c>
      <c r="U1094" s="52">
        <f t="shared" si="579"/>
        <v>0</v>
      </c>
      <c r="Y1094" s="35">
        <f>Y1121</f>
        <v>200000</v>
      </c>
      <c r="Z1094" s="52">
        <f t="shared" si="580"/>
        <v>0</v>
      </c>
      <c r="AE1094" s="35">
        <f>AE1121</f>
        <v>200000</v>
      </c>
      <c r="AF1094" s="71">
        <f t="shared" si="581"/>
        <v>0</v>
      </c>
      <c r="AH1094" s="35"/>
      <c r="AI1094" s="32"/>
      <c r="AL1094" s="61"/>
      <c r="AM1094" s="61"/>
      <c r="AO1094" s="35"/>
      <c r="AQ1094" s="35"/>
      <c r="AS1094" s="35"/>
      <c r="AT1094" s="35"/>
      <c r="AU1094" s="35"/>
      <c r="AW1094" s="35">
        <f>AW1121</f>
        <v>700000</v>
      </c>
      <c r="AY1094" s="35">
        <f>AY1121</f>
        <v>250000</v>
      </c>
      <c r="BA1094" s="35">
        <f>BA1121</f>
        <v>0</v>
      </c>
      <c r="BC1094" s="35">
        <f>BC1121</f>
        <v>0</v>
      </c>
      <c r="BE1094" s="35">
        <f>BE1121</f>
        <v>0</v>
      </c>
    </row>
    <row r="1095" spans="1:57" x14ac:dyDescent="0.25">
      <c r="A1095" s="7" t="s">
        <v>41</v>
      </c>
      <c r="B1095" s="36">
        <f>B1093+B1094</f>
        <v>11900</v>
      </c>
      <c r="C1095" s="32"/>
      <c r="D1095" s="36"/>
      <c r="E1095" s="36"/>
      <c r="F1095" s="36">
        <f>F1093+F1094</f>
        <v>11900</v>
      </c>
      <c r="G1095" s="32"/>
      <c r="H1095" s="31">
        <f t="shared" si="577"/>
        <v>0</v>
      </c>
      <c r="I1095" s="31"/>
      <c r="J1095" s="36"/>
      <c r="K1095" s="36"/>
      <c r="L1095" s="36">
        <f>L1093+L1094</f>
        <v>11900</v>
      </c>
      <c r="M1095" s="32"/>
      <c r="N1095" s="31">
        <f t="shared" si="578"/>
        <v>11900</v>
      </c>
      <c r="P1095" s="36">
        <f>P1093-P1094</f>
        <v>-195550</v>
      </c>
      <c r="T1095" s="36">
        <f>T1093-T1094</f>
        <v>-195550</v>
      </c>
      <c r="U1095" s="3">
        <f t="shared" si="579"/>
        <v>0</v>
      </c>
      <c r="Y1095" s="36">
        <f>Y1093-Y1094</f>
        <v>-195550</v>
      </c>
      <c r="Z1095" s="3">
        <f t="shared" si="580"/>
        <v>0</v>
      </c>
      <c r="AE1095" s="36">
        <f>AE1093-AE1094</f>
        <v>-198520</v>
      </c>
      <c r="AF1095" s="33">
        <f t="shared" si="581"/>
        <v>-2970</v>
      </c>
      <c r="AH1095" s="36">
        <f>AH1093+AH1094</f>
        <v>104450</v>
      </c>
      <c r="AI1095" s="32"/>
      <c r="AJ1095" s="36"/>
      <c r="AK1095" s="36"/>
      <c r="AL1095" s="36">
        <f>AL1093+AL1094</f>
        <v>104450</v>
      </c>
      <c r="AM1095" s="36">
        <f>AM1093+AM1094</f>
        <v>0</v>
      </c>
      <c r="AN1095" s="32"/>
      <c r="AO1095" s="36">
        <f>AO1093+AO1094</f>
        <v>4450</v>
      </c>
      <c r="AQ1095" s="36">
        <f>AQ1093+AQ1094</f>
        <v>4450</v>
      </c>
      <c r="AS1095" s="36">
        <f>AS1093+AS1094</f>
        <v>305800</v>
      </c>
      <c r="AT1095" s="36"/>
      <c r="AU1095" s="36">
        <f>AU1093+AU1094</f>
        <v>405800</v>
      </c>
      <c r="AW1095" s="36">
        <f>AW1093-AW1094</f>
        <v>-694200</v>
      </c>
      <c r="AY1095" s="36">
        <f>AY1093-AY1094</f>
        <v>-244200</v>
      </c>
      <c r="BA1095" s="36">
        <f>BA1093-BA1094</f>
        <v>504350</v>
      </c>
      <c r="BC1095" s="36">
        <f>BC1093-BC1094</f>
        <v>500000</v>
      </c>
      <c r="BE1095" s="36">
        <f>BE1093-BE1094</f>
        <v>500000</v>
      </c>
    </row>
    <row r="1096" spans="1:57" x14ac:dyDescent="0.25">
      <c r="A1096" s="7" t="s">
        <v>42</v>
      </c>
      <c r="B1096" s="36">
        <f>B1091+B1095</f>
        <v>544400</v>
      </c>
      <c r="C1096" s="32"/>
      <c r="D1096" s="36"/>
      <c r="E1096" s="36"/>
      <c r="F1096" s="36">
        <f>F1091+F1095</f>
        <v>544400</v>
      </c>
      <c r="G1096" s="32"/>
      <c r="H1096" s="31">
        <f t="shared" si="577"/>
        <v>0</v>
      </c>
      <c r="I1096" s="31"/>
      <c r="J1096" s="36"/>
      <c r="K1096" s="36"/>
      <c r="L1096" s="36">
        <f>L1091+L1095</f>
        <v>544400</v>
      </c>
      <c r="M1096" s="32"/>
      <c r="N1096" s="31">
        <f t="shared" si="578"/>
        <v>544400</v>
      </c>
      <c r="P1096" s="36">
        <f>P1091+P1095</f>
        <v>336950</v>
      </c>
      <c r="T1096" s="36">
        <f>T1091+T1095</f>
        <v>336950</v>
      </c>
      <c r="U1096" s="3">
        <f t="shared" si="579"/>
        <v>0</v>
      </c>
      <c r="Y1096" s="36">
        <f>Y1091+Y1095</f>
        <v>336950</v>
      </c>
      <c r="Z1096" s="3">
        <f t="shared" si="580"/>
        <v>0</v>
      </c>
      <c r="AE1096" s="36">
        <f>AE1091+AE1095</f>
        <v>333980</v>
      </c>
      <c r="AF1096" s="33">
        <f t="shared" si="581"/>
        <v>-2970</v>
      </c>
      <c r="AH1096" s="36">
        <f>AH1091+AH1095</f>
        <v>441400</v>
      </c>
      <c r="AI1096" s="32"/>
      <c r="AJ1096" s="36"/>
      <c r="AK1096" s="36"/>
      <c r="AL1096" s="36">
        <f>AL1091+AL1095</f>
        <v>836950</v>
      </c>
      <c r="AM1096" s="36">
        <f>AM1091+AM1095</f>
        <v>395550</v>
      </c>
      <c r="AN1096" s="32"/>
      <c r="AO1096" s="36">
        <f>AO1091+AO1095</f>
        <v>445850</v>
      </c>
      <c r="AQ1096" s="36">
        <f>AQ1091+AQ1095</f>
        <v>450300</v>
      </c>
      <c r="AS1096" s="36">
        <f>AS1091+AS1095</f>
        <v>756100</v>
      </c>
      <c r="AT1096" s="36"/>
      <c r="AU1096" s="36">
        <f>AU1091+AU1095</f>
        <v>1161900</v>
      </c>
      <c r="AW1096" s="36">
        <f>AW1091+AW1095</f>
        <v>467700</v>
      </c>
      <c r="AY1096" s="36">
        <f>AY1091+AY1095</f>
        <v>223500</v>
      </c>
      <c r="BA1096" s="36">
        <f>BA1091+BA1095</f>
        <v>727850</v>
      </c>
      <c r="BC1096" s="36">
        <f>BC1091+BC1095</f>
        <v>1227850</v>
      </c>
      <c r="BE1096" s="36">
        <f>BE1091+BE1095</f>
        <v>1727850</v>
      </c>
    </row>
    <row r="1097" spans="1:57" x14ac:dyDescent="0.25">
      <c r="A1097" s="7"/>
    </row>
    <row r="1098" spans="1:57" x14ac:dyDescent="0.25">
      <c r="A1098" s="1" t="s">
        <v>806</v>
      </c>
    </row>
    <row r="1099" spans="1:57" x14ac:dyDescent="0.25">
      <c r="A1099" s="28" t="s">
        <v>46</v>
      </c>
    </row>
    <row r="1100" spans="1:57" x14ac:dyDescent="0.25">
      <c r="A1100" s="7" t="s">
        <v>807</v>
      </c>
      <c r="B1100" s="5">
        <f>158800-6300</f>
        <v>152500</v>
      </c>
      <c r="E1100" s="3">
        <f>F1100-D1100</f>
        <v>152500</v>
      </c>
      <c r="F1100" s="5">
        <f>158800-6300</f>
        <v>152500</v>
      </c>
      <c r="H1100" s="5">
        <f>F1100-B1100</f>
        <v>0</v>
      </c>
      <c r="J1100" s="5">
        <v>84665</v>
      </c>
      <c r="K1100" s="4">
        <f>L1100-J1100</f>
        <v>75335</v>
      </c>
      <c r="L1100" s="4">
        <v>160000</v>
      </c>
      <c r="N1100" s="4">
        <f>L1100-F1100</f>
        <v>7500</v>
      </c>
      <c r="P1100" s="3">
        <f>L1100*1.1</f>
        <v>176000</v>
      </c>
      <c r="Q1100" s="3"/>
      <c r="R1100" s="3">
        <v>0</v>
      </c>
      <c r="S1100" s="3">
        <f>T1100-R1100</f>
        <v>176000</v>
      </c>
      <c r="T1100" s="3">
        <v>176000</v>
      </c>
      <c r="U1100" s="3">
        <f>T1100-P1100</f>
        <v>0</v>
      </c>
      <c r="V1100" s="3">
        <v>94500</v>
      </c>
      <c r="W1100" s="3">
        <f>Y1100-V1100</f>
        <v>85500</v>
      </c>
      <c r="X1100" s="3"/>
      <c r="Y1100" s="3">
        <v>180000</v>
      </c>
      <c r="Z1100" s="3">
        <f>Y1100-T1100</f>
        <v>4000</v>
      </c>
      <c r="AA1100" s="3"/>
      <c r="AB1100" s="3"/>
      <c r="AC1100" s="3">
        <v>91308</v>
      </c>
      <c r="AD1100" s="3">
        <f>AE1100-AC1100</f>
        <v>88692</v>
      </c>
      <c r="AE1100" s="3">
        <v>180000</v>
      </c>
      <c r="AF1100" s="3">
        <f>AE1100-Y1100</f>
        <v>0</v>
      </c>
      <c r="AG1100" s="4"/>
      <c r="AH1100" s="4">
        <f>P1100*1.1+4000</f>
        <v>197600.00000000003</v>
      </c>
      <c r="AJ1100" s="3"/>
      <c r="AK1100" s="3">
        <f>AL1100-AJ1100</f>
        <v>197600</v>
      </c>
      <c r="AL1100" s="3">
        <v>197600</v>
      </c>
      <c r="AM1100" s="3">
        <f>AL1100-AH1100</f>
        <v>0</v>
      </c>
      <c r="AO1100" s="3">
        <f>AH1100*1.1</f>
        <v>217360.00000000006</v>
      </c>
      <c r="AP1100" s="3" t="e">
        <f>#REF!*1.1</f>
        <v>#REF!</v>
      </c>
      <c r="AQ1100" s="3">
        <f>AO1100*1.1</f>
        <v>239096.00000000009</v>
      </c>
      <c r="AR1100" s="3"/>
      <c r="AS1100" s="3">
        <f>AQ1100*1.075</f>
        <v>257028.20000000007</v>
      </c>
      <c r="AT1100" s="3"/>
      <c r="AU1100" s="3">
        <f>AS1100*1.075</f>
        <v>276305.31500000006</v>
      </c>
      <c r="AV1100" s="42"/>
      <c r="AW1100" s="3">
        <f>AU1100*1.05</f>
        <v>290120.58075000008</v>
      </c>
      <c r="AX1100" s="42"/>
      <c r="AY1100" s="3">
        <f>AW1100*1.05</f>
        <v>304626.60978750011</v>
      </c>
      <c r="AZ1100" s="42"/>
      <c r="BA1100" s="3">
        <f>AY1100*1.05</f>
        <v>319857.94027687516</v>
      </c>
      <c r="BB1100" s="42"/>
      <c r="BC1100" s="3">
        <f>BA1100*1.05</f>
        <v>335850.83729071892</v>
      </c>
      <c r="BE1100" s="3">
        <f>BC1100*1.05</f>
        <v>352643.37915525486</v>
      </c>
    </row>
    <row r="1101" spans="1:57" x14ac:dyDescent="0.25">
      <c r="A1101" s="7" t="s">
        <v>808</v>
      </c>
      <c r="B1101" s="5">
        <f>489230 -41730</f>
        <v>447500</v>
      </c>
      <c r="D1101" s="5">
        <v>-37</v>
      </c>
      <c r="E1101" s="3">
        <f>F1101-D1101</f>
        <v>447537</v>
      </c>
      <c r="F1101" s="5">
        <f>489230 -41730</f>
        <v>447500</v>
      </c>
      <c r="H1101" s="5">
        <f>F1101-B1101</f>
        <v>0</v>
      </c>
      <c r="J1101" s="5">
        <v>166691</v>
      </c>
      <c r="K1101" s="4">
        <f>L1101-J1101</f>
        <v>243309</v>
      </c>
      <c r="L1101" s="4">
        <v>410000</v>
      </c>
      <c r="N1101" s="4">
        <f>L1101-F1101</f>
        <v>-37500</v>
      </c>
      <c r="P1101" s="3">
        <f>L1101*1.1</f>
        <v>451000.00000000006</v>
      </c>
      <c r="Q1101" s="3"/>
      <c r="R1101" s="3">
        <v>0</v>
      </c>
      <c r="S1101" s="3">
        <f>T1101-R1101</f>
        <v>451000</v>
      </c>
      <c r="T1101" s="3">
        <v>451000</v>
      </c>
      <c r="U1101" s="3">
        <f>T1101-P1101</f>
        <v>0</v>
      </c>
      <c r="V1101" s="3">
        <v>239411</v>
      </c>
      <c r="W1101" s="3">
        <f>Y1101-V1101</f>
        <v>230589</v>
      </c>
      <c r="X1101" s="3"/>
      <c r="Y1101" s="3">
        <v>470000</v>
      </c>
      <c r="Z1101" s="3">
        <f>Y1101-T1101</f>
        <v>19000</v>
      </c>
      <c r="AA1101" s="3"/>
      <c r="AB1101" s="3"/>
      <c r="AC1101" s="3">
        <v>222238</v>
      </c>
      <c r="AD1101" s="3">
        <f>AE1101-AC1101</f>
        <v>247762</v>
      </c>
      <c r="AE1101" s="3">
        <v>470000</v>
      </c>
      <c r="AF1101" s="3">
        <f>AE1101-Y1101</f>
        <v>0</v>
      </c>
      <c r="AG1101" s="4"/>
      <c r="AH1101" s="4">
        <f>P1101*1.1+7000</f>
        <v>503100.00000000012</v>
      </c>
      <c r="AJ1101" s="3"/>
      <c r="AK1101" s="3">
        <f>AL1101-AJ1101</f>
        <v>503100</v>
      </c>
      <c r="AL1101" s="3">
        <v>503100</v>
      </c>
      <c r="AM1101" s="3">
        <f>AL1101-AH1101</f>
        <v>0</v>
      </c>
      <c r="AO1101" s="3">
        <f>AH1101*1.1</f>
        <v>553410.00000000012</v>
      </c>
      <c r="AP1101" s="3" t="e">
        <f>#REF!*1.1</f>
        <v>#REF!</v>
      </c>
      <c r="AQ1101" s="3">
        <f>AO1101*1.1</f>
        <v>608751.00000000023</v>
      </c>
      <c r="AR1101" s="3"/>
      <c r="AS1101" s="3">
        <f>AQ1101*1.075</f>
        <v>654407.32500000019</v>
      </c>
      <c r="AT1101" s="3"/>
      <c r="AU1101" s="3">
        <f>AS1101*1.075</f>
        <v>703487.87437500013</v>
      </c>
      <c r="AV1101" s="42"/>
      <c r="AW1101" s="3">
        <f>AU1101*1.05</f>
        <v>738662.26809375011</v>
      </c>
      <c r="AX1101" s="42"/>
      <c r="AY1101" s="3">
        <f>AW1101*1.05</f>
        <v>775595.38149843761</v>
      </c>
      <c r="AZ1101" s="42"/>
      <c r="BA1101" s="3">
        <f>AY1101*1.05</f>
        <v>814375.15057335957</v>
      </c>
      <c r="BB1101" s="42"/>
      <c r="BC1101" s="3">
        <f>BA1101*1.05</f>
        <v>855093.90810202761</v>
      </c>
      <c r="BE1101" s="3">
        <f>BC1101*1.05</f>
        <v>897848.60350712901</v>
      </c>
    </row>
    <row r="1102" spans="1:57" x14ac:dyDescent="0.25">
      <c r="A1102" s="7"/>
      <c r="B1102" s="72">
        <f>SUM(B1100:B1101)</f>
        <v>600000</v>
      </c>
      <c r="C1102" s="32"/>
      <c r="D1102" s="72">
        <f>SUM(D1100:D1101)</f>
        <v>-37</v>
      </c>
      <c r="E1102" s="72">
        <f>SUM(E1100:E1101)</f>
        <v>600037</v>
      </c>
      <c r="F1102" s="72">
        <f>SUM(F1100:F1101)</f>
        <v>600000</v>
      </c>
      <c r="G1102" s="32"/>
      <c r="H1102" s="72">
        <f>SUM(H1100:H1101)</f>
        <v>0</v>
      </c>
      <c r="I1102" s="36"/>
      <c r="J1102" s="72">
        <f>SUM(J1100:J1101)</f>
        <v>251356</v>
      </c>
      <c r="K1102" s="72">
        <f>SUM(K1100:K1101)</f>
        <v>318644</v>
      </c>
      <c r="L1102" s="72">
        <f>SUM(L1100:L1101)</f>
        <v>570000</v>
      </c>
      <c r="M1102" s="32"/>
      <c r="N1102" s="72">
        <f>SUM(N1100:N1101)</f>
        <v>-30000</v>
      </c>
      <c r="P1102" s="72">
        <f>SUM(P1100:P1101)</f>
        <v>627000</v>
      </c>
      <c r="R1102" s="72">
        <f t="shared" ref="R1102:Z1102" si="582">SUM(R1100:R1101)</f>
        <v>0</v>
      </c>
      <c r="S1102" s="72">
        <f t="shared" si="582"/>
        <v>627000</v>
      </c>
      <c r="T1102" s="72">
        <f t="shared" si="582"/>
        <v>627000</v>
      </c>
      <c r="U1102" s="72">
        <f t="shared" si="582"/>
        <v>0</v>
      </c>
      <c r="V1102" s="72">
        <f t="shared" si="582"/>
        <v>333911</v>
      </c>
      <c r="W1102" s="72">
        <f t="shared" si="582"/>
        <v>316089</v>
      </c>
      <c r="X1102" s="72"/>
      <c r="Y1102" s="72">
        <f t="shared" si="582"/>
        <v>650000</v>
      </c>
      <c r="Z1102" s="72">
        <f t="shared" si="582"/>
        <v>23000</v>
      </c>
      <c r="AC1102" s="72">
        <f>SUM(AC1100:AC1101)</f>
        <v>313546</v>
      </c>
      <c r="AD1102" s="72">
        <f>SUM(AD1100:AD1101)</f>
        <v>336454</v>
      </c>
      <c r="AE1102" s="72">
        <f>SUM(AE1100:AE1101)</f>
        <v>650000</v>
      </c>
      <c r="AF1102" s="72">
        <f>SUM(AF1100:AF1101)</f>
        <v>0</v>
      </c>
      <c r="AH1102" s="36">
        <f>SUM(AH1100:AH1101)</f>
        <v>700700.00000000012</v>
      </c>
      <c r="AI1102" s="32"/>
      <c r="AJ1102" s="72">
        <f>SUM(AJ1100:AJ1101)</f>
        <v>0</v>
      </c>
      <c r="AK1102" s="72">
        <f>SUM(AK1100:AK1101)</f>
        <v>700700</v>
      </c>
      <c r="AL1102" s="72">
        <f>SUM(AL1100:AL1101)</f>
        <v>700700</v>
      </c>
      <c r="AM1102" s="72">
        <f>SUM(AM1100:AM1101)</f>
        <v>0</v>
      </c>
      <c r="AN1102" s="32"/>
      <c r="AO1102" s="72">
        <f>SUM(AO1100:AO1101)</f>
        <v>770770.00000000023</v>
      </c>
      <c r="AQ1102" s="72">
        <f>SUM(AQ1100:AQ1101)</f>
        <v>847847.00000000035</v>
      </c>
      <c r="AS1102" s="72">
        <f>SUM(AS1100:AS1101)</f>
        <v>911435.52500000026</v>
      </c>
      <c r="AT1102" s="72"/>
      <c r="AU1102" s="72">
        <f>SUM(AU1100:AU1101)</f>
        <v>979793.18937500019</v>
      </c>
      <c r="AW1102" s="72">
        <f>SUM(AW1100:AW1101)</f>
        <v>1028782.8488437502</v>
      </c>
      <c r="AY1102" s="72">
        <f>SUM(AY1100:AY1101)</f>
        <v>1080221.9912859378</v>
      </c>
      <c r="BA1102" s="72">
        <f>SUM(BA1100:BA1101)</f>
        <v>1134233.0908502347</v>
      </c>
      <c r="BC1102" s="72">
        <f>SUM(BC1100:BC1101)</f>
        <v>1190944.7453927465</v>
      </c>
      <c r="BE1102" s="72">
        <f>SUM(BE1100:BE1101)</f>
        <v>1250491.9826623839</v>
      </c>
    </row>
    <row r="1103" spans="1:57" x14ac:dyDescent="0.25">
      <c r="A1103" s="7" t="s">
        <v>809</v>
      </c>
    </row>
    <row r="1104" spans="1:57" x14ac:dyDescent="0.25">
      <c r="A1104" s="3" t="s">
        <v>810</v>
      </c>
      <c r="B1104" s="3">
        <v>8200</v>
      </c>
      <c r="D1104" s="3">
        <v>840</v>
      </c>
      <c r="E1104" s="3">
        <f t="shared" ref="E1104:E1116" si="583">F1104-D1104</f>
        <v>7360</v>
      </c>
      <c r="F1104" s="5">
        <v>8200</v>
      </c>
      <c r="H1104" s="5">
        <f t="shared" ref="H1104:H1116" si="584">F1104-B1104</f>
        <v>0</v>
      </c>
      <c r="J1104" s="5">
        <v>9894</v>
      </c>
      <c r="K1104" s="4">
        <f t="shared" ref="K1104:K1116" si="585">L1104-J1104</f>
        <v>3306</v>
      </c>
      <c r="L1104" s="4">
        <v>13200</v>
      </c>
      <c r="N1104" s="4">
        <f t="shared" ref="N1104:N1116" si="586">L1104-F1104</f>
        <v>5000</v>
      </c>
      <c r="P1104" s="3">
        <f>L1104*1.025</f>
        <v>13529.999999999998</v>
      </c>
      <c r="Q1104" s="3"/>
      <c r="R1104" s="3">
        <v>890</v>
      </c>
      <c r="S1104" s="3">
        <f t="shared" ref="S1104:S1116" si="587">T1104-R1104</f>
        <v>12640</v>
      </c>
      <c r="T1104" s="3">
        <v>13530</v>
      </c>
      <c r="U1104" s="3">
        <f t="shared" ref="U1104:U1116" si="588">T1104-P1104</f>
        <v>0</v>
      </c>
      <c r="V1104" s="3">
        <v>2995</v>
      </c>
      <c r="W1104" s="3">
        <f t="shared" ref="W1104:W1116" si="589">Y1104-V1104</f>
        <v>4005</v>
      </c>
      <c r="X1104" s="3"/>
      <c r="Y1104" s="3">
        <v>7000</v>
      </c>
      <c r="Z1104" s="3">
        <f t="shared" ref="Z1104:Z1116" si="590">Y1104-T1104</f>
        <v>-6530</v>
      </c>
      <c r="AA1104" s="3"/>
      <c r="AB1104" s="3"/>
      <c r="AC1104" s="3">
        <v>2995</v>
      </c>
      <c r="AD1104" s="3">
        <f t="shared" ref="AD1104:AD1116" si="591">AE1104-AC1104</f>
        <v>1505</v>
      </c>
      <c r="AE1104" s="3">
        <v>4500</v>
      </c>
      <c r="AF1104" s="3">
        <f t="shared" ref="AF1104:AF1116" si="592">AE1104-Y1104</f>
        <v>-2500</v>
      </c>
      <c r="AG1104" s="4"/>
      <c r="AH1104" s="4">
        <f>AE1104*1.025-13</f>
        <v>4599.5</v>
      </c>
      <c r="AJ1104" s="3">
        <v>915</v>
      </c>
      <c r="AK1104" s="3">
        <f t="shared" ref="AK1104:AK1116" si="593">AL1104-AJ1104</f>
        <v>3685</v>
      </c>
      <c r="AL1104" s="3">
        <v>4600</v>
      </c>
      <c r="AM1104" s="3">
        <f t="shared" ref="AM1104:AM1116" si="594">AL1104-AH1104</f>
        <v>0.5</v>
      </c>
      <c r="AO1104" s="3">
        <f>AH1104*1.025</f>
        <v>4714.4874999999993</v>
      </c>
      <c r="AP1104" s="3" t="e">
        <f>#REF!*1.025</f>
        <v>#REF!</v>
      </c>
      <c r="AQ1104" s="3">
        <f t="shared" ref="AQ1104:BC1104" si="595">AO1104*1.025</f>
        <v>4832.3496874999992</v>
      </c>
      <c r="AR1104" s="3" t="e">
        <f t="shared" si="595"/>
        <v>#REF!</v>
      </c>
      <c r="AS1104" s="3">
        <f t="shared" si="595"/>
        <v>4953.1584296874989</v>
      </c>
      <c r="AT1104" s="3"/>
      <c r="AU1104" s="3">
        <f>AS1104*1.025</f>
        <v>5076.9873904296855</v>
      </c>
      <c r="AV1104" s="3"/>
      <c r="AW1104" s="3">
        <f t="shared" si="595"/>
        <v>5203.9120751904275</v>
      </c>
      <c r="AX1104" s="3">
        <f t="shared" si="595"/>
        <v>0</v>
      </c>
      <c r="AY1104" s="3">
        <f t="shared" si="595"/>
        <v>5334.0098770701879</v>
      </c>
      <c r="AZ1104" s="3">
        <f t="shared" si="595"/>
        <v>0</v>
      </c>
      <c r="BA1104" s="3">
        <f t="shared" si="595"/>
        <v>5467.3601239969421</v>
      </c>
      <c r="BB1104" s="3"/>
      <c r="BC1104" s="3">
        <f t="shared" si="595"/>
        <v>5604.0441270968649</v>
      </c>
      <c r="BE1104" s="3">
        <f t="shared" ref="AQ1104:BE1108" si="596">BC1104*1.025</f>
        <v>5744.1452302742864</v>
      </c>
    </row>
    <row r="1105" spans="1:57" x14ac:dyDescent="0.25">
      <c r="A1105" s="3" t="s">
        <v>811</v>
      </c>
      <c r="B1105" s="3">
        <v>1650</v>
      </c>
      <c r="D1105" s="3">
        <v>624</v>
      </c>
      <c r="E1105" s="3">
        <f t="shared" si="583"/>
        <v>1026</v>
      </c>
      <c r="F1105" s="5">
        <v>1650</v>
      </c>
      <c r="H1105" s="5">
        <f t="shared" si="584"/>
        <v>0</v>
      </c>
      <c r="J1105" s="5">
        <v>1281</v>
      </c>
      <c r="K1105" s="4">
        <f t="shared" si="585"/>
        <v>519</v>
      </c>
      <c r="L1105" s="4">
        <v>1800</v>
      </c>
      <c r="N1105" s="4">
        <f t="shared" si="586"/>
        <v>150</v>
      </c>
      <c r="P1105" s="3">
        <f>L1105*1.025+5</f>
        <v>1849.9999999999998</v>
      </c>
      <c r="Q1105" s="3"/>
      <c r="R1105" s="3">
        <v>790</v>
      </c>
      <c r="S1105" s="3">
        <f t="shared" si="587"/>
        <v>1060</v>
      </c>
      <c r="T1105" s="3">
        <v>1850</v>
      </c>
      <c r="U1105" s="3">
        <f t="shared" si="588"/>
        <v>0</v>
      </c>
      <c r="V1105" s="3">
        <v>1303</v>
      </c>
      <c r="W1105" s="3">
        <f t="shared" si="589"/>
        <v>697</v>
      </c>
      <c r="X1105" s="3"/>
      <c r="Y1105" s="3">
        <v>2000</v>
      </c>
      <c r="Z1105" s="3">
        <f t="shared" si="590"/>
        <v>150</v>
      </c>
      <c r="AA1105" s="3"/>
      <c r="AB1105" s="3"/>
      <c r="AC1105" s="3">
        <v>2289</v>
      </c>
      <c r="AD1105" s="3">
        <f t="shared" si="591"/>
        <v>511</v>
      </c>
      <c r="AE1105" s="3">
        <v>2800</v>
      </c>
      <c r="AF1105" s="3">
        <f t="shared" si="592"/>
        <v>800</v>
      </c>
      <c r="AG1105" s="4"/>
      <c r="AH1105" s="4">
        <f>AE1105*1.025</f>
        <v>2869.9999999999995</v>
      </c>
      <c r="AJ1105" s="3">
        <v>1106</v>
      </c>
      <c r="AK1105" s="3">
        <f t="shared" si="593"/>
        <v>1764</v>
      </c>
      <c r="AL1105" s="3">
        <v>2870</v>
      </c>
      <c r="AM1105" s="3">
        <f t="shared" si="594"/>
        <v>0</v>
      </c>
      <c r="AO1105" s="3">
        <f>AH1105*1.025</f>
        <v>2941.7499999999991</v>
      </c>
      <c r="AP1105" s="3" t="e">
        <f>#REF!*1.025</f>
        <v>#REF!</v>
      </c>
      <c r="AQ1105" s="3">
        <f t="shared" si="596"/>
        <v>3015.2937499999989</v>
      </c>
      <c r="AR1105" s="3" t="e">
        <f t="shared" si="596"/>
        <v>#REF!</v>
      </c>
      <c r="AS1105" s="3">
        <f t="shared" si="596"/>
        <v>3090.6760937499985</v>
      </c>
      <c r="AT1105" s="3"/>
      <c r="AU1105" s="3">
        <f>AS1105*1.025</f>
        <v>3167.9429960937482</v>
      </c>
      <c r="AV1105" s="3"/>
      <c r="AW1105" s="3">
        <f t="shared" si="596"/>
        <v>3247.1415709960916</v>
      </c>
      <c r="AX1105" s="3">
        <f t="shared" si="596"/>
        <v>0</v>
      </c>
      <c r="AY1105" s="3">
        <f t="shared" si="596"/>
        <v>3328.3201102709936</v>
      </c>
      <c r="AZ1105" s="3">
        <f t="shared" si="596"/>
        <v>0</v>
      </c>
      <c r="BA1105" s="3">
        <f t="shared" si="596"/>
        <v>3411.5281130277681</v>
      </c>
      <c r="BB1105" s="3"/>
      <c r="BC1105" s="3">
        <f t="shared" si="596"/>
        <v>3496.8163158534621</v>
      </c>
      <c r="BE1105" s="3">
        <f t="shared" si="596"/>
        <v>3584.2367237497983</v>
      </c>
    </row>
    <row r="1106" spans="1:57" x14ac:dyDescent="0.25">
      <c r="A1106" s="3" t="s">
        <v>812</v>
      </c>
      <c r="B1106" s="3"/>
      <c r="D1106" s="3"/>
      <c r="E1106" s="3">
        <f t="shared" si="583"/>
        <v>0</v>
      </c>
      <c r="H1106" s="5">
        <f t="shared" si="584"/>
        <v>0</v>
      </c>
      <c r="K1106" s="4">
        <f t="shared" si="585"/>
        <v>0</v>
      </c>
      <c r="L1106" s="4"/>
      <c r="N1106" s="4">
        <f t="shared" si="586"/>
        <v>0</v>
      </c>
      <c r="P1106" s="3"/>
      <c r="Q1106" s="3"/>
      <c r="R1106" s="3"/>
      <c r="S1106" s="3">
        <f t="shared" si="587"/>
        <v>0</v>
      </c>
      <c r="T1106" s="3"/>
      <c r="U1106" s="3">
        <f t="shared" si="588"/>
        <v>0</v>
      </c>
      <c r="V1106" s="3"/>
      <c r="W1106" s="3">
        <f t="shared" si="589"/>
        <v>0</v>
      </c>
      <c r="X1106" s="3"/>
      <c r="Y1106" s="3"/>
      <c r="Z1106" s="3">
        <f t="shared" si="590"/>
        <v>0</v>
      </c>
      <c r="AA1106" s="3"/>
      <c r="AB1106" s="3"/>
      <c r="AC1106" s="3"/>
      <c r="AD1106" s="3">
        <f t="shared" si="591"/>
        <v>0</v>
      </c>
      <c r="AE1106" s="3"/>
      <c r="AF1106" s="3">
        <f t="shared" si="592"/>
        <v>0</v>
      </c>
      <c r="AG1106" s="4"/>
      <c r="AH1106" s="4">
        <f>P1106*1.025</f>
        <v>0</v>
      </c>
      <c r="AJ1106" s="3"/>
      <c r="AK1106" s="3">
        <f t="shared" si="593"/>
        <v>0</v>
      </c>
      <c r="AL1106" s="3"/>
      <c r="AM1106" s="3">
        <f t="shared" si="594"/>
        <v>0</v>
      </c>
      <c r="AO1106" s="3">
        <f>AH1106*1.025</f>
        <v>0</v>
      </c>
      <c r="AP1106" s="3" t="e">
        <f>#REF!*1.025</f>
        <v>#REF!</v>
      </c>
      <c r="AQ1106" s="3">
        <f t="shared" si="596"/>
        <v>0</v>
      </c>
      <c r="AR1106" s="3" t="e">
        <f t="shared" si="596"/>
        <v>#REF!</v>
      </c>
      <c r="AS1106" s="3">
        <f t="shared" si="596"/>
        <v>0</v>
      </c>
      <c r="AT1106" s="3"/>
      <c r="AU1106" s="3">
        <f>AS1106*1.025</f>
        <v>0</v>
      </c>
      <c r="AV1106" s="3"/>
      <c r="AW1106" s="3">
        <f t="shared" si="596"/>
        <v>0</v>
      </c>
      <c r="AX1106" s="3">
        <f t="shared" si="596"/>
        <v>0</v>
      </c>
      <c r="AY1106" s="3">
        <f t="shared" si="596"/>
        <v>0</v>
      </c>
      <c r="AZ1106" s="3">
        <f t="shared" si="596"/>
        <v>0</v>
      </c>
      <c r="BA1106" s="3">
        <f t="shared" si="596"/>
        <v>0</v>
      </c>
      <c r="BB1106" s="3"/>
      <c r="BC1106" s="3">
        <f t="shared" si="596"/>
        <v>0</v>
      </c>
      <c r="BE1106" s="3">
        <f t="shared" si="596"/>
        <v>0</v>
      </c>
    </row>
    <row r="1107" spans="1:57" x14ac:dyDescent="0.25">
      <c r="A1107" s="3" t="s">
        <v>813</v>
      </c>
      <c r="B1107" s="3">
        <v>300</v>
      </c>
      <c r="D1107" s="3"/>
      <c r="E1107" s="3">
        <f t="shared" si="583"/>
        <v>300</v>
      </c>
      <c r="F1107" s="5">
        <v>300</v>
      </c>
      <c r="H1107" s="5">
        <f t="shared" si="584"/>
        <v>0</v>
      </c>
      <c r="J1107" s="5">
        <v>225</v>
      </c>
      <c r="K1107" s="4">
        <f t="shared" si="585"/>
        <v>75</v>
      </c>
      <c r="L1107" s="4">
        <v>300</v>
      </c>
      <c r="N1107" s="4">
        <f t="shared" si="586"/>
        <v>0</v>
      </c>
      <c r="P1107" s="3">
        <f>L1107*1.025-8</f>
        <v>299.5</v>
      </c>
      <c r="Q1107" s="3"/>
      <c r="R1107" s="3"/>
      <c r="S1107" s="3">
        <f t="shared" si="587"/>
        <v>300</v>
      </c>
      <c r="T1107" s="3">
        <v>300</v>
      </c>
      <c r="U1107" s="3">
        <f t="shared" si="588"/>
        <v>0.5</v>
      </c>
      <c r="V1107" s="3"/>
      <c r="W1107" s="3">
        <f t="shared" si="589"/>
        <v>300</v>
      </c>
      <c r="X1107" s="3"/>
      <c r="Y1107" s="3">
        <v>300</v>
      </c>
      <c r="Z1107" s="3">
        <f t="shared" si="590"/>
        <v>0</v>
      </c>
      <c r="AA1107" s="3"/>
      <c r="AB1107" s="3"/>
      <c r="AC1107" s="3">
        <v>200</v>
      </c>
      <c r="AD1107" s="3">
        <f t="shared" si="591"/>
        <v>100</v>
      </c>
      <c r="AE1107" s="3">
        <v>300</v>
      </c>
      <c r="AF1107" s="3">
        <f t="shared" si="592"/>
        <v>0</v>
      </c>
      <c r="AG1107" s="4"/>
      <c r="AH1107" s="4">
        <f>AE1107*1.025-8</f>
        <v>299.5</v>
      </c>
      <c r="AJ1107" s="3"/>
      <c r="AK1107" s="3">
        <f t="shared" si="593"/>
        <v>300</v>
      </c>
      <c r="AL1107" s="3">
        <v>300</v>
      </c>
      <c r="AM1107" s="3">
        <f t="shared" si="594"/>
        <v>0.5</v>
      </c>
      <c r="AO1107" s="3">
        <f>AH1107*1.025</f>
        <v>306.98749999999995</v>
      </c>
      <c r="AP1107" s="3" t="e">
        <f>#REF!*1.025</f>
        <v>#REF!</v>
      </c>
      <c r="AQ1107" s="3">
        <f t="shared" si="596"/>
        <v>314.6621874999999</v>
      </c>
      <c r="AR1107" s="3" t="e">
        <f t="shared" si="596"/>
        <v>#REF!</v>
      </c>
      <c r="AS1107" s="3">
        <f t="shared" si="596"/>
        <v>322.52874218749986</v>
      </c>
      <c r="AT1107" s="3"/>
      <c r="AU1107" s="3">
        <f>AS1107*1.025</f>
        <v>330.59196074218733</v>
      </c>
      <c r="AV1107" s="3"/>
      <c r="AW1107" s="3">
        <f t="shared" si="596"/>
        <v>338.85675976074197</v>
      </c>
      <c r="AX1107" s="3">
        <f t="shared" si="596"/>
        <v>0</v>
      </c>
      <c r="AY1107" s="3">
        <f t="shared" si="596"/>
        <v>347.32817875476047</v>
      </c>
      <c r="AZ1107" s="3">
        <f t="shared" si="596"/>
        <v>0</v>
      </c>
      <c r="BA1107" s="3">
        <f t="shared" si="596"/>
        <v>356.01138322362948</v>
      </c>
      <c r="BB1107" s="3"/>
      <c r="BC1107" s="3">
        <f t="shared" si="596"/>
        <v>364.9116678042202</v>
      </c>
      <c r="BE1107" s="3">
        <f t="shared" si="596"/>
        <v>374.03445949932569</v>
      </c>
    </row>
    <row r="1108" spans="1:57" x14ac:dyDescent="0.25">
      <c r="A1108" s="3" t="s">
        <v>814</v>
      </c>
      <c r="B1108" s="3">
        <v>3500</v>
      </c>
      <c r="D1108" s="3">
        <v>497</v>
      </c>
      <c r="E1108" s="3">
        <f t="shared" si="583"/>
        <v>3003</v>
      </c>
      <c r="F1108" s="5">
        <v>3500</v>
      </c>
      <c r="H1108" s="5">
        <f t="shared" si="584"/>
        <v>0</v>
      </c>
      <c r="J1108" s="5">
        <v>1182</v>
      </c>
      <c r="K1108" s="4">
        <f t="shared" si="585"/>
        <v>1318</v>
      </c>
      <c r="L1108" s="4">
        <v>2500</v>
      </c>
      <c r="N1108" s="4">
        <f t="shared" si="586"/>
        <v>-1000</v>
      </c>
      <c r="P1108" s="3">
        <f>L1108*1.025+37</f>
        <v>2599.5</v>
      </c>
      <c r="Q1108" s="3"/>
      <c r="R1108" s="3">
        <v>1050</v>
      </c>
      <c r="S1108" s="3">
        <f t="shared" si="587"/>
        <v>1550</v>
      </c>
      <c r="T1108" s="3">
        <v>2600</v>
      </c>
      <c r="U1108" s="3">
        <f t="shared" si="588"/>
        <v>0.5</v>
      </c>
      <c r="V1108" s="3">
        <v>1918</v>
      </c>
      <c r="W1108" s="3">
        <f t="shared" si="589"/>
        <v>1082</v>
      </c>
      <c r="X1108" s="3"/>
      <c r="Y1108" s="3">
        <v>3000</v>
      </c>
      <c r="Z1108" s="3">
        <f t="shared" si="590"/>
        <v>400</v>
      </c>
      <c r="AA1108" s="3"/>
      <c r="AB1108" s="3"/>
      <c r="AC1108" s="3">
        <v>3080</v>
      </c>
      <c r="AD1108" s="3">
        <f t="shared" si="591"/>
        <v>420</v>
      </c>
      <c r="AE1108" s="3">
        <v>3500</v>
      </c>
      <c r="AF1108" s="3">
        <f t="shared" si="592"/>
        <v>500</v>
      </c>
      <c r="AG1108" s="4"/>
      <c r="AH1108" s="4">
        <f>AE1108*1.025+12</f>
        <v>3599.4999999999995</v>
      </c>
      <c r="AJ1108" s="3">
        <v>1397</v>
      </c>
      <c r="AK1108" s="3">
        <f t="shared" si="593"/>
        <v>2203</v>
      </c>
      <c r="AL1108" s="3">
        <v>3600</v>
      </c>
      <c r="AM1108" s="3">
        <f t="shared" si="594"/>
        <v>0.50000000000045475</v>
      </c>
      <c r="AO1108" s="3">
        <f>AH1108*1.025</f>
        <v>3689.4874999999993</v>
      </c>
      <c r="AP1108" s="3" t="e">
        <f>#REF!*1.025</f>
        <v>#REF!</v>
      </c>
      <c r="AQ1108" s="3">
        <f t="shared" si="596"/>
        <v>3781.7246874999987</v>
      </c>
      <c r="AR1108" s="3" t="e">
        <f t="shared" si="596"/>
        <v>#REF!</v>
      </c>
      <c r="AS1108" s="3">
        <f t="shared" si="596"/>
        <v>3876.2678046874985</v>
      </c>
      <c r="AT1108" s="3"/>
      <c r="AU1108" s="3">
        <f>AS1108*1.025</f>
        <v>3973.1744998046856</v>
      </c>
      <c r="AV1108" s="3"/>
      <c r="AW1108" s="3">
        <f t="shared" si="596"/>
        <v>4072.5038622998022</v>
      </c>
      <c r="AX1108" s="3">
        <f t="shared" si="596"/>
        <v>0</v>
      </c>
      <c r="AY1108" s="3">
        <f t="shared" si="596"/>
        <v>4174.3164588572972</v>
      </c>
      <c r="AZ1108" s="3">
        <f t="shared" si="596"/>
        <v>0</v>
      </c>
      <c r="BA1108" s="3">
        <f t="shared" si="596"/>
        <v>4278.6743703287293</v>
      </c>
      <c r="BB1108" s="3"/>
      <c r="BC1108" s="3">
        <f t="shared" si="596"/>
        <v>4385.6412295869468</v>
      </c>
      <c r="BE1108" s="3">
        <f t="shared" si="596"/>
        <v>4495.2822603266204</v>
      </c>
    </row>
    <row r="1109" spans="1:57" x14ac:dyDescent="0.25">
      <c r="A1109" s="3" t="s">
        <v>74</v>
      </c>
      <c r="B1109" s="3"/>
      <c r="D1109" s="3"/>
      <c r="E1109" s="3">
        <f t="shared" si="583"/>
        <v>0</v>
      </c>
      <c r="H1109" s="5">
        <f t="shared" si="584"/>
        <v>0</v>
      </c>
      <c r="K1109" s="4">
        <f t="shared" si="585"/>
        <v>0</v>
      </c>
      <c r="L1109" s="4"/>
      <c r="N1109" s="4">
        <f t="shared" si="586"/>
        <v>0</v>
      </c>
      <c r="P1109" s="3"/>
      <c r="Q1109" s="3"/>
      <c r="R1109" s="3"/>
      <c r="S1109" s="3">
        <f t="shared" si="587"/>
        <v>0</v>
      </c>
      <c r="T1109" s="3"/>
      <c r="U1109" s="3">
        <f t="shared" si="588"/>
        <v>0</v>
      </c>
      <c r="V1109" s="3"/>
      <c r="W1109" s="3">
        <f t="shared" si="589"/>
        <v>0</v>
      </c>
      <c r="X1109" s="3"/>
      <c r="Y1109" s="3"/>
      <c r="Z1109" s="3">
        <f t="shared" si="590"/>
        <v>0</v>
      </c>
      <c r="AA1109" s="3"/>
      <c r="AB1109" s="3"/>
      <c r="AC1109" s="3"/>
      <c r="AD1109" s="3">
        <f t="shared" si="591"/>
        <v>0</v>
      </c>
      <c r="AE1109" s="3"/>
      <c r="AF1109" s="3">
        <f t="shared" si="592"/>
        <v>0</v>
      </c>
      <c r="AG1109" s="4"/>
      <c r="AH1109" s="4"/>
      <c r="AJ1109" s="3">
        <v>-260</v>
      </c>
      <c r="AK1109" s="3">
        <f t="shared" si="593"/>
        <v>260</v>
      </c>
      <c r="AL1109" s="3"/>
      <c r="AM1109" s="3">
        <f t="shared" si="594"/>
        <v>0</v>
      </c>
      <c r="AO1109" s="3"/>
      <c r="AP1109" s="3"/>
      <c r="AQ1109" s="3"/>
      <c r="AR1109" s="3"/>
      <c r="AS1109" s="3"/>
      <c r="AT1109" s="3"/>
      <c r="AU1109" s="3"/>
      <c r="AV1109" s="42"/>
      <c r="AW1109" s="3"/>
      <c r="AX1109" s="42"/>
      <c r="AY1109" s="3"/>
      <c r="AZ1109" s="42"/>
      <c r="BA1109" s="3"/>
      <c r="BB1109" s="42"/>
      <c r="BC1109" s="3"/>
      <c r="BE1109" s="3"/>
    </row>
    <row r="1110" spans="1:57" x14ac:dyDescent="0.25">
      <c r="A1110" s="7" t="s">
        <v>815</v>
      </c>
      <c r="B1110" s="3">
        <v>47500</v>
      </c>
      <c r="D1110" s="3">
        <v>2</v>
      </c>
      <c r="E1110" s="3">
        <f t="shared" si="583"/>
        <v>47498</v>
      </c>
      <c r="F1110" s="5">
        <v>47500</v>
      </c>
      <c r="H1110" s="5">
        <f t="shared" si="584"/>
        <v>0</v>
      </c>
      <c r="J1110" s="5">
        <v>5</v>
      </c>
      <c r="K1110" s="4">
        <f t="shared" si="585"/>
        <v>47495</v>
      </c>
      <c r="L1110" s="4">
        <v>47500</v>
      </c>
      <c r="N1110" s="4">
        <f t="shared" si="586"/>
        <v>0</v>
      </c>
      <c r="P1110" s="3">
        <v>47500</v>
      </c>
      <c r="Q1110" s="3"/>
      <c r="R1110" s="3">
        <v>0</v>
      </c>
      <c r="S1110" s="3">
        <f t="shared" si="587"/>
        <v>47500</v>
      </c>
      <c r="T1110" s="3">
        <v>47500</v>
      </c>
      <c r="U1110" s="3">
        <f t="shared" si="588"/>
        <v>0</v>
      </c>
      <c r="V1110" s="3">
        <v>4</v>
      </c>
      <c r="W1110" s="3">
        <f t="shared" si="589"/>
        <v>41996</v>
      </c>
      <c r="X1110" s="3"/>
      <c r="Y1110" s="3">
        <v>42000</v>
      </c>
      <c r="Z1110" s="3">
        <f t="shared" si="590"/>
        <v>-5500</v>
      </c>
      <c r="AA1110" s="3"/>
      <c r="AB1110" s="3"/>
      <c r="AC1110" s="3">
        <v>6</v>
      </c>
      <c r="AD1110" s="3">
        <f t="shared" si="591"/>
        <v>41994</v>
      </c>
      <c r="AE1110" s="3">
        <v>42000</v>
      </c>
      <c r="AF1110" s="3">
        <f t="shared" si="592"/>
        <v>0</v>
      </c>
      <c r="AG1110" s="4"/>
      <c r="AH1110" s="4">
        <v>44000</v>
      </c>
      <c r="AJ1110" s="3">
        <v>2</v>
      </c>
      <c r="AK1110" s="3">
        <f t="shared" si="593"/>
        <v>43998</v>
      </c>
      <c r="AL1110" s="3">
        <v>44000</v>
      </c>
      <c r="AM1110" s="3">
        <f t="shared" si="594"/>
        <v>0</v>
      </c>
      <c r="AO1110" s="3">
        <v>45000</v>
      </c>
      <c r="AP1110" s="3"/>
      <c r="AQ1110" s="3">
        <v>45000</v>
      </c>
      <c r="AR1110" s="3"/>
      <c r="AS1110" s="3">
        <v>47500</v>
      </c>
      <c r="AT1110" s="3"/>
      <c r="AU1110" s="3">
        <v>47500</v>
      </c>
      <c r="AV1110" s="42"/>
      <c r="AW1110" s="3">
        <v>47500</v>
      </c>
      <c r="AX1110" s="42"/>
      <c r="AY1110" s="3">
        <v>47500</v>
      </c>
      <c r="AZ1110" s="42"/>
      <c r="BA1110" s="3">
        <v>47500</v>
      </c>
      <c r="BB1110" s="42"/>
      <c r="BC1110" s="3">
        <v>47500</v>
      </c>
      <c r="BE1110" s="3">
        <v>47500</v>
      </c>
    </row>
    <row r="1111" spans="1:57" x14ac:dyDescent="0.25">
      <c r="A1111" s="7" t="s">
        <v>816</v>
      </c>
      <c r="B1111" s="3"/>
      <c r="D1111" s="3"/>
      <c r="E1111" s="3">
        <f t="shared" si="583"/>
        <v>0</v>
      </c>
      <c r="H1111" s="5">
        <f t="shared" si="584"/>
        <v>0</v>
      </c>
      <c r="K1111" s="4">
        <f t="shared" si="585"/>
        <v>0</v>
      </c>
      <c r="L1111" s="4"/>
      <c r="N1111" s="4">
        <f t="shared" si="586"/>
        <v>0</v>
      </c>
      <c r="P1111" s="3"/>
      <c r="Q1111" s="3"/>
      <c r="R1111" s="3"/>
      <c r="S1111" s="3">
        <f t="shared" si="587"/>
        <v>0</v>
      </c>
      <c r="T1111" s="3"/>
      <c r="U1111" s="3">
        <f t="shared" si="588"/>
        <v>0</v>
      </c>
      <c r="V1111" s="3"/>
      <c r="W1111" s="3">
        <f t="shared" si="589"/>
        <v>0</v>
      </c>
      <c r="X1111" s="3"/>
      <c r="Y1111" s="3"/>
      <c r="Z1111" s="3">
        <f t="shared" si="590"/>
        <v>0</v>
      </c>
      <c r="AA1111" s="3"/>
      <c r="AB1111" s="3"/>
      <c r="AC1111" s="3"/>
      <c r="AD1111" s="3">
        <f t="shared" si="591"/>
        <v>0</v>
      </c>
      <c r="AE1111" s="3"/>
      <c r="AF1111" s="3">
        <f t="shared" si="592"/>
        <v>0</v>
      </c>
      <c r="AG1111" s="4"/>
      <c r="AH1111" s="4"/>
      <c r="AJ1111" s="3"/>
      <c r="AK1111" s="3">
        <f t="shared" si="593"/>
        <v>0</v>
      </c>
      <c r="AL1111" s="3"/>
      <c r="AM1111" s="3">
        <f t="shared" si="594"/>
        <v>0</v>
      </c>
      <c r="AO1111" s="3"/>
      <c r="AP1111" s="3"/>
      <c r="AQ1111" s="3"/>
      <c r="AR1111" s="3"/>
      <c r="AS1111" s="3"/>
      <c r="AT1111" s="3"/>
      <c r="AU1111" s="3"/>
      <c r="AV1111" s="42"/>
      <c r="AW1111" s="3"/>
      <c r="AY1111" s="3"/>
      <c r="BA1111" s="3"/>
      <c r="BC1111" s="3"/>
      <c r="BE1111" s="3"/>
    </row>
    <row r="1112" spans="1:57" x14ac:dyDescent="0.25">
      <c r="A1112" s="7" t="s">
        <v>93</v>
      </c>
      <c r="B1112" s="3"/>
      <c r="D1112" s="3"/>
      <c r="E1112" s="3">
        <f t="shared" si="583"/>
        <v>0</v>
      </c>
      <c r="H1112" s="5">
        <f t="shared" si="584"/>
        <v>0</v>
      </c>
      <c r="K1112" s="4">
        <f t="shared" si="585"/>
        <v>0</v>
      </c>
      <c r="L1112" s="4"/>
      <c r="N1112" s="4">
        <f t="shared" si="586"/>
        <v>0</v>
      </c>
      <c r="P1112" s="3"/>
      <c r="Q1112" s="3"/>
      <c r="R1112" s="3"/>
      <c r="S1112" s="3">
        <f t="shared" si="587"/>
        <v>0</v>
      </c>
      <c r="T1112" s="3"/>
      <c r="U1112" s="3">
        <f t="shared" si="588"/>
        <v>0</v>
      </c>
      <c r="V1112" s="3"/>
      <c r="W1112" s="3">
        <f t="shared" si="589"/>
        <v>0</v>
      </c>
      <c r="X1112" s="3"/>
      <c r="Y1112" s="3"/>
      <c r="Z1112" s="3">
        <f t="shared" si="590"/>
        <v>0</v>
      </c>
      <c r="AA1112" s="3"/>
      <c r="AB1112" s="3"/>
      <c r="AC1112" s="3"/>
      <c r="AD1112" s="3">
        <f t="shared" si="591"/>
        <v>0</v>
      </c>
      <c r="AE1112" s="3"/>
      <c r="AF1112" s="3">
        <f t="shared" si="592"/>
        <v>0</v>
      </c>
      <c r="AG1112" s="4"/>
      <c r="AH1112" s="4"/>
      <c r="AJ1112" s="3"/>
      <c r="AK1112" s="3">
        <f t="shared" si="593"/>
        <v>0</v>
      </c>
      <c r="AL1112" s="3"/>
      <c r="AM1112" s="3">
        <f t="shared" si="594"/>
        <v>0</v>
      </c>
      <c r="AO1112" s="3"/>
      <c r="AP1112" s="3"/>
      <c r="AQ1112" s="3"/>
      <c r="AR1112" s="3"/>
      <c r="AS1112" s="3"/>
      <c r="AT1112" s="3"/>
      <c r="AU1112" s="3"/>
      <c r="AV1112" s="42"/>
      <c r="AW1112" s="3"/>
      <c r="AY1112" s="3"/>
      <c r="BA1112" s="3"/>
      <c r="BC1112" s="3"/>
      <c r="BE1112" s="3"/>
    </row>
    <row r="1113" spans="1:57" x14ac:dyDescent="0.25">
      <c r="A1113" s="3" t="s">
        <v>817</v>
      </c>
      <c r="B1113" s="3"/>
      <c r="D1113" s="3"/>
      <c r="E1113" s="3">
        <f t="shared" si="583"/>
        <v>0</v>
      </c>
      <c r="H1113" s="5">
        <f t="shared" si="584"/>
        <v>0</v>
      </c>
      <c r="K1113" s="4">
        <f t="shared" si="585"/>
        <v>0</v>
      </c>
      <c r="L1113" s="4"/>
      <c r="N1113" s="4">
        <f t="shared" si="586"/>
        <v>0</v>
      </c>
      <c r="P1113" s="3"/>
      <c r="Q1113" s="3"/>
      <c r="R1113" s="3"/>
      <c r="S1113" s="3">
        <f t="shared" si="587"/>
        <v>0</v>
      </c>
      <c r="T1113" s="3"/>
      <c r="U1113" s="3">
        <f t="shared" si="588"/>
        <v>0</v>
      </c>
      <c r="V1113" s="3"/>
      <c r="W1113" s="3">
        <f t="shared" si="589"/>
        <v>25000</v>
      </c>
      <c r="X1113" s="3"/>
      <c r="Y1113" s="3">
        <v>25000</v>
      </c>
      <c r="Z1113" s="3">
        <f t="shared" si="590"/>
        <v>25000</v>
      </c>
      <c r="AA1113" s="3"/>
      <c r="AB1113" s="3"/>
      <c r="AC1113" s="3"/>
      <c r="AD1113" s="3">
        <f t="shared" si="591"/>
        <v>25000</v>
      </c>
      <c r="AE1113" s="3">
        <v>25000</v>
      </c>
      <c r="AF1113" s="3">
        <f t="shared" si="592"/>
        <v>0</v>
      </c>
      <c r="AG1113" s="4"/>
      <c r="AH1113" s="4"/>
      <c r="AJ1113" s="3"/>
      <c r="AK1113" s="3">
        <f t="shared" si="593"/>
        <v>0</v>
      </c>
      <c r="AL1113" s="3"/>
      <c r="AM1113" s="3">
        <f t="shared" si="594"/>
        <v>0</v>
      </c>
      <c r="AO1113" s="3"/>
      <c r="AP1113" s="3"/>
      <c r="AQ1113" s="3"/>
      <c r="AR1113" s="3"/>
      <c r="AS1113" s="3"/>
      <c r="AT1113" s="3"/>
      <c r="AU1113" s="3"/>
      <c r="AV1113" s="42"/>
      <c r="AW1113" s="3"/>
      <c r="AY1113" s="3"/>
      <c r="BA1113" s="3"/>
      <c r="BC1113" s="3"/>
      <c r="BE1113" s="3"/>
    </row>
    <row r="1114" spans="1:57" x14ac:dyDescent="0.25">
      <c r="A1114" s="3" t="s">
        <v>55</v>
      </c>
      <c r="B1114" s="3">
        <v>10950</v>
      </c>
      <c r="D1114" s="3">
        <v>0</v>
      </c>
      <c r="E1114" s="3">
        <f t="shared" si="583"/>
        <v>10950</v>
      </c>
      <c r="F1114" s="5">
        <v>10950</v>
      </c>
      <c r="H1114" s="5">
        <f t="shared" si="584"/>
        <v>0</v>
      </c>
      <c r="J1114" s="5">
        <v>0</v>
      </c>
      <c r="K1114" s="4">
        <f t="shared" si="585"/>
        <v>10950</v>
      </c>
      <c r="L1114" s="4">
        <v>10950</v>
      </c>
      <c r="N1114" s="4">
        <f t="shared" si="586"/>
        <v>0</v>
      </c>
      <c r="P1114" s="3">
        <v>11000</v>
      </c>
      <c r="Q1114" s="3"/>
      <c r="R1114" s="3">
        <v>0</v>
      </c>
      <c r="S1114" s="3">
        <f t="shared" si="587"/>
        <v>11000</v>
      </c>
      <c r="T1114" s="3">
        <v>11000</v>
      </c>
      <c r="U1114" s="3">
        <f t="shared" si="588"/>
        <v>0</v>
      </c>
      <c r="V1114" s="3">
        <v>0</v>
      </c>
      <c r="W1114" s="3">
        <f t="shared" si="589"/>
        <v>11000</v>
      </c>
      <c r="X1114" s="3"/>
      <c r="Y1114" s="3">
        <v>11000</v>
      </c>
      <c r="Z1114" s="3">
        <f t="shared" si="590"/>
        <v>0</v>
      </c>
      <c r="AA1114" s="3"/>
      <c r="AB1114" s="3"/>
      <c r="AC1114" s="3">
        <v>11577</v>
      </c>
      <c r="AD1114" s="3">
        <f t="shared" si="591"/>
        <v>3</v>
      </c>
      <c r="AE1114" s="3">
        <v>11580</v>
      </c>
      <c r="AF1114" s="3">
        <f t="shared" si="592"/>
        <v>580</v>
      </c>
      <c r="AG1114" s="4"/>
      <c r="AH1114" s="4">
        <f>AE1114*1.025+30</f>
        <v>11899.499999999998</v>
      </c>
      <c r="AJ1114" s="3">
        <v>0</v>
      </c>
      <c r="AK1114" s="3">
        <f t="shared" si="593"/>
        <v>11900</v>
      </c>
      <c r="AL1114" s="3">
        <v>11900</v>
      </c>
      <c r="AM1114" s="3">
        <f t="shared" si="594"/>
        <v>0.50000000000181899</v>
      </c>
      <c r="AO1114" s="3">
        <f>AH1114*1.025</f>
        <v>12196.987499999997</v>
      </c>
      <c r="AP1114" s="3"/>
      <c r="AQ1114" s="3">
        <f>AO1114*1.025</f>
        <v>12501.912187499996</v>
      </c>
      <c r="AR1114" s="3"/>
      <c r="AS1114" s="3">
        <f>AQ1114*1.025</f>
        <v>12814.459992187496</v>
      </c>
      <c r="AT1114" s="3"/>
      <c r="AU1114" s="3">
        <f>AS1114*1.025</f>
        <v>13134.821491992183</v>
      </c>
      <c r="AV1114" s="42"/>
      <c r="AW1114" s="3">
        <f>AU1114*1.025</f>
        <v>13463.192029291986</v>
      </c>
      <c r="AX1114" s="42"/>
      <c r="AY1114" s="3">
        <f>AW1114*1.025</f>
        <v>13799.771830024285</v>
      </c>
      <c r="AZ1114" s="42"/>
      <c r="BA1114" s="3">
        <f>AY1114*1.025</f>
        <v>14144.766125774891</v>
      </c>
      <c r="BB1114" s="42"/>
      <c r="BC1114" s="3">
        <f>BA1114*1.025</f>
        <v>14498.385278919262</v>
      </c>
      <c r="BE1114" s="3">
        <f>BC1114*1.025</f>
        <v>14860.844910892243</v>
      </c>
    </row>
    <row r="1115" spans="1:57" x14ac:dyDescent="0.25">
      <c r="A1115" s="7" t="s">
        <v>818</v>
      </c>
      <c r="B1115" s="3"/>
      <c r="D1115" s="3"/>
      <c r="E1115" s="3">
        <f t="shared" si="583"/>
        <v>0</v>
      </c>
      <c r="H1115" s="5">
        <f t="shared" si="584"/>
        <v>0</v>
      </c>
      <c r="K1115" s="4">
        <f t="shared" si="585"/>
        <v>0</v>
      </c>
      <c r="L1115" s="4"/>
      <c r="N1115" s="4">
        <f t="shared" si="586"/>
        <v>0</v>
      </c>
      <c r="P1115" s="3"/>
      <c r="Q1115" s="3"/>
      <c r="R1115" s="3"/>
      <c r="S1115" s="3">
        <f t="shared" si="587"/>
        <v>0</v>
      </c>
      <c r="T1115" s="3"/>
      <c r="U1115" s="3">
        <f t="shared" si="588"/>
        <v>0</v>
      </c>
      <c r="V1115" s="3"/>
      <c r="W1115" s="3">
        <f t="shared" si="589"/>
        <v>0</v>
      </c>
      <c r="X1115" s="3"/>
      <c r="Y1115" s="3"/>
      <c r="Z1115" s="3">
        <f t="shared" si="590"/>
        <v>0</v>
      </c>
      <c r="AA1115" s="3"/>
      <c r="AB1115" s="3"/>
      <c r="AC1115" s="3"/>
      <c r="AD1115" s="3">
        <f t="shared" si="591"/>
        <v>0</v>
      </c>
      <c r="AE1115" s="3"/>
      <c r="AF1115" s="3">
        <f t="shared" si="592"/>
        <v>0</v>
      </c>
      <c r="AG1115" s="4"/>
      <c r="AH1115" s="4"/>
      <c r="AJ1115" s="3"/>
      <c r="AK1115" s="3">
        <f t="shared" si="593"/>
        <v>0</v>
      </c>
      <c r="AL1115" s="3"/>
      <c r="AM1115" s="3">
        <f t="shared" si="594"/>
        <v>0</v>
      </c>
      <c r="AO1115" s="3"/>
      <c r="AP1115" s="3"/>
      <c r="AQ1115" s="3"/>
      <c r="AR1115" s="3"/>
      <c r="AS1115" s="3"/>
      <c r="AT1115" s="3"/>
      <c r="AU1115" s="3"/>
      <c r="AV1115" s="42"/>
      <c r="AW1115" s="3"/>
      <c r="AX1115" s="42"/>
      <c r="AY1115" s="3"/>
      <c r="AZ1115" s="42"/>
      <c r="BA1115" s="3"/>
      <c r="BB1115" s="42"/>
      <c r="BC1115" s="3"/>
      <c r="BE1115" s="3"/>
    </row>
    <row r="1116" spans="1:57" x14ac:dyDescent="0.25">
      <c r="A1116" s="3" t="s">
        <v>819</v>
      </c>
      <c r="B1116" s="3">
        <v>11900</v>
      </c>
      <c r="D1116" s="3">
        <v>0</v>
      </c>
      <c r="E1116" s="3">
        <f t="shared" si="583"/>
        <v>11900</v>
      </c>
      <c r="F1116" s="5">
        <v>11900</v>
      </c>
      <c r="H1116" s="5">
        <f t="shared" si="584"/>
        <v>0</v>
      </c>
      <c r="K1116" s="4">
        <f t="shared" si="585"/>
        <v>11900</v>
      </c>
      <c r="L1116" s="4">
        <v>11900</v>
      </c>
      <c r="N1116" s="4">
        <f t="shared" si="586"/>
        <v>0</v>
      </c>
      <c r="P1116" s="3">
        <f>4476-26</f>
        <v>4450</v>
      </c>
      <c r="Q1116" s="3"/>
      <c r="R1116" s="3">
        <v>0</v>
      </c>
      <c r="S1116" s="3">
        <f t="shared" si="587"/>
        <v>4450</v>
      </c>
      <c r="T1116" s="3">
        <v>4450</v>
      </c>
      <c r="U1116" s="3">
        <f t="shared" si="588"/>
        <v>0</v>
      </c>
      <c r="V1116" s="3">
        <v>0</v>
      </c>
      <c r="W1116" s="3">
        <f t="shared" si="589"/>
        <v>4450</v>
      </c>
      <c r="X1116" s="3"/>
      <c r="Y1116" s="3">
        <v>4450</v>
      </c>
      <c r="Z1116" s="3">
        <f t="shared" si="590"/>
        <v>0</v>
      </c>
      <c r="AA1116" s="3"/>
      <c r="AB1116" s="3"/>
      <c r="AC1116" s="3"/>
      <c r="AD1116" s="3">
        <f t="shared" si="591"/>
        <v>1480</v>
      </c>
      <c r="AE1116" s="3">
        <v>1480</v>
      </c>
      <c r="AF1116" s="3">
        <f t="shared" si="592"/>
        <v>-2970</v>
      </c>
      <c r="AG1116" s="4"/>
      <c r="AH1116" s="4">
        <f>P1116*1.025-11</f>
        <v>4550.25</v>
      </c>
      <c r="AJ1116" s="3"/>
      <c r="AK1116" s="3">
        <f t="shared" si="593"/>
        <v>4550</v>
      </c>
      <c r="AL1116" s="3">
        <v>4550</v>
      </c>
      <c r="AM1116" s="3">
        <f t="shared" si="594"/>
        <v>-0.25</v>
      </c>
      <c r="AO1116" s="3">
        <f>AH1116*1.025</f>
        <v>4664.0062499999995</v>
      </c>
      <c r="AP1116" s="3" t="e">
        <f>#REF!*1.025</f>
        <v>#REF!</v>
      </c>
      <c r="AQ1116" s="3">
        <f t="shared" ref="AQ1116:BE1116" si="597">AO1116*1.025</f>
        <v>4780.6064062499991</v>
      </c>
      <c r="AR1116" s="3" t="e">
        <f t="shared" si="597"/>
        <v>#REF!</v>
      </c>
      <c r="AS1116" s="3">
        <f t="shared" si="597"/>
        <v>4900.1215664062483</v>
      </c>
      <c r="AT1116" s="3"/>
      <c r="AU1116" s="3">
        <f>AS1116*1.025</f>
        <v>5022.6246055664042</v>
      </c>
      <c r="AV1116" s="3"/>
      <c r="AW1116" s="3">
        <f t="shared" si="597"/>
        <v>5148.1902207055637</v>
      </c>
      <c r="AX1116" s="3">
        <f t="shared" si="597"/>
        <v>0</v>
      </c>
      <c r="AY1116" s="3">
        <f t="shared" si="597"/>
        <v>5276.8949762232023</v>
      </c>
      <c r="AZ1116" s="3">
        <f t="shared" si="597"/>
        <v>0</v>
      </c>
      <c r="BA1116" s="3">
        <f t="shared" si="597"/>
        <v>5408.8173506287822</v>
      </c>
      <c r="BB1116" s="3"/>
      <c r="BC1116" s="3">
        <f t="shared" si="597"/>
        <v>5544.0377843945016</v>
      </c>
      <c r="BE1116" s="3">
        <f t="shared" si="597"/>
        <v>5682.638729004364</v>
      </c>
    </row>
    <row r="1117" spans="1:57" x14ac:dyDescent="0.25">
      <c r="A1117" s="7"/>
      <c r="B1117" s="72">
        <f>SUM(B1102:B1116)+1</f>
        <v>684001</v>
      </c>
      <c r="C1117" s="32"/>
      <c r="D1117" s="72">
        <f>SUM(D1102:D1116)</f>
        <v>1926</v>
      </c>
      <c r="E1117" s="72">
        <f>SUM(E1102:E1116)+1</f>
        <v>682075</v>
      </c>
      <c r="F1117" s="72">
        <f>SUM(F1102:F1116)+1</f>
        <v>684001</v>
      </c>
      <c r="G1117" s="32"/>
      <c r="H1117" s="72">
        <f>SUM(H1102:H1116)+1</f>
        <v>1</v>
      </c>
      <c r="I1117" s="36"/>
      <c r="J1117" s="72">
        <f>SUM(J1102:J1116)+1</f>
        <v>263944</v>
      </c>
      <c r="K1117" s="72">
        <f>SUM(K1102:K1116)+1</f>
        <v>394208</v>
      </c>
      <c r="L1117" s="72">
        <f>SUM(L1102:L1116)+1</f>
        <v>658151</v>
      </c>
      <c r="M1117" s="32"/>
      <c r="N1117" s="72">
        <f>SUM(N1102:N1116)</f>
        <v>-25850</v>
      </c>
      <c r="P1117" s="72">
        <f>SUM(P1102:P1116)</f>
        <v>708229</v>
      </c>
      <c r="R1117" s="72">
        <f t="shared" ref="R1117:Z1117" si="598">SUM(R1102:R1116)</f>
        <v>2730</v>
      </c>
      <c r="S1117" s="72">
        <f t="shared" si="598"/>
        <v>705500</v>
      </c>
      <c r="T1117" s="72">
        <f t="shared" si="598"/>
        <v>708230</v>
      </c>
      <c r="U1117" s="72">
        <f t="shared" si="598"/>
        <v>1</v>
      </c>
      <c r="V1117" s="72">
        <f t="shared" si="598"/>
        <v>340131</v>
      </c>
      <c r="W1117" s="72">
        <f t="shared" si="598"/>
        <v>404619</v>
      </c>
      <c r="X1117" s="72"/>
      <c r="Y1117" s="72">
        <f t="shared" si="598"/>
        <v>744750</v>
      </c>
      <c r="Z1117" s="72">
        <f t="shared" si="598"/>
        <v>36520</v>
      </c>
      <c r="AC1117" s="72">
        <f>SUM(AC1102:AC1116)</f>
        <v>333693</v>
      </c>
      <c r="AD1117" s="72">
        <f>SUM(AD1102:AD1116)</f>
        <v>407467</v>
      </c>
      <c r="AE1117" s="72">
        <f>SUM(AE1102:AE1116)</f>
        <v>741160</v>
      </c>
      <c r="AF1117" s="72">
        <f>SUM(AF1102:AF1116)</f>
        <v>-3590</v>
      </c>
      <c r="AH1117" s="36">
        <f>SUM(AH1102:AH1116)+2</f>
        <v>772520.25000000012</v>
      </c>
      <c r="AI1117" s="32"/>
      <c r="AJ1117" s="72">
        <f t="shared" ref="AJ1117:AO1117" si="599">SUM(AJ1102:AJ1116)+2</f>
        <v>3162</v>
      </c>
      <c r="AK1117" s="72">
        <f t="shared" si="599"/>
        <v>769362</v>
      </c>
      <c r="AL1117" s="72">
        <f t="shared" si="599"/>
        <v>772522</v>
      </c>
      <c r="AM1117" s="72">
        <f t="shared" si="599"/>
        <v>3.7500000000022737</v>
      </c>
      <c r="AN1117" s="32"/>
      <c r="AO1117" s="72">
        <f t="shared" si="599"/>
        <v>844285.7062500004</v>
      </c>
      <c r="AQ1117" s="72">
        <f>SUM(AQ1102:AQ1116)</f>
        <v>922073.54890625051</v>
      </c>
      <c r="AS1117" s="72">
        <f>SUM(AS1102:AS1116)</f>
        <v>988892.7376289065</v>
      </c>
      <c r="AT1117" s="72"/>
      <c r="AU1117" s="72">
        <f>SUM(AU1102:AU1116)</f>
        <v>1057999.3323196291</v>
      </c>
      <c r="AW1117" s="72">
        <f>SUM(AW1102:AW1116)</f>
        <v>1107756.6453619949</v>
      </c>
      <c r="AY1117" s="72">
        <f>SUM(AY1102:AY1116)</f>
        <v>1159982.6327171384</v>
      </c>
      <c r="BA1117" s="72">
        <f>SUM(BA1102:BA1116)</f>
        <v>1214800.2483172154</v>
      </c>
      <c r="BC1117" s="72">
        <f>SUM(BC1102:BC1116)</f>
        <v>1272338.5817964019</v>
      </c>
      <c r="BE1117" s="72">
        <f>SUM(BE1102:BE1116)</f>
        <v>1332733.1649761307</v>
      </c>
    </row>
    <row r="1118" spans="1:57" x14ac:dyDescent="0.25">
      <c r="A1118" s="28" t="s">
        <v>804</v>
      </c>
    </row>
    <row r="1119" spans="1:57" x14ac:dyDescent="0.25">
      <c r="A1119" s="3" t="s">
        <v>820</v>
      </c>
      <c r="AK1119" s="3">
        <f>AL1119-AJ1119</f>
        <v>0</v>
      </c>
      <c r="AM1119" s="3">
        <f>AL1119-AH1119</f>
        <v>0</v>
      </c>
    </row>
    <row r="1120" spans="1:57" x14ac:dyDescent="0.25">
      <c r="A1120" s="3" t="s">
        <v>821</v>
      </c>
      <c r="W1120" s="3">
        <f>Y1120-V1120</f>
        <v>0</v>
      </c>
      <c r="X1120" s="3"/>
      <c r="Z1120" s="3">
        <f>Y1120-T1120</f>
        <v>0</v>
      </c>
      <c r="AD1120" s="3">
        <f>AE1120-AC1120</f>
        <v>0</v>
      </c>
      <c r="AE1120" s="3"/>
      <c r="AF1120" s="3">
        <f>AE1120-Y1120</f>
        <v>0</v>
      </c>
      <c r="AK1120" s="3">
        <f>AL1120-AJ1120</f>
        <v>0</v>
      </c>
      <c r="AM1120" s="3">
        <f>AL1120-AH1120</f>
        <v>0</v>
      </c>
    </row>
    <row r="1121" spans="1:57" x14ac:dyDescent="0.25">
      <c r="A1121" s="3" t="s">
        <v>822</v>
      </c>
      <c r="P1121" s="5">
        <v>200000</v>
      </c>
      <c r="S1121" s="3">
        <f>T1121-R1121</f>
        <v>200000</v>
      </c>
      <c r="T1121" s="3">
        <v>200000</v>
      </c>
      <c r="U1121" s="3">
        <f>T1121-P1121</f>
        <v>0</v>
      </c>
      <c r="W1121" s="3">
        <f>Y1121-V1121</f>
        <v>200000</v>
      </c>
      <c r="X1121" s="3"/>
      <c r="Y1121" s="5">
        <v>200000</v>
      </c>
      <c r="Z1121" s="3">
        <f>Y1121-T1121</f>
        <v>0</v>
      </c>
      <c r="AD1121" s="3">
        <f>AE1121-AC1121</f>
        <v>200000</v>
      </c>
      <c r="AE1121" s="3">
        <v>200000</v>
      </c>
      <c r="AF1121" s="3">
        <f>AE1121-Y1121</f>
        <v>0</v>
      </c>
      <c r="AK1121" s="3">
        <f>AL1121-AJ1121</f>
        <v>0</v>
      </c>
      <c r="AM1121" s="3">
        <f>AL1121-AH1121</f>
        <v>0</v>
      </c>
      <c r="AW1121" s="5">
        <v>700000</v>
      </c>
      <c r="AY1121" s="3">
        <v>250000</v>
      </c>
      <c r="AZ1121" s="42"/>
      <c r="BA1121" s="3"/>
    </row>
    <row r="1122" spans="1:57" x14ac:dyDescent="0.25">
      <c r="A1122" s="3" t="s">
        <v>289</v>
      </c>
      <c r="B1122" s="3">
        <v>243000</v>
      </c>
      <c r="D1122" s="3">
        <v>0</v>
      </c>
      <c r="E1122" s="3">
        <f>F1122-D1122</f>
        <v>243000</v>
      </c>
      <c r="F1122" s="5">
        <v>243000</v>
      </c>
      <c r="H1122" s="5">
        <f>F1122-B1122</f>
        <v>0</v>
      </c>
      <c r="J1122" s="5">
        <v>0</v>
      </c>
      <c r="K1122" s="4">
        <f>L1122-J1122</f>
        <v>243000</v>
      </c>
      <c r="L1122" s="4">
        <v>243000</v>
      </c>
      <c r="N1122" s="4">
        <f>L1122-F1122</f>
        <v>0</v>
      </c>
      <c r="P1122" s="3">
        <v>243000</v>
      </c>
      <c r="Q1122" s="3"/>
      <c r="R1122" s="3">
        <v>0</v>
      </c>
      <c r="S1122" s="3">
        <f>T1122-R1122</f>
        <v>262000</v>
      </c>
      <c r="T1122" s="3">
        <v>262000</v>
      </c>
      <c r="U1122" s="3">
        <f>T1122-P1122</f>
        <v>19000</v>
      </c>
      <c r="V1122" s="3"/>
      <c r="W1122" s="3">
        <f>Y1122-V1122</f>
        <v>262000</v>
      </c>
      <c r="X1122" s="3"/>
      <c r="Y1122" s="3">
        <v>262000</v>
      </c>
      <c r="Z1122" s="3">
        <f>Y1122-T1122</f>
        <v>0</v>
      </c>
      <c r="AA1122" s="3"/>
      <c r="AB1122" s="3"/>
      <c r="AC1122" s="3"/>
      <c r="AD1122" s="3">
        <f>AE1122-AC1122</f>
        <v>262000</v>
      </c>
      <c r="AE1122" s="3">
        <v>262000</v>
      </c>
      <c r="AF1122" s="3">
        <f>AE1122-Y1122</f>
        <v>0</v>
      </c>
      <c r="AG1122" s="4"/>
      <c r="AH1122" s="4">
        <v>243000</v>
      </c>
      <c r="AJ1122" s="3"/>
      <c r="AK1122" s="3">
        <f>AL1122-AJ1122</f>
        <v>250000</v>
      </c>
      <c r="AL1122" s="3">
        <v>250000</v>
      </c>
      <c r="AM1122" s="3">
        <f>AL1122-AH1122</f>
        <v>7000</v>
      </c>
      <c r="AO1122" s="3">
        <v>243000</v>
      </c>
      <c r="AP1122" s="3"/>
      <c r="AQ1122" s="3">
        <v>243000</v>
      </c>
      <c r="AR1122" s="3"/>
      <c r="AS1122" s="3">
        <v>243000</v>
      </c>
      <c r="AT1122" s="3"/>
      <c r="AU1122" s="3">
        <v>243000</v>
      </c>
      <c r="AV1122" s="42"/>
      <c r="AW1122" s="3">
        <v>243000</v>
      </c>
      <c r="AX1122" s="42"/>
      <c r="AY1122" s="3">
        <v>243000</v>
      </c>
      <c r="AZ1122" s="42"/>
      <c r="BA1122" s="3">
        <v>243000</v>
      </c>
      <c r="BB1122" s="42"/>
      <c r="BC1122" s="3">
        <v>243000</v>
      </c>
      <c r="BE1122" s="3">
        <v>243000</v>
      </c>
    </row>
    <row r="1123" spans="1:57" x14ac:dyDescent="0.25">
      <c r="A1123" s="7"/>
      <c r="B1123" s="72">
        <f>SUM(B1119:B1122)</f>
        <v>243000</v>
      </c>
      <c r="C1123" s="32"/>
      <c r="D1123" s="72">
        <f>SUM(D1119:D1122)</f>
        <v>0</v>
      </c>
      <c r="E1123" s="72">
        <f>SUM(E1119:E1122)</f>
        <v>243000</v>
      </c>
      <c r="F1123" s="72">
        <f>SUM(F1119:F1122)</f>
        <v>243000</v>
      </c>
      <c r="G1123" s="32"/>
      <c r="H1123" s="72">
        <f>SUM(H1119:H1122)</f>
        <v>0</v>
      </c>
      <c r="I1123" s="36"/>
      <c r="J1123" s="72">
        <f>SUM(J1119:J1122)</f>
        <v>0</v>
      </c>
      <c r="K1123" s="72">
        <f>SUM(K1119:K1122)</f>
        <v>243000</v>
      </c>
      <c r="L1123" s="72">
        <f>SUM(L1119:L1122)</f>
        <v>243000</v>
      </c>
      <c r="M1123" s="32"/>
      <c r="N1123" s="72">
        <f>SUM(N1119:N1122)</f>
        <v>0</v>
      </c>
      <c r="P1123" s="72">
        <f>SUM(P1119:P1122)</f>
        <v>443000</v>
      </c>
      <c r="R1123" s="72">
        <f t="shared" ref="R1123:Z1123" si="600">SUM(R1119:R1122)</f>
        <v>0</v>
      </c>
      <c r="S1123" s="72">
        <f t="shared" si="600"/>
        <v>462000</v>
      </c>
      <c r="T1123" s="72">
        <f t="shared" si="600"/>
        <v>462000</v>
      </c>
      <c r="U1123" s="72">
        <f t="shared" si="600"/>
        <v>19000</v>
      </c>
      <c r="V1123" s="72">
        <f t="shared" si="600"/>
        <v>0</v>
      </c>
      <c r="W1123" s="72">
        <f t="shared" si="600"/>
        <v>462000</v>
      </c>
      <c r="X1123" s="72"/>
      <c r="Y1123" s="72">
        <f t="shared" si="600"/>
        <v>462000</v>
      </c>
      <c r="Z1123" s="72">
        <f t="shared" si="600"/>
        <v>0</v>
      </c>
      <c r="AC1123" s="72">
        <f>SUM(AC1119:AC1122)</f>
        <v>0</v>
      </c>
      <c r="AD1123" s="72">
        <f>SUM(AD1119:AD1122)</f>
        <v>462000</v>
      </c>
      <c r="AE1123" s="72">
        <f>SUM(AE1119:AE1122)</f>
        <v>462000</v>
      </c>
      <c r="AF1123" s="72">
        <f>SUM(AF1119:AF1122)</f>
        <v>0</v>
      </c>
      <c r="AH1123" s="36">
        <f>SUM(AH1119:AH1122)</f>
        <v>243000</v>
      </c>
      <c r="AI1123" s="32"/>
      <c r="AJ1123" s="72">
        <f>SUM(AJ1119:AJ1122)</f>
        <v>0</v>
      </c>
      <c r="AK1123" s="72">
        <f>SUM(AK1119:AK1122)</f>
        <v>250000</v>
      </c>
      <c r="AL1123" s="72">
        <f>SUM(AL1119:AL1122)</f>
        <v>250000</v>
      </c>
      <c r="AM1123" s="72">
        <f>SUM(AM1119:AM1122)</f>
        <v>7000</v>
      </c>
      <c r="AN1123" s="32"/>
      <c r="AO1123" s="72">
        <f>SUM(AO1119:AO1122)</f>
        <v>243000</v>
      </c>
      <c r="AQ1123" s="72">
        <f>SUM(AQ1119:AQ1122)</f>
        <v>243000</v>
      </c>
      <c r="AS1123" s="72">
        <f>SUM(AS1119:AS1122)</f>
        <v>243000</v>
      </c>
      <c r="AT1123" s="72"/>
      <c r="AU1123" s="72">
        <f>SUM(AU1119:AU1122)</f>
        <v>243000</v>
      </c>
      <c r="AW1123" s="72">
        <f>SUM(AW1119:AW1122)</f>
        <v>943000</v>
      </c>
      <c r="AY1123" s="72">
        <f>SUM(AY1119:AY1122)</f>
        <v>493000</v>
      </c>
      <c r="BA1123" s="72">
        <f>SUM(BA1119:BA1122)</f>
        <v>243000</v>
      </c>
      <c r="BC1123" s="72">
        <f>SUM(BC1119:BC1122)</f>
        <v>243000</v>
      </c>
      <c r="BE1123" s="72">
        <f>SUM(BE1119:BE1122)</f>
        <v>243000</v>
      </c>
    </row>
    <row r="1124" spans="1:57" ht="15.75" thickBot="1" x14ac:dyDescent="0.3">
      <c r="A1124" s="3"/>
      <c r="B1124" s="43">
        <f>B1123+B1117</f>
        <v>927001</v>
      </c>
      <c r="C1124" s="32"/>
      <c r="D1124" s="43">
        <f>D1123+D1117</f>
        <v>1926</v>
      </c>
      <c r="E1124" s="43">
        <f>E1123+E1117</f>
        <v>925075</v>
      </c>
      <c r="F1124" s="43">
        <f>F1123+F1117</f>
        <v>927001</v>
      </c>
      <c r="G1124" s="32"/>
      <c r="H1124" s="43">
        <f>H1123+H1117</f>
        <v>1</v>
      </c>
      <c r="I1124" s="36"/>
      <c r="J1124" s="43">
        <f>J1123+J1117</f>
        <v>263944</v>
      </c>
      <c r="K1124" s="43">
        <f>K1123+K1117</f>
        <v>637208</v>
      </c>
      <c r="L1124" s="43">
        <f>L1123+L1117</f>
        <v>901151</v>
      </c>
      <c r="M1124" s="32"/>
      <c r="N1124" s="43">
        <f>N1123+N1117</f>
        <v>-25850</v>
      </c>
      <c r="P1124" s="43">
        <f>P1123+P1117</f>
        <v>1151229</v>
      </c>
      <c r="R1124" s="43">
        <f t="shared" ref="R1124:Z1124" si="601">R1123+R1117</f>
        <v>2730</v>
      </c>
      <c r="S1124" s="43">
        <f t="shared" si="601"/>
        <v>1167500</v>
      </c>
      <c r="T1124" s="43">
        <f t="shared" si="601"/>
        <v>1170230</v>
      </c>
      <c r="U1124" s="43">
        <f t="shared" si="601"/>
        <v>19001</v>
      </c>
      <c r="V1124" s="43">
        <f t="shared" si="601"/>
        <v>340131</v>
      </c>
      <c r="W1124" s="43">
        <f t="shared" si="601"/>
        <v>866619</v>
      </c>
      <c r="X1124" s="43"/>
      <c r="Y1124" s="43">
        <f t="shared" si="601"/>
        <v>1206750</v>
      </c>
      <c r="Z1124" s="43">
        <f t="shared" si="601"/>
        <v>36520</v>
      </c>
      <c r="AC1124" s="43">
        <f>AC1123+AC1117</f>
        <v>333693</v>
      </c>
      <c r="AD1124" s="43">
        <f>AD1123+AD1117</f>
        <v>869467</v>
      </c>
      <c r="AE1124" s="43">
        <f>AE1123+AE1117</f>
        <v>1203160</v>
      </c>
      <c r="AF1124" s="43">
        <f>AF1123+AF1117</f>
        <v>-3590</v>
      </c>
      <c r="AH1124" s="36">
        <f>AH1123+AH1117</f>
        <v>1015520.2500000001</v>
      </c>
      <c r="AI1124" s="32"/>
      <c r="AJ1124" s="43">
        <f>AJ1123+AJ1117</f>
        <v>3162</v>
      </c>
      <c r="AK1124" s="43">
        <f>AK1123+AK1117</f>
        <v>1019362</v>
      </c>
      <c r="AL1124" s="43">
        <f>AL1123+AL1117</f>
        <v>1022522</v>
      </c>
      <c r="AM1124" s="43">
        <f>AM1123+AM1117</f>
        <v>7003.7500000000018</v>
      </c>
      <c r="AN1124" s="32"/>
      <c r="AO1124" s="43">
        <f>AO1123+AO1117</f>
        <v>1087285.7062500003</v>
      </c>
      <c r="AQ1124" s="43">
        <f>AQ1123+AQ1117</f>
        <v>1165073.5489062504</v>
      </c>
      <c r="AS1124" s="43">
        <f>AS1123+AS1117</f>
        <v>1231892.7376289065</v>
      </c>
      <c r="AT1124" s="43"/>
      <c r="AU1124" s="43">
        <f>AU1123+AU1117</f>
        <v>1300999.3323196291</v>
      </c>
      <c r="AW1124" s="43">
        <f>AW1123+AW1117</f>
        <v>2050756.6453619949</v>
      </c>
      <c r="AY1124" s="43">
        <f>AY1123+AY1117</f>
        <v>1652982.6327171384</v>
      </c>
      <c r="BA1124" s="43">
        <f>BA1123+BA1117</f>
        <v>1457800.2483172154</v>
      </c>
      <c r="BC1124" s="43">
        <f>BC1123+BC1117</f>
        <v>1515338.5817964019</v>
      </c>
      <c r="BE1124" s="43">
        <f>BE1123+BE1117</f>
        <v>1575733.1649761307</v>
      </c>
    </row>
    <row r="1125" spans="1:57" ht="15.75" thickTop="1" x14ac:dyDescent="0.25">
      <c r="A1125" s="28" t="s">
        <v>823</v>
      </c>
    </row>
    <row r="1126" spans="1:57" x14ac:dyDescent="0.25">
      <c r="A1126" s="7" t="s">
        <v>824</v>
      </c>
    </row>
    <row r="1127" spans="1:57" x14ac:dyDescent="0.25">
      <c r="A1127" s="7" t="s">
        <v>58</v>
      </c>
    </row>
    <row r="1128" spans="1:57" x14ac:dyDescent="0.25">
      <c r="A1128" s="3" t="s">
        <v>825</v>
      </c>
      <c r="B1128" s="3">
        <f>104838+12</f>
        <v>104850</v>
      </c>
      <c r="D1128" s="3">
        <v>0</v>
      </c>
      <c r="E1128" s="3">
        <f t="shared" ref="E1128:E1134" si="602">F1128-D1128</f>
        <v>104850</v>
      </c>
      <c r="F1128" s="5">
        <v>104850</v>
      </c>
      <c r="H1128" s="5">
        <f t="shared" ref="H1128:H1134" si="603">F1128-B1128</f>
        <v>0</v>
      </c>
      <c r="J1128" s="5">
        <v>0</v>
      </c>
      <c r="K1128" s="4">
        <f t="shared" ref="K1128:K1134" si="604">L1128-J1128</f>
        <v>104850</v>
      </c>
      <c r="L1128" s="4">
        <v>104850</v>
      </c>
      <c r="N1128" s="4">
        <f t="shared" ref="N1128:N1134" si="605">L1128-F1128</f>
        <v>0</v>
      </c>
      <c r="P1128" s="3">
        <v>107990</v>
      </c>
      <c r="Q1128" s="3"/>
      <c r="R1128" s="3">
        <v>0</v>
      </c>
      <c r="S1128" s="3">
        <f t="shared" ref="S1128:S1134" si="606">T1128-R1128</f>
        <v>107990</v>
      </c>
      <c r="T1128" s="3">
        <v>107990</v>
      </c>
      <c r="U1128" s="3">
        <f t="shared" ref="U1128:U1134" si="607">T1128-P1128</f>
        <v>0</v>
      </c>
      <c r="V1128" s="3"/>
      <c r="W1128" s="3">
        <f t="shared" ref="W1128:W1134" si="608">Y1128-V1128</f>
        <v>107990</v>
      </c>
      <c r="X1128" s="3"/>
      <c r="Y1128" s="3">
        <v>107990</v>
      </c>
      <c r="Z1128" s="3">
        <f t="shared" ref="Z1128:Z1134" si="609">Y1128-T1128</f>
        <v>0</v>
      </c>
      <c r="AA1128" s="3"/>
      <c r="AB1128" s="3"/>
      <c r="AC1128" s="3">
        <v>0</v>
      </c>
      <c r="AD1128" s="3">
        <f t="shared" ref="AD1128:AD1134" si="610">AE1128-AC1128</f>
        <v>107990</v>
      </c>
      <c r="AE1128" s="3">
        <v>107990</v>
      </c>
      <c r="AF1128" s="3">
        <f t="shared" ref="AF1128:AF1134" si="611">AE1128-Y1128</f>
        <v>0</v>
      </c>
      <c r="AG1128" s="4"/>
      <c r="AH1128" s="4">
        <f>AE1128*1.05+10</f>
        <v>113399.5</v>
      </c>
      <c r="AJ1128" s="3"/>
      <c r="AK1128" s="3">
        <f t="shared" ref="AK1128:AK1134" si="612">AL1128-AJ1128</f>
        <v>113400</v>
      </c>
      <c r="AL1128" s="3">
        <v>113400</v>
      </c>
      <c r="AM1128" s="3">
        <f t="shared" ref="AM1128:AM1134" si="613">AL1128-AH1128</f>
        <v>0.5</v>
      </c>
      <c r="AO1128" s="3">
        <f>AH1128*1.05</f>
        <v>119069.47500000001</v>
      </c>
      <c r="AP1128" s="3"/>
      <c r="AQ1128" s="3">
        <f>AO1128*1.05</f>
        <v>125022.94875000001</v>
      </c>
      <c r="AR1128" s="3"/>
      <c r="AS1128" s="3">
        <f>AQ1128*1.05</f>
        <v>131274.09618750002</v>
      </c>
      <c r="AT1128" s="3"/>
      <c r="AU1128" s="3">
        <f>AS1128*1.05</f>
        <v>137837.80099687504</v>
      </c>
      <c r="AV1128" s="42"/>
      <c r="AW1128" s="3">
        <f>AU1128*1.05</f>
        <v>144729.6910467188</v>
      </c>
      <c r="AX1128" s="42"/>
      <c r="AY1128" s="3">
        <f>AW1128*1.05</f>
        <v>151966.17559905475</v>
      </c>
      <c r="AZ1128" s="42"/>
      <c r="BA1128" s="3">
        <f>AY1128*1.05</f>
        <v>159564.48437900751</v>
      </c>
      <c r="BB1128" s="42"/>
      <c r="BC1128" s="3">
        <f>BA1128*1.05</f>
        <v>167542.70859795788</v>
      </c>
      <c r="BE1128" s="3">
        <f>BC1128*1.05</f>
        <v>175919.84402785578</v>
      </c>
    </row>
    <row r="1129" spans="1:57" x14ac:dyDescent="0.25">
      <c r="A1129" s="3" t="s">
        <v>826</v>
      </c>
      <c r="B1129" s="3"/>
      <c r="D1129" s="3"/>
      <c r="E1129" s="3">
        <f t="shared" si="602"/>
        <v>0</v>
      </c>
      <c r="H1129" s="5">
        <f t="shared" si="603"/>
        <v>0</v>
      </c>
      <c r="K1129" s="4">
        <f t="shared" si="604"/>
        <v>0</v>
      </c>
      <c r="L1129" s="4"/>
      <c r="N1129" s="4">
        <f t="shared" si="605"/>
        <v>0</v>
      </c>
      <c r="P1129" s="3"/>
      <c r="Q1129" s="3"/>
      <c r="R1129" s="3"/>
      <c r="S1129" s="3">
        <f t="shared" si="606"/>
        <v>0</v>
      </c>
      <c r="T1129" s="3"/>
      <c r="U1129" s="3">
        <f t="shared" si="607"/>
        <v>0</v>
      </c>
      <c r="V1129" s="3"/>
      <c r="W1129" s="3">
        <f t="shared" si="608"/>
        <v>0</v>
      </c>
      <c r="X1129" s="3"/>
      <c r="Y1129" s="3"/>
      <c r="Z1129" s="3">
        <f t="shared" si="609"/>
        <v>0</v>
      </c>
      <c r="AA1129" s="3"/>
      <c r="AB1129" s="3"/>
      <c r="AC1129" s="3"/>
      <c r="AD1129" s="3">
        <f t="shared" si="610"/>
        <v>0</v>
      </c>
      <c r="AE1129" s="3"/>
      <c r="AF1129" s="3">
        <f t="shared" si="611"/>
        <v>0</v>
      </c>
      <c r="AG1129" s="4"/>
      <c r="AH1129" s="4"/>
      <c r="AJ1129" s="3"/>
      <c r="AK1129" s="3">
        <f t="shared" si="612"/>
        <v>0</v>
      </c>
      <c r="AL1129" s="3"/>
      <c r="AM1129" s="3">
        <f t="shared" si="613"/>
        <v>0</v>
      </c>
      <c r="AO1129" s="3"/>
      <c r="AP1129" s="3"/>
      <c r="AQ1129" s="3"/>
      <c r="AR1129" s="3"/>
      <c r="AS1129" s="3"/>
      <c r="AT1129" s="3"/>
      <c r="AU1129" s="3"/>
      <c r="AV1129" s="42"/>
      <c r="AW1129" s="3"/>
      <c r="AX1129" s="42"/>
      <c r="AY1129" s="3"/>
      <c r="AZ1129" s="42"/>
      <c r="BA1129" s="3"/>
      <c r="BB1129" s="42"/>
      <c r="BC1129" s="3"/>
      <c r="BE1129" s="3"/>
    </row>
    <row r="1130" spans="1:57" x14ac:dyDescent="0.25">
      <c r="A1130" s="3" t="s">
        <v>299</v>
      </c>
      <c r="B1130" s="3"/>
      <c r="D1130" s="3"/>
      <c r="E1130" s="3">
        <f t="shared" si="602"/>
        <v>0</v>
      </c>
      <c r="H1130" s="5">
        <f t="shared" si="603"/>
        <v>0</v>
      </c>
      <c r="K1130" s="4">
        <f t="shared" si="604"/>
        <v>0</v>
      </c>
      <c r="L1130" s="4"/>
      <c r="N1130" s="4">
        <f t="shared" si="605"/>
        <v>0</v>
      </c>
      <c r="P1130" s="3"/>
      <c r="Q1130" s="3"/>
      <c r="R1130" s="3"/>
      <c r="S1130" s="3">
        <f t="shared" si="606"/>
        <v>0</v>
      </c>
      <c r="T1130" s="3"/>
      <c r="U1130" s="3">
        <f t="shared" si="607"/>
        <v>0</v>
      </c>
      <c r="V1130" s="3"/>
      <c r="W1130" s="3">
        <f t="shared" si="608"/>
        <v>0</v>
      </c>
      <c r="X1130" s="3"/>
      <c r="Y1130" s="3"/>
      <c r="Z1130" s="3">
        <f t="shared" si="609"/>
        <v>0</v>
      </c>
      <c r="AA1130" s="3"/>
      <c r="AB1130" s="3"/>
      <c r="AC1130" s="3"/>
      <c r="AD1130" s="3">
        <f t="shared" si="610"/>
        <v>0</v>
      </c>
      <c r="AE1130" s="3"/>
      <c r="AF1130" s="3">
        <f t="shared" si="611"/>
        <v>0</v>
      </c>
      <c r="AG1130" s="4"/>
      <c r="AH1130" s="4"/>
      <c r="AJ1130" s="3"/>
      <c r="AK1130" s="3">
        <f t="shared" si="612"/>
        <v>0</v>
      </c>
      <c r="AL1130" s="3"/>
      <c r="AM1130" s="3">
        <f t="shared" si="613"/>
        <v>0</v>
      </c>
      <c r="AO1130" s="3"/>
      <c r="AP1130" s="3"/>
      <c r="AQ1130" s="3"/>
      <c r="AR1130" s="3"/>
      <c r="AS1130" s="3"/>
      <c r="AT1130" s="3"/>
      <c r="AU1130" s="3"/>
      <c r="AV1130" s="42"/>
      <c r="AW1130" s="3"/>
      <c r="AX1130" s="42"/>
      <c r="AY1130" s="3"/>
      <c r="AZ1130" s="42"/>
      <c r="BA1130" s="3"/>
      <c r="BB1130" s="42"/>
      <c r="BC1130" s="3"/>
      <c r="BE1130" s="3"/>
    </row>
    <row r="1131" spans="1:57" x14ac:dyDescent="0.25">
      <c r="A1131" s="3" t="s">
        <v>827</v>
      </c>
      <c r="B1131" s="3">
        <v>41000</v>
      </c>
      <c r="D1131" s="3">
        <v>9390</v>
      </c>
      <c r="E1131" s="3">
        <f t="shared" si="602"/>
        <v>31610</v>
      </c>
      <c r="F1131" s="5">
        <v>41000</v>
      </c>
      <c r="H1131" s="5">
        <f t="shared" si="603"/>
        <v>0</v>
      </c>
      <c r="J1131" s="5">
        <v>15651</v>
      </c>
      <c r="K1131" s="4">
        <f t="shared" si="604"/>
        <v>24349</v>
      </c>
      <c r="L1131" s="4">
        <v>40000</v>
      </c>
      <c r="N1131" s="4">
        <f t="shared" si="605"/>
        <v>-1000</v>
      </c>
      <c r="P1131" s="3">
        <f>L1131*1.025</f>
        <v>41000</v>
      </c>
      <c r="Q1131" s="3"/>
      <c r="R1131" s="3">
        <v>10413</v>
      </c>
      <c r="S1131" s="3">
        <f t="shared" si="606"/>
        <v>30587</v>
      </c>
      <c r="T1131" s="3">
        <v>41000</v>
      </c>
      <c r="U1131" s="3">
        <f t="shared" si="607"/>
        <v>0</v>
      </c>
      <c r="V1131" s="3">
        <v>17599</v>
      </c>
      <c r="W1131" s="3">
        <f t="shared" si="608"/>
        <v>23401</v>
      </c>
      <c r="X1131" s="3"/>
      <c r="Y1131" s="3">
        <v>41000</v>
      </c>
      <c r="Z1131" s="3">
        <f t="shared" si="609"/>
        <v>0</v>
      </c>
      <c r="AA1131" s="3"/>
      <c r="AB1131" s="3"/>
      <c r="AC1131" s="3">
        <v>27380</v>
      </c>
      <c r="AD1131" s="3">
        <f t="shared" si="610"/>
        <v>13620</v>
      </c>
      <c r="AE1131" s="3">
        <v>41000</v>
      </c>
      <c r="AF1131" s="3">
        <f t="shared" si="611"/>
        <v>0</v>
      </c>
      <c r="AG1131" s="4"/>
      <c r="AH1131" s="4">
        <f>AE1131*1.0325+17</f>
        <v>42349.5</v>
      </c>
      <c r="AJ1131" s="3">
        <v>9184</v>
      </c>
      <c r="AK1131" s="3">
        <f t="shared" si="612"/>
        <v>33166</v>
      </c>
      <c r="AL1131" s="3">
        <v>42350</v>
      </c>
      <c r="AM1131" s="3">
        <f t="shared" si="613"/>
        <v>0.5</v>
      </c>
      <c r="AO1131" s="3">
        <f>AH1131*1.0325</f>
        <v>43725.858749999999</v>
      </c>
      <c r="AP1131" s="3"/>
      <c r="AQ1131" s="3">
        <f>AO1131*1.0325</f>
        <v>45146.949159374999</v>
      </c>
      <c r="AR1131" s="3"/>
      <c r="AS1131" s="3">
        <f>AQ1131*1.0325</f>
        <v>46614.225007054687</v>
      </c>
      <c r="AT1131" s="3"/>
      <c r="AU1131" s="3">
        <f>AS1131*1.0325</f>
        <v>48129.18731978396</v>
      </c>
      <c r="AV1131" s="42"/>
      <c r="AW1131" s="3">
        <f>AU1131*1.0325</f>
        <v>49693.385907676937</v>
      </c>
      <c r="AX1131" s="42"/>
      <c r="AY1131" s="3">
        <f>AW1131*1.0325</f>
        <v>51308.420949676438</v>
      </c>
      <c r="AZ1131" s="42"/>
      <c r="BA1131" s="3">
        <f>AY1131*1.0325</f>
        <v>52975.944630540922</v>
      </c>
      <c r="BB1131" s="42"/>
      <c r="BC1131" s="3">
        <f>BA1131*1.0325</f>
        <v>54697.6628310335</v>
      </c>
      <c r="BE1131" s="3">
        <f>BC1131*1.0325</f>
        <v>56475.336873042084</v>
      </c>
    </row>
    <row r="1132" spans="1:57" x14ac:dyDescent="0.25">
      <c r="A1132" s="3" t="s">
        <v>828</v>
      </c>
      <c r="B1132" s="3">
        <f>4200*1.05+90</f>
        <v>4500</v>
      </c>
      <c r="D1132" s="3">
        <v>1913</v>
      </c>
      <c r="E1132" s="3">
        <f t="shared" si="602"/>
        <v>2587</v>
      </c>
      <c r="F1132" s="5">
        <v>4500</v>
      </c>
      <c r="H1132" s="5">
        <f t="shared" si="603"/>
        <v>0</v>
      </c>
      <c r="J1132" s="5">
        <v>1913</v>
      </c>
      <c r="K1132" s="4">
        <f t="shared" si="604"/>
        <v>2587</v>
      </c>
      <c r="L1132" s="4">
        <v>4500</v>
      </c>
      <c r="N1132" s="4">
        <f t="shared" si="605"/>
        <v>0</v>
      </c>
      <c r="P1132" s="3">
        <f>L1132*1.07-15</f>
        <v>4800</v>
      </c>
      <c r="Q1132" s="3"/>
      <c r="R1132" s="3">
        <v>1980</v>
      </c>
      <c r="S1132" s="3">
        <f t="shared" si="606"/>
        <v>2820</v>
      </c>
      <c r="T1132" s="3">
        <v>4800</v>
      </c>
      <c r="U1132" s="3">
        <f t="shared" si="607"/>
        <v>0</v>
      </c>
      <c r="V1132" s="3">
        <v>1980</v>
      </c>
      <c r="W1132" s="3">
        <f t="shared" si="608"/>
        <v>2820</v>
      </c>
      <c r="X1132" s="3"/>
      <c r="Y1132" s="3">
        <v>4800</v>
      </c>
      <c r="Z1132" s="3">
        <f t="shared" si="609"/>
        <v>0</v>
      </c>
      <c r="AA1132" s="3"/>
      <c r="AB1132" s="3"/>
      <c r="AC1132" s="3">
        <v>3908</v>
      </c>
      <c r="AD1132" s="3">
        <f t="shared" si="610"/>
        <v>892</v>
      </c>
      <c r="AE1132" s="3">
        <v>4800</v>
      </c>
      <c r="AF1132" s="3">
        <f t="shared" si="611"/>
        <v>0</v>
      </c>
      <c r="AG1132" s="4"/>
      <c r="AH1132" s="4">
        <f>AE1132*1.07+14</f>
        <v>5150</v>
      </c>
      <c r="AJ1132" s="3">
        <v>2047</v>
      </c>
      <c r="AK1132" s="3">
        <f t="shared" si="612"/>
        <v>3103</v>
      </c>
      <c r="AL1132" s="3">
        <v>5150</v>
      </c>
      <c r="AM1132" s="3">
        <f t="shared" si="613"/>
        <v>0</v>
      </c>
      <c r="AO1132" s="3">
        <f>AH1132*1.07-11</f>
        <v>5499.5</v>
      </c>
      <c r="AP1132" s="3"/>
      <c r="AQ1132" s="3">
        <f>AO1132*1.07</f>
        <v>5884.4650000000001</v>
      </c>
      <c r="AR1132" s="3"/>
      <c r="AS1132" s="3">
        <f>AQ1132*1.06</f>
        <v>6237.5329000000002</v>
      </c>
      <c r="AT1132" s="3"/>
      <c r="AU1132" s="3">
        <f>AS1132*1.06</f>
        <v>6611.7848740000009</v>
      </c>
      <c r="AV1132" s="42"/>
      <c r="AW1132" s="3">
        <f>AU1132*1.06</f>
        <v>7008.4919664400013</v>
      </c>
      <c r="AX1132" s="42"/>
      <c r="AY1132" s="3">
        <f>AW1132*1.06</f>
        <v>7429.0014844264015</v>
      </c>
      <c r="AZ1132" s="42"/>
      <c r="BA1132" s="3">
        <f>AY1132*1.06</f>
        <v>7874.7415734919859</v>
      </c>
      <c r="BB1132" s="42"/>
      <c r="BC1132" s="3">
        <f>BA1132*1.06</f>
        <v>8347.2260679015053</v>
      </c>
      <c r="BE1132" s="3">
        <f>BC1132*1.06</f>
        <v>8848.0596319755969</v>
      </c>
    </row>
    <row r="1133" spans="1:57" x14ac:dyDescent="0.25">
      <c r="A1133" s="3" t="s">
        <v>829</v>
      </c>
      <c r="B1133" s="3">
        <v>11250</v>
      </c>
      <c r="D1133" s="3">
        <v>3842</v>
      </c>
      <c r="E1133" s="3">
        <f t="shared" si="602"/>
        <v>7408</v>
      </c>
      <c r="F1133" s="5">
        <v>11250</v>
      </c>
      <c r="H1133" s="5">
        <f t="shared" si="603"/>
        <v>0</v>
      </c>
      <c r="J1133" s="5">
        <v>3842</v>
      </c>
      <c r="K1133" s="4">
        <f t="shared" si="604"/>
        <v>7408</v>
      </c>
      <c r="L1133" s="4">
        <v>11250</v>
      </c>
      <c r="N1133" s="4">
        <f t="shared" si="605"/>
        <v>0</v>
      </c>
      <c r="P1133" s="3">
        <f>L1133*1.0281-16</f>
        <v>11550.125</v>
      </c>
      <c r="Q1133" s="3"/>
      <c r="R1133" s="3">
        <v>4204</v>
      </c>
      <c r="S1133" s="3">
        <f t="shared" si="606"/>
        <v>1796</v>
      </c>
      <c r="T1133" s="3">
        <v>6000</v>
      </c>
      <c r="U1133" s="3">
        <f t="shared" si="607"/>
        <v>-5550.125</v>
      </c>
      <c r="V1133" s="3">
        <v>4204</v>
      </c>
      <c r="W1133" s="3">
        <f t="shared" si="608"/>
        <v>796</v>
      </c>
      <c r="X1133" s="3"/>
      <c r="Y1133" s="3">
        <v>5000</v>
      </c>
      <c r="Z1133" s="3">
        <f t="shared" si="609"/>
        <v>-1000</v>
      </c>
      <c r="AA1133" s="3"/>
      <c r="AB1133" s="3"/>
      <c r="AC1133" s="3">
        <v>4204</v>
      </c>
      <c r="AD1133" s="3">
        <f t="shared" si="610"/>
        <v>46</v>
      </c>
      <c r="AE1133" s="3">
        <v>4250</v>
      </c>
      <c r="AF1133" s="3">
        <f t="shared" si="611"/>
        <v>-750</v>
      </c>
      <c r="AG1133" s="4"/>
      <c r="AH1133" s="4">
        <v>7500</v>
      </c>
      <c r="AJ1133" s="3">
        <v>4291</v>
      </c>
      <c r="AK1133" s="3">
        <f t="shared" si="612"/>
        <v>3209</v>
      </c>
      <c r="AL1133" s="3">
        <v>7500</v>
      </c>
      <c r="AM1133" s="3">
        <f t="shared" si="613"/>
        <v>0</v>
      </c>
      <c r="AO1133" s="3">
        <f>AH1133*1.03</f>
        <v>7725</v>
      </c>
      <c r="AP1133" s="3"/>
      <c r="AQ1133" s="3">
        <f>AO1133*1.03</f>
        <v>7956.75</v>
      </c>
      <c r="AR1133" s="3"/>
      <c r="AS1133" s="3">
        <f>AQ1133*1.03</f>
        <v>8195.4524999999994</v>
      </c>
      <c r="AT1133" s="3"/>
      <c r="AU1133" s="3">
        <f>AS1133*1.03</f>
        <v>8441.3160749999988</v>
      </c>
      <c r="AV1133" s="42"/>
      <c r="AW1133" s="3">
        <f>AU1133*1.03</f>
        <v>8694.5555572499998</v>
      </c>
      <c r="AX1133" s="42"/>
      <c r="AY1133" s="3">
        <f>AW1133*1.03</f>
        <v>8955.3922239674994</v>
      </c>
      <c r="AZ1133" s="42"/>
      <c r="BA1133" s="3">
        <f>AY1133*1.03</f>
        <v>9224.0539906865251</v>
      </c>
      <c r="BB1133" s="42"/>
      <c r="BC1133" s="3">
        <f>BA1133*1.03</f>
        <v>9500.7756104071213</v>
      </c>
      <c r="BE1133" s="3">
        <f>BC1133*1.03</f>
        <v>9785.7988787193353</v>
      </c>
    </row>
    <row r="1134" spans="1:57" x14ac:dyDescent="0.25">
      <c r="A1134" s="3" t="s">
        <v>90</v>
      </c>
      <c r="B1134" s="3">
        <v>3100</v>
      </c>
      <c r="D1134" s="3"/>
      <c r="E1134" s="3">
        <f t="shared" si="602"/>
        <v>3100</v>
      </c>
      <c r="F1134" s="5">
        <v>3100</v>
      </c>
      <c r="H1134" s="5">
        <f t="shared" si="603"/>
        <v>0</v>
      </c>
      <c r="K1134" s="4">
        <f t="shared" si="604"/>
        <v>2500</v>
      </c>
      <c r="L1134" s="4">
        <v>2500</v>
      </c>
      <c r="N1134" s="4">
        <f t="shared" si="605"/>
        <v>-600</v>
      </c>
      <c r="P1134" s="3">
        <f>L1134*1.0281+30</f>
        <v>2600.25</v>
      </c>
      <c r="Q1134" s="3"/>
      <c r="R1134" s="3">
        <v>0</v>
      </c>
      <c r="S1134" s="3">
        <f t="shared" si="606"/>
        <v>2600</v>
      </c>
      <c r="T1134" s="3">
        <v>2600</v>
      </c>
      <c r="U1134" s="3">
        <f t="shared" si="607"/>
        <v>-0.25</v>
      </c>
      <c r="V1134" s="3">
        <v>837</v>
      </c>
      <c r="W1134" s="3">
        <f t="shared" si="608"/>
        <v>1763</v>
      </c>
      <c r="X1134" s="3"/>
      <c r="Y1134" s="3">
        <v>2600</v>
      </c>
      <c r="Z1134" s="3">
        <f t="shared" si="609"/>
        <v>0</v>
      </c>
      <c r="AA1134" s="3"/>
      <c r="AB1134" s="3"/>
      <c r="AC1134" s="3">
        <v>6652</v>
      </c>
      <c r="AD1134" s="3">
        <f t="shared" si="610"/>
        <v>1848</v>
      </c>
      <c r="AE1134" s="3">
        <v>8500</v>
      </c>
      <c r="AF1134" s="3">
        <f t="shared" si="611"/>
        <v>5900</v>
      </c>
      <c r="AG1134" s="4"/>
      <c r="AH1134" s="4">
        <v>8500</v>
      </c>
      <c r="AJ1134" s="3">
        <v>4693</v>
      </c>
      <c r="AK1134" s="3">
        <f t="shared" si="612"/>
        <v>3807</v>
      </c>
      <c r="AL1134" s="3">
        <v>8500</v>
      </c>
      <c r="AM1134" s="3">
        <f t="shared" si="613"/>
        <v>0</v>
      </c>
      <c r="AO1134" s="3">
        <f>AH1134*1.03</f>
        <v>8755</v>
      </c>
      <c r="AP1134" s="3"/>
      <c r="AQ1134" s="3">
        <f>AO1134*1.03</f>
        <v>9017.65</v>
      </c>
      <c r="AR1134" s="3"/>
      <c r="AS1134" s="3">
        <f>AQ1134*1.03</f>
        <v>9288.1795000000002</v>
      </c>
      <c r="AT1134" s="3"/>
      <c r="AU1134" s="3">
        <f>AS1134*1.03</f>
        <v>9566.824885</v>
      </c>
      <c r="AV1134" s="42"/>
      <c r="AW1134" s="3">
        <f>AU1134*1.03</f>
        <v>9853.8296315500011</v>
      </c>
      <c r="AX1134" s="42"/>
      <c r="AY1134" s="3">
        <f>AW1134*1.03</f>
        <v>10149.444520496501</v>
      </c>
      <c r="AZ1134" s="42"/>
      <c r="BA1134" s="3">
        <f>AY1134*1.03</f>
        <v>10453.927856111397</v>
      </c>
      <c r="BB1134" s="42"/>
      <c r="BC1134" s="3">
        <f>BA1134*1.03</f>
        <v>10767.545691794739</v>
      </c>
      <c r="BE1134" s="3">
        <f>BC1134*1.03</f>
        <v>11090.572062548583</v>
      </c>
    </row>
    <row r="1135" spans="1:57" x14ac:dyDescent="0.25">
      <c r="A1135" s="3"/>
      <c r="B1135" s="48">
        <f>SUM(B1128:B1134)</f>
        <v>164700</v>
      </c>
      <c r="C1135" s="32"/>
      <c r="D1135" s="48">
        <f>SUM(D1128:D1134)</f>
        <v>15145</v>
      </c>
      <c r="E1135" s="48">
        <f>SUM(E1128:E1134)</f>
        <v>149555</v>
      </c>
      <c r="F1135" s="48">
        <f>SUM(F1128:F1134)</f>
        <v>164700</v>
      </c>
      <c r="G1135" s="32"/>
      <c r="H1135" s="48">
        <f>SUM(H1128:H1134)</f>
        <v>0</v>
      </c>
      <c r="I1135" s="36"/>
      <c r="J1135" s="48">
        <f>SUM(J1128:J1134)</f>
        <v>21406</v>
      </c>
      <c r="K1135" s="48">
        <f>SUM(K1128:K1134)</f>
        <v>141694</v>
      </c>
      <c r="L1135" s="48">
        <f>SUM(L1128:L1134)</f>
        <v>163100</v>
      </c>
      <c r="M1135" s="32"/>
      <c r="N1135" s="48">
        <f>SUM(N1128:N1134)</f>
        <v>-1600</v>
      </c>
      <c r="P1135" s="48">
        <f>SUM(P1128:P1134)</f>
        <v>167940.375</v>
      </c>
      <c r="R1135" s="48">
        <f t="shared" ref="R1135:Z1135" si="614">SUM(R1128:R1134)</f>
        <v>16597</v>
      </c>
      <c r="S1135" s="48">
        <f t="shared" si="614"/>
        <v>145793</v>
      </c>
      <c r="T1135" s="48">
        <f t="shared" si="614"/>
        <v>162390</v>
      </c>
      <c r="U1135" s="48">
        <f t="shared" si="614"/>
        <v>-5550.375</v>
      </c>
      <c r="V1135" s="48">
        <f t="shared" si="614"/>
        <v>24620</v>
      </c>
      <c r="W1135" s="48">
        <f t="shared" si="614"/>
        <v>136770</v>
      </c>
      <c r="X1135" s="48"/>
      <c r="Y1135" s="48">
        <f t="shared" si="614"/>
        <v>161390</v>
      </c>
      <c r="Z1135" s="48">
        <f t="shared" si="614"/>
        <v>-1000</v>
      </c>
      <c r="AC1135" s="48">
        <f>SUM(AC1128:AC1134)</f>
        <v>42144</v>
      </c>
      <c r="AD1135" s="48">
        <f>SUM(AD1128:AD1134)</f>
        <v>124396</v>
      </c>
      <c r="AE1135" s="48">
        <f>SUM(AE1128:AE1134)</f>
        <v>166540</v>
      </c>
      <c r="AF1135" s="48">
        <f>SUM(AF1128:AF1134)</f>
        <v>5150</v>
      </c>
      <c r="AH1135" s="36">
        <f>SUM(AH1128:AH1134)</f>
        <v>176899</v>
      </c>
      <c r="AI1135" s="32"/>
      <c r="AJ1135" s="48">
        <f>SUM(AJ1128:AJ1134)</f>
        <v>20215</v>
      </c>
      <c r="AK1135" s="48">
        <f>SUM(AK1128:AK1134)</f>
        <v>156685</v>
      </c>
      <c r="AL1135" s="48">
        <f>SUM(AL1128:AL1134)</f>
        <v>176900</v>
      </c>
      <c r="AM1135" s="48">
        <f>SUM(AM1128:AM1134)</f>
        <v>1</v>
      </c>
      <c r="AN1135" s="32"/>
      <c r="AO1135" s="48">
        <f>SUM(AO1128:AO1134)</f>
        <v>184774.83374999999</v>
      </c>
      <c r="AQ1135" s="48">
        <f>SUM(AQ1128:AQ1134)</f>
        <v>193028.76290937501</v>
      </c>
      <c r="AS1135" s="48">
        <f>SUM(AS1128:AS1134)</f>
        <v>201609.48609455468</v>
      </c>
      <c r="AT1135" s="48"/>
      <c r="AU1135" s="48">
        <f>SUM(AU1128:AU1134)</f>
        <v>210586.91415065902</v>
      </c>
      <c r="AW1135" s="48">
        <f>SUM(AW1128:AW1134)</f>
        <v>219979.95410963573</v>
      </c>
      <c r="AY1135" s="48">
        <f>SUM(AY1128:AY1134)</f>
        <v>229808.43477762162</v>
      </c>
      <c r="BA1135" s="48">
        <f>SUM(BA1128:BA1134)</f>
        <v>240093.15242983834</v>
      </c>
      <c r="BC1135" s="48">
        <f>SUM(BC1128:BC1134)</f>
        <v>250855.91879909474</v>
      </c>
      <c r="BE1135" s="48">
        <f>SUM(BE1128:BE1134)</f>
        <v>262119.61147414136</v>
      </c>
    </row>
    <row r="1136" spans="1:57" x14ac:dyDescent="0.25">
      <c r="A1136" s="7" t="s">
        <v>830</v>
      </c>
    </row>
    <row r="1137" spans="1:57" x14ac:dyDescent="0.25">
      <c r="A1137" s="7" t="s">
        <v>831</v>
      </c>
    </row>
    <row r="1138" spans="1:57" x14ac:dyDescent="0.25">
      <c r="A1138" s="3" t="s">
        <v>832</v>
      </c>
      <c r="B1138" s="3">
        <v>10650</v>
      </c>
      <c r="D1138" s="3"/>
      <c r="E1138" s="3">
        <f>F1138-D1138</f>
        <v>10650</v>
      </c>
      <c r="F1138" s="5">
        <v>10650</v>
      </c>
      <c r="H1138" s="5">
        <f>F1138-B1138</f>
        <v>0</v>
      </c>
      <c r="J1138" s="5">
        <v>275</v>
      </c>
      <c r="K1138" s="4">
        <f>L1138-J1138</f>
        <v>9225</v>
      </c>
      <c r="L1138" s="4">
        <v>9500</v>
      </c>
      <c r="N1138" s="4">
        <f>L1138-F1138</f>
        <v>-1150</v>
      </c>
      <c r="P1138" s="3">
        <f>L1138*1.0281+33</f>
        <v>9799.9500000000007</v>
      </c>
      <c r="Q1138" s="3"/>
      <c r="R1138" s="3">
        <v>0</v>
      </c>
      <c r="S1138" s="3">
        <f>T1138-R1138</f>
        <v>9800</v>
      </c>
      <c r="T1138" s="3">
        <v>9800</v>
      </c>
      <c r="U1138" s="3">
        <f>T1138-P1138</f>
        <v>4.9999999999272404E-2</v>
      </c>
      <c r="V1138" s="3">
        <v>284</v>
      </c>
      <c r="W1138" s="3">
        <f>Y1138-V1138</f>
        <v>9516</v>
      </c>
      <c r="X1138" s="3"/>
      <c r="Y1138" s="3">
        <v>9800</v>
      </c>
      <c r="Z1138" s="3">
        <f>Y1138-T1138</f>
        <v>0</v>
      </c>
      <c r="AA1138" s="3"/>
      <c r="AB1138" s="3"/>
      <c r="AC1138" s="3">
        <v>670</v>
      </c>
      <c r="AD1138" s="3">
        <f>AE1138-AC1138</f>
        <v>8330</v>
      </c>
      <c r="AE1138" s="3">
        <v>9000</v>
      </c>
      <c r="AF1138" s="3">
        <f>AE1138-Y1138</f>
        <v>-800</v>
      </c>
      <c r="AG1138" s="4"/>
      <c r="AH1138" s="4">
        <f>AE1138*1.03-20</f>
        <v>9250</v>
      </c>
      <c r="AJ1138" s="3">
        <v>658</v>
      </c>
      <c r="AK1138" s="3">
        <f>AL1138-AJ1138</f>
        <v>8592</v>
      </c>
      <c r="AL1138" s="3">
        <v>9250</v>
      </c>
      <c r="AM1138" s="3">
        <f>AL1138-AH1138</f>
        <v>0</v>
      </c>
      <c r="AO1138" s="3">
        <f>AH1138*1.03</f>
        <v>9527.5</v>
      </c>
      <c r="AP1138" s="3"/>
      <c r="AQ1138" s="3">
        <f>AO1138*1.03</f>
        <v>9813.3250000000007</v>
      </c>
      <c r="AR1138" s="3"/>
      <c r="AS1138" s="3">
        <f>AQ1138*1.03</f>
        <v>10107.724750000001</v>
      </c>
      <c r="AT1138" s="3"/>
      <c r="AU1138" s="3">
        <f>AS1138*1.03</f>
        <v>10410.956492500001</v>
      </c>
      <c r="AV1138" s="42"/>
      <c r="AW1138" s="3">
        <f>AU1138*1.03</f>
        <v>10723.285187275002</v>
      </c>
      <c r="AX1138" s="42"/>
      <c r="AY1138" s="3">
        <f>AW1138*1.03</f>
        <v>11044.983742893251</v>
      </c>
      <c r="AZ1138" s="42"/>
      <c r="BA1138" s="3">
        <f>AY1138*1.03</f>
        <v>11376.333255180049</v>
      </c>
      <c r="BB1138" s="42"/>
      <c r="BC1138" s="3">
        <f>BA1138*1.03</f>
        <v>11717.62325283545</v>
      </c>
      <c r="BE1138" s="3">
        <f>BC1138*1.03</f>
        <v>12069.151950420513</v>
      </c>
    </row>
    <row r="1139" spans="1:57" x14ac:dyDescent="0.25">
      <c r="A1139" s="3" t="s">
        <v>833</v>
      </c>
      <c r="B1139" s="3">
        <v>34500</v>
      </c>
      <c r="D1139" s="3">
        <v>10972</v>
      </c>
      <c r="E1139" s="3">
        <f>F1139-D1139</f>
        <v>23528</v>
      </c>
      <c r="F1139" s="5">
        <v>34500</v>
      </c>
      <c r="H1139" s="5">
        <f>F1139-B1139</f>
        <v>0</v>
      </c>
      <c r="J1139" s="5">
        <v>16632</v>
      </c>
      <c r="K1139" s="4">
        <f>L1139-J1139</f>
        <v>17868</v>
      </c>
      <c r="L1139" s="5">
        <v>34500</v>
      </c>
      <c r="N1139" s="4">
        <f>L1139-F1139</f>
        <v>0</v>
      </c>
      <c r="P1139" s="3">
        <f>L1139*1.0281+31</f>
        <v>35500.449999999997</v>
      </c>
      <c r="Q1139" s="3"/>
      <c r="R1139" s="3">
        <v>7144</v>
      </c>
      <c r="S1139" s="3">
        <f>T1139-R1139</f>
        <v>28356</v>
      </c>
      <c r="T1139" s="3">
        <v>35500</v>
      </c>
      <c r="U1139" s="3">
        <f>T1139-P1139</f>
        <v>-0.44999999999708962</v>
      </c>
      <c r="V1139" s="3">
        <v>11536</v>
      </c>
      <c r="W1139" s="3">
        <f>Y1139-V1139</f>
        <v>21964</v>
      </c>
      <c r="X1139" s="3"/>
      <c r="Y1139" s="3">
        <v>33500</v>
      </c>
      <c r="Z1139" s="3">
        <f>Y1139-T1139</f>
        <v>-2000</v>
      </c>
      <c r="AA1139" s="3"/>
      <c r="AB1139" s="3"/>
      <c r="AC1139" s="3">
        <v>16237</v>
      </c>
      <c r="AD1139" s="3">
        <f>AE1139-AC1139</f>
        <v>13763</v>
      </c>
      <c r="AE1139" s="3">
        <v>30000</v>
      </c>
      <c r="AF1139" s="3">
        <f>AE1139-Y1139</f>
        <v>-3500</v>
      </c>
      <c r="AG1139" s="4"/>
      <c r="AH1139" s="4">
        <f>AE1139*1.03+2100</f>
        <v>33000</v>
      </c>
      <c r="AJ1139" s="3">
        <v>3740</v>
      </c>
      <c r="AK1139" s="3">
        <f>AL1139-AJ1139</f>
        <v>29260</v>
      </c>
      <c r="AL1139" s="3">
        <v>33000</v>
      </c>
      <c r="AM1139" s="3">
        <f>AL1139-AH1139</f>
        <v>0</v>
      </c>
      <c r="AO1139" s="3">
        <f>AH1139*1.03</f>
        <v>33990</v>
      </c>
      <c r="AP1139" s="3"/>
      <c r="AQ1139" s="3">
        <f>AO1139*1.03</f>
        <v>35009.700000000004</v>
      </c>
      <c r="AR1139" s="3"/>
      <c r="AS1139" s="3">
        <f>AQ1139*1.03</f>
        <v>36059.991000000002</v>
      </c>
      <c r="AT1139" s="3"/>
      <c r="AU1139" s="3">
        <f>AS1139*1.03</f>
        <v>37141.790730000001</v>
      </c>
      <c r="AV1139" s="42"/>
      <c r="AW1139" s="3">
        <f>AU1139*1.03</f>
        <v>38256.044451900001</v>
      </c>
      <c r="AX1139" s="42"/>
      <c r="AY1139" s="3">
        <f>AW1139*1.03</f>
        <v>39403.725785457005</v>
      </c>
      <c r="AZ1139" s="42"/>
      <c r="BA1139" s="3">
        <f>AY1139*1.03</f>
        <v>40585.837559020714</v>
      </c>
      <c r="BB1139" s="42"/>
      <c r="BC1139" s="3">
        <f>BA1139*1.03</f>
        <v>41803.412685791336</v>
      </c>
      <c r="BE1139" s="3">
        <f>BC1139*1.03</f>
        <v>43057.515066365078</v>
      </c>
    </row>
    <row r="1140" spans="1:57" x14ac:dyDescent="0.25">
      <c r="A1140" s="3" t="s">
        <v>834</v>
      </c>
      <c r="B1140" s="3">
        <v>34500</v>
      </c>
      <c r="D1140" s="3">
        <v>10972</v>
      </c>
      <c r="E1140" s="3">
        <f>F1140-D1140</f>
        <v>23528</v>
      </c>
      <c r="F1140" s="5">
        <v>34500</v>
      </c>
      <c r="H1140" s="5">
        <f>F1140-B1140</f>
        <v>0</v>
      </c>
      <c r="J1140" s="5">
        <v>16632</v>
      </c>
      <c r="K1140" s="4">
        <f>L1140-J1140</f>
        <v>17868</v>
      </c>
      <c r="L1140" s="5">
        <v>34500</v>
      </c>
      <c r="N1140" s="4">
        <f>L1140-F1140</f>
        <v>0</v>
      </c>
      <c r="P1140" s="3">
        <f>L1140*1.0281+31</f>
        <v>35500.449999999997</v>
      </c>
      <c r="Q1140" s="3"/>
      <c r="R1140" s="3">
        <v>7144</v>
      </c>
      <c r="S1140" s="3">
        <f>T1140-R1140</f>
        <v>28356</v>
      </c>
      <c r="T1140" s="3">
        <v>35500</v>
      </c>
      <c r="U1140" s="3">
        <f>T1140-P1140</f>
        <v>-0.44999999999708962</v>
      </c>
      <c r="V1140" s="3">
        <v>11536</v>
      </c>
      <c r="W1140" s="3">
        <f>Y1140-V1140</f>
        <v>21964</v>
      </c>
      <c r="X1140" s="3"/>
      <c r="Y1140" s="3">
        <v>33500</v>
      </c>
      <c r="Z1140" s="3">
        <f>Y1140-T1140</f>
        <v>-2000</v>
      </c>
      <c r="AA1140" s="3"/>
      <c r="AB1140" s="3"/>
      <c r="AC1140" s="3">
        <v>16237</v>
      </c>
      <c r="AD1140" s="3">
        <f>AE1140-AC1140</f>
        <v>13763</v>
      </c>
      <c r="AE1140" s="3">
        <v>30000</v>
      </c>
      <c r="AF1140" s="3">
        <f>AE1140-Y1140</f>
        <v>-3500</v>
      </c>
      <c r="AG1140" s="4"/>
      <c r="AH1140" s="4">
        <f>AE1140*1.03+2100</f>
        <v>33000</v>
      </c>
      <c r="AJ1140" s="3">
        <v>3740</v>
      </c>
      <c r="AK1140" s="3">
        <f>AL1140-AJ1140</f>
        <v>29260</v>
      </c>
      <c r="AL1140" s="3">
        <v>33000</v>
      </c>
      <c r="AM1140" s="3">
        <f>AL1140-AH1140</f>
        <v>0</v>
      </c>
      <c r="AO1140" s="3">
        <f>AH1140*1.03</f>
        <v>33990</v>
      </c>
      <c r="AP1140" s="3"/>
      <c r="AQ1140" s="3">
        <f>AO1140*1.03</f>
        <v>35009.700000000004</v>
      </c>
      <c r="AR1140" s="3"/>
      <c r="AS1140" s="3">
        <f>AQ1140*1.03</f>
        <v>36059.991000000002</v>
      </c>
      <c r="AT1140" s="3"/>
      <c r="AU1140" s="3">
        <f>AS1140*1.03</f>
        <v>37141.790730000001</v>
      </c>
      <c r="AV1140" s="42"/>
      <c r="AW1140" s="3">
        <f>AU1140*1.03</f>
        <v>38256.044451900001</v>
      </c>
      <c r="AX1140" s="42"/>
      <c r="AY1140" s="3">
        <f>AW1140*1.03</f>
        <v>39403.725785457005</v>
      </c>
      <c r="AZ1140" s="42"/>
      <c r="BA1140" s="3">
        <f>AY1140*1.03</f>
        <v>40585.837559020714</v>
      </c>
      <c r="BB1140" s="42"/>
      <c r="BC1140" s="3">
        <f>BA1140*1.03</f>
        <v>41803.412685791336</v>
      </c>
      <c r="BE1140" s="3">
        <f>BC1140*1.03</f>
        <v>43057.515066365078</v>
      </c>
    </row>
    <row r="1141" spans="1:57" x14ac:dyDescent="0.25">
      <c r="A1141" s="3" t="s">
        <v>835</v>
      </c>
      <c r="B1141" s="3">
        <v>170000</v>
      </c>
      <c r="D1141" s="3">
        <v>37030</v>
      </c>
      <c r="E1141" s="3">
        <f>F1141-D1141</f>
        <v>132970</v>
      </c>
      <c r="F1141" s="5">
        <v>170000</v>
      </c>
      <c r="H1141" s="5">
        <f>F1141-B1141</f>
        <v>0</v>
      </c>
      <c r="J1141" s="5">
        <v>67483</v>
      </c>
      <c r="K1141" s="4">
        <f>L1141-J1141</f>
        <v>95017</v>
      </c>
      <c r="L1141" s="4">
        <v>162500</v>
      </c>
      <c r="N1141" s="4">
        <f>L1141-F1141</f>
        <v>-7500</v>
      </c>
      <c r="P1141" s="3">
        <f>L1141*1.0281+34</f>
        <v>167100.25</v>
      </c>
      <c r="Q1141" s="3"/>
      <c r="R1141" s="3">
        <v>43868</v>
      </c>
      <c r="S1141" s="3">
        <f>T1141-R1141</f>
        <v>123232</v>
      </c>
      <c r="T1141" s="3">
        <v>167100</v>
      </c>
      <c r="U1141" s="3">
        <f>T1141-P1141</f>
        <v>-0.25</v>
      </c>
      <c r="V1141" s="3">
        <f>93071-25000</f>
        <v>68071</v>
      </c>
      <c r="W1141" s="3">
        <f>Y1141-V1141</f>
        <v>111929</v>
      </c>
      <c r="X1141" s="3"/>
      <c r="Y1141" s="3">
        <v>180000</v>
      </c>
      <c r="Z1141" s="3">
        <f>Y1141-T1141</f>
        <v>12900</v>
      </c>
      <c r="AA1141" s="3"/>
      <c r="AB1141" s="3"/>
      <c r="AC1141" s="3">
        <v>104929</v>
      </c>
      <c r="AD1141" s="3">
        <f>AE1141-AC1141</f>
        <v>70071</v>
      </c>
      <c r="AE1141" s="3">
        <v>175000</v>
      </c>
      <c r="AF1141" s="3">
        <f>AE1141-Y1141</f>
        <v>-5000</v>
      </c>
      <c r="AG1141" s="4"/>
      <c r="AH1141" s="4">
        <f>P1141*1.03+87</f>
        <v>172200.25750000001</v>
      </c>
      <c r="AJ1141" s="3">
        <v>47014</v>
      </c>
      <c r="AK1141" s="3">
        <f>AL1141-AJ1141</f>
        <v>125186</v>
      </c>
      <c r="AL1141" s="3">
        <v>172200</v>
      </c>
      <c r="AM1141" s="3">
        <f>AL1141-AH1141</f>
        <v>-0.25750000000698492</v>
      </c>
      <c r="AO1141" s="3">
        <f>AH1141*1.03</f>
        <v>177366.26522500001</v>
      </c>
      <c r="AP1141" s="3"/>
      <c r="AQ1141" s="3">
        <f>AO1141*1.03</f>
        <v>182687.25318175001</v>
      </c>
      <c r="AR1141" s="3"/>
      <c r="AS1141" s="3">
        <f>AQ1141*1.03</f>
        <v>188167.87077720251</v>
      </c>
      <c r="AT1141" s="3"/>
      <c r="AU1141" s="3">
        <f>AS1141*1.03</f>
        <v>193812.9069005186</v>
      </c>
      <c r="AV1141" s="42"/>
      <c r="AW1141" s="3">
        <f>AU1141*1.03</f>
        <v>199627.29410753417</v>
      </c>
      <c r="AX1141" s="42"/>
      <c r="AY1141" s="3">
        <f>AW1141*1.03</f>
        <v>205616.1129307602</v>
      </c>
      <c r="AZ1141" s="42"/>
      <c r="BA1141" s="3">
        <f>AY1141*1.03</f>
        <v>211784.596318683</v>
      </c>
      <c r="BB1141" s="42"/>
      <c r="BC1141" s="3">
        <f>BA1141*1.03</f>
        <v>218138.13420824351</v>
      </c>
      <c r="BE1141" s="3">
        <f>BC1141*1.03</f>
        <v>224682.27823449083</v>
      </c>
    </row>
    <row r="1142" spans="1:57" x14ac:dyDescent="0.25">
      <c r="A1142" s="3" t="s">
        <v>493</v>
      </c>
      <c r="B1142" s="3"/>
      <c r="D1142" s="3"/>
      <c r="E1142" s="3">
        <f>F1142-D1142</f>
        <v>0</v>
      </c>
      <c r="H1142" s="5">
        <f>F1142-B1142</f>
        <v>0</v>
      </c>
      <c r="K1142" s="4">
        <f>L1142-J1142</f>
        <v>0</v>
      </c>
      <c r="L1142" s="4"/>
      <c r="N1142" s="4">
        <f>L1142-F1142</f>
        <v>0</v>
      </c>
      <c r="P1142" s="3"/>
      <c r="Q1142" s="3"/>
      <c r="R1142" s="3"/>
      <c r="S1142" s="3">
        <f>T1142-R1142</f>
        <v>0</v>
      </c>
      <c r="T1142" s="3"/>
      <c r="U1142" s="3">
        <f>T1142-P1142</f>
        <v>0</v>
      </c>
      <c r="V1142" s="3"/>
      <c r="W1142" s="3">
        <f>Y1142-V1142</f>
        <v>0</v>
      </c>
      <c r="X1142" s="3"/>
      <c r="Y1142" s="3"/>
      <c r="Z1142" s="3">
        <f>Y1142-T1142</f>
        <v>0</v>
      </c>
      <c r="AA1142" s="3"/>
      <c r="AB1142" s="3"/>
      <c r="AC1142" s="3"/>
      <c r="AD1142" s="3">
        <f>AE1142-AC1142</f>
        <v>0</v>
      </c>
      <c r="AE1142" s="3"/>
      <c r="AF1142" s="3">
        <f>AE1142-Y1142</f>
        <v>0</v>
      </c>
      <c r="AG1142" s="4"/>
      <c r="AH1142" s="4"/>
      <c r="AJ1142" s="3"/>
      <c r="AK1142" s="3">
        <f>AL1142-AJ1142</f>
        <v>0</v>
      </c>
      <c r="AL1142" s="3"/>
      <c r="AM1142" s="3">
        <f>AL1142-AH1142</f>
        <v>0</v>
      </c>
      <c r="AO1142" s="3"/>
      <c r="AP1142" s="3"/>
      <c r="AQ1142" s="3"/>
      <c r="AR1142" s="3"/>
      <c r="AS1142" s="3"/>
      <c r="AT1142" s="3"/>
      <c r="AU1142" s="3"/>
      <c r="AV1142" s="42"/>
      <c r="AW1142" s="3"/>
      <c r="AX1142" s="42"/>
      <c r="AY1142" s="3"/>
      <c r="AZ1142" s="42"/>
      <c r="BA1142" s="3"/>
      <c r="BB1142" s="42"/>
      <c r="BC1142" s="3"/>
      <c r="BE1142" s="3"/>
    </row>
    <row r="1143" spans="1:57" x14ac:dyDescent="0.25">
      <c r="A1143" s="3"/>
      <c r="B1143" s="48">
        <f>SUM(B1138:B1142)</f>
        <v>249650</v>
      </c>
      <c r="C1143" s="32"/>
      <c r="D1143" s="48">
        <f>SUM(D1138:D1142)</f>
        <v>58974</v>
      </c>
      <c r="E1143" s="48">
        <f>SUM(E1138:E1142)</f>
        <v>190676</v>
      </c>
      <c r="F1143" s="48">
        <f>SUM(F1138:F1142)</f>
        <v>249650</v>
      </c>
      <c r="G1143" s="32"/>
      <c r="H1143" s="48">
        <f>SUM(H1138:H1142)</f>
        <v>0</v>
      </c>
      <c r="I1143" s="36"/>
      <c r="J1143" s="48">
        <f>SUM(J1138:J1142)</f>
        <v>101022</v>
      </c>
      <c r="K1143" s="48">
        <f>SUM(K1138:K1142)</f>
        <v>139978</v>
      </c>
      <c r="L1143" s="48">
        <f>SUM(L1138:L1142)</f>
        <v>241000</v>
      </c>
      <c r="M1143" s="32"/>
      <c r="N1143" s="48">
        <f>SUM(N1138:N1142)</f>
        <v>-8650</v>
      </c>
      <c r="P1143" s="48">
        <f>SUM(P1138:P1142)-1</f>
        <v>247900.09999999998</v>
      </c>
      <c r="R1143" s="48">
        <f t="shared" ref="R1143:W1143" si="615">SUM(R1138:R1142)-1</f>
        <v>58155</v>
      </c>
      <c r="S1143" s="48">
        <f t="shared" si="615"/>
        <v>189743</v>
      </c>
      <c r="T1143" s="48">
        <f t="shared" si="615"/>
        <v>247899</v>
      </c>
      <c r="U1143" s="48">
        <f t="shared" si="615"/>
        <v>-2.0999999999949068</v>
      </c>
      <c r="V1143" s="48">
        <f t="shared" si="615"/>
        <v>91426</v>
      </c>
      <c r="W1143" s="48">
        <f t="shared" si="615"/>
        <v>165372</v>
      </c>
      <c r="X1143" s="48"/>
      <c r="Y1143" s="48">
        <f>SUM(Y1138:Y1142)</f>
        <v>256800</v>
      </c>
      <c r="Z1143" s="48">
        <f>SUM(Z1138:Z1142)</f>
        <v>8900</v>
      </c>
      <c r="AC1143" s="48">
        <f>SUM(AC1138:AC1142)</f>
        <v>138073</v>
      </c>
      <c r="AD1143" s="48">
        <f>SUM(AD1138:AD1142)</f>
        <v>105927</v>
      </c>
      <c r="AE1143" s="48">
        <f>SUM(AE1138:AE1142)</f>
        <v>244000</v>
      </c>
      <c r="AF1143" s="48">
        <f>SUM(AF1138:AF1142)</f>
        <v>-12800</v>
      </c>
      <c r="AH1143" s="36">
        <f>SUM(AH1138:AH1142)</f>
        <v>247450.25750000001</v>
      </c>
      <c r="AI1143" s="32"/>
      <c r="AJ1143" s="48">
        <f>SUM(AJ1138:AJ1142)</f>
        <v>55152</v>
      </c>
      <c r="AK1143" s="48">
        <f>SUM(AK1138:AK1142)</f>
        <v>192298</v>
      </c>
      <c r="AL1143" s="48">
        <f>SUM(AL1138:AL1142)</f>
        <v>247450</v>
      </c>
      <c r="AM1143" s="48">
        <f>SUM(AM1138:AM1142)</f>
        <v>-0.25750000000698492</v>
      </c>
      <c r="AN1143" s="32"/>
      <c r="AO1143" s="48">
        <f>SUM(AO1138:AO1142)</f>
        <v>254873.76522500001</v>
      </c>
      <c r="AQ1143" s="48">
        <f>SUM(AQ1138:AQ1142)</f>
        <v>262519.97818175005</v>
      </c>
      <c r="AS1143" s="48">
        <f>SUM(AS1138:AS1142)</f>
        <v>270395.57752720255</v>
      </c>
      <c r="AT1143" s="48"/>
      <c r="AU1143" s="48">
        <f>SUM(AU1138:AU1142)</f>
        <v>278507.44485301862</v>
      </c>
      <c r="AW1143" s="48">
        <f>SUM(AW1138:AW1142)</f>
        <v>286862.66819860914</v>
      </c>
      <c r="AY1143" s="48">
        <f>SUM(AY1138:AY1142)</f>
        <v>295468.54824456747</v>
      </c>
      <c r="BA1143" s="48">
        <f>SUM(BA1138:BA1142)</f>
        <v>304332.6046919045</v>
      </c>
      <c r="BC1143" s="48">
        <f>SUM(BC1138:BC1142)</f>
        <v>313462.58283266163</v>
      </c>
      <c r="BE1143" s="48">
        <f>SUM(BE1138:BE1142)</f>
        <v>322866.4603176415</v>
      </c>
    </row>
    <row r="1144" spans="1:57" x14ac:dyDescent="0.25">
      <c r="A1144" s="7" t="s">
        <v>836</v>
      </c>
    </row>
    <row r="1145" spans="1:57" x14ac:dyDescent="0.25">
      <c r="A1145" s="3" t="s">
        <v>837</v>
      </c>
      <c r="Z1145" s="3">
        <f>Y1145-T1145</f>
        <v>0</v>
      </c>
      <c r="AD1145" s="3">
        <f>AE1145-AC1145</f>
        <v>0</v>
      </c>
      <c r="AE1145" s="3"/>
      <c r="AF1145" s="3">
        <f>AE1145-Y1145</f>
        <v>0</v>
      </c>
      <c r="AK1145" s="3">
        <f>AL1145-AJ1145</f>
        <v>0</v>
      </c>
      <c r="AM1145" s="3">
        <f>AL1145-AH1145</f>
        <v>0</v>
      </c>
    </row>
    <row r="1146" spans="1:57" x14ac:dyDescent="0.25">
      <c r="A1146" s="3" t="s">
        <v>838</v>
      </c>
      <c r="B1146" s="3">
        <v>86800</v>
      </c>
      <c r="D1146" s="3">
        <v>12254</v>
      </c>
      <c r="E1146" s="3">
        <f>F1146-D1146</f>
        <v>74546</v>
      </c>
      <c r="F1146" s="5">
        <v>86800</v>
      </c>
      <c r="H1146" s="5">
        <f>F1146-B1146</f>
        <v>0</v>
      </c>
      <c r="J1146" s="5">
        <v>31681</v>
      </c>
      <c r="K1146" s="4">
        <f>L1146-J1146</f>
        <v>54319</v>
      </c>
      <c r="L1146" s="4">
        <v>86000</v>
      </c>
      <c r="N1146" s="4">
        <f>L1146-F1146</f>
        <v>-800</v>
      </c>
      <c r="P1146" s="3">
        <f>L1146*1.17+30</f>
        <v>100650</v>
      </c>
      <c r="Q1146" s="3"/>
      <c r="R1146" s="3">
        <v>14952</v>
      </c>
      <c r="S1146" s="3">
        <f>T1146-R1146</f>
        <v>85698</v>
      </c>
      <c r="T1146" s="3">
        <v>100650</v>
      </c>
      <c r="U1146" s="3">
        <f>T1146-P1146</f>
        <v>0</v>
      </c>
      <c r="V1146" s="3">
        <f>33509+7431</f>
        <v>40940</v>
      </c>
      <c r="W1146" s="3">
        <f>Y1146-V1146</f>
        <v>59060</v>
      </c>
      <c r="X1146" s="3"/>
      <c r="Y1146" s="3">
        <v>100000</v>
      </c>
      <c r="Z1146" s="3">
        <f>Y1146-T1146</f>
        <v>-650</v>
      </c>
      <c r="AA1146" s="3"/>
      <c r="AB1146" s="3"/>
      <c r="AC1146" s="3">
        <f>66405+7531</f>
        <v>73936</v>
      </c>
      <c r="AD1146" s="3">
        <f>AE1146-AC1146</f>
        <v>28564</v>
      </c>
      <c r="AE1146" s="3">
        <v>102500</v>
      </c>
      <c r="AF1146" s="3">
        <f>AE1146-Y1146</f>
        <v>2500</v>
      </c>
      <c r="AG1146" s="4"/>
      <c r="AH1146" s="4">
        <f>P1146*1.075+401</f>
        <v>108599.75</v>
      </c>
      <c r="AJ1146" s="3">
        <v>14990</v>
      </c>
      <c r="AK1146" s="3">
        <f>AL1146-AJ1146</f>
        <v>93610</v>
      </c>
      <c r="AL1146" s="3">
        <v>108600</v>
      </c>
      <c r="AM1146" s="3">
        <f>AL1146-AH1146</f>
        <v>0.25</v>
      </c>
      <c r="AO1146" s="3">
        <f>AH1146*1.05</f>
        <v>114029.7375</v>
      </c>
      <c r="AP1146" s="3"/>
      <c r="AQ1146" s="3">
        <f>AO1146*1.05</f>
        <v>119731.22437500001</v>
      </c>
      <c r="AR1146" s="3"/>
      <c r="AS1146" s="3">
        <f>AQ1146*1.05</f>
        <v>125717.78559375001</v>
      </c>
      <c r="AT1146" s="3"/>
      <c r="AU1146" s="3">
        <f>AS1146*1.05</f>
        <v>132003.67487343753</v>
      </c>
      <c r="AV1146" s="42"/>
      <c r="AW1146" s="3">
        <f>AU1146*1.05</f>
        <v>138603.85861710942</v>
      </c>
      <c r="AX1146" s="42"/>
      <c r="AY1146" s="3">
        <f>AW1146*1.05</f>
        <v>145534.05154796489</v>
      </c>
      <c r="AZ1146" s="42"/>
      <c r="BA1146" s="3">
        <f>AY1146*1.05</f>
        <v>152810.75412536314</v>
      </c>
      <c r="BB1146" s="42"/>
      <c r="BC1146" s="3">
        <f>BA1146*1.05</f>
        <v>160451.2918316313</v>
      </c>
      <c r="BE1146" s="3">
        <f>BC1146*1.05</f>
        <v>168473.85642321288</v>
      </c>
    </row>
    <row r="1147" spans="1:57" x14ac:dyDescent="0.25">
      <c r="A1147" s="3"/>
      <c r="B1147" s="48">
        <f>SUM(B1145:B1146)</f>
        <v>86800</v>
      </c>
      <c r="C1147" s="32"/>
      <c r="D1147" s="48">
        <f>SUM(D1145:D1146)</f>
        <v>12254</v>
      </c>
      <c r="E1147" s="48">
        <f>SUM(E1145:E1146)</f>
        <v>74546</v>
      </c>
      <c r="F1147" s="48">
        <f>SUM(F1145:F1146)</f>
        <v>86800</v>
      </c>
      <c r="G1147" s="32"/>
      <c r="H1147" s="48">
        <f>SUM(H1145:H1146)</f>
        <v>0</v>
      </c>
      <c r="I1147" s="36"/>
      <c r="J1147" s="48">
        <f>SUM(J1145:J1146)</f>
        <v>31681</v>
      </c>
      <c r="K1147" s="48">
        <f>SUM(K1145:K1146)</f>
        <v>54319</v>
      </c>
      <c r="L1147" s="48">
        <f>SUM(L1145:L1146)</f>
        <v>86000</v>
      </c>
      <c r="M1147" s="32"/>
      <c r="N1147" s="48">
        <f>SUM(N1145:N1146)</f>
        <v>-800</v>
      </c>
      <c r="P1147" s="48">
        <f>SUM(P1145:P1146)</f>
        <v>100650</v>
      </c>
      <c r="R1147" s="48">
        <f t="shared" ref="R1147:Z1147" si="616">SUM(R1145:R1146)</f>
        <v>14952</v>
      </c>
      <c r="S1147" s="48">
        <f t="shared" si="616"/>
        <v>85698</v>
      </c>
      <c r="T1147" s="48">
        <f t="shared" si="616"/>
        <v>100650</v>
      </c>
      <c r="U1147" s="48">
        <f t="shared" si="616"/>
        <v>0</v>
      </c>
      <c r="V1147" s="48">
        <f t="shared" si="616"/>
        <v>40940</v>
      </c>
      <c r="W1147" s="48">
        <f t="shared" si="616"/>
        <v>59060</v>
      </c>
      <c r="X1147" s="48"/>
      <c r="Y1147" s="48">
        <f t="shared" si="616"/>
        <v>100000</v>
      </c>
      <c r="Z1147" s="48">
        <f t="shared" si="616"/>
        <v>-650</v>
      </c>
      <c r="AC1147" s="48">
        <f>SUM(AC1145:AC1146)</f>
        <v>73936</v>
      </c>
      <c r="AD1147" s="48">
        <f>SUM(AD1145:AD1146)</f>
        <v>28564</v>
      </c>
      <c r="AE1147" s="48">
        <f>SUM(AE1145:AE1146)</f>
        <v>102500</v>
      </c>
      <c r="AF1147" s="48">
        <f>SUM(AF1145:AF1146)</f>
        <v>2500</v>
      </c>
      <c r="AH1147" s="36">
        <f>SUM(AH1145:AH1146)</f>
        <v>108599.75</v>
      </c>
      <c r="AI1147" s="32"/>
      <c r="AJ1147" s="48">
        <f>SUM(AJ1145:AJ1146)</f>
        <v>14990</v>
      </c>
      <c r="AK1147" s="48">
        <f>SUM(AK1145:AK1146)</f>
        <v>93610</v>
      </c>
      <c r="AL1147" s="48">
        <f>SUM(AL1145:AL1146)</f>
        <v>108600</v>
      </c>
      <c r="AM1147" s="48">
        <f>SUM(AM1145:AM1146)</f>
        <v>0.25</v>
      </c>
      <c r="AN1147" s="32"/>
      <c r="AO1147" s="48">
        <f>SUM(AO1145:AO1146)</f>
        <v>114029.7375</v>
      </c>
      <c r="AQ1147" s="48">
        <f>SUM(AQ1145:AQ1146)</f>
        <v>119731.22437500001</v>
      </c>
      <c r="AS1147" s="48">
        <f>SUM(AS1145:AS1146)</f>
        <v>125717.78559375001</v>
      </c>
      <c r="AT1147" s="48"/>
      <c r="AU1147" s="48">
        <f>SUM(AU1145:AU1146)</f>
        <v>132003.67487343753</v>
      </c>
      <c r="AW1147" s="48">
        <f>SUM(AW1145:AW1146)</f>
        <v>138603.85861710942</v>
      </c>
      <c r="AY1147" s="48">
        <f>SUM(AY1145:AY1146)</f>
        <v>145534.05154796489</v>
      </c>
      <c r="BA1147" s="48">
        <f>SUM(BA1145:BA1146)</f>
        <v>152810.75412536314</v>
      </c>
      <c r="BC1147" s="48">
        <f>SUM(BC1145:BC1146)</f>
        <v>160451.2918316313</v>
      </c>
      <c r="BE1147" s="48">
        <f>SUM(BE1145:BE1146)</f>
        <v>168473.85642321288</v>
      </c>
    </row>
    <row r="1148" spans="1:57" x14ac:dyDescent="0.25">
      <c r="A1148" s="7" t="s">
        <v>839</v>
      </c>
    </row>
    <row r="1149" spans="1:57" x14ac:dyDescent="0.25">
      <c r="A1149" s="3" t="s">
        <v>840</v>
      </c>
      <c r="B1149" s="35">
        <v>26600</v>
      </c>
      <c r="C1149" s="32"/>
      <c r="D1149" s="35">
        <v>3086</v>
      </c>
      <c r="E1149" s="35">
        <f>F1149-D1149</f>
        <v>23514</v>
      </c>
      <c r="F1149" s="35">
        <v>26600</v>
      </c>
      <c r="G1149" s="32"/>
      <c r="H1149" s="35">
        <f>F1149-B1149</f>
        <v>0</v>
      </c>
      <c r="I1149" s="36"/>
      <c r="J1149" s="48">
        <v>6950</v>
      </c>
      <c r="K1149" s="48">
        <f>L1149-J1149</f>
        <v>18050</v>
      </c>
      <c r="L1149" s="48">
        <v>25000</v>
      </c>
      <c r="M1149" s="32"/>
      <c r="N1149" s="48">
        <f>L1149-F1149</f>
        <v>-1600</v>
      </c>
      <c r="P1149" s="35">
        <f>L1149*1.0281-3</f>
        <v>25699.5</v>
      </c>
      <c r="R1149" s="70">
        <v>1692</v>
      </c>
      <c r="S1149" s="70">
        <f>T1149-R1149</f>
        <v>24008</v>
      </c>
      <c r="T1149" s="71">
        <v>25700</v>
      </c>
      <c r="U1149" s="71">
        <f>T1149-P1149</f>
        <v>0.5</v>
      </c>
      <c r="V1149" s="71">
        <v>6552</v>
      </c>
      <c r="W1149" s="71">
        <f>Y1149-V1149</f>
        <v>17148</v>
      </c>
      <c r="X1149" s="71"/>
      <c r="Y1149" s="71">
        <v>23700</v>
      </c>
      <c r="Z1149" s="71">
        <f>Y1149-T1149</f>
        <v>-2000</v>
      </c>
      <c r="AC1149" s="71">
        <v>12654</v>
      </c>
      <c r="AD1149" s="71">
        <f>AE1149-AC1149</f>
        <v>9846</v>
      </c>
      <c r="AE1149" s="71">
        <v>22500</v>
      </c>
      <c r="AF1149" s="71">
        <f>AE1149-Y1149</f>
        <v>-1200</v>
      </c>
      <c r="AH1149" s="36">
        <f>P1149*1.03</f>
        <v>26470.485000000001</v>
      </c>
      <c r="AI1149" s="32"/>
      <c r="AJ1149" s="35">
        <v>3821</v>
      </c>
      <c r="AK1149" s="3">
        <f>AL1149-AJ1149</f>
        <v>22649</v>
      </c>
      <c r="AL1149" s="35">
        <v>26470</v>
      </c>
      <c r="AM1149" s="3">
        <f t="shared" ref="AM1149:AM1154" si="617">AL1149-AH1149</f>
        <v>-0.48500000000058208</v>
      </c>
      <c r="AO1149" s="35">
        <f>AH1149*1.0281</f>
        <v>27214.305628500002</v>
      </c>
      <c r="AQ1149" s="35">
        <f>AO1149*1.03</f>
        <v>28030.734797355002</v>
      </c>
      <c r="AS1149" s="35">
        <f>AQ1149*1.03</f>
        <v>28871.656841275653</v>
      </c>
      <c r="AT1149" s="35"/>
      <c r="AU1149" s="35">
        <f>AS1149*1.03</f>
        <v>29737.806546513923</v>
      </c>
      <c r="AW1149" s="35">
        <f>AU1149*1.03</f>
        <v>30629.940742909341</v>
      </c>
      <c r="AY1149" s="35">
        <f>AW1149*1.03</f>
        <v>31548.838965196621</v>
      </c>
      <c r="BA1149" s="35">
        <f>AY1149*1.03</f>
        <v>32495.30413415252</v>
      </c>
      <c r="BC1149" s="35">
        <f>BA1149*1.03</f>
        <v>33470.163258177097</v>
      </c>
      <c r="BE1149" s="35">
        <f>BC1149*1.03</f>
        <v>34474.268155922415</v>
      </c>
    </row>
    <row r="1150" spans="1:57" x14ac:dyDescent="0.25">
      <c r="A1150" s="3"/>
      <c r="T1150" s="38"/>
      <c r="U1150" s="38"/>
      <c r="V1150" s="38"/>
      <c r="W1150" s="38"/>
      <c r="X1150" s="38"/>
      <c r="Y1150" s="38"/>
      <c r="Z1150" s="38"/>
    </row>
    <row r="1151" spans="1:57" x14ac:dyDescent="0.25">
      <c r="A1151" s="7" t="s">
        <v>289</v>
      </c>
      <c r="B1151" s="35">
        <v>243000</v>
      </c>
      <c r="C1151" s="32"/>
      <c r="D1151" s="35">
        <v>0</v>
      </c>
      <c r="E1151" s="35">
        <f>F1151-D1151</f>
        <v>243000</v>
      </c>
      <c r="F1151" s="35">
        <v>243000</v>
      </c>
      <c r="G1151" s="32"/>
      <c r="H1151" s="35">
        <f>F1151-B1151</f>
        <v>0</v>
      </c>
      <c r="I1151" s="36"/>
      <c r="J1151" s="48">
        <f>SUM(J1149:J1150)</f>
        <v>6950</v>
      </c>
      <c r="K1151" s="48">
        <f>SUM(K1149:K1150)</f>
        <v>18050</v>
      </c>
      <c r="L1151" s="48">
        <v>243000</v>
      </c>
      <c r="M1151" s="32"/>
      <c r="N1151" s="48">
        <f>L1151-F1151</f>
        <v>0</v>
      </c>
      <c r="P1151" s="48">
        <v>243000</v>
      </c>
      <c r="Q1151" s="3"/>
      <c r="R1151" s="70">
        <v>0</v>
      </c>
      <c r="S1151" s="70">
        <f>T1151-R1151</f>
        <v>262000</v>
      </c>
      <c r="T1151" s="71">
        <v>262000</v>
      </c>
      <c r="U1151" s="71">
        <f>T1151-P1151</f>
        <v>19000</v>
      </c>
      <c r="V1151" s="71">
        <v>0</v>
      </c>
      <c r="W1151" s="71">
        <f>Y1151-V1151</f>
        <v>262000</v>
      </c>
      <c r="X1151" s="71"/>
      <c r="Y1151" s="71">
        <v>262000</v>
      </c>
      <c r="Z1151" s="71">
        <f>Y1151-T1151</f>
        <v>0</v>
      </c>
      <c r="AA1151" s="3"/>
      <c r="AB1151" s="3"/>
      <c r="AC1151" s="71">
        <v>0</v>
      </c>
      <c r="AD1151" s="71">
        <f>AE1151-AC1151</f>
        <v>262000</v>
      </c>
      <c r="AE1151" s="71">
        <v>262000</v>
      </c>
      <c r="AF1151" s="71">
        <f>AE1151-Y1151</f>
        <v>0</v>
      </c>
      <c r="AG1151" s="4"/>
      <c r="AH1151" s="36">
        <v>243000</v>
      </c>
      <c r="AI1151" s="32"/>
      <c r="AJ1151" s="48"/>
      <c r="AK1151" s="3">
        <f>AL1151-AJ1151</f>
        <v>250000</v>
      </c>
      <c r="AL1151" s="48">
        <v>250000</v>
      </c>
      <c r="AM1151" s="3">
        <f t="shared" si="617"/>
        <v>7000</v>
      </c>
      <c r="AO1151" s="48">
        <v>243000</v>
      </c>
      <c r="AP1151" s="3"/>
      <c r="AQ1151" s="48">
        <v>243000</v>
      </c>
      <c r="AR1151" s="3"/>
      <c r="AS1151" s="48">
        <v>243000</v>
      </c>
      <c r="AT1151" s="48"/>
      <c r="AU1151" s="48">
        <v>243000</v>
      </c>
      <c r="AV1151" s="42"/>
      <c r="AW1151" s="48">
        <v>243000</v>
      </c>
      <c r="AY1151" s="48">
        <v>243000</v>
      </c>
      <c r="BA1151" s="48">
        <v>243000</v>
      </c>
      <c r="BC1151" s="48">
        <v>243000</v>
      </c>
      <c r="BE1151" s="48">
        <v>243000</v>
      </c>
    </row>
    <row r="1152" spans="1:57" x14ac:dyDescent="0.25">
      <c r="A1152" s="3"/>
      <c r="AM1152" s="3"/>
    </row>
    <row r="1153" spans="1:57" x14ac:dyDescent="0.25">
      <c r="A1153" s="7" t="s">
        <v>376</v>
      </c>
      <c r="AM1153" s="3"/>
    </row>
    <row r="1154" spans="1:57" x14ac:dyDescent="0.25">
      <c r="A1154" s="3" t="s">
        <v>841</v>
      </c>
      <c r="P1154" s="3">
        <v>8000</v>
      </c>
      <c r="Q1154" s="3"/>
      <c r="R1154" s="3">
        <v>0</v>
      </c>
      <c r="S1154" s="3">
        <f>T1154-R1154</f>
        <v>8000</v>
      </c>
      <c r="T1154" s="3">
        <v>8000</v>
      </c>
      <c r="U1154" s="3">
        <f>T1154-P1154</f>
        <v>0</v>
      </c>
      <c r="V1154" s="3"/>
      <c r="W1154" s="3">
        <f>Y1154-V1154</f>
        <v>8000</v>
      </c>
      <c r="X1154" s="3"/>
      <c r="Y1154" s="3">
        <v>8000</v>
      </c>
      <c r="Z1154" s="3">
        <f>Y1154-T1154</f>
        <v>0</v>
      </c>
      <c r="AA1154" s="3"/>
      <c r="AB1154" s="3"/>
      <c r="AC1154" s="3">
        <v>638</v>
      </c>
      <c r="AD1154" s="3">
        <f>AE1154-AC1154</f>
        <v>7362</v>
      </c>
      <c r="AE1154" s="3">
        <v>8000</v>
      </c>
      <c r="AF1154" s="3">
        <f>AE1154-Y1154</f>
        <v>0</v>
      </c>
      <c r="AG1154" s="4"/>
      <c r="AH1154" s="4"/>
      <c r="AJ1154" s="3"/>
      <c r="AK1154" s="3">
        <f>AL1154-AJ1154</f>
        <v>0</v>
      </c>
      <c r="AL1154" s="3"/>
      <c r="AM1154" s="3">
        <f t="shared" si="617"/>
        <v>0</v>
      </c>
      <c r="AO1154" s="3"/>
      <c r="AP1154" s="3"/>
      <c r="AQ1154" s="3"/>
      <c r="AR1154" s="3"/>
      <c r="AS1154" s="3">
        <v>9000</v>
      </c>
      <c r="AT1154" s="3"/>
      <c r="AU1154" s="3"/>
      <c r="AV1154" s="42"/>
      <c r="AW1154" s="3"/>
      <c r="AX1154" s="42"/>
      <c r="AY1154" s="3">
        <v>10000</v>
      </c>
      <c r="AZ1154" s="42"/>
      <c r="BA1154" s="3">
        <v>10000</v>
      </c>
      <c r="BB1154" s="42"/>
      <c r="BC1154" s="3">
        <v>10000</v>
      </c>
      <c r="BE1154" s="3">
        <v>10000</v>
      </c>
    </row>
    <row r="1155" spans="1:57" x14ac:dyDescent="0.25">
      <c r="A1155" s="3" t="s">
        <v>817</v>
      </c>
      <c r="P1155" s="3"/>
      <c r="Q1155" s="3"/>
      <c r="R1155" s="3"/>
      <c r="S1155" s="3"/>
      <c r="T1155" s="3"/>
      <c r="U1155" s="3"/>
      <c r="V1155" s="3">
        <v>25000</v>
      </c>
      <c r="W1155" s="3">
        <f>Y1155-V1155</f>
        <v>0</v>
      </c>
      <c r="X1155" s="3"/>
      <c r="Y1155" s="3">
        <v>25000</v>
      </c>
      <c r="Z1155" s="3">
        <f>Y1155-T1155</f>
        <v>25000</v>
      </c>
      <c r="AA1155" s="3"/>
      <c r="AB1155" s="3"/>
      <c r="AC1155" s="3"/>
      <c r="AD1155" s="3">
        <f>AE1155-AC1155</f>
        <v>25000</v>
      </c>
      <c r="AE1155" s="3">
        <v>25000</v>
      </c>
      <c r="AF1155" s="3">
        <f>AE1155-Y1155</f>
        <v>0</v>
      </c>
      <c r="AG1155" s="4"/>
      <c r="AH1155" s="4"/>
      <c r="AJ1155" s="3"/>
      <c r="AK1155" s="3">
        <f>AL1155-AJ1155</f>
        <v>0</v>
      </c>
      <c r="AL1155" s="3"/>
      <c r="AM1155" s="3">
        <f>AL1155-AH1155</f>
        <v>0</v>
      </c>
      <c r="AO1155" s="3"/>
      <c r="AP1155" s="3"/>
      <c r="AQ1155" s="3"/>
      <c r="AR1155" s="3"/>
      <c r="AS1155" s="3"/>
      <c r="AT1155" s="3"/>
      <c r="AU1155" s="3"/>
      <c r="AV1155" s="42"/>
      <c r="AW1155" s="3"/>
      <c r="AX1155" s="42"/>
      <c r="AY1155" s="3"/>
      <c r="AZ1155" s="42"/>
      <c r="BA1155" s="3"/>
      <c r="BB1155" s="42"/>
      <c r="BC1155" s="3"/>
      <c r="BE1155" s="3"/>
    </row>
    <row r="1156" spans="1:57" x14ac:dyDescent="0.25">
      <c r="A1156" s="3" t="s">
        <v>842</v>
      </c>
      <c r="K1156" s="4">
        <f>L1156-J1156</f>
        <v>4000</v>
      </c>
      <c r="L1156" s="5">
        <v>4000</v>
      </c>
      <c r="N1156" s="4">
        <f>L1156-F1156</f>
        <v>4000</v>
      </c>
      <c r="P1156" s="3"/>
      <c r="Q1156" s="3"/>
      <c r="R1156" s="3"/>
      <c r="S1156" s="3"/>
      <c r="T1156" s="3"/>
      <c r="U1156" s="3"/>
      <c r="V1156" s="3"/>
      <c r="W1156" s="3">
        <f>Y1156-V1156</f>
        <v>0</v>
      </c>
      <c r="X1156" s="3"/>
      <c r="Y1156" s="3"/>
      <c r="Z1156" s="3">
        <f>Y1156-T1156</f>
        <v>0</v>
      </c>
      <c r="AA1156" s="3"/>
      <c r="AB1156" s="3"/>
      <c r="AC1156" s="3"/>
      <c r="AD1156" s="3">
        <f>AE1156-AC1156</f>
        <v>0</v>
      </c>
      <c r="AE1156" s="3"/>
      <c r="AF1156" s="3">
        <f>AE1156-Y1156</f>
        <v>0</v>
      </c>
      <c r="AG1156" s="4"/>
      <c r="AH1156" s="4"/>
      <c r="AJ1156" s="3"/>
      <c r="AK1156" s="3">
        <f>AL1156-AJ1156</f>
        <v>0</v>
      </c>
      <c r="AL1156" s="3"/>
      <c r="AM1156" s="3">
        <f>AL1156-AH1156</f>
        <v>0</v>
      </c>
      <c r="AO1156" s="3"/>
      <c r="AP1156" s="3"/>
      <c r="AQ1156" s="3"/>
      <c r="AR1156" s="3"/>
      <c r="AS1156" s="3"/>
      <c r="AT1156" s="3"/>
      <c r="AU1156" s="3"/>
      <c r="AV1156" s="42"/>
      <c r="AW1156" s="3"/>
      <c r="AX1156" s="42"/>
      <c r="AY1156" s="3"/>
      <c r="AZ1156" s="42"/>
      <c r="BA1156" s="3"/>
      <c r="BB1156" s="42"/>
      <c r="BC1156" s="3"/>
      <c r="BE1156" s="3"/>
    </row>
    <row r="1157" spans="1:57" x14ac:dyDescent="0.25">
      <c r="A1157" s="3" t="s">
        <v>843</v>
      </c>
      <c r="B1157" s="3">
        <v>16500</v>
      </c>
      <c r="D1157" s="3">
        <v>6588</v>
      </c>
      <c r="E1157" s="3">
        <f>F1157-D1157</f>
        <v>9912</v>
      </c>
      <c r="F1157" s="5">
        <v>16500</v>
      </c>
      <c r="H1157" s="5">
        <f>F1157-B1157</f>
        <v>0</v>
      </c>
      <c r="J1157" s="5">
        <v>8800</v>
      </c>
      <c r="K1157" s="4">
        <f>L1157-J1157</f>
        <v>9200</v>
      </c>
      <c r="L1157" s="4">
        <v>18000</v>
      </c>
      <c r="N1157" s="4">
        <f>L1157-F1157</f>
        <v>1500</v>
      </c>
      <c r="P1157" s="3">
        <f>L1157*1.0325-35</f>
        <v>18550</v>
      </c>
      <c r="Q1157" s="3"/>
      <c r="R1157" s="3">
        <v>5654</v>
      </c>
      <c r="S1157" s="3">
        <f>T1157-R1157</f>
        <v>16846</v>
      </c>
      <c r="T1157" s="3">
        <v>22500</v>
      </c>
      <c r="U1157" s="3">
        <f>T1157-P1157</f>
        <v>3950</v>
      </c>
      <c r="V1157" s="3">
        <v>10154</v>
      </c>
      <c r="W1157" s="3">
        <f>Y1157-V1157</f>
        <v>12346</v>
      </c>
      <c r="X1157" s="3"/>
      <c r="Y1157" s="3">
        <v>22500</v>
      </c>
      <c r="Z1157" s="3">
        <f>Y1157-T1157</f>
        <v>0</v>
      </c>
      <c r="AA1157" s="3"/>
      <c r="AB1157" s="3"/>
      <c r="AC1157" s="3">
        <v>14549</v>
      </c>
      <c r="AD1157" s="3">
        <f>AE1157-AC1157</f>
        <v>7951</v>
      </c>
      <c r="AE1157" s="3">
        <v>22500</v>
      </c>
      <c r="AF1157" s="3">
        <f>AE1157-Y1157</f>
        <v>0</v>
      </c>
      <c r="AG1157" s="4"/>
      <c r="AH1157" s="4">
        <f>P1157*1.0325-3</f>
        <v>19149.875</v>
      </c>
      <c r="AJ1157" s="3">
        <v>4965</v>
      </c>
      <c r="AK1157" s="3">
        <f>AL1157-AJ1157</f>
        <v>14185</v>
      </c>
      <c r="AL1157" s="3">
        <v>19150</v>
      </c>
      <c r="AM1157" s="3">
        <f>AL1157-AH1157</f>
        <v>0.125</v>
      </c>
      <c r="AO1157" s="3">
        <f>AH1157*1.0325</f>
        <v>19772.2459375</v>
      </c>
      <c r="AP1157" s="3"/>
      <c r="AQ1157" s="3">
        <f>AO1157*1.0325</f>
        <v>20414.843930468749</v>
      </c>
      <c r="AR1157" s="3"/>
      <c r="AS1157" s="3">
        <f>AQ1157*1.0325</f>
        <v>21078.326358208982</v>
      </c>
      <c r="AT1157" s="3"/>
      <c r="AU1157" s="3">
        <f>AS1157*1.0325</f>
        <v>21763.371964850772</v>
      </c>
      <c r="AV1157" s="42"/>
      <c r="AW1157" s="3">
        <f>AU1157*1.0325</f>
        <v>22470.681553708422</v>
      </c>
      <c r="AX1157" s="42"/>
      <c r="AY1157" s="3">
        <f>AW1157*1.0325</f>
        <v>23200.978704203946</v>
      </c>
      <c r="AZ1157" s="42"/>
      <c r="BA1157" s="3">
        <f>AY1157*1.0325</f>
        <v>23955.010512090576</v>
      </c>
      <c r="BB1157" s="42"/>
      <c r="BC1157" s="3">
        <f>BA1157*1.0325</f>
        <v>24733.54835373352</v>
      </c>
      <c r="BE1157" s="3">
        <f>BC1157*1.0325</f>
        <v>25537.38867522986</v>
      </c>
    </row>
    <row r="1158" spans="1:57" x14ac:dyDescent="0.25">
      <c r="A1158" s="3"/>
      <c r="B1158" s="48">
        <f>SUM(B1154:B1157)</f>
        <v>16500</v>
      </c>
      <c r="C1158" s="32"/>
      <c r="D1158" s="48">
        <f>SUM(D1154:D1157)</f>
        <v>6588</v>
      </c>
      <c r="E1158" s="48">
        <f>SUM(E1154:E1157)</f>
        <v>9912</v>
      </c>
      <c r="F1158" s="48">
        <f>SUM(F1154:F1157)</f>
        <v>16500</v>
      </c>
      <c r="G1158" s="32"/>
      <c r="H1158" s="48">
        <f>SUM(H1154:H1157)</f>
        <v>0</v>
      </c>
      <c r="I1158" s="36"/>
      <c r="J1158" s="48">
        <f>SUM(J1154:J1157)</f>
        <v>8800</v>
      </c>
      <c r="K1158" s="48">
        <f>SUM(K1154:K1157)</f>
        <v>13200</v>
      </c>
      <c r="L1158" s="48">
        <f>SUM(L1154:L1157)</f>
        <v>22000</v>
      </c>
      <c r="M1158" s="32"/>
      <c r="N1158" s="48">
        <f>SUM(N1154:N1157)</f>
        <v>5500</v>
      </c>
      <c r="P1158" s="48">
        <f>SUM(P1154:P1157)</f>
        <v>26550</v>
      </c>
      <c r="R1158" s="48">
        <f t="shared" ref="R1158:Z1158" si="618">SUM(R1154:R1157)</f>
        <v>5654</v>
      </c>
      <c r="S1158" s="48">
        <f t="shared" si="618"/>
        <v>24846</v>
      </c>
      <c r="T1158" s="48">
        <f t="shared" si="618"/>
        <v>30500</v>
      </c>
      <c r="U1158" s="48">
        <f t="shared" si="618"/>
        <v>3950</v>
      </c>
      <c r="V1158" s="48">
        <f t="shared" si="618"/>
        <v>35154</v>
      </c>
      <c r="W1158" s="48">
        <f t="shared" si="618"/>
        <v>20346</v>
      </c>
      <c r="X1158" s="48"/>
      <c r="Y1158" s="48">
        <f t="shared" si="618"/>
        <v>55500</v>
      </c>
      <c r="Z1158" s="48">
        <f t="shared" si="618"/>
        <v>25000</v>
      </c>
      <c r="AC1158" s="48">
        <f>SUM(AC1154:AC1157)</f>
        <v>15187</v>
      </c>
      <c r="AD1158" s="48">
        <f>SUM(AD1154:AD1157)</f>
        <v>40313</v>
      </c>
      <c r="AE1158" s="48">
        <f>SUM(AE1154:AE1157)</f>
        <v>55500</v>
      </c>
      <c r="AF1158" s="48">
        <f>SUM(AF1154:AF1157)</f>
        <v>0</v>
      </c>
      <c r="AH1158" s="36">
        <f>SUM(AH1154:AH1157)</f>
        <v>19149.875</v>
      </c>
      <c r="AI1158" s="32"/>
      <c r="AJ1158" s="48">
        <f>SUM(AJ1154:AJ1157)</f>
        <v>4965</v>
      </c>
      <c r="AK1158" s="48">
        <f>SUM(AK1154:AK1157)</f>
        <v>14185</v>
      </c>
      <c r="AL1158" s="48">
        <f>SUM(AL1154:AL1157)</f>
        <v>19150</v>
      </c>
      <c r="AM1158" s="48">
        <f>SUM(AM1154:AM1157)</f>
        <v>0.125</v>
      </c>
      <c r="AN1158" s="32"/>
      <c r="AO1158" s="48">
        <f>SUM(AO1154:AO1157)</f>
        <v>19772.2459375</v>
      </c>
      <c r="AQ1158" s="48">
        <f>SUM(AQ1154:AQ1157)</f>
        <v>20414.843930468749</v>
      </c>
      <c r="AS1158" s="48">
        <f>SUM(AS1154:AS1157)</f>
        <v>30078.326358208982</v>
      </c>
      <c r="AT1158" s="48"/>
      <c r="AU1158" s="48">
        <f>SUM(AU1154:AU1157)</f>
        <v>21763.371964850772</v>
      </c>
      <c r="AW1158" s="48">
        <f>SUM(AW1154:AW1157)</f>
        <v>22470.681553708422</v>
      </c>
      <c r="AY1158" s="48">
        <f>SUM(AY1154:AY1157)</f>
        <v>33200.978704203946</v>
      </c>
      <c r="BA1158" s="48">
        <f>SUM(BA1154:BA1157)</f>
        <v>33955.010512090579</v>
      </c>
      <c r="BC1158" s="48">
        <f>SUM(BC1154:BC1157)</f>
        <v>34733.548353733524</v>
      </c>
      <c r="BE1158" s="48">
        <f>SUM(BE1154:BE1157)</f>
        <v>35537.388675229857</v>
      </c>
    </row>
    <row r="1159" spans="1:57" ht="15.75" thickBot="1" x14ac:dyDescent="0.3">
      <c r="A1159" s="3"/>
      <c r="B1159" s="3"/>
      <c r="D1159" s="3"/>
      <c r="E1159" s="3"/>
      <c r="F1159" s="3"/>
      <c r="H1159" s="3"/>
      <c r="I1159" s="3"/>
      <c r="J1159" s="3"/>
      <c r="K1159" s="3"/>
      <c r="L1159" s="3"/>
      <c r="N1159" s="3"/>
      <c r="P1159" s="29"/>
      <c r="AH1159" s="85"/>
      <c r="AJ1159" s="29"/>
      <c r="AK1159" s="29"/>
      <c r="AL1159" s="29"/>
      <c r="AM1159" s="29"/>
      <c r="AO1159" s="29"/>
      <c r="AQ1159" s="29"/>
      <c r="AS1159" s="29"/>
      <c r="AT1159" s="29"/>
      <c r="AU1159" s="29"/>
      <c r="AW1159" s="29"/>
      <c r="AY1159" s="29"/>
      <c r="BA1159" s="29"/>
      <c r="BC1159" s="29"/>
      <c r="BE1159" s="29"/>
    </row>
    <row r="1160" spans="1:57" ht="16.5" thickTop="1" thickBot="1" x14ac:dyDescent="0.3">
      <c r="A1160" s="7" t="s">
        <v>844</v>
      </c>
      <c r="B1160" s="65">
        <f>B1158+B1151+B1149+B1147+B1143+B1135</f>
        <v>787250</v>
      </c>
      <c r="C1160" s="32"/>
      <c r="D1160" s="65">
        <f>D1158+D1151+D1149+D1147+D1143+D1135</f>
        <v>96047</v>
      </c>
      <c r="E1160" s="65">
        <f>E1158+E1151+E1149+E1147+E1143+E1135</f>
        <v>691203</v>
      </c>
      <c r="F1160" s="65">
        <f>F1158+F1151+F1149+F1147+F1143+F1135</f>
        <v>787250</v>
      </c>
      <c r="G1160" s="32"/>
      <c r="H1160" s="65">
        <f>H1158+H1151+H1149+H1147+H1143+H1135</f>
        <v>0</v>
      </c>
      <c r="I1160" s="36"/>
      <c r="J1160" s="65">
        <f>J1158+J1151+J1149+J1147+J1143+J1135</f>
        <v>176809</v>
      </c>
      <c r="K1160" s="65">
        <f>K1158+K1151+K1149+K1147+K1143+K1135</f>
        <v>385291</v>
      </c>
      <c r="L1160" s="65">
        <f>L1158+L1151+L1149+L1147+L1143+L1135</f>
        <v>780100</v>
      </c>
      <c r="M1160" s="32"/>
      <c r="N1160" s="65">
        <f>N1158+N1151+N1149+N1147+N1143+N1135</f>
        <v>-7150</v>
      </c>
      <c r="P1160" s="65">
        <f>P1158+P1151+P1149+P1147+P1143+P1135</f>
        <v>811739.97499999998</v>
      </c>
      <c r="R1160" s="65">
        <f t="shared" ref="R1160:Z1160" si="619">R1158+R1151+R1149+R1147+R1143+R1135</f>
        <v>97050</v>
      </c>
      <c r="S1160" s="65">
        <f t="shared" si="619"/>
        <v>732088</v>
      </c>
      <c r="T1160" s="65">
        <f t="shared" si="619"/>
        <v>829139</v>
      </c>
      <c r="U1160" s="65">
        <f t="shared" si="619"/>
        <v>17398.025000000005</v>
      </c>
      <c r="V1160" s="65">
        <f t="shared" si="619"/>
        <v>198692</v>
      </c>
      <c r="W1160" s="65">
        <f t="shared" si="619"/>
        <v>660696</v>
      </c>
      <c r="X1160" s="65"/>
      <c r="Y1160" s="65">
        <f t="shared" si="619"/>
        <v>859390</v>
      </c>
      <c r="Z1160" s="65">
        <f t="shared" si="619"/>
        <v>30250</v>
      </c>
      <c r="AC1160" s="65">
        <f>AC1158+AC1151+AC1149+AC1147+AC1143+AC1135</f>
        <v>281994</v>
      </c>
      <c r="AD1160" s="65">
        <f>AD1158+AD1151+AD1149+AD1147+AD1143+AD1135</f>
        <v>571046</v>
      </c>
      <c r="AE1160" s="65">
        <f>AE1158+AE1151+AE1149+AE1147+AE1143+AE1135</f>
        <v>853040</v>
      </c>
      <c r="AF1160" s="65">
        <f>AF1158+AF1151+AF1149+AF1147+AF1143+AF1135</f>
        <v>-6350</v>
      </c>
      <c r="AH1160" s="36">
        <f>AH1158+AH1151+AH1149+AH1147+AH1143+AH1135</f>
        <v>821569.36749999993</v>
      </c>
      <c r="AI1160" s="32"/>
      <c r="AJ1160" s="65">
        <f>AJ1158+AJ1151+AJ1149+AJ1147+AJ1143+AJ1135</f>
        <v>99143</v>
      </c>
      <c r="AK1160" s="65">
        <f>AK1158+AK1151+AK1149+AK1147+AK1143+AK1135</f>
        <v>729427</v>
      </c>
      <c r="AL1160" s="65">
        <f>AL1158+AL1151+AL1149+AL1147+AL1143+AL1135</f>
        <v>828570</v>
      </c>
      <c r="AM1160" s="65">
        <f>AM1158+AM1151+AM1149+AM1147+AM1143+AM1135</f>
        <v>7000.6324999999924</v>
      </c>
      <c r="AN1160" s="32"/>
      <c r="AO1160" s="65">
        <f>AO1158+AO1151+AO1149+AO1147+AO1143+AO1135</f>
        <v>843664.888041</v>
      </c>
      <c r="AQ1160" s="65">
        <f>AQ1158+AQ1151+AQ1149+AQ1147+AQ1143+AQ1135</f>
        <v>866725.54419394885</v>
      </c>
      <c r="AS1160" s="65">
        <f>AS1158+AS1151+AS1149+AS1147+AS1143+AS1135</f>
        <v>899672.8324149918</v>
      </c>
      <c r="AT1160" s="65"/>
      <c r="AU1160" s="65">
        <f>AU1158+AU1151+AU1149+AU1147+AU1143+AU1135</f>
        <v>915599.21238847985</v>
      </c>
      <c r="AW1160" s="65">
        <f>AW1158+AW1151+AW1149+AW1147+AW1143+AW1135</f>
        <v>941547.10322197201</v>
      </c>
      <c r="AY1160" s="65">
        <f>AY1158+AY1151+AY1149+AY1147+AY1143+AY1135</f>
        <v>978560.85223955463</v>
      </c>
      <c r="BA1160" s="65">
        <f>BA1158+BA1151+BA1149+BA1147+BA1143+BA1135</f>
        <v>1006686.8258933491</v>
      </c>
      <c r="BC1160" s="65">
        <f>BC1158+BC1151+BC1149+BC1147+BC1143+BC1135</f>
        <v>1035973.5050752984</v>
      </c>
      <c r="BE1160" s="65">
        <f>BE1158+BE1151+BE1149+BE1147+BE1143+BE1135</f>
        <v>1066471.5850461479</v>
      </c>
    </row>
    <row r="1161" spans="1:57" s="42" customFormat="1" ht="16.5" thickTop="1" thickBot="1" x14ac:dyDescent="0.3">
      <c r="A1161" s="7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4"/>
      <c r="N1161" s="3"/>
      <c r="O1161" s="4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4"/>
      <c r="AH1161" s="4"/>
      <c r="AI1161" s="4"/>
      <c r="AJ1161" s="3"/>
      <c r="AK1161" s="3"/>
      <c r="AL1161" s="3"/>
      <c r="AM1161" s="3"/>
      <c r="AN1161" s="4"/>
      <c r="AO1161" s="3"/>
      <c r="AP1161" s="3"/>
      <c r="AQ1161" s="3"/>
      <c r="AR1161" s="3"/>
      <c r="AS1161" s="3"/>
      <c r="AT1161" s="3"/>
      <c r="AU1161" s="3"/>
      <c r="AW1161" s="3"/>
      <c r="AY1161" s="3"/>
      <c r="BA1161" s="3"/>
      <c r="BC1161" s="3"/>
      <c r="BE1161" s="3"/>
    </row>
    <row r="1162" spans="1:57" x14ac:dyDescent="0.25">
      <c r="A1162" s="3"/>
      <c r="B1162" s="8" t="s">
        <v>8</v>
      </c>
      <c r="C1162" s="9"/>
      <c r="D1162" s="10" t="s">
        <v>9</v>
      </c>
      <c r="E1162" s="11" t="s">
        <v>10</v>
      </c>
      <c r="F1162" s="12" t="s">
        <v>11</v>
      </c>
      <c r="G1162" s="9"/>
      <c r="H1162" s="8" t="s">
        <v>12</v>
      </c>
      <c r="I1162" s="13"/>
      <c r="J1162" s="10" t="s">
        <v>9</v>
      </c>
      <c r="K1162" s="11" t="s">
        <v>10</v>
      </c>
      <c r="L1162" s="11" t="s">
        <v>11</v>
      </c>
      <c r="M1162" s="9"/>
      <c r="N1162" s="11" t="s">
        <v>12</v>
      </c>
      <c r="P1162" s="12" t="s">
        <v>8</v>
      </c>
      <c r="R1162" s="14" t="s">
        <v>9</v>
      </c>
      <c r="S1162" s="15" t="s">
        <v>10</v>
      </c>
      <c r="T1162" s="16" t="s">
        <v>11</v>
      </c>
      <c r="U1162" s="17" t="s">
        <v>13</v>
      </c>
      <c r="V1162" s="14" t="s">
        <v>9</v>
      </c>
      <c r="W1162" s="15" t="s">
        <v>10</v>
      </c>
      <c r="X1162" s="15"/>
      <c r="Y1162" s="16" t="s">
        <v>11</v>
      </c>
      <c r="Z1162" s="17" t="s">
        <v>13</v>
      </c>
      <c r="AC1162" s="14" t="s">
        <v>9</v>
      </c>
      <c r="AD1162" s="15" t="s">
        <v>10</v>
      </c>
      <c r="AE1162" s="16" t="s">
        <v>11</v>
      </c>
      <c r="AF1162" s="15" t="s">
        <v>13</v>
      </c>
      <c r="AH1162" s="13" t="s">
        <v>8</v>
      </c>
      <c r="AI1162" s="9"/>
      <c r="AJ1162" s="11" t="s">
        <v>9</v>
      </c>
      <c r="AK1162" s="11" t="s">
        <v>10</v>
      </c>
      <c r="AL1162" s="12" t="s">
        <v>11</v>
      </c>
      <c r="AM1162" s="10" t="s">
        <v>13</v>
      </c>
      <c r="AN1162" s="9"/>
      <c r="AO1162" s="12" t="s">
        <v>8</v>
      </c>
      <c r="AQ1162" s="8" t="s">
        <v>8</v>
      </c>
      <c r="AS1162" s="8" t="s">
        <v>8</v>
      </c>
      <c r="AT1162" s="8"/>
      <c r="AU1162" s="8" t="s">
        <v>8</v>
      </c>
      <c r="AW1162" s="8" t="s">
        <v>8</v>
      </c>
      <c r="AY1162" s="8" t="s">
        <v>8</v>
      </c>
      <c r="BA1162" s="8" t="s">
        <v>8</v>
      </c>
      <c r="BC1162" s="8" t="s">
        <v>8</v>
      </c>
      <c r="BE1162" s="8" t="s">
        <v>8</v>
      </c>
    </row>
    <row r="1163" spans="1:57" ht="15.75" thickBot="1" x14ac:dyDescent="0.3">
      <c r="A1163" s="3"/>
      <c r="B1163" s="19" t="s">
        <v>14</v>
      </c>
      <c r="C1163" s="9"/>
      <c r="D1163" s="20" t="s">
        <v>15</v>
      </c>
      <c r="E1163" s="21"/>
      <c r="F1163" s="22" t="s">
        <v>16</v>
      </c>
      <c r="G1163" s="9"/>
      <c r="H1163" s="19"/>
      <c r="I1163" s="13"/>
      <c r="J1163" s="20" t="s">
        <v>17</v>
      </c>
      <c r="K1163" s="21"/>
      <c r="L1163" s="21" t="s">
        <v>16</v>
      </c>
      <c r="M1163" s="9"/>
      <c r="N1163" s="21"/>
      <c r="P1163" s="22" t="s">
        <v>18</v>
      </c>
      <c r="R1163" s="23" t="s">
        <v>19</v>
      </c>
      <c r="S1163" s="24"/>
      <c r="T1163" s="25" t="s">
        <v>20</v>
      </c>
      <c r="U1163" s="26"/>
      <c r="V1163" s="23" t="s">
        <v>21</v>
      </c>
      <c r="W1163" s="24"/>
      <c r="X1163" s="24"/>
      <c r="Y1163" s="25" t="s">
        <v>21</v>
      </c>
      <c r="Z1163" s="26"/>
      <c r="AC1163" s="23" t="s">
        <v>22</v>
      </c>
      <c r="AD1163" s="24"/>
      <c r="AE1163" s="25" t="s">
        <v>23</v>
      </c>
      <c r="AF1163" s="24"/>
      <c r="AH1163" s="13" t="s">
        <v>24</v>
      </c>
      <c r="AI1163" s="9"/>
      <c r="AJ1163" s="21" t="s">
        <v>1144</v>
      </c>
      <c r="AK1163" s="21"/>
      <c r="AL1163" s="22" t="s">
        <v>1144</v>
      </c>
      <c r="AM1163" s="20"/>
      <c r="AN1163" s="9"/>
      <c r="AO1163" s="22" t="s">
        <v>25</v>
      </c>
      <c r="AQ1163" s="19" t="s">
        <v>26</v>
      </c>
      <c r="AS1163" s="19" t="s">
        <v>27</v>
      </c>
      <c r="AT1163" s="19"/>
      <c r="AU1163" s="19" t="s">
        <v>28</v>
      </c>
      <c r="AW1163" s="19" t="s">
        <v>29</v>
      </c>
      <c r="AY1163" s="19" t="s">
        <v>30</v>
      </c>
      <c r="BA1163" s="19" t="s">
        <v>31</v>
      </c>
      <c r="BC1163" s="19">
        <f>BC512</f>
        <v>7220.5894639094131</v>
      </c>
      <c r="BE1163" s="19">
        <f>BE512</f>
        <v>7437.2071478266953</v>
      </c>
    </row>
    <row r="1164" spans="1:57" x14ac:dyDescent="0.25">
      <c r="A1164" s="28" t="s">
        <v>845</v>
      </c>
      <c r="AD1164" s="3">
        <f t="shared" ref="AD1164:AD1202" si="620">AE1164-AC1164</f>
        <v>0</v>
      </c>
      <c r="AE1164" s="3"/>
      <c r="AF1164" s="3">
        <f t="shared" ref="AF1164:AF1202" si="621">AE1164-Y1164</f>
        <v>0</v>
      </c>
    </row>
    <row r="1165" spans="1:57" s="42" customFormat="1" x14ac:dyDescent="0.25">
      <c r="A1165" s="3" t="s">
        <v>846</v>
      </c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4"/>
      <c r="N1165" s="3"/>
      <c r="O1165" s="4"/>
      <c r="P1165" s="3"/>
      <c r="Q1165" s="3"/>
      <c r="R1165" s="3"/>
      <c r="S1165" s="3"/>
      <c r="T1165" s="3"/>
      <c r="U1165" s="3"/>
      <c r="V1165" s="3"/>
      <c r="W1165" s="3">
        <f t="shared" ref="W1165:W1202" si="622">Y1165-V1165</f>
        <v>0</v>
      </c>
      <c r="X1165" s="3"/>
      <c r="Y1165" s="3"/>
      <c r="Z1165" s="3"/>
      <c r="AA1165" s="3"/>
      <c r="AB1165" s="3"/>
      <c r="AC1165" s="3"/>
      <c r="AD1165" s="3">
        <f t="shared" si="620"/>
        <v>0</v>
      </c>
      <c r="AE1165" s="3"/>
      <c r="AF1165" s="3">
        <f t="shared" si="621"/>
        <v>0</v>
      </c>
      <c r="AG1165" s="4"/>
      <c r="AH1165" s="4"/>
      <c r="AI1165" s="4"/>
      <c r="AJ1165" s="3"/>
      <c r="AK1165" s="3">
        <f t="shared" ref="AK1165:AK1202" si="623">AL1165-AJ1165</f>
        <v>0</v>
      </c>
      <c r="AL1165" s="3"/>
      <c r="AM1165" s="3">
        <f t="shared" ref="AM1165:AM1202" si="624">AL1165-AH1165</f>
        <v>0</v>
      </c>
      <c r="AN1165" s="4"/>
      <c r="AO1165" s="3"/>
      <c r="AP1165" s="3"/>
      <c r="AQ1165" s="3"/>
      <c r="AR1165" s="3"/>
      <c r="AS1165" s="3"/>
      <c r="AT1165" s="3"/>
      <c r="AU1165" s="3"/>
      <c r="AW1165" s="3"/>
      <c r="AY1165" s="3"/>
      <c r="BA1165" s="3"/>
      <c r="BC1165" s="3"/>
      <c r="BE1165" s="3"/>
    </row>
    <row r="1166" spans="1:57" s="42" customFormat="1" x14ac:dyDescent="0.25">
      <c r="A1166" s="3" t="s">
        <v>847</v>
      </c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4"/>
      <c r="N1166" s="3"/>
      <c r="O1166" s="4"/>
      <c r="P1166" s="3"/>
      <c r="Q1166" s="3"/>
      <c r="R1166" s="3"/>
      <c r="S1166" s="3"/>
      <c r="T1166" s="3"/>
      <c r="U1166" s="3"/>
      <c r="V1166" s="3"/>
      <c r="W1166" s="3">
        <f t="shared" si="622"/>
        <v>0</v>
      </c>
      <c r="X1166" s="3"/>
      <c r="Y1166" s="3"/>
      <c r="Z1166" s="3"/>
      <c r="AA1166" s="3"/>
      <c r="AB1166" s="3"/>
      <c r="AC1166" s="3"/>
      <c r="AD1166" s="3">
        <f t="shared" si="620"/>
        <v>0</v>
      </c>
      <c r="AE1166" s="3"/>
      <c r="AF1166" s="3">
        <f t="shared" si="621"/>
        <v>0</v>
      </c>
      <c r="AG1166" s="4"/>
      <c r="AH1166" s="4"/>
      <c r="AI1166" s="4"/>
      <c r="AJ1166" s="3"/>
      <c r="AK1166" s="3">
        <f t="shared" si="623"/>
        <v>0</v>
      </c>
      <c r="AL1166" s="3"/>
      <c r="AM1166" s="3">
        <f t="shared" si="624"/>
        <v>0</v>
      </c>
      <c r="AN1166" s="4"/>
      <c r="AO1166" s="3"/>
      <c r="AP1166" s="3"/>
      <c r="AQ1166" s="3"/>
      <c r="AR1166" s="3"/>
      <c r="AS1166" s="3"/>
      <c r="AT1166" s="3"/>
      <c r="AU1166" s="3"/>
      <c r="AW1166" s="3"/>
      <c r="AY1166" s="3"/>
      <c r="BA1166" s="3"/>
      <c r="BC1166" s="3"/>
      <c r="BE1166" s="3"/>
    </row>
    <row r="1167" spans="1:57" s="42" customFormat="1" x14ac:dyDescent="0.25">
      <c r="A1167" s="3" t="s">
        <v>848</v>
      </c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4"/>
      <c r="N1167" s="3"/>
      <c r="O1167" s="4"/>
      <c r="P1167" s="3"/>
      <c r="Q1167" s="3"/>
      <c r="R1167" s="3"/>
      <c r="S1167" s="3"/>
      <c r="T1167" s="3"/>
      <c r="U1167" s="3"/>
      <c r="V1167" s="3"/>
      <c r="W1167" s="3">
        <f t="shared" si="622"/>
        <v>0</v>
      </c>
      <c r="X1167" s="3"/>
      <c r="Y1167" s="3"/>
      <c r="Z1167" s="3"/>
      <c r="AA1167" s="3"/>
      <c r="AB1167" s="3"/>
      <c r="AC1167" s="3"/>
      <c r="AD1167" s="3">
        <f t="shared" si="620"/>
        <v>0</v>
      </c>
      <c r="AE1167" s="3"/>
      <c r="AF1167" s="3">
        <f t="shared" si="621"/>
        <v>0</v>
      </c>
      <c r="AG1167" s="4"/>
      <c r="AH1167" s="4"/>
      <c r="AI1167" s="4"/>
      <c r="AJ1167" s="3"/>
      <c r="AK1167" s="3">
        <f t="shared" si="623"/>
        <v>0</v>
      </c>
      <c r="AL1167" s="3"/>
      <c r="AM1167" s="3">
        <f t="shared" si="624"/>
        <v>0</v>
      </c>
      <c r="AN1167" s="4"/>
      <c r="AO1167" s="3"/>
      <c r="AP1167" s="3"/>
      <c r="AQ1167" s="3"/>
      <c r="AR1167" s="3"/>
      <c r="AS1167" s="3"/>
      <c r="AT1167" s="3"/>
      <c r="AU1167" s="3"/>
      <c r="AW1167" s="3"/>
      <c r="AY1167" s="3"/>
      <c r="BA1167" s="3"/>
      <c r="BC1167" s="3"/>
      <c r="BE1167" s="3"/>
    </row>
    <row r="1168" spans="1:57" s="42" customFormat="1" x14ac:dyDescent="0.25">
      <c r="A1168" s="3" t="s">
        <v>849</v>
      </c>
      <c r="B1168" s="3">
        <v>11000</v>
      </c>
      <c r="C1168" s="3"/>
      <c r="D1168" s="3"/>
      <c r="E1168" s="3">
        <f t="shared" ref="E1168:E1198" si="625">F1168-D1168</f>
        <v>11000</v>
      </c>
      <c r="F1168" s="3">
        <v>11000</v>
      </c>
      <c r="G1168" s="3"/>
      <c r="H1168" s="3">
        <f t="shared" ref="H1168:H1198" si="626">F1168-B1168</f>
        <v>0</v>
      </c>
      <c r="I1168" s="3"/>
      <c r="J1168" s="3"/>
      <c r="K1168" s="4">
        <f t="shared" ref="K1168:K1202" si="627">L1168-J1168</f>
        <v>10000</v>
      </c>
      <c r="L1168" s="4">
        <v>10000</v>
      </c>
      <c r="M1168" s="4"/>
      <c r="N1168" s="4">
        <f t="shared" ref="N1168:N1202" si="628">L1168-F1168</f>
        <v>-1000</v>
      </c>
      <c r="O1168" s="4"/>
      <c r="P1168" s="3"/>
      <c r="Q1168" s="3"/>
      <c r="R1168" s="3"/>
      <c r="S1168" s="3"/>
      <c r="T1168" s="3"/>
      <c r="U1168" s="3"/>
      <c r="V1168" s="3"/>
      <c r="W1168" s="3">
        <f t="shared" si="622"/>
        <v>0</v>
      </c>
      <c r="X1168" s="3"/>
      <c r="Y1168" s="3"/>
      <c r="Z1168" s="3">
        <f t="shared" ref="Z1168:Z1202" si="629">Y1168-T1168</f>
        <v>0</v>
      </c>
      <c r="AA1168" s="3"/>
      <c r="AB1168" s="3"/>
      <c r="AC1168" s="3"/>
      <c r="AD1168" s="3">
        <f t="shared" si="620"/>
        <v>0</v>
      </c>
      <c r="AE1168" s="3"/>
      <c r="AF1168" s="3">
        <f t="shared" si="621"/>
        <v>0</v>
      </c>
      <c r="AG1168" s="4"/>
      <c r="AH1168" s="4"/>
      <c r="AI1168" s="4"/>
      <c r="AJ1168" s="3"/>
      <c r="AK1168" s="3">
        <f t="shared" si="623"/>
        <v>0</v>
      </c>
      <c r="AL1168" s="3"/>
      <c r="AM1168" s="3">
        <f t="shared" si="624"/>
        <v>0</v>
      </c>
      <c r="AN1168" s="4"/>
      <c r="AO1168" s="3"/>
      <c r="AP1168" s="3"/>
      <c r="AQ1168" s="3"/>
      <c r="AR1168" s="3"/>
      <c r="AS1168" s="3"/>
      <c r="AT1168" s="3"/>
      <c r="AU1168" s="3"/>
      <c r="AW1168" s="3"/>
      <c r="AY1168" s="3">
        <v>21650</v>
      </c>
      <c r="BA1168" s="3"/>
      <c r="BC1168" s="3"/>
      <c r="BE1168" s="3"/>
    </row>
    <row r="1169" spans="1:57" s="42" customFormat="1" x14ac:dyDescent="0.25">
      <c r="A1169" s="3" t="s">
        <v>850</v>
      </c>
      <c r="B1169" s="3"/>
      <c r="C1169" s="3"/>
      <c r="D1169" s="3"/>
      <c r="E1169" s="3">
        <f t="shared" si="625"/>
        <v>0</v>
      </c>
      <c r="F1169" s="3"/>
      <c r="G1169" s="3"/>
      <c r="H1169" s="3">
        <f t="shared" si="626"/>
        <v>0</v>
      </c>
      <c r="I1169" s="3"/>
      <c r="J1169" s="3"/>
      <c r="K1169" s="4">
        <f t="shared" si="627"/>
        <v>0</v>
      </c>
      <c r="L1169" s="4"/>
      <c r="M1169" s="4"/>
      <c r="N1169" s="4">
        <f t="shared" si="628"/>
        <v>0</v>
      </c>
      <c r="O1169" s="4"/>
      <c r="P1169" s="3"/>
      <c r="Q1169" s="3"/>
      <c r="R1169" s="3"/>
      <c r="S1169" s="3"/>
      <c r="T1169" s="3"/>
      <c r="U1169" s="3"/>
      <c r="V1169" s="3"/>
      <c r="W1169" s="3">
        <f t="shared" si="622"/>
        <v>0</v>
      </c>
      <c r="X1169" s="3"/>
      <c r="Y1169" s="3"/>
      <c r="Z1169" s="3">
        <f t="shared" si="629"/>
        <v>0</v>
      </c>
      <c r="AA1169" s="3"/>
      <c r="AB1169" s="3"/>
      <c r="AC1169" s="3"/>
      <c r="AD1169" s="3">
        <f t="shared" si="620"/>
        <v>0</v>
      </c>
      <c r="AE1169" s="3"/>
      <c r="AF1169" s="3">
        <f t="shared" si="621"/>
        <v>0</v>
      </c>
      <c r="AG1169" s="4"/>
      <c r="AH1169" s="4"/>
      <c r="AI1169" s="4"/>
      <c r="AJ1169" s="3"/>
      <c r="AK1169" s="3">
        <f t="shared" si="623"/>
        <v>0</v>
      </c>
      <c r="AL1169" s="3"/>
      <c r="AM1169" s="3">
        <f t="shared" si="624"/>
        <v>0</v>
      </c>
      <c r="AN1169" s="4"/>
      <c r="AO1169" s="3"/>
      <c r="AP1169" s="3"/>
      <c r="AQ1169" s="3"/>
      <c r="AR1169" s="3"/>
      <c r="AS1169" s="3"/>
      <c r="AT1169" s="3"/>
      <c r="AU1169" s="3"/>
      <c r="AW1169" s="3">
        <v>1082000</v>
      </c>
      <c r="AY1169" s="3"/>
      <c r="BA1169" s="3"/>
      <c r="BC1169" s="3"/>
      <c r="BE1169" s="3"/>
    </row>
    <row r="1170" spans="1:57" s="42" customFormat="1" x14ac:dyDescent="0.25">
      <c r="A1170" s="3" t="s">
        <v>851</v>
      </c>
      <c r="B1170" s="3"/>
      <c r="C1170" s="3"/>
      <c r="D1170" s="3"/>
      <c r="E1170" s="3">
        <f t="shared" si="625"/>
        <v>0</v>
      </c>
      <c r="F1170" s="3"/>
      <c r="G1170" s="3"/>
      <c r="H1170" s="3">
        <f t="shared" si="626"/>
        <v>0</v>
      </c>
      <c r="I1170" s="3"/>
      <c r="J1170" s="3"/>
      <c r="K1170" s="4">
        <f t="shared" si="627"/>
        <v>0</v>
      </c>
      <c r="L1170" s="4"/>
      <c r="M1170" s="4"/>
      <c r="N1170" s="4">
        <f t="shared" si="628"/>
        <v>0</v>
      </c>
      <c r="O1170" s="4"/>
      <c r="P1170" s="3"/>
      <c r="Q1170" s="3"/>
      <c r="R1170" s="3"/>
      <c r="S1170" s="3"/>
      <c r="T1170" s="3"/>
      <c r="U1170" s="3"/>
      <c r="V1170" s="3"/>
      <c r="W1170" s="3">
        <f t="shared" si="622"/>
        <v>0</v>
      </c>
      <c r="X1170" s="3"/>
      <c r="Y1170" s="3"/>
      <c r="Z1170" s="3">
        <f t="shared" si="629"/>
        <v>0</v>
      </c>
      <c r="AA1170" s="3"/>
      <c r="AB1170" s="3"/>
      <c r="AC1170" s="3"/>
      <c r="AD1170" s="3">
        <f t="shared" si="620"/>
        <v>0</v>
      </c>
      <c r="AE1170" s="3"/>
      <c r="AF1170" s="3">
        <f t="shared" si="621"/>
        <v>0</v>
      </c>
      <c r="AG1170" s="4"/>
      <c r="AH1170" s="4"/>
      <c r="AI1170" s="4"/>
      <c r="AJ1170" s="3"/>
      <c r="AK1170" s="3">
        <f t="shared" si="623"/>
        <v>0</v>
      </c>
      <c r="AL1170" s="3"/>
      <c r="AM1170" s="3">
        <f t="shared" si="624"/>
        <v>0</v>
      </c>
      <c r="AN1170" s="4"/>
      <c r="AO1170" s="3"/>
      <c r="AP1170" s="3"/>
      <c r="AQ1170" s="3"/>
      <c r="AR1170" s="3"/>
      <c r="AS1170" s="3"/>
      <c r="AT1170" s="3"/>
      <c r="AU1170" s="3"/>
      <c r="AW1170" s="3"/>
      <c r="AY1170" s="3"/>
      <c r="BA1170" s="3"/>
      <c r="BC1170" s="3"/>
      <c r="BE1170" s="3"/>
    </row>
    <row r="1171" spans="1:57" s="42" customFormat="1" x14ac:dyDescent="0.25">
      <c r="A1171" s="3" t="s">
        <v>852</v>
      </c>
      <c r="B1171" s="3">
        <v>54100</v>
      </c>
      <c r="C1171" s="3"/>
      <c r="D1171" s="3"/>
      <c r="E1171" s="3">
        <f t="shared" si="625"/>
        <v>54100</v>
      </c>
      <c r="F1171" s="3">
        <v>54100</v>
      </c>
      <c r="G1171" s="3"/>
      <c r="H1171" s="3">
        <f t="shared" si="626"/>
        <v>0</v>
      </c>
      <c r="I1171" s="3"/>
      <c r="J1171" s="3"/>
      <c r="K1171" s="4">
        <f t="shared" si="627"/>
        <v>40000</v>
      </c>
      <c r="L1171" s="4">
        <v>40000</v>
      </c>
      <c r="M1171" s="4"/>
      <c r="N1171" s="4">
        <f t="shared" si="628"/>
        <v>-14100</v>
      </c>
      <c r="O1171" s="4"/>
      <c r="P1171" s="3"/>
      <c r="Q1171" s="3"/>
      <c r="R1171" s="3"/>
      <c r="S1171" s="3"/>
      <c r="T1171" s="3"/>
      <c r="U1171" s="3"/>
      <c r="V1171" s="3">
        <v>6910</v>
      </c>
      <c r="W1171" s="3">
        <f t="shared" si="622"/>
        <v>0</v>
      </c>
      <c r="X1171" s="3"/>
      <c r="Y1171" s="3">
        <v>6910</v>
      </c>
      <c r="Z1171" s="3">
        <f t="shared" si="629"/>
        <v>6910</v>
      </c>
      <c r="AA1171" s="3"/>
      <c r="AB1171" s="3"/>
      <c r="AC1171" s="3">
        <v>6910</v>
      </c>
      <c r="AD1171" s="3">
        <f t="shared" si="620"/>
        <v>0</v>
      </c>
      <c r="AE1171" s="3">
        <v>6910</v>
      </c>
      <c r="AF1171" s="3">
        <f t="shared" si="621"/>
        <v>0</v>
      </c>
      <c r="AG1171" s="4"/>
      <c r="AH1171" s="4">
        <v>54100</v>
      </c>
      <c r="AI1171" s="4"/>
      <c r="AJ1171" s="3"/>
      <c r="AK1171" s="3">
        <f t="shared" si="623"/>
        <v>54100</v>
      </c>
      <c r="AL1171" s="3">
        <v>54100</v>
      </c>
      <c r="AM1171" s="3">
        <f t="shared" si="624"/>
        <v>0</v>
      </c>
      <c r="AN1171" s="4"/>
      <c r="AO1171" s="3"/>
      <c r="AP1171" s="3"/>
      <c r="AQ1171" s="3">
        <v>32500</v>
      </c>
      <c r="AR1171" s="3"/>
      <c r="AS1171" s="3"/>
      <c r="AT1171" s="3"/>
      <c r="AU1171" s="3"/>
      <c r="AW1171" s="3">
        <v>32500</v>
      </c>
      <c r="AY1171" s="3">
        <v>54100</v>
      </c>
      <c r="BA1171" s="3"/>
      <c r="BC1171" s="3"/>
      <c r="BE1171" s="3"/>
    </row>
    <row r="1172" spans="1:57" s="42" customFormat="1" x14ac:dyDescent="0.25">
      <c r="A1172" s="3" t="s">
        <v>853</v>
      </c>
      <c r="B1172" s="3"/>
      <c r="C1172" s="3"/>
      <c r="D1172" s="3"/>
      <c r="E1172" s="3">
        <f t="shared" si="625"/>
        <v>0</v>
      </c>
      <c r="F1172" s="3"/>
      <c r="G1172" s="3"/>
      <c r="H1172" s="3">
        <f t="shared" si="626"/>
        <v>0</v>
      </c>
      <c r="I1172" s="3"/>
      <c r="J1172" s="3"/>
      <c r="K1172" s="4">
        <f t="shared" si="627"/>
        <v>0</v>
      </c>
      <c r="L1172" s="4"/>
      <c r="M1172" s="4"/>
      <c r="N1172" s="4">
        <f t="shared" si="628"/>
        <v>0</v>
      </c>
      <c r="O1172" s="4"/>
      <c r="P1172" s="3"/>
      <c r="Q1172" s="3"/>
      <c r="R1172" s="3"/>
      <c r="S1172" s="3"/>
      <c r="T1172" s="3"/>
      <c r="U1172" s="3"/>
      <c r="V1172" s="3"/>
      <c r="W1172" s="3">
        <f t="shared" si="622"/>
        <v>0</v>
      </c>
      <c r="X1172" s="3"/>
      <c r="Y1172" s="3"/>
      <c r="Z1172" s="3">
        <f t="shared" si="629"/>
        <v>0</v>
      </c>
      <c r="AA1172" s="3"/>
      <c r="AB1172" s="3"/>
      <c r="AC1172" s="3"/>
      <c r="AD1172" s="3">
        <f t="shared" si="620"/>
        <v>0</v>
      </c>
      <c r="AE1172" s="3"/>
      <c r="AF1172" s="3">
        <f t="shared" si="621"/>
        <v>0</v>
      </c>
      <c r="AG1172" s="4"/>
      <c r="AH1172" s="4"/>
      <c r="AI1172" s="4"/>
      <c r="AJ1172" s="3"/>
      <c r="AK1172" s="3">
        <f t="shared" si="623"/>
        <v>0</v>
      </c>
      <c r="AL1172" s="3"/>
      <c r="AM1172" s="3">
        <f t="shared" si="624"/>
        <v>0</v>
      </c>
      <c r="AN1172" s="4"/>
      <c r="AO1172" s="3"/>
      <c r="AP1172" s="3"/>
      <c r="AQ1172" s="3"/>
      <c r="AR1172" s="3"/>
      <c r="AS1172" s="3"/>
      <c r="AT1172" s="3"/>
      <c r="AU1172" s="3"/>
      <c r="AW1172" s="3"/>
      <c r="AY1172" s="3"/>
      <c r="BA1172" s="3"/>
      <c r="BC1172" s="3"/>
      <c r="BE1172" s="3"/>
    </row>
    <row r="1173" spans="1:57" s="42" customFormat="1" x14ac:dyDescent="0.25">
      <c r="A1173" s="3" t="s">
        <v>854</v>
      </c>
      <c r="B1173" s="3"/>
      <c r="C1173" s="3"/>
      <c r="D1173" s="3"/>
      <c r="E1173" s="3">
        <f t="shared" si="625"/>
        <v>0</v>
      </c>
      <c r="F1173" s="3"/>
      <c r="G1173" s="3"/>
      <c r="H1173" s="3">
        <f t="shared" si="626"/>
        <v>0</v>
      </c>
      <c r="I1173" s="3"/>
      <c r="J1173" s="3"/>
      <c r="K1173" s="4">
        <f t="shared" si="627"/>
        <v>0</v>
      </c>
      <c r="L1173" s="4"/>
      <c r="M1173" s="4"/>
      <c r="N1173" s="4">
        <f t="shared" si="628"/>
        <v>0</v>
      </c>
      <c r="O1173" s="4"/>
      <c r="P1173" s="3"/>
      <c r="Q1173" s="3"/>
      <c r="R1173" s="3"/>
      <c r="S1173" s="3"/>
      <c r="T1173" s="3"/>
      <c r="U1173" s="3"/>
      <c r="V1173" s="3"/>
      <c r="W1173" s="3">
        <f t="shared" si="622"/>
        <v>0</v>
      </c>
      <c r="X1173" s="3"/>
      <c r="Y1173" s="3"/>
      <c r="Z1173" s="3">
        <f t="shared" si="629"/>
        <v>0</v>
      </c>
      <c r="AA1173" s="3"/>
      <c r="AB1173" s="3"/>
      <c r="AC1173" s="3"/>
      <c r="AD1173" s="3">
        <f t="shared" si="620"/>
        <v>0</v>
      </c>
      <c r="AE1173" s="3"/>
      <c r="AF1173" s="3">
        <f t="shared" si="621"/>
        <v>0</v>
      </c>
      <c r="AG1173" s="4"/>
      <c r="AH1173" s="4"/>
      <c r="AI1173" s="4"/>
      <c r="AJ1173" s="3"/>
      <c r="AK1173" s="3">
        <f t="shared" si="623"/>
        <v>0</v>
      </c>
      <c r="AL1173" s="3"/>
      <c r="AM1173" s="3">
        <f t="shared" si="624"/>
        <v>0</v>
      </c>
      <c r="AN1173" s="4"/>
      <c r="AO1173" s="3"/>
      <c r="AP1173" s="3"/>
      <c r="AQ1173" s="3"/>
      <c r="AR1173" s="3"/>
      <c r="AS1173" s="3"/>
      <c r="AT1173" s="3"/>
      <c r="AU1173" s="3"/>
      <c r="AW1173" s="3"/>
      <c r="AY1173" s="3"/>
      <c r="BA1173" s="3"/>
      <c r="BC1173" s="3"/>
      <c r="BE1173" s="3"/>
    </row>
    <row r="1174" spans="1:57" s="42" customFormat="1" x14ac:dyDescent="0.25">
      <c r="A1174" s="3" t="s">
        <v>855</v>
      </c>
      <c r="B1174" s="3"/>
      <c r="C1174" s="3"/>
      <c r="D1174" s="3"/>
      <c r="E1174" s="3">
        <f t="shared" si="625"/>
        <v>0</v>
      </c>
      <c r="F1174" s="3"/>
      <c r="G1174" s="3"/>
      <c r="H1174" s="3">
        <f t="shared" si="626"/>
        <v>0</v>
      </c>
      <c r="I1174" s="3"/>
      <c r="J1174" s="3"/>
      <c r="K1174" s="4">
        <f t="shared" si="627"/>
        <v>0</v>
      </c>
      <c r="L1174" s="4"/>
      <c r="M1174" s="4"/>
      <c r="N1174" s="4">
        <f t="shared" si="628"/>
        <v>0</v>
      </c>
      <c r="O1174" s="4"/>
      <c r="P1174" s="3"/>
      <c r="Q1174" s="3"/>
      <c r="R1174" s="3"/>
      <c r="S1174" s="3"/>
      <c r="T1174" s="3"/>
      <c r="U1174" s="3"/>
      <c r="V1174" s="3"/>
      <c r="W1174" s="3">
        <f t="shared" si="622"/>
        <v>0</v>
      </c>
      <c r="X1174" s="3"/>
      <c r="Y1174" s="3"/>
      <c r="Z1174" s="3">
        <f t="shared" si="629"/>
        <v>0</v>
      </c>
      <c r="AA1174" s="3"/>
      <c r="AB1174" s="3"/>
      <c r="AC1174" s="3"/>
      <c r="AD1174" s="3">
        <f t="shared" si="620"/>
        <v>0</v>
      </c>
      <c r="AE1174" s="3"/>
      <c r="AF1174" s="3">
        <f t="shared" si="621"/>
        <v>0</v>
      </c>
      <c r="AG1174" s="4"/>
      <c r="AH1174" s="4"/>
      <c r="AI1174" s="4"/>
      <c r="AJ1174" s="3"/>
      <c r="AK1174" s="3">
        <f t="shared" si="623"/>
        <v>0</v>
      </c>
      <c r="AL1174" s="3"/>
      <c r="AM1174" s="3">
        <f t="shared" si="624"/>
        <v>0</v>
      </c>
      <c r="AN1174" s="4"/>
      <c r="AO1174" s="3"/>
      <c r="AP1174" s="3"/>
      <c r="AQ1174" s="3"/>
      <c r="AR1174" s="3"/>
      <c r="AS1174" s="3"/>
      <c r="AT1174" s="3"/>
      <c r="AU1174" s="3"/>
      <c r="AW1174" s="3"/>
      <c r="AY1174" s="3"/>
      <c r="BA1174" s="3"/>
      <c r="BC1174" s="3"/>
      <c r="BE1174" s="3"/>
    </row>
    <row r="1175" spans="1:57" s="42" customFormat="1" x14ac:dyDescent="0.25">
      <c r="A1175" s="3" t="s">
        <v>856</v>
      </c>
      <c r="B1175" s="3">
        <v>2250</v>
      </c>
      <c r="C1175" s="3"/>
      <c r="D1175" s="3"/>
      <c r="E1175" s="3">
        <f t="shared" si="625"/>
        <v>2250</v>
      </c>
      <c r="F1175" s="3">
        <v>2250</v>
      </c>
      <c r="G1175" s="3"/>
      <c r="H1175" s="3">
        <f t="shared" si="626"/>
        <v>0</v>
      </c>
      <c r="I1175" s="3"/>
      <c r="J1175" s="3">
        <v>0</v>
      </c>
      <c r="K1175" s="4">
        <f t="shared" si="627"/>
        <v>2250</v>
      </c>
      <c r="L1175" s="4">
        <v>2250</v>
      </c>
      <c r="M1175" s="4"/>
      <c r="N1175" s="4">
        <f t="shared" si="628"/>
        <v>0</v>
      </c>
      <c r="O1175" s="4"/>
      <c r="P1175" s="3">
        <v>20000</v>
      </c>
      <c r="Q1175" s="3"/>
      <c r="R1175" s="3"/>
      <c r="S1175" s="3">
        <f>T1175-R1175</f>
        <v>20000</v>
      </c>
      <c r="T1175" s="3">
        <v>20000</v>
      </c>
      <c r="U1175" s="3">
        <f>T1175-P1175</f>
        <v>0</v>
      </c>
      <c r="V1175" s="3">
        <v>0</v>
      </c>
      <c r="W1175" s="3">
        <f t="shared" si="622"/>
        <v>20000</v>
      </c>
      <c r="X1175" s="3"/>
      <c r="Y1175" s="3">
        <v>20000</v>
      </c>
      <c r="Z1175" s="3">
        <f t="shared" si="629"/>
        <v>0</v>
      </c>
      <c r="AA1175" s="3"/>
      <c r="AB1175" s="3"/>
      <c r="AC1175" s="3">
        <v>0</v>
      </c>
      <c r="AD1175" s="3">
        <f t="shared" si="620"/>
        <v>20000</v>
      </c>
      <c r="AE1175" s="3">
        <v>20000</v>
      </c>
      <c r="AF1175" s="3">
        <f t="shared" si="621"/>
        <v>0</v>
      </c>
      <c r="AG1175" s="4"/>
      <c r="AH1175" s="4">
        <f>2250+50</f>
        <v>2300</v>
      </c>
      <c r="AI1175" s="4"/>
      <c r="AJ1175" s="3"/>
      <c r="AK1175" s="3">
        <f t="shared" si="623"/>
        <v>2300</v>
      </c>
      <c r="AL1175" s="3">
        <v>2300</v>
      </c>
      <c r="AM1175" s="3">
        <f t="shared" si="624"/>
        <v>0</v>
      </c>
      <c r="AN1175" s="4"/>
      <c r="AO1175" s="3">
        <v>2300</v>
      </c>
      <c r="AP1175" s="3"/>
      <c r="AQ1175" s="3">
        <v>2300</v>
      </c>
      <c r="AR1175" s="3"/>
      <c r="AS1175" s="3">
        <v>2300</v>
      </c>
      <c r="AT1175" s="3"/>
      <c r="AU1175" s="3">
        <v>2350</v>
      </c>
      <c r="AW1175" s="3">
        <v>2350</v>
      </c>
      <c r="AY1175" s="3">
        <v>2350</v>
      </c>
      <c r="BA1175" s="3"/>
      <c r="BC1175" s="3"/>
      <c r="BE1175" s="3"/>
    </row>
    <row r="1176" spans="1:57" s="42" customFormat="1" x14ac:dyDescent="0.25">
      <c r="A1176" s="3" t="s">
        <v>857</v>
      </c>
      <c r="B1176" s="3"/>
      <c r="C1176" s="3"/>
      <c r="D1176" s="3"/>
      <c r="E1176" s="3">
        <f t="shared" si="625"/>
        <v>0</v>
      </c>
      <c r="F1176" s="3"/>
      <c r="G1176" s="3"/>
      <c r="H1176" s="3">
        <f t="shared" si="626"/>
        <v>0</v>
      </c>
      <c r="I1176" s="3"/>
      <c r="J1176" s="3"/>
      <c r="K1176" s="4">
        <f t="shared" si="627"/>
        <v>0</v>
      </c>
      <c r="L1176" s="4"/>
      <c r="M1176" s="4"/>
      <c r="N1176" s="4">
        <f t="shared" si="628"/>
        <v>0</v>
      </c>
      <c r="O1176" s="4"/>
      <c r="P1176" s="3"/>
      <c r="Q1176" s="3"/>
      <c r="R1176" s="3"/>
      <c r="S1176" s="3"/>
      <c r="T1176" s="3"/>
      <c r="U1176" s="3"/>
      <c r="V1176" s="3"/>
      <c r="W1176" s="3">
        <f t="shared" si="622"/>
        <v>0</v>
      </c>
      <c r="X1176" s="3"/>
      <c r="Y1176" s="3"/>
      <c r="Z1176" s="3">
        <f t="shared" si="629"/>
        <v>0</v>
      </c>
      <c r="AA1176" s="3"/>
      <c r="AB1176" s="3"/>
      <c r="AC1176" s="3"/>
      <c r="AD1176" s="3">
        <f t="shared" si="620"/>
        <v>0</v>
      </c>
      <c r="AE1176" s="3"/>
      <c r="AF1176" s="3">
        <f t="shared" si="621"/>
        <v>0</v>
      </c>
      <c r="AG1176" s="4"/>
      <c r="AH1176" s="4"/>
      <c r="AI1176" s="4"/>
      <c r="AJ1176" s="3"/>
      <c r="AK1176" s="3">
        <f t="shared" si="623"/>
        <v>0</v>
      </c>
      <c r="AL1176" s="3"/>
      <c r="AM1176" s="3">
        <f t="shared" si="624"/>
        <v>0</v>
      </c>
      <c r="AN1176" s="4"/>
      <c r="AO1176" s="3"/>
      <c r="AP1176" s="3"/>
      <c r="AQ1176" s="3"/>
      <c r="AR1176" s="3"/>
      <c r="AS1176" s="3"/>
      <c r="AT1176" s="3"/>
      <c r="AU1176" s="3"/>
      <c r="AW1176" s="3"/>
      <c r="AY1176" s="3"/>
      <c r="BA1176" s="3"/>
      <c r="BC1176" s="3"/>
      <c r="BE1176" s="3"/>
    </row>
    <row r="1177" spans="1:57" s="42" customFormat="1" x14ac:dyDescent="0.25">
      <c r="A1177" s="3" t="s">
        <v>858</v>
      </c>
      <c r="B1177" s="3"/>
      <c r="C1177" s="3"/>
      <c r="D1177" s="3"/>
      <c r="E1177" s="3">
        <f t="shared" si="625"/>
        <v>0</v>
      </c>
      <c r="F1177" s="3"/>
      <c r="G1177" s="3"/>
      <c r="H1177" s="3">
        <f t="shared" si="626"/>
        <v>0</v>
      </c>
      <c r="I1177" s="3"/>
      <c r="J1177" s="3"/>
      <c r="K1177" s="4">
        <f t="shared" si="627"/>
        <v>0</v>
      </c>
      <c r="L1177" s="4"/>
      <c r="M1177" s="4"/>
      <c r="N1177" s="4">
        <f t="shared" si="628"/>
        <v>0</v>
      </c>
      <c r="O1177" s="4"/>
      <c r="P1177" s="3"/>
      <c r="Q1177" s="3"/>
      <c r="R1177" s="3"/>
      <c r="S1177" s="3"/>
      <c r="T1177" s="3"/>
      <c r="U1177" s="3"/>
      <c r="V1177" s="3"/>
      <c r="W1177" s="3">
        <f t="shared" si="622"/>
        <v>0</v>
      </c>
      <c r="X1177" s="3"/>
      <c r="Y1177" s="3"/>
      <c r="Z1177" s="3">
        <f t="shared" si="629"/>
        <v>0</v>
      </c>
      <c r="AA1177" s="3"/>
      <c r="AB1177" s="3"/>
      <c r="AC1177" s="3"/>
      <c r="AD1177" s="3">
        <f t="shared" si="620"/>
        <v>0</v>
      </c>
      <c r="AE1177" s="3"/>
      <c r="AF1177" s="3">
        <f t="shared" si="621"/>
        <v>0</v>
      </c>
      <c r="AG1177" s="4"/>
      <c r="AH1177" s="4"/>
      <c r="AI1177" s="4"/>
      <c r="AJ1177" s="3"/>
      <c r="AK1177" s="3">
        <f t="shared" si="623"/>
        <v>0</v>
      </c>
      <c r="AL1177" s="3"/>
      <c r="AM1177" s="3">
        <f t="shared" si="624"/>
        <v>0</v>
      </c>
      <c r="AN1177" s="4"/>
      <c r="AO1177" s="3"/>
      <c r="AP1177" s="3"/>
      <c r="AQ1177" s="3"/>
      <c r="AR1177" s="3"/>
      <c r="AS1177" s="3"/>
      <c r="AT1177" s="3"/>
      <c r="AU1177" s="3"/>
      <c r="AW1177" s="3"/>
      <c r="AY1177" s="3"/>
      <c r="BA1177" s="3"/>
      <c r="BC1177" s="3"/>
      <c r="BE1177" s="3"/>
    </row>
    <row r="1178" spans="1:57" s="42" customFormat="1" x14ac:dyDescent="0.25">
      <c r="A1178" s="3" t="s">
        <v>859</v>
      </c>
      <c r="B1178" s="3"/>
      <c r="C1178" s="3"/>
      <c r="D1178" s="3"/>
      <c r="E1178" s="3">
        <f t="shared" si="625"/>
        <v>0</v>
      </c>
      <c r="F1178" s="3"/>
      <c r="G1178" s="3"/>
      <c r="H1178" s="3">
        <f t="shared" si="626"/>
        <v>0</v>
      </c>
      <c r="I1178" s="3"/>
      <c r="J1178" s="3"/>
      <c r="K1178" s="4">
        <f t="shared" si="627"/>
        <v>0</v>
      </c>
      <c r="L1178" s="4"/>
      <c r="M1178" s="4"/>
      <c r="N1178" s="4">
        <f t="shared" si="628"/>
        <v>0</v>
      </c>
      <c r="O1178" s="4"/>
      <c r="P1178" s="3"/>
      <c r="Q1178" s="3"/>
      <c r="R1178" s="3"/>
      <c r="S1178" s="3"/>
      <c r="T1178" s="3"/>
      <c r="U1178" s="3"/>
      <c r="V1178" s="3"/>
      <c r="W1178" s="3">
        <f t="shared" si="622"/>
        <v>0</v>
      </c>
      <c r="X1178" s="3"/>
      <c r="Y1178" s="3"/>
      <c r="Z1178" s="3">
        <f t="shared" si="629"/>
        <v>0</v>
      </c>
      <c r="AA1178" s="3"/>
      <c r="AB1178" s="3"/>
      <c r="AC1178" s="3"/>
      <c r="AD1178" s="3">
        <f t="shared" si="620"/>
        <v>0</v>
      </c>
      <c r="AE1178" s="3"/>
      <c r="AF1178" s="3">
        <f t="shared" si="621"/>
        <v>0</v>
      </c>
      <c r="AG1178" s="4"/>
      <c r="AH1178" s="4"/>
      <c r="AI1178" s="4"/>
      <c r="AJ1178" s="3"/>
      <c r="AK1178" s="3">
        <f t="shared" si="623"/>
        <v>0</v>
      </c>
      <c r="AL1178" s="3"/>
      <c r="AM1178" s="3">
        <f t="shared" si="624"/>
        <v>0</v>
      </c>
      <c r="AN1178" s="4"/>
      <c r="AO1178" s="3"/>
      <c r="AP1178" s="3"/>
      <c r="AQ1178" s="3"/>
      <c r="AR1178" s="3"/>
      <c r="AS1178" s="3"/>
      <c r="AT1178" s="3"/>
      <c r="AU1178" s="3"/>
      <c r="AW1178" s="3"/>
      <c r="AY1178" s="3"/>
      <c r="BA1178" s="3"/>
      <c r="BC1178" s="3"/>
      <c r="BE1178" s="3"/>
    </row>
    <row r="1179" spans="1:57" s="42" customFormat="1" x14ac:dyDescent="0.25">
      <c r="A1179" s="3" t="s">
        <v>860</v>
      </c>
      <c r="B1179" s="3"/>
      <c r="C1179" s="3"/>
      <c r="D1179" s="3"/>
      <c r="E1179" s="3">
        <f t="shared" si="625"/>
        <v>0</v>
      </c>
      <c r="F1179" s="3"/>
      <c r="G1179" s="3"/>
      <c r="H1179" s="3">
        <f t="shared" si="626"/>
        <v>0</v>
      </c>
      <c r="I1179" s="3"/>
      <c r="J1179" s="3"/>
      <c r="K1179" s="4">
        <f t="shared" si="627"/>
        <v>0</v>
      </c>
      <c r="L1179" s="4"/>
      <c r="M1179" s="4"/>
      <c r="N1179" s="4">
        <f t="shared" si="628"/>
        <v>0</v>
      </c>
      <c r="O1179" s="4"/>
      <c r="P1179" s="3"/>
      <c r="Q1179" s="3"/>
      <c r="R1179" s="3"/>
      <c r="S1179" s="3"/>
      <c r="T1179" s="3"/>
      <c r="U1179" s="3"/>
      <c r="V1179" s="3"/>
      <c r="W1179" s="3">
        <f t="shared" si="622"/>
        <v>0</v>
      </c>
      <c r="X1179" s="3"/>
      <c r="Y1179" s="3"/>
      <c r="Z1179" s="3">
        <f t="shared" si="629"/>
        <v>0</v>
      </c>
      <c r="AA1179" s="3"/>
      <c r="AB1179" s="3"/>
      <c r="AC1179" s="3"/>
      <c r="AD1179" s="3">
        <f t="shared" si="620"/>
        <v>0</v>
      </c>
      <c r="AE1179" s="3"/>
      <c r="AF1179" s="3">
        <f t="shared" si="621"/>
        <v>0</v>
      </c>
      <c r="AG1179" s="4"/>
      <c r="AH1179" s="4"/>
      <c r="AI1179" s="4"/>
      <c r="AJ1179" s="3"/>
      <c r="AK1179" s="3">
        <f t="shared" si="623"/>
        <v>0</v>
      </c>
      <c r="AL1179" s="3"/>
      <c r="AM1179" s="3">
        <f t="shared" si="624"/>
        <v>0</v>
      </c>
      <c r="AN1179" s="4"/>
      <c r="AO1179" s="3"/>
      <c r="AP1179" s="3"/>
      <c r="AQ1179" s="3"/>
      <c r="AR1179" s="3"/>
      <c r="AS1179" s="3"/>
      <c r="AT1179" s="3"/>
      <c r="AU1179" s="3"/>
      <c r="AW1179" s="3"/>
      <c r="AY1179" s="3"/>
      <c r="BA1179" s="3"/>
      <c r="BC1179" s="3"/>
      <c r="BE1179" s="3"/>
    </row>
    <row r="1180" spans="1:57" s="42" customFormat="1" x14ac:dyDescent="0.25">
      <c r="A1180" s="3" t="s">
        <v>861</v>
      </c>
      <c r="B1180" s="3">
        <v>5400</v>
      </c>
      <c r="C1180" s="3"/>
      <c r="D1180" s="3"/>
      <c r="E1180" s="3">
        <f t="shared" si="625"/>
        <v>5400</v>
      </c>
      <c r="F1180" s="3">
        <v>5400</v>
      </c>
      <c r="G1180" s="3"/>
      <c r="H1180" s="3">
        <f t="shared" si="626"/>
        <v>0</v>
      </c>
      <c r="I1180" s="3"/>
      <c r="J1180" s="3"/>
      <c r="K1180" s="4">
        <f t="shared" si="627"/>
        <v>5000</v>
      </c>
      <c r="L1180" s="4">
        <v>5000</v>
      </c>
      <c r="M1180" s="4"/>
      <c r="N1180" s="4">
        <f t="shared" si="628"/>
        <v>-400</v>
      </c>
      <c r="O1180" s="4"/>
      <c r="P1180" s="3"/>
      <c r="Q1180" s="3"/>
      <c r="R1180" s="3"/>
      <c r="S1180" s="3"/>
      <c r="T1180" s="3"/>
      <c r="U1180" s="3"/>
      <c r="V1180" s="3"/>
      <c r="W1180" s="3">
        <f t="shared" si="622"/>
        <v>0</v>
      </c>
      <c r="X1180" s="3"/>
      <c r="Y1180" s="3"/>
      <c r="Z1180" s="3">
        <f t="shared" si="629"/>
        <v>0</v>
      </c>
      <c r="AA1180" s="3"/>
      <c r="AB1180" s="3"/>
      <c r="AC1180" s="3"/>
      <c r="AD1180" s="3">
        <f t="shared" si="620"/>
        <v>0</v>
      </c>
      <c r="AE1180" s="3"/>
      <c r="AF1180" s="3">
        <f t="shared" si="621"/>
        <v>0</v>
      </c>
      <c r="AG1180" s="4"/>
      <c r="AH1180" s="4">
        <v>5400</v>
      </c>
      <c r="AI1180" s="4"/>
      <c r="AJ1180" s="3">
        <v>2593</v>
      </c>
      <c r="AK1180" s="3">
        <f t="shared" si="623"/>
        <v>2807</v>
      </c>
      <c r="AL1180" s="3">
        <v>5400</v>
      </c>
      <c r="AM1180" s="3">
        <f t="shared" si="624"/>
        <v>0</v>
      </c>
      <c r="AN1180" s="4"/>
      <c r="AO1180" s="3"/>
      <c r="AP1180" s="3"/>
      <c r="AQ1180" s="3">
        <v>5400</v>
      </c>
      <c r="AR1180" s="3"/>
      <c r="AS1180" s="3"/>
      <c r="AT1180" s="3"/>
      <c r="AU1180" s="3"/>
      <c r="AW1180" s="3">
        <v>5400</v>
      </c>
      <c r="AY1180" s="3"/>
      <c r="BA1180" s="3"/>
      <c r="BC1180" s="3"/>
      <c r="BE1180" s="3"/>
    </row>
    <row r="1181" spans="1:57" s="42" customFormat="1" x14ac:dyDescent="0.25">
      <c r="A1181" s="3" t="s">
        <v>862</v>
      </c>
      <c r="B1181" s="3"/>
      <c r="C1181" s="3"/>
      <c r="D1181" s="3"/>
      <c r="E1181" s="3">
        <f t="shared" si="625"/>
        <v>0</v>
      </c>
      <c r="F1181" s="3"/>
      <c r="G1181" s="3"/>
      <c r="H1181" s="3">
        <f t="shared" si="626"/>
        <v>0</v>
      </c>
      <c r="I1181" s="3"/>
      <c r="J1181" s="3"/>
      <c r="K1181" s="4">
        <f t="shared" si="627"/>
        <v>0</v>
      </c>
      <c r="L1181" s="4"/>
      <c r="M1181" s="4"/>
      <c r="N1181" s="4">
        <f t="shared" si="628"/>
        <v>0</v>
      </c>
      <c r="O1181" s="4"/>
      <c r="P1181" s="3"/>
      <c r="Q1181" s="3"/>
      <c r="R1181" s="3"/>
      <c r="S1181" s="3"/>
      <c r="T1181" s="3"/>
      <c r="U1181" s="3"/>
      <c r="V1181" s="3"/>
      <c r="W1181" s="3">
        <f t="shared" si="622"/>
        <v>0</v>
      </c>
      <c r="X1181" s="3"/>
      <c r="Y1181" s="3"/>
      <c r="Z1181" s="3">
        <f t="shared" si="629"/>
        <v>0</v>
      </c>
      <c r="AA1181" s="3"/>
      <c r="AB1181" s="3"/>
      <c r="AC1181" s="3"/>
      <c r="AD1181" s="3">
        <f t="shared" si="620"/>
        <v>0</v>
      </c>
      <c r="AE1181" s="3"/>
      <c r="AF1181" s="3">
        <f t="shared" si="621"/>
        <v>0</v>
      </c>
      <c r="AG1181" s="4"/>
      <c r="AH1181" s="4"/>
      <c r="AI1181" s="4"/>
      <c r="AJ1181" s="3"/>
      <c r="AK1181" s="3">
        <f t="shared" si="623"/>
        <v>0</v>
      </c>
      <c r="AL1181" s="3"/>
      <c r="AM1181" s="3">
        <f t="shared" si="624"/>
        <v>0</v>
      </c>
      <c r="AN1181" s="4"/>
      <c r="AO1181" s="3"/>
      <c r="AP1181" s="3"/>
      <c r="AQ1181" s="3">
        <v>72050</v>
      </c>
      <c r="AR1181" s="3"/>
      <c r="AS1181" s="3"/>
      <c r="AT1181" s="3"/>
      <c r="AU1181" s="3"/>
      <c r="AW1181" s="3"/>
      <c r="AY1181" s="3"/>
      <c r="BA1181" s="3"/>
      <c r="BC1181" s="3"/>
      <c r="BE1181" s="3"/>
    </row>
    <row r="1182" spans="1:57" s="42" customFormat="1" x14ac:dyDescent="0.25">
      <c r="A1182" s="3" t="s">
        <v>863</v>
      </c>
      <c r="B1182" s="3"/>
      <c r="C1182" s="3"/>
      <c r="D1182" s="3"/>
      <c r="E1182" s="3">
        <f t="shared" si="625"/>
        <v>0</v>
      </c>
      <c r="F1182" s="3"/>
      <c r="G1182" s="3"/>
      <c r="H1182" s="3">
        <f t="shared" si="626"/>
        <v>0</v>
      </c>
      <c r="I1182" s="3"/>
      <c r="J1182" s="3"/>
      <c r="K1182" s="4">
        <f t="shared" si="627"/>
        <v>0</v>
      </c>
      <c r="L1182" s="4"/>
      <c r="M1182" s="4"/>
      <c r="N1182" s="4">
        <f t="shared" si="628"/>
        <v>0</v>
      </c>
      <c r="O1182" s="4"/>
      <c r="P1182" s="3">
        <v>324600</v>
      </c>
      <c r="Q1182" s="3"/>
      <c r="R1182" s="3">
        <v>3988</v>
      </c>
      <c r="S1182" s="3">
        <f>T1182-R1182</f>
        <v>320612</v>
      </c>
      <c r="T1182" s="3">
        <v>324600</v>
      </c>
      <c r="U1182" s="3">
        <f>T1182-P1182</f>
        <v>0</v>
      </c>
      <c r="V1182" s="3">
        <v>3988</v>
      </c>
      <c r="W1182" s="3">
        <f t="shared" si="622"/>
        <v>320612</v>
      </c>
      <c r="X1182" s="3"/>
      <c r="Y1182" s="3">
        <v>324600</v>
      </c>
      <c r="Z1182" s="3">
        <f t="shared" si="629"/>
        <v>0</v>
      </c>
      <c r="AA1182" s="3"/>
      <c r="AB1182" s="3"/>
      <c r="AC1182" s="3">
        <v>0</v>
      </c>
      <c r="AD1182" s="3">
        <f t="shared" si="620"/>
        <v>324600</v>
      </c>
      <c r="AE1182" s="3">
        <v>324600</v>
      </c>
      <c r="AF1182" s="3">
        <f t="shared" si="621"/>
        <v>0</v>
      </c>
      <c r="AG1182" s="4"/>
      <c r="AH1182" s="4"/>
      <c r="AI1182" s="4"/>
      <c r="AJ1182" s="3"/>
      <c r="AK1182" s="3">
        <f t="shared" si="623"/>
        <v>0</v>
      </c>
      <c r="AL1182" s="3"/>
      <c r="AM1182" s="3">
        <f t="shared" si="624"/>
        <v>0</v>
      </c>
      <c r="AN1182" s="4"/>
      <c r="AO1182" s="3"/>
      <c r="AP1182" s="3"/>
      <c r="AQ1182" s="3"/>
      <c r="AR1182" s="3"/>
      <c r="AS1182" s="3"/>
      <c r="AT1182" s="3"/>
      <c r="AU1182" s="3"/>
      <c r="AW1182" s="3"/>
      <c r="AY1182" s="3"/>
      <c r="BA1182" s="3"/>
      <c r="BC1182" s="3"/>
      <c r="BE1182" s="3"/>
    </row>
    <row r="1183" spans="1:57" s="42" customFormat="1" x14ac:dyDescent="0.25">
      <c r="A1183" s="3" t="s">
        <v>864</v>
      </c>
      <c r="B1183" s="3"/>
      <c r="C1183" s="3"/>
      <c r="D1183" s="3"/>
      <c r="E1183" s="3">
        <f t="shared" si="625"/>
        <v>0</v>
      </c>
      <c r="F1183" s="3"/>
      <c r="G1183" s="3"/>
      <c r="H1183" s="3">
        <f t="shared" si="626"/>
        <v>0</v>
      </c>
      <c r="I1183" s="3"/>
      <c r="J1183" s="3"/>
      <c r="K1183" s="4">
        <f t="shared" si="627"/>
        <v>0</v>
      </c>
      <c r="L1183" s="4"/>
      <c r="M1183" s="4"/>
      <c r="N1183" s="4">
        <f t="shared" si="628"/>
        <v>0</v>
      </c>
      <c r="O1183" s="4"/>
      <c r="P1183" s="3"/>
      <c r="Q1183" s="3"/>
      <c r="R1183" s="3"/>
      <c r="S1183" s="3"/>
      <c r="T1183" s="3"/>
      <c r="U1183" s="3"/>
      <c r="V1183" s="3"/>
      <c r="W1183" s="3">
        <f t="shared" si="622"/>
        <v>0</v>
      </c>
      <c r="X1183" s="3"/>
      <c r="Y1183" s="3"/>
      <c r="Z1183" s="3">
        <f t="shared" si="629"/>
        <v>0</v>
      </c>
      <c r="AA1183" s="3"/>
      <c r="AB1183" s="3"/>
      <c r="AC1183" s="3"/>
      <c r="AD1183" s="3">
        <f t="shared" si="620"/>
        <v>0</v>
      </c>
      <c r="AE1183" s="3"/>
      <c r="AF1183" s="3">
        <f t="shared" si="621"/>
        <v>0</v>
      </c>
      <c r="AG1183" s="4"/>
      <c r="AH1183" s="4"/>
      <c r="AI1183" s="4"/>
      <c r="AJ1183" s="3"/>
      <c r="AK1183" s="3">
        <f t="shared" si="623"/>
        <v>0</v>
      </c>
      <c r="AL1183" s="3"/>
      <c r="AM1183" s="3">
        <f t="shared" si="624"/>
        <v>0</v>
      </c>
      <c r="AN1183" s="4"/>
      <c r="AO1183" s="3"/>
      <c r="AP1183" s="3"/>
      <c r="AQ1183" s="3"/>
      <c r="AR1183" s="3"/>
      <c r="AS1183" s="3"/>
      <c r="AT1183" s="3"/>
      <c r="AU1183" s="3"/>
      <c r="AW1183" s="3"/>
      <c r="AY1183" s="3"/>
      <c r="BA1183" s="3"/>
      <c r="BC1183" s="3"/>
      <c r="BE1183" s="3"/>
    </row>
    <row r="1184" spans="1:57" s="42" customFormat="1" x14ac:dyDescent="0.25">
      <c r="A1184" s="3" t="s">
        <v>865</v>
      </c>
      <c r="B1184" s="3"/>
      <c r="C1184" s="3"/>
      <c r="D1184" s="3"/>
      <c r="E1184" s="3">
        <f t="shared" si="625"/>
        <v>0</v>
      </c>
      <c r="F1184" s="3"/>
      <c r="G1184" s="3"/>
      <c r="H1184" s="3">
        <f t="shared" si="626"/>
        <v>0</v>
      </c>
      <c r="I1184" s="3"/>
      <c r="J1184" s="3"/>
      <c r="K1184" s="4">
        <f t="shared" si="627"/>
        <v>0</v>
      </c>
      <c r="L1184" s="4"/>
      <c r="M1184" s="4"/>
      <c r="N1184" s="4">
        <f t="shared" si="628"/>
        <v>0</v>
      </c>
      <c r="O1184" s="4"/>
      <c r="P1184" s="3"/>
      <c r="Q1184" s="3"/>
      <c r="R1184" s="3"/>
      <c r="S1184" s="3"/>
      <c r="T1184" s="3"/>
      <c r="U1184" s="3"/>
      <c r="V1184" s="3"/>
      <c r="W1184" s="3">
        <f t="shared" si="622"/>
        <v>0</v>
      </c>
      <c r="X1184" s="3"/>
      <c r="Y1184" s="3"/>
      <c r="Z1184" s="3">
        <f t="shared" si="629"/>
        <v>0</v>
      </c>
      <c r="AA1184" s="3"/>
      <c r="AB1184" s="3"/>
      <c r="AC1184" s="3"/>
      <c r="AD1184" s="3">
        <f t="shared" si="620"/>
        <v>0</v>
      </c>
      <c r="AE1184" s="3"/>
      <c r="AF1184" s="3">
        <f t="shared" si="621"/>
        <v>0</v>
      </c>
      <c r="AG1184" s="4"/>
      <c r="AH1184" s="4"/>
      <c r="AI1184" s="4"/>
      <c r="AJ1184" s="3"/>
      <c r="AK1184" s="3">
        <f t="shared" si="623"/>
        <v>0</v>
      </c>
      <c r="AL1184" s="3"/>
      <c r="AM1184" s="3">
        <f t="shared" si="624"/>
        <v>0</v>
      </c>
      <c r="AN1184" s="4"/>
      <c r="AO1184" s="3"/>
      <c r="AP1184" s="3"/>
      <c r="AQ1184" s="3"/>
      <c r="AR1184" s="3"/>
      <c r="AS1184" s="3"/>
      <c r="AT1184" s="3"/>
      <c r="AU1184" s="3"/>
      <c r="AW1184" s="3"/>
      <c r="AY1184" s="3"/>
      <c r="BA1184" s="3"/>
      <c r="BC1184" s="3"/>
      <c r="BE1184" s="3"/>
    </row>
    <row r="1185" spans="1:57" s="42" customFormat="1" x14ac:dyDescent="0.25">
      <c r="A1185" s="3" t="s">
        <v>866</v>
      </c>
      <c r="B1185" s="3"/>
      <c r="C1185" s="3"/>
      <c r="D1185" s="3"/>
      <c r="E1185" s="3">
        <f t="shared" si="625"/>
        <v>0</v>
      </c>
      <c r="F1185" s="3"/>
      <c r="G1185" s="3"/>
      <c r="H1185" s="3">
        <f t="shared" si="626"/>
        <v>0</v>
      </c>
      <c r="I1185" s="3"/>
      <c r="J1185" s="3"/>
      <c r="K1185" s="4">
        <f t="shared" si="627"/>
        <v>0</v>
      </c>
      <c r="L1185" s="4"/>
      <c r="M1185" s="4"/>
      <c r="N1185" s="4">
        <f t="shared" si="628"/>
        <v>0</v>
      </c>
      <c r="O1185" s="4"/>
      <c r="P1185" s="3"/>
      <c r="Q1185" s="3"/>
      <c r="R1185" s="3"/>
      <c r="S1185" s="3"/>
      <c r="T1185" s="3"/>
      <c r="U1185" s="3"/>
      <c r="V1185" s="3"/>
      <c r="W1185" s="3">
        <f t="shared" si="622"/>
        <v>0</v>
      </c>
      <c r="X1185" s="3"/>
      <c r="Y1185" s="3"/>
      <c r="Z1185" s="3">
        <f t="shared" si="629"/>
        <v>0</v>
      </c>
      <c r="AA1185" s="3"/>
      <c r="AB1185" s="3"/>
      <c r="AC1185" s="3"/>
      <c r="AD1185" s="3">
        <f t="shared" si="620"/>
        <v>0</v>
      </c>
      <c r="AE1185" s="3"/>
      <c r="AF1185" s="3">
        <f t="shared" si="621"/>
        <v>0</v>
      </c>
      <c r="AG1185" s="4"/>
      <c r="AH1185" s="4"/>
      <c r="AI1185" s="4"/>
      <c r="AJ1185" s="3"/>
      <c r="AK1185" s="3">
        <f t="shared" si="623"/>
        <v>0</v>
      </c>
      <c r="AL1185" s="3"/>
      <c r="AM1185" s="3">
        <f t="shared" si="624"/>
        <v>0</v>
      </c>
      <c r="AN1185" s="4"/>
      <c r="AO1185" s="3"/>
      <c r="AP1185" s="3"/>
      <c r="AQ1185" s="3"/>
      <c r="AR1185" s="3"/>
      <c r="AS1185" s="3"/>
      <c r="AT1185" s="3"/>
      <c r="AU1185" s="3"/>
      <c r="AW1185" s="3"/>
      <c r="AY1185" s="3"/>
      <c r="BA1185" s="3"/>
      <c r="BC1185" s="3"/>
      <c r="BE1185" s="3"/>
    </row>
    <row r="1186" spans="1:57" s="42" customFormat="1" x14ac:dyDescent="0.25">
      <c r="A1186" s="3" t="s">
        <v>867</v>
      </c>
      <c r="B1186" s="3"/>
      <c r="C1186" s="3"/>
      <c r="D1186" s="3"/>
      <c r="E1186" s="3">
        <f t="shared" si="625"/>
        <v>0</v>
      </c>
      <c r="F1186" s="3"/>
      <c r="G1186" s="3"/>
      <c r="H1186" s="3">
        <f t="shared" si="626"/>
        <v>0</v>
      </c>
      <c r="I1186" s="3"/>
      <c r="J1186" s="3"/>
      <c r="K1186" s="4">
        <f t="shared" si="627"/>
        <v>0</v>
      </c>
      <c r="L1186" s="4"/>
      <c r="M1186" s="4"/>
      <c r="N1186" s="4">
        <f t="shared" si="628"/>
        <v>0</v>
      </c>
      <c r="O1186" s="4"/>
      <c r="P1186" s="3"/>
      <c r="Q1186" s="3"/>
      <c r="R1186" s="3"/>
      <c r="S1186" s="3"/>
      <c r="T1186" s="3"/>
      <c r="U1186" s="3"/>
      <c r="V1186" s="3"/>
      <c r="W1186" s="3">
        <f t="shared" si="622"/>
        <v>0</v>
      </c>
      <c r="X1186" s="3"/>
      <c r="Y1186" s="3"/>
      <c r="Z1186" s="3">
        <f t="shared" si="629"/>
        <v>0</v>
      </c>
      <c r="AA1186" s="3"/>
      <c r="AB1186" s="3"/>
      <c r="AC1186" s="3"/>
      <c r="AD1186" s="3">
        <f t="shared" si="620"/>
        <v>0</v>
      </c>
      <c r="AE1186" s="3"/>
      <c r="AF1186" s="3">
        <f t="shared" si="621"/>
        <v>0</v>
      </c>
      <c r="AG1186" s="4"/>
      <c r="AH1186" s="4"/>
      <c r="AI1186" s="4"/>
      <c r="AJ1186" s="3"/>
      <c r="AK1186" s="3">
        <f t="shared" si="623"/>
        <v>0</v>
      </c>
      <c r="AL1186" s="3"/>
      <c r="AM1186" s="3">
        <f t="shared" si="624"/>
        <v>0</v>
      </c>
      <c r="AN1186" s="4"/>
      <c r="AO1186" s="3"/>
      <c r="AP1186" s="3"/>
      <c r="AQ1186" s="3">
        <v>108200</v>
      </c>
      <c r="AR1186" s="3"/>
      <c r="AS1186" s="3"/>
      <c r="AT1186" s="3"/>
      <c r="AU1186" s="3"/>
      <c r="AW1186" s="3"/>
      <c r="AY1186" s="3"/>
      <c r="BA1186" s="3"/>
      <c r="BC1186" s="3"/>
      <c r="BE1186" s="3"/>
    </row>
    <row r="1187" spans="1:57" s="42" customFormat="1" x14ac:dyDescent="0.25">
      <c r="A1187" s="3" t="s">
        <v>868</v>
      </c>
      <c r="B1187" s="3"/>
      <c r="C1187" s="3"/>
      <c r="D1187" s="3"/>
      <c r="E1187" s="3">
        <f t="shared" si="625"/>
        <v>0</v>
      </c>
      <c r="F1187" s="3"/>
      <c r="G1187" s="3"/>
      <c r="H1187" s="3">
        <f t="shared" si="626"/>
        <v>0</v>
      </c>
      <c r="I1187" s="3"/>
      <c r="J1187" s="3"/>
      <c r="K1187" s="4">
        <f t="shared" si="627"/>
        <v>0</v>
      </c>
      <c r="L1187" s="4"/>
      <c r="M1187" s="4"/>
      <c r="N1187" s="4">
        <f t="shared" si="628"/>
        <v>0</v>
      </c>
      <c r="O1187" s="4"/>
      <c r="P1187" s="3"/>
      <c r="Q1187" s="3"/>
      <c r="R1187" s="3"/>
      <c r="S1187" s="3"/>
      <c r="T1187" s="3"/>
      <c r="U1187" s="3"/>
      <c r="V1187" s="3"/>
      <c r="W1187" s="3">
        <f t="shared" si="622"/>
        <v>0</v>
      </c>
      <c r="X1187" s="3"/>
      <c r="Y1187" s="3"/>
      <c r="Z1187" s="3">
        <f t="shared" si="629"/>
        <v>0</v>
      </c>
      <c r="AA1187" s="3"/>
      <c r="AB1187" s="3"/>
      <c r="AC1187" s="3"/>
      <c r="AD1187" s="3">
        <f t="shared" si="620"/>
        <v>0</v>
      </c>
      <c r="AE1187" s="3"/>
      <c r="AF1187" s="3">
        <f t="shared" si="621"/>
        <v>0</v>
      </c>
      <c r="AG1187" s="4"/>
      <c r="AH1187" s="4"/>
      <c r="AI1187" s="4"/>
      <c r="AJ1187" s="3"/>
      <c r="AK1187" s="3">
        <f t="shared" si="623"/>
        <v>0</v>
      </c>
      <c r="AL1187" s="3"/>
      <c r="AM1187" s="3">
        <f t="shared" si="624"/>
        <v>0</v>
      </c>
      <c r="AN1187" s="4"/>
      <c r="AO1187" s="3"/>
      <c r="AP1187" s="3"/>
      <c r="AQ1187" s="3"/>
      <c r="AR1187" s="3"/>
      <c r="AS1187" s="3"/>
      <c r="AT1187" s="3"/>
      <c r="AU1187" s="3"/>
      <c r="AW1187" s="3"/>
      <c r="AY1187" s="3"/>
      <c r="BA1187" s="3"/>
      <c r="BC1187" s="3"/>
      <c r="BE1187" s="3"/>
    </row>
    <row r="1188" spans="1:57" s="42" customFormat="1" x14ac:dyDescent="0.25">
      <c r="A1188" s="3" t="s">
        <v>869</v>
      </c>
      <c r="B1188" s="3"/>
      <c r="C1188" s="3"/>
      <c r="D1188" s="3"/>
      <c r="E1188" s="3">
        <f t="shared" si="625"/>
        <v>0</v>
      </c>
      <c r="F1188" s="3"/>
      <c r="G1188" s="3"/>
      <c r="H1188" s="3">
        <f t="shared" si="626"/>
        <v>0</v>
      </c>
      <c r="I1188" s="3"/>
      <c r="J1188" s="3"/>
      <c r="K1188" s="4">
        <f t="shared" si="627"/>
        <v>0</v>
      </c>
      <c r="L1188" s="4"/>
      <c r="M1188" s="4"/>
      <c r="N1188" s="4">
        <f t="shared" si="628"/>
        <v>0</v>
      </c>
      <c r="O1188" s="4"/>
      <c r="P1188" s="3"/>
      <c r="Q1188" s="3"/>
      <c r="R1188" s="3"/>
      <c r="S1188" s="3"/>
      <c r="T1188" s="3"/>
      <c r="U1188" s="3"/>
      <c r="V1188" s="3"/>
      <c r="W1188" s="3">
        <f t="shared" si="622"/>
        <v>0</v>
      </c>
      <c r="X1188" s="3"/>
      <c r="Y1188" s="3"/>
      <c r="Z1188" s="3">
        <f t="shared" si="629"/>
        <v>0</v>
      </c>
      <c r="AA1188" s="3"/>
      <c r="AB1188" s="3"/>
      <c r="AC1188" s="3"/>
      <c r="AD1188" s="3">
        <f t="shared" si="620"/>
        <v>0</v>
      </c>
      <c r="AE1188" s="3"/>
      <c r="AF1188" s="3">
        <f t="shared" si="621"/>
        <v>0</v>
      </c>
      <c r="AG1188" s="4"/>
      <c r="AH1188" s="4"/>
      <c r="AI1188" s="4"/>
      <c r="AJ1188" s="3"/>
      <c r="AK1188" s="3">
        <f t="shared" si="623"/>
        <v>0</v>
      </c>
      <c r="AL1188" s="3"/>
      <c r="AM1188" s="3">
        <f t="shared" si="624"/>
        <v>0</v>
      </c>
      <c r="AN1188" s="4"/>
      <c r="AO1188" s="3">
        <v>200000</v>
      </c>
      <c r="AP1188" s="3"/>
      <c r="AQ1188" s="3">
        <v>200000</v>
      </c>
      <c r="AR1188" s="3"/>
      <c r="AS1188" s="3"/>
      <c r="AT1188" s="3"/>
      <c r="AU1188" s="3"/>
      <c r="AW1188" s="3">
        <v>108200</v>
      </c>
      <c r="AY1188" s="3"/>
      <c r="BA1188" s="3"/>
      <c r="BC1188" s="3"/>
      <c r="BE1188" s="3"/>
    </row>
    <row r="1189" spans="1:57" s="42" customFormat="1" x14ac:dyDescent="0.25">
      <c r="A1189" s="3" t="s">
        <v>870</v>
      </c>
      <c r="B1189" s="3">
        <v>13000</v>
      </c>
      <c r="C1189" s="3"/>
      <c r="D1189" s="3">
        <v>9313</v>
      </c>
      <c r="E1189" s="3">
        <f t="shared" si="625"/>
        <v>3687</v>
      </c>
      <c r="F1189" s="3">
        <v>13000</v>
      </c>
      <c r="G1189" s="3"/>
      <c r="H1189" s="3">
        <f t="shared" si="626"/>
        <v>0</v>
      </c>
      <c r="I1189" s="3"/>
      <c r="J1189" s="3">
        <v>28000</v>
      </c>
      <c r="K1189" s="4">
        <f t="shared" si="627"/>
        <v>2000</v>
      </c>
      <c r="L1189" s="4">
        <v>30000</v>
      </c>
      <c r="M1189" s="4"/>
      <c r="N1189" s="4">
        <f t="shared" si="628"/>
        <v>17000</v>
      </c>
      <c r="O1189" s="4"/>
      <c r="P1189" s="3"/>
      <c r="Q1189" s="3"/>
      <c r="R1189" s="3"/>
      <c r="S1189" s="3"/>
      <c r="T1189" s="3"/>
      <c r="U1189" s="3"/>
      <c r="V1189" s="3"/>
      <c r="W1189" s="3">
        <f t="shared" si="622"/>
        <v>0</v>
      </c>
      <c r="X1189" s="3"/>
      <c r="Y1189" s="3"/>
      <c r="Z1189" s="3">
        <f t="shared" si="629"/>
        <v>0</v>
      </c>
      <c r="AA1189" s="3"/>
      <c r="AB1189" s="3"/>
      <c r="AC1189" s="3"/>
      <c r="AD1189" s="3">
        <f t="shared" si="620"/>
        <v>0</v>
      </c>
      <c r="AE1189" s="3"/>
      <c r="AF1189" s="3">
        <f t="shared" si="621"/>
        <v>0</v>
      </c>
      <c r="AG1189" s="4"/>
      <c r="AH1189" s="4"/>
      <c r="AI1189" s="4"/>
      <c r="AJ1189" s="3"/>
      <c r="AK1189" s="3">
        <f t="shared" si="623"/>
        <v>0</v>
      </c>
      <c r="AL1189" s="3"/>
      <c r="AM1189" s="3">
        <f t="shared" si="624"/>
        <v>0</v>
      </c>
      <c r="AN1189" s="4"/>
      <c r="AO1189" s="3"/>
      <c r="AP1189" s="3"/>
      <c r="AQ1189" s="3"/>
      <c r="AR1189" s="3"/>
      <c r="AS1189" s="3"/>
      <c r="AT1189" s="3"/>
      <c r="AU1189" s="3"/>
      <c r="AW1189" s="3"/>
      <c r="AY1189" s="3"/>
      <c r="BA1189" s="3"/>
      <c r="BC1189" s="3"/>
      <c r="BE1189" s="3"/>
    </row>
    <row r="1190" spans="1:57" s="42" customFormat="1" x14ac:dyDescent="0.25">
      <c r="A1190" s="3" t="s">
        <v>871</v>
      </c>
      <c r="B1190" s="3"/>
      <c r="C1190" s="3"/>
      <c r="D1190" s="3"/>
      <c r="E1190" s="3">
        <f t="shared" si="625"/>
        <v>0</v>
      </c>
      <c r="F1190" s="3"/>
      <c r="G1190" s="3"/>
      <c r="H1190" s="3">
        <f t="shared" si="626"/>
        <v>0</v>
      </c>
      <c r="I1190" s="3"/>
      <c r="J1190" s="3"/>
      <c r="K1190" s="4">
        <f t="shared" si="627"/>
        <v>0</v>
      </c>
      <c r="L1190" s="4"/>
      <c r="M1190" s="4"/>
      <c r="N1190" s="4">
        <f t="shared" si="628"/>
        <v>0</v>
      </c>
      <c r="O1190" s="4"/>
      <c r="P1190" s="3"/>
      <c r="Q1190" s="3"/>
      <c r="R1190" s="3"/>
      <c r="S1190" s="3"/>
      <c r="T1190" s="3"/>
      <c r="U1190" s="3"/>
      <c r="V1190" s="3"/>
      <c r="W1190" s="3">
        <f t="shared" si="622"/>
        <v>0</v>
      </c>
      <c r="X1190" s="3"/>
      <c r="Y1190" s="3"/>
      <c r="Z1190" s="3">
        <f t="shared" si="629"/>
        <v>0</v>
      </c>
      <c r="AA1190" s="3"/>
      <c r="AB1190" s="3"/>
      <c r="AC1190" s="3"/>
      <c r="AD1190" s="3">
        <f t="shared" si="620"/>
        <v>0</v>
      </c>
      <c r="AE1190" s="3"/>
      <c r="AF1190" s="3">
        <f t="shared" si="621"/>
        <v>0</v>
      </c>
      <c r="AG1190" s="4"/>
      <c r="AH1190" s="4"/>
      <c r="AI1190" s="4"/>
      <c r="AJ1190" s="3"/>
      <c r="AK1190" s="3">
        <f t="shared" si="623"/>
        <v>0</v>
      </c>
      <c r="AL1190" s="3"/>
      <c r="AM1190" s="3">
        <f t="shared" si="624"/>
        <v>0</v>
      </c>
      <c r="AN1190" s="4"/>
      <c r="AO1190" s="3"/>
      <c r="AP1190" s="3"/>
      <c r="AQ1190" s="3"/>
      <c r="AR1190" s="3"/>
      <c r="AS1190" s="3"/>
      <c r="AT1190" s="3"/>
      <c r="AU1190" s="3"/>
      <c r="AW1190" s="3"/>
      <c r="AY1190" s="3"/>
      <c r="BA1190" s="3"/>
      <c r="BC1190" s="3"/>
      <c r="BE1190" s="3"/>
    </row>
    <row r="1191" spans="1:57" s="42" customFormat="1" x14ac:dyDescent="0.25">
      <c r="A1191" s="3" t="s">
        <v>872</v>
      </c>
      <c r="B1191" s="3"/>
      <c r="C1191" s="3"/>
      <c r="D1191" s="3"/>
      <c r="E1191" s="3">
        <f t="shared" si="625"/>
        <v>0</v>
      </c>
      <c r="F1191" s="3"/>
      <c r="G1191" s="3"/>
      <c r="H1191" s="3">
        <f t="shared" si="626"/>
        <v>0</v>
      </c>
      <c r="I1191" s="3"/>
      <c r="J1191" s="3"/>
      <c r="K1191" s="4">
        <f t="shared" si="627"/>
        <v>0</v>
      </c>
      <c r="L1191" s="4"/>
      <c r="M1191" s="4"/>
      <c r="N1191" s="4">
        <f t="shared" si="628"/>
        <v>0</v>
      </c>
      <c r="O1191" s="4"/>
      <c r="P1191" s="3"/>
      <c r="Q1191" s="3"/>
      <c r="R1191" s="3"/>
      <c r="S1191" s="3"/>
      <c r="T1191" s="3"/>
      <c r="U1191" s="3"/>
      <c r="V1191" s="3"/>
      <c r="W1191" s="3">
        <f t="shared" si="622"/>
        <v>0</v>
      </c>
      <c r="X1191" s="3"/>
      <c r="Y1191" s="3"/>
      <c r="Z1191" s="3">
        <f t="shared" si="629"/>
        <v>0</v>
      </c>
      <c r="AA1191" s="3"/>
      <c r="AB1191" s="3"/>
      <c r="AC1191" s="3"/>
      <c r="AD1191" s="3">
        <f t="shared" si="620"/>
        <v>0</v>
      </c>
      <c r="AE1191" s="3"/>
      <c r="AF1191" s="3">
        <f t="shared" si="621"/>
        <v>0</v>
      </c>
      <c r="AG1191" s="4"/>
      <c r="AH1191" s="4"/>
      <c r="AI1191" s="4"/>
      <c r="AJ1191" s="3"/>
      <c r="AK1191" s="3">
        <f t="shared" si="623"/>
        <v>0</v>
      </c>
      <c r="AL1191" s="3"/>
      <c r="AM1191" s="3">
        <f t="shared" si="624"/>
        <v>0</v>
      </c>
      <c r="AN1191" s="4"/>
      <c r="AO1191" s="3"/>
      <c r="AP1191" s="3"/>
      <c r="AQ1191" s="3"/>
      <c r="AR1191" s="3"/>
      <c r="AS1191" s="3"/>
      <c r="AT1191" s="3"/>
      <c r="AU1191" s="3"/>
      <c r="AW1191" s="3"/>
      <c r="AY1191" s="3"/>
      <c r="BA1191" s="3"/>
      <c r="BC1191" s="3"/>
      <c r="BE1191" s="3"/>
    </row>
    <row r="1192" spans="1:57" s="42" customFormat="1" x14ac:dyDescent="0.25">
      <c r="A1192" s="3" t="s">
        <v>873</v>
      </c>
      <c r="B1192" s="3"/>
      <c r="C1192" s="3"/>
      <c r="D1192" s="3"/>
      <c r="E1192" s="3">
        <f t="shared" si="625"/>
        <v>0</v>
      </c>
      <c r="F1192" s="3"/>
      <c r="G1192" s="3"/>
      <c r="H1192" s="3">
        <f t="shared" si="626"/>
        <v>0</v>
      </c>
      <c r="I1192" s="3"/>
      <c r="J1192" s="3"/>
      <c r="K1192" s="4">
        <f t="shared" si="627"/>
        <v>0</v>
      </c>
      <c r="L1192" s="4"/>
      <c r="M1192" s="4"/>
      <c r="N1192" s="4">
        <f t="shared" si="628"/>
        <v>0</v>
      </c>
      <c r="O1192" s="4"/>
      <c r="P1192" s="3"/>
      <c r="Q1192" s="3"/>
      <c r="R1192" s="3"/>
      <c r="S1192" s="3"/>
      <c r="T1192" s="3"/>
      <c r="U1192" s="3"/>
      <c r="V1192" s="3"/>
      <c r="W1192" s="3">
        <f t="shared" si="622"/>
        <v>0</v>
      </c>
      <c r="X1192" s="3"/>
      <c r="Y1192" s="3"/>
      <c r="Z1192" s="3">
        <f t="shared" si="629"/>
        <v>0</v>
      </c>
      <c r="AA1192" s="3"/>
      <c r="AB1192" s="3"/>
      <c r="AC1192" s="3"/>
      <c r="AD1192" s="3">
        <f t="shared" si="620"/>
        <v>0</v>
      </c>
      <c r="AE1192" s="3"/>
      <c r="AF1192" s="3">
        <f t="shared" si="621"/>
        <v>0</v>
      </c>
      <c r="AG1192" s="4"/>
      <c r="AH1192" s="4"/>
      <c r="AI1192" s="4"/>
      <c r="AJ1192" s="3"/>
      <c r="AK1192" s="3">
        <f t="shared" si="623"/>
        <v>0</v>
      </c>
      <c r="AL1192" s="3"/>
      <c r="AM1192" s="3">
        <f t="shared" si="624"/>
        <v>0</v>
      </c>
      <c r="AN1192" s="4"/>
      <c r="AO1192" s="3">
        <v>271000</v>
      </c>
      <c r="AP1192" s="3"/>
      <c r="AQ1192" s="3"/>
      <c r="AR1192" s="3"/>
      <c r="AS1192" s="3"/>
      <c r="AT1192" s="3"/>
      <c r="AU1192" s="3"/>
      <c r="AW1192" s="3"/>
      <c r="AY1192" s="3"/>
      <c r="BA1192" s="3"/>
      <c r="BC1192" s="3"/>
      <c r="BE1192" s="3"/>
    </row>
    <row r="1193" spans="1:57" s="42" customFormat="1" x14ac:dyDescent="0.25">
      <c r="A1193" s="3" t="s">
        <v>874</v>
      </c>
      <c r="B1193" s="3"/>
      <c r="C1193" s="3"/>
      <c r="D1193" s="3"/>
      <c r="E1193" s="3">
        <f t="shared" si="625"/>
        <v>0</v>
      </c>
      <c r="F1193" s="3"/>
      <c r="G1193" s="3"/>
      <c r="H1193" s="3">
        <f t="shared" si="626"/>
        <v>0</v>
      </c>
      <c r="I1193" s="3"/>
      <c r="J1193" s="3"/>
      <c r="K1193" s="4">
        <f t="shared" si="627"/>
        <v>0</v>
      </c>
      <c r="L1193" s="4"/>
      <c r="M1193" s="4"/>
      <c r="N1193" s="4">
        <f t="shared" si="628"/>
        <v>0</v>
      </c>
      <c r="O1193" s="4"/>
      <c r="P1193" s="3"/>
      <c r="Q1193" s="3"/>
      <c r="R1193" s="3"/>
      <c r="S1193" s="3"/>
      <c r="T1193" s="3"/>
      <c r="U1193" s="3"/>
      <c r="V1193" s="3"/>
      <c r="W1193" s="3">
        <f t="shared" si="622"/>
        <v>0</v>
      </c>
      <c r="X1193" s="3"/>
      <c r="Y1193" s="3"/>
      <c r="Z1193" s="3">
        <f t="shared" si="629"/>
        <v>0</v>
      </c>
      <c r="AA1193" s="3"/>
      <c r="AB1193" s="3"/>
      <c r="AC1193" s="3"/>
      <c r="AD1193" s="3">
        <f t="shared" si="620"/>
        <v>0</v>
      </c>
      <c r="AE1193" s="3"/>
      <c r="AF1193" s="3">
        <f t="shared" si="621"/>
        <v>0</v>
      </c>
      <c r="AG1193" s="4"/>
      <c r="AH1193" s="4"/>
      <c r="AI1193" s="4"/>
      <c r="AJ1193" s="3"/>
      <c r="AK1193" s="3">
        <f t="shared" si="623"/>
        <v>0</v>
      </c>
      <c r="AL1193" s="3"/>
      <c r="AM1193" s="3">
        <f t="shared" si="624"/>
        <v>0</v>
      </c>
      <c r="AN1193" s="4"/>
      <c r="AO1193" s="3"/>
      <c r="AP1193" s="3"/>
      <c r="AQ1193" s="3"/>
      <c r="AR1193" s="3"/>
      <c r="AS1193" s="3"/>
      <c r="AT1193" s="3"/>
      <c r="AU1193" s="3"/>
      <c r="AW1193" s="3"/>
      <c r="AY1193" s="3"/>
      <c r="BA1193" s="3"/>
      <c r="BC1193" s="3"/>
      <c r="BE1193" s="3"/>
    </row>
    <row r="1194" spans="1:57" s="42" customFormat="1" x14ac:dyDescent="0.25">
      <c r="A1194" s="3" t="s">
        <v>875</v>
      </c>
      <c r="B1194" s="3">
        <v>50000</v>
      </c>
      <c r="C1194" s="3"/>
      <c r="D1194" s="3"/>
      <c r="E1194" s="3">
        <f t="shared" si="625"/>
        <v>50000</v>
      </c>
      <c r="F1194" s="3">
        <v>50000</v>
      </c>
      <c r="G1194" s="3"/>
      <c r="H1194" s="3">
        <f t="shared" si="626"/>
        <v>0</v>
      </c>
      <c r="I1194" s="3"/>
      <c r="J1194" s="3"/>
      <c r="K1194" s="4">
        <f t="shared" si="627"/>
        <v>25000</v>
      </c>
      <c r="L1194" s="4">
        <v>25000</v>
      </c>
      <c r="M1194" s="4"/>
      <c r="N1194" s="4">
        <f t="shared" si="628"/>
        <v>-25000</v>
      </c>
      <c r="O1194" s="4"/>
      <c r="P1194" s="3"/>
      <c r="Q1194" s="3"/>
      <c r="R1194" s="3"/>
      <c r="S1194" s="3"/>
      <c r="T1194" s="3"/>
      <c r="U1194" s="3"/>
      <c r="V1194" s="3"/>
      <c r="W1194" s="3">
        <f t="shared" si="622"/>
        <v>0</v>
      </c>
      <c r="X1194" s="3"/>
      <c r="Y1194" s="3"/>
      <c r="Z1194" s="3">
        <f t="shared" si="629"/>
        <v>0</v>
      </c>
      <c r="AA1194" s="3"/>
      <c r="AB1194" s="3"/>
      <c r="AC1194" s="3"/>
      <c r="AD1194" s="3">
        <f t="shared" si="620"/>
        <v>0</v>
      </c>
      <c r="AE1194" s="3"/>
      <c r="AF1194" s="3">
        <f t="shared" si="621"/>
        <v>0</v>
      </c>
      <c r="AG1194" s="4"/>
      <c r="AH1194" s="4"/>
      <c r="AI1194" s="4"/>
      <c r="AJ1194" s="3"/>
      <c r="AK1194" s="3">
        <f t="shared" si="623"/>
        <v>0</v>
      </c>
      <c r="AL1194" s="3"/>
      <c r="AM1194" s="3">
        <f t="shared" si="624"/>
        <v>0</v>
      </c>
      <c r="AN1194" s="4"/>
      <c r="AO1194" s="3"/>
      <c r="AP1194" s="3"/>
      <c r="AQ1194" s="3"/>
      <c r="AR1194" s="3"/>
      <c r="AS1194" s="3"/>
      <c r="AT1194" s="3"/>
      <c r="AU1194" s="3"/>
      <c r="AW1194" s="3"/>
      <c r="AY1194" s="3"/>
      <c r="BA1194" s="3"/>
      <c r="BC1194" s="3"/>
      <c r="BE1194" s="3"/>
    </row>
    <row r="1195" spans="1:57" s="42" customFormat="1" x14ac:dyDescent="0.25">
      <c r="A1195" s="3" t="s">
        <v>876</v>
      </c>
      <c r="B1195" s="3"/>
      <c r="C1195" s="3"/>
      <c r="D1195" s="3"/>
      <c r="E1195" s="3">
        <f t="shared" si="625"/>
        <v>0</v>
      </c>
      <c r="F1195" s="3"/>
      <c r="G1195" s="3"/>
      <c r="H1195" s="3">
        <f t="shared" si="626"/>
        <v>0</v>
      </c>
      <c r="I1195" s="3"/>
      <c r="J1195" s="3"/>
      <c r="K1195" s="4">
        <f t="shared" si="627"/>
        <v>0</v>
      </c>
      <c r="L1195" s="4"/>
      <c r="M1195" s="4"/>
      <c r="N1195" s="4">
        <f t="shared" si="628"/>
        <v>0</v>
      </c>
      <c r="O1195" s="4"/>
      <c r="P1195" s="3"/>
      <c r="Q1195" s="3"/>
      <c r="R1195" s="3"/>
      <c r="S1195" s="3"/>
      <c r="T1195" s="3"/>
      <c r="U1195" s="3"/>
      <c r="V1195" s="3"/>
      <c r="W1195" s="3">
        <f t="shared" si="622"/>
        <v>0</v>
      </c>
      <c r="X1195" s="3"/>
      <c r="Y1195" s="3"/>
      <c r="Z1195" s="3">
        <f t="shared" si="629"/>
        <v>0</v>
      </c>
      <c r="AA1195" s="3"/>
      <c r="AB1195" s="3"/>
      <c r="AC1195" s="3"/>
      <c r="AD1195" s="3">
        <f t="shared" si="620"/>
        <v>0</v>
      </c>
      <c r="AE1195" s="3"/>
      <c r="AF1195" s="3">
        <f t="shared" si="621"/>
        <v>0</v>
      </c>
      <c r="AG1195" s="4"/>
      <c r="AH1195" s="4"/>
      <c r="AI1195" s="4"/>
      <c r="AJ1195" s="3"/>
      <c r="AK1195" s="3">
        <f t="shared" si="623"/>
        <v>0</v>
      </c>
      <c r="AL1195" s="3"/>
      <c r="AM1195" s="3">
        <f t="shared" si="624"/>
        <v>0</v>
      </c>
      <c r="AN1195" s="4"/>
      <c r="AO1195" s="3"/>
      <c r="AP1195" s="3"/>
      <c r="AQ1195" s="3"/>
      <c r="AR1195" s="3"/>
      <c r="AS1195" s="3"/>
      <c r="AT1195" s="3"/>
      <c r="AU1195" s="3"/>
      <c r="AW1195" s="3"/>
      <c r="AY1195" s="3"/>
      <c r="BA1195" s="3"/>
      <c r="BC1195" s="3"/>
      <c r="BE1195" s="3"/>
    </row>
    <row r="1196" spans="1:57" s="42" customFormat="1" x14ac:dyDescent="0.25">
      <c r="A1196" s="3" t="s">
        <v>877</v>
      </c>
      <c r="B1196" s="3"/>
      <c r="C1196" s="3"/>
      <c r="D1196" s="3"/>
      <c r="E1196" s="3">
        <f t="shared" si="625"/>
        <v>0</v>
      </c>
      <c r="F1196" s="3"/>
      <c r="G1196" s="3"/>
      <c r="H1196" s="3">
        <f t="shared" si="626"/>
        <v>0</v>
      </c>
      <c r="I1196" s="3"/>
      <c r="J1196" s="3"/>
      <c r="K1196" s="4">
        <f t="shared" si="627"/>
        <v>0</v>
      </c>
      <c r="L1196" s="4"/>
      <c r="M1196" s="4"/>
      <c r="N1196" s="4">
        <f t="shared" si="628"/>
        <v>0</v>
      </c>
      <c r="O1196" s="4"/>
      <c r="P1196" s="3"/>
      <c r="Q1196" s="3"/>
      <c r="R1196" s="3"/>
      <c r="S1196" s="3"/>
      <c r="T1196" s="3"/>
      <c r="U1196" s="3"/>
      <c r="V1196" s="3"/>
      <c r="W1196" s="3">
        <f t="shared" si="622"/>
        <v>0</v>
      </c>
      <c r="X1196" s="3"/>
      <c r="Y1196" s="3"/>
      <c r="Z1196" s="3">
        <f t="shared" si="629"/>
        <v>0</v>
      </c>
      <c r="AA1196" s="3"/>
      <c r="AB1196" s="3"/>
      <c r="AC1196" s="3"/>
      <c r="AD1196" s="3">
        <f t="shared" si="620"/>
        <v>0</v>
      </c>
      <c r="AE1196" s="3"/>
      <c r="AF1196" s="3">
        <f t="shared" si="621"/>
        <v>0</v>
      </c>
      <c r="AG1196" s="4"/>
      <c r="AH1196" s="4"/>
      <c r="AI1196" s="4"/>
      <c r="AJ1196" s="3"/>
      <c r="AK1196" s="3">
        <f t="shared" si="623"/>
        <v>0</v>
      </c>
      <c r="AL1196" s="3"/>
      <c r="AM1196" s="3">
        <f t="shared" si="624"/>
        <v>0</v>
      </c>
      <c r="AN1196" s="4"/>
      <c r="AO1196" s="3"/>
      <c r="AP1196" s="3"/>
      <c r="AQ1196" s="3"/>
      <c r="AR1196" s="3"/>
      <c r="AS1196" s="3"/>
      <c r="AT1196" s="3"/>
      <c r="AU1196" s="3"/>
      <c r="AW1196" s="3"/>
      <c r="AY1196" s="3"/>
      <c r="BA1196" s="3"/>
      <c r="BC1196" s="3"/>
      <c r="BE1196" s="3"/>
    </row>
    <row r="1197" spans="1:57" s="42" customFormat="1" x14ac:dyDescent="0.25">
      <c r="A1197" s="3" t="s">
        <v>878</v>
      </c>
      <c r="B1197" s="3"/>
      <c r="C1197" s="3"/>
      <c r="D1197" s="3"/>
      <c r="E1197" s="3">
        <f t="shared" si="625"/>
        <v>0</v>
      </c>
      <c r="F1197" s="3"/>
      <c r="G1197" s="3"/>
      <c r="H1197" s="3">
        <f t="shared" si="626"/>
        <v>0</v>
      </c>
      <c r="I1197" s="3"/>
      <c r="J1197" s="3"/>
      <c r="K1197" s="4">
        <f t="shared" si="627"/>
        <v>0</v>
      </c>
      <c r="L1197" s="4"/>
      <c r="M1197" s="4"/>
      <c r="N1197" s="4">
        <f t="shared" si="628"/>
        <v>0</v>
      </c>
      <c r="O1197" s="4"/>
      <c r="P1197" s="3"/>
      <c r="Q1197" s="3"/>
      <c r="R1197" s="3"/>
      <c r="S1197" s="3"/>
      <c r="T1197" s="3"/>
      <c r="U1197" s="3"/>
      <c r="V1197" s="3"/>
      <c r="W1197" s="3">
        <f t="shared" si="622"/>
        <v>0</v>
      </c>
      <c r="X1197" s="3"/>
      <c r="Y1197" s="3"/>
      <c r="Z1197" s="3">
        <f t="shared" si="629"/>
        <v>0</v>
      </c>
      <c r="AA1197" s="3"/>
      <c r="AB1197" s="3"/>
      <c r="AC1197" s="3"/>
      <c r="AD1197" s="3">
        <f t="shared" si="620"/>
        <v>0</v>
      </c>
      <c r="AE1197" s="3"/>
      <c r="AF1197" s="3">
        <f t="shared" si="621"/>
        <v>0</v>
      </c>
      <c r="AG1197" s="4"/>
      <c r="AH1197" s="4"/>
      <c r="AI1197" s="4"/>
      <c r="AJ1197" s="3"/>
      <c r="AK1197" s="3">
        <f t="shared" si="623"/>
        <v>0</v>
      </c>
      <c r="AL1197" s="3"/>
      <c r="AM1197" s="3">
        <f t="shared" si="624"/>
        <v>0</v>
      </c>
      <c r="AN1197" s="4"/>
      <c r="AO1197" s="3"/>
      <c r="AP1197" s="3"/>
      <c r="AQ1197" s="3"/>
      <c r="AR1197" s="3"/>
      <c r="AS1197" s="3"/>
      <c r="AT1197" s="3"/>
      <c r="AU1197" s="3"/>
      <c r="AW1197" s="3"/>
      <c r="AY1197" s="3">
        <v>541000</v>
      </c>
      <c r="BA1197" s="3"/>
      <c r="BC1197" s="3"/>
      <c r="BE1197" s="3"/>
    </row>
    <row r="1198" spans="1:57" s="42" customFormat="1" x14ac:dyDescent="0.25">
      <c r="A1198" s="3" t="s">
        <v>879</v>
      </c>
      <c r="B1198" s="3"/>
      <c r="C1198" s="3"/>
      <c r="D1198" s="3">
        <v>2695</v>
      </c>
      <c r="E1198" s="3">
        <f t="shared" si="625"/>
        <v>5</v>
      </c>
      <c r="F1198" s="3">
        <v>2700</v>
      </c>
      <c r="G1198" s="3"/>
      <c r="H1198" s="3">
        <f t="shared" si="626"/>
        <v>2700</v>
      </c>
      <c r="I1198" s="3"/>
      <c r="J1198" s="3">
        <v>3270</v>
      </c>
      <c r="K1198" s="4">
        <f t="shared" si="627"/>
        <v>0</v>
      </c>
      <c r="L1198" s="4">
        <v>3270</v>
      </c>
      <c r="M1198" s="4"/>
      <c r="N1198" s="4">
        <f t="shared" si="628"/>
        <v>570</v>
      </c>
      <c r="O1198" s="4"/>
      <c r="P1198" s="3"/>
      <c r="Q1198" s="3"/>
      <c r="R1198" s="3"/>
      <c r="S1198" s="3"/>
      <c r="T1198" s="3"/>
      <c r="U1198" s="3"/>
      <c r="V1198" s="3"/>
      <c r="W1198" s="3">
        <f t="shared" si="622"/>
        <v>0</v>
      </c>
      <c r="X1198" s="3"/>
      <c r="Y1198" s="3"/>
      <c r="Z1198" s="3">
        <f t="shared" si="629"/>
        <v>0</v>
      </c>
      <c r="AA1198" s="3"/>
      <c r="AB1198" s="3"/>
      <c r="AC1198" s="3"/>
      <c r="AD1198" s="3">
        <f t="shared" si="620"/>
        <v>0</v>
      </c>
      <c r="AE1198" s="3"/>
      <c r="AF1198" s="3">
        <f t="shared" si="621"/>
        <v>0</v>
      </c>
      <c r="AG1198" s="4"/>
      <c r="AH1198" s="4"/>
      <c r="AI1198" s="4"/>
      <c r="AJ1198" s="3"/>
      <c r="AK1198" s="3">
        <f t="shared" si="623"/>
        <v>0</v>
      </c>
      <c r="AL1198" s="3"/>
      <c r="AM1198" s="3">
        <f t="shared" si="624"/>
        <v>0</v>
      </c>
      <c r="AN1198" s="4"/>
      <c r="AO1198" s="3"/>
      <c r="AP1198" s="3"/>
      <c r="AQ1198" s="3"/>
      <c r="AR1198" s="3"/>
      <c r="AS1198" s="3"/>
      <c r="AT1198" s="3"/>
      <c r="AU1198" s="3"/>
      <c r="AW1198" s="3"/>
      <c r="AY1198" s="3"/>
      <c r="BA1198" s="3"/>
      <c r="BC1198" s="3"/>
      <c r="BE1198" s="3"/>
    </row>
    <row r="1199" spans="1:57" s="42" customFormat="1" x14ac:dyDescent="0.25">
      <c r="A1199" s="3" t="s">
        <v>880</v>
      </c>
      <c r="B1199" s="3"/>
      <c r="C1199" s="3"/>
      <c r="D1199" s="3"/>
      <c r="E1199" s="3">
        <f>F1199-D1199</f>
        <v>0</v>
      </c>
      <c r="F1199" s="3"/>
      <c r="G1199" s="3"/>
      <c r="H1199" s="3">
        <f>F1199-B1199</f>
        <v>0</v>
      </c>
      <c r="I1199" s="3"/>
      <c r="J1199" s="3"/>
      <c r="K1199" s="4">
        <f t="shared" si="627"/>
        <v>0</v>
      </c>
      <c r="L1199" s="4"/>
      <c r="M1199" s="4"/>
      <c r="N1199" s="4">
        <f t="shared" si="628"/>
        <v>0</v>
      </c>
      <c r="O1199" s="4"/>
      <c r="P1199" s="3"/>
      <c r="Q1199" s="3"/>
      <c r="R1199" s="3"/>
      <c r="S1199" s="3"/>
      <c r="T1199" s="3"/>
      <c r="U1199" s="3"/>
      <c r="V1199" s="3"/>
      <c r="W1199" s="3">
        <f t="shared" si="622"/>
        <v>0</v>
      </c>
      <c r="X1199" s="3"/>
      <c r="Y1199" s="3"/>
      <c r="Z1199" s="3">
        <f t="shared" si="629"/>
        <v>0</v>
      </c>
      <c r="AA1199" s="3"/>
      <c r="AB1199" s="3"/>
      <c r="AC1199" s="3"/>
      <c r="AD1199" s="3">
        <f t="shared" si="620"/>
        <v>0</v>
      </c>
      <c r="AE1199" s="3"/>
      <c r="AF1199" s="3">
        <f t="shared" si="621"/>
        <v>0</v>
      </c>
      <c r="AG1199" s="4"/>
      <c r="AH1199" s="4"/>
      <c r="AI1199" s="4"/>
      <c r="AJ1199" s="3"/>
      <c r="AK1199" s="3">
        <f t="shared" si="623"/>
        <v>0</v>
      </c>
      <c r="AL1199" s="3"/>
      <c r="AM1199" s="3">
        <f t="shared" si="624"/>
        <v>0</v>
      </c>
      <c r="AN1199" s="4"/>
      <c r="AO1199" s="3"/>
      <c r="AP1199" s="3"/>
      <c r="AQ1199" s="3"/>
      <c r="AR1199" s="3"/>
      <c r="AS1199" s="3"/>
      <c r="AT1199" s="3"/>
      <c r="AU1199" s="3"/>
      <c r="AW1199" s="3"/>
      <c r="AY1199" s="3"/>
      <c r="BA1199" s="3"/>
      <c r="BC1199" s="3"/>
      <c r="BE1199" s="3"/>
    </row>
    <row r="1200" spans="1:57" s="42" customFormat="1" x14ac:dyDescent="0.25">
      <c r="A1200" s="3" t="s">
        <v>881</v>
      </c>
      <c r="B1200" s="3">
        <v>11900</v>
      </c>
      <c r="C1200" s="3"/>
      <c r="D1200" s="3"/>
      <c r="E1200" s="3">
        <f>F1200-D1200</f>
        <v>11900</v>
      </c>
      <c r="F1200" s="3">
        <v>11900</v>
      </c>
      <c r="G1200" s="3"/>
      <c r="H1200" s="3">
        <f>F1200-B1200</f>
        <v>0</v>
      </c>
      <c r="I1200" s="3"/>
      <c r="J1200" s="3">
        <v>0</v>
      </c>
      <c r="K1200" s="4">
        <f t="shared" si="627"/>
        <v>11900</v>
      </c>
      <c r="L1200" s="4">
        <v>11900</v>
      </c>
      <c r="M1200" s="4"/>
      <c r="N1200" s="4">
        <f t="shared" si="628"/>
        <v>0</v>
      </c>
      <c r="O1200" s="4"/>
      <c r="P1200" s="3">
        <f>4476-26</f>
        <v>4450</v>
      </c>
      <c r="Q1200" s="3"/>
      <c r="R1200" s="3"/>
      <c r="S1200" s="3">
        <f>T1200-R1200</f>
        <v>4450</v>
      </c>
      <c r="T1200" s="3">
        <v>4450</v>
      </c>
      <c r="U1200" s="3">
        <f>T1200-P1200</f>
        <v>0</v>
      </c>
      <c r="V1200" s="3"/>
      <c r="W1200" s="3">
        <f t="shared" si="622"/>
        <v>4450</v>
      </c>
      <c r="X1200" s="3"/>
      <c r="Y1200" s="3">
        <v>4450</v>
      </c>
      <c r="Z1200" s="3">
        <f t="shared" si="629"/>
        <v>0</v>
      </c>
      <c r="AA1200" s="3"/>
      <c r="AB1200" s="3"/>
      <c r="AC1200" s="3">
        <v>0</v>
      </c>
      <c r="AD1200" s="3">
        <f t="shared" si="620"/>
        <v>1480</v>
      </c>
      <c r="AE1200" s="3">
        <v>1480</v>
      </c>
      <c r="AF1200" s="3">
        <f t="shared" si="621"/>
        <v>-2970</v>
      </c>
      <c r="AG1200" s="4"/>
      <c r="AH1200" s="4">
        <f>4476-26+100000</f>
        <v>104450</v>
      </c>
      <c r="AI1200" s="4"/>
      <c r="AJ1200" s="3"/>
      <c r="AK1200" s="3">
        <f t="shared" si="623"/>
        <v>104450</v>
      </c>
      <c r="AL1200" s="3">
        <v>104450</v>
      </c>
      <c r="AM1200" s="3">
        <f t="shared" si="624"/>
        <v>0</v>
      </c>
      <c r="AN1200" s="4"/>
      <c r="AO1200" s="3">
        <f>4476-26</f>
        <v>4450</v>
      </c>
      <c r="AP1200" s="3"/>
      <c r="AQ1200" s="3">
        <f>4476-26</f>
        <v>4450</v>
      </c>
      <c r="AR1200" s="3"/>
      <c r="AS1200" s="3">
        <f>5800+300000</f>
        <v>305800</v>
      </c>
      <c r="AT1200" s="3"/>
      <c r="AU1200" s="3">
        <f>5800+400000</f>
        <v>405800</v>
      </c>
      <c r="AW1200" s="3">
        <v>5800</v>
      </c>
      <c r="AY1200" s="3">
        <v>5800</v>
      </c>
      <c r="BA1200" s="3">
        <f>4350+500000</f>
        <v>504350</v>
      </c>
      <c r="BC1200" s="3">
        <v>500000</v>
      </c>
      <c r="BE1200" s="3">
        <v>500000</v>
      </c>
    </row>
    <row r="1201" spans="1:57" s="42" customFormat="1" x14ac:dyDescent="0.25">
      <c r="A1201" s="3" t="s">
        <v>798</v>
      </c>
      <c r="B1201" s="3"/>
      <c r="C1201" s="3"/>
      <c r="D1201" s="3"/>
      <c r="E1201" s="3">
        <f>F1201-D1201</f>
        <v>0</v>
      </c>
      <c r="F1201" s="3"/>
      <c r="G1201" s="3"/>
      <c r="H1201" s="3">
        <f>F1201-B1201</f>
        <v>0</v>
      </c>
      <c r="I1201" s="3"/>
      <c r="J1201" s="3"/>
      <c r="K1201" s="4">
        <f t="shared" si="627"/>
        <v>0</v>
      </c>
      <c r="L1201" s="4"/>
      <c r="M1201" s="4"/>
      <c r="N1201" s="4">
        <f t="shared" si="628"/>
        <v>0</v>
      </c>
      <c r="O1201" s="4"/>
      <c r="P1201" s="3"/>
      <c r="Q1201" s="3"/>
      <c r="R1201" s="3"/>
      <c r="S1201" s="3"/>
      <c r="T1201" s="3"/>
      <c r="U1201" s="3"/>
      <c r="V1201" s="3"/>
      <c r="W1201" s="3">
        <f t="shared" si="622"/>
        <v>0</v>
      </c>
      <c r="X1201" s="3"/>
      <c r="Y1201" s="3"/>
      <c r="Z1201" s="3">
        <f t="shared" si="629"/>
        <v>0</v>
      </c>
      <c r="AA1201" s="3"/>
      <c r="AB1201" s="3"/>
      <c r="AC1201" s="3"/>
      <c r="AD1201" s="3">
        <f t="shared" si="620"/>
        <v>0</v>
      </c>
      <c r="AE1201" s="3"/>
      <c r="AF1201" s="3">
        <f t="shared" si="621"/>
        <v>0</v>
      </c>
      <c r="AG1201" s="4"/>
      <c r="AH1201" s="4"/>
      <c r="AI1201" s="4"/>
      <c r="AJ1201" s="3"/>
      <c r="AK1201" s="3">
        <f t="shared" si="623"/>
        <v>0</v>
      </c>
      <c r="AL1201" s="3"/>
      <c r="AM1201" s="3">
        <f t="shared" si="624"/>
        <v>0</v>
      </c>
      <c r="AN1201" s="4"/>
      <c r="AO1201" s="3"/>
      <c r="AP1201" s="3"/>
      <c r="AQ1201" s="3"/>
      <c r="AR1201" s="3"/>
      <c r="AS1201" s="3"/>
      <c r="AT1201" s="3"/>
      <c r="AU1201" s="3"/>
      <c r="AW1201" s="3"/>
      <c r="AY1201" s="3"/>
      <c r="BA1201" s="3"/>
      <c r="BC1201" s="3"/>
      <c r="BE1201" s="3"/>
    </row>
    <row r="1202" spans="1:57" s="42" customFormat="1" x14ac:dyDescent="0.25">
      <c r="A1202" s="3" t="s">
        <v>882</v>
      </c>
      <c r="B1202" s="3">
        <v>6180</v>
      </c>
      <c r="C1202" s="3"/>
      <c r="D1202" s="3"/>
      <c r="E1202" s="3">
        <f>F1202-D1202</f>
        <v>6180</v>
      </c>
      <c r="F1202" s="3">
        <v>6180</v>
      </c>
      <c r="G1202" s="3"/>
      <c r="H1202" s="3">
        <f>F1202-B1202</f>
        <v>0</v>
      </c>
      <c r="I1202" s="3"/>
      <c r="J1202" s="3"/>
      <c r="K1202" s="4">
        <f t="shared" si="627"/>
        <v>6180</v>
      </c>
      <c r="L1202" s="4">
        <v>6180</v>
      </c>
      <c r="M1202" s="4"/>
      <c r="N1202" s="4">
        <f t="shared" si="628"/>
        <v>0</v>
      </c>
      <c r="O1202" s="4"/>
      <c r="P1202" s="3">
        <v>10000</v>
      </c>
      <c r="Q1202" s="3"/>
      <c r="R1202" s="3"/>
      <c r="S1202" s="3">
        <f>T1202-R1202</f>
        <v>10000</v>
      </c>
      <c r="T1202" s="3">
        <v>10000</v>
      </c>
      <c r="U1202" s="3">
        <f>T1202-P1202</f>
        <v>0</v>
      </c>
      <c r="V1202" s="3"/>
      <c r="W1202" s="3">
        <f t="shared" si="622"/>
        <v>5000</v>
      </c>
      <c r="X1202" s="3"/>
      <c r="Y1202" s="3">
        <v>5000</v>
      </c>
      <c r="Z1202" s="3">
        <f t="shared" si="629"/>
        <v>-5000</v>
      </c>
      <c r="AA1202" s="3"/>
      <c r="AB1202" s="3"/>
      <c r="AC1202" s="3">
        <v>0</v>
      </c>
      <c r="AD1202" s="3">
        <f t="shared" si="620"/>
        <v>5000</v>
      </c>
      <c r="AE1202" s="3">
        <v>5000</v>
      </c>
      <c r="AF1202" s="3">
        <f t="shared" si="621"/>
        <v>0</v>
      </c>
      <c r="AG1202" s="4"/>
      <c r="AH1202" s="4">
        <f>P1202*1.03</f>
        <v>10300</v>
      </c>
      <c r="AI1202" s="4"/>
      <c r="AJ1202" s="3"/>
      <c r="AK1202" s="3">
        <f t="shared" si="623"/>
        <v>10300</v>
      </c>
      <c r="AL1202" s="3">
        <v>10300</v>
      </c>
      <c r="AM1202" s="3">
        <f t="shared" si="624"/>
        <v>0</v>
      </c>
      <c r="AN1202" s="4"/>
      <c r="AO1202" s="3">
        <f>AH1202*1.03</f>
        <v>10609</v>
      </c>
      <c r="AP1202" s="3"/>
      <c r="AQ1202" s="3">
        <f>AO1202*1.03</f>
        <v>10927.27</v>
      </c>
      <c r="AR1202" s="3"/>
      <c r="AS1202" s="3">
        <f>AQ1202*1.03</f>
        <v>11255.088100000001</v>
      </c>
      <c r="AT1202" s="3"/>
      <c r="AU1202" s="3">
        <f>AS1202*1.03</f>
        <v>11592.740743</v>
      </c>
      <c r="AW1202" s="3">
        <f>AU1202*1.03</f>
        <v>11940.52296529</v>
      </c>
      <c r="AY1202" s="3">
        <f>AW1202*1.03</f>
        <v>12298.7386542487</v>
      </c>
      <c r="BA1202" s="3">
        <f>AY1202*1.03</f>
        <v>12667.700813876161</v>
      </c>
      <c r="BC1202" s="3">
        <f>BA1202*1.03</f>
        <v>13047.731838292446</v>
      </c>
      <c r="BD1202" s="6"/>
      <c r="BE1202" s="3">
        <f>BC1202*1.03</f>
        <v>13439.163793441219</v>
      </c>
    </row>
    <row r="1203" spans="1:57" ht="15.75" thickBot="1" x14ac:dyDescent="0.3">
      <c r="A1203" s="3"/>
      <c r="B1203" s="43">
        <f>SUM(B1165:B1202)</f>
        <v>153830</v>
      </c>
      <c r="C1203" s="32"/>
      <c r="D1203" s="43">
        <f>SUM(D1165:D1202)</f>
        <v>12008</v>
      </c>
      <c r="E1203" s="43">
        <f>SUM(E1165:E1202)</f>
        <v>144522</v>
      </c>
      <c r="F1203" s="43">
        <f>SUM(F1165:F1202)</f>
        <v>156530</v>
      </c>
      <c r="G1203" s="44"/>
      <c r="H1203" s="43">
        <f>SUM(H1165:H1202)</f>
        <v>2700</v>
      </c>
      <c r="I1203" s="36"/>
      <c r="J1203" s="43">
        <f>SUM(J1165:J1202)</f>
        <v>31270</v>
      </c>
      <c r="K1203" s="43">
        <f>SUM(K1165:K1202)</f>
        <v>102330</v>
      </c>
      <c r="L1203" s="43">
        <f>SUM(L1165:L1202)</f>
        <v>133600</v>
      </c>
      <c r="M1203" s="32"/>
      <c r="N1203" s="43">
        <f>SUM(N1165:N1202)</f>
        <v>-22930</v>
      </c>
      <c r="P1203" s="43">
        <f>SUM(P1165:P1202)</f>
        <v>359050</v>
      </c>
      <c r="R1203" s="43">
        <f t="shared" ref="R1203:Z1203" si="630">SUM(R1165:R1202)</f>
        <v>3988</v>
      </c>
      <c r="S1203" s="43">
        <f t="shared" si="630"/>
        <v>355062</v>
      </c>
      <c r="T1203" s="43">
        <f t="shared" si="630"/>
        <v>359050</v>
      </c>
      <c r="U1203" s="43">
        <f t="shared" si="630"/>
        <v>0</v>
      </c>
      <c r="V1203" s="43">
        <f t="shared" si="630"/>
        <v>10898</v>
      </c>
      <c r="W1203" s="43">
        <f t="shared" si="630"/>
        <v>350062</v>
      </c>
      <c r="X1203" s="43"/>
      <c r="Y1203" s="43">
        <f t="shared" si="630"/>
        <v>360960</v>
      </c>
      <c r="Z1203" s="43">
        <f t="shared" si="630"/>
        <v>1910</v>
      </c>
      <c r="AC1203" s="43">
        <f>SUM(AC1165:AC1202)</f>
        <v>6910</v>
      </c>
      <c r="AD1203" s="43">
        <f>SUM(AD1165:AD1202)</f>
        <v>351080</v>
      </c>
      <c r="AE1203" s="43">
        <f>SUM(AE1165:AE1202)</f>
        <v>357990</v>
      </c>
      <c r="AF1203" s="43">
        <f>SUM(AF1165:AF1202)</f>
        <v>-2970</v>
      </c>
      <c r="AH1203" s="36">
        <f>SUM(AH1165:AH1202)</f>
        <v>176550</v>
      </c>
      <c r="AI1203" s="32"/>
      <c r="AJ1203" s="43">
        <f>SUM(AJ1165:AJ1202)</f>
        <v>2593</v>
      </c>
      <c r="AK1203" s="43">
        <f>SUM(AK1165:AK1202)</f>
        <v>173957</v>
      </c>
      <c r="AL1203" s="43">
        <f>SUM(AL1165:AL1202)</f>
        <v>176550</v>
      </c>
      <c r="AM1203" s="43">
        <f>SUM(AM1165:AM1202)</f>
        <v>0</v>
      </c>
      <c r="AN1203" s="32"/>
      <c r="AO1203" s="43">
        <f>SUM(AO1165:AO1202)</f>
        <v>488359</v>
      </c>
      <c r="AQ1203" s="43">
        <f>SUM(AQ1165:AQ1202)</f>
        <v>435827.27</v>
      </c>
      <c r="AS1203" s="43">
        <f>SUM(AS1165:AS1202)</f>
        <v>319355.08809999999</v>
      </c>
      <c r="AT1203" s="43"/>
      <c r="AU1203" s="43">
        <f>SUM(AU1165:AU1202)</f>
        <v>419742.740743</v>
      </c>
      <c r="AW1203" s="43">
        <f>SUM(AW1165:AW1202)</f>
        <v>1248190.5229652899</v>
      </c>
      <c r="AY1203" s="43">
        <f>SUM(AY1165:AY1202)</f>
        <v>637198.73865424865</v>
      </c>
      <c r="BA1203" s="43">
        <f>SUM(BA1165:BA1202)</f>
        <v>517017.70081387617</v>
      </c>
      <c r="BC1203" s="43">
        <f>SUM(BC1165:BC1202)</f>
        <v>513047.73183829244</v>
      </c>
      <c r="BE1203" s="43">
        <f>SUM(BE1165:BE1202)</f>
        <v>513439.1637934412</v>
      </c>
    </row>
    <row r="1204" spans="1:57" ht="16.5" thickTop="1" thickBot="1" x14ac:dyDescent="0.3">
      <c r="A1204" s="7" t="s">
        <v>883</v>
      </c>
      <c r="B1204" s="65">
        <f>B1203+B1160</f>
        <v>941080</v>
      </c>
      <c r="C1204" s="32"/>
      <c r="D1204" s="65">
        <f>D1203+D1160</f>
        <v>108055</v>
      </c>
      <c r="E1204" s="65">
        <f>E1203+E1160</f>
        <v>835725</v>
      </c>
      <c r="F1204" s="65">
        <f>F1203+F1160</f>
        <v>943780</v>
      </c>
      <c r="G1204" s="83"/>
      <c r="H1204" s="65">
        <f>H1203+H1160</f>
        <v>2700</v>
      </c>
      <c r="I1204" s="36"/>
      <c r="J1204" s="65">
        <f>J1203+J1160</f>
        <v>208079</v>
      </c>
      <c r="K1204" s="65">
        <f>K1203+K1160</f>
        <v>487621</v>
      </c>
      <c r="L1204" s="65">
        <f>L1203+L1160</f>
        <v>913700</v>
      </c>
      <c r="M1204" s="32"/>
      <c r="N1204" s="65">
        <f>N1203+N1160</f>
        <v>-30080</v>
      </c>
      <c r="P1204" s="65">
        <f>P1203+P1160</f>
        <v>1170789.9750000001</v>
      </c>
      <c r="R1204" s="65">
        <f t="shared" ref="R1204:Z1204" si="631">R1203+R1160</f>
        <v>101038</v>
      </c>
      <c r="S1204" s="65">
        <f t="shared" si="631"/>
        <v>1087150</v>
      </c>
      <c r="T1204" s="65">
        <f t="shared" si="631"/>
        <v>1188189</v>
      </c>
      <c r="U1204" s="65">
        <f t="shared" si="631"/>
        <v>17398.025000000005</v>
      </c>
      <c r="V1204" s="65">
        <f t="shared" si="631"/>
        <v>209590</v>
      </c>
      <c r="W1204" s="65">
        <f t="shared" si="631"/>
        <v>1010758</v>
      </c>
      <c r="X1204" s="65"/>
      <c r="Y1204" s="65">
        <f t="shared" si="631"/>
        <v>1220350</v>
      </c>
      <c r="Z1204" s="65">
        <f t="shared" si="631"/>
        <v>32160</v>
      </c>
      <c r="AC1204" s="65">
        <f>AC1203+AC1160</f>
        <v>288904</v>
      </c>
      <c r="AD1204" s="65">
        <f>AD1203+AD1160</f>
        <v>922126</v>
      </c>
      <c r="AE1204" s="65">
        <f>AE1203+AE1160</f>
        <v>1211030</v>
      </c>
      <c r="AF1204" s="65">
        <f>AF1203+AF1160</f>
        <v>-9320</v>
      </c>
      <c r="AH1204" s="36">
        <f>AH1203+AH1160</f>
        <v>998119.36749999993</v>
      </c>
      <c r="AI1204" s="32"/>
      <c r="AJ1204" s="65">
        <f>AJ1203+AJ1160</f>
        <v>101736</v>
      </c>
      <c r="AK1204" s="65">
        <f>AK1203+AK1160</f>
        <v>903384</v>
      </c>
      <c r="AL1204" s="65">
        <f>AL1203+AL1160</f>
        <v>1005120</v>
      </c>
      <c r="AM1204" s="65">
        <f>AM1203+AM1160</f>
        <v>7000.6324999999924</v>
      </c>
      <c r="AN1204" s="32"/>
      <c r="AO1204" s="65">
        <f>AO1203+AO1160</f>
        <v>1332023.8880409999</v>
      </c>
      <c r="AQ1204" s="65">
        <f>AQ1203+AQ1160</f>
        <v>1302552.8141939489</v>
      </c>
      <c r="AS1204" s="65">
        <f>AS1203+AS1160</f>
        <v>1219027.9205149917</v>
      </c>
      <c r="AT1204" s="65"/>
      <c r="AU1204" s="65">
        <f>AU1203+AU1160</f>
        <v>1335341.9531314799</v>
      </c>
      <c r="AW1204" s="65">
        <f>AW1203+AW1160</f>
        <v>2189737.6261872621</v>
      </c>
      <c r="AY1204" s="65">
        <f>AY1203+AY1160</f>
        <v>1615759.5908938032</v>
      </c>
      <c r="BA1204" s="65">
        <f>BA1203+BA1160</f>
        <v>1523704.5267072252</v>
      </c>
      <c r="BC1204" s="65">
        <f>BC1203+BC1160</f>
        <v>1549021.2369135907</v>
      </c>
      <c r="BE1204" s="65">
        <f>BE1203+BE1160</f>
        <v>1579910.7488395891</v>
      </c>
    </row>
    <row r="1205" spans="1:57" ht="16.5" thickTop="1" thickBot="1" x14ac:dyDescent="0.3">
      <c r="A1205" s="1" t="s">
        <v>884</v>
      </c>
      <c r="B1205" s="2"/>
      <c r="D1205" s="2"/>
      <c r="E1205" s="2"/>
      <c r="F1205" s="2"/>
      <c r="H1205" s="2"/>
      <c r="I1205" s="2"/>
      <c r="J1205" s="2"/>
      <c r="K1205" s="2"/>
      <c r="L1205" s="2"/>
      <c r="N1205" s="2"/>
    </row>
    <row r="1206" spans="1:57" x14ac:dyDescent="0.25">
      <c r="A1206" s="3"/>
      <c r="B1206" s="8" t="s">
        <v>8</v>
      </c>
      <c r="C1206" s="9"/>
      <c r="D1206" s="10" t="s">
        <v>9</v>
      </c>
      <c r="E1206" s="11" t="s">
        <v>10</v>
      </c>
      <c r="F1206" s="12" t="s">
        <v>11</v>
      </c>
      <c r="G1206" s="9"/>
      <c r="H1206" s="8" t="s">
        <v>12</v>
      </c>
      <c r="I1206" s="13"/>
      <c r="J1206" s="10" t="s">
        <v>9</v>
      </c>
      <c r="K1206" s="11" t="s">
        <v>10</v>
      </c>
      <c r="L1206" s="11" t="s">
        <v>11</v>
      </c>
      <c r="M1206" s="9"/>
      <c r="N1206" s="11" t="s">
        <v>12</v>
      </c>
      <c r="P1206" s="12" t="s">
        <v>8</v>
      </c>
      <c r="R1206" s="14" t="s">
        <v>9</v>
      </c>
      <c r="S1206" s="15" t="s">
        <v>10</v>
      </c>
      <c r="T1206" s="16" t="s">
        <v>11</v>
      </c>
      <c r="U1206" s="17" t="s">
        <v>13</v>
      </c>
      <c r="V1206" s="14" t="s">
        <v>9</v>
      </c>
      <c r="W1206" s="15" t="s">
        <v>10</v>
      </c>
      <c r="X1206" s="15"/>
      <c r="Y1206" s="16" t="s">
        <v>11</v>
      </c>
      <c r="Z1206" s="17" t="s">
        <v>13</v>
      </c>
      <c r="AC1206" s="14" t="s">
        <v>9</v>
      </c>
      <c r="AD1206" s="15" t="s">
        <v>10</v>
      </c>
      <c r="AE1206" s="16" t="s">
        <v>11</v>
      </c>
      <c r="AF1206" s="15" t="s">
        <v>13</v>
      </c>
      <c r="AH1206" s="13" t="s">
        <v>8</v>
      </c>
      <c r="AI1206" s="9"/>
      <c r="AJ1206" s="11" t="s">
        <v>9</v>
      </c>
      <c r="AK1206" s="11" t="s">
        <v>10</v>
      </c>
      <c r="AL1206" s="12" t="s">
        <v>11</v>
      </c>
      <c r="AM1206" s="10" t="s">
        <v>13</v>
      </c>
      <c r="AN1206" s="9"/>
      <c r="AO1206" s="12" t="s">
        <v>8</v>
      </c>
      <c r="AQ1206" s="8" t="s">
        <v>8</v>
      </c>
      <c r="AS1206" s="8" t="s">
        <v>8</v>
      </c>
      <c r="AT1206" s="8"/>
      <c r="AU1206" s="8" t="s">
        <v>8</v>
      </c>
      <c r="AW1206" s="8" t="s">
        <v>8</v>
      </c>
      <c r="AY1206" s="8" t="s">
        <v>8</v>
      </c>
      <c r="BA1206" s="8" t="s">
        <v>8</v>
      </c>
      <c r="BC1206" s="8" t="s">
        <v>8</v>
      </c>
      <c r="BE1206" s="8" t="s">
        <v>8</v>
      </c>
    </row>
    <row r="1207" spans="1:57" ht="15.75" thickBot="1" x14ac:dyDescent="0.3">
      <c r="A1207" s="3"/>
      <c r="B1207" s="19" t="s">
        <v>14</v>
      </c>
      <c r="C1207" s="9"/>
      <c r="D1207" s="20" t="s">
        <v>15</v>
      </c>
      <c r="E1207" s="21"/>
      <c r="F1207" s="22" t="s">
        <v>16</v>
      </c>
      <c r="G1207" s="9"/>
      <c r="H1207" s="19"/>
      <c r="I1207" s="13"/>
      <c r="J1207" s="20" t="s">
        <v>17</v>
      </c>
      <c r="K1207" s="21"/>
      <c r="L1207" s="21" t="s">
        <v>16</v>
      </c>
      <c r="M1207" s="9"/>
      <c r="N1207" s="21"/>
      <c r="P1207" s="22" t="s">
        <v>18</v>
      </c>
      <c r="R1207" s="23" t="s">
        <v>19</v>
      </c>
      <c r="S1207" s="24"/>
      <c r="T1207" s="25" t="s">
        <v>20</v>
      </c>
      <c r="U1207" s="26"/>
      <c r="V1207" s="23" t="s">
        <v>21</v>
      </c>
      <c r="W1207" s="24"/>
      <c r="X1207" s="24"/>
      <c r="Y1207" s="25" t="s">
        <v>21</v>
      </c>
      <c r="Z1207" s="26"/>
      <c r="AC1207" s="23" t="s">
        <v>22</v>
      </c>
      <c r="AD1207" s="24"/>
      <c r="AE1207" s="25" t="s">
        <v>23</v>
      </c>
      <c r="AF1207" s="24"/>
      <c r="AH1207" s="13" t="s">
        <v>24</v>
      </c>
      <c r="AI1207" s="9"/>
      <c r="AJ1207" s="21" t="s">
        <v>1144</v>
      </c>
      <c r="AK1207" s="21"/>
      <c r="AL1207" s="22" t="s">
        <v>1144</v>
      </c>
      <c r="AM1207" s="20"/>
      <c r="AN1207" s="9"/>
      <c r="AO1207" s="22" t="s">
        <v>25</v>
      </c>
      <c r="AQ1207" s="19" t="s">
        <v>26</v>
      </c>
      <c r="AS1207" s="19" t="s">
        <v>27</v>
      </c>
      <c r="AT1207" s="19"/>
      <c r="AU1207" s="19" t="s">
        <v>28</v>
      </c>
      <c r="AW1207" s="19" t="s">
        <v>29</v>
      </c>
      <c r="AY1207" s="19" t="s">
        <v>30</v>
      </c>
      <c r="BA1207" s="19" t="s">
        <v>31</v>
      </c>
      <c r="BC1207" s="19">
        <f>BC556</f>
        <v>10134.16065110093</v>
      </c>
      <c r="BE1207" s="19">
        <f>BE556</f>
        <v>10438.185470633958</v>
      </c>
    </row>
    <row r="1208" spans="1:57" hidden="1" x14ac:dyDescent="0.25">
      <c r="A1208" s="7" t="s">
        <v>1</v>
      </c>
    </row>
    <row r="1209" spans="1:57" hidden="1" x14ac:dyDescent="0.25">
      <c r="A1209" s="3" t="s">
        <v>2</v>
      </c>
    </row>
    <row r="1210" spans="1:57" hidden="1" x14ac:dyDescent="0.25">
      <c r="A1210" s="3" t="s">
        <v>3</v>
      </c>
    </row>
    <row r="1211" spans="1:57" hidden="1" x14ac:dyDescent="0.25">
      <c r="A1211" s="3" t="s">
        <v>4</v>
      </c>
    </row>
    <row r="1212" spans="1:57" hidden="1" x14ac:dyDescent="0.25">
      <c r="A1212" s="3" t="s">
        <v>5</v>
      </c>
    </row>
    <row r="1213" spans="1:57" hidden="1" x14ac:dyDescent="0.25">
      <c r="A1213" s="3" t="s">
        <v>6</v>
      </c>
    </row>
    <row r="1214" spans="1:57" hidden="1" x14ac:dyDescent="0.25">
      <c r="A1214" s="3"/>
    </row>
    <row r="1215" spans="1:57" hidden="1" x14ac:dyDescent="0.25">
      <c r="A1215" s="7" t="s">
        <v>7</v>
      </c>
    </row>
    <row r="1216" spans="1:57" hidden="1" x14ac:dyDescent="0.25">
      <c r="A1216" s="3" t="s">
        <v>2</v>
      </c>
    </row>
    <row r="1217" spans="1:57" hidden="1" x14ac:dyDescent="0.25">
      <c r="A1217" s="3" t="s">
        <v>3</v>
      </c>
    </row>
    <row r="1218" spans="1:57" hidden="1" x14ac:dyDescent="0.25">
      <c r="A1218" s="3" t="s">
        <v>4</v>
      </c>
    </row>
    <row r="1219" spans="1:57" hidden="1" x14ac:dyDescent="0.25">
      <c r="A1219" s="3" t="s">
        <v>5</v>
      </c>
    </row>
    <row r="1220" spans="1:57" hidden="1" x14ac:dyDescent="0.25">
      <c r="A1220" s="3" t="s">
        <v>6</v>
      </c>
    </row>
    <row r="1221" spans="1:57" hidden="1" x14ac:dyDescent="0.25">
      <c r="A1221" s="7"/>
    </row>
    <row r="1222" spans="1:57" hidden="1" x14ac:dyDescent="0.25">
      <c r="A1222" s="3"/>
    </row>
    <row r="1223" spans="1:57" x14ac:dyDescent="0.25">
      <c r="A1223" s="28" t="s">
        <v>1</v>
      </c>
      <c r="AQ1223" s="5" t="s">
        <v>374</v>
      </c>
    </row>
    <row r="1224" spans="1:57" x14ac:dyDescent="0.25">
      <c r="A1224" s="7"/>
      <c r="B1224" s="3"/>
      <c r="D1224" s="3"/>
      <c r="E1224" s="3"/>
      <c r="F1224" s="3"/>
      <c r="H1224" s="3"/>
      <c r="I1224" s="3"/>
      <c r="J1224" s="3"/>
      <c r="K1224" s="3"/>
      <c r="L1224" s="3"/>
      <c r="N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4"/>
      <c r="AH1224" s="4"/>
      <c r="AJ1224" s="3"/>
      <c r="AK1224" s="3"/>
      <c r="AL1224" s="3"/>
      <c r="AM1224" s="3"/>
      <c r="AO1224" s="3"/>
      <c r="AP1224" s="3"/>
      <c r="AQ1224" s="3"/>
      <c r="AR1224" s="3"/>
      <c r="AS1224" s="3"/>
      <c r="AT1224" s="3"/>
      <c r="AU1224" s="3"/>
      <c r="AW1224" s="3"/>
      <c r="AY1224" s="3"/>
      <c r="AZ1224" s="42"/>
      <c r="BA1224" s="3"/>
      <c r="BB1224" s="42"/>
      <c r="BC1224" s="3"/>
      <c r="BE1224" s="3"/>
    </row>
    <row r="1225" spans="1:57" x14ac:dyDescent="0.25">
      <c r="A1225" s="7"/>
      <c r="B1225" s="3"/>
      <c r="D1225" s="3"/>
      <c r="E1225" s="3"/>
      <c r="F1225" s="3"/>
      <c r="H1225" s="3"/>
      <c r="I1225" s="3"/>
      <c r="J1225" s="3"/>
      <c r="K1225" s="3"/>
      <c r="L1225" s="3"/>
      <c r="N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4"/>
      <c r="AH1225" s="4"/>
      <c r="AJ1225" s="3"/>
      <c r="AK1225" s="3"/>
      <c r="AL1225" s="3"/>
      <c r="AM1225" s="3"/>
      <c r="AO1225" s="3"/>
      <c r="AP1225" s="3"/>
      <c r="AQ1225" s="3"/>
      <c r="AR1225" s="3"/>
      <c r="AS1225" s="3"/>
      <c r="AT1225" s="3"/>
      <c r="AU1225" s="3"/>
      <c r="AW1225" s="3"/>
      <c r="AY1225" s="3"/>
      <c r="AZ1225" s="42"/>
      <c r="BA1225" s="3"/>
      <c r="BB1225" s="42"/>
      <c r="BC1225" s="3"/>
      <c r="BE1225" s="3"/>
    </row>
    <row r="1226" spans="1:57" x14ac:dyDescent="0.25">
      <c r="A1226" s="7" t="s">
        <v>34</v>
      </c>
      <c r="B1226" s="36">
        <v>495770</v>
      </c>
      <c r="C1226" s="32"/>
      <c r="D1226" s="36"/>
      <c r="E1226" s="36"/>
      <c r="F1226" s="36">
        <v>300054</v>
      </c>
      <c r="G1226" s="32"/>
      <c r="H1226" s="36">
        <f>F1226-B1226</f>
        <v>-195716</v>
      </c>
      <c r="I1226" s="36"/>
      <c r="J1226" s="36"/>
      <c r="K1226" s="36"/>
      <c r="L1226" s="36">
        <v>300054</v>
      </c>
      <c r="M1226" s="32"/>
      <c r="N1226" s="36">
        <f>L1226-F1226</f>
        <v>0</v>
      </c>
      <c r="P1226" s="36">
        <v>365680</v>
      </c>
      <c r="T1226" s="36">
        <v>432011</v>
      </c>
      <c r="U1226" s="5">
        <f>T1226-P1226</f>
        <v>66331</v>
      </c>
      <c r="Y1226" s="36">
        <v>432011</v>
      </c>
      <c r="Z1226" s="5">
        <f>Y1226-T1226</f>
        <v>0</v>
      </c>
      <c r="AE1226" s="36">
        <v>432011</v>
      </c>
      <c r="AF1226" s="30"/>
      <c r="AH1226" s="36">
        <v>425373</v>
      </c>
      <c r="AI1226" s="32"/>
      <c r="AJ1226" s="36"/>
      <c r="AK1226" s="36"/>
      <c r="AL1226" s="36">
        <v>505419</v>
      </c>
      <c r="AM1226" s="36">
        <f>AL1226-AH1226</f>
        <v>80046</v>
      </c>
      <c r="AN1226" s="32"/>
      <c r="AO1226" s="36">
        <f>AH1237</f>
        <v>476612.18140000012</v>
      </c>
      <c r="AQ1226" s="36">
        <f>AO1237</f>
        <v>294627.65221700002</v>
      </c>
      <c r="AS1226" s="36">
        <f>AQ1237</f>
        <v>71035.452320697601</v>
      </c>
      <c r="AT1226" s="36"/>
      <c r="AU1226" s="36">
        <f>AS1237</f>
        <v>166084.33185344562</v>
      </c>
      <c r="AW1226" s="36">
        <f>AU1237</f>
        <v>16070.866139700869</v>
      </c>
      <c r="AY1226" s="36">
        <f>AW1237</f>
        <v>132452.36664376629</v>
      </c>
      <c r="BA1226" s="36">
        <f>AY1237</f>
        <v>185328.65119714069</v>
      </c>
      <c r="BC1226" s="36">
        <f>BA1237</f>
        <v>294533.75559449254</v>
      </c>
      <c r="BE1226" s="36">
        <f>BC1237</f>
        <v>328827.77577273885</v>
      </c>
    </row>
    <row r="1227" spans="1:57" x14ac:dyDescent="0.25">
      <c r="A1227" s="3"/>
      <c r="B1227" s="36"/>
      <c r="C1227" s="32"/>
      <c r="D1227" s="36"/>
      <c r="E1227" s="36"/>
      <c r="F1227" s="36"/>
      <c r="G1227" s="32"/>
      <c r="H1227" s="36"/>
      <c r="I1227" s="36"/>
      <c r="J1227" s="36"/>
      <c r="K1227" s="36"/>
      <c r="L1227" s="36"/>
      <c r="M1227" s="32"/>
      <c r="N1227" s="36"/>
      <c r="P1227" s="36"/>
      <c r="T1227" s="36"/>
      <c r="Y1227" s="36"/>
      <c r="AE1227" s="36"/>
      <c r="AF1227" s="30"/>
      <c r="AH1227" s="36"/>
      <c r="AI1227" s="32"/>
      <c r="AM1227" s="36">
        <f>AL1227-AH1227</f>
        <v>0</v>
      </c>
      <c r="AN1227" s="32"/>
      <c r="AO1227" s="36"/>
      <c r="AQ1227" s="36"/>
      <c r="AS1227" s="36"/>
      <c r="AT1227" s="36"/>
      <c r="AU1227" s="36"/>
      <c r="AW1227" s="36"/>
      <c r="AY1227" s="36"/>
      <c r="BA1227" s="36"/>
      <c r="BC1227" s="36"/>
      <c r="BE1227" s="36"/>
    </row>
    <row r="1228" spans="1:57" x14ac:dyDescent="0.25">
      <c r="A1228" s="7" t="s">
        <v>35</v>
      </c>
      <c r="B1228" s="36">
        <v>684000</v>
      </c>
      <c r="C1228" s="32"/>
      <c r="D1228" s="36"/>
      <c r="E1228" s="36"/>
      <c r="F1228" s="36">
        <f>F1268</f>
        <v>474000</v>
      </c>
      <c r="G1228" s="32"/>
      <c r="H1228" s="36">
        <f t="shared" ref="H1228:H1247" si="632">F1228-B1228</f>
        <v>-210000</v>
      </c>
      <c r="I1228" s="36"/>
      <c r="J1228" s="36"/>
      <c r="K1228" s="36"/>
      <c r="L1228" s="36">
        <f>L1268</f>
        <v>487698</v>
      </c>
      <c r="M1228" s="32"/>
      <c r="N1228" s="36">
        <f t="shared" ref="N1228:N1237" si="633">L1228-F1228</f>
        <v>13698</v>
      </c>
      <c r="P1228" s="36">
        <f>P1268</f>
        <v>541190</v>
      </c>
      <c r="T1228" s="36">
        <f>T1268</f>
        <v>541190</v>
      </c>
      <c r="U1228" s="5">
        <f t="shared" ref="U1228:U1237" si="634">T1228-P1228</f>
        <v>0</v>
      </c>
      <c r="Y1228" s="36">
        <f>Y1268</f>
        <v>558890</v>
      </c>
      <c r="Z1228" s="5">
        <f>Y1228-T1228</f>
        <v>17700</v>
      </c>
      <c r="AE1228" s="36">
        <f>AE1268</f>
        <v>565520</v>
      </c>
      <c r="AF1228" s="33">
        <f>AE1228-Y1228</f>
        <v>6630</v>
      </c>
      <c r="AH1228" s="36">
        <f>AH1268</f>
        <v>638989.25</v>
      </c>
      <c r="AI1228" s="32"/>
      <c r="AJ1228" s="36"/>
      <c r="AK1228" s="36"/>
      <c r="AL1228" s="36">
        <f>AL1268</f>
        <v>638990</v>
      </c>
      <c r="AM1228" s="36">
        <f>AL1228-AH1228</f>
        <v>0.75</v>
      </c>
      <c r="AN1228" s="32"/>
      <c r="AO1228" s="36">
        <f>AO1268</f>
        <v>701170.97875000001</v>
      </c>
      <c r="AQ1228" s="36">
        <f>AQ1268</f>
        <v>770442.41564375011</v>
      </c>
      <c r="AS1228" s="36">
        <f>AS1268</f>
        <v>850951.808332594</v>
      </c>
      <c r="AT1228" s="36"/>
      <c r="AU1228" s="36">
        <f>AU1268</f>
        <v>913057.01080759126</v>
      </c>
      <c r="AW1228" s="36">
        <f>AW1268</f>
        <v>979724.70356246398</v>
      </c>
      <c r="AY1228" s="36">
        <f>AY1268</f>
        <v>1027916.8747607492</v>
      </c>
      <c r="BA1228" s="36">
        <f>BA1268</f>
        <v>1075088.0254572679</v>
      </c>
      <c r="BC1228" s="36">
        <f>BC1268</f>
        <v>1116985.3350765251</v>
      </c>
      <c r="BE1228" s="36">
        <f>BE1268</f>
        <v>1171581.835160773</v>
      </c>
    </row>
    <row r="1229" spans="1:57" x14ac:dyDescent="0.25">
      <c r="A1229" s="7" t="s">
        <v>36</v>
      </c>
      <c r="B1229" s="35">
        <v>243000</v>
      </c>
      <c r="C1229" s="32"/>
      <c r="D1229" s="36"/>
      <c r="E1229" s="36"/>
      <c r="F1229" s="35">
        <f>F1273</f>
        <v>145000</v>
      </c>
      <c r="G1229" s="32"/>
      <c r="H1229" s="35">
        <f t="shared" si="632"/>
        <v>-98000</v>
      </c>
      <c r="I1229" s="36"/>
      <c r="J1229" s="36"/>
      <c r="K1229" s="36"/>
      <c r="L1229" s="35">
        <f>L1273</f>
        <v>145000</v>
      </c>
      <c r="M1229" s="32"/>
      <c r="N1229" s="35">
        <f t="shared" si="633"/>
        <v>0</v>
      </c>
      <c r="P1229" s="35">
        <f>P1273</f>
        <v>145000</v>
      </c>
      <c r="T1229" s="35">
        <f>T1273</f>
        <v>163000</v>
      </c>
      <c r="U1229" s="5">
        <f t="shared" si="634"/>
        <v>18000</v>
      </c>
      <c r="Y1229" s="35">
        <f>Y1273</f>
        <v>163000</v>
      </c>
      <c r="Z1229" s="5">
        <f>Y1229-T1229</f>
        <v>0</v>
      </c>
      <c r="AE1229" s="35">
        <f>AE1273</f>
        <v>163000</v>
      </c>
      <c r="AF1229" s="71">
        <f>AE1229-Y1229</f>
        <v>0</v>
      </c>
      <c r="AH1229" s="36">
        <f>AH1273</f>
        <v>145000</v>
      </c>
      <c r="AI1229" s="32"/>
      <c r="AJ1229" s="35"/>
      <c r="AK1229" s="35"/>
      <c r="AL1229" s="35">
        <f>AL1273</f>
        <v>125000</v>
      </c>
      <c r="AM1229" s="35">
        <f>AL1229-AH1229</f>
        <v>-20000</v>
      </c>
      <c r="AN1229" s="32"/>
      <c r="AO1229" s="35">
        <f>AO1273</f>
        <v>145000</v>
      </c>
      <c r="AQ1229" s="35">
        <f>AQ1273</f>
        <v>145000</v>
      </c>
      <c r="AS1229" s="35">
        <f>AS1273</f>
        <v>145000</v>
      </c>
      <c r="AT1229" s="35"/>
      <c r="AU1229" s="35">
        <f>AU1273</f>
        <v>145000</v>
      </c>
      <c r="AW1229" s="35">
        <f>AW1273</f>
        <v>145000</v>
      </c>
      <c r="AY1229" s="35">
        <f>AY1273</f>
        <v>145000</v>
      </c>
      <c r="BA1229" s="35">
        <f>BA1273</f>
        <v>145000</v>
      </c>
      <c r="BC1229" s="35">
        <f>BC1273</f>
        <v>145000</v>
      </c>
      <c r="BE1229" s="35">
        <f>BE1273</f>
        <v>145000</v>
      </c>
    </row>
    <row r="1230" spans="1:57" x14ac:dyDescent="0.25">
      <c r="A1230" s="3"/>
      <c r="B1230" s="36">
        <f>B1228+B1229</f>
        <v>927000</v>
      </c>
      <c r="C1230" s="32"/>
      <c r="D1230" s="36"/>
      <c r="E1230" s="36"/>
      <c r="F1230" s="36">
        <f>F1228+F1229</f>
        <v>619000</v>
      </c>
      <c r="G1230" s="32"/>
      <c r="H1230" s="36">
        <f t="shared" si="632"/>
        <v>-308000</v>
      </c>
      <c r="I1230" s="36"/>
      <c r="J1230" s="36"/>
      <c r="K1230" s="36"/>
      <c r="L1230" s="36">
        <f>L1228+L1229</f>
        <v>632698</v>
      </c>
      <c r="M1230" s="32"/>
      <c r="N1230" s="36">
        <f t="shared" si="633"/>
        <v>13698</v>
      </c>
      <c r="P1230" s="36">
        <f>P1228+P1229</f>
        <v>686190</v>
      </c>
      <c r="T1230" s="36">
        <f>T1228+T1229</f>
        <v>704190</v>
      </c>
      <c r="U1230" s="5">
        <f t="shared" si="634"/>
        <v>18000</v>
      </c>
      <c r="Y1230" s="36">
        <f>Y1228+Y1229</f>
        <v>721890</v>
      </c>
      <c r="Z1230" s="5">
        <f>Y1230-T1230</f>
        <v>17700</v>
      </c>
      <c r="AE1230" s="36">
        <f>AE1228+AE1229</f>
        <v>728520</v>
      </c>
      <c r="AF1230" s="33">
        <f>AE1230-Y1230</f>
        <v>6630</v>
      </c>
      <c r="AH1230" s="36">
        <f>AH1228+AH1229</f>
        <v>783989.25</v>
      </c>
      <c r="AI1230" s="32"/>
      <c r="AJ1230" s="36"/>
      <c r="AK1230" s="36"/>
      <c r="AL1230" s="36">
        <f>AL1228+AL1229</f>
        <v>763990</v>
      </c>
      <c r="AM1230" s="36">
        <f>AM1228+AM1229</f>
        <v>-19999.25</v>
      </c>
      <c r="AN1230" s="32"/>
      <c r="AO1230" s="36">
        <f>AO1228+AO1229</f>
        <v>846170.97875000001</v>
      </c>
      <c r="AQ1230" s="36">
        <f>AQ1228+AQ1229</f>
        <v>915442.41564375011</v>
      </c>
      <c r="AS1230" s="36">
        <f>AS1228+AS1229</f>
        <v>995951.808332594</v>
      </c>
      <c r="AT1230" s="36"/>
      <c r="AU1230" s="36">
        <f>AU1228+AU1229</f>
        <v>1058057.0108075913</v>
      </c>
      <c r="AW1230" s="36">
        <f>AW1228+AW1229</f>
        <v>1124724.7035624641</v>
      </c>
      <c r="AY1230" s="36">
        <f>AY1228+AY1229</f>
        <v>1172916.8747607493</v>
      </c>
      <c r="BA1230" s="36">
        <f>BA1228+BA1229</f>
        <v>1220088.0254572679</v>
      </c>
      <c r="BC1230" s="36">
        <f>BC1228+BC1229</f>
        <v>1261985.3350765251</v>
      </c>
      <c r="BE1230" s="36">
        <f>BE1228+BE1229</f>
        <v>1316581.835160773</v>
      </c>
    </row>
    <row r="1231" spans="1:57" x14ac:dyDescent="0.25">
      <c r="A1231" s="7"/>
      <c r="B1231" s="31"/>
      <c r="C1231" s="7"/>
      <c r="D1231" s="31"/>
      <c r="E1231" s="31"/>
      <c r="F1231" s="31"/>
      <c r="G1231" s="7"/>
      <c r="H1231" s="36">
        <f t="shared" si="632"/>
        <v>0</v>
      </c>
      <c r="I1231" s="36"/>
      <c r="J1231" s="36"/>
      <c r="K1231" s="36"/>
      <c r="L1231" s="31"/>
      <c r="M1231" s="32"/>
      <c r="N1231" s="36">
        <f t="shared" si="633"/>
        <v>0</v>
      </c>
      <c r="P1231" s="31"/>
      <c r="T1231" s="31"/>
      <c r="Y1231" s="31"/>
      <c r="AE1231" s="31"/>
      <c r="AF1231" s="33"/>
      <c r="AH1231" s="36"/>
      <c r="AI1231" s="32"/>
      <c r="AO1231" s="31"/>
      <c r="AQ1231" s="31"/>
      <c r="AS1231" s="31"/>
      <c r="AT1231" s="31"/>
      <c r="AU1231" s="31"/>
      <c r="AW1231" s="31"/>
      <c r="AY1231" s="31"/>
      <c r="BA1231" s="31"/>
      <c r="BC1231" s="31"/>
      <c r="BE1231" s="31"/>
    </row>
    <row r="1232" spans="1:57" x14ac:dyDescent="0.25">
      <c r="A1232" s="7" t="s">
        <v>37</v>
      </c>
      <c r="B1232" s="36">
        <f>B1311</f>
        <v>476800</v>
      </c>
      <c r="C1232" s="32"/>
      <c r="D1232" s="36"/>
      <c r="E1232" s="36"/>
      <c r="F1232" s="36">
        <f>F1311</f>
        <v>476802</v>
      </c>
      <c r="G1232" s="32"/>
      <c r="H1232" s="36">
        <f t="shared" si="632"/>
        <v>2</v>
      </c>
      <c r="I1232" s="36"/>
      <c r="J1232" s="36"/>
      <c r="K1232" s="36"/>
      <c r="L1232" s="36">
        <f>L1311</f>
        <v>487072</v>
      </c>
      <c r="M1232" s="32"/>
      <c r="N1232" s="36">
        <f t="shared" si="633"/>
        <v>10270</v>
      </c>
      <c r="P1232" s="36">
        <f>P1311</f>
        <v>508497.36699999997</v>
      </c>
      <c r="T1232" s="36">
        <f>T1311</f>
        <v>526900</v>
      </c>
      <c r="U1232" s="5">
        <f t="shared" si="634"/>
        <v>18402.633000000031</v>
      </c>
      <c r="V1232" s="32"/>
      <c r="W1232" s="32"/>
      <c r="X1232" s="32"/>
      <c r="Y1232" s="36">
        <f>Y1311</f>
        <v>533800</v>
      </c>
      <c r="Z1232" s="5">
        <f>Y1232-T1232</f>
        <v>6900</v>
      </c>
      <c r="AA1232" s="32"/>
      <c r="AB1232" s="32"/>
      <c r="AC1232" s="32"/>
      <c r="AD1232" s="32"/>
      <c r="AE1232" s="36">
        <f>AE1311</f>
        <v>531550</v>
      </c>
      <c r="AF1232" s="33">
        <f>AE1232-Y1232</f>
        <v>-2250</v>
      </c>
      <c r="AG1232" s="32"/>
      <c r="AH1232" s="36">
        <f>AH1311</f>
        <v>511750.06859999994</v>
      </c>
      <c r="AI1232" s="32"/>
      <c r="AJ1232" s="36"/>
      <c r="AK1232" s="36"/>
      <c r="AL1232" s="36">
        <f>AL1311</f>
        <v>521750</v>
      </c>
      <c r="AM1232" s="36">
        <f>AL1232-AH1232</f>
        <v>9999.9314000000595</v>
      </c>
      <c r="AN1232" s="32"/>
      <c r="AO1232" s="36">
        <f>AO1311</f>
        <v>526155.5079330001</v>
      </c>
      <c r="AP1232" s="32"/>
      <c r="AQ1232" s="36">
        <f>AQ1311</f>
        <v>540334.61554005253</v>
      </c>
      <c r="AR1232" s="32"/>
      <c r="AS1232" s="36">
        <f>AS1311</f>
        <v>571902.92879984598</v>
      </c>
      <c r="AT1232" s="36"/>
      <c r="AU1232" s="36">
        <f>AU1311</f>
        <v>567870.47652133601</v>
      </c>
      <c r="AV1232" s="32"/>
      <c r="AW1232" s="36">
        <f>AW1311</f>
        <v>582343.20305839868</v>
      </c>
      <c r="AX1232" s="32">
        <f>AY1311</f>
        <v>617340.59020737489</v>
      </c>
      <c r="AY1232" s="36">
        <f>AY1311</f>
        <v>617340.59020737489</v>
      </c>
      <c r="AZ1232" s="32">
        <f>BA1311</f>
        <v>632882.92105991603</v>
      </c>
      <c r="BA1232" s="36">
        <f>BA1311</f>
        <v>632882.92105991603</v>
      </c>
      <c r="BB1232" s="32"/>
      <c r="BC1232" s="36">
        <f>BC1311</f>
        <v>648991.3148982788</v>
      </c>
      <c r="BE1232" s="36">
        <f>BE1311</f>
        <v>665687.76368069812</v>
      </c>
    </row>
    <row r="1233" spans="1:57" x14ac:dyDescent="0.25">
      <c r="A1233" s="7" t="s">
        <v>38</v>
      </c>
      <c r="B1233" s="35">
        <f>B1340</f>
        <v>81250</v>
      </c>
      <c r="C1233" s="32"/>
      <c r="D1233" s="36"/>
      <c r="E1233" s="36"/>
      <c r="F1233" s="35">
        <f>F1340</f>
        <v>81250</v>
      </c>
      <c r="G1233" s="32"/>
      <c r="H1233" s="35">
        <f t="shared" si="632"/>
        <v>0</v>
      </c>
      <c r="I1233" s="36"/>
      <c r="J1233" s="36"/>
      <c r="K1233" s="36"/>
      <c r="L1233" s="35">
        <f>L1340</f>
        <v>80000</v>
      </c>
      <c r="M1233" s="32"/>
      <c r="N1233" s="35">
        <f t="shared" si="633"/>
        <v>-1250</v>
      </c>
      <c r="P1233" s="35">
        <f>P1340</f>
        <v>118000</v>
      </c>
      <c r="T1233" s="35">
        <f>T1340</f>
        <v>118000</v>
      </c>
      <c r="U1233" s="5">
        <f t="shared" si="634"/>
        <v>0</v>
      </c>
      <c r="V1233" s="32"/>
      <c r="W1233" s="32"/>
      <c r="X1233" s="32"/>
      <c r="Y1233" s="35">
        <f>Y1340</f>
        <v>118000</v>
      </c>
      <c r="Z1233" s="5">
        <f>Y1233-T1233</f>
        <v>0</v>
      </c>
      <c r="AA1233" s="32"/>
      <c r="AB1233" s="32"/>
      <c r="AC1233" s="32"/>
      <c r="AD1233" s="32"/>
      <c r="AE1233" s="35">
        <f>AE1340</f>
        <v>109200</v>
      </c>
      <c r="AF1233" s="71">
        <f>AE1233-Y1233</f>
        <v>-8800</v>
      </c>
      <c r="AG1233" s="32"/>
      <c r="AH1233" s="36">
        <f>AH1340</f>
        <v>221000</v>
      </c>
      <c r="AI1233" s="32"/>
      <c r="AJ1233" s="35"/>
      <c r="AK1233" s="35"/>
      <c r="AL1233" s="35">
        <f>AL1340</f>
        <v>221000</v>
      </c>
      <c r="AM1233" s="35">
        <f>AL1233-AH1233</f>
        <v>0</v>
      </c>
      <c r="AN1233" s="32"/>
      <c r="AO1233" s="35">
        <f>AO1340</f>
        <v>502000</v>
      </c>
      <c r="AP1233" s="32"/>
      <c r="AQ1233" s="35">
        <f>AQ1340</f>
        <v>598700</v>
      </c>
      <c r="AR1233" s="32"/>
      <c r="AS1233" s="35">
        <f>AS1340</f>
        <v>329000</v>
      </c>
      <c r="AT1233" s="35"/>
      <c r="AU1233" s="35">
        <f>AU1340</f>
        <v>640200</v>
      </c>
      <c r="AV1233" s="32"/>
      <c r="AW1233" s="35">
        <f>AW1340</f>
        <v>426000</v>
      </c>
      <c r="AX1233" s="32">
        <f>AY1340</f>
        <v>502700</v>
      </c>
      <c r="AY1233" s="35">
        <f>AY1340</f>
        <v>502700</v>
      </c>
      <c r="AZ1233" s="32">
        <f>BA1340</f>
        <v>478000</v>
      </c>
      <c r="BA1233" s="35">
        <f>BA1340</f>
        <v>478000</v>
      </c>
      <c r="BB1233" s="51"/>
      <c r="BC1233" s="35">
        <f>BC1340</f>
        <v>578700</v>
      </c>
      <c r="BE1233" s="35">
        <f>BE1340</f>
        <v>578700</v>
      </c>
    </row>
    <row r="1234" spans="1:57" x14ac:dyDescent="0.25">
      <c r="A1234" s="3"/>
      <c r="B1234" s="36">
        <f>B1232+B1233</f>
        <v>558050</v>
      </c>
      <c r="C1234" s="32"/>
      <c r="D1234" s="36"/>
      <c r="E1234" s="36"/>
      <c r="F1234" s="36">
        <f>F1232+F1233</f>
        <v>558052</v>
      </c>
      <c r="G1234" s="32"/>
      <c r="H1234" s="36">
        <f t="shared" si="632"/>
        <v>2</v>
      </c>
      <c r="I1234" s="36"/>
      <c r="J1234" s="36"/>
      <c r="K1234" s="36"/>
      <c r="L1234" s="36">
        <f>L1232+L1233</f>
        <v>567072</v>
      </c>
      <c r="M1234" s="32"/>
      <c r="N1234" s="36">
        <f t="shared" si="633"/>
        <v>9020</v>
      </c>
      <c r="P1234" s="36">
        <f>P1232+P1233</f>
        <v>626497.36699999997</v>
      </c>
      <c r="T1234" s="36">
        <f>T1232+T1233</f>
        <v>644900</v>
      </c>
      <c r="U1234" s="5">
        <f t="shared" si="634"/>
        <v>18402.633000000031</v>
      </c>
      <c r="V1234" s="32"/>
      <c r="W1234" s="32"/>
      <c r="X1234" s="32"/>
      <c r="Y1234" s="36">
        <f>Y1232+Y1233</f>
        <v>651800</v>
      </c>
      <c r="Z1234" s="5">
        <f>Y1234-T1234</f>
        <v>6900</v>
      </c>
      <c r="AA1234" s="32"/>
      <c r="AB1234" s="32"/>
      <c r="AC1234" s="32"/>
      <c r="AD1234" s="32"/>
      <c r="AE1234" s="36">
        <f>AE1232+AE1233</f>
        <v>640750</v>
      </c>
      <c r="AF1234" s="33">
        <f>AE1234-Y1234</f>
        <v>-11050</v>
      </c>
      <c r="AG1234" s="32"/>
      <c r="AH1234" s="36">
        <f>AH1232+AH1233</f>
        <v>732750.06859999988</v>
      </c>
      <c r="AI1234" s="32"/>
      <c r="AJ1234" s="36"/>
      <c r="AK1234" s="36"/>
      <c r="AL1234" s="36">
        <f>AL1232+AL1233</f>
        <v>742750</v>
      </c>
      <c r="AM1234" s="36">
        <f>AM1232+AM1233</f>
        <v>9999.9314000000595</v>
      </c>
      <c r="AN1234" s="32"/>
      <c r="AO1234" s="36">
        <f>AO1232+AO1233</f>
        <v>1028155.5079330001</v>
      </c>
      <c r="AP1234" s="32"/>
      <c r="AQ1234" s="36">
        <f>AQ1232+AQ1233</f>
        <v>1139034.6155400525</v>
      </c>
      <c r="AR1234" s="32">
        <f>AR1232+AR1233</f>
        <v>0</v>
      </c>
      <c r="AS1234" s="36">
        <f>AS1232+AS1233</f>
        <v>900902.92879984598</v>
      </c>
      <c r="AT1234" s="36"/>
      <c r="AU1234" s="36">
        <f>AU1232+AU1233</f>
        <v>1208070.476521336</v>
      </c>
      <c r="AV1234" s="32"/>
      <c r="AW1234" s="36">
        <f>AW1232+AW1233</f>
        <v>1008343.2030583987</v>
      </c>
      <c r="AX1234" s="32">
        <f>AX1232+AX1233</f>
        <v>1120040.5902073749</v>
      </c>
      <c r="AY1234" s="36">
        <f>AY1232+AY1233</f>
        <v>1120040.5902073749</v>
      </c>
      <c r="AZ1234" s="32">
        <f>AZ1232+AZ1233</f>
        <v>1110882.921059916</v>
      </c>
      <c r="BA1234" s="36">
        <f>BA1232+BA1233</f>
        <v>1110882.921059916</v>
      </c>
      <c r="BB1234" s="51"/>
      <c r="BC1234" s="36">
        <f>BC1232+BC1233</f>
        <v>1227691.3148982788</v>
      </c>
      <c r="BE1234" s="36">
        <f>BE1232+BE1233</f>
        <v>1244387.7636806981</v>
      </c>
    </row>
    <row r="1235" spans="1:57" x14ac:dyDescent="0.25">
      <c r="A1235" s="3"/>
      <c r="B1235" s="36"/>
      <c r="C1235" s="32"/>
      <c r="D1235" s="36"/>
      <c r="E1235" s="36"/>
      <c r="F1235" s="36"/>
      <c r="G1235" s="32"/>
      <c r="H1235" s="36">
        <f t="shared" si="632"/>
        <v>0</v>
      </c>
      <c r="I1235" s="36"/>
      <c r="J1235" s="36"/>
      <c r="K1235" s="36"/>
      <c r="L1235" s="36"/>
      <c r="M1235" s="32"/>
      <c r="N1235" s="36">
        <f t="shared" si="633"/>
        <v>0</v>
      </c>
      <c r="P1235" s="36"/>
      <c r="T1235" s="36"/>
      <c r="Y1235" s="36"/>
      <c r="AE1235" s="36"/>
      <c r="AF1235" s="33"/>
      <c r="AH1235" s="36"/>
      <c r="AI1235" s="32"/>
      <c r="AJ1235" s="3"/>
      <c r="AK1235" s="3"/>
      <c r="AL1235" s="3"/>
      <c r="AM1235" s="3"/>
      <c r="AO1235" s="36"/>
      <c r="AQ1235" s="36"/>
      <c r="AR1235" s="3"/>
      <c r="AS1235" s="36"/>
      <c r="AT1235" s="36"/>
      <c r="AU1235" s="36"/>
      <c r="AW1235" s="36"/>
      <c r="AY1235" s="36"/>
      <c r="BA1235" s="36"/>
      <c r="BC1235" s="36"/>
      <c r="BE1235" s="36"/>
    </row>
    <row r="1236" spans="1:57" x14ac:dyDescent="0.25">
      <c r="A1236" s="7" t="s">
        <v>41</v>
      </c>
      <c r="B1236" s="35">
        <f>B1230-B1234</f>
        <v>368950</v>
      </c>
      <c r="C1236" s="32"/>
      <c r="D1236" s="36"/>
      <c r="E1236" s="36"/>
      <c r="F1236" s="35">
        <f>F1230-F1234</f>
        <v>60948</v>
      </c>
      <c r="G1236" s="32"/>
      <c r="H1236" s="35">
        <f t="shared" si="632"/>
        <v>-308002</v>
      </c>
      <c r="I1236" s="36"/>
      <c r="J1236" s="36"/>
      <c r="K1236" s="36"/>
      <c r="L1236" s="35">
        <f>L1230-L1234</f>
        <v>65626</v>
      </c>
      <c r="M1236" s="32"/>
      <c r="N1236" s="35">
        <f t="shared" si="633"/>
        <v>4678</v>
      </c>
      <c r="P1236" s="35">
        <f>P1230-P1234</f>
        <v>59692.633000000031</v>
      </c>
      <c r="T1236" s="35">
        <f>T1230-T1234</f>
        <v>59290</v>
      </c>
      <c r="U1236" s="61">
        <f t="shared" si="634"/>
        <v>-402.63300000003073</v>
      </c>
      <c r="Y1236" s="35">
        <f>Y1230-Y1234</f>
        <v>70090</v>
      </c>
      <c r="Z1236" s="61">
        <f>Y1236-T1236</f>
        <v>10800</v>
      </c>
      <c r="AE1236" s="35">
        <f>AE1230-AE1234</f>
        <v>87770</v>
      </c>
      <c r="AF1236" s="71">
        <f>AE1236-Y1236</f>
        <v>17680</v>
      </c>
      <c r="AH1236" s="36">
        <f>AH1230-AH1234</f>
        <v>51239.181400000118</v>
      </c>
      <c r="AI1236" s="32"/>
      <c r="AJ1236" s="35"/>
      <c r="AK1236" s="35"/>
      <c r="AL1236" s="35">
        <f>AL1230-AL1234</f>
        <v>21240</v>
      </c>
      <c r="AM1236" s="35">
        <f>AL1236-AH1236</f>
        <v>-29999.181400000118</v>
      </c>
      <c r="AN1236" s="32"/>
      <c r="AO1236" s="35">
        <f>AO1230-AO1234</f>
        <v>-181984.52918300009</v>
      </c>
      <c r="AQ1236" s="35">
        <f>AQ1230-AQ1234</f>
        <v>-223592.19989630242</v>
      </c>
      <c r="AS1236" s="35">
        <f>AS1230-AS1234</f>
        <v>95048.879532748018</v>
      </c>
      <c r="AT1236" s="35"/>
      <c r="AU1236" s="35">
        <f>AU1230-AU1234</f>
        <v>-150013.46571374475</v>
      </c>
      <c r="AW1236" s="35">
        <f>AW1230-AW1234</f>
        <v>116381.50050406542</v>
      </c>
      <c r="AY1236" s="35">
        <f>AY1230-AY1234</f>
        <v>52876.284553374397</v>
      </c>
      <c r="BA1236" s="35">
        <f>BA1230-BA1234</f>
        <v>109205.10439735185</v>
      </c>
      <c r="BC1236" s="35">
        <f>BC1230-BC1234</f>
        <v>34294.020178246312</v>
      </c>
      <c r="BE1236" s="35">
        <f>BE1230-BE1234</f>
        <v>72194.071480074897</v>
      </c>
    </row>
    <row r="1237" spans="1:57" x14ac:dyDescent="0.25">
      <c r="A1237" s="7" t="s">
        <v>42</v>
      </c>
      <c r="B1237" s="36">
        <f>B1226+B1236</f>
        <v>864720</v>
      </c>
      <c r="C1237" s="32"/>
      <c r="D1237" s="36"/>
      <c r="E1237" s="36"/>
      <c r="F1237" s="36">
        <f>F1226+F1236</f>
        <v>361002</v>
      </c>
      <c r="G1237" s="32"/>
      <c r="H1237" s="36">
        <f t="shared" si="632"/>
        <v>-503718</v>
      </c>
      <c r="I1237" s="36"/>
      <c r="J1237" s="36"/>
      <c r="K1237" s="36"/>
      <c r="L1237" s="36">
        <f>L1226+L1236</f>
        <v>365680</v>
      </c>
      <c r="M1237" s="32"/>
      <c r="N1237" s="36">
        <f t="shared" si="633"/>
        <v>4678</v>
      </c>
      <c r="P1237" s="36">
        <f>P1226+P1236</f>
        <v>425372.63300000003</v>
      </c>
      <c r="T1237" s="36">
        <f>T1226+T1236</f>
        <v>491301</v>
      </c>
      <c r="U1237" s="5">
        <f t="shared" si="634"/>
        <v>65928.366999999969</v>
      </c>
      <c r="Y1237" s="36">
        <f>Y1226+Y1236</f>
        <v>502101</v>
      </c>
      <c r="Z1237" s="5">
        <f>Y1237-T1237</f>
        <v>10800</v>
      </c>
      <c r="AE1237" s="36">
        <f>AE1226+AE1236</f>
        <v>519781</v>
      </c>
      <c r="AF1237" s="33">
        <f>AE1237-Y1237</f>
        <v>17680</v>
      </c>
      <c r="AH1237" s="36">
        <f>AH1226+AH1236</f>
        <v>476612.18140000012</v>
      </c>
      <c r="AI1237" s="32"/>
      <c r="AJ1237" s="36"/>
      <c r="AK1237" s="36"/>
      <c r="AL1237" s="36">
        <f>AL1226+AL1236</f>
        <v>526659</v>
      </c>
      <c r="AM1237" s="36">
        <f>AM1226+AM1236</f>
        <v>50046.818599999882</v>
      </c>
      <c r="AN1237" s="32"/>
      <c r="AO1237" s="36">
        <f>AO1226+AO1236</f>
        <v>294627.65221700002</v>
      </c>
      <c r="AQ1237" s="36">
        <f>AQ1226+AQ1236</f>
        <v>71035.452320697601</v>
      </c>
      <c r="AS1237" s="36">
        <f>AS1226+AS1236</f>
        <v>166084.33185344562</v>
      </c>
      <c r="AT1237" s="36"/>
      <c r="AU1237" s="36">
        <f>AU1226+AU1236</f>
        <v>16070.866139700869</v>
      </c>
      <c r="AW1237" s="36">
        <f>AW1226+AW1236</f>
        <v>132452.36664376629</v>
      </c>
      <c r="AY1237" s="36">
        <f>AY1226+AY1236</f>
        <v>185328.65119714069</v>
      </c>
      <c r="BA1237" s="36">
        <f>BA1226+BA1236</f>
        <v>294533.75559449254</v>
      </c>
      <c r="BC1237" s="36">
        <f>BC1226+BC1236</f>
        <v>328827.77577273885</v>
      </c>
      <c r="BE1237" s="36">
        <f>BE1226+BE1236</f>
        <v>401021.84725281375</v>
      </c>
    </row>
    <row r="1238" spans="1:57" x14ac:dyDescent="0.25">
      <c r="A1238" s="3"/>
      <c r="B1238" s="36"/>
      <c r="C1238" s="32"/>
      <c r="D1238" s="36"/>
      <c r="E1238" s="36"/>
      <c r="F1238" s="36"/>
      <c r="G1238" s="32"/>
      <c r="H1238" s="36">
        <f t="shared" si="632"/>
        <v>0</v>
      </c>
      <c r="I1238" s="36"/>
      <c r="J1238" s="36"/>
      <c r="K1238" s="36"/>
      <c r="L1238" s="36"/>
      <c r="M1238" s="32"/>
      <c r="N1238" s="36"/>
      <c r="P1238" s="36"/>
      <c r="T1238" s="36"/>
      <c r="Y1238" s="36"/>
      <c r="AE1238" s="36"/>
      <c r="AF1238" s="33"/>
      <c r="AH1238" s="36"/>
      <c r="AI1238" s="32"/>
      <c r="AO1238" s="36"/>
      <c r="AQ1238" s="36"/>
      <c r="AS1238" s="36"/>
      <c r="AT1238" s="36"/>
      <c r="AU1238" s="36"/>
      <c r="AW1238" s="36"/>
      <c r="AY1238" s="36"/>
      <c r="BA1238" s="36"/>
      <c r="BC1238" s="36"/>
      <c r="BE1238" s="36"/>
    </row>
    <row r="1239" spans="1:57" x14ac:dyDescent="0.25">
      <c r="A1239" s="28" t="s">
        <v>7</v>
      </c>
      <c r="B1239" s="31"/>
      <c r="C1239" s="7"/>
      <c r="D1239" s="31"/>
      <c r="E1239" s="31"/>
      <c r="F1239" s="31"/>
      <c r="G1239" s="7"/>
      <c r="H1239" s="36">
        <f t="shared" si="632"/>
        <v>0</v>
      </c>
      <c r="I1239" s="36"/>
      <c r="J1239" s="36"/>
      <c r="K1239" s="36"/>
      <c r="L1239" s="31"/>
      <c r="M1239" s="32"/>
      <c r="N1239" s="36"/>
      <c r="P1239" s="31"/>
      <c r="T1239" s="31"/>
      <c r="Y1239" s="31"/>
      <c r="AE1239" s="31"/>
      <c r="AF1239" s="33"/>
      <c r="AH1239" s="36"/>
      <c r="AI1239" s="32"/>
      <c r="AO1239" s="31"/>
      <c r="AQ1239" s="31"/>
      <c r="AS1239" s="31"/>
      <c r="AT1239" s="31"/>
      <c r="AU1239" s="31"/>
      <c r="AW1239" s="31"/>
      <c r="AY1239" s="31"/>
      <c r="BA1239" s="31"/>
      <c r="BC1239" s="31"/>
      <c r="BE1239" s="31"/>
    </row>
    <row r="1240" spans="1:57" x14ac:dyDescent="0.25">
      <c r="A1240" s="7"/>
      <c r="B1240" s="31"/>
      <c r="C1240" s="7"/>
      <c r="D1240" s="31"/>
      <c r="E1240" s="31"/>
      <c r="F1240" s="31"/>
      <c r="G1240" s="7"/>
      <c r="H1240" s="36">
        <f t="shared" si="632"/>
        <v>0</v>
      </c>
      <c r="I1240" s="36"/>
      <c r="J1240" s="36"/>
      <c r="K1240" s="36"/>
      <c r="L1240" s="31"/>
      <c r="M1240" s="32"/>
      <c r="N1240" s="36"/>
      <c r="P1240" s="31"/>
      <c r="T1240" s="31"/>
      <c r="Y1240" s="31"/>
      <c r="AE1240" s="31"/>
      <c r="AF1240" s="33"/>
      <c r="AH1240" s="36"/>
      <c r="AI1240" s="32"/>
      <c r="AO1240" s="31"/>
      <c r="AQ1240" s="31"/>
      <c r="AS1240" s="31"/>
      <c r="AT1240" s="31"/>
      <c r="AU1240" s="31"/>
      <c r="AW1240" s="31"/>
      <c r="AY1240" s="31"/>
      <c r="BA1240" s="31"/>
      <c r="BC1240" s="31"/>
      <c r="BE1240" s="31"/>
    </row>
    <row r="1241" spans="1:57" x14ac:dyDescent="0.25">
      <c r="A1241" s="7"/>
      <c r="B1241" s="36"/>
      <c r="C1241" s="32"/>
      <c r="D1241" s="36"/>
      <c r="E1241" s="36"/>
      <c r="F1241" s="36"/>
      <c r="G1241" s="32"/>
      <c r="H1241" s="36">
        <f t="shared" si="632"/>
        <v>0</v>
      </c>
      <c r="I1241" s="36"/>
      <c r="J1241" s="36"/>
      <c r="K1241" s="36"/>
      <c r="L1241" s="36"/>
      <c r="M1241" s="32"/>
      <c r="N1241" s="36"/>
      <c r="P1241" s="36"/>
      <c r="T1241" s="36"/>
      <c r="Y1241" s="36"/>
      <c r="AE1241" s="36"/>
      <c r="AF1241" s="33"/>
      <c r="AH1241" s="36"/>
      <c r="AI1241" s="32"/>
      <c r="AO1241" s="36"/>
      <c r="AQ1241" s="36"/>
      <c r="AS1241" s="36"/>
      <c r="AT1241" s="36"/>
      <c r="AU1241" s="36"/>
      <c r="AW1241" s="36"/>
      <c r="AY1241" s="36"/>
      <c r="BA1241" s="36"/>
      <c r="BC1241" s="36"/>
      <c r="BE1241" s="36"/>
    </row>
    <row r="1242" spans="1:57" x14ac:dyDescent="0.25">
      <c r="A1242" s="7" t="s">
        <v>34</v>
      </c>
      <c r="B1242" s="31">
        <v>0</v>
      </c>
      <c r="C1242" s="7"/>
      <c r="D1242" s="31"/>
      <c r="E1242" s="31"/>
      <c r="F1242" s="31">
        <v>0</v>
      </c>
      <c r="G1242" s="7"/>
      <c r="H1242" s="36">
        <f t="shared" si="632"/>
        <v>0</v>
      </c>
      <c r="I1242" s="36"/>
      <c r="J1242" s="36"/>
      <c r="K1242" s="36"/>
      <c r="L1242" s="31">
        <v>0</v>
      </c>
      <c r="M1242" s="32"/>
      <c r="N1242" s="36">
        <f t="shared" ref="N1242:N1247" si="635">L1242-F1242</f>
        <v>0</v>
      </c>
      <c r="P1242" s="31">
        <v>0</v>
      </c>
      <c r="T1242" s="31">
        <v>0</v>
      </c>
      <c r="U1242" s="5">
        <f t="shared" ref="U1242:U1247" si="636">T1242-P1242</f>
        <v>0</v>
      </c>
      <c r="Y1242" s="31">
        <v>0</v>
      </c>
      <c r="Z1242" s="5">
        <f>Y1242-T1242</f>
        <v>0</v>
      </c>
      <c r="AE1242" s="31">
        <v>0</v>
      </c>
      <c r="AF1242" s="33">
        <f t="shared" ref="AF1242:AF1247" si="637">AE1242-Y1242</f>
        <v>0</v>
      </c>
      <c r="AH1242" s="36">
        <f>P1247</f>
        <v>50000</v>
      </c>
      <c r="AI1242" s="32"/>
      <c r="AJ1242" s="31"/>
      <c r="AK1242" s="31"/>
      <c r="AL1242" s="31">
        <v>200000</v>
      </c>
      <c r="AM1242" s="31">
        <f>AL1242-AH1242</f>
        <v>150000</v>
      </c>
      <c r="AN1242" s="32"/>
      <c r="AO1242" s="31">
        <f>AH1247</f>
        <v>250000</v>
      </c>
      <c r="AQ1242" s="31">
        <f>AO1247</f>
        <v>550000</v>
      </c>
      <c r="AS1242" s="31">
        <f>AQ1247</f>
        <v>725000</v>
      </c>
      <c r="AT1242" s="31"/>
      <c r="AU1242" s="31">
        <f>AS1247</f>
        <v>1025000</v>
      </c>
      <c r="AW1242" s="31">
        <f>AU1247</f>
        <v>1025000</v>
      </c>
      <c r="AY1242" s="31">
        <f>AW1247</f>
        <v>1425000</v>
      </c>
      <c r="BA1242" s="31">
        <f>AY1247</f>
        <v>1675000</v>
      </c>
      <c r="BC1242" s="31">
        <f>BA1247</f>
        <v>1925000</v>
      </c>
      <c r="BE1242" s="31">
        <f>BC1247</f>
        <v>2050000</v>
      </c>
    </row>
    <row r="1243" spans="1:57" x14ac:dyDescent="0.25">
      <c r="A1243" s="3"/>
      <c r="B1243" s="31"/>
      <c r="C1243" s="7"/>
      <c r="D1243" s="31"/>
      <c r="E1243" s="31"/>
      <c r="F1243" s="31"/>
      <c r="G1243" s="7"/>
      <c r="H1243" s="36">
        <f t="shared" si="632"/>
        <v>0</v>
      </c>
      <c r="I1243" s="36"/>
      <c r="J1243" s="36"/>
      <c r="K1243" s="36"/>
      <c r="L1243" s="31"/>
      <c r="M1243" s="32"/>
      <c r="N1243" s="36"/>
      <c r="P1243" s="31"/>
      <c r="T1243" s="31"/>
      <c r="Y1243" s="31"/>
      <c r="AE1243" s="31"/>
      <c r="AF1243" s="33">
        <f t="shared" si="637"/>
        <v>0</v>
      </c>
      <c r="AH1243" s="36"/>
      <c r="AI1243" s="32"/>
      <c r="AO1243" s="31"/>
      <c r="AQ1243" s="31"/>
      <c r="AS1243" s="31"/>
      <c r="AT1243" s="31"/>
      <c r="AU1243" s="31"/>
      <c r="AW1243" s="31"/>
      <c r="AY1243" s="31"/>
      <c r="BA1243" s="31"/>
      <c r="BC1243" s="31"/>
      <c r="BE1243" s="31"/>
    </row>
    <row r="1244" spans="1:57" x14ac:dyDescent="0.25">
      <c r="A1244" s="7" t="s">
        <v>43</v>
      </c>
      <c r="B1244" s="36">
        <f>B1339</f>
        <v>20000</v>
      </c>
      <c r="C1244" s="32"/>
      <c r="D1244" s="36"/>
      <c r="E1244" s="36"/>
      <c r="F1244" s="36">
        <f>F1339</f>
        <v>20000</v>
      </c>
      <c r="G1244" s="32"/>
      <c r="H1244" s="36">
        <f t="shared" si="632"/>
        <v>0</v>
      </c>
      <c r="I1244" s="36"/>
      <c r="J1244" s="36"/>
      <c r="K1244" s="36"/>
      <c r="L1244" s="36">
        <f>L1339</f>
        <v>20000</v>
      </c>
      <c r="M1244" s="32"/>
      <c r="N1244" s="36">
        <f t="shared" si="635"/>
        <v>0</v>
      </c>
      <c r="P1244" s="36">
        <f>P1339</f>
        <v>50000</v>
      </c>
      <c r="T1244" s="36">
        <f>T1339</f>
        <v>50000</v>
      </c>
      <c r="U1244" s="5">
        <f t="shared" si="636"/>
        <v>0</v>
      </c>
      <c r="Y1244" s="36">
        <f>Y1339</f>
        <v>50000</v>
      </c>
      <c r="Z1244" s="5">
        <f>Y1244-T1244</f>
        <v>0</v>
      </c>
      <c r="AE1244" s="36">
        <f>AE1339</f>
        <v>50000</v>
      </c>
      <c r="AF1244" s="33">
        <f t="shared" si="637"/>
        <v>0</v>
      </c>
      <c r="AH1244" s="36">
        <f>AH1339</f>
        <v>200000</v>
      </c>
      <c r="AI1244" s="32"/>
      <c r="AJ1244" s="36"/>
      <c r="AK1244" s="36"/>
      <c r="AL1244" s="36">
        <v>200000</v>
      </c>
      <c r="AM1244" s="36">
        <f>AM1339</f>
        <v>0</v>
      </c>
      <c r="AN1244" s="32"/>
      <c r="AO1244" s="36">
        <f>AO1339</f>
        <v>300000</v>
      </c>
      <c r="AQ1244" s="36">
        <f>AQ1339</f>
        <v>175000</v>
      </c>
      <c r="AS1244" s="36">
        <f>AS1339</f>
        <v>300000</v>
      </c>
      <c r="AT1244" s="36"/>
      <c r="AU1244" s="36">
        <f>AU1339</f>
        <v>0</v>
      </c>
      <c r="AW1244" s="36">
        <f>AW1339</f>
        <v>400000</v>
      </c>
      <c r="AY1244" s="36">
        <f>AY1339</f>
        <v>250000</v>
      </c>
      <c r="BA1244" s="36">
        <f>BA1339</f>
        <v>250000</v>
      </c>
      <c r="BC1244" s="36">
        <f>BC1339</f>
        <v>125000</v>
      </c>
      <c r="BE1244" s="36">
        <f>BE1339</f>
        <v>125000</v>
      </c>
    </row>
    <row r="1245" spans="1:57" x14ac:dyDescent="0.25">
      <c r="A1245" s="7" t="s">
        <v>44</v>
      </c>
      <c r="B1245" s="35"/>
      <c r="C1245" s="32"/>
      <c r="D1245" s="36"/>
      <c r="E1245" s="36"/>
      <c r="F1245" s="35"/>
      <c r="G1245" s="32"/>
      <c r="H1245" s="35">
        <f t="shared" si="632"/>
        <v>0</v>
      </c>
      <c r="I1245" s="36"/>
      <c r="J1245" s="36"/>
      <c r="K1245" s="36"/>
      <c r="L1245" s="35"/>
      <c r="M1245" s="32"/>
      <c r="N1245" s="35">
        <f t="shared" si="635"/>
        <v>0</v>
      </c>
      <c r="P1245" s="35"/>
      <c r="T1245" s="35"/>
      <c r="U1245" s="5">
        <f t="shared" si="636"/>
        <v>0</v>
      </c>
      <c r="Y1245" s="35"/>
      <c r="Z1245" s="5">
        <f>Y1245-T1245</f>
        <v>0</v>
      </c>
      <c r="AE1245" s="35"/>
      <c r="AF1245" s="71">
        <f t="shared" si="637"/>
        <v>0</v>
      </c>
      <c r="AH1245" s="36"/>
      <c r="AI1245" s="32"/>
      <c r="AJ1245" s="35"/>
      <c r="AK1245" s="35"/>
      <c r="AL1245" s="35"/>
      <c r="AM1245" s="35"/>
      <c r="AN1245" s="32"/>
      <c r="AO1245" s="35"/>
      <c r="AQ1245" s="35"/>
      <c r="AS1245" s="35"/>
      <c r="AT1245" s="35"/>
      <c r="AU1245" s="35"/>
      <c r="AW1245" s="35"/>
      <c r="AY1245" s="35"/>
      <c r="BA1245" s="35"/>
      <c r="BC1245" s="35"/>
      <c r="BE1245" s="35"/>
    </row>
    <row r="1246" spans="1:57" x14ac:dyDescent="0.25">
      <c r="A1246" s="7" t="s">
        <v>41</v>
      </c>
      <c r="B1246" s="36">
        <f>B1244-B1245</f>
        <v>20000</v>
      </c>
      <c r="C1246" s="32"/>
      <c r="D1246" s="36"/>
      <c r="E1246" s="36"/>
      <c r="F1246" s="36">
        <f>F1244-F1245</f>
        <v>20000</v>
      </c>
      <c r="G1246" s="32"/>
      <c r="H1246" s="36">
        <f t="shared" si="632"/>
        <v>0</v>
      </c>
      <c r="I1246" s="36"/>
      <c r="J1246" s="36"/>
      <c r="K1246" s="36"/>
      <c r="L1246" s="36">
        <f>L1244-L1245</f>
        <v>20000</v>
      </c>
      <c r="M1246" s="32"/>
      <c r="N1246" s="36">
        <f t="shared" si="635"/>
        <v>0</v>
      </c>
      <c r="P1246" s="36">
        <f>P1244-P1245</f>
        <v>50000</v>
      </c>
      <c r="T1246" s="36">
        <f>T1244-T1245</f>
        <v>50000</v>
      </c>
      <c r="U1246" s="5">
        <f t="shared" si="636"/>
        <v>0</v>
      </c>
      <c r="Y1246" s="36">
        <f>Y1244-Y1245</f>
        <v>50000</v>
      </c>
      <c r="Z1246" s="5">
        <f>Y1246-T1246</f>
        <v>0</v>
      </c>
      <c r="AE1246" s="36">
        <f>AE1244-AE1245</f>
        <v>50000</v>
      </c>
      <c r="AF1246" s="33">
        <f t="shared" si="637"/>
        <v>0</v>
      </c>
      <c r="AH1246" s="36">
        <f>AH1244-AH1245</f>
        <v>200000</v>
      </c>
      <c r="AI1246" s="32"/>
      <c r="AJ1246" s="36"/>
      <c r="AK1246" s="36"/>
      <c r="AL1246" s="36">
        <f>SUM(AL1244:AL1245)</f>
        <v>200000</v>
      </c>
      <c r="AM1246" s="36">
        <f>AM1244-AM1245</f>
        <v>0</v>
      </c>
      <c r="AN1246" s="32"/>
      <c r="AO1246" s="36">
        <f>AO1244-AO1245</f>
        <v>300000</v>
      </c>
      <c r="AQ1246" s="36">
        <f>AQ1244-AQ1245</f>
        <v>175000</v>
      </c>
      <c r="AS1246" s="36">
        <f>AS1244-AS1245</f>
        <v>300000</v>
      </c>
      <c r="AT1246" s="36"/>
      <c r="AU1246" s="36">
        <f>AU1244-AU1245</f>
        <v>0</v>
      </c>
      <c r="AW1246" s="36">
        <f>AW1244-AW1245</f>
        <v>400000</v>
      </c>
      <c r="AY1246" s="36">
        <f>AY1244-AY1245</f>
        <v>250000</v>
      </c>
      <c r="BA1246" s="36">
        <f>BA1244-BA1245</f>
        <v>250000</v>
      </c>
      <c r="BC1246" s="36">
        <f>BC1244-BC1245</f>
        <v>125000</v>
      </c>
      <c r="BE1246" s="36">
        <f>BE1244-BE1245</f>
        <v>125000</v>
      </c>
    </row>
    <row r="1247" spans="1:57" x14ac:dyDescent="0.25">
      <c r="A1247" s="7" t="s">
        <v>42</v>
      </c>
      <c r="B1247" s="36">
        <f>B1242+B1246</f>
        <v>20000</v>
      </c>
      <c r="C1247" s="32"/>
      <c r="D1247" s="36"/>
      <c r="E1247" s="36"/>
      <c r="F1247" s="36">
        <f>F1242+F1246</f>
        <v>20000</v>
      </c>
      <c r="G1247" s="32"/>
      <c r="H1247" s="36">
        <f t="shared" si="632"/>
        <v>0</v>
      </c>
      <c r="I1247" s="36"/>
      <c r="J1247" s="36"/>
      <c r="K1247" s="36"/>
      <c r="L1247" s="36">
        <f>L1242+L1246</f>
        <v>20000</v>
      </c>
      <c r="M1247" s="32"/>
      <c r="N1247" s="36">
        <f t="shared" si="635"/>
        <v>0</v>
      </c>
      <c r="P1247" s="36">
        <f>P1242+P1246</f>
        <v>50000</v>
      </c>
      <c r="T1247" s="36">
        <f>T1242+T1246</f>
        <v>50000</v>
      </c>
      <c r="U1247" s="5">
        <f t="shared" si="636"/>
        <v>0</v>
      </c>
      <c r="Y1247" s="36">
        <f>Y1242+Y1246</f>
        <v>50000</v>
      </c>
      <c r="Z1247" s="5">
        <f>Y1247-T1247</f>
        <v>0</v>
      </c>
      <c r="AE1247" s="36">
        <f>AE1242+AE1246</f>
        <v>50000</v>
      </c>
      <c r="AF1247" s="33">
        <f t="shared" si="637"/>
        <v>0</v>
      </c>
      <c r="AH1247" s="36">
        <f>AH1242+AH1246</f>
        <v>250000</v>
      </c>
      <c r="AI1247" s="32"/>
      <c r="AJ1247" s="36"/>
      <c r="AK1247" s="36"/>
      <c r="AL1247" s="36">
        <f>AL1242+AL1246</f>
        <v>400000</v>
      </c>
      <c r="AM1247" s="36">
        <f>AL1247-AH1247</f>
        <v>150000</v>
      </c>
      <c r="AN1247" s="32"/>
      <c r="AO1247" s="36">
        <f>AO1246+AH1247</f>
        <v>550000</v>
      </c>
      <c r="AQ1247" s="36">
        <f>AQ1246+AO1247</f>
        <v>725000</v>
      </c>
      <c r="AS1247" s="36">
        <f>AS1246+AQ1247</f>
        <v>1025000</v>
      </c>
      <c r="AT1247" s="36"/>
      <c r="AU1247" s="36">
        <f>AU1242+AU1246</f>
        <v>1025000</v>
      </c>
      <c r="AW1247" s="36">
        <f>AW1242+AW1246</f>
        <v>1425000</v>
      </c>
      <c r="AY1247" s="36">
        <f>AY1242+AY1246</f>
        <v>1675000</v>
      </c>
      <c r="BA1247" s="36">
        <f>BA1242+BA1246</f>
        <v>1925000</v>
      </c>
      <c r="BC1247" s="36">
        <f>BC1242+BC1246</f>
        <v>2050000</v>
      </c>
      <c r="BE1247" s="36">
        <f>BE1242+BE1246</f>
        <v>2175000</v>
      </c>
    </row>
    <row r="1248" spans="1:57" x14ac:dyDescent="0.25">
      <c r="A1248" s="7"/>
    </row>
    <row r="1249" spans="1:57" x14ac:dyDescent="0.25">
      <c r="A1249" s="7"/>
    </row>
    <row r="1250" spans="1:57" x14ac:dyDescent="0.25">
      <c r="A1250" s="1" t="s">
        <v>885</v>
      </c>
    </row>
    <row r="1251" spans="1:57" x14ac:dyDescent="0.25">
      <c r="A1251" s="28" t="s">
        <v>46</v>
      </c>
    </row>
    <row r="1252" spans="1:57" x14ac:dyDescent="0.25">
      <c r="A1252" s="7" t="s">
        <v>886</v>
      </c>
    </row>
    <row r="1253" spans="1:57" x14ac:dyDescent="0.25">
      <c r="A1253" s="7" t="s">
        <v>809</v>
      </c>
      <c r="Z1253" s="3"/>
    </row>
    <row r="1254" spans="1:57" x14ac:dyDescent="0.25">
      <c r="A1254" s="3" t="s">
        <v>887</v>
      </c>
      <c r="B1254" s="5">
        <v>445000</v>
      </c>
      <c r="D1254" s="5">
        <v>-43</v>
      </c>
      <c r="E1254" s="3">
        <f t="shared" ref="E1254:E1263" si="638">F1254-D1254</f>
        <v>445043</v>
      </c>
      <c r="F1254" s="5">
        <v>445000</v>
      </c>
      <c r="H1254" s="5">
        <f t="shared" ref="H1254:H1263" si="639">F1254-B1254</f>
        <v>0</v>
      </c>
      <c r="J1254" s="5">
        <v>229829</v>
      </c>
      <c r="K1254" s="4">
        <f t="shared" ref="K1254:K1263" si="640">L1254-J1254</f>
        <v>215171</v>
      </c>
      <c r="L1254" s="4">
        <v>445000</v>
      </c>
      <c r="N1254" s="4">
        <f t="shared" ref="N1254:N1263" si="641">L1254-F1254</f>
        <v>0</v>
      </c>
      <c r="P1254" s="3">
        <f>B1254*1.15</f>
        <v>511749.99999999994</v>
      </c>
      <c r="Q1254" s="3"/>
      <c r="R1254" s="3">
        <v>-486</v>
      </c>
      <c r="S1254" s="3">
        <f t="shared" ref="S1254:S1263" si="642">T1254-R1254</f>
        <v>512236</v>
      </c>
      <c r="T1254" s="3">
        <v>511750</v>
      </c>
      <c r="U1254" s="3">
        <f t="shared" ref="U1254:U1263" si="643">T1254-P1254</f>
        <v>0</v>
      </c>
      <c r="V1254" s="3">
        <v>292487</v>
      </c>
      <c r="W1254" s="3">
        <f t="shared" ref="W1254:W1263" si="644">Y1254-V1254</f>
        <v>237513</v>
      </c>
      <c r="X1254" s="3"/>
      <c r="Y1254" s="3">
        <v>530000</v>
      </c>
      <c r="Z1254" s="3">
        <f t="shared" ref="Z1254:Z1263" si="645">Y1254-T1254</f>
        <v>18250</v>
      </c>
      <c r="AA1254" s="3"/>
      <c r="AB1254" s="3"/>
      <c r="AC1254" s="3">
        <v>291840</v>
      </c>
      <c r="AD1254" s="3">
        <f t="shared" ref="AD1254:AD1263" si="646">AE1254-AC1254</f>
        <v>248160</v>
      </c>
      <c r="AE1254" s="3">
        <v>540000</v>
      </c>
      <c r="AF1254" s="3">
        <f t="shared" ref="AF1254:AF1263" si="647">AE1254-Y1254</f>
        <v>10000</v>
      </c>
      <c r="AG1254" s="4"/>
      <c r="AH1254" s="4">
        <f>AE1254*1.125+500</f>
        <v>608000</v>
      </c>
      <c r="AJ1254" s="3"/>
      <c r="AK1254" s="3">
        <f t="shared" ref="AK1254:AK1263" si="648">AL1254-AJ1254</f>
        <v>608000</v>
      </c>
      <c r="AL1254" s="3">
        <v>608000</v>
      </c>
      <c r="AM1254" s="3">
        <f t="shared" ref="AM1254:AM1263" si="649">AL1254-AH1254</f>
        <v>0</v>
      </c>
      <c r="AO1254" s="3">
        <f>AH1254*1.1</f>
        <v>668800</v>
      </c>
      <c r="AP1254" s="3"/>
      <c r="AQ1254" s="3">
        <f>AO1254*1.1</f>
        <v>735680.00000000012</v>
      </c>
      <c r="AR1254" s="3"/>
      <c r="AS1254" s="3">
        <f>AQ1254*1.1</f>
        <v>809248.00000000023</v>
      </c>
      <c r="AT1254" s="3"/>
      <c r="AU1254" s="3">
        <f>AS1254*1.075</f>
        <v>869941.60000000021</v>
      </c>
      <c r="AV1254" s="42"/>
      <c r="AW1254" s="3">
        <f>AU1254*1.075</f>
        <v>935187.2200000002</v>
      </c>
      <c r="AX1254" s="42"/>
      <c r="AY1254" s="3">
        <f>AW1254*1.05</f>
        <v>981946.58100000024</v>
      </c>
      <c r="AZ1254" s="42"/>
      <c r="BA1254" s="3">
        <f>AY1254*1.05</f>
        <v>1031043.9100500003</v>
      </c>
      <c r="BB1254" s="42"/>
      <c r="BC1254" s="3">
        <f>BA1254*1.05</f>
        <v>1082596.1055525003</v>
      </c>
      <c r="BE1254" s="3">
        <f>BC1254*1.05</f>
        <v>1136725.9108301254</v>
      </c>
    </row>
    <row r="1255" spans="1:57" x14ac:dyDescent="0.25">
      <c r="A1255" s="7" t="s">
        <v>815</v>
      </c>
      <c r="B1255" s="3">
        <v>7000</v>
      </c>
      <c r="D1255" s="3">
        <v>0</v>
      </c>
      <c r="E1255" s="3">
        <f t="shared" si="638"/>
        <v>7000</v>
      </c>
      <c r="F1255" s="5">
        <v>7000</v>
      </c>
      <c r="H1255" s="5">
        <f t="shared" si="639"/>
        <v>0</v>
      </c>
      <c r="J1255" s="5">
        <v>0</v>
      </c>
      <c r="K1255" s="4">
        <f t="shared" si="640"/>
        <v>7000</v>
      </c>
      <c r="L1255" s="4">
        <v>7000</v>
      </c>
      <c r="N1255" s="4">
        <f t="shared" si="641"/>
        <v>0</v>
      </c>
      <c r="P1255" s="3">
        <v>8000</v>
      </c>
      <c r="Q1255" s="3"/>
      <c r="R1255" s="3"/>
      <c r="S1255" s="3">
        <f t="shared" si="642"/>
        <v>8000</v>
      </c>
      <c r="T1255" s="3">
        <v>8000</v>
      </c>
      <c r="U1255" s="3">
        <f t="shared" si="643"/>
        <v>0</v>
      </c>
      <c r="V1255" s="3"/>
      <c r="W1255" s="3">
        <f t="shared" si="644"/>
        <v>7000</v>
      </c>
      <c r="X1255" s="3"/>
      <c r="Y1255" s="3">
        <v>7000</v>
      </c>
      <c r="Z1255" s="3">
        <f t="shared" si="645"/>
        <v>-1000</v>
      </c>
      <c r="AA1255" s="3"/>
      <c r="AB1255" s="3"/>
      <c r="AC1255" s="3"/>
      <c r="AD1255" s="3">
        <f t="shared" si="646"/>
        <v>7000</v>
      </c>
      <c r="AE1255" s="3">
        <v>7000</v>
      </c>
      <c r="AF1255" s="3">
        <f t="shared" si="647"/>
        <v>0</v>
      </c>
      <c r="AG1255" s="4"/>
      <c r="AH1255" s="4">
        <v>8000</v>
      </c>
      <c r="AJ1255" s="3"/>
      <c r="AK1255" s="3">
        <f t="shared" si="648"/>
        <v>8000</v>
      </c>
      <c r="AL1255" s="3">
        <v>8000</v>
      </c>
      <c r="AM1255" s="3">
        <f t="shared" si="649"/>
        <v>0</v>
      </c>
      <c r="AO1255" s="3">
        <v>9000</v>
      </c>
      <c r="AP1255" s="3"/>
      <c r="AQ1255" s="3">
        <v>11000</v>
      </c>
      <c r="AR1255" s="3"/>
      <c r="AS1255" s="3">
        <v>12000</v>
      </c>
      <c r="AT1255" s="3"/>
      <c r="AU1255" s="3">
        <v>13000</v>
      </c>
      <c r="AV1255" s="42"/>
      <c r="AW1255" s="3">
        <v>14000</v>
      </c>
      <c r="AX1255" s="42"/>
      <c r="AY1255" s="3">
        <v>15000</v>
      </c>
      <c r="AZ1255" s="42"/>
      <c r="BA1255" s="3">
        <v>16000</v>
      </c>
      <c r="BB1255" s="42"/>
      <c r="BC1255" s="3">
        <v>16000</v>
      </c>
      <c r="BE1255" s="3">
        <v>16000</v>
      </c>
    </row>
    <row r="1256" spans="1:57" x14ac:dyDescent="0.25">
      <c r="A1256" s="7" t="s">
        <v>816</v>
      </c>
      <c r="B1256" s="3"/>
      <c r="D1256" s="3"/>
      <c r="E1256" s="3">
        <f t="shared" si="638"/>
        <v>0</v>
      </c>
      <c r="H1256" s="5">
        <f t="shared" si="639"/>
        <v>0</v>
      </c>
      <c r="K1256" s="4">
        <f t="shared" si="640"/>
        <v>0</v>
      </c>
      <c r="L1256" s="4"/>
      <c r="N1256" s="4">
        <f t="shared" si="641"/>
        <v>0</v>
      </c>
      <c r="P1256" s="3"/>
      <c r="Q1256" s="3"/>
      <c r="R1256" s="3"/>
      <c r="S1256" s="3">
        <f t="shared" si="642"/>
        <v>0</v>
      </c>
      <c r="T1256" s="3"/>
      <c r="U1256" s="3">
        <f t="shared" si="643"/>
        <v>0</v>
      </c>
      <c r="V1256" s="3"/>
      <c r="W1256" s="3">
        <f t="shared" si="644"/>
        <v>0</v>
      </c>
      <c r="X1256" s="3"/>
      <c r="Y1256" s="3"/>
      <c r="Z1256" s="3">
        <f t="shared" si="645"/>
        <v>0</v>
      </c>
      <c r="AA1256" s="3"/>
      <c r="AB1256" s="3"/>
      <c r="AC1256" s="3"/>
      <c r="AD1256" s="3">
        <f t="shared" si="646"/>
        <v>0</v>
      </c>
      <c r="AE1256" s="3"/>
      <c r="AF1256" s="3">
        <f t="shared" si="647"/>
        <v>0</v>
      </c>
      <c r="AG1256" s="4"/>
      <c r="AH1256" s="4"/>
      <c r="AJ1256" s="3"/>
      <c r="AK1256" s="3">
        <f t="shared" si="648"/>
        <v>0</v>
      </c>
      <c r="AL1256" s="3"/>
      <c r="AM1256" s="3">
        <f t="shared" si="649"/>
        <v>0</v>
      </c>
      <c r="AO1256" s="3"/>
      <c r="AP1256" s="3"/>
      <c r="AQ1256" s="3"/>
      <c r="AR1256" s="3"/>
      <c r="AS1256" s="3"/>
      <c r="AT1256" s="3"/>
      <c r="AU1256" s="3"/>
      <c r="AV1256" s="42"/>
      <c r="AW1256" s="3"/>
      <c r="AX1256" s="42"/>
      <c r="AY1256" s="3"/>
      <c r="AZ1256" s="42"/>
      <c r="BA1256" s="3"/>
      <c r="BB1256" s="42"/>
      <c r="BC1256" s="3"/>
      <c r="BE1256" s="3"/>
    </row>
    <row r="1257" spans="1:57" x14ac:dyDescent="0.25">
      <c r="A1257" s="3" t="s">
        <v>888</v>
      </c>
      <c r="B1257" s="3"/>
      <c r="D1257" s="3"/>
      <c r="E1257" s="3">
        <f t="shared" si="638"/>
        <v>0</v>
      </c>
      <c r="H1257" s="5">
        <f t="shared" si="639"/>
        <v>0</v>
      </c>
      <c r="K1257" s="4">
        <f t="shared" si="640"/>
        <v>0</v>
      </c>
      <c r="L1257" s="4"/>
      <c r="N1257" s="4">
        <f t="shared" si="641"/>
        <v>0</v>
      </c>
      <c r="P1257" s="3"/>
      <c r="Q1257" s="3"/>
      <c r="R1257" s="3"/>
      <c r="S1257" s="3">
        <f t="shared" si="642"/>
        <v>0</v>
      </c>
      <c r="T1257" s="3"/>
      <c r="U1257" s="3">
        <f t="shared" si="643"/>
        <v>0</v>
      </c>
      <c r="V1257" s="3"/>
      <c r="W1257" s="3">
        <f t="shared" si="644"/>
        <v>0</v>
      </c>
      <c r="X1257" s="3"/>
      <c r="Y1257" s="3"/>
      <c r="Z1257" s="3">
        <f t="shared" si="645"/>
        <v>0</v>
      </c>
      <c r="AA1257" s="3"/>
      <c r="AB1257" s="3"/>
      <c r="AC1257" s="3"/>
      <c r="AD1257" s="3">
        <f t="shared" si="646"/>
        <v>0</v>
      </c>
      <c r="AE1257" s="3"/>
      <c r="AF1257" s="3">
        <f t="shared" si="647"/>
        <v>0</v>
      </c>
      <c r="AG1257" s="4"/>
      <c r="AH1257" s="4"/>
      <c r="AJ1257" s="3"/>
      <c r="AK1257" s="3">
        <f t="shared" si="648"/>
        <v>0</v>
      </c>
      <c r="AL1257" s="3"/>
      <c r="AM1257" s="3">
        <f t="shared" si="649"/>
        <v>0</v>
      </c>
      <c r="AO1257" s="3"/>
      <c r="AP1257" s="3"/>
      <c r="AQ1257" s="3"/>
      <c r="AR1257" s="3"/>
      <c r="AS1257" s="3"/>
      <c r="AT1257" s="3"/>
      <c r="AU1257" s="3"/>
      <c r="AV1257" s="42"/>
      <c r="AW1257" s="3"/>
      <c r="AX1257" s="42"/>
      <c r="AY1257" s="3"/>
      <c r="AZ1257" s="42"/>
      <c r="BA1257" s="3"/>
      <c r="BB1257" s="42"/>
      <c r="BC1257" s="3"/>
      <c r="BE1257" s="3"/>
    </row>
    <row r="1258" spans="1:57" x14ac:dyDescent="0.25">
      <c r="A1258" s="3" t="s">
        <v>811</v>
      </c>
      <c r="B1258" s="3">
        <v>1500</v>
      </c>
      <c r="D1258" s="3">
        <v>806</v>
      </c>
      <c r="E1258" s="3">
        <f t="shared" si="638"/>
        <v>694</v>
      </c>
      <c r="F1258" s="5">
        <v>1500</v>
      </c>
      <c r="H1258" s="5">
        <f t="shared" si="639"/>
        <v>0</v>
      </c>
      <c r="J1258" s="5">
        <v>1646</v>
      </c>
      <c r="K1258" s="4">
        <f t="shared" si="640"/>
        <v>354</v>
      </c>
      <c r="L1258" s="4">
        <v>2000</v>
      </c>
      <c r="N1258" s="4">
        <f t="shared" si="641"/>
        <v>500</v>
      </c>
      <c r="P1258" s="3">
        <f>L1258*1.025</f>
        <v>2050</v>
      </c>
      <c r="Q1258" s="3"/>
      <c r="R1258" s="3">
        <v>1089</v>
      </c>
      <c r="S1258" s="3">
        <f t="shared" si="642"/>
        <v>961</v>
      </c>
      <c r="T1258" s="3">
        <v>2050</v>
      </c>
      <c r="U1258" s="3">
        <f t="shared" si="643"/>
        <v>0</v>
      </c>
      <c r="V1258" s="3">
        <v>1840</v>
      </c>
      <c r="W1258" s="3">
        <f t="shared" si="644"/>
        <v>660</v>
      </c>
      <c r="X1258" s="3"/>
      <c r="Y1258" s="3">
        <v>2500</v>
      </c>
      <c r="Z1258" s="3">
        <f t="shared" si="645"/>
        <v>450</v>
      </c>
      <c r="AA1258" s="3"/>
      <c r="AB1258" s="3"/>
      <c r="AC1258" s="3">
        <v>3273</v>
      </c>
      <c r="AD1258" s="3">
        <f t="shared" si="646"/>
        <v>427</v>
      </c>
      <c r="AE1258" s="3">
        <v>3700</v>
      </c>
      <c r="AF1258" s="3">
        <f t="shared" si="647"/>
        <v>1200</v>
      </c>
      <c r="AG1258" s="4"/>
      <c r="AH1258" s="4">
        <v>3000</v>
      </c>
      <c r="AJ1258" s="3">
        <v>1470</v>
      </c>
      <c r="AK1258" s="3">
        <f>AL1258-AJ1258</f>
        <v>1530</v>
      </c>
      <c r="AL1258" s="3">
        <v>3000</v>
      </c>
      <c r="AM1258" s="3">
        <f t="shared" si="649"/>
        <v>0</v>
      </c>
      <c r="AO1258" s="3">
        <f>AH1258*1.025</f>
        <v>3074.9999999999995</v>
      </c>
      <c r="AP1258" s="3"/>
      <c r="AQ1258" s="3">
        <f>AO1258*1.025</f>
        <v>3151.8749999999991</v>
      </c>
      <c r="AR1258" s="3"/>
      <c r="AS1258" s="3">
        <f>AQ1258*1.025</f>
        <v>3230.6718749999986</v>
      </c>
      <c r="AT1258" s="3"/>
      <c r="AU1258" s="3">
        <f>AS1258*1.025</f>
        <v>3311.4386718749984</v>
      </c>
      <c r="AV1258" s="42"/>
      <c r="AW1258" s="3">
        <f>AU1258*1.025</f>
        <v>3394.224638671873</v>
      </c>
      <c r="AX1258" s="42"/>
      <c r="AY1258" s="3">
        <f>AW1258*1.025</f>
        <v>3479.0802546386694</v>
      </c>
      <c r="AZ1258" s="42"/>
      <c r="BA1258" s="3">
        <f>AY1258*1.025</f>
        <v>3566.0572610046361</v>
      </c>
      <c r="BB1258" s="42"/>
      <c r="BC1258" s="3">
        <f>BA1258*1.025</f>
        <v>3655.2086925297517</v>
      </c>
      <c r="BE1258" s="3">
        <f>BC1258*1.025</f>
        <v>3746.5889098429952</v>
      </c>
    </row>
    <row r="1259" spans="1:57" x14ac:dyDescent="0.25">
      <c r="A1259" s="3" t="s">
        <v>57</v>
      </c>
      <c r="B1259" s="3">
        <v>1000</v>
      </c>
      <c r="D1259" s="3">
        <v>330</v>
      </c>
      <c r="E1259" s="3">
        <f t="shared" si="638"/>
        <v>670</v>
      </c>
      <c r="F1259" s="5">
        <v>1000</v>
      </c>
      <c r="H1259" s="5">
        <f t="shared" si="639"/>
        <v>0</v>
      </c>
      <c r="J1259" s="5">
        <v>743</v>
      </c>
      <c r="K1259" s="4">
        <f t="shared" si="640"/>
        <v>257</v>
      </c>
      <c r="L1259" s="4">
        <v>1000</v>
      </c>
      <c r="N1259" s="4">
        <f t="shared" si="641"/>
        <v>0</v>
      </c>
      <c r="P1259" s="3">
        <f>L1259*1.025+25</f>
        <v>1050</v>
      </c>
      <c r="Q1259" s="3"/>
      <c r="R1259" s="3">
        <v>478</v>
      </c>
      <c r="S1259" s="3">
        <f t="shared" si="642"/>
        <v>572</v>
      </c>
      <c r="T1259" s="3">
        <v>1050</v>
      </c>
      <c r="U1259" s="3">
        <f t="shared" si="643"/>
        <v>0</v>
      </c>
      <c r="V1259" s="3">
        <v>808</v>
      </c>
      <c r="W1259" s="3">
        <f t="shared" si="644"/>
        <v>242</v>
      </c>
      <c r="X1259" s="3"/>
      <c r="Y1259" s="3">
        <v>1050</v>
      </c>
      <c r="Z1259" s="3">
        <f t="shared" si="645"/>
        <v>0</v>
      </c>
      <c r="AA1259" s="3"/>
      <c r="AB1259" s="3"/>
      <c r="AC1259" s="3">
        <v>1288</v>
      </c>
      <c r="AD1259" s="3">
        <f t="shared" si="646"/>
        <v>212</v>
      </c>
      <c r="AE1259" s="3">
        <v>1500</v>
      </c>
      <c r="AF1259" s="3">
        <f t="shared" si="647"/>
        <v>450</v>
      </c>
      <c r="AG1259" s="4"/>
      <c r="AH1259" s="4">
        <f>P1259*1.03+18</f>
        <v>1099.5</v>
      </c>
      <c r="AJ1259" s="3">
        <v>297</v>
      </c>
      <c r="AK1259" s="3">
        <f t="shared" si="648"/>
        <v>803</v>
      </c>
      <c r="AL1259" s="3">
        <v>1100</v>
      </c>
      <c r="AM1259" s="3">
        <f t="shared" si="649"/>
        <v>0.5</v>
      </c>
      <c r="AO1259" s="3">
        <f>AH1259*1.03</f>
        <v>1132.4850000000001</v>
      </c>
      <c r="AP1259" s="3"/>
      <c r="AQ1259" s="3">
        <f>AO1259*1.03</f>
        <v>1166.4595500000003</v>
      </c>
      <c r="AR1259" s="3"/>
      <c r="AS1259" s="3">
        <f>AQ1259*1.03</f>
        <v>1201.4533365000002</v>
      </c>
      <c r="AT1259" s="3"/>
      <c r="AU1259" s="3">
        <f>AS1259*1.03</f>
        <v>1237.4969365950003</v>
      </c>
      <c r="AV1259" s="42"/>
      <c r="AW1259" s="3">
        <f>AU1259*1.03</f>
        <v>1274.6218446928503</v>
      </c>
      <c r="AY1259" s="3">
        <f>AW1259*1.03</f>
        <v>1312.8605000336358</v>
      </c>
      <c r="BA1259" s="3">
        <f>AY1259*1.03</f>
        <v>1352.246315034645</v>
      </c>
      <c r="BC1259" s="3">
        <f>BA1259*1.03</f>
        <v>1392.8137044856844</v>
      </c>
      <c r="BE1259" s="3">
        <f>BC1259*1.03</f>
        <v>1434.5981156202549</v>
      </c>
    </row>
    <row r="1260" spans="1:57" x14ac:dyDescent="0.25">
      <c r="A1260" s="7" t="s">
        <v>93</v>
      </c>
      <c r="B1260" s="3"/>
      <c r="D1260" s="3"/>
      <c r="E1260" s="3">
        <f t="shared" si="638"/>
        <v>0</v>
      </c>
      <c r="H1260" s="5">
        <f t="shared" si="639"/>
        <v>0</v>
      </c>
      <c r="K1260" s="4">
        <f t="shared" si="640"/>
        <v>0</v>
      </c>
      <c r="L1260" s="4"/>
      <c r="N1260" s="4">
        <f t="shared" si="641"/>
        <v>0</v>
      </c>
      <c r="P1260" s="3"/>
      <c r="Q1260" s="3"/>
      <c r="R1260" s="3"/>
      <c r="S1260" s="3">
        <f t="shared" si="642"/>
        <v>0</v>
      </c>
      <c r="T1260" s="3"/>
      <c r="U1260" s="3">
        <f t="shared" si="643"/>
        <v>0</v>
      </c>
      <c r="V1260" s="3"/>
      <c r="W1260" s="3">
        <f t="shared" si="644"/>
        <v>0</v>
      </c>
      <c r="X1260" s="3"/>
      <c r="Y1260" s="3"/>
      <c r="Z1260" s="3">
        <f t="shared" si="645"/>
        <v>0</v>
      </c>
      <c r="AA1260" s="3"/>
      <c r="AB1260" s="3"/>
      <c r="AC1260" s="3"/>
      <c r="AD1260" s="3">
        <f t="shared" si="646"/>
        <v>0</v>
      </c>
      <c r="AE1260" s="3"/>
      <c r="AF1260" s="3">
        <f t="shared" si="647"/>
        <v>0</v>
      </c>
      <c r="AG1260" s="4"/>
      <c r="AH1260" s="4"/>
      <c r="AJ1260" s="3"/>
      <c r="AK1260" s="3">
        <f t="shared" si="648"/>
        <v>0</v>
      </c>
      <c r="AL1260" s="3"/>
      <c r="AM1260" s="3">
        <f t="shared" si="649"/>
        <v>0</v>
      </c>
      <c r="AO1260" s="3"/>
      <c r="AP1260" s="3"/>
      <c r="AQ1260" s="3"/>
      <c r="AR1260" s="3"/>
      <c r="AS1260" s="3"/>
      <c r="AT1260" s="3"/>
      <c r="AU1260" s="3"/>
      <c r="AV1260" s="42"/>
      <c r="AW1260" s="3"/>
      <c r="AY1260" s="3"/>
      <c r="BA1260" s="3"/>
      <c r="BC1260" s="3"/>
      <c r="BE1260" s="3"/>
    </row>
    <row r="1261" spans="1:57" x14ac:dyDescent="0.25">
      <c r="A1261" s="3" t="s">
        <v>55</v>
      </c>
      <c r="B1261" s="3">
        <v>10200</v>
      </c>
      <c r="D1261" s="3">
        <v>0</v>
      </c>
      <c r="E1261" s="3">
        <f t="shared" si="638"/>
        <v>10200</v>
      </c>
      <c r="F1261" s="5">
        <v>10200</v>
      </c>
      <c r="H1261" s="5">
        <f t="shared" si="639"/>
        <v>0</v>
      </c>
      <c r="K1261" s="4">
        <f t="shared" si="640"/>
        <v>10200</v>
      </c>
      <c r="L1261" s="4">
        <v>10200</v>
      </c>
      <c r="N1261" s="4">
        <f t="shared" si="641"/>
        <v>0</v>
      </c>
      <c r="P1261" s="3">
        <f>L1261*1.02-4</f>
        <v>10400</v>
      </c>
      <c r="Q1261" s="3"/>
      <c r="R1261" s="3">
        <v>0</v>
      </c>
      <c r="S1261" s="3">
        <f t="shared" si="642"/>
        <v>10400</v>
      </c>
      <c r="T1261" s="3">
        <v>10400</v>
      </c>
      <c r="U1261" s="3">
        <f t="shared" si="643"/>
        <v>0</v>
      </c>
      <c r="V1261" s="3"/>
      <c r="W1261" s="3">
        <f t="shared" si="644"/>
        <v>10400</v>
      </c>
      <c r="X1261" s="3"/>
      <c r="Y1261" s="3">
        <v>10400</v>
      </c>
      <c r="Z1261" s="3">
        <f t="shared" si="645"/>
        <v>0</v>
      </c>
      <c r="AA1261" s="3"/>
      <c r="AB1261" s="3"/>
      <c r="AC1261" s="3">
        <v>10669</v>
      </c>
      <c r="AD1261" s="3">
        <f t="shared" si="646"/>
        <v>1</v>
      </c>
      <c r="AE1261" s="3">
        <v>10670</v>
      </c>
      <c r="AF1261" s="3">
        <f t="shared" si="647"/>
        <v>270</v>
      </c>
      <c r="AG1261" s="4"/>
      <c r="AH1261" s="4">
        <f>AE1261*1.025+13</f>
        <v>10949.749999999998</v>
      </c>
      <c r="AJ1261" s="3"/>
      <c r="AK1261" s="3">
        <f t="shared" si="648"/>
        <v>10950</v>
      </c>
      <c r="AL1261" s="3">
        <v>10950</v>
      </c>
      <c r="AM1261" s="3">
        <f t="shared" si="649"/>
        <v>0.25000000000181899</v>
      </c>
      <c r="AO1261" s="3">
        <f>AH1261*1.025</f>
        <v>11223.493749999998</v>
      </c>
      <c r="AP1261" s="3"/>
      <c r="AQ1261" s="3">
        <f>AO1261*1.025</f>
        <v>11504.081093749997</v>
      </c>
      <c r="AR1261" s="3"/>
      <c r="AS1261" s="3">
        <f>AQ1261*1.025</f>
        <v>11791.683121093747</v>
      </c>
      <c r="AT1261" s="3"/>
      <c r="AU1261" s="3">
        <f>AS1261*1.025</f>
        <v>12086.475199121091</v>
      </c>
      <c r="AV1261" s="42"/>
      <c r="AW1261" s="3">
        <f>AU1261*1.025</f>
        <v>12388.637079099117</v>
      </c>
      <c r="AY1261" s="3">
        <f>AW1261*1.025</f>
        <v>12698.353006076593</v>
      </c>
      <c r="BA1261" s="3">
        <f>AY1261*1.025</f>
        <v>13015.811831228508</v>
      </c>
      <c r="BC1261" s="3">
        <f>BA1261*1.025</f>
        <v>13341.20712700922</v>
      </c>
      <c r="BE1261" s="3">
        <f>BC1261*1.025</f>
        <v>13674.73730518445</v>
      </c>
    </row>
    <row r="1262" spans="1:57" x14ac:dyDescent="0.25">
      <c r="A1262" s="3" t="s">
        <v>889</v>
      </c>
      <c r="B1262" s="3"/>
      <c r="D1262" s="3"/>
      <c r="E1262" s="3">
        <f t="shared" si="638"/>
        <v>0</v>
      </c>
      <c r="H1262" s="5">
        <f t="shared" si="639"/>
        <v>0</v>
      </c>
      <c r="K1262" s="4">
        <f t="shared" si="640"/>
        <v>0</v>
      </c>
      <c r="L1262" s="4"/>
      <c r="N1262" s="4">
        <f t="shared" si="641"/>
        <v>0</v>
      </c>
      <c r="P1262" s="3"/>
      <c r="Q1262" s="3"/>
      <c r="R1262" s="3"/>
      <c r="S1262" s="3">
        <f t="shared" si="642"/>
        <v>0</v>
      </c>
      <c r="T1262" s="3"/>
      <c r="U1262" s="3">
        <f t="shared" si="643"/>
        <v>0</v>
      </c>
      <c r="V1262" s="3"/>
      <c r="W1262" s="3">
        <f t="shared" si="644"/>
        <v>0</v>
      </c>
      <c r="X1262" s="3"/>
      <c r="Y1262" s="3"/>
      <c r="Z1262" s="3">
        <f t="shared" si="645"/>
        <v>0</v>
      </c>
      <c r="AA1262" s="3"/>
      <c r="AB1262" s="3"/>
      <c r="AC1262" s="3"/>
      <c r="AD1262" s="3">
        <f t="shared" si="646"/>
        <v>0</v>
      </c>
      <c r="AE1262" s="3"/>
      <c r="AF1262" s="3">
        <f t="shared" si="647"/>
        <v>0</v>
      </c>
      <c r="AG1262" s="4"/>
      <c r="AH1262" s="4"/>
      <c r="AJ1262" s="3"/>
      <c r="AK1262" s="3">
        <f t="shared" si="648"/>
        <v>0</v>
      </c>
      <c r="AL1262" s="3"/>
      <c r="AM1262" s="3">
        <f t="shared" si="649"/>
        <v>0</v>
      </c>
      <c r="AO1262" s="3"/>
      <c r="AP1262" s="3"/>
      <c r="AQ1262" s="3"/>
      <c r="AR1262" s="3"/>
      <c r="AS1262" s="3"/>
      <c r="AT1262" s="3"/>
      <c r="AU1262" s="3"/>
      <c r="AV1262" s="42"/>
      <c r="AW1262" s="3"/>
      <c r="AY1262" s="3"/>
      <c r="BA1262" s="3"/>
      <c r="BC1262" s="3"/>
      <c r="BE1262" s="3"/>
    </row>
    <row r="1263" spans="1:57" x14ac:dyDescent="0.25">
      <c r="A1263" s="3" t="s">
        <v>890</v>
      </c>
      <c r="B1263" s="3"/>
      <c r="D1263" s="3"/>
      <c r="E1263" s="3">
        <f t="shared" si="638"/>
        <v>0</v>
      </c>
      <c r="H1263" s="5">
        <f t="shared" si="639"/>
        <v>0</v>
      </c>
      <c r="K1263" s="4">
        <f t="shared" si="640"/>
        <v>0</v>
      </c>
      <c r="L1263" s="4"/>
      <c r="N1263" s="4">
        <f t="shared" si="641"/>
        <v>0</v>
      </c>
      <c r="P1263" s="3"/>
      <c r="Q1263" s="3"/>
      <c r="R1263" s="3"/>
      <c r="S1263" s="3">
        <f t="shared" si="642"/>
        <v>0</v>
      </c>
      <c r="T1263" s="3"/>
      <c r="U1263" s="3">
        <f t="shared" si="643"/>
        <v>0</v>
      </c>
      <c r="V1263" s="3"/>
      <c r="W1263" s="3">
        <f t="shared" si="644"/>
        <v>0</v>
      </c>
      <c r="X1263" s="3"/>
      <c r="Y1263" s="3"/>
      <c r="Z1263" s="3">
        <f t="shared" si="645"/>
        <v>0</v>
      </c>
      <c r="AA1263" s="3"/>
      <c r="AB1263" s="3"/>
      <c r="AC1263" s="3"/>
      <c r="AD1263" s="3">
        <f t="shared" si="646"/>
        <v>0</v>
      </c>
      <c r="AE1263" s="3"/>
      <c r="AF1263" s="3">
        <f t="shared" si="647"/>
        <v>0</v>
      </c>
      <c r="AG1263" s="4"/>
      <c r="AH1263" s="4"/>
      <c r="AJ1263" s="3"/>
      <c r="AK1263" s="3">
        <f t="shared" si="648"/>
        <v>0</v>
      </c>
      <c r="AL1263" s="3"/>
      <c r="AM1263" s="3">
        <f t="shared" si="649"/>
        <v>0</v>
      </c>
      <c r="AO1263" s="3"/>
      <c r="AP1263" s="3"/>
      <c r="AQ1263" s="3"/>
      <c r="AR1263" s="3"/>
      <c r="AS1263" s="3"/>
      <c r="AT1263" s="3"/>
      <c r="AU1263" s="3"/>
      <c r="AV1263" s="42"/>
      <c r="AW1263" s="3"/>
      <c r="AY1263" s="3"/>
      <c r="BA1263" s="3"/>
      <c r="BC1263" s="3"/>
      <c r="BE1263" s="3"/>
    </row>
    <row r="1264" spans="1:57" x14ac:dyDescent="0.25">
      <c r="A1264" s="3"/>
      <c r="B1264" s="48">
        <f>SUM(B1252:B1263)</f>
        <v>464700</v>
      </c>
      <c r="C1264" s="32"/>
      <c r="D1264" s="48">
        <f>SUM(D1252:D1263)-1</f>
        <v>1092</v>
      </c>
      <c r="E1264" s="48">
        <f>SUM(E1252:E1263)-1</f>
        <v>463606</v>
      </c>
      <c r="F1264" s="48">
        <f>SUM(F1252:F1263)</f>
        <v>464700</v>
      </c>
      <c r="G1264" s="32"/>
      <c r="H1264" s="48">
        <f>SUM(H1252:H1263)-1</f>
        <v>-1</v>
      </c>
      <c r="I1264" s="36"/>
      <c r="J1264" s="48">
        <f>SUM(J1252:J1263)-1</f>
        <v>232217</v>
      </c>
      <c r="K1264" s="48">
        <f>SUM(K1252:K1263)-1</f>
        <v>232981</v>
      </c>
      <c r="L1264" s="48">
        <f>SUM(L1252:L1263)-1</f>
        <v>465199</v>
      </c>
      <c r="M1264" s="32"/>
      <c r="N1264" s="48">
        <f>SUM(N1252:N1263)-1</f>
        <v>499</v>
      </c>
      <c r="P1264" s="48">
        <f>SUM(P1252:P1263)</f>
        <v>533250</v>
      </c>
      <c r="R1264" s="48">
        <f t="shared" ref="R1264:Z1264" si="650">SUM(R1252:R1263)</f>
        <v>1081</v>
      </c>
      <c r="S1264" s="48">
        <f t="shared" si="650"/>
        <v>532169</v>
      </c>
      <c r="T1264" s="48">
        <f t="shared" si="650"/>
        <v>533250</v>
      </c>
      <c r="U1264" s="48">
        <f t="shared" si="650"/>
        <v>0</v>
      </c>
      <c r="V1264" s="48">
        <f t="shared" si="650"/>
        <v>295135</v>
      </c>
      <c r="W1264" s="48">
        <f t="shared" si="650"/>
        <v>255815</v>
      </c>
      <c r="X1264" s="48"/>
      <c r="Y1264" s="48">
        <f t="shared" si="650"/>
        <v>550950</v>
      </c>
      <c r="Z1264" s="48">
        <f t="shared" si="650"/>
        <v>17700</v>
      </c>
      <c r="AC1264" s="48">
        <f>SUM(AC1252:AC1263)</f>
        <v>307070</v>
      </c>
      <c r="AD1264" s="48">
        <f>SUM(AD1252:AD1263)</f>
        <v>255800</v>
      </c>
      <c r="AE1264" s="48">
        <f>SUM(AE1252:AE1263)</f>
        <v>562870</v>
      </c>
      <c r="AF1264" s="48">
        <f>SUM(AF1252:AF1263)</f>
        <v>11920</v>
      </c>
      <c r="AH1264" s="36">
        <f>SUM(AH1252:AH1263)</f>
        <v>631049.25</v>
      </c>
      <c r="AI1264" s="32"/>
      <c r="AJ1264" s="48">
        <f>SUM(AJ1252:AJ1263)</f>
        <v>1767</v>
      </c>
      <c r="AK1264" s="48">
        <f>SUM(AK1252:AK1263)</f>
        <v>629283</v>
      </c>
      <c r="AL1264" s="48">
        <f>SUM(AL1252:AL1263)</f>
        <v>631050</v>
      </c>
      <c r="AM1264" s="48">
        <f>SUM(AM1252:AM1263)</f>
        <v>0.75000000000181899</v>
      </c>
      <c r="AN1264" s="32"/>
      <c r="AO1264" s="48">
        <f>SUM(AO1252:AO1263)</f>
        <v>693230.97875000001</v>
      </c>
      <c r="AQ1264" s="48">
        <f>SUM(AQ1252:AQ1263)</f>
        <v>762502.41564375011</v>
      </c>
      <c r="AS1264" s="48">
        <f>SUM(AS1252:AS1263)</f>
        <v>837471.808332594</v>
      </c>
      <c r="AT1264" s="48"/>
      <c r="AU1264" s="48">
        <f>SUM(AU1252:AU1263)</f>
        <v>899577.01080759126</v>
      </c>
      <c r="AW1264" s="48">
        <f>SUM(AW1252:AW1263)</f>
        <v>966244.70356246398</v>
      </c>
      <c r="AY1264" s="48">
        <f>SUM(AY1252:AY1263)</f>
        <v>1014436.8747607492</v>
      </c>
      <c r="BA1264" s="48">
        <f>SUM(BA1252:BA1263)</f>
        <v>1064978.0254572679</v>
      </c>
      <c r="BC1264" s="48">
        <f>SUM(BC1252:BC1263)</f>
        <v>1116985.3350765251</v>
      </c>
      <c r="BE1264" s="48">
        <f>SUM(BE1252:BE1263)</f>
        <v>1171581.835160773</v>
      </c>
    </row>
    <row r="1265" spans="1:57" x14ac:dyDescent="0.25">
      <c r="A1265" s="7" t="s">
        <v>818</v>
      </c>
    </row>
    <row r="1266" spans="1:57" x14ac:dyDescent="0.25">
      <c r="A1266" s="3" t="s">
        <v>891</v>
      </c>
      <c r="E1266" s="3">
        <f>F1266-D1266</f>
        <v>0</v>
      </c>
      <c r="H1266" s="5">
        <f>F1266-B1266</f>
        <v>0</v>
      </c>
      <c r="J1266" s="5">
        <v>0</v>
      </c>
      <c r="K1266" s="4">
        <f>L1266-J1266</f>
        <v>0</v>
      </c>
      <c r="L1266" s="4">
        <v>0</v>
      </c>
      <c r="N1266" s="4">
        <f>L1266-F1266</f>
        <v>0</v>
      </c>
      <c r="AK1266" s="3">
        <f>AL1266-AJ1266</f>
        <v>0</v>
      </c>
      <c r="AM1266" s="3">
        <f>AL1266-AH1266</f>
        <v>0</v>
      </c>
    </row>
    <row r="1267" spans="1:57" x14ac:dyDescent="0.25">
      <c r="A1267" s="3" t="s">
        <v>892</v>
      </c>
      <c r="B1267" s="3">
        <v>9300</v>
      </c>
      <c r="D1267" s="3"/>
      <c r="E1267" s="3">
        <f>F1267-D1267</f>
        <v>9300</v>
      </c>
      <c r="F1267" s="5">
        <v>9300</v>
      </c>
      <c r="H1267" s="5">
        <f>F1267-B1267</f>
        <v>0</v>
      </c>
      <c r="J1267" s="5">
        <v>0</v>
      </c>
      <c r="K1267" s="4">
        <f>L1267-J1267</f>
        <v>9300</v>
      </c>
      <c r="L1267" s="4">
        <v>9300</v>
      </c>
      <c r="N1267" s="4">
        <f>L1267-F1267</f>
        <v>0</v>
      </c>
      <c r="P1267" s="3">
        <v>7940</v>
      </c>
      <c r="Q1267" s="3"/>
      <c r="R1267" s="3"/>
      <c r="S1267" s="3">
        <f>T1267-R1267</f>
        <v>7940</v>
      </c>
      <c r="T1267" s="3">
        <v>7940</v>
      </c>
      <c r="U1267" s="3">
        <f>T1267-P1267</f>
        <v>0</v>
      </c>
      <c r="V1267" s="3"/>
      <c r="W1267" s="3">
        <f>Y1267-V1267</f>
        <v>7940</v>
      </c>
      <c r="X1267" s="3"/>
      <c r="Y1267" s="3">
        <v>7940</v>
      </c>
      <c r="Z1267" s="3">
        <f>Y1267-T1267</f>
        <v>0</v>
      </c>
      <c r="AA1267" s="3"/>
      <c r="AB1267" s="3"/>
      <c r="AC1267" s="3"/>
      <c r="AD1267" s="3">
        <f>AE1267-AC1267</f>
        <v>2650</v>
      </c>
      <c r="AE1267" s="3">
        <v>2650</v>
      </c>
      <c r="AF1267" s="3">
        <f>AE1267-Y1267</f>
        <v>-5290</v>
      </c>
      <c r="AG1267" s="4"/>
      <c r="AH1267" s="4">
        <v>7940</v>
      </c>
      <c r="AJ1267" s="3"/>
      <c r="AK1267" s="3">
        <f>AL1267-AJ1267</f>
        <v>7940</v>
      </c>
      <c r="AL1267" s="3">
        <v>7940</v>
      </c>
      <c r="AM1267" s="3">
        <f>AL1267-AH1267</f>
        <v>0</v>
      </c>
      <c r="AO1267" s="3">
        <v>7940</v>
      </c>
      <c r="AP1267" s="3"/>
      <c r="AQ1267" s="3">
        <v>7940</v>
      </c>
      <c r="AR1267" s="3"/>
      <c r="AS1267" s="3">
        <v>13480</v>
      </c>
      <c r="AT1267" s="3"/>
      <c r="AU1267" s="3">
        <v>13480</v>
      </c>
      <c r="AV1267" s="42"/>
      <c r="AW1267" s="3">
        <v>13480</v>
      </c>
      <c r="AY1267" s="3">
        <v>13480</v>
      </c>
      <c r="BA1267" s="3">
        <v>10110</v>
      </c>
      <c r="BC1267" s="3"/>
      <c r="BE1267" s="3"/>
    </row>
    <row r="1268" spans="1:57" ht="15.75" thickBot="1" x14ac:dyDescent="0.3">
      <c r="A1268" s="3"/>
      <c r="B1268" s="43">
        <f>B1264+B1266+B1267</f>
        <v>474000</v>
      </c>
      <c r="C1268" s="32"/>
      <c r="D1268" s="43">
        <f>D1264+D1266+D1267</f>
        <v>1092</v>
      </c>
      <c r="E1268" s="43">
        <f>E1264+E1266+E1267</f>
        <v>472906</v>
      </c>
      <c r="F1268" s="43">
        <f>F1264+F1266+F1267</f>
        <v>474000</v>
      </c>
      <c r="G1268" s="32"/>
      <c r="H1268" s="43">
        <f>H1264+H1266+H1267</f>
        <v>-1</v>
      </c>
      <c r="I1268" s="36"/>
      <c r="J1268" s="43">
        <f>SUM(J1256:J1267)-1</f>
        <v>234605</v>
      </c>
      <c r="K1268" s="43">
        <f>SUM(K1256:K1267)-1</f>
        <v>253091</v>
      </c>
      <c r="L1268" s="43">
        <f>SUM(L1256:L1267)-1</f>
        <v>487698</v>
      </c>
      <c r="M1268" s="32"/>
      <c r="N1268" s="43">
        <f>N1264+N1266+N1267</f>
        <v>499</v>
      </c>
      <c r="P1268" s="43">
        <f>P1264+P1266+P1267</f>
        <v>541190</v>
      </c>
      <c r="R1268" s="43">
        <f t="shared" ref="R1268:Z1268" si="651">R1264+R1266+R1267</f>
        <v>1081</v>
      </c>
      <c r="S1268" s="43">
        <f t="shared" si="651"/>
        <v>540109</v>
      </c>
      <c r="T1268" s="43">
        <f t="shared" si="651"/>
        <v>541190</v>
      </c>
      <c r="U1268" s="43">
        <f t="shared" si="651"/>
        <v>0</v>
      </c>
      <c r="V1268" s="43">
        <f t="shared" si="651"/>
        <v>295135</v>
      </c>
      <c r="W1268" s="43">
        <f t="shared" si="651"/>
        <v>263755</v>
      </c>
      <c r="X1268" s="43"/>
      <c r="Y1268" s="43">
        <f t="shared" si="651"/>
        <v>558890</v>
      </c>
      <c r="Z1268" s="43">
        <f t="shared" si="651"/>
        <v>17700</v>
      </c>
      <c r="AC1268" s="43">
        <f>AC1264+AC1266+AC1267</f>
        <v>307070</v>
      </c>
      <c r="AD1268" s="43">
        <f>AD1264+AD1266+AD1267</f>
        <v>258450</v>
      </c>
      <c r="AE1268" s="43">
        <f>AE1264+AE1266+AE1267</f>
        <v>565520</v>
      </c>
      <c r="AF1268" s="43">
        <f>AF1264+AF1266+AF1267</f>
        <v>6630</v>
      </c>
      <c r="AH1268" s="36">
        <f>AH1264+AH1266+AH1267</f>
        <v>638989.25</v>
      </c>
      <c r="AI1268" s="32"/>
      <c r="AJ1268" s="43">
        <f>AJ1264+AJ1266+AJ1267</f>
        <v>1767</v>
      </c>
      <c r="AK1268" s="43">
        <f>AK1264+AK1266+AK1267</f>
        <v>637223</v>
      </c>
      <c r="AL1268" s="43">
        <f>AL1264+AL1266+AL1267</f>
        <v>638990</v>
      </c>
      <c r="AM1268" s="43">
        <f>AM1264+AM1266+AM1267</f>
        <v>0.75000000000181899</v>
      </c>
      <c r="AN1268" s="32"/>
      <c r="AO1268" s="43">
        <f>AO1264+AO1266+AO1267</f>
        <v>701170.97875000001</v>
      </c>
      <c r="AQ1268" s="43">
        <f>AQ1264+AQ1266+AQ1267</f>
        <v>770442.41564375011</v>
      </c>
      <c r="AS1268" s="43">
        <f>AS1264+AS1266+AS1267</f>
        <v>850951.808332594</v>
      </c>
      <c r="AT1268" s="43"/>
      <c r="AU1268" s="43">
        <f>AU1264+AU1266+AU1267</f>
        <v>913057.01080759126</v>
      </c>
      <c r="AW1268" s="43">
        <f>AW1264+AW1266+AW1267</f>
        <v>979724.70356246398</v>
      </c>
      <c r="AY1268" s="43">
        <f>AY1264+AY1266+AY1267</f>
        <v>1027916.8747607492</v>
      </c>
      <c r="BA1268" s="43">
        <f>BA1264+BA1266+BA1267</f>
        <v>1075088.0254572679</v>
      </c>
      <c r="BC1268" s="43">
        <f>BC1264+BC1266+BC1267</f>
        <v>1116985.3350765251</v>
      </c>
      <c r="BE1268" s="43">
        <f>BE1264+BE1266+BE1267</f>
        <v>1171581.835160773</v>
      </c>
    </row>
    <row r="1269" spans="1:57" ht="15.75" thickTop="1" x14ac:dyDescent="0.25">
      <c r="A1269" s="7" t="s">
        <v>845</v>
      </c>
    </row>
    <row r="1270" spans="1:57" x14ac:dyDescent="0.25">
      <c r="A1270" s="3" t="s">
        <v>893</v>
      </c>
      <c r="AK1270" s="3">
        <f>AL1270-AJ1270</f>
        <v>0</v>
      </c>
      <c r="AM1270" s="3">
        <f>AL1270-AH1270</f>
        <v>0</v>
      </c>
    </row>
    <row r="1271" spans="1:57" x14ac:dyDescent="0.25">
      <c r="A1271" s="3" t="s">
        <v>894</v>
      </c>
      <c r="AK1271" s="3">
        <f>AL1271-AJ1271</f>
        <v>0</v>
      </c>
      <c r="AM1271" s="3">
        <f>AL1271-AH1271</f>
        <v>0</v>
      </c>
    </row>
    <row r="1272" spans="1:57" x14ac:dyDescent="0.25">
      <c r="A1272" s="3" t="s">
        <v>289</v>
      </c>
      <c r="B1272" s="3">
        <v>145000</v>
      </c>
      <c r="D1272" s="3"/>
      <c r="E1272" s="3">
        <f>F1272-D1272</f>
        <v>145000</v>
      </c>
      <c r="F1272" s="5">
        <v>145000</v>
      </c>
      <c r="H1272" s="5">
        <f>F1272-B1272</f>
        <v>0</v>
      </c>
      <c r="J1272" s="5">
        <v>0</v>
      </c>
      <c r="K1272" s="4">
        <f>L1272-J1272</f>
        <v>145000</v>
      </c>
      <c r="L1272" s="4">
        <v>145000</v>
      </c>
      <c r="N1272" s="4">
        <f>L1272-F1272</f>
        <v>0</v>
      </c>
      <c r="P1272" s="3">
        <v>145000</v>
      </c>
      <c r="Q1272" s="3"/>
      <c r="R1272" s="3"/>
      <c r="S1272" s="3">
        <f>T1272-R1272</f>
        <v>163000</v>
      </c>
      <c r="T1272" s="3">
        <v>163000</v>
      </c>
      <c r="U1272" s="3">
        <f>T1272-P1272</f>
        <v>18000</v>
      </c>
      <c r="V1272" s="3"/>
      <c r="W1272" s="3">
        <f>Y1272-V1272</f>
        <v>163000</v>
      </c>
      <c r="X1272" s="3"/>
      <c r="Y1272" s="3">
        <v>163000</v>
      </c>
      <c r="Z1272" s="3">
        <f>Y1272-T1272</f>
        <v>0</v>
      </c>
      <c r="AA1272" s="3"/>
      <c r="AB1272" s="3"/>
      <c r="AC1272" s="3"/>
      <c r="AD1272" s="3">
        <f>AE1272-AC1272</f>
        <v>163000</v>
      </c>
      <c r="AE1272" s="3">
        <v>163000</v>
      </c>
      <c r="AF1272" s="3">
        <f>AE1272-Y1272</f>
        <v>0</v>
      </c>
      <c r="AG1272" s="4"/>
      <c r="AH1272" s="4">
        <v>145000</v>
      </c>
      <c r="AJ1272" s="3"/>
      <c r="AK1272" s="3">
        <f>AL1272-AJ1272</f>
        <v>125000</v>
      </c>
      <c r="AL1272" s="3">
        <v>125000</v>
      </c>
      <c r="AM1272" s="3">
        <f>AL1272-AH1272</f>
        <v>-20000</v>
      </c>
      <c r="AO1272" s="3">
        <v>145000</v>
      </c>
      <c r="AP1272" s="3"/>
      <c r="AQ1272" s="3">
        <v>145000</v>
      </c>
      <c r="AR1272" s="3"/>
      <c r="AS1272" s="3">
        <v>145000</v>
      </c>
      <c r="AT1272" s="3"/>
      <c r="AU1272" s="3">
        <v>145000</v>
      </c>
      <c r="AV1272" s="42"/>
      <c r="AW1272" s="3">
        <v>145000</v>
      </c>
      <c r="AY1272" s="3">
        <v>145000</v>
      </c>
      <c r="BA1272" s="3">
        <v>145000</v>
      </c>
      <c r="BC1272" s="3">
        <v>145000</v>
      </c>
      <c r="BE1272" s="3">
        <v>145000</v>
      </c>
    </row>
    <row r="1273" spans="1:57" ht="15.75" thickBot="1" x14ac:dyDescent="0.3">
      <c r="A1273" s="3"/>
      <c r="B1273" s="43">
        <f>SUM(B1270:B1272)</f>
        <v>145000</v>
      </c>
      <c r="C1273" s="32"/>
      <c r="D1273" s="43">
        <f>SUM(D1270:D1272)</f>
        <v>0</v>
      </c>
      <c r="E1273" s="43">
        <f>SUM(E1270:E1272)</f>
        <v>145000</v>
      </c>
      <c r="F1273" s="43">
        <f>SUM(F1270:F1272)</f>
        <v>145000</v>
      </c>
      <c r="G1273" s="44"/>
      <c r="H1273" s="43">
        <f>SUM(H1270:H1272)</f>
        <v>0</v>
      </c>
      <c r="I1273" s="36"/>
      <c r="J1273" s="43">
        <f>SUM(J1270:J1272)</f>
        <v>0</v>
      </c>
      <c r="K1273" s="43">
        <f>SUM(K1270:K1272)</f>
        <v>145000</v>
      </c>
      <c r="L1273" s="43">
        <f>SUM(L1270:L1272)</f>
        <v>145000</v>
      </c>
      <c r="M1273" s="32"/>
      <c r="N1273" s="43">
        <f>SUM(N1270:N1272)</f>
        <v>0</v>
      </c>
      <c r="P1273" s="43">
        <f>SUM(P1270:P1272)</f>
        <v>145000</v>
      </c>
      <c r="R1273" s="43">
        <f t="shared" ref="R1273:Z1273" si="652">SUM(R1270:R1272)</f>
        <v>0</v>
      </c>
      <c r="S1273" s="43">
        <f t="shared" si="652"/>
        <v>163000</v>
      </c>
      <c r="T1273" s="43">
        <f t="shared" si="652"/>
        <v>163000</v>
      </c>
      <c r="U1273" s="43">
        <f t="shared" si="652"/>
        <v>18000</v>
      </c>
      <c r="V1273" s="43">
        <f t="shared" si="652"/>
        <v>0</v>
      </c>
      <c r="W1273" s="43">
        <f t="shared" si="652"/>
        <v>163000</v>
      </c>
      <c r="X1273" s="43"/>
      <c r="Y1273" s="43">
        <f t="shared" si="652"/>
        <v>163000</v>
      </c>
      <c r="Z1273" s="43">
        <f t="shared" si="652"/>
        <v>0</v>
      </c>
      <c r="AC1273" s="43">
        <f>SUM(AC1270:AC1272)</f>
        <v>0</v>
      </c>
      <c r="AD1273" s="43">
        <f>SUM(AD1270:AD1272)</f>
        <v>163000</v>
      </c>
      <c r="AE1273" s="43">
        <f>SUM(AE1270:AE1272)</f>
        <v>163000</v>
      </c>
      <c r="AF1273" s="43">
        <f>SUM(AF1270:AF1272)</f>
        <v>0</v>
      </c>
      <c r="AH1273" s="36">
        <f>SUM(AH1270:AH1272)</f>
        <v>145000</v>
      </c>
      <c r="AI1273" s="32"/>
      <c r="AJ1273" s="43">
        <f>SUM(AJ1270:AJ1272)</f>
        <v>0</v>
      </c>
      <c r="AK1273" s="43">
        <f>SUM(AK1270:AK1272)</f>
        <v>125000</v>
      </c>
      <c r="AL1273" s="43">
        <f>SUM(AL1270:AL1272)</f>
        <v>125000</v>
      </c>
      <c r="AM1273" s="43">
        <f>SUM(AM1270:AM1272)</f>
        <v>-20000</v>
      </c>
      <c r="AN1273" s="32"/>
      <c r="AO1273" s="43">
        <f>SUM(AO1270:AO1272)</f>
        <v>145000</v>
      </c>
      <c r="AQ1273" s="43">
        <f>SUM(AQ1270:AQ1272)</f>
        <v>145000</v>
      </c>
      <c r="AS1273" s="43">
        <f>SUM(AS1270:AS1272)</f>
        <v>145000</v>
      </c>
      <c r="AT1273" s="43"/>
      <c r="AU1273" s="43">
        <f>SUM(AU1270:AU1272)</f>
        <v>145000</v>
      </c>
      <c r="AW1273" s="43">
        <f>SUM(AW1270:AW1272)</f>
        <v>145000</v>
      </c>
      <c r="AY1273" s="43">
        <f>SUM(AY1270:AY1272)</f>
        <v>145000</v>
      </c>
      <c r="BA1273" s="43">
        <f>SUM(BA1270:BA1272)</f>
        <v>145000</v>
      </c>
      <c r="BC1273" s="43">
        <f>SUM(BC1270:BC1272)</f>
        <v>145000</v>
      </c>
      <c r="BE1273" s="43">
        <f>SUM(BE1270:BE1272)</f>
        <v>145000</v>
      </c>
    </row>
    <row r="1274" spans="1:57" ht="16.5" thickTop="1" thickBot="1" x14ac:dyDescent="0.3">
      <c r="A1274" s="3"/>
      <c r="B1274" s="49">
        <f>B1268+B1273</f>
        <v>619000</v>
      </c>
      <c r="C1274" s="32"/>
      <c r="D1274" s="49">
        <f>D1268+D1273</f>
        <v>1092</v>
      </c>
      <c r="E1274" s="49">
        <f>E1268+E1273</f>
        <v>617906</v>
      </c>
      <c r="F1274" s="49">
        <f>F1268+F1273</f>
        <v>619000</v>
      </c>
      <c r="G1274" s="84"/>
      <c r="H1274" s="49">
        <f>H1268+H1273</f>
        <v>-1</v>
      </c>
      <c r="I1274" s="36"/>
      <c r="J1274" s="49">
        <f>J1268+J1273</f>
        <v>234605</v>
      </c>
      <c r="K1274" s="49">
        <f>K1268+K1273</f>
        <v>398091</v>
      </c>
      <c r="L1274" s="49">
        <f>L1268+L1273</f>
        <v>632698</v>
      </c>
      <c r="M1274" s="32"/>
      <c r="N1274" s="49">
        <f>N1268+N1273</f>
        <v>499</v>
      </c>
      <c r="P1274" s="49">
        <f>P1268+P1273</f>
        <v>686190</v>
      </c>
      <c r="R1274" s="49">
        <f t="shared" ref="R1274:Z1274" si="653">R1268+R1273</f>
        <v>1081</v>
      </c>
      <c r="S1274" s="49">
        <f t="shared" si="653"/>
        <v>703109</v>
      </c>
      <c r="T1274" s="49">
        <f t="shared" si="653"/>
        <v>704190</v>
      </c>
      <c r="U1274" s="49">
        <f t="shared" si="653"/>
        <v>18000</v>
      </c>
      <c r="V1274" s="49">
        <f t="shared" si="653"/>
        <v>295135</v>
      </c>
      <c r="W1274" s="49">
        <f t="shared" si="653"/>
        <v>426755</v>
      </c>
      <c r="X1274" s="49"/>
      <c r="Y1274" s="49">
        <f t="shared" si="653"/>
        <v>721890</v>
      </c>
      <c r="Z1274" s="49">
        <f t="shared" si="653"/>
        <v>17700</v>
      </c>
      <c r="AC1274" s="49">
        <f>AC1268+AC1273</f>
        <v>307070</v>
      </c>
      <c r="AD1274" s="49">
        <f>AD1268+AD1273</f>
        <v>421450</v>
      </c>
      <c r="AE1274" s="49">
        <f>AE1268+AE1273</f>
        <v>728520</v>
      </c>
      <c r="AF1274" s="49">
        <f>AF1268+AF1273</f>
        <v>6630</v>
      </c>
      <c r="AH1274" s="36">
        <f>AH1268+AH1273</f>
        <v>783989.25</v>
      </c>
      <c r="AI1274" s="32"/>
      <c r="AJ1274" s="49">
        <f>AJ1268+AJ1273</f>
        <v>1767</v>
      </c>
      <c r="AK1274" s="49">
        <f>AK1268+AK1273</f>
        <v>762223</v>
      </c>
      <c r="AL1274" s="49">
        <f>AL1268+AL1273</f>
        <v>763990</v>
      </c>
      <c r="AM1274" s="49">
        <f>AM1268+AM1273</f>
        <v>-19999.25</v>
      </c>
      <c r="AN1274" s="32"/>
      <c r="AO1274" s="49">
        <f>AO1268+AO1273</f>
        <v>846170.97875000001</v>
      </c>
      <c r="AQ1274" s="49">
        <f>AQ1268+AQ1273</f>
        <v>915442.41564375011</v>
      </c>
      <c r="AS1274" s="49">
        <f>AS1268+AS1273</f>
        <v>995951.808332594</v>
      </c>
      <c r="AT1274" s="49"/>
      <c r="AU1274" s="49">
        <f>AU1268+AU1273</f>
        <v>1058057.0108075913</v>
      </c>
      <c r="AW1274" s="49">
        <f>AW1268+AW1273</f>
        <v>1124724.7035624641</v>
      </c>
      <c r="AY1274" s="49">
        <f>AY1268+AY1273</f>
        <v>1172916.8747607493</v>
      </c>
      <c r="BA1274" s="49">
        <f>BA1268+BA1273</f>
        <v>1220088.0254572679</v>
      </c>
      <c r="BC1274" s="49">
        <f>BC1268+BC1273</f>
        <v>1261985.3350765251</v>
      </c>
      <c r="BE1274" s="49">
        <f>BE1268+BE1273</f>
        <v>1316581.835160773</v>
      </c>
    </row>
    <row r="1275" spans="1:57" ht="15.75" thickTop="1" x14ac:dyDescent="0.25">
      <c r="A1275" s="28" t="s">
        <v>823</v>
      </c>
    </row>
    <row r="1276" spans="1:57" x14ac:dyDescent="0.25">
      <c r="A1276" s="7" t="s">
        <v>824</v>
      </c>
    </row>
    <row r="1277" spans="1:57" x14ac:dyDescent="0.25">
      <c r="A1277" s="7" t="s">
        <v>58</v>
      </c>
      <c r="W1277" s="3">
        <f t="shared" ref="W1277:W1286" si="654">Y1277-V1277</f>
        <v>0</v>
      </c>
      <c r="X1277" s="3"/>
    </row>
    <row r="1278" spans="1:57" x14ac:dyDescent="0.25">
      <c r="A1278" s="3" t="s">
        <v>825</v>
      </c>
      <c r="B1278" s="3">
        <f>42180+20</f>
        <v>42200</v>
      </c>
      <c r="D1278" s="3">
        <v>0</v>
      </c>
      <c r="E1278" s="3">
        <f t="shared" ref="E1278:E1286" si="655">F1278-D1278</f>
        <v>42200</v>
      </c>
      <c r="F1278" s="5">
        <v>42200</v>
      </c>
      <c r="H1278" s="5">
        <f t="shared" ref="H1278:H1286" si="656">F1278-B1278</f>
        <v>0</v>
      </c>
      <c r="J1278" s="5">
        <v>0</v>
      </c>
      <c r="K1278" s="4">
        <f t="shared" ref="K1278:K1286" si="657">L1278-J1278</f>
        <v>42200</v>
      </c>
      <c r="L1278" s="4">
        <v>42200</v>
      </c>
      <c r="N1278" s="4">
        <f t="shared" ref="N1278:N1286" si="658">L1278-F1278</f>
        <v>0</v>
      </c>
      <c r="P1278" s="3">
        <v>43450</v>
      </c>
      <c r="Q1278" s="3"/>
      <c r="R1278" s="3">
        <v>0</v>
      </c>
      <c r="S1278" s="3">
        <f t="shared" ref="S1278:S1286" si="659">T1278-R1278</f>
        <v>43450</v>
      </c>
      <c r="T1278" s="3">
        <v>43450</v>
      </c>
      <c r="U1278" s="3">
        <f t="shared" ref="U1278:U1286" si="660">T1278-P1278</f>
        <v>0</v>
      </c>
      <c r="V1278" s="3">
        <v>0</v>
      </c>
      <c r="W1278" s="3">
        <f t="shared" si="654"/>
        <v>43450</v>
      </c>
      <c r="X1278" s="3"/>
      <c r="Y1278" s="3">
        <v>43450</v>
      </c>
      <c r="Z1278" s="3">
        <f t="shared" ref="Z1278:Z1286" si="661">Y1278-T1278</f>
        <v>0</v>
      </c>
      <c r="AA1278" s="3"/>
      <c r="AB1278" s="3"/>
      <c r="AC1278" s="3">
        <v>0</v>
      </c>
      <c r="AD1278" s="3">
        <f t="shared" ref="AD1278:AD1286" si="662">AE1278-AC1278</f>
        <v>43450</v>
      </c>
      <c r="AE1278" s="3">
        <v>43450</v>
      </c>
      <c r="AF1278" s="3">
        <f t="shared" ref="AF1278:AF1286" si="663">AE1278-Y1278</f>
        <v>0</v>
      </c>
      <c r="AG1278" s="4"/>
      <c r="AH1278" s="4">
        <f>AE1278*1.05+27</f>
        <v>45649.5</v>
      </c>
      <c r="AJ1278" s="3">
        <v>0</v>
      </c>
      <c r="AK1278" s="3">
        <f t="shared" ref="AK1278:AK1286" si="664">AL1278-AJ1278</f>
        <v>45650</v>
      </c>
      <c r="AL1278" s="3">
        <v>45650</v>
      </c>
      <c r="AM1278" s="3">
        <f t="shared" ref="AM1278:AM1286" si="665">AL1278-AH1278</f>
        <v>0.5</v>
      </c>
      <c r="AO1278" s="3">
        <f>AH1278*1.05</f>
        <v>47931.974999999999</v>
      </c>
      <c r="AP1278" s="3"/>
      <c r="AQ1278" s="3">
        <f>AO1278*1.05</f>
        <v>50328.573750000003</v>
      </c>
      <c r="AR1278" s="3"/>
      <c r="AS1278" s="3">
        <f>AQ1278*1.05</f>
        <v>52845.002437500007</v>
      </c>
      <c r="AT1278" s="3"/>
      <c r="AU1278" s="3">
        <f>AS1278*1.05</f>
        <v>55487.252559375011</v>
      </c>
      <c r="AV1278" s="42"/>
      <c r="AW1278" s="3">
        <f>AU1278*1.05</f>
        <v>58261.615187343763</v>
      </c>
      <c r="AX1278" s="42"/>
      <c r="AY1278" s="3">
        <f>AW1278*1.05</f>
        <v>61174.695946710955</v>
      </c>
      <c r="AZ1278" s="42"/>
      <c r="BA1278" s="3">
        <f>AY1278*1.05</f>
        <v>64233.430744046505</v>
      </c>
      <c r="BB1278" s="42"/>
      <c r="BC1278" s="3">
        <f>BA1278*1.05</f>
        <v>67445.102281248837</v>
      </c>
      <c r="BE1278" s="3">
        <f>BC1278*1.05</f>
        <v>70817.357395311279</v>
      </c>
    </row>
    <row r="1279" spans="1:57" x14ac:dyDescent="0.25">
      <c r="A1279" s="3" t="s">
        <v>895</v>
      </c>
      <c r="B1279" s="3"/>
      <c r="D1279" s="3"/>
      <c r="E1279" s="3">
        <f t="shared" si="655"/>
        <v>0</v>
      </c>
      <c r="H1279" s="5">
        <f t="shared" si="656"/>
        <v>0</v>
      </c>
      <c r="K1279" s="4">
        <f t="shared" si="657"/>
        <v>0</v>
      </c>
      <c r="L1279" s="4"/>
      <c r="N1279" s="4">
        <f t="shared" si="658"/>
        <v>0</v>
      </c>
      <c r="P1279" s="3"/>
      <c r="Q1279" s="3"/>
      <c r="R1279" s="3"/>
      <c r="S1279" s="3">
        <f t="shared" si="659"/>
        <v>0</v>
      </c>
      <c r="T1279" s="3"/>
      <c r="U1279" s="3">
        <f t="shared" si="660"/>
        <v>0</v>
      </c>
      <c r="V1279" s="3"/>
      <c r="W1279" s="3">
        <f t="shared" si="654"/>
        <v>0</v>
      </c>
      <c r="X1279" s="3"/>
      <c r="Y1279" s="3"/>
      <c r="Z1279" s="3">
        <f t="shared" si="661"/>
        <v>0</v>
      </c>
      <c r="AA1279" s="3"/>
      <c r="AB1279" s="3"/>
      <c r="AC1279" s="3"/>
      <c r="AD1279" s="3">
        <f t="shared" si="662"/>
        <v>0</v>
      </c>
      <c r="AE1279" s="3"/>
      <c r="AF1279" s="3">
        <f t="shared" si="663"/>
        <v>0</v>
      </c>
      <c r="AG1279" s="4"/>
      <c r="AH1279" s="4"/>
      <c r="AJ1279" s="3"/>
      <c r="AK1279" s="3">
        <f t="shared" si="664"/>
        <v>0</v>
      </c>
      <c r="AL1279" s="3"/>
      <c r="AM1279" s="3">
        <f t="shared" si="665"/>
        <v>0</v>
      </c>
      <c r="AO1279" s="3"/>
      <c r="AP1279" s="3"/>
      <c r="AQ1279" s="3"/>
      <c r="AR1279" s="3"/>
      <c r="AS1279" s="3"/>
      <c r="AT1279" s="3"/>
      <c r="AU1279" s="3"/>
      <c r="AV1279" s="42"/>
      <c r="AW1279" s="3"/>
      <c r="AX1279" s="42"/>
      <c r="AY1279" s="3"/>
      <c r="AZ1279" s="42"/>
      <c r="BA1279" s="3"/>
      <c r="BB1279" s="42"/>
      <c r="BC1279" s="3"/>
      <c r="BE1279" s="3"/>
    </row>
    <row r="1280" spans="1:57" x14ac:dyDescent="0.25">
      <c r="A1280" s="3" t="s">
        <v>299</v>
      </c>
      <c r="B1280" s="3">
        <v>5000</v>
      </c>
      <c r="D1280" s="3">
        <v>1424</v>
      </c>
      <c r="E1280" s="3">
        <f t="shared" si="655"/>
        <v>3576</v>
      </c>
      <c r="F1280" s="5">
        <v>5000</v>
      </c>
      <c r="H1280" s="5">
        <f t="shared" si="656"/>
        <v>0</v>
      </c>
      <c r="J1280" s="5">
        <v>4415</v>
      </c>
      <c r="K1280" s="4">
        <f t="shared" si="657"/>
        <v>585</v>
      </c>
      <c r="L1280" s="4">
        <v>5000</v>
      </c>
      <c r="N1280" s="4">
        <f t="shared" si="658"/>
        <v>0</v>
      </c>
      <c r="P1280" s="3">
        <f>L1280*1.0281+9</f>
        <v>5149.5</v>
      </c>
      <c r="Q1280" s="3"/>
      <c r="R1280" s="3">
        <v>0</v>
      </c>
      <c r="S1280" s="3">
        <f t="shared" si="659"/>
        <v>5150</v>
      </c>
      <c r="T1280" s="3">
        <v>5150</v>
      </c>
      <c r="U1280" s="3">
        <f t="shared" si="660"/>
        <v>0.5</v>
      </c>
      <c r="V1280" s="3">
        <v>0</v>
      </c>
      <c r="W1280" s="3">
        <f t="shared" si="654"/>
        <v>5000</v>
      </c>
      <c r="X1280" s="3"/>
      <c r="Y1280" s="3">
        <v>5000</v>
      </c>
      <c r="Z1280" s="3">
        <f t="shared" si="661"/>
        <v>-150</v>
      </c>
      <c r="AA1280" s="3"/>
      <c r="AB1280" s="3"/>
      <c r="AC1280" s="3">
        <v>0</v>
      </c>
      <c r="AD1280" s="3">
        <f t="shared" si="662"/>
        <v>4000</v>
      </c>
      <c r="AE1280" s="3">
        <v>4000</v>
      </c>
      <c r="AF1280" s="3">
        <f t="shared" si="663"/>
        <v>-1000</v>
      </c>
      <c r="AG1280" s="4"/>
      <c r="AH1280" s="4">
        <f>AE1280*1.03+30</f>
        <v>4150</v>
      </c>
      <c r="AJ1280" s="3">
        <v>0</v>
      </c>
      <c r="AK1280" s="3">
        <f t="shared" si="664"/>
        <v>4150</v>
      </c>
      <c r="AL1280" s="3">
        <v>4150</v>
      </c>
      <c r="AM1280" s="3">
        <f t="shared" si="665"/>
        <v>0</v>
      </c>
      <c r="AO1280" s="3">
        <f>AH1280*1.03</f>
        <v>4274.5</v>
      </c>
      <c r="AP1280" s="3"/>
      <c r="AQ1280" s="3">
        <f>AO1280*1.03</f>
        <v>4402.7349999999997</v>
      </c>
      <c r="AR1280" s="3"/>
      <c r="AS1280" s="3">
        <f>AQ1280*1.03</f>
        <v>4534.8170499999997</v>
      </c>
      <c r="AT1280" s="3"/>
      <c r="AU1280" s="3">
        <f>AS1280*1.03</f>
        <v>4670.8615614999999</v>
      </c>
      <c r="AV1280" s="42"/>
      <c r="AW1280" s="3">
        <f>AU1280*1.03</f>
        <v>4810.9874083450004</v>
      </c>
      <c r="AY1280" s="3">
        <f>AW1280*1.03</f>
        <v>4955.3170305953508</v>
      </c>
      <c r="BA1280" s="3">
        <f>AY1280*1.03</f>
        <v>5103.9765415132115</v>
      </c>
      <c r="BC1280" s="3">
        <f>BA1280*1.03</f>
        <v>5257.0958377586076</v>
      </c>
      <c r="BE1280" s="3">
        <f>BC1280*1.03</f>
        <v>5414.8087128913658</v>
      </c>
    </row>
    <row r="1281" spans="1:57" x14ac:dyDescent="0.25">
      <c r="A1281" s="3" t="s">
        <v>896</v>
      </c>
      <c r="B1281" s="3">
        <v>4300</v>
      </c>
      <c r="D1281" s="3">
        <v>0</v>
      </c>
      <c r="E1281" s="3">
        <f t="shared" si="655"/>
        <v>4300</v>
      </c>
      <c r="F1281" s="5">
        <v>4300</v>
      </c>
      <c r="H1281" s="5">
        <f t="shared" si="656"/>
        <v>0</v>
      </c>
      <c r="J1281" s="5">
        <v>3008</v>
      </c>
      <c r="K1281" s="4">
        <f t="shared" si="657"/>
        <v>1292</v>
      </c>
      <c r="L1281" s="4">
        <v>4300</v>
      </c>
      <c r="N1281" s="4">
        <f t="shared" si="658"/>
        <v>0</v>
      </c>
      <c r="P1281" s="3">
        <f>L1281*1.0281+29</f>
        <v>4449.83</v>
      </c>
      <c r="Q1281" s="3"/>
      <c r="R1281" s="3">
        <v>3142</v>
      </c>
      <c r="S1281" s="3">
        <f t="shared" si="659"/>
        <v>1308</v>
      </c>
      <c r="T1281" s="3">
        <v>4450</v>
      </c>
      <c r="U1281" s="3">
        <f t="shared" si="660"/>
        <v>0.17000000000007276</v>
      </c>
      <c r="V1281" s="3">
        <v>3142</v>
      </c>
      <c r="W1281" s="3">
        <f t="shared" si="654"/>
        <v>1308</v>
      </c>
      <c r="X1281" s="3"/>
      <c r="Y1281" s="3">
        <v>4450</v>
      </c>
      <c r="Z1281" s="3">
        <f t="shared" si="661"/>
        <v>0</v>
      </c>
      <c r="AA1281" s="3"/>
      <c r="AB1281" s="3"/>
      <c r="AC1281" s="3">
        <v>6271</v>
      </c>
      <c r="AD1281" s="3">
        <f t="shared" si="662"/>
        <v>1229</v>
      </c>
      <c r="AE1281" s="3">
        <v>7500</v>
      </c>
      <c r="AF1281" s="3">
        <f t="shared" si="663"/>
        <v>3050</v>
      </c>
      <c r="AG1281" s="4"/>
      <c r="AH1281" s="4">
        <f>AE1281*1.07-25</f>
        <v>8000.0000000000009</v>
      </c>
      <c r="AJ1281" s="3">
        <v>3249</v>
      </c>
      <c r="AK1281" s="3">
        <f t="shared" si="664"/>
        <v>4751</v>
      </c>
      <c r="AL1281" s="3">
        <v>8000</v>
      </c>
      <c r="AM1281" s="3">
        <f t="shared" si="665"/>
        <v>0</v>
      </c>
      <c r="AO1281" s="3">
        <f>AH1281*1.07</f>
        <v>8560.0000000000018</v>
      </c>
      <c r="AP1281" s="3"/>
      <c r="AQ1281" s="3">
        <f>AO1281*1.07</f>
        <v>9159.2000000000025</v>
      </c>
      <c r="AR1281" s="3"/>
      <c r="AS1281" s="3">
        <f>AQ1281*1.06</f>
        <v>9708.752000000004</v>
      </c>
      <c r="AT1281" s="3"/>
      <c r="AU1281" s="3">
        <f>AS1281*1.05</f>
        <v>10194.189600000005</v>
      </c>
      <c r="AV1281" s="42"/>
      <c r="AW1281" s="3">
        <f>AU1281*1.05</f>
        <v>10703.899080000007</v>
      </c>
      <c r="AY1281" s="3">
        <f>AW1281*1.05</f>
        <v>11239.094034000007</v>
      </c>
      <c r="BA1281" s="3">
        <f>AY1281*1.05</f>
        <v>11801.048735700007</v>
      </c>
      <c r="BC1281" s="3">
        <f>BA1281*1.05</f>
        <v>12391.101172485009</v>
      </c>
      <c r="BE1281" s="3">
        <f>BC1281*1.05</f>
        <v>13010.65623110926</v>
      </c>
    </row>
    <row r="1282" spans="1:57" x14ac:dyDescent="0.25">
      <c r="A1282" s="3" t="s">
        <v>897</v>
      </c>
      <c r="B1282" s="3"/>
      <c r="D1282" s="3"/>
      <c r="E1282" s="3">
        <f t="shared" si="655"/>
        <v>0</v>
      </c>
      <c r="H1282" s="5">
        <f t="shared" si="656"/>
        <v>0</v>
      </c>
      <c r="K1282" s="4">
        <f t="shared" si="657"/>
        <v>0</v>
      </c>
      <c r="L1282" s="4"/>
      <c r="N1282" s="4">
        <f t="shared" si="658"/>
        <v>0</v>
      </c>
      <c r="P1282" s="3"/>
      <c r="Q1282" s="3"/>
      <c r="R1282" s="3"/>
      <c r="S1282" s="3">
        <f t="shared" si="659"/>
        <v>0</v>
      </c>
      <c r="T1282" s="3"/>
      <c r="U1282" s="3">
        <f t="shared" si="660"/>
        <v>0</v>
      </c>
      <c r="V1282" s="3"/>
      <c r="W1282" s="3">
        <f t="shared" si="654"/>
        <v>0</v>
      </c>
      <c r="X1282" s="3"/>
      <c r="Y1282" s="3"/>
      <c r="Z1282" s="3">
        <f t="shared" si="661"/>
        <v>0</v>
      </c>
      <c r="AA1282" s="3"/>
      <c r="AB1282" s="3"/>
      <c r="AC1282" s="3"/>
      <c r="AD1282" s="3">
        <f t="shared" si="662"/>
        <v>0</v>
      </c>
      <c r="AE1282" s="3"/>
      <c r="AF1282" s="3">
        <f t="shared" si="663"/>
        <v>0</v>
      </c>
      <c r="AG1282" s="4"/>
      <c r="AH1282" s="4"/>
      <c r="AJ1282" s="3"/>
      <c r="AK1282" s="3">
        <f t="shared" si="664"/>
        <v>0</v>
      </c>
      <c r="AL1282" s="3"/>
      <c r="AM1282" s="3">
        <f t="shared" si="665"/>
        <v>0</v>
      </c>
      <c r="AO1282" s="3"/>
      <c r="AP1282" s="3"/>
      <c r="AQ1282" s="3"/>
      <c r="AR1282" s="3"/>
      <c r="AS1282" s="3"/>
      <c r="AT1282" s="3"/>
      <c r="AU1282" s="3"/>
      <c r="AV1282" s="42"/>
      <c r="AW1282" s="3"/>
      <c r="AX1282" s="42"/>
      <c r="AY1282" s="3"/>
      <c r="AZ1282" s="42"/>
      <c r="BA1282" s="3"/>
      <c r="BB1282" s="42"/>
      <c r="BC1282" s="3"/>
      <c r="BE1282" s="3"/>
    </row>
    <row r="1283" spans="1:57" x14ac:dyDescent="0.25">
      <c r="A1283" s="3" t="s">
        <v>827</v>
      </c>
      <c r="B1283" s="3">
        <v>8000</v>
      </c>
      <c r="D1283" s="3">
        <v>535</v>
      </c>
      <c r="E1283" s="3">
        <f t="shared" si="655"/>
        <v>7465</v>
      </c>
      <c r="F1283" s="5">
        <v>8000</v>
      </c>
      <c r="H1283" s="5">
        <f t="shared" si="656"/>
        <v>0</v>
      </c>
      <c r="J1283" s="5">
        <v>1032</v>
      </c>
      <c r="K1283" s="4">
        <f t="shared" si="657"/>
        <v>5968</v>
      </c>
      <c r="L1283" s="4">
        <v>7000</v>
      </c>
      <c r="N1283" s="4">
        <f t="shared" si="658"/>
        <v>-1000</v>
      </c>
      <c r="P1283" s="3">
        <v>8500</v>
      </c>
      <c r="Q1283" s="3"/>
      <c r="R1283" s="3">
        <v>1684</v>
      </c>
      <c r="S1283" s="3">
        <f t="shared" si="659"/>
        <v>6816</v>
      </c>
      <c r="T1283" s="3">
        <v>8500</v>
      </c>
      <c r="U1283" s="3">
        <f t="shared" si="660"/>
        <v>0</v>
      </c>
      <c r="V1283" s="3">
        <v>3012</v>
      </c>
      <c r="W1283" s="3">
        <f t="shared" si="654"/>
        <v>5488</v>
      </c>
      <c r="X1283" s="3"/>
      <c r="Y1283" s="3">
        <v>8500</v>
      </c>
      <c r="Z1283" s="3">
        <f t="shared" si="661"/>
        <v>0</v>
      </c>
      <c r="AA1283" s="3"/>
      <c r="AB1283" s="3"/>
      <c r="AC1283" s="3">
        <v>4969</v>
      </c>
      <c r="AD1283" s="3">
        <f t="shared" si="662"/>
        <v>3531</v>
      </c>
      <c r="AE1283" s="3">
        <v>8500</v>
      </c>
      <c r="AF1283" s="3">
        <f t="shared" si="663"/>
        <v>0</v>
      </c>
      <c r="AG1283" s="4"/>
      <c r="AH1283" s="4">
        <f>P1283*1.0325-26</f>
        <v>8750.25</v>
      </c>
      <c r="AJ1283" s="3">
        <v>1174</v>
      </c>
      <c r="AK1283" s="3">
        <f t="shared" si="664"/>
        <v>7576</v>
      </c>
      <c r="AL1283" s="3">
        <v>8750</v>
      </c>
      <c r="AM1283" s="3">
        <f t="shared" si="665"/>
        <v>-0.25</v>
      </c>
      <c r="AO1283" s="3">
        <f>AH1283*1.0275</f>
        <v>8990.8818750000009</v>
      </c>
      <c r="AP1283" s="3"/>
      <c r="AQ1283" s="3">
        <f>AO1283*1.0275</f>
        <v>9238.1311265625009</v>
      </c>
      <c r="AR1283" s="3"/>
      <c r="AS1283" s="3">
        <f>AQ1283*1.0275</f>
        <v>9492.1797325429707</v>
      </c>
      <c r="AT1283" s="3"/>
      <c r="AU1283" s="3">
        <f>AS1283*1.0275</f>
        <v>9753.2146751879027</v>
      </c>
      <c r="AV1283" s="42"/>
      <c r="AW1283" s="3">
        <f>AU1283*1.0275</f>
        <v>10021.428078755571</v>
      </c>
      <c r="AX1283" s="42"/>
      <c r="AY1283" s="3">
        <f>AW1283*1.0275</f>
        <v>10297.017350921349</v>
      </c>
      <c r="AZ1283" s="42"/>
      <c r="BA1283" s="3">
        <f>AY1283*1.0275</f>
        <v>10580.185328071688</v>
      </c>
      <c r="BB1283" s="42"/>
      <c r="BC1283" s="3">
        <f>BA1283*1.0275</f>
        <v>10871.140424593659</v>
      </c>
      <c r="BE1283" s="3">
        <f>BC1283*1.0275</f>
        <v>11170.096786269985</v>
      </c>
    </row>
    <row r="1284" spans="1:57" x14ac:dyDescent="0.25">
      <c r="A1284" s="3" t="s">
        <v>898</v>
      </c>
      <c r="B1284" s="3"/>
      <c r="D1284" s="3"/>
      <c r="E1284" s="3">
        <f t="shared" si="655"/>
        <v>0</v>
      </c>
      <c r="H1284" s="5">
        <f t="shared" si="656"/>
        <v>0</v>
      </c>
      <c r="K1284" s="4">
        <f t="shared" si="657"/>
        <v>4000</v>
      </c>
      <c r="L1284" s="4">
        <v>4000</v>
      </c>
      <c r="N1284" s="4">
        <f t="shared" si="658"/>
        <v>4000</v>
      </c>
      <c r="P1284" s="3">
        <v>8000</v>
      </c>
      <c r="Q1284" s="3"/>
      <c r="R1284" s="3"/>
      <c r="S1284" s="3">
        <f t="shared" si="659"/>
        <v>8000</v>
      </c>
      <c r="T1284" s="3">
        <v>8000</v>
      </c>
      <c r="U1284" s="3">
        <f t="shared" si="660"/>
        <v>0</v>
      </c>
      <c r="V1284" s="3"/>
      <c r="W1284" s="3">
        <f t="shared" si="654"/>
        <v>0</v>
      </c>
      <c r="X1284" s="3"/>
      <c r="Y1284" s="3">
        <v>0</v>
      </c>
      <c r="Z1284" s="3">
        <f t="shared" si="661"/>
        <v>-8000</v>
      </c>
      <c r="AA1284" s="3"/>
      <c r="AB1284" s="3"/>
      <c r="AC1284" s="3"/>
      <c r="AD1284" s="3">
        <f t="shared" si="662"/>
        <v>0</v>
      </c>
      <c r="AE1284" s="3"/>
      <c r="AF1284" s="3">
        <f t="shared" si="663"/>
        <v>0</v>
      </c>
      <c r="AG1284" s="4"/>
      <c r="AH1284" s="4"/>
      <c r="AJ1284" s="3"/>
      <c r="AK1284" s="3">
        <f t="shared" si="664"/>
        <v>0</v>
      </c>
      <c r="AL1284" s="3"/>
      <c r="AM1284" s="3">
        <f t="shared" si="665"/>
        <v>0</v>
      </c>
      <c r="AO1284" s="3"/>
      <c r="AP1284" s="3"/>
      <c r="AQ1284" s="3"/>
      <c r="AR1284" s="3"/>
      <c r="AS1284" s="3">
        <v>9000</v>
      </c>
      <c r="AT1284" s="3"/>
      <c r="AU1284" s="3"/>
      <c r="AV1284" s="42"/>
      <c r="AW1284" s="3"/>
      <c r="AX1284" s="42"/>
      <c r="AY1284" s="3">
        <v>10000</v>
      </c>
      <c r="AZ1284" s="42"/>
      <c r="BA1284" s="3">
        <v>10000</v>
      </c>
      <c r="BB1284" s="42"/>
      <c r="BC1284" s="3">
        <v>10000</v>
      </c>
      <c r="BE1284" s="3">
        <v>10000</v>
      </c>
    </row>
    <row r="1285" spans="1:57" x14ac:dyDescent="0.25">
      <c r="A1285" s="3" t="s">
        <v>899</v>
      </c>
      <c r="B1285" s="3">
        <v>4000</v>
      </c>
      <c r="D1285" s="3"/>
      <c r="E1285" s="3">
        <f t="shared" si="655"/>
        <v>4000</v>
      </c>
      <c r="F1285" s="5">
        <v>4000</v>
      </c>
      <c r="H1285" s="5">
        <f t="shared" si="656"/>
        <v>0</v>
      </c>
      <c r="J1285" s="5">
        <v>4069</v>
      </c>
      <c r="K1285" s="4">
        <f t="shared" si="657"/>
        <v>1</v>
      </c>
      <c r="L1285" s="4">
        <v>4070</v>
      </c>
      <c r="N1285" s="4">
        <f t="shared" si="658"/>
        <v>70</v>
      </c>
      <c r="P1285" s="3">
        <f>L1285*1.0281+16</f>
        <v>4200.3670000000002</v>
      </c>
      <c r="Q1285" s="3"/>
      <c r="R1285" s="3">
        <v>4080</v>
      </c>
      <c r="S1285" s="3">
        <f t="shared" si="659"/>
        <v>120</v>
      </c>
      <c r="T1285" s="3">
        <v>4200</v>
      </c>
      <c r="U1285" s="3">
        <f t="shared" si="660"/>
        <v>-0.36700000000018917</v>
      </c>
      <c r="V1285" s="3">
        <v>4081</v>
      </c>
      <c r="W1285" s="3">
        <f t="shared" si="654"/>
        <v>119</v>
      </c>
      <c r="X1285" s="3"/>
      <c r="Y1285" s="3">
        <v>4200</v>
      </c>
      <c r="Z1285" s="3">
        <f t="shared" si="661"/>
        <v>0</v>
      </c>
      <c r="AA1285" s="3"/>
      <c r="AB1285" s="3"/>
      <c r="AC1285" s="3">
        <v>4081</v>
      </c>
      <c r="AD1285" s="3">
        <f t="shared" si="662"/>
        <v>19</v>
      </c>
      <c r="AE1285" s="3">
        <v>4100</v>
      </c>
      <c r="AF1285" s="3">
        <f t="shared" si="663"/>
        <v>-100</v>
      </c>
      <c r="AG1285" s="4"/>
      <c r="AH1285" s="4">
        <f>AE1285*1.03-23</f>
        <v>4200</v>
      </c>
      <c r="AJ1285" s="3">
        <v>4083</v>
      </c>
      <c r="AK1285" s="3">
        <f t="shared" si="664"/>
        <v>117</v>
      </c>
      <c r="AL1285" s="3">
        <v>4200</v>
      </c>
      <c r="AM1285" s="3">
        <f t="shared" si="665"/>
        <v>0</v>
      </c>
      <c r="AO1285" s="3">
        <f>AH1285*1.03</f>
        <v>4326</v>
      </c>
      <c r="AP1285" s="3"/>
      <c r="AQ1285" s="3">
        <f>AO1285*1.03</f>
        <v>4455.78</v>
      </c>
      <c r="AR1285" s="3"/>
      <c r="AS1285" s="3">
        <f>AQ1285*1.03</f>
        <v>4589.4533999999994</v>
      </c>
      <c r="AT1285" s="3"/>
      <c r="AU1285" s="3">
        <f>AS1285*1.03</f>
        <v>4727.1370019999995</v>
      </c>
      <c r="AV1285" s="42"/>
      <c r="AW1285" s="3">
        <f>AU1285*1.03</f>
        <v>4868.95111206</v>
      </c>
      <c r="AY1285" s="3">
        <f>AW1285*1.03</f>
        <v>5015.0196454218003</v>
      </c>
      <c r="BA1285" s="3">
        <f>AY1285*1.03</f>
        <v>5165.4702347844541</v>
      </c>
      <c r="BC1285" s="3">
        <f>BA1285*1.03</f>
        <v>5320.4343418279877</v>
      </c>
      <c r="BE1285" s="3">
        <f>BC1285*1.03</f>
        <v>5480.0473720828277</v>
      </c>
    </row>
    <row r="1286" spans="1:57" x14ac:dyDescent="0.25">
      <c r="A1286" s="3" t="s">
        <v>57</v>
      </c>
      <c r="B1286" s="3">
        <v>10300</v>
      </c>
      <c r="D1286" s="3"/>
      <c r="E1286" s="3">
        <f t="shared" si="655"/>
        <v>10300</v>
      </c>
      <c r="F1286" s="5">
        <v>10300</v>
      </c>
      <c r="H1286" s="5">
        <f t="shared" si="656"/>
        <v>0</v>
      </c>
      <c r="K1286" s="4">
        <f t="shared" si="657"/>
        <v>10000</v>
      </c>
      <c r="L1286" s="4">
        <v>10000</v>
      </c>
      <c r="N1286" s="4">
        <f t="shared" si="658"/>
        <v>-300</v>
      </c>
      <c r="P1286" s="3">
        <f>L1286*1.0281+19</f>
        <v>10300</v>
      </c>
      <c r="Q1286" s="3"/>
      <c r="R1286" s="3"/>
      <c r="S1286" s="3">
        <f t="shared" si="659"/>
        <v>10300</v>
      </c>
      <c r="T1286" s="3">
        <v>10300</v>
      </c>
      <c r="U1286" s="3">
        <f t="shared" si="660"/>
        <v>0</v>
      </c>
      <c r="V1286" s="3"/>
      <c r="W1286" s="3">
        <f t="shared" si="654"/>
        <v>5000</v>
      </c>
      <c r="X1286" s="3"/>
      <c r="Y1286" s="3">
        <v>5000</v>
      </c>
      <c r="Z1286" s="3">
        <f t="shared" si="661"/>
        <v>-5300</v>
      </c>
      <c r="AA1286" s="3"/>
      <c r="AB1286" s="3"/>
      <c r="AC1286" s="3">
        <v>3671</v>
      </c>
      <c r="AD1286" s="3">
        <f t="shared" si="662"/>
        <v>1329</v>
      </c>
      <c r="AE1286" s="3">
        <v>5000</v>
      </c>
      <c r="AF1286" s="3">
        <f t="shared" si="663"/>
        <v>0</v>
      </c>
      <c r="AG1286" s="4"/>
      <c r="AH1286" s="4">
        <f>AE1286*1.03</f>
        <v>5150</v>
      </c>
      <c r="AJ1286" s="3">
        <v>1747</v>
      </c>
      <c r="AK1286" s="3">
        <f t="shared" si="664"/>
        <v>3403</v>
      </c>
      <c r="AL1286" s="3">
        <v>5150</v>
      </c>
      <c r="AM1286" s="3">
        <f t="shared" si="665"/>
        <v>0</v>
      </c>
      <c r="AO1286" s="3">
        <f>AH1286*1.03</f>
        <v>5304.5</v>
      </c>
      <c r="AP1286" s="3"/>
      <c r="AQ1286" s="3">
        <f>AO1286*1.03</f>
        <v>5463.6350000000002</v>
      </c>
      <c r="AR1286" s="3"/>
      <c r="AS1286" s="3">
        <f>AQ1286*1.03</f>
        <v>5627.5440500000004</v>
      </c>
      <c r="AT1286" s="3"/>
      <c r="AU1286" s="3">
        <f>AS1286*1.03</f>
        <v>5796.3703715000001</v>
      </c>
      <c r="AV1286" s="42"/>
      <c r="AW1286" s="3">
        <f>AU1286*1.03</f>
        <v>5970.2614826449999</v>
      </c>
      <c r="AY1286" s="3">
        <f>AW1286*1.03</f>
        <v>6149.3693271243501</v>
      </c>
      <c r="BA1286" s="3">
        <f>AY1286*1.03</f>
        <v>6333.8504069380806</v>
      </c>
      <c r="BC1286" s="3">
        <f>BA1286*1.03</f>
        <v>6523.865919146223</v>
      </c>
      <c r="BE1286" s="3">
        <f>BC1286*1.03</f>
        <v>6719.5818967206096</v>
      </c>
    </row>
    <row r="1287" spans="1:57" x14ac:dyDescent="0.25">
      <c r="A1287" s="3"/>
      <c r="B1287" s="48">
        <f>SUM(B1278:B1286)</f>
        <v>73800</v>
      </c>
      <c r="C1287" s="32"/>
      <c r="D1287" s="48">
        <f>SUM(D1278:D1286)+1</f>
        <v>1960</v>
      </c>
      <c r="E1287" s="48">
        <f>SUM(E1278:E1286)+1</f>
        <v>71842</v>
      </c>
      <c r="F1287" s="48">
        <f>SUM(F1278:F1286)+1</f>
        <v>73801</v>
      </c>
      <c r="G1287" s="32"/>
      <c r="H1287" s="48">
        <f>SUM(H1278:H1286)+1</f>
        <v>1</v>
      </c>
      <c r="I1287" s="36"/>
      <c r="J1287" s="48">
        <f>SUM(J1278:J1286)+1</f>
        <v>12525</v>
      </c>
      <c r="K1287" s="48">
        <f>SUM(K1278:K1286)+1</f>
        <v>64047</v>
      </c>
      <c r="L1287" s="48">
        <f>SUM(L1278:L1286)+1</f>
        <v>76571</v>
      </c>
      <c r="M1287" s="32"/>
      <c r="N1287" s="48">
        <f>SUM(N1278:N1286)+1</f>
        <v>2771</v>
      </c>
      <c r="P1287" s="48">
        <f>SUM(P1278:P1286)</f>
        <v>84049.697</v>
      </c>
      <c r="R1287" s="48">
        <f t="shared" ref="R1287:Z1287" si="666">SUM(R1278:R1286)</f>
        <v>8906</v>
      </c>
      <c r="S1287" s="48">
        <f t="shared" si="666"/>
        <v>75144</v>
      </c>
      <c r="T1287" s="48">
        <f t="shared" si="666"/>
        <v>84050</v>
      </c>
      <c r="U1287" s="48">
        <f t="shared" si="666"/>
        <v>0.30299999999988358</v>
      </c>
      <c r="V1287" s="48">
        <f t="shared" si="666"/>
        <v>10235</v>
      </c>
      <c r="W1287" s="48">
        <f t="shared" si="666"/>
        <v>60365</v>
      </c>
      <c r="X1287" s="48"/>
      <c r="Y1287" s="48">
        <f t="shared" si="666"/>
        <v>70600</v>
      </c>
      <c r="Z1287" s="48">
        <f t="shared" si="666"/>
        <v>-13450</v>
      </c>
      <c r="AC1287" s="48">
        <f>SUM(AC1278:AC1286)</f>
        <v>18992</v>
      </c>
      <c r="AD1287" s="48">
        <f>SUM(AD1278:AD1286)</f>
        <v>53558</v>
      </c>
      <c r="AE1287" s="48">
        <f>SUM(AE1278:AE1286)</f>
        <v>72550</v>
      </c>
      <c r="AF1287" s="48">
        <f>SUM(AF1278:AF1286)</f>
        <v>1950</v>
      </c>
      <c r="AH1287" s="36">
        <f>SUM(AH1278:AH1286)</f>
        <v>75899.75</v>
      </c>
      <c r="AI1287" s="32"/>
      <c r="AJ1287" s="48">
        <f>SUM(AJ1278:AJ1286)</f>
        <v>10253</v>
      </c>
      <c r="AK1287" s="48">
        <f>SUM(AK1278:AK1286)</f>
        <v>65647</v>
      </c>
      <c r="AL1287" s="48">
        <f>SUM(AL1278:AL1286)</f>
        <v>75900</v>
      </c>
      <c r="AM1287" s="48">
        <f>SUM(AM1278:AM1286)</f>
        <v>0.25</v>
      </c>
      <c r="AN1287" s="32"/>
      <c r="AO1287" s="48">
        <f>SUM(AO1278:AO1286)</f>
        <v>79387.856874999998</v>
      </c>
      <c r="AQ1287" s="48">
        <f>SUM(AQ1278:AQ1286)</f>
        <v>83048.054876562499</v>
      </c>
      <c r="AS1287" s="48">
        <f>SUM(AS1278:AS1286)</f>
        <v>95797.748670042973</v>
      </c>
      <c r="AT1287" s="48"/>
      <c r="AU1287" s="48">
        <f>SUM(AU1278:AU1286)</f>
        <v>90629.025769562926</v>
      </c>
      <c r="AW1287" s="48">
        <f>SUM(AW1278:AW1286)</f>
        <v>94637.142349149333</v>
      </c>
      <c r="AY1287" s="48">
        <f>SUM(AY1278:AY1286)</f>
        <v>108830.51333477382</v>
      </c>
      <c r="BA1287" s="48">
        <f>SUM(BA1278:BA1286)</f>
        <v>113217.96199105396</v>
      </c>
      <c r="BC1287" s="48">
        <f>SUM(BC1278:BC1286)</f>
        <v>117808.73997706032</v>
      </c>
      <c r="BE1287" s="48">
        <f>SUM(BE1278:BE1286)</f>
        <v>122612.54839438533</v>
      </c>
    </row>
    <row r="1288" spans="1:57" x14ac:dyDescent="0.25">
      <c r="A1288" s="7" t="s">
        <v>830</v>
      </c>
    </row>
    <row r="1289" spans="1:57" x14ac:dyDescent="0.25">
      <c r="A1289" s="7" t="s">
        <v>831</v>
      </c>
    </row>
    <row r="1290" spans="1:57" x14ac:dyDescent="0.25">
      <c r="A1290" s="3" t="s">
        <v>900</v>
      </c>
      <c r="B1290" s="3">
        <v>146000</v>
      </c>
      <c r="D1290" s="3">
        <f>40791-1401+4080-1875</f>
        <v>41595</v>
      </c>
      <c r="E1290" s="3">
        <f t="shared" ref="E1290:E1297" si="667">F1290-D1290</f>
        <v>104405</v>
      </c>
      <c r="F1290" s="5">
        <v>146000</v>
      </c>
      <c r="H1290" s="5">
        <f t="shared" ref="H1290:H1297" si="668">F1290-B1290</f>
        <v>0</v>
      </c>
      <c r="J1290" s="5">
        <v>73993</v>
      </c>
      <c r="K1290" s="4">
        <f t="shared" ref="K1290:K1297" si="669">L1290-J1290</f>
        <v>76007</v>
      </c>
      <c r="L1290" s="4">
        <v>150000</v>
      </c>
      <c r="N1290" s="4">
        <f t="shared" ref="N1290:N1297" si="670">L1290-F1290</f>
        <v>4000</v>
      </c>
      <c r="P1290" s="3">
        <f>L1290*1.0281+385</f>
        <v>154600</v>
      </c>
      <c r="Q1290" s="3"/>
      <c r="R1290" s="3">
        <v>41322</v>
      </c>
      <c r="S1290" s="3">
        <f t="shared" ref="S1290:S1297" si="671">T1290-R1290</f>
        <v>113278</v>
      </c>
      <c r="T1290" s="3">
        <v>154600</v>
      </c>
      <c r="U1290" s="3">
        <f t="shared" ref="U1290:U1297" si="672">T1290-P1290</f>
        <v>0</v>
      </c>
      <c r="V1290" s="3">
        <v>101623</v>
      </c>
      <c r="W1290" s="3">
        <f t="shared" ref="W1290:W1297" si="673">Y1290-V1290</f>
        <v>68377</v>
      </c>
      <c r="X1290" s="3"/>
      <c r="Y1290" s="3">
        <v>170000</v>
      </c>
      <c r="Z1290" s="3">
        <f t="shared" ref="Z1290:Z1297" si="674">Y1290-T1290</f>
        <v>15400</v>
      </c>
      <c r="AA1290" s="3"/>
      <c r="AB1290" s="3"/>
      <c r="AC1290" s="3">
        <f>13333+21346+2286+59003+8971+20572+5229</f>
        <v>130740</v>
      </c>
      <c r="AD1290" s="3">
        <f t="shared" ref="AD1290:AD1297" si="675">AE1290-AC1290</f>
        <v>44260</v>
      </c>
      <c r="AE1290" s="3">
        <v>175000</v>
      </c>
      <c r="AF1290" s="3">
        <f t="shared" ref="AF1290:AF1297" si="676">AE1290-Y1290</f>
        <v>5000</v>
      </c>
      <c r="AG1290" s="4"/>
      <c r="AH1290" s="4">
        <f>AE1290*1.03</f>
        <v>180250</v>
      </c>
      <c r="AJ1290" s="3">
        <v>71784</v>
      </c>
      <c r="AK1290" s="3">
        <f>AL1290-AJ1290</f>
        <v>138466</v>
      </c>
      <c r="AL1290" s="3">
        <v>210250</v>
      </c>
      <c r="AM1290" s="3">
        <f>AL1290-AH1290</f>
        <v>30000</v>
      </c>
      <c r="AO1290" s="3">
        <f t="shared" ref="AO1290:AO1297" si="677">AH1290*1.03</f>
        <v>185657.5</v>
      </c>
      <c r="AP1290" s="3"/>
      <c r="AQ1290" s="3">
        <f t="shared" ref="AQ1290:AQ1297" si="678">AO1290*1.03</f>
        <v>191227.22500000001</v>
      </c>
      <c r="AR1290" s="3"/>
      <c r="AS1290" s="3">
        <f t="shared" ref="AS1290:AS1297" si="679">AQ1290*1.03</f>
        <v>196964.04175</v>
      </c>
      <c r="AT1290" s="3"/>
      <c r="AU1290" s="3">
        <f t="shared" ref="AU1290:AU1297" si="680">AS1290*1.03</f>
        <v>202872.96300250001</v>
      </c>
      <c r="AV1290" s="42"/>
      <c r="AW1290" s="3">
        <f t="shared" ref="AW1290:AW1297" si="681">AU1290*1.03</f>
        <v>208959.15189257503</v>
      </c>
      <c r="AY1290" s="3">
        <f t="shared" ref="AY1290:AY1297" si="682">AW1290*1.03</f>
        <v>215227.92644935229</v>
      </c>
      <c r="BA1290" s="3">
        <f t="shared" ref="BA1290:BA1297" si="683">AY1290*1.03</f>
        <v>221684.76424283287</v>
      </c>
      <c r="BC1290" s="3">
        <f t="shared" ref="BC1290:BC1297" si="684">BA1290*1.03</f>
        <v>228335.30717011786</v>
      </c>
      <c r="BE1290" s="3">
        <f t="shared" ref="BE1290:BE1297" si="685">BC1290*1.03</f>
        <v>235185.36638522139</v>
      </c>
    </row>
    <row r="1291" spans="1:57" x14ac:dyDescent="0.25">
      <c r="A1291" s="3" t="s">
        <v>901</v>
      </c>
      <c r="B1291" s="3">
        <v>7500</v>
      </c>
      <c r="D1291" s="3">
        <v>1875</v>
      </c>
      <c r="E1291" s="3">
        <f t="shared" si="667"/>
        <v>5625</v>
      </c>
      <c r="F1291" s="5">
        <v>7500</v>
      </c>
      <c r="H1291" s="5">
        <f t="shared" si="668"/>
        <v>0</v>
      </c>
      <c r="K1291" s="4">
        <f t="shared" si="669"/>
        <v>7500</v>
      </c>
      <c r="L1291" s="4">
        <v>7500</v>
      </c>
      <c r="N1291" s="4">
        <f t="shared" si="670"/>
        <v>0</v>
      </c>
      <c r="P1291" s="3">
        <f>B1291*1.025+112</f>
        <v>7799.4999999999991</v>
      </c>
      <c r="Q1291" s="3"/>
      <c r="R1291" s="3">
        <v>0</v>
      </c>
      <c r="S1291" s="3">
        <f t="shared" si="671"/>
        <v>7800</v>
      </c>
      <c r="T1291" s="3">
        <v>7800</v>
      </c>
      <c r="U1291" s="3">
        <f t="shared" si="672"/>
        <v>0.50000000000090949</v>
      </c>
      <c r="V1291" s="3"/>
      <c r="W1291" s="3">
        <f t="shared" si="673"/>
        <v>7800</v>
      </c>
      <c r="X1291" s="3"/>
      <c r="Y1291" s="3">
        <v>7800</v>
      </c>
      <c r="Z1291" s="3">
        <f t="shared" si="674"/>
        <v>0</v>
      </c>
      <c r="AA1291" s="3"/>
      <c r="AB1291" s="3"/>
      <c r="AC1291" s="3">
        <v>0</v>
      </c>
      <c r="AD1291" s="3">
        <f t="shared" si="675"/>
        <v>7800</v>
      </c>
      <c r="AE1291" s="3">
        <v>7800</v>
      </c>
      <c r="AF1291" s="3">
        <f t="shared" si="676"/>
        <v>0</v>
      </c>
      <c r="AG1291" s="4"/>
      <c r="AH1291" s="4">
        <v>0</v>
      </c>
      <c r="AJ1291" s="3"/>
      <c r="AK1291" s="3">
        <f t="shared" ref="AK1291:AK1297" si="686">AL1291-AJ1291</f>
        <v>0</v>
      </c>
      <c r="AL1291" s="3"/>
      <c r="AM1291" s="3">
        <f t="shared" ref="AM1291:AM1297" si="687">AL1291-AH1291</f>
        <v>0</v>
      </c>
      <c r="AO1291" s="3">
        <f t="shared" si="677"/>
        <v>0</v>
      </c>
      <c r="AP1291" s="3"/>
      <c r="AQ1291" s="3">
        <f t="shared" si="678"/>
        <v>0</v>
      </c>
      <c r="AR1291" s="3"/>
      <c r="AS1291" s="3">
        <f t="shared" si="679"/>
        <v>0</v>
      </c>
      <c r="AT1291" s="3"/>
      <c r="AU1291" s="3">
        <f t="shared" si="680"/>
        <v>0</v>
      </c>
      <c r="AV1291" s="42"/>
      <c r="AW1291" s="3">
        <f t="shared" si="681"/>
        <v>0</v>
      </c>
      <c r="AY1291" s="3">
        <f t="shared" si="682"/>
        <v>0</v>
      </c>
      <c r="BA1291" s="3">
        <f t="shared" si="683"/>
        <v>0</v>
      </c>
      <c r="BC1291" s="3">
        <f t="shared" si="684"/>
        <v>0</v>
      </c>
      <c r="BE1291" s="3">
        <f t="shared" si="685"/>
        <v>0</v>
      </c>
    </row>
    <row r="1292" spans="1:57" x14ac:dyDescent="0.25">
      <c r="A1292" s="3" t="s">
        <v>902</v>
      </c>
      <c r="B1292" s="3">
        <v>26000</v>
      </c>
      <c r="D1292" s="3">
        <v>23798</v>
      </c>
      <c r="E1292" s="3">
        <f t="shared" si="667"/>
        <v>10202</v>
      </c>
      <c r="F1292" s="5">
        <v>34000</v>
      </c>
      <c r="H1292" s="5">
        <f t="shared" si="668"/>
        <v>8000</v>
      </c>
      <c r="J1292" s="5">
        <v>30604</v>
      </c>
      <c r="K1292" s="4">
        <f t="shared" si="669"/>
        <v>11896</v>
      </c>
      <c r="L1292" s="4">
        <v>42500</v>
      </c>
      <c r="N1292" s="4">
        <f t="shared" si="670"/>
        <v>8500</v>
      </c>
      <c r="P1292" s="3">
        <f>L1292*1.0281+6</f>
        <v>43700.25</v>
      </c>
      <c r="Q1292" s="3"/>
      <c r="R1292" s="3">
        <v>13947</v>
      </c>
      <c r="S1292" s="3">
        <f t="shared" si="671"/>
        <v>29753</v>
      </c>
      <c r="T1292" s="3">
        <v>43700</v>
      </c>
      <c r="U1292" s="3">
        <f t="shared" si="672"/>
        <v>-0.25</v>
      </c>
      <c r="V1292" s="3">
        <v>17130</v>
      </c>
      <c r="W1292" s="3">
        <f t="shared" si="673"/>
        <v>26570</v>
      </c>
      <c r="X1292" s="3"/>
      <c r="Y1292" s="3">
        <v>43700</v>
      </c>
      <c r="Z1292" s="3">
        <f t="shared" si="674"/>
        <v>0</v>
      </c>
      <c r="AA1292" s="3"/>
      <c r="AB1292" s="3"/>
      <c r="AC1292" s="3">
        <v>26964</v>
      </c>
      <c r="AD1292" s="3">
        <f t="shared" si="675"/>
        <v>15036</v>
      </c>
      <c r="AE1292" s="3">
        <v>42000</v>
      </c>
      <c r="AF1292" s="3">
        <f t="shared" si="676"/>
        <v>-1700</v>
      </c>
      <c r="AG1292" s="4"/>
      <c r="AH1292" s="4">
        <f>AE1292*1.03-10</f>
        <v>43250</v>
      </c>
      <c r="AJ1292" s="3">
        <v>3502</v>
      </c>
      <c r="AK1292" s="3">
        <f t="shared" si="686"/>
        <v>39748</v>
      </c>
      <c r="AL1292" s="3">
        <v>43250</v>
      </c>
      <c r="AM1292" s="3">
        <f t="shared" si="687"/>
        <v>0</v>
      </c>
      <c r="AO1292" s="3">
        <f t="shared" si="677"/>
        <v>44547.5</v>
      </c>
      <c r="AP1292" s="3"/>
      <c r="AQ1292" s="3">
        <f t="shared" si="678"/>
        <v>45883.925000000003</v>
      </c>
      <c r="AR1292" s="3"/>
      <c r="AS1292" s="3">
        <f t="shared" si="679"/>
        <v>47260.442750000002</v>
      </c>
      <c r="AT1292" s="3"/>
      <c r="AU1292" s="3">
        <f t="shared" si="680"/>
        <v>48678.256032500001</v>
      </c>
      <c r="AV1292" s="42"/>
      <c r="AW1292" s="3">
        <f t="shared" si="681"/>
        <v>50138.603713475</v>
      </c>
      <c r="AY1292" s="3">
        <f t="shared" si="682"/>
        <v>51642.76182487925</v>
      </c>
      <c r="BA1292" s="3">
        <f t="shared" si="683"/>
        <v>53192.044679625629</v>
      </c>
      <c r="BC1292" s="3">
        <f t="shared" si="684"/>
        <v>54787.806020014403</v>
      </c>
      <c r="BE1292" s="3">
        <f t="shared" si="685"/>
        <v>56431.440200614838</v>
      </c>
    </row>
    <row r="1293" spans="1:57" x14ac:dyDescent="0.25">
      <c r="A1293" s="3" t="s">
        <v>903</v>
      </c>
      <c r="B1293" s="3">
        <v>48000</v>
      </c>
      <c r="D1293" s="3">
        <v>1952</v>
      </c>
      <c r="E1293" s="3">
        <f t="shared" si="667"/>
        <v>38048</v>
      </c>
      <c r="F1293" s="5">
        <v>40000</v>
      </c>
      <c r="H1293" s="5">
        <f t="shared" si="668"/>
        <v>-8000</v>
      </c>
      <c r="J1293" s="5">
        <v>4800</v>
      </c>
      <c r="K1293" s="4">
        <f t="shared" si="669"/>
        <v>30200</v>
      </c>
      <c r="L1293" s="4">
        <v>35000</v>
      </c>
      <c r="N1293" s="4">
        <f t="shared" si="670"/>
        <v>-5000</v>
      </c>
      <c r="P1293" s="3">
        <f>L1293*1.0281+16</f>
        <v>35999.5</v>
      </c>
      <c r="Q1293" s="3"/>
      <c r="R1293" s="3">
        <v>255</v>
      </c>
      <c r="S1293" s="3">
        <f t="shared" si="671"/>
        <v>35745</v>
      </c>
      <c r="T1293" s="3">
        <v>36000</v>
      </c>
      <c r="U1293" s="3">
        <f t="shared" si="672"/>
        <v>0.5</v>
      </c>
      <c r="V1293" s="3">
        <v>1224</v>
      </c>
      <c r="W1293" s="3">
        <f t="shared" si="673"/>
        <v>34776</v>
      </c>
      <c r="X1293" s="3"/>
      <c r="Y1293" s="3">
        <v>36000</v>
      </c>
      <c r="Z1293" s="3">
        <f t="shared" si="674"/>
        <v>0</v>
      </c>
      <c r="AA1293" s="3"/>
      <c r="AB1293" s="3"/>
      <c r="AC1293" s="3">
        <v>6185</v>
      </c>
      <c r="AD1293" s="3">
        <f t="shared" si="675"/>
        <v>23815</v>
      </c>
      <c r="AE1293" s="3">
        <v>30000</v>
      </c>
      <c r="AF1293" s="3">
        <f t="shared" si="676"/>
        <v>-6000</v>
      </c>
      <c r="AG1293" s="4"/>
      <c r="AH1293" s="4">
        <f>P1293*1.03+121</f>
        <v>37200.485000000001</v>
      </c>
      <c r="AJ1293" s="3">
        <v>339</v>
      </c>
      <c r="AK1293" s="3">
        <f t="shared" si="686"/>
        <v>36861</v>
      </c>
      <c r="AL1293" s="3">
        <v>37200</v>
      </c>
      <c r="AM1293" s="3">
        <f t="shared" si="687"/>
        <v>-0.48500000000058208</v>
      </c>
      <c r="AO1293" s="3">
        <f t="shared" si="677"/>
        <v>38316.49955</v>
      </c>
      <c r="AP1293" s="3"/>
      <c r="AQ1293" s="3">
        <f t="shared" si="678"/>
        <v>39465.994536500002</v>
      </c>
      <c r="AR1293" s="3"/>
      <c r="AS1293" s="3">
        <f t="shared" si="679"/>
        <v>40649.974372595003</v>
      </c>
      <c r="AT1293" s="3"/>
      <c r="AU1293" s="3">
        <f t="shared" si="680"/>
        <v>41869.473603772851</v>
      </c>
      <c r="AV1293" s="42"/>
      <c r="AW1293" s="3">
        <f t="shared" si="681"/>
        <v>43125.557811886036</v>
      </c>
      <c r="AY1293" s="3">
        <f t="shared" si="682"/>
        <v>44419.32454624262</v>
      </c>
      <c r="BA1293" s="3">
        <f t="shared" si="683"/>
        <v>45751.904282629897</v>
      </c>
      <c r="BC1293" s="3">
        <f t="shared" si="684"/>
        <v>47124.461411108794</v>
      </c>
      <c r="BE1293" s="3">
        <f t="shared" si="685"/>
        <v>48538.195253442056</v>
      </c>
    </row>
    <row r="1294" spans="1:57" x14ac:dyDescent="0.25">
      <c r="A1294" s="3" t="s">
        <v>904</v>
      </c>
      <c r="B1294" s="3">
        <v>5500</v>
      </c>
      <c r="D1294" s="3">
        <v>158</v>
      </c>
      <c r="E1294" s="3">
        <f t="shared" si="667"/>
        <v>5342</v>
      </c>
      <c r="F1294" s="5">
        <v>5500</v>
      </c>
      <c r="H1294" s="5">
        <f t="shared" si="668"/>
        <v>0</v>
      </c>
      <c r="J1294" s="5">
        <v>3902</v>
      </c>
      <c r="K1294" s="4">
        <f t="shared" si="669"/>
        <v>2598</v>
      </c>
      <c r="L1294" s="4">
        <v>6500</v>
      </c>
      <c r="N1294" s="4">
        <f t="shared" si="670"/>
        <v>1000</v>
      </c>
      <c r="P1294" s="3">
        <f>L1294*1.0281+17</f>
        <v>6699.65</v>
      </c>
      <c r="Q1294" s="3"/>
      <c r="R1294" s="3">
        <v>0</v>
      </c>
      <c r="S1294" s="3">
        <f t="shared" si="671"/>
        <v>6700</v>
      </c>
      <c r="T1294" s="3">
        <v>6700</v>
      </c>
      <c r="U1294" s="3">
        <f t="shared" si="672"/>
        <v>0.3500000000003638</v>
      </c>
      <c r="V1294" s="3">
        <v>2850</v>
      </c>
      <c r="W1294" s="3">
        <f t="shared" si="673"/>
        <v>3650</v>
      </c>
      <c r="X1294" s="3"/>
      <c r="Y1294" s="3">
        <v>6500</v>
      </c>
      <c r="Z1294" s="3">
        <f t="shared" si="674"/>
        <v>-200</v>
      </c>
      <c r="AA1294" s="3"/>
      <c r="AB1294" s="3"/>
      <c r="AC1294" s="3">
        <v>2850</v>
      </c>
      <c r="AD1294" s="3">
        <f t="shared" si="675"/>
        <v>3150</v>
      </c>
      <c r="AE1294" s="3">
        <v>6000</v>
      </c>
      <c r="AF1294" s="3">
        <f t="shared" si="676"/>
        <v>-500</v>
      </c>
      <c r="AG1294" s="4"/>
      <c r="AH1294" s="4">
        <f>P1294*1.03-1</f>
        <v>6899.6395000000002</v>
      </c>
      <c r="AJ1294" s="3"/>
      <c r="AK1294" s="3">
        <f t="shared" si="686"/>
        <v>6900</v>
      </c>
      <c r="AL1294" s="3">
        <v>6900</v>
      </c>
      <c r="AM1294" s="3">
        <f t="shared" si="687"/>
        <v>0.36049999999977445</v>
      </c>
      <c r="AO1294" s="3">
        <f t="shared" si="677"/>
        <v>7106.6286850000006</v>
      </c>
      <c r="AP1294" s="3"/>
      <c r="AQ1294" s="3">
        <f t="shared" si="678"/>
        <v>7319.8275455500007</v>
      </c>
      <c r="AR1294" s="3"/>
      <c r="AS1294" s="3">
        <f t="shared" si="679"/>
        <v>7539.4223719165011</v>
      </c>
      <c r="AT1294" s="3"/>
      <c r="AU1294" s="3">
        <f t="shared" si="680"/>
        <v>7765.6050430739961</v>
      </c>
      <c r="AV1294" s="42"/>
      <c r="AW1294" s="3">
        <f t="shared" si="681"/>
        <v>7998.5731943662158</v>
      </c>
      <c r="AY1294" s="3">
        <f t="shared" si="682"/>
        <v>8238.530390197202</v>
      </c>
      <c r="BA1294" s="3">
        <f t="shared" si="683"/>
        <v>8485.6863019031189</v>
      </c>
      <c r="BC1294" s="3">
        <f t="shared" si="684"/>
        <v>8740.2568909602123</v>
      </c>
      <c r="BE1294" s="3">
        <f t="shared" si="685"/>
        <v>9002.4645976890188</v>
      </c>
    </row>
    <row r="1295" spans="1:57" x14ac:dyDescent="0.25">
      <c r="A1295" s="3" t="s">
        <v>905</v>
      </c>
      <c r="B1295" s="3">
        <v>1200</v>
      </c>
      <c r="D1295" s="3"/>
      <c r="E1295" s="3">
        <f t="shared" si="667"/>
        <v>1200</v>
      </c>
      <c r="F1295" s="5">
        <v>1200</v>
      </c>
      <c r="H1295" s="5">
        <f t="shared" si="668"/>
        <v>0</v>
      </c>
      <c r="J1295" s="5">
        <v>0</v>
      </c>
      <c r="K1295" s="4">
        <f t="shared" si="669"/>
        <v>1200</v>
      </c>
      <c r="L1295" s="4">
        <v>1200</v>
      </c>
      <c r="N1295" s="4">
        <f t="shared" si="670"/>
        <v>0</v>
      </c>
      <c r="P1295" s="3">
        <f>L1295*1.0281+16</f>
        <v>1249.72</v>
      </c>
      <c r="Q1295" s="3"/>
      <c r="R1295" s="3">
        <v>0</v>
      </c>
      <c r="S1295" s="3">
        <f t="shared" si="671"/>
        <v>1250</v>
      </c>
      <c r="T1295" s="3">
        <v>1250</v>
      </c>
      <c r="U1295" s="3">
        <f t="shared" si="672"/>
        <v>0.27999999999997272</v>
      </c>
      <c r="V1295" s="3"/>
      <c r="W1295" s="3">
        <f t="shared" si="673"/>
        <v>1250</v>
      </c>
      <c r="X1295" s="3"/>
      <c r="Y1295" s="3">
        <v>1250</v>
      </c>
      <c r="Z1295" s="3">
        <f t="shared" si="674"/>
        <v>0</v>
      </c>
      <c r="AA1295" s="3"/>
      <c r="AB1295" s="3"/>
      <c r="AC1295" s="3">
        <v>0</v>
      </c>
      <c r="AD1295" s="3">
        <f t="shared" si="675"/>
        <v>1250</v>
      </c>
      <c r="AE1295" s="3">
        <v>1250</v>
      </c>
      <c r="AF1295" s="3">
        <f t="shared" si="676"/>
        <v>0</v>
      </c>
      <c r="AG1295" s="4"/>
      <c r="AH1295" s="4">
        <f>P1295*1.03+13</f>
        <v>1300.2116000000001</v>
      </c>
      <c r="AJ1295" s="3"/>
      <c r="AK1295" s="3">
        <f t="shared" si="686"/>
        <v>1300</v>
      </c>
      <c r="AL1295" s="3">
        <v>1300</v>
      </c>
      <c r="AM1295" s="3">
        <f t="shared" si="687"/>
        <v>-0.21160000000008949</v>
      </c>
      <c r="AO1295" s="3">
        <f t="shared" si="677"/>
        <v>1339.2179480000002</v>
      </c>
      <c r="AP1295" s="3"/>
      <c r="AQ1295" s="3">
        <f t="shared" si="678"/>
        <v>1379.3944864400003</v>
      </c>
      <c r="AR1295" s="3"/>
      <c r="AS1295" s="3">
        <f t="shared" si="679"/>
        <v>1420.7763210332002</v>
      </c>
      <c r="AT1295" s="3"/>
      <c r="AU1295" s="3">
        <f t="shared" si="680"/>
        <v>1463.3996106641962</v>
      </c>
      <c r="AV1295" s="42"/>
      <c r="AW1295" s="3">
        <f t="shared" si="681"/>
        <v>1507.3015989841222</v>
      </c>
      <c r="AY1295" s="3">
        <f t="shared" si="682"/>
        <v>1552.5206469536458</v>
      </c>
      <c r="BA1295" s="3">
        <f t="shared" si="683"/>
        <v>1599.0962663622552</v>
      </c>
      <c r="BC1295" s="3">
        <f t="shared" si="684"/>
        <v>1647.0691543531229</v>
      </c>
      <c r="BE1295" s="3">
        <f t="shared" si="685"/>
        <v>1696.4812289837166</v>
      </c>
    </row>
    <row r="1296" spans="1:57" x14ac:dyDescent="0.25">
      <c r="A1296" s="3" t="s">
        <v>526</v>
      </c>
      <c r="B1296" s="3"/>
      <c r="D1296" s="3"/>
      <c r="E1296" s="3">
        <f t="shared" si="667"/>
        <v>0</v>
      </c>
      <c r="H1296" s="5">
        <f t="shared" si="668"/>
        <v>0</v>
      </c>
      <c r="J1296" s="5">
        <v>1007</v>
      </c>
      <c r="K1296" s="4">
        <f t="shared" si="669"/>
        <v>993</v>
      </c>
      <c r="L1296" s="4">
        <v>2000</v>
      </c>
      <c r="N1296" s="4">
        <f t="shared" si="670"/>
        <v>2000</v>
      </c>
      <c r="P1296" s="3"/>
      <c r="Q1296" s="3"/>
      <c r="R1296" s="3"/>
      <c r="S1296" s="3">
        <f t="shared" si="671"/>
        <v>0</v>
      </c>
      <c r="T1296" s="3"/>
      <c r="U1296" s="3">
        <f t="shared" si="672"/>
        <v>0</v>
      </c>
      <c r="V1296" s="3">
        <v>1700</v>
      </c>
      <c r="W1296" s="3">
        <f t="shared" si="673"/>
        <v>0</v>
      </c>
      <c r="X1296" s="3"/>
      <c r="Y1296" s="3">
        <v>1700</v>
      </c>
      <c r="Z1296" s="3">
        <f t="shared" si="674"/>
        <v>1700</v>
      </c>
      <c r="AA1296" s="3"/>
      <c r="AB1296" s="3"/>
      <c r="AC1296" s="3">
        <v>1700</v>
      </c>
      <c r="AD1296" s="3">
        <f t="shared" si="675"/>
        <v>0</v>
      </c>
      <c r="AE1296" s="3">
        <v>1700</v>
      </c>
      <c r="AF1296" s="3">
        <f t="shared" si="676"/>
        <v>0</v>
      </c>
      <c r="AG1296" s="4"/>
      <c r="AH1296" s="4"/>
      <c r="AJ1296" s="3"/>
      <c r="AK1296" s="3">
        <f t="shared" si="686"/>
        <v>0</v>
      </c>
      <c r="AL1296" s="3"/>
      <c r="AM1296" s="3">
        <f t="shared" si="687"/>
        <v>0</v>
      </c>
      <c r="AO1296" s="3">
        <f t="shared" si="677"/>
        <v>0</v>
      </c>
      <c r="AP1296" s="3"/>
      <c r="AQ1296" s="3">
        <f t="shared" si="678"/>
        <v>0</v>
      </c>
      <c r="AR1296" s="3"/>
      <c r="AS1296" s="3">
        <f t="shared" si="679"/>
        <v>0</v>
      </c>
      <c r="AT1296" s="3"/>
      <c r="AU1296" s="3">
        <f t="shared" si="680"/>
        <v>0</v>
      </c>
      <c r="AV1296" s="42"/>
      <c r="AW1296" s="3">
        <f t="shared" si="681"/>
        <v>0</v>
      </c>
      <c r="AY1296" s="3">
        <f t="shared" si="682"/>
        <v>0</v>
      </c>
      <c r="BA1296" s="3">
        <f t="shared" si="683"/>
        <v>0</v>
      </c>
      <c r="BC1296" s="3">
        <f t="shared" si="684"/>
        <v>0</v>
      </c>
      <c r="BE1296" s="3">
        <f t="shared" si="685"/>
        <v>0</v>
      </c>
    </row>
    <row r="1297" spans="1:57" x14ac:dyDescent="0.25">
      <c r="A1297" s="3" t="s">
        <v>493</v>
      </c>
      <c r="B1297" s="3">
        <v>0</v>
      </c>
      <c r="D1297" s="3"/>
      <c r="E1297" s="3">
        <f t="shared" si="667"/>
        <v>0</v>
      </c>
      <c r="H1297" s="5">
        <f t="shared" si="668"/>
        <v>0</v>
      </c>
      <c r="K1297" s="4">
        <f t="shared" si="669"/>
        <v>0</v>
      </c>
      <c r="L1297" s="4"/>
      <c r="N1297" s="4">
        <f t="shared" si="670"/>
        <v>0</v>
      </c>
      <c r="P1297" s="3">
        <f>B1297*1.03</f>
        <v>0</v>
      </c>
      <c r="Q1297" s="3"/>
      <c r="R1297" s="3"/>
      <c r="S1297" s="3">
        <f t="shared" si="671"/>
        <v>0</v>
      </c>
      <c r="T1297" s="3"/>
      <c r="U1297" s="3">
        <f t="shared" si="672"/>
        <v>0</v>
      </c>
      <c r="V1297" s="3"/>
      <c r="W1297" s="3">
        <f t="shared" si="673"/>
        <v>0</v>
      </c>
      <c r="X1297" s="3"/>
      <c r="Y1297" s="3"/>
      <c r="Z1297" s="3">
        <f t="shared" si="674"/>
        <v>0</v>
      </c>
      <c r="AA1297" s="3"/>
      <c r="AB1297" s="3"/>
      <c r="AC1297" s="3"/>
      <c r="AD1297" s="3">
        <f t="shared" si="675"/>
        <v>0</v>
      </c>
      <c r="AE1297" s="3"/>
      <c r="AF1297" s="3">
        <f t="shared" si="676"/>
        <v>0</v>
      </c>
      <c r="AG1297" s="4"/>
      <c r="AH1297" s="4">
        <f>P1297*1.03</f>
        <v>0</v>
      </c>
      <c r="AJ1297" s="3"/>
      <c r="AK1297" s="3">
        <f t="shared" si="686"/>
        <v>0</v>
      </c>
      <c r="AL1297" s="3"/>
      <c r="AM1297" s="3">
        <f t="shared" si="687"/>
        <v>0</v>
      </c>
      <c r="AO1297" s="3">
        <f t="shared" si="677"/>
        <v>0</v>
      </c>
      <c r="AP1297" s="3"/>
      <c r="AQ1297" s="3">
        <f t="shared" si="678"/>
        <v>0</v>
      </c>
      <c r="AR1297" s="3"/>
      <c r="AS1297" s="3">
        <f t="shared" si="679"/>
        <v>0</v>
      </c>
      <c r="AT1297" s="3"/>
      <c r="AU1297" s="3">
        <f t="shared" si="680"/>
        <v>0</v>
      </c>
      <c r="AV1297" s="42"/>
      <c r="AW1297" s="3">
        <f t="shared" si="681"/>
        <v>0</v>
      </c>
      <c r="AY1297" s="3">
        <f t="shared" si="682"/>
        <v>0</v>
      </c>
      <c r="BA1297" s="3">
        <f t="shared" si="683"/>
        <v>0</v>
      </c>
      <c r="BC1297" s="3">
        <f t="shared" si="684"/>
        <v>0</v>
      </c>
      <c r="BE1297" s="3">
        <f t="shared" si="685"/>
        <v>0</v>
      </c>
    </row>
    <row r="1298" spans="1:57" x14ac:dyDescent="0.25">
      <c r="A1298" s="3"/>
      <c r="B1298" s="48">
        <f>SUM(B1290:B1297)</f>
        <v>234200</v>
      </c>
      <c r="C1298" s="32"/>
      <c r="D1298" s="48">
        <f>SUM(D1290:D1297)+1</f>
        <v>69379</v>
      </c>
      <c r="E1298" s="48">
        <f>SUM(E1290:E1297)+1</f>
        <v>164823</v>
      </c>
      <c r="F1298" s="48">
        <f>SUM(F1290:F1297)+1</f>
        <v>234201</v>
      </c>
      <c r="G1298" s="32"/>
      <c r="H1298" s="48">
        <f>SUM(H1290:H1297)+1</f>
        <v>1</v>
      </c>
      <c r="I1298" s="36"/>
      <c r="J1298" s="48">
        <f>SUM(J1290:J1297)+1</f>
        <v>114307</v>
      </c>
      <c r="K1298" s="48">
        <f>SUM(K1290:K1297)+1</f>
        <v>130395</v>
      </c>
      <c r="L1298" s="48">
        <f>SUM(L1290:L1297)+1</f>
        <v>244701</v>
      </c>
      <c r="M1298" s="32"/>
      <c r="N1298" s="48">
        <f>SUM(N1290:N1297)+1</f>
        <v>10501</v>
      </c>
      <c r="P1298" s="48">
        <f>SUM(P1290:P1297)</f>
        <v>250048.62</v>
      </c>
      <c r="R1298" s="48">
        <f t="shared" ref="R1298:Z1298" si="688">SUM(R1290:R1297)</f>
        <v>55524</v>
      </c>
      <c r="S1298" s="48">
        <f t="shared" si="688"/>
        <v>194526</v>
      </c>
      <c r="T1298" s="48">
        <f t="shared" si="688"/>
        <v>250050</v>
      </c>
      <c r="U1298" s="48">
        <f t="shared" si="688"/>
        <v>1.380000000001246</v>
      </c>
      <c r="V1298" s="48">
        <f t="shared" si="688"/>
        <v>124527</v>
      </c>
      <c r="W1298" s="48">
        <f t="shared" si="688"/>
        <v>142423</v>
      </c>
      <c r="X1298" s="48"/>
      <c r="Y1298" s="48">
        <f t="shared" si="688"/>
        <v>266950</v>
      </c>
      <c r="Z1298" s="48">
        <f t="shared" si="688"/>
        <v>16900</v>
      </c>
      <c r="AC1298" s="48">
        <f>SUM(AC1290:AC1297)</f>
        <v>168439</v>
      </c>
      <c r="AD1298" s="48">
        <f>SUM(AD1290:AD1297)</f>
        <v>95311</v>
      </c>
      <c r="AE1298" s="48">
        <f>SUM(AE1290:AE1297)</f>
        <v>263750</v>
      </c>
      <c r="AF1298" s="48">
        <f>SUM(AF1290:AF1297)</f>
        <v>-3200</v>
      </c>
      <c r="AH1298" s="36">
        <f>SUM(AH1290:AH1297)</f>
        <v>268900.33609999996</v>
      </c>
      <c r="AI1298" s="32"/>
      <c r="AJ1298" s="48">
        <f>SUM(AJ1290:AJ1297)</f>
        <v>75625</v>
      </c>
      <c r="AK1298" s="48">
        <f>SUM(AK1290:AK1297)</f>
        <v>223275</v>
      </c>
      <c r="AL1298" s="48">
        <f>SUM(AL1290:AL1297)</f>
        <v>298900</v>
      </c>
      <c r="AM1298" s="48">
        <f>SUM(AM1290:AM1297)</f>
        <v>29999.6639</v>
      </c>
      <c r="AN1298" s="32"/>
      <c r="AO1298" s="48">
        <f>SUM(AO1290:AO1297)</f>
        <v>276967.34618300002</v>
      </c>
      <c r="AQ1298" s="48">
        <f>SUM(AQ1290:AQ1297)</f>
        <v>285276.36656849005</v>
      </c>
      <c r="AS1298" s="48">
        <f>SUM(AS1290:AS1297)</f>
        <v>293834.65756554471</v>
      </c>
      <c r="AT1298" s="48"/>
      <c r="AU1298" s="48">
        <f>SUM(AU1290:AU1297)</f>
        <v>302649.69729251106</v>
      </c>
      <c r="AW1298" s="48">
        <f>SUM(AW1290:AW1297)</f>
        <v>311729.18821128638</v>
      </c>
      <c r="AY1298" s="48">
        <f>SUM(AY1290:AY1297)</f>
        <v>321081.06385762501</v>
      </c>
      <c r="BA1298" s="48">
        <f>SUM(BA1290:BA1297)</f>
        <v>330713.49577335373</v>
      </c>
      <c r="BC1298" s="48">
        <f>SUM(BC1290:BC1297)</f>
        <v>340634.90064655436</v>
      </c>
      <c r="BE1298" s="48">
        <f>SUM(BE1290:BE1297)</f>
        <v>350853.94766595104</v>
      </c>
    </row>
    <row r="1299" spans="1:57" x14ac:dyDescent="0.25">
      <c r="A1299" s="7" t="s">
        <v>836</v>
      </c>
      <c r="B1299" s="3"/>
      <c r="D1299" s="3"/>
      <c r="E1299" s="3"/>
      <c r="F1299" s="3"/>
      <c r="H1299" s="3"/>
      <c r="I1299" s="3"/>
      <c r="J1299" s="3"/>
      <c r="K1299" s="3"/>
      <c r="L1299" s="3"/>
      <c r="N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4"/>
      <c r="AH1299" s="4"/>
      <c r="AJ1299" s="3"/>
      <c r="AK1299" s="3"/>
      <c r="AL1299" s="3"/>
      <c r="AM1299" s="3"/>
      <c r="AO1299" s="3"/>
      <c r="AP1299" s="3"/>
      <c r="AQ1299" s="3"/>
      <c r="AR1299" s="3"/>
      <c r="AS1299" s="3"/>
      <c r="AT1299" s="3"/>
      <c r="AU1299" s="3"/>
      <c r="AV1299" s="42"/>
      <c r="AW1299" s="3"/>
      <c r="AY1299" s="3"/>
      <c r="BA1299" s="3"/>
      <c r="BC1299" s="3"/>
      <c r="BE1299" s="3"/>
    </row>
    <row r="1300" spans="1:57" x14ac:dyDescent="0.25">
      <c r="A1300" s="3" t="s">
        <v>838</v>
      </c>
      <c r="B1300" s="3">
        <v>18500</v>
      </c>
      <c r="D1300" s="3">
        <v>1401</v>
      </c>
      <c r="E1300" s="3">
        <f>F1300-D1300</f>
        <v>17099</v>
      </c>
      <c r="F1300" s="5">
        <v>18500</v>
      </c>
      <c r="H1300" s="5">
        <f>F1300-B1300</f>
        <v>0</v>
      </c>
      <c r="J1300" s="5">
        <f>4969</f>
        <v>4969</v>
      </c>
      <c r="K1300" s="4">
        <f>L1300-J1300</f>
        <v>10531</v>
      </c>
      <c r="L1300" s="4">
        <v>15500</v>
      </c>
      <c r="N1300" s="4">
        <f>L1300-F1300</f>
        <v>-3000</v>
      </c>
      <c r="P1300" s="3">
        <f>L1300*1.0281+14</f>
        <v>15949.550000000001</v>
      </c>
      <c r="Q1300" s="3"/>
      <c r="R1300" s="3">
        <v>4791</v>
      </c>
      <c r="S1300" s="3">
        <f>T1300-R1300</f>
        <v>12209</v>
      </c>
      <c r="T1300" s="3">
        <v>17000</v>
      </c>
      <c r="U1300" s="3">
        <f>T1300-P1300</f>
        <v>1050.4499999999989</v>
      </c>
      <c r="V1300" s="3">
        <f>3901+1436+2845</f>
        <v>8182</v>
      </c>
      <c r="W1300" s="3">
        <f>Y1300-V1300</f>
        <v>9068</v>
      </c>
      <c r="X1300" s="3"/>
      <c r="Y1300" s="3">
        <v>17250</v>
      </c>
      <c r="Z1300" s="3">
        <f>Y1300-T1300</f>
        <v>250</v>
      </c>
      <c r="AA1300" s="3"/>
      <c r="AB1300" s="3"/>
      <c r="AC1300" s="3">
        <f>5819+1923</f>
        <v>7742</v>
      </c>
      <c r="AD1300" s="3">
        <f>AE1300-AC1300</f>
        <v>9508</v>
      </c>
      <c r="AE1300" s="3">
        <v>17250</v>
      </c>
      <c r="AF1300" s="3">
        <f>AE1300-Y1300</f>
        <v>0</v>
      </c>
      <c r="AG1300" s="4"/>
      <c r="AH1300" s="4">
        <f>P1300*1.15+58</f>
        <v>18399.982499999998</v>
      </c>
      <c r="AJ1300" s="3">
        <v>4395</v>
      </c>
      <c r="AK1300" s="3">
        <f>AL1300-AJ1300</f>
        <v>14005</v>
      </c>
      <c r="AL1300" s="3">
        <v>18400</v>
      </c>
      <c r="AM1300" s="3">
        <f t="shared" ref="AM1300:AM1309" si="689">AL1300-AH1300</f>
        <v>1.750000000174623E-2</v>
      </c>
      <c r="AO1300" s="3">
        <f>AH1300*1.15</f>
        <v>21159.979874999997</v>
      </c>
      <c r="AP1300" s="3"/>
      <c r="AQ1300" s="3">
        <f>AO1300*1.1</f>
        <v>23275.9778625</v>
      </c>
      <c r="AR1300" s="3"/>
      <c r="AS1300" s="3">
        <f>AQ1300*1.05</f>
        <v>24439.776755625</v>
      </c>
      <c r="AT1300" s="3"/>
      <c r="AU1300" s="3">
        <f>AS1300*1.05</f>
        <v>25661.76559340625</v>
      </c>
      <c r="AV1300" s="42"/>
      <c r="AW1300" s="3">
        <f>AU1300*1.05</f>
        <v>26944.853873076565</v>
      </c>
      <c r="AX1300" s="42"/>
      <c r="AY1300" s="3">
        <f>AW1300*1.05</f>
        <v>28292.096566730394</v>
      </c>
      <c r="AZ1300" s="42"/>
      <c r="BA1300" s="3">
        <f>AY1300*1.05</f>
        <v>29706.701395066913</v>
      </c>
      <c r="BB1300" s="42"/>
      <c r="BC1300" s="3">
        <f>BA1300*1.05</f>
        <v>31192.036464820259</v>
      </c>
      <c r="BE1300" s="3">
        <f>BC1300*1.05</f>
        <v>32751.638288061273</v>
      </c>
    </row>
    <row r="1301" spans="1:57" x14ac:dyDescent="0.25">
      <c r="A1301" s="3" t="s">
        <v>837</v>
      </c>
      <c r="B1301" s="3">
        <v>0</v>
      </c>
      <c r="D1301" s="3"/>
      <c r="E1301" s="3">
        <f>F1301-D1301</f>
        <v>0</v>
      </c>
      <c r="H1301" s="5">
        <f>F1301-B1301</f>
        <v>0</v>
      </c>
      <c r="K1301" s="4">
        <f>L1301-J1301</f>
        <v>0</v>
      </c>
      <c r="L1301" s="4"/>
      <c r="N1301" s="4">
        <f>L1301-F1301</f>
        <v>0</v>
      </c>
      <c r="P1301" s="3"/>
      <c r="Q1301" s="3"/>
      <c r="R1301" s="3"/>
      <c r="S1301" s="3">
        <f>T1301-R1301</f>
        <v>0</v>
      </c>
      <c r="T1301" s="3"/>
      <c r="U1301" s="3">
        <f>T1301-P1301</f>
        <v>0</v>
      </c>
      <c r="V1301" s="3"/>
      <c r="W1301" s="3">
        <f>Y1301-V1301</f>
        <v>0</v>
      </c>
      <c r="X1301" s="3"/>
      <c r="Y1301" s="3"/>
      <c r="Z1301" s="3">
        <f>Y1301-T1301</f>
        <v>0</v>
      </c>
      <c r="AA1301" s="3"/>
      <c r="AB1301" s="3"/>
      <c r="AC1301" s="3"/>
      <c r="AD1301" s="3">
        <f>AE1301-AC1301</f>
        <v>0</v>
      </c>
      <c r="AE1301" s="3"/>
      <c r="AF1301" s="3">
        <f>AE1301-Y1301</f>
        <v>0</v>
      </c>
      <c r="AG1301" s="4"/>
      <c r="AH1301" s="4">
        <f>P1301*1.0281</f>
        <v>0</v>
      </c>
      <c r="AJ1301" s="3"/>
      <c r="AK1301" s="3">
        <f>AL1301-AJ1301</f>
        <v>0</v>
      </c>
      <c r="AL1301" s="3"/>
      <c r="AM1301" s="3">
        <f t="shared" si="689"/>
        <v>0</v>
      </c>
      <c r="AO1301" s="3">
        <f>AH1301*1.0281</f>
        <v>0</v>
      </c>
      <c r="AP1301" s="3"/>
      <c r="AQ1301" s="3">
        <f>AO1301*1.0281</f>
        <v>0</v>
      </c>
      <c r="AR1301" s="3"/>
      <c r="AS1301" s="3">
        <f>AQ1301*1.05</f>
        <v>0</v>
      </c>
      <c r="AT1301" s="3"/>
      <c r="AU1301" s="3">
        <f>AS1301*1.0281</f>
        <v>0</v>
      </c>
      <c r="AV1301" s="42"/>
      <c r="AW1301" s="3">
        <f>AU1301*1.0281</f>
        <v>0</v>
      </c>
      <c r="AX1301" s="42"/>
      <c r="AY1301" s="3">
        <f>AW1301*1.0281</f>
        <v>0</v>
      </c>
      <c r="AZ1301" s="42"/>
      <c r="BA1301" s="3">
        <f>AY1301*1.0281</f>
        <v>0</v>
      </c>
      <c r="BB1301" s="42"/>
      <c r="BC1301" s="3">
        <f>BA1301*1.0281</f>
        <v>0</v>
      </c>
      <c r="BE1301" s="3">
        <f>BC1301*1.0281</f>
        <v>0</v>
      </c>
    </row>
    <row r="1302" spans="1:57" x14ac:dyDescent="0.25">
      <c r="A1302" s="3" t="s">
        <v>906</v>
      </c>
      <c r="B1302" s="3">
        <v>5000</v>
      </c>
      <c r="D1302" s="3">
        <v>158</v>
      </c>
      <c r="E1302" s="3">
        <f>F1302-D1302</f>
        <v>4842</v>
      </c>
      <c r="F1302" s="5">
        <v>5000</v>
      </c>
      <c r="H1302" s="5">
        <f>F1302-B1302</f>
        <v>0</v>
      </c>
      <c r="J1302" s="5">
        <v>1088</v>
      </c>
      <c r="K1302" s="4">
        <f>L1302-J1302</f>
        <v>3912</v>
      </c>
      <c r="L1302" s="4">
        <v>5000</v>
      </c>
      <c r="N1302" s="4">
        <f>L1302-F1302</f>
        <v>0</v>
      </c>
      <c r="P1302" s="3">
        <f>L1302*1.0281+9</f>
        <v>5149.5</v>
      </c>
      <c r="Q1302" s="3"/>
      <c r="R1302" s="3">
        <v>284</v>
      </c>
      <c r="S1302" s="3">
        <f>T1302-R1302</f>
        <v>4216</v>
      </c>
      <c r="T1302" s="3">
        <v>4500</v>
      </c>
      <c r="U1302" s="3">
        <f>T1302-P1302</f>
        <v>-649.5</v>
      </c>
      <c r="V1302" s="3">
        <v>974</v>
      </c>
      <c r="W1302" s="3">
        <f>Y1302-V1302</f>
        <v>3026</v>
      </c>
      <c r="X1302" s="3"/>
      <c r="Y1302" s="3">
        <v>4000</v>
      </c>
      <c r="Z1302" s="3">
        <f>Y1302-T1302</f>
        <v>-500</v>
      </c>
      <c r="AA1302" s="3"/>
      <c r="AB1302" s="3"/>
      <c r="AC1302" s="3">
        <v>974</v>
      </c>
      <c r="AD1302" s="3">
        <f>AE1302-AC1302</f>
        <v>2026</v>
      </c>
      <c r="AE1302" s="3">
        <v>3000</v>
      </c>
      <c r="AF1302" s="3">
        <f>AE1302-Y1302</f>
        <v>-1000</v>
      </c>
      <c r="AG1302" s="4"/>
      <c r="AH1302" s="4">
        <f>AE1302*1.03+160</f>
        <v>3250</v>
      </c>
      <c r="AJ1302" s="3">
        <v>506</v>
      </c>
      <c r="AK1302" s="3">
        <f>AL1302-AJ1302</f>
        <v>2744</v>
      </c>
      <c r="AL1302" s="3">
        <v>3250</v>
      </c>
      <c r="AM1302" s="3">
        <f>AL1302-AH1302</f>
        <v>0</v>
      </c>
      <c r="AO1302" s="3">
        <f>AH1302*1.0281</f>
        <v>3341.3249999999998</v>
      </c>
      <c r="AP1302" s="3"/>
      <c r="AQ1302" s="3">
        <f>AO1302*1.0281</f>
        <v>3435.2162324999999</v>
      </c>
      <c r="AR1302" s="3"/>
      <c r="AS1302" s="3">
        <f>AQ1302*1.0281</f>
        <v>3531.7458086332499</v>
      </c>
      <c r="AT1302" s="3"/>
      <c r="AU1302" s="3">
        <f>AS1302*1.0281</f>
        <v>3630.9878658558441</v>
      </c>
      <c r="AV1302" s="42"/>
      <c r="AW1302" s="3">
        <f>AU1302*1.0281</f>
        <v>3733.0186248863934</v>
      </c>
      <c r="AX1302" s="42"/>
      <c r="AY1302" s="3">
        <f>AW1302*1.0281</f>
        <v>3837.9164482457008</v>
      </c>
      <c r="AZ1302" s="42"/>
      <c r="BA1302" s="3">
        <f>AY1302*1.0281</f>
        <v>3945.761900441405</v>
      </c>
      <c r="BB1302" s="42"/>
      <c r="BC1302" s="3">
        <f>BA1302*1.0281</f>
        <v>4056.6378098438086</v>
      </c>
      <c r="BE1302" s="3">
        <f>BC1302*1.0281</f>
        <v>4170.6293323004193</v>
      </c>
    </row>
    <row r="1303" spans="1:57" x14ac:dyDescent="0.25">
      <c r="A1303" s="3"/>
      <c r="B1303" s="48">
        <f>SUM(B1300:B1302)</f>
        <v>23500</v>
      </c>
      <c r="C1303" s="32"/>
      <c r="D1303" s="48">
        <f>SUM(D1300:D1302)</f>
        <v>1559</v>
      </c>
      <c r="E1303" s="48">
        <f>SUM(E1300:E1302)</f>
        <v>21941</v>
      </c>
      <c r="F1303" s="48">
        <f>SUM(F1300:F1302)</f>
        <v>23500</v>
      </c>
      <c r="G1303" s="32"/>
      <c r="H1303" s="48">
        <f>SUM(H1300:H1302)</f>
        <v>0</v>
      </c>
      <c r="I1303" s="36"/>
      <c r="J1303" s="48">
        <f>SUM(J1300:J1302)</f>
        <v>6057</v>
      </c>
      <c r="K1303" s="48">
        <f>SUM(K1300:K1302)</f>
        <v>14443</v>
      </c>
      <c r="L1303" s="48">
        <f>SUM(L1300:L1302)</f>
        <v>20500</v>
      </c>
      <c r="M1303" s="32"/>
      <c r="N1303" s="48">
        <f>SUM(N1300:N1302)</f>
        <v>-3000</v>
      </c>
      <c r="P1303" s="48">
        <f>SUM(P1300:P1302)</f>
        <v>21099.050000000003</v>
      </c>
      <c r="R1303" s="48">
        <f t="shared" ref="R1303:Z1303" si="690">SUM(R1300:R1302)</f>
        <v>5075</v>
      </c>
      <c r="S1303" s="48">
        <f t="shared" si="690"/>
        <v>16425</v>
      </c>
      <c r="T1303" s="48">
        <f t="shared" si="690"/>
        <v>21500</v>
      </c>
      <c r="U1303" s="48">
        <f t="shared" si="690"/>
        <v>400.94999999999891</v>
      </c>
      <c r="V1303" s="48">
        <f t="shared" si="690"/>
        <v>9156</v>
      </c>
      <c r="W1303" s="48">
        <f t="shared" si="690"/>
        <v>12094</v>
      </c>
      <c r="X1303" s="48"/>
      <c r="Y1303" s="48">
        <f t="shared" si="690"/>
        <v>21250</v>
      </c>
      <c r="Z1303" s="48">
        <f t="shared" si="690"/>
        <v>-250</v>
      </c>
      <c r="AC1303" s="48">
        <f>SUM(AC1300:AC1302)</f>
        <v>8716</v>
      </c>
      <c r="AD1303" s="48">
        <f>SUM(AD1300:AD1302)</f>
        <v>11534</v>
      </c>
      <c r="AE1303" s="48">
        <f>SUM(AE1300:AE1302)</f>
        <v>20250</v>
      </c>
      <c r="AF1303" s="48">
        <f>SUM(AF1300:AF1302)</f>
        <v>-1000</v>
      </c>
      <c r="AH1303" s="36">
        <f>SUM(AH1300:AH1302)</f>
        <v>21649.982499999998</v>
      </c>
      <c r="AI1303" s="32"/>
      <c r="AJ1303" s="48">
        <f>SUM(AJ1300:AJ1302)</f>
        <v>4901</v>
      </c>
      <c r="AK1303" s="48">
        <f>SUM(AK1300:AK1302)</f>
        <v>16749</v>
      </c>
      <c r="AL1303" s="48">
        <f>SUM(AL1300:AL1302)</f>
        <v>21650</v>
      </c>
      <c r="AM1303" s="48">
        <f>SUM(AM1300:AM1302)</f>
        <v>1.750000000174623E-2</v>
      </c>
      <c r="AN1303" s="32"/>
      <c r="AO1303" s="48">
        <f>SUM(AO1300:AO1302)</f>
        <v>24501.304874999998</v>
      </c>
      <c r="AQ1303" s="48">
        <f>SUM(AQ1300:AQ1302)</f>
        <v>26711.194094999999</v>
      </c>
      <c r="AS1303" s="48">
        <f>SUM(AS1300:AS1302)</f>
        <v>27971.522564258252</v>
      </c>
      <c r="AT1303" s="48"/>
      <c r="AU1303" s="48">
        <f>SUM(AU1300:AU1302)</f>
        <v>29292.753459262094</v>
      </c>
      <c r="AW1303" s="48">
        <f>SUM(AW1300:AW1302)</f>
        <v>30677.872497962959</v>
      </c>
      <c r="AY1303" s="48">
        <f>SUM(AY1300:AY1302)</f>
        <v>32130.013014976095</v>
      </c>
      <c r="BA1303" s="48">
        <f>SUM(BA1300:BA1302)</f>
        <v>33652.463295508322</v>
      </c>
      <c r="BC1303" s="48">
        <f>SUM(BC1300:BC1302)</f>
        <v>35248.674274664067</v>
      </c>
      <c r="BE1303" s="48">
        <f>SUM(BE1300:BE1302)</f>
        <v>36922.267620361694</v>
      </c>
    </row>
    <row r="1304" spans="1:57" x14ac:dyDescent="0.25">
      <c r="A1304" s="7" t="s">
        <v>289</v>
      </c>
      <c r="B1304" s="35">
        <v>145000</v>
      </c>
      <c r="C1304" s="32"/>
      <c r="D1304" s="35"/>
      <c r="E1304" s="35">
        <f>F1304-D1304</f>
        <v>145000</v>
      </c>
      <c r="F1304" s="35">
        <v>145000</v>
      </c>
      <c r="G1304" s="32"/>
      <c r="H1304" s="35">
        <f>F1304-B1304</f>
        <v>0</v>
      </c>
      <c r="I1304" s="36"/>
      <c r="J1304" s="35">
        <v>0</v>
      </c>
      <c r="K1304" s="35">
        <f>L1304-J1304</f>
        <v>145000</v>
      </c>
      <c r="L1304" s="35">
        <v>145000</v>
      </c>
      <c r="M1304" s="32"/>
      <c r="N1304" s="35">
        <f>L1304-F1304</f>
        <v>0</v>
      </c>
      <c r="P1304" s="35">
        <v>145000</v>
      </c>
      <c r="R1304" s="35"/>
      <c r="S1304" s="50">
        <f>T1304-R1304</f>
        <v>163000</v>
      </c>
      <c r="T1304" s="50">
        <v>163000</v>
      </c>
      <c r="U1304" s="50">
        <f>T1304-P1304</f>
        <v>18000</v>
      </c>
      <c r="V1304" s="35"/>
      <c r="W1304" s="50">
        <f>Y1304-V1304</f>
        <v>163000</v>
      </c>
      <c r="X1304" s="50"/>
      <c r="Y1304" s="50">
        <v>163000</v>
      </c>
      <c r="Z1304" s="50">
        <f>Y1304-T1304</f>
        <v>0</v>
      </c>
      <c r="AA1304" s="38"/>
      <c r="AB1304" s="38"/>
      <c r="AC1304" s="50">
        <v>0</v>
      </c>
      <c r="AD1304" s="50">
        <f>AE1304-AC1304</f>
        <v>163000</v>
      </c>
      <c r="AE1304" s="50">
        <v>163000</v>
      </c>
      <c r="AF1304" s="50">
        <f>AE1304-Y1304</f>
        <v>0</v>
      </c>
      <c r="AG1304" s="91"/>
      <c r="AH1304" s="36">
        <v>145000</v>
      </c>
      <c r="AI1304" s="32"/>
      <c r="AJ1304" s="35"/>
      <c r="AK1304" s="48">
        <f>AL1304-AJ1304</f>
        <v>125000</v>
      </c>
      <c r="AL1304" s="35">
        <v>125000</v>
      </c>
      <c r="AM1304" s="35">
        <f>AL1304-AH1304</f>
        <v>-20000</v>
      </c>
      <c r="AN1304" s="32"/>
      <c r="AO1304" s="35">
        <v>145000</v>
      </c>
      <c r="AQ1304" s="35">
        <v>145000</v>
      </c>
      <c r="AS1304" s="35">
        <v>145000</v>
      </c>
      <c r="AT1304" s="35"/>
      <c r="AU1304" s="35">
        <v>145000</v>
      </c>
      <c r="AW1304" s="35">
        <v>145000</v>
      </c>
      <c r="AY1304" s="35">
        <v>145000</v>
      </c>
      <c r="BA1304" s="35">
        <v>145000</v>
      </c>
      <c r="BC1304" s="35">
        <v>145000</v>
      </c>
      <c r="BE1304" s="35">
        <v>145000</v>
      </c>
    </row>
    <row r="1305" spans="1:57" x14ac:dyDescent="0.25">
      <c r="A1305" s="7" t="s">
        <v>376</v>
      </c>
    </row>
    <row r="1306" spans="1:57" x14ac:dyDescent="0.25">
      <c r="A1306" s="3" t="s">
        <v>842</v>
      </c>
      <c r="AK1306" s="3">
        <f>AL1306-AJ1306</f>
        <v>0</v>
      </c>
      <c r="AM1306" s="3">
        <f t="shared" si="689"/>
        <v>0</v>
      </c>
    </row>
    <row r="1307" spans="1:57" x14ac:dyDescent="0.25">
      <c r="A1307" s="3" t="s">
        <v>841</v>
      </c>
      <c r="B1307" s="3"/>
      <c r="D1307" s="3"/>
      <c r="E1307" s="3"/>
      <c r="F1307" s="3"/>
      <c r="H1307" s="3"/>
      <c r="I1307" s="3"/>
      <c r="J1307" s="3"/>
      <c r="K1307" s="3"/>
      <c r="L1307" s="3"/>
      <c r="N1307" s="3"/>
      <c r="P1307" s="3">
        <v>8000</v>
      </c>
      <c r="Q1307" s="3"/>
      <c r="R1307" s="3"/>
      <c r="S1307" s="3">
        <f>T1307-R1307</f>
        <v>8000</v>
      </c>
      <c r="T1307" s="3">
        <v>8000</v>
      </c>
      <c r="U1307" s="3">
        <f>T1307-P1307</f>
        <v>0</v>
      </c>
      <c r="V1307" s="3"/>
      <c r="W1307" s="3">
        <f>Y1307-V1307</f>
        <v>12000</v>
      </c>
      <c r="X1307" s="3"/>
      <c r="Y1307" s="3">
        <v>12000</v>
      </c>
      <c r="Z1307" s="3">
        <f>Y1307-T1307</f>
        <v>4000</v>
      </c>
      <c r="AA1307" s="3"/>
      <c r="AB1307" s="3"/>
      <c r="AC1307" s="3">
        <f>638+5020</f>
        <v>5658</v>
      </c>
      <c r="AD1307" s="3">
        <f>AE1307-AC1307</f>
        <v>6342</v>
      </c>
      <c r="AE1307" s="3">
        <v>12000</v>
      </c>
      <c r="AF1307" s="3">
        <f>AE1307-Y1307</f>
        <v>0</v>
      </c>
      <c r="AG1307" s="4"/>
      <c r="AH1307" s="4"/>
      <c r="AJ1307" s="3"/>
      <c r="AK1307" s="3">
        <f>AL1307-AJ1307</f>
        <v>0</v>
      </c>
      <c r="AL1307" s="3"/>
      <c r="AM1307" s="3">
        <f t="shared" si="689"/>
        <v>0</v>
      </c>
      <c r="AO1307" s="3"/>
      <c r="AP1307" s="3"/>
      <c r="AQ1307" s="3"/>
      <c r="AR1307" s="3"/>
      <c r="AS1307" s="3">
        <v>9000</v>
      </c>
      <c r="AT1307" s="3"/>
      <c r="AU1307" s="3"/>
      <c r="AV1307" s="42"/>
      <c r="AW1307" s="3"/>
      <c r="AX1307" s="42"/>
      <c r="AY1307" s="3">
        <v>10000</v>
      </c>
      <c r="AZ1307" s="42"/>
      <c r="BA1307" s="3">
        <v>10000</v>
      </c>
      <c r="BB1307" s="42"/>
      <c r="BC1307" s="3">
        <v>10000</v>
      </c>
      <c r="BE1307" s="3">
        <v>10000</v>
      </c>
    </row>
    <row r="1308" spans="1:57" x14ac:dyDescent="0.25">
      <c r="A1308" s="3" t="s">
        <v>907</v>
      </c>
      <c r="B1308" s="3">
        <v>300</v>
      </c>
      <c r="D1308" s="3"/>
      <c r="E1308" s="3">
        <f>F1308-D1308</f>
        <v>300</v>
      </c>
      <c r="F1308" s="5">
        <v>300</v>
      </c>
      <c r="H1308" s="5">
        <f>F1308-B1308</f>
        <v>0</v>
      </c>
      <c r="K1308" s="4">
        <f>L1308-J1308</f>
        <v>300</v>
      </c>
      <c r="L1308" s="4">
        <v>300</v>
      </c>
      <c r="N1308" s="4">
        <f>L1308-F1308</f>
        <v>0</v>
      </c>
      <c r="P1308" s="3">
        <v>300</v>
      </c>
      <c r="Q1308" s="3"/>
      <c r="R1308" s="3"/>
      <c r="S1308" s="3">
        <f>T1308-R1308</f>
        <v>300</v>
      </c>
      <c r="T1308" s="3">
        <v>300</v>
      </c>
      <c r="U1308" s="3">
        <f>T1308-P1308</f>
        <v>0</v>
      </c>
      <c r="V1308" s="3"/>
      <c r="W1308" s="3">
        <f>Y1308-V1308</f>
        <v>0</v>
      </c>
      <c r="X1308" s="3"/>
      <c r="Y1308" s="3"/>
      <c r="Z1308" s="3">
        <f>Y1308-T1308</f>
        <v>-300</v>
      </c>
      <c r="AA1308" s="3"/>
      <c r="AB1308" s="3"/>
      <c r="AC1308" s="3"/>
      <c r="AD1308" s="3">
        <f>AE1308-AC1308</f>
        <v>0</v>
      </c>
      <c r="AE1308" s="3"/>
      <c r="AF1308" s="3">
        <f>AE1308-Y1308</f>
        <v>0</v>
      </c>
      <c r="AG1308" s="4"/>
      <c r="AH1308" s="4">
        <v>300</v>
      </c>
      <c r="AJ1308" s="3"/>
      <c r="AK1308" s="3">
        <f>AL1308-AJ1308</f>
        <v>300</v>
      </c>
      <c r="AL1308" s="3">
        <v>300</v>
      </c>
      <c r="AM1308" s="3">
        <f t="shared" si="689"/>
        <v>0</v>
      </c>
      <c r="AO1308" s="3">
        <v>300</v>
      </c>
      <c r="AP1308" s="3"/>
      <c r="AQ1308" s="3">
        <v>300</v>
      </c>
      <c r="AR1308" s="3"/>
      <c r="AS1308" s="3">
        <v>300</v>
      </c>
      <c r="AT1308" s="3"/>
      <c r="AU1308" s="3">
        <v>300</v>
      </c>
      <c r="AV1308" s="42"/>
      <c r="AW1308" s="3">
        <v>300</v>
      </c>
      <c r="AX1308" s="42"/>
      <c r="AY1308" s="3">
        <v>300</v>
      </c>
      <c r="AZ1308" s="42"/>
      <c r="BA1308" s="3">
        <v>300</v>
      </c>
      <c r="BB1308" s="42"/>
      <c r="BC1308" s="3">
        <v>300</v>
      </c>
      <c r="BE1308" s="3">
        <v>300</v>
      </c>
    </row>
    <row r="1309" spans="1:57" x14ac:dyDescent="0.25">
      <c r="A1309" s="3" t="s">
        <v>908</v>
      </c>
      <c r="E1309" s="3">
        <f>F1309-D1309</f>
        <v>0</v>
      </c>
      <c r="H1309" s="5">
        <f>F1309-B1309</f>
        <v>0</v>
      </c>
      <c r="K1309" s="4">
        <f>L1309-J1309</f>
        <v>0</v>
      </c>
      <c r="L1309" s="4"/>
      <c r="N1309" s="4">
        <f>L1309-F1309</f>
        <v>0</v>
      </c>
      <c r="S1309" s="3">
        <f>T1309-R1309</f>
        <v>0</v>
      </c>
      <c r="T1309" s="3"/>
      <c r="U1309" s="3">
        <f>T1309-P1309</f>
        <v>0</v>
      </c>
      <c r="W1309" s="3">
        <f>Y1309-V1309</f>
        <v>0</v>
      </c>
      <c r="X1309" s="3"/>
      <c r="Z1309" s="3">
        <f>Y1309-T1309</f>
        <v>0</v>
      </c>
      <c r="AD1309" s="3">
        <f>AE1309-AC1309</f>
        <v>0</v>
      </c>
      <c r="AE1309" s="3"/>
      <c r="AF1309" s="3">
        <f>AE1309-Y1309</f>
        <v>0</v>
      </c>
      <c r="AK1309" s="3">
        <f>AL1309-AJ1309</f>
        <v>0</v>
      </c>
      <c r="AM1309" s="3">
        <f t="shared" si="689"/>
        <v>0</v>
      </c>
    </row>
    <row r="1310" spans="1:57" ht="15.75" thickBot="1" x14ac:dyDescent="0.3">
      <c r="A1310" s="3"/>
      <c r="B1310" s="48">
        <f>SUM(B1306:B1309)</f>
        <v>300</v>
      </c>
      <c r="C1310" s="32"/>
      <c r="D1310" s="48">
        <f>SUM(D1306:D1309)</f>
        <v>0</v>
      </c>
      <c r="E1310" s="48">
        <f>SUM(E1306:E1309)</f>
        <v>300</v>
      </c>
      <c r="F1310" s="48">
        <f>SUM(F1306:F1309)</f>
        <v>300</v>
      </c>
      <c r="G1310" s="32"/>
      <c r="H1310" s="48">
        <f>SUM(H1306:H1309)</f>
        <v>0</v>
      </c>
      <c r="I1310" s="36"/>
      <c r="J1310" s="48">
        <f>SUM(J1306:J1309)</f>
        <v>0</v>
      </c>
      <c r="K1310" s="48">
        <f>SUM(K1306:K1309)</f>
        <v>300</v>
      </c>
      <c r="L1310" s="48">
        <f>SUM(L1306:L1309)</f>
        <v>300</v>
      </c>
      <c r="M1310" s="32"/>
      <c r="N1310" s="48">
        <f>SUM(N1306:N1309)</f>
        <v>0</v>
      </c>
      <c r="P1310" s="48">
        <f>SUM(P1306:P1309)</f>
        <v>8300</v>
      </c>
      <c r="R1310" s="48">
        <f t="shared" ref="R1310:Z1310" si="691">SUM(R1306:R1309)</f>
        <v>0</v>
      </c>
      <c r="S1310" s="48">
        <f t="shared" si="691"/>
        <v>8300</v>
      </c>
      <c r="T1310" s="48">
        <f t="shared" si="691"/>
        <v>8300</v>
      </c>
      <c r="U1310" s="48">
        <f t="shared" si="691"/>
        <v>0</v>
      </c>
      <c r="V1310" s="48">
        <f t="shared" si="691"/>
        <v>0</v>
      </c>
      <c r="W1310" s="48">
        <f t="shared" si="691"/>
        <v>12000</v>
      </c>
      <c r="X1310" s="48"/>
      <c r="Y1310" s="48">
        <f t="shared" si="691"/>
        <v>12000</v>
      </c>
      <c r="Z1310" s="48">
        <f t="shared" si="691"/>
        <v>3700</v>
      </c>
      <c r="AC1310" s="48">
        <f>SUM(AC1306:AC1309)</f>
        <v>5658</v>
      </c>
      <c r="AD1310" s="48">
        <f>SUM(AD1306:AD1309)</f>
        <v>6342</v>
      </c>
      <c r="AE1310" s="48">
        <f>SUM(AE1306:AE1309)</f>
        <v>12000</v>
      </c>
      <c r="AF1310" s="48">
        <f>SUM(AF1306:AF1309)</f>
        <v>0</v>
      </c>
      <c r="AH1310" s="36">
        <f>SUM(AH1306:AH1309)</f>
        <v>300</v>
      </c>
      <c r="AI1310" s="32"/>
      <c r="AJ1310" s="48">
        <f>SUM(AJ1306:AJ1309)</f>
        <v>0</v>
      </c>
      <c r="AK1310" s="48">
        <f>SUM(AK1306:AK1309)</f>
        <v>300</v>
      </c>
      <c r="AL1310" s="48">
        <f>SUM(AL1306:AL1309)</f>
        <v>300</v>
      </c>
      <c r="AM1310" s="48">
        <f>SUM(AM1306:AM1309)</f>
        <v>0</v>
      </c>
      <c r="AN1310" s="32"/>
      <c r="AO1310" s="48">
        <f>SUM(AO1306:AO1309)</f>
        <v>300</v>
      </c>
      <c r="AQ1310" s="48">
        <f>SUM(AQ1306:AQ1309)</f>
        <v>300</v>
      </c>
      <c r="AS1310" s="48">
        <f>SUM(AS1306:AS1309)</f>
        <v>9300</v>
      </c>
      <c r="AT1310" s="48"/>
      <c r="AU1310" s="48">
        <f>SUM(AU1306:AU1309)</f>
        <v>300</v>
      </c>
      <c r="AW1310" s="48">
        <f>SUM(AW1306:AW1309)</f>
        <v>300</v>
      </c>
      <c r="AY1310" s="48">
        <f>SUM(AY1306:AY1309)</f>
        <v>10300</v>
      </c>
      <c r="BA1310" s="48">
        <f>SUM(BA1306:BA1309)</f>
        <v>10300</v>
      </c>
      <c r="BC1310" s="48">
        <f>SUM(BC1306:BC1309)</f>
        <v>10300</v>
      </c>
      <c r="BE1310" s="48">
        <f>SUM(BE1306:BE1309)</f>
        <v>10300</v>
      </c>
    </row>
    <row r="1311" spans="1:57" ht="16.5" thickTop="1" thickBot="1" x14ac:dyDescent="0.3">
      <c r="A1311" s="3"/>
      <c r="B1311" s="65">
        <f>B1310+B1304+B1303+B1298+B1287</f>
        <v>476800</v>
      </c>
      <c r="C1311" s="32"/>
      <c r="D1311" s="65">
        <f>D1310+D1304+D1303+D1298+D1287</f>
        <v>72898</v>
      </c>
      <c r="E1311" s="65">
        <f>E1310+E1304+E1303+E1298+E1287</f>
        <v>403906</v>
      </c>
      <c r="F1311" s="65">
        <f>F1310+F1304+F1303+F1298+F1287</f>
        <v>476802</v>
      </c>
      <c r="G1311" s="32"/>
      <c r="H1311" s="65">
        <f>H1310+H1304+H1303+H1298+H1287</f>
        <v>2</v>
      </c>
      <c r="I1311" s="36"/>
      <c r="J1311" s="65">
        <f>J1310+J1304+J1303+J1298+J1287</f>
        <v>132889</v>
      </c>
      <c r="K1311" s="65">
        <f>K1310+K1304+K1303+K1298+K1287</f>
        <v>354185</v>
      </c>
      <c r="L1311" s="65">
        <f>L1310+L1304+L1303+L1298+L1287</f>
        <v>487072</v>
      </c>
      <c r="M1311" s="32"/>
      <c r="N1311" s="65">
        <f>N1310+N1304+N1303+N1298+N1287</f>
        <v>10272</v>
      </c>
      <c r="P1311" s="65">
        <f>P1310+P1304+P1303+P1298+P1287</f>
        <v>508497.36699999997</v>
      </c>
      <c r="R1311" s="65">
        <f t="shared" ref="R1311:Z1311" si="692">R1310+R1304+R1303+R1298+R1287</f>
        <v>69505</v>
      </c>
      <c r="S1311" s="65">
        <f t="shared" si="692"/>
        <v>457395</v>
      </c>
      <c r="T1311" s="65">
        <f t="shared" si="692"/>
        <v>526900</v>
      </c>
      <c r="U1311" s="65">
        <f t="shared" si="692"/>
        <v>18402.632999999998</v>
      </c>
      <c r="V1311" s="65">
        <f t="shared" si="692"/>
        <v>143918</v>
      </c>
      <c r="W1311" s="65">
        <f t="shared" si="692"/>
        <v>389882</v>
      </c>
      <c r="X1311" s="65"/>
      <c r="Y1311" s="65">
        <f t="shared" si="692"/>
        <v>533800</v>
      </c>
      <c r="Z1311" s="65">
        <f t="shared" si="692"/>
        <v>6900</v>
      </c>
      <c r="AC1311" s="65">
        <f>AC1310+AC1304+AC1303+AC1298+AC1287</f>
        <v>201805</v>
      </c>
      <c r="AD1311" s="65">
        <f>AD1310+AD1304+AD1303+AD1298+AD1287</f>
        <v>329745</v>
      </c>
      <c r="AE1311" s="65">
        <f>AE1310+AE1304+AE1303+AE1298+AE1287</f>
        <v>531550</v>
      </c>
      <c r="AF1311" s="65">
        <f>AF1310+AF1304+AF1303+AF1298+AF1287</f>
        <v>-2250</v>
      </c>
      <c r="AH1311" s="36">
        <f>AH1310+AH1304+AH1303+AH1298+AH1287</f>
        <v>511750.06859999994</v>
      </c>
      <c r="AI1311" s="32"/>
      <c r="AJ1311" s="65">
        <f>AJ1310+AJ1304+AJ1303+AJ1298+AJ1287</f>
        <v>90779</v>
      </c>
      <c r="AK1311" s="65">
        <f>AK1310+AK1304+AK1303+AK1298+AK1287</f>
        <v>430971</v>
      </c>
      <c r="AL1311" s="65">
        <f>AL1310+AL1304+AL1303+AL1298+AL1287</f>
        <v>521750</v>
      </c>
      <c r="AM1311" s="65">
        <f>AM1310+AM1304+AM1303+AM1298+AM1287</f>
        <v>9999.9314000000013</v>
      </c>
      <c r="AN1311" s="32"/>
      <c r="AO1311" s="65">
        <f>AO1310+AO1304+AO1303+AO1298+AO1287-1</f>
        <v>526155.5079330001</v>
      </c>
      <c r="AQ1311" s="65">
        <f>AQ1310+AQ1304+AQ1303+AQ1298+AQ1287-1</f>
        <v>540334.61554005253</v>
      </c>
      <c r="AS1311" s="65">
        <f>AS1310+AS1304+AS1303+AS1298+AS1287-1</f>
        <v>571902.92879984598</v>
      </c>
      <c r="AT1311" s="65"/>
      <c r="AU1311" s="65">
        <f>AU1310+AU1304+AU1303+AU1298+AU1287-1</f>
        <v>567870.47652133601</v>
      </c>
      <c r="AW1311" s="65">
        <f>AW1310+AW1304+AW1303+AW1298+AW1287-1</f>
        <v>582343.20305839868</v>
      </c>
      <c r="AY1311" s="65">
        <f>AY1310+AY1304+AY1303+AY1298+AY1287-1</f>
        <v>617340.59020737489</v>
      </c>
      <c r="BA1311" s="65">
        <f>BA1310+BA1304+BA1303+BA1298+BA1287-1</f>
        <v>632882.92105991603</v>
      </c>
      <c r="BC1311" s="65">
        <f>BC1310+BC1304+BC1303+BC1298+BC1287-1</f>
        <v>648991.3148982788</v>
      </c>
      <c r="BE1311" s="65">
        <f>BE1310+BE1304+BE1303+BE1298+BE1287-1</f>
        <v>665687.76368069812</v>
      </c>
    </row>
    <row r="1312" spans="1:57" s="42" customFormat="1" ht="16.5" thickTop="1" thickBot="1" x14ac:dyDescent="0.3">
      <c r="A1312" s="3"/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4"/>
      <c r="P1312" s="32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4"/>
      <c r="AH1312" s="32"/>
      <c r="AI1312" s="32"/>
      <c r="AJ1312" s="3"/>
      <c r="AK1312" s="3"/>
      <c r="AL1312" s="3"/>
      <c r="AM1312" s="3"/>
      <c r="AN1312" s="4"/>
      <c r="AO1312" s="32"/>
      <c r="AP1312" s="3"/>
      <c r="AQ1312" s="32"/>
      <c r="AR1312" s="3"/>
      <c r="AS1312" s="32"/>
      <c r="AT1312" s="32"/>
      <c r="AU1312" s="32"/>
      <c r="AW1312" s="32"/>
      <c r="AY1312" s="32"/>
      <c r="BA1312" s="32"/>
      <c r="BC1312" s="32"/>
      <c r="BE1312" s="32"/>
    </row>
    <row r="1313" spans="1:57" x14ac:dyDescent="0.25">
      <c r="A1313" s="3"/>
      <c r="B1313" s="8" t="s">
        <v>8</v>
      </c>
      <c r="C1313" s="9"/>
      <c r="D1313" s="10" t="s">
        <v>9</v>
      </c>
      <c r="E1313" s="11" t="s">
        <v>10</v>
      </c>
      <c r="F1313" s="12" t="s">
        <v>11</v>
      </c>
      <c r="G1313" s="9"/>
      <c r="H1313" s="8" t="s">
        <v>12</v>
      </c>
      <c r="I1313" s="13"/>
      <c r="J1313" s="10" t="s">
        <v>9</v>
      </c>
      <c r="K1313" s="11" t="s">
        <v>10</v>
      </c>
      <c r="L1313" s="11" t="s">
        <v>11</v>
      </c>
      <c r="M1313" s="9"/>
      <c r="N1313" s="11" t="s">
        <v>12</v>
      </c>
      <c r="P1313" s="12" t="s">
        <v>8</v>
      </c>
      <c r="R1313" s="14" t="s">
        <v>9</v>
      </c>
      <c r="S1313" s="15" t="s">
        <v>10</v>
      </c>
      <c r="T1313" s="16" t="s">
        <v>11</v>
      </c>
      <c r="U1313" s="17" t="s">
        <v>13</v>
      </c>
      <c r="V1313" s="14" t="s">
        <v>9</v>
      </c>
      <c r="W1313" s="15" t="s">
        <v>10</v>
      </c>
      <c r="X1313" s="15"/>
      <c r="Y1313" s="16" t="s">
        <v>11</v>
      </c>
      <c r="Z1313" s="17" t="s">
        <v>13</v>
      </c>
      <c r="AC1313" s="14" t="s">
        <v>9</v>
      </c>
      <c r="AD1313" s="15" t="s">
        <v>10</v>
      </c>
      <c r="AE1313" s="16" t="s">
        <v>11</v>
      </c>
      <c r="AF1313" s="15" t="s">
        <v>13</v>
      </c>
      <c r="AH1313" s="13" t="s">
        <v>8</v>
      </c>
      <c r="AI1313" s="9"/>
      <c r="AJ1313" s="11" t="s">
        <v>9</v>
      </c>
      <c r="AK1313" s="11" t="s">
        <v>10</v>
      </c>
      <c r="AL1313" s="12" t="s">
        <v>11</v>
      </c>
      <c r="AM1313" s="10" t="s">
        <v>13</v>
      </c>
      <c r="AN1313" s="9"/>
      <c r="AO1313" s="12" t="s">
        <v>8</v>
      </c>
      <c r="AQ1313" s="8" t="s">
        <v>8</v>
      </c>
      <c r="AS1313" s="8" t="s">
        <v>8</v>
      </c>
      <c r="AT1313" s="8"/>
      <c r="AU1313" s="8" t="s">
        <v>8</v>
      </c>
      <c r="AW1313" s="8" t="s">
        <v>8</v>
      </c>
      <c r="AY1313" s="8" t="s">
        <v>8</v>
      </c>
      <c r="BA1313" s="8" t="s">
        <v>8</v>
      </c>
      <c r="BC1313" s="8" t="s">
        <v>8</v>
      </c>
      <c r="BE1313" s="8" t="s">
        <v>8</v>
      </c>
    </row>
    <row r="1314" spans="1:57" ht="15.75" thickBot="1" x14ac:dyDescent="0.3">
      <c r="A1314" s="3"/>
      <c r="B1314" s="19" t="s">
        <v>14</v>
      </c>
      <c r="C1314" s="9"/>
      <c r="D1314" s="20" t="s">
        <v>15</v>
      </c>
      <c r="E1314" s="21"/>
      <c r="F1314" s="22" t="s">
        <v>16</v>
      </c>
      <c r="G1314" s="9"/>
      <c r="H1314" s="19"/>
      <c r="I1314" s="13"/>
      <c r="J1314" s="20" t="s">
        <v>17</v>
      </c>
      <c r="K1314" s="21"/>
      <c r="L1314" s="21" t="s">
        <v>16</v>
      </c>
      <c r="M1314" s="9"/>
      <c r="N1314" s="21"/>
      <c r="P1314" s="22" t="s">
        <v>18</v>
      </c>
      <c r="R1314" s="23" t="s">
        <v>19</v>
      </c>
      <c r="S1314" s="24"/>
      <c r="T1314" s="25" t="s">
        <v>20</v>
      </c>
      <c r="U1314" s="26"/>
      <c r="V1314" s="23" t="s">
        <v>21</v>
      </c>
      <c r="W1314" s="24"/>
      <c r="X1314" s="24"/>
      <c r="Y1314" s="25" t="s">
        <v>21</v>
      </c>
      <c r="Z1314" s="26"/>
      <c r="AC1314" s="23" t="s">
        <v>22</v>
      </c>
      <c r="AD1314" s="24"/>
      <c r="AE1314" s="25" t="s">
        <v>23</v>
      </c>
      <c r="AF1314" s="24"/>
      <c r="AH1314" s="13" t="s">
        <v>24</v>
      </c>
      <c r="AI1314" s="9"/>
      <c r="AJ1314" s="21" t="s">
        <v>1144</v>
      </c>
      <c r="AK1314" s="21"/>
      <c r="AL1314" s="22" t="s">
        <v>1144</v>
      </c>
      <c r="AM1314" s="20"/>
      <c r="AN1314" s="9"/>
      <c r="AO1314" s="22" t="s">
        <v>25</v>
      </c>
      <c r="AQ1314" s="19" t="s">
        <v>26</v>
      </c>
      <c r="AS1314" s="19" t="s">
        <v>27</v>
      </c>
      <c r="AT1314" s="19"/>
      <c r="AU1314" s="19" t="s">
        <v>28</v>
      </c>
      <c r="AW1314" s="19" t="s">
        <v>29</v>
      </c>
      <c r="AY1314" s="19" t="s">
        <v>30</v>
      </c>
      <c r="BA1314" s="19" t="s">
        <v>31</v>
      </c>
      <c r="BC1314" s="19">
        <f>BC663</f>
        <v>26000</v>
      </c>
      <c r="BE1314" s="19">
        <f>BE663</f>
        <v>26000</v>
      </c>
    </row>
    <row r="1315" spans="1:57" x14ac:dyDescent="0.25">
      <c r="A1315" s="28" t="s">
        <v>909</v>
      </c>
    </row>
    <row r="1316" spans="1:57" x14ac:dyDescent="0.25">
      <c r="A1316" s="3" t="s">
        <v>910</v>
      </c>
      <c r="AK1316" s="3">
        <f t="shared" ref="AK1316:AK1339" si="693">AL1316-AJ1316</f>
        <v>0</v>
      </c>
    </row>
    <row r="1317" spans="1:57" s="86" customFormat="1" x14ac:dyDescent="0.25">
      <c r="A1317" s="85" t="s">
        <v>891</v>
      </c>
      <c r="B1317" s="85"/>
      <c r="C1317" s="4"/>
      <c r="D1317" s="85"/>
      <c r="E1317" s="3">
        <f t="shared" ref="E1317:E1339" si="694">F1317-D1317</f>
        <v>0</v>
      </c>
      <c r="F1317" s="5"/>
      <c r="G1317" s="3"/>
      <c r="H1317" s="5">
        <f t="shared" ref="H1317:H1339" si="695">F1317-B1317</f>
        <v>0</v>
      </c>
      <c r="I1317" s="5"/>
      <c r="J1317" s="5"/>
      <c r="K1317" s="4">
        <f t="shared" ref="K1317:K1339" si="696">L1317-J1317</f>
        <v>0</v>
      </c>
      <c r="L1317" s="4"/>
      <c r="M1317" s="4"/>
      <c r="N1317" s="4">
        <f t="shared" ref="N1317:N1339" si="697">L1317-F1317</f>
        <v>0</v>
      </c>
      <c r="O1317" s="4"/>
      <c r="P1317" s="85"/>
      <c r="Q1317" s="85"/>
      <c r="R1317" s="85"/>
      <c r="S1317" s="85"/>
      <c r="T1317" s="85"/>
      <c r="U1317" s="85"/>
      <c r="V1317" s="85"/>
      <c r="W1317" s="3">
        <f t="shared" ref="W1317:W1339" si="698">Y1317-V1317</f>
        <v>0</v>
      </c>
      <c r="X1317" s="3"/>
      <c r="Y1317" s="85"/>
      <c r="Z1317" s="85"/>
      <c r="AA1317" s="85"/>
      <c r="AB1317" s="85"/>
      <c r="AC1317" s="85"/>
      <c r="AD1317" s="85"/>
      <c r="AE1317" s="85"/>
      <c r="AF1317" s="85"/>
      <c r="AG1317" s="85"/>
      <c r="AH1317" s="85"/>
      <c r="AI1317" s="4"/>
      <c r="AJ1317" s="85"/>
      <c r="AK1317" s="3">
        <f t="shared" si="693"/>
        <v>0</v>
      </c>
      <c r="AL1317" s="85"/>
      <c r="AM1317" s="85"/>
      <c r="AN1317" s="4"/>
      <c r="AO1317" s="85"/>
      <c r="AP1317" s="85"/>
      <c r="AQ1317" s="85"/>
      <c r="AR1317" s="85"/>
      <c r="AS1317" s="85"/>
      <c r="AT1317" s="85"/>
      <c r="AU1317" s="85"/>
      <c r="AW1317" s="85"/>
      <c r="AY1317" s="85"/>
      <c r="BA1317" s="85"/>
      <c r="BC1317" s="85"/>
      <c r="BE1317" s="85"/>
    </row>
    <row r="1318" spans="1:57" x14ac:dyDescent="0.25">
      <c r="A1318" s="3" t="s">
        <v>911</v>
      </c>
      <c r="E1318" s="3">
        <f t="shared" si="694"/>
        <v>0</v>
      </c>
      <c r="H1318" s="5">
        <f t="shared" si="695"/>
        <v>0</v>
      </c>
      <c r="K1318" s="4">
        <f t="shared" si="696"/>
        <v>0</v>
      </c>
      <c r="L1318" s="4"/>
      <c r="N1318" s="4">
        <f t="shared" si="697"/>
        <v>0</v>
      </c>
      <c r="W1318" s="3">
        <f t="shared" si="698"/>
        <v>0</v>
      </c>
      <c r="X1318" s="3"/>
      <c r="Z1318" s="3">
        <f t="shared" ref="Z1318:Z1339" si="699">Y1318-T1318</f>
        <v>0</v>
      </c>
      <c r="AK1318" s="3">
        <f t="shared" si="693"/>
        <v>0</v>
      </c>
      <c r="AQ1318" s="5">
        <v>225700</v>
      </c>
      <c r="AU1318" s="5">
        <v>225700</v>
      </c>
      <c r="AY1318" s="5">
        <v>225700</v>
      </c>
      <c r="BC1318" s="5">
        <v>225700</v>
      </c>
      <c r="BE1318" s="5">
        <v>225700</v>
      </c>
    </row>
    <row r="1319" spans="1:57" s="86" customFormat="1" x14ac:dyDescent="0.25">
      <c r="A1319" s="85" t="s">
        <v>912</v>
      </c>
      <c r="B1319" s="85"/>
      <c r="C1319" s="4"/>
      <c r="D1319" s="85"/>
      <c r="E1319" s="3">
        <f t="shared" si="694"/>
        <v>0</v>
      </c>
      <c r="F1319" s="5"/>
      <c r="G1319" s="3"/>
      <c r="H1319" s="5">
        <f t="shared" si="695"/>
        <v>0</v>
      </c>
      <c r="I1319" s="5"/>
      <c r="J1319" s="5"/>
      <c r="K1319" s="4">
        <f t="shared" si="696"/>
        <v>0</v>
      </c>
      <c r="L1319" s="4"/>
      <c r="M1319" s="4"/>
      <c r="N1319" s="4">
        <f t="shared" si="697"/>
        <v>0</v>
      </c>
      <c r="O1319" s="4"/>
      <c r="P1319" s="85"/>
      <c r="Q1319" s="85"/>
      <c r="R1319" s="85"/>
      <c r="S1319" s="85"/>
      <c r="T1319" s="85"/>
      <c r="U1319" s="85"/>
      <c r="V1319" s="85"/>
      <c r="W1319" s="3">
        <f t="shared" si="698"/>
        <v>0</v>
      </c>
      <c r="X1319" s="3"/>
      <c r="Y1319" s="85"/>
      <c r="Z1319" s="3">
        <f t="shared" si="699"/>
        <v>0</v>
      </c>
      <c r="AA1319" s="85"/>
      <c r="AB1319" s="85"/>
      <c r="AC1319" s="85"/>
      <c r="AD1319" s="85"/>
      <c r="AE1319" s="85"/>
      <c r="AF1319" s="85"/>
      <c r="AG1319" s="85"/>
      <c r="AH1319" s="85"/>
      <c r="AI1319" s="4"/>
      <c r="AJ1319" s="85"/>
      <c r="AK1319" s="3">
        <f t="shared" si="693"/>
        <v>0</v>
      </c>
      <c r="AL1319" s="85"/>
      <c r="AM1319" s="85"/>
      <c r="AN1319" s="4"/>
      <c r="AO1319" s="85"/>
      <c r="AP1319" s="85"/>
      <c r="AQ1319" s="85"/>
      <c r="AR1319" s="85"/>
      <c r="AS1319" s="85"/>
      <c r="AT1319" s="85"/>
      <c r="AU1319" s="85"/>
      <c r="AW1319" s="85"/>
      <c r="AY1319" s="85"/>
      <c r="BA1319" s="85"/>
      <c r="BC1319" s="85"/>
      <c r="BE1319" s="85"/>
    </row>
    <row r="1320" spans="1:57" x14ac:dyDescent="0.25">
      <c r="A1320" s="3" t="s">
        <v>913</v>
      </c>
      <c r="B1320" s="3"/>
      <c r="D1320" s="3"/>
      <c r="E1320" s="3">
        <f t="shared" si="694"/>
        <v>0</v>
      </c>
      <c r="H1320" s="5">
        <f t="shared" si="695"/>
        <v>0</v>
      </c>
      <c r="K1320" s="4">
        <f t="shared" si="696"/>
        <v>0</v>
      </c>
      <c r="L1320" s="4"/>
      <c r="N1320" s="4">
        <f t="shared" si="697"/>
        <v>0</v>
      </c>
      <c r="P1320" s="3">
        <v>30000</v>
      </c>
      <c r="R1320" s="5">
        <v>0</v>
      </c>
      <c r="S1320" s="3">
        <f>T1320-R1320</f>
        <v>30000</v>
      </c>
      <c r="T1320" s="3">
        <v>30000</v>
      </c>
      <c r="U1320" s="3">
        <f>T1320-P1320</f>
        <v>0</v>
      </c>
      <c r="W1320" s="3">
        <f t="shared" si="698"/>
        <v>30000</v>
      </c>
      <c r="X1320" s="3"/>
      <c r="Y1320" s="5">
        <v>30000</v>
      </c>
      <c r="Z1320" s="3">
        <f t="shared" si="699"/>
        <v>0</v>
      </c>
      <c r="AC1320" s="5">
        <v>9942</v>
      </c>
      <c r="AD1320" s="3">
        <f t="shared" ref="AD1320:AD1339" si="700">AE1320-AC1320</f>
        <v>15058</v>
      </c>
      <c r="AE1320" s="3">
        <v>25000</v>
      </c>
      <c r="AF1320" s="3">
        <f t="shared" ref="AF1320:AF1339" si="701">AE1320-Y1320</f>
        <v>-5000</v>
      </c>
      <c r="AK1320" s="3">
        <f t="shared" si="693"/>
        <v>0</v>
      </c>
    </row>
    <row r="1321" spans="1:57" x14ac:dyDescent="0.25">
      <c r="A1321" s="3" t="s">
        <v>914</v>
      </c>
      <c r="B1321" s="3"/>
      <c r="D1321" s="3"/>
      <c r="E1321" s="3"/>
      <c r="K1321" s="4"/>
      <c r="L1321" s="4"/>
      <c r="N1321" s="4"/>
      <c r="P1321" s="3">
        <v>10000</v>
      </c>
      <c r="R1321" s="5">
        <v>0</v>
      </c>
      <c r="S1321" s="3">
        <f>T1321-R1321</f>
        <v>10000</v>
      </c>
      <c r="T1321" s="3">
        <v>10000</v>
      </c>
      <c r="U1321" s="3">
        <f>T1321-P1321</f>
        <v>0</v>
      </c>
      <c r="W1321" s="3">
        <f t="shared" si="698"/>
        <v>10000</v>
      </c>
      <c r="X1321" s="3"/>
      <c r="Y1321" s="5">
        <v>10000</v>
      </c>
      <c r="Z1321" s="3">
        <f t="shared" si="699"/>
        <v>0</v>
      </c>
      <c r="AD1321" s="3">
        <f t="shared" si="700"/>
        <v>7500</v>
      </c>
      <c r="AE1321" s="3">
        <v>7500</v>
      </c>
      <c r="AF1321" s="3">
        <f t="shared" si="701"/>
        <v>-2500</v>
      </c>
      <c r="AK1321" s="3">
        <f t="shared" si="693"/>
        <v>0</v>
      </c>
      <c r="AO1321" s="5">
        <v>5000</v>
      </c>
      <c r="AS1321" s="5">
        <v>5000</v>
      </c>
    </row>
    <row r="1322" spans="1:57" s="86" customFormat="1" x14ac:dyDescent="0.25">
      <c r="A1322" s="85" t="s">
        <v>915</v>
      </c>
      <c r="B1322" s="85"/>
      <c r="C1322" s="4"/>
      <c r="D1322" s="85"/>
      <c r="E1322" s="3">
        <f t="shared" si="694"/>
        <v>0</v>
      </c>
      <c r="F1322" s="5"/>
      <c r="G1322" s="3"/>
      <c r="H1322" s="5">
        <f t="shared" si="695"/>
        <v>0</v>
      </c>
      <c r="I1322" s="5"/>
      <c r="J1322" s="5"/>
      <c r="K1322" s="4">
        <f t="shared" si="696"/>
        <v>0</v>
      </c>
      <c r="L1322" s="4"/>
      <c r="M1322" s="4"/>
      <c r="N1322" s="4">
        <f t="shared" si="697"/>
        <v>0</v>
      </c>
      <c r="O1322" s="4"/>
      <c r="P1322" s="85"/>
      <c r="Q1322" s="85"/>
      <c r="R1322" s="85"/>
      <c r="S1322" s="30">
        <f>T1322-R1322</f>
        <v>0</v>
      </c>
      <c r="T1322" s="30"/>
      <c r="U1322" s="30">
        <f>T1322-P1322</f>
        <v>0</v>
      </c>
      <c r="V1322" s="85"/>
      <c r="W1322" s="3">
        <f t="shared" si="698"/>
        <v>0</v>
      </c>
      <c r="X1322" s="3"/>
      <c r="Y1322" s="85"/>
      <c r="Z1322" s="3">
        <f t="shared" si="699"/>
        <v>0</v>
      </c>
      <c r="AA1322" s="85"/>
      <c r="AB1322" s="85"/>
      <c r="AC1322" s="85"/>
      <c r="AD1322" s="30">
        <f t="shared" si="700"/>
        <v>0</v>
      </c>
      <c r="AE1322" s="30"/>
      <c r="AF1322" s="30">
        <f t="shared" si="701"/>
        <v>0</v>
      </c>
      <c r="AG1322" s="85"/>
      <c r="AH1322" s="85"/>
      <c r="AI1322" s="4"/>
      <c r="AJ1322" s="85"/>
      <c r="AK1322" s="3">
        <f t="shared" si="693"/>
        <v>0</v>
      </c>
      <c r="AL1322" s="85"/>
      <c r="AM1322" s="85"/>
      <c r="AN1322" s="4"/>
      <c r="AO1322" s="85"/>
      <c r="AP1322" s="85"/>
      <c r="AQ1322" s="85"/>
      <c r="AR1322" s="85"/>
      <c r="AS1322" s="85"/>
      <c r="AT1322" s="85"/>
      <c r="AU1322" s="85"/>
      <c r="AW1322" s="85"/>
      <c r="AY1322" s="85"/>
      <c r="BA1322" s="85"/>
      <c r="BC1322" s="85"/>
      <c r="BE1322" s="85"/>
    </row>
    <row r="1323" spans="1:57" x14ac:dyDescent="0.25">
      <c r="A1323" s="3" t="s">
        <v>916</v>
      </c>
      <c r="E1323" s="3">
        <f t="shared" si="694"/>
        <v>0</v>
      </c>
      <c r="H1323" s="5">
        <f t="shared" si="695"/>
        <v>0</v>
      </c>
      <c r="K1323" s="4">
        <f t="shared" si="696"/>
        <v>0</v>
      </c>
      <c r="L1323" s="4"/>
      <c r="N1323" s="4">
        <f t="shared" si="697"/>
        <v>0</v>
      </c>
      <c r="P1323" s="5">
        <v>8000</v>
      </c>
      <c r="R1323" s="5">
        <v>0</v>
      </c>
      <c r="S1323" s="3">
        <f>T1323-R1323</f>
        <v>8000</v>
      </c>
      <c r="T1323" s="3">
        <v>8000</v>
      </c>
      <c r="U1323" s="3">
        <f>T1323-P1323</f>
        <v>0</v>
      </c>
      <c r="V1323" s="5">
        <v>2690</v>
      </c>
      <c r="W1323" s="3">
        <f t="shared" si="698"/>
        <v>5310</v>
      </c>
      <c r="X1323" s="3"/>
      <c r="Y1323" s="5">
        <v>8000</v>
      </c>
      <c r="Z1323" s="3">
        <f t="shared" si="699"/>
        <v>0</v>
      </c>
      <c r="AC1323" s="5">
        <v>13419</v>
      </c>
      <c r="AD1323" s="3">
        <f t="shared" si="700"/>
        <v>581</v>
      </c>
      <c r="AE1323" s="3">
        <v>14000</v>
      </c>
      <c r="AF1323" s="3">
        <f t="shared" si="701"/>
        <v>6000</v>
      </c>
      <c r="AK1323" s="3">
        <f t="shared" si="693"/>
        <v>0</v>
      </c>
      <c r="AU1323" s="5">
        <f>61400+106000+100</f>
        <v>167500</v>
      </c>
    </row>
    <row r="1324" spans="1:57" s="86" customFormat="1" x14ac:dyDescent="0.25">
      <c r="A1324" s="85" t="s">
        <v>917</v>
      </c>
      <c r="B1324" s="85">
        <v>30000</v>
      </c>
      <c r="C1324" s="4"/>
      <c r="D1324" s="85"/>
      <c r="E1324" s="3">
        <f t="shared" si="694"/>
        <v>30000</v>
      </c>
      <c r="F1324" s="5">
        <v>30000</v>
      </c>
      <c r="G1324" s="3"/>
      <c r="H1324" s="5">
        <f t="shared" si="695"/>
        <v>0</v>
      </c>
      <c r="I1324" s="5"/>
      <c r="J1324" s="5">
        <v>11691</v>
      </c>
      <c r="K1324" s="4">
        <f t="shared" si="696"/>
        <v>18309</v>
      </c>
      <c r="L1324" s="4">
        <v>30000</v>
      </c>
      <c r="M1324" s="4"/>
      <c r="N1324" s="4">
        <f t="shared" si="697"/>
        <v>0</v>
      </c>
      <c r="O1324" s="4"/>
      <c r="P1324" s="85"/>
      <c r="Q1324" s="85"/>
      <c r="R1324" s="85"/>
      <c r="S1324" s="85"/>
      <c r="T1324" s="85"/>
      <c r="U1324" s="85"/>
      <c r="V1324" s="85"/>
      <c r="W1324" s="3">
        <f t="shared" si="698"/>
        <v>0</v>
      </c>
      <c r="X1324" s="3"/>
      <c r="Y1324" s="85"/>
      <c r="Z1324" s="3">
        <f t="shared" si="699"/>
        <v>0</v>
      </c>
      <c r="AA1324" s="85"/>
      <c r="AB1324" s="85"/>
      <c r="AC1324" s="85"/>
      <c r="AD1324" s="30">
        <f t="shared" si="700"/>
        <v>0</v>
      </c>
      <c r="AE1324" s="30"/>
      <c r="AF1324" s="30">
        <f t="shared" si="701"/>
        <v>0</v>
      </c>
      <c r="AG1324" s="85"/>
      <c r="AH1324" s="85"/>
      <c r="AI1324" s="4"/>
      <c r="AJ1324" s="85"/>
      <c r="AK1324" s="3">
        <f t="shared" si="693"/>
        <v>0</v>
      </c>
      <c r="AL1324" s="85"/>
      <c r="AM1324" s="85"/>
      <c r="AN1324" s="4"/>
      <c r="AO1324" s="85"/>
      <c r="AP1324" s="85"/>
      <c r="AQ1324" s="85"/>
      <c r="AR1324" s="85"/>
      <c r="AS1324" s="85"/>
      <c r="AT1324" s="85"/>
      <c r="AU1324" s="85">
        <v>222000</v>
      </c>
      <c r="AW1324" s="85"/>
      <c r="AY1324" s="85"/>
      <c r="BA1324" s="85"/>
      <c r="BC1324" s="85"/>
      <c r="BE1324" s="85"/>
    </row>
    <row r="1325" spans="1:57" x14ac:dyDescent="0.25">
      <c r="A1325" s="3" t="s">
        <v>918</v>
      </c>
      <c r="E1325" s="3">
        <f t="shared" si="694"/>
        <v>0</v>
      </c>
      <c r="H1325" s="5">
        <f t="shared" si="695"/>
        <v>0</v>
      </c>
      <c r="K1325" s="4">
        <f t="shared" si="696"/>
        <v>0</v>
      </c>
      <c r="L1325" s="4"/>
      <c r="N1325" s="4">
        <f t="shared" si="697"/>
        <v>0</v>
      </c>
      <c r="W1325" s="3">
        <f t="shared" si="698"/>
        <v>0</v>
      </c>
      <c r="X1325" s="3"/>
      <c r="Z1325" s="3">
        <f t="shared" si="699"/>
        <v>0</v>
      </c>
      <c r="AD1325" s="3">
        <f t="shared" si="700"/>
        <v>0</v>
      </c>
      <c r="AE1325" s="3"/>
      <c r="AF1325" s="3">
        <f t="shared" si="701"/>
        <v>0</v>
      </c>
      <c r="AK1325" s="3">
        <f t="shared" si="693"/>
        <v>0</v>
      </c>
    </row>
    <row r="1326" spans="1:57" s="86" customFormat="1" x14ac:dyDescent="0.25">
      <c r="A1326" s="85" t="s">
        <v>919</v>
      </c>
      <c r="B1326" s="85">
        <v>16250</v>
      </c>
      <c r="C1326" s="4"/>
      <c r="D1326" s="85"/>
      <c r="E1326" s="3">
        <f t="shared" si="694"/>
        <v>16250</v>
      </c>
      <c r="F1326" s="5">
        <v>16250</v>
      </c>
      <c r="G1326" s="3"/>
      <c r="H1326" s="5">
        <f t="shared" si="695"/>
        <v>0</v>
      </c>
      <c r="I1326" s="5"/>
      <c r="J1326" s="5">
        <v>0</v>
      </c>
      <c r="K1326" s="4">
        <f t="shared" si="696"/>
        <v>15000</v>
      </c>
      <c r="L1326" s="4">
        <v>15000</v>
      </c>
      <c r="M1326" s="4"/>
      <c r="N1326" s="4">
        <f t="shared" si="697"/>
        <v>-1250</v>
      </c>
      <c r="O1326" s="4"/>
      <c r="P1326" s="85"/>
      <c r="Q1326" s="85"/>
      <c r="R1326" s="85"/>
      <c r="S1326" s="85"/>
      <c r="T1326" s="85"/>
      <c r="U1326" s="85"/>
      <c r="V1326" s="85"/>
      <c r="W1326" s="3">
        <f t="shared" si="698"/>
        <v>0</v>
      </c>
      <c r="X1326" s="3"/>
      <c r="Y1326" s="85"/>
      <c r="Z1326" s="3">
        <f t="shared" si="699"/>
        <v>0</v>
      </c>
      <c r="AA1326" s="85"/>
      <c r="AB1326" s="85"/>
      <c r="AC1326" s="85">
        <v>2690</v>
      </c>
      <c r="AD1326" s="30">
        <f t="shared" si="700"/>
        <v>10</v>
      </c>
      <c r="AE1326" s="30">
        <v>2700</v>
      </c>
      <c r="AF1326" s="30">
        <f t="shared" si="701"/>
        <v>2700</v>
      </c>
      <c r="AG1326" s="87"/>
      <c r="AH1326" s="85"/>
      <c r="AI1326" s="4"/>
      <c r="AJ1326" s="85"/>
      <c r="AK1326" s="3">
        <f t="shared" si="693"/>
        <v>0</v>
      </c>
      <c r="AL1326" s="85"/>
      <c r="AM1326" s="85"/>
      <c r="AN1326" s="4"/>
      <c r="AO1326" s="85"/>
      <c r="AP1326" s="85"/>
      <c r="AQ1326" s="85"/>
      <c r="AR1326" s="85"/>
      <c r="AS1326" s="85"/>
      <c r="AT1326" s="85"/>
      <c r="AU1326" s="85"/>
      <c r="AW1326" s="85"/>
      <c r="AY1326" s="85"/>
      <c r="BA1326" s="85"/>
      <c r="BC1326" s="85"/>
      <c r="BE1326" s="85"/>
    </row>
    <row r="1327" spans="1:57" x14ac:dyDescent="0.25">
      <c r="A1327" s="3" t="s">
        <v>920</v>
      </c>
      <c r="E1327" s="3">
        <f t="shared" si="694"/>
        <v>0</v>
      </c>
      <c r="H1327" s="5">
        <f t="shared" si="695"/>
        <v>0</v>
      </c>
      <c r="K1327" s="4">
        <f t="shared" si="696"/>
        <v>0</v>
      </c>
      <c r="L1327" s="4"/>
      <c r="N1327" s="4">
        <f t="shared" si="697"/>
        <v>0</v>
      </c>
      <c r="W1327" s="3">
        <f t="shared" si="698"/>
        <v>0</v>
      </c>
      <c r="X1327" s="3"/>
      <c r="Z1327" s="3">
        <f t="shared" si="699"/>
        <v>0</v>
      </c>
      <c r="AD1327" s="3">
        <f t="shared" si="700"/>
        <v>0</v>
      </c>
      <c r="AE1327" s="3"/>
      <c r="AF1327" s="3">
        <f t="shared" si="701"/>
        <v>0</v>
      </c>
      <c r="AK1327" s="3">
        <f t="shared" si="693"/>
        <v>0</v>
      </c>
    </row>
    <row r="1328" spans="1:57" s="86" customFormat="1" x14ac:dyDescent="0.25">
      <c r="A1328" s="85" t="s">
        <v>921</v>
      </c>
      <c r="B1328" s="85"/>
      <c r="C1328" s="4"/>
      <c r="D1328" s="85"/>
      <c r="E1328" s="3">
        <f t="shared" si="694"/>
        <v>0</v>
      </c>
      <c r="F1328" s="5"/>
      <c r="G1328" s="3"/>
      <c r="H1328" s="5">
        <f t="shared" si="695"/>
        <v>0</v>
      </c>
      <c r="I1328" s="5"/>
      <c r="J1328" s="5"/>
      <c r="K1328" s="4">
        <f t="shared" si="696"/>
        <v>0</v>
      </c>
      <c r="L1328" s="4"/>
      <c r="M1328" s="4"/>
      <c r="N1328" s="4">
        <f t="shared" si="697"/>
        <v>0</v>
      </c>
      <c r="O1328" s="4"/>
      <c r="P1328" s="85"/>
      <c r="Q1328" s="85"/>
      <c r="R1328" s="85"/>
      <c r="S1328" s="85"/>
      <c r="T1328" s="85"/>
      <c r="U1328" s="85"/>
      <c r="V1328" s="85"/>
      <c r="W1328" s="3">
        <f t="shared" si="698"/>
        <v>0</v>
      </c>
      <c r="X1328" s="3"/>
      <c r="Y1328" s="85"/>
      <c r="Z1328" s="3">
        <f t="shared" si="699"/>
        <v>0</v>
      </c>
      <c r="AA1328" s="85"/>
      <c r="AB1328" s="85"/>
      <c r="AC1328" s="85"/>
      <c r="AD1328" s="30">
        <f t="shared" si="700"/>
        <v>0</v>
      </c>
      <c r="AE1328" s="30"/>
      <c r="AF1328" s="30">
        <f t="shared" si="701"/>
        <v>0</v>
      </c>
      <c r="AG1328" s="85"/>
      <c r="AH1328" s="85"/>
      <c r="AI1328" s="4"/>
      <c r="AJ1328" s="85"/>
      <c r="AK1328" s="3">
        <f t="shared" si="693"/>
        <v>0</v>
      </c>
      <c r="AL1328" s="85"/>
      <c r="AM1328" s="85"/>
      <c r="AN1328" s="4"/>
      <c r="AO1328" s="85"/>
      <c r="AP1328" s="85"/>
      <c r="AQ1328" s="85"/>
      <c r="AR1328" s="85"/>
      <c r="AS1328" s="85"/>
      <c r="AT1328" s="85"/>
      <c r="AU1328" s="85"/>
      <c r="AW1328" s="85"/>
      <c r="AY1328" s="85"/>
      <c r="BA1328" s="85"/>
      <c r="BC1328" s="85"/>
      <c r="BE1328" s="85"/>
    </row>
    <row r="1329" spans="1:57" x14ac:dyDescent="0.25">
      <c r="A1329" s="3" t="s">
        <v>922</v>
      </c>
      <c r="E1329" s="3">
        <f t="shared" si="694"/>
        <v>0</v>
      </c>
      <c r="H1329" s="5">
        <f t="shared" si="695"/>
        <v>0</v>
      </c>
      <c r="K1329" s="4">
        <f t="shared" si="696"/>
        <v>0</v>
      </c>
      <c r="L1329" s="4"/>
      <c r="N1329" s="4">
        <f t="shared" si="697"/>
        <v>0</v>
      </c>
      <c r="W1329" s="3">
        <f t="shared" si="698"/>
        <v>0</v>
      </c>
      <c r="X1329" s="3"/>
      <c r="Z1329" s="3">
        <f t="shared" si="699"/>
        <v>0</v>
      </c>
      <c r="AD1329" s="3">
        <f t="shared" si="700"/>
        <v>0</v>
      </c>
      <c r="AE1329" s="3"/>
      <c r="AF1329" s="3">
        <f t="shared" si="701"/>
        <v>0</v>
      </c>
      <c r="AK1329" s="3">
        <f t="shared" si="693"/>
        <v>0</v>
      </c>
    </row>
    <row r="1330" spans="1:57" s="86" customFormat="1" x14ac:dyDescent="0.25">
      <c r="A1330" s="85" t="s">
        <v>923</v>
      </c>
      <c r="B1330" s="85"/>
      <c r="C1330" s="4"/>
      <c r="D1330" s="85"/>
      <c r="E1330" s="3">
        <f t="shared" si="694"/>
        <v>0</v>
      </c>
      <c r="F1330" s="5"/>
      <c r="G1330" s="3"/>
      <c r="H1330" s="5">
        <f t="shared" si="695"/>
        <v>0</v>
      </c>
      <c r="I1330" s="5"/>
      <c r="J1330" s="5"/>
      <c r="K1330" s="4">
        <f t="shared" si="696"/>
        <v>0</v>
      </c>
      <c r="L1330" s="4"/>
      <c r="M1330" s="4"/>
      <c r="N1330" s="4">
        <f t="shared" si="697"/>
        <v>0</v>
      </c>
      <c r="O1330" s="4"/>
      <c r="P1330" s="85"/>
      <c r="Q1330" s="85"/>
      <c r="R1330" s="85"/>
      <c r="S1330" s="85"/>
      <c r="T1330" s="85"/>
      <c r="U1330" s="85"/>
      <c r="V1330" s="85"/>
      <c r="W1330" s="3">
        <f t="shared" si="698"/>
        <v>0</v>
      </c>
      <c r="X1330" s="3"/>
      <c r="Y1330" s="85"/>
      <c r="Z1330" s="3">
        <f t="shared" si="699"/>
        <v>0</v>
      </c>
      <c r="AA1330" s="85"/>
      <c r="AB1330" s="85"/>
      <c r="AC1330" s="85"/>
      <c r="AD1330" s="30">
        <f t="shared" si="700"/>
        <v>0</v>
      </c>
      <c r="AE1330" s="30"/>
      <c r="AF1330" s="30">
        <f t="shared" si="701"/>
        <v>0</v>
      </c>
      <c r="AG1330" s="85"/>
      <c r="AH1330" s="85"/>
      <c r="AI1330" s="4"/>
      <c r="AJ1330" s="85"/>
      <c r="AK1330" s="3">
        <f t="shared" si="693"/>
        <v>0</v>
      </c>
      <c r="AL1330" s="85"/>
      <c r="AM1330" s="85"/>
      <c r="AN1330" s="4"/>
      <c r="AO1330" s="85"/>
      <c r="AP1330" s="85"/>
      <c r="AQ1330" s="85"/>
      <c r="AR1330" s="85"/>
      <c r="AS1330" s="85"/>
      <c r="AT1330" s="85"/>
      <c r="AU1330" s="85"/>
      <c r="AW1330" s="85"/>
      <c r="AY1330" s="85"/>
      <c r="BA1330" s="85"/>
      <c r="BC1330" s="85"/>
      <c r="BE1330" s="85"/>
    </row>
    <row r="1331" spans="1:57" x14ac:dyDescent="0.25">
      <c r="A1331" s="3" t="s">
        <v>879</v>
      </c>
      <c r="E1331" s="3">
        <f t="shared" si="694"/>
        <v>0</v>
      </c>
      <c r="H1331" s="5">
        <f t="shared" si="695"/>
        <v>0</v>
      </c>
      <c r="K1331" s="4">
        <f t="shared" si="696"/>
        <v>0</v>
      </c>
      <c r="L1331" s="4"/>
      <c r="N1331" s="4">
        <f t="shared" si="697"/>
        <v>0</v>
      </c>
      <c r="W1331" s="3">
        <f t="shared" si="698"/>
        <v>0</v>
      </c>
      <c r="X1331" s="3"/>
      <c r="Z1331" s="3">
        <f t="shared" si="699"/>
        <v>0</v>
      </c>
      <c r="AD1331" s="3">
        <f t="shared" si="700"/>
        <v>0</v>
      </c>
      <c r="AE1331" s="3"/>
      <c r="AF1331" s="3">
        <f t="shared" si="701"/>
        <v>0</v>
      </c>
      <c r="AK1331" s="3">
        <f t="shared" si="693"/>
        <v>0</v>
      </c>
    </row>
    <row r="1332" spans="1:57" s="86" customFormat="1" x14ac:dyDescent="0.25">
      <c r="A1332" s="85" t="s">
        <v>924</v>
      </c>
      <c r="B1332" s="85"/>
      <c r="C1332" s="4"/>
      <c r="D1332" s="85"/>
      <c r="E1332" s="3">
        <f t="shared" si="694"/>
        <v>0</v>
      </c>
      <c r="F1332" s="5"/>
      <c r="G1332" s="3"/>
      <c r="H1332" s="5">
        <f t="shared" si="695"/>
        <v>0</v>
      </c>
      <c r="I1332" s="5"/>
      <c r="J1332" s="5"/>
      <c r="K1332" s="4">
        <f t="shared" si="696"/>
        <v>0</v>
      </c>
      <c r="L1332" s="4"/>
      <c r="M1332" s="4"/>
      <c r="N1332" s="4">
        <f t="shared" si="697"/>
        <v>0</v>
      </c>
      <c r="O1332" s="4"/>
      <c r="P1332" s="85"/>
      <c r="Q1332" s="85"/>
      <c r="R1332" s="85"/>
      <c r="S1332" s="85"/>
      <c r="T1332" s="85"/>
      <c r="U1332" s="85"/>
      <c r="V1332" s="85"/>
      <c r="W1332" s="3">
        <f t="shared" si="698"/>
        <v>0</v>
      </c>
      <c r="X1332" s="3"/>
      <c r="Y1332" s="85"/>
      <c r="Z1332" s="3">
        <f t="shared" si="699"/>
        <v>0</v>
      </c>
      <c r="AA1332" s="85"/>
      <c r="AB1332" s="85"/>
      <c r="AC1332" s="85"/>
      <c r="AD1332" s="30">
        <f t="shared" si="700"/>
        <v>0</v>
      </c>
      <c r="AE1332" s="30"/>
      <c r="AF1332" s="30">
        <f t="shared" si="701"/>
        <v>0</v>
      </c>
      <c r="AG1332" s="85"/>
      <c r="AH1332" s="85"/>
      <c r="AI1332" s="4"/>
      <c r="AJ1332" s="85"/>
      <c r="AK1332" s="3">
        <f t="shared" si="693"/>
        <v>0</v>
      </c>
      <c r="AL1332" s="85"/>
      <c r="AM1332" s="85"/>
      <c r="AN1332" s="4"/>
      <c r="AO1332" s="85"/>
      <c r="AP1332" s="85"/>
      <c r="AQ1332" s="85"/>
      <c r="AR1332" s="85"/>
      <c r="AS1332" s="85"/>
      <c r="AT1332" s="85"/>
      <c r="AU1332" s="85"/>
      <c r="AW1332" s="85"/>
      <c r="AY1332" s="85"/>
      <c r="BA1332" s="85"/>
      <c r="BC1332" s="85"/>
      <c r="BE1332" s="85"/>
    </row>
    <row r="1333" spans="1:57" x14ac:dyDescent="0.25">
      <c r="A1333" s="3" t="s">
        <v>925</v>
      </c>
      <c r="E1333" s="3">
        <f t="shared" si="694"/>
        <v>0</v>
      </c>
      <c r="H1333" s="5">
        <f t="shared" si="695"/>
        <v>0</v>
      </c>
      <c r="K1333" s="4">
        <f t="shared" si="696"/>
        <v>0</v>
      </c>
      <c r="L1333" s="4"/>
      <c r="N1333" s="4">
        <f t="shared" si="697"/>
        <v>0</v>
      </c>
      <c r="W1333" s="3">
        <f t="shared" si="698"/>
        <v>0</v>
      </c>
      <c r="X1333" s="3"/>
      <c r="Z1333" s="3">
        <f t="shared" si="699"/>
        <v>0</v>
      </c>
      <c r="AD1333" s="3">
        <f t="shared" si="700"/>
        <v>0</v>
      </c>
      <c r="AE1333" s="3"/>
      <c r="AF1333" s="3">
        <f t="shared" si="701"/>
        <v>0</v>
      </c>
      <c r="AK1333" s="3">
        <f t="shared" si="693"/>
        <v>0</v>
      </c>
    </row>
    <row r="1334" spans="1:57" s="86" customFormat="1" x14ac:dyDescent="0.25">
      <c r="A1334" s="85" t="s">
        <v>919</v>
      </c>
      <c r="B1334" s="85"/>
      <c r="C1334" s="4"/>
      <c r="D1334" s="85"/>
      <c r="E1334" s="3">
        <f t="shared" si="694"/>
        <v>0</v>
      </c>
      <c r="F1334" s="5"/>
      <c r="G1334" s="3"/>
      <c r="H1334" s="5">
        <f t="shared" si="695"/>
        <v>0</v>
      </c>
      <c r="I1334" s="5"/>
      <c r="J1334" s="5"/>
      <c r="K1334" s="4">
        <f t="shared" si="696"/>
        <v>0</v>
      </c>
      <c r="L1334" s="4"/>
      <c r="M1334" s="4"/>
      <c r="N1334" s="4">
        <f t="shared" si="697"/>
        <v>0</v>
      </c>
      <c r="O1334" s="4"/>
      <c r="P1334" s="85"/>
      <c r="Q1334" s="85"/>
      <c r="R1334" s="85"/>
      <c r="S1334" s="85"/>
      <c r="T1334" s="85"/>
      <c r="U1334" s="85"/>
      <c r="V1334" s="85"/>
      <c r="W1334" s="3">
        <f t="shared" si="698"/>
        <v>0</v>
      </c>
      <c r="X1334" s="3"/>
      <c r="Y1334" s="85"/>
      <c r="Z1334" s="3">
        <f t="shared" si="699"/>
        <v>0</v>
      </c>
      <c r="AA1334" s="85"/>
      <c r="AB1334" s="85"/>
      <c r="AC1334" s="85"/>
      <c r="AD1334" s="30">
        <f t="shared" si="700"/>
        <v>0</v>
      </c>
      <c r="AE1334" s="30"/>
      <c r="AF1334" s="30">
        <f t="shared" si="701"/>
        <v>0</v>
      </c>
      <c r="AG1334" s="85"/>
      <c r="AH1334" s="85"/>
      <c r="AI1334" s="4"/>
      <c r="AJ1334" s="85"/>
      <c r="AK1334" s="3">
        <f t="shared" si="693"/>
        <v>0</v>
      </c>
      <c r="AL1334" s="85"/>
      <c r="AM1334" s="85"/>
      <c r="AN1334" s="4"/>
      <c r="AO1334" s="85"/>
      <c r="AP1334" s="85"/>
      <c r="AQ1334" s="85"/>
      <c r="AR1334" s="85"/>
      <c r="AS1334" s="85"/>
      <c r="AT1334" s="85"/>
      <c r="AU1334" s="85"/>
      <c r="AW1334" s="85"/>
      <c r="AY1334" s="85"/>
      <c r="BA1334" s="85"/>
      <c r="BC1334" s="85"/>
      <c r="BE1334" s="85"/>
    </row>
    <row r="1335" spans="1:57" x14ac:dyDescent="0.25">
      <c r="A1335" s="3" t="s">
        <v>926</v>
      </c>
      <c r="E1335" s="3">
        <f t="shared" si="694"/>
        <v>0</v>
      </c>
      <c r="H1335" s="5">
        <f t="shared" si="695"/>
        <v>0</v>
      </c>
      <c r="K1335" s="4">
        <f t="shared" si="696"/>
        <v>0</v>
      </c>
      <c r="L1335" s="4"/>
      <c r="N1335" s="4">
        <f t="shared" si="697"/>
        <v>0</v>
      </c>
      <c r="W1335" s="3">
        <f t="shared" si="698"/>
        <v>0</v>
      </c>
      <c r="X1335" s="3"/>
      <c r="Z1335" s="3">
        <f t="shared" si="699"/>
        <v>0</v>
      </c>
      <c r="AD1335" s="3">
        <f t="shared" si="700"/>
        <v>0</v>
      </c>
      <c r="AE1335" s="3"/>
      <c r="AF1335" s="3">
        <f t="shared" si="701"/>
        <v>0</v>
      </c>
      <c r="AK1335" s="3">
        <f t="shared" si="693"/>
        <v>0</v>
      </c>
    </row>
    <row r="1336" spans="1:57" x14ac:dyDescent="0.25">
      <c r="A1336" s="3" t="s">
        <v>927</v>
      </c>
      <c r="E1336" s="3">
        <f t="shared" si="694"/>
        <v>0</v>
      </c>
      <c r="H1336" s="5">
        <f t="shared" si="695"/>
        <v>0</v>
      </c>
      <c r="K1336" s="4">
        <f t="shared" si="696"/>
        <v>0</v>
      </c>
      <c r="L1336" s="4"/>
      <c r="N1336" s="4">
        <f t="shared" si="697"/>
        <v>0</v>
      </c>
      <c r="W1336" s="3">
        <f t="shared" si="698"/>
        <v>0</v>
      </c>
      <c r="X1336" s="3"/>
      <c r="Z1336" s="3">
        <f t="shared" si="699"/>
        <v>0</v>
      </c>
      <c r="AD1336" s="3">
        <f t="shared" si="700"/>
        <v>0</v>
      </c>
      <c r="AE1336" s="3"/>
      <c r="AF1336" s="3">
        <f t="shared" si="701"/>
        <v>0</v>
      </c>
      <c r="AK1336" s="3">
        <f t="shared" si="693"/>
        <v>0</v>
      </c>
    </row>
    <row r="1337" spans="1:57" s="86" customFormat="1" x14ac:dyDescent="0.25">
      <c r="A1337" s="85" t="s">
        <v>928</v>
      </c>
      <c r="B1337" s="85"/>
      <c r="C1337" s="4"/>
      <c r="D1337" s="85"/>
      <c r="E1337" s="3">
        <f t="shared" si="694"/>
        <v>0</v>
      </c>
      <c r="F1337" s="5"/>
      <c r="G1337" s="3"/>
      <c r="H1337" s="5">
        <f t="shared" si="695"/>
        <v>0</v>
      </c>
      <c r="I1337" s="5"/>
      <c r="J1337" s="5"/>
      <c r="K1337" s="4">
        <f t="shared" si="696"/>
        <v>0</v>
      </c>
      <c r="L1337" s="4"/>
      <c r="M1337" s="4"/>
      <c r="N1337" s="4">
        <f t="shared" si="697"/>
        <v>0</v>
      </c>
      <c r="O1337" s="4"/>
      <c r="P1337" s="85"/>
      <c r="Q1337" s="85"/>
      <c r="R1337" s="85"/>
      <c r="S1337" s="85"/>
      <c r="T1337" s="85"/>
      <c r="U1337" s="85"/>
      <c r="V1337" s="85"/>
      <c r="W1337" s="3">
        <f t="shared" si="698"/>
        <v>0</v>
      </c>
      <c r="X1337" s="3"/>
      <c r="Y1337" s="85"/>
      <c r="Z1337" s="3">
        <f t="shared" si="699"/>
        <v>0</v>
      </c>
      <c r="AA1337" s="85"/>
      <c r="AB1337" s="85"/>
      <c r="AC1337" s="85"/>
      <c r="AD1337" s="30">
        <f t="shared" si="700"/>
        <v>0</v>
      </c>
      <c r="AE1337" s="30"/>
      <c r="AF1337" s="30">
        <f t="shared" si="701"/>
        <v>0</v>
      </c>
      <c r="AG1337" s="85"/>
      <c r="AH1337" s="85"/>
      <c r="AI1337" s="4"/>
      <c r="AJ1337" s="85"/>
      <c r="AK1337" s="3">
        <f t="shared" si="693"/>
        <v>0</v>
      </c>
      <c r="AL1337" s="85"/>
      <c r="AM1337" s="85"/>
      <c r="AN1337" s="4"/>
      <c r="AO1337" s="85">
        <v>175000</v>
      </c>
      <c r="AP1337" s="85"/>
      <c r="AQ1337" s="85">
        <v>175000</v>
      </c>
      <c r="AR1337" s="85"/>
      <c r="AS1337" s="85"/>
      <c r="AT1337" s="85"/>
      <c r="AU1337" s="85"/>
      <c r="AW1337" s="85"/>
      <c r="AY1337" s="85"/>
      <c r="BA1337" s="85"/>
      <c r="BC1337" s="85"/>
      <c r="BE1337" s="85"/>
    </row>
    <row r="1338" spans="1:57" x14ac:dyDescent="0.25">
      <c r="A1338" s="3" t="s">
        <v>929</v>
      </c>
      <c r="B1338" s="5">
        <v>15000</v>
      </c>
      <c r="E1338" s="3">
        <f t="shared" si="694"/>
        <v>15000</v>
      </c>
      <c r="F1338" s="5">
        <v>15000</v>
      </c>
      <c r="H1338" s="5">
        <f t="shared" si="695"/>
        <v>0</v>
      </c>
      <c r="J1338" s="5">
        <v>0</v>
      </c>
      <c r="K1338" s="4">
        <f t="shared" si="696"/>
        <v>15000</v>
      </c>
      <c r="L1338" s="4">
        <v>15000</v>
      </c>
      <c r="N1338" s="4">
        <f t="shared" si="697"/>
        <v>0</v>
      </c>
      <c r="P1338" s="5">
        <v>20000</v>
      </c>
      <c r="S1338" s="3">
        <f>T1338-R1338</f>
        <v>20000</v>
      </c>
      <c r="T1338" s="3">
        <v>20000</v>
      </c>
      <c r="U1338" s="3">
        <f>T1338-P1338</f>
        <v>0</v>
      </c>
      <c r="W1338" s="3">
        <f t="shared" si="698"/>
        <v>20000</v>
      </c>
      <c r="X1338" s="3"/>
      <c r="Y1338" s="5">
        <v>20000</v>
      </c>
      <c r="Z1338" s="3">
        <f t="shared" si="699"/>
        <v>0</v>
      </c>
      <c r="AD1338" s="3">
        <f t="shared" si="700"/>
        <v>10000</v>
      </c>
      <c r="AE1338" s="3">
        <v>10000</v>
      </c>
      <c r="AF1338" s="3">
        <f t="shared" si="701"/>
        <v>-10000</v>
      </c>
      <c r="AH1338" s="58">
        <v>21000</v>
      </c>
      <c r="AK1338" s="3">
        <f t="shared" si="693"/>
        <v>21000</v>
      </c>
      <c r="AL1338" s="5">
        <v>21000</v>
      </c>
      <c r="AO1338" s="5">
        <v>22000</v>
      </c>
      <c r="AQ1338" s="5">
        <v>23000</v>
      </c>
      <c r="AS1338" s="5">
        <v>24000</v>
      </c>
      <c r="AU1338" s="5">
        <v>25000</v>
      </c>
      <c r="AW1338" s="5">
        <v>26000</v>
      </c>
      <c r="AY1338" s="5">
        <v>27000</v>
      </c>
      <c r="BA1338" s="5">
        <v>228000</v>
      </c>
      <c r="BC1338" s="5">
        <v>228000</v>
      </c>
      <c r="BE1338" s="5">
        <v>228000</v>
      </c>
    </row>
    <row r="1339" spans="1:57" s="86" customFormat="1" x14ac:dyDescent="0.25">
      <c r="A1339" s="85" t="s">
        <v>930</v>
      </c>
      <c r="B1339" s="85">
        <v>20000</v>
      </c>
      <c r="C1339" s="4"/>
      <c r="D1339" s="85"/>
      <c r="E1339" s="3">
        <f t="shared" si="694"/>
        <v>20000</v>
      </c>
      <c r="F1339" s="5">
        <v>20000</v>
      </c>
      <c r="G1339" s="3"/>
      <c r="H1339" s="5">
        <f t="shared" si="695"/>
        <v>0</v>
      </c>
      <c r="I1339" s="5"/>
      <c r="J1339" s="5">
        <v>0</v>
      </c>
      <c r="K1339" s="4">
        <f t="shared" si="696"/>
        <v>20000</v>
      </c>
      <c r="L1339" s="4">
        <v>20000</v>
      </c>
      <c r="M1339" s="4"/>
      <c r="N1339" s="4">
        <f t="shared" si="697"/>
        <v>0</v>
      </c>
      <c r="O1339" s="4"/>
      <c r="P1339" s="85">
        <v>50000</v>
      </c>
      <c r="Q1339" s="85"/>
      <c r="R1339" s="85"/>
      <c r="S1339" s="30">
        <f>T1339-R1339</f>
        <v>50000</v>
      </c>
      <c r="T1339" s="30">
        <v>50000</v>
      </c>
      <c r="U1339" s="30">
        <f>T1339-P1339</f>
        <v>0</v>
      </c>
      <c r="V1339" s="85"/>
      <c r="W1339" s="3">
        <f t="shared" si="698"/>
        <v>50000</v>
      </c>
      <c r="X1339" s="3"/>
      <c r="Y1339" s="85">
        <v>50000</v>
      </c>
      <c r="Z1339" s="3">
        <f t="shared" si="699"/>
        <v>0</v>
      </c>
      <c r="AA1339" s="85"/>
      <c r="AB1339" s="85"/>
      <c r="AC1339" s="85">
        <v>0</v>
      </c>
      <c r="AD1339" s="30">
        <f t="shared" si="700"/>
        <v>50000</v>
      </c>
      <c r="AE1339" s="30">
        <v>50000</v>
      </c>
      <c r="AF1339" s="30">
        <f t="shared" si="701"/>
        <v>0</v>
      </c>
      <c r="AG1339" s="85"/>
      <c r="AH1339" s="85">
        <v>200000</v>
      </c>
      <c r="AI1339" s="4"/>
      <c r="AJ1339" s="85"/>
      <c r="AK1339" s="3">
        <f t="shared" si="693"/>
        <v>200000</v>
      </c>
      <c r="AL1339" s="85">
        <v>200000</v>
      </c>
      <c r="AM1339" s="85"/>
      <c r="AN1339" s="4"/>
      <c r="AO1339" s="85">
        <v>300000</v>
      </c>
      <c r="AP1339" s="85"/>
      <c r="AQ1339" s="85">
        <v>175000</v>
      </c>
      <c r="AR1339" s="85"/>
      <c r="AS1339" s="85">
        <v>300000</v>
      </c>
      <c r="AT1339" s="85"/>
      <c r="AU1339" s="85"/>
      <c r="AW1339" s="85">
        <v>400000</v>
      </c>
      <c r="AY1339" s="85">
        <v>250000</v>
      </c>
      <c r="BA1339" s="85">
        <v>250000</v>
      </c>
      <c r="BC1339" s="85">
        <v>125000</v>
      </c>
      <c r="BE1339" s="85">
        <v>125000</v>
      </c>
    </row>
    <row r="1340" spans="1:57" ht="15.75" thickBot="1" x14ac:dyDescent="0.3">
      <c r="A1340" s="3"/>
      <c r="B1340" s="43">
        <f>SUM(B1316:B1339)</f>
        <v>81250</v>
      </c>
      <c r="C1340" s="32"/>
      <c r="D1340" s="43">
        <f>SUM(D1316:D1339)</f>
        <v>0</v>
      </c>
      <c r="E1340" s="43">
        <f>SUM(E1316:E1339)</f>
        <v>81250</v>
      </c>
      <c r="F1340" s="43">
        <f>SUM(F1316:F1339)</f>
        <v>81250</v>
      </c>
      <c r="G1340" s="32"/>
      <c r="H1340" s="43">
        <f>SUM(H1316:H1339)</f>
        <v>0</v>
      </c>
      <c r="I1340" s="36"/>
      <c r="J1340" s="43">
        <f>SUM(J1316:J1339)</f>
        <v>11691</v>
      </c>
      <c r="K1340" s="43">
        <f>SUM(K1316:K1339)</f>
        <v>68309</v>
      </c>
      <c r="L1340" s="43">
        <f>SUM(L1316:L1339)</f>
        <v>80000</v>
      </c>
      <c r="M1340" s="32"/>
      <c r="N1340" s="43">
        <f>SUM(N1316:N1339)</f>
        <v>-1250</v>
      </c>
      <c r="P1340" s="43">
        <f>SUM(P1316:P1339)</f>
        <v>118000</v>
      </c>
      <c r="R1340" s="43">
        <f t="shared" ref="R1340:Z1340" si="702">SUM(R1316:R1339)</f>
        <v>0</v>
      </c>
      <c r="S1340" s="43">
        <f t="shared" si="702"/>
        <v>118000</v>
      </c>
      <c r="T1340" s="43">
        <f t="shared" si="702"/>
        <v>118000</v>
      </c>
      <c r="U1340" s="43">
        <f t="shared" si="702"/>
        <v>0</v>
      </c>
      <c r="V1340" s="43">
        <f t="shared" si="702"/>
        <v>2690</v>
      </c>
      <c r="W1340" s="43">
        <f t="shared" si="702"/>
        <v>115310</v>
      </c>
      <c r="X1340" s="43"/>
      <c r="Y1340" s="43">
        <f t="shared" si="702"/>
        <v>118000</v>
      </c>
      <c r="Z1340" s="43">
        <f t="shared" si="702"/>
        <v>0</v>
      </c>
      <c r="AC1340" s="43">
        <f>SUM(AC1316:AC1339)</f>
        <v>26051</v>
      </c>
      <c r="AD1340" s="43">
        <f>SUM(AD1316:AD1339)</f>
        <v>83149</v>
      </c>
      <c r="AE1340" s="43">
        <f>SUM(AE1316:AE1339)</f>
        <v>109200</v>
      </c>
      <c r="AF1340" s="43">
        <f>SUM(AF1316:AF1339)</f>
        <v>-8800</v>
      </c>
      <c r="AH1340" s="36">
        <f>SUM(AH1316:AH1339)</f>
        <v>221000</v>
      </c>
      <c r="AI1340" s="32"/>
      <c r="AJ1340" s="43">
        <f>SUM(AJ1316:AJ1339)</f>
        <v>0</v>
      </c>
      <c r="AK1340" s="43">
        <f>SUM(AK1316:AK1339)</f>
        <v>221000</v>
      </c>
      <c r="AL1340" s="43">
        <f>SUM(AL1316:AL1339)</f>
        <v>221000</v>
      </c>
      <c r="AM1340" s="43">
        <f>SUM(AM1316:AM1339)</f>
        <v>0</v>
      </c>
      <c r="AN1340" s="32"/>
      <c r="AO1340" s="43">
        <f>SUM(AO1316:AO1339)</f>
        <v>502000</v>
      </c>
      <c r="AQ1340" s="43">
        <f>SUM(AQ1316:AQ1339)</f>
        <v>598700</v>
      </c>
      <c r="AS1340" s="43">
        <f>SUM(AS1316:AS1339)</f>
        <v>329000</v>
      </c>
      <c r="AT1340" s="43"/>
      <c r="AU1340" s="43">
        <f>SUM(AU1316:AU1339)</f>
        <v>640200</v>
      </c>
      <c r="AW1340" s="43">
        <f>SUM(AW1316:AW1339)</f>
        <v>426000</v>
      </c>
      <c r="AY1340" s="43">
        <f>SUM(AY1316:AY1339)</f>
        <v>502700</v>
      </c>
      <c r="BA1340" s="43">
        <f>SUM(BA1316:BA1339)</f>
        <v>478000</v>
      </c>
      <c r="BC1340" s="43">
        <f>SUM(BC1316:BC1339)</f>
        <v>578700</v>
      </c>
      <c r="BE1340" s="43">
        <f>SUM(BE1316:BE1339)</f>
        <v>578700</v>
      </c>
    </row>
    <row r="1341" spans="1:57" ht="15.75" thickTop="1" x14ac:dyDescent="0.25">
      <c r="A1341" s="3"/>
      <c r="B1341" s="7"/>
      <c r="C1341" s="7"/>
      <c r="D1341" s="7"/>
      <c r="E1341" s="7"/>
      <c r="F1341" s="7"/>
      <c r="G1341" s="7"/>
      <c r="H1341" s="7"/>
      <c r="I1341" s="7"/>
      <c r="J1341" s="7"/>
      <c r="K1341" s="7"/>
      <c r="L1341" s="7"/>
      <c r="M1341" s="32"/>
      <c r="N1341" s="7"/>
      <c r="P1341" s="7"/>
      <c r="Q1341" s="3"/>
      <c r="R1341" s="7"/>
      <c r="S1341" s="7"/>
      <c r="T1341" s="7"/>
      <c r="U1341" s="7"/>
      <c r="V1341" s="7"/>
      <c r="W1341" s="7"/>
      <c r="X1341" s="7"/>
      <c r="Y1341" s="7"/>
      <c r="Z1341" s="7"/>
      <c r="AA1341" s="3"/>
      <c r="AB1341" s="3"/>
      <c r="AC1341" s="3"/>
      <c r="AD1341" s="3"/>
      <c r="AE1341" s="3"/>
      <c r="AF1341" s="3"/>
      <c r="AG1341" s="4"/>
      <c r="AH1341" s="32"/>
      <c r="AI1341" s="32"/>
      <c r="AJ1341" s="3"/>
      <c r="AK1341" s="3"/>
      <c r="AL1341" s="3"/>
      <c r="AM1341" s="3"/>
      <c r="AO1341" s="7"/>
      <c r="AP1341" s="3"/>
      <c r="AQ1341" s="7"/>
      <c r="AR1341" s="3"/>
      <c r="AS1341" s="7"/>
      <c r="AT1341" s="7"/>
      <c r="AU1341" s="31"/>
      <c r="AW1341" s="31"/>
      <c r="AY1341" s="31"/>
      <c r="BA1341" s="31"/>
      <c r="BC1341" s="31"/>
      <c r="BE1341" s="31"/>
    </row>
    <row r="1342" spans="1:57" ht="15.75" thickBot="1" x14ac:dyDescent="0.3">
      <c r="A1342" s="7" t="s">
        <v>883</v>
      </c>
      <c r="B1342" s="43">
        <f>B1340+B1311</f>
        <v>558050</v>
      </c>
      <c r="C1342" s="32"/>
      <c r="D1342" s="43">
        <f>D1340+D1311</f>
        <v>72898</v>
      </c>
      <c r="E1342" s="43">
        <f>E1340+E1311</f>
        <v>485156</v>
      </c>
      <c r="F1342" s="43">
        <f>F1340+F1311</f>
        <v>558052</v>
      </c>
      <c r="G1342" s="32"/>
      <c r="H1342" s="43">
        <f>H1340+H1311</f>
        <v>2</v>
      </c>
      <c r="I1342" s="36"/>
      <c r="J1342" s="43">
        <f>J1340+J1311</f>
        <v>144580</v>
      </c>
      <c r="K1342" s="43">
        <f>K1340+K1311</f>
        <v>422494</v>
      </c>
      <c r="L1342" s="43">
        <f>L1340+L1311</f>
        <v>567072</v>
      </c>
      <c r="M1342" s="32"/>
      <c r="N1342" s="43">
        <f>N1340+N1311</f>
        <v>9022</v>
      </c>
      <c r="P1342" s="43">
        <f>P1340+P1311</f>
        <v>626497.36699999997</v>
      </c>
      <c r="R1342" s="43">
        <f t="shared" ref="R1342:Z1342" si="703">R1340+R1311</f>
        <v>69505</v>
      </c>
      <c r="S1342" s="43">
        <f t="shared" si="703"/>
        <v>575395</v>
      </c>
      <c r="T1342" s="43">
        <f t="shared" si="703"/>
        <v>644900</v>
      </c>
      <c r="U1342" s="43">
        <f t="shared" si="703"/>
        <v>18402.632999999998</v>
      </c>
      <c r="V1342" s="43">
        <f t="shared" si="703"/>
        <v>146608</v>
      </c>
      <c r="W1342" s="43">
        <f t="shared" si="703"/>
        <v>505192</v>
      </c>
      <c r="X1342" s="43"/>
      <c r="Y1342" s="43">
        <f t="shared" si="703"/>
        <v>651800</v>
      </c>
      <c r="Z1342" s="43">
        <f t="shared" si="703"/>
        <v>6900</v>
      </c>
      <c r="AC1342" s="43">
        <f>AC1340+AC1311</f>
        <v>227856</v>
      </c>
      <c r="AD1342" s="43">
        <f>AD1340+AD1311</f>
        <v>412894</v>
      </c>
      <c r="AE1342" s="43">
        <f>AE1340+AE1311</f>
        <v>640750</v>
      </c>
      <c r="AF1342" s="43">
        <f>AF1340+AF1311</f>
        <v>-11050</v>
      </c>
      <c r="AH1342" s="36">
        <f>AH1340+AH1311</f>
        <v>732750.06859999988</v>
      </c>
      <c r="AI1342" s="32"/>
      <c r="AJ1342" s="43">
        <f>AJ1340+AJ1311</f>
        <v>90779</v>
      </c>
      <c r="AK1342" s="43">
        <f>AK1340+AK1311</f>
        <v>651971</v>
      </c>
      <c r="AL1342" s="43">
        <f>AL1340+AL1311</f>
        <v>742750</v>
      </c>
      <c r="AM1342" s="43">
        <f>AM1340+AM1311</f>
        <v>9999.9314000000013</v>
      </c>
      <c r="AN1342" s="32"/>
      <c r="AO1342" s="43">
        <f>AO1340+AO1311</f>
        <v>1028155.5079330001</v>
      </c>
      <c r="AQ1342" s="43">
        <f>AQ1340+AQ1311</f>
        <v>1139034.6155400525</v>
      </c>
      <c r="AS1342" s="43">
        <f>AS1340+AS1311</f>
        <v>900902.92879984598</v>
      </c>
      <c r="AT1342" s="43"/>
      <c r="AU1342" s="43">
        <f>AU1340+AU1311</f>
        <v>1208070.476521336</v>
      </c>
      <c r="AW1342" s="43">
        <f>AW1340+AW1311</f>
        <v>1008343.2030583987</v>
      </c>
      <c r="AY1342" s="43">
        <f>AY1340+AY1311</f>
        <v>1120040.5902073749</v>
      </c>
      <c r="BA1342" s="43">
        <f>BA1340+BA1311</f>
        <v>1110882.921059916</v>
      </c>
      <c r="BC1342" s="43">
        <f>BC1340+BC1311</f>
        <v>1227691.3148982788</v>
      </c>
      <c r="BE1342" s="43">
        <f>BE1340+BE1311</f>
        <v>1244387.7636806981</v>
      </c>
    </row>
    <row r="1343" spans="1:57" ht="15.75" thickTop="1" x14ac:dyDescent="0.25">
      <c r="A1343" s="3"/>
    </row>
    <row r="1344" spans="1:57" x14ac:dyDescent="0.25">
      <c r="A1344" s="3"/>
    </row>
    <row r="1345" spans="1:57" x14ac:dyDescent="0.25">
      <c r="A1345" s="3"/>
      <c r="B1345" s="3"/>
      <c r="D1345" s="3"/>
      <c r="E1345" s="3"/>
      <c r="F1345" s="3"/>
      <c r="H1345" s="3"/>
      <c r="I1345" s="3"/>
      <c r="J1345" s="3"/>
      <c r="K1345" s="3"/>
      <c r="L1345" s="3"/>
      <c r="N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4"/>
      <c r="AH1345" s="4"/>
      <c r="AJ1345" s="3"/>
      <c r="AK1345" s="3"/>
      <c r="AL1345" s="3"/>
      <c r="AM1345" s="3"/>
      <c r="AO1345" s="3"/>
      <c r="AP1345" s="3"/>
      <c r="AQ1345" s="3"/>
      <c r="AR1345" s="3"/>
      <c r="AS1345" s="3"/>
      <c r="AT1345" s="3"/>
      <c r="AU1345" s="3"/>
      <c r="AW1345" s="3"/>
      <c r="AY1345" s="3"/>
      <c r="BA1345" s="3"/>
      <c r="BC1345" s="3"/>
      <c r="BE1345" s="3"/>
    </row>
    <row r="1346" spans="1:57" ht="15.75" thickBot="1" x14ac:dyDescent="0.3">
      <c r="A1346" s="1" t="s">
        <v>931</v>
      </c>
      <c r="B1346" s="3"/>
      <c r="D1346" s="3"/>
      <c r="E1346" s="3"/>
      <c r="F1346" s="3"/>
      <c r="H1346" s="3"/>
      <c r="I1346" s="3"/>
      <c r="J1346" s="3"/>
      <c r="K1346" s="3"/>
      <c r="L1346" s="3"/>
      <c r="N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4"/>
      <c r="AH1346" s="4"/>
      <c r="AJ1346" s="3"/>
      <c r="AK1346" s="3"/>
      <c r="AL1346" s="3"/>
      <c r="AM1346" s="3"/>
      <c r="AO1346" s="3"/>
      <c r="AP1346" s="3"/>
      <c r="AQ1346" s="3"/>
      <c r="AR1346" s="3"/>
      <c r="AS1346" s="3"/>
      <c r="AT1346" s="3"/>
      <c r="AU1346" s="3"/>
      <c r="AW1346" s="3"/>
      <c r="AY1346" s="3"/>
      <c r="BA1346" s="3"/>
      <c r="BC1346" s="3"/>
      <c r="BE1346" s="3"/>
    </row>
    <row r="1347" spans="1:57" x14ac:dyDescent="0.25">
      <c r="A1347" s="3"/>
      <c r="B1347" s="8" t="s">
        <v>8</v>
      </c>
      <c r="C1347" s="9"/>
      <c r="D1347" s="10" t="s">
        <v>9</v>
      </c>
      <c r="E1347" s="11" t="s">
        <v>10</v>
      </c>
      <c r="F1347" s="12" t="s">
        <v>11</v>
      </c>
      <c r="G1347" s="9"/>
      <c r="H1347" s="8" t="s">
        <v>12</v>
      </c>
      <c r="I1347" s="13"/>
      <c r="J1347" s="10" t="s">
        <v>9</v>
      </c>
      <c r="K1347" s="11" t="s">
        <v>10</v>
      </c>
      <c r="L1347" s="11" t="s">
        <v>11</v>
      </c>
      <c r="M1347" s="9"/>
      <c r="N1347" s="11" t="s">
        <v>12</v>
      </c>
      <c r="P1347" s="12" t="s">
        <v>8</v>
      </c>
      <c r="R1347" s="14" t="s">
        <v>9</v>
      </c>
      <c r="S1347" s="15" t="s">
        <v>10</v>
      </c>
      <c r="T1347" s="16" t="s">
        <v>11</v>
      </c>
      <c r="U1347" s="17" t="s">
        <v>13</v>
      </c>
      <c r="V1347" s="14" t="s">
        <v>9</v>
      </c>
      <c r="W1347" s="15" t="s">
        <v>10</v>
      </c>
      <c r="X1347" s="15"/>
      <c r="Y1347" s="16" t="s">
        <v>11</v>
      </c>
      <c r="Z1347" s="17" t="s">
        <v>13</v>
      </c>
      <c r="AC1347" s="14" t="s">
        <v>9</v>
      </c>
      <c r="AD1347" s="15" t="s">
        <v>10</v>
      </c>
      <c r="AE1347" s="16" t="s">
        <v>11</v>
      </c>
      <c r="AF1347" s="15" t="s">
        <v>13</v>
      </c>
      <c r="AH1347" s="13" t="s">
        <v>8</v>
      </c>
      <c r="AI1347" s="9"/>
      <c r="AJ1347" s="11" t="s">
        <v>9</v>
      </c>
      <c r="AK1347" s="11" t="s">
        <v>10</v>
      </c>
      <c r="AL1347" s="12" t="s">
        <v>11</v>
      </c>
      <c r="AM1347" s="10" t="s">
        <v>13</v>
      </c>
      <c r="AN1347" s="9"/>
      <c r="AO1347" s="12" t="s">
        <v>8</v>
      </c>
      <c r="AQ1347" s="8" t="s">
        <v>8</v>
      </c>
      <c r="AS1347" s="8" t="s">
        <v>8</v>
      </c>
      <c r="AT1347" s="8"/>
      <c r="AU1347" s="8" t="s">
        <v>8</v>
      </c>
      <c r="AW1347" s="8" t="s">
        <v>8</v>
      </c>
      <c r="AY1347" s="8" t="s">
        <v>8</v>
      </c>
      <c r="BA1347" s="8" t="s">
        <v>8</v>
      </c>
      <c r="BC1347" s="8" t="s">
        <v>8</v>
      </c>
      <c r="BE1347" s="8" t="s">
        <v>8</v>
      </c>
    </row>
    <row r="1348" spans="1:57" ht="15.75" thickBot="1" x14ac:dyDescent="0.3">
      <c r="A1348" s="3"/>
      <c r="B1348" s="19" t="s">
        <v>14</v>
      </c>
      <c r="C1348" s="9"/>
      <c r="D1348" s="20" t="s">
        <v>15</v>
      </c>
      <c r="E1348" s="21"/>
      <c r="F1348" s="22" t="s">
        <v>16</v>
      </c>
      <c r="G1348" s="9"/>
      <c r="H1348" s="19"/>
      <c r="I1348" s="13"/>
      <c r="J1348" s="20" t="s">
        <v>17</v>
      </c>
      <c r="K1348" s="21"/>
      <c r="L1348" s="21" t="s">
        <v>16</v>
      </c>
      <c r="M1348" s="9"/>
      <c r="N1348" s="21"/>
      <c r="P1348" s="22" t="s">
        <v>18</v>
      </c>
      <c r="R1348" s="23" t="s">
        <v>19</v>
      </c>
      <c r="S1348" s="24"/>
      <c r="T1348" s="25" t="s">
        <v>20</v>
      </c>
      <c r="U1348" s="26"/>
      <c r="V1348" s="23" t="s">
        <v>21</v>
      </c>
      <c r="W1348" s="24"/>
      <c r="X1348" s="24"/>
      <c r="Y1348" s="25" t="s">
        <v>21</v>
      </c>
      <c r="Z1348" s="26"/>
      <c r="AC1348" s="23" t="s">
        <v>22</v>
      </c>
      <c r="AD1348" s="24"/>
      <c r="AE1348" s="25" t="s">
        <v>23</v>
      </c>
      <c r="AF1348" s="24"/>
      <c r="AH1348" s="13" t="s">
        <v>24</v>
      </c>
      <c r="AI1348" s="9"/>
      <c r="AJ1348" s="21" t="s">
        <v>1144</v>
      </c>
      <c r="AK1348" s="21"/>
      <c r="AL1348" s="22" t="s">
        <v>1144</v>
      </c>
      <c r="AM1348" s="20"/>
      <c r="AN1348" s="9"/>
      <c r="AO1348" s="22" t="s">
        <v>25</v>
      </c>
      <c r="AQ1348" s="19" t="s">
        <v>26</v>
      </c>
      <c r="AS1348" s="19" t="s">
        <v>27</v>
      </c>
      <c r="AT1348" s="19"/>
      <c r="AU1348" s="19" t="s">
        <v>28</v>
      </c>
      <c r="AW1348" s="19" t="s">
        <v>29</v>
      </c>
      <c r="AY1348" s="19" t="s">
        <v>30</v>
      </c>
      <c r="BA1348" s="19" t="s">
        <v>31</v>
      </c>
      <c r="BC1348" s="19" t="str">
        <f>BC4</f>
        <v>2021-22</v>
      </c>
      <c r="BE1348" s="19" t="str">
        <f>BE4</f>
        <v>2022-23</v>
      </c>
    </row>
    <row r="1349" spans="1:57" x14ac:dyDescent="0.25">
      <c r="A1349" s="28" t="s">
        <v>1</v>
      </c>
      <c r="B1349" s="3"/>
      <c r="D1349" s="3"/>
      <c r="E1349" s="3"/>
      <c r="F1349" s="3"/>
      <c r="H1349" s="3"/>
      <c r="I1349" s="3"/>
      <c r="J1349" s="3"/>
      <c r="K1349" s="3"/>
      <c r="L1349" s="3"/>
      <c r="N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4"/>
      <c r="AH1349" s="4"/>
      <c r="AJ1349" s="3"/>
      <c r="AK1349" s="3"/>
      <c r="AL1349" s="3"/>
      <c r="AM1349" s="3"/>
      <c r="AO1349" s="3"/>
      <c r="AP1349" s="3"/>
      <c r="AQ1349" s="3"/>
      <c r="AR1349" s="3"/>
      <c r="AS1349" s="3"/>
      <c r="AT1349" s="3"/>
      <c r="AU1349" s="3"/>
      <c r="AW1349" s="3"/>
      <c r="AY1349" s="3"/>
      <c r="BA1349" s="3"/>
      <c r="BC1349" s="3"/>
      <c r="BE1349" s="3"/>
    </row>
    <row r="1350" spans="1:57" x14ac:dyDescent="0.25">
      <c r="A1350" s="7"/>
      <c r="B1350" s="3"/>
      <c r="D1350" s="3"/>
      <c r="E1350" s="3"/>
      <c r="F1350" s="3"/>
      <c r="H1350" s="3"/>
      <c r="I1350" s="3"/>
      <c r="J1350" s="3"/>
      <c r="K1350" s="3"/>
      <c r="L1350" s="3"/>
      <c r="N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4"/>
      <c r="AH1350" s="4"/>
      <c r="AJ1350" s="3"/>
      <c r="AK1350" s="3"/>
      <c r="AL1350" s="3"/>
      <c r="AM1350" s="3"/>
      <c r="AO1350" s="3"/>
      <c r="AP1350" s="3"/>
      <c r="AQ1350" s="3"/>
      <c r="AR1350" s="3"/>
      <c r="AS1350" s="3"/>
      <c r="AT1350" s="3"/>
      <c r="AU1350" s="3" t="s">
        <v>374</v>
      </c>
      <c r="AW1350" s="3"/>
      <c r="AX1350" s="42"/>
      <c r="AY1350" s="3"/>
      <c r="AZ1350" s="42"/>
      <c r="BA1350" s="3"/>
      <c r="BC1350" s="3"/>
      <c r="BE1350" s="3"/>
    </row>
    <row r="1351" spans="1:57" x14ac:dyDescent="0.25">
      <c r="A1351" s="7"/>
      <c r="B1351" s="3"/>
      <c r="D1351" s="3"/>
      <c r="E1351" s="3"/>
      <c r="F1351" s="3"/>
      <c r="H1351" s="3"/>
      <c r="I1351" s="3"/>
      <c r="J1351" s="3"/>
      <c r="K1351" s="3"/>
      <c r="L1351" s="3"/>
      <c r="N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4"/>
      <c r="AH1351" s="4"/>
      <c r="AJ1351" s="3"/>
      <c r="AK1351" s="3"/>
      <c r="AL1351" s="3"/>
      <c r="AM1351" s="3"/>
      <c r="AO1351" s="3"/>
      <c r="AP1351" s="3"/>
      <c r="AQ1351" s="3"/>
      <c r="AR1351" s="3"/>
      <c r="AS1351" s="3"/>
      <c r="AT1351" s="3"/>
      <c r="AU1351" s="3"/>
      <c r="AW1351" s="3"/>
      <c r="AX1351" s="42"/>
      <c r="AY1351" s="3"/>
      <c r="AZ1351" s="42"/>
      <c r="BA1351" s="3"/>
      <c r="BC1351" s="3"/>
      <c r="BE1351" s="3"/>
    </row>
    <row r="1352" spans="1:57" x14ac:dyDescent="0.25">
      <c r="A1352" s="7" t="s">
        <v>34</v>
      </c>
      <c r="B1352" s="31">
        <v>328951</v>
      </c>
      <c r="C1352" s="7"/>
      <c r="D1352" s="31"/>
      <c r="E1352" s="31"/>
      <c r="F1352" s="31">
        <v>617344</v>
      </c>
      <c r="G1352" s="7"/>
      <c r="H1352" s="31">
        <f>F1352-B1352</f>
        <v>288393</v>
      </c>
      <c r="I1352" s="31"/>
      <c r="J1352" s="31"/>
      <c r="K1352" s="31"/>
      <c r="L1352" s="31">
        <v>617344</v>
      </c>
      <c r="M1352" s="32"/>
      <c r="N1352" s="31">
        <f>L1352-F1352</f>
        <v>0</v>
      </c>
      <c r="P1352" s="31">
        <f>L1363</f>
        <v>557944</v>
      </c>
      <c r="T1352" s="31">
        <v>797376</v>
      </c>
      <c r="U1352" s="3">
        <f t="shared" ref="U1352:U1363" si="704">T1352-P1352</f>
        <v>239432</v>
      </c>
      <c r="Y1352" s="31">
        <v>797376</v>
      </c>
      <c r="Z1352" s="3">
        <f>Y1352-T1352</f>
        <v>0</v>
      </c>
      <c r="AE1352" s="31">
        <v>797376</v>
      </c>
      <c r="AF1352" s="30"/>
      <c r="AH1352" s="36">
        <f>P1363</f>
        <v>519728.5</v>
      </c>
      <c r="AI1352" s="32"/>
      <c r="AL1352" s="31">
        <v>891897</v>
      </c>
      <c r="AM1352" s="31">
        <f>AL1352-AH1352</f>
        <v>372168.5</v>
      </c>
      <c r="AN1352" s="32"/>
      <c r="AO1352" s="31">
        <f>AH1363</f>
        <v>521428.95</v>
      </c>
      <c r="AQ1352" s="31">
        <f>AO1363</f>
        <v>787857.88049999974</v>
      </c>
      <c r="AS1352" s="31">
        <f>AQ1363</f>
        <v>25872.029659499647</v>
      </c>
      <c r="AT1352" s="31"/>
      <c r="AU1352" s="31">
        <f>AS1363</f>
        <v>-71653.310639646836</v>
      </c>
      <c r="AW1352" s="31">
        <f>AU1363</f>
        <v>-173596.07383451506</v>
      </c>
      <c r="AY1352" s="31">
        <f>AW1363</f>
        <v>-286080.77068405208</v>
      </c>
      <c r="BA1352" s="31">
        <f>AY1363</f>
        <v>-398978.4145333778</v>
      </c>
      <c r="BC1352" s="31">
        <f>BA1363</f>
        <v>-517156.44626658544</v>
      </c>
      <c r="BE1352" s="31">
        <f>BC1363</f>
        <v>-645478.65905297524</v>
      </c>
    </row>
    <row r="1353" spans="1:57" x14ac:dyDescent="0.25">
      <c r="A1353" s="3"/>
      <c r="B1353" s="31"/>
      <c r="C1353" s="7"/>
      <c r="D1353" s="31"/>
      <c r="E1353" s="31"/>
      <c r="F1353" s="31"/>
      <c r="G1353" s="7"/>
      <c r="H1353" s="31"/>
      <c r="I1353" s="31"/>
      <c r="J1353" s="31"/>
      <c r="K1353" s="31"/>
      <c r="L1353" s="31"/>
      <c r="M1353" s="32"/>
      <c r="N1353" s="31"/>
      <c r="P1353" s="31"/>
      <c r="T1353" s="31"/>
      <c r="U1353" s="3"/>
      <c r="Y1353" s="31"/>
      <c r="Z1353" s="3"/>
      <c r="AE1353" s="31"/>
      <c r="AF1353" s="30"/>
      <c r="AH1353" s="36"/>
      <c r="AI1353" s="32"/>
      <c r="AL1353" s="31"/>
      <c r="AM1353" s="31"/>
      <c r="AN1353" s="32"/>
      <c r="AO1353" s="31"/>
      <c r="AQ1353" s="31"/>
      <c r="AS1353" s="31"/>
      <c r="AT1353" s="31"/>
      <c r="AU1353" s="31"/>
      <c r="AW1353" s="31"/>
      <c r="AY1353" s="31"/>
      <c r="BA1353" s="31"/>
      <c r="BC1353" s="31"/>
      <c r="BE1353" s="31"/>
    </row>
    <row r="1354" spans="1:57" x14ac:dyDescent="0.25">
      <c r="A1354" s="7" t="s">
        <v>35</v>
      </c>
      <c r="B1354" s="36">
        <f>B1395</f>
        <v>307901</v>
      </c>
      <c r="C1354" s="32"/>
      <c r="D1354" s="36"/>
      <c r="E1354" s="36"/>
      <c r="F1354" s="36">
        <f>F1395</f>
        <v>309500</v>
      </c>
      <c r="G1354" s="32"/>
      <c r="H1354" s="31">
        <f t="shared" ref="H1354:H1373" si="705">F1354-B1354</f>
        <v>1599</v>
      </c>
      <c r="I1354" s="31"/>
      <c r="J1354" s="31"/>
      <c r="K1354" s="31"/>
      <c r="L1354" s="36">
        <f>L1395</f>
        <v>310000</v>
      </c>
      <c r="M1354" s="32"/>
      <c r="N1354" s="31">
        <f t="shared" ref="N1354:N1363" si="706">L1354-F1354</f>
        <v>500</v>
      </c>
      <c r="P1354" s="36">
        <f>P1395</f>
        <v>318775</v>
      </c>
      <c r="T1354" s="36">
        <f>T1395</f>
        <v>318975</v>
      </c>
      <c r="U1354" s="3">
        <f t="shared" si="704"/>
        <v>200</v>
      </c>
      <c r="Y1354" s="36">
        <f>Y1395</f>
        <v>311975</v>
      </c>
      <c r="Z1354" s="3">
        <f>Y1354-T1354</f>
        <v>-7000</v>
      </c>
      <c r="AE1354" s="36">
        <f>AE1395</f>
        <v>328755</v>
      </c>
      <c r="AF1354" s="33">
        <f>AE1354-Y1354</f>
        <v>16780</v>
      </c>
      <c r="AH1354" s="36">
        <f>AH1395</f>
        <v>321299.15000000002</v>
      </c>
      <c r="AI1354" s="32"/>
      <c r="AL1354" s="36">
        <f>AL1395</f>
        <v>325850</v>
      </c>
      <c r="AM1354" s="31">
        <f t="shared" ref="AM1354:AM1363" si="707">AL1354-AH1354</f>
        <v>4550.8499999999767</v>
      </c>
      <c r="AN1354" s="32"/>
      <c r="AO1354" s="36">
        <f>AO1395</f>
        <v>360259.08149999997</v>
      </c>
      <c r="AQ1354" s="36">
        <f>AQ1395</f>
        <v>397913.45468949998</v>
      </c>
      <c r="AS1354" s="36">
        <f>AS1395</f>
        <v>410647.92689675349</v>
      </c>
      <c r="AT1354" s="36"/>
      <c r="AU1354" s="36">
        <f>AU1395</f>
        <v>422716.5536419088</v>
      </c>
      <c r="AW1354" s="36">
        <f>AW1395</f>
        <v>433880.31369859335</v>
      </c>
      <c r="AY1354" s="36">
        <f>AY1395</f>
        <v>445400.54693181103</v>
      </c>
      <c r="BA1354" s="36">
        <f>BA1395</f>
        <v>457288.96618375392</v>
      </c>
      <c r="BC1354" s="36">
        <f>BC1395</f>
        <v>469557.66955109086</v>
      </c>
      <c r="BE1354" s="36">
        <f>BE1395</f>
        <v>482219.1530666317</v>
      </c>
    </row>
    <row r="1355" spans="1:57" x14ac:dyDescent="0.25">
      <c r="A1355" s="7" t="s">
        <v>36</v>
      </c>
      <c r="B1355" s="35">
        <f>B1399+B1398+B1397</f>
        <v>750</v>
      </c>
      <c r="C1355" s="32"/>
      <c r="D1355" s="36"/>
      <c r="E1355" s="36"/>
      <c r="F1355" s="35">
        <f>F1399+F1398+F1397</f>
        <v>750</v>
      </c>
      <c r="G1355" s="32"/>
      <c r="H1355" s="35">
        <f t="shared" si="705"/>
        <v>0</v>
      </c>
      <c r="I1355" s="36"/>
      <c r="J1355" s="36"/>
      <c r="K1355" s="36"/>
      <c r="L1355" s="35">
        <f>L1399+L1398+L1397</f>
        <v>750</v>
      </c>
      <c r="M1355" s="32"/>
      <c r="N1355" s="31">
        <f t="shared" si="706"/>
        <v>0</v>
      </c>
      <c r="P1355" s="35">
        <f>P1399+P1398+P1397</f>
        <v>750</v>
      </c>
      <c r="T1355" s="35">
        <f>T1399+T1398+T1397</f>
        <v>750</v>
      </c>
      <c r="U1355" s="52">
        <f t="shared" si="704"/>
        <v>0</v>
      </c>
      <c r="Y1355" s="35">
        <f>Y1399+Y1398+Y1397</f>
        <v>750</v>
      </c>
      <c r="Z1355" s="52">
        <f>Y1355-T1355</f>
        <v>0</v>
      </c>
      <c r="AE1355" s="35">
        <f>AE1399+AE1398+AE1397</f>
        <v>750</v>
      </c>
      <c r="AF1355" s="71">
        <f>AE1355-Y1355</f>
        <v>0</v>
      </c>
      <c r="AH1355" s="36">
        <f>AH1399+AH1398+AH1397</f>
        <v>750</v>
      </c>
      <c r="AI1355" s="32"/>
      <c r="AL1355" s="35">
        <f>AL1399+AL1398+AL1397</f>
        <v>750</v>
      </c>
      <c r="AM1355" s="35">
        <f t="shared" si="707"/>
        <v>0</v>
      </c>
      <c r="AN1355" s="32"/>
      <c r="AO1355" s="35">
        <f>AO1399+AO1398+AO1397</f>
        <v>1000750</v>
      </c>
      <c r="AQ1355" s="35">
        <f>AQ1399+AQ1398+AQ1397</f>
        <v>750</v>
      </c>
      <c r="AS1355" s="35">
        <f>AS1399+AS1398+AS1397</f>
        <v>750</v>
      </c>
      <c r="AT1355" s="35"/>
      <c r="AU1355" s="35">
        <f>AU1399+AU1398+AU1397</f>
        <v>750</v>
      </c>
      <c r="AW1355" s="35">
        <f>AW1399+AW1398+AW1397</f>
        <v>750</v>
      </c>
      <c r="AY1355" s="35">
        <f>AY1399+AY1398+AY1397</f>
        <v>750</v>
      </c>
      <c r="BA1355" s="35">
        <f>BA1399+BA1398+BA1397</f>
        <v>750</v>
      </c>
      <c r="BC1355" s="35">
        <f>BC1399+BC1398+BC1397</f>
        <v>750</v>
      </c>
      <c r="BE1355" s="35">
        <f>BE1399+BE1398+BE1397</f>
        <v>750</v>
      </c>
    </row>
    <row r="1356" spans="1:57" x14ac:dyDescent="0.25">
      <c r="A1356" s="3"/>
      <c r="B1356" s="36">
        <f>B1354+B1355</f>
        <v>308651</v>
      </c>
      <c r="C1356" s="32"/>
      <c r="D1356" s="36"/>
      <c r="E1356" s="36"/>
      <c r="F1356" s="36">
        <f>F1354+F1355</f>
        <v>310250</v>
      </c>
      <c r="G1356" s="32"/>
      <c r="H1356" s="31">
        <f t="shared" si="705"/>
        <v>1599</v>
      </c>
      <c r="I1356" s="31"/>
      <c r="J1356" s="31"/>
      <c r="K1356" s="31"/>
      <c r="L1356" s="36">
        <f>L1354+L1355</f>
        <v>310750</v>
      </c>
      <c r="M1356" s="32"/>
      <c r="N1356" s="31">
        <f t="shared" si="706"/>
        <v>500</v>
      </c>
      <c r="P1356" s="36">
        <f>P1354+P1355</f>
        <v>319525</v>
      </c>
      <c r="T1356" s="36">
        <f>T1354+T1355</f>
        <v>319725</v>
      </c>
      <c r="U1356" s="3">
        <f t="shared" si="704"/>
        <v>200</v>
      </c>
      <c r="Y1356" s="36">
        <f>Y1354+Y1355</f>
        <v>312725</v>
      </c>
      <c r="Z1356" s="3">
        <f>Y1356-T1356</f>
        <v>-7000</v>
      </c>
      <c r="AE1356" s="36">
        <f>AE1354+AE1355</f>
        <v>329505</v>
      </c>
      <c r="AF1356" s="33">
        <f>AE1356-Y1356</f>
        <v>16780</v>
      </c>
      <c r="AH1356" s="36">
        <f>AH1354+AH1355</f>
        <v>322049.15000000002</v>
      </c>
      <c r="AI1356" s="32"/>
      <c r="AL1356" s="36">
        <f>AL1354+AL1355</f>
        <v>326600</v>
      </c>
      <c r="AM1356" s="31">
        <f t="shared" si="707"/>
        <v>4550.8499999999767</v>
      </c>
      <c r="AN1356" s="32"/>
      <c r="AO1356" s="36">
        <f>AO1354+AO1355</f>
        <v>1361009.0814999999</v>
      </c>
      <c r="AQ1356" s="36">
        <f>AQ1354+AQ1355</f>
        <v>398663.45468949998</v>
      </c>
      <c r="AS1356" s="36">
        <f>AS1354+AS1355</f>
        <v>411397.92689675349</v>
      </c>
      <c r="AT1356" s="36"/>
      <c r="AU1356" s="36">
        <f>AU1354+AU1355</f>
        <v>423466.5536419088</v>
      </c>
      <c r="AW1356" s="36">
        <f>AW1354+AW1355</f>
        <v>434630.31369859335</v>
      </c>
      <c r="AY1356" s="36">
        <f>AY1354+AY1355</f>
        <v>446150.54693181103</v>
      </c>
      <c r="BA1356" s="36">
        <f>BA1354+BA1355</f>
        <v>458038.96618375392</v>
      </c>
      <c r="BC1356" s="36">
        <f>BC1354+BC1355</f>
        <v>470307.66955109086</v>
      </c>
      <c r="BE1356" s="36">
        <f>BE1354+BE1355</f>
        <v>482969.1530666317</v>
      </c>
    </row>
    <row r="1357" spans="1:57" x14ac:dyDescent="0.25">
      <c r="A1357" s="7"/>
      <c r="B1357" s="36"/>
      <c r="C1357" s="32"/>
      <c r="D1357" s="36"/>
      <c r="E1357" s="36"/>
      <c r="F1357" s="36"/>
      <c r="G1357" s="32"/>
      <c r="H1357" s="31">
        <f t="shared" si="705"/>
        <v>0</v>
      </c>
      <c r="I1357" s="31"/>
      <c r="J1357" s="31"/>
      <c r="K1357" s="31"/>
      <c r="L1357" s="36"/>
      <c r="M1357" s="32"/>
      <c r="N1357" s="31">
        <f t="shared" si="706"/>
        <v>0</v>
      </c>
      <c r="P1357" s="36"/>
      <c r="T1357" s="36"/>
      <c r="U1357" s="3"/>
      <c r="Y1357" s="36"/>
      <c r="Z1357" s="3"/>
      <c r="AE1357" s="36"/>
      <c r="AF1357" s="33"/>
      <c r="AH1357" s="36"/>
      <c r="AI1357" s="32"/>
      <c r="AL1357" s="36"/>
      <c r="AM1357" s="31">
        <f t="shared" si="707"/>
        <v>0</v>
      </c>
      <c r="AN1357" s="32"/>
      <c r="AO1357" s="36"/>
      <c r="AQ1357" s="36"/>
      <c r="AS1357" s="36"/>
      <c r="AT1357" s="36"/>
      <c r="AU1357" s="36"/>
      <c r="AW1357" s="36"/>
      <c r="AY1357" s="36"/>
      <c r="BA1357" s="36"/>
      <c r="BC1357" s="36"/>
      <c r="BE1357" s="36"/>
    </row>
    <row r="1358" spans="1:57" x14ac:dyDescent="0.25">
      <c r="A1358" s="7" t="s">
        <v>37</v>
      </c>
      <c r="B1358" s="36">
        <v>369450</v>
      </c>
      <c r="C1358" s="32"/>
      <c r="D1358" s="36"/>
      <c r="E1358" s="36"/>
      <c r="F1358" s="36">
        <f>F1475</f>
        <v>371450</v>
      </c>
      <c r="G1358" s="32"/>
      <c r="H1358" s="31">
        <f t="shared" si="705"/>
        <v>2000</v>
      </c>
      <c r="I1358" s="31"/>
      <c r="J1358" s="31"/>
      <c r="K1358" s="31"/>
      <c r="L1358" s="36">
        <f>L1475</f>
        <v>370150</v>
      </c>
      <c r="M1358" s="32"/>
      <c r="N1358" s="31">
        <f t="shared" si="706"/>
        <v>-1300</v>
      </c>
      <c r="P1358" s="36">
        <f>P1475</f>
        <v>357740.5</v>
      </c>
      <c r="T1358" s="36">
        <f>T1475</f>
        <v>451760</v>
      </c>
      <c r="U1358" s="3">
        <f t="shared" si="704"/>
        <v>94019.5</v>
      </c>
      <c r="Y1358" s="36">
        <f>Y1475</f>
        <v>439060</v>
      </c>
      <c r="Z1358" s="3">
        <f>Y1358-T1358</f>
        <v>-12700</v>
      </c>
      <c r="AE1358" s="36">
        <f>AE1475</f>
        <v>426150</v>
      </c>
      <c r="AF1358" s="33">
        <f>AE1358-Y1358</f>
        <v>-12910</v>
      </c>
      <c r="AH1358" s="36">
        <f>AH1475</f>
        <v>320348.7</v>
      </c>
      <c r="AI1358" s="32"/>
      <c r="AL1358" s="36">
        <f>AL1475</f>
        <v>391350</v>
      </c>
      <c r="AM1358" s="31">
        <f t="shared" si="707"/>
        <v>71001.299999999988</v>
      </c>
      <c r="AN1358" s="32"/>
      <c r="AO1358" s="36">
        <f>AO1475</f>
        <v>1094580.1510000001</v>
      </c>
      <c r="AQ1358" s="36">
        <f>AQ1475</f>
        <v>1160649.30553</v>
      </c>
      <c r="AS1358" s="36">
        <f>AS1475</f>
        <v>508923.26719589997</v>
      </c>
      <c r="AT1358" s="36"/>
      <c r="AU1358" s="36">
        <f>AU1475</f>
        <v>525409.31683677703</v>
      </c>
      <c r="AW1358" s="36">
        <f>AW1475</f>
        <v>547115.01054813038</v>
      </c>
      <c r="AY1358" s="36">
        <f>AY1475</f>
        <v>559048.19078113674</v>
      </c>
      <c r="BA1358" s="36">
        <f>BA1475</f>
        <v>576216.99791696155</v>
      </c>
      <c r="BC1358" s="36">
        <f>BC1475</f>
        <v>598629.88233748067</v>
      </c>
      <c r="BE1358" s="36">
        <f>BE1475</f>
        <v>606295.61701476551</v>
      </c>
    </row>
    <row r="1359" spans="1:57" x14ac:dyDescent="0.25">
      <c r="A1359" s="7" t="s">
        <v>38</v>
      </c>
      <c r="B1359" s="35">
        <f>B1477</f>
        <v>0</v>
      </c>
      <c r="C1359" s="32"/>
      <c r="D1359" s="36"/>
      <c r="E1359" s="36"/>
      <c r="F1359" s="35">
        <f>F1477</f>
        <v>0</v>
      </c>
      <c r="G1359" s="32"/>
      <c r="H1359" s="35">
        <f t="shared" si="705"/>
        <v>0</v>
      </c>
      <c r="I1359" s="36"/>
      <c r="J1359" s="36"/>
      <c r="K1359" s="36"/>
      <c r="L1359" s="35">
        <f>L1477</f>
        <v>0</v>
      </c>
      <c r="M1359" s="32"/>
      <c r="N1359" s="31">
        <f t="shared" si="706"/>
        <v>0</v>
      </c>
      <c r="P1359" s="35">
        <f>P1477</f>
        <v>0</v>
      </c>
      <c r="T1359" s="35">
        <f>T1477</f>
        <v>0</v>
      </c>
      <c r="U1359" s="52">
        <f t="shared" si="704"/>
        <v>0</v>
      </c>
      <c r="Y1359" s="35">
        <f>Y1477</f>
        <v>0</v>
      </c>
      <c r="Z1359" s="52">
        <f>Y1359-T1359</f>
        <v>0</v>
      </c>
      <c r="AE1359" s="35">
        <f>AE1477</f>
        <v>0</v>
      </c>
      <c r="AF1359" s="71">
        <f>AE1359-Y1359</f>
        <v>0</v>
      </c>
      <c r="AH1359" s="36">
        <f>AH1477</f>
        <v>0</v>
      </c>
      <c r="AI1359" s="32"/>
      <c r="AL1359" s="35">
        <f>AL1477</f>
        <v>0</v>
      </c>
      <c r="AM1359" s="35">
        <f t="shared" si="707"/>
        <v>0</v>
      </c>
      <c r="AN1359" s="32"/>
      <c r="AO1359" s="35">
        <f>AO1477</f>
        <v>0</v>
      </c>
      <c r="AQ1359" s="35">
        <f>AQ1477</f>
        <v>0</v>
      </c>
      <c r="AS1359" s="35">
        <f>AS1477</f>
        <v>0</v>
      </c>
      <c r="AT1359" s="35"/>
      <c r="AU1359" s="35">
        <f>AU1477</f>
        <v>0</v>
      </c>
      <c r="AW1359" s="35">
        <f>AW1477</f>
        <v>0</v>
      </c>
      <c r="AY1359" s="35">
        <f>AY1477</f>
        <v>0</v>
      </c>
      <c r="BA1359" s="35">
        <f>BA1477</f>
        <v>0</v>
      </c>
      <c r="BC1359" s="35">
        <f>BC1477</f>
        <v>0</v>
      </c>
      <c r="BE1359" s="35">
        <f>BE1477</f>
        <v>0</v>
      </c>
    </row>
    <row r="1360" spans="1:57" x14ac:dyDescent="0.25">
      <c r="A1360" s="3"/>
      <c r="B1360" s="36">
        <f>B1358+B1359</f>
        <v>369450</v>
      </c>
      <c r="C1360" s="32"/>
      <c r="D1360" s="36"/>
      <c r="E1360" s="36"/>
      <c r="F1360" s="36">
        <f>F1358+F1359</f>
        <v>371450</v>
      </c>
      <c r="G1360" s="32"/>
      <c r="H1360" s="31">
        <f t="shared" si="705"/>
        <v>2000</v>
      </c>
      <c r="I1360" s="31"/>
      <c r="J1360" s="31"/>
      <c r="K1360" s="31"/>
      <c r="L1360" s="36">
        <f>L1358+L1359</f>
        <v>370150</v>
      </c>
      <c r="M1360" s="32"/>
      <c r="N1360" s="31">
        <f t="shared" si="706"/>
        <v>-1300</v>
      </c>
      <c r="P1360" s="36">
        <f>P1358+P1359</f>
        <v>357740.5</v>
      </c>
      <c r="T1360" s="36">
        <f>T1358+T1359</f>
        <v>451760</v>
      </c>
      <c r="U1360" s="3">
        <f t="shared" si="704"/>
        <v>94019.5</v>
      </c>
      <c r="Y1360" s="36">
        <f>Y1358+Y1359</f>
        <v>439060</v>
      </c>
      <c r="Z1360" s="3">
        <f>Y1360-T1360</f>
        <v>-12700</v>
      </c>
      <c r="AE1360" s="36">
        <f>AE1358+AE1359</f>
        <v>426150</v>
      </c>
      <c r="AF1360" s="33">
        <f>AE1360-Y1360</f>
        <v>-12910</v>
      </c>
      <c r="AH1360" s="36">
        <f>AH1358+AH1359</f>
        <v>320348.7</v>
      </c>
      <c r="AI1360" s="32"/>
      <c r="AL1360" s="36">
        <f>AL1358+AL1359</f>
        <v>391350</v>
      </c>
      <c r="AM1360" s="31">
        <f t="shared" si="707"/>
        <v>71001.299999999988</v>
      </c>
      <c r="AN1360" s="32"/>
      <c r="AO1360" s="36">
        <f>AO1358+AO1359</f>
        <v>1094580.1510000001</v>
      </c>
      <c r="AQ1360" s="36">
        <f>AQ1358+AQ1359</f>
        <v>1160649.30553</v>
      </c>
      <c r="AS1360" s="36">
        <f>AS1358+AS1359</f>
        <v>508923.26719589997</v>
      </c>
      <c r="AT1360" s="36"/>
      <c r="AU1360" s="36">
        <f>AU1358+AU1359</f>
        <v>525409.31683677703</v>
      </c>
      <c r="AW1360" s="36">
        <f>AW1358+AW1359</f>
        <v>547115.01054813038</v>
      </c>
      <c r="AY1360" s="36">
        <f>AY1358+AY1359</f>
        <v>559048.19078113674</v>
      </c>
      <c r="BA1360" s="36">
        <f>BA1358+BA1359</f>
        <v>576216.99791696155</v>
      </c>
      <c r="BC1360" s="36">
        <f>BC1358+BC1359</f>
        <v>598629.88233748067</v>
      </c>
      <c r="BE1360" s="36">
        <f>BE1358+BE1359</f>
        <v>606295.61701476551</v>
      </c>
    </row>
    <row r="1361" spans="1:57" x14ac:dyDescent="0.25">
      <c r="A1361" s="7" t="s">
        <v>932</v>
      </c>
      <c r="B1361" s="36"/>
      <c r="C1361" s="32"/>
      <c r="D1361" s="36"/>
      <c r="E1361" s="36"/>
      <c r="F1361" s="36"/>
      <c r="G1361" s="32"/>
      <c r="H1361" s="31">
        <f t="shared" si="705"/>
        <v>0</v>
      </c>
      <c r="I1361" s="31"/>
      <c r="J1361" s="31"/>
      <c r="K1361" s="31"/>
      <c r="L1361" s="36"/>
      <c r="M1361" s="32"/>
      <c r="N1361" s="31">
        <f t="shared" si="706"/>
        <v>0</v>
      </c>
      <c r="P1361" s="36"/>
      <c r="T1361" s="36"/>
      <c r="U1361" s="3"/>
      <c r="Y1361" s="36"/>
      <c r="Z1361" s="3"/>
      <c r="AE1361" s="36"/>
      <c r="AF1361" s="33"/>
      <c r="AH1361" s="36"/>
      <c r="AI1361" s="32"/>
      <c r="AL1361" s="36"/>
      <c r="AM1361" s="31">
        <f t="shared" si="707"/>
        <v>0</v>
      </c>
      <c r="AN1361" s="32"/>
      <c r="AO1361" s="36"/>
      <c r="AQ1361" s="36"/>
      <c r="AS1361" s="36"/>
      <c r="AT1361" s="36"/>
      <c r="AU1361" s="36"/>
      <c r="AW1361" s="36"/>
      <c r="AY1361" s="36"/>
      <c r="BA1361" s="36"/>
      <c r="BC1361" s="36"/>
      <c r="BE1361" s="36"/>
    </row>
    <row r="1362" spans="1:57" x14ac:dyDescent="0.25">
      <c r="A1362" s="7" t="s">
        <v>41</v>
      </c>
      <c r="B1362" s="35">
        <f>B1356-B1360</f>
        <v>-60799</v>
      </c>
      <c r="C1362" s="32"/>
      <c r="D1362" s="36"/>
      <c r="E1362" s="36"/>
      <c r="F1362" s="35">
        <f>F1356-F1360</f>
        <v>-61200</v>
      </c>
      <c r="G1362" s="32"/>
      <c r="H1362" s="35">
        <f t="shared" si="705"/>
        <v>-401</v>
      </c>
      <c r="I1362" s="36"/>
      <c r="J1362" s="36"/>
      <c r="K1362" s="36"/>
      <c r="L1362" s="35">
        <f>L1356-L1360</f>
        <v>-59400</v>
      </c>
      <c r="M1362" s="32"/>
      <c r="N1362" s="31">
        <f t="shared" si="706"/>
        <v>1800</v>
      </c>
      <c r="P1362" s="35">
        <f>P1356-P1360</f>
        <v>-38215.5</v>
      </c>
      <c r="T1362" s="35">
        <f>T1356-T1360</f>
        <v>-132035</v>
      </c>
      <c r="U1362" s="52">
        <f t="shared" si="704"/>
        <v>-93819.5</v>
      </c>
      <c r="Y1362" s="35">
        <f>Y1356-Y1360</f>
        <v>-126335</v>
      </c>
      <c r="Z1362" s="52">
        <f>Y1362-T1362</f>
        <v>5700</v>
      </c>
      <c r="AE1362" s="35">
        <f>AE1356-AE1360</f>
        <v>-96645</v>
      </c>
      <c r="AF1362" s="71">
        <f>AE1362-Y1362</f>
        <v>29690</v>
      </c>
      <c r="AH1362" s="36">
        <f>AH1356-AH1360</f>
        <v>1700.4500000000116</v>
      </c>
      <c r="AI1362" s="32"/>
      <c r="AL1362" s="35">
        <f>AL1356-AL1360</f>
        <v>-64750</v>
      </c>
      <c r="AM1362" s="35">
        <f t="shared" si="707"/>
        <v>-66450.450000000012</v>
      </c>
      <c r="AN1362" s="32"/>
      <c r="AO1362" s="35">
        <f>AO1356-AO1360</f>
        <v>266428.93049999978</v>
      </c>
      <c r="AQ1362" s="35">
        <f>AQ1356-AQ1360</f>
        <v>-761985.85084050009</v>
      </c>
      <c r="AS1362" s="35">
        <f>AS1356-AS1360</f>
        <v>-97525.340299146483</v>
      </c>
      <c r="AT1362" s="35"/>
      <c r="AU1362" s="35">
        <f>AU1356-AU1360</f>
        <v>-101942.76319486822</v>
      </c>
      <c r="AW1362" s="35">
        <f>AW1356-AW1360</f>
        <v>-112484.69684953702</v>
      </c>
      <c r="AY1362" s="35">
        <f>AY1356-AY1360</f>
        <v>-112897.64384932572</v>
      </c>
      <c r="BA1362" s="35">
        <f>BA1356-BA1360</f>
        <v>-118178.03173320764</v>
      </c>
      <c r="BC1362" s="35">
        <f>BC1356-BC1360</f>
        <v>-128322.21278638981</v>
      </c>
      <c r="BE1362" s="35">
        <f>BE1356-BE1360</f>
        <v>-123326.46394813381</v>
      </c>
    </row>
    <row r="1363" spans="1:57" x14ac:dyDescent="0.25">
      <c r="A1363" s="7" t="s">
        <v>42</v>
      </c>
      <c r="B1363" s="36">
        <f>B1352+B1356-B1360+B1361</f>
        <v>268152</v>
      </c>
      <c r="C1363" s="32"/>
      <c r="D1363" s="36"/>
      <c r="E1363" s="36"/>
      <c r="F1363" s="36">
        <f>F1352+F1356-F1360+F1361</f>
        <v>556144</v>
      </c>
      <c r="G1363" s="32"/>
      <c r="H1363" s="31">
        <f t="shared" si="705"/>
        <v>287992</v>
      </c>
      <c r="I1363" s="31"/>
      <c r="J1363" s="31"/>
      <c r="K1363" s="31"/>
      <c r="L1363" s="36">
        <f>L1352+L1356-L1360+L1361</f>
        <v>557944</v>
      </c>
      <c r="M1363" s="32"/>
      <c r="N1363" s="31">
        <f t="shared" si="706"/>
        <v>1800</v>
      </c>
      <c r="P1363" s="36">
        <f>P1352+P1356-P1360+P1361</f>
        <v>519728.5</v>
      </c>
      <c r="T1363" s="36">
        <f>T1352+T1356-T1360+T1361</f>
        <v>665341</v>
      </c>
      <c r="U1363" s="3">
        <f t="shared" si="704"/>
        <v>145612.5</v>
      </c>
      <c r="Y1363" s="36">
        <f>Y1352+Y1356-Y1360+Y1361</f>
        <v>671041</v>
      </c>
      <c r="Z1363" s="3">
        <f>Y1363-T1363</f>
        <v>5700</v>
      </c>
      <c r="AE1363" s="36">
        <f>AE1352+AE1356-AE1360+AE1361</f>
        <v>700731</v>
      </c>
      <c r="AF1363" s="33">
        <f>AE1363-Y1363</f>
        <v>29690</v>
      </c>
      <c r="AH1363" s="36">
        <f>AH1352+AH1356-AH1360+AH1361</f>
        <v>521428.95</v>
      </c>
      <c r="AI1363" s="32"/>
      <c r="AL1363" s="36">
        <f>AL1352+AL1356-AL1360+AL1361</f>
        <v>827147</v>
      </c>
      <c r="AM1363" s="31">
        <f t="shared" si="707"/>
        <v>305718.05</v>
      </c>
      <c r="AN1363" s="32"/>
      <c r="AO1363" s="36">
        <f>AO1352+AO1356-AO1360+AO1361</f>
        <v>787857.88049999974</v>
      </c>
      <c r="AQ1363" s="36">
        <f>AQ1352+AQ1356-AQ1360+AQ1361</f>
        <v>25872.029659499647</v>
      </c>
      <c r="AS1363" s="36">
        <f>AS1352+AS1356-AS1360+AS1361</f>
        <v>-71653.310639646836</v>
      </c>
      <c r="AT1363" s="36"/>
      <c r="AU1363" s="36">
        <f>AU1352+AU1356-AU1360+AU1361</f>
        <v>-173596.07383451506</v>
      </c>
      <c r="AW1363" s="36">
        <f>AW1352+AW1356-AW1360+AW1361</f>
        <v>-286080.77068405208</v>
      </c>
      <c r="AY1363" s="36">
        <f>AY1352+AY1356-AY1360+AY1361</f>
        <v>-398978.4145333778</v>
      </c>
      <c r="BA1363" s="36">
        <f>BA1352+BA1356-BA1360+BA1361</f>
        <v>-517156.44626658544</v>
      </c>
      <c r="BC1363" s="36">
        <f>BC1352+BC1356-BC1360+BC1361</f>
        <v>-645478.65905297524</v>
      </c>
      <c r="BE1363" s="36">
        <f>BE1352+BE1356-BE1360+BE1361</f>
        <v>-768805.12300110911</v>
      </c>
    </row>
    <row r="1364" spans="1:57" x14ac:dyDescent="0.25">
      <c r="A1364" s="3"/>
      <c r="B1364" s="36"/>
      <c r="C1364" s="32"/>
      <c r="D1364" s="36"/>
      <c r="E1364" s="36"/>
      <c r="F1364" s="36"/>
      <c r="G1364" s="32"/>
      <c r="H1364" s="31">
        <f t="shared" si="705"/>
        <v>0</v>
      </c>
      <c r="I1364" s="31"/>
      <c r="J1364" s="31"/>
      <c r="K1364" s="31"/>
      <c r="L1364" s="36"/>
      <c r="M1364" s="32"/>
      <c r="N1364" s="31"/>
      <c r="P1364" s="36"/>
      <c r="T1364" s="36"/>
      <c r="Y1364" s="36"/>
      <c r="AE1364" s="36"/>
      <c r="AF1364" s="33"/>
      <c r="AH1364" s="36"/>
      <c r="AI1364" s="32"/>
      <c r="AL1364" s="36"/>
      <c r="AM1364" s="36"/>
      <c r="AN1364" s="32"/>
      <c r="AO1364" s="36"/>
      <c r="AQ1364" s="36"/>
      <c r="AS1364" s="36"/>
      <c r="AT1364" s="36"/>
      <c r="AU1364" s="36"/>
      <c r="AW1364" s="36"/>
      <c r="AY1364" s="36"/>
      <c r="BA1364" s="36"/>
      <c r="BC1364" s="36"/>
      <c r="BE1364" s="36"/>
    </row>
    <row r="1365" spans="1:57" x14ac:dyDescent="0.25">
      <c r="A1365" s="28" t="s">
        <v>7</v>
      </c>
      <c r="B1365" s="36"/>
      <c r="C1365" s="32"/>
      <c r="D1365" s="36"/>
      <c r="E1365" s="36"/>
      <c r="F1365" s="36"/>
      <c r="G1365" s="32"/>
      <c r="H1365" s="31">
        <f t="shared" si="705"/>
        <v>0</v>
      </c>
      <c r="I1365" s="31"/>
      <c r="J1365" s="31"/>
      <c r="K1365" s="31"/>
      <c r="L1365" s="36"/>
      <c r="M1365" s="32"/>
      <c r="N1365" s="31"/>
      <c r="P1365" s="36"/>
      <c r="T1365" s="36"/>
      <c r="Y1365" s="36"/>
      <c r="AE1365" s="36"/>
      <c r="AF1365" s="33"/>
      <c r="AH1365" s="36"/>
      <c r="AI1365" s="32"/>
      <c r="AL1365" s="36"/>
      <c r="AM1365" s="36"/>
      <c r="AN1365" s="32"/>
      <c r="AO1365" s="36"/>
      <c r="AQ1365" s="36"/>
      <c r="AS1365" s="36"/>
      <c r="AT1365" s="36"/>
      <c r="AU1365" s="36"/>
      <c r="AW1365" s="36"/>
      <c r="AY1365" s="36"/>
      <c r="BA1365" s="36"/>
      <c r="BC1365" s="36"/>
      <c r="BE1365" s="36"/>
    </row>
    <row r="1366" spans="1:57" x14ac:dyDescent="0.25">
      <c r="A1366" s="7"/>
      <c r="B1366" s="36"/>
      <c r="C1366" s="32"/>
      <c r="D1366" s="36"/>
      <c r="E1366" s="36"/>
      <c r="F1366" s="36"/>
      <c r="G1366" s="32"/>
      <c r="H1366" s="31">
        <f t="shared" si="705"/>
        <v>0</v>
      </c>
      <c r="I1366" s="31"/>
      <c r="J1366" s="31"/>
      <c r="K1366" s="31"/>
      <c r="L1366" s="36"/>
      <c r="M1366" s="32"/>
      <c r="N1366" s="31"/>
      <c r="P1366" s="36"/>
      <c r="T1366" s="36"/>
      <c r="Y1366" s="36"/>
      <c r="AE1366" s="36"/>
      <c r="AF1366" s="33"/>
      <c r="AH1366" s="36"/>
      <c r="AI1366" s="32"/>
      <c r="AL1366" s="36"/>
      <c r="AM1366" s="36"/>
      <c r="AN1366" s="32"/>
      <c r="AO1366" s="36"/>
      <c r="AQ1366" s="36"/>
      <c r="AS1366" s="36"/>
      <c r="AT1366" s="36"/>
      <c r="AU1366" s="36"/>
      <c r="AW1366" s="36"/>
      <c r="AY1366" s="36"/>
      <c r="BA1366" s="36"/>
      <c r="BC1366" s="36"/>
      <c r="BE1366" s="36"/>
    </row>
    <row r="1367" spans="1:57" x14ac:dyDescent="0.25">
      <c r="A1367" s="7"/>
      <c r="B1367" s="36"/>
      <c r="C1367" s="32"/>
      <c r="D1367" s="36"/>
      <c r="E1367" s="36"/>
      <c r="F1367" s="36"/>
      <c r="G1367" s="32"/>
      <c r="H1367" s="31">
        <f t="shared" si="705"/>
        <v>0</v>
      </c>
      <c r="I1367" s="31"/>
      <c r="J1367" s="31"/>
      <c r="K1367" s="31"/>
      <c r="L1367" s="36"/>
      <c r="M1367" s="32"/>
      <c r="N1367" s="31"/>
      <c r="P1367" s="36"/>
      <c r="T1367" s="36"/>
      <c r="Y1367" s="36"/>
      <c r="AE1367" s="36"/>
      <c r="AF1367" s="33"/>
      <c r="AH1367" s="36"/>
      <c r="AI1367" s="32"/>
      <c r="AL1367" s="36"/>
      <c r="AM1367" s="36"/>
      <c r="AN1367" s="32"/>
      <c r="AO1367" s="36"/>
      <c r="AQ1367" s="36"/>
      <c r="AS1367" s="36"/>
      <c r="AT1367" s="36"/>
      <c r="AU1367" s="36"/>
      <c r="AW1367" s="36"/>
      <c r="AY1367" s="36"/>
      <c r="BA1367" s="36"/>
      <c r="BC1367" s="36"/>
      <c r="BE1367" s="36"/>
    </row>
    <row r="1368" spans="1:57" x14ac:dyDescent="0.25">
      <c r="A1368" s="7" t="s">
        <v>34</v>
      </c>
      <c r="B1368" s="36">
        <v>5970</v>
      </c>
      <c r="C1368" s="32"/>
      <c r="D1368" s="36"/>
      <c r="E1368" s="36"/>
      <c r="F1368" s="36">
        <v>0</v>
      </c>
      <c r="G1368" s="32"/>
      <c r="H1368" s="31">
        <f t="shared" si="705"/>
        <v>-5970</v>
      </c>
      <c r="I1368" s="31"/>
      <c r="J1368" s="31"/>
      <c r="K1368" s="31"/>
      <c r="L1368" s="36">
        <v>0</v>
      </c>
      <c r="M1368" s="32"/>
      <c r="N1368" s="31">
        <f>L1368-F1368</f>
        <v>0</v>
      </c>
      <c r="P1368" s="36">
        <v>0</v>
      </c>
      <c r="T1368" s="36">
        <v>0</v>
      </c>
      <c r="U1368" s="3">
        <f>T1368-P1368</f>
        <v>0</v>
      </c>
      <c r="Y1368" s="36">
        <v>0</v>
      </c>
      <c r="Z1368" s="3">
        <f>Y1368-T1368</f>
        <v>0</v>
      </c>
      <c r="AE1368" s="36">
        <v>0</v>
      </c>
      <c r="AF1368" s="33">
        <f t="shared" ref="AF1368:AF1373" si="708">AE1368-Y1368</f>
        <v>0</v>
      </c>
      <c r="AH1368" s="36">
        <f>P1373</f>
        <v>0</v>
      </c>
      <c r="AI1368" s="32"/>
      <c r="AL1368" s="36">
        <f>T1373</f>
        <v>0</v>
      </c>
      <c r="AM1368" s="36">
        <f>AF1373</f>
        <v>0</v>
      </c>
      <c r="AN1368" s="32"/>
      <c r="AO1368" s="36">
        <f>AH1373</f>
        <v>0</v>
      </c>
      <c r="AQ1368" s="36">
        <f>AO1373</f>
        <v>0</v>
      </c>
      <c r="AS1368" s="36">
        <f>AQ1373</f>
        <v>0</v>
      </c>
      <c r="AT1368" s="36"/>
      <c r="AU1368" s="36">
        <f>AS1373</f>
        <v>0</v>
      </c>
      <c r="AW1368" s="36">
        <f>AU1373</f>
        <v>0</v>
      </c>
      <c r="AY1368" s="36">
        <f>AW1373</f>
        <v>0</v>
      </c>
      <c r="BA1368" s="36">
        <f>AY1373</f>
        <v>0</v>
      </c>
      <c r="BC1368" s="36">
        <f>BA1373</f>
        <v>0</v>
      </c>
      <c r="BE1368" s="36">
        <f>BC1373</f>
        <v>0</v>
      </c>
    </row>
    <row r="1369" spans="1:57" x14ac:dyDescent="0.25">
      <c r="A1369" s="3"/>
      <c r="B1369" s="36"/>
      <c r="C1369" s="32"/>
      <c r="D1369" s="36"/>
      <c r="E1369" s="36"/>
      <c r="F1369" s="36"/>
      <c r="G1369" s="32"/>
      <c r="H1369" s="31">
        <f t="shared" si="705"/>
        <v>0</v>
      </c>
      <c r="I1369" s="31"/>
      <c r="J1369" s="31"/>
      <c r="K1369" s="31"/>
      <c r="L1369" s="36"/>
      <c r="M1369" s="32"/>
      <c r="N1369" s="31"/>
      <c r="P1369" s="36"/>
      <c r="T1369" s="36"/>
      <c r="Y1369" s="36"/>
      <c r="AE1369" s="36"/>
      <c r="AF1369" s="33">
        <f t="shared" si="708"/>
        <v>0</v>
      </c>
      <c r="AH1369" s="36"/>
      <c r="AI1369" s="32"/>
      <c r="AL1369" s="36"/>
      <c r="AM1369" s="36"/>
      <c r="AN1369" s="32"/>
      <c r="AO1369" s="36"/>
      <c r="AQ1369" s="36"/>
      <c r="AS1369" s="36"/>
      <c r="AT1369" s="36"/>
      <c r="AU1369" s="36"/>
      <c r="AW1369" s="36"/>
      <c r="AY1369" s="36"/>
      <c r="BA1369" s="36"/>
      <c r="BC1369" s="36"/>
      <c r="BE1369" s="36"/>
    </row>
    <row r="1370" spans="1:57" x14ac:dyDescent="0.25">
      <c r="A1370" s="7" t="s">
        <v>43</v>
      </c>
      <c r="B1370" s="36">
        <v>0</v>
      </c>
      <c r="C1370" s="32"/>
      <c r="D1370" s="36"/>
      <c r="E1370" s="36"/>
      <c r="F1370" s="36">
        <v>0</v>
      </c>
      <c r="G1370" s="32"/>
      <c r="H1370" s="31">
        <f t="shared" si="705"/>
        <v>0</v>
      </c>
      <c r="I1370" s="31"/>
      <c r="J1370" s="31"/>
      <c r="K1370" s="31"/>
      <c r="L1370" s="36">
        <v>0</v>
      </c>
      <c r="M1370" s="32"/>
      <c r="N1370" s="31">
        <f>L1370-H1370</f>
        <v>0</v>
      </c>
      <c r="P1370" s="36">
        <v>0</v>
      </c>
      <c r="T1370" s="36">
        <v>0</v>
      </c>
      <c r="Y1370" s="36">
        <v>0</v>
      </c>
      <c r="AE1370" s="36">
        <v>0</v>
      </c>
      <c r="AF1370" s="33">
        <f t="shared" si="708"/>
        <v>0</v>
      </c>
      <c r="AH1370" s="36">
        <v>0</v>
      </c>
      <c r="AI1370" s="32"/>
      <c r="AL1370" s="36">
        <v>0</v>
      </c>
      <c r="AM1370" s="36">
        <v>0</v>
      </c>
      <c r="AN1370" s="32"/>
      <c r="AO1370" s="36">
        <v>0</v>
      </c>
      <c r="AQ1370" s="36">
        <v>0</v>
      </c>
      <c r="AS1370" s="36">
        <v>0</v>
      </c>
      <c r="AT1370" s="36"/>
      <c r="AU1370" s="36">
        <v>0</v>
      </c>
      <c r="AW1370" s="36">
        <v>0</v>
      </c>
      <c r="AY1370" s="36">
        <v>0</v>
      </c>
      <c r="BA1370" s="36">
        <v>0</v>
      </c>
      <c r="BC1370" s="36">
        <v>0</v>
      </c>
      <c r="BE1370" s="36">
        <v>0</v>
      </c>
    </row>
    <row r="1371" spans="1:57" x14ac:dyDescent="0.25">
      <c r="A1371" s="7" t="s">
        <v>44</v>
      </c>
      <c r="B1371" s="35"/>
      <c r="C1371" s="32"/>
      <c r="D1371" s="36"/>
      <c r="E1371" s="36"/>
      <c r="F1371" s="35"/>
      <c r="G1371" s="32"/>
      <c r="H1371" s="35">
        <f t="shared" si="705"/>
        <v>0</v>
      </c>
      <c r="I1371" s="36"/>
      <c r="J1371" s="36"/>
      <c r="K1371" s="36"/>
      <c r="L1371" s="35"/>
      <c r="M1371" s="32"/>
      <c r="N1371" s="35">
        <f>L1371-H1371</f>
        <v>0</v>
      </c>
      <c r="P1371" s="35"/>
      <c r="T1371" s="35"/>
      <c r="U1371" s="61"/>
      <c r="Y1371" s="35"/>
      <c r="Z1371" s="61"/>
      <c r="AE1371" s="35"/>
      <c r="AF1371" s="71">
        <f t="shared" si="708"/>
        <v>0</v>
      </c>
      <c r="AH1371" s="36"/>
      <c r="AI1371" s="32"/>
      <c r="AL1371" s="35"/>
      <c r="AM1371" s="35"/>
      <c r="AN1371" s="32"/>
      <c r="AO1371" s="35"/>
      <c r="AQ1371" s="35"/>
      <c r="AS1371" s="35"/>
      <c r="AT1371" s="35"/>
      <c r="AU1371" s="35"/>
      <c r="AW1371" s="35"/>
      <c r="AY1371" s="35"/>
      <c r="BA1371" s="35"/>
      <c r="BC1371" s="35"/>
      <c r="BE1371" s="35"/>
    </row>
    <row r="1372" spans="1:57" x14ac:dyDescent="0.25">
      <c r="A1372" s="7" t="s">
        <v>41</v>
      </c>
      <c r="B1372" s="36">
        <f>B1370+B1371</f>
        <v>0</v>
      </c>
      <c r="C1372" s="32"/>
      <c r="D1372" s="36"/>
      <c r="E1372" s="36"/>
      <c r="F1372" s="36">
        <f>F1370+F1371</f>
        <v>0</v>
      </c>
      <c r="G1372" s="32"/>
      <c r="H1372" s="31">
        <f t="shared" si="705"/>
        <v>0</v>
      </c>
      <c r="I1372" s="31"/>
      <c r="J1372" s="31"/>
      <c r="K1372" s="31"/>
      <c r="L1372" s="36">
        <f>L1370+L1371</f>
        <v>0</v>
      </c>
      <c r="M1372" s="32"/>
      <c r="N1372" s="31">
        <f>L1372-H1372</f>
        <v>0</v>
      </c>
      <c r="P1372" s="36">
        <f>P1370+P1371</f>
        <v>0</v>
      </c>
      <c r="T1372" s="36">
        <f>T1370+T1371</f>
        <v>0</v>
      </c>
      <c r="Y1372" s="36">
        <f>Y1370+Y1371</f>
        <v>0</v>
      </c>
      <c r="AE1372" s="36">
        <f>AE1370+AE1371</f>
        <v>0</v>
      </c>
      <c r="AF1372" s="33">
        <f t="shared" si="708"/>
        <v>0</v>
      </c>
      <c r="AH1372" s="36">
        <f>AH1370+AH1371</f>
        <v>0</v>
      </c>
      <c r="AI1372" s="32"/>
      <c r="AL1372" s="36">
        <f>AL1370+AL1371</f>
        <v>0</v>
      </c>
      <c r="AM1372" s="36">
        <f>AM1370+AM1371</f>
        <v>0</v>
      </c>
      <c r="AN1372" s="32"/>
      <c r="AO1372" s="36">
        <f>AO1370+AO1371</f>
        <v>0</v>
      </c>
      <c r="AQ1372" s="36">
        <f>AQ1370+AQ1371</f>
        <v>0</v>
      </c>
      <c r="AS1372" s="36">
        <f>AS1370+AS1371</f>
        <v>0</v>
      </c>
      <c r="AT1372" s="36"/>
      <c r="AU1372" s="36">
        <f>AU1370+AU1371</f>
        <v>0</v>
      </c>
      <c r="AW1372" s="36">
        <f>AW1370+AW1371</f>
        <v>0</v>
      </c>
      <c r="AY1372" s="36">
        <f>AY1370+AY1371</f>
        <v>0</v>
      </c>
      <c r="BA1372" s="36">
        <f>BA1370+BA1371</f>
        <v>0</v>
      </c>
      <c r="BC1372" s="36">
        <f>BC1370+BC1371</f>
        <v>0</v>
      </c>
      <c r="BE1372" s="36">
        <f>BE1370+BE1371</f>
        <v>0</v>
      </c>
    </row>
    <row r="1373" spans="1:57" x14ac:dyDescent="0.25">
      <c r="A1373" s="7" t="s">
        <v>42</v>
      </c>
      <c r="B1373" s="36">
        <f>B1368+B1372</f>
        <v>5970</v>
      </c>
      <c r="C1373" s="32"/>
      <c r="D1373" s="36"/>
      <c r="E1373" s="36"/>
      <c r="F1373" s="36">
        <f>F1368+F1372</f>
        <v>0</v>
      </c>
      <c r="G1373" s="32"/>
      <c r="H1373" s="31">
        <f t="shared" si="705"/>
        <v>-5970</v>
      </c>
      <c r="I1373" s="31"/>
      <c r="J1373" s="31"/>
      <c r="K1373" s="31"/>
      <c r="L1373" s="36">
        <f>L1368+L1372</f>
        <v>0</v>
      </c>
      <c r="M1373" s="32"/>
      <c r="N1373" s="31">
        <f>L1373-F1373</f>
        <v>0</v>
      </c>
      <c r="P1373" s="36">
        <f>P1368+P1372</f>
        <v>0</v>
      </c>
      <c r="T1373" s="36">
        <f>T1368+T1372</f>
        <v>0</v>
      </c>
      <c r="U1373" s="3">
        <f>T1373-P1373</f>
        <v>0</v>
      </c>
      <c r="Y1373" s="36">
        <f>Y1368+Y1372</f>
        <v>0</v>
      </c>
      <c r="Z1373" s="3">
        <f>Y1373-T1373</f>
        <v>0</v>
      </c>
      <c r="AE1373" s="36">
        <f>AE1368+AE1372</f>
        <v>0</v>
      </c>
      <c r="AF1373" s="33">
        <f t="shared" si="708"/>
        <v>0</v>
      </c>
      <c r="AH1373" s="36">
        <f>AH1368+AH1372</f>
        <v>0</v>
      </c>
      <c r="AI1373" s="32"/>
      <c r="AL1373" s="36">
        <f>AL1368+AL1372</f>
        <v>0</v>
      </c>
      <c r="AM1373" s="36">
        <f>AM1368+AM1372</f>
        <v>0</v>
      </c>
      <c r="AN1373" s="32"/>
      <c r="AO1373" s="36">
        <f>AO1368+AO1372</f>
        <v>0</v>
      </c>
      <c r="AQ1373" s="36">
        <f>AQ1368+AQ1372</f>
        <v>0</v>
      </c>
      <c r="AS1373" s="36">
        <f>AS1368+AS1372</f>
        <v>0</v>
      </c>
      <c r="AT1373" s="36"/>
      <c r="AU1373" s="36">
        <f>AU1368+AU1372</f>
        <v>0</v>
      </c>
      <c r="AW1373" s="36">
        <f>AW1368+AW1372</f>
        <v>0</v>
      </c>
      <c r="AY1373" s="36">
        <f>AY1368+AY1372</f>
        <v>0</v>
      </c>
      <c r="BA1373" s="36">
        <f>BA1368+BA1372</f>
        <v>0</v>
      </c>
      <c r="BC1373" s="36">
        <f>BC1368+BC1372</f>
        <v>0</v>
      </c>
      <c r="BE1373" s="36">
        <f>BE1368+BE1372</f>
        <v>0</v>
      </c>
    </row>
    <row r="1374" spans="1:57" x14ac:dyDescent="0.25">
      <c r="A1374" s="4"/>
    </row>
    <row r="1375" spans="1:57" x14ac:dyDescent="0.25">
      <c r="A1375" s="1" t="s">
        <v>933</v>
      </c>
      <c r="B1375" s="2"/>
      <c r="D1375" s="3"/>
      <c r="E1375" s="3"/>
      <c r="F1375" s="3"/>
      <c r="H1375" s="3"/>
      <c r="I1375" s="3"/>
      <c r="J1375" s="3"/>
      <c r="K1375" s="3"/>
      <c r="L1375" s="3"/>
      <c r="N1375" s="3"/>
      <c r="P1375" s="3"/>
    </row>
    <row r="1376" spans="1:57" x14ac:dyDescent="0.25">
      <c r="A1376" s="7" t="s">
        <v>46</v>
      </c>
    </row>
    <row r="1377" spans="1:57" x14ac:dyDescent="0.25">
      <c r="A1377" s="7" t="s">
        <v>934</v>
      </c>
    </row>
    <row r="1378" spans="1:57" x14ac:dyDescent="0.25">
      <c r="A1378" s="3" t="s">
        <v>886</v>
      </c>
      <c r="B1378" s="3">
        <v>213300</v>
      </c>
      <c r="D1378" s="3">
        <v>214937</v>
      </c>
      <c r="E1378" s="3">
        <f>F1378-D1378</f>
        <v>-937</v>
      </c>
      <c r="F1378" s="5">
        <v>214000</v>
      </c>
      <c r="H1378" s="5">
        <f>F1378-B1378</f>
        <v>700</v>
      </c>
      <c r="J1378" s="5">
        <v>217793</v>
      </c>
      <c r="K1378" s="4">
        <f>L1378-J1378</f>
        <v>-3793</v>
      </c>
      <c r="L1378" s="4">
        <v>214000</v>
      </c>
      <c r="N1378" s="4">
        <f>L1378-F1378</f>
        <v>0</v>
      </c>
      <c r="P1378" s="3">
        <f>L1378*1.036+21</f>
        <v>221725</v>
      </c>
      <c r="Q1378" s="3"/>
      <c r="R1378" s="3">
        <v>220287</v>
      </c>
      <c r="S1378" s="3">
        <f>T1378-R1378</f>
        <v>1438</v>
      </c>
      <c r="T1378" s="3">
        <v>221725</v>
      </c>
      <c r="U1378" s="3">
        <f>T1378-P1378</f>
        <v>0</v>
      </c>
      <c r="V1378" s="3">
        <v>220349</v>
      </c>
      <c r="W1378" s="3">
        <f>Y1378-V1378</f>
        <v>1376</v>
      </c>
      <c r="X1378" s="3"/>
      <c r="Y1378" s="3">
        <v>221725</v>
      </c>
      <c r="Z1378" s="3">
        <f>Y1378-T1378</f>
        <v>0</v>
      </c>
      <c r="AA1378" s="3"/>
      <c r="AB1378" s="3"/>
      <c r="AC1378" s="3">
        <v>220083</v>
      </c>
      <c r="AD1378" s="3">
        <f>AE1378-AC1378</f>
        <v>1642</v>
      </c>
      <c r="AE1378" s="3">
        <v>221725</v>
      </c>
      <c r="AF1378" s="3">
        <f>AE1378-Y1378</f>
        <v>0</v>
      </c>
      <c r="AG1378" s="4"/>
      <c r="AH1378" s="4">
        <f>AE1378*1.034-14</f>
        <v>229249.65</v>
      </c>
      <c r="AJ1378" s="3">
        <v>233876</v>
      </c>
      <c r="AK1378" s="3">
        <f>AL1378-AJ1378</f>
        <v>-76</v>
      </c>
      <c r="AL1378" s="3">
        <v>233800</v>
      </c>
      <c r="AM1378" s="3">
        <f>AL1378-AH1378</f>
        <v>4550.3500000000058</v>
      </c>
      <c r="AO1378" s="3">
        <f>AH1378*1.16</f>
        <v>265929.59399999998</v>
      </c>
      <c r="AP1378" s="3"/>
      <c r="AQ1378" s="3">
        <f>AO1378*1.133</f>
        <v>301298.230002</v>
      </c>
      <c r="AR1378" s="3">
        <f>AP1378*1.033</f>
        <v>0</v>
      </c>
      <c r="AS1378" s="3">
        <f>AQ1378*1.033</f>
        <v>311241.07159206597</v>
      </c>
      <c r="AT1378" s="3"/>
      <c r="AU1378" s="3">
        <f>AS1378*1.033</f>
        <v>321512.02695460414</v>
      </c>
      <c r="AV1378" s="3"/>
      <c r="AW1378" s="3">
        <f>AU1378*1.033</f>
        <v>332121.92384410603</v>
      </c>
      <c r="AX1378" s="3">
        <f>AV1378*1.033</f>
        <v>0</v>
      </c>
      <c r="AY1378" s="3">
        <f>AW1378*1.033</f>
        <v>343081.94733096153</v>
      </c>
      <c r="AZ1378" s="3">
        <f>AX1378*1.033</f>
        <v>0</v>
      </c>
      <c r="BA1378" s="3">
        <f>AY1378*1.033</f>
        <v>354403.65159288322</v>
      </c>
      <c r="BB1378" s="3"/>
      <c r="BC1378" s="3">
        <f>BA1378*1.033</f>
        <v>366098.97209544835</v>
      </c>
      <c r="BD1378" s="3">
        <f>BB1378*1.033</f>
        <v>0</v>
      </c>
      <c r="BE1378" s="3">
        <f>BC1378*1.033</f>
        <v>378180.23817459814</v>
      </c>
    </row>
    <row r="1379" spans="1:57" x14ac:dyDescent="0.25">
      <c r="A1379" s="3" t="s">
        <v>935</v>
      </c>
      <c r="B1379" s="3">
        <v>21800</v>
      </c>
      <c r="D1379" s="3">
        <v>22787</v>
      </c>
      <c r="E1379" s="3">
        <f>F1379-D1379</f>
        <v>-87</v>
      </c>
      <c r="F1379" s="5">
        <v>22700</v>
      </c>
      <c r="H1379" s="5">
        <f>F1379-B1379</f>
        <v>900</v>
      </c>
      <c r="J1379" s="5">
        <v>22787</v>
      </c>
      <c r="K1379" s="4">
        <f>L1379-J1379</f>
        <v>-87</v>
      </c>
      <c r="L1379" s="4">
        <v>22700</v>
      </c>
      <c r="N1379" s="4">
        <f>L1379-F1379</f>
        <v>0</v>
      </c>
      <c r="P1379" s="3">
        <v>23300</v>
      </c>
      <c r="Q1379" s="3"/>
      <c r="R1379" s="3">
        <v>22912</v>
      </c>
      <c r="S1379" s="3">
        <f>T1379-R1379</f>
        <v>88</v>
      </c>
      <c r="T1379" s="3">
        <v>23000</v>
      </c>
      <c r="U1379" s="3">
        <f>T1379-P1379</f>
        <v>-300</v>
      </c>
      <c r="V1379" s="3">
        <v>22913</v>
      </c>
      <c r="W1379" s="3">
        <f>Y1379-V1379</f>
        <v>87</v>
      </c>
      <c r="X1379" s="3"/>
      <c r="Y1379" s="3">
        <v>23000</v>
      </c>
      <c r="Z1379" s="3">
        <f>Y1379-T1379</f>
        <v>0</v>
      </c>
      <c r="AA1379" s="3"/>
      <c r="AB1379" s="3"/>
      <c r="AC1379" s="3">
        <v>22913</v>
      </c>
      <c r="AD1379" s="3">
        <f>AE1379-AC1379</f>
        <v>87</v>
      </c>
      <c r="AE1379" s="3">
        <v>23000</v>
      </c>
      <c r="AF1379" s="3">
        <f>AE1379-Y1379</f>
        <v>0</v>
      </c>
      <c r="AG1379" s="4"/>
      <c r="AH1379" s="4">
        <v>23000</v>
      </c>
      <c r="AJ1379" s="3">
        <v>23003</v>
      </c>
      <c r="AK1379" s="3">
        <f>AL1379-AJ1379</f>
        <v>-3</v>
      </c>
      <c r="AL1379" s="3">
        <v>23000</v>
      </c>
      <c r="AM1379" s="3">
        <f>AL1379-AH1379</f>
        <v>0</v>
      </c>
      <c r="AO1379" s="3">
        <f>AH1379+100</f>
        <v>23100</v>
      </c>
      <c r="AP1379" s="3"/>
      <c r="AQ1379" s="3">
        <f>AO1379+100</f>
        <v>23200</v>
      </c>
      <c r="AR1379" s="3"/>
      <c r="AS1379" s="3">
        <f>AQ1379+100</f>
        <v>23300</v>
      </c>
      <c r="AT1379" s="3"/>
      <c r="AU1379" s="3">
        <f>AS1379+100</f>
        <v>23400</v>
      </c>
      <c r="AV1379" s="42"/>
      <c r="AW1379" s="3">
        <f>AU1379+100</f>
        <v>23500</v>
      </c>
      <c r="AY1379" s="3">
        <f>AW1379+100</f>
        <v>23600</v>
      </c>
      <c r="BA1379" s="3">
        <f>AY1379+100</f>
        <v>23700</v>
      </c>
      <c r="BC1379" s="3">
        <f>BA1379+100</f>
        <v>23800</v>
      </c>
      <c r="BE1379" s="3">
        <f>BC1379+100</f>
        <v>23900</v>
      </c>
    </row>
    <row r="1380" spans="1:57" x14ac:dyDescent="0.25">
      <c r="A1380" s="3" t="s">
        <v>55</v>
      </c>
      <c r="B1380" s="3">
        <v>8900</v>
      </c>
      <c r="D1380" s="3"/>
      <c r="E1380" s="3">
        <f>F1380-D1380</f>
        <v>8900</v>
      </c>
      <c r="F1380" s="5">
        <v>8900</v>
      </c>
      <c r="H1380" s="5">
        <f>F1380-B1380</f>
        <v>0</v>
      </c>
      <c r="K1380" s="4">
        <f>L1380-J1380</f>
        <v>8900</v>
      </c>
      <c r="L1380" s="4">
        <v>8900</v>
      </c>
      <c r="N1380" s="4">
        <f>L1380-F1380</f>
        <v>0</v>
      </c>
      <c r="P1380" s="3">
        <f>B1380*1.02+22</f>
        <v>9100</v>
      </c>
      <c r="Q1380" s="3"/>
      <c r="R1380" s="3"/>
      <c r="S1380" s="3">
        <f>T1380-R1380</f>
        <v>9100</v>
      </c>
      <c r="T1380" s="3">
        <v>9100</v>
      </c>
      <c r="U1380" s="3">
        <f>T1380-P1380</f>
        <v>0</v>
      </c>
      <c r="V1380" s="3"/>
      <c r="W1380" s="3">
        <f>Y1380-V1380</f>
        <v>9100</v>
      </c>
      <c r="X1380" s="3"/>
      <c r="Y1380" s="3">
        <v>9100</v>
      </c>
      <c r="Z1380" s="3">
        <f>Y1380-T1380</f>
        <v>0</v>
      </c>
      <c r="AA1380" s="3"/>
      <c r="AB1380" s="3"/>
      <c r="AC1380" s="3">
        <v>8978</v>
      </c>
      <c r="AD1380" s="3">
        <f>AE1380-AC1380</f>
        <v>2</v>
      </c>
      <c r="AE1380" s="3">
        <v>8980</v>
      </c>
      <c r="AF1380" s="3">
        <f>AE1380-Y1380</f>
        <v>-120</v>
      </c>
      <c r="AG1380" s="4"/>
      <c r="AH1380" s="4">
        <f>AE1380*1.025-5</f>
        <v>9199.5</v>
      </c>
      <c r="AJ1380" s="3"/>
      <c r="AK1380" s="3">
        <f>AL1380-AJ1380</f>
        <v>9200</v>
      </c>
      <c r="AL1380" s="3">
        <v>9200</v>
      </c>
      <c r="AM1380" s="3">
        <f>AL1380-AH1380</f>
        <v>0.5</v>
      </c>
      <c r="AO1380" s="3">
        <f>AH1380*1.025</f>
        <v>9429.4874999999993</v>
      </c>
      <c r="AP1380" s="3"/>
      <c r="AQ1380" s="3">
        <f>AO1380*1.025</f>
        <v>9665.2246874999983</v>
      </c>
      <c r="AR1380" s="3"/>
      <c r="AS1380" s="3">
        <f>AQ1380*1.025</f>
        <v>9906.8553046874968</v>
      </c>
      <c r="AT1380" s="3"/>
      <c r="AU1380" s="3">
        <f>AS1380*1.025</f>
        <v>10154.526687304684</v>
      </c>
      <c r="AV1380" s="42"/>
      <c r="AW1380" s="3">
        <f>AU1380*1.025</f>
        <v>10408.389854487301</v>
      </c>
      <c r="AY1380" s="3">
        <f>AW1380*1.025</f>
        <v>10668.599600849482</v>
      </c>
      <c r="BA1380" s="3">
        <f>AY1380*1.025</f>
        <v>10935.314590870717</v>
      </c>
      <c r="BC1380" s="3">
        <f>BA1380*1.025</f>
        <v>11208.697455642485</v>
      </c>
      <c r="BE1380" s="3">
        <f>BC1380*1.025</f>
        <v>11488.914892033546</v>
      </c>
    </row>
    <row r="1381" spans="1:57" x14ac:dyDescent="0.25">
      <c r="A1381" s="3" t="s">
        <v>936</v>
      </c>
      <c r="B1381" s="3">
        <v>26500</v>
      </c>
      <c r="D1381" s="3"/>
      <c r="E1381" s="3">
        <f>F1381-D1381</f>
        <v>26500</v>
      </c>
      <c r="F1381" s="5">
        <v>26500</v>
      </c>
      <c r="H1381" s="5">
        <f>F1381-B1381</f>
        <v>0</v>
      </c>
      <c r="J1381" s="5">
        <v>156</v>
      </c>
      <c r="K1381" s="4">
        <f>L1381-J1381</f>
        <v>26344</v>
      </c>
      <c r="L1381" s="4">
        <v>26500</v>
      </c>
      <c r="N1381" s="4">
        <f>L1381-F1381</f>
        <v>0</v>
      </c>
      <c r="P1381" s="3">
        <v>27000</v>
      </c>
      <c r="Q1381" s="3"/>
      <c r="R1381" s="3">
        <v>83</v>
      </c>
      <c r="S1381" s="3">
        <f>T1381-R1381</f>
        <v>26917</v>
      </c>
      <c r="T1381" s="3">
        <v>27000</v>
      </c>
      <c r="U1381" s="3">
        <f>T1381-P1381</f>
        <v>0</v>
      </c>
      <c r="V1381" s="3">
        <v>142</v>
      </c>
      <c r="W1381" s="3">
        <f>Y1381-V1381</f>
        <v>19858</v>
      </c>
      <c r="X1381" s="3"/>
      <c r="Y1381" s="3">
        <v>20000</v>
      </c>
      <c r="Z1381" s="3">
        <f>Y1381-T1381</f>
        <v>-7000</v>
      </c>
      <c r="AA1381" s="3"/>
      <c r="AB1381" s="3"/>
      <c r="AC1381" s="3">
        <v>258</v>
      </c>
      <c r="AD1381" s="3">
        <f>AE1381-AC1381</f>
        <v>19742</v>
      </c>
      <c r="AE1381" s="3">
        <v>20000</v>
      </c>
      <c r="AF1381" s="3">
        <f>AE1381-Y1381</f>
        <v>0</v>
      </c>
      <c r="AG1381" s="4"/>
      <c r="AH1381" s="4">
        <f>AE1381*1.025</f>
        <v>20500</v>
      </c>
      <c r="AJ1381" s="3"/>
      <c r="AK1381" s="3">
        <f>AL1381-AJ1381</f>
        <v>20500</v>
      </c>
      <c r="AL1381" s="3">
        <v>20500</v>
      </c>
      <c r="AM1381" s="3">
        <f>AL1381-AH1381</f>
        <v>0</v>
      </c>
      <c r="AO1381" s="3">
        <v>21000</v>
      </c>
      <c r="AP1381" s="3"/>
      <c r="AQ1381" s="3">
        <f>AO1381+500</f>
        <v>21500</v>
      </c>
      <c r="AR1381" s="3"/>
      <c r="AS1381" s="3">
        <f>AQ1381</f>
        <v>21500</v>
      </c>
      <c r="AT1381" s="3"/>
      <c r="AU1381" s="3">
        <f>AS1381</f>
        <v>21500</v>
      </c>
      <c r="AV1381" s="42"/>
      <c r="AW1381" s="3">
        <f>AU1381</f>
        <v>21500</v>
      </c>
      <c r="AY1381" s="3">
        <f>AW1381</f>
        <v>21500</v>
      </c>
      <c r="BA1381" s="3">
        <f>AY1381</f>
        <v>21500</v>
      </c>
      <c r="BC1381" s="3">
        <f>BA1381</f>
        <v>21500</v>
      </c>
      <c r="BE1381" s="3">
        <f>BC1381</f>
        <v>21500</v>
      </c>
    </row>
    <row r="1382" spans="1:57" x14ac:dyDescent="0.25">
      <c r="A1382" s="3" t="s">
        <v>937</v>
      </c>
      <c r="B1382" s="3">
        <v>200</v>
      </c>
      <c r="D1382" s="3">
        <v>70</v>
      </c>
      <c r="E1382" s="3">
        <f>F1382-D1382</f>
        <v>130</v>
      </c>
      <c r="F1382" s="5">
        <v>200</v>
      </c>
      <c r="H1382" s="5">
        <f>F1382-B1382</f>
        <v>0</v>
      </c>
      <c r="K1382" s="4">
        <f>L1382-J1382</f>
        <v>200</v>
      </c>
      <c r="L1382" s="4">
        <v>200</v>
      </c>
      <c r="N1382" s="4">
        <f>L1382-F1382</f>
        <v>0</v>
      </c>
      <c r="P1382" s="3">
        <v>200</v>
      </c>
      <c r="Q1382" s="3"/>
      <c r="R1382" s="3"/>
      <c r="S1382" s="3">
        <f>T1382-R1382</f>
        <v>200</v>
      </c>
      <c r="T1382" s="3">
        <v>200</v>
      </c>
      <c r="U1382" s="3">
        <f>T1382-P1382</f>
        <v>0</v>
      </c>
      <c r="V1382" s="3"/>
      <c r="W1382" s="3">
        <f>Y1382-V1382</f>
        <v>200</v>
      </c>
      <c r="X1382" s="3"/>
      <c r="Y1382" s="3">
        <v>200</v>
      </c>
      <c r="Z1382" s="3">
        <f>Y1382-T1382</f>
        <v>0</v>
      </c>
      <c r="AA1382" s="3"/>
      <c r="AB1382" s="3"/>
      <c r="AC1382" s="3"/>
      <c r="AD1382" s="3">
        <f>AE1382-AC1382</f>
        <v>0</v>
      </c>
      <c r="AE1382" s="3"/>
      <c r="AF1382" s="3">
        <f>AE1382-Y1382</f>
        <v>-200</v>
      </c>
      <c r="AG1382" s="4"/>
      <c r="AH1382" s="4">
        <v>200</v>
      </c>
      <c r="AJ1382" s="3"/>
      <c r="AK1382" s="3">
        <f>AL1382-AJ1382</f>
        <v>200</v>
      </c>
      <c r="AL1382" s="3">
        <v>200</v>
      </c>
      <c r="AM1382" s="3">
        <f>AL1382-AH1382</f>
        <v>0</v>
      </c>
      <c r="AO1382" s="3">
        <v>200</v>
      </c>
      <c r="AP1382" s="3"/>
      <c r="AQ1382" s="3">
        <v>200</v>
      </c>
      <c r="AR1382" s="3"/>
      <c r="AS1382" s="3">
        <v>200</v>
      </c>
      <c r="AT1382" s="3"/>
      <c r="AU1382" s="3">
        <v>200</v>
      </c>
      <c r="AV1382" s="42"/>
      <c r="AW1382" s="3">
        <v>200</v>
      </c>
      <c r="AY1382" s="3">
        <v>200</v>
      </c>
      <c r="BA1382" s="3">
        <v>200</v>
      </c>
      <c r="BC1382" s="3">
        <v>200</v>
      </c>
      <c r="BE1382" s="3">
        <v>200</v>
      </c>
    </row>
    <row r="1383" spans="1:57" x14ac:dyDescent="0.25">
      <c r="A1383" s="3"/>
      <c r="B1383" s="48">
        <f>SUM(B1378:B1382)+1</f>
        <v>270701</v>
      </c>
      <c r="C1383" s="32"/>
      <c r="D1383" s="48">
        <f>SUM(D1378:D1382)+1</f>
        <v>237795</v>
      </c>
      <c r="E1383" s="48">
        <f>SUM(E1378:E1382)+1</f>
        <v>34507</v>
      </c>
      <c r="F1383" s="48">
        <f>SUM(F1378:F1382)</f>
        <v>272300</v>
      </c>
      <c r="G1383" s="32"/>
      <c r="H1383" s="48">
        <f>SUM(H1378:H1382)</f>
        <v>1600</v>
      </c>
      <c r="I1383" s="36"/>
      <c r="J1383" s="48">
        <f>SUM(J1378:J1382)</f>
        <v>240736</v>
      </c>
      <c r="K1383" s="48">
        <f>SUM(K1378:K1382)</f>
        <v>31564</v>
      </c>
      <c r="L1383" s="48">
        <f>SUM(L1378:L1382)</f>
        <v>272300</v>
      </c>
      <c r="M1383" s="32"/>
      <c r="N1383" s="48">
        <f>SUM(N1378:N1382)</f>
        <v>0</v>
      </c>
      <c r="P1383" s="48">
        <f>SUM(P1378:P1382)</f>
        <v>281325</v>
      </c>
      <c r="R1383" s="48">
        <f t="shared" ref="R1383:Z1383" si="709">SUM(R1378:R1382)</f>
        <v>243282</v>
      </c>
      <c r="S1383" s="48">
        <f t="shared" si="709"/>
        <v>37743</v>
      </c>
      <c r="T1383" s="48">
        <f t="shared" si="709"/>
        <v>281025</v>
      </c>
      <c r="U1383" s="48">
        <f t="shared" si="709"/>
        <v>-300</v>
      </c>
      <c r="V1383" s="48">
        <f t="shared" si="709"/>
        <v>243404</v>
      </c>
      <c r="W1383" s="48">
        <f t="shared" si="709"/>
        <v>30621</v>
      </c>
      <c r="X1383" s="48"/>
      <c r="Y1383" s="48">
        <f t="shared" si="709"/>
        <v>274025</v>
      </c>
      <c r="Z1383" s="48">
        <f t="shared" si="709"/>
        <v>-7000</v>
      </c>
      <c r="AC1383" s="48">
        <f>SUM(AC1378:AC1382)</f>
        <v>252232</v>
      </c>
      <c r="AD1383" s="48">
        <f>SUM(AD1378:AD1382)</f>
        <v>21473</v>
      </c>
      <c r="AE1383" s="48">
        <f>SUM(AE1378:AE1382)</f>
        <v>273705</v>
      </c>
      <c r="AF1383" s="48">
        <f>SUM(AF1378:AF1382)</f>
        <v>-320</v>
      </c>
      <c r="AH1383" s="36">
        <f>SUM(AH1378:AH1382)</f>
        <v>282149.15000000002</v>
      </c>
      <c r="AI1383" s="32"/>
      <c r="AJ1383" s="48">
        <f>SUM(AJ1378:AJ1382)</f>
        <v>256879</v>
      </c>
      <c r="AK1383" s="48">
        <f>SUM(AK1378:AK1382)</f>
        <v>29821</v>
      </c>
      <c r="AL1383" s="48">
        <f>SUM(AL1378:AL1382)</f>
        <v>286700</v>
      </c>
      <c r="AM1383" s="48"/>
      <c r="AN1383" s="32"/>
      <c r="AO1383" s="48">
        <f>SUM(AO1378:AO1382)</f>
        <v>319659.08149999997</v>
      </c>
      <c r="AQ1383" s="48">
        <f>SUM(AQ1378:AQ1382)</f>
        <v>355863.45468949998</v>
      </c>
      <c r="AS1383" s="48">
        <f>SUM(AS1378:AS1382)</f>
        <v>366147.92689675349</v>
      </c>
      <c r="AT1383" s="48"/>
      <c r="AU1383" s="48">
        <f>SUM(AU1378:AU1382)</f>
        <v>376766.5536419088</v>
      </c>
      <c r="AW1383" s="48">
        <f>SUM(AW1378:AW1382)</f>
        <v>387730.31369859335</v>
      </c>
      <c r="AY1383" s="48">
        <f>SUM(AY1378:AY1382)</f>
        <v>399050.54693181103</v>
      </c>
      <c r="BA1383" s="48">
        <f>SUM(BA1378:BA1382)</f>
        <v>410738.96618375392</v>
      </c>
      <c r="BC1383" s="48">
        <f>SUM(BC1378:BC1382)</f>
        <v>422807.66955109086</v>
      </c>
      <c r="BE1383" s="48">
        <f>SUM(BE1378:BE1382)</f>
        <v>435269.1530666317</v>
      </c>
    </row>
    <row r="1384" spans="1:57" x14ac:dyDescent="0.25">
      <c r="A1384" s="3"/>
    </row>
    <row r="1385" spans="1:57" x14ac:dyDescent="0.25">
      <c r="A1385" s="7" t="s">
        <v>938</v>
      </c>
    </row>
    <row r="1386" spans="1:57" x14ac:dyDescent="0.25">
      <c r="A1386" s="7" t="s">
        <v>939</v>
      </c>
      <c r="W1386" s="3">
        <f t="shared" ref="W1386:W1393" si="710">Y1386-V1386</f>
        <v>0</v>
      </c>
      <c r="X1386" s="3"/>
      <c r="AD1386" s="3">
        <f t="shared" ref="AD1386:AD1393" si="711">AE1386-AC1386</f>
        <v>0</v>
      </c>
      <c r="AE1386" s="3"/>
      <c r="AF1386" s="3">
        <f t="shared" ref="AF1386:AF1393" si="712">AE1386-Y1386</f>
        <v>0</v>
      </c>
    </row>
    <row r="1387" spans="1:57" x14ac:dyDescent="0.25">
      <c r="A1387" s="3" t="s">
        <v>940</v>
      </c>
      <c r="B1387" s="5">
        <v>12500</v>
      </c>
      <c r="E1387" s="3">
        <f t="shared" ref="E1387:E1393" si="713">F1387-D1387</f>
        <v>12500</v>
      </c>
      <c r="F1387" s="5">
        <v>12500</v>
      </c>
      <c r="H1387" s="5">
        <f t="shared" ref="H1387:H1393" si="714">F1387-B1387</f>
        <v>0</v>
      </c>
      <c r="K1387" s="4">
        <f t="shared" ref="K1387:K1393" si="715">L1387-J1387</f>
        <v>12500</v>
      </c>
      <c r="L1387" s="4">
        <v>12500</v>
      </c>
      <c r="N1387" s="4">
        <f t="shared" ref="N1387:N1393" si="716">L1387-F1387</f>
        <v>0</v>
      </c>
      <c r="P1387" s="5">
        <v>12500</v>
      </c>
      <c r="S1387" s="3">
        <f t="shared" ref="S1387:S1393" si="717">T1387-R1387</f>
        <v>12500</v>
      </c>
      <c r="T1387" s="3">
        <v>12500</v>
      </c>
      <c r="U1387" s="3">
        <f t="shared" ref="U1387:U1393" si="718">T1387-P1387</f>
        <v>0</v>
      </c>
      <c r="V1387" s="5">
        <v>6590</v>
      </c>
      <c r="W1387" s="3">
        <f t="shared" si="710"/>
        <v>5910</v>
      </c>
      <c r="X1387" s="3"/>
      <c r="Y1387" s="5">
        <v>12500</v>
      </c>
      <c r="Z1387" s="3">
        <f t="shared" ref="Z1387:Z1393" si="719">Y1387-T1387</f>
        <v>0</v>
      </c>
      <c r="AC1387" s="5">
        <f>6591+18932</f>
        <v>25523</v>
      </c>
      <c r="AD1387" s="3">
        <f t="shared" si="711"/>
        <v>3077</v>
      </c>
      <c r="AE1387" s="3">
        <v>28600</v>
      </c>
      <c r="AF1387" s="3">
        <f t="shared" si="712"/>
        <v>16100</v>
      </c>
      <c r="AH1387" s="58">
        <v>12500</v>
      </c>
      <c r="AJ1387" s="5">
        <v>8573</v>
      </c>
      <c r="AK1387" s="3">
        <f t="shared" ref="AK1387:AK1393" si="720">AL1387-AJ1387</f>
        <v>3927</v>
      </c>
      <c r="AL1387" s="3">
        <v>12500</v>
      </c>
      <c r="AM1387" s="3">
        <f t="shared" ref="AM1387:AM1393" si="721">AL1387-AH1387</f>
        <v>0</v>
      </c>
      <c r="AO1387" s="5">
        <v>13750</v>
      </c>
      <c r="AQ1387" s="5">
        <v>15000</v>
      </c>
      <c r="AS1387" s="5">
        <v>16250</v>
      </c>
      <c r="AU1387" s="5">
        <v>17500</v>
      </c>
      <c r="AW1387" s="5">
        <v>17500</v>
      </c>
      <c r="AY1387" s="5">
        <v>17500</v>
      </c>
      <c r="BA1387" s="5">
        <v>17500</v>
      </c>
      <c r="BC1387" s="5">
        <v>17500</v>
      </c>
      <c r="BE1387" s="5">
        <v>17500</v>
      </c>
    </row>
    <row r="1388" spans="1:57" x14ac:dyDescent="0.25">
      <c r="A1388" s="3" t="s">
        <v>941</v>
      </c>
      <c r="E1388" s="3">
        <f t="shared" si="713"/>
        <v>0</v>
      </c>
      <c r="H1388" s="5">
        <f t="shared" si="714"/>
        <v>0</v>
      </c>
      <c r="K1388" s="4">
        <f t="shared" si="715"/>
        <v>0</v>
      </c>
      <c r="L1388" s="4"/>
      <c r="N1388" s="4">
        <f t="shared" si="716"/>
        <v>0</v>
      </c>
      <c r="S1388" s="3">
        <f t="shared" si="717"/>
        <v>0</v>
      </c>
      <c r="T1388" s="3"/>
      <c r="U1388" s="3">
        <f t="shared" si="718"/>
        <v>0</v>
      </c>
      <c r="W1388" s="3">
        <f t="shared" si="710"/>
        <v>0</v>
      </c>
      <c r="X1388" s="3"/>
      <c r="Z1388" s="3">
        <f t="shared" si="719"/>
        <v>0</v>
      </c>
      <c r="AD1388" s="3">
        <f t="shared" si="711"/>
        <v>0</v>
      </c>
      <c r="AE1388" s="3"/>
      <c r="AF1388" s="3">
        <f t="shared" si="712"/>
        <v>0</v>
      </c>
      <c r="AK1388" s="3">
        <f t="shared" si="720"/>
        <v>0</v>
      </c>
      <c r="AL1388" s="3"/>
      <c r="AM1388" s="3">
        <f t="shared" si="721"/>
        <v>0</v>
      </c>
    </row>
    <row r="1389" spans="1:57" x14ac:dyDescent="0.25">
      <c r="A1389" s="7" t="s">
        <v>57</v>
      </c>
      <c r="E1389" s="3">
        <f t="shared" si="713"/>
        <v>0</v>
      </c>
      <c r="H1389" s="5">
        <f t="shared" si="714"/>
        <v>0</v>
      </c>
      <c r="K1389" s="4">
        <f t="shared" si="715"/>
        <v>0</v>
      </c>
      <c r="L1389" s="4"/>
      <c r="N1389" s="4">
        <f t="shared" si="716"/>
        <v>0</v>
      </c>
      <c r="S1389" s="3">
        <f t="shared" si="717"/>
        <v>0</v>
      </c>
      <c r="T1389" s="3"/>
      <c r="U1389" s="3">
        <f t="shared" si="718"/>
        <v>0</v>
      </c>
      <c r="W1389" s="3">
        <f t="shared" si="710"/>
        <v>0</v>
      </c>
      <c r="X1389" s="3"/>
      <c r="Z1389" s="3">
        <f t="shared" si="719"/>
        <v>0</v>
      </c>
      <c r="AD1389" s="3">
        <f t="shared" si="711"/>
        <v>0</v>
      </c>
      <c r="AE1389" s="3"/>
      <c r="AF1389" s="3">
        <f t="shared" si="712"/>
        <v>0</v>
      </c>
      <c r="AK1389" s="3">
        <f t="shared" si="720"/>
        <v>0</v>
      </c>
      <c r="AL1389" s="3"/>
      <c r="AM1389" s="3">
        <f t="shared" si="721"/>
        <v>0</v>
      </c>
    </row>
    <row r="1390" spans="1:57" x14ac:dyDescent="0.25">
      <c r="A1390" s="7" t="s">
        <v>942</v>
      </c>
      <c r="E1390" s="3">
        <f t="shared" si="713"/>
        <v>0</v>
      </c>
      <c r="H1390" s="5">
        <f t="shared" si="714"/>
        <v>0</v>
      </c>
      <c r="K1390" s="4">
        <f t="shared" si="715"/>
        <v>0</v>
      </c>
      <c r="L1390" s="4"/>
      <c r="N1390" s="4">
        <f t="shared" si="716"/>
        <v>0</v>
      </c>
      <c r="S1390" s="3">
        <f t="shared" si="717"/>
        <v>0</v>
      </c>
      <c r="T1390" s="3"/>
      <c r="U1390" s="3">
        <f t="shared" si="718"/>
        <v>0</v>
      </c>
      <c r="W1390" s="3">
        <f t="shared" si="710"/>
        <v>0</v>
      </c>
      <c r="X1390" s="3"/>
      <c r="Z1390" s="3">
        <f t="shared" si="719"/>
        <v>0</v>
      </c>
      <c r="AD1390" s="3">
        <f t="shared" si="711"/>
        <v>0</v>
      </c>
      <c r="AE1390" s="3"/>
      <c r="AF1390" s="3">
        <f t="shared" si="712"/>
        <v>0</v>
      </c>
      <c r="AK1390" s="3">
        <f t="shared" si="720"/>
        <v>0</v>
      </c>
      <c r="AL1390" s="3"/>
      <c r="AM1390" s="3">
        <f t="shared" si="721"/>
        <v>0</v>
      </c>
    </row>
    <row r="1391" spans="1:57" x14ac:dyDescent="0.25">
      <c r="A1391" s="3" t="s">
        <v>943</v>
      </c>
      <c r="E1391" s="3">
        <f t="shared" si="713"/>
        <v>0</v>
      </c>
      <c r="H1391" s="5">
        <f t="shared" si="714"/>
        <v>0</v>
      </c>
      <c r="K1391" s="4">
        <f t="shared" si="715"/>
        <v>0</v>
      </c>
      <c r="L1391" s="4"/>
      <c r="N1391" s="4">
        <f t="shared" si="716"/>
        <v>0</v>
      </c>
      <c r="S1391" s="3">
        <f t="shared" si="717"/>
        <v>0</v>
      </c>
      <c r="T1391" s="3"/>
      <c r="U1391" s="3">
        <f t="shared" si="718"/>
        <v>0</v>
      </c>
      <c r="W1391" s="3">
        <f t="shared" si="710"/>
        <v>0</v>
      </c>
      <c r="X1391" s="3"/>
      <c r="Z1391" s="3">
        <f t="shared" si="719"/>
        <v>0</v>
      </c>
      <c r="AD1391" s="3">
        <f t="shared" si="711"/>
        <v>0</v>
      </c>
      <c r="AE1391" s="3"/>
      <c r="AF1391" s="3">
        <f t="shared" si="712"/>
        <v>0</v>
      </c>
      <c r="AK1391" s="3">
        <f t="shared" si="720"/>
        <v>0</v>
      </c>
      <c r="AL1391" s="3"/>
      <c r="AM1391" s="3">
        <f t="shared" si="721"/>
        <v>0</v>
      </c>
    </row>
    <row r="1392" spans="1:57" x14ac:dyDescent="0.25">
      <c r="A1392" s="3" t="s">
        <v>944</v>
      </c>
      <c r="B1392" s="3">
        <v>18500</v>
      </c>
      <c r="D1392" s="3"/>
      <c r="E1392" s="3">
        <f t="shared" si="713"/>
        <v>18500</v>
      </c>
      <c r="F1392" s="5">
        <v>18500</v>
      </c>
      <c r="H1392" s="5">
        <f t="shared" si="714"/>
        <v>0</v>
      </c>
      <c r="K1392" s="4">
        <f t="shared" si="715"/>
        <v>19000</v>
      </c>
      <c r="L1392" s="4">
        <v>19000</v>
      </c>
      <c r="N1392" s="4">
        <f t="shared" si="716"/>
        <v>500</v>
      </c>
      <c r="P1392" s="3">
        <v>18500</v>
      </c>
      <c r="Q1392" s="3"/>
      <c r="R1392" s="3"/>
      <c r="S1392" s="3">
        <f t="shared" si="717"/>
        <v>19000</v>
      </c>
      <c r="T1392" s="3">
        <v>19000</v>
      </c>
      <c r="U1392" s="3">
        <f t="shared" si="718"/>
        <v>500</v>
      </c>
      <c r="V1392" s="3">
        <v>0</v>
      </c>
      <c r="W1392" s="3">
        <f t="shared" si="710"/>
        <v>19000</v>
      </c>
      <c r="X1392" s="3"/>
      <c r="Y1392" s="3">
        <v>19000</v>
      </c>
      <c r="Z1392" s="3">
        <f t="shared" si="719"/>
        <v>0</v>
      </c>
      <c r="AA1392" s="3"/>
      <c r="AB1392" s="3"/>
      <c r="AC1392" s="3">
        <v>20000</v>
      </c>
      <c r="AD1392" s="3">
        <f t="shared" si="711"/>
        <v>0</v>
      </c>
      <c r="AE1392" s="3">
        <v>20000</v>
      </c>
      <c r="AF1392" s="3">
        <f t="shared" si="712"/>
        <v>1000</v>
      </c>
      <c r="AG1392" s="4"/>
      <c r="AH1392" s="4">
        <v>20000</v>
      </c>
      <c r="AJ1392" s="3"/>
      <c r="AK1392" s="3">
        <f t="shared" si="720"/>
        <v>20000</v>
      </c>
      <c r="AL1392" s="3">
        <v>20000</v>
      </c>
      <c r="AM1392" s="3">
        <f t="shared" si="721"/>
        <v>0</v>
      </c>
      <c r="AO1392" s="3">
        <v>20000</v>
      </c>
      <c r="AP1392" s="3"/>
      <c r="AQ1392" s="3">
        <v>20000</v>
      </c>
      <c r="AR1392" s="3"/>
      <c r="AS1392" s="3">
        <v>21000</v>
      </c>
      <c r="AT1392" s="3"/>
      <c r="AU1392" s="3">
        <v>21000</v>
      </c>
      <c r="AV1392" s="42"/>
      <c r="AW1392" s="3">
        <v>21000</v>
      </c>
      <c r="AY1392" s="3">
        <v>21000</v>
      </c>
      <c r="BA1392" s="3">
        <v>21000</v>
      </c>
      <c r="BC1392" s="3">
        <v>21000</v>
      </c>
      <c r="BE1392" s="3">
        <v>21000</v>
      </c>
    </row>
    <row r="1393" spans="1:57" x14ac:dyDescent="0.25">
      <c r="A1393" s="3" t="s">
        <v>945</v>
      </c>
      <c r="B1393" s="3">
        <v>6200</v>
      </c>
      <c r="D1393" s="3"/>
      <c r="E1393" s="3">
        <f t="shared" si="713"/>
        <v>6200</v>
      </c>
      <c r="F1393" s="5">
        <v>6200</v>
      </c>
      <c r="H1393" s="5">
        <f t="shared" si="714"/>
        <v>0</v>
      </c>
      <c r="K1393" s="4">
        <f t="shared" si="715"/>
        <v>6200</v>
      </c>
      <c r="L1393" s="4">
        <v>6200</v>
      </c>
      <c r="N1393" s="4">
        <f t="shared" si="716"/>
        <v>0</v>
      </c>
      <c r="P1393" s="3">
        <f>B1393+200+50</f>
        <v>6450</v>
      </c>
      <c r="Q1393" s="3"/>
      <c r="R1393" s="3"/>
      <c r="S1393" s="3">
        <f t="shared" si="717"/>
        <v>6450</v>
      </c>
      <c r="T1393" s="3">
        <v>6450</v>
      </c>
      <c r="U1393" s="3">
        <f t="shared" si="718"/>
        <v>0</v>
      </c>
      <c r="V1393" s="3">
        <v>0</v>
      </c>
      <c r="W1393" s="3">
        <f t="shared" si="710"/>
        <v>6450</v>
      </c>
      <c r="X1393" s="3"/>
      <c r="Y1393" s="3">
        <v>6450</v>
      </c>
      <c r="Z1393" s="3">
        <f t="shared" si="719"/>
        <v>0</v>
      </c>
      <c r="AA1393" s="3"/>
      <c r="AB1393" s="3"/>
      <c r="AC1393" s="3"/>
      <c r="AD1393" s="3">
        <f t="shared" si="711"/>
        <v>6450</v>
      </c>
      <c r="AE1393" s="3">
        <v>6450</v>
      </c>
      <c r="AF1393" s="3">
        <f t="shared" si="712"/>
        <v>0</v>
      </c>
      <c r="AG1393" s="4"/>
      <c r="AH1393" s="4">
        <f>P1393+200</f>
        <v>6650</v>
      </c>
      <c r="AJ1393" s="3"/>
      <c r="AK1393" s="3">
        <f t="shared" si="720"/>
        <v>6650</v>
      </c>
      <c r="AL1393" s="3">
        <v>6650</v>
      </c>
      <c r="AM1393" s="3">
        <f t="shared" si="721"/>
        <v>0</v>
      </c>
      <c r="AO1393" s="3">
        <f>AH1393+200</f>
        <v>6850</v>
      </c>
      <c r="AP1393" s="3"/>
      <c r="AQ1393" s="3">
        <f>AO1393+200</f>
        <v>7050</v>
      </c>
      <c r="AR1393" s="3"/>
      <c r="AS1393" s="3">
        <f>AQ1393+200</f>
        <v>7250</v>
      </c>
      <c r="AT1393" s="3"/>
      <c r="AU1393" s="3">
        <f>AS1393+200</f>
        <v>7450</v>
      </c>
      <c r="AV1393" s="42"/>
      <c r="AW1393" s="3">
        <f>AU1393+200</f>
        <v>7650</v>
      </c>
      <c r="AY1393" s="3">
        <f>AW1393+200</f>
        <v>7850</v>
      </c>
      <c r="BA1393" s="3">
        <f>AY1393+200</f>
        <v>8050</v>
      </c>
      <c r="BC1393" s="3">
        <f>BA1393+200</f>
        <v>8250</v>
      </c>
      <c r="BE1393" s="3">
        <f>BC1393+200</f>
        <v>8450</v>
      </c>
    </row>
    <row r="1394" spans="1:57" ht="15.75" thickBot="1" x14ac:dyDescent="0.3">
      <c r="A1394" s="3"/>
      <c r="B1394" s="48">
        <f>SUM(B1387:B1393)</f>
        <v>37200</v>
      </c>
      <c r="C1394" s="32"/>
      <c r="D1394" s="48">
        <f>SUM(D1387:D1393)</f>
        <v>0</v>
      </c>
      <c r="E1394" s="48">
        <f>SUM(E1387:E1393)</f>
        <v>37200</v>
      </c>
      <c r="F1394" s="48">
        <f>SUM(F1387:F1393)</f>
        <v>37200</v>
      </c>
      <c r="G1394" s="32"/>
      <c r="H1394" s="48">
        <f>SUM(H1387:H1393)</f>
        <v>0</v>
      </c>
      <c r="I1394" s="36"/>
      <c r="J1394" s="48">
        <f>SUM(J1387:J1393)</f>
        <v>0</v>
      </c>
      <c r="K1394" s="48">
        <f>SUM(K1387:K1393)</f>
        <v>37700</v>
      </c>
      <c r="L1394" s="48">
        <f>SUM(L1387:L1393)</f>
        <v>37700</v>
      </c>
      <c r="M1394" s="32"/>
      <c r="N1394" s="48">
        <f>SUM(N1387:N1393)</f>
        <v>500</v>
      </c>
      <c r="P1394" s="48">
        <f>SUM(P1387:P1393)</f>
        <v>37450</v>
      </c>
      <c r="R1394" s="48">
        <f t="shared" ref="R1394:W1394" si="722">SUM(R1387:R1393)</f>
        <v>0</v>
      </c>
      <c r="S1394" s="48">
        <f t="shared" si="722"/>
        <v>37950</v>
      </c>
      <c r="T1394" s="48">
        <f t="shared" si="722"/>
        <v>37950</v>
      </c>
      <c r="U1394" s="48">
        <f t="shared" si="722"/>
        <v>500</v>
      </c>
      <c r="V1394" s="48">
        <f t="shared" si="722"/>
        <v>6590</v>
      </c>
      <c r="W1394" s="48">
        <f t="shared" si="722"/>
        <v>31360</v>
      </c>
      <c r="X1394" s="48"/>
      <c r="Y1394" s="48">
        <f>SUM(Y1387:Y1393)</f>
        <v>37950</v>
      </c>
      <c r="Z1394" s="48">
        <f>SUM(Z1387:Z1393)</f>
        <v>0</v>
      </c>
      <c r="AC1394" s="48">
        <f>SUM(AC1387:AC1393)</f>
        <v>45523</v>
      </c>
      <c r="AD1394" s="48">
        <f>SUM(AD1387:AD1393)</f>
        <v>9527</v>
      </c>
      <c r="AE1394" s="48">
        <f>SUM(AE1387:AE1393)</f>
        <v>55050</v>
      </c>
      <c r="AF1394" s="48">
        <f>SUM(AF1387:AF1393)</f>
        <v>17100</v>
      </c>
      <c r="AH1394" s="36">
        <f>SUM(AH1387:AH1393)</f>
        <v>39150</v>
      </c>
      <c r="AI1394" s="32"/>
      <c r="AJ1394" s="48">
        <f>SUM(AJ1387:AJ1393)</f>
        <v>8573</v>
      </c>
      <c r="AK1394" s="48">
        <f>SUM(AK1387:AK1393)</f>
        <v>30577</v>
      </c>
      <c r="AL1394" s="48">
        <f>SUM(AL1387:AL1393)</f>
        <v>39150</v>
      </c>
      <c r="AM1394" s="48">
        <f>SUM(AM1387:AM1393)</f>
        <v>0</v>
      </c>
      <c r="AN1394" s="32"/>
      <c r="AO1394" s="48">
        <f>SUM(AO1387:AO1393)</f>
        <v>40600</v>
      </c>
      <c r="AQ1394" s="48">
        <f>SUM(AQ1387:AQ1393)</f>
        <v>42050</v>
      </c>
      <c r="AS1394" s="48">
        <f>SUM(AS1387:AS1393)</f>
        <v>44500</v>
      </c>
      <c r="AT1394" s="48"/>
      <c r="AU1394" s="48">
        <f>SUM(AU1387:AU1393)</f>
        <v>45950</v>
      </c>
      <c r="AW1394" s="48">
        <f>SUM(AW1387:AW1393)</f>
        <v>46150</v>
      </c>
      <c r="AY1394" s="48">
        <f>SUM(AY1387:AY1393)</f>
        <v>46350</v>
      </c>
      <c r="BA1394" s="48">
        <f>SUM(BA1387:BA1393)</f>
        <v>46550</v>
      </c>
      <c r="BC1394" s="48">
        <f>SUM(BC1387:BC1393)</f>
        <v>46750</v>
      </c>
      <c r="BE1394" s="48">
        <f>SUM(BE1387:BE1393)</f>
        <v>46950</v>
      </c>
    </row>
    <row r="1395" spans="1:57" ht="16.5" thickTop="1" thickBot="1" x14ac:dyDescent="0.3">
      <c r="A1395" s="3"/>
      <c r="B1395" s="65">
        <f>B1394+B1383</f>
        <v>307901</v>
      </c>
      <c r="C1395" s="32"/>
      <c r="D1395" s="65">
        <f>D1394+D1383</f>
        <v>237795</v>
      </c>
      <c r="E1395" s="65">
        <f>E1394+E1383</f>
        <v>71707</v>
      </c>
      <c r="F1395" s="65">
        <f>F1394+F1383</f>
        <v>309500</v>
      </c>
      <c r="G1395" s="32"/>
      <c r="H1395" s="65">
        <f>H1394+H1383</f>
        <v>1600</v>
      </c>
      <c r="I1395" s="36"/>
      <c r="J1395" s="65">
        <f>J1394+J1383</f>
        <v>240736</v>
      </c>
      <c r="K1395" s="65">
        <f>K1394+K1383</f>
        <v>69264</v>
      </c>
      <c r="L1395" s="65">
        <f>L1394+L1383</f>
        <v>310000</v>
      </c>
      <c r="M1395" s="32"/>
      <c r="N1395" s="65">
        <f>N1394+N1383</f>
        <v>500</v>
      </c>
      <c r="P1395" s="65">
        <f>P1394+P1383</f>
        <v>318775</v>
      </c>
      <c r="R1395" s="65">
        <f t="shared" ref="R1395:W1395" si="723">R1394+R1383</f>
        <v>243282</v>
      </c>
      <c r="S1395" s="65">
        <f t="shared" si="723"/>
        <v>75693</v>
      </c>
      <c r="T1395" s="65">
        <f t="shared" si="723"/>
        <v>318975</v>
      </c>
      <c r="U1395" s="65">
        <f t="shared" si="723"/>
        <v>200</v>
      </c>
      <c r="V1395" s="65">
        <f t="shared" si="723"/>
        <v>249994</v>
      </c>
      <c r="W1395" s="65">
        <f t="shared" si="723"/>
        <v>61981</v>
      </c>
      <c r="X1395" s="65"/>
      <c r="Y1395" s="65">
        <f>Y1394+Y1383</f>
        <v>311975</v>
      </c>
      <c r="Z1395" s="65">
        <f>Z1394+Z1383</f>
        <v>-7000</v>
      </c>
      <c r="AC1395" s="65">
        <f>AC1394+AC1383</f>
        <v>297755</v>
      </c>
      <c r="AD1395" s="65">
        <f>AD1394+AD1383</f>
        <v>31000</v>
      </c>
      <c r="AE1395" s="65">
        <f>AE1394+AE1383</f>
        <v>328755</v>
      </c>
      <c r="AF1395" s="65">
        <f>AF1394+AF1383</f>
        <v>16780</v>
      </c>
      <c r="AH1395" s="36">
        <f>AH1394+AH1383</f>
        <v>321299.15000000002</v>
      </c>
      <c r="AI1395" s="32"/>
      <c r="AJ1395" s="65">
        <f>AJ1394+AJ1383</f>
        <v>265452</v>
      </c>
      <c r="AK1395" s="65">
        <f>AK1394+AK1383</f>
        <v>60398</v>
      </c>
      <c r="AL1395" s="65">
        <f>AL1394+AL1383</f>
        <v>325850</v>
      </c>
      <c r="AM1395" s="65">
        <f>AM1394+AM1383</f>
        <v>0</v>
      </c>
      <c r="AN1395" s="32"/>
      <c r="AO1395" s="65">
        <f>AO1394+AO1383</f>
        <v>360259.08149999997</v>
      </c>
      <c r="AQ1395" s="65">
        <f>AQ1394+AQ1383</f>
        <v>397913.45468949998</v>
      </c>
      <c r="AS1395" s="65">
        <f>AS1394+AS1383</f>
        <v>410647.92689675349</v>
      </c>
      <c r="AT1395" s="65"/>
      <c r="AU1395" s="65">
        <f>AU1394+AU1383</f>
        <v>422716.5536419088</v>
      </c>
      <c r="AW1395" s="65">
        <f>AW1394+AW1383</f>
        <v>433880.31369859335</v>
      </c>
      <c r="AY1395" s="65">
        <f>AY1394+AY1383</f>
        <v>445400.54693181103</v>
      </c>
      <c r="BA1395" s="65">
        <f>BA1394+BA1383</f>
        <v>457288.96618375392</v>
      </c>
      <c r="BC1395" s="65">
        <f>BC1394+BC1383</f>
        <v>469557.66955109086</v>
      </c>
      <c r="BE1395" s="65">
        <f>BE1394+BE1383</f>
        <v>482219.1530666317</v>
      </c>
    </row>
    <row r="1396" spans="1:57" ht="15.75" thickTop="1" x14ac:dyDescent="0.25">
      <c r="A1396" s="7" t="s">
        <v>845</v>
      </c>
    </row>
    <row r="1397" spans="1:57" x14ac:dyDescent="0.25">
      <c r="A1397" s="3" t="s">
        <v>822</v>
      </c>
    </row>
    <row r="1398" spans="1:57" x14ac:dyDescent="0.25">
      <c r="A1398" s="3" t="s">
        <v>946</v>
      </c>
      <c r="AK1398" s="3">
        <f>AL1398-AJ1398</f>
        <v>0</v>
      </c>
      <c r="AL1398" s="3"/>
      <c r="AM1398" s="3"/>
      <c r="AO1398" s="5">
        <v>1000000</v>
      </c>
    </row>
    <row r="1399" spans="1:57" x14ac:dyDescent="0.25">
      <c r="A1399" s="3" t="s">
        <v>289</v>
      </c>
      <c r="B1399" s="3">
        <v>750</v>
      </c>
      <c r="D1399" s="3"/>
      <c r="E1399" s="3">
        <f>F1399-D1399</f>
        <v>750</v>
      </c>
      <c r="F1399" s="5">
        <v>750</v>
      </c>
      <c r="H1399" s="5">
        <f>F1399-B1399</f>
        <v>0</v>
      </c>
      <c r="K1399" s="4">
        <f>L1399-J1399</f>
        <v>750</v>
      </c>
      <c r="L1399" s="4">
        <v>750</v>
      </c>
      <c r="N1399" s="4">
        <f>L1399-F1399</f>
        <v>0</v>
      </c>
      <c r="P1399" s="3">
        <v>750</v>
      </c>
      <c r="Q1399" s="3"/>
      <c r="R1399" s="3"/>
      <c r="S1399" s="3">
        <f>T1399-R1399</f>
        <v>750</v>
      </c>
      <c r="T1399" s="3">
        <v>750</v>
      </c>
      <c r="U1399" s="3">
        <f>T1399-P1399</f>
        <v>0</v>
      </c>
      <c r="V1399" s="3"/>
      <c r="W1399" s="3">
        <f>Y1399-V1399</f>
        <v>750</v>
      </c>
      <c r="X1399" s="3"/>
      <c r="Y1399" s="3">
        <v>750</v>
      </c>
      <c r="Z1399" s="3">
        <f>Y1399-T1399</f>
        <v>0</v>
      </c>
      <c r="AA1399" s="3"/>
      <c r="AB1399" s="3"/>
      <c r="AC1399" s="3"/>
      <c r="AD1399" s="3">
        <f>AE1399-AC1399</f>
        <v>750</v>
      </c>
      <c r="AE1399" s="3">
        <v>750</v>
      </c>
      <c r="AF1399" s="3">
        <f>AE1399-Y1399</f>
        <v>0</v>
      </c>
      <c r="AG1399" s="4"/>
      <c r="AH1399" s="4">
        <v>750</v>
      </c>
      <c r="AJ1399" s="3"/>
      <c r="AK1399" s="3">
        <f>AL1399-AJ1399</f>
        <v>750</v>
      </c>
      <c r="AL1399" s="3">
        <v>750</v>
      </c>
      <c r="AM1399" s="3">
        <f>AL1399-AH1399</f>
        <v>0</v>
      </c>
      <c r="AO1399" s="3">
        <v>750</v>
      </c>
      <c r="AP1399" s="3"/>
      <c r="AQ1399" s="3">
        <v>750</v>
      </c>
      <c r="AR1399" s="3"/>
      <c r="AS1399" s="3">
        <v>750</v>
      </c>
      <c r="AT1399" s="3"/>
      <c r="AU1399" s="3">
        <v>750</v>
      </c>
      <c r="AV1399" s="42"/>
      <c r="AW1399" s="3">
        <v>750</v>
      </c>
      <c r="AY1399" s="3">
        <v>750</v>
      </c>
      <c r="BA1399" s="3">
        <v>750</v>
      </c>
      <c r="BC1399" s="3">
        <v>750</v>
      </c>
      <c r="BE1399" s="3">
        <v>750</v>
      </c>
    </row>
    <row r="1400" spans="1:57" ht="15.75" thickBot="1" x14ac:dyDescent="0.3">
      <c r="A1400" s="3"/>
      <c r="B1400" s="43">
        <f>B1399 +B1398+B1397+B1395</f>
        <v>308651</v>
      </c>
      <c r="C1400" s="32"/>
      <c r="D1400" s="43">
        <f>D1399 +D1398+D1397+D1395</f>
        <v>237795</v>
      </c>
      <c r="E1400" s="43">
        <f>E1399 +E1398+E1397+E1395</f>
        <v>72457</v>
      </c>
      <c r="F1400" s="43">
        <f>F1399 +F1398+F1397+F1395</f>
        <v>310250</v>
      </c>
      <c r="G1400" s="32"/>
      <c r="H1400" s="43">
        <f>H1399 +H1398+H1397+H1395</f>
        <v>1600</v>
      </c>
      <c r="I1400" s="36"/>
      <c r="J1400" s="43">
        <f>J1399 +J1398+J1397+J1395</f>
        <v>240736</v>
      </c>
      <c r="K1400" s="43">
        <f>K1399 +K1398+K1397+K1395</f>
        <v>70014</v>
      </c>
      <c r="L1400" s="43">
        <f>L1399 +L1398+L1397+L1395</f>
        <v>310750</v>
      </c>
      <c r="M1400" s="32"/>
      <c r="N1400" s="43">
        <f>N1399 +N1398+N1397+N1395</f>
        <v>500</v>
      </c>
      <c r="P1400" s="43">
        <f>P1399 +P1398+P1397+P1395</f>
        <v>319525</v>
      </c>
      <c r="R1400" s="43">
        <f t="shared" ref="R1400:Z1400" si="724">R1399 +R1398+R1397+R1395</f>
        <v>243282</v>
      </c>
      <c r="S1400" s="43">
        <f t="shared" si="724"/>
        <v>76443</v>
      </c>
      <c r="T1400" s="43">
        <f t="shared" si="724"/>
        <v>319725</v>
      </c>
      <c r="U1400" s="43">
        <f t="shared" si="724"/>
        <v>200</v>
      </c>
      <c r="V1400" s="43">
        <f t="shared" si="724"/>
        <v>249994</v>
      </c>
      <c r="W1400" s="43">
        <f t="shared" si="724"/>
        <v>62731</v>
      </c>
      <c r="X1400" s="43"/>
      <c r="Y1400" s="43">
        <f t="shared" si="724"/>
        <v>312725</v>
      </c>
      <c r="Z1400" s="43">
        <f t="shared" si="724"/>
        <v>-7000</v>
      </c>
      <c r="AC1400" s="43">
        <f>AC1399 +AC1398+AC1397+AC1395</f>
        <v>297755</v>
      </c>
      <c r="AD1400" s="43">
        <f>AD1399 +AD1398+AD1397+AD1395</f>
        <v>31750</v>
      </c>
      <c r="AE1400" s="43">
        <f>AE1399 +AE1398+AE1397+AE1395</f>
        <v>329505</v>
      </c>
      <c r="AF1400" s="43">
        <f>AF1399 +AF1398+AF1397+AF1395</f>
        <v>16780</v>
      </c>
      <c r="AH1400" s="36">
        <f>AH1399 +AH1398+AH1397+AH1395</f>
        <v>322049.15000000002</v>
      </c>
      <c r="AI1400" s="32"/>
      <c r="AJ1400" s="43">
        <f>AJ1399 +AJ1398+AJ1397+AJ1395</f>
        <v>265452</v>
      </c>
      <c r="AK1400" s="43">
        <f>AK1399 +AK1398+AK1397+AK1395</f>
        <v>61148</v>
      </c>
      <c r="AL1400" s="43">
        <f>AL1399 +AL1398+AL1397+AL1395</f>
        <v>326600</v>
      </c>
      <c r="AM1400" s="43">
        <f>AM1399 +AM1398+AM1397+AM1395</f>
        <v>0</v>
      </c>
      <c r="AN1400" s="32"/>
      <c r="AO1400" s="43">
        <f>AO1399 +AO1398+AO1397+AO1395</f>
        <v>1361009.0814999999</v>
      </c>
      <c r="AQ1400" s="43">
        <f>AQ1399 +AQ1398+AQ1397+AQ1395</f>
        <v>398663.45468949998</v>
      </c>
      <c r="AS1400" s="43">
        <f>AS1399 +AS1398+AS1397+AS1395</f>
        <v>411397.92689675349</v>
      </c>
      <c r="AT1400" s="43"/>
      <c r="AU1400" s="43">
        <f>AU1399 +AU1398+AU1397+AU1395</f>
        <v>423466.5536419088</v>
      </c>
      <c r="AW1400" s="43">
        <f>AW1399 +AW1398+AW1397+AW1395</f>
        <v>434630.31369859335</v>
      </c>
      <c r="AY1400" s="43">
        <f>AY1399 +AY1398+AY1397+AY1395</f>
        <v>446150.54693181103</v>
      </c>
      <c r="BA1400" s="43">
        <f>BA1399 +BA1398+BA1397+BA1395</f>
        <v>458038.96618375392</v>
      </c>
      <c r="BC1400" s="43">
        <f>BC1399 +BC1398+BC1397+BC1395</f>
        <v>470307.66955109086</v>
      </c>
      <c r="BE1400" s="43">
        <f>BE1399 +BE1398+BE1397+BE1395</f>
        <v>482969.1530666317</v>
      </c>
    </row>
    <row r="1401" spans="1:57" ht="15.75" thickTop="1" x14ac:dyDescent="0.25">
      <c r="A1401" s="7" t="s">
        <v>823</v>
      </c>
    </row>
    <row r="1402" spans="1:57" x14ac:dyDescent="0.25">
      <c r="A1402" s="7" t="s">
        <v>58</v>
      </c>
    </row>
    <row r="1403" spans="1:57" x14ac:dyDescent="0.25">
      <c r="A1403" s="7" t="s">
        <v>59</v>
      </c>
    </row>
    <row r="1404" spans="1:57" x14ac:dyDescent="0.25">
      <c r="A1404" s="3" t="s">
        <v>947</v>
      </c>
      <c r="B1404" s="3">
        <v>20000</v>
      </c>
      <c r="D1404" s="3"/>
      <c r="E1404" s="3">
        <f>F1404-D1404</f>
        <v>20000</v>
      </c>
      <c r="F1404" s="5">
        <v>20000</v>
      </c>
      <c r="H1404" s="5">
        <f>F1404-B1404</f>
        <v>0</v>
      </c>
      <c r="J1404" s="5">
        <v>0</v>
      </c>
      <c r="K1404" s="4">
        <f>L1404-J1404</f>
        <v>20000</v>
      </c>
      <c r="L1404" s="4">
        <v>20000</v>
      </c>
      <c r="N1404" s="4">
        <f>L1404-F1404</f>
        <v>0</v>
      </c>
      <c r="P1404" s="3">
        <v>20580</v>
      </c>
      <c r="Q1404" s="3"/>
      <c r="R1404" s="3"/>
      <c r="S1404" s="3">
        <f>T1404-R1404</f>
        <v>20580</v>
      </c>
      <c r="T1404" s="3">
        <v>20580</v>
      </c>
      <c r="U1404" s="3">
        <f>T1404-P1404</f>
        <v>0</v>
      </c>
      <c r="V1404" s="3"/>
      <c r="W1404" s="3">
        <f>Y1404-V1404</f>
        <v>20580</v>
      </c>
      <c r="X1404" s="3"/>
      <c r="Y1404" s="3">
        <v>20580</v>
      </c>
      <c r="Z1404" s="3">
        <f>Y1404-T1404</f>
        <v>0</v>
      </c>
      <c r="AA1404" s="3"/>
      <c r="AB1404" s="3"/>
      <c r="AC1404" s="3">
        <v>0</v>
      </c>
      <c r="AD1404" s="3">
        <f>AE1404-AC1404</f>
        <v>20580</v>
      </c>
      <c r="AE1404" s="3">
        <v>20580</v>
      </c>
      <c r="AF1404" s="3">
        <f>AE1404-Y1404</f>
        <v>0</v>
      </c>
      <c r="AG1404" s="4"/>
      <c r="AH1404" s="4">
        <f>AE1404*1.05+41</f>
        <v>21650</v>
      </c>
      <c r="AJ1404" s="3">
        <v>0</v>
      </c>
      <c r="AK1404" s="3">
        <f>AL1404-AJ1404</f>
        <v>21650</v>
      </c>
      <c r="AL1404" s="3">
        <v>21650</v>
      </c>
      <c r="AM1404" s="3">
        <f>AL1404-AH1404</f>
        <v>0</v>
      </c>
      <c r="AO1404" s="3">
        <f>AH1404*1.05</f>
        <v>22732.5</v>
      </c>
      <c r="AP1404" s="3"/>
      <c r="AQ1404" s="3">
        <f>AO1404*1.05</f>
        <v>23869.125</v>
      </c>
      <c r="AR1404" s="3"/>
      <c r="AS1404" s="3">
        <f>AQ1404*1.05</f>
        <v>25062.581249999999</v>
      </c>
      <c r="AT1404" s="3"/>
      <c r="AU1404" s="3">
        <f>AS1404*1.05</f>
        <v>26315.710312499999</v>
      </c>
      <c r="AV1404" s="42"/>
      <c r="AW1404" s="3">
        <f>AU1404*1.05</f>
        <v>27631.495828125</v>
      </c>
      <c r="AY1404" s="3">
        <f>AW1404*1.05</f>
        <v>29013.070619531252</v>
      </c>
      <c r="BA1404" s="3">
        <f>AY1404*1.05</f>
        <v>30463.724150507816</v>
      </c>
      <c r="BC1404" s="3">
        <f>BA1404*1.05</f>
        <v>31986.910358033208</v>
      </c>
      <c r="BE1404" s="3">
        <f>BC1404*1.05</f>
        <v>33586.255875934869</v>
      </c>
    </row>
    <row r="1405" spans="1:57" x14ac:dyDescent="0.25">
      <c r="A1405" s="3" t="s">
        <v>948</v>
      </c>
      <c r="B1405" s="3">
        <v>300</v>
      </c>
      <c r="D1405" s="3"/>
      <c r="E1405" s="3">
        <f>F1405-D1405</f>
        <v>300</v>
      </c>
      <c r="F1405" s="5">
        <v>300</v>
      </c>
      <c r="H1405" s="5">
        <f>F1405-B1405</f>
        <v>0</v>
      </c>
      <c r="K1405" s="4">
        <f>L1405-J1405</f>
        <v>0</v>
      </c>
      <c r="L1405" s="4"/>
      <c r="N1405" s="4">
        <f>L1405-F1405</f>
        <v>-300</v>
      </c>
      <c r="P1405" s="3">
        <f>L1405*1.03</f>
        <v>0</v>
      </c>
      <c r="Q1405" s="3"/>
      <c r="R1405" s="3">
        <v>4280</v>
      </c>
      <c r="S1405" s="3">
        <f>T1405-R1405</f>
        <v>0</v>
      </c>
      <c r="T1405" s="3">
        <v>4280</v>
      </c>
      <c r="U1405" s="3">
        <f>T1405-P1405</f>
        <v>4280</v>
      </c>
      <c r="V1405" s="3">
        <v>4280</v>
      </c>
      <c r="W1405" s="3">
        <f>Y1405-V1405</f>
        <v>0</v>
      </c>
      <c r="X1405" s="3"/>
      <c r="Y1405" s="3">
        <v>4280</v>
      </c>
      <c r="Z1405" s="3">
        <f>Y1405-T1405</f>
        <v>0</v>
      </c>
      <c r="AA1405" s="3"/>
      <c r="AB1405" s="3"/>
      <c r="AC1405" s="3">
        <v>4280</v>
      </c>
      <c r="AD1405" s="3">
        <f>AE1405-AC1405</f>
        <v>0</v>
      </c>
      <c r="AE1405" s="3">
        <v>4280</v>
      </c>
      <c r="AF1405" s="3">
        <f>AE1405-Y1405</f>
        <v>0</v>
      </c>
      <c r="AG1405" s="4"/>
      <c r="AH1405" s="4">
        <f>P1405*1.03</f>
        <v>0</v>
      </c>
      <c r="AJ1405" s="3"/>
      <c r="AK1405" s="3">
        <f>AL1405-AJ1405</f>
        <v>0</v>
      </c>
      <c r="AL1405" s="3"/>
      <c r="AM1405" s="3">
        <f>AL1405-AH1405</f>
        <v>0</v>
      </c>
      <c r="AO1405" s="3">
        <f>AH1405*1.03</f>
        <v>0</v>
      </c>
      <c r="AP1405" s="3"/>
      <c r="AQ1405" s="3">
        <f>AO1405*1.03</f>
        <v>0</v>
      </c>
      <c r="AR1405" s="3"/>
      <c r="AS1405" s="3">
        <f>AQ1405*1.03</f>
        <v>0</v>
      </c>
      <c r="AT1405" s="3"/>
      <c r="AU1405" s="3">
        <f>AS1405*1.03</f>
        <v>0</v>
      </c>
      <c r="AV1405" s="42"/>
      <c r="AW1405" s="3">
        <f>AU1405*1.03</f>
        <v>0</v>
      </c>
      <c r="AY1405" s="3">
        <f>AW1405*1.03</f>
        <v>0</v>
      </c>
      <c r="BA1405" s="3">
        <f>AY1405*1.03</f>
        <v>0</v>
      </c>
      <c r="BC1405" s="3">
        <f>BA1405*1.03</f>
        <v>0</v>
      </c>
      <c r="BE1405" s="3">
        <f>BC1405*1.03</f>
        <v>0</v>
      </c>
    </row>
    <row r="1406" spans="1:57" x14ac:dyDescent="0.25">
      <c r="A1406" s="3"/>
      <c r="B1406" s="48">
        <f>SUM(B1404:B1405)</f>
        <v>20300</v>
      </c>
      <c r="C1406" s="32"/>
      <c r="D1406" s="48">
        <f>SUM(D1404:D1405)</f>
        <v>0</v>
      </c>
      <c r="E1406" s="48">
        <f>SUM(E1404:E1405)</f>
        <v>20300</v>
      </c>
      <c r="F1406" s="48">
        <f>SUM(F1404:F1405)</f>
        <v>20300</v>
      </c>
      <c r="G1406" s="32"/>
      <c r="H1406" s="48">
        <f>SUM(H1404:H1405)</f>
        <v>0</v>
      </c>
      <c r="I1406" s="36"/>
      <c r="J1406" s="48">
        <f>SUM(J1404:J1405)</f>
        <v>0</v>
      </c>
      <c r="K1406" s="48">
        <f>SUM(K1404:K1405)</f>
        <v>20000</v>
      </c>
      <c r="L1406" s="48">
        <f>SUM(L1404:L1405)</f>
        <v>20000</v>
      </c>
      <c r="M1406" s="32"/>
      <c r="N1406" s="48">
        <f>SUM(N1404:N1405)</f>
        <v>-300</v>
      </c>
      <c r="P1406" s="48">
        <f>SUM(P1404:P1405)</f>
        <v>20580</v>
      </c>
      <c r="R1406" s="48">
        <f t="shared" ref="R1406:Z1406" si="725">SUM(R1404:R1405)</f>
        <v>4280</v>
      </c>
      <c r="S1406" s="48">
        <f t="shared" si="725"/>
        <v>20580</v>
      </c>
      <c r="T1406" s="48">
        <f t="shared" si="725"/>
        <v>24860</v>
      </c>
      <c r="U1406" s="48">
        <f t="shared" si="725"/>
        <v>4280</v>
      </c>
      <c r="V1406" s="48">
        <f t="shared" si="725"/>
        <v>4280</v>
      </c>
      <c r="W1406" s="48">
        <f t="shared" si="725"/>
        <v>20580</v>
      </c>
      <c r="X1406" s="48"/>
      <c r="Y1406" s="48">
        <f t="shared" si="725"/>
        <v>24860</v>
      </c>
      <c r="Z1406" s="48">
        <f t="shared" si="725"/>
        <v>0</v>
      </c>
      <c r="AC1406" s="48">
        <f>SUM(AC1404:AC1405)</f>
        <v>4280</v>
      </c>
      <c r="AD1406" s="48">
        <f>SUM(AD1404:AD1405)</f>
        <v>20580</v>
      </c>
      <c r="AE1406" s="48">
        <f>SUM(AE1404:AE1405)</f>
        <v>24860</v>
      </c>
      <c r="AF1406" s="48">
        <f>SUM(AF1404:AF1405)</f>
        <v>0</v>
      </c>
      <c r="AH1406" s="36">
        <f>SUM(AH1404:AH1405)</f>
        <v>21650</v>
      </c>
      <c r="AI1406" s="32"/>
      <c r="AJ1406" s="48">
        <f>SUM(AJ1404:AJ1405)</f>
        <v>0</v>
      </c>
      <c r="AK1406" s="48">
        <f>SUM(AK1404:AK1405)</f>
        <v>21650</v>
      </c>
      <c r="AL1406" s="48">
        <f>SUM(AL1404:AL1405)</f>
        <v>21650</v>
      </c>
      <c r="AM1406" s="48"/>
      <c r="AN1406" s="32"/>
      <c r="AO1406" s="48">
        <f>SUM(AO1404:AO1405)</f>
        <v>22732.5</v>
      </c>
      <c r="AQ1406" s="48">
        <f>SUM(AQ1404:AQ1405)</f>
        <v>23869.125</v>
      </c>
      <c r="AS1406" s="48">
        <f>SUM(AS1404:AS1405)</f>
        <v>25062.581249999999</v>
      </c>
      <c r="AT1406" s="48"/>
      <c r="AU1406" s="48">
        <f>SUM(AU1404:AU1405)</f>
        <v>26315.710312499999</v>
      </c>
      <c r="AW1406" s="48">
        <f>SUM(AW1404:AW1405)</f>
        <v>27631.495828125</v>
      </c>
      <c r="AY1406" s="48">
        <f>SUM(AY1404:AY1405)</f>
        <v>29013.070619531252</v>
      </c>
      <c r="BA1406" s="48">
        <f>SUM(BA1404:BA1405)</f>
        <v>30463.724150507816</v>
      </c>
      <c r="BC1406" s="48">
        <f>SUM(BC1404:BC1405)</f>
        <v>31986.910358033208</v>
      </c>
      <c r="BE1406" s="48">
        <f>SUM(BE1404:BE1405)</f>
        <v>33586.255875934869</v>
      </c>
    </row>
    <row r="1407" spans="1:57" x14ac:dyDescent="0.25">
      <c r="A1407" s="7" t="s">
        <v>77</v>
      </c>
    </row>
    <row r="1408" spans="1:57" x14ac:dyDescent="0.25">
      <c r="A1408" s="7" t="s">
        <v>78</v>
      </c>
    </row>
    <row r="1409" spans="1:57" x14ac:dyDescent="0.25">
      <c r="A1409" s="3" t="s">
        <v>384</v>
      </c>
      <c r="B1409" s="35">
        <v>27000</v>
      </c>
      <c r="C1409" s="32"/>
      <c r="D1409" s="35">
        <v>12104</v>
      </c>
      <c r="E1409" s="35">
        <f>F1409-D1409</f>
        <v>14896</v>
      </c>
      <c r="F1409" s="35">
        <v>27000</v>
      </c>
      <c r="G1409" s="32"/>
      <c r="H1409" s="35">
        <f>F1409-B1409</f>
        <v>0</v>
      </c>
      <c r="I1409" s="36"/>
      <c r="J1409" s="35">
        <v>18214</v>
      </c>
      <c r="K1409" s="35">
        <f>L1409-J1409</f>
        <v>6786</v>
      </c>
      <c r="L1409" s="35">
        <v>25000</v>
      </c>
      <c r="M1409" s="32"/>
      <c r="N1409" s="35">
        <f>L1409-F1409</f>
        <v>-2000</v>
      </c>
      <c r="P1409" s="35">
        <f>L1409*1.0281</f>
        <v>25702.5</v>
      </c>
      <c r="R1409" s="70">
        <v>12162</v>
      </c>
      <c r="S1409" s="70">
        <f>T1409-R1409</f>
        <v>13538</v>
      </c>
      <c r="T1409" s="70">
        <v>25700</v>
      </c>
      <c r="U1409" s="71">
        <f>T1409-P1409</f>
        <v>-2.5</v>
      </c>
      <c r="V1409" s="71">
        <v>18068</v>
      </c>
      <c r="W1409" s="71">
        <f>Y1409-V1409</f>
        <v>5932</v>
      </c>
      <c r="X1409" s="71"/>
      <c r="Y1409" s="71">
        <v>24000</v>
      </c>
      <c r="Z1409" s="71">
        <f>Y1409-T1409</f>
        <v>-1700</v>
      </c>
      <c r="AC1409" s="71">
        <v>24082</v>
      </c>
      <c r="AD1409" s="71">
        <f>AE1409-AC1409</f>
        <v>8</v>
      </c>
      <c r="AE1409" s="71">
        <v>24090</v>
      </c>
      <c r="AF1409" s="71">
        <f>AE1409-Y1409</f>
        <v>90</v>
      </c>
      <c r="AH1409" s="36">
        <f>AE1409*1.03+37</f>
        <v>24849.7</v>
      </c>
      <c r="AI1409" s="32"/>
      <c r="AJ1409" s="35">
        <v>11987</v>
      </c>
      <c r="AK1409" s="35">
        <f>AL1409-AJ1409</f>
        <v>12863</v>
      </c>
      <c r="AL1409" s="35">
        <v>24850</v>
      </c>
      <c r="AM1409" s="35">
        <f>AL1409-AH1409</f>
        <v>0.2999999999992724</v>
      </c>
      <c r="AN1409" s="32"/>
      <c r="AO1409" s="35">
        <f>AH1409*1.03</f>
        <v>25595.191000000003</v>
      </c>
      <c r="AQ1409" s="35">
        <f>AO1409*1.03</f>
        <v>26363.046730000002</v>
      </c>
      <c r="AS1409" s="35">
        <f>AQ1409*1.03</f>
        <v>27153.938131900002</v>
      </c>
      <c r="AT1409" s="35"/>
      <c r="AU1409" s="35">
        <f>AS1409*1.03</f>
        <v>27968.556275857001</v>
      </c>
      <c r="AW1409" s="35">
        <f>AU1409*1.03</f>
        <v>28807.612964132713</v>
      </c>
      <c r="AY1409" s="35">
        <f>AW1409*1.03</f>
        <v>29671.841353056694</v>
      </c>
      <c r="BA1409" s="35">
        <f>AY1409*1.03</f>
        <v>30561.996593648397</v>
      </c>
      <c r="BC1409" s="35">
        <f>BA1409*1.03</f>
        <v>31478.856491457849</v>
      </c>
      <c r="BE1409" s="35">
        <f>BC1409*1.03</f>
        <v>32423.222186201587</v>
      </c>
    </row>
    <row r="1410" spans="1:57" x14ac:dyDescent="0.25">
      <c r="A1410" s="3"/>
      <c r="U1410" s="38"/>
      <c r="V1410" s="38"/>
      <c r="W1410" s="38"/>
      <c r="X1410" s="38"/>
      <c r="Y1410" s="38"/>
      <c r="Z1410" s="38"/>
    </row>
    <row r="1411" spans="1:57" x14ac:dyDescent="0.25">
      <c r="A1411" s="3"/>
      <c r="U1411" s="38"/>
      <c r="V1411" s="38"/>
      <c r="W1411" s="38"/>
      <c r="X1411" s="38"/>
      <c r="Y1411" s="38"/>
      <c r="Z1411" s="38"/>
    </row>
    <row r="1412" spans="1:57" x14ac:dyDescent="0.25">
      <c r="A1412" s="7" t="s">
        <v>113</v>
      </c>
      <c r="U1412" s="38"/>
      <c r="V1412" s="38"/>
      <c r="W1412" s="38"/>
      <c r="X1412" s="38"/>
      <c r="Y1412" s="38"/>
      <c r="Z1412" s="38"/>
    </row>
    <row r="1413" spans="1:57" x14ac:dyDescent="0.25">
      <c r="A1413" s="7" t="s">
        <v>57</v>
      </c>
      <c r="U1413" s="38"/>
      <c r="V1413" s="38"/>
      <c r="W1413" s="38"/>
      <c r="X1413" s="38"/>
      <c r="Y1413" s="38"/>
      <c r="Z1413" s="38"/>
    </row>
    <row r="1414" spans="1:57" x14ac:dyDescent="0.25">
      <c r="A1414" s="3" t="s">
        <v>949</v>
      </c>
      <c r="B1414" s="35">
        <v>3600</v>
      </c>
      <c r="C1414" s="32"/>
      <c r="D1414" s="35">
        <v>265</v>
      </c>
      <c r="E1414" s="35">
        <f>F1414-D1414</f>
        <v>3335</v>
      </c>
      <c r="F1414" s="35">
        <v>3600</v>
      </c>
      <c r="G1414" s="32"/>
      <c r="H1414" s="35">
        <f>F1414-B1414</f>
        <v>0</v>
      </c>
      <c r="I1414" s="36"/>
      <c r="J1414" s="35">
        <v>670</v>
      </c>
      <c r="K1414" s="35">
        <f>L1414-J1414</f>
        <v>3930</v>
      </c>
      <c r="L1414" s="35">
        <v>4600</v>
      </c>
      <c r="M1414" s="32"/>
      <c r="N1414" s="35">
        <f>L1414-F1414</f>
        <v>1000</v>
      </c>
      <c r="P1414" s="35">
        <f>B1414*1.03</f>
        <v>3708</v>
      </c>
      <c r="R1414" s="70">
        <v>696</v>
      </c>
      <c r="S1414" s="70">
        <f>T1414-R1414</f>
        <v>3004</v>
      </c>
      <c r="T1414" s="70">
        <v>3700</v>
      </c>
      <c r="U1414" s="71">
        <f>T1414-P1414</f>
        <v>-8</v>
      </c>
      <c r="V1414" s="71">
        <v>1165</v>
      </c>
      <c r="W1414" s="71">
        <f>Y1414-V1414</f>
        <v>2535</v>
      </c>
      <c r="X1414" s="71"/>
      <c r="Y1414" s="71">
        <v>3700</v>
      </c>
      <c r="Z1414" s="71">
        <f>Y1414-T1414</f>
        <v>0</v>
      </c>
      <c r="AC1414" s="71">
        <v>2348</v>
      </c>
      <c r="AD1414" s="71">
        <f>AE1414-AC1414</f>
        <v>1352</v>
      </c>
      <c r="AE1414" s="71">
        <v>3700</v>
      </c>
      <c r="AF1414" s="71">
        <f>AE1414-Y1414</f>
        <v>0</v>
      </c>
      <c r="AH1414" s="36">
        <f>AE1414*1.03-11</f>
        <v>3800</v>
      </c>
      <c r="AI1414" s="32"/>
      <c r="AJ1414" s="35">
        <v>905</v>
      </c>
      <c r="AK1414" s="35">
        <f>AL1414-AJ1414</f>
        <v>2895</v>
      </c>
      <c r="AL1414" s="35">
        <v>3800</v>
      </c>
      <c r="AM1414" s="35">
        <f>AL1414-AH1414</f>
        <v>0</v>
      </c>
      <c r="AN1414" s="32"/>
      <c r="AO1414" s="35">
        <f>AH1414*1.03</f>
        <v>3914</v>
      </c>
      <c r="AQ1414" s="35">
        <f>AO1414*1.03</f>
        <v>4031.42</v>
      </c>
      <c r="AS1414" s="35">
        <f>AQ1414*1.03</f>
        <v>4152.3626000000004</v>
      </c>
      <c r="AT1414" s="35"/>
      <c r="AU1414" s="35">
        <f>AS1414*1.03</f>
        <v>4276.9334780000008</v>
      </c>
      <c r="AW1414" s="35">
        <f>AU1414*1.03</f>
        <v>4405.2414823400013</v>
      </c>
      <c r="AY1414" s="35">
        <f>AW1414*1.03</f>
        <v>4537.3987268102019</v>
      </c>
      <c r="BA1414" s="35">
        <f>AY1414*1.03</f>
        <v>4673.5206886145079</v>
      </c>
      <c r="BC1414" s="35">
        <f>BA1414*1.03</f>
        <v>4813.7263092729436</v>
      </c>
      <c r="BE1414" s="35">
        <f>BC1414*1.03</f>
        <v>4958.1380985511323</v>
      </c>
    </row>
    <row r="1415" spans="1:57" x14ac:dyDescent="0.25">
      <c r="A1415" s="3"/>
    </row>
    <row r="1416" spans="1:57" x14ac:dyDescent="0.25">
      <c r="A1416" s="7" t="s">
        <v>137</v>
      </c>
    </row>
    <row r="1417" spans="1:57" x14ac:dyDescent="0.25">
      <c r="A1417" s="7" t="s">
        <v>164</v>
      </c>
    </row>
    <row r="1418" spans="1:57" x14ac:dyDescent="0.25">
      <c r="A1418" s="3" t="s">
        <v>950</v>
      </c>
      <c r="B1418" s="3">
        <v>15000</v>
      </c>
      <c r="D1418" s="3">
        <v>0</v>
      </c>
      <c r="E1418" s="3">
        <f>F1418-D1418</f>
        <v>15000</v>
      </c>
      <c r="F1418" s="5">
        <v>15000</v>
      </c>
      <c r="H1418" s="5">
        <f>F1418-B1418</f>
        <v>0</v>
      </c>
      <c r="K1418" s="4">
        <f>L1418-J1418</f>
        <v>15000</v>
      </c>
      <c r="L1418" s="4">
        <v>15000</v>
      </c>
      <c r="N1418" s="4">
        <f>L1418-F1418</f>
        <v>0</v>
      </c>
      <c r="P1418" s="3">
        <v>15000</v>
      </c>
      <c r="Q1418" s="3"/>
      <c r="R1418" s="3"/>
      <c r="S1418" s="3">
        <f>T1418-R1418</f>
        <v>15000</v>
      </c>
      <c r="T1418" s="3">
        <v>15000</v>
      </c>
      <c r="U1418" s="3">
        <f>T1418-P1418</f>
        <v>0</v>
      </c>
      <c r="V1418" s="3"/>
      <c r="W1418" s="3"/>
      <c r="X1418" s="3"/>
      <c r="Y1418" s="3">
        <v>15000</v>
      </c>
      <c r="Z1418" s="3">
        <f>Y1418-T1418</f>
        <v>0</v>
      </c>
      <c r="AA1418" s="3"/>
      <c r="AB1418" s="3"/>
      <c r="AC1418" s="3"/>
      <c r="AD1418" s="3">
        <f>AE1418-AC1418</f>
        <v>10000</v>
      </c>
      <c r="AE1418" s="3">
        <v>10000</v>
      </c>
      <c r="AF1418" s="3">
        <f>AE1418-Y1418</f>
        <v>-5000</v>
      </c>
      <c r="AG1418" s="4"/>
      <c r="AH1418" s="4">
        <v>5000</v>
      </c>
      <c r="AJ1418" s="3"/>
      <c r="AK1418" s="3">
        <f>AL1418-AJ1418</f>
        <v>5000</v>
      </c>
      <c r="AL1418" s="3">
        <v>5000</v>
      </c>
      <c r="AM1418" s="3">
        <f>AL1418-AH1418</f>
        <v>0</v>
      </c>
      <c r="AO1418" s="3"/>
      <c r="AP1418" s="3"/>
      <c r="AQ1418" s="3">
        <v>40000</v>
      </c>
      <c r="AR1418" s="3"/>
      <c r="AS1418" s="3"/>
      <c r="AT1418" s="3"/>
      <c r="AU1418" s="3"/>
      <c r="AV1418" s="42"/>
      <c r="AW1418" s="3"/>
      <c r="AX1418" s="42"/>
      <c r="AY1418" s="3"/>
      <c r="AZ1418" s="42"/>
      <c r="BA1418" s="3"/>
      <c r="BB1418" s="42"/>
      <c r="BC1418" s="3"/>
      <c r="BE1418" s="3"/>
    </row>
    <row r="1419" spans="1:57" x14ac:dyDescent="0.25">
      <c r="A1419" s="3" t="s">
        <v>951</v>
      </c>
      <c r="B1419" s="3"/>
      <c r="D1419" s="3"/>
      <c r="E1419" s="3"/>
      <c r="K1419" s="4"/>
      <c r="L1419" s="4"/>
      <c r="N1419" s="4"/>
      <c r="P1419" s="3"/>
      <c r="Q1419" s="3"/>
      <c r="R1419" s="3"/>
      <c r="S1419" s="3">
        <f>T1419-R1419</f>
        <v>10750</v>
      </c>
      <c r="T1419" s="3">
        <v>10750</v>
      </c>
      <c r="U1419" s="3">
        <f>T1419-P1419</f>
        <v>10750</v>
      </c>
      <c r="V1419" s="3"/>
      <c r="W1419" s="3"/>
      <c r="X1419" s="3"/>
      <c r="Y1419" s="3">
        <v>10750</v>
      </c>
      <c r="Z1419" s="3">
        <f>Y1419-T1419</f>
        <v>0</v>
      </c>
      <c r="AA1419" s="3"/>
      <c r="AB1419" s="3"/>
      <c r="AC1419" s="3">
        <v>10750</v>
      </c>
      <c r="AD1419" s="3">
        <f>AE1419-AC1419</f>
        <v>0</v>
      </c>
      <c r="AE1419" s="3">
        <v>10750</v>
      </c>
      <c r="AF1419" s="3">
        <f>AE1419-Y1419</f>
        <v>0</v>
      </c>
      <c r="AG1419" s="4"/>
      <c r="AH1419" s="4"/>
      <c r="AJ1419" s="3"/>
      <c r="AK1419" s="3">
        <f>AL1419-AJ1419</f>
        <v>0</v>
      </c>
      <c r="AL1419" s="3"/>
      <c r="AM1419" s="3">
        <f>AL1419-AH1419</f>
        <v>0</v>
      </c>
      <c r="AO1419" s="3"/>
      <c r="AP1419" s="3"/>
      <c r="AQ1419" s="3"/>
      <c r="AR1419" s="3"/>
      <c r="AS1419" s="3"/>
      <c r="AT1419" s="3"/>
      <c r="AU1419" s="3"/>
      <c r="AV1419" s="42"/>
      <c r="AW1419" s="3"/>
      <c r="AX1419" s="42"/>
      <c r="AY1419" s="3"/>
      <c r="AZ1419" s="42"/>
      <c r="BA1419" s="3"/>
      <c r="BB1419" s="42"/>
      <c r="BC1419" s="3"/>
      <c r="BE1419" s="3"/>
    </row>
    <row r="1420" spans="1:57" x14ac:dyDescent="0.25">
      <c r="A1420" s="3" t="s">
        <v>952</v>
      </c>
      <c r="Z1420" s="3">
        <f>Y1420-T1420</f>
        <v>0</v>
      </c>
      <c r="AD1420" s="3">
        <f>AE1420-AC1420</f>
        <v>0</v>
      </c>
      <c r="AE1420" s="3"/>
      <c r="AF1420" s="3">
        <f>AE1420-Y1420</f>
        <v>0</v>
      </c>
      <c r="AK1420" s="3">
        <f>AL1420-AJ1420</f>
        <v>0</v>
      </c>
      <c r="AL1420" s="3"/>
      <c r="AM1420" s="3">
        <f>AL1420-AH1420</f>
        <v>0</v>
      </c>
    </row>
    <row r="1421" spans="1:57" x14ac:dyDescent="0.25">
      <c r="A1421" s="3"/>
      <c r="B1421" s="48">
        <f>B1420+B1418</f>
        <v>15000</v>
      </c>
      <c r="C1421" s="32"/>
      <c r="D1421" s="48">
        <f>D1420+D1418</f>
        <v>0</v>
      </c>
      <c r="E1421" s="48">
        <f>E1420+E1418</f>
        <v>15000</v>
      </c>
      <c r="F1421" s="48">
        <f>F1420+F1418</f>
        <v>15000</v>
      </c>
      <c r="G1421" s="32"/>
      <c r="H1421" s="48">
        <f>H1420+H1418</f>
        <v>0</v>
      </c>
      <c r="I1421" s="36"/>
      <c r="J1421" s="48">
        <f>J1420+J1418</f>
        <v>0</v>
      </c>
      <c r="K1421" s="48">
        <f>K1420+K1418</f>
        <v>15000</v>
      </c>
      <c r="L1421" s="48">
        <f>L1420+L1418</f>
        <v>15000</v>
      </c>
      <c r="M1421" s="32"/>
      <c r="N1421" s="48">
        <f>N1420+N1418</f>
        <v>0</v>
      </c>
      <c r="P1421" s="48">
        <f>SUM(P1418:P1420)</f>
        <v>15000</v>
      </c>
      <c r="R1421" s="48">
        <f t="shared" ref="R1421:Z1421" si="726">SUM(R1418:R1420)</f>
        <v>0</v>
      </c>
      <c r="S1421" s="48">
        <f t="shared" si="726"/>
        <v>25750</v>
      </c>
      <c r="T1421" s="48">
        <f t="shared" si="726"/>
        <v>25750</v>
      </c>
      <c r="U1421" s="48">
        <f t="shared" si="726"/>
        <v>10750</v>
      </c>
      <c r="V1421" s="48">
        <f t="shared" si="726"/>
        <v>0</v>
      </c>
      <c r="W1421" s="48">
        <f t="shared" si="726"/>
        <v>0</v>
      </c>
      <c r="X1421" s="48"/>
      <c r="Y1421" s="48">
        <f t="shared" si="726"/>
        <v>25750</v>
      </c>
      <c r="Z1421" s="48">
        <f t="shared" si="726"/>
        <v>0</v>
      </c>
      <c r="AC1421" s="48">
        <f>SUM(AC1418:AC1420)</f>
        <v>10750</v>
      </c>
      <c r="AD1421" s="48">
        <f>SUM(AD1418:AD1420)</f>
        <v>10000</v>
      </c>
      <c r="AE1421" s="48">
        <f>SUM(AE1418:AE1420)</f>
        <v>20750</v>
      </c>
      <c r="AF1421" s="48">
        <f>SUM(AF1418:AF1420)</f>
        <v>-5000</v>
      </c>
      <c r="AH1421" s="36">
        <f>AH1420+AH1418</f>
        <v>5000</v>
      </c>
      <c r="AI1421" s="32"/>
      <c r="AJ1421" s="48">
        <f>AJ1420+AJ1418</f>
        <v>0</v>
      </c>
      <c r="AK1421" s="48">
        <f>AK1420+AK1418</f>
        <v>5000</v>
      </c>
      <c r="AL1421" s="48">
        <f>AL1420+AL1418</f>
        <v>5000</v>
      </c>
      <c r="AM1421" s="48">
        <f>AM1420+AM1418</f>
        <v>0</v>
      </c>
      <c r="AN1421" s="32"/>
      <c r="AO1421" s="48">
        <f>AO1420+AO1418</f>
        <v>0</v>
      </c>
      <c r="AQ1421" s="48">
        <f>AQ1420+AQ1418</f>
        <v>40000</v>
      </c>
      <c r="AS1421" s="48">
        <f>AS1420+AS1418</f>
        <v>0</v>
      </c>
      <c r="AT1421" s="48"/>
      <c r="AU1421" s="48">
        <f>AU1420+AU1418</f>
        <v>0</v>
      </c>
      <c r="AW1421" s="48">
        <f>AW1420+AW1418</f>
        <v>0</v>
      </c>
      <c r="AY1421" s="48">
        <f>AY1420+AY1418</f>
        <v>0</v>
      </c>
      <c r="BA1421" s="48">
        <f>BA1420+BA1418</f>
        <v>0</v>
      </c>
      <c r="BC1421" s="48">
        <f>BC1420+BC1418</f>
        <v>0</v>
      </c>
      <c r="BE1421" s="48">
        <f>BE1420+BE1418</f>
        <v>0</v>
      </c>
    </row>
    <row r="1422" spans="1:57" x14ac:dyDescent="0.25">
      <c r="A1422" s="7" t="s">
        <v>938</v>
      </c>
    </row>
    <row r="1423" spans="1:57" x14ac:dyDescent="0.25">
      <c r="A1423" s="7" t="s">
        <v>495</v>
      </c>
      <c r="Z1423" s="3">
        <f t="shared" ref="Z1423:Z1444" si="727">Y1423-T1423</f>
        <v>0</v>
      </c>
      <c r="AD1423" s="3">
        <f t="shared" ref="AD1423:AD1444" si="728">AE1423-AC1423</f>
        <v>0</v>
      </c>
      <c r="AE1423" s="3"/>
      <c r="AF1423" s="3">
        <f t="shared" ref="AF1423:AF1444" si="729">AE1423-Y1423</f>
        <v>0</v>
      </c>
      <c r="AK1423" s="3">
        <f t="shared" ref="AK1423:AK1444" si="730">AL1423-AJ1423</f>
        <v>0</v>
      </c>
      <c r="AL1423" s="3"/>
      <c r="AM1423" s="3">
        <f t="shared" ref="AM1423:AM1444" si="731">AL1423-AH1423</f>
        <v>0</v>
      </c>
    </row>
    <row r="1424" spans="1:57" x14ac:dyDescent="0.25">
      <c r="A1424" s="7" t="s">
        <v>953</v>
      </c>
      <c r="Z1424" s="3">
        <f t="shared" si="727"/>
        <v>0</v>
      </c>
      <c r="AD1424" s="3">
        <f t="shared" si="728"/>
        <v>0</v>
      </c>
      <c r="AE1424" s="3"/>
      <c r="AF1424" s="3">
        <f t="shared" si="729"/>
        <v>0</v>
      </c>
      <c r="AK1424" s="3">
        <f t="shared" si="730"/>
        <v>0</v>
      </c>
      <c r="AL1424" s="3"/>
      <c r="AM1424" s="3">
        <f t="shared" si="731"/>
        <v>0</v>
      </c>
    </row>
    <row r="1425" spans="1:57" x14ac:dyDescent="0.25">
      <c r="A1425" s="3" t="s">
        <v>954</v>
      </c>
      <c r="Z1425" s="3">
        <f t="shared" si="727"/>
        <v>0</v>
      </c>
      <c r="AD1425" s="3">
        <f t="shared" si="728"/>
        <v>0</v>
      </c>
      <c r="AE1425" s="3"/>
      <c r="AF1425" s="3">
        <f t="shared" si="729"/>
        <v>0</v>
      </c>
      <c r="AK1425" s="3">
        <f t="shared" si="730"/>
        <v>0</v>
      </c>
      <c r="AL1425" s="3"/>
      <c r="AM1425" s="3">
        <f t="shared" si="731"/>
        <v>0</v>
      </c>
    </row>
    <row r="1426" spans="1:57" x14ac:dyDescent="0.25">
      <c r="A1426" s="3" t="s">
        <v>955</v>
      </c>
      <c r="Z1426" s="3">
        <f t="shared" si="727"/>
        <v>0</v>
      </c>
      <c r="AD1426" s="3">
        <f t="shared" si="728"/>
        <v>0</v>
      </c>
      <c r="AE1426" s="3"/>
      <c r="AF1426" s="3">
        <f t="shared" si="729"/>
        <v>0</v>
      </c>
      <c r="AK1426" s="3">
        <f t="shared" si="730"/>
        <v>0</v>
      </c>
      <c r="AL1426" s="3"/>
      <c r="AM1426" s="3">
        <f t="shared" si="731"/>
        <v>0</v>
      </c>
    </row>
    <row r="1427" spans="1:57" x14ac:dyDescent="0.25">
      <c r="A1427" s="7" t="s">
        <v>956</v>
      </c>
      <c r="B1427" s="3">
        <v>40000</v>
      </c>
      <c r="D1427" s="3">
        <v>0</v>
      </c>
      <c r="E1427" s="3">
        <f t="shared" ref="E1427:E1444" si="732">F1427-D1427</f>
        <v>40000</v>
      </c>
      <c r="F1427" s="5">
        <v>40000</v>
      </c>
      <c r="H1427" s="5">
        <f t="shared" ref="H1427:H1444" si="733">F1427-B1427</f>
        <v>0</v>
      </c>
      <c r="K1427" s="4">
        <f t="shared" ref="K1427:K1444" si="734">L1427-J1427</f>
        <v>40000</v>
      </c>
      <c r="L1427" s="4">
        <v>40000</v>
      </c>
      <c r="N1427" s="4">
        <f t="shared" ref="N1427:N1444" si="735">L1427-F1427</f>
        <v>0</v>
      </c>
      <c r="P1427" s="3">
        <v>105000</v>
      </c>
      <c r="Q1427" s="3"/>
      <c r="R1427" s="3">
        <v>12850</v>
      </c>
      <c r="S1427" s="3">
        <f>T1427-R1427</f>
        <v>92150</v>
      </c>
      <c r="T1427" s="3">
        <v>105000</v>
      </c>
      <c r="U1427" s="3">
        <f>T1427-P1427</f>
        <v>0</v>
      </c>
      <c r="V1427" s="3">
        <v>48815</v>
      </c>
      <c r="W1427" s="3">
        <f t="shared" ref="W1427:W1438" si="736">Y1427-V1427</f>
        <v>56185</v>
      </c>
      <c r="X1427" s="3"/>
      <c r="Y1427" s="3">
        <v>105000</v>
      </c>
      <c r="Z1427" s="3">
        <f t="shared" si="727"/>
        <v>0</v>
      </c>
      <c r="AA1427" s="3"/>
      <c r="AB1427" s="3"/>
      <c r="AC1427" s="3">
        <v>54424</v>
      </c>
      <c r="AD1427" s="3">
        <f t="shared" si="728"/>
        <v>45576</v>
      </c>
      <c r="AE1427" s="3">
        <v>100000</v>
      </c>
      <c r="AF1427" s="3">
        <f t="shared" si="729"/>
        <v>-5000</v>
      </c>
      <c r="AG1427" s="4"/>
      <c r="AH1427" s="4">
        <v>70000</v>
      </c>
      <c r="AJ1427" s="3">
        <v>34714</v>
      </c>
      <c r="AK1427" s="3">
        <f t="shared" si="730"/>
        <v>35286</v>
      </c>
      <c r="AL1427" s="3">
        <v>70000</v>
      </c>
      <c r="AM1427" s="3">
        <f t="shared" si="731"/>
        <v>0</v>
      </c>
      <c r="AO1427" s="3">
        <v>80000</v>
      </c>
      <c r="AP1427" s="3"/>
      <c r="AQ1427" s="3">
        <v>90000</v>
      </c>
      <c r="AR1427" s="3"/>
      <c r="AS1427" s="3">
        <v>90000</v>
      </c>
      <c r="AT1427" s="3"/>
      <c r="AU1427" s="3">
        <v>90000</v>
      </c>
      <c r="AV1427" s="3"/>
      <c r="AW1427" s="3">
        <v>105000</v>
      </c>
      <c r="AX1427" s="42"/>
      <c r="AY1427" s="3">
        <v>105000</v>
      </c>
      <c r="AZ1427" s="42"/>
      <c r="BA1427" s="3">
        <v>105000</v>
      </c>
      <c r="BB1427" s="42"/>
      <c r="BC1427" s="3">
        <v>120000</v>
      </c>
      <c r="BE1427" s="3">
        <v>120000</v>
      </c>
    </row>
    <row r="1428" spans="1:57" x14ac:dyDescent="0.25">
      <c r="A1428" s="3" t="s">
        <v>957</v>
      </c>
      <c r="B1428" s="3"/>
      <c r="D1428" s="3"/>
      <c r="E1428" s="3">
        <f t="shared" si="732"/>
        <v>0</v>
      </c>
      <c r="H1428" s="5">
        <f t="shared" si="733"/>
        <v>0</v>
      </c>
      <c r="K1428" s="4">
        <f t="shared" si="734"/>
        <v>0</v>
      </c>
      <c r="L1428" s="4"/>
      <c r="N1428" s="4">
        <f t="shared" si="735"/>
        <v>0</v>
      </c>
      <c r="P1428" s="3"/>
      <c r="Q1428" s="3"/>
      <c r="R1428" s="3"/>
      <c r="S1428" s="3"/>
      <c r="T1428" s="3"/>
      <c r="U1428" s="3"/>
      <c r="V1428" s="3"/>
      <c r="W1428" s="3">
        <f t="shared" si="736"/>
        <v>0</v>
      </c>
      <c r="X1428" s="3"/>
      <c r="Y1428" s="3"/>
      <c r="Z1428" s="3">
        <f t="shared" si="727"/>
        <v>0</v>
      </c>
      <c r="AA1428" s="3"/>
      <c r="AB1428" s="3"/>
      <c r="AC1428" s="3"/>
      <c r="AD1428" s="3">
        <f t="shared" si="728"/>
        <v>0</v>
      </c>
      <c r="AE1428" s="3"/>
      <c r="AF1428" s="3">
        <f t="shared" si="729"/>
        <v>0</v>
      </c>
      <c r="AG1428" s="4"/>
      <c r="AH1428" s="4"/>
      <c r="AJ1428" s="3"/>
      <c r="AK1428" s="3">
        <f t="shared" si="730"/>
        <v>0</v>
      </c>
      <c r="AL1428" s="3"/>
      <c r="AM1428" s="3">
        <f t="shared" si="731"/>
        <v>0</v>
      </c>
      <c r="AO1428" s="3"/>
      <c r="AP1428" s="3"/>
      <c r="AQ1428" s="3"/>
      <c r="AR1428" s="3"/>
      <c r="AS1428" s="3"/>
      <c r="AT1428" s="3"/>
      <c r="AU1428" s="3"/>
      <c r="AV1428" s="42"/>
      <c r="AW1428" s="3"/>
      <c r="AX1428" s="42"/>
      <c r="AY1428" s="3"/>
      <c r="AZ1428" s="42"/>
      <c r="BA1428" s="3"/>
      <c r="BB1428" s="42"/>
      <c r="BC1428" s="3"/>
      <c r="BE1428" s="3"/>
    </row>
    <row r="1429" spans="1:57" x14ac:dyDescent="0.25">
      <c r="A1429" s="3" t="s">
        <v>958</v>
      </c>
      <c r="B1429" s="3"/>
      <c r="D1429" s="3"/>
      <c r="E1429" s="3">
        <f t="shared" si="732"/>
        <v>0</v>
      </c>
      <c r="H1429" s="5">
        <f t="shared" si="733"/>
        <v>0</v>
      </c>
      <c r="K1429" s="4">
        <f t="shared" si="734"/>
        <v>0</v>
      </c>
      <c r="L1429" s="4"/>
      <c r="N1429" s="4">
        <f t="shared" si="735"/>
        <v>0</v>
      </c>
      <c r="P1429" s="3"/>
      <c r="Q1429" s="3"/>
      <c r="R1429" s="3"/>
      <c r="S1429" s="3"/>
      <c r="T1429" s="3"/>
      <c r="U1429" s="3"/>
      <c r="V1429" s="3"/>
      <c r="W1429" s="3">
        <f t="shared" si="736"/>
        <v>0</v>
      </c>
      <c r="X1429" s="3"/>
      <c r="Y1429" s="3"/>
      <c r="Z1429" s="3">
        <f t="shared" si="727"/>
        <v>0</v>
      </c>
      <c r="AA1429" s="3"/>
      <c r="AB1429" s="3"/>
      <c r="AC1429" s="3"/>
      <c r="AD1429" s="3">
        <f t="shared" si="728"/>
        <v>0</v>
      </c>
      <c r="AE1429" s="3"/>
      <c r="AF1429" s="3">
        <f t="shared" si="729"/>
        <v>0</v>
      </c>
      <c r="AG1429" s="4"/>
      <c r="AH1429" s="4"/>
      <c r="AJ1429" s="3"/>
      <c r="AK1429" s="3">
        <f t="shared" si="730"/>
        <v>0</v>
      </c>
      <c r="AL1429" s="3"/>
      <c r="AM1429" s="3">
        <f t="shared" si="731"/>
        <v>0</v>
      </c>
      <c r="AO1429" s="3"/>
      <c r="AP1429" s="3"/>
      <c r="AQ1429" s="3"/>
      <c r="AR1429" s="3"/>
      <c r="AS1429" s="3"/>
      <c r="AT1429" s="3"/>
      <c r="AU1429" s="3"/>
      <c r="AV1429" s="42"/>
      <c r="AW1429" s="3"/>
      <c r="AX1429" s="42"/>
      <c r="AY1429" s="3"/>
      <c r="AZ1429" s="42"/>
      <c r="BA1429" s="3"/>
      <c r="BB1429" s="42"/>
      <c r="BC1429" s="3"/>
      <c r="BE1429" s="3"/>
    </row>
    <row r="1430" spans="1:57" x14ac:dyDescent="0.25">
      <c r="A1430" s="3" t="s">
        <v>959</v>
      </c>
      <c r="B1430" s="3"/>
      <c r="D1430" s="3"/>
      <c r="E1430" s="3">
        <f t="shared" si="732"/>
        <v>0</v>
      </c>
      <c r="H1430" s="5">
        <f t="shared" si="733"/>
        <v>0</v>
      </c>
      <c r="K1430" s="4">
        <f t="shared" si="734"/>
        <v>0</v>
      </c>
      <c r="L1430" s="4"/>
      <c r="N1430" s="4">
        <f t="shared" si="735"/>
        <v>0</v>
      </c>
      <c r="P1430" s="3"/>
      <c r="Q1430" s="3"/>
      <c r="R1430" s="3"/>
      <c r="S1430" s="3"/>
      <c r="T1430" s="3"/>
      <c r="U1430" s="3"/>
      <c r="V1430" s="3"/>
      <c r="W1430" s="3">
        <f t="shared" si="736"/>
        <v>0</v>
      </c>
      <c r="X1430" s="3"/>
      <c r="Y1430" s="3"/>
      <c r="Z1430" s="3">
        <f t="shared" si="727"/>
        <v>0</v>
      </c>
      <c r="AA1430" s="3"/>
      <c r="AB1430" s="3"/>
      <c r="AC1430" s="3"/>
      <c r="AD1430" s="3">
        <f t="shared" si="728"/>
        <v>0</v>
      </c>
      <c r="AE1430" s="3"/>
      <c r="AF1430" s="3">
        <f t="shared" si="729"/>
        <v>0</v>
      </c>
      <c r="AG1430" s="4"/>
      <c r="AH1430" s="4"/>
      <c r="AJ1430" s="3"/>
      <c r="AK1430" s="3">
        <f t="shared" si="730"/>
        <v>0</v>
      </c>
      <c r="AL1430" s="3"/>
      <c r="AM1430" s="3">
        <f t="shared" si="731"/>
        <v>0</v>
      </c>
      <c r="AO1430" s="3"/>
      <c r="AP1430" s="3"/>
      <c r="AQ1430" s="3"/>
      <c r="AR1430" s="3"/>
      <c r="AS1430" s="3"/>
      <c r="AT1430" s="3"/>
      <c r="AU1430" s="3"/>
      <c r="AV1430" s="42"/>
      <c r="AW1430" s="3"/>
      <c r="AX1430" s="42"/>
      <c r="AY1430" s="3"/>
      <c r="AZ1430" s="42"/>
      <c r="BA1430" s="3"/>
      <c r="BB1430" s="42"/>
      <c r="BC1430" s="3"/>
      <c r="BE1430" s="3"/>
    </row>
    <row r="1431" spans="1:57" x14ac:dyDescent="0.25">
      <c r="A1431" s="3" t="s">
        <v>960</v>
      </c>
      <c r="B1431" s="3"/>
      <c r="D1431" s="3"/>
      <c r="E1431" s="3">
        <f t="shared" si="732"/>
        <v>0</v>
      </c>
      <c r="H1431" s="5">
        <f t="shared" si="733"/>
        <v>0</v>
      </c>
      <c r="K1431" s="4">
        <f t="shared" si="734"/>
        <v>0</v>
      </c>
      <c r="L1431" s="4"/>
      <c r="N1431" s="4">
        <f t="shared" si="735"/>
        <v>0</v>
      </c>
      <c r="P1431" s="3"/>
      <c r="Q1431" s="3"/>
      <c r="R1431" s="3"/>
      <c r="S1431" s="3"/>
      <c r="T1431" s="3"/>
      <c r="U1431" s="3"/>
      <c r="V1431" s="3"/>
      <c r="W1431" s="3">
        <f t="shared" si="736"/>
        <v>0</v>
      </c>
      <c r="X1431" s="3"/>
      <c r="Y1431" s="3"/>
      <c r="Z1431" s="3">
        <f t="shared" si="727"/>
        <v>0</v>
      </c>
      <c r="AA1431" s="3"/>
      <c r="AB1431" s="3"/>
      <c r="AC1431" s="3"/>
      <c r="AD1431" s="3">
        <f t="shared" si="728"/>
        <v>0</v>
      </c>
      <c r="AE1431" s="3"/>
      <c r="AF1431" s="3">
        <f t="shared" si="729"/>
        <v>0</v>
      </c>
      <c r="AG1431" s="4"/>
      <c r="AH1431" s="4"/>
      <c r="AJ1431" s="3"/>
      <c r="AK1431" s="3">
        <f t="shared" si="730"/>
        <v>0</v>
      </c>
      <c r="AL1431" s="3"/>
      <c r="AM1431" s="3">
        <f t="shared" si="731"/>
        <v>0</v>
      </c>
      <c r="AO1431" s="3"/>
      <c r="AP1431" s="3"/>
      <c r="AQ1431" s="3"/>
      <c r="AR1431" s="3"/>
      <c r="AS1431" s="3"/>
      <c r="AT1431" s="3"/>
      <c r="AU1431" s="3"/>
      <c r="AV1431" s="42"/>
      <c r="AW1431" s="3"/>
      <c r="AX1431" s="42"/>
      <c r="AY1431" s="3"/>
      <c r="AZ1431" s="42"/>
      <c r="BA1431" s="3"/>
      <c r="BB1431" s="42"/>
      <c r="BC1431" s="3"/>
      <c r="BE1431" s="3"/>
    </row>
    <row r="1432" spans="1:57" x14ac:dyDescent="0.25">
      <c r="A1432" s="3" t="s">
        <v>961</v>
      </c>
      <c r="B1432" s="3"/>
      <c r="D1432" s="3"/>
      <c r="E1432" s="3">
        <f t="shared" si="732"/>
        <v>0</v>
      </c>
      <c r="H1432" s="5">
        <f t="shared" si="733"/>
        <v>0</v>
      </c>
      <c r="K1432" s="4">
        <f t="shared" si="734"/>
        <v>0</v>
      </c>
      <c r="L1432" s="4"/>
      <c r="N1432" s="4">
        <f t="shared" si="735"/>
        <v>0</v>
      </c>
      <c r="P1432" s="3"/>
      <c r="Q1432" s="3"/>
      <c r="R1432" s="3"/>
      <c r="S1432" s="3"/>
      <c r="T1432" s="3"/>
      <c r="U1432" s="3"/>
      <c r="V1432" s="3"/>
      <c r="W1432" s="3">
        <f t="shared" si="736"/>
        <v>0</v>
      </c>
      <c r="X1432" s="3"/>
      <c r="Y1432" s="3"/>
      <c r="Z1432" s="3">
        <f t="shared" si="727"/>
        <v>0</v>
      </c>
      <c r="AA1432" s="3"/>
      <c r="AB1432" s="3"/>
      <c r="AC1432" s="3"/>
      <c r="AD1432" s="3">
        <f t="shared" si="728"/>
        <v>0</v>
      </c>
      <c r="AE1432" s="3"/>
      <c r="AF1432" s="3">
        <f t="shared" si="729"/>
        <v>0</v>
      </c>
      <c r="AG1432" s="4"/>
      <c r="AH1432" s="4"/>
      <c r="AJ1432" s="3"/>
      <c r="AK1432" s="3">
        <f t="shared" si="730"/>
        <v>0</v>
      </c>
      <c r="AL1432" s="3"/>
      <c r="AM1432" s="3">
        <f t="shared" si="731"/>
        <v>0</v>
      </c>
      <c r="AO1432" s="3"/>
      <c r="AP1432" s="3"/>
      <c r="AQ1432" s="3"/>
      <c r="AR1432" s="3"/>
      <c r="AS1432" s="3"/>
      <c r="AT1432" s="3"/>
      <c r="AU1432" s="3"/>
      <c r="AV1432" s="42"/>
      <c r="AW1432" s="3"/>
      <c r="AX1432" s="42"/>
      <c r="AY1432" s="3"/>
      <c r="AZ1432" s="42"/>
      <c r="BA1432" s="3"/>
      <c r="BB1432" s="42"/>
      <c r="BC1432" s="3"/>
      <c r="BE1432" s="3"/>
    </row>
    <row r="1433" spans="1:57" x14ac:dyDescent="0.25">
      <c r="A1433" s="3" t="s">
        <v>962</v>
      </c>
      <c r="B1433" s="3"/>
      <c r="D1433" s="3"/>
      <c r="E1433" s="3">
        <f t="shared" si="732"/>
        <v>0</v>
      </c>
      <c r="H1433" s="5">
        <f t="shared" si="733"/>
        <v>0</v>
      </c>
      <c r="K1433" s="4">
        <f t="shared" si="734"/>
        <v>0</v>
      </c>
      <c r="L1433" s="4"/>
      <c r="N1433" s="4">
        <f t="shared" si="735"/>
        <v>0</v>
      </c>
      <c r="P1433" s="3"/>
      <c r="Q1433" s="3"/>
      <c r="R1433" s="3"/>
      <c r="S1433" s="3"/>
      <c r="T1433" s="3"/>
      <c r="U1433" s="3"/>
      <c r="V1433" s="3"/>
      <c r="W1433" s="3">
        <f t="shared" si="736"/>
        <v>0</v>
      </c>
      <c r="X1433" s="3"/>
      <c r="Y1433" s="3"/>
      <c r="Z1433" s="3">
        <f t="shared" si="727"/>
        <v>0</v>
      </c>
      <c r="AA1433" s="3"/>
      <c r="AB1433" s="3"/>
      <c r="AC1433" s="3"/>
      <c r="AD1433" s="3">
        <f t="shared" si="728"/>
        <v>0</v>
      </c>
      <c r="AE1433" s="3"/>
      <c r="AF1433" s="3">
        <f t="shared" si="729"/>
        <v>0</v>
      </c>
      <c r="AG1433" s="4"/>
      <c r="AH1433" s="4"/>
      <c r="AJ1433" s="3"/>
      <c r="AK1433" s="3">
        <f t="shared" si="730"/>
        <v>0</v>
      </c>
      <c r="AL1433" s="3"/>
      <c r="AM1433" s="3">
        <f t="shared" si="731"/>
        <v>0</v>
      </c>
      <c r="AO1433" s="3"/>
      <c r="AP1433" s="3"/>
      <c r="AQ1433" s="3"/>
      <c r="AR1433" s="3"/>
      <c r="AS1433" s="3"/>
      <c r="AT1433" s="3"/>
      <c r="AU1433" s="3"/>
      <c r="AV1433" s="42"/>
      <c r="AW1433" s="3"/>
      <c r="AX1433" s="42"/>
      <c r="AY1433" s="3"/>
      <c r="AZ1433" s="42"/>
      <c r="BA1433" s="3"/>
      <c r="BB1433" s="42"/>
      <c r="BC1433" s="3"/>
      <c r="BE1433" s="3"/>
    </row>
    <row r="1434" spans="1:57" x14ac:dyDescent="0.25">
      <c r="A1434" s="3" t="s">
        <v>959</v>
      </c>
      <c r="B1434" s="3"/>
      <c r="D1434" s="3"/>
      <c r="E1434" s="3">
        <f t="shared" si="732"/>
        <v>0</v>
      </c>
      <c r="H1434" s="5">
        <f t="shared" si="733"/>
        <v>0</v>
      </c>
      <c r="K1434" s="4">
        <f t="shared" si="734"/>
        <v>0</v>
      </c>
      <c r="L1434" s="4"/>
      <c r="N1434" s="4">
        <f t="shared" si="735"/>
        <v>0</v>
      </c>
      <c r="P1434" s="3"/>
      <c r="Q1434" s="3"/>
      <c r="R1434" s="3"/>
      <c r="S1434" s="3"/>
      <c r="T1434" s="3"/>
      <c r="U1434" s="3"/>
      <c r="V1434" s="3"/>
      <c r="W1434" s="3">
        <f t="shared" si="736"/>
        <v>0</v>
      </c>
      <c r="X1434" s="3"/>
      <c r="Y1434" s="3"/>
      <c r="Z1434" s="3">
        <f t="shared" si="727"/>
        <v>0</v>
      </c>
      <c r="AA1434" s="3"/>
      <c r="AB1434" s="3"/>
      <c r="AC1434" s="3"/>
      <c r="AD1434" s="3">
        <f t="shared" si="728"/>
        <v>0</v>
      </c>
      <c r="AE1434" s="3"/>
      <c r="AF1434" s="3">
        <f t="shared" si="729"/>
        <v>0</v>
      </c>
      <c r="AG1434" s="4"/>
      <c r="AH1434" s="4"/>
      <c r="AJ1434" s="3"/>
      <c r="AK1434" s="3">
        <f t="shared" si="730"/>
        <v>0</v>
      </c>
      <c r="AL1434" s="3"/>
      <c r="AM1434" s="3">
        <f t="shared" si="731"/>
        <v>0</v>
      </c>
      <c r="AO1434" s="3"/>
      <c r="AP1434" s="3"/>
      <c r="AQ1434" s="3"/>
      <c r="AR1434" s="3"/>
      <c r="AS1434" s="3"/>
      <c r="AT1434" s="3"/>
      <c r="AU1434" s="3"/>
      <c r="AV1434" s="42"/>
      <c r="AW1434" s="3"/>
      <c r="AX1434" s="42"/>
      <c r="AY1434" s="3"/>
      <c r="AZ1434" s="42"/>
      <c r="BA1434" s="3"/>
      <c r="BB1434" s="42"/>
      <c r="BC1434" s="3"/>
      <c r="BE1434" s="3"/>
    </row>
    <row r="1435" spans="1:57" x14ac:dyDescent="0.25">
      <c r="A1435" s="3" t="s">
        <v>963</v>
      </c>
      <c r="B1435" s="3"/>
      <c r="D1435" s="3"/>
      <c r="E1435" s="3">
        <f t="shared" si="732"/>
        <v>0</v>
      </c>
      <c r="H1435" s="5">
        <f t="shared" si="733"/>
        <v>0</v>
      </c>
      <c r="K1435" s="4">
        <f t="shared" si="734"/>
        <v>0</v>
      </c>
      <c r="L1435" s="4"/>
      <c r="N1435" s="4">
        <f t="shared" si="735"/>
        <v>0</v>
      </c>
      <c r="P1435" s="3"/>
      <c r="Q1435" s="3"/>
      <c r="R1435" s="3"/>
      <c r="S1435" s="3"/>
      <c r="T1435" s="3"/>
      <c r="U1435" s="3"/>
      <c r="V1435" s="3"/>
      <c r="W1435" s="3">
        <f t="shared" si="736"/>
        <v>0</v>
      </c>
      <c r="X1435" s="3"/>
      <c r="Y1435" s="3"/>
      <c r="Z1435" s="3">
        <f t="shared" si="727"/>
        <v>0</v>
      </c>
      <c r="AA1435" s="3"/>
      <c r="AB1435" s="3"/>
      <c r="AC1435" s="3"/>
      <c r="AD1435" s="3">
        <f t="shared" si="728"/>
        <v>0</v>
      </c>
      <c r="AE1435" s="3"/>
      <c r="AF1435" s="3">
        <f t="shared" si="729"/>
        <v>0</v>
      </c>
      <c r="AG1435" s="4"/>
      <c r="AH1435" s="4"/>
      <c r="AJ1435" s="3"/>
      <c r="AK1435" s="3">
        <f t="shared" si="730"/>
        <v>0</v>
      </c>
      <c r="AL1435" s="3"/>
      <c r="AM1435" s="3">
        <f t="shared" si="731"/>
        <v>0</v>
      </c>
      <c r="AO1435" s="3"/>
      <c r="AP1435" s="3"/>
      <c r="AQ1435" s="3"/>
      <c r="AR1435" s="3"/>
      <c r="AS1435" s="3"/>
      <c r="AT1435" s="3"/>
      <c r="AU1435" s="3"/>
      <c r="AV1435" s="42"/>
      <c r="AW1435" s="3"/>
      <c r="AX1435" s="42"/>
      <c r="AY1435" s="3"/>
      <c r="AZ1435" s="42"/>
      <c r="BA1435" s="3"/>
      <c r="BB1435" s="42"/>
      <c r="BC1435" s="3"/>
      <c r="BE1435" s="3"/>
    </row>
    <row r="1436" spans="1:57" x14ac:dyDescent="0.25">
      <c r="A1436" s="3" t="s">
        <v>964</v>
      </c>
      <c r="B1436" s="3"/>
      <c r="D1436" s="3"/>
      <c r="E1436" s="3">
        <f t="shared" si="732"/>
        <v>0</v>
      </c>
      <c r="H1436" s="5">
        <f t="shared" si="733"/>
        <v>0</v>
      </c>
      <c r="K1436" s="4">
        <f t="shared" si="734"/>
        <v>0</v>
      </c>
      <c r="L1436" s="4"/>
      <c r="N1436" s="4">
        <f t="shared" si="735"/>
        <v>0</v>
      </c>
      <c r="P1436" s="3"/>
      <c r="Q1436" s="3"/>
      <c r="R1436" s="3"/>
      <c r="S1436" s="3"/>
      <c r="T1436" s="3"/>
      <c r="U1436" s="3"/>
      <c r="V1436" s="3"/>
      <c r="W1436" s="3">
        <f t="shared" si="736"/>
        <v>0</v>
      </c>
      <c r="X1436" s="3"/>
      <c r="Y1436" s="3"/>
      <c r="Z1436" s="3">
        <f t="shared" si="727"/>
        <v>0</v>
      </c>
      <c r="AA1436" s="3"/>
      <c r="AB1436" s="3"/>
      <c r="AC1436" s="3"/>
      <c r="AD1436" s="3">
        <f t="shared" si="728"/>
        <v>0</v>
      </c>
      <c r="AE1436" s="3"/>
      <c r="AF1436" s="3">
        <f t="shared" si="729"/>
        <v>0</v>
      </c>
      <c r="AG1436" s="4"/>
      <c r="AH1436" s="4"/>
      <c r="AJ1436" s="3"/>
      <c r="AK1436" s="3">
        <f t="shared" si="730"/>
        <v>0</v>
      </c>
      <c r="AL1436" s="3"/>
      <c r="AM1436" s="3">
        <f t="shared" si="731"/>
        <v>0</v>
      </c>
      <c r="AO1436" s="3"/>
      <c r="AP1436" s="3"/>
      <c r="AQ1436" s="3"/>
      <c r="AR1436" s="3"/>
      <c r="AS1436" s="3"/>
      <c r="AT1436" s="3"/>
      <c r="AU1436" s="3"/>
      <c r="AV1436" s="42"/>
      <c r="AW1436" s="3"/>
      <c r="AX1436" s="42"/>
      <c r="AY1436" s="3"/>
      <c r="AZ1436" s="42"/>
      <c r="BA1436" s="3"/>
      <c r="BB1436" s="42"/>
      <c r="BC1436" s="3"/>
      <c r="BE1436" s="3"/>
    </row>
    <row r="1437" spans="1:57" x14ac:dyDescent="0.25">
      <c r="A1437" s="3" t="s">
        <v>965</v>
      </c>
      <c r="B1437" s="3"/>
      <c r="D1437" s="3"/>
      <c r="E1437" s="3">
        <f t="shared" si="732"/>
        <v>0</v>
      </c>
      <c r="H1437" s="5">
        <f t="shared" si="733"/>
        <v>0</v>
      </c>
      <c r="K1437" s="4">
        <f t="shared" si="734"/>
        <v>0</v>
      </c>
      <c r="L1437" s="4"/>
      <c r="N1437" s="4">
        <f t="shared" si="735"/>
        <v>0</v>
      </c>
      <c r="P1437" s="3"/>
      <c r="Q1437" s="3"/>
      <c r="R1437" s="3"/>
      <c r="S1437" s="3"/>
      <c r="T1437" s="3"/>
      <c r="U1437" s="3"/>
      <c r="V1437" s="3"/>
      <c r="W1437" s="3">
        <f t="shared" si="736"/>
        <v>0</v>
      </c>
      <c r="X1437" s="3"/>
      <c r="Y1437" s="3"/>
      <c r="Z1437" s="3">
        <f t="shared" si="727"/>
        <v>0</v>
      </c>
      <c r="AA1437" s="3"/>
      <c r="AB1437" s="3"/>
      <c r="AC1437" s="3"/>
      <c r="AD1437" s="3">
        <f t="shared" si="728"/>
        <v>0</v>
      </c>
      <c r="AE1437" s="3"/>
      <c r="AF1437" s="3">
        <f t="shared" si="729"/>
        <v>0</v>
      </c>
      <c r="AG1437" s="4"/>
      <c r="AH1437" s="4"/>
      <c r="AJ1437" s="3"/>
      <c r="AK1437" s="3">
        <f t="shared" si="730"/>
        <v>0</v>
      </c>
      <c r="AL1437" s="3"/>
      <c r="AM1437" s="3">
        <f t="shared" si="731"/>
        <v>0</v>
      </c>
      <c r="AO1437" s="3"/>
      <c r="AP1437" s="3"/>
      <c r="AQ1437" s="3"/>
      <c r="AR1437" s="3"/>
      <c r="AS1437" s="3"/>
      <c r="AT1437" s="3"/>
      <c r="AU1437" s="3"/>
      <c r="AV1437" s="42"/>
      <c r="AW1437" s="3"/>
      <c r="AX1437" s="42"/>
      <c r="AY1437" s="3"/>
      <c r="AZ1437" s="42"/>
      <c r="BA1437" s="3"/>
      <c r="BB1437" s="42"/>
      <c r="BC1437" s="3"/>
      <c r="BE1437" s="3"/>
    </row>
    <row r="1438" spans="1:57" x14ac:dyDescent="0.25">
      <c r="A1438" s="7" t="s">
        <v>966</v>
      </c>
      <c r="B1438" s="3">
        <v>33000</v>
      </c>
      <c r="D1438" s="3">
        <v>0</v>
      </c>
      <c r="E1438" s="3">
        <f t="shared" si="732"/>
        <v>33000</v>
      </c>
      <c r="F1438" s="5">
        <v>33000</v>
      </c>
      <c r="H1438" s="5">
        <f t="shared" si="733"/>
        <v>0</v>
      </c>
      <c r="K1438" s="4">
        <f t="shared" si="734"/>
        <v>33000</v>
      </c>
      <c r="L1438" s="4">
        <v>33000</v>
      </c>
      <c r="N1438" s="4">
        <f t="shared" si="735"/>
        <v>0</v>
      </c>
      <c r="P1438" s="3">
        <v>20000</v>
      </c>
      <c r="Q1438" s="3"/>
      <c r="R1438" s="3">
        <v>17544</v>
      </c>
      <c r="S1438" s="3">
        <f>T1438-R1438</f>
        <v>2456</v>
      </c>
      <c r="T1438" s="3">
        <v>20000</v>
      </c>
      <c r="U1438" s="3">
        <f>T1438-P1438</f>
        <v>0</v>
      </c>
      <c r="V1438" s="3"/>
      <c r="W1438" s="3">
        <f t="shared" si="736"/>
        <v>20000</v>
      </c>
      <c r="X1438" s="3"/>
      <c r="Y1438" s="3">
        <v>20000</v>
      </c>
      <c r="Z1438" s="3">
        <f t="shared" si="727"/>
        <v>0</v>
      </c>
      <c r="AA1438" s="3"/>
      <c r="AB1438" s="3"/>
      <c r="AC1438" s="3"/>
      <c r="AD1438" s="3">
        <f t="shared" si="728"/>
        <v>17500</v>
      </c>
      <c r="AE1438" s="3">
        <v>17500</v>
      </c>
      <c r="AF1438" s="3">
        <f t="shared" si="729"/>
        <v>-2500</v>
      </c>
      <c r="AG1438" s="4"/>
      <c r="AH1438" s="4">
        <v>50000</v>
      </c>
      <c r="AJ1438" s="3">
        <v>105</v>
      </c>
      <c r="AK1438" s="3">
        <f t="shared" si="730"/>
        <v>49895</v>
      </c>
      <c r="AL1438" s="3">
        <v>50000</v>
      </c>
      <c r="AM1438" s="3">
        <f t="shared" si="731"/>
        <v>0</v>
      </c>
      <c r="AO1438" s="3">
        <v>50000</v>
      </c>
      <c r="AP1438" s="3"/>
      <c r="AQ1438" s="3">
        <v>60000</v>
      </c>
      <c r="AR1438" s="3"/>
      <c r="AS1438" s="3">
        <v>60000</v>
      </c>
      <c r="AT1438" s="3"/>
      <c r="AU1438" s="3">
        <v>70000</v>
      </c>
      <c r="AV1438" s="3"/>
      <c r="AW1438" s="3">
        <v>70000</v>
      </c>
      <c r="AX1438" s="42"/>
      <c r="AY1438" s="3">
        <v>70000</v>
      </c>
      <c r="AZ1438" s="42"/>
      <c r="BA1438" s="3">
        <v>80000</v>
      </c>
      <c r="BB1438" s="42"/>
      <c r="BC1438" s="3">
        <v>80000</v>
      </c>
      <c r="BE1438" s="3">
        <v>80000</v>
      </c>
    </row>
    <row r="1439" spans="1:57" x14ac:dyDescent="0.25">
      <c r="A1439" s="3" t="s">
        <v>967</v>
      </c>
      <c r="B1439" s="3"/>
      <c r="D1439" s="3"/>
      <c r="E1439" s="3">
        <f t="shared" si="732"/>
        <v>0</v>
      </c>
      <c r="H1439" s="5">
        <f t="shared" si="733"/>
        <v>0</v>
      </c>
      <c r="K1439" s="4">
        <f t="shared" si="734"/>
        <v>0</v>
      </c>
      <c r="L1439" s="4"/>
      <c r="N1439" s="4">
        <f t="shared" si="735"/>
        <v>0</v>
      </c>
      <c r="Z1439" s="3">
        <f t="shared" si="727"/>
        <v>0</v>
      </c>
      <c r="AD1439" s="3">
        <f t="shared" si="728"/>
        <v>0</v>
      </c>
      <c r="AE1439" s="3"/>
      <c r="AF1439" s="3">
        <f t="shared" si="729"/>
        <v>0</v>
      </c>
      <c r="AK1439" s="3">
        <f t="shared" si="730"/>
        <v>0</v>
      </c>
      <c r="AL1439" s="3"/>
      <c r="AM1439" s="3">
        <f t="shared" si="731"/>
        <v>0</v>
      </c>
      <c r="AV1439" s="5"/>
    </row>
    <row r="1440" spans="1:57" x14ac:dyDescent="0.25">
      <c r="A1440" s="3" t="s">
        <v>968</v>
      </c>
      <c r="E1440" s="3">
        <f t="shared" si="732"/>
        <v>0</v>
      </c>
      <c r="H1440" s="5">
        <f t="shared" si="733"/>
        <v>0</v>
      </c>
      <c r="K1440" s="4">
        <f t="shared" si="734"/>
        <v>0</v>
      </c>
      <c r="L1440" s="4"/>
      <c r="N1440" s="4">
        <f t="shared" si="735"/>
        <v>0</v>
      </c>
      <c r="Z1440" s="3">
        <f t="shared" si="727"/>
        <v>0</v>
      </c>
      <c r="AD1440" s="3">
        <f t="shared" si="728"/>
        <v>0</v>
      </c>
      <c r="AE1440" s="3"/>
      <c r="AF1440" s="3">
        <f t="shared" si="729"/>
        <v>0</v>
      </c>
      <c r="AK1440" s="3">
        <f t="shared" si="730"/>
        <v>0</v>
      </c>
      <c r="AL1440" s="3"/>
      <c r="AM1440" s="3">
        <f t="shared" si="731"/>
        <v>0</v>
      </c>
    </row>
    <row r="1441" spans="1:57" x14ac:dyDescent="0.25">
      <c r="A1441" s="3" t="s">
        <v>969</v>
      </c>
      <c r="E1441" s="3">
        <f t="shared" si="732"/>
        <v>0</v>
      </c>
      <c r="H1441" s="5">
        <f t="shared" si="733"/>
        <v>0</v>
      </c>
      <c r="K1441" s="4">
        <f t="shared" si="734"/>
        <v>0</v>
      </c>
      <c r="L1441" s="4"/>
      <c r="N1441" s="4">
        <f t="shared" si="735"/>
        <v>0</v>
      </c>
      <c r="Z1441" s="3">
        <f t="shared" si="727"/>
        <v>0</v>
      </c>
      <c r="AD1441" s="3">
        <f t="shared" si="728"/>
        <v>0</v>
      </c>
      <c r="AE1441" s="3"/>
      <c r="AF1441" s="3">
        <f t="shared" si="729"/>
        <v>0</v>
      </c>
      <c r="AK1441" s="3">
        <f t="shared" si="730"/>
        <v>0</v>
      </c>
      <c r="AL1441" s="3"/>
      <c r="AM1441" s="3">
        <f t="shared" si="731"/>
        <v>0</v>
      </c>
    </row>
    <row r="1442" spans="1:57" x14ac:dyDescent="0.25">
      <c r="A1442" s="3" t="s">
        <v>970</v>
      </c>
      <c r="E1442" s="3">
        <f t="shared" si="732"/>
        <v>0</v>
      </c>
      <c r="H1442" s="5">
        <f t="shared" si="733"/>
        <v>0</v>
      </c>
      <c r="K1442" s="4">
        <f t="shared" si="734"/>
        <v>0</v>
      </c>
      <c r="L1442" s="4"/>
      <c r="N1442" s="4">
        <f t="shared" si="735"/>
        <v>0</v>
      </c>
      <c r="Z1442" s="3">
        <f t="shared" si="727"/>
        <v>0</v>
      </c>
      <c r="AD1442" s="3">
        <f t="shared" si="728"/>
        <v>0</v>
      </c>
      <c r="AE1442" s="3"/>
      <c r="AF1442" s="3">
        <f t="shared" si="729"/>
        <v>0</v>
      </c>
      <c r="AK1442" s="3">
        <f t="shared" si="730"/>
        <v>0</v>
      </c>
      <c r="AL1442" s="3"/>
      <c r="AM1442" s="3">
        <f t="shared" si="731"/>
        <v>0</v>
      </c>
    </row>
    <row r="1443" spans="1:57" x14ac:dyDescent="0.25">
      <c r="A1443" s="3" t="s">
        <v>971</v>
      </c>
      <c r="E1443" s="3">
        <f t="shared" si="732"/>
        <v>0</v>
      </c>
      <c r="H1443" s="5">
        <f t="shared" si="733"/>
        <v>0</v>
      </c>
      <c r="K1443" s="4">
        <f t="shared" si="734"/>
        <v>0</v>
      </c>
      <c r="L1443" s="4"/>
      <c r="N1443" s="4">
        <f t="shared" si="735"/>
        <v>0</v>
      </c>
      <c r="Z1443" s="3">
        <f t="shared" si="727"/>
        <v>0</v>
      </c>
      <c r="AD1443" s="3">
        <f t="shared" si="728"/>
        <v>0</v>
      </c>
      <c r="AE1443" s="3"/>
      <c r="AF1443" s="3">
        <f t="shared" si="729"/>
        <v>0</v>
      </c>
      <c r="AK1443" s="3">
        <f t="shared" si="730"/>
        <v>0</v>
      </c>
      <c r="AL1443" s="3"/>
      <c r="AM1443" s="3">
        <f t="shared" si="731"/>
        <v>0</v>
      </c>
    </row>
    <row r="1444" spans="1:57" x14ac:dyDescent="0.25">
      <c r="A1444" s="3" t="s">
        <v>972</v>
      </c>
      <c r="E1444" s="3">
        <f t="shared" si="732"/>
        <v>0</v>
      </c>
      <c r="H1444" s="5">
        <f t="shared" si="733"/>
        <v>0</v>
      </c>
      <c r="K1444" s="4">
        <f t="shared" si="734"/>
        <v>0</v>
      </c>
      <c r="L1444" s="4"/>
      <c r="N1444" s="4">
        <f t="shared" si="735"/>
        <v>0</v>
      </c>
      <c r="Z1444" s="3">
        <f t="shared" si="727"/>
        <v>0</v>
      </c>
      <c r="AD1444" s="3">
        <f t="shared" si="728"/>
        <v>0</v>
      </c>
      <c r="AE1444" s="3"/>
      <c r="AF1444" s="3">
        <f t="shared" si="729"/>
        <v>0</v>
      </c>
      <c r="AK1444" s="3">
        <f t="shared" si="730"/>
        <v>0</v>
      </c>
      <c r="AL1444" s="3"/>
      <c r="AM1444" s="3">
        <f t="shared" si="731"/>
        <v>0</v>
      </c>
    </row>
    <row r="1445" spans="1:57" x14ac:dyDescent="0.25">
      <c r="A1445" s="3"/>
      <c r="B1445" s="48">
        <f>SUM(B1424:B1444)</f>
        <v>73000</v>
      </c>
      <c r="C1445" s="32"/>
      <c r="D1445" s="48">
        <f>SUM(D1424:D1444)</f>
        <v>0</v>
      </c>
      <c r="E1445" s="48">
        <f>SUM(E1424:E1444)</f>
        <v>73000</v>
      </c>
      <c r="F1445" s="48">
        <f>SUM(F1424:F1444)</f>
        <v>73000</v>
      </c>
      <c r="G1445" s="32"/>
      <c r="H1445" s="48">
        <f>SUM(H1424:H1444)</f>
        <v>0</v>
      </c>
      <c r="I1445" s="36"/>
      <c r="J1445" s="48">
        <f>SUM(J1424:J1444)</f>
        <v>0</v>
      </c>
      <c r="K1445" s="48">
        <f>SUM(K1424:K1444)</f>
        <v>73000</v>
      </c>
      <c r="L1445" s="48">
        <f>SUM(L1424:L1444)</f>
        <v>73000</v>
      </c>
      <c r="M1445" s="32"/>
      <c r="N1445" s="48">
        <f>SUM(N1424:N1444)</f>
        <v>0</v>
      </c>
      <c r="P1445" s="48">
        <f>SUM(P1424:P1444)</f>
        <v>125000</v>
      </c>
      <c r="R1445" s="48">
        <f t="shared" ref="R1445:Z1445" si="737">SUM(R1424:R1444)</f>
        <v>30394</v>
      </c>
      <c r="S1445" s="48">
        <f t="shared" si="737"/>
        <v>94606</v>
      </c>
      <c r="T1445" s="48">
        <f t="shared" si="737"/>
        <v>125000</v>
      </c>
      <c r="U1445" s="48">
        <f t="shared" si="737"/>
        <v>0</v>
      </c>
      <c r="V1445" s="48">
        <f t="shared" si="737"/>
        <v>48815</v>
      </c>
      <c r="W1445" s="48">
        <f t="shared" si="737"/>
        <v>76185</v>
      </c>
      <c r="X1445" s="48"/>
      <c r="Y1445" s="48">
        <f t="shared" si="737"/>
        <v>125000</v>
      </c>
      <c r="Z1445" s="48">
        <f t="shared" si="737"/>
        <v>0</v>
      </c>
      <c r="AC1445" s="48">
        <f>SUM(AC1424:AC1444)</f>
        <v>54424</v>
      </c>
      <c r="AD1445" s="48">
        <f>SUM(AD1424:AD1444)</f>
        <v>63076</v>
      </c>
      <c r="AE1445" s="48">
        <f>SUM(AE1424:AE1444)</f>
        <v>117500</v>
      </c>
      <c r="AF1445" s="48">
        <f>SUM(AF1424:AF1444)</f>
        <v>-7500</v>
      </c>
      <c r="AH1445" s="36">
        <f>SUM(AH1424:AH1444)</f>
        <v>120000</v>
      </c>
      <c r="AI1445" s="32"/>
      <c r="AJ1445" s="48">
        <f>SUM(AJ1424:AJ1444)</f>
        <v>34819</v>
      </c>
      <c r="AK1445" s="48">
        <f>SUM(AK1424:AK1444)</f>
        <v>85181</v>
      </c>
      <c r="AL1445" s="48">
        <f>SUM(AL1424:AL1444)</f>
        <v>120000</v>
      </c>
      <c r="AM1445" s="48">
        <f>SUM(AM1424:AM1444)</f>
        <v>0</v>
      </c>
      <c r="AN1445" s="32"/>
      <c r="AO1445" s="48">
        <f>SUM(AO1424:AO1444)</f>
        <v>130000</v>
      </c>
      <c r="AQ1445" s="48">
        <f>SUM(AQ1424:AQ1444)</f>
        <v>150000</v>
      </c>
      <c r="AS1445" s="48">
        <f>SUM(AS1424:AS1444)</f>
        <v>150000</v>
      </c>
      <c r="AT1445" s="48"/>
      <c r="AU1445" s="48">
        <f>SUM(AU1424:AU1444)</f>
        <v>160000</v>
      </c>
      <c r="AW1445" s="48">
        <f>SUM(AW1424:AW1444)</f>
        <v>175000</v>
      </c>
      <c r="AY1445" s="48">
        <f>SUM(AY1424:AY1444)</f>
        <v>175000</v>
      </c>
      <c r="BA1445" s="48">
        <f>SUM(BA1424:BA1444)</f>
        <v>185000</v>
      </c>
      <c r="BC1445" s="48">
        <f>SUM(BC1424:BC1444)</f>
        <v>200000</v>
      </c>
      <c r="BE1445" s="48">
        <f>SUM(BE1424:BE1444)</f>
        <v>200000</v>
      </c>
    </row>
    <row r="1446" spans="1:57" x14ac:dyDescent="0.25">
      <c r="A1446" s="7" t="s">
        <v>973</v>
      </c>
    </row>
    <row r="1447" spans="1:57" x14ac:dyDescent="0.25">
      <c r="A1447" s="3" t="s">
        <v>974</v>
      </c>
      <c r="Z1447" s="3">
        <f t="shared" ref="Z1447:Z1455" si="738">Y1447-T1447</f>
        <v>0</v>
      </c>
    </row>
    <row r="1448" spans="1:57" x14ac:dyDescent="0.25">
      <c r="A1448" s="3" t="s">
        <v>975</v>
      </c>
      <c r="B1448" s="3">
        <v>26000</v>
      </c>
      <c r="D1448" s="3">
        <v>0</v>
      </c>
      <c r="E1448" s="3">
        <f t="shared" ref="E1448:E1455" si="739">F1448-D1448</f>
        <v>26000</v>
      </c>
      <c r="F1448" s="5">
        <v>26000</v>
      </c>
      <c r="H1448" s="5">
        <f t="shared" ref="H1448:H1455" si="740">F1448-B1448</f>
        <v>0</v>
      </c>
      <c r="K1448" s="4">
        <f t="shared" ref="K1448:K1455" si="741">L1448-J1448</f>
        <v>26000</v>
      </c>
      <c r="L1448" s="4">
        <v>26000</v>
      </c>
      <c r="N1448" s="4">
        <f t="shared" ref="N1448:N1455" si="742">L1448-F1448</f>
        <v>0</v>
      </c>
      <c r="P1448" s="3">
        <v>18000</v>
      </c>
      <c r="Q1448" s="3"/>
      <c r="R1448" s="3"/>
      <c r="S1448" s="3">
        <f>T1448-R1448</f>
        <v>18000</v>
      </c>
      <c r="T1448" s="3">
        <v>18000</v>
      </c>
      <c r="U1448" s="3">
        <f>T1448-P1448</f>
        <v>0</v>
      </c>
      <c r="V1448" s="3">
        <v>39</v>
      </c>
      <c r="W1448" s="3">
        <f>Y1448-V1448</f>
        <v>17961</v>
      </c>
      <c r="X1448" s="3"/>
      <c r="Y1448" s="3">
        <v>18000</v>
      </c>
      <c r="Z1448" s="3">
        <f t="shared" si="738"/>
        <v>0</v>
      </c>
      <c r="AA1448" s="3"/>
      <c r="AB1448" s="3"/>
      <c r="AC1448" s="3">
        <v>5924</v>
      </c>
      <c r="AD1448" s="3">
        <f t="shared" ref="AD1448:AD1455" si="743">AE1448-AC1448</f>
        <v>9076</v>
      </c>
      <c r="AE1448" s="3">
        <v>15000</v>
      </c>
      <c r="AF1448" s="3">
        <f t="shared" ref="AF1448:AF1455" si="744">AE1448-Y1448</f>
        <v>-3000</v>
      </c>
      <c r="AG1448" s="4"/>
      <c r="AH1448" s="4">
        <v>16000</v>
      </c>
      <c r="AJ1448" s="3"/>
      <c r="AK1448" s="3">
        <f t="shared" ref="AK1448:AK1455" si="745">AL1448-AJ1448</f>
        <v>16000</v>
      </c>
      <c r="AL1448" s="3">
        <v>16000</v>
      </c>
      <c r="AM1448" s="3">
        <f t="shared" ref="AM1448:AM1455" si="746">AL1448-AH1448</f>
        <v>0</v>
      </c>
      <c r="AO1448" s="3">
        <v>18000</v>
      </c>
      <c r="AP1448" s="3"/>
      <c r="AQ1448" s="3">
        <v>18000</v>
      </c>
      <c r="AR1448" s="3"/>
      <c r="AS1448" s="3">
        <v>25000</v>
      </c>
      <c r="AT1448" s="3"/>
      <c r="AU1448" s="3">
        <v>25000</v>
      </c>
      <c r="AV1448" s="3"/>
      <c r="AW1448" s="3">
        <v>25000</v>
      </c>
      <c r="AX1448" s="42"/>
      <c r="AY1448" s="3">
        <v>30000</v>
      </c>
      <c r="AZ1448" s="42"/>
      <c r="BA1448" s="3">
        <v>30000</v>
      </c>
      <c r="BB1448" s="42"/>
      <c r="BC1448" s="3">
        <v>30000</v>
      </c>
      <c r="BE1448" s="3">
        <v>30000</v>
      </c>
    </row>
    <row r="1449" spans="1:57" x14ac:dyDescent="0.25">
      <c r="A1449" s="3" t="s">
        <v>976</v>
      </c>
      <c r="E1449" s="3">
        <f t="shared" si="739"/>
        <v>0</v>
      </c>
      <c r="H1449" s="5">
        <f t="shared" si="740"/>
        <v>0</v>
      </c>
      <c r="K1449" s="4">
        <f t="shared" si="741"/>
        <v>0</v>
      </c>
      <c r="L1449" s="4"/>
      <c r="N1449" s="4">
        <f t="shared" si="742"/>
        <v>0</v>
      </c>
      <c r="P1449" s="3"/>
      <c r="Z1449" s="3">
        <f t="shared" si="738"/>
        <v>0</v>
      </c>
      <c r="AD1449" s="3">
        <f t="shared" si="743"/>
        <v>0</v>
      </c>
      <c r="AE1449" s="3"/>
      <c r="AF1449" s="3">
        <f t="shared" si="744"/>
        <v>0</v>
      </c>
      <c r="AK1449" s="3">
        <f t="shared" si="745"/>
        <v>0</v>
      </c>
      <c r="AL1449" s="3"/>
      <c r="AM1449" s="3">
        <f t="shared" si="746"/>
        <v>0</v>
      </c>
    </row>
    <row r="1450" spans="1:57" x14ac:dyDescent="0.25">
      <c r="A1450" s="3" t="s">
        <v>977</v>
      </c>
      <c r="E1450" s="3">
        <f t="shared" si="739"/>
        <v>0</v>
      </c>
      <c r="H1450" s="5">
        <f t="shared" si="740"/>
        <v>0</v>
      </c>
      <c r="K1450" s="4">
        <f t="shared" si="741"/>
        <v>0</v>
      </c>
      <c r="L1450" s="4"/>
      <c r="N1450" s="4">
        <f t="shared" si="742"/>
        <v>0</v>
      </c>
      <c r="Z1450" s="3">
        <f t="shared" si="738"/>
        <v>0</v>
      </c>
      <c r="AD1450" s="3">
        <f t="shared" si="743"/>
        <v>0</v>
      </c>
      <c r="AE1450" s="3"/>
      <c r="AF1450" s="3">
        <f t="shared" si="744"/>
        <v>0</v>
      </c>
      <c r="AK1450" s="3">
        <f t="shared" si="745"/>
        <v>0</v>
      </c>
      <c r="AL1450" s="3"/>
      <c r="AM1450" s="3">
        <f t="shared" si="746"/>
        <v>0</v>
      </c>
    </row>
    <row r="1451" spans="1:57" x14ac:dyDescent="0.25">
      <c r="A1451" s="3" t="s">
        <v>978</v>
      </c>
      <c r="E1451" s="3">
        <f t="shared" si="739"/>
        <v>0</v>
      </c>
      <c r="H1451" s="5">
        <f t="shared" si="740"/>
        <v>0</v>
      </c>
      <c r="K1451" s="4">
        <f t="shared" si="741"/>
        <v>0</v>
      </c>
      <c r="L1451" s="4"/>
      <c r="N1451" s="4">
        <f t="shared" si="742"/>
        <v>0</v>
      </c>
      <c r="Z1451" s="3">
        <f t="shared" si="738"/>
        <v>0</v>
      </c>
      <c r="AD1451" s="3">
        <f t="shared" si="743"/>
        <v>0</v>
      </c>
      <c r="AE1451" s="3"/>
      <c r="AF1451" s="3">
        <f t="shared" si="744"/>
        <v>0</v>
      </c>
      <c r="AK1451" s="3">
        <f t="shared" si="745"/>
        <v>0</v>
      </c>
      <c r="AL1451" s="3"/>
      <c r="AM1451" s="3">
        <f t="shared" si="746"/>
        <v>0</v>
      </c>
    </row>
    <row r="1452" spans="1:57" x14ac:dyDescent="0.25">
      <c r="A1452" s="3" t="s">
        <v>979</v>
      </c>
      <c r="E1452" s="3">
        <f t="shared" si="739"/>
        <v>0</v>
      </c>
      <c r="H1452" s="5">
        <f t="shared" si="740"/>
        <v>0</v>
      </c>
      <c r="K1452" s="4">
        <f t="shared" si="741"/>
        <v>0</v>
      </c>
      <c r="L1452" s="4"/>
      <c r="N1452" s="4">
        <f t="shared" si="742"/>
        <v>0</v>
      </c>
      <c r="Z1452" s="3">
        <f t="shared" si="738"/>
        <v>0</v>
      </c>
      <c r="AD1452" s="3">
        <f t="shared" si="743"/>
        <v>0</v>
      </c>
      <c r="AE1452" s="3"/>
      <c r="AF1452" s="3">
        <f t="shared" si="744"/>
        <v>0</v>
      </c>
      <c r="AK1452" s="3">
        <f t="shared" si="745"/>
        <v>0</v>
      </c>
      <c r="AL1452" s="3"/>
      <c r="AM1452" s="3">
        <f t="shared" si="746"/>
        <v>0</v>
      </c>
    </row>
    <row r="1453" spans="1:57" x14ac:dyDescent="0.25">
      <c r="A1453" s="3" t="s">
        <v>980</v>
      </c>
      <c r="E1453" s="3">
        <f t="shared" si="739"/>
        <v>0</v>
      </c>
      <c r="H1453" s="5">
        <f t="shared" si="740"/>
        <v>0</v>
      </c>
      <c r="K1453" s="4">
        <f t="shared" si="741"/>
        <v>0</v>
      </c>
      <c r="L1453" s="4"/>
      <c r="N1453" s="4">
        <f t="shared" si="742"/>
        <v>0</v>
      </c>
      <c r="Z1453" s="3">
        <f t="shared" si="738"/>
        <v>0</v>
      </c>
      <c r="AD1453" s="3">
        <f t="shared" si="743"/>
        <v>0</v>
      </c>
      <c r="AE1453" s="3"/>
      <c r="AF1453" s="3">
        <f t="shared" si="744"/>
        <v>0</v>
      </c>
      <c r="AK1453" s="3">
        <f t="shared" si="745"/>
        <v>0</v>
      </c>
      <c r="AL1453" s="3"/>
      <c r="AM1453" s="3">
        <f t="shared" si="746"/>
        <v>0</v>
      </c>
    </row>
    <row r="1454" spans="1:57" x14ac:dyDescent="0.25">
      <c r="A1454" s="3" t="s">
        <v>977</v>
      </c>
      <c r="E1454" s="3">
        <f t="shared" si="739"/>
        <v>0</v>
      </c>
      <c r="H1454" s="5">
        <f t="shared" si="740"/>
        <v>0</v>
      </c>
      <c r="K1454" s="4">
        <f t="shared" si="741"/>
        <v>0</v>
      </c>
      <c r="L1454" s="4"/>
      <c r="N1454" s="4">
        <f t="shared" si="742"/>
        <v>0</v>
      </c>
      <c r="Z1454" s="3">
        <f t="shared" si="738"/>
        <v>0</v>
      </c>
      <c r="AD1454" s="3">
        <f t="shared" si="743"/>
        <v>0</v>
      </c>
      <c r="AE1454" s="3"/>
      <c r="AF1454" s="3">
        <f t="shared" si="744"/>
        <v>0</v>
      </c>
      <c r="AK1454" s="3">
        <f t="shared" si="745"/>
        <v>0</v>
      </c>
      <c r="AL1454" s="3"/>
      <c r="AM1454" s="3">
        <f t="shared" si="746"/>
        <v>0</v>
      </c>
    </row>
    <row r="1455" spans="1:57" x14ac:dyDescent="0.25">
      <c r="A1455" s="3" t="s">
        <v>981</v>
      </c>
      <c r="E1455" s="3">
        <f t="shared" si="739"/>
        <v>0</v>
      </c>
      <c r="H1455" s="5">
        <f t="shared" si="740"/>
        <v>0</v>
      </c>
      <c r="K1455" s="4">
        <f t="shared" si="741"/>
        <v>0</v>
      </c>
      <c r="L1455" s="4"/>
      <c r="N1455" s="4">
        <f t="shared" si="742"/>
        <v>0</v>
      </c>
      <c r="Z1455" s="3">
        <f t="shared" si="738"/>
        <v>0</v>
      </c>
      <c r="AD1455" s="3">
        <f t="shared" si="743"/>
        <v>0</v>
      </c>
      <c r="AE1455" s="3"/>
      <c r="AF1455" s="3">
        <f t="shared" si="744"/>
        <v>0</v>
      </c>
      <c r="AK1455" s="3">
        <f t="shared" si="745"/>
        <v>0</v>
      </c>
      <c r="AL1455" s="3"/>
      <c r="AM1455" s="3">
        <f t="shared" si="746"/>
        <v>0</v>
      </c>
    </row>
    <row r="1456" spans="1:57" ht="15.75" thickBot="1" x14ac:dyDescent="0.3">
      <c r="A1456" s="3"/>
      <c r="B1456" s="48">
        <f>SUM(B1447:B1455)</f>
        <v>26000</v>
      </c>
      <c r="C1456" s="32"/>
      <c r="D1456" s="48">
        <f>SUM(D1447:D1455)</f>
        <v>0</v>
      </c>
      <c r="E1456" s="48">
        <f>SUM(E1447:E1455)</f>
        <v>26000</v>
      </c>
      <c r="F1456" s="48">
        <f>SUM(F1447:F1455)</f>
        <v>26000</v>
      </c>
      <c r="G1456" s="32"/>
      <c r="H1456" s="48">
        <f>SUM(H1447:H1455)</f>
        <v>0</v>
      </c>
      <c r="I1456" s="36"/>
      <c r="J1456" s="48">
        <f>SUM(J1447:J1455)</f>
        <v>0</v>
      </c>
      <c r="K1456" s="48">
        <f>SUM(K1447:K1455)</f>
        <v>26000</v>
      </c>
      <c r="L1456" s="48">
        <f>SUM(L1447:L1455)</f>
        <v>26000</v>
      </c>
      <c r="M1456" s="32"/>
      <c r="N1456" s="48">
        <f>SUM(N1447:N1455)</f>
        <v>0</v>
      </c>
      <c r="P1456" s="48">
        <f>SUM(P1447:P1455)</f>
        <v>18000</v>
      </c>
      <c r="R1456" s="48">
        <f t="shared" ref="R1456:Z1456" si="747">SUM(R1447:R1455)</f>
        <v>0</v>
      </c>
      <c r="S1456" s="48">
        <f t="shared" si="747"/>
        <v>18000</v>
      </c>
      <c r="T1456" s="48">
        <f t="shared" si="747"/>
        <v>18000</v>
      </c>
      <c r="U1456" s="48">
        <f t="shared" si="747"/>
        <v>0</v>
      </c>
      <c r="V1456" s="48">
        <f t="shared" si="747"/>
        <v>39</v>
      </c>
      <c r="W1456" s="48">
        <f t="shared" si="747"/>
        <v>17961</v>
      </c>
      <c r="X1456" s="48"/>
      <c r="Y1456" s="48">
        <f t="shared" si="747"/>
        <v>18000</v>
      </c>
      <c r="Z1456" s="48">
        <f t="shared" si="747"/>
        <v>0</v>
      </c>
      <c r="AC1456" s="48">
        <f>SUM(AC1447:AC1455)</f>
        <v>5924</v>
      </c>
      <c r="AD1456" s="48">
        <f>SUM(AD1447:AD1455)</f>
        <v>9076</v>
      </c>
      <c r="AE1456" s="48">
        <f>SUM(AE1447:AE1455)</f>
        <v>15000</v>
      </c>
      <c r="AF1456" s="48">
        <f>SUM(AF1447:AF1455)</f>
        <v>-3000</v>
      </c>
      <c r="AH1456" s="36">
        <f>SUM(AH1447:AH1455)</f>
        <v>16000</v>
      </c>
      <c r="AI1456" s="32"/>
      <c r="AJ1456" s="48">
        <f>SUM(AJ1447:AJ1455)</f>
        <v>0</v>
      </c>
      <c r="AK1456" s="48">
        <f>SUM(AK1447:AK1455)</f>
        <v>16000</v>
      </c>
      <c r="AL1456" s="48">
        <f>SUM(AL1447:AL1455)</f>
        <v>16000</v>
      </c>
      <c r="AM1456" s="48">
        <f>SUM(AM1447:AM1455)</f>
        <v>0</v>
      </c>
      <c r="AN1456" s="32"/>
      <c r="AO1456" s="48">
        <f>SUM(AO1447:AO1455)</f>
        <v>18000</v>
      </c>
      <c r="AQ1456" s="48">
        <f>SUM(AQ1447:AQ1455)</f>
        <v>18000</v>
      </c>
      <c r="AS1456" s="48">
        <f>SUM(AS1447:AS1455)</f>
        <v>25000</v>
      </c>
      <c r="AT1456" s="48"/>
      <c r="AU1456" s="48">
        <f>SUM(AU1447:AU1455)</f>
        <v>25000</v>
      </c>
      <c r="AW1456" s="48">
        <f>SUM(AW1447:AW1455)</f>
        <v>25000</v>
      </c>
      <c r="AY1456" s="48">
        <f>SUM(AY1447:AY1455)</f>
        <v>30000</v>
      </c>
      <c r="BA1456" s="48">
        <f>SUM(BA1447:BA1455)</f>
        <v>30000</v>
      </c>
      <c r="BC1456" s="48">
        <f>SUM(BC1447:BC1455)</f>
        <v>30000</v>
      </c>
      <c r="BE1456" s="48">
        <f>SUM(BE1447:BE1455)</f>
        <v>30000</v>
      </c>
    </row>
    <row r="1457" spans="1:57" x14ac:dyDescent="0.25">
      <c r="A1457" s="3"/>
      <c r="B1457" s="8" t="s">
        <v>8</v>
      </c>
      <c r="C1457" s="9"/>
      <c r="D1457" s="10" t="s">
        <v>9</v>
      </c>
      <c r="E1457" s="11" t="s">
        <v>10</v>
      </c>
      <c r="F1457" s="12" t="s">
        <v>11</v>
      </c>
      <c r="G1457" s="9"/>
      <c r="H1457" s="8" t="s">
        <v>12</v>
      </c>
      <c r="I1457" s="13"/>
      <c r="J1457" s="10" t="s">
        <v>9</v>
      </c>
      <c r="K1457" s="11" t="s">
        <v>10</v>
      </c>
      <c r="L1457" s="11" t="s">
        <v>11</v>
      </c>
      <c r="M1457" s="9"/>
      <c r="N1457" s="11" t="s">
        <v>12</v>
      </c>
      <c r="P1457" s="12" t="s">
        <v>8</v>
      </c>
      <c r="R1457" s="14" t="s">
        <v>9</v>
      </c>
      <c r="S1457" s="15" t="s">
        <v>10</v>
      </c>
      <c r="T1457" s="16" t="s">
        <v>11</v>
      </c>
      <c r="U1457" s="17" t="s">
        <v>13</v>
      </c>
      <c r="V1457" s="14" t="s">
        <v>9</v>
      </c>
      <c r="W1457" s="15" t="s">
        <v>10</v>
      </c>
      <c r="X1457" s="15"/>
      <c r="Y1457" s="16" t="s">
        <v>11</v>
      </c>
      <c r="Z1457" s="17" t="s">
        <v>13</v>
      </c>
      <c r="AC1457" s="14" t="s">
        <v>9</v>
      </c>
      <c r="AD1457" s="15" t="s">
        <v>10</v>
      </c>
      <c r="AE1457" s="16" t="s">
        <v>11</v>
      </c>
      <c r="AF1457" s="15" t="s">
        <v>13</v>
      </c>
      <c r="AH1457" s="13" t="s">
        <v>8</v>
      </c>
      <c r="AI1457" s="9"/>
      <c r="AJ1457" s="11" t="s">
        <v>9</v>
      </c>
      <c r="AK1457" s="11" t="s">
        <v>10</v>
      </c>
      <c r="AL1457" s="12" t="s">
        <v>11</v>
      </c>
      <c r="AM1457" s="10" t="s">
        <v>13</v>
      </c>
      <c r="AN1457" s="9"/>
      <c r="AO1457" s="12" t="s">
        <v>8</v>
      </c>
      <c r="AQ1457" s="8" t="s">
        <v>8</v>
      </c>
      <c r="AS1457" s="8" t="s">
        <v>8</v>
      </c>
      <c r="AT1457" s="8"/>
      <c r="AU1457" s="8" t="s">
        <v>8</v>
      </c>
      <c r="AW1457" s="8" t="s">
        <v>8</v>
      </c>
      <c r="AY1457" s="8" t="s">
        <v>8</v>
      </c>
      <c r="BA1457" s="8" t="s">
        <v>8</v>
      </c>
      <c r="BC1457" s="8" t="s">
        <v>8</v>
      </c>
      <c r="BE1457" s="8" t="s">
        <v>8</v>
      </c>
    </row>
    <row r="1458" spans="1:57" ht="15.75" thickBot="1" x14ac:dyDescent="0.3">
      <c r="A1458" s="3"/>
      <c r="B1458" s="19" t="s">
        <v>14</v>
      </c>
      <c r="C1458" s="9"/>
      <c r="D1458" s="20" t="s">
        <v>15</v>
      </c>
      <c r="E1458" s="21"/>
      <c r="F1458" s="22" t="s">
        <v>16</v>
      </c>
      <c r="G1458" s="9"/>
      <c r="H1458" s="19"/>
      <c r="I1458" s="13"/>
      <c r="J1458" s="20" t="s">
        <v>17</v>
      </c>
      <c r="K1458" s="21"/>
      <c r="L1458" s="21" t="s">
        <v>16</v>
      </c>
      <c r="M1458" s="9"/>
      <c r="N1458" s="21"/>
      <c r="P1458" s="22" t="s">
        <v>18</v>
      </c>
      <c r="R1458" s="23" t="s">
        <v>19</v>
      </c>
      <c r="S1458" s="24"/>
      <c r="T1458" s="25" t="s">
        <v>20</v>
      </c>
      <c r="U1458" s="26"/>
      <c r="V1458" s="23" t="s">
        <v>21</v>
      </c>
      <c r="W1458" s="24"/>
      <c r="X1458" s="24"/>
      <c r="Y1458" s="25" t="s">
        <v>21</v>
      </c>
      <c r="Z1458" s="26"/>
      <c r="AC1458" s="23" t="s">
        <v>22</v>
      </c>
      <c r="AD1458" s="24"/>
      <c r="AE1458" s="25" t="s">
        <v>23</v>
      </c>
      <c r="AF1458" s="24"/>
      <c r="AH1458" s="13" t="s">
        <v>24</v>
      </c>
      <c r="AI1458" s="9"/>
      <c r="AJ1458" s="21" t="s">
        <v>1144</v>
      </c>
      <c r="AK1458" s="21"/>
      <c r="AL1458" s="22" t="s">
        <v>1144</v>
      </c>
      <c r="AM1458" s="20"/>
      <c r="AN1458" s="9"/>
      <c r="AO1458" s="22" t="s">
        <v>25</v>
      </c>
      <c r="AQ1458" s="19" t="s">
        <v>26</v>
      </c>
      <c r="AS1458" s="19" t="s">
        <v>27</v>
      </c>
      <c r="AT1458" s="19"/>
      <c r="AU1458" s="19" t="s">
        <v>28</v>
      </c>
      <c r="AW1458" s="19" t="s">
        <v>29</v>
      </c>
      <c r="AY1458" s="19" t="s">
        <v>30</v>
      </c>
      <c r="BA1458" s="19" t="s">
        <v>31</v>
      </c>
      <c r="BC1458" s="19">
        <f>BC772</f>
        <v>0</v>
      </c>
      <c r="BE1458" s="19">
        <f>BE772</f>
        <v>0</v>
      </c>
    </row>
    <row r="1459" spans="1:57" x14ac:dyDescent="0.25">
      <c r="A1459" s="7" t="s">
        <v>57</v>
      </c>
    </row>
    <row r="1460" spans="1:57" x14ac:dyDescent="0.25">
      <c r="A1460" s="3" t="s">
        <v>982</v>
      </c>
      <c r="AK1460" s="3">
        <f t="shared" ref="AK1460:AK1471" si="748">AL1460-AJ1460</f>
        <v>0</v>
      </c>
      <c r="AL1460" s="3"/>
      <c r="AM1460" s="3">
        <f t="shared" ref="AM1460:AM1471" si="749">AL1460-AH1460</f>
        <v>0</v>
      </c>
    </row>
    <row r="1461" spans="1:57" x14ac:dyDescent="0.25">
      <c r="A1461" s="3" t="s">
        <v>983</v>
      </c>
      <c r="B1461" s="5">
        <v>20000</v>
      </c>
      <c r="D1461" s="5">
        <v>0</v>
      </c>
      <c r="E1461" s="3">
        <f t="shared" ref="E1461:E1471" si="750">F1461-D1461</f>
        <v>20000</v>
      </c>
      <c r="F1461" s="5">
        <v>20000</v>
      </c>
      <c r="H1461" s="5">
        <f t="shared" ref="H1461:H1471" si="751">F1461-B1461</f>
        <v>0</v>
      </c>
      <c r="J1461" s="5">
        <v>0</v>
      </c>
      <c r="K1461" s="4">
        <f t="shared" ref="K1461:K1471" si="752">L1461-J1461</f>
        <v>20000</v>
      </c>
      <c r="L1461" s="5">
        <v>20000</v>
      </c>
      <c r="N1461" s="4">
        <f t="shared" ref="N1461:N1471" si="753">L1461-F1461</f>
        <v>0</v>
      </c>
      <c r="P1461" s="5">
        <v>20000</v>
      </c>
      <c r="S1461" s="3">
        <f t="shared" ref="S1461:S1471" si="754">T1461-R1461</f>
        <v>20000</v>
      </c>
      <c r="T1461" s="3">
        <v>20000</v>
      </c>
      <c r="U1461" s="3">
        <f t="shared" ref="U1461:U1471" si="755">T1461-P1461</f>
        <v>0</v>
      </c>
      <c r="W1461" s="3">
        <f t="shared" ref="W1461:W1471" si="756">Y1461-V1461</f>
        <v>20000</v>
      </c>
      <c r="X1461" s="3"/>
      <c r="Y1461" s="5">
        <v>20000</v>
      </c>
      <c r="Z1461" s="3">
        <f t="shared" ref="Z1461:Z1471" si="757">Y1461-T1461</f>
        <v>0</v>
      </c>
      <c r="AD1461" s="3">
        <f t="shared" ref="AD1461:AD1471" si="758">AE1461-AC1461</f>
        <v>20000</v>
      </c>
      <c r="AE1461" s="3">
        <v>20000</v>
      </c>
      <c r="AF1461" s="3">
        <f t="shared" ref="AF1461:AF1471" si="759">AE1461-Y1461</f>
        <v>0</v>
      </c>
      <c r="AK1461" s="3">
        <f t="shared" si="748"/>
        <v>0</v>
      </c>
      <c r="AL1461" s="3"/>
      <c r="AM1461" s="3">
        <f t="shared" si="749"/>
        <v>0</v>
      </c>
      <c r="AO1461" s="5">
        <v>625000</v>
      </c>
      <c r="AQ1461" s="5">
        <v>625000</v>
      </c>
    </row>
    <row r="1462" spans="1:57" x14ac:dyDescent="0.25">
      <c r="A1462" s="3" t="s">
        <v>984</v>
      </c>
      <c r="B1462" s="3"/>
      <c r="D1462" s="3"/>
      <c r="E1462" s="3">
        <f t="shared" si="750"/>
        <v>0</v>
      </c>
      <c r="H1462" s="5">
        <f t="shared" si="751"/>
        <v>0</v>
      </c>
      <c r="K1462" s="4">
        <f t="shared" si="752"/>
        <v>0</v>
      </c>
      <c r="N1462" s="4">
        <f t="shared" si="753"/>
        <v>0</v>
      </c>
      <c r="P1462" s="3"/>
      <c r="Q1462" s="3"/>
      <c r="R1462" s="3"/>
      <c r="S1462" s="3">
        <f t="shared" si="754"/>
        <v>0</v>
      </c>
      <c r="T1462" s="3"/>
      <c r="U1462" s="3">
        <f t="shared" si="755"/>
        <v>0</v>
      </c>
      <c r="V1462" s="3"/>
      <c r="W1462" s="3">
        <f t="shared" si="756"/>
        <v>0</v>
      </c>
      <c r="X1462" s="3"/>
      <c r="Y1462" s="3"/>
      <c r="Z1462" s="3">
        <f t="shared" si="757"/>
        <v>0</v>
      </c>
      <c r="AA1462" s="3"/>
      <c r="AB1462" s="3"/>
      <c r="AC1462" s="3"/>
      <c r="AD1462" s="3">
        <f t="shared" si="758"/>
        <v>0</v>
      </c>
      <c r="AE1462" s="3"/>
      <c r="AF1462" s="3">
        <f t="shared" si="759"/>
        <v>0</v>
      </c>
      <c r="AG1462" s="4"/>
      <c r="AH1462" s="4"/>
      <c r="AJ1462" s="3"/>
      <c r="AK1462" s="3">
        <f t="shared" si="748"/>
        <v>0</v>
      </c>
      <c r="AL1462" s="3"/>
      <c r="AM1462" s="3">
        <f t="shared" si="749"/>
        <v>0</v>
      </c>
      <c r="AO1462" s="3">
        <v>134430</v>
      </c>
      <c r="AP1462" s="3"/>
      <c r="AQ1462" s="3">
        <v>134430</v>
      </c>
      <c r="AR1462" s="3"/>
      <c r="AS1462" s="3">
        <v>134430</v>
      </c>
      <c r="AT1462" s="3"/>
      <c r="AU1462" s="3">
        <v>134430</v>
      </c>
      <c r="AV1462" s="42"/>
      <c r="AW1462" s="3">
        <v>134430</v>
      </c>
      <c r="AY1462" s="3">
        <v>134430</v>
      </c>
      <c r="BA1462" s="3">
        <v>134430</v>
      </c>
      <c r="BC1462" s="3">
        <v>134430</v>
      </c>
      <c r="BE1462" s="3">
        <v>134430</v>
      </c>
    </row>
    <row r="1463" spans="1:57" x14ac:dyDescent="0.25">
      <c r="A1463" s="3" t="s">
        <v>985</v>
      </c>
      <c r="B1463" s="3">
        <v>27750</v>
      </c>
      <c r="D1463" s="3">
        <v>0</v>
      </c>
      <c r="E1463" s="3">
        <f t="shared" si="750"/>
        <v>27750</v>
      </c>
      <c r="F1463" s="5">
        <v>27750</v>
      </c>
      <c r="H1463" s="5">
        <f t="shared" si="751"/>
        <v>0</v>
      </c>
      <c r="J1463" s="5">
        <v>0</v>
      </c>
      <c r="K1463" s="4">
        <f t="shared" si="752"/>
        <v>27750</v>
      </c>
      <c r="L1463" s="5">
        <v>27750</v>
      </c>
      <c r="N1463" s="4">
        <f t="shared" si="753"/>
        <v>0</v>
      </c>
      <c r="P1463" s="3">
        <f>L1463*1.036+1</f>
        <v>28750</v>
      </c>
      <c r="Q1463" s="3"/>
      <c r="R1463" s="3"/>
      <c r="S1463" s="3">
        <f t="shared" si="754"/>
        <v>28750</v>
      </c>
      <c r="T1463" s="3">
        <v>28750</v>
      </c>
      <c r="U1463" s="3">
        <f t="shared" si="755"/>
        <v>0</v>
      </c>
      <c r="V1463" s="3"/>
      <c r="W1463" s="3">
        <f t="shared" si="756"/>
        <v>28750</v>
      </c>
      <c r="X1463" s="3"/>
      <c r="Y1463" s="3">
        <v>28750</v>
      </c>
      <c r="Z1463" s="3">
        <f t="shared" si="757"/>
        <v>0</v>
      </c>
      <c r="AA1463" s="3"/>
      <c r="AB1463" s="3"/>
      <c r="AC1463" s="3"/>
      <c r="AD1463" s="3">
        <f t="shared" si="758"/>
        <v>28750</v>
      </c>
      <c r="AE1463" s="3">
        <v>28750</v>
      </c>
      <c r="AF1463" s="3">
        <f t="shared" si="759"/>
        <v>0</v>
      </c>
      <c r="AG1463" s="4"/>
      <c r="AH1463" s="4">
        <f>AE1463*1.03+37</f>
        <v>29649.5</v>
      </c>
      <c r="AJ1463" s="3"/>
      <c r="AK1463" s="3">
        <f t="shared" si="748"/>
        <v>29650</v>
      </c>
      <c r="AL1463" s="3">
        <v>29650</v>
      </c>
      <c r="AM1463" s="3">
        <f t="shared" si="749"/>
        <v>0.5</v>
      </c>
      <c r="AO1463" s="3">
        <f>AH1463*1.03</f>
        <v>30538.985000000001</v>
      </c>
      <c r="AP1463" s="3"/>
      <c r="AQ1463" s="3">
        <f>AO1463*1.03</f>
        <v>31455.154550000003</v>
      </c>
      <c r="AR1463" s="3"/>
      <c r="AS1463" s="3">
        <f>AQ1463*1.03</f>
        <v>32398.809186500002</v>
      </c>
      <c r="AT1463" s="3"/>
      <c r="AU1463" s="3">
        <f>AS1463*1.03</f>
        <v>33370.773462095007</v>
      </c>
      <c r="AV1463" s="42"/>
      <c r="AW1463" s="3">
        <f>AU1463*1.03</f>
        <v>34371.896665957858</v>
      </c>
      <c r="AX1463" s="42"/>
      <c r="AY1463" s="3">
        <f>AW1463*1.03</f>
        <v>35403.053565936592</v>
      </c>
      <c r="AZ1463" s="42"/>
      <c r="BA1463" s="3">
        <f>AY1463*1.03</f>
        <v>36465.145172914694</v>
      </c>
      <c r="BB1463" s="42"/>
      <c r="BC1463" s="3">
        <f>BA1463*1.03</f>
        <v>37559.099528102139</v>
      </c>
      <c r="BE1463" s="3">
        <f>BC1463*1.03</f>
        <v>38685.872513945207</v>
      </c>
    </row>
    <row r="1464" spans="1:57" x14ac:dyDescent="0.25">
      <c r="A1464" s="3" t="s">
        <v>986</v>
      </c>
      <c r="B1464" s="3"/>
      <c r="D1464" s="3"/>
      <c r="E1464" s="3">
        <f t="shared" si="750"/>
        <v>0</v>
      </c>
      <c r="H1464" s="5">
        <f t="shared" si="751"/>
        <v>0</v>
      </c>
      <c r="K1464" s="4">
        <f t="shared" si="752"/>
        <v>0</v>
      </c>
      <c r="N1464" s="4">
        <f t="shared" si="753"/>
        <v>0</v>
      </c>
      <c r="P1464" s="3"/>
      <c r="Q1464" s="3"/>
      <c r="R1464" s="3"/>
      <c r="S1464" s="3">
        <f t="shared" si="754"/>
        <v>0</v>
      </c>
      <c r="T1464" s="3"/>
      <c r="U1464" s="3">
        <f t="shared" si="755"/>
        <v>0</v>
      </c>
      <c r="V1464" s="3"/>
      <c r="W1464" s="3">
        <f t="shared" si="756"/>
        <v>0</v>
      </c>
      <c r="X1464" s="3"/>
      <c r="Y1464" s="3"/>
      <c r="Z1464" s="3">
        <f t="shared" si="757"/>
        <v>0</v>
      </c>
      <c r="AA1464" s="3"/>
      <c r="AB1464" s="3"/>
      <c r="AC1464" s="3"/>
      <c r="AD1464" s="3">
        <f t="shared" si="758"/>
        <v>0</v>
      </c>
      <c r="AE1464" s="3"/>
      <c r="AF1464" s="3">
        <f t="shared" si="759"/>
        <v>0</v>
      </c>
      <c r="AG1464" s="4"/>
      <c r="AH1464" s="4"/>
      <c r="AJ1464" s="3"/>
      <c r="AK1464" s="3">
        <f t="shared" si="748"/>
        <v>0</v>
      </c>
      <c r="AL1464" s="3"/>
      <c r="AM1464" s="3">
        <f t="shared" si="749"/>
        <v>0</v>
      </c>
      <c r="AO1464" s="3"/>
      <c r="AP1464" s="3"/>
      <c r="AQ1464" s="3"/>
      <c r="AR1464" s="3"/>
      <c r="AS1464" s="3"/>
      <c r="AT1464" s="3"/>
      <c r="AU1464" s="3"/>
      <c r="AV1464" s="42"/>
      <c r="AW1464" s="3"/>
      <c r="AY1464" s="3"/>
      <c r="BA1464" s="3"/>
      <c r="BC1464" s="3"/>
      <c r="BE1464" s="3"/>
    </row>
    <row r="1465" spans="1:57" s="42" customFormat="1" x14ac:dyDescent="0.25">
      <c r="A1465" s="3" t="s">
        <v>241</v>
      </c>
      <c r="B1465" s="4">
        <v>49000</v>
      </c>
      <c r="C1465" s="4"/>
      <c r="D1465" s="4">
        <v>0</v>
      </c>
      <c r="E1465" s="3">
        <f t="shared" si="750"/>
        <v>49000</v>
      </c>
      <c r="F1465" s="5">
        <v>49000</v>
      </c>
      <c r="G1465" s="3"/>
      <c r="H1465" s="5">
        <f t="shared" si="751"/>
        <v>0</v>
      </c>
      <c r="I1465" s="5"/>
      <c r="J1465" s="5">
        <v>0</v>
      </c>
      <c r="K1465" s="4">
        <f t="shared" si="752"/>
        <v>49000</v>
      </c>
      <c r="L1465" s="5">
        <v>49000</v>
      </c>
      <c r="M1465" s="4"/>
      <c r="N1465" s="4">
        <f t="shared" si="753"/>
        <v>0</v>
      </c>
      <c r="O1465" s="4"/>
      <c r="P1465" s="32"/>
      <c r="Q1465" s="3"/>
      <c r="R1465" s="3"/>
      <c r="S1465" s="3">
        <f t="shared" si="754"/>
        <v>49000</v>
      </c>
      <c r="T1465" s="3">
        <v>49000</v>
      </c>
      <c r="U1465" s="3">
        <f t="shared" si="755"/>
        <v>49000</v>
      </c>
      <c r="V1465" s="3"/>
      <c r="W1465" s="3">
        <f t="shared" si="756"/>
        <v>49000</v>
      </c>
      <c r="X1465" s="3"/>
      <c r="Y1465" s="3">
        <v>49000</v>
      </c>
      <c r="Z1465" s="3">
        <f t="shared" si="757"/>
        <v>0</v>
      </c>
      <c r="AA1465" s="3"/>
      <c r="AB1465" s="3"/>
      <c r="AC1465" s="3"/>
      <c r="AD1465" s="3">
        <f t="shared" si="758"/>
        <v>49000</v>
      </c>
      <c r="AE1465" s="3">
        <v>49000</v>
      </c>
      <c r="AF1465" s="3">
        <f t="shared" si="759"/>
        <v>0</v>
      </c>
      <c r="AG1465" s="4"/>
      <c r="AH1465" s="32"/>
      <c r="AI1465" s="32"/>
      <c r="AJ1465" s="32"/>
      <c r="AK1465" s="3">
        <f t="shared" si="748"/>
        <v>49000</v>
      </c>
      <c r="AL1465" s="3">
        <v>49000</v>
      </c>
      <c r="AM1465" s="3">
        <f t="shared" si="749"/>
        <v>49000</v>
      </c>
      <c r="AN1465" s="4"/>
      <c r="AO1465" s="32"/>
      <c r="AP1465" s="3"/>
      <c r="AQ1465" s="32"/>
      <c r="AR1465" s="3"/>
      <c r="AS1465" s="32"/>
      <c r="AT1465" s="32"/>
      <c r="AU1465" s="32"/>
      <c r="AW1465" s="32"/>
      <c r="AY1465" s="32"/>
      <c r="BA1465" s="32"/>
      <c r="BC1465" s="32"/>
      <c r="BE1465" s="32"/>
    </row>
    <row r="1466" spans="1:57" x14ac:dyDescent="0.25">
      <c r="A1466" s="3" t="s">
        <v>842</v>
      </c>
      <c r="B1466" s="3"/>
      <c r="D1466" s="3"/>
      <c r="E1466" s="3">
        <f t="shared" si="750"/>
        <v>0</v>
      </c>
      <c r="H1466" s="5">
        <f t="shared" si="751"/>
        <v>0</v>
      </c>
      <c r="K1466" s="4">
        <f t="shared" si="752"/>
        <v>0</v>
      </c>
      <c r="N1466" s="4">
        <f t="shared" si="753"/>
        <v>0</v>
      </c>
      <c r="P1466" s="3"/>
      <c r="Q1466" s="3"/>
      <c r="R1466" s="3"/>
      <c r="S1466" s="3">
        <f t="shared" si="754"/>
        <v>0</v>
      </c>
      <c r="T1466" s="3"/>
      <c r="U1466" s="3">
        <f t="shared" si="755"/>
        <v>0</v>
      </c>
      <c r="V1466" s="3"/>
      <c r="W1466" s="3">
        <f t="shared" si="756"/>
        <v>0</v>
      </c>
      <c r="X1466" s="3"/>
      <c r="Y1466" s="3"/>
      <c r="Z1466" s="3">
        <f t="shared" si="757"/>
        <v>0</v>
      </c>
      <c r="AA1466" s="3"/>
      <c r="AB1466" s="3"/>
      <c r="AC1466" s="3"/>
      <c r="AD1466" s="3">
        <f t="shared" si="758"/>
        <v>0</v>
      </c>
      <c r="AE1466" s="3"/>
      <c r="AF1466" s="3">
        <f t="shared" si="759"/>
        <v>0</v>
      </c>
      <c r="AG1466" s="4"/>
      <c r="AH1466" s="4"/>
      <c r="AJ1466" s="3"/>
      <c r="AK1466" s="3">
        <f t="shared" si="748"/>
        <v>0</v>
      </c>
      <c r="AL1466" s="3"/>
      <c r="AM1466" s="3">
        <f t="shared" si="749"/>
        <v>0</v>
      </c>
      <c r="AO1466" s="3"/>
      <c r="AP1466" s="3"/>
      <c r="AQ1466" s="3"/>
      <c r="AR1466" s="3"/>
      <c r="AS1466" s="3"/>
      <c r="AT1466" s="3"/>
      <c r="AU1466" s="3"/>
      <c r="AV1466" s="42"/>
      <c r="AW1466" s="3"/>
      <c r="AY1466" s="3"/>
      <c r="BA1466" s="3"/>
      <c r="BC1466" s="3"/>
      <c r="BE1466" s="3"/>
    </row>
    <row r="1467" spans="1:57" x14ac:dyDescent="0.25">
      <c r="A1467" s="3" t="s">
        <v>987</v>
      </c>
      <c r="B1467" s="3"/>
      <c r="D1467" s="3"/>
      <c r="E1467" s="3"/>
      <c r="K1467" s="4"/>
      <c r="N1467" s="4"/>
      <c r="P1467" s="3"/>
      <c r="Q1467" s="3"/>
      <c r="R1467" s="3"/>
      <c r="S1467" s="3">
        <f t="shared" si="754"/>
        <v>0</v>
      </c>
      <c r="T1467" s="3"/>
      <c r="U1467" s="3">
        <f t="shared" si="755"/>
        <v>0</v>
      </c>
      <c r="V1467" s="3"/>
      <c r="W1467" s="3">
        <f t="shared" si="756"/>
        <v>0</v>
      </c>
      <c r="X1467" s="3"/>
      <c r="Y1467" s="3"/>
      <c r="Z1467" s="3">
        <f t="shared" si="757"/>
        <v>0</v>
      </c>
      <c r="AA1467" s="3"/>
      <c r="AB1467" s="3"/>
      <c r="AC1467" s="3"/>
      <c r="AD1467" s="3">
        <f t="shared" si="758"/>
        <v>0</v>
      </c>
      <c r="AE1467" s="3"/>
      <c r="AF1467" s="3">
        <f t="shared" si="759"/>
        <v>0</v>
      </c>
      <c r="AG1467" s="4"/>
      <c r="AH1467" s="4"/>
      <c r="AJ1467" s="3"/>
      <c r="AK1467" s="3">
        <f t="shared" si="748"/>
        <v>0</v>
      </c>
      <c r="AL1467" s="3"/>
      <c r="AM1467" s="3">
        <f t="shared" si="749"/>
        <v>0</v>
      </c>
      <c r="AO1467" s="3"/>
      <c r="AP1467" s="3"/>
      <c r="AQ1467" s="3"/>
      <c r="AR1467" s="3"/>
      <c r="AS1467" s="3"/>
      <c r="AT1467" s="3"/>
      <c r="AU1467" s="3"/>
      <c r="AV1467" s="42"/>
      <c r="AW1467" s="3"/>
      <c r="AY1467" s="3"/>
      <c r="BA1467" s="3"/>
      <c r="BC1467" s="3"/>
      <c r="BE1467" s="3"/>
    </row>
    <row r="1468" spans="1:57" x14ac:dyDescent="0.25">
      <c r="A1468" s="3" t="s">
        <v>988</v>
      </c>
      <c r="B1468" s="3">
        <v>20000</v>
      </c>
      <c r="D1468" s="3">
        <v>0</v>
      </c>
      <c r="E1468" s="3">
        <f t="shared" si="750"/>
        <v>20000</v>
      </c>
      <c r="F1468" s="5">
        <v>20000</v>
      </c>
      <c r="H1468" s="5">
        <f t="shared" si="751"/>
        <v>0</v>
      </c>
      <c r="J1468" s="5">
        <v>0</v>
      </c>
      <c r="K1468" s="4">
        <f t="shared" si="752"/>
        <v>20000</v>
      </c>
      <c r="L1468" s="5">
        <v>20000</v>
      </c>
      <c r="N1468" s="4">
        <f t="shared" si="753"/>
        <v>0</v>
      </c>
      <c r="P1468" s="3"/>
      <c r="Q1468" s="3"/>
      <c r="R1468" s="3"/>
      <c r="S1468" s="3">
        <f t="shared" si="754"/>
        <v>30000</v>
      </c>
      <c r="T1468" s="3">
        <v>30000</v>
      </c>
      <c r="U1468" s="3">
        <f t="shared" si="755"/>
        <v>30000</v>
      </c>
      <c r="V1468" s="3"/>
      <c r="W1468" s="3">
        <f t="shared" si="756"/>
        <v>30000</v>
      </c>
      <c r="X1468" s="3"/>
      <c r="Y1468" s="3">
        <v>30000</v>
      </c>
      <c r="Z1468" s="3">
        <f t="shared" si="757"/>
        <v>0</v>
      </c>
      <c r="AA1468" s="3"/>
      <c r="AB1468" s="3"/>
      <c r="AC1468" s="3"/>
      <c r="AD1468" s="3">
        <f t="shared" si="758"/>
        <v>30000</v>
      </c>
      <c r="AE1468" s="3">
        <v>30000</v>
      </c>
      <c r="AF1468" s="3">
        <f t="shared" si="759"/>
        <v>0</v>
      </c>
      <c r="AG1468" s="4"/>
      <c r="AH1468" s="4"/>
      <c r="AJ1468" s="3"/>
      <c r="AK1468" s="3">
        <f t="shared" si="748"/>
        <v>22000</v>
      </c>
      <c r="AL1468" s="3">
        <v>22000</v>
      </c>
      <c r="AM1468" s="3">
        <f t="shared" si="749"/>
        <v>22000</v>
      </c>
      <c r="AO1468" s="3"/>
      <c r="AP1468" s="3"/>
      <c r="AQ1468" s="3"/>
      <c r="AR1468" s="3"/>
      <c r="AS1468" s="3"/>
      <c r="AT1468" s="3"/>
      <c r="AU1468" s="3"/>
      <c r="AV1468" s="42"/>
      <c r="AW1468" s="3"/>
      <c r="AY1468" s="3"/>
      <c r="BA1468" s="3"/>
      <c r="BC1468" s="3"/>
      <c r="BE1468" s="3"/>
    </row>
    <row r="1469" spans="1:57" x14ac:dyDescent="0.25">
      <c r="A1469" s="3" t="s">
        <v>989</v>
      </c>
      <c r="B1469" s="3"/>
      <c r="D1469" s="3"/>
      <c r="E1469" s="3">
        <f t="shared" si="750"/>
        <v>0</v>
      </c>
      <c r="H1469" s="5">
        <f t="shared" si="751"/>
        <v>0</v>
      </c>
      <c r="K1469" s="4">
        <f t="shared" si="752"/>
        <v>0</v>
      </c>
      <c r="N1469" s="4">
        <f t="shared" si="753"/>
        <v>0</v>
      </c>
      <c r="P1469" s="3"/>
      <c r="Q1469" s="3"/>
      <c r="R1469" s="3"/>
      <c r="S1469" s="3">
        <f t="shared" si="754"/>
        <v>0</v>
      </c>
      <c r="T1469" s="3"/>
      <c r="U1469" s="3">
        <f t="shared" si="755"/>
        <v>0</v>
      </c>
      <c r="V1469" s="3"/>
      <c r="W1469" s="3">
        <f t="shared" si="756"/>
        <v>0</v>
      </c>
      <c r="X1469" s="3"/>
      <c r="Y1469" s="3"/>
      <c r="Z1469" s="3">
        <f t="shared" si="757"/>
        <v>0</v>
      </c>
      <c r="AA1469" s="3"/>
      <c r="AB1469" s="3"/>
      <c r="AC1469" s="3"/>
      <c r="AD1469" s="3">
        <f t="shared" si="758"/>
        <v>0</v>
      </c>
      <c r="AE1469" s="3"/>
      <c r="AF1469" s="3">
        <f t="shared" si="759"/>
        <v>0</v>
      </c>
      <c r="AG1469" s="4"/>
      <c r="AH1469" s="4"/>
      <c r="AJ1469" s="3"/>
      <c r="AK1469" s="3">
        <f t="shared" si="748"/>
        <v>0</v>
      </c>
      <c r="AL1469" s="3"/>
      <c r="AM1469" s="3">
        <f t="shared" si="749"/>
        <v>0</v>
      </c>
      <c r="AO1469" s="3"/>
      <c r="AP1469" s="3"/>
      <c r="AQ1469" s="3"/>
      <c r="AR1469" s="3"/>
      <c r="AS1469" s="3"/>
      <c r="AT1469" s="3"/>
      <c r="AU1469" s="3"/>
      <c r="AV1469" s="42"/>
      <c r="AW1469" s="3"/>
      <c r="AY1469" s="3"/>
      <c r="BA1469" s="3"/>
      <c r="BC1469" s="3"/>
      <c r="BE1469" s="3"/>
    </row>
    <row r="1470" spans="1:57" x14ac:dyDescent="0.25">
      <c r="A1470" s="3" t="s">
        <v>990</v>
      </c>
      <c r="B1470" s="3"/>
      <c r="D1470" s="3"/>
      <c r="E1470" s="3">
        <f>F1470-D1470</f>
        <v>2000</v>
      </c>
      <c r="F1470" s="5">
        <v>2000</v>
      </c>
      <c r="H1470" s="5">
        <f>F1470-B1470</f>
        <v>2000</v>
      </c>
      <c r="J1470" s="5">
        <v>0</v>
      </c>
      <c r="K1470" s="4">
        <f t="shared" si="752"/>
        <v>2000</v>
      </c>
      <c r="L1470" s="5">
        <v>2000</v>
      </c>
      <c r="N1470" s="4">
        <f t="shared" si="753"/>
        <v>0</v>
      </c>
      <c r="P1470" s="3"/>
      <c r="Q1470" s="3"/>
      <c r="R1470" s="3"/>
      <c r="S1470" s="3">
        <f t="shared" si="754"/>
        <v>0</v>
      </c>
      <c r="T1470" s="3"/>
      <c r="U1470" s="3">
        <f t="shared" si="755"/>
        <v>0</v>
      </c>
      <c r="V1470" s="3"/>
      <c r="W1470" s="3">
        <f t="shared" si="756"/>
        <v>0</v>
      </c>
      <c r="X1470" s="3"/>
      <c r="Y1470" s="3"/>
      <c r="Z1470" s="3">
        <f t="shared" si="757"/>
        <v>0</v>
      </c>
      <c r="AA1470" s="3"/>
      <c r="AB1470" s="3"/>
      <c r="AC1470" s="3"/>
      <c r="AD1470" s="3">
        <f t="shared" si="758"/>
        <v>0</v>
      </c>
      <c r="AE1470" s="3"/>
      <c r="AF1470" s="3">
        <f t="shared" si="759"/>
        <v>0</v>
      </c>
      <c r="AG1470" s="4"/>
      <c r="AH1470" s="4"/>
      <c r="AJ1470" s="3"/>
      <c r="AK1470" s="3">
        <f t="shared" si="748"/>
        <v>0</v>
      </c>
      <c r="AL1470" s="3"/>
      <c r="AM1470" s="3">
        <f t="shared" si="749"/>
        <v>0</v>
      </c>
      <c r="AO1470" s="3"/>
      <c r="AP1470" s="3"/>
      <c r="AQ1470" s="3"/>
      <c r="AR1470" s="3"/>
      <c r="AS1470" s="3"/>
      <c r="AT1470" s="3"/>
      <c r="AU1470" s="3"/>
      <c r="AV1470" s="42"/>
      <c r="AW1470" s="3"/>
      <c r="AY1470" s="3"/>
      <c r="BA1470" s="3"/>
      <c r="BC1470" s="3"/>
      <c r="BE1470" s="3"/>
    </row>
    <row r="1471" spans="1:57" x14ac:dyDescent="0.25">
      <c r="A1471" s="3" t="s">
        <v>537</v>
      </c>
      <c r="B1471" s="3">
        <v>87800</v>
      </c>
      <c r="D1471" s="3">
        <v>0</v>
      </c>
      <c r="E1471" s="3">
        <f t="shared" si="750"/>
        <v>87800</v>
      </c>
      <c r="F1471" s="5">
        <v>87800</v>
      </c>
      <c r="H1471" s="5">
        <f t="shared" si="751"/>
        <v>0</v>
      </c>
      <c r="J1471" s="5">
        <v>25938</v>
      </c>
      <c r="K1471" s="4">
        <f t="shared" si="752"/>
        <v>61862</v>
      </c>
      <c r="L1471" s="5">
        <v>87800</v>
      </c>
      <c r="N1471" s="4">
        <f t="shared" si="753"/>
        <v>0</v>
      </c>
      <c r="P1471" s="3">
        <v>101000</v>
      </c>
      <c r="Q1471" s="3"/>
      <c r="R1471" s="3">
        <v>12710</v>
      </c>
      <c r="S1471" s="3">
        <f t="shared" si="754"/>
        <v>88290</v>
      </c>
      <c r="T1471" s="3">
        <v>101000</v>
      </c>
      <c r="U1471" s="3">
        <f t="shared" si="755"/>
        <v>0</v>
      </c>
      <c r="V1471" s="3">
        <v>27897</v>
      </c>
      <c r="W1471" s="3">
        <f t="shared" si="756"/>
        <v>62103</v>
      </c>
      <c r="X1471" s="3"/>
      <c r="Y1471" s="3">
        <v>90000</v>
      </c>
      <c r="Z1471" s="3">
        <f t="shared" si="757"/>
        <v>-11000</v>
      </c>
      <c r="AA1471" s="3"/>
      <c r="AB1471" s="3"/>
      <c r="AC1471" s="3">
        <f>42791+1454</f>
        <v>44245</v>
      </c>
      <c r="AD1471" s="3">
        <f t="shared" si="758"/>
        <v>48255</v>
      </c>
      <c r="AE1471" s="3">
        <v>92500</v>
      </c>
      <c r="AF1471" s="3">
        <f t="shared" si="759"/>
        <v>2500</v>
      </c>
      <c r="AG1471" s="4"/>
      <c r="AH1471" s="4">
        <f>AE1471*1.075-38</f>
        <v>99399.5</v>
      </c>
      <c r="AJ1471" s="3">
        <v>20705</v>
      </c>
      <c r="AK1471" s="3">
        <f t="shared" si="748"/>
        <v>78695</v>
      </c>
      <c r="AL1471" s="3">
        <v>99400</v>
      </c>
      <c r="AM1471" s="3">
        <f t="shared" si="749"/>
        <v>0.5</v>
      </c>
      <c r="AO1471" s="3">
        <f>AH1471*1.05</f>
        <v>104369.47500000001</v>
      </c>
      <c r="AP1471" s="3"/>
      <c r="AQ1471" s="3">
        <f>AO1471*1.03</f>
        <v>107500.55925000001</v>
      </c>
      <c r="AR1471" s="3"/>
      <c r="AS1471" s="3">
        <f>AQ1471*1.03</f>
        <v>110725.57602750001</v>
      </c>
      <c r="AT1471" s="3"/>
      <c r="AU1471" s="3">
        <f>AS1471*1.03</f>
        <v>114047.34330832501</v>
      </c>
      <c r="AV1471" s="42"/>
      <c r="AW1471" s="3">
        <f>AU1471*1.03</f>
        <v>117468.76360757477</v>
      </c>
      <c r="AY1471" s="3">
        <f>AW1471*1.03</f>
        <v>120992.82651580202</v>
      </c>
      <c r="BA1471" s="3">
        <f>AY1471*1.03</f>
        <v>124622.61131127608</v>
      </c>
      <c r="BC1471" s="3">
        <f>BA1471*1.03</f>
        <v>128361.28965061436</v>
      </c>
      <c r="BE1471" s="3">
        <f>BC1471*1.03</f>
        <v>132212.1283401328</v>
      </c>
    </row>
    <row r="1472" spans="1:57" x14ac:dyDescent="0.25">
      <c r="A1472" s="3"/>
      <c r="B1472" s="48">
        <f>SUM(B1460:B1471)</f>
        <v>204550</v>
      </c>
      <c r="C1472" s="32"/>
      <c r="D1472" s="48">
        <f>SUM(D1460:D1471)</f>
        <v>0</v>
      </c>
      <c r="E1472" s="48">
        <f>SUM(E1460:E1471)</f>
        <v>206550</v>
      </c>
      <c r="F1472" s="48">
        <f>SUM(F1460:F1471)</f>
        <v>206550</v>
      </c>
      <c r="G1472" s="32"/>
      <c r="H1472" s="48">
        <f>SUM(H1460:H1471)</f>
        <v>2000</v>
      </c>
      <c r="I1472" s="36"/>
      <c r="J1472" s="48">
        <f>SUM(J1460:J1471)</f>
        <v>25938</v>
      </c>
      <c r="K1472" s="48">
        <f>SUM(K1460:K1471)</f>
        <v>180612</v>
      </c>
      <c r="L1472" s="48">
        <f>SUM(L1460:L1471)</f>
        <v>206550</v>
      </c>
      <c r="M1472" s="32"/>
      <c r="N1472" s="48">
        <f>SUM(N1460:N1471)</f>
        <v>0</v>
      </c>
      <c r="P1472" s="48">
        <f>SUM(P1460:P1471)</f>
        <v>149750</v>
      </c>
      <c r="R1472" s="48">
        <f t="shared" ref="R1472:Z1472" si="760">SUM(R1460:R1471)</f>
        <v>12710</v>
      </c>
      <c r="S1472" s="48">
        <f t="shared" si="760"/>
        <v>216040</v>
      </c>
      <c r="T1472" s="48">
        <f t="shared" si="760"/>
        <v>228750</v>
      </c>
      <c r="U1472" s="48">
        <f t="shared" si="760"/>
        <v>79000</v>
      </c>
      <c r="V1472" s="48">
        <f t="shared" si="760"/>
        <v>27897</v>
      </c>
      <c r="W1472" s="48">
        <f t="shared" si="760"/>
        <v>189853</v>
      </c>
      <c r="X1472" s="48"/>
      <c r="Y1472" s="48">
        <f t="shared" si="760"/>
        <v>217750</v>
      </c>
      <c r="Z1472" s="48">
        <f t="shared" si="760"/>
        <v>-11000</v>
      </c>
      <c r="AC1472" s="48">
        <f>SUM(AC1460:AC1471)</f>
        <v>44245</v>
      </c>
      <c r="AD1472" s="48">
        <f>SUM(AD1460:AD1471)</f>
        <v>176005</v>
      </c>
      <c r="AE1472" s="48">
        <f>SUM(AE1460:AE1471)</f>
        <v>220250</v>
      </c>
      <c r="AF1472" s="48">
        <f>SUM(AF1460:AF1471)</f>
        <v>2500</v>
      </c>
      <c r="AH1472" s="36">
        <f>SUM(AH1460:AH1471)</f>
        <v>129049</v>
      </c>
      <c r="AI1472" s="32"/>
      <c r="AJ1472" s="48">
        <f>SUM(AJ1460:AJ1471)</f>
        <v>20705</v>
      </c>
      <c r="AK1472" s="48">
        <f>SUM(AK1460:AK1471)</f>
        <v>179345</v>
      </c>
      <c r="AL1472" s="48">
        <f>SUM(AL1460:AL1471)</f>
        <v>200050</v>
      </c>
      <c r="AM1472" s="48">
        <f>SUM(AM1460:AM1471)</f>
        <v>71001</v>
      </c>
      <c r="AN1472" s="32"/>
      <c r="AO1472" s="48">
        <f>SUM(AO1460:AO1471)</f>
        <v>894338.46</v>
      </c>
      <c r="AQ1472" s="48">
        <f>SUM(AQ1460:AQ1471)</f>
        <v>898385.71380000003</v>
      </c>
      <c r="AS1472" s="48">
        <f>SUM(AS1460:AS1471)</f>
        <v>277554.38521400001</v>
      </c>
      <c r="AT1472" s="48"/>
      <c r="AU1472" s="48">
        <f>SUM(AU1460:AU1471)</f>
        <v>281848.11677041999</v>
      </c>
      <c r="AW1472" s="48">
        <f>SUM(AW1460:AW1471)</f>
        <v>286270.66027353262</v>
      </c>
      <c r="AY1472" s="48">
        <f>SUM(AY1460:AY1471)</f>
        <v>290825.88008173864</v>
      </c>
      <c r="BA1472" s="48">
        <f>SUM(BA1460:BA1471)</f>
        <v>295517.75648419076</v>
      </c>
      <c r="BC1472" s="48">
        <f>SUM(BC1460:BC1471)</f>
        <v>300350.38917871652</v>
      </c>
      <c r="BE1472" s="48">
        <f>SUM(BE1460:BE1471)</f>
        <v>305328.00085407798</v>
      </c>
    </row>
    <row r="1473" spans="1:57" ht="15.75" thickBot="1" x14ac:dyDescent="0.3">
      <c r="A1473" s="3"/>
      <c r="B1473" s="43">
        <f>B1472+B1456+B1445</f>
        <v>303550</v>
      </c>
      <c r="C1473" s="32"/>
      <c r="D1473" s="43">
        <f>D1472+D1456+D1445</f>
        <v>0</v>
      </c>
      <c r="E1473" s="43">
        <f>E1472+E1456+E1445</f>
        <v>305550</v>
      </c>
      <c r="F1473" s="43">
        <f>F1472+F1456+F1445</f>
        <v>305550</v>
      </c>
      <c r="G1473" s="32"/>
      <c r="H1473" s="43">
        <f>H1472+H1456+H1445</f>
        <v>2000</v>
      </c>
      <c r="I1473" s="36"/>
      <c r="J1473" s="43">
        <f>J1472+J1456+J1445</f>
        <v>25938</v>
      </c>
      <c r="K1473" s="43">
        <f>K1472+K1456+K1445</f>
        <v>279612</v>
      </c>
      <c r="L1473" s="43">
        <f>L1472+L1456+L1445</f>
        <v>305550</v>
      </c>
      <c r="M1473" s="32"/>
      <c r="N1473" s="43">
        <f>N1472+N1456+N1445</f>
        <v>0</v>
      </c>
      <c r="P1473" s="43">
        <f>P1472+P1456+P1445</f>
        <v>292750</v>
      </c>
      <c r="R1473" s="43">
        <f t="shared" ref="R1473:Z1473" si="761">R1472+R1456+R1445</f>
        <v>43104</v>
      </c>
      <c r="S1473" s="43">
        <f t="shared" si="761"/>
        <v>328646</v>
      </c>
      <c r="T1473" s="43">
        <f t="shared" si="761"/>
        <v>371750</v>
      </c>
      <c r="U1473" s="43">
        <f t="shared" si="761"/>
        <v>79000</v>
      </c>
      <c r="V1473" s="43">
        <f t="shared" si="761"/>
        <v>76751</v>
      </c>
      <c r="W1473" s="43">
        <f t="shared" si="761"/>
        <v>283999</v>
      </c>
      <c r="X1473" s="43"/>
      <c r="Y1473" s="43">
        <f t="shared" si="761"/>
        <v>360750</v>
      </c>
      <c r="Z1473" s="43">
        <f t="shared" si="761"/>
        <v>-11000</v>
      </c>
      <c r="AC1473" s="43">
        <f>AC1472+AC1456+AC1445</f>
        <v>104593</v>
      </c>
      <c r="AD1473" s="43">
        <f>AD1472+AD1456+AD1445</f>
        <v>248157</v>
      </c>
      <c r="AE1473" s="43">
        <f>AE1472+AE1456+AE1445</f>
        <v>352750</v>
      </c>
      <c r="AF1473" s="43">
        <f>AF1472+AF1456+AF1445</f>
        <v>-8000</v>
      </c>
      <c r="AH1473" s="36">
        <f>AH1472+AH1456+AH1445</f>
        <v>265049</v>
      </c>
      <c r="AI1473" s="32"/>
      <c r="AJ1473" s="43">
        <f>AJ1472+AJ1456+AJ1445</f>
        <v>55524</v>
      </c>
      <c r="AK1473" s="43">
        <f>AK1472+AK1456+AK1445</f>
        <v>280526</v>
      </c>
      <c r="AL1473" s="43">
        <f>AL1472+AL1456+AL1445</f>
        <v>336050</v>
      </c>
      <c r="AM1473" s="43">
        <f>AM1472+AM1456+AM1445</f>
        <v>71001</v>
      </c>
      <c r="AN1473" s="32"/>
      <c r="AO1473" s="43">
        <f>AO1472+AO1456+AO1445</f>
        <v>1042338.46</v>
      </c>
      <c r="AQ1473" s="43">
        <f>AQ1472+AQ1456+AQ1445</f>
        <v>1066385.7138</v>
      </c>
      <c r="AS1473" s="43">
        <f>AS1472+AS1456+AS1445</f>
        <v>452554.38521400001</v>
      </c>
      <c r="AT1473" s="43"/>
      <c r="AU1473" s="43">
        <f>AU1472+AU1456+AU1445</f>
        <v>466848.11677041999</v>
      </c>
      <c r="AW1473" s="43">
        <f>AW1472+AW1456+AW1445</f>
        <v>486270.66027353262</v>
      </c>
      <c r="AY1473" s="43">
        <f>AY1472+AY1456+AY1445</f>
        <v>495825.88008173864</v>
      </c>
      <c r="BA1473" s="43">
        <f>BA1472+BA1456+BA1445</f>
        <v>510517.75648419076</v>
      </c>
      <c r="BC1473" s="43">
        <f>BC1472+BC1456+BC1445</f>
        <v>530350.38917871658</v>
      </c>
      <c r="BE1473" s="43">
        <f>BE1472+BE1456+BE1445</f>
        <v>535328.00085407798</v>
      </c>
    </row>
    <row r="1474" spans="1:57" ht="15.75" thickTop="1" x14ac:dyDescent="0.25">
      <c r="A1474" s="3"/>
    </row>
    <row r="1475" spans="1:57" ht="15.75" thickBot="1" x14ac:dyDescent="0.3">
      <c r="A1475" s="3" t="s">
        <v>249</v>
      </c>
      <c r="B1475" s="43">
        <f>B1473+B1414+B1409+B1406+B1421</f>
        <v>369450</v>
      </c>
      <c r="C1475" s="32"/>
      <c r="D1475" s="43">
        <f>D1473+D1414+D1409+D1406+D1421</f>
        <v>12369</v>
      </c>
      <c r="E1475" s="43">
        <f>E1473+E1414+E1409+E1406+E1421</f>
        <v>359081</v>
      </c>
      <c r="F1475" s="43">
        <f>F1473+F1414+F1409+F1406+F1421</f>
        <v>371450</v>
      </c>
      <c r="G1475" s="32"/>
      <c r="H1475" s="43">
        <f>H1473+H1414+H1409+H1406+H1421</f>
        <v>2000</v>
      </c>
      <c r="I1475" s="36"/>
      <c r="J1475" s="43">
        <f>J1473+J1414+J1409+J1406+J1421</f>
        <v>44822</v>
      </c>
      <c r="K1475" s="43">
        <f>K1473+K1414+K1409+K1406+K1421</f>
        <v>325328</v>
      </c>
      <c r="L1475" s="43">
        <f>L1473+L1414+L1409+L1406+L1421</f>
        <v>370150</v>
      </c>
      <c r="M1475" s="32"/>
      <c r="N1475" s="43">
        <f>N1473+N1414+N1409+N1406+N1421</f>
        <v>-1300</v>
      </c>
      <c r="P1475" s="43">
        <f>P1473+P1414+P1409+P1406+P1421</f>
        <v>357740.5</v>
      </c>
      <c r="R1475" s="43">
        <f t="shared" ref="R1475:W1475" si="762">R1473+R1414+R1409+R1406+R1421</f>
        <v>60242</v>
      </c>
      <c r="S1475" s="43">
        <f t="shared" si="762"/>
        <v>391518</v>
      </c>
      <c r="T1475" s="43">
        <f t="shared" si="762"/>
        <v>451760</v>
      </c>
      <c r="U1475" s="43">
        <f t="shared" si="762"/>
        <v>94019.5</v>
      </c>
      <c r="V1475" s="43">
        <f t="shared" si="762"/>
        <v>100264</v>
      </c>
      <c r="W1475" s="43">
        <f t="shared" si="762"/>
        <v>313046</v>
      </c>
      <c r="X1475" s="43"/>
      <c r="Y1475" s="43">
        <f>Y1473+Y1414+Y1409+Y1406+Y1421</f>
        <v>439060</v>
      </c>
      <c r="Z1475" s="43">
        <f>Z1473+Z1414+Z1409+Z1406+Z1421</f>
        <v>-12700</v>
      </c>
      <c r="AC1475" s="43">
        <f>AC1473+AC1414+AC1409+AC1406+AC1421</f>
        <v>146053</v>
      </c>
      <c r="AD1475" s="43">
        <f>AD1473+AD1414+AD1409+AD1406+AD1421</f>
        <v>280097</v>
      </c>
      <c r="AE1475" s="43">
        <f>AE1473+AE1414+AE1409+AE1406+AE1421</f>
        <v>426150</v>
      </c>
      <c r="AF1475" s="43">
        <f>AF1473+AF1414+AF1409+AF1406+AF1421</f>
        <v>-12910</v>
      </c>
      <c r="AH1475" s="36">
        <f>AH1473+AH1414+AH1409+AH1406+AH1421</f>
        <v>320348.7</v>
      </c>
      <c r="AI1475" s="32"/>
      <c r="AJ1475" s="43">
        <f>AJ1473+AJ1414+AJ1409+AJ1406+AJ1421</f>
        <v>68416</v>
      </c>
      <c r="AK1475" s="43">
        <f>AK1473+AK1414+AK1409+AK1406+AK1421</f>
        <v>322934</v>
      </c>
      <c r="AL1475" s="43">
        <f>AL1473+AL1414+AL1409+AL1406+AL1421</f>
        <v>391350</v>
      </c>
      <c r="AM1475" s="43">
        <f>AM1473+AM1414+AM1409+AM1406+AM1421</f>
        <v>71001.3</v>
      </c>
      <c r="AN1475" s="32"/>
      <c r="AO1475" s="43">
        <f>AO1473+AO1414+AO1409+AO1406+AO1421</f>
        <v>1094580.1510000001</v>
      </c>
      <c r="AQ1475" s="43">
        <f>AQ1473+AQ1414+AQ1409+AQ1406+AQ1421</f>
        <v>1160649.30553</v>
      </c>
      <c r="AS1475" s="43">
        <f>AS1473+AS1414+AS1409+AS1406+AS1421</f>
        <v>508923.26719589997</v>
      </c>
      <c r="AT1475" s="43"/>
      <c r="AU1475" s="43">
        <f>AU1473+AU1414+AU1409+AU1406+AU1421</f>
        <v>525409.31683677703</v>
      </c>
      <c r="AW1475" s="43">
        <f>AW1473+AW1414+AW1409+AW1406+AW1421</f>
        <v>547115.01054813038</v>
      </c>
      <c r="AY1475" s="43">
        <f>AY1473+AY1414+AY1409+AY1406+AY1421</f>
        <v>559048.19078113674</v>
      </c>
      <c r="BA1475" s="43">
        <f>BA1473+BA1414+BA1409+BA1406+BA1421</f>
        <v>576216.99791696155</v>
      </c>
      <c r="BC1475" s="43">
        <f>BC1473+BC1414+BC1409+BC1406+BC1421</f>
        <v>598629.88233748067</v>
      </c>
      <c r="BE1475" s="43">
        <f>BE1473+BE1414+BE1409+BE1406+BE1421</f>
        <v>606295.61701476551</v>
      </c>
    </row>
    <row r="1476" spans="1:57" ht="15.75" thickTop="1" x14ac:dyDescent="0.25">
      <c r="A1476" s="7" t="s">
        <v>845</v>
      </c>
      <c r="B1476" s="7"/>
      <c r="C1476" s="7"/>
      <c r="D1476" s="7"/>
      <c r="E1476" s="7"/>
      <c r="F1476" s="7"/>
      <c r="G1476" s="7"/>
      <c r="H1476" s="7"/>
      <c r="I1476" s="7"/>
      <c r="J1476" s="7"/>
      <c r="K1476" s="7"/>
      <c r="L1476" s="7"/>
      <c r="M1476" s="32"/>
      <c r="N1476" s="7"/>
      <c r="P1476" s="7"/>
      <c r="R1476" s="7"/>
      <c r="S1476" s="7"/>
      <c r="T1476" s="7"/>
      <c r="U1476" s="7"/>
      <c r="V1476" s="7"/>
      <c r="W1476" s="7"/>
      <c r="X1476" s="7"/>
      <c r="Y1476" s="7"/>
      <c r="Z1476" s="7"/>
      <c r="AC1476" s="7"/>
      <c r="AD1476" s="7"/>
      <c r="AE1476" s="7"/>
      <c r="AF1476" s="7"/>
      <c r="AH1476" s="32"/>
      <c r="AI1476" s="32"/>
      <c r="AJ1476" s="7"/>
      <c r="AK1476" s="7"/>
      <c r="AL1476" s="7"/>
      <c r="AM1476" s="7"/>
      <c r="AN1476" s="32"/>
      <c r="AO1476" s="7"/>
      <c r="AQ1476" s="7"/>
      <c r="AS1476" s="7"/>
      <c r="AT1476" s="7"/>
      <c r="AU1476" s="7"/>
      <c r="AW1476" s="7"/>
      <c r="AY1476" s="7"/>
      <c r="BA1476" s="7"/>
      <c r="BC1476" s="7"/>
      <c r="BE1476" s="7"/>
    </row>
    <row r="1477" spans="1:57" x14ac:dyDescent="0.25">
      <c r="A1477" s="3" t="s">
        <v>991</v>
      </c>
      <c r="B1477" s="7"/>
      <c r="C1477" s="7"/>
      <c r="D1477" s="7"/>
      <c r="E1477" s="7"/>
      <c r="F1477" s="7"/>
      <c r="G1477" s="7"/>
      <c r="H1477" s="7"/>
      <c r="I1477" s="7"/>
      <c r="J1477" s="7"/>
      <c r="K1477" s="7"/>
      <c r="L1477" s="7"/>
      <c r="M1477" s="32"/>
      <c r="N1477" s="7"/>
      <c r="P1477" s="7"/>
      <c r="Q1477" s="3"/>
      <c r="R1477" s="7"/>
      <c r="S1477" s="7"/>
      <c r="T1477" s="7"/>
      <c r="U1477" s="7"/>
      <c r="V1477" s="7"/>
      <c r="W1477" s="7"/>
      <c r="X1477" s="7"/>
      <c r="Y1477" s="7"/>
      <c r="Z1477" s="7"/>
      <c r="AA1477" s="3"/>
      <c r="AB1477" s="3"/>
      <c r="AC1477" s="7"/>
      <c r="AD1477" s="7"/>
      <c r="AE1477" s="7"/>
      <c r="AF1477" s="7"/>
      <c r="AG1477" s="4"/>
      <c r="AH1477" s="32"/>
      <c r="AI1477" s="32"/>
      <c r="AJ1477" s="7"/>
      <c r="AK1477" s="7"/>
      <c r="AL1477" s="7"/>
      <c r="AM1477" s="7"/>
      <c r="AN1477" s="32"/>
      <c r="AO1477" s="7"/>
      <c r="AP1477" s="3"/>
      <c r="AQ1477" s="7"/>
      <c r="AR1477" s="3"/>
      <c r="AS1477" s="7"/>
      <c r="AT1477" s="7"/>
      <c r="AU1477" s="7"/>
      <c r="AV1477" s="42"/>
      <c r="AW1477" s="7"/>
      <c r="AY1477" s="7"/>
      <c r="BA1477" s="7"/>
      <c r="BC1477" s="7"/>
      <c r="BE1477" s="7"/>
    </row>
    <row r="1478" spans="1:57" ht="15.75" thickBot="1" x14ac:dyDescent="0.3">
      <c r="A1478" s="7" t="s">
        <v>992</v>
      </c>
      <c r="B1478" s="43">
        <f>B1477+B1475</f>
        <v>369450</v>
      </c>
      <c r="C1478" s="32"/>
      <c r="D1478" s="43">
        <f>D1477+D1475</f>
        <v>12369</v>
      </c>
      <c r="E1478" s="43">
        <f>E1477+E1475</f>
        <v>359081</v>
      </c>
      <c r="F1478" s="43">
        <f>F1477+F1475</f>
        <v>371450</v>
      </c>
      <c r="G1478" s="32"/>
      <c r="H1478" s="43">
        <f>H1477+H1475</f>
        <v>2000</v>
      </c>
      <c r="I1478" s="36"/>
      <c r="J1478" s="43">
        <f>J1477+J1475</f>
        <v>44822</v>
      </c>
      <c r="K1478" s="43">
        <f>K1477+K1475</f>
        <v>325328</v>
      </c>
      <c r="L1478" s="43">
        <f>L1477+L1475</f>
        <v>370150</v>
      </c>
      <c r="M1478" s="32"/>
      <c r="N1478" s="43">
        <f>N1477+N1475</f>
        <v>-1300</v>
      </c>
      <c r="P1478" s="43">
        <f>P1477+P1475</f>
        <v>357740.5</v>
      </c>
      <c r="R1478" s="43">
        <f t="shared" ref="R1478:Z1478" si="763">R1477+R1475</f>
        <v>60242</v>
      </c>
      <c r="S1478" s="43">
        <f t="shared" si="763"/>
        <v>391518</v>
      </c>
      <c r="T1478" s="43">
        <f t="shared" si="763"/>
        <v>451760</v>
      </c>
      <c r="U1478" s="43">
        <f t="shared" si="763"/>
        <v>94019.5</v>
      </c>
      <c r="V1478" s="43">
        <f t="shared" si="763"/>
        <v>100264</v>
      </c>
      <c r="W1478" s="43">
        <f t="shared" si="763"/>
        <v>313046</v>
      </c>
      <c r="X1478" s="43"/>
      <c r="Y1478" s="43">
        <f t="shared" si="763"/>
        <v>439060</v>
      </c>
      <c r="Z1478" s="43">
        <f t="shared" si="763"/>
        <v>-12700</v>
      </c>
      <c r="AC1478" s="43">
        <f>AC1477+AC1475</f>
        <v>146053</v>
      </c>
      <c r="AD1478" s="43">
        <f>AD1477+AD1475</f>
        <v>280097</v>
      </c>
      <c r="AE1478" s="43">
        <f>AE1477+AE1475</f>
        <v>426150</v>
      </c>
      <c r="AF1478" s="43">
        <f>AF1477+AF1475</f>
        <v>-12910</v>
      </c>
      <c r="AH1478" s="36">
        <f>AH1477+AH1475</f>
        <v>320348.7</v>
      </c>
      <c r="AI1478" s="32"/>
      <c r="AJ1478" s="43">
        <f>AJ1477+AJ1475</f>
        <v>68416</v>
      </c>
      <c r="AK1478" s="43">
        <f>AK1477+AK1475</f>
        <v>322934</v>
      </c>
      <c r="AL1478" s="43">
        <f>AL1477+AL1475</f>
        <v>391350</v>
      </c>
      <c r="AM1478" s="43">
        <f>AM1477+AM1475</f>
        <v>71001.3</v>
      </c>
      <c r="AN1478" s="32"/>
      <c r="AO1478" s="43">
        <f>AO1477+AO1475</f>
        <v>1094580.1510000001</v>
      </c>
      <c r="AQ1478" s="43">
        <f>AQ1477+AQ1475</f>
        <v>1160649.30553</v>
      </c>
      <c r="AS1478" s="43">
        <f>AS1477+AS1475</f>
        <v>508923.26719589997</v>
      </c>
      <c r="AT1478" s="43"/>
      <c r="AU1478" s="43">
        <f>AU1477+AU1475</f>
        <v>525409.31683677703</v>
      </c>
      <c r="AW1478" s="43">
        <f>AW1477+AW1475</f>
        <v>547115.01054813038</v>
      </c>
      <c r="AY1478" s="43">
        <f>AY1477+AY1475</f>
        <v>559048.19078113674</v>
      </c>
      <c r="BA1478" s="43">
        <f>BA1477+BA1475</f>
        <v>576216.99791696155</v>
      </c>
      <c r="BC1478" s="43">
        <f>BC1477+BC1475</f>
        <v>598629.88233748067</v>
      </c>
      <c r="BE1478" s="43">
        <f>BE1477+BE1475</f>
        <v>606295.61701476551</v>
      </c>
    </row>
    <row r="1479" spans="1:57" ht="15.75" thickTop="1" x14ac:dyDescent="0.25">
      <c r="A1479" s="32"/>
    </row>
    <row r="1480" spans="1:57" x14ac:dyDescent="0.25">
      <c r="A1480" s="32"/>
    </row>
    <row r="1481" spans="1:57" x14ac:dyDescent="0.25">
      <c r="A1481" s="32"/>
    </row>
    <row r="1482" spans="1:57" x14ac:dyDescent="0.25">
      <c r="A1482" s="32"/>
      <c r="AF1482" s="63" t="s">
        <v>993</v>
      </c>
    </row>
    <row r="1483" spans="1:57" ht="15.75" thickBot="1" x14ac:dyDescent="0.3">
      <c r="A1483" s="32"/>
    </row>
    <row r="1484" spans="1:57" x14ac:dyDescent="0.25">
      <c r="A1484" s="3" t="str">
        <f ca="1">CELL("filename")</f>
        <v>G:\Gundagai\SRV &amp; LIRS\Scenarios - Final - Council Meeting Reports 101213\[Scenario 1 - BAU LTFP - 041213.xlsx]Gen-TID Com CashFlow &amp; BalSheet</v>
      </c>
      <c r="AH1484" s="13" t="s">
        <v>8</v>
      </c>
      <c r="AI1484" s="9"/>
      <c r="AO1484" s="12" t="s">
        <v>8</v>
      </c>
      <c r="AQ1484" s="8" t="s">
        <v>8</v>
      </c>
      <c r="AS1484" s="8" t="s">
        <v>8</v>
      </c>
      <c r="AT1484" s="8"/>
      <c r="AU1484" s="8" t="s">
        <v>8</v>
      </c>
      <c r="AW1484" s="8" t="s">
        <v>8</v>
      </c>
      <c r="AY1484" s="8" t="s">
        <v>8</v>
      </c>
      <c r="BA1484" s="8" t="s">
        <v>8</v>
      </c>
      <c r="BC1484" s="8" t="s">
        <v>8</v>
      </c>
      <c r="BE1484" s="8" t="s">
        <v>8</v>
      </c>
    </row>
    <row r="1485" spans="1:57" ht="15.75" thickBot="1" x14ac:dyDescent="0.3">
      <c r="A1485" s="3"/>
      <c r="AH1485" s="13" t="s">
        <v>24</v>
      </c>
      <c r="AI1485" s="9"/>
      <c r="AO1485" s="22" t="s">
        <v>25</v>
      </c>
      <c r="AQ1485" s="19" t="s">
        <v>26</v>
      </c>
      <c r="AS1485" s="19" t="s">
        <v>27</v>
      </c>
      <c r="AT1485" s="19"/>
      <c r="AU1485" s="19" t="s">
        <v>28</v>
      </c>
      <c r="AW1485" s="19" t="s">
        <v>29</v>
      </c>
      <c r="AY1485" s="19" t="s">
        <v>30</v>
      </c>
      <c r="BA1485" s="19" t="s">
        <v>31</v>
      </c>
      <c r="BC1485" s="19" t="s">
        <v>32</v>
      </c>
      <c r="BE1485" s="19" t="s">
        <v>33</v>
      </c>
    </row>
    <row r="1486" spans="1:57" x14ac:dyDescent="0.25">
      <c r="A1486" s="3"/>
    </row>
    <row r="1487" spans="1:57" x14ac:dyDescent="0.25">
      <c r="A1487" s="3"/>
      <c r="AF1487" s="88" t="s">
        <v>994</v>
      </c>
      <c r="AH1487" s="85"/>
      <c r="AJ1487" s="3"/>
      <c r="AK1487" s="3"/>
      <c r="AL1487" s="3"/>
      <c r="AM1487" s="3"/>
      <c r="AO1487" s="29"/>
      <c r="AP1487" s="3"/>
      <c r="AQ1487" s="29"/>
      <c r="AR1487" s="3"/>
      <c r="AS1487" s="29"/>
      <c r="AT1487" s="29"/>
      <c r="AU1487" s="29"/>
      <c r="AW1487" s="29"/>
      <c r="AY1487" s="29"/>
      <c r="BA1487" s="29"/>
      <c r="BC1487" s="29"/>
      <c r="BE1487" s="29"/>
    </row>
    <row r="1488" spans="1:57" x14ac:dyDescent="0.25">
      <c r="A1488" s="3"/>
      <c r="AH1488" s="85"/>
      <c r="AJ1488" s="3"/>
      <c r="AK1488" s="3"/>
      <c r="AL1488" s="3"/>
      <c r="AM1488" s="3"/>
      <c r="AO1488" s="29"/>
      <c r="AP1488" s="3"/>
      <c r="AQ1488" s="29"/>
      <c r="AR1488" s="3"/>
      <c r="AS1488" s="29"/>
      <c r="AT1488" s="29"/>
      <c r="AU1488" s="29"/>
      <c r="AW1488" s="29"/>
      <c r="AY1488" s="29"/>
      <c r="BA1488" s="29"/>
      <c r="BC1488" s="29"/>
      <c r="BE1488" s="29"/>
    </row>
    <row r="1489" spans="1:57" x14ac:dyDescent="0.25">
      <c r="A1489" s="3"/>
      <c r="AF1489" s="5" t="s">
        <v>995</v>
      </c>
      <c r="AH1489" s="36">
        <v>747760</v>
      </c>
      <c r="AI1489" s="32"/>
      <c r="AJ1489" s="7"/>
      <c r="AK1489" s="7"/>
      <c r="AL1489" s="7"/>
      <c r="AM1489" s="7"/>
      <c r="AN1489" s="32"/>
      <c r="AO1489" s="31">
        <f>AH1501</f>
        <v>1125426</v>
      </c>
      <c r="AP1489" s="7"/>
      <c r="AQ1489" s="31">
        <f>AO1501</f>
        <v>1159169</v>
      </c>
      <c r="AR1489" s="7"/>
      <c r="AS1489" s="31">
        <f>AQ1501</f>
        <v>1555574</v>
      </c>
      <c r="AT1489" s="31"/>
      <c r="AU1489" s="31">
        <f>AS1501</f>
        <v>2086681</v>
      </c>
      <c r="AV1489" s="34"/>
      <c r="AW1489" s="31">
        <f>AU1501</f>
        <v>2324964</v>
      </c>
      <c r="AX1489" s="34"/>
      <c r="AY1489" s="31">
        <f>AW1501</f>
        <v>2921769</v>
      </c>
      <c r="AZ1489" s="34"/>
      <c r="BA1489" s="31">
        <f>AY1501</f>
        <v>3751303</v>
      </c>
      <c r="BB1489" s="34"/>
      <c r="BC1489" s="31">
        <f>BA1501</f>
        <v>4287104</v>
      </c>
      <c r="BE1489" s="31">
        <f>BC1501</f>
        <v>4718262</v>
      </c>
    </row>
    <row r="1490" spans="1:57" x14ac:dyDescent="0.25">
      <c r="A1490" s="3"/>
      <c r="AH1490" s="85"/>
      <c r="AJ1490" s="3"/>
      <c r="AK1490" s="3"/>
      <c r="AL1490" s="3"/>
      <c r="AM1490" s="3"/>
      <c r="AO1490" s="29"/>
      <c r="AP1490" s="3"/>
      <c r="AQ1490" s="29"/>
      <c r="AR1490" s="3"/>
      <c r="AS1490" s="29"/>
      <c r="AT1490" s="29"/>
      <c r="AU1490" s="29"/>
      <c r="AW1490" s="29"/>
      <c r="AY1490" s="29"/>
      <c r="BA1490" s="29"/>
      <c r="BC1490" s="29"/>
      <c r="BE1490" s="29"/>
    </row>
    <row r="1491" spans="1:57" x14ac:dyDescent="0.25">
      <c r="A1491" s="3"/>
      <c r="AF1491" s="5" t="s">
        <v>996</v>
      </c>
      <c r="AH1491" s="85">
        <v>190166</v>
      </c>
      <c r="AJ1491" s="4"/>
      <c r="AK1491" s="4"/>
      <c r="AL1491" s="4"/>
      <c r="AM1491" s="4"/>
      <c r="AO1491" s="89">
        <v>192343</v>
      </c>
      <c r="AP1491" s="4"/>
      <c r="AQ1491" s="89">
        <v>492505</v>
      </c>
      <c r="AR1491" s="4"/>
      <c r="AS1491" s="89">
        <v>564707</v>
      </c>
      <c r="AT1491" s="89"/>
      <c r="AU1491" s="35">
        <v>271883</v>
      </c>
      <c r="AV1491" s="59"/>
      <c r="AW1491" s="89">
        <v>630405</v>
      </c>
      <c r="AX1491" s="59"/>
      <c r="AY1491" s="89">
        <v>863134</v>
      </c>
      <c r="AZ1491" s="59"/>
      <c r="BA1491" s="89">
        <v>569401</v>
      </c>
      <c r="BB1491" s="59"/>
      <c r="BC1491" s="89">
        <v>464758</v>
      </c>
      <c r="BE1491" s="89">
        <v>464758</v>
      </c>
    </row>
    <row r="1492" spans="1:57" x14ac:dyDescent="0.25">
      <c r="A1492" s="3"/>
      <c r="AH1492" s="36"/>
      <c r="AI1492" s="32"/>
      <c r="AJ1492" s="4"/>
      <c r="AK1492" s="4"/>
      <c r="AL1492" s="4"/>
      <c r="AM1492" s="4"/>
      <c r="AO1492" s="36"/>
      <c r="AP1492" s="4"/>
      <c r="AQ1492" s="36"/>
      <c r="AR1492" s="4"/>
      <c r="AS1492" s="36"/>
      <c r="AT1492" s="36"/>
      <c r="AU1492" s="36"/>
      <c r="AV1492" s="59"/>
      <c r="AW1492" s="36"/>
      <c r="AX1492" s="59"/>
      <c r="AY1492" s="36"/>
      <c r="AZ1492" s="59"/>
      <c r="BA1492" s="36"/>
      <c r="BB1492" s="59"/>
      <c r="BC1492" s="36"/>
      <c r="BE1492" s="36"/>
    </row>
    <row r="1493" spans="1:57" x14ac:dyDescent="0.25">
      <c r="A1493" s="3"/>
      <c r="AF1493" s="5" t="s">
        <v>997</v>
      </c>
      <c r="AH1493" s="36">
        <f>AH1489+AH1491</f>
        <v>937926</v>
      </c>
      <c r="AI1493" s="32"/>
      <c r="AJ1493" s="4"/>
      <c r="AK1493" s="4"/>
      <c r="AL1493" s="4"/>
      <c r="AM1493" s="4"/>
      <c r="AO1493" s="36">
        <f>AO1489+AO1491</f>
        <v>1317769</v>
      </c>
      <c r="AP1493" s="4"/>
      <c r="AQ1493" s="36">
        <f>AQ1489+AQ1491</f>
        <v>1651674</v>
      </c>
      <c r="AR1493" s="4"/>
      <c r="AS1493" s="36">
        <f>AS1489+AS1491</f>
        <v>2120281</v>
      </c>
      <c r="AT1493" s="36"/>
      <c r="AU1493" s="36">
        <f>AU1489+AU1491</f>
        <v>2358564</v>
      </c>
      <c r="AV1493" s="59"/>
      <c r="AW1493" s="36">
        <f>AW1489+AW1491</f>
        <v>2955369</v>
      </c>
      <c r="AX1493" s="59"/>
      <c r="AY1493" s="36">
        <f>AY1489+AY1491</f>
        <v>3784903</v>
      </c>
      <c r="AZ1493" s="59"/>
      <c r="BA1493" s="36">
        <f>BA1489+BA1491</f>
        <v>4320704</v>
      </c>
      <c r="BB1493" s="59"/>
      <c r="BC1493" s="36">
        <f>BC1489+BC1491</f>
        <v>4751862</v>
      </c>
      <c r="BE1493" s="36">
        <f>BE1489+BE1491</f>
        <v>5183020</v>
      </c>
    </row>
    <row r="1494" spans="1:57" x14ac:dyDescent="0.25">
      <c r="A1494" s="3"/>
      <c r="AH1494" s="36"/>
      <c r="AI1494" s="32"/>
      <c r="AJ1494" s="58"/>
      <c r="AK1494" s="58"/>
      <c r="AL1494" s="58"/>
      <c r="AM1494" s="58"/>
      <c r="AO1494" s="36"/>
      <c r="AP1494" s="58"/>
      <c r="AQ1494" s="36"/>
      <c r="AR1494" s="58"/>
      <c r="AS1494" s="36"/>
      <c r="AT1494" s="36"/>
      <c r="AU1494" s="36"/>
      <c r="AV1494" s="59"/>
      <c r="AW1494" s="36"/>
      <c r="AX1494" s="59"/>
      <c r="AY1494" s="36"/>
      <c r="AZ1494" s="59"/>
      <c r="BA1494" s="36"/>
      <c r="BB1494" s="59"/>
      <c r="BC1494" s="36"/>
      <c r="BE1494" s="36"/>
    </row>
    <row r="1495" spans="1:57" x14ac:dyDescent="0.25">
      <c r="A1495" s="3"/>
      <c r="AF1495" s="5" t="s">
        <v>998</v>
      </c>
      <c r="AH1495" s="36">
        <v>250000</v>
      </c>
      <c r="AI1495" s="32"/>
      <c r="AJ1495" s="58"/>
      <c r="AK1495" s="58"/>
      <c r="AL1495" s="58"/>
      <c r="AM1495" s="58"/>
      <c r="AO1495" s="36"/>
      <c r="AP1495" s="58"/>
      <c r="AQ1495" s="36"/>
      <c r="AR1495" s="58"/>
      <c r="AS1495" s="36"/>
      <c r="AT1495" s="36"/>
      <c r="AU1495" s="36"/>
      <c r="AV1495" s="59"/>
      <c r="AW1495" s="36"/>
      <c r="AX1495" s="59"/>
      <c r="AY1495" s="36"/>
      <c r="AZ1495" s="59"/>
      <c r="BA1495" s="36"/>
      <c r="BB1495" s="59"/>
      <c r="BC1495" s="36"/>
      <c r="BE1495" s="36"/>
    </row>
    <row r="1496" spans="1:57" x14ac:dyDescent="0.25">
      <c r="A1496" s="3"/>
      <c r="AH1496" s="36"/>
      <c r="AI1496" s="32"/>
      <c r="AJ1496" s="58"/>
      <c r="AK1496" s="58"/>
      <c r="AL1496" s="58"/>
      <c r="AM1496" s="58"/>
      <c r="AO1496" s="36"/>
      <c r="AP1496" s="58"/>
      <c r="AQ1496" s="36"/>
      <c r="AR1496" s="58"/>
      <c r="AS1496" s="36"/>
      <c r="AT1496" s="36"/>
      <c r="AU1496" s="36"/>
      <c r="AV1496" s="59"/>
      <c r="AW1496" s="36"/>
      <c r="AX1496" s="59"/>
      <c r="AY1496" s="36"/>
      <c r="AZ1496" s="59"/>
      <c r="BA1496" s="36"/>
      <c r="BB1496" s="59"/>
      <c r="BC1496" s="36"/>
      <c r="BE1496" s="36"/>
    </row>
    <row r="1497" spans="1:57" x14ac:dyDescent="0.25">
      <c r="A1497" s="3"/>
      <c r="AF1497" s="5" t="s">
        <v>999</v>
      </c>
      <c r="AH1497" s="36">
        <v>-62500</v>
      </c>
      <c r="AI1497" s="32"/>
      <c r="AJ1497" s="58"/>
      <c r="AK1497" s="58"/>
      <c r="AL1497" s="58"/>
      <c r="AM1497" s="58"/>
      <c r="AO1497" s="36">
        <v>-125000</v>
      </c>
      <c r="AP1497" s="58"/>
      <c r="AQ1497" s="36">
        <v>-62500</v>
      </c>
      <c r="AR1497" s="58"/>
      <c r="AS1497" s="36"/>
      <c r="AT1497" s="36"/>
      <c r="AU1497" s="36"/>
      <c r="AV1497" s="59"/>
      <c r="AW1497" s="36"/>
      <c r="AX1497" s="59"/>
      <c r="AY1497" s="36"/>
      <c r="AZ1497" s="59"/>
      <c r="BA1497" s="36"/>
      <c r="BB1497" s="59"/>
      <c r="BC1497" s="36"/>
      <c r="BE1497" s="36"/>
    </row>
    <row r="1498" spans="1:57" x14ac:dyDescent="0.25">
      <c r="A1498" s="3"/>
      <c r="AH1498" s="36"/>
      <c r="AI1498" s="32"/>
      <c r="AJ1498" s="58"/>
      <c r="AK1498" s="58"/>
      <c r="AL1498" s="58"/>
      <c r="AM1498" s="58"/>
      <c r="AO1498" s="36"/>
      <c r="AP1498" s="58"/>
      <c r="AQ1498" s="36"/>
      <c r="AR1498" s="58"/>
      <c r="AS1498" s="36"/>
      <c r="AT1498" s="36"/>
      <c r="AU1498" s="36"/>
      <c r="AV1498" s="59"/>
      <c r="AW1498" s="36"/>
      <c r="AX1498" s="59"/>
      <c r="AY1498" s="36"/>
      <c r="AZ1498" s="59"/>
      <c r="BA1498" s="36"/>
      <c r="BB1498" s="59"/>
      <c r="BC1498" s="36"/>
      <c r="BE1498" s="36"/>
    </row>
    <row r="1499" spans="1:57" x14ac:dyDescent="0.25">
      <c r="A1499" s="3"/>
      <c r="AF1499" s="5" t="s">
        <v>1000</v>
      </c>
      <c r="AH1499" s="36"/>
      <c r="AI1499" s="32"/>
      <c r="AJ1499" s="58"/>
      <c r="AK1499" s="58"/>
      <c r="AL1499" s="58"/>
      <c r="AM1499" s="58"/>
      <c r="AO1499" s="36">
        <v>-33600</v>
      </c>
      <c r="AP1499" s="58"/>
      <c r="AQ1499" s="36">
        <v>-33600</v>
      </c>
      <c r="AR1499" s="58"/>
      <c r="AS1499" s="36">
        <v>-33600</v>
      </c>
      <c r="AT1499" s="36"/>
      <c r="AU1499" s="36">
        <v>-33600</v>
      </c>
      <c r="AV1499" s="59"/>
      <c r="AW1499" s="36">
        <v>-33600</v>
      </c>
      <c r="AX1499" s="59"/>
      <c r="AY1499" s="36">
        <v>-33600</v>
      </c>
      <c r="AZ1499" s="59"/>
      <c r="BA1499" s="36">
        <v>-33600</v>
      </c>
      <c r="BB1499" s="59"/>
      <c r="BC1499" s="36">
        <v>-33600</v>
      </c>
      <c r="BE1499" s="36">
        <v>-33600</v>
      </c>
    </row>
    <row r="1500" spans="1:57" x14ac:dyDescent="0.25">
      <c r="A1500" s="3"/>
      <c r="AH1500" s="36"/>
      <c r="AI1500" s="32"/>
      <c r="AJ1500" s="58"/>
      <c r="AK1500" s="58"/>
      <c r="AL1500" s="58"/>
      <c r="AM1500" s="58"/>
      <c r="AO1500" s="35"/>
      <c r="AP1500" s="58"/>
      <c r="AQ1500" s="35"/>
      <c r="AR1500" s="58"/>
      <c r="AS1500" s="35"/>
      <c r="AT1500" s="35"/>
      <c r="AU1500" s="35"/>
      <c r="AV1500" s="59"/>
      <c r="AW1500" s="35"/>
      <c r="AX1500" s="59"/>
      <c r="AY1500" s="35"/>
      <c r="AZ1500" s="59"/>
      <c r="BA1500" s="35"/>
      <c r="BB1500" s="59"/>
      <c r="BC1500" s="35"/>
      <c r="BE1500" s="35"/>
    </row>
    <row r="1501" spans="1:57" x14ac:dyDescent="0.25">
      <c r="A1501" s="3"/>
      <c r="AF1501" s="5" t="s">
        <v>1001</v>
      </c>
      <c r="AH1501" s="36">
        <f>AH1493+AH1495+AH1497+AH1499</f>
        <v>1125426</v>
      </c>
      <c r="AI1501" s="32"/>
      <c r="AJ1501" s="58"/>
      <c r="AK1501" s="58"/>
      <c r="AL1501" s="58"/>
      <c r="AM1501" s="58"/>
      <c r="AO1501" s="36">
        <f>AO1493+AO1495+AO1497+AO1499</f>
        <v>1159169</v>
      </c>
      <c r="AP1501" s="58"/>
      <c r="AQ1501" s="36">
        <f>AQ1493+AQ1495+AQ1497+AQ1499</f>
        <v>1555574</v>
      </c>
      <c r="AR1501" s="58"/>
      <c r="AS1501" s="36">
        <f>AS1493+AS1495+AS1497+AS1499</f>
        <v>2086681</v>
      </c>
      <c r="AT1501" s="36"/>
      <c r="AU1501" s="36">
        <f>AU1493+AU1495+AU1497+AU1499</f>
        <v>2324964</v>
      </c>
      <c r="AV1501" s="59"/>
      <c r="AW1501" s="36">
        <f>AW1493+AW1495+AW1497+AW1499</f>
        <v>2921769</v>
      </c>
      <c r="AX1501" s="59"/>
      <c r="AY1501" s="36">
        <f>AY1493+AY1495+AY1497+AY1499</f>
        <v>3751303</v>
      </c>
      <c r="AZ1501" s="59"/>
      <c r="BA1501" s="36">
        <f>BA1493+BA1495+BA1497+BA1499</f>
        <v>4287104</v>
      </c>
      <c r="BB1501" s="59"/>
      <c r="BC1501" s="36">
        <f>BC1493+BC1495+BC1497+BC1499</f>
        <v>4718262</v>
      </c>
      <c r="BE1501" s="36">
        <f>BE1493+BE1495+BE1497+BE1499</f>
        <v>5149420</v>
      </c>
    </row>
    <row r="1502" spans="1:57" x14ac:dyDescent="0.25">
      <c r="A1502" s="3"/>
      <c r="AH1502" s="36"/>
      <c r="AI1502" s="32"/>
      <c r="AJ1502" s="58"/>
      <c r="AK1502" s="58"/>
      <c r="AL1502" s="58"/>
      <c r="AM1502" s="58"/>
      <c r="AO1502" s="36"/>
      <c r="AP1502" s="58"/>
      <c r="AQ1502" s="36"/>
      <c r="AR1502" s="58"/>
      <c r="AS1502" s="36"/>
      <c r="AT1502" s="36"/>
      <c r="AU1502" s="36"/>
      <c r="AV1502" s="59"/>
      <c r="AW1502" s="36"/>
      <c r="AX1502" s="59"/>
      <c r="AY1502" s="36"/>
      <c r="AZ1502" s="59"/>
      <c r="BA1502" s="36"/>
      <c r="BB1502" s="59"/>
      <c r="BC1502" s="36"/>
      <c r="BE1502" s="36"/>
    </row>
    <row r="1503" spans="1:57" x14ac:dyDescent="0.25">
      <c r="A1503" s="3"/>
      <c r="AH1503" s="32"/>
      <c r="AI1503" s="32"/>
      <c r="AJ1503" s="4"/>
      <c r="AK1503" s="4"/>
      <c r="AL1503" s="4"/>
      <c r="AM1503" s="4"/>
      <c r="AO1503" s="32"/>
      <c r="AP1503" s="4"/>
      <c r="AQ1503" s="32"/>
      <c r="AR1503" s="4"/>
      <c r="AS1503" s="32"/>
      <c r="AT1503" s="32"/>
      <c r="AU1503" s="32"/>
      <c r="AV1503" s="51"/>
      <c r="AW1503" s="32"/>
      <c r="AX1503" s="51"/>
      <c r="AY1503" s="32"/>
      <c r="AZ1503" s="51"/>
      <c r="BA1503" s="32"/>
      <c r="BB1503" s="51"/>
      <c r="BC1503" s="32"/>
      <c r="BE1503" s="32"/>
    </row>
    <row r="1504" spans="1:57" x14ac:dyDescent="0.25">
      <c r="A1504" s="3"/>
      <c r="AF1504" s="88" t="s">
        <v>1002</v>
      </c>
      <c r="AH1504" s="85"/>
      <c r="AJ1504" s="58"/>
      <c r="AK1504" s="58"/>
      <c r="AL1504" s="58"/>
      <c r="AM1504" s="58"/>
      <c r="AO1504" s="85"/>
      <c r="AP1504" s="58"/>
      <c r="AQ1504" s="85"/>
      <c r="AR1504" s="58"/>
      <c r="AS1504" s="85"/>
      <c r="AT1504" s="85"/>
      <c r="AU1504" s="85"/>
      <c r="AV1504" s="59"/>
      <c r="AW1504" s="85"/>
      <c r="AX1504" s="59"/>
      <c r="AY1504" s="85"/>
      <c r="AZ1504" s="59"/>
      <c r="BA1504" s="85"/>
      <c r="BB1504" s="59"/>
      <c r="BC1504" s="85"/>
      <c r="BE1504" s="85"/>
    </row>
    <row r="1505" spans="1:57" x14ac:dyDescent="0.25">
      <c r="A1505" s="3"/>
      <c r="AF1505" s="5" t="s">
        <v>995</v>
      </c>
      <c r="AH1505" s="36">
        <v>850034</v>
      </c>
      <c r="AI1505" s="32"/>
      <c r="AJ1505" s="7"/>
      <c r="AK1505" s="7"/>
      <c r="AL1505" s="7"/>
      <c r="AM1505" s="7"/>
      <c r="AN1505" s="32"/>
      <c r="AO1505" s="31">
        <f>AH1517</f>
        <v>763696</v>
      </c>
      <c r="AP1505" s="7"/>
      <c r="AQ1505" s="31">
        <f>AO1517</f>
        <v>516312</v>
      </c>
      <c r="AR1505" s="7"/>
      <c r="AS1505" s="31">
        <f>AQ1517</f>
        <v>459498</v>
      </c>
      <c r="AT1505" s="31"/>
      <c r="AU1505" s="31">
        <f>AS1517</f>
        <v>451784</v>
      </c>
      <c r="AV1505" s="34"/>
      <c r="AW1505" s="31">
        <f>AU1517</f>
        <v>409912</v>
      </c>
      <c r="AX1505" s="34"/>
      <c r="AY1505" s="31">
        <f>AW1517</f>
        <v>265552</v>
      </c>
      <c r="AZ1505" s="34"/>
      <c r="BA1505" s="31">
        <f>AY1517</f>
        <v>299712</v>
      </c>
      <c r="BB1505" s="34"/>
      <c r="BC1505" s="31">
        <f>BA1517</f>
        <v>45718</v>
      </c>
      <c r="BE1505" s="31">
        <f>BC1517</f>
        <v>-173030</v>
      </c>
    </row>
    <row r="1506" spans="1:57" x14ac:dyDescent="0.25">
      <c r="A1506" s="3"/>
      <c r="AH1506" s="36"/>
      <c r="AI1506" s="32"/>
      <c r="AJ1506" s="7"/>
      <c r="AK1506" s="7"/>
      <c r="AL1506" s="7"/>
      <c r="AM1506" s="7"/>
      <c r="AN1506" s="32"/>
      <c r="AO1506" s="31"/>
      <c r="AP1506" s="7"/>
      <c r="AQ1506" s="31"/>
      <c r="AR1506" s="7"/>
      <c r="AS1506" s="31"/>
      <c r="AT1506" s="31"/>
      <c r="AU1506" s="31"/>
      <c r="AV1506" s="34"/>
      <c r="AW1506" s="31"/>
      <c r="AX1506" s="34"/>
      <c r="AY1506" s="31"/>
      <c r="AZ1506" s="34"/>
      <c r="BA1506" s="31"/>
      <c r="BB1506" s="34"/>
      <c r="BC1506" s="31"/>
      <c r="BE1506" s="31"/>
    </row>
    <row r="1507" spans="1:57" x14ac:dyDescent="0.25">
      <c r="A1507" s="3"/>
      <c r="AF1507" s="5" t="s">
        <v>996</v>
      </c>
      <c r="AH1507" s="36">
        <v>13662</v>
      </c>
      <c r="AI1507" s="32"/>
      <c r="AJ1507" s="32"/>
      <c r="AK1507" s="32"/>
      <c r="AL1507" s="32"/>
      <c r="AM1507" s="32"/>
      <c r="AN1507" s="32"/>
      <c r="AO1507" s="35">
        <v>-47384</v>
      </c>
      <c r="AP1507" s="32"/>
      <c r="AQ1507" s="35">
        <v>43186</v>
      </c>
      <c r="AR1507" s="32"/>
      <c r="AS1507" s="35">
        <v>-7714</v>
      </c>
      <c r="AT1507" s="35"/>
      <c r="AU1507" s="35">
        <v>-41872</v>
      </c>
      <c r="AV1507" s="90"/>
      <c r="AW1507" s="35">
        <v>-144360</v>
      </c>
      <c r="AX1507" s="90"/>
      <c r="AY1507" s="35">
        <v>34160</v>
      </c>
      <c r="AZ1507" s="90"/>
      <c r="BA1507" s="35">
        <v>-253994</v>
      </c>
      <c r="BB1507" s="90"/>
      <c r="BC1507" s="35">
        <v>-218748</v>
      </c>
      <c r="BE1507" s="35">
        <v>-218748</v>
      </c>
    </row>
    <row r="1508" spans="1:57" x14ac:dyDescent="0.25">
      <c r="A1508" s="3"/>
      <c r="AH1508" s="36"/>
      <c r="AI1508" s="32"/>
      <c r="AJ1508" s="4"/>
      <c r="AK1508" s="4"/>
      <c r="AL1508" s="4"/>
      <c r="AM1508" s="4"/>
      <c r="AO1508" s="36"/>
      <c r="AP1508" s="4"/>
      <c r="AQ1508" s="36"/>
      <c r="AR1508" s="4"/>
      <c r="AS1508" s="36"/>
      <c r="AT1508" s="36"/>
      <c r="AU1508" s="36"/>
      <c r="AV1508" s="59"/>
      <c r="AW1508" s="36"/>
      <c r="AX1508" s="59"/>
      <c r="AY1508" s="36"/>
      <c r="AZ1508" s="59"/>
      <c r="BA1508" s="36"/>
      <c r="BB1508" s="59"/>
      <c r="BC1508" s="36"/>
      <c r="BE1508" s="36"/>
    </row>
    <row r="1509" spans="1:57" x14ac:dyDescent="0.25">
      <c r="A1509" s="3"/>
      <c r="AF1509" s="5" t="s">
        <v>997</v>
      </c>
      <c r="AH1509" s="36">
        <f>AH1505+AH1507</f>
        <v>863696</v>
      </c>
      <c r="AI1509" s="32"/>
      <c r="AJ1509" s="4"/>
      <c r="AK1509" s="4"/>
      <c r="AL1509" s="4"/>
      <c r="AM1509" s="4"/>
      <c r="AO1509" s="36">
        <f>AO1505+AO1507</f>
        <v>716312</v>
      </c>
      <c r="AP1509" s="4"/>
      <c r="AQ1509" s="36">
        <f>AQ1505+AQ1507</f>
        <v>559498</v>
      </c>
      <c r="AR1509" s="4"/>
      <c r="AS1509" s="36">
        <f>AS1505+AS1507</f>
        <v>451784</v>
      </c>
      <c r="AT1509" s="36"/>
      <c r="AU1509" s="36">
        <f>AU1505+AU1507</f>
        <v>409912</v>
      </c>
      <c r="AV1509" s="59"/>
      <c r="AW1509" s="36">
        <f>AW1505+AW1507</f>
        <v>265552</v>
      </c>
      <c r="AX1509" s="59"/>
      <c r="AY1509" s="36">
        <f>AY1505+AY1507</f>
        <v>299712</v>
      </c>
      <c r="AZ1509" s="59"/>
      <c r="BA1509" s="36">
        <f>BA1505+BA1507</f>
        <v>45718</v>
      </c>
      <c r="BB1509" s="59"/>
      <c r="BC1509" s="36">
        <f>BC1505+BC1507</f>
        <v>-173030</v>
      </c>
      <c r="BE1509" s="36">
        <f>BE1505+BE1507</f>
        <v>-391778</v>
      </c>
    </row>
    <row r="1510" spans="1:57" x14ac:dyDescent="0.25">
      <c r="A1510" s="3"/>
      <c r="AH1510" s="36"/>
      <c r="AI1510" s="32"/>
      <c r="AJ1510" s="58"/>
      <c r="AK1510" s="58"/>
      <c r="AL1510" s="58"/>
      <c r="AM1510" s="58"/>
      <c r="AO1510" s="36"/>
      <c r="AP1510" s="58"/>
      <c r="AQ1510" s="36"/>
      <c r="AR1510" s="58"/>
      <c r="AS1510" s="36"/>
      <c r="AT1510" s="36"/>
      <c r="AU1510" s="36"/>
      <c r="AV1510" s="59"/>
      <c r="AW1510" s="36"/>
      <c r="AX1510" s="59"/>
      <c r="AY1510" s="36"/>
      <c r="AZ1510" s="59"/>
      <c r="BA1510" s="36"/>
      <c r="BB1510" s="59"/>
      <c r="BC1510" s="36"/>
      <c r="BE1510" s="36"/>
    </row>
    <row r="1511" spans="1:57" x14ac:dyDescent="0.25">
      <c r="A1511" s="3"/>
      <c r="AF1511" s="5" t="s">
        <v>998</v>
      </c>
      <c r="AH1511" s="82"/>
      <c r="AI1511" s="32"/>
      <c r="AJ1511" s="58"/>
      <c r="AK1511" s="58"/>
      <c r="AL1511" s="58"/>
      <c r="AM1511" s="58"/>
      <c r="AO1511" s="36"/>
      <c r="AP1511" s="58"/>
      <c r="AQ1511" s="36"/>
      <c r="AR1511" s="58"/>
      <c r="AS1511" s="36"/>
      <c r="AT1511" s="36"/>
      <c r="AU1511" s="36"/>
      <c r="AV1511" s="59"/>
      <c r="AW1511" s="36"/>
      <c r="AX1511" s="59"/>
      <c r="AY1511" s="36"/>
      <c r="AZ1511" s="59"/>
      <c r="BA1511" s="36"/>
      <c r="BB1511" s="59"/>
      <c r="BC1511" s="36"/>
      <c r="BE1511" s="36"/>
    </row>
    <row r="1512" spans="1:57" x14ac:dyDescent="0.25">
      <c r="A1512" s="3"/>
      <c r="AH1512" s="82"/>
      <c r="AI1512" s="32"/>
      <c r="AJ1512" s="58"/>
      <c r="AK1512" s="58"/>
      <c r="AL1512" s="58"/>
      <c r="AM1512" s="58"/>
      <c r="AO1512" s="36"/>
      <c r="AP1512" s="58"/>
      <c r="AQ1512" s="36"/>
      <c r="AR1512" s="58"/>
      <c r="AS1512" s="36"/>
      <c r="AT1512" s="36"/>
      <c r="AU1512" s="36"/>
      <c r="AV1512" s="59"/>
      <c r="AW1512" s="36"/>
      <c r="AX1512" s="59"/>
      <c r="AY1512" s="36"/>
      <c r="AZ1512" s="59"/>
      <c r="BA1512" s="36"/>
      <c r="BB1512" s="59"/>
      <c r="BC1512" s="36"/>
      <c r="BE1512" s="36"/>
    </row>
    <row r="1513" spans="1:57" x14ac:dyDescent="0.25">
      <c r="A1513" s="3"/>
      <c r="AF1513" s="5" t="s">
        <v>999</v>
      </c>
      <c r="AH1513" s="36">
        <v>-100000</v>
      </c>
      <c r="AI1513" s="32"/>
      <c r="AJ1513" s="58"/>
      <c r="AK1513" s="58"/>
      <c r="AL1513" s="58"/>
      <c r="AM1513" s="58"/>
      <c r="AO1513" s="36">
        <v>-200000</v>
      </c>
      <c r="AP1513" s="58"/>
      <c r="AQ1513" s="36">
        <v>-100000</v>
      </c>
      <c r="AR1513" s="58"/>
      <c r="AS1513" s="36"/>
      <c r="AT1513" s="36"/>
      <c r="AU1513" s="36"/>
      <c r="AV1513" s="59"/>
      <c r="AW1513" s="36"/>
      <c r="AX1513" s="59"/>
      <c r="AY1513" s="36"/>
      <c r="AZ1513" s="59"/>
      <c r="BA1513" s="36"/>
      <c r="BB1513" s="59"/>
      <c r="BC1513" s="36"/>
      <c r="BE1513" s="36"/>
    </row>
    <row r="1514" spans="1:57" x14ac:dyDescent="0.25">
      <c r="A1514" s="3"/>
      <c r="AH1514" s="36"/>
      <c r="AI1514" s="32"/>
      <c r="AJ1514" s="58"/>
      <c r="AK1514" s="58"/>
      <c r="AL1514" s="58"/>
      <c r="AM1514" s="58"/>
      <c r="AO1514" s="36"/>
      <c r="AP1514" s="58"/>
      <c r="AQ1514" s="36"/>
      <c r="AR1514" s="58"/>
      <c r="AS1514" s="36"/>
      <c r="AT1514" s="36"/>
      <c r="AU1514" s="36"/>
      <c r="AV1514" s="59"/>
      <c r="AW1514" s="36"/>
      <c r="AX1514" s="59"/>
      <c r="AY1514" s="36"/>
      <c r="AZ1514" s="59"/>
      <c r="BA1514" s="36"/>
      <c r="BB1514" s="59"/>
      <c r="BC1514" s="36"/>
      <c r="BE1514" s="36"/>
    </row>
    <row r="1515" spans="1:57" x14ac:dyDescent="0.25">
      <c r="A1515" s="3"/>
      <c r="AF1515" s="5" t="s">
        <v>1000</v>
      </c>
      <c r="AH1515" s="36"/>
      <c r="AI1515" s="32"/>
      <c r="AJ1515" s="58"/>
      <c r="AK1515" s="58"/>
      <c r="AL1515" s="58"/>
      <c r="AM1515" s="58"/>
      <c r="AO1515" s="36"/>
      <c r="AP1515" s="58"/>
      <c r="AQ1515" s="36"/>
      <c r="AR1515" s="58"/>
      <c r="AS1515" s="36"/>
      <c r="AT1515" s="36"/>
      <c r="AU1515" s="36"/>
      <c r="AV1515" s="59"/>
      <c r="AW1515" s="36"/>
      <c r="AX1515" s="59"/>
      <c r="AY1515" s="36"/>
      <c r="AZ1515" s="59"/>
      <c r="BA1515" s="36"/>
      <c r="BB1515" s="59"/>
      <c r="BC1515" s="36"/>
      <c r="BE1515" s="36"/>
    </row>
    <row r="1516" spans="1:57" x14ac:dyDescent="0.25">
      <c r="A1516" s="3"/>
      <c r="AH1516" s="36"/>
      <c r="AI1516" s="32"/>
      <c r="AJ1516" s="58"/>
      <c r="AK1516" s="58"/>
      <c r="AL1516" s="58"/>
      <c r="AM1516" s="58"/>
      <c r="AO1516" s="35"/>
      <c r="AP1516" s="58"/>
      <c r="AQ1516" s="35"/>
      <c r="AR1516" s="58"/>
      <c r="AS1516" s="35"/>
      <c r="AT1516" s="35"/>
      <c r="AU1516" s="35"/>
      <c r="AV1516" s="59"/>
      <c r="AW1516" s="35"/>
      <c r="AX1516" s="59"/>
      <c r="AY1516" s="35"/>
      <c r="AZ1516" s="59"/>
      <c r="BA1516" s="35"/>
      <c r="BB1516" s="59"/>
      <c r="BC1516" s="35"/>
      <c r="BE1516" s="35"/>
    </row>
    <row r="1517" spans="1:57" x14ac:dyDescent="0.25">
      <c r="A1517" s="3"/>
      <c r="AF1517" s="5" t="s">
        <v>1001</v>
      </c>
      <c r="AH1517" s="36">
        <f>AH1509+AH1511+AH1513+AH1515</f>
        <v>763696</v>
      </c>
      <c r="AI1517" s="32"/>
      <c r="AJ1517" s="58"/>
      <c r="AK1517" s="58"/>
      <c r="AL1517" s="58"/>
      <c r="AM1517" s="58"/>
      <c r="AO1517" s="36">
        <f>AO1509+AO1511+AO1513+AO1515</f>
        <v>516312</v>
      </c>
      <c r="AP1517" s="58"/>
      <c r="AQ1517" s="36">
        <f>AQ1509+AQ1511+AQ1513+AQ1515</f>
        <v>459498</v>
      </c>
      <c r="AR1517" s="58"/>
      <c r="AS1517" s="36">
        <f>AS1509+AS1511+AS1513+AS1515</f>
        <v>451784</v>
      </c>
      <c r="AT1517" s="36"/>
      <c r="AU1517" s="36">
        <f>AU1509+AU1511+AU1513+AU1515</f>
        <v>409912</v>
      </c>
      <c r="AV1517" s="59"/>
      <c r="AW1517" s="36">
        <f>AW1509+AW1511+AW1513+AW1515</f>
        <v>265552</v>
      </c>
      <c r="AX1517" s="59"/>
      <c r="AY1517" s="36">
        <f>AY1509+AY1511+AY1513+AY1515</f>
        <v>299712</v>
      </c>
      <c r="AZ1517" s="59"/>
      <c r="BA1517" s="36">
        <f>BA1509+BA1511+BA1513+BA1515</f>
        <v>45718</v>
      </c>
      <c r="BB1517" s="59"/>
      <c r="BC1517" s="36">
        <f>BC1509+BC1511+BC1513+BC1515</f>
        <v>-173030</v>
      </c>
      <c r="BE1517" s="36">
        <f>BE1509+BE1511+BE1513+BE1515</f>
        <v>-391778</v>
      </c>
    </row>
    <row r="1518" spans="1:57" x14ac:dyDescent="0.25">
      <c r="A1518" s="3"/>
    </row>
    <row r="1520" spans="1:57" x14ac:dyDescent="0.25">
      <c r="A1520" s="6"/>
      <c r="B1520" s="6"/>
      <c r="C1520" s="6"/>
      <c r="D1520" s="6"/>
      <c r="E1520" s="6"/>
      <c r="F1520" s="6"/>
      <c r="G1520" s="6"/>
      <c r="H1520" s="6"/>
      <c r="I1520" s="6"/>
      <c r="J1520" s="6"/>
      <c r="K1520" s="6"/>
      <c r="L1520" s="6"/>
      <c r="M1520" s="6"/>
      <c r="N1520" s="6"/>
      <c r="O1520" s="59"/>
      <c r="P1520" s="6"/>
      <c r="Q1520" s="6"/>
      <c r="R1520" s="6"/>
      <c r="S1520" s="6"/>
      <c r="T1520" s="6"/>
      <c r="U1520" s="6"/>
      <c r="V1520" s="6"/>
      <c r="W1520" s="6"/>
      <c r="X1520" s="6"/>
      <c r="Y1520" s="6"/>
      <c r="Z1520" s="6"/>
      <c r="AA1520" s="6"/>
      <c r="AB1520" s="6"/>
      <c r="AC1520" s="6"/>
      <c r="AD1520" s="6"/>
      <c r="AE1520" s="6"/>
      <c r="AF1520" s="88" t="s">
        <v>1003</v>
      </c>
      <c r="AH1520" s="85"/>
      <c r="AJ1520" s="58"/>
      <c r="AK1520" s="58"/>
      <c r="AL1520" s="58"/>
      <c r="AM1520" s="58"/>
      <c r="AO1520" s="85"/>
      <c r="AP1520" s="58"/>
      <c r="AQ1520" s="85"/>
      <c r="AR1520" s="58"/>
      <c r="AS1520" s="85"/>
      <c r="AT1520" s="85"/>
      <c r="AU1520" s="85"/>
      <c r="AV1520" s="59"/>
      <c r="AW1520" s="85"/>
      <c r="AX1520" s="59"/>
      <c r="AY1520" s="85"/>
      <c r="AZ1520" s="59"/>
      <c r="BA1520" s="85"/>
      <c r="BB1520" s="59"/>
      <c r="BC1520" s="85"/>
      <c r="BE1520" s="85"/>
    </row>
    <row r="1521" spans="1:57" x14ac:dyDescent="0.25">
      <c r="A1521" s="6"/>
      <c r="B1521" s="6"/>
      <c r="C1521" s="6"/>
      <c r="D1521" s="6"/>
      <c r="E1521" s="6"/>
      <c r="F1521" s="6"/>
      <c r="G1521" s="6"/>
      <c r="H1521" s="6"/>
      <c r="I1521" s="6"/>
      <c r="J1521" s="6"/>
      <c r="K1521" s="6"/>
      <c r="L1521" s="6"/>
      <c r="M1521" s="6"/>
      <c r="N1521" s="6"/>
      <c r="O1521" s="59"/>
      <c r="P1521" s="6"/>
      <c r="Q1521" s="6"/>
      <c r="R1521" s="6"/>
      <c r="S1521" s="6"/>
      <c r="T1521" s="6"/>
      <c r="U1521" s="6"/>
      <c r="V1521" s="6"/>
      <c r="W1521" s="6"/>
      <c r="X1521" s="6"/>
      <c r="Y1521" s="6"/>
      <c r="Z1521" s="6"/>
      <c r="AA1521" s="6"/>
      <c r="AB1521" s="6"/>
      <c r="AC1521" s="6"/>
      <c r="AD1521" s="6"/>
      <c r="AE1521" s="6"/>
      <c r="AF1521" s="5" t="s">
        <v>995</v>
      </c>
      <c r="AH1521" s="36">
        <v>502101</v>
      </c>
      <c r="AI1521" s="32"/>
      <c r="AJ1521" s="7"/>
      <c r="AK1521" s="7"/>
      <c r="AL1521" s="7"/>
      <c r="AM1521" s="7"/>
      <c r="AN1521" s="32"/>
      <c r="AO1521" s="31">
        <f>AH1533</f>
        <v>453607</v>
      </c>
      <c r="AP1521" s="7"/>
      <c r="AQ1521" s="31">
        <f>AO1533</f>
        <v>259397</v>
      </c>
      <c r="AR1521" s="7"/>
      <c r="AS1521" s="31">
        <f>AQ1533</f>
        <v>111523</v>
      </c>
      <c r="AT1521" s="31"/>
      <c r="AU1521" s="31">
        <f>AS1533</f>
        <v>195161</v>
      </c>
      <c r="AV1521" s="34"/>
      <c r="AW1521" s="31">
        <f>AU1533</f>
        <v>34586</v>
      </c>
      <c r="AX1521" s="34"/>
      <c r="AY1521" s="31">
        <f>AW1533</f>
        <v>141297</v>
      </c>
      <c r="AZ1521" s="34"/>
      <c r="BA1521" s="31">
        <f>AY1533</f>
        <v>186185</v>
      </c>
      <c r="BB1521" s="34"/>
      <c r="BC1521" s="31">
        <f>BA1533</f>
        <v>289219</v>
      </c>
      <c r="BE1521" s="31">
        <f>BC1533</f>
        <v>319300</v>
      </c>
    </row>
    <row r="1522" spans="1:57" x14ac:dyDescent="0.25">
      <c r="A1522" s="6"/>
      <c r="B1522" s="6"/>
      <c r="C1522" s="6"/>
      <c r="D1522" s="6"/>
      <c r="E1522" s="6"/>
      <c r="F1522" s="6"/>
      <c r="G1522" s="6"/>
      <c r="H1522" s="6"/>
      <c r="I1522" s="6"/>
      <c r="J1522" s="6"/>
      <c r="K1522" s="6"/>
      <c r="L1522" s="6"/>
      <c r="M1522" s="6"/>
      <c r="N1522" s="6"/>
      <c r="O1522" s="59"/>
      <c r="P1522" s="6"/>
      <c r="Q1522" s="6"/>
      <c r="R1522" s="6"/>
      <c r="S1522" s="6"/>
      <c r="T1522" s="6"/>
      <c r="U1522" s="6"/>
      <c r="V1522" s="6"/>
      <c r="W1522" s="6"/>
      <c r="X1522" s="6"/>
      <c r="Y1522" s="6"/>
      <c r="Z1522" s="6"/>
      <c r="AA1522" s="6"/>
      <c r="AB1522" s="6"/>
      <c r="AC1522" s="6"/>
      <c r="AD1522" s="6"/>
      <c r="AE1522" s="6"/>
      <c r="AH1522" s="85"/>
      <c r="AJ1522" s="3"/>
      <c r="AK1522" s="3"/>
      <c r="AL1522" s="3"/>
      <c r="AM1522" s="3"/>
      <c r="AO1522" s="29"/>
      <c r="AP1522" s="3"/>
      <c r="AQ1522" s="29"/>
      <c r="AR1522" s="3"/>
      <c r="AS1522" s="29"/>
      <c r="AT1522" s="29"/>
      <c r="AU1522" s="29"/>
      <c r="AW1522" s="29"/>
      <c r="AY1522" s="29"/>
      <c r="BA1522" s="29"/>
      <c r="BC1522" s="29"/>
      <c r="BE1522" s="29"/>
    </row>
    <row r="1523" spans="1:57" x14ac:dyDescent="0.25">
      <c r="A1523" s="6"/>
      <c r="B1523" s="6"/>
      <c r="C1523" s="6"/>
      <c r="D1523" s="6"/>
      <c r="E1523" s="6"/>
      <c r="F1523" s="6"/>
      <c r="G1523" s="6"/>
      <c r="H1523" s="6"/>
      <c r="I1523" s="6"/>
      <c r="J1523" s="6"/>
      <c r="K1523" s="6"/>
      <c r="L1523" s="6"/>
      <c r="M1523" s="6"/>
      <c r="N1523" s="6"/>
      <c r="O1523" s="59"/>
      <c r="P1523" s="6"/>
      <c r="Q1523" s="6"/>
      <c r="R1523" s="6"/>
      <c r="S1523" s="6"/>
      <c r="T1523" s="6"/>
      <c r="U1523" s="6"/>
      <c r="V1523" s="6"/>
      <c r="W1523" s="6"/>
      <c r="X1523" s="6"/>
      <c r="Y1523" s="6"/>
      <c r="Z1523" s="6"/>
      <c r="AA1523" s="6"/>
      <c r="AB1523" s="6"/>
      <c r="AC1523" s="6"/>
      <c r="AD1523" s="6"/>
      <c r="AE1523" s="6"/>
      <c r="AF1523" s="5" t="s">
        <v>996</v>
      </c>
      <c r="AH1523" s="36">
        <v>39006</v>
      </c>
      <c r="AI1523" s="32"/>
      <c r="AJ1523" s="32"/>
      <c r="AK1523" s="32"/>
      <c r="AL1523" s="32"/>
      <c r="AM1523" s="32"/>
      <c r="AN1523" s="32"/>
      <c r="AO1523" s="35">
        <v>-19210</v>
      </c>
      <c r="AP1523" s="32"/>
      <c r="AQ1523" s="35">
        <v>-60374</v>
      </c>
      <c r="AR1523" s="32"/>
      <c r="AS1523" s="35">
        <v>83638</v>
      </c>
      <c r="AT1523" s="35"/>
      <c r="AU1523" s="35">
        <v>-160575</v>
      </c>
      <c r="AV1523" s="90"/>
      <c r="AW1523" s="35">
        <v>106711</v>
      </c>
      <c r="AX1523" s="90"/>
      <c r="AY1523" s="35">
        <v>44888</v>
      </c>
      <c r="AZ1523" s="90"/>
      <c r="BA1523" s="35">
        <v>103034</v>
      </c>
      <c r="BB1523" s="90"/>
      <c r="BC1523" s="35">
        <v>30081</v>
      </c>
      <c r="BE1523" s="35">
        <v>30081</v>
      </c>
    </row>
    <row r="1524" spans="1:57" x14ac:dyDescent="0.25">
      <c r="A1524" s="6"/>
      <c r="B1524" s="6"/>
      <c r="C1524" s="6"/>
      <c r="D1524" s="6"/>
      <c r="E1524" s="6"/>
      <c r="F1524" s="6"/>
      <c r="G1524" s="6"/>
      <c r="H1524" s="6"/>
      <c r="I1524" s="6"/>
      <c r="J1524" s="6"/>
      <c r="K1524" s="6"/>
      <c r="L1524" s="6"/>
      <c r="M1524" s="6"/>
      <c r="N1524" s="6"/>
      <c r="O1524" s="59"/>
      <c r="P1524" s="6"/>
      <c r="Q1524" s="6"/>
      <c r="R1524" s="6"/>
      <c r="S1524" s="6"/>
      <c r="T1524" s="6"/>
      <c r="U1524" s="6"/>
      <c r="V1524" s="6"/>
      <c r="W1524" s="6"/>
      <c r="X1524" s="6"/>
      <c r="Y1524" s="6"/>
      <c r="Z1524" s="6"/>
      <c r="AA1524" s="6"/>
      <c r="AB1524" s="6"/>
      <c r="AC1524" s="6"/>
      <c r="AD1524" s="6"/>
      <c r="AE1524" s="6"/>
      <c r="AH1524" s="36"/>
      <c r="AI1524" s="32"/>
      <c r="AJ1524" s="4"/>
      <c r="AK1524" s="4"/>
      <c r="AL1524" s="4"/>
      <c r="AM1524" s="4"/>
      <c r="AO1524" s="36"/>
      <c r="AP1524" s="4"/>
      <c r="AQ1524" s="36"/>
      <c r="AR1524" s="4"/>
      <c r="AS1524" s="36"/>
      <c r="AT1524" s="36"/>
      <c r="AU1524" s="36"/>
      <c r="AV1524" s="59"/>
      <c r="AW1524" s="36"/>
      <c r="AX1524" s="59"/>
      <c r="AY1524" s="36"/>
      <c r="AZ1524" s="59"/>
      <c r="BA1524" s="36"/>
      <c r="BB1524" s="59"/>
      <c r="BC1524" s="36"/>
      <c r="BE1524" s="36"/>
    </row>
    <row r="1525" spans="1:57" x14ac:dyDescent="0.25">
      <c r="A1525" s="6"/>
      <c r="B1525" s="6"/>
      <c r="C1525" s="6"/>
      <c r="D1525" s="6"/>
      <c r="E1525" s="6"/>
      <c r="F1525" s="6"/>
      <c r="G1525" s="6"/>
      <c r="H1525" s="6"/>
      <c r="I1525" s="6"/>
      <c r="J1525" s="6"/>
      <c r="K1525" s="6"/>
      <c r="L1525" s="6"/>
      <c r="M1525" s="6"/>
      <c r="N1525" s="6"/>
      <c r="O1525" s="59"/>
      <c r="P1525" s="6"/>
      <c r="Q1525" s="6"/>
      <c r="R1525" s="6"/>
      <c r="S1525" s="6"/>
      <c r="T1525" s="6"/>
      <c r="U1525" s="6"/>
      <c r="V1525" s="6"/>
      <c r="W1525" s="6"/>
      <c r="X1525" s="6"/>
      <c r="Y1525" s="6"/>
      <c r="Z1525" s="6"/>
      <c r="AA1525" s="6"/>
      <c r="AB1525" s="6"/>
      <c r="AC1525" s="6"/>
      <c r="AD1525" s="6"/>
      <c r="AE1525" s="6"/>
      <c r="AF1525" s="5" t="s">
        <v>997</v>
      </c>
      <c r="AH1525" s="36">
        <f>AH1521+AH1523</f>
        <v>541107</v>
      </c>
      <c r="AI1525" s="32"/>
      <c r="AJ1525" s="4"/>
      <c r="AK1525" s="4"/>
      <c r="AL1525" s="4"/>
      <c r="AM1525" s="4"/>
      <c r="AO1525" s="36">
        <f>AO1521+AO1523</f>
        <v>434397</v>
      </c>
      <c r="AP1525" s="4"/>
      <c r="AQ1525" s="36">
        <f>AQ1521+AQ1523</f>
        <v>199023</v>
      </c>
      <c r="AR1525" s="4"/>
      <c r="AS1525" s="36">
        <f>AS1521+AS1523</f>
        <v>195161</v>
      </c>
      <c r="AT1525" s="36"/>
      <c r="AU1525" s="36">
        <f>AU1521+AU1523</f>
        <v>34586</v>
      </c>
      <c r="AV1525" s="59"/>
      <c r="AW1525" s="36">
        <f>AW1521+AW1523</f>
        <v>141297</v>
      </c>
      <c r="AX1525" s="59"/>
      <c r="AY1525" s="36">
        <f>AY1521+AY1523</f>
        <v>186185</v>
      </c>
      <c r="AZ1525" s="59"/>
      <c r="BA1525" s="36">
        <f>BA1521+BA1523</f>
        <v>289219</v>
      </c>
      <c r="BB1525" s="59"/>
      <c r="BC1525" s="36">
        <f>BC1521+BC1523</f>
        <v>319300</v>
      </c>
      <c r="BE1525" s="36">
        <f>BE1521+BE1523</f>
        <v>349381</v>
      </c>
    </row>
    <row r="1526" spans="1:57" x14ac:dyDescent="0.25">
      <c r="A1526" s="6"/>
      <c r="B1526" s="6"/>
      <c r="C1526" s="6"/>
      <c r="D1526" s="6"/>
      <c r="E1526" s="6"/>
      <c r="F1526" s="6"/>
      <c r="G1526" s="6"/>
      <c r="H1526" s="6"/>
      <c r="I1526" s="6"/>
      <c r="J1526" s="6"/>
      <c r="K1526" s="6"/>
      <c r="L1526" s="6"/>
      <c r="M1526" s="6"/>
      <c r="N1526" s="6"/>
      <c r="O1526" s="59"/>
      <c r="P1526" s="6"/>
      <c r="Q1526" s="6"/>
      <c r="R1526" s="6"/>
      <c r="S1526" s="6"/>
      <c r="T1526" s="6"/>
      <c r="U1526" s="6"/>
      <c r="V1526" s="6"/>
      <c r="W1526" s="6"/>
      <c r="X1526" s="6"/>
      <c r="Y1526" s="6"/>
      <c r="Z1526" s="6"/>
      <c r="AA1526" s="6"/>
      <c r="AB1526" s="6"/>
      <c r="AC1526" s="6"/>
      <c r="AD1526" s="6"/>
      <c r="AE1526" s="6"/>
      <c r="AH1526" s="36"/>
      <c r="AI1526" s="32"/>
      <c r="AJ1526" s="58"/>
      <c r="AK1526" s="58"/>
      <c r="AL1526" s="58"/>
      <c r="AM1526" s="58"/>
      <c r="AO1526" s="36"/>
      <c r="AP1526" s="58"/>
      <c r="AQ1526" s="36"/>
      <c r="AR1526" s="58"/>
      <c r="AS1526" s="36"/>
      <c r="AT1526" s="36"/>
      <c r="AU1526" s="36"/>
      <c r="AV1526" s="59"/>
      <c r="AW1526" s="36"/>
      <c r="AX1526" s="59"/>
      <c r="AY1526" s="36"/>
      <c r="AZ1526" s="59"/>
      <c r="BA1526" s="36"/>
      <c r="BB1526" s="59"/>
      <c r="BC1526" s="36"/>
      <c r="BE1526" s="36"/>
    </row>
    <row r="1527" spans="1:57" x14ac:dyDescent="0.25">
      <c r="A1527" s="6"/>
      <c r="B1527" s="6"/>
      <c r="C1527" s="6"/>
      <c r="D1527" s="6"/>
      <c r="E1527" s="6"/>
      <c r="F1527" s="6"/>
      <c r="G1527" s="6"/>
      <c r="H1527" s="6"/>
      <c r="I1527" s="6"/>
      <c r="J1527" s="6"/>
      <c r="K1527" s="6"/>
      <c r="L1527" s="6"/>
      <c r="M1527" s="6"/>
      <c r="N1527" s="6"/>
      <c r="O1527" s="59"/>
      <c r="P1527" s="6"/>
      <c r="Q1527" s="6"/>
      <c r="R1527" s="6"/>
      <c r="S1527" s="6"/>
      <c r="T1527" s="6"/>
      <c r="U1527" s="6"/>
      <c r="V1527" s="6"/>
      <c r="W1527" s="6"/>
      <c r="X1527" s="6"/>
      <c r="Y1527" s="6"/>
      <c r="Z1527" s="6"/>
      <c r="AA1527" s="6"/>
      <c r="AB1527" s="6"/>
      <c r="AC1527" s="6"/>
      <c r="AD1527" s="6"/>
      <c r="AE1527" s="6"/>
      <c r="AF1527" s="5" t="s">
        <v>998</v>
      </c>
      <c r="AH1527" s="82"/>
      <c r="AI1527" s="32"/>
      <c r="AJ1527" s="58"/>
      <c r="AK1527" s="58"/>
      <c r="AL1527" s="58"/>
      <c r="AM1527" s="58"/>
      <c r="AO1527" s="36"/>
      <c r="AP1527" s="58"/>
      <c r="AQ1527" s="36"/>
      <c r="AR1527" s="58"/>
      <c r="AS1527" s="36"/>
      <c r="AT1527" s="36"/>
      <c r="AU1527" s="36"/>
      <c r="AV1527" s="59"/>
      <c r="AW1527" s="36"/>
      <c r="AX1527" s="59"/>
      <c r="AY1527" s="36"/>
      <c r="AZ1527" s="59"/>
      <c r="BA1527" s="36"/>
      <c r="BB1527" s="59"/>
      <c r="BC1527" s="36"/>
      <c r="BE1527" s="36"/>
    </row>
    <row r="1528" spans="1:57" x14ac:dyDescent="0.25">
      <c r="A1528" s="6"/>
      <c r="B1528" s="6"/>
      <c r="C1528" s="6"/>
      <c r="D1528" s="6"/>
      <c r="E1528" s="6"/>
      <c r="F1528" s="6"/>
      <c r="G1528" s="6"/>
      <c r="H1528" s="6"/>
      <c r="I1528" s="6"/>
      <c r="J1528" s="6"/>
      <c r="K1528" s="6"/>
      <c r="L1528" s="6"/>
      <c r="M1528" s="6"/>
      <c r="N1528" s="6"/>
      <c r="O1528" s="59"/>
      <c r="P1528" s="6"/>
      <c r="Q1528" s="6"/>
      <c r="R1528" s="6"/>
      <c r="S1528" s="6"/>
      <c r="T1528" s="6"/>
      <c r="U1528" s="6"/>
      <c r="V1528" s="6"/>
      <c r="W1528" s="6"/>
      <c r="X1528" s="6"/>
      <c r="Y1528" s="6"/>
      <c r="Z1528" s="6"/>
      <c r="AA1528" s="6"/>
      <c r="AB1528" s="6"/>
      <c r="AC1528" s="6"/>
      <c r="AD1528" s="6"/>
      <c r="AE1528" s="6"/>
      <c r="AH1528" s="82"/>
      <c r="AI1528" s="32"/>
      <c r="AJ1528" s="58"/>
      <c r="AK1528" s="58"/>
      <c r="AL1528" s="58"/>
      <c r="AM1528" s="58"/>
      <c r="AO1528" s="36"/>
      <c r="AP1528" s="58"/>
      <c r="AQ1528" s="36"/>
      <c r="AR1528" s="58"/>
      <c r="AS1528" s="36"/>
      <c r="AT1528" s="36"/>
      <c r="AU1528" s="36"/>
      <c r="AV1528" s="59"/>
      <c r="AW1528" s="36"/>
      <c r="AX1528" s="59"/>
      <c r="AY1528" s="36"/>
      <c r="AZ1528" s="59"/>
      <c r="BA1528" s="36"/>
      <c r="BB1528" s="59"/>
      <c r="BC1528" s="36"/>
      <c r="BE1528" s="36"/>
    </row>
    <row r="1529" spans="1:57" x14ac:dyDescent="0.25">
      <c r="A1529" s="6"/>
      <c r="B1529" s="6"/>
      <c r="C1529" s="6"/>
      <c r="D1529" s="6"/>
      <c r="E1529" s="6"/>
      <c r="F1529" s="6"/>
      <c r="G1529" s="6"/>
      <c r="H1529" s="6"/>
      <c r="I1529" s="6"/>
      <c r="J1529" s="6"/>
      <c r="K1529" s="6"/>
      <c r="L1529" s="6"/>
      <c r="M1529" s="6"/>
      <c r="N1529" s="6"/>
      <c r="O1529" s="59"/>
      <c r="P1529" s="6"/>
      <c r="Q1529" s="6"/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/>
      <c r="AC1529" s="6"/>
      <c r="AD1529" s="6"/>
      <c r="AE1529" s="6"/>
      <c r="AF1529" s="5" t="s">
        <v>999</v>
      </c>
      <c r="AH1529" s="36">
        <v>-87500</v>
      </c>
      <c r="AI1529" s="32"/>
      <c r="AJ1529" s="58"/>
      <c r="AK1529" s="58"/>
      <c r="AL1529" s="58"/>
      <c r="AM1529" s="58"/>
      <c r="AO1529" s="36">
        <v>-175000</v>
      </c>
      <c r="AP1529" s="58"/>
      <c r="AQ1529" s="36">
        <v>-87500</v>
      </c>
      <c r="AR1529" s="58"/>
      <c r="AS1529" s="36"/>
      <c r="AT1529" s="36"/>
      <c r="AU1529" s="36"/>
      <c r="AV1529" s="59"/>
      <c r="AW1529" s="36"/>
      <c r="AX1529" s="59"/>
      <c r="AY1529" s="36"/>
      <c r="AZ1529" s="59"/>
      <c r="BA1529" s="36"/>
      <c r="BB1529" s="59"/>
      <c r="BC1529" s="36"/>
      <c r="BE1529" s="36"/>
    </row>
    <row r="1530" spans="1:57" x14ac:dyDescent="0.25">
      <c r="A1530" s="6"/>
      <c r="B1530" s="6"/>
      <c r="C1530" s="6"/>
      <c r="D1530" s="6"/>
      <c r="E1530" s="6"/>
      <c r="F1530" s="6"/>
      <c r="G1530" s="6"/>
      <c r="H1530" s="6"/>
      <c r="I1530" s="6"/>
      <c r="J1530" s="6"/>
      <c r="K1530" s="6"/>
      <c r="L1530" s="6"/>
      <c r="M1530" s="6"/>
      <c r="N1530" s="6"/>
      <c r="O1530" s="59"/>
      <c r="P1530" s="6"/>
      <c r="Q1530" s="6"/>
      <c r="R1530" s="6"/>
      <c r="S1530" s="6"/>
      <c r="T1530" s="6"/>
      <c r="U1530" s="6"/>
      <c r="V1530" s="6"/>
      <c r="W1530" s="6"/>
      <c r="X1530" s="6"/>
      <c r="Y1530" s="6"/>
      <c r="Z1530" s="6"/>
      <c r="AA1530" s="6"/>
      <c r="AB1530" s="6"/>
      <c r="AC1530" s="6"/>
      <c r="AD1530" s="6"/>
      <c r="AE1530" s="6"/>
      <c r="AH1530" s="36"/>
      <c r="AI1530" s="32"/>
      <c r="AJ1530" s="58"/>
      <c r="AK1530" s="58"/>
      <c r="AL1530" s="58"/>
      <c r="AM1530" s="58"/>
      <c r="AO1530" s="36"/>
      <c r="AP1530" s="58"/>
      <c r="AQ1530" s="36"/>
      <c r="AR1530" s="58"/>
      <c r="AS1530" s="36"/>
      <c r="AT1530" s="36"/>
      <c r="AU1530" s="36"/>
      <c r="AV1530" s="59"/>
      <c r="AW1530" s="36"/>
      <c r="AX1530" s="59"/>
      <c r="AY1530" s="36"/>
      <c r="AZ1530" s="59"/>
      <c r="BA1530" s="36"/>
      <c r="BB1530" s="59"/>
      <c r="BC1530" s="36"/>
      <c r="BE1530" s="36"/>
    </row>
    <row r="1531" spans="1:57" x14ac:dyDescent="0.25">
      <c r="A1531" s="6"/>
      <c r="B1531" s="6"/>
      <c r="C1531" s="6"/>
      <c r="D1531" s="6"/>
      <c r="E1531" s="6"/>
      <c r="F1531" s="6"/>
      <c r="G1531" s="6"/>
      <c r="H1531" s="6"/>
      <c r="I1531" s="6"/>
      <c r="J1531" s="6"/>
      <c r="K1531" s="6"/>
      <c r="L1531" s="6"/>
      <c r="M1531" s="6"/>
      <c r="N1531" s="6"/>
      <c r="O1531" s="59"/>
      <c r="P1531" s="6"/>
      <c r="Q1531" s="6"/>
      <c r="R1531" s="6"/>
      <c r="S1531" s="6"/>
      <c r="T1531" s="6"/>
      <c r="U1531" s="6"/>
      <c r="V1531" s="6"/>
      <c r="W1531" s="6"/>
      <c r="X1531" s="6"/>
      <c r="Y1531" s="6"/>
      <c r="Z1531" s="6"/>
      <c r="AA1531" s="6"/>
      <c r="AB1531" s="6"/>
      <c r="AC1531" s="6"/>
      <c r="AD1531" s="6"/>
      <c r="AE1531" s="6"/>
      <c r="AF1531" s="5" t="s">
        <v>1000</v>
      </c>
      <c r="AH1531" s="36"/>
      <c r="AI1531" s="32"/>
      <c r="AJ1531" s="58"/>
      <c r="AK1531" s="58"/>
      <c r="AL1531" s="58"/>
      <c r="AM1531" s="58"/>
      <c r="AO1531" s="36"/>
      <c r="AP1531" s="58"/>
      <c r="AQ1531" s="36"/>
      <c r="AR1531" s="58"/>
      <c r="AS1531" s="36"/>
      <c r="AT1531" s="36"/>
      <c r="AU1531" s="36"/>
      <c r="AV1531" s="59"/>
      <c r="AW1531" s="36"/>
      <c r="AX1531" s="59"/>
      <c r="AY1531" s="36"/>
      <c r="AZ1531" s="59"/>
      <c r="BA1531" s="36"/>
      <c r="BB1531" s="59"/>
      <c r="BC1531" s="36"/>
      <c r="BE1531" s="36"/>
    </row>
    <row r="1532" spans="1:57" x14ac:dyDescent="0.25">
      <c r="A1532" s="6"/>
      <c r="B1532" s="6"/>
      <c r="C1532" s="6"/>
      <c r="D1532" s="6"/>
      <c r="E1532" s="6"/>
      <c r="F1532" s="6"/>
      <c r="G1532" s="6"/>
      <c r="H1532" s="6"/>
      <c r="I1532" s="6"/>
      <c r="J1532" s="6"/>
      <c r="K1532" s="6"/>
      <c r="L1532" s="6"/>
      <c r="M1532" s="6"/>
      <c r="N1532" s="6"/>
      <c r="O1532" s="59"/>
      <c r="P1532" s="6"/>
      <c r="Q1532" s="6"/>
      <c r="R1532" s="6"/>
      <c r="S1532" s="6"/>
      <c r="T1532" s="6"/>
      <c r="U1532" s="6"/>
      <c r="V1532" s="6"/>
      <c r="W1532" s="6"/>
      <c r="X1532" s="6"/>
      <c r="Y1532" s="6"/>
      <c r="Z1532" s="6"/>
      <c r="AA1532" s="6"/>
      <c r="AB1532" s="6"/>
      <c r="AC1532" s="6"/>
      <c r="AD1532" s="6"/>
      <c r="AE1532" s="6"/>
      <c r="AH1532" s="36"/>
      <c r="AI1532" s="32"/>
      <c r="AJ1532" s="58"/>
      <c r="AK1532" s="58"/>
      <c r="AL1532" s="58"/>
      <c r="AM1532" s="58"/>
      <c r="AO1532" s="35"/>
      <c r="AP1532" s="58"/>
      <c r="AQ1532" s="35"/>
      <c r="AR1532" s="58"/>
      <c r="AS1532" s="35"/>
      <c r="AT1532" s="35"/>
      <c r="AU1532" s="35"/>
      <c r="AV1532" s="59"/>
      <c r="AW1532" s="35"/>
      <c r="AX1532" s="59"/>
      <c r="AY1532" s="35"/>
      <c r="AZ1532" s="59"/>
      <c r="BA1532" s="35"/>
      <c r="BB1532" s="59"/>
      <c r="BC1532" s="35"/>
      <c r="BE1532" s="35"/>
    </row>
    <row r="1533" spans="1:57" x14ac:dyDescent="0.25">
      <c r="A1533" s="6"/>
      <c r="B1533" s="6"/>
      <c r="C1533" s="6"/>
      <c r="D1533" s="6"/>
      <c r="E1533" s="6"/>
      <c r="F1533" s="6"/>
      <c r="G1533" s="6"/>
      <c r="H1533" s="6"/>
      <c r="I1533" s="6"/>
      <c r="J1533" s="6"/>
      <c r="K1533" s="6"/>
      <c r="L1533" s="6"/>
      <c r="M1533" s="6"/>
      <c r="N1533" s="6"/>
      <c r="O1533" s="59"/>
      <c r="P1533" s="6"/>
      <c r="Q1533" s="6"/>
      <c r="R1533" s="6"/>
      <c r="S1533" s="6"/>
      <c r="T1533" s="6"/>
      <c r="U1533" s="6"/>
      <c r="V1533" s="6"/>
      <c r="W1533" s="6"/>
      <c r="X1533" s="6"/>
      <c r="Y1533" s="6"/>
      <c r="Z1533" s="6"/>
      <c r="AA1533" s="6"/>
      <c r="AB1533" s="6"/>
      <c r="AC1533" s="6"/>
      <c r="AD1533" s="6"/>
      <c r="AE1533" s="6"/>
      <c r="AF1533" s="5" t="s">
        <v>1001</v>
      </c>
      <c r="AH1533" s="36">
        <f>AH1525+AH1527+AH1529+AH1531</f>
        <v>453607</v>
      </c>
      <c r="AI1533" s="32"/>
      <c r="AJ1533" s="58"/>
      <c r="AK1533" s="58"/>
      <c r="AL1533" s="58"/>
      <c r="AM1533" s="58"/>
      <c r="AO1533" s="36">
        <f>AO1525+AO1527+AO1529+AO1531</f>
        <v>259397</v>
      </c>
      <c r="AP1533" s="58"/>
      <c r="AQ1533" s="36">
        <f>AQ1525+AQ1527+AQ1529+AQ1531</f>
        <v>111523</v>
      </c>
      <c r="AR1533" s="58"/>
      <c r="AS1533" s="36">
        <f>AS1525+AS1527+AS1529+AS1531</f>
        <v>195161</v>
      </c>
      <c r="AT1533" s="36"/>
      <c r="AU1533" s="36">
        <f>AU1525+AU1527+AU1529+AU1531</f>
        <v>34586</v>
      </c>
      <c r="AV1533" s="59"/>
      <c r="AW1533" s="36">
        <f>AW1525+AW1527+AW1529+AW1531</f>
        <v>141297</v>
      </c>
      <c r="AX1533" s="59"/>
      <c r="AY1533" s="36">
        <f>AY1525+AY1527+AY1529+AY1531</f>
        <v>186185</v>
      </c>
      <c r="AZ1533" s="59"/>
      <c r="BA1533" s="36">
        <f>BA1525+BA1527+BA1529+BA1531</f>
        <v>289219</v>
      </c>
      <c r="BB1533" s="59"/>
      <c r="BC1533" s="36">
        <f>BC1525+BC1527+BC1529+BC1531</f>
        <v>319300</v>
      </c>
      <c r="BE1533" s="36">
        <f>BE1525+BE1527+BE1529+BE1531</f>
        <v>349381</v>
      </c>
    </row>
    <row r="1536" spans="1:57" x14ac:dyDescent="0.25">
      <c r="A1536" s="6"/>
      <c r="B1536" s="6"/>
      <c r="C1536" s="6"/>
      <c r="D1536" s="6"/>
      <c r="E1536" s="6"/>
      <c r="F1536" s="6"/>
      <c r="G1536" s="6"/>
      <c r="H1536" s="6"/>
      <c r="I1536" s="6"/>
      <c r="J1536" s="6"/>
      <c r="K1536" s="6"/>
      <c r="L1536" s="6"/>
      <c r="M1536" s="6"/>
      <c r="N1536" s="6"/>
      <c r="O1536" s="59"/>
      <c r="P1536" s="6"/>
      <c r="Q1536" s="6"/>
      <c r="R1536" s="6"/>
      <c r="S1536" s="6"/>
      <c r="T1536" s="6"/>
      <c r="U1536" s="6"/>
      <c r="V1536" s="6"/>
      <c r="W1536" s="6"/>
      <c r="X1536" s="6"/>
      <c r="Y1536" s="6"/>
      <c r="Z1536" s="6"/>
      <c r="AA1536" s="6"/>
      <c r="AB1536" s="6"/>
      <c r="AC1536" s="6"/>
      <c r="AD1536" s="6"/>
      <c r="AE1536" s="6"/>
      <c r="AF1536" s="88" t="s">
        <v>1004</v>
      </c>
      <c r="AH1536" s="85"/>
      <c r="AJ1536" s="58"/>
      <c r="AK1536" s="58"/>
      <c r="AL1536" s="58"/>
      <c r="AM1536" s="58"/>
      <c r="AO1536" s="85"/>
      <c r="AP1536" s="58"/>
      <c r="AQ1536" s="85"/>
      <c r="AR1536" s="58"/>
      <c r="AS1536" s="85"/>
      <c r="AT1536" s="85"/>
      <c r="AU1536" s="85"/>
      <c r="AV1536" s="59"/>
      <c r="AW1536" s="85"/>
      <c r="AX1536" s="59"/>
      <c r="AY1536" s="85"/>
      <c r="AZ1536" s="59"/>
      <c r="BA1536" s="85"/>
      <c r="BB1536" s="59"/>
      <c r="BC1536" s="85"/>
      <c r="BE1536" s="85"/>
    </row>
    <row r="1537" spans="1:57" x14ac:dyDescent="0.25">
      <c r="A1537" s="6"/>
      <c r="B1537" s="6"/>
      <c r="C1537" s="6"/>
      <c r="D1537" s="6"/>
      <c r="E1537" s="6"/>
      <c r="F1537" s="6"/>
      <c r="G1537" s="6"/>
      <c r="H1537" s="6"/>
      <c r="I1537" s="6"/>
      <c r="J1537" s="6"/>
      <c r="K1537" s="6"/>
      <c r="L1537" s="6"/>
      <c r="M1537" s="6"/>
      <c r="N1537" s="6"/>
      <c r="O1537" s="59"/>
      <c r="P1537" s="6"/>
      <c r="Q1537" s="6"/>
      <c r="R1537" s="6"/>
      <c r="S1537" s="6"/>
      <c r="T1537" s="6"/>
      <c r="U1537" s="6"/>
      <c r="V1537" s="6"/>
      <c r="W1537" s="6"/>
      <c r="X1537" s="6"/>
      <c r="Y1537" s="6"/>
      <c r="Z1537" s="6"/>
      <c r="AA1537" s="6"/>
      <c r="AB1537" s="6"/>
      <c r="AC1537" s="6"/>
      <c r="AD1537" s="6"/>
      <c r="AE1537" s="6"/>
      <c r="AF1537" s="5" t="s">
        <v>995</v>
      </c>
      <c r="AH1537" s="36">
        <v>660291</v>
      </c>
      <c r="AI1537" s="32"/>
      <c r="AJ1537" s="7"/>
      <c r="AK1537" s="7"/>
      <c r="AL1537" s="7"/>
      <c r="AM1537" s="7"/>
      <c r="AN1537" s="32"/>
      <c r="AO1537" s="31">
        <f>AH1549</f>
        <v>1156617</v>
      </c>
      <c r="AP1537" s="7"/>
      <c r="AQ1537" s="31">
        <f>AO1549</f>
        <v>539629</v>
      </c>
      <c r="AR1537" s="7"/>
      <c r="AS1537" s="31">
        <f>AQ1549</f>
        <v>108631</v>
      </c>
      <c r="AT1537" s="31"/>
      <c r="AU1537" s="31">
        <f>AS1549</f>
        <v>-42101</v>
      </c>
      <c r="AV1537" s="34"/>
      <c r="AW1537" s="31">
        <f>AU1549</f>
        <v>-199479</v>
      </c>
      <c r="AX1537" s="34"/>
      <c r="AY1537" s="31">
        <f>AW1549</f>
        <v>-373180</v>
      </c>
      <c r="AZ1537" s="34"/>
      <c r="BA1537" s="31">
        <f>AY1549</f>
        <v>-533139</v>
      </c>
      <c r="BB1537" s="34"/>
      <c r="BC1537" s="31">
        <f>BA1549</f>
        <v>-724807</v>
      </c>
      <c r="BE1537" s="31">
        <f>BC1549</f>
        <v>-933396</v>
      </c>
    </row>
    <row r="1538" spans="1:57" x14ac:dyDescent="0.25">
      <c r="A1538" s="6"/>
      <c r="B1538" s="6"/>
      <c r="C1538" s="6"/>
      <c r="D1538" s="6"/>
      <c r="E1538" s="6"/>
      <c r="F1538" s="6"/>
      <c r="G1538" s="6"/>
      <c r="H1538" s="6"/>
      <c r="I1538" s="6"/>
      <c r="J1538" s="6"/>
      <c r="K1538" s="6"/>
      <c r="L1538" s="6"/>
      <c r="M1538" s="6"/>
      <c r="N1538" s="6"/>
      <c r="O1538" s="59"/>
      <c r="P1538" s="6"/>
      <c r="Q1538" s="6"/>
      <c r="R1538" s="6"/>
      <c r="S1538" s="6"/>
      <c r="T1538" s="6"/>
      <c r="U1538" s="6"/>
      <c r="V1538" s="6"/>
      <c r="W1538" s="6"/>
      <c r="X1538" s="6"/>
      <c r="Y1538" s="6"/>
      <c r="Z1538" s="6"/>
      <c r="AA1538" s="6"/>
      <c r="AB1538" s="6"/>
      <c r="AC1538" s="6"/>
      <c r="AD1538" s="6"/>
      <c r="AE1538" s="6"/>
      <c r="AH1538" s="36"/>
      <c r="AI1538" s="32"/>
      <c r="AJ1538" s="7"/>
      <c r="AK1538" s="7"/>
      <c r="AL1538" s="7"/>
      <c r="AM1538" s="7"/>
      <c r="AN1538" s="32"/>
      <c r="AO1538" s="31"/>
      <c r="AP1538" s="7"/>
      <c r="AQ1538" s="31"/>
      <c r="AR1538" s="7"/>
      <c r="AS1538" s="31"/>
      <c r="AT1538" s="31"/>
      <c r="AU1538" s="31"/>
      <c r="AV1538" s="34"/>
      <c r="AW1538" s="31"/>
      <c r="AX1538" s="34"/>
      <c r="AY1538" s="31"/>
      <c r="AZ1538" s="34"/>
      <c r="BA1538" s="31"/>
      <c r="BB1538" s="34"/>
      <c r="BC1538" s="31"/>
      <c r="BE1538" s="31"/>
    </row>
    <row r="1539" spans="1:57" x14ac:dyDescent="0.25">
      <c r="A1539" s="6"/>
      <c r="B1539" s="6"/>
      <c r="C1539" s="6"/>
      <c r="D1539" s="6"/>
      <c r="E1539" s="6"/>
      <c r="F1539" s="6"/>
      <c r="G1539" s="6"/>
      <c r="H1539" s="6"/>
      <c r="I1539" s="6"/>
      <c r="J1539" s="6"/>
      <c r="K1539" s="6"/>
      <c r="L1539" s="6"/>
      <c r="M1539" s="6"/>
      <c r="N1539" s="6"/>
      <c r="O1539" s="59"/>
      <c r="P1539" s="6"/>
      <c r="Q1539" s="6"/>
      <c r="R1539" s="6"/>
      <c r="S1539" s="6"/>
      <c r="T1539" s="6"/>
      <c r="U1539" s="6"/>
      <c r="V1539" s="6"/>
      <c r="W1539" s="6"/>
      <c r="X1539" s="6"/>
      <c r="Y1539" s="6"/>
      <c r="Z1539" s="6"/>
      <c r="AA1539" s="6"/>
      <c r="AB1539" s="6"/>
      <c r="AC1539" s="6"/>
      <c r="AD1539" s="6"/>
      <c r="AE1539" s="6"/>
      <c r="AF1539" s="5" t="s">
        <v>996</v>
      </c>
      <c r="AH1539" s="36">
        <v>-3674</v>
      </c>
      <c r="AI1539" s="32"/>
      <c r="AJ1539" s="32"/>
      <c r="AK1539" s="32"/>
      <c r="AL1539" s="32"/>
      <c r="AM1539" s="32"/>
      <c r="AN1539" s="32"/>
      <c r="AO1539" s="35">
        <v>-16164</v>
      </c>
      <c r="AP1539" s="32"/>
      <c r="AQ1539" s="35">
        <v>-80174</v>
      </c>
      <c r="AR1539" s="32"/>
      <c r="AS1539" s="35">
        <v>-49908</v>
      </c>
      <c r="AT1539" s="35"/>
      <c r="AU1539" s="35">
        <v>-56554</v>
      </c>
      <c r="AV1539" s="90"/>
      <c r="AW1539" s="35">
        <v>-72877</v>
      </c>
      <c r="AX1539" s="90"/>
      <c r="AY1539" s="35">
        <v>-59135</v>
      </c>
      <c r="AZ1539" s="90"/>
      <c r="BA1539" s="35">
        <v>-90844</v>
      </c>
      <c r="BB1539" s="90"/>
      <c r="BC1539" s="35">
        <v>-107765</v>
      </c>
      <c r="BE1539" s="35">
        <v>-107765</v>
      </c>
    </row>
    <row r="1540" spans="1:57" x14ac:dyDescent="0.25">
      <c r="A1540" s="6"/>
      <c r="B1540" s="6"/>
      <c r="C1540" s="6"/>
      <c r="D1540" s="6"/>
      <c r="E1540" s="6"/>
      <c r="F1540" s="6"/>
      <c r="G1540" s="6"/>
      <c r="H1540" s="6"/>
      <c r="I1540" s="6"/>
      <c r="J1540" s="6"/>
      <c r="K1540" s="6"/>
      <c r="L1540" s="6"/>
      <c r="M1540" s="6"/>
      <c r="N1540" s="6"/>
      <c r="O1540" s="59"/>
      <c r="P1540" s="6"/>
      <c r="Q1540" s="6"/>
      <c r="R1540" s="6"/>
      <c r="S1540" s="6"/>
      <c r="T1540" s="6"/>
      <c r="U1540" s="6"/>
      <c r="V1540" s="6"/>
      <c r="W1540" s="6"/>
      <c r="X1540" s="6"/>
      <c r="Y1540" s="6"/>
      <c r="Z1540" s="6"/>
      <c r="AA1540" s="6"/>
      <c r="AB1540" s="6"/>
      <c r="AC1540" s="6"/>
      <c r="AD1540" s="6"/>
      <c r="AE1540" s="6"/>
      <c r="AH1540" s="36"/>
      <c r="AI1540" s="32"/>
      <c r="AJ1540" s="4"/>
      <c r="AK1540" s="4"/>
      <c r="AL1540" s="4"/>
      <c r="AM1540" s="4"/>
      <c r="AO1540" s="36"/>
      <c r="AP1540" s="4"/>
      <c r="AQ1540" s="36"/>
      <c r="AR1540" s="4"/>
      <c r="AS1540" s="36"/>
      <c r="AT1540" s="36"/>
      <c r="AU1540" s="36"/>
      <c r="AV1540" s="59"/>
      <c r="AW1540" s="36"/>
      <c r="AX1540" s="59"/>
      <c r="AY1540" s="36"/>
      <c r="AZ1540" s="59"/>
      <c r="BA1540" s="36"/>
      <c r="BB1540" s="59"/>
      <c r="BC1540" s="36"/>
      <c r="BE1540" s="36"/>
    </row>
    <row r="1541" spans="1:57" x14ac:dyDescent="0.25">
      <c r="A1541" s="6"/>
      <c r="B1541" s="6"/>
      <c r="C1541" s="6"/>
      <c r="D1541" s="6"/>
      <c r="E1541" s="6"/>
      <c r="F1541" s="6"/>
      <c r="G1541" s="6"/>
      <c r="H1541" s="6"/>
      <c r="I1541" s="6"/>
      <c r="J1541" s="6"/>
      <c r="K1541" s="6"/>
      <c r="L1541" s="6"/>
      <c r="M1541" s="6"/>
      <c r="N1541" s="6"/>
      <c r="O1541" s="59"/>
      <c r="P1541" s="6"/>
      <c r="Q1541" s="6"/>
      <c r="R1541" s="6"/>
      <c r="S1541" s="6"/>
      <c r="T1541" s="6"/>
      <c r="U1541" s="6"/>
      <c r="V1541" s="6"/>
      <c r="W1541" s="6"/>
      <c r="X1541" s="6"/>
      <c r="Y1541" s="6"/>
      <c r="Z1541" s="6"/>
      <c r="AA1541" s="6"/>
      <c r="AB1541" s="6"/>
      <c r="AC1541" s="6"/>
      <c r="AD1541" s="6"/>
      <c r="AE1541" s="6"/>
      <c r="AF1541" s="5" t="s">
        <v>997</v>
      </c>
      <c r="AH1541" s="36">
        <f>AH1537+AH1539</f>
        <v>656617</v>
      </c>
      <c r="AI1541" s="32"/>
      <c r="AJ1541" s="4"/>
      <c r="AK1541" s="4"/>
      <c r="AL1541" s="4"/>
      <c r="AM1541" s="4"/>
      <c r="AO1541" s="36">
        <f>AO1537+AO1539</f>
        <v>1140453</v>
      </c>
      <c r="AP1541" s="4"/>
      <c r="AQ1541" s="36">
        <f>AQ1537+AQ1539</f>
        <v>459455</v>
      </c>
      <c r="AR1541" s="4"/>
      <c r="AS1541" s="36">
        <f>AS1537+AS1539</f>
        <v>58723</v>
      </c>
      <c r="AT1541" s="36"/>
      <c r="AU1541" s="36">
        <f>AU1537+AU1539</f>
        <v>-98655</v>
      </c>
      <c r="AV1541" s="59"/>
      <c r="AW1541" s="36">
        <f>AW1537+AW1539</f>
        <v>-272356</v>
      </c>
      <c r="AX1541" s="59"/>
      <c r="AY1541" s="36">
        <f>AY1537+AY1539</f>
        <v>-432315</v>
      </c>
      <c r="AZ1541" s="59"/>
      <c r="BA1541" s="36">
        <f>BA1537+BA1539</f>
        <v>-623983</v>
      </c>
      <c r="BB1541" s="59"/>
      <c r="BC1541" s="36">
        <f>BC1537+BC1539</f>
        <v>-832572</v>
      </c>
      <c r="BE1541" s="36">
        <f>BE1537+BE1539</f>
        <v>-1041161</v>
      </c>
    </row>
    <row r="1542" spans="1:57" x14ac:dyDescent="0.25">
      <c r="A1542" s="6"/>
      <c r="B1542" s="6"/>
      <c r="C1542" s="6"/>
      <c r="D1542" s="6"/>
      <c r="E1542" s="6"/>
      <c r="F1542" s="6"/>
      <c r="G1542" s="6"/>
      <c r="H1542" s="6"/>
      <c r="I1542" s="6"/>
      <c r="J1542" s="6"/>
      <c r="K1542" s="6"/>
      <c r="L1542" s="6"/>
      <c r="M1542" s="6"/>
      <c r="N1542" s="6"/>
      <c r="O1542" s="59"/>
      <c r="P1542" s="6"/>
      <c r="Q1542" s="6"/>
      <c r="R1542" s="6"/>
      <c r="S1542" s="6"/>
      <c r="T1542" s="6"/>
      <c r="U1542" s="6"/>
      <c r="V1542" s="6"/>
      <c r="W1542" s="6"/>
      <c r="X1542" s="6"/>
      <c r="Y1542" s="6"/>
      <c r="Z1542" s="6"/>
      <c r="AA1542" s="6"/>
      <c r="AB1542" s="6"/>
      <c r="AC1542" s="6"/>
      <c r="AD1542" s="6"/>
      <c r="AE1542" s="6"/>
      <c r="AH1542" s="36"/>
      <c r="AI1542" s="32"/>
      <c r="AJ1542" s="58"/>
      <c r="AK1542" s="58"/>
      <c r="AL1542" s="58"/>
      <c r="AM1542" s="58"/>
      <c r="AO1542" s="36"/>
      <c r="AP1542" s="58"/>
      <c r="AQ1542" s="36"/>
      <c r="AR1542" s="58"/>
      <c r="AS1542" s="36"/>
      <c r="AT1542" s="36"/>
      <c r="AU1542" s="36"/>
      <c r="AV1542" s="59"/>
      <c r="AW1542" s="36"/>
      <c r="AX1542" s="59"/>
      <c r="AY1542" s="36"/>
      <c r="AZ1542" s="59"/>
      <c r="BA1542" s="36"/>
      <c r="BB1542" s="59"/>
      <c r="BC1542" s="36"/>
      <c r="BE1542" s="36"/>
    </row>
    <row r="1543" spans="1:57" x14ac:dyDescent="0.25">
      <c r="A1543" s="6"/>
      <c r="B1543" s="6"/>
      <c r="C1543" s="6"/>
      <c r="D1543" s="6"/>
      <c r="E1543" s="6"/>
      <c r="F1543" s="6"/>
      <c r="G1543" s="6"/>
      <c r="H1543" s="6"/>
      <c r="I1543" s="6"/>
      <c r="J1543" s="6"/>
      <c r="K1543" s="6"/>
      <c r="L1543" s="6"/>
      <c r="M1543" s="6"/>
      <c r="N1543" s="6"/>
      <c r="O1543" s="59"/>
      <c r="P1543" s="6"/>
      <c r="Q1543" s="6"/>
      <c r="R1543" s="6"/>
      <c r="S1543" s="6"/>
      <c r="T1543" s="6"/>
      <c r="U1543" s="6"/>
      <c r="V1543" s="6"/>
      <c r="W1543" s="6"/>
      <c r="X1543" s="6"/>
      <c r="Y1543" s="6"/>
      <c r="Z1543" s="6"/>
      <c r="AA1543" s="6"/>
      <c r="AB1543" s="6"/>
      <c r="AC1543" s="6"/>
      <c r="AD1543" s="6"/>
      <c r="AE1543" s="6"/>
      <c r="AF1543" s="5" t="s">
        <v>998</v>
      </c>
      <c r="AH1543" s="82">
        <v>750000</v>
      </c>
      <c r="AI1543" s="32"/>
      <c r="AJ1543" s="58"/>
      <c r="AK1543" s="58"/>
      <c r="AL1543" s="58"/>
      <c r="AM1543" s="58"/>
      <c r="AO1543" s="36"/>
      <c r="AP1543" s="58"/>
      <c r="AQ1543" s="36"/>
      <c r="AR1543" s="58"/>
      <c r="AS1543" s="36"/>
      <c r="AT1543" s="36"/>
      <c r="AU1543" s="36"/>
      <c r="AV1543" s="59"/>
      <c r="AW1543" s="36"/>
      <c r="AX1543" s="59"/>
      <c r="AY1543" s="36"/>
      <c r="AZ1543" s="59"/>
      <c r="BA1543" s="36"/>
      <c r="BB1543" s="59"/>
      <c r="BC1543" s="36"/>
      <c r="BE1543" s="36"/>
    </row>
    <row r="1544" spans="1:57" x14ac:dyDescent="0.25">
      <c r="A1544" s="6"/>
      <c r="B1544" s="6"/>
      <c r="C1544" s="6"/>
      <c r="D1544" s="6"/>
      <c r="E1544" s="6"/>
      <c r="F1544" s="6"/>
      <c r="G1544" s="6"/>
      <c r="H1544" s="6"/>
      <c r="I1544" s="6"/>
      <c r="J1544" s="6"/>
      <c r="K1544" s="6"/>
      <c r="L1544" s="6"/>
      <c r="M1544" s="6"/>
      <c r="N1544" s="6"/>
      <c r="O1544" s="59"/>
      <c r="P1544" s="6"/>
      <c r="Q1544" s="6"/>
      <c r="R1544" s="6"/>
      <c r="S1544" s="6"/>
      <c r="T1544" s="6"/>
      <c r="U1544" s="6"/>
      <c r="V1544" s="6"/>
      <c r="W1544" s="6"/>
      <c r="X1544" s="6"/>
      <c r="Y1544" s="6"/>
      <c r="Z1544" s="6"/>
      <c r="AA1544" s="6"/>
      <c r="AB1544" s="6"/>
      <c r="AC1544" s="6"/>
      <c r="AD1544" s="6"/>
      <c r="AE1544" s="6"/>
      <c r="AH1544" s="82"/>
      <c r="AI1544" s="32"/>
      <c r="AJ1544" s="58"/>
      <c r="AK1544" s="58"/>
      <c r="AL1544" s="58"/>
      <c r="AM1544" s="58"/>
      <c r="AO1544" s="36"/>
      <c r="AP1544" s="58"/>
      <c r="AQ1544" s="36"/>
      <c r="AR1544" s="58"/>
      <c r="AS1544" s="36"/>
      <c r="AT1544" s="36"/>
      <c r="AU1544" s="36"/>
      <c r="AV1544" s="59"/>
      <c r="AW1544" s="36"/>
      <c r="AX1544" s="59"/>
      <c r="AY1544" s="36"/>
      <c r="AZ1544" s="59"/>
      <c r="BA1544" s="36"/>
      <c r="BB1544" s="59"/>
      <c r="BC1544" s="36"/>
      <c r="BE1544" s="36"/>
    </row>
    <row r="1545" spans="1:57" x14ac:dyDescent="0.25">
      <c r="A1545" s="6"/>
      <c r="B1545" s="6"/>
      <c r="C1545" s="6"/>
      <c r="D1545" s="6"/>
      <c r="E1545" s="6"/>
      <c r="F1545" s="6"/>
      <c r="G1545" s="6"/>
      <c r="H1545" s="6"/>
      <c r="I1545" s="6"/>
      <c r="J1545" s="6"/>
      <c r="K1545" s="6"/>
      <c r="L1545" s="6"/>
      <c r="M1545" s="6"/>
      <c r="N1545" s="6"/>
      <c r="O1545" s="59"/>
      <c r="P1545" s="6"/>
      <c r="Q1545" s="6"/>
      <c r="R1545" s="6"/>
      <c r="S1545" s="6"/>
      <c r="T1545" s="6"/>
      <c r="U1545" s="6"/>
      <c r="V1545" s="6"/>
      <c r="W1545" s="6"/>
      <c r="X1545" s="6"/>
      <c r="Y1545" s="6"/>
      <c r="Z1545" s="6"/>
      <c r="AA1545" s="6"/>
      <c r="AB1545" s="6"/>
      <c r="AC1545" s="6"/>
      <c r="AD1545" s="6"/>
      <c r="AE1545" s="6"/>
      <c r="AF1545" s="5" t="s">
        <v>999</v>
      </c>
      <c r="AH1545" s="36">
        <v>-250000</v>
      </c>
      <c r="AI1545" s="32"/>
      <c r="AJ1545" s="58"/>
      <c r="AK1545" s="58"/>
      <c r="AL1545" s="58"/>
      <c r="AM1545" s="58"/>
      <c r="AO1545" s="36">
        <v>-500000</v>
      </c>
      <c r="AP1545" s="58"/>
      <c r="AQ1545" s="36">
        <v>-250000</v>
      </c>
      <c r="AR1545" s="58"/>
      <c r="AS1545" s="36"/>
      <c r="AT1545" s="36"/>
      <c r="AU1545" s="36"/>
      <c r="AV1545" s="59"/>
      <c r="AW1545" s="36"/>
      <c r="AX1545" s="59"/>
      <c r="AY1545" s="36"/>
      <c r="AZ1545" s="59"/>
      <c r="BA1545" s="36"/>
      <c r="BB1545" s="59"/>
      <c r="BC1545" s="36"/>
      <c r="BE1545" s="36"/>
    </row>
    <row r="1546" spans="1:57" x14ac:dyDescent="0.25">
      <c r="A1546" s="6"/>
      <c r="B1546" s="6"/>
      <c r="C1546" s="6"/>
      <c r="D1546" s="6"/>
      <c r="E1546" s="6"/>
      <c r="F1546" s="6"/>
      <c r="G1546" s="6"/>
      <c r="H1546" s="6"/>
      <c r="I1546" s="6"/>
      <c r="J1546" s="6"/>
      <c r="K1546" s="6"/>
      <c r="L1546" s="6"/>
      <c r="M1546" s="6"/>
      <c r="N1546" s="6"/>
      <c r="O1546" s="59"/>
      <c r="P1546" s="6"/>
      <c r="Q1546" s="6"/>
      <c r="R1546" s="6"/>
      <c r="S1546" s="6"/>
      <c r="T1546" s="6"/>
      <c r="U1546" s="6"/>
      <c r="V1546" s="6"/>
      <c r="W1546" s="6"/>
      <c r="X1546" s="6"/>
      <c r="Y1546" s="6"/>
      <c r="Z1546" s="6"/>
      <c r="AA1546" s="6"/>
      <c r="AB1546" s="6"/>
      <c r="AC1546" s="6"/>
      <c r="AD1546" s="6"/>
      <c r="AE1546" s="6"/>
      <c r="AH1546" s="36"/>
      <c r="AI1546" s="32"/>
      <c r="AJ1546" s="58"/>
      <c r="AK1546" s="58"/>
      <c r="AL1546" s="58"/>
      <c r="AM1546" s="58"/>
      <c r="AO1546" s="36"/>
      <c r="AP1546" s="58"/>
      <c r="AQ1546" s="36"/>
      <c r="AR1546" s="58"/>
      <c r="AS1546" s="36"/>
      <c r="AT1546" s="36"/>
      <c r="AU1546" s="36"/>
      <c r="AV1546" s="59"/>
      <c r="AW1546" s="36"/>
      <c r="AX1546" s="59"/>
      <c r="AY1546" s="36"/>
      <c r="AZ1546" s="59"/>
      <c r="BA1546" s="36"/>
      <c r="BB1546" s="59"/>
      <c r="BC1546" s="36"/>
      <c r="BE1546" s="36"/>
    </row>
    <row r="1547" spans="1:57" x14ac:dyDescent="0.25">
      <c r="A1547" s="6"/>
      <c r="B1547" s="6"/>
      <c r="C1547" s="6"/>
      <c r="D1547" s="6"/>
      <c r="E1547" s="6"/>
      <c r="F1547" s="6"/>
      <c r="G1547" s="6"/>
      <c r="H1547" s="6"/>
      <c r="I1547" s="6"/>
      <c r="J1547" s="6"/>
      <c r="K1547" s="6"/>
      <c r="L1547" s="6"/>
      <c r="M1547" s="6"/>
      <c r="N1547" s="6"/>
      <c r="O1547" s="59"/>
      <c r="P1547" s="6"/>
      <c r="Q1547" s="6"/>
      <c r="R1547" s="6"/>
      <c r="S1547" s="6"/>
      <c r="T1547" s="6"/>
      <c r="U1547" s="6"/>
      <c r="V1547" s="6"/>
      <c r="W1547" s="6"/>
      <c r="X1547" s="6"/>
      <c r="Y1547" s="6"/>
      <c r="Z1547" s="6"/>
      <c r="AA1547" s="6"/>
      <c r="AB1547" s="6"/>
      <c r="AC1547" s="6"/>
      <c r="AD1547" s="6"/>
      <c r="AE1547" s="6"/>
      <c r="AF1547" s="5" t="s">
        <v>1000</v>
      </c>
      <c r="AH1547" s="36"/>
      <c r="AI1547" s="32"/>
      <c r="AJ1547" s="58"/>
      <c r="AK1547" s="58"/>
      <c r="AL1547" s="58"/>
      <c r="AM1547" s="58"/>
      <c r="AO1547" s="36">
        <v>-100824</v>
      </c>
      <c r="AP1547" s="58"/>
      <c r="AQ1547" s="36">
        <v>-100824</v>
      </c>
      <c r="AR1547" s="58"/>
      <c r="AS1547" s="36">
        <v>-100824</v>
      </c>
      <c r="AT1547" s="36"/>
      <c r="AU1547" s="36">
        <v>-100824</v>
      </c>
      <c r="AV1547" s="59"/>
      <c r="AW1547" s="36">
        <v>-100824</v>
      </c>
      <c r="AX1547" s="59"/>
      <c r="AY1547" s="36">
        <v>-100824</v>
      </c>
      <c r="AZ1547" s="59"/>
      <c r="BA1547" s="36">
        <v>-100824</v>
      </c>
      <c r="BB1547" s="59"/>
      <c r="BC1547" s="36">
        <v>-100824</v>
      </c>
      <c r="BE1547" s="36">
        <v>-100824</v>
      </c>
    </row>
    <row r="1548" spans="1:57" x14ac:dyDescent="0.25">
      <c r="A1548" s="6"/>
      <c r="B1548" s="6"/>
      <c r="C1548" s="6"/>
      <c r="D1548" s="6"/>
      <c r="E1548" s="6"/>
      <c r="F1548" s="6"/>
      <c r="G1548" s="6"/>
      <c r="H1548" s="6"/>
      <c r="I1548" s="6"/>
      <c r="J1548" s="6"/>
      <c r="K1548" s="6"/>
      <c r="L1548" s="6"/>
      <c r="M1548" s="6"/>
      <c r="N1548" s="6"/>
      <c r="O1548" s="59"/>
      <c r="P1548" s="6"/>
      <c r="Q1548" s="6"/>
      <c r="R1548" s="6"/>
      <c r="S1548" s="6"/>
      <c r="T1548" s="6"/>
      <c r="U1548" s="6"/>
      <c r="V1548" s="6"/>
      <c r="W1548" s="6"/>
      <c r="X1548" s="6"/>
      <c r="Y1548" s="6"/>
      <c r="Z1548" s="6"/>
      <c r="AA1548" s="6"/>
      <c r="AB1548" s="6"/>
      <c r="AC1548" s="6"/>
      <c r="AD1548" s="6"/>
      <c r="AE1548" s="6"/>
      <c r="AH1548" s="36"/>
      <c r="AI1548" s="32"/>
      <c r="AJ1548" s="58"/>
      <c r="AK1548" s="58"/>
      <c r="AL1548" s="58"/>
      <c r="AM1548" s="58"/>
      <c r="AO1548" s="35"/>
      <c r="AP1548" s="58"/>
      <c r="AQ1548" s="35"/>
      <c r="AR1548" s="58"/>
      <c r="AS1548" s="35"/>
      <c r="AT1548" s="35"/>
      <c r="AU1548" s="35"/>
      <c r="AV1548" s="59"/>
      <c r="AW1548" s="35"/>
      <c r="AX1548" s="59"/>
      <c r="AY1548" s="35"/>
      <c r="AZ1548" s="59"/>
      <c r="BA1548" s="35"/>
      <c r="BB1548" s="59"/>
      <c r="BC1548" s="35"/>
      <c r="BE1548" s="35"/>
    </row>
    <row r="1549" spans="1:57" x14ac:dyDescent="0.25">
      <c r="A1549" s="6"/>
      <c r="B1549" s="6"/>
      <c r="C1549" s="6"/>
      <c r="D1549" s="6"/>
      <c r="E1549" s="6"/>
      <c r="F1549" s="6"/>
      <c r="G1549" s="6"/>
      <c r="H1549" s="6"/>
      <c r="I1549" s="6"/>
      <c r="J1549" s="6"/>
      <c r="K1549" s="6"/>
      <c r="L1549" s="6"/>
      <c r="M1549" s="6"/>
      <c r="N1549" s="6"/>
      <c r="O1549" s="59"/>
      <c r="P1549" s="6"/>
      <c r="Q1549" s="6"/>
      <c r="R1549" s="6"/>
      <c r="S1549" s="6"/>
      <c r="T1549" s="6"/>
      <c r="U1549" s="6"/>
      <c r="V1549" s="6"/>
      <c r="W1549" s="6"/>
      <c r="X1549" s="6"/>
      <c r="Y1549" s="6"/>
      <c r="Z1549" s="6"/>
      <c r="AA1549" s="6"/>
      <c r="AB1549" s="6"/>
      <c r="AC1549" s="6"/>
      <c r="AD1549" s="6"/>
      <c r="AE1549" s="6"/>
      <c r="AF1549" s="5" t="s">
        <v>1001</v>
      </c>
      <c r="AH1549" s="36">
        <f>AH1541+AH1543+AH1545+AH1547</f>
        <v>1156617</v>
      </c>
      <c r="AI1549" s="32"/>
      <c r="AJ1549" s="58"/>
      <c r="AK1549" s="58"/>
      <c r="AL1549" s="58"/>
      <c r="AM1549" s="58"/>
      <c r="AO1549" s="36">
        <f>AO1541+AO1543+AO1545+AO1547</f>
        <v>539629</v>
      </c>
      <c r="AP1549" s="58"/>
      <c r="AQ1549" s="36">
        <f>AQ1541+AQ1543+AQ1545+AQ1547</f>
        <v>108631</v>
      </c>
      <c r="AR1549" s="58"/>
      <c r="AS1549" s="36">
        <f>AS1541+AS1543+AS1545+AS1547</f>
        <v>-42101</v>
      </c>
      <c r="AT1549" s="36"/>
      <c r="AU1549" s="36">
        <f>AU1541+AU1543+AU1545+AU1547</f>
        <v>-199479</v>
      </c>
      <c r="AV1549" s="59"/>
      <c r="AW1549" s="36">
        <f>AW1541+AW1543+AW1545+AW1547</f>
        <v>-373180</v>
      </c>
      <c r="AX1549" s="59"/>
      <c r="AY1549" s="36">
        <f>AY1541+AY1543+AY1545+AY1547</f>
        <v>-533139</v>
      </c>
      <c r="AZ1549" s="59"/>
      <c r="BA1549" s="36">
        <f>BA1541+BA1543+BA1545+BA1547</f>
        <v>-724807</v>
      </c>
      <c r="BB1549" s="59"/>
      <c r="BC1549" s="36">
        <f>BC1541+BC1543+BC1545+BC1547</f>
        <v>-933396</v>
      </c>
      <c r="BE1549" s="36">
        <f>BE1541+BE1543+BE1545+BE1547</f>
        <v>-1141985</v>
      </c>
    </row>
    <row r="1551" spans="1:57" x14ac:dyDescent="0.25">
      <c r="A1551" s="6"/>
      <c r="B1551" s="6"/>
      <c r="C1551" s="6"/>
      <c r="D1551" s="6"/>
      <c r="E1551" s="6"/>
      <c r="F1551" s="6"/>
      <c r="G1551" s="6"/>
      <c r="H1551" s="6"/>
      <c r="I1551" s="6"/>
      <c r="J1551" s="6"/>
      <c r="K1551" s="6"/>
      <c r="L1551" s="6"/>
      <c r="M1551" s="6"/>
      <c r="N1551" s="6"/>
      <c r="O1551" s="59"/>
      <c r="P1551" s="6"/>
      <c r="Q1551" s="6"/>
      <c r="R1551" s="6"/>
      <c r="S1551" s="6"/>
      <c r="T1551" s="6"/>
      <c r="U1551" s="6"/>
      <c r="V1551" s="6"/>
      <c r="W1551" s="6"/>
      <c r="X1551" s="6"/>
      <c r="Y1551" s="6"/>
      <c r="Z1551" s="6"/>
      <c r="AA1551" s="6"/>
      <c r="AB1551" s="6"/>
      <c r="AC1551" s="6"/>
      <c r="AD1551" s="6"/>
      <c r="AF1551" s="63" t="s">
        <v>1005</v>
      </c>
    </row>
    <row r="1552" spans="1:57" ht="15.75" thickBot="1" x14ac:dyDescent="0.3">
      <c r="A1552" s="6"/>
      <c r="B1552" s="6"/>
      <c r="C1552" s="6"/>
      <c r="D1552" s="6"/>
      <c r="E1552" s="6"/>
      <c r="F1552" s="6"/>
      <c r="G1552" s="6"/>
      <c r="H1552" s="6"/>
      <c r="I1552" s="6"/>
      <c r="J1552" s="6"/>
      <c r="K1552" s="6"/>
      <c r="L1552" s="6"/>
      <c r="M1552" s="6"/>
      <c r="N1552" s="6"/>
      <c r="O1552" s="59"/>
      <c r="P1552" s="6"/>
      <c r="Q1552" s="6"/>
      <c r="R1552" s="6"/>
      <c r="S1552" s="6"/>
      <c r="T1552" s="6"/>
      <c r="U1552" s="6"/>
      <c r="V1552" s="6"/>
      <c r="W1552" s="6"/>
      <c r="X1552" s="6"/>
      <c r="Y1552" s="6"/>
      <c r="Z1552" s="6"/>
      <c r="AA1552" s="6"/>
      <c r="AB1552" s="6"/>
      <c r="AC1552" s="6"/>
      <c r="AD1552" s="6"/>
    </row>
    <row r="1553" spans="1:57" x14ac:dyDescent="0.25">
      <c r="A1553" s="6"/>
      <c r="B1553" s="6"/>
      <c r="C1553" s="6"/>
      <c r="D1553" s="6"/>
      <c r="E1553" s="6"/>
      <c r="F1553" s="6"/>
      <c r="G1553" s="6"/>
      <c r="H1553" s="6"/>
      <c r="I1553" s="6"/>
      <c r="J1553" s="6"/>
      <c r="K1553" s="6"/>
      <c r="L1553" s="6"/>
      <c r="M1553" s="6"/>
      <c r="N1553" s="6"/>
      <c r="O1553" s="59"/>
      <c r="P1553" s="6"/>
      <c r="Q1553" s="6"/>
      <c r="R1553" s="6"/>
      <c r="S1553" s="6"/>
      <c r="T1553" s="6"/>
      <c r="U1553" s="6"/>
      <c r="V1553" s="6"/>
      <c r="W1553" s="6"/>
      <c r="X1553" s="6"/>
      <c r="Y1553" s="6"/>
      <c r="Z1553" s="6"/>
      <c r="AA1553" s="6"/>
      <c r="AB1553" s="6"/>
      <c r="AC1553" s="6"/>
      <c r="AD1553" s="6"/>
      <c r="AH1553" s="13" t="s">
        <v>8</v>
      </c>
      <c r="AI1553" s="9"/>
      <c r="AO1553" s="12" t="s">
        <v>8</v>
      </c>
      <c r="AQ1553" s="8" t="s">
        <v>8</v>
      </c>
      <c r="AS1553" s="8" t="s">
        <v>8</v>
      </c>
      <c r="AT1553" s="8"/>
      <c r="AU1553" s="8" t="s">
        <v>8</v>
      </c>
      <c r="AW1553" s="8" t="s">
        <v>8</v>
      </c>
      <c r="AY1553" s="8" t="s">
        <v>8</v>
      </c>
      <c r="BA1553" s="8" t="s">
        <v>8</v>
      </c>
      <c r="BC1553" s="8" t="s">
        <v>8</v>
      </c>
      <c r="BE1553" s="8" t="s">
        <v>8</v>
      </c>
    </row>
    <row r="1554" spans="1:57" ht="15.75" thickBot="1" x14ac:dyDescent="0.3">
      <c r="A1554" s="6"/>
      <c r="B1554" s="6"/>
      <c r="C1554" s="6"/>
      <c r="D1554" s="6"/>
      <c r="E1554" s="6"/>
      <c r="F1554" s="6"/>
      <c r="G1554" s="6"/>
      <c r="H1554" s="6"/>
      <c r="I1554" s="6"/>
      <c r="J1554" s="6"/>
      <c r="K1554" s="6"/>
      <c r="L1554" s="6"/>
      <c r="M1554" s="6"/>
      <c r="N1554" s="6"/>
      <c r="O1554" s="59"/>
      <c r="P1554" s="6"/>
      <c r="Q1554" s="6"/>
      <c r="R1554" s="6"/>
      <c r="S1554" s="6"/>
      <c r="T1554" s="6"/>
      <c r="U1554" s="6"/>
      <c r="V1554" s="6"/>
      <c r="W1554" s="6"/>
      <c r="X1554" s="6"/>
      <c r="Y1554" s="6"/>
      <c r="Z1554" s="6"/>
      <c r="AA1554" s="6"/>
      <c r="AB1554" s="6"/>
      <c r="AC1554" s="6"/>
      <c r="AD1554" s="6"/>
      <c r="AH1554" s="13" t="s">
        <v>24</v>
      </c>
      <c r="AI1554" s="9"/>
      <c r="AO1554" s="22" t="s">
        <v>25</v>
      </c>
      <c r="AQ1554" s="19" t="s">
        <v>26</v>
      </c>
      <c r="AS1554" s="19" t="s">
        <v>27</v>
      </c>
      <c r="AT1554" s="19"/>
      <c r="AU1554" s="19" t="s">
        <v>28</v>
      </c>
      <c r="AW1554" s="19" t="s">
        <v>29</v>
      </c>
      <c r="AY1554" s="19" t="s">
        <v>30</v>
      </c>
      <c r="BA1554" s="19" t="s">
        <v>31</v>
      </c>
      <c r="BC1554" s="19" t="s">
        <v>32</v>
      </c>
      <c r="BE1554" s="19" t="s">
        <v>32</v>
      </c>
    </row>
    <row r="1556" spans="1:57" x14ac:dyDescent="0.25">
      <c r="A1556" s="6"/>
      <c r="B1556" s="6"/>
      <c r="C1556" s="6"/>
      <c r="D1556" s="6"/>
      <c r="E1556" s="6"/>
      <c r="F1556" s="6"/>
      <c r="G1556" s="6"/>
      <c r="H1556" s="6"/>
      <c r="I1556" s="6"/>
      <c r="J1556" s="6"/>
      <c r="K1556" s="6"/>
      <c r="L1556" s="6"/>
      <c r="M1556" s="6"/>
      <c r="N1556" s="6"/>
      <c r="O1556" s="59"/>
      <c r="P1556" s="6"/>
      <c r="Q1556" s="6"/>
      <c r="R1556" s="6"/>
      <c r="S1556" s="6"/>
      <c r="T1556" s="6"/>
      <c r="U1556" s="6"/>
      <c r="V1556" s="6"/>
      <c r="W1556" s="6"/>
      <c r="X1556" s="6"/>
      <c r="Y1556" s="6"/>
      <c r="Z1556" s="6"/>
      <c r="AA1556" s="6"/>
      <c r="AB1556" s="6"/>
      <c r="AC1556" s="6"/>
      <c r="AD1556" s="6"/>
      <c r="AF1556" s="88" t="s">
        <v>994</v>
      </c>
      <c r="AH1556" s="85"/>
      <c r="AJ1556" s="3"/>
      <c r="AK1556" s="3"/>
      <c r="AL1556" s="3"/>
      <c r="AM1556" s="3"/>
      <c r="AO1556" s="29"/>
      <c r="AP1556" s="3"/>
      <c r="AQ1556" s="29"/>
      <c r="AR1556" s="3"/>
      <c r="AS1556" s="29"/>
      <c r="AT1556" s="29"/>
      <c r="AU1556" s="29"/>
      <c r="AW1556" s="29"/>
      <c r="AY1556" s="29"/>
      <c r="BA1556" s="29"/>
      <c r="BC1556" s="29"/>
      <c r="BE1556" s="29"/>
    </row>
    <row r="1557" spans="1:57" x14ac:dyDescent="0.25">
      <c r="A1557" s="6"/>
      <c r="B1557" s="6"/>
      <c r="C1557" s="6"/>
      <c r="D1557" s="6"/>
      <c r="E1557" s="6"/>
      <c r="F1557" s="6"/>
      <c r="G1557" s="6"/>
      <c r="H1557" s="6"/>
      <c r="I1557" s="6"/>
      <c r="J1557" s="6"/>
      <c r="K1557" s="6"/>
      <c r="L1557" s="6"/>
      <c r="M1557" s="6"/>
      <c r="N1557" s="6"/>
      <c r="O1557" s="59"/>
      <c r="P1557" s="6"/>
      <c r="Q1557" s="6"/>
      <c r="R1557" s="6"/>
      <c r="S1557" s="6"/>
      <c r="T1557" s="6"/>
      <c r="U1557" s="6"/>
      <c r="V1557" s="6"/>
      <c r="W1557" s="6"/>
      <c r="X1557" s="6"/>
      <c r="Y1557" s="6"/>
      <c r="Z1557" s="6"/>
      <c r="AA1557" s="6"/>
      <c r="AB1557" s="6"/>
      <c r="AC1557" s="6"/>
      <c r="AD1557" s="6"/>
      <c r="AH1557" s="85"/>
      <c r="AJ1557" s="3"/>
      <c r="AK1557" s="3"/>
      <c r="AL1557" s="3"/>
      <c r="AM1557" s="3"/>
      <c r="AO1557" s="29"/>
      <c r="AP1557" s="3"/>
      <c r="AQ1557" s="29"/>
      <c r="AR1557" s="3"/>
      <c r="AS1557" s="29"/>
      <c r="AT1557" s="29"/>
      <c r="AU1557" s="29"/>
      <c r="AW1557" s="29"/>
      <c r="AY1557" s="29"/>
      <c r="BA1557" s="29"/>
      <c r="BC1557" s="29"/>
      <c r="BE1557" s="29"/>
    </row>
    <row r="1558" spans="1:57" x14ac:dyDescent="0.25">
      <c r="A1558" s="6"/>
      <c r="B1558" s="6"/>
      <c r="C1558" s="6"/>
      <c r="D1558" s="6"/>
      <c r="E1558" s="6"/>
      <c r="F1558" s="6"/>
      <c r="G1558" s="6"/>
      <c r="H1558" s="6"/>
      <c r="I1558" s="6"/>
      <c r="J1558" s="6"/>
      <c r="K1558" s="6"/>
      <c r="L1558" s="6"/>
      <c r="M1558" s="6"/>
      <c r="N1558" s="6"/>
      <c r="O1558" s="59"/>
      <c r="P1558" s="6"/>
      <c r="Q1558" s="6"/>
      <c r="R1558" s="6"/>
      <c r="S1558" s="6"/>
      <c r="T1558" s="6"/>
      <c r="U1558" s="6"/>
      <c r="V1558" s="6"/>
      <c r="W1558" s="6"/>
      <c r="X1558" s="6"/>
      <c r="Y1558" s="6"/>
      <c r="Z1558" s="6"/>
      <c r="AA1558" s="6"/>
      <c r="AB1558" s="6"/>
      <c r="AC1558" s="6"/>
      <c r="AD1558" s="6"/>
      <c r="AF1558" s="5" t="s">
        <v>995</v>
      </c>
      <c r="AH1558" s="36">
        <v>747760</v>
      </c>
      <c r="AI1558" s="32"/>
      <c r="AJ1558" s="7"/>
      <c r="AK1558" s="7"/>
      <c r="AL1558" s="7"/>
      <c r="AM1558" s="7"/>
      <c r="AN1558" s="32"/>
      <c r="AO1558" s="31">
        <f>AH1570</f>
        <v>1312926</v>
      </c>
      <c r="AP1558" s="7"/>
      <c r="AQ1558" s="31">
        <f>AO1570</f>
        <v>1188053</v>
      </c>
      <c r="AR1558" s="7"/>
      <c r="AS1558" s="31">
        <f>AQ1570</f>
        <v>1488342</v>
      </c>
      <c r="AT1558" s="31"/>
      <c r="AU1558" s="31">
        <f>AS1570</f>
        <v>1985833</v>
      </c>
      <c r="AV1558" s="34"/>
      <c r="AW1558" s="31">
        <f>AU1570</f>
        <v>2190500</v>
      </c>
      <c r="AX1558" s="34"/>
      <c r="AY1558" s="31">
        <f>AW1570</f>
        <v>2753689</v>
      </c>
      <c r="AZ1558" s="34"/>
      <c r="BA1558" s="31">
        <f>AY1570</f>
        <v>3549607</v>
      </c>
      <c r="BB1558" s="34"/>
      <c r="BC1558" s="31">
        <f>BA1570</f>
        <v>4160440</v>
      </c>
      <c r="BE1558" s="31">
        <f>BC1570</f>
        <v>4557982</v>
      </c>
    </row>
    <row r="1559" spans="1:57" x14ac:dyDescent="0.25">
      <c r="A1559" s="6"/>
      <c r="B1559" s="6"/>
      <c r="C1559" s="6"/>
      <c r="D1559" s="6"/>
      <c r="E1559" s="6"/>
      <c r="F1559" s="6"/>
      <c r="G1559" s="6"/>
      <c r="H1559" s="6"/>
      <c r="I1559" s="6"/>
      <c r="J1559" s="6"/>
      <c r="K1559" s="6"/>
      <c r="L1559" s="6"/>
      <c r="M1559" s="6"/>
      <c r="N1559" s="6"/>
      <c r="O1559" s="59"/>
      <c r="P1559" s="6"/>
      <c r="Q1559" s="6"/>
      <c r="R1559" s="6"/>
      <c r="S1559" s="6"/>
      <c r="T1559" s="6"/>
      <c r="U1559" s="6"/>
      <c r="V1559" s="6"/>
      <c r="W1559" s="6"/>
      <c r="X1559" s="6"/>
      <c r="Y1559" s="6"/>
      <c r="Z1559" s="6"/>
      <c r="AA1559" s="6"/>
      <c r="AB1559" s="6"/>
      <c r="AC1559" s="6"/>
      <c r="AD1559" s="6"/>
      <c r="AH1559" s="85"/>
      <c r="AJ1559" s="3"/>
      <c r="AK1559" s="3"/>
      <c r="AL1559" s="3"/>
      <c r="AM1559" s="3"/>
      <c r="AO1559" s="29"/>
      <c r="AP1559" s="3"/>
      <c r="AQ1559" s="29"/>
      <c r="AR1559" s="3"/>
      <c r="AS1559" s="29"/>
      <c r="AT1559" s="29"/>
      <c r="AU1559" s="29"/>
      <c r="AW1559" s="29"/>
      <c r="AY1559" s="29"/>
      <c r="BA1559" s="29"/>
      <c r="BC1559" s="29"/>
      <c r="BE1559" s="29"/>
    </row>
    <row r="1560" spans="1:57" x14ac:dyDescent="0.25">
      <c r="A1560" s="6"/>
      <c r="B1560" s="6"/>
      <c r="C1560" s="6"/>
      <c r="D1560" s="6"/>
      <c r="E1560" s="6"/>
      <c r="F1560" s="6"/>
      <c r="G1560" s="6"/>
      <c r="H1560" s="6"/>
      <c r="I1560" s="6"/>
      <c r="J1560" s="6"/>
      <c r="K1560" s="6"/>
      <c r="L1560" s="6"/>
      <c r="M1560" s="6"/>
      <c r="N1560" s="6"/>
      <c r="O1560" s="59"/>
      <c r="P1560" s="6"/>
      <c r="Q1560" s="6"/>
      <c r="R1560" s="6"/>
      <c r="S1560" s="6"/>
      <c r="T1560" s="6"/>
      <c r="U1560" s="6"/>
      <c r="V1560" s="6"/>
      <c r="W1560" s="6"/>
      <c r="X1560" s="6"/>
      <c r="Y1560" s="6"/>
      <c r="Z1560" s="6"/>
      <c r="AA1560" s="6"/>
      <c r="AB1560" s="6"/>
      <c r="AC1560" s="6"/>
      <c r="AD1560" s="6"/>
      <c r="AF1560" s="5" t="s">
        <v>996</v>
      </c>
      <c r="AH1560" s="36">
        <v>190166</v>
      </c>
      <c r="AI1560" s="32"/>
      <c r="AJ1560" s="32"/>
      <c r="AK1560" s="32"/>
      <c r="AL1560" s="32"/>
      <c r="AM1560" s="32"/>
      <c r="AN1560" s="32"/>
      <c r="AO1560" s="35">
        <v>192343</v>
      </c>
      <c r="AP1560" s="32"/>
      <c r="AQ1560" s="35">
        <v>492505</v>
      </c>
      <c r="AR1560" s="32"/>
      <c r="AS1560" s="35">
        <v>564707</v>
      </c>
      <c r="AT1560" s="35"/>
      <c r="AU1560" s="35">
        <v>271883</v>
      </c>
      <c r="AV1560" s="90"/>
      <c r="AW1560" s="35">
        <v>630405</v>
      </c>
      <c r="AX1560" s="90"/>
      <c r="AY1560" s="35">
        <v>863134</v>
      </c>
      <c r="AZ1560" s="90"/>
      <c r="BA1560" s="35">
        <v>678049</v>
      </c>
      <c r="BB1560" s="90"/>
      <c r="BC1560" s="35">
        <v>464758</v>
      </c>
      <c r="BE1560" s="35">
        <v>464758</v>
      </c>
    </row>
    <row r="1561" spans="1:57" x14ac:dyDescent="0.25">
      <c r="A1561" s="6"/>
      <c r="B1561" s="6"/>
      <c r="C1561" s="6"/>
      <c r="D1561" s="6"/>
      <c r="E1561" s="6"/>
      <c r="F1561" s="6"/>
      <c r="G1561" s="6"/>
      <c r="H1561" s="6"/>
      <c r="I1561" s="6"/>
      <c r="J1561" s="6"/>
      <c r="K1561" s="6"/>
      <c r="L1561" s="6"/>
      <c r="M1561" s="6"/>
      <c r="N1561" s="6"/>
      <c r="O1561" s="59"/>
      <c r="P1561" s="6"/>
      <c r="Q1561" s="6"/>
      <c r="R1561" s="6"/>
      <c r="S1561" s="6"/>
      <c r="T1561" s="6"/>
      <c r="U1561" s="6"/>
      <c r="V1561" s="6"/>
      <c r="W1561" s="6"/>
      <c r="X1561" s="6"/>
      <c r="Y1561" s="6"/>
      <c r="Z1561" s="6"/>
      <c r="AA1561" s="6"/>
      <c r="AB1561" s="6"/>
      <c r="AC1561" s="6"/>
      <c r="AD1561" s="6"/>
      <c r="AH1561" s="36"/>
      <c r="AI1561" s="32"/>
      <c r="AJ1561" s="4"/>
      <c r="AK1561" s="4"/>
      <c r="AL1561" s="4"/>
      <c r="AM1561" s="4"/>
      <c r="AO1561" s="36"/>
      <c r="AP1561" s="4"/>
      <c r="AQ1561" s="36"/>
      <c r="AR1561" s="4"/>
      <c r="AS1561" s="36"/>
      <c r="AT1561" s="36"/>
      <c r="AU1561" s="36"/>
      <c r="AV1561" s="59"/>
      <c r="AW1561" s="36"/>
      <c r="AX1561" s="59"/>
      <c r="AY1561" s="36"/>
      <c r="AZ1561" s="59"/>
      <c r="BA1561" s="36"/>
      <c r="BB1561" s="59"/>
      <c r="BC1561" s="36"/>
      <c r="BE1561" s="36"/>
    </row>
    <row r="1562" spans="1:57" x14ac:dyDescent="0.25">
      <c r="A1562" s="6"/>
      <c r="B1562" s="6"/>
      <c r="C1562" s="6"/>
      <c r="D1562" s="6"/>
      <c r="E1562" s="6"/>
      <c r="F1562" s="6"/>
      <c r="G1562" s="6"/>
      <c r="H1562" s="6"/>
      <c r="I1562" s="6"/>
      <c r="J1562" s="6"/>
      <c r="K1562" s="6"/>
      <c r="L1562" s="6"/>
      <c r="M1562" s="6"/>
      <c r="N1562" s="6"/>
      <c r="O1562" s="59"/>
      <c r="P1562" s="6"/>
      <c r="Q1562" s="6"/>
      <c r="R1562" s="6"/>
      <c r="S1562" s="6"/>
      <c r="T1562" s="6"/>
      <c r="U1562" s="6"/>
      <c r="V1562" s="6"/>
      <c r="W1562" s="6"/>
      <c r="X1562" s="6"/>
      <c r="Y1562" s="6"/>
      <c r="Z1562" s="6"/>
      <c r="AA1562" s="6"/>
      <c r="AB1562" s="6"/>
      <c r="AC1562" s="6"/>
      <c r="AD1562" s="6"/>
      <c r="AF1562" s="5" t="s">
        <v>997</v>
      </c>
      <c r="AH1562" s="36">
        <f>AH1558+AH1560</f>
        <v>937926</v>
      </c>
      <c r="AI1562" s="32"/>
      <c r="AJ1562" s="4"/>
      <c r="AK1562" s="4"/>
      <c r="AL1562" s="4"/>
      <c r="AM1562" s="4"/>
      <c r="AO1562" s="36">
        <f>AO1558+AO1560</f>
        <v>1505269</v>
      </c>
      <c r="AP1562" s="4"/>
      <c r="AQ1562" s="36">
        <f>AQ1558+AQ1560</f>
        <v>1680558</v>
      </c>
      <c r="AR1562" s="4"/>
      <c r="AS1562" s="36">
        <f>AS1558+AS1560</f>
        <v>2053049</v>
      </c>
      <c r="AT1562" s="36"/>
      <c r="AU1562" s="36">
        <f>AU1558+AU1560</f>
        <v>2257716</v>
      </c>
      <c r="AV1562" s="59"/>
      <c r="AW1562" s="36">
        <f>AW1558+AW1560</f>
        <v>2820905</v>
      </c>
      <c r="AX1562" s="59"/>
      <c r="AY1562" s="36">
        <f>AY1558+AY1560</f>
        <v>3616823</v>
      </c>
      <c r="AZ1562" s="59"/>
      <c r="BA1562" s="36">
        <f>BA1558+BA1560</f>
        <v>4227656</v>
      </c>
      <c r="BB1562" s="59"/>
      <c r="BC1562" s="36">
        <f>BC1558+BC1560</f>
        <v>4625198</v>
      </c>
      <c r="BE1562" s="36">
        <f>BE1558+BE1560</f>
        <v>5022740</v>
      </c>
    </row>
    <row r="1563" spans="1:57" x14ac:dyDescent="0.25">
      <c r="A1563" s="6"/>
      <c r="B1563" s="6"/>
      <c r="C1563" s="6"/>
      <c r="D1563" s="6"/>
      <c r="E1563" s="6"/>
      <c r="F1563" s="6"/>
      <c r="G1563" s="6"/>
      <c r="H1563" s="6"/>
      <c r="I1563" s="6"/>
      <c r="J1563" s="6"/>
      <c r="K1563" s="6"/>
      <c r="L1563" s="6"/>
      <c r="M1563" s="6"/>
      <c r="N1563" s="6"/>
      <c r="O1563" s="59"/>
      <c r="P1563" s="6"/>
      <c r="Q1563" s="6"/>
      <c r="R1563" s="6"/>
      <c r="S1563" s="6"/>
      <c r="T1563" s="6"/>
      <c r="U1563" s="6"/>
      <c r="V1563" s="6"/>
      <c r="W1563" s="6"/>
      <c r="X1563" s="6"/>
      <c r="Y1563" s="6"/>
      <c r="Z1563" s="6"/>
      <c r="AA1563" s="6"/>
      <c r="AB1563" s="6"/>
      <c r="AC1563" s="6"/>
      <c r="AD1563" s="6"/>
      <c r="AH1563" s="36"/>
      <c r="AI1563" s="32"/>
      <c r="AJ1563" s="58"/>
      <c r="AK1563" s="58"/>
      <c r="AL1563" s="58"/>
      <c r="AM1563" s="58"/>
      <c r="AO1563" s="36"/>
      <c r="AP1563" s="58"/>
      <c r="AQ1563" s="36"/>
      <c r="AR1563" s="58"/>
      <c r="AS1563" s="36"/>
      <c r="AT1563" s="36"/>
      <c r="AU1563" s="36"/>
      <c r="AV1563" s="59"/>
      <c r="AW1563" s="36"/>
      <c r="AX1563" s="59"/>
      <c r="AY1563" s="36"/>
      <c r="AZ1563" s="59"/>
      <c r="BA1563" s="36"/>
      <c r="BB1563" s="59"/>
      <c r="BC1563" s="36"/>
      <c r="BE1563" s="36"/>
    </row>
    <row r="1564" spans="1:57" x14ac:dyDescent="0.25">
      <c r="A1564" s="6"/>
      <c r="B1564" s="6"/>
      <c r="C1564" s="6"/>
      <c r="D1564" s="6"/>
      <c r="E1564" s="6"/>
      <c r="F1564" s="6"/>
      <c r="G1564" s="6"/>
      <c r="H1564" s="6"/>
      <c r="I1564" s="6"/>
      <c r="J1564" s="6"/>
      <c r="K1564" s="6"/>
      <c r="L1564" s="6"/>
      <c r="M1564" s="6"/>
      <c r="N1564" s="6"/>
      <c r="O1564" s="59"/>
      <c r="P1564" s="6"/>
      <c r="Q1564" s="6"/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  <c r="AC1564" s="6"/>
      <c r="AD1564" s="6"/>
      <c r="AF1564" s="5" t="s">
        <v>998</v>
      </c>
      <c r="AH1564" s="36">
        <v>500000</v>
      </c>
      <c r="AI1564" s="32"/>
      <c r="AJ1564" s="58"/>
      <c r="AK1564" s="58"/>
      <c r="AL1564" s="58"/>
      <c r="AM1564" s="58"/>
      <c r="AO1564" s="36"/>
      <c r="AP1564" s="58"/>
      <c r="AQ1564" s="36"/>
      <c r="AR1564" s="58"/>
      <c r="AS1564" s="36"/>
      <c r="AT1564" s="36"/>
      <c r="AU1564" s="36"/>
      <c r="AV1564" s="59"/>
      <c r="AW1564" s="36"/>
      <c r="AX1564" s="59"/>
      <c r="AY1564" s="36"/>
      <c r="AZ1564" s="59"/>
      <c r="BA1564" s="36"/>
      <c r="BB1564" s="59"/>
      <c r="BC1564" s="36"/>
      <c r="BE1564" s="36"/>
    </row>
    <row r="1565" spans="1:57" x14ac:dyDescent="0.25">
      <c r="A1565" s="6"/>
      <c r="B1565" s="6"/>
      <c r="C1565" s="6"/>
      <c r="D1565" s="6"/>
      <c r="E1565" s="6"/>
      <c r="F1565" s="6"/>
      <c r="G1565" s="6"/>
      <c r="H1565" s="6"/>
      <c r="I1565" s="6"/>
      <c r="J1565" s="6"/>
      <c r="K1565" s="6"/>
      <c r="L1565" s="6"/>
      <c r="M1565" s="6"/>
      <c r="N1565" s="6"/>
      <c r="O1565" s="59"/>
      <c r="P1565" s="6"/>
      <c r="Q1565" s="6"/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  <c r="AC1565" s="6"/>
      <c r="AD1565" s="6"/>
      <c r="AE1565" s="5" t="s">
        <v>374</v>
      </c>
      <c r="AH1565" s="36"/>
      <c r="AI1565" s="32"/>
      <c r="AJ1565" s="58"/>
      <c r="AK1565" s="58"/>
      <c r="AL1565" s="58"/>
      <c r="AM1565" s="58"/>
      <c r="AO1565" s="36"/>
      <c r="AP1565" s="58"/>
      <c r="AQ1565" s="36"/>
      <c r="AR1565" s="58"/>
      <c r="AS1565" s="36"/>
      <c r="AT1565" s="36"/>
      <c r="AU1565" s="36"/>
      <c r="AV1565" s="59"/>
      <c r="AW1565" s="36"/>
      <c r="AX1565" s="59"/>
      <c r="AY1565" s="36"/>
      <c r="AZ1565" s="59"/>
      <c r="BA1565" s="36"/>
      <c r="BB1565" s="59"/>
      <c r="BC1565" s="36"/>
      <c r="BE1565" s="36"/>
    </row>
    <row r="1566" spans="1:57" x14ac:dyDescent="0.25">
      <c r="A1566" s="6"/>
      <c r="B1566" s="6"/>
      <c r="C1566" s="6"/>
      <c r="D1566" s="6"/>
      <c r="E1566" s="6"/>
      <c r="F1566" s="6"/>
      <c r="G1566" s="6"/>
      <c r="H1566" s="6"/>
      <c r="I1566" s="6"/>
      <c r="J1566" s="6"/>
      <c r="K1566" s="6"/>
      <c r="L1566" s="6"/>
      <c r="M1566" s="6"/>
      <c r="N1566" s="6"/>
      <c r="O1566" s="59"/>
      <c r="P1566" s="6"/>
      <c r="Q1566" s="6"/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  <c r="AC1566" s="6"/>
      <c r="AD1566" s="6"/>
      <c r="AF1566" s="5" t="s">
        <v>999</v>
      </c>
      <c r="AH1566" s="36">
        <v>-125000</v>
      </c>
      <c r="AI1566" s="32"/>
      <c r="AJ1566" s="58"/>
      <c r="AK1566" s="58"/>
      <c r="AL1566" s="58"/>
      <c r="AM1566" s="58"/>
      <c r="AO1566" s="36">
        <v>-250000</v>
      </c>
      <c r="AP1566" s="58"/>
      <c r="AQ1566" s="36">
        <v>-125000</v>
      </c>
      <c r="AR1566" s="58"/>
      <c r="AS1566" s="36"/>
      <c r="AT1566" s="36"/>
      <c r="AU1566" s="36"/>
      <c r="AV1566" s="59"/>
      <c r="AW1566" s="36"/>
      <c r="AX1566" s="59"/>
      <c r="AY1566" s="36"/>
      <c r="AZ1566" s="59"/>
      <c r="BA1566" s="36"/>
      <c r="BB1566" s="59"/>
      <c r="BC1566" s="36"/>
      <c r="BE1566" s="36"/>
    </row>
    <row r="1567" spans="1:57" x14ac:dyDescent="0.25">
      <c r="A1567" s="6"/>
      <c r="B1567" s="6"/>
      <c r="C1567" s="6"/>
      <c r="D1567" s="6"/>
      <c r="E1567" s="6"/>
      <c r="F1567" s="6"/>
      <c r="G1567" s="6"/>
      <c r="H1567" s="6"/>
      <c r="I1567" s="6"/>
      <c r="J1567" s="6"/>
      <c r="K1567" s="6"/>
      <c r="L1567" s="6"/>
      <c r="M1567" s="6"/>
      <c r="N1567" s="6"/>
      <c r="O1567" s="59"/>
      <c r="P1567" s="6"/>
      <c r="Q1567" s="6"/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  <c r="AC1567" s="6"/>
      <c r="AD1567" s="6"/>
      <c r="AE1567" s="6"/>
      <c r="AH1567" s="36"/>
      <c r="AI1567" s="32"/>
      <c r="AJ1567" s="58"/>
      <c r="AK1567" s="58"/>
      <c r="AL1567" s="58"/>
      <c r="AM1567" s="58"/>
      <c r="AO1567" s="36"/>
      <c r="AP1567" s="58"/>
      <c r="AQ1567" s="36"/>
      <c r="AR1567" s="58"/>
      <c r="AS1567" s="36"/>
      <c r="AT1567" s="36"/>
      <c r="AU1567" s="36"/>
      <c r="AV1567" s="59"/>
      <c r="AW1567" s="36"/>
      <c r="AX1567" s="59"/>
      <c r="AY1567" s="36"/>
      <c r="AZ1567" s="59"/>
      <c r="BA1567" s="36"/>
      <c r="BB1567" s="59"/>
      <c r="BC1567" s="36"/>
      <c r="BE1567" s="36"/>
    </row>
    <row r="1568" spans="1:57" x14ac:dyDescent="0.25">
      <c r="A1568" s="6"/>
      <c r="B1568" s="6"/>
      <c r="C1568" s="6"/>
      <c r="D1568" s="6"/>
      <c r="E1568" s="6"/>
      <c r="F1568" s="6"/>
      <c r="G1568" s="6"/>
      <c r="H1568" s="6"/>
      <c r="I1568" s="6"/>
      <c r="J1568" s="6"/>
      <c r="K1568" s="6"/>
      <c r="L1568" s="6"/>
      <c r="M1568" s="6"/>
      <c r="N1568" s="6"/>
      <c r="O1568" s="59"/>
      <c r="P1568" s="6"/>
      <c r="Q1568" s="6"/>
      <c r="R1568" s="6"/>
      <c r="S1568" s="6"/>
      <c r="T1568" s="6"/>
      <c r="U1568" s="6"/>
      <c r="V1568" s="6"/>
      <c r="W1568" s="6"/>
      <c r="X1568" s="6"/>
      <c r="Y1568" s="6"/>
      <c r="Z1568" s="6"/>
      <c r="AA1568" s="6"/>
      <c r="AB1568" s="6"/>
      <c r="AC1568" s="6"/>
      <c r="AD1568" s="6"/>
      <c r="AE1568" s="6"/>
      <c r="AF1568" s="5" t="s">
        <v>1000</v>
      </c>
      <c r="AH1568" s="36"/>
      <c r="AI1568" s="32"/>
      <c r="AJ1568" s="58"/>
      <c r="AK1568" s="58"/>
      <c r="AL1568" s="58"/>
      <c r="AM1568" s="58"/>
      <c r="AO1568" s="36">
        <v>-67216</v>
      </c>
      <c r="AP1568" s="58"/>
      <c r="AQ1568" s="36">
        <v>-67216</v>
      </c>
      <c r="AR1568" s="58"/>
      <c r="AS1568" s="36">
        <v>-67216</v>
      </c>
      <c r="AT1568" s="36"/>
      <c r="AU1568" s="36">
        <v>-67216</v>
      </c>
      <c r="AV1568" s="59"/>
      <c r="AW1568" s="36">
        <v>-67216</v>
      </c>
      <c r="AX1568" s="59"/>
      <c r="AY1568" s="36">
        <v>-67216</v>
      </c>
      <c r="AZ1568" s="59"/>
      <c r="BA1568" s="36">
        <v>-67216</v>
      </c>
      <c r="BB1568" s="59"/>
      <c r="BC1568" s="36">
        <v>-67216</v>
      </c>
      <c r="BE1568" s="36">
        <v>-67216</v>
      </c>
    </row>
    <row r="1569" spans="1:57" x14ac:dyDescent="0.25">
      <c r="A1569" s="6"/>
      <c r="B1569" s="6"/>
      <c r="C1569" s="6"/>
      <c r="D1569" s="6"/>
      <c r="E1569" s="6"/>
      <c r="F1569" s="6"/>
      <c r="G1569" s="6"/>
      <c r="H1569" s="6"/>
      <c r="I1569" s="6"/>
      <c r="J1569" s="6"/>
      <c r="K1569" s="6"/>
      <c r="L1569" s="6"/>
      <c r="M1569" s="6"/>
      <c r="N1569" s="6"/>
      <c r="O1569" s="59"/>
      <c r="P1569" s="6"/>
      <c r="Q1569" s="6"/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/>
      <c r="AC1569" s="6"/>
      <c r="AD1569" s="6"/>
      <c r="AE1569" s="6"/>
      <c r="AH1569" s="36"/>
      <c r="AI1569" s="32"/>
      <c r="AJ1569" s="58"/>
      <c r="AK1569" s="58"/>
      <c r="AL1569" s="58"/>
      <c r="AM1569" s="58"/>
      <c r="AO1569" s="35"/>
      <c r="AP1569" s="58"/>
      <c r="AQ1569" s="35"/>
      <c r="AR1569" s="58"/>
      <c r="AS1569" s="35"/>
      <c r="AT1569" s="35"/>
      <c r="AU1569" s="35"/>
      <c r="AV1569" s="59"/>
      <c r="AW1569" s="35"/>
      <c r="AX1569" s="59"/>
      <c r="AY1569" s="35"/>
      <c r="AZ1569" s="59"/>
      <c r="BA1569" s="35"/>
      <c r="BB1569" s="59"/>
      <c r="BC1569" s="35"/>
      <c r="BE1569" s="35"/>
    </row>
    <row r="1570" spans="1:57" x14ac:dyDescent="0.25">
      <c r="A1570" s="6"/>
      <c r="B1570" s="6"/>
      <c r="C1570" s="6"/>
      <c r="D1570" s="6"/>
      <c r="E1570" s="6"/>
      <c r="F1570" s="6"/>
      <c r="G1570" s="6"/>
      <c r="H1570" s="6"/>
      <c r="I1570" s="6"/>
      <c r="J1570" s="6"/>
      <c r="K1570" s="6"/>
      <c r="L1570" s="6"/>
      <c r="M1570" s="6"/>
      <c r="N1570" s="6"/>
      <c r="O1570" s="59"/>
      <c r="P1570" s="6"/>
      <c r="Q1570" s="6"/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  <c r="AC1570" s="6"/>
      <c r="AD1570" s="6"/>
      <c r="AE1570" s="6"/>
      <c r="AF1570" s="5" t="s">
        <v>1001</v>
      </c>
      <c r="AH1570" s="36">
        <f>AH1562+AH1564+AH1566+AH1568</f>
        <v>1312926</v>
      </c>
      <c r="AI1570" s="32"/>
      <c r="AJ1570" s="58"/>
      <c r="AK1570" s="58"/>
      <c r="AL1570" s="58"/>
      <c r="AM1570" s="58"/>
      <c r="AO1570" s="36">
        <f>AO1562+AO1564+AO1566+AO1568</f>
        <v>1188053</v>
      </c>
      <c r="AP1570" s="58"/>
      <c r="AQ1570" s="36">
        <f>AQ1562+AQ1564+AQ1566+AQ1568</f>
        <v>1488342</v>
      </c>
      <c r="AR1570" s="58"/>
      <c r="AS1570" s="36">
        <f>AS1562+AS1564+AS1566+AS1568</f>
        <v>1985833</v>
      </c>
      <c r="AT1570" s="36"/>
      <c r="AU1570" s="36">
        <f>AU1562+AU1564+AU1566+AU1568</f>
        <v>2190500</v>
      </c>
      <c r="AV1570" s="59"/>
      <c r="AW1570" s="36">
        <f>AW1562+AW1564+AW1566+AW1568</f>
        <v>2753689</v>
      </c>
      <c r="AX1570" s="59"/>
      <c r="AY1570" s="36">
        <f>AY1562+AY1564+AY1566+AY1568</f>
        <v>3549607</v>
      </c>
      <c r="AZ1570" s="59"/>
      <c r="BA1570" s="36">
        <f>BA1562+BA1564+BA1566+BA1568</f>
        <v>4160440</v>
      </c>
      <c r="BB1570" s="59"/>
      <c r="BC1570" s="36">
        <f>BC1562+BC1564+BC1566+BC1568</f>
        <v>4557982</v>
      </c>
      <c r="BE1570" s="36">
        <f>BE1562+BE1564+BE1566+BE1568</f>
        <v>4955524</v>
      </c>
    </row>
    <row r="1571" spans="1:57" x14ac:dyDescent="0.25">
      <c r="A1571" s="6"/>
      <c r="B1571" s="6"/>
      <c r="C1571" s="6"/>
      <c r="D1571" s="6"/>
      <c r="E1571" s="6"/>
      <c r="F1571" s="6"/>
      <c r="G1571" s="6"/>
      <c r="H1571" s="6"/>
      <c r="I1571" s="6"/>
      <c r="J1571" s="6"/>
      <c r="K1571" s="6"/>
      <c r="L1571" s="6"/>
      <c r="M1571" s="6"/>
      <c r="N1571" s="6"/>
      <c r="O1571" s="59"/>
      <c r="P1571" s="6"/>
      <c r="Q1571" s="6"/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/>
      <c r="AC1571" s="6"/>
      <c r="AD1571" s="6"/>
      <c r="AE1571" s="6"/>
      <c r="AH1571" s="36"/>
      <c r="AI1571" s="32"/>
      <c r="AJ1571" s="58"/>
      <c r="AK1571" s="58"/>
      <c r="AL1571" s="58"/>
      <c r="AM1571" s="58"/>
      <c r="AO1571" s="36"/>
      <c r="AP1571" s="58"/>
      <c r="AQ1571" s="36"/>
      <c r="AR1571" s="58"/>
      <c r="AS1571" s="36"/>
      <c r="AT1571" s="36"/>
      <c r="AU1571" s="36"/>
      <c r="AV1571" s="59"/>
      <c r="AW1571" s="36"/>
      <c r="AX1571" s="59"/>
      <c r="AY1571" s="36"/>
      <c r="AZ1571" s="59"/>
      <c r="BA1571" s="36"/>
      <c r="BB1571" s="59"/>
      <c r="BC1571" s="36"/>
      <c r="BE1571" s="36"/>
    </row>
    <row r="1572" spans="1:57" x14ac:dyDescent="0.25">
      <c r="A1572" s="6"/>
      <c r="B1572" s="6"/>
      <c r="C1572" s="6"/>
      <c r="D1572" s="6"/>
      <c r="E1572" s="6"/>
      <c r="F1572" s="6"/>
      <c r="G1572" s="6"/>
      <c r="H1572" s="6"/>
      <c r="I1572" s="6"/>
      <c r="J1572" s="6"/>
      <c r="K1572" s="6"/>
      <c r="L1572" s="6"/>
      <c r="M1572" s="6"/>
      <c r="N1572" s="6"/>
      <c r="O1572" s="59"/>
      <c r="P1572" s="6"/>
      <c r="Q1572" s="6"/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/>
      <c r="AC1572" s="6"/>
      <c r="AD1572" s="6"/>
      <c r="AE1572" s="6"/>
      <c r="AH1572" s="32"/>
      <c r="AI1572" s="32"/>
      <c r="AJ1572" s="4"/>
      <c r="AK1572" s="4"/>
      <c r="AL1572" s="4"/>
      <c r="AM1572" s="4"/>
      <c r="AO1572" s="32"/>
      <c r="AP1572" s="4"/>
      <c r="AQ1572" s="32"/>
      <c r="AR1572" s="4"/>
      <c r="AS1572" s="32"/>
      <c r="AT1572" s="32"/>
      <c r="AU1572" s="32"/>
      <c r="AV1572" s="51"/>
      <c r="AW1572" s="32"/>
      <c r="AX1572" s="51"/>
      <c r="AY1572" s="32"/>
      <c r="AZ1572" s="51"/>
      <c r="BA1572" s="32"/>
      <c r="BB1572" s="51"/>
      <c r="BC1572" s="32"/>
      <c r="BE1572" s="32"/>
    </row>
    <row r="1573" spans="1:57" x14ac:dyDescent="0.25">
      <c r="A1573" s="6"/>
      <c r="B1573" s="6"/>
      <c r="C1573" s="6"/>
      <c r="D1573" s="6"/>
      <c r="E1573" s="6"/>
      <c r="F1573" s="6"/>
      <c r="G1573" s="6"/>
      <c r="H1573" s="6"/>
      <c r="I1573" s="6"/>
      <c r="J1573" s="6"/>
      <c r="K1573" s="6"/>
      <c r="L1573" s="6"/>
      <c r="M1573" s="6"/>
      <c r="N1573" s="6"/>
      <c r="O1573" s="59"/>
      <c r="P1573" s="6"/>
      <c r="Q1573" s="6"/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  <c r="AC1573" s="6"/>
      <c r="AD1573" s="6"/>
      <c r="AE1573" s="6"/>
      <c r="AF1573" s="88" t="s">
        <v>1002</v>
      </c>
      <c r="AH1573" s="85"/>
      <c r="AJ1573" s="58"/>
      <c r="AK1573" s="58"/>
      <c r="AL1573" s="58"/>
      <c r="AM1573" s="58"/>
      <c r="AO1573" s="85"/>
      <c r="AP1573" s="58"/>
      <c r="AQ1573" s="85"/>
      <c r="AR1573" s="58"/>
      <c r="AS1573" s="85"/>
      <c r="AT1573" s="85"/>
      <c r="AU1573" s="85"/>
      <c r="AV1573" s="59"/>
      <c r="AW1573" s="85"/>
      <c r="AX1573" s="59"/>
      <c r="AY1573" s="85"/>
      <c r="AZ1573" s="59"/>
      <c r="BA1573" s="85"/>
      <c r="BB1573" s="59"/>
      <c r="BC1573" s="85"/>
      <c r="BE1573" s="85"/>
    </row>
    <row r="1574" spans="1:57" x14ac:dyDescent="0.25">
      <c r="A1574" s="6"/>
      <c r="B1574" s="6"/>
      <c r="C1574" s="6"/>
      <c r="D1574" s="6"/>
      <c r="E1574" s="6"/>
      <c r="F1574" s="6"/>
      <c r="G1574" s="6"/>
      <c r="H1574" s="6"/>
      <c r="I1574" s="6"/>
      <c r="J1574" s="6"/>
      <c r="K1574" s="6"/>
      <c r="L1574" s="6"/>
      <c r="M1574" s="6"/>
      <c r="N1574" s="6"/>
      <c r="O1574" s="59"/>
      <c r="P1574" s="6"/>
      <c r="Q1574" s="6"/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/>
      <c r="AC1574" s="6"/>
      <c r="AD1574" s="6"/>
      <c r="AE1574" s="6"/>
      <c r="AF1574" s="5" t="s">
        <v>995</v>
      </c>
      <c r="AH1574" s="36">
        <v>850034</v>
      </c>
      <c r="AI1574" s="32"/>
      <c r="AJ1574" s="7"/>
      <c r="AK1574" s="7"/>
      <c r="AL1574" s="7"/>
      <c r="AM1574" s="7"/>
      <c r="AN1574" s="32"/>
      <c r="AO1574" s="31">
        <f>AH1586</f>
        <v>763696</v>
      </c>
      <c r="AP1574" s="7"/>
      <c r="AQ1574" s="31">
        <f>AO1586</f>
        <v>516312</v>
      </c>
      <c r="AR1574" s="7"/>
      <c r="AS1574" s="31">
        <f>AQ1586</f>
        <v>459498</v>
      </c>
      <c r="AT1574" s="31"/>
      <c r="AU1574" s="31">
        <f>AS1586</f>
        <v>451784</v>
      </c>
      <c r="AV1574" s="34"/>
      <c r="AW1574" s="31">
        <f>AU1586</f>
        <v>409912</v>
      </c>
      <c r="AX1574" s="34"/>
      <c r="AY1574" s="31">
        <f>AW1586</f>
        <v>265552</v>
      </c>
      <c r="AZ1574" s="34"/>
      <c r="BA1574" s="31">
        <f>AY1586</f>
        <v>299712</v>
      </c>
      <c r="BB1574" s="34"/>
      <c r="BC1574" s="31">
        <f>BA1586</f>
        <v>45718</v>
      </c>
      <c r="BE1574" s="31">
        <f>BC1586</f>
        <v>-173030</v>
      </c>
    </row>
    <row r="1575" spans="1:57" x14ac:dyDescent="0.25">
      <c r="A1575" s="6"/>
      <c r="B1575" s="6"/>
      <c r="C1575" s="6"/>
      <c r="D1575" s="6"/>
      <c r="E1575" s="6"/>
      <c r="F1575" s="6"/>
      <c r="G1575" s="6"/>
      <c r="H1575" s="6"/>
      <c r="I1575" s="6"/>
      <c r="J1575" s="6"/>
      <c r="K1575" s="6"/>
      <c r="L1575" s="6"/>
      <c r="M1575" s="6"/>
      <c r="N1575" s="6"/>
      <c r="O1575" s="59"/>
      <c r="P1575" s="6"/>
      <c r="Q1575" s="6"/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C1575" s="6"/>
      <c r="AD1575" s="6"/>
      <c r="AE1575" s="6"/>
      <c r="AH1575" s="85"/>
      <c r="AJ1575" s="3"/>
      <c r="AK1575" s="3"/>
      <c r="AL1575" s="3"/>
      <c r="AM1575" s="3"/>
      <c r="AO1575" s="29"/>
      <c r="AP1575" s="3"/>
      <c r="AQ1575" s="29"/>
      <c r="AR1575" s="3"/>
      <c r="AS1575" s="29"/>
      <c r="AT1575" s="29"/>
      <c r="AU1575" s="29"/>
      <c r="AW1575" s="29"/>
      <c r="AY1575" s="29"/>
      <c r="BA1575" s="29"/>
      <c r="BC1575" s="29"/>
      <c r="BE1575" s="29"/>
    </row>
    <row r="1576" spans="1:57" x14ac:dyDescent="0.25">
      <c r="A1576" s="6"/>
      <c r="B1576" s="6"/>
      <c r="C1576" s="6"/>
      <c r="D1576" s="6"/>
      <c r="E1576" s="6"/>
      <c r="F1576" s="6"/>
      <c r="G1576" s="6"/>
      <c r="H1576" s="6"/>
      <c r="I1576" s="6"/>
      <c r="J1576" s="6"/>
      <c r="K1576" s="6"/>
      <c r="L1576" s="6"/>
      <c r="M1576" s="6"/>
      <c r="N1576" s="6"/>
      <c r="O1576" s="59"/>
      <c r="P1576" s="6"/>
      <c r="Q1576" s="6"/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/>
      <c r="AC1576" s="6"/>
      <c r="AD1576" s="6"/>
      <c r="AE1576" s="6"/>
      <c r="AF1576" s="5" t="s">
        <v>996</v>
      </c>
      <c r="AH1576" s="36">
        <v>13662</v>
      </c>
      <c r="AI1576" s="32"/>
      <c r="AJ1576" s="32"/>
      <c r="AK1576" s="32"/>
      <c r="AL1576" s="32"/>
      <c r="AM1576" s="32"/>
      <c r="AN1576" s="32"/>
      <c r="AO1576" s="35">
        <v>-47384</v>
      </c>
      <c r="AP1576" s="32"/>
      <c r="AQ1576" s="35">
        <v>43186</v>
      </c>
      <c r="AR1576" s="32"/>
      <c r="AS1576" s="35">
        <v>-7714</v>
      </c>
      <c r="AT1576" s="35"/>
      <c r="AU1576" s="35">
        <v>-41872</v>
      </c>
      <c r="AV1576" s="90"/>
      <c r="AW1576" s="35">
        <v>-144360</v>
      </c>
      <c r="AX1576" s="90"/>
      <c r="AY1576" s="35">
        <v>34160</v>
      </c>
      <c r="AZ1576" s="90"/>
      <c r="BA1576" s="35">
        <v>-253994</v>
      </c>
      <c r="BB1576" s="90"/>
      <c r="BC1576" s="35">
        <v>-218748</v>
      </c>
      <c r="BE1576" s="35">
        <v>-218748</v>
      </c>
    </row>
    <row r="1577" spans="1:57" x14ac:dyDescent="0.25">
      <c r="A1577" s="6"/>
      <c r="B1577" s="6"/>
      <c r="C1577" s="6"/>
      <c r="D1577" s="6"/>
      <c r="E1577" s="6"/>
      <c r="F1577" s="6"/>
      <c r="G1577" s="6"/>
      <c r="H1577" s="6"/>
      <c r="I1577" s="6"/>
      <c r="J1577" s="6"/>
      <c r="K1577" s="6"/>
      <c r="L1577" s="6"/>
      <c r="M1577" s="6"/>
      <c r="N1577" s="6"/>
      <c r="O1577" s="59"/>
      <c r="P1577" s="6"/>
      <c r="Q1577" s="6"/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C1577" s="6"/>
      <c r="AD1577" s="6"/>
      <c r="AE1577" s="6"/>
      <c r="AH1577" s="36"/>
      <c r="AI1577" s="32"/>
      <c r="AJ1577" s="4"/>
      <c r="AK1577" s="4"/>
      <c r="AL1577" s="4"/>
      <c r="AM1577" s="4"/>
      <c r="AO1577" s="36"/>
      <c r="AP1577" s="4"/>
      <c r="AQ1577" s="36"/>
      <c r="AR1577" s="4"/>
      <c r="AS1577" s="36"/>
      <c r="AT1577" s="36"/>
      <c r="AU1577" s="36"/>
      <c r="AV1577" s="59"/>
      <c r="AW1577" s="36"/>
      <c r="AX1577" s="59"/>
      <c r="AY1577" s="36"/>
      <c r="AZ1577" s="59"/>
      <c r="BA1577" s="36"/>
      <c r="BB1577" s="59"/>
      <c r="BC1577" s="36"/>
      <c r="BE1577" s="36"/>
    </row>
    <row r="1578" spans="1:57" x14ac:dyDescent="0.25">
      <c r="A1578" s="6"/>
      <c r="B1578" s="6"/>
      <c r="C1578" s="6"/>
      <c r="D1578" s="6"/>
      <c r="E1578" s="6"/>
      <c r="F1578" s="6"/>
      <c r="G1578" s="6"/>
      <c r="H1578" s="6"/>
      <c r="I1578" s="6"/>
      <c r="J1578" s="6"/>
      <c r="K1578" s="6"/>
      <c r="L1578" s="6"/>
      <c r="M1578" s="6"/>
      <c r="N1578" s="6"/>
      <c r="O1578" s="59"/>
      <c r="P1578" s="6"/>
      <c r="Q1578" s="6"/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C1578" s="6"/>
      <c r="AD1578" s="6"/>
      <c r="AE1578" s="6"/>
      <c r="AF1578" s="5" t="s">
        <v>997</v>
      </c>
      <c r="AH1578" s="36">
        <f>AH1574+AH1576</f>
        <v>863696</v>
      </c>
      <c r="AI1578" s="32"/>
      <c r="AJ1578" s="4"/>
      <c r="AK1578" s="4"/>
      <c r="AL1578" s="4"/>
      <c r="AM1578" s="4"/>
      <c r="AO1578" s="36">
        <f>AO1574+AO1576</f>
        <v>716312</v>
      </c>
      <c r="AP1578" s="4"/>
      <c r="AQ1578" s="36">
        <f>AQ1574+AQ1576</f>
        <v>559498</v>
      </c>
      <c r="AR1578" s="4"/>
      <c r="AS1578" s="36">
        <f>AS1574+AS1576</f>
        <v>451784</v>
      </c>
      <c r="AT1578" s="36"/>
      <c r="AU1578" s="36">
        <f>AU1574+AU1576</f>
        <v>409912</v>
      </c>
      <c r="AV1578" s="59"/>
      <c r="AW1578" s="36">
        <f>AW1574+AW1576</f>
        <v>265552</v>
      </c>
      <c r="AX1578" s="59"/>
      <c r="AY1578" s="36">
        <f>AY1574+AY1576</f>
        <v>299712</v>
      </c>
      <c r="AZ1578" s="59"/>
      <c r="BA1578" s="36">
        <f>BA1574+BA1576</f>
        <v>45718</v>
      </c>
      <c r="BB1578" s="59"/>
      <c r="BC1578" s="36">
        <f>BC1574+BC1576</f>
        <v>-173030</v>
      </c>
      <c r="BE1578" s="36">
        <f>BE1574+BE1576</f>
        <v>-391778</v>
      </c>
    </row>
    <row r="1579" spans="1:57" x14ac:dyDescent="0.25">
      <c r="A1579" s="6"/>
      <c r="B1579" s="6"/>
      <c r="C1579" s="6"/>
      <c r="D1579" s="6"/>
      <c r="E1579" s="6"/>
      <c r="F1579" s="6"/>
      <c r="G1579" s="6"/>
      <c r="H1579" s="6"/>
      <c r="I1579" s="6"/>
      <c r="J1579" s="6"/>
      <c r="K1579" s="6"/>
      <c r="L1579" s="6"/>
      <c r="M1579" s="6"/>
      <c r="N1579" s="6"/>
      <c r="O1579" s="59"/>
      <c r="P1579" s="6"/>
      <c r="Q1579" s="6"/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  <c r="AC1579" s="6"/>
      <c r="AD1579" s="6"/>
      <c r="AE1579" s="6"/>
      <c r="AH1579" s="36"/>
      <c r="AI1579" s="32"/>
      <c r="AJ1579" s="58"/>
      <c r="AK1579" s="58"/>
      <c r="AL1579" s="58"/>
      <c r="AM1579" s="58"/>
      <c r="AO1579" s="36"/>
      <c r="AP1579" s="58"/>
      <c r="AQ1579" s="36"/>
      <c r="AR1579" s="58"/>
      <c r="AS1579" s="36"/>
      <c r="AT1579" s="36"/>
      <c r="AU1579" s="36"/>
      <c r="AV1579" s="59"/>
      <c r="AW1579" s="36"/>
      <c r="AX1579" s="59"/>
      <c r="AY1579" s="36"/>
      <c r="AZ1579" s="59"/>
      <c r="BA1579" s="36"/>
      <c r="BB1579" s="59"/>
      <c r="BC1579" s="36"/>
      <c r="BE1579" s="36"/>
    </row>
    <row r="1580" spans="1:57" x14ac:dyDescent="0.25">
      <c r="A1580" s="6"/>
      <c r="B1580" s="6"/>
      <c r="C1580" s="6"/>
      <c r="D1580" s="6"/>
      <c r="E1580" s="6"/>
      <c r="F1580" s="6"/>
      <c r="G1580" s="6"/>
      <c r="H1580" s="6"/>
      <c r="I1580" s="6"/>
      <c r="J1580" s="6"/>
      <c r="K1580" s="6"/>
      <c r="L1580" s="6"/>
      <c r="M1580" s="6"/>
      <c r="N1580" s="6"/>
      <c r="O1580" s="59"/>
      <c r="P1580" s="6"/>
      <c r="Q1580" s="6"/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C1580" s="6"/>
      <c r="AD1580" s="6"/>
      <c r="AE1580" s="6"/>
      <c r="AF1580" s="5" t="s">
        <v>998</v>
      </c>
      <c r="AH1580" s="82"/>
      <c r="AI1580" s="32"/>
      <c r="AJ1580" s="58"/>
      <c r="AK1580" s="58"/>
      <c r="AL1580" s="58"/>
      <c r="AM1580" s="58"/>
      <c r="AO1580" s="36"/>
      <c r="AP1580" s="58"/>
      <c r="AQ1580" s="36"/>
      <c r="AR1580" s="58"/>
      <c r="AS1580" s="36"/>
      <c r="AT1580" s="36"/>
      <c r="AU1580" s="36"/>
      <c r="AV1580" s="59"/>
      <c r="AW1580" s="36"/>
      <c r="AX1580" s="59"/>
      <c r="AY1580" s="36"/>
      <c r="AZ1580" s="59"/>
      <c r="BA1580" s="36"/>
      <c r="BB1580" s="59"/>
      <c r="BC1580" s="36"/>
      <c r="BE1580" s="36"/>
    </row>
    <row r="1581" spans="1:57" x14ac:dyDescent="0.25">
      <c r="A1581" s="6"/>
      <c r="B1581" s="6"/>
      <c r="C1581" s="6"/>
      <c r="D1581" s="6"/>
      <c r="E1581" s="6"/>
      <c r="F1581" s="6"/>
      <c r="G1581" s="6"/>
      <c r="H1581" s="6"/>
      <c r="I1581" s="6"/>
      <c r="J1581" s="6"/>
      <c r="K1581" s="6"/>
      <c r="L1581" s="6"/>
      <c r="M1581" s="6"/>
      <c r="N1581" s="6"/>
      <c r="O1581" s="59"/>
      <c r="P1581" s="6"/>
      <c r="Q1581" s="6"/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  <c r="AC1581" s="6"/>
      <c r="AD1581" s="6"/>
      <c r="AE1581" s="6"/>
      <c r="AH1581" s="82"/>
      <c r="AI1581" s="32"/>
      <c r="AJ1581" s="58"/>
      <c r="AK1581" s="58"/>
      <c r="AL1581" s="58"/>
      <c r="AM1581" s="58"/>
      <c r="AO1581" s="36"/>
      <c r="AP1581" s="58"/>
      <c r="AQ1581" s="36"/>
      <c r="AR1581" s="58"/>
      <c r="AS1581" s="36"/>
      <c r="AT1581" s="36"/>
      <c r="AU1581" s="36"/>
      <c r="AV1581" s="59"/>
      <c r="AW1581" s="36"/>
      <c r="AX1581" s="59"/>
      <c r="AY1581" s="36"/>
      <c r="AZ1581" s="59"/>
      <c r="BA1581" s="36"/>
      <c r="BB1581" s="59"/>
      <c r="BC1581" s="36"/>
      <c r="BE1581" s="36"/>
    </row>
    <row r="1582" spans="1:57" x14ac:dyDescent="0.25">
      <c r="A1582" s="6"/>
      <c r="B1582" s="6"/>
      <c r="C1582" s="6"/>
      <c r="D1582" s="6"/>
      <c r="E1582" s="6"/>
      <c r="F1582" s="6"/>
      <c r="G1582" s="6"/>
      <c r="H1582" s="6"/>
      <c r="I1582" s="6"/>
      <c r="J1582" s="6"/>
      <c r="K1582" s="6"/>
      <c r="L1582" s="6"/>
      <c r="M1582" s="6"/>
      <c r="N1582" s="6"/>
      <c r="O1582" s="59"/>
      <c r="P1582" s="6"/>
      <c r="Q1582" s="6"/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  <c r="AC1582" s="6"/>
      <c r="AD1582" s="6"/>
      <c r="AE1582" s="6"/>
      <c r="AF1582" s="5" t="s">
        <v>999</v>
      </c>
      <c r="AH1582" s="36">
        <v>-100000</v>
      </c>
      <c r="AI1582" s="32"/>
      <c r="AJ1582" s="58"/>
      <c r="AK1582" s="58"/>
      <c r="AL1582" s="58"/>
      <c r="AM1582" s="58"/>
      <c r="AO1582" s="36">
        <v>-200000</v>
      </c>
      <c r="AP1582" s="58"/>
      <c r="AQ1582" s="36">
        <v>-100000</v>
      </c>
      <c r="AR1582" s="58"/>
      <c r="AS1582" s="36"/>
      <c r="AT1582" s="36"/>
      <c r="AU1582" s="36"/>
      <c r="AV1582" s="59"/>
      <c r="AW1582" s="36"/>
      <c r="AX1582" s="59"/>
      <c r="AY1582" s="36"/>
      <c r="AZ1582" s="59"/>
      <c r="BA1582" s="36"/>
      <c r="BB1582" s="59"/>
      <c r="BC1582" s="36"/>
      <c r="BE1582" s="36"/>
    </row>
    <row r="1583" spans="1:57" x14ac:dyDescent="0.25">
      <c r="A1583" s="6"/>
      <c r="B1583" s="6"/>
      <c r="C1583" s="6"/>
      <c r="D1583" s="6"/>
      <c r="E1583" s="6"/>
      <c r="F1583" s="6"/>
      <c r="G1583" s="6"/>
      <c r="H1583" s="6"/>
      <c r="I1583" s="6"/>
      <c r="J1583" s="6"/>
      <c r="K1583" s="6"/>
      <c r="L1583" s="6"/>
      <c r="M1583" s="6"/>
      <c r="N1583" s="6"/>
      <c r="O1583" s="59"/>
      <c r="P1583" s="6"/>
      <c r="Q1583" s="6"/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C1583" s="6"/>
      <c r="AD1583" s="6"/>
      <c r="AE1583" s="6"/>
      <c r="AH1583" s="36"/>
      <c r="AI1583" s="32"/>
      <c r="AJ1583" s="58"/>
      <c r="AK1583" s="58"/>
      <c r="AL1583" s="58"/>
      <c r="AM1583" s="58"/>
      <c r="AO1583" s="36"/>
      <c r="AP1583" s="58"/>
      <c r="AQ1583" s="36"/>
      <c r="AR1583" s="58"/>
      <c r="AS1583" s="36"/>
      <c r="AT1583" s="36"/>
      <c r="AU1583" s="36"/>
      <c r="AV1583" s="59"/>
      <c r="AW1583" s="36"/>
      <c r="AX1583" s="59"/>
      <c r="AY1583" s="36"/>
      <c r="AZ1583" s="59"/>
      <c r="BA1583" s="36"/>
      <c r="BB1583" s="59"/>
      <c r="BC1583" s="36"/>
      <c r="BE1583" s="36"/>
    </row>
    <row r="1584" spans="1:57" x14ac:dyDescent="0.25">
      <c r="A1584" s="6"/>
      <c r="B1584" s="6"/>
      <c r="C1584" s="6"/>
      <c r="D1584" s="6"/>
      <c r="E1584" s="6"/>
      <c r="F1584" s="6"/>
      <c r="G1584" s="6"/>
      <c r="H1584" s="6"/>
      <c r="I1584" s="6"/>
      <c r="J1584" s="6"/>
      <c r="K1584" s="6"/>
      <c r="L1584" s="6"/>
      <c r="M1584" s="6"/>
      <c r="N1584" s="6"/>
      <c r="O1584" s="59"/>
      <c r="P1584" s="6"/>
      <c r="Q1584" s="6"/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  <c r="AC1584" s="6"/>
      <c r="AD1584" s="6"/>
      <c r="AE1584" s="6"/>
      <c r="AF1584" s="5" t="s">
        <v>1000</v>
      </c>
      <c r="AH1584" s="36"/>
      <c r="AI1584" s="32"/>
      <c r="AJ1584" s="58"/>
      <c r="AK1584" s="58"/>
      <c r="AL1584" s="58"/>
      <c r="AM1584" s="58"/>
      <c r="AO1584" s="36"/>
      <c r="AP1584" s="58"/>
      <c r="AQ1584" s="36"/>
      <c r="AR1584" s="58"/>
      <c r="AS1584" s="36"/>
      <c r="AT1584" s="36"/>
      <c r="AU1584" s="36"/>
      <c r="AV1584" s="59"/>
      <c r="AW1584" s="36"/>
      <c r="AX1584" s="59"/>
      <c r="AY1584" s="36"/>
      <c r="AZ1584" s="59"/>
      <c r="BA1584" s="36"/>
      <c r="BB1584" s="59"/>
      <c r="BC1584" s="36"/>
      <c r="BE1584" s="36"/>
    </row>
    <row r="1585" spans="1:57" x14ac:dyDescent="0.25">
      <c r="A1585" s="6"/>
      <c r="B1585" s="6"/>
      <c r="C1585" s="6"/>
      <c r="D1585" s="6"/>
      <c r="E1585" s="6"/>
      <c r="F1585" s="6"/>
      <c r="G1585" s="6"/>
      <c r="H1585" s="6"/>
      <c r="I1585" s="6"/>
      <c r="J1585" s="6"/>
      <c r="K1585" s="6"/>
      <c r="L1585" s="6"/>
      <c r="M1585" s="6"/>
      <c r="N1585" s="6"/>
      <c r="O1585" s="59"/>
      <c r="P1585" s="6"/>
      <c r="Q1585" s="6"/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C1585" s="6"/>
      <c r="AD1585" s="6"/>
      <c r="AE1585" s="6"/>
      <c r="AH1585" s="36"/>
      <c r="AI1585" s="32"/>
      <c r="AJ1585" s="58"/>
      <c r="AK1585" s="58"/>
      <c r="AL1585" s="58"/>
      <c r="AM1585" s="58"/>
      <c r="AO1585" s="35"/>
      <c r="AP1585" s="58"/>
      <c r="AQ1585" s="35"/>
      <c r="AR1585" s="58"/>
      <c r="AS1585" s="35"/>
      <c r="AT1585" s="35"/>
      <c r="AU1585" s="35"/>
      <c r="AV1585" s="59"/>
      <c r="AW1585" s="35"/>
      <c r="AX1585" s="59"/>
      <c r="AY1585" s="35"/>
      <c r="AZ1585" s="59"/>
      <c r="BA1585" s="35"/>
      <c r="BB1585" s="59"/>
      <c r="BC1585" s="35"/>
      <c r="BE1585" s="35"/>
    </row>
    <row r="1586" spans="1:57" x14ac:dyDescent="0.25">
      <c r="A1586" s="6"/>
      <c r="B1586" s="6"/>
      <c r="C1586" s="6"/>
      <c r="D1586" s="6"/>
      <c r="E1586" s="6"/>
      <c r="F1586" s="6"/>
      <c r="G1586" s="6"/>
      <c r="H1586" s="6"/>
      <c r="I1586" s="6"/>
      <c r="J1586" s="6"/>
      <c r="K1586" s="6"/>
      <c r="L1586" s="6"/>
      <c r="M1586" s="6"/>
      <c r="N1586" s="6"/>
      <c r="O1586" s="59"/>
      <c r="P1586" s="6"/>
      <c r="Q1586" s="6"/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C1586" s="6"/>
      <c r="AD1586" s="6"/>
      <c r="AE1586" s="6"/>
      <c r="AF1586" s="5" t="s">
        <v>1001</v>
      </c>
      <c r="AH1586" s="36">
        <f>AH1578+AH1580+AH1582+AH1584</f>
        <v>763696</v>
      </c>
      <c r="AI1586" s="32"/>
      <c r="AJ1586" s="58"/>
      <c r="AK1586" s="58"/>
      <c r="AL1586" s="58"/>
      <c r="AM1586" s="58"/>
      <c r="AO1586" s="36">
        <f>AO1578+AO1580+AO1582+AO1584</f>
        <v>516312</v>
      </c>
      <c r="AP1586" s="58"/>
      <c r="AQ1586" s="36">
        <f>AQ1578+AQ1580+AQ1582+AQ1584</f>
        <v>459498</v>
      </c>
      <c r="AR1586" s="58"/>
      <c r="AS1586" s="36">
        <f>AS1578+AS1580+AS1582+AS1584</f>
        <v>451784</v>
      </c>
      <c r="AT1586" s="36"/>
      <c r="AU1586" s="36">
        <f>AU1578+AU1580+AU1582+AU1584</f>
        <v>409912</v>
      </c>
      <c r="AV1586" s="59"/>
      <c r="AW1586" s="36">
        <f>AW1578+AW1580+AW1582+AW1584</f>
        <v>265552</v>
      </c>
      <c r="AX1586" s="59"/>
      <c r="AY1586" s="36">
        <f>AY1578+AY1580+AY1582+AY1584</f>
        <v>299712</v>
      </c>
      <c r="AZ1586" s="59"/>
      <c r="BA1586" s="36">
        <f>BA1578+BA1580+BA1582+BA1584</f>
        <v>45718</v>
      </c>
      <c r="BB1586" s="59"/>
      <c r="BC1586" s="36">
        <f>BC1578+BC1580+BC1582+BC1584</f>
        <v>-173030</v>
      </c>
      <c r="BE1586" s="36">
        <f>BE1578+BE1580+BE1582+BE1584</f>
        <v>-391778</v>
      </c>
    </row>
    <row r="1589" spans="1:57" x14ac:dyDescent="0.25">
      <c r="A1589" s="6"/>
      <c r="B1589" s="6"/>
      <c r="C1589" s="6"/>
      <c r="D1589" s="6"/>
      <c r="E1589" s="6"/>
      <c r="F1589" s="6"/>
      <c r="G1589" s="6"/>
      <c r="H1589" s="6"/>
      <c r="I1589" s="6"/>
      <c r="J1589" s="6"/>
      <c r="K1589" s="6"/>
      <c r="L1589" s="6"/>
      <c r="M1589" s="6"/>
      <c r="N1589" s="6"/>
      <c r="O1589" s="59"/>
      <c r="P1589" s="6"/>
      <c r="Q1589" s="6"/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/>
      <c r="AC1589" s="6"/>
      <c r="AD1589" s="6"/>
      <c r="AE1589" s="6"/>
      <c r="AF1589" s="88" t="s">
        <v>1003</v>
      </c>
      <c r="AH1589" s="85"/>
      <c r="AJ1589" s="58"/>
      <c r="AK1589" s="58"/>
      <c r="AL1589" s="58"/>
      <c r="AM1589" s="58"/>
      <c r="AO1589" s="85"/>
      <c r="AP1589" s="58"/>
      <c r="AQ1589" s="85"/>
      <c r="AR1589" s="58"/>
      <c r="AS1589" s="85"/>
      <c r="AT1589" s="85"/>
      <c r="AU1589" s="85"/>
      <c r="AV1589" s="59"/>
      <c r="AW1589" s="85"/>
      <c r="AX1589" s="59"/>
      <c r="AY1589" s="85"/>
      <c r="AZ1589" s="59"/>
      <c r="BA1589" s="85"/>
      <c r="BB1589" s="59"/>
      <c r="BC1589" s="85"/>
      <c r="BE1589" s="85"/>
    </row>
    <row r="1590" spans="1:57" x14ac:dyDescent="0.25">
      <c r="A1590" s="6"/>
      <c r="B1590" s="6"/>
      <c r="C1590" s="6"/>
      <c r="D1590" s="6"/>
      <c r="E1590" s="6"/>
      <c r="F1590" s="6"/>
      <c r="G1590" s="6"/>
      <c r="H1590" s="6"/>
      <c r="I1590" s="6"/>
      <c r="J1590" s="6"/>
      <c r="K1590" s="6"/>
      <c r="L1590" s="6"/>
      <c r="M1590" s="6"/>
      <c r="N1590" s="6"/>
      <c r="O1590" s="59"/>
      <c r="P1590" s="6"/>
      <c r="Q1590" s="6"/>
      <c r="R1590" s="6"/>
      <c r="S1590" s="6"/>
      <c r="T1590" s="6"/>
      <c r="U1590" s="6"/>
      <c r="V1590" s="6"/>
      <c r="W1590" s="6"/>
      <c r="X1590" s="6"/>
      <c r="Y1590" s="6"/>
      <c r="Z1590" s="6"/>
      <c r="AA1590" s="6"/>
      <c r="AB1590" s="6"/>
      <c r="AC1590" s="6"/>
      <c r="AD1590" s="6"/>
      <c r="AE1590" s="6"/>
      <c r="AF1590" s="5" t="s">
        <v>995</v>
      </c>
      <c r="AH1590" s="36">
        <v>502101</v>
      </c>
      <c r="AI1590" s="32"/>
      <c r="AJ1590" s="7"/>
      <c r="AK1590" s="7"/>
      <c r="AL1590" s="7"/>
      <c r="AM1590" s="7"/>
      <c r="AN1590" s="32"/>
      <c r="AO1590" s="31">
        <f>AH1602</f>
        <v>453607</v>
      </c>
      <c r="AP1590" s="7"/>
      <c r="AQ1590" s="31">
        <f>AO1602</f>
        <v>259397</v>
      </c>
      <c r="AR1590" s="7"/>
      <c r="AS1590" s="31">
        <f>AQ1602</f>
        <v>111523</v>
      </c>
      <c r="AT1590" s="31"/>
      <c r="AU1590" s="31">
        <f>AS1602</f>
        <v>195161</v>
      </c>
      <c r="AV1590" s="34"/>
      <c r="AW1590" s="31">
        <f>AU1602</f>
        <v>34586</v>
      </c>
      <c r="AX1590" s="34"/>
      <c r="AY1590" s="31">
        <f>AW1602</f>
        <v>141297</v>
      </c>
      <c r="AZ1590" s="34"/>
      <c r="BA1590" s="31">
        <f>AY1602</f>
        <v>186185</v>
      </c>
      <c r="BB1590" s="34"/>
      <c r="BC1590" s="31">
        <f>BA1602</f>
        <v>289219</v>
      </c>
      <c r="BE1590" s="31">
        <f>BC1602</f>
        <v>319300</v>
      </c>
    </row>
    <row r="1591" spans="1:57" x14ac:dyDescent="0.25">
      <c r="A1591" s="6"/>
      <c r="B1591" s="6"/>
      <c r="C1591" s="6"/>
      <c r="D1591" s="6"/>
      <c r="E1591" s="6"/>
      <c r="F1591" s="6"/>
      <c r="G1591" s="6"/>
      <c r="H1591" s="6"/>
      <c r="I1591" s="6"/>
      <c r="J1591" s="6"/>
      <c r="K1591" s="6"/>
      <c r="L1591" s="6"/>
      <c r="M1591" s="6"/>
      <c r="N1591" s="6"/>
      <c r="O1591" s="59"/>
      <c r="P1591" s="6"/>
      <c r="Q1591" s="6"/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  <c r="AC1591" s="6"/>
      <c r="AD1591" s="6"/>
      <c r="AE1591" s="6"/>
      <c r="AH1591" s="85"/>
      <c r="AJ1591" s="3"/>
      <c r="AK1591" s="3"/>
      <c r="AL1591" s="3"/>
      <c r="AM1591" s="3"/>
      <c r="AO1591" s="29"/>
      <c r="AP1591" s="3"/>
      <c r="AQ1591" s="29"/>
      <c r="AR1591" s="3"/>
      <c r="AS1591" s="29"/>
      <c r="AT1591" s="29"/>
      <c r="AU1591" s="29"/>
      <c r="AW1591" s="29"/>
      <c r="AY1591" s="29"/>
      <c r="BA1591" s="29"/>
      <c r="BC1591" s="29"/>
      <c r="BE1591" s="29"/>
    </row>
    <row r="1592" spans="1:57" x14ac:dyDescent="0.25">
      <c r="A1592" s="6"/>
      <c r="B1592" s="6"/>
      <c r="C1592" s="6"/>
      <c r="D1592" s="6"/>
      <c r="E1592" s="6"/>
      <c r="F1592" s="6"/>
      <c r="G1592" s="6"/>
      <c r="H1592" s="6"/>
      <c r="I1592" s="6"/>
      <c r="J1592" s="6"/>
      <c r="K1592" s="6"/>
      <c r="L1592" s="6"/>
      <c r="M1592" s="6"/>
      <c r="N1592" s="6"/>
      <c r="O1592" s="59"/>
      <c r="P1592" s="6"/>
      <c r="Q1592" s="6"/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  <c r="AC1592" s="6"/>
      <c r="AD1592" s="6"/>
      <c r="AE1592" s="6"/>
      <c r="AF1592" s="5" t="s">
        <v>996</v>
      </c>
      <c r="AH1592" s="36">
        <v>39006</v>
      </c>
      <c r="AI1592" s="32"/>
      <c r="AJ1592" s="32"/>
      <c r="AK1592" s="32"/>
      <c r="AL1592" s="32"/>
      <c r="AM1592" s="32"/>
      <c r="AN1592" s="32"/>
      <c r="AO1592" s="35">
        <v>-19210</v>
      </c>
      <c r="AP1592" s="32"/>
      <c r="AQ1592" s="35">
        <v>-60374</v>
      </c>
      <c r="AR1592" s="32"/>
      <c r="AS1592" s="35">
        <v>83638</v>
      </c>
      <c r="AT1592" s="35"/>
      <c r="AU1592" s="35">
        <v>-160575</v>
      </c>
      <c r="AV1592" s="90"/>
      <c r="AW1592" s="35">
        <v>106711</v>
      </c>
      <c r="AX1592" s="90"/>
      <c r="AY1592" s="35">
        <v>44888</v>
      </c>
      <c r="AZ1592" s="90"/>
      <c r="BA1592" s="35">
        <v>103034</v>
      </c>
      <c r="BB1592" s="90"/>
      <c r="BC1592" s="35">
        <v>30081</v>
      </c>
      <c r="BE1592" s="35">
        <v>30081</v>
      </c>
    </row>
    <row r="1593" spans="1:57" x14ac:dyDescent="0.25">
      <c r="A1593" s="6"/>
      <c r="B1593" s="6"/>
      <c r="C1593" s="6"/>
      <c r="D1593" s="6"/>
      <c r="E1593" s="6"/>
      <c r="F1593" s="6"/>
      <c r="G1593" s="6"/>
      <c r="H1593" s="6"/>
      <c r="I1593" s="6"/>
      <c r="J1593" s="6"/>
      <c r="K1593" s="6"/>
      <c r="L1593" s="6"/>
      <c r="M1593" s="6"/>
      <c r="N1593" s="6"/>
      <c r="O1593" s="59"/>
      <c r="P1593" s="6"/>
      <c r="Q1593" s="6"/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/>
      <c r="AC1593" s="6"/>
      <c r="AD1593" s="6"/>
      <c r="AE1593" s="6"/>
      <c r="AH1593" s="36"/>
      <c r="AI1593" s="32"/>
      <c r="AJ1593" s="4"/>
      <c r="AK1593" s="4"/>
      <c r="AL1593" s="4"/>
      <c r="AM1593" s="4"/>
      <c r="AO1593" s="36"/>
      <c r="AP1593" s="4"/>
      <c r="AQ1593" s="36"/>
      <c r="AR1593" s="4"/>
      <c r="AS1593" s="36"/>
      <c r="AT1593" s="36"/>
      <c r="AU1593" s="36"/>
      <c r="AV1593" s="59"/>
      <c r="AW1593" s="36"/>
      <c r="AX1593" s="59"/>
      <c r="AY1593" s="36"/>
      <c r="AZ1593" s="59"/>
      <c r="BA1593" s="36"/>
      <c r="BB1593" s="59"/>
      <c r="BC1593" s="36"/>
      <c r="BE1593" s="36"/>
    </row>
    <row r="1594" spans="1:57" x14ac:dyDescent="0.25">
      <c r="A1594" s="6"/>
      <c r="B1594" s="6"/>
      <c r="C1594" s="6"/>
      <c r="D1594" s="6"/>
      <c r="E1594" s="6"/>
      <c r="F1594" s="6"/>
      <c r="G1594" s="6"/>
      <c r="H1594" s="6"/>
      <c r="I1594" s="6"/>
      <c r="J1594" s="6"/>
      <c r="K1594" s="6"/>
      <c r="L1594" s="6"/>
      <c r="M1594" s="6"/>
      <c r="N1594" s="6"/>
      <c r="O1594" s="59"/>
      <c r="P1594" s="6"/>
      <c r="Q1594" s="6"/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  <c r="AC1594" s="6"/>
      <c r="AD1594" s="6"/>
      <c r="AE1594" s="6"/>
      <c r="AF1594" s="5" t="s">
        <v>997</v>
      </c>
      <c r="AH1594" s="36">
        <f>AH1590+AH1592</f>
        <v>541107</v>
      </c>
      <c r="AI1594" s="32"/>
      <c r="AJ1594" s="4"/>
      <c r="AK1594" s="4"/>
      <c r="AL1594" s="4"/>
      <c r="AM1594" s="4"/>
      <c r="AO1594" s="36">
        <f>AO1590+AO1592</f>
        <v>434397</v>
      </c>
      <c r="AP1594" s="4"/>
      <c r="AQ1594" s="36">
        <f>AQ1590+AQ1592</f>
        <v>199023</v>
      </c>
      <c r="AR1594" s="4"/>
      <c r="AS1594" s="36">
        <f>AS1590+AS1592</f>
        <v>195161</v>
      </c>
      <c r="AT1594" s="36"/>
      <c r="AU1594" s="36">
        <f>AU1590+AU1592</f>
        <v>34586</v>
      </c>
      <c r="AV1594" s="59"/>
      <c r="AW1594" s="36">
        <f>AW1590+AW1592</f>
        <v>141297</v>
      </c>
      <c r="AX1594" s="59"/>
      <c r="AY1594" s="36">
        <f>AY1590+AY1592</f>
        <v>186185</v>
      </c>
      <c r="AZ1594" s="59"/>
      <c r="BA1594" s="36">
        <f>BA1590+BA1592</f>
        <v>289219</v>
      </c>
      <c r="BB1594" s="59"/>
      <c r="BC1594" s="36">
        <f>BC1590+BC1592</f>
        <v>319300</v>
      </c>
      <c r="BE1594" s="36">
        <f>BE1590+BE1592</f>
        <v>349381</v>
      </c>
    </row>
    <row r="1595" spans="1:57" x14ac:dyDescent="0.25">
      <c r="A1595" s="6"/>
      <c r="B1595" s="6"/>
      <c r="C1595" s="6"/>
      <c r="D1595" s="6"/>
      <c r="E1595" s="6"/>
      <c r="F1595" s="6"/>
      <c r="G1595" s="6"/>
      <c r="H1595" s="6"/>
      <c r="I1595" s="6"/>
      <c r="J1595" s="6"/>
      <c r="K1595" s="6"/>
      <c r="L1595" s="6"/>
      <c r="M1595" s="6"/>
      <c r="N1595" s="6"/>
      <c r="O1595" s="59"/>
      <c r="P1595" s="6"/>
      <c r="Q1595" s="6"/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  <c r="AC1595" s="6"/>
      <c r="AD1595" s="6"/>
      <c r="AE1595" s="6"/>
      <c r="AH1595" s="36"/>
      <c r="AI1595" s="32"/>
      <c r="AJ1595" s="58"/>
      <c r="AK1595" s="58"/>
      <c r="AL1595" s="58"/>
      <c r="AM1595" s="58"/>
      <c r="AO1595" s="36"/>
      <c r="AP1595" s="58"/>
      <c r="AQ1595" s="36"/>
      <c r="AR1595" s="58"/>
      <c r="AS1595" s="36"/>
      <c r="AT1595" s="36"/>
      <c r="AU1595" s="36"/>
      <c r="AV1595" s="59"/>
      <c r="AW1595" s="36"/>
      <c r="AX1595" s="59"/>
      <c r="AY1595" s="36"/>
      <c r="AZ1595" s="59"/>
      <c r="BA1595" s="36"/>
      <c r="BB1595" s="59"/>
      <c r="BC1595" s="36"/>
      <c r="BE1595" s="36"/>
    </row>
    <row r="1596" spans="1:57" x14ac:dyDescent="0.25">
      <c r="A1596" s="6"/>
      <c r="B1596" s="6"/>
      <c r="C1596" s="6"/>
      <c r="D1596" s="6"/>
      <c r="E1596" s="6"/>
      <c r="F1596" s="6"/>
      <c r="G1596" s="6"/>
      <c r="H1596" s="6"/>
      <c r="I1596" s="6"/>
      <c r="J1596" s="6"/>
      <c r="K1596" s="6"/>
      <c r="L1596" s="6"/>
      <c r="M1596" s="6"/>
      <c r="N1596" s="6"/>
      <c r="O1596" s="59"/>
      <c r="P1596" s="6"/>
      <c r="Q1596" s="6"/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  <c r="AC1596" s="6"/>
      <c r="AD1596" s="6"/>
      <c r="AE1596" s="6"/>
      <c r="AF1596" s="5" t="s">
        <v>998</v>
      </c>
      <c r="AH1596" s="82"/>
      <c r="AI1596" s="32"/>
      <c r="AJ1596" s="58"/>
      <c r="AK1596" s="58"/>
      <c r="AL1596" s="58"/>
      <c r="AM1596" s="58"/>
      <c r="AO1596" s="36"/>
      <c r="AP1596" s="58"/>
      <c r="AQ1596" s="36"/>
      <c r="AR1596" s="58"/>
      <c r="AS1596" s="36"/>
      <c r="AT1596" s="36"/>
      <c r="AU1596" s="36"/>
      <c r="AV1596" s="59"/>
      <c r="AW1596" s="36"/>
      <c r="AX1596" s="59"/>
      <c r="AY1596" s="36"/>
      <c r="AZ1596" s="59"/>
      <c r="BA1596" s="36"/>
      <c r="BB1596" s="59"/>
      <c r="BC1596" s="36"/>
      <c r="BE1596" s="36"/>
    </row>
    <row r="1597" spans="1:57" x14ac:dyDescent="0.25">
      <c r="A1597" s="6"/>
      <c r="B1597" s="6"/>
      <c r="C1597" s="6"/>
      <c r="D1597" s="6"/>
      <c r="E1597" s="6"/>
      <c r="F1597" s="6"/>
      <c r="G1597" s="6"/>
      <c r="H1597" s="6"/>
      <c r="I1597" s="6"/>
      <c r="J1597" s="6"/>
      <c r="K1597" s="6"/>
      <c r="L1597" s="6"/>
      <c r="M1597" s="6"/>
      <c r="N1597" s="6"/>
      <c r="O1597" s="59"/>
      <c r="P1597" s="6"/>
      <c r="Q1597" s="6"/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  <c r="AC1597" s="6"/>
      <c r="AD1597" s="6"/>
      <c r="AE1597" s="6"/>
      <c r="AH1597" s="82"/>
      <c r="AI1597" s="32"/>
      <c r="AJ1597" s="58"/>
      <c r="AK1597" s="58"/>
      <c r="AL1597" s="58"/>
      <c r="AM1597" s="58"/>
      <c r="AO1597" s="36"/>
      <c r="AP1597" s="58"/>
      <c r="AQ1597" s="36"/>
      <c r="AR1597" s="58"/>
      <c r="AS1597" s="36"/>
      <c r="AT1597" s="36"/>
      <c r="AU1597" s="36"/>
      <c r="AV1597" s="59"/>
      <c r="AW1597" s="36"/>
      <c r="AX1597" s="59"/>
      <c r="AY1597" s="36"/>
      <c r="AZ1597" s="59"/>
      <c r="BA1597" s="36"/>
      <c r="BB1597" s="59"/>
      <c r="BC1597" s="36"/>
      <c r="BE1597" s="36"/>
    </row>
    <row r="1598" spans="1:57" x14ac:dyDescent="0.25">
      <c r="A1598" s="6"/>
      <c r="B1598" s="6"/>
      <c r="C1598" s="6"/>
      <c r="D1598" s="6"/>
      <c r="E1598" s="6"/>
      <c r="F1598" s="6"/>
      <c r="G1598" s="6"/>
      <c r="H1598" s="6"/>
      <c r="I1598" s="6"/>
      <c r="J1598" s="6"/>
      <c r="K1598" s="6"/>
      <c r="L1598" s="6"/>
      <c r="M1598" s="6"/>
      <c r="N1598" s="6"/>
      <c r="O1598" s="59"/>
      <c r="P1598" s="6"/>
      <c r="Q1598" s="6"/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/>
      <c r="AC1598" s="6"/>
      <c r="AD1598" s="6"/>
      <c r="AE1598" s="6"/>
      <c r="AF1598" s="5" t="s">
        <v>999</v>
      </c>
      <c r="AH1598" s="36">
        <v>-87500</v>
      </c>
      <c r="AI1598" s="32"/>
      <c r="AJ1598" s="58"/>
      <c r="AK1598" s="58"/>
      <c r="AL1598" s="58"/>
      <c r="AM1598" s="58"/>
      <c r="AO1598" s="36">
        <v>-175000</v>
      </c>
      <c r="AP1598" s="58"/>
      <c r="AQ1598" s="36">
        <v>-87500</v>
      </c>
      <c r="AR1598" s="58"/>
      <c r="AS1598" s="36"/>
      <c r="AT1598" s="36"/>
      <c r="AU1598" s="36"/>
      <c r="AV1598" s="59"/>
      <c r="AW1598" s="36"/>
      <c r="AX1598" s="59"/>
      <c r="AY1598" s="36"/>
      <c r="AZ1598" s="59"/>
      <c r="BA1598" s="36"/>
      <c r="BB1598" s="59"/>
      <c r="BC1598" s="36"/>
      <c r="BE1598" s="36"/>
    </row>
    <row r="1599" spans="1:57" x14ac:dyDescent="0.25">
      <c r="A1599" s="6"/>
      <c r="B1599" s="6"/>
      <c r="C1599" s="6"/>
      <c r="D1599" s="6"/>
      <c r="E1599" s="6"/>
      <c r="F1599" s="6"/>
      <c r="G1599" s="6"/>
      <c r="H1599" s="6"/>
      <c r="I1599" s="6"/>
      <c r="J1599" s="6"/>
      <c r="K1599" s="6"/>
      <c r="L1599" s="6"/>
      <c r="M1599" s="6"/>
      <c r="N1599" s="6"/>
      <c r="O1599" s="59"/>
      <c r="P1599" s="6"/>
      <c r="Q1599" s="6"/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  <c r="AC1599" s="6"/>
      <c r="AD1599" s="6"/>
      <c r="AE1599" s="6"/>
      <c r="AH1599" s="36"/>
      <c r="AI1599" s="32"/>
      <c r="AJ1599" s="58"/>
      <c r="AK1599" s="58"/>
      <c r="AL1599" s="58"/>
      <c r="AM1599" s="58"/>
      <c r="AO1599" s="36"/>
      <c r="AP1599" s="58"/>
      <c r="AQ1599" s="36"/>
      <c r="AR1599" s="58"/>
      <c r="AS1599" s="36"/>
      <c r="AT1599" s="36"/>
      <c r="AU1599" s="36"/>
      <c r="AV1599" s="59"/>
      <c r="AW1599" s="36"/>
      <c r="AX1599" s="59"/>
      <c r="AY1599" s="36"/>
      <c r="AZ1599" s="59"/>
      <c r="BA1599" s="36"/>
      <c r="BB1599" s="59"/>
      <c r="BC1599" s="36"/>
      <c r="BE1599" s="36"/>
    </row>
    <row r="1600" spans="1:57" x14ac:dyDescent="0.25">
      <c r="A1600" s="6"/>
      <c r="B1600" s="6"/>
      <c r="C1600" s="6"/>
      <c r="D1600" s="6"/>
      <c r="E1600" s="6"/>
      <c r="F1600" s="6"/>
      <c r="G1600" s="6"/>
      <c r="H1600" s="6"/>
      <c r="I1600" s="6"/>
      <c r="J1600" s="6"/>
      <c r="K1600" s="6"/>
      <c r="L1600" s="6"/>
      <c r="M1600" s="6"/>
      <c r="N1600" s="6"/>
      <c r="O1600" s="59"/>
      <c r="P1600" s="6"/>
      <c r="Q1600" s="6"/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/>
      <c r="AC1600" s="6"/>
      <c r="AD1600" s="6"/>
      <c r="AE1600" s="6"/>
      <c r="AF1600" s="5" t="s">
        <v>1000</v>
      </c>
      <c r="AH1600" s="36"/>
      <c r="AI1600" s="32"/>
      <c r="AJ1600" s="58"/>
      <c r="AK1600" s="58"/>
      <c r="AL1600" s="58"/>
      <c r="AM1600" s="58"/>
      <c r="AO1600" s="36"/>
      <c r="AP1600" s="58"/>
      <c r="AQ1600" s="36"/>
      <c r="AR1600" s="58"/>
      <c r="AS1600" s="36"/>
      <c r="AT1600" s="36"/>
      <c r="AU1600" s="36"/>
      <c r="AV1600" s="59"/>
      <c r="AW1600" s="36"/>
      <c r="AX1600" s="59"/>
      <c r="AY1600" s="36"/>
      <c r="AZ1600" s="59"/>
      <c r="BA1600" s="36"/>
      <c r="BB1600" s="59"/>
      <c r="BC1600" s="36"/>
      <c r="BE1600" s="36"/>
    </row>
    <row r="1601" spans="1:57" x14ac:dyDescent="0.25">
      <c r="A1601" s="6"/>
      <c r="B1601" s="6"/>
      <c r="C1601" s="6"/>
      <c r="D1601" s="6"/>
      <c r="E1601" s="6"/>
      <c r="F1601" s="6"/>
      <c r="G1601" s="6"/>
      <c r="H1601" s="6"/>
      <c r="I1601" s="6"/>
      <c r="J1601" s="6"/>
      <c r="K1601" s="6"/>
      <c r="L1601" s="6"/>
      <c r="M1601" s="6"/>
      <c r="N1601" s="6"/>
      <c r="O1601" s="59"/>
      <c r="P1601" s="6"/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C1601" s="6"/>
      <c r="AD1601" s="6"/>
      <c r="AE1601" s="6"/>
      <c r="AH1601" s="36"/>
      <c r="AI1601" s="32"/>
      <c r="AJ1601" s="58"/>
      <c r="AK1601" s="58"/>
      <c r="AL1601" s="58"/>
      <c r="AM1601" s="58"/>
      <c r="AO1601" s="35"/>
      <c r="AP1601" s="58"/>
      <c r="AQ1601" s="35"/>
      <c r="AR1601" s="58"/>
      <c r="AS1601" s="35"/>
      <c r="AT1601" s="35"/>
      <c r="AU1601" s="35"/>
      <c r="AV1601" s="59"/>
      <c r="AW1601" s="35"/>
      <c r="AX1601" s="59"/>
      <c r="AY1601" s="35"/>
      <c r="AZ1601" s="59"/>
      <c r="BA1601" s="35"/>
      <c r="BB1601" s="59"/>
      <c r="BC1601" s="35"/>
      <c r="BE1601" s="35"/>
    </row>
    <row r="1602" spans="1:57" x14ac:dyDescent="0.25">
      <c r="A1602" s="6"/>
      <c r="B1602" s="6"/>
      <c r="C1602" s="6"/>
      <c r="D1602" s="6"/>
      <c r="E1602" s="6"/>
      <c r="F1602" s="6"/>
      <c r="G1602" s="6"/>
      <c r="H1602" s="6"/>
      <c r="I1602" s="6"/>
      <c r="J1602" s="6"/>
      <c r="K1602" s="6"/>
      <c r="L1602" s="6"/>
      <c r="M1602" s="6"/>
      <c r="N1602" s="6"/>
      <c r="O1602" s="59"/>
      <c r="P1602" s="6"/>
      <c r="Q1602" s="6"/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  <c r="AC1602" s="6"/>
      <c r="AD1602" s="6"/>
      <c r="AE1602" s="6"/>
      <c r="AF1602" s="5" t="s">
        <v>1001</v>
      </c>
      <c r="AH1602" s="36">
        <f>AH1594+AH1596+AH1598+AH1600</f>
        <v>453607</v>
      </c>
      <c r="AI1602" s="32"/>
      <c r="AJ1602" s="58"/>
      <c r="AK1602" s="58"/>
      <c r="AL1602" s="58"/>
      <c r="AM1602" s="58"/>
      <c r="AO1602" s="36">
        <f>AO1594+AO1596+AO1598+AO1600</f>
        <v>259397</v>
      </c>
      <c r="AP1602" s="58"/>
      <c r="AQ1602" s="36">
        <f>AQ1594+AQ1596+AQ1598+AQ1600</f>
        <v>111523</v>
      </c>
      <c r="AR1602" s="58"/>
      <c r="AS1602" s="36">
        <f>AS1594+AS1596+AS1598+AS1600</f>
        <v>195161</v>
      </c>
      <c r="AT1602" s="36"/>
      <c r="AU1602" s="36">
        <f>AU1594+AU1596+AU1598+AU1600</f>
        <v>34586</v>
      </c>
      <c r="AV1602" s="59"/>
      <c r="AW1602" s="36">
        <f>AW1594+AW1596+AW1598+AW1600</f>
        <v>141297</v>
      </c>
      <c r="AX1602" s="59"/>
      <c r="AY1602" s="36">
        <f>AY1594+AY1596+AY1598+AY1600</f>
        <v>186185</v>
      </c>
      <c r="AZ1602" s="59"/>
      <c r="BA1602" s="36">
        <f>BA1594+BA1596+BA1598+BA1600</f>
        <v>289219</v>
      </c>
      <c r="BB1602" s="59"/>
      <c r="BC1602" s="36">
        <f>BC1594+BC1596+BC1598+BC1600</f>
        <v>319300</v>
      </c>
      <c r="BE1602" s="36">
        <f>BE1594+BE1596+BE1598+BE1600</f>
        <v>349381</v>
      </c>
    </row>
    <row r="1605" spans="1:57" x14ac:dyDescent="0.25">
      <c r="A1605" s="6"/>
      <c r="B1605" s="6"/>
      <c r="C1605" s="6"/>
      <c r="D1605" s="6"/>
      <c r="E1605" s="6"/>
      <c r="F1605" s="6"/>
      <c r="G1605" s="6"/>
      <c r="H1605" s="6"/>
      <c r="I1605" s="6"/>
      <c r="J1605" s="6"/>
      <c r="K1605" s="6"/>
      <c r="L1605" s="6"/>
      <c r="M1605" s="6"/>
      <c r="N1605" s="6"/>
      <c r="O1605" s="59"/>
      <c r="P1605" s="6"/>
      <c r="Q1605" s="6"/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  <c r="AC1605" s="6"/>
      <c r="AD1605" s="6"/>
      <c r="AE1605" s="6"/>
      <c r="AF1605" s="88" t="s">
        <v>1004</v>
      </c>
      <c r="AH1605" s="85"/>
      <c r="AJ1605" s="58"/>
      <c r="AK1605" s="58"/>
      <c r="AL1605" s="58"/>
      <c r="AM1605" s="58"/>
      <c r="AO1605" s="85"/>
      <c r="AP1605" s="58"/>
      <c r="AQ1605" s="85"/>
      <c r="AR1605" s="58"/>
      <c r="AS1605" s="85"/>
      <c r="AT1605" s="85"/>
      <c r="AU1605" s="85"/>
      <c r="AV1605" s="59"/>
      <c r="AW1605" s="85"/>
      <c r="AX1605" s="59"/>
      <c r="AY1605" s="85"/>
      <c r="AZ1605" s="59"/>
      <c r="BA1605" s="85"/>
      <c r="BB1605" s="59"/>
      <c r="BC1605" s="85"/>
      <c r="BE1605" s="85"/>
    </row>
    <row r="1606" spans="1:57" x14ac:dyDescent="0.25">
      <c r="A1606" s="6"/>
      <c r="B1606" s="6"/>
      <c r="C1606" s="6"/>
      <c r="D1606" s="6"/>
      <c r="E1606" s="6"/>
      <c r="F1606" s="6"/>
      <c r="G1606" s="6"/>
      <c r="H1606" s="6"/>
      <c r="I1606" s="6"/>
      <c r="J1606" s="6"/>
      <c r="K1606" s="6"/>
      <c r="L1606" s="6"/>
      <c r="M1606" s="6"/>
      <c r="N1606" s="6"/>
      <c r="O1606" s="59"/>
      <c r="P1606" s="6"/>
      <c r="Q1606" s="6"/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C1606" s="6"/>
      <c r="AD1606" s="6"/>
      <c r="AE1606" s="6"/>
      <c r="AF1606" s="5" t="s">
        <v>995</v>
      </c>
      <c r="AH1606" s="36">
        <v>660291</v>
      </c>
      <c r="AI1606" s="32"/>
      <c r="AJ1606" s="7"/>
      <c r="AK1606" s="7"/>
      <c r="AL1606" s="7"/>
      <c r="AM1606" s="7"/>
      <c r="AN1606" s="32"/>
      <c r="AO1606" s="31">
        <f>AH1618</f>
        <v>969117</v>
      </c>
      <c r="AP1606" s="7"/>
      <c r="AQ1606" s="31">
        <f>AO1618</f>
        <v>510737</v>
      </c>
      <c r="AR1606" s="7"/>
      <c r="AS1606" s="31">
        <f>AQ1618</f>
        <v>175847</v>
      </c>
      <c r="AT1606" s="31"/>
      <c r="AU1606" s="31">
        <f>AS1618</f>
        <v>58723</v>
      </c>
      <c r="AV1606" s="34"/>
      <c r="AW1606" s="31">
        <f>AU1618</f>
        <v>-65047</v>
      </c>
      <c r="AX1606" s="34"/>
      <c r="AY1606" s="31">
        <f>AW1618</f>
        <v>-205140</v>
      </c>
      <c r="AZ1606" s="34"/>
      <c r="BA1606" s="31">
        <f>AY1618</f>
        <v>-331491</v>
      </c>
      <c r="BB1606" s="34"/>
      <c r="BC1606" s="31">
        <f>BA1618</f>
        <v>-489551</v>
      </c>
      <c r="BE1606" s="31">
        <f>BC1618</f>
        <v>-664532</v>
      </c>
    </row>
    <row r="1607" spans="1:57" x14ac:dyDescent="0.25">
      <c r="A1607" s="6"/>
      <c r="B1607" s="6"/>
      <c r="C1607" s="6"/>
      <c r="D1607" s="6"/>
      <c r="E1607" s="6"/>
      <c r="F1607" s="6"/>
      <c r="G1607" s="6"/>
      <c r="H1607" s="6"/>
      <c r="I1607" s="6"/>
      <c r="J1607" s="6"/>
      <c r="K1607" s="6"/>
      <c r="L1607" s="6"/>
      <c r="M1607" s="6"/>
      <c r="N1607" s="6"/>
      <c r="O1607" s="59"/>
      <c r="P1607" s="6"/>
      <c r="Q1607" s="6"/>
      <c r="R1607" s="6"/>
      <c r="S1607" s="6"/>
      <c r="T1607" s="6"/>
      <c r="U1607" s="6"/>
      <c r="V1607" s="6"/>
      <c r="W1607" s="6"/>
      <c r="X1607" s="6"/>
      <c r="Y1607" s="6"/>
      <c r="Z1607" s="6"/>
      <c r="AA1607" s="6"/>
      <c r="AB1607" s="6"/>
      <c r="AC1607" s="6"/>
      <c r="AD1607" s="6"/>
      <c r="AE1607" s="6"/>
      <c r="AH1607" s="36"/>
      <c r="AI1607" s="32"/>
      <c r="AJ1607" s="7"/>
      <c r="AK1607" s="7"/>
      <c r="AL1607" s="7"/>
      <c r="AM1607" s="7"/>
      <c r="AN1607" s="32"/>
      <c r="AO1607" s="31"/>
      <c r="AP1607" s="7"/>
      <c r="AQ1607" s="31"/>
      <c r="AR1607" s="7"/>
      <c r="AS1607" s="31"/>
      <c r="AT1607" s="31"/>
      <c r="AU1607" s="31"/>
      <c r="AV1607" s="34"/>
      <c r="AW1607" s="31"/>
      <c r="AX1607" s="34"/>
      <c r="AY1607" s="31"/>
      <c r="AZ1607" s="34"/>
      <c r="BA1607" s="31"/>
      <c r="BB1607" s="34"/>
      <c r="BC1607" s="31"/>
      <c r="BE1607" s="31"/>
    </row>
    <row r="1608" spans="1:57" x14ac:dyDescent="0.25">
      <c r="A1608" s="6"/>
      <c r="B1608" s="6"/>
      <c r="C1608" s="6"/>
      <c r="D1608" s="6"/>
      <c r="E1608" s="6"/>
      <c r="F1608" s="6"/>
      <c r="G1608" s="6"/>
      <c r="H1608" s="6"/>
      <c r="I1608" s="6"/>
      <c r="J1608" s="6"/>
      <c r="K1608" s="6"/>
      <c r="L1608" s="6"/>
      <c r="M1608" s="6"/>
      <c r="N1608" s="6"/>
      <c r="O1608" s="59"/>
      <c r="P1608" s="6"/>
      <c r="Q1608" s="6"/>
      <c r="R1608" s="6"/>
      <c r="S1608" s="6"/>
      <c r="T1608" s="6"/>
      <c r="U1608" s="6"/>
      <c r="V1608" s="6"/>
      <c r="W1608" s="6"/>
      <c r="X1608" s="6"/>
      <c r="Y1608" s="6"/>
      <c r="Z1608" s="6"/>
      <c r="AA1608" s="6"/>
      <c r="AB1608" s="6"/>
      <c r="AC1608" s="6"/>
      <c r="AD1608" s="6"/>
      <c r="AE1608" s="6"/>
      <c r="AF1608" s="5" t="s">
        <v>996</v>
      </c>
      <c r="AH1608" s="36">
        <v>-3674</v>
      </c>
      <c r="AI1608" s="32"/>
      <c r="AJ1608" s="32"/>
      <c r="AK1608" s="32"/>
      <c r="AL1608" s="32"/>
      <c r="AM1608" s="32"/>
      <c r="AN1608" s="32"/>
      <c r="AO1608" s="35">
        <v>-16164</v>
      </c>
      <c r="AP1608" s="32"/>
      <c r="AQ1608" s="35">
        <v>-80174</v>
      </c>
      <c r="AR1608" s="32"/>
      <c r="AS1608" s="35">
        <v>-49908</v>
      </c>
      <c r="AT1608" s="35"/>
      <c r="AU1608" s="35">
        <v>-56554</v>
      </c>
      <c r="AV1608" s="90"/>
      <c r="AW1608" s="35">
        <v>-72877</v>
      </c>
      <c r="AX1608" s="90"/>
      <c r="AY1608" s="35">
        <v>-59135</v>
      </c>
      <c r="AZ1608" s="90"/>
      <c r="BA1608" s="35">
        <v>-90844</v>
      </c>
      <c r="BB1608" s="90"/>
      <c r="BC1608" s="35">
        <v>-107765</v>
      </c>
      <c r="BE1608" s="35">
        <v>-107765</v>
      </c>
    </row>
    <row r="1609" spans="1:57" x14ac:dyDescent="0.25">
      <c r="A1609" s="6"/>
      <c r="B1609" s="6"/>
      <c r="C1609" s="6"/>
      <c r="D1609" s="6"/>
      <c r="E1609" s="6"/>
      <c r="F1609" s="6"/>
      <c r="G1609" s="6"/>
      <c r="H1609" s="6"/>
      <c r="I1609" s="6"/>
      <c r="J1609" s="6"/>
      <c r="K1609" s="6"/>
      <c r="L1609" s="6"/>
      <c r="M1609" s="6"/>
      <c r="N1609" s="6"/>
      <c r="O1609" s="59"/>
      <c r="P1609" s="6"/>
      <c r="Q1609" s="6"/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  <c r="AC1609" s="6"/>
      <c r="AD1609" s="6"/>
      <c r="AE1609" s="6"/>
      <c r="AH1609" s="36"/>
      <c r="AI1609" s="32"/>
      <c r="AJ1609" s="32"/>
      <c r="AK1609" s="32"/>
      <c r="AL1609" s="32"/>
      <c r="AM1609" s="32"/>
      <c r="AN1609" s="32"/>
      <c r="AO1609" s="36"/>
      <c r="AP1609" s="32"/>
      <c r="AQ1609" s="36"/>
      <c r="AR1609" s="32"/>
      <c r="AS1609" s="36"/>
      <c r="AT1609" s="36"/>
      <c r="AU1609" s="36"/>
      <c r="AV1609" s="90"/>
      <c r="AW1609" s="36"/>
      <c r="AX1609" s="90"/>
      <c r="AY1609" s="36"/>
      <c r="AZ1609" s="90"/>
      <c r="BA1609" s="36"/>
      <c r="BB1609" s="90"/>
      <c r="BC1609" s="36"/>
      <c r="BE1609" s="36"/>
    </row>
    <row r="1610" spans="1:57" x14ac:dyDescent="0.25">
      <c r="A1610" s="6"/>
      <c r="B1610" s="6"/>
      <c r="C1610" s="6"/>
      <c r="D1610" s="6"/>
      <c r="E1610" s="6"/>
      <c r="F1610" s="6"/>
      <c r="G1610" s="6"/>
      <c r="H1610" s="6"/>
      <c r="I1610" s="6"/>
      <c r="J1610" s="6"/>
      <c r="K1610" s="6"/>
      <c r="L1610" s="6"/>
      <c r="M1610" s="6"/>
      <c r="N1610" s="6"/>
      <c r="O1610" s="59"/>
      <c r="P1610" s="6"/>
      <c r="Q1610" s="6"/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  <c r="AC1610" s="6"/>
      <c r="AD1610" s="6"/>
      <c r="AE1610" s="6"/>
      <c r="AF1610" s="5" t="s">
        <v>997</v>
      </c>
      <c r="AH1610" s="36">
        <f>AH1606+AH1608</f>
        <v>656617</v>
      </c>
      <c r="AI1610" s="32"/>
      <c r="AJ1610" s="32"/>
      <c r="AK1610" s="32"/>
      <c r="AL1610" s="32"/>
      <c r="AM1610" s="32"/>
      <c r="AN1610" s="32"/>
      <c r="AO1610" s="36">
        <f>AO1606+AO1608</f>
        <v>952953</v>
      </c>
      <c r="AP1610" s="32"/>
      <c r="AQ1610" s="36">
        <f>AQ1606+AQ1608</f>
        <v>430563</v>
      </c>
      <c r="AR1610" s="32"/>
      <c r="AS1610" s="36">
        <f>AS1606+AS1608</f>
        <v>125939</v>
      </c>
      <c r="AT1610" s="36"/>
      <c r="AU1610" s="36">
        <f>AU1606+AU1608</f>
        <v>2169</v>
      </c>
      <c r="AV1610" s="90"/>
      <c r="AW1610" s="36">
        <f>AW1606+AW1608</f>
        <v>-137924</v>
      </c>
      <c r="AX1610" s="90"/>
      <c r="AY1610" s="36">
        <f>AY1606+AY1608</f>
        <v>-264275</v>
      </c>
      <c r="AZ1610" s="90"/>
      <c r="BA1610" s="36">
        <f>BA1606+BA1608</f>
        <v>-422335</v>
      </c>
      <c r="BB1610" s="90"/>
      <c r="BC1610" s="36">
        <f>BC1606+BC1608</f>
        <v>-597316</v>
      </c>
      <c r="BE1610" s="36">
        <f>BE1606+BE1608</f>
        <v>-772297</v>
      </c>
    </row>
    <row r="1611" spans="1:57" x14ac:dyDescent="0.25">
      <c r="A1611" s="6"/>
      <c r="B1611" s="6"/>
      <c r="C1611" s="6"/>
      <c r="D1611" s="6"/>
      <c r="E1611" s="6"/>
      <c r="F1611" s="6"/>
      <c r="G1611" s="6"/>
      <c r="H1611" s="6"/>
      <c r="I1611" s="6"/>
      <c r="J1611" s="6"/>
      <c r="K1611" s="6"/>
      <c r="L1611" s="6"/>
      <c r="M1611" s="6"/>
      <c r="N1611" s="6"/>
      <c r="O1611" s="59"/>
      <c r="P1611" s="6"/>
      <c r="Q1611" s="6"/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  <c r="AC1611" s="6"/>
      <c r="AD1611" s="6"/>
      <c r="AE1611" s="6"/>
      <c r="AH1611" s="36"/>
      <c r="AI1611" s="32"/>
      <c r="AJ1611" s="91"/>
      <c r="AK1611" s="91"/>
      <c r="AL1611" s="91"/>
      <c r="AM1611" s="91"/>
      <c r="AN1611" s="32"/>
      <c r="AO1611" s="36"/>
      <c r="AP1611" s="91"/>
      <c r="AQ1611" s="36"/>
      <c r="AR1611" s="91"/>
      <c r="AS1611" s="36"/>
      <c r="AT1611" s="36"/>
      <c r="AU1611" s="36"/>
      <c r="AV1611" s="90"/>
      <c r="AW1611" s="36"/>
      <c r="AX1611" s="90"/>
      <c r="AY1611" s="36"/>
      <c r="AZ1611" s="90"/>
      <c r="BA1611" s="36"/>
      <c r="BB1611" s="90"/>
      <c r="BC1611" s="36"/>
      <c r="BE1611" s="36"/>
    </row>
    <row r="1612" spans="1:57" x14ac:dyDescent="0.25">
      <c r="A1612" s="6"/>
      <c r="B1612" s="6"/>
      <c r="C1612" s="6"/>
      <c r="D1612" s="6"/>
      <c r="E1612" s="6"/>
      <c r="F1612" s="6"/>
      <c r="G1612" s="6"/>
      <c r="H1612" s="6"/>
      <c r="I1612" s="6"/>
      <c r="J1612" s="6"/>
      <c r="K1612" s="6"/>
      <c r="L1612" s="6"/>
      <c r="M1612" s="6"/>
      <c r="N1612" s="6"/>
      <c r="O1612" s="59"/>
      <c r="P1612" s="6"/>
      <c r="Q1612" s="6"/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C1612" s="6"/>
      <c r="AD1612" s="6"/>
      <c r="AE1612" s="6"/>
      <c r="AF1612" s="5" t="s">
        <v>998</v>
      </c>
      <c r="AH1612" s="82">
        <v>500000</v>
      </c>
      <c r="AI1612" s="32"/>
      <c r="AJ1612" s="91"/>
      <c r="AK1612" s="91"/>
      <c r="AL1612" s="91"/>
      <c r="AM1612" s="91"/>
      <c r="AN1612" s="32"/>
      <c r="AO1612" s="36"/>
      <c r="AP1612" s="91"/>
      <c r="AQ1612" s="36"/>
      <c r="AR1612" s="91"/>
      <c r="AS1612" s="36"/>
      <c r="AT1612" s="36"/>
      <c r="AU1612" s="36"/>
      <c r="AV1612" s="90"/>
      <c r="AW1612" s="36"/>
      <c r="AX1612" s="90"/>
      <c r="AY1612" s="36"/>
      <c r="AZ1612" s="90"/>
      <c r="BA1612" s="36"/>
      <c r="BB1612" s="90"/>
      <c r="BC1612" s="36"/>
      <c r="BE1612" s="36"/>
    </row>
    <row r="1613" spans="1:57" x14ac:dyDescent="0.25">
      <c r="A1613" s="6"/>
      <c r="B1613" s="6"/>
      <c r="C1613" s="6"/>
      <c r="D1613" s="6"/>
      <c r="E1613" s="6"/>
      <c r="F1613" s="6"/>
      <c r="G1613" s="6"/>
      <c r="H1613" s="6"/>
      <c r="I1613" s="6"/>
      <c r="J1613" s="6"/>
      <c r="K1613" s="6"/>
      <c r="L1613" s="6"/>
      <c r="M1613" s="6"/>
      <c r="N1613" s="6"/>
      <c r="O1613" s="59"/>
      <c r="P1613" s="6"/>
      <c r="Q1613" s="6"/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  <c r="AC1613" s="6"/>
      <c r="AD1613" s="6"/>
      <c r="AE1613" s="6"/>
      <c r="AH1613" s="82"/>
      <c r="AI1613" s="32"/>
      <c r="AJ1613" s="91"/>
      <c r="AK1613" s="91"/>
      <c r="AL1613" s="91"/>
      <c r="AM1613" s="91"/>
      <c r="AN1613" s="32"/>
      <c r="AO1613" s="36"/>
      <c r="AP1613" s="91"/>
      <c r="AQ1613" s="36"/>
      <c r="AR1613" s="91"/>
      <c r="AS1613" s="36"/>
      <c r="AT1613" s="36"/>
      <c r="AU1613" s="36"/>
      <c r="AV1613" s="90"/>
      <c r="AW1613" s="36"/>
      <c r="AX1613" s="90"/>
      <c r="AY1613" s="36"/>
      <c r="AZ1613" s="90"/>
      <c r="BA1613" s="36"/>
      <c r="BB1613" s="90"/>
      <c r="BC1613" s="36"/>
      <c r="BE1613" s="36"/>
    </row>
    <row r="1614" spans="1:57" x14ac:dyDescent="0.25">
      <c r="A1614" s="6"/>
      <c r="B1614" s="6"/>
      <c r="C1614" s="6"/>
      <c r="D1614" s="6"/>
      <c r="E1614" s="6"/>
      <c r="F1614" s="6"/>
      <c r="G1614" s="6"/>
      <c r="H1614" s="6"/>
      <c r="I1614" s="6"/>
      <c r="J1614" s="6"/>
      <c r="K1614" s="6"/>
      <c r="L1614" s="6"/>
      <c r="M1614" s="6"/>
      <c r="N1614" s="6"/>
      <c r="O1614" s="59"/>
      <c r="P1614" s="6"/>
      <c r="Q1614" s="6"/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/>
      <c r="AC1614" s="6"/>
      <c r="AD1614" s="6"/>
      <c r="AE1614" s="6"/>
      <c r="AF1614" s="5" t="s">
        <v>999</v>
      </c>
      <c r="AH1614" s="36">
        <v>-187500</v>
      </c>
      <c r="AI1614" s="32"/>
      <c r="AJ1614" s="91"/>
      <c r="AK1614" s="91"/>
      <c r="AL1614" s="91"/>
      <c r="AM1614" s="91"/>
      <c r="AN1614" s="32"/>
      <c r="AO1614" s="36">
        <v>-375000</v>
      </c>
      <c r="AP1614" s="91"/>
      <c r="AQ1614" s="36">
        <v>-187500</v>
      </c>
      <c r="AR1614" s="91"/>
      <c r="AS1614" s="36"/>
      <c r="AT1614" s="36"/>
      <c r="AU1614" s="36"/>
      <c r="AV1614" s="90"/>
      <c r="AW1614" s="36"/>
      <c r="AX1614" s="90"/>
      <c r="AY1614" s="36"/>
      <c r="AZ1614" s="90"/>
      <c r="BA1614" s="36"/>
      <c r="BB1614" s="90"/>
      <c r="BC1614" s="36"/>
      <c r="BE1614" s="36"/>
    </row>
    <row r="1615" spans="1:57" x14ac:dyDescent="0.25">
      <c r="A1615" s="6"/>
      <c r="B1615" s="6"/>
      <c r="C1615" s="6"/>
      <c r="D1615" s="6"/>
      <c r="E1615" s="6"/>
      <c r="F1615" s="6"/>
      <c r="G1615" s="6"/>
      <c r="H1615" s="6"/>
      <c r="I1615" s="6"/>
      <c r="J1615" s="6"/>
      <c r="K1615" s="6"/>
      <c r="L1615" s="6"/>
      <c r="M1615" s="6"/>
      <c r="N1615" s="6"/>
      <c r="O1615" s="59"/>
      <c r="P1615" s="6"/>
      <c r="Q1615" s="6"/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  <c r="AC1615" s="6"/>
      <c r="AD1615" s="6"/>
      <c r="AE1615" s="6"/>
      <c r="AH1615" s="36"/>
      <c r="AI1615" s="32"/>
      <c r="AJ1615" s="91"/>
      <c r="AK1615" s="91"/>
      <c r="AL1615" s="91"/>
      <c r="AM1615" s="91"/>
      <c r="AN1615" s="32"/>
      <c r="AO1615" s="36"/>
      <c r="AP1615" s="91"/>
      <c r="AQ1615" s="36"/>
      <c r="AR1615" s="91"/>
      <c r="AS1615" s="36"/>
      <c r="AT1615" s="36"/>
      <c r="AU1615" s="36"/>
      <c r="AV1615" s="90"/>
      <c r="AW1615" s="36"/>
      <c r="AX1615" s="90"/>
      <c r="AY1615" s="36"/>
      <c r="AZ1615" s="90"/>
      <c r="BA1615" s="36"/>
      <c r="BB1615" s="90"/>
      <c r="BC1615" s="36"/>
      <c r="BE1615" s="36"/>
    </row>
    <row r="1616" spans="1:57" x14ac:dyDescent="0.25">
      <c r="A1616" s="6"/>
      <c r="B1616" s="6"/>
      <c r="C1616" s="6"/>
      <c r="D1616" s="6"/>
      <c r="E1616" s="6"/>
      <c r="F1616" s="6"/>
      <c r="G1616" s="6"/>
      <c r="H1616" s="6"/>
      <c r="I1616" s="6"/>
      <c r="J1616" s="6"/>
      <c r="K1616" s="6"/>
      <c r="L1616" s="6"/>
      <c r="M1616" s="6"/>
      <c r="N1616" s="6"/>
      <c r="O1616" s="59"/>
      <c r="P1616" s="6"/>
      <c r="Q1616" s="6"/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/>
      <c r="AC1616" s="6"/>
      <c r="AD1616" s="6"/>
      <c r="AE1616" s="6"/>
      <c r="AF1616" s="5" t="s">
        <v>1000</v>
      </c>
      <c r="AH1616" s="36"/>
      <c r="AI1616" s="32"/>
      <c r="AJ1616" s="91"/>
      <c r="AK1616" s="91"/>
      <c r="AL1616" s="91"/>
      <c r="AM1616" s="91"/>
      <c r="AN1616" s="32"/>
      <c r="AO1616" s="36">
        <v>-67216</v>
      </c>
      <c r="AP1616" s="91"/>
      <c r="AQ1616" s="36">
        <v>-67216</v>
      </c>
      <c r="AR1616" s="91"/>
      <c r="AS1616" s="36">
        <v>-67216</v>
      </c>
      <c r="AT1616" s="36"/>
      <c r="AU1616" s="36">
        <v>-67216</v>
      </c>
      <c r="AV1616" s="90"/>
      <c r="AW1616" s="36">
        <v>-67216</v>
      </c>
      <c r="AX1616" s="90"/>
      <c r="AY1616" s="36">
        <v>-67216</v>
      </c>
      <c r="AZ1616" s="90"/>
      <c r="BA1616" s="36">
        <v>-67216</v>
      </c>
      <c r="BB1616" s="90"/>
      <c r="BC1616" s="36">
        <v>-67216</v>
      </c>
      <c r="BE1616" s="36">
        <v>-67216</v>
      </c>
    </row>
    <row r="1617" spans="1:57" x14ac:dyDescent="0.25">
      <c r="A1617" s="6"/>
      <c r="B1617" s="6"/>
      <c r="C1617" s="6"/>
      <c r="D1617" s="6"/>
      <c r="E1617" s="6"/>
      <c r="F1617" s="6"/>
      <c r="G1617" s="6"/>
      <c r="H1617" s="6"/>
      <c r="I1617" s="6"/>
      <c r="J1617" s="6"/>
      <c r="K1617" s="6"/>
      <c r="L1617" s="6"/>
      <c r="M1617" s="6"/>
      <c r="N1617" s="6"/>
      <c r="O1617" s="59"/>
      <c r="P1617" s="6"/>
      <c r="Q1617" s="6"/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  <c r="AC1617" s="6"/>
      <c r="AD1617" s="6"/>
      <c r="AE1617" s="6"/>
      <c r="AH1617" s="36"/>
      <c r="AI1617" s="32"/>
      <c r="AJ1617" s="58"/>
      <c r="AK1617" s="58"/>
      <c r="AL1617" s="58"/>
      <c r="AM1617" s="58"/>
      <c r="AO1617" s="35"/>
      <c r="AP1617" s="58"/>
      <c r="AQ1617" s="35"/>
      <c r="AR1617" s="58"/>
      <c r="AS1617" s="35"/>
      <c r="AT1617" s="35"/>
      <c r="AU1617" s="35"/>
      <c r="AV1617" s="59"/>
      <c r="AW1617" s="35"/>
      <c r="AX1617" s="59"/>
      <c r="AY1617" s="35"/>
      <c r="AZ1617" s="59"/>
      <c r="BA1617" s="35"/>
      <c r="BB1617" s="59"/>
      <c r="BC1617" s="35"/>
      <c r="BE1617" s="35"/>
    </row>
    <row r="1618" spans="1:57" x14ac:dyDescent="0.25">
      <c r="A1618" s="6"/>
      <c r="B1618" s="6"/>
      <c r="C1618" s="6"/>
      <c r="D1618" s="6"/>
      <c r="E1618" s="6"/>
      <c r="F1618" s="6"/>
      <c r="G1618" s="6"/>
      <c r="H1618" s="6"/>
      <c r="I1618" s="6"/>
      <c r="J1618" s="6"/>
      <c r="K1618" s="6"/>
      <c r="L1618" s="6"/>
      <c r="M1618" s="6"/>
      <c r="N1618" s="6"/>
      <c r="O1618" s="59"/>
      <c r="P1618" s="6"/>
      <c r="Q1618" s="6"/>
      <c r="R1618" s="6"/>
      <c r="S1618" s="6"/>
      <c r="T1618" s="6"/>
      <c r="U1618" s="6"/>
      <c r="V1618" s="6"/>
      <c r="W1618" s="6"/>
      <c r="X1618" s="6"/>
      <c r="Y1618" s="6"/>
      <c r="Z1618" s="6"/>
      <c r="AA1618" s="6"/>
      <c r="AB1618" s="6"/>
      <c r="AC1618" s="6"/>
      <c r="AD1618" s="6"/>
      <c r="AE1618" s="6"/>
      <c r="AF1618" s="5" t="s">
        <v>1001</v>
      </c>
      <c r="AH1618" s="36">
        <f>AH1610+AH1612+AH1614+AH1616</f>
        <v>969117</v>
      </c>
      <c r="AI1618" s="32"/>
      <c r="AJ1618" s="58"/>
      <c r="AK1618" s="58"/>
      <c r="AL1618" s="58"/>
      <c r="AM1618" s="58"/>
      <c r="AO1618" s="36">
        <f>AO1610+AO1612+AO1614+AO1616</f>
        <v>510737</v>
      </c>
      <c r="AP1618" s="58"/>
      <c r="AQ1618" s="36">
        <f>AQ1610+AQ1612+AQ1614+AQ1616</f>
        <v>175847</v>
      </c>
      <c r="AR1618" s="58"/>
      <c r="AS1618" s="36">
        <f>AS1610+AS1612+AS1614+AS1616</f>
        <v>58723</v>
      </c>
      <c r="AT1618" s="36"/>
      <c r="AU1618" s="36">
        <f>AU1610+AU1612+AU1614+AU1616</f>
        <v>-65047</v>
      </c>
      <c r="AV1618" s="59"/>
      <c r="AW1618" s="36">
        <f>AW1610+AW1612+AW1614+AW1616</f>
        <v>-205140</v>
      </c>
      <c r="AX1618" s="59"/>
      <c r="AY1618" s="36">
        <f>AY1610+AY1612+AY1614+AY1616</f>
        <v>-331491</v>
      </c>
      <c r="AZ1618" s="59"/>
      <c r="BA1618" s="36">
        <f>BA1610+BA1612+BA1614+BA1616</f>
        <v>-489551</v>
      </c>
      <c r="BB1618" s="59"/>
      <c r="BC1618" s="36">
        <f>BC1610+BC1612+BC1614+BC1616</f>
        <v>-664532</v>
      </c>
      <c r="BE1618" s="36">
        <f>BE1610+BE1612+BE1614+BE1616</f>
        <v>-839513</v>
      </c>
    </row>
    <row r="1619" spans="1:57" x14ac:dyDescent="0.25">
      <c r="A1619" s="6"/>
      <c r="B1619" s="6"/>
      <c r="C1619" s="6"/>
      <c r="D1619" s="6"/>
      <c r="E1619" s="6"/>
      <c r="F1619" s="6"/>
      <c r="G1619" s="6"/>
      <c r="H1619" s="6"/>
      <c r="I1619" s="6"/>
      <c r="J1619" s="6"/>
      <c r="K1619" s="6"/>
      <c r="L1619" s="6"/>
      <c r="M1619" s="6"/>
      <c r="N1619" s="6"/>
      <c r="O1619" s="59"/>
      <c r="P1619" s="6"/>
      <c r="Q1619" s="6"/>
      <c r="R1619" s="6"/>
      <c r="S1619" s="6"/>
      <c r="T1619" s="6"/>
      <c r="U1619" s="6"/>
      <c r="V1619" s="6"/>
      <c r="W1619" s="6"/>
      <c r="X1619" s="6"/>
      <c r="Y1619" s="6"/>
      <c r="Z1619" s="6"/>
      <c r="AA1619" s="6"/>
      <c r="AB1619" s="6"/>
      <c r="AC1619" s="6"/>
      <c r="AD1619" s="6"/>
      <c r="AE1619" s="6"/>
      <c r="AV1619" s="5"/>
      <c r="AX1619" s="5"/>
      <c r="AZ1619" s="5"/>
      <c r="BB1619" s="5"/>
    </row>
    <row r="1620" spans="1:57" x14ac:dyDescent="0.25">
      <c r="A1620" s="6"/>
      <c r="B1620" s="6"/>
      <c r="C1620" s="6"/>
      <c r="D1620" s="6"/>
      <c r="E1620" s="6"/>
      <c r="F1620" s="6"/>
      <c r="G1620" s="6"/>
      <c r="H1620" s="6"/>
      <c r="I1620" s="6"/>
      <c r="J1620" s="6"/>
      <c r="K1620" s="6"/>
      <c r="L1620" s="6"/>
      <c r="M1620" s="6"/>
      <c r="N1620" s="6"/>
      <c r="O1620" s="59"/>
      <c r="P1620" s="6"/>
      <c r="Q1620" s="6"/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/>
      <c r="AC1620" s="6"/>
      <c r="AD1620" s="6"/>
      <c r="AE1620" s="6"/>
      <c r="AV1620" s="5"/>
      <c r="AX1620" s="5"/>
      <c r="AZ1620" s="5"/>
      <c r="BB1620" s="5"/>
    </row>
    <row r="1621" spans="1:57" x14ac:dyDescent="0.25">
      <c r="A1621" s="6"/>
      <c r="B1621" s="6"/>
      <c r="C1621" s="6"/>
      <c r="D1621" s="6"/>
      <c r="E1621" s="6"/>
      <c r="F1621" s="6"/>
      <c r="G1621" s="6"/>
      <c r="H1621" s="6"/>
      <c r="I1621" s="6"/>
      <c r="J1621" s="6"/>
      <c r="K1621" s="6"/>
      <c r="L1621" s="6"/>
      <c r="M1621" s="6"/>
      <c r="N1621" s="6"/>
      <c r="O1621" s="59"/>
      <c r="P1621" s="6"/>
      <c r="Q1621" s="6"/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/>
      <c r="AC1621" s="6"/>
      <c r="AD1621" s="6"/>
      <c r="AE1621" s="6"/>
      <c r="AV1621" s="5"/>
      <c r="AX1621" s="5"/>
      <c r="AZ1621" s="5"/>
      <c r="BB1621" s="5"/>
    </row>
    <row r="1622" spans="1:57" x14ac:dyDescent="0.25">
      <c r="A1622" s="6"/>
      <c r="B1622" s="6"/>
      <c r="C1622" s="6"/>
      <c r="D1622" s="6"/>
      <c r="E1622" s="6"/>
      <c r="F1622" s="6"/>
      <c r="G1622" s="6"/>
      <c r="H1622" s="6"/>
      <c r="I1622" s="6"/>
      <c r="J1622" s="6"/>
      <c r="K1622" s="6"/>
      <c r="L1622" s="6"/>
      <c r="M1622" s="6"/>
      <c r="N1622" s="6"/>
      <c r="O1622" s="59"/>
      <c r="P1622" s="6"/>
      <c r="Q1622" s="6"/>
      <c r="R1622" s="6"/>
      <c r="S1622" s="6"/>
      <c r="T1622" s="6"/>
      <c r="U1622" s="6"/>
      <c r="V1622" s="6"/>
      <c r="W1622" s="6"/>
      <c r="X1622" s="6"/>
      <c r="Y1622" s="6"/>
      <c r="Z1622" s="6"/>
      <c r="AA1622" s="6"/>
      <c r="AB1622" s="6"/>
      <c r="AC1622" s="6"/>
      <c r="AD1622" s="6"/>
      <c r="AE1622" s="6"/>
      <c r="AV1622" s="5"/>
      <c r="AX1622" s="5"/>
      <c r="AZ1622" s="5"/>
      <c r="BB1622" s="5"/>
    </row>
    <row r="1623" spans="1:57" x14ac:dyDescent="0.25">
      <c r="A1623" s="6"/>
      <c r="B1623" s="6"/>
      <c r="C1623" s="6"/>
      <c r="D1623" s="6"/>
      <c r="E1623" s="6"/>
      <c r="F1623" s="6"/>
      <c r="G1623" s="6"/>
      <c r="H1623" s="6"/>
      <c r="I1623" s="6"/>
      <c r="J1623" s="6"/>
      <c r="K1623" s="6"/>
      <c r="L1623" s="6"/>
      <c r="M1623" s="6"/>
      <c r="N1623" s="6"/>
      <c r="O1623" s="59"/>
      <c r="P1623" s="6"/>
      <c r="Q1623" s="6"/>
      <c r="R1623" s="6"/>
      <c r="S1623" s="6"/>
      <c r="T1623" s="6"/>
      <c r="U1623" s="6"/>
      <c r="V1623" s="6"/>
      <c r="W1623" s="6"/>
      <c r="X1623" s="6"/>
      <c r="Y1623" s="6"/>
      <c r="Z1623" s="6"/>
      <c r="AA1623" s="6"/>
      <c r="AB1623" s="6"/>
      <c r="AC1623" s="6"/>
      <c r="AD1623" s="6"/>
      <c r="AE1623" s="6"/>
      <c r="AV1623" s="5"/>
      <c r="AX1623" s="5"/>
      <c r="AZ1623" s="5"/>
      <c r="BB1623" s="5"/>
    </row>
    <row r="1624" spans="1:57" x14ac:dyDescent="0.25">
      <c r="A1624" s="6"/>
      <c r="B1624" s="6"/>
      <c r="C1624" s="6"/>
      <c r="D1624" s="6"/>
      <c r="E1624" s="6"/>
      <c r="F1624" s="6"/>
      <c r="G1624" s="6"/>
      <c r="H1624" s="6"/>
      <c r="I1624" s="6"/>
      <c r="J1624" s="6"/>
      <c r="K1624" s="6"/>
      <c r="L1624" s="6"/>
      <c r="M1624" s="6"/>
      <c r="N1624" s="6"/>
      <c r="O1624" s="59"/>
      <c r="P1624" s="6"/>
      <c r="Q1624" s="6"/>
      <c r="R1624" s="6"/>
      <c r="S1624" s="6"/>
      <c r="T1624" s="6"/>
      <c r="U1624" s="6"/>
      <c r="V1624" s="6"/>
      <c r="W1624" s="6"/>
      <c r="X1624" s="6"/>
      <c r="Y1624" s="6"/>
      <c r="Z1624" s="6"/>
      <c r="AA1624" s="6"/>
      <c r="AB1624" s="6"/>
      <c r="AC1624" s="6"/>
      <c r="AD1624" s="6"/>
      <c r="AE1624" s="6"/>
      <c r="AV1624" s="5"/>
      <c r="AX1624" s="5"/>
      <c r="AZ1624" s="5"/>
      <c r="BB1624" s="5"/>
    </row>
    <row r="1625" spans="1:57" x14ac:dyDescent="0.25">
      <c r="A1625" s="6"/>
      <c r="B1625" s="6"/>
      <c r="C1625" s="6"/>
      <c r="D1625" s="6"/>
      <c r="E1625" s="6"/>
      <c r="F1625" s="6"/>
      <c r="G1625" s="6"/>
      <c r="H1625" s="6"/>
      <c r="I1625" s="6"/>
      <c r="J1625" s="6"/>
      <c r="K1625" s="6"/>
      <c r="L1625" s="6"/>
      <c r="M1625" s="6"/>
      <c r="N1625" s="6"/>
      <c r="O1625" s="59"/>
      <c r="P1625" s="6"/>
      <c r="Q1625" s="6"/>
      <c r="R1625" s="6"/>
      <c r="S1625" s="6"/>
      <c r="T1625" s="6"/>
      <c r="U1625" s="6"/>
      <c r="V1625" s="6"/>
      <c r="W1625" s="6"/>
      <c r="X1625" s="6"/>
      <c r="Y1625" s="6"/>
      <c r="Z1625" s="6"/>
      <c r="AA1625" s="6"/>
      <c r="AB1625" s="6"/>
      <c r="AC1625" s="6"/>
      <c r="AD1625" s="6"/>
      <c r="AE1625" s="6"/>
      <c r="AV1625" s="5"/>
      <c r="AX1625" s="5"/>
      <c r="AZ1625" s="5"/>
      <c r="BB1625" s="5"/>
    </row>
    <row r="1626" spans="1:57" x14ac:dyDescent="0.25">
      <c r="A1626" s="6"/>
      <c r="B1626" s="6"/>
      <c r="C1626" s="6"/>
      <c r="D1626" s="6"/>
      <c r="E1626" s="6"/>
      <c r="F1626" s="6"/>
      <c r="G1626" s="6"/>
      <c r="H1626" s="6"/>
      <c r="I1626" s="6"/>
      <c r="J1626" s="6"/>
      <c r="K1626" s="6"/>
      <c r="L1626" s="6"/>
      <c r="M1626" s="6"/>
      <c r="N1626" s="6"/>
      <c r="O1626" s="59"/>
      <c r="P1626" s="6"/>
      <c r="Q1626" s="6"/>
      <c r="R1626" s="6"/>
      <c r="S1626" s="6"/>
      <c r="T1626" s="6"/>
      <c r="U1626" s="6"/>
      <c r="V1626" s="6"/>
      <c r="W1626" s="6"/>
      <c r="X1626" s="6"/>
      <c r="Y1626" s="6"/>
      <c r="Z1626" s="6"/>
      <c r="AA1626" s="6"/>
      <c r="AB1626" s="6"/>
      <c r="AC1626" s="6"/>
      <c r="AD1626" s="6"/>
      <c r="AE1626" s="6"/>
      <c r="AV1626" s="5"/>
      <c r="AX1626" s="5"/>
      <c r="AZ1626" s="5"/>
      <c r="BB1626" s="5"/>
    </row>
    <row r="1627" spans="1:57" x14ac:dyDescent="0.25">
      <c r="A1627" s="6"/>
      <c r="B1627" s="6"/>
      <c r="C1627" s="6"/>
      <c r="D1627" s="6"/>
      <c r="E1627" s="6"/>
      <c r="F1627" s="6"/>
      <c r="G1627" s="6"/>
      <c r="H1627" s="6"/>
      <c r="I1627" s="6"/>
      <c r="J1627" s="6"/>
      <c r="K1627" s="6"/>
      <c r="L1627" s="6"/>
      <c r="M1627" s="6"/>
      <c r="N1627" s="6"/>
      <c r="O1627" s="59"/>
      <c r="P1627" s="6"/>
      <c r="Q1627" s="6"/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  <c r="AC1627" s="6"/>
      <c r="AD1627" s="6"/>
      <c r="AE1627" s="6"/>
      <c r="AV1627" s="5"/>
      <c r="AX1627" s="5"/>
      <c r="AZ1627" s="5"/>
      <c r="BB1627" s="5"/>
    </row>
    <row r="1628" spans="1:57" x14ac:dyDescent="0.25">
      <c r="A1628" s="6"/>
      <c r="B1628" s="6"/>
      <c r="C1628" s="6"/>
      <c r="D1628" s="6"/>
      <c r="E1628" s="6"/>
      <c r="F1628" s="6"/>
      <c r="G1628" s="6"/>
      <c r="H1628" s="6"/>
      <c r="I1628" s="6"/>
      <c r="J1628" s="6"/>
      <c r="K1628" s="6"/>
      <c r="L1628" s="6"/>
      <c r="M1628" s="6"/>
      <c r="N1628" s="6"/>
      <c r="O1628" s="59"/>
      <c r="P1628" s="6"/>
      <c r="Q1628" s="6"/>
      <c r="R1628" s="6"/>
      <c r="S1628" s="6"/>
      <c r="T1628" s="6"/>
      <c r="U1628" s="6"/>
      <c r="V1628" s="6"/>
      <c r="W1628" s="6"/>
      <c r="X1628" s="6"/>
      <c r="Y1628" s="6"/>
      <c r="Z1628" s="6"/>
      <c r="AA1628" s="6"/>
      <c r="AB1628" s="6"/>
      <c r="AC1628" s="6"/>
      <c r="AD1628" s="6"/>
      <c r="AE1628" s="6"/>
      <c r="AV1628" s="5"/>
      <c r="AX1628" s="5"/>
      <c r="AZ1628" s="5"/>
      <c r="BB1628" s="5"/>
    </row>
    <row r="1629" spans="1:57" x14ac:dyDescent="0.25">
      <c r="A1629" s="6"/>
      <c r="B1629" s="6"/>
      <c r="C1629" s="6"/>
      <c r="D1629" s="6"/>
      <c r="E1629" s="6"/>
      <c r="F1629" s="6"/>
      <c r="G1629" s="6"/>
      <c r="H1629" s="6"/>
      <c r="I1629" s="6"/>
      <c r="J1629" s="6"/>
      <c r="K1629" s="6"/>
      <c r="L1629" s="6"/>
      <c r="M1629" s="6"/>
      <c r="N1629" s="6"/>
      <c r="O1629" s="59"/>
      <c r="P1629" s="6"/>
      <c r="Q1629" s="6"/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/>
      <c r="AC1629" s="6"/>
      <c r="AD1629" s="6"/>
      <c r="AE1629" s="6"/>
      <c r="AV1629" s="5"/>
      <c r="AX1629" s="5"/>
      <c r="AZ1629" s="5"/>
      <c r="BB1629" s="5"/>
    </row>
  </sheetData>
  <pageMargins left="0.70866141732283472" right="0.70866141732283472" top="0.74803149606299213" bottom="0.74803149606299213" header="0.31496062992125984" footer="0.31496062992125984"/>
  <pageSetup paperSize="8" scale="65" orientation="portrait" r:id="rId1"/>
  <rowBreaks count="14" manualBreakCount="14">
    <brk id="108" max="16383" man="1"/>
    <brk id="222" max="38" man="1"/>
    <brk id="339" max="38" man="1"/>
    <brk id="426" max="38" man="1"/>
    <brk id="539" max="38" man="1"/>
    <brk id="651" max="38" man="1"/>
    <brk id="747" max="38" man="1"/>
    <brk id="837" max="38" man="1"/>
    <brk id="1064" max="16383" man="1"/>
    <brk id="1161" max="38" man="1"/>
    <brk id="1204" max="16383" man="1"/>
    <brk id="1312" max="38" man="1"/>
    <brk id="1345" max="16383" man="1"/>
    <brk id="1456" max="38" man="1"/>
  </rowBreaks>
  <colBreaks count="2" manualBreakCount="2">
    <brk id="40" max="1048575" man="1"/>
    <brk id="57" max="1048575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E97"/>
  <sheetViews>
    <sheetView tabSelected="1" topLeftCell="A74" zoomScale="75" zoomScaleNormal="75" workbookViewId="0">
      <selection activeCell="A97" sqref="A97"/>
    </sheetView>
  </sheetViews>
  <sheetFormatPr defaultRowHeight="15" outlineLevelRow="1" x14ac:dyDescent="0.25"/>
  <cols>
    <col min="1" max="1" width="60.5703125" style="385" bestFit="1" customWidth="1"/>
    <col min="2" max="2" width="8.85546875" style="385" bestFit="1" customWidth="1"/>
    <col min="3" max="3" width="1.7109375" style="385" customWidth="1"/>
    <col min="4" max="4" width="9.7109375" style="385" bestFit="1" customWidth="1"/>
    <col min="5" max="5" width="1.7109375" style="385" customWidth="1"/>
    <col min="6" max="6" width="9.7109375" style="385" bestFit="1" customWidth="1"/>
    <col min="7" max="7" width="1.7109375" style="385" customWidth="1"/>
    <col min="8" max="8" width="9.7109375" style="385" bestFit="1" customWidth="1"/>
    <col min="9" max="9" width="1.7109375" style="385" customWidth="1"/>
    <col min="10" max="10" width="9.7109375" style="385" bestFit="1" customWidth="1"/>
    <col min="11" max="11" width="1.7109375" style="385" customWidth="1"/>
    <col min="12" max="12" width="9.7109375" style="385" bestFit="1" customWidth="1"/>
    <col min="13" max="13" width="1.7109375" style="385" customWidth="1"/>
    <col min="14" max="14" width="9.7109375" style="385" bestFit="1" customWidth="1"/>
    <col min="15" max="15" width="1.7109375" style="385" customWidth="1"/>
    <col min="16" max="16" width="9.7109375" style="385" bestFit="1" customWidth="1"/>
    <col min="17" max="17" width="1.7109375" style="385" customWidth="1"/>
    <col min="18" max="18" width="9.7109375" style="385" bestFit="1" customWidth="1"/>
    <col min="19" max="19" width="1.7109375" style="385" customWidth="1"/>
    <col min="20" max="20" width="9.7109375" style="385" bestFit="1" customWidth="1"/>
    <col min="21" max="21" width="1.7109375" style="385" customWidth="1"/>
    <col min="22" max="22" width="9.7109375" style="385" bestFit="1" customWidth="1"/>
    <col min="23" max="23" width="1.7109375" style="385" customWidth="1"/>
    <col min="24" max="24" width="9.7109375" style="385" bestFit="1" customWidth="1"/>
    <col min="25" max="25" width="1.7109375" style="385" customWidth="1"/>
    <col min="26" max="26" width="9.7109375" style="385" bestFit="1" customWidth="1"/>
    <col min="27" max="27" width="12" style="385" bestFit="1" customWidth="1"/>
    <col min="28" max="16384" width="9.140625" style="385"/>
  </cols>
  <sheetData>
    <row r="1" spans="1:26" ht="15.75" thickBot="1" x14ac:dyDescent="0.3">
      <c r="A1" s="7" t="s">
        <v>1384</v>
      </c>
    </row>
    <row r="2" spans="1:26" x14ac:dyDescent="0.25">
      <c r="A2" s="6"/>
      <c r="B2" s="237" t="s">
        <v>9</v>
      </c>
      <c r="C2" s="3"/>
      <c r="D2" s="237" t="s">
        <v>8</v>
      </c>
      <c r="E2" s="3"/>
      <c r="F2" s="237" t="s">
        <v>8</v>
      </c>
      <c r="G2" s="3"/>
      <c r="H2" s="237" t="s">
        <v>8</v>
      </c>
      <c r="I2" s="3"/>
      <c r="J2" s="237" t="s">
        <v>8</v>
      </c>
      <c r="K2" s="257"/>
      <c r="L2" s="240" t="s">
        <v>8</v>
      </c>
      <c r="M2" s="42"/>
      <c r="N2" s="237" t="s">
        <v>8</v>
      </c>
      <c r="O2" s="42"/>
      <c r="P2" s="237" t="s">
        <v>8</v>
      </c>
      <c r="Q2" s="42"/>
      <c r="R2" s="237" t="s">
        <v>8</v>
      </c>
      <c r="S2" s="42"/>
      <c r="T2" s="237" t="s">
        <v>8</v>
      </c>
      <c r="U2" s="42"/>
      <c r="V2" s="237" t="s">
        <v>8</v>
      </c>
      <c r="W2" s="42"/>
      <c r="X2" s="237" t="s">
        <v>8</v>
      </c>
      <c r="Y2" s="42"/>
      <c r="Z2" s="237" t="s">
        <v>8</v>
      </c>
    </row>
    <row r="3" spans="1:26" ht="15.75" thickBot="1" x14ac:dyDescent="0.3">
      <c r="A3" s="7" t="s">
        <v>1376</v>
      </c>
      <c r="B3" s="241" t="s">
        <v>18</v>
      </c>
      <c r="C3" s="3"/>
      <c r="D3" s="241" t="s">
        <v>24</v>
      </c>
      <c r="E3" s="3"/>
      <c r="F3" s="241" t="s">
        <v>25</v>
      </c>
      <c r="G3" s="3"/>
      <c r="H3" s="241" t="s">
        <v>26</v>
      </c>
      <c r="I3" s="3"/>
      <c r="J3" s="241" t="s">
        <v>27</v>
      </c>
      <c r="K3" s="257"/>
      <c r="L3" s="244" t="s">
        <v>28</v>
      </c>
      <c r="M3" s="42"/>
      <c r="N3" s="241" t="s">
        <v>29</v>
      </c>
      <c r="O3" s="42"/>
      <c r="P3" s="241" t="s">
        <v>30</v>
      </c>
      <c r="Q3" s="42"/>
      <c r="R3" s="241" t="s">
        <v>31</v>
      </c>
      <c r="S3" s="42"/>
      <c r="T3" s="241" t="s">
        <v>32</v>
      </c>
      <c r="U3" s="42"/>
      <c r="V3" s="241" t="s">
        <v>33</v>
      </c>
      <c r="W3" s="42"/>
      <c r="X3" s="241" t="s">
        <v>1276</v>
      </c>
      <c r="Y3" s="42"/>
      <c r="Z3" s="241" t="s">
        <v>1277</v>
      </c>
    </row>
    <row r="4" spans="1:26" x14ac:dyDescent="0.25">
      <c r="A4" s="461" t="s">
        <v>1249</v>
      </c>
      <c r="B4" s="461"/>
      <c r="C4" s="461"/>
      <c r="D4" s="461"/>
      <c r="E4" s="461"/>
      <c r="F4" s="461"/>
      <c r="G4" s="461"/>
      <c r="H4" s="461"/>
      <c r="I4" s="461"/>
      <c r="J4" s="461"/>
      <c r="K4" s="461"/>
      <c r="L4" s="461"/>
      <c r="M4" s="461"/>
      <c r="N4" s="461"/>
      <c r="O4" s="461"/>
      <c r="P4" s="461"/>
      <c r="Q4" s="461"/>
      <c r="R4" s="461"/>
      <c r="S4" s="461"/>
      <c r="T4" s="461"/>
      <c r="U4" s="461"/>
      <c r="V4" s="461"/>
      <c r="W4" s="461"/>
      <c r="X4" s="461"/>
      <c r="Y4" s="461"/>
      <c r="Z4" s="461"/>
    </row>
    <row r="6" spans="1:26" x14ac:dyDescent="0.25">
      <c r="A6" s="90" t="s">
        <v>1179</v>
      </c>
      <c r="B6" s="90"/>
      <c r="C6" s="90"/>
    </row>
    <row r="7" spans="1:26" x14ac:dyDescent="0.25">
      <c r="A7" s="59" t="s">
        <v>1180</v>
      </c>
      <c r="B7" s="59"/>
      <c r="C7" s="59"/>
    </row>
    <row r="8" spans="1:26" x14ac:dyDescent="0.25">
      <c r="A8" s="386" t="s">
        <v>1181</v>
      </c>
      <c r="B8" s="4">
        <v>3398</v>
      </c>
      <c r="C8" s="4"/>
      <c r="D8" s="4">
        <f>(General!AI1053/1000)+(TID!AI162/1000)</f>
        <v>3031.3494500000002</v>
      </c>
      <c r="E8" s="4"/>
      <c r="F8" s="4">
        <f>(General!AK1053/1000)+(TID!AK162/1000)</f>
        <v>3112.1281879500002</v>
      </c>
      <c r="G8" s="4"/>
      <c r="H8" s="4">
        <f>(General!AM1053/1000)+(TID!AM162/1000)</f>
        <v>3221.7474888043498</v>
      </c>
      <c r="I8" s="4"/>
      <c r="J8" s="4">
        <f>(General!AO1053/1000)+(TID!AO162/1000)</f>
        <v>3335.3439836999328</v>
      </c>
      <c r="K8" s="4"/>
      <c r="L8" s="4">
        <f>(General!AQ1053/1000)+(TID!AQ162/1000)</f>
        <v>3453.0671839673714</v>
      </c>
      <c r="M8" s="4"/>
      <c r="N8" s="4">
        <f>(General!AS1053/1000)+(TID!AS162/1000)</f>
        <v>3575.0724535289928</v>
      </c>
      <c r="O8" s="4"/>
      <c r="P8" s="4">
        <f>(General!AU1053/1000)+(TID!AU162/1000)</f>
        <v>3701.5212480806731</v>
      </c>
      <c r="Q8" s="4"/>
      <c r="R8" s="4">
        <f>(General!AW1053/1000)+(TID!AW162/1000)</f>
        <v>3832.5813644712121</v>
      </c>
      <c r="S8" s="4"/>
      <c r="T8" s="4">
        <f>(General!AY1053/1000)+(TID!AY162/1000)</f>
        <v>3968.4272007310115</v>
      </c>
      <c r="U8" s="4"/>
      <c r="V8" s="4">
        <f>(General!BA1053/1000)+(TID!BA162/1000)</f>
        <v>4109.2400272225395</v>
      </c>
      <c r="W8" s="4"/>
      <c r="X8" s="4">
        <f>(General!BC1053/1000)+(TID!BC162/1000)</f>
        <v>4255.2082694066712</v>
      </c>
      <c r="Y8" s="4"/>
      <c r="Z8" s="4">
        <f>(General!BE1053/1000)+(TID!BE162/1000)</f>
        <v>4406.5278027416834</v>
      </c>
    </row>
    <row r="9" spans="1:26" x14ac:dyDescent="0.25">
      <c r="A9" s="386" t="s">
        <v>1217</v>
      </c>
      <c r="B9" s="4">
        <v>1130</v>
      </c>
      <c r="C9" s="4"/>
      <c r="D9" s="4">
        <f>(General!AI1054/1000)+(TID!AI163/1000)</f>
        <v>322.10825624999995</v>
      </c>
      <c r="E9" s="4"/>
      <c r="F9" s="4">
        <f>(General!AK1054/1000)+(TID!AK163/1000)</f>
        <v>407.04371265625002</v>
      </c>
      <c r="G9" s="4"/>
      <c r="H9" s="4">
        <f>(General!AM1054/1000)+(TID!AM163/1000)</f>
        <v>418.67848797265623</v>
      </c>
      <c r="I9" s="4"/>
      <c r="J9" s="4">
        <f>(General!AO1054/1000)+(TID!AO163/1000)</f>
        <v>430.69680164697257</v>
      </c>
      <c r="K9" s="4"/>
      <c r="L9" s="4">
        <f>(General!AQ1054/1000)+(TID!AQ163/1000)</f>
        <v>443.11298072739686</v>
      </c>
      <c r="M9" s="4"/>
      <c r="N9" s="4">
        <f>(General!AS1054/1000)+(TID!AS163/1000)</f>
        <v>455.93194636640925</v>
      </c>
      <c r="O9" s="4"/>
      <c r="P9" s="4">
        <f>(General!AU1054/1000)+(TID!AU163/1000)</f>
        <v>469.17924043912979</v>
      </c>
      <c r="Q9" s="4"/>
      <c r="R9" s="4">
        <f>(General!AW1054/1000)+(TID!AW163/1000)</f>
        <v>482.87105341449023</v>
      </c>
      <c r="S9" s="4"/>
      <c r="T9" s="4">
        <f>(General!AY1054/1000)+(TID!AY163/1000)</f>
        <v>497.02425353988104</v>
      </c>
      <c r="U9" s="4"/>
      <c r="V9" s="4">
        <f>(General!BA1054/1000)+(TID!BA163/1000)</f>
        <v>511.6564174029142</v>
      </c>
      <c r="W9" s="4"/>
      <c r="X9" s="4">
        <f>(General!BC1054/1000)+(TID!BC163/1000)</f>
        <v>526.78586193707781</v>
      </c>
      <c r="Y9" s="4"/>
      <c r="Z9" s="4">
        <f>(General!BE1054/1000)+(TID!BE163/1000)</f>
        <v>542.43167794133899</v>
      </c>
    </row>
    <row r="10" spans="1:26" x14ac:dyDescent="0.25">
      <c r="A10" s="386" t="s">
        <v>1218</v>
      </c>
      <c r="B10" s="4">
        <v>313</v>
      </c>
      <c r="C10" s="4"/>
      <c r="D10" s="4">
        <f>(General!AI1055/1000)+(TID!AI164/1000)</f>
        <v>180.5</v>
      </c>
      <c r="E10" s="4"/>
      <c r="F10" s="4">
        <f>(General!AK1055/1000)+(TID!AK164/1000)</f>
        <v>181</v>
      </c>
      <c r="G10" s="4"/>
      <c r="H10" s="4">
        <f>(General!AM1055/1000)+(TID!AM164/1000)</f>
        <v>186.5</v>
      </c>
      <c r="I10" s="4"/>
      <c r="J10" s="4">
        <f>(General!AO1055/1000)+(TID!AO164/1000)</f>
        <v>191.5</v>
      </c>
      <c r="K10" s="4"/>
      <c r="L10" s="4">
        <f>(General!AQ1055/1000)+(TID!AQ164/1000)</f>
        <v>196.5</v>
      </c>
      <c r="M10" s="4"/>
      <c r="N10" s="4">
        <f>(General!AS1055/1000)+(TID!AS164/1000)</f>
        <v>201.5</v>
      </c>
      <c r="O10" s="4"/>
      <c r="P10" s="4">
        <f>(General!AU1055/1000)+(TID!AU164/1000)</f>
        <v>206.5</v>
      </c>
      <c r="Q10" s="4"/>
      <c r="R10" s="4">
        <f>(General!AW1055/1000)+(TID!AW164/1000)</f>
        <v>211.5</v>
      </c>
      <c r="S10" s="4"/>
      <c r="T10" s="4">
        <f>(General!AY1055/1000)+(TID!AY164/1000)</f>
        <v>216.5</v>
      </c>
      <c r="U10" s="4"/>
      <c r="V10" s="4">
        <f>(General!BA1055/1000)+(TID!BA164/1000)</f>
        <v>221.5</v>
      </c>
      <c r="W10" s="4"/>
      <c r="X10" s="4">
        <f>(General!BC1055/1000)+(TID!BC164/1000)</f>
        <v>226.5</v>
      </c>
      <c r="Y10" s="4"/>
      <c r="Z10" s="4">
        <f>(General!BE1055/1000)+(TID!BE164/1000)</f>
        <v>231.5</v>
      </c>
    </row>
    <row r="11" spans="1:26" x14ac:dyDescent="0.25">
      <c r="A11" s="386" t="s">
        <v>1182</v>
      </c>
      <c r="B11" s="4">
        <v>5815</v>
      </c>
      <c r="C11" s="4"/>
      <c r="D11" s="4">
        <f>(General!AI1056/1000)+(TID!AI165/1000)</f>
        <v>6962.9594431249998</v>
      </c>
      <c r="E11" s="4"/>
      <c r="F11" s="4">
        <f>(General!AK1056/1000)+(TID!AK165/1000)</f>
        <v>3198.0629267031245</v>
      </c>
      <c r="G11" s="4"/>
      <c r="H11" s="4">
        <f>(General!AM1056/1000)+(TID!AM165/1000)</f>
        <v>3413.2028997957027</v>
      </c>
      <c r="I11" s="4"/>
      <c r="J11" s="4">
        <f>(General!AO1056/1000)+(TID!AO165/1000)</f>
        <v>3492.3214221633448</v>
      </c>
      <c r="K11" s="4"/>
      <c r="L11" s="4">
        <f>(General!AQ1056/1000)+(TID!AQ165/1000)</f>
        <v>3575.2313543453602</v>
      </c>
      <c r="M11" s="4"/>
      <c r="N11" s="4">
        <f>(General!AS1056/1000)+(TID!AS165/1000)</f>
        <v>3648.5763777049451</v>
      </c>
      <c r="O11" s="4"/>
      <c r="P11" s="4">
        <f>(General!AU1056/1000)+(TID!AU165/1000)</f>
        <v>3672.7410149772118</v>
      </c>
      <c r="Q11" s="4"/>
      <c r="R11" s="4">
        <f>(General!AW1056/1000)+(TID!AW165/1000)</f>
        <v>3707.4306513327097</v>
      </c>
      <c r="S11" s="4"/>
      <c r="T11" s="4">
        <f>(General!AY1056/1000)+(TID!AY165/1000)</f>
        <v>3617.1015559693956</v>
      </c>
      <c r="U11" s="4"/>
      <c r="V11" s="4">
        <f>(General!BA1056/1000)+(TID!BA165/1000)</f>
        <v>3680.0909042463259</v>
      </c>
      <c r="W11" s="4"/>
      <c r="X11" s="4">
        <f>(General!BC1056/1000)+(TID!BC165/1000)</f>
        <v>3744.6468003727082</v>
      </c>
      <c r="Y11" s="4"/>
      <c r="Z11" s="4">
        <f>(General!BE1056/1000)+(TID!BE165/1000)</f>
        <v>3810.808300666281</v>
      </c>
    </row>
    <row r="12" spans="1:26" x14ac:dyDescent="0.25">
      <c r="A12" s="386" t="s">
        <v>1183</v>
      </c>
      <c r="B12" s="4">
        <v>980</v>
      </c>
      <c r="C12" s="4"/>
      <c r="D12" s="4">
        <f>(General!AI1057/1000)+(TID!AI166/1000)</f>
        <v>838.01997500000004</v>
      </c>
      <c r="E12" s="4"/>
      <c r="F12" s="4">
        <f>(General!AK1057/1000)+(TID!AK166/1000)</f>
        <v>838.53187406249992</v>
      </c>
      <c r="G12" s="4"/>
      <c r="H12" s="4">
        <f>(General!AM1057/1000)+(TID!AM166/1000)</f>
        <v>860.38804546953133</v>
      </c>
      <c r="I12" s="4"/>
      <c r="J12" s="4">
        <f>(General!AO1057/1000)+(TID!AO166/1000)</f>
        <v>882.87496162550997</v>
      </c>
      <c r="K12" s="4"/>
      <c r="L12" s="4">
        <f>(General!AQ1057/1000)+(TID!AQ166/1000)</f>
        <v>906.01234990045327</v>
      </c>
      <c r="M12" s="4"/>
      <c r="N12" s="4">
        <f>(General!AS1057/1000)+(TID!AS166/1000)</f>
        <v>926.81782766239701</v>
      </c>
      <c r="O12" s="4"/>
      <c r="P12" s="4">
        <f>(General!AU1057/1000)+(TID!AU166/1000)</f>
        <v>948.19048699962661</v>
      </c>
      <c r="Q12" s="4"/>
      <c r="R12" s="4">
        <f>(General!AW1057/1000)+(TID!AW166/1000)</f>
        <v>970.14606933167715</v>
      </c>
      <c r="S12" s="4"/>
      <c r="T12" s="4">
        <f>(General!AY1057/1000)+(TID!AY166/1000)</f>
        <v>992.70075648080058</v>
      </c>
      <c r="U12" s="4"/>
      <c r="V12" s="4">
        <f>(General!BA1057/1000)+(TID!BA166/1000)</f>
        <v>1015.8711830882694</v>
      </c>
      <c r="W12" s="4"/>
      <c r="X12" s="4">
        <f>(General!BC1057/1000)+(TID!BC166/1000)</f>
        <v>1039.6744493832728</v>
      </c>
      <c r="Y12" s="4"/>
      <c r="Z12" s="4">
        <f>(General!BE1057/1000)+(TID!BE166/1000)</f>
        <v>1064.128134314499</v>
      </c>
    </row>
    <row r="13" spans="1:26" x14ac:dyDescent="0.25">
      <c r="A13" s="51" t="s">
        <v>1184</v>
      </c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x14ac:dyDescent="0.25">
      <c r="A14" s="386" t="s">
        <v>1219</v>
      </c>
      <c r="B14" s="4">
        <v>-3849</v>
      </c>
      <c r="C14" s="4"/>
      <c r="D14" s="4">
        <f>(General!AI1059/1000)+(TID!AI168/1000)</f>
        <v>-3582.9741379310349</v>
      </c>
      <c r="E14" s="4"/>
      <c r="F14" s="4">
        <f>(General!AK1059/1000)+(TID!AK168/1000)</f>
        <v>-3693.9765625000009</v>
      </c>
      <c r="G14" s="4"/>
      <c r="H14" s="4">
        <f>(General!AM1059/1000)+(TID!AM168/1000)</f>
        <v>-3824.3739351562508</v>
      </c>
      <c r="I14" s="4"/>
      <c r="J14" s="4">
        <f>(General!AO1059/1000)+(TID!AO168/1000)</f>
        <v>-3958.2270228867196</v>
      </c>
      <c r="K14" s="4"/>
      <c r="L14" s="4">
        <f>(General!AQ1059/1000)+(TID!AQ168/1000)</f>
        <v>-4094.7858551763106</v>
      </c>
      <c r="M14" s="4"/>
      <c r="N14" s="4">
        <f>(General!AS1059/1000)+(TID!AS168/1000)</f>
        <v>-4236.0559671798937</v>
      </c>
      <c r="O14" s="4"/>
      <c r="P14" s="4">
        <f>(General!AU1059/1000)+(TID!AU168/1000)</f>
        <v>-4370.0717990005842</v>
      </c>
      <c r="Q14" s="4"/>
      <c r="R14" s="4">
        <f>(General!AW1059/1000)+(TID!AW168/1000)</f>
        <v>-4508.3473340476785</v>
      </c>
      <c r="S14" s="4"/>
      <c r="T14" s="4">
        <f>(General!AY1059/1000)+(TID!AY168/1000)</f>
        <v>-4651.0186167933452</v>
      </c>
      <c r="U14" s="4"/>
      <c r="V14" s="4">
        <f>(General!BA1059/1000)+(TID!BA168/1000)</f>
        <v>-4798.2260577853685</v>
      </c>
      <c r="W14" s="4"/>
      <c r="X14" s="4">
        <f>(General!BC1059/1000)+(TID!BC168/1000)</f>
        <v>-4950.1145744529958</v>
      </c>
      <c r="Y14" s="4"/>
      <c r="Z14" s="4">
        <f>(General!BE1059/1000)+(TID!BE168/1000)</f>
        <v>-5106.8337364758763</v>
      </c>
    </row>
    <row r="15" spans="1:26" x14ac:dyDescent="0.25">
      <c r="A15" s="387" t="s">
        <v>1220</v>
      </c>
      <c r="B15" s="4">
        <v>-2563</v>
      </c>
      <c r="C15" s="4"/>
      <c r="D15" s="4">
        <f>(General!AI1060/1000)+(TID!AI169/1000)</f>
        <v>-5464.9422485689665</v>
      </c>
      <c r="E15" s="4"/>
      <c r="F15" s="4">
        <f>(General!AK1060/1000)+(TID!AK169/1000)</f>
        <v>-1456.00232497</v>
      </c>
      <c r="G15" s="4"/>
      <c r="H15" s="4">
        <f>(General!AM1060/1000)+(TID!AM169/1000)</f>
        <v>-1622.4445180720359</v>
      </c>
      <c r="I15" s="4"/>
      <c r="J15" s="4">
        <f>(General!AO1060/1000)+(TID!AO169/1000)</f>
        <v>-1568.5918270338452</v>
      </c>
      <c r="K15" s="4"/>
      <c r="L15" s="4">
        <f>(General!AQ1060/1000)+(TID!AQ169/1000)</f>
        <v>-1571.1737085819864</v>
      </c>
      <c r="M15" s="4"/>
      <c r="N15" s="4">
        <f>(General!AS1060/1000)+(TID!AS169/1000)</f>
        <v>-1669.2336201432956</v>
      </c>
      <c r="O15" s="4"/>
      <c r="P15" s="4">
        <f>(General!AU1060/1000)+(TID!AU169/1000)</f>
        <v>-1631.0897658339941</v>
      </c>
      <c r="Q15" s="4"/>
      <c r="R15" s="4">
        <f>(General!AW1060/1000)+(TID!AW169/1000)</f>
        <v>-1699.8320101848808</v>
      </c>
      <c r="S15" s="4"/>
      <c r="T15" s="4">
        <f>(General!AY1060/1000)+(TID!AY169/1000)</f>
        <v>-1645.8719353392949</v>
      </c>
      <c r="U15" s="4"/>
      <c r="V15" s="4">
        <f>(General!BA1060/1000)+(TID!BA169/1000)</f>
        <v>-1674.5562841995036</v>
      </c>
      <c r="W15" s="4"/>
      <c r="X15" s="4">
        <f>(General!BC1060/1000)+(TID!BC169/1000)</f>
        <v>-1627.6804446036654</v>
      </c>
      <c r="Y15" s="4"/>
      <c r="Z15" s="4">
        <f>(General!BE1060/1000)+(TID!BE169/1000)</f>
        <v>-1656.6403157672876</v>
      </c>
    </row>
    <row r="16" spans="1:26" x14ac:dyDescent="0.25">
      <c r="A16" s="387" t="s">
        <v>1221</v>
      </c>
      <c r="B16" s="4">
        <v>-6</v>
      </c>
      <c r="C16" s="4"/>
      <c r="D16" s="4">
        <f>(General!AI1061/1000)+(TID!AI170/1000)</f>
        <v>0</v>
      </c>
      <c r="E16" s="4"/>
      <c r="F16" s="4">
        <f>(General!AK1061/1000)+(TID!AK170/1000)</f>
        <v>0</v>
      </c>
      <c r="G16" s="4"/>
      <c r="H16" s="4">
        <f>(General!AM1061/1000)+(TID!AM170/1000)</f>
        <v>0</v>
      </c>
      <c r="I16" s="4"/>
      <c r="J16" s="4">
        <f>(General!AO1061/1000)+(TID!AO170/1000)</f>
        <v>0</v>
      </c>
      <c r="K16" s="4"/>
      <c r="L16" s="4">
        <f>(General!AQ1061/1000)+(TID!AQ170/1000)</f>
        <v>0</v>
      </c>
      <c r="M16" s="4"/>
      <c r="N16" s="4">
        <f>(General!AS1061/1000)+(TID!AS170/1000)</f>
        <v>0</v>
      </c>
      <c r="O16" s="4"/>
      <c r="P16" s="4">
        <f>(General!AU1061/1000)+(TID!AU170/1000)</f>
        <v>0</v>
      </c>
      <c r="Q16" s="4"/>
      <c r="R16" s="4">
        <f>(General!AW1061/1000)+(TID!AW170/1000)</f>
        <v>0</v>
      </c>
      <c r="S16" s="4"/>
      <c r="T16" s="4">
        <f>(General!AY1061/1000)+(TID!AY170/1000)</f>
        <v>0</v>
      </c>
      <c r="U16" s="4"/>
      <c r="V16" s="4">
        <f>(General!BA1061/1000)+(TID!BA170/1000)</f>
        <v>0</v>
      </c>
      <c r="W16" s="4"/>
      <c r="X16" s="4">
        <f>(General!BC1061/1000)+(TID!BC170/1000)</f>
        <v>0</v>
      </c>
      <c r="Y16" s="4"/>
      <c r="Z16" s="4">
        <f>(General!BE1061/1000)+(TID!BE170/1000)</f>
        <v>0</v>
      </c>
    </row>
    <row r="17" spans="1:26" x14ac:dyDescent="0.25">
      <c r="A17" s="388" t="s">
        <v>1222</v>
      </c>
      <c r="B17" s="4">
        <v>-18</v>
      </c>
      <c r="C17" s="4"/>
      <c r="D17" s="4">
        <f>(General!AI1062/1000)+(TID!AI171/1000)</f>
        <v>0</v>
      </c>
      <c r="E17" s="4"/>
      <c r="F17" s="4">
        <f>(General!AK1062/1000)+(TID!AK171/1000)</f>
        <v>0</v>
      </c>
      <c r="G17" s="4"/>
      <c r="H17" s="4">
        <f>(General!AM1062/1000)+(TID!AM171/1000)</f>
        <v>0</v>
      </c>
      <c r="I17" s="4"/>
      <c r="J17" s="4">
        <f>(General!AO1062/1000)+(TID!AO171/1000)</f>
        <v>0</v>
      </c>
      <c r="K17" s="4"/>
      <c r="L17" s="4">
        <f>(General!AQ1062/1000)+(TID!AQ171/1000)</f>
        <v>0</v>
      </c>
      <c r="M17" s="4"/>
      <c r="N17" s="4">
        <f>(General!AS1062/1000)+(TID!AS171/1000)</f>
        <v>0</v>
      </c>
      <c r="O17" s="4"/>
      <c r="P17" s="4">
        <f>(General!AU1062/1000)+(TID!AU171/1000)</f>
        <v>0</v>
      </c>
      <c r="Q17" s="4"/>
      <c r="R17" s="4">
        <f>(General!AW1062/1000)+(TID!AW171/1000)</f>
        <v>0</v>
      </c>
      <c r="S17" s="4"/>
      <c r="T17" s="4">
        <f>(General!AY1062/1000)+(TID!AY171/1000)</f>
        <v>0</v>
      </c>
      <c r="U17" s="4"/>
      <c r="V17" s="4">
        <f>(General!BA1062/1000)+(TID!BA171/1000)</f>
        <v>0</v>
      </c>
      <c r="W17" s="4"/>
      <c r="X17" s="4">
        <f>(General!BC1062/1000)+(TID!BC171/1000)</f>
        <v>0</v>
      </c>
      <c r="Y17" s="4"/>
      <c r="Z17" s="4">
        <f>(General!BE1062/1000)+(TID!BE171/1000)</f>
        <v>0</v>
      </c>
    </row>
    <row r="18" spans="1:26" x14ac:dyDescent="0.25">
      <c r="A18" s="388" t="s">
        <v>1223</v>
      </c>
      <c r="B18" s="4">
        <v>-1816</v>
      </c>
      <c r="C18" s="4"/>
      <c r="D18" s="4">
        <f>(General!AI1063/1000)+(TID!AI172/1000)</f>
        <v>-1726.4882243000002</v>
      </c>
      <c r="E18" s="4"/>
      <c r="F18" s="4">
        <f>(General!AK1063/1000)+(TID!AK172/1000)</f>
        <v>-1857.7488329290002</v>
      </c>
      <c r="G18" s="4"/>
      <c r="H18" s="4">
        <f>(General!AM1063/1000)+(TID!AM172/1000)</f>
        <v>-1878.2071138132599</v>
      </c>
      <c r="I18" s="4"/>
      <c r="J18" s="4">
        <f>(General!AO1063/1000)+(TID!AO172/1000)</f>
        <v>-1936.139449126787</v>
      </c>
      <c r="K18" s="4"/>
      <c r="L18" s="4">
        <f>(General!AQ1063/1000)+(TID!AQ172/1000)</f>
        <v>-1937.204743394143</v>
      </c>
      <c r="M18" s="4"/>
      <c r="N18" s="4">
        <f>(General!AS1063/1000)+(TID!AS172/1000)</f>
        <v>-1995.0793541857788</v>
      </c>
      <c r="O18" s="4"/>
      <c r="P18" s="4">
        <f>(General!AU1063/1000)+(TID!AU172/1000)</f>
        <v>-2057.1733899539477</v>
      </c>
      <c r="Q18" s="4"/>
      <c r="R18" s="4">
        <f>(General!AW1063/1000)+(TID!AW172/1000)</f>
        <v>-2151.8438078482973</v>
      </c>
      <c r="S18" s="4"/>
      <c r="T18" s="4">
        <f>(General!AY1063/1000)+(TID!AY172/1000)</f>
        <v>-2167.4856131802562</v>
      </c>
      <c r="U18" s="4"/>
      <c r="V18" s="4">
        <f>(General!BA1063/1000)+(TID!BA172/1000)</f>
        <v>-2233.678081201851</v>
      </c>
      <c r="W18" s="4"/>
      <c r="X18" s="4">
        <f>(General!BC1063/1000)+(TID!BC172/1000)</f>
        <v>-2298.8210786256436</v>
      </c>
      <c r="Y18" s="4"/>
      <c r="Z18" s="4">
        <f>(General!BE1063/1000)+(TID!BE172/1000)</f>
        <v>-2365.9755695314898</v>
      </c>
    </row>
    <row r="19" spans="1:26" x14ac:dyDescent="0.25">
      <c r="A19" s="387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x14ac:dyDescent="0.25">
      <c r="A20" s="90" t="s">
        <v>1179</v>
      </c>
      <c r="B20" s="3">
        <f>SUM(B7:B19)</f>
        <v>3384</v>
      </c>
      <c r="C20" s="3"/>
      <c r="D20" s="4">
        <f>SUM(D8:D19)</f>
        <v>560.53251357499812</v>
      </c>
      <c r="E20" s="4"/>
      <c r="F20" s="4">
        <f t="shared" ref="F20:V20" si="0">SUM(F8:F19)</f>
        <v>729.03898097287379</v>
      </c>
      <c r="G20" s="4"/>
      <c r="H20" s="4">
        <f t="shared" si="0"/>
        <v>775.49135500069292</v>
      </c>
      <c r="I20" s="4"/>
      <c r="J20" s="4">
        <f t="shared" si="0"/>
        <v>869.77887008840798</v>
      </c>
      <c r="K20" s="4"/>
      <c r="L20" s="4">
        <f t="shared" si="0"/>
        <v>970.75956178814067</v>
      </c>
      <c r="M20" s="4"/>
      <c r="N20" s="4">
        <f t="shared" si="0"/>
        <v>907.52966375377628</v>
      </c>
      <c r="O20" s="4"/>
      <c r="P20" s="4">
        <f t="shared" si="0"/>
        <v>939.79703570811625</v>
      </c>
      <c r="Q20" s="4"/>
      <c r="R20" s="4">
        <f t="shared" si="0"/>
        <v>844.50598646923299</v>
      </c>
      <c r="S20" s="4"/>
      <c r="T20" s="4">
        <f t="shared" si="0"/>
        <v>827.37760140819273</v>
      </c>
      <c r="U20" s="4"/>
      <c r="V20" s="4">
        <f t="shared" si="0"/>
        <v>831.89810877332684</v>
      </c>
      <c r="W20" s="4"/>
      <c r="X20" s="4">
        <f t="shared" ref="X20" si="1">SUM(X8:X19)</f>
        <v>916.19928341742525</v>
      </c>
      <c r="Y20" s="4"/>
      <c r="Z20" s="4">
        <f t="shared" ref="Z20" si="2">SUM(Z8:Z19)</f>
        <v>925.94629388914746</v>
      </c>
    </row>
    <row r="21" spans="1:26" x14ac:dyDescent="0.25">
      <c r="A21" s="389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x14ac:dyDescent="0.25">
      <c r="A22" s="90" t="s">
        <v>1185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x14ac:dyDescent="0.25">
      <c r="A23" s="389" t="s">
        <v>1180</v>
      </c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x14ac:dyDescent="0.25">
      <c r="A24" s="386" t="s">
        <v>1186</v>
      </c>
      <c r="B24" s="4"/>
      <c r="C24" s="4"/>
      <c r="D24" s="4">
        <f>(General!AI1069/1000)+(TID!AI178/1000)</f>
        <v>0</v>
      </c>
      <c r="E24" s="4"/>
      <c r="F24" s="4">
        <f>(General!AK1069/1000)+(TID!AK178/1000)</f>
        <v>0</v>
      </c>
      <c r="G24" s="4"/>
      <c r="H24" s="4">
        <f>(General!AM1069/1000)+(TID!AM178/1000)</f>
        <v>0</v>
      </c>
      <c r="I24" s="4"/>
      <c r="J24" s="4">
        <f>(General!AO1069/1000)+(TID!AO178/1000)</f>
        <v>0</v>
      </c>
      <c r="K24" s="4"/>
      <c r="L24" s="4">
        <f>(General!AQ1069/1000)+(TID!AQ178/1000)</f>
        <v>0</v>
      </c>
      <c r="M24" s="4"/>
      <c r="N24" s="4">
        <f>(General!AS1069/1000)+(TID!AS178/1000)</f>
        <v>0</v>
      </c>
      <c r="O24" s="4"/>
      <c r="P24" s="4">
        <f>(General!AU1069/1000)+(TID!AU178/1000)</f>
        <v>0</v>
      </c>
      <c r="Q24" s="4"/>
      <c r="R24" s="4">
        <f>(General!AW1069/1000)+(TID!AW178/1000)</f>
        <v>0</v>
      </c>
      <c r="S24" s="4"/>
      <c r="T24" s="4">
        <f>(General!AY1069/1000)+(TID!AY178/1000)</f>
        <v>0</v>
      </c>
      <c r="U24" s="4"/>
      <c r="V24" s="4">
        <f>(General!BA1069/1000)+(TID!BA178/1000)</f>
        <v>0</v>
      </c>
      <c r="W24" s="4"/>
      <c r="X24" s="4">
        <f>(General!BC1069/1000)+(TID!BC178/1000)</f>
        <v>0</v>
      </c>
      <c r="Y24" s="4"/>
      <c r="Z24" s="4">
        <f>(General!BE1069/1000)+(TID!BE178/1000)</f>
        <v>0</v>
      </c>
    </row>
    <row r="25" spans="1:26" x14ac:dyDescent="0.25">
      <c r="A25" s="386" t="s">
        <v>1224</v>
      </c>
      <c r="B25" s="4">
        <v>4250</v>
      </c>
      <c r="C25" s="4"/>
      <c r="D25" s="4">
        <f>(General!AI1070/1000)+(TID!AI179/1000)</f>
        <v>0</v>
      </c>
      <c r="E25" s="4"/>
      <c r="F25" s="4">
        <f>(General!AK1070/1000)+(TID!AK179/1000)</f>
        <v>0</v>
      </c>
      <c r="G25" s="4"/>
      <c r="H25" s="4">
        <f>(General!AM1070/1000)+(TID!AM179/1000)</f>
        <v>0</v>
      </c>
      <c r="I25" s="4"/>
      <c r="J25" s="4">
        <f>(General!AO1070/1000)+(TID!AO179/1000)</f>
        <v>0</v>
      </c>
      <c r="K25" s="4"/>
      <c r="L25" s="4">
        <f>(General!AQ1070/1000)+(TID!AQ179/1000)</f>
        <v>0</v>
      </c>
      <c r="M25" s="4"/>
      <c r="N25" s="4">
        <f>(General!AS1070/1000)+(TID!AS179/1000)</f>
        <v>0</v>
      </c>
      <c r="O25" s="4"/>
      <c r="P25" s="4">
        <f>(General!AU1070/1000)+(TID!AU179/1000)</f>
        <v>0</v>
      </c>
      <c r="Q25" s="4"/>
      <c r="R25" s="4">
        <f>(General!AW1070/1000)+(TID!AW179/1000)</f>
        <v>0</v>
      </c>
      <c r="S25" s="4"/>
      <c r="T25" s="4">
        <f>(General!AY1070/1000)+(TID!AY179/1000)</f>
        <v>0</v>
      </c>
      <c r="U25" s="4"/>
      <c r="V25" s="4">
        <f>(General!BA1070/1000)+(TID!BA179/1000)</f>
        <v>0</v>
      </c>
      <c r="W25" s="4"/>
      <c r="X25" s="4">
        <f>(General!BC1070/1000)+(TID!BC179/1000)</f>
        <v>0</v>
      </c>
      <c r="Y25" s="4"/>
      <c r="Z25" s="4">
        <f>(General!BE1070/1000)+(TID!BE179/1000)</f>
        <v>0</v>
      </c>
    </row>
    <row r="26" spans="1:26" x14ac:dyDescent="0.25">
      <c r="A26" s="386" t="s">
        <v>1187</v>
      </c>
      <c r="B26" s="4">
        <v>338</v>
      </c>
      <c r="C26" s="4"/>
      <c r="D26" s="4">
        <f>(General!AI1071/1000)+(TID!AI180/1000)</f>
        <v>0</v>
      </c>
      <c r="E26" s="4"/>
      <c r="F26" s="4">
        <f>(General!AK1071/1000)+(TID!AK180/1000)</f>
        <v>0</v>
      </c>
      <c r="G26" s="4"/>
      <c r="H26" s="4">
        <f>(General!AM1071/1000)+(TID!AM180/1000)</f>
        <v>0</v>
      </c>
      <c r="I26" s="4"/>
      <c r="J26" s="4">
        <f>(General!AO1071/1000)+(TID!AO180/1000)</f>
        <v>0</v>
      </c>
      <c r="K26" s="4"/>
      <c r="L26" s="4">
        <f>(General!AQ1071/1000)+(TID!AQ180/1000)</f>
        <v>0</v>
      </c>
      <c r="M26" s="4"/>
      <c r="N26" s="4">
        <f>(General!AS1071/1000)+(TID!AS180/1000)</f>
        <v>0</v>
      </c>
      <c r="O26" s="4"/>
      <c r="P26" s="4">
        <f>(General!AU1071/1000)+(TID!AU180/1000)</f>
        <v>0</v>
      </c>
      <c r="Q26" s="4"/>
      <c r="R26" s="4">
        <f>(General!AW1071/1000)+(TID!AW180/1000)</f>
        <v>0</v>
      </c>
      <c r="S26" s="4"/>
      <c r="T26" s="4">
        <f>(General!AY1071/1000)+(TID!AY180/1000)</f>
        <v>0</v>
      </c>
      <c r="U26" s="4"/>
      <c r="V26" s="4">
        <f>(General!BA1071/1000)+(TID!BA180/1000)</f>
        <v>0</v>
      </c>
      <c r="W26" s="4"/>
      <c r="X26" s="4">
        <f>(General!BC1071/1000)+(TID!BC180/1000)</f>
        <v>0</v>
      </c>
      <c r="Y26" s="4"/>
      <c r="Z26" s="4">
        <f>(General!BE1071/1000)+(TID!BE180/1000)</f>
        <v>0</v>
      </c>
    </row>
    <row r="27" spans="1:26" x14ac:dyDescent="0.25">
      <c r="A27" s="386" t="s">
        <v>1225</v>
      </c>
      <c r="B27" s="4">
        <v>7</v>
      </c>
      <c r="C27" s="4"/>
      <c r="D27" s="4">
        <f>(General!AI1072/1000)+(TID!AI181/1000)</f>
        <v>6.4</v>
      </c>
      <c r="E27" s="4"/>
      <c r="F27" s="4">
        <f>(General!AK1072/1000)+(TID!AK181/1000)</f>
        <v>6.65</v>
      </c>
      <c r="G27" s="4"/>
      <c r="H27" s="4">
        <f>(General!AM1072/1000)+(TID!AM181/1000)</f>
        <v>6.9</v>
      </c>
      <c r="I27" s="4"/>
      <c r="J27" s="4">
        <f>(General!AO1072/1000)+(TID!AO181/1000)</f>
        <v>7.15</v>
      </c>
      <c r="K27" s="4"/>
      <c r="L27" s="4">
        <f>(General!AQ1072/1000)+(TID!AQ181/1000)</f>
        <v>7.4</v>
      </c>
      <c r="M27" s="4"/>
      <c r="N27" s="4">
        <f>(General!AS1072/1000)+(TID!AS181/1000)</f>
        <v>2.84</v>
      </c>
      <c r="O27" s="4"/>
      <c r="P27" s="4">
        <f>(General!AU1072/1000)+(TID!AU181/1000)</f>
        <v>2.96</v>
      </c>
      <c r="Q27" s="4"/>
      <c r="R27" s="4">
        <f>(General!AW1072/1000)+(TID!AW181/1000)</f>
        <v>3.1</v>
      </c>
      <c r="S27" s="4"/>
      <c r="T27" s="4">
        <f>(General!AY1072/1000)+(TID!AY181/1000)</f>
        <v>3.35</v>
      </c>
      <c r="U27" s="4"/>
      <c r="V27" s="4">
        <f>(General!BA1072/1000)+(TID!BA181/1000)</f>
        <v>3.35</v>
      </c>
      <c r="W27" s="4"/>
      <c r="X27" s="4">
        <f>(General!BC1072/1000)+(TID!BC181/1000)</f>
        <v>3.35</v>
      </c>
      <c r="Y27" s="4"/>
      <c r="Z27" s="4">
        <f>(General!BE1072/1000)+(TID!BE181/1000)</f>
        <v>3.35</v>
      </c>
    </row>
    <row r="28" spans="1:26" x14ac:dyDescent="0.25">
      <c r="A28" s="390" t="s">
        <v>1184</v>
      </c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x14ac:dyDescent="0.25">
      <c r="A29" s="390" t="s">
        <v>1226</v>
      </c>
      <c r="B29" s="4">
        <v>-5500</v>
      </c>
      <c r="C29" s="4"/>
      <c r="D29" s="4">
        <f>(General!AI1074/1000)+(TID!AI183/1000)</f>
        <v>0</v>
      </c>
      <c r="E29" s="4"/>
      <c r="F29" s="4">
        <f>(General!AK1074/1000)+(TID!AK183/1000)</f>
        <v>0</v>
      </c>
      <c r="G29" s="4"/>
      <c r="H29" s="4">
        <f>(General!AM1074/1000)+(TID!AM183/1000)</f>
        <v>0</v>
      </c>
      <c r="I29" s="4"/>
      <c r="J29" s="4">
        <f>(General!AO1074/1000)+(TID!AO183/1000)</f>
        <v>0</v>
      </c>
      <c r="K29" s="4"/>
      <c r="L29" s="4">
        <f>(General!AQ1074/1000)+(TID!AQ183/1000)</f>
        <v>0</v>
      </c>
      <c r="M29" s="4"/>
      <c r="N29" s="4">
        <f>(General!AS1074/1000)+(TID!AS183/1000)</f>
        <v>0</v>
      </c>
      <c r="O29" s="4"/>
      <c r="P29" s="4">
        <f>(General!AU1074/1000)+(TID!AU183/1000)</f>
        <v>0</v>
      </c>
      <c r="Q29" s="4"/>
      <c r="R29" s="4">
        <f>(General!AW1074/1000)+(TID!AW183/1000)</f>
        <v>0</v>
      </c>
      <c r="S29" s="4"/>
      <c r="T29" s="4">
        <f>(General!AY1074/1000)+(TID!AY183/1000)</f>
        <v>0</v>
      </c>
      <c r="U29" s="4"/>
      <c r="V29" s="4">
        <f>(General!BA1074/1000)+(TID!BA183/1000)</f>
        <v>0</v>
      </c>
      <c r="W29" s="4"/>
      <c r="X29" s="4">
        <f>(General!BC1074/1000)+(TID!BC183/1000)</f>
        <v>0</v>
      </c>
      <c r="Y29" s="4"/>
      <c r="Z29" s="4">
        <f>(General!BE1074/1000)+(TID!BE183/1000)</f>
        <v>0</v>
      </c>
    </row>
    <row r="30" spans="1:26" x14ac:dyDescent="0.25">
      <c r="A30" s="386" t="s">
        <v>1227</v>
      </c>
      <c r="B30" s="4">
        <v>-2471</v>
      </c>
      <c r="C30" s="4"/>
      <c r="D30" s="4">
        <f>(General!AI1075/1000)+(TID!AI184/1000)</f>
        <v>-1286.0122265999998</v>
      </c>
      <c r="E30" s="4"/>
      <c r="F30" s="4">
        <f>(General!AK1075/1000)+(TID!AK184/1000)</f>
        <v>-615.0636633979999</v>
      </c>
      <c r="G30" s="4"/>
      <c r="H30" s="4">
        <f>(General!AM1075/1000)+(TID!AM184/1000)</f>
        <v>-339.37537338294004</v>
      </c>
      <c r="I30" s="4"/>
      <c r="J30" s="4">
        <f>(General!AO1075/1000)+(TID!AO184/1000)</f>
        <v>-472.5488072977605</v>
      </c>
      <c r="K30" s="4"/>
      <c r="L30" s="4">
        <f>(General!AQ1075/1000)+(TID!AQ184/1000)</f>
        <v>-820.26842853347011</v>
      </c>
      <c r="M30" s="4"/>
      <c r="N30" s="4">
        <f>(General!AS1075/1000)+(TID!AS184/1000)</f>
        <v>-586.37571348758684</v>
      </c>
      <c r="O30" s="4"/>
      <c r="P30" s="4">
        <f>(General!AU1075/1000)+(TID!AU184/1000)</f>
        <v>-386.27215193281097</v>
      </c>
      <c r="Q30" s="4"/>
      <c r="R30" s="4">
        <f>(General!AW1075/1000)+(TID!AW184/1000)</f>
        <v>-619.06024739623035</v>
      </c>
      <c r="S30" s="4"/>
      <c r="T30" s="4">
        <f>(General!AY1075/1000)+(TID!AY184/1000)</f>
        <v>-462.54351754935306</v>
      </c>
      <c r="U30" s="4"/>
      <c r="V30" s="4">
        <f>(General!BA1075/1000)+(TID!BA184/1000)</f>
        <v>-570.28449460928198</v>
      </c>
      <c r="W30" s="4"/>
      <c r="X30" s="4">
        <f>(General!BC1075/1000)+(TID!BC184/1000)</f>
        <v>-434.04572575135302</v>
      </c>
      <c r="Y30" s="4"/>
      <c r="Z30" s="4">
        <f>(General!BE1075/1000)+(TID!BE184/1000)</f>
        <v>-464.82777353356204</v>
      </c>
    </row>
    <row r="31" spans="1:26" x14ac:dyDescent="0.25">
      <c r="A31" s="386" t="s">
        <v>1228</v>
      </c>
      <c r="B31" s="4">
        <v>-112</v>
      </c>
      <c r="C31" s="4"/>
      <c r="D31" s="4">
        <f>(General!AI1076/1000)+(TID!AI185/1000)</f>
        <v>0</v>
      </c>
      <c r="E31" s="4"/>
      <c r="F31" s="4">
        <f>(General!AK1076/1000)+(TID!AK185/1000)</f>
        <v>0</v>
      </c>
      <c r="G31" s="4"/>
      <c r="H31" s="4">
        <f>(General!AM1076/1000)+(TID!AM185/1000)</f>
        <v>0</v>
      </c>
      <c r="I31" s="4"/>
      <c r="J31" s="4">
        <f>(General!AO1076/1000)+(TID!AO185/1000)</f>
        <v>0</v>
      </c>
      <c r="K31" s="4"/>
      <c r="L31" s="4">
        <f>(General!AQ1076/1000)+(TID!AQ185/1000)</f>
        <v>0</v>
      </c>
      <c r="M31" s="4"/>
      <c r="N31" s="4">
        <f>(General!AS1076/1000)+(TID!AS185/1000)</f>
        <v>0</v>
      </c>
      <c r="O31" s="4"/>
      <c r="P31" s="4">
        <f>(General!AU1076/1000)+(TID!AU185/1000)</f>
        <v>0</v>
      </c>
      <c r="Q31" s="4"/>
      <c r="R31" s="4">
        <f>(General!AW1076/1000)+(TID!AW185/1000)</f>
        <v>0</v>
      </c>
      <c r="S31" s="4"/>
      <c r="T31" s="4">
        <f>(General!AY1076/1000)+(TID!AY185/1000)</f>
        <v>0</v>
      </c>
      <c r="U31" s="4"/>
      <c r="V31" s="4">
        <f>(General!BA1076/1000)+(TID!BA185/1000)</f>
        <v>0</v>
      </c>
      <c r="W31" s="4"/>
      <c r="X31" s="4">
        <f>(General!BC1076/1000)+(TID!BC185/1000)</f>
        <v>0</v>
      </c>
      <c r="Y31" s="4"/>
      <c r="Z31" s="4">
        <f>(General!BE1076/1000)+(TID!BE185/1000)</f>
        <v>0</v>
      </c>
    </row>
    <row r="32" spans="1:26" x14ac:dyDescent="0.25">
      <c r="A32" s="386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57" x14ac:dyDescent="0.25">
      <c r="A33" s="90" t="s">
        <v>1185</v>
      </c>
      <c r="B33" s="3">
        <f>SUM(B24:B32)</f>
        <v>-3488</v>
      </c>
      <c r="C33" s="3"/>
      <c r="D33" s="4">
        <f>SUM(D25:D32)</f>
        <v>-1279.6122265999998</v>
      </c>
      <c r="E33" s="4"/>
      <c r="F33" s="4">
        <f t="shared" ref="F33:V33" si="3">SUM(F25:F32)</f>
        <v>-608.41366339799993</v>
      </c>
      <c r="G33" s="4"/>
      <c r="H33" s="4">
        <f t="shared" si="3"/>
        <v>-332.47537338294006</v>
      </c>
      <c r="I33" s="4"/>
      <c r="J33" s="4">
        <f t="shared" si="3"/>
        <v>-465.39880729776053</v>
      </c>
      <c r="K33" s="4"/>
      <c r="L33" s="4">
        <f t="shared" si="3"/>
        <v>-812.86842853347014</v>
      </c>
      <c r="M33" s="4"/>
      <c r="N33" s="4">
        <f t="shared" si="3"/>
        <v>-583.5357134875868</v>
      </c>
      <c r="O33" s="4"/>
      <c r="P33" s="4">
        <f t="shared" si="3"/>
        <v>-383.31215193281099</v>
      </c>
      <c r="Q33" s="4"/>
      <c r="R33" s="4">
        <f t="shared" si="3"/>
        <v>-615.96024739623033</v>
      </c>
      <c r="S33" s="4"/>
      <c r="T33" s="4">
        <f t="shared" si="3"/>
        <v>-459.19351754935303</v>
      </c>
      <c r="U33" s="4"/>
      <c r="V33" s="4">
        <f t="shared" si="3"/>
        <v>-566.93449460928196</v>
      </c>
      <c r="W33" s="4"/>
      <c r="X33" s="4">
        <f t="shared" ref="X33" si="4">SUM(X25:X32)</f>
        <v>-430.695725751353</v>
      </c>
      <c r="Y33" s="4"/>
      <c r="Z33" s="4">
        <f t="shared" ref="Z33" si="5">SUM(Z25:Z32)</f>
        <v>-461.47777353356202</v>
      </c>
    </row>
    <row r="34" spans="1:57" x14ac:dyDescent="0.25">
      <c r="A34" s="389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57" x14ac:dyDescent="0.25">
      <c r="A35" s="391" t="s">
        <v>1188</v>
      </c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57" x14ac:dyDescent="0.25">
      <c r="A36" s="51" t="s">
        <v>1180</v>
      </c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57" x14ac:dyDescent="0.25">
      <c r="A37" s="386" t="s">
        <v>1189</v>
      </c>
      <c r="B37" s="4"/>
      <c r="C37" s="4"/>
      <c r="D37" s="4">
        <f>(General!AI1082/1000)+(TID!AI191/1000)</f>
        <v>0</v>
      </c>
      <c r="E37" s="4"/>
      <c r="F37" s="4">
        <f>(General!AK1082/1000)+(TID!AK191/1000)</f>
        <v>0</v>
      </c>
      <c r="G37" s="4"/>
      <c r="H37" s="4">
        <f>(General!AM1082/1000)+(TID!AM191/1000)</f>
        <v>0</v>
      </c>
      <c r="I37" s="4"/>
      <c r="J37" s="4">
        <f>(General!AO1082/1000)+(TID!AO191/1000)</f>
        <v>0</v>
      </c>
      <c r="K37" s="4"/>
      <c r="L37" s="4">
        <f>(General!AQ1082/1000)+(TID!AQ191/1000)</f>
        <v>0</v>
      </c>
      <c r="M37" s="4"/>
      <c r="N37" s="4">
        <f>(General!AS1082/1000)+(TID!AS191/1000)</f>
        <v>0</v>
      </c>
      <c r="O37" s="4"/>
      <c r="P37" s="4">
        <f>(General!AU1082/1000)+(TID!AU191/1000)</f>
        <v>0</v>
      </c>
      <c r="Q37" s="4"/>
      <c r="R37" s="4">
        <f>(General!AW1082/1000)+(TID!AW191/1000)</f>
        <v>0</v>
      </c>
      <c r="S37" s="4"/>
      <c r="T37" s="4">
        <f>(General!AY1082/1000)+(TID!AY191/1000)</f>
        <v>0</v>
      </c>
      <c r="U37" s="4"/>
      <c r="V37" s="4">
        <f>(General!BA1082/1000)+(TID!BA191/1000)</f>
        <v>0</v>
      </c>
      <c r="W37" s="4"/>
      <c r="X37" s="4">
        <f>(General!BC1082/1000)+(TID!BC191/1000)</f>
        <v>0</v>
      </c>
      <c r="Y37" s="4"/>
      <c r="Z37" s="4">
        <f>(General!BE1082/1000)+(TID!BE191/1000)</f>
        <v>0</v>
      </c>
    </row>
    <row r="38" spans="1:57" x14ac:dyDescent="0.25">
      <c r="A38" s="51" t="s">
        <v>1184</v>
      </c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57" x14ac:dyDescent="0.25">
      <c r="A39" s="386" t="s">
        <v>1190</v>
      </c>
      <c r="B39" s="4">
        <v>-1</v>
      </c>
      <c r="C39" s="4"/>
      <c r="D39" s="4">
        <f>(General!AI1084/1000)+(TID!AI193/1000)</f>
        <v>-1.9</v>
      </c>
      <c r="E39" s="4"/>
      <c r="F39" s="4">
        <f>(General!AK1084/1000)+(TID!AK193/1000)</f>
        <v>-1.9</v>
      </c>
      <c r="G39" s="4"/>
      <c r="H39" s="4">
        <f>(General!AM1084/1000)+(TID!AM193/1000)</f>
        <v>-1.9</v>
      </c>
      <c r="I39" s="4"/>
      <c r="J39" s="4">
        <f>(General!AO1084/1000)+(TID!AO193/1000)</f>
        <v>0</v>
      </c>
      <c r="K39" s="4"/>
      <c r="L39" s="4">
        <f>(General!AQ1084/1000)+(TID!AQ193/1000)</f>
        <v>0</v>
      </c>
      <c r="M39" s="4"/>
      <c r="N39" s="4">
        <f>(General!AS1084/1000)+(TID!AS193/1000)</f>
        <v>0</v>
      </c>
      <c r="O39" s="4"/>
      <c r="P39" s="4">
        <f>(General!AU1084/1000)+(TID!AU193/1000)</f>
        <v>0</v>
      </c>
      <c r="Q39" s="4"/>
      <c r="R39" s="4">
        <f>(General!AW1084/1000)+(TID!AW193/1000)</f>
        <v>0</v>
      </c>
      <c r="S39" s="4"/>
      <c r="T39" s="4">
        <f>(General!AY1084/1000)+(TID!AY193/1000)</f>
        <v>0</v>
      </c>
      <c r="U39" s="4"/>
      <c r="V39" s="4">
        <f>(General!BA1084/1000)+(TID!BA193/1000)</f>
        <v>0</v>
      </c>
      <c r="W39" s="4"/>
      <c r="X39" s="4">
        <f>(General!BC1084/1000)+(TID!BC193/1000)</f>
        <v>0</v>
      </c>
      <c r="Y39" s="4"/>
      <c r="Z39" s="4">
        <f>(General!BE1084/1000)+(TID!BE193/1000)</f>
        <v>0</v>
      </c>
    </row>
    <row r="40" spans="1:57" x14ac:dyDescent="0.25">
      <c r="A40" s="391" t="s">
        <v>1188</v>
      </c>
      <c r="B40" s="3">
        <f>SUM(B36:B39)</f>
        <v>-1</v>
      </c>
      <c r="C40" s="3"/>
      <c r="D40" s="4">
        <f>SUM(D37:D39)</f>
        <v>-1.9</v>
      </c>
      <c r="E40" s="4"/>
      <c r="F40" s="4">
        <f t="shared" ref="F40:V40" si="6">SUM(F37:F39)</f>
        <v>-1.9</v>
      </c>
      <c r="G40" s="4"/>
      <c r="H40" s="4">
        <f t="shared" si="6"/>
        <v>-1.9</v>
      </c>
      <c r="I40" s="4"/>
      <c r="J40" s="4">
        <f t="shared" si="6"/>
        <v>0</v>
      </c>
      <c r="K40" s="4"/>
      <c r="L40" s="4">
        <f t="shared" si="6"/>
        <v>0</v>
      </c>
      <c r="M40" s="4"/>
      <c r="N40" s="4">
        <f t="shared" si="6"/>
        <v>0</v>
      </c>
      <c r="O40" s="4"/>
      <c r="P40" s="4">
        <f t="shared" si="6"/>
        <v>0</v>
      </c>
      <c r="Q40" s="4"/>
      <c r="R40" s="4">
        <f t="shared" si="6"/>
        <v>0</v>
      </c>
      <c r="S40" s="4"/>
      <c r="T40" s="4">
        <f t="shared" si="6"/>
        <v>0</v>
      </c>
      <c r="U40" s="4"/>
      <c r="V40" s="4">
        <f t="shared" si="6"/>
        <v>0</v>
      </c>
      <c r="W40" s="4"/>
      <c r="X40" s="4">
        <f t="shared" ref="X40" si="7">SUM(X37:X39)</f>
        <v>0</v>
      </c>
      <c r="Y40" s="4"/>
      <c r="Z40" s="4">
        <f t="shared" ref="Z40" si="8">SUM(Z37:Z39)</f>
        <v>0</v>
      </c>
    </row>
    <row r="41" spans="1:57" x14ac:dyDescent="0.25">
      <c r="A41" s="389"/>
      <c r="B41" s="3"/>
      <c r="C41" s="3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57" x14ac:dyDescent="0.25">
      <c r="A42" s="391" t="s">
        <v>1191</v>
      </c>
      <c r="B42" s="32">
        <f>+B20+B33+B40</f>
        <v>-105</v>
      </c>
      <c r="C42" s="32"/>
      <c r="D42" s="4">
        <f>+D20+D33+D40</f>
        <v>-720.97971302500162</v>
      </c>
      <c r="E42" s="4"/>
      <c r="F42" s="4">
        <f t="shared" ref="F42:V42" si="9">+F20+F33+F40</f>
        <v>118.72531757487386</v>
      </c>
      <c r="G42" s="4"/>
      <c r="H42" s="4">
        <f t="shared" si="9"/>
        <v>441.11598161775288</v>
      </c>
      <c r="I42" s="4"/>
      <c r="J42" s="4">
        <f t="shared" si="9"/>
        <v>404.38006279064746</v>
      </c>
      <c r="K42" s="4"/>
      <c r="L42" s="4">
        <f t="shared" si="9"/>
        <v>157.89113325467054</v>
      </c>
      <c r="M42" s="4"/>
      <c r="N42" s="4">
        <f t="shared" si="9"/>
        <v>323.99395026618947</v>
      </c>
      <c r="O42" s="4"/>
      <c r="P42" s="4">
        <f t="shared" si="9"/>
        <v>556.48488377530521</v>
      </c>
      <c r="Q42" s="4"/>
      <c r="R42" s="4">
        <f t="shared" si="9"/>
        <v>228.54573907300266</v>
      </c>
      <c r="S42" s="4"/>
      <c r="T42" s="4">
        <f t="shared" si="9"/>
        <v>368.1840838588397</v>
      </c>
      <c r="U42" s="4"/>
      <c r="V42" s="4">
        <f t="shared" si="9"/>
        <v>264.96361416404488</v>
      </c>
      <c r="W42" s="4"/>
      <c r="X42" s="4">
        <f t="shared" ref="X42" si="10">+X20+X33+X40</f>
        <v>485.50355766607225</v>
      </c>
      <c r="Y42" s="4"/>
      <c r="Z42" s="4">
        <f t="shared" ref="Z42" si="11">+Z20+Z33+Z40</f>
        <v>464.46852035558544</v>
      </c>
    </row>
    <row r="43" spans="1:57" x14ac:dyDescent="0.25">
      <c r="A43" s="391"/>
      <c r="B43" s="391"/>
      <c r="C43" s="391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57" x14ac:dyDescent="0.25">
      <c r="A44" s="51" t="s">
        <v>1229</v>
      </c>
      <c r="B44" s="51"/>
      <c r="C44" s="51"/>
      <c r="D44" s="4">
        <f>+B53</f>
        <v>3247</v>
      </c>
      <c r="E44" s="4"/>
      <c r="F44" s="4">
        <f>+D47</f>
        <v>2526.0202869749983</v>
      </c>
      <c r="G44" s="4"/>
      <c r="H44" s="4">
        <f>+F47</f>
        <v>1844.745604549872</v>
      </c>
      <c r="I44" s="4"/>
      <c r="J44" s="4">
        <f>+H47</f>
        <v>3085.8615861676249</v>
      </c>
      <c r="K44" s="4"/>
      <c r="L44" s="4">
        <f>+J47</f>
        <v>3490.2416489582724</v>
      </c>
      <c r="M44" s="4"/>
      <c r="N44" s="4">
        <f>+L47</f>
        <v>3248.1327822129429</v>
      </c>
      <c r="O44" s="4"/>
      <c r="P44" s="4">
        <f>+N47</f>
        <v>2872.1267324791324</v>
      </c>
      <c r="Q44" s="4"/>
      <c r="R44" s="4">
        <f>+P47</f>
        <v>2528.6116162544376</v>
      </c>
      <c r="S44" s="4"/>
      <c r="T44" s="4">
        <f>+R47</f>
        <v>2057.1573553274402</v>
      </c>
      <c r="U44" s="4"/>
      <c r="V44" s="4">
        <f>+T47</f>
        <v>1625.3414391862798</v>
      </c>
      <c r="W44" s="4"/>
      <c r="X44" s="4">
        <f>+V47</f>
        <v>1090.3050533503247</v>
      </c>
      <c r="Y44" s="4"/>
      <c r="Z44" s="4">
        <f>+X47</f>
        <v>1575.808611016397</v>
      </c>
    </row>
    <row r="45" spans="1:57" x14ac:dyDescent="0.25">
      <c r="A45" s="391" t="s">
        <v>1230</v>
      </c>
      <c r="B45" s="391"/>
      <c r="C45" s="391"/>
      <c r="D45" s="4">
        <f>SUM(D42:D44)</f>
        <v>2526.0202869749983</v>
      </c>
      <c r="E45" s="4"/>
      <c r="F45" s="4">
        <f>SUM(F42:F44)</f>
        <v>2644.745604549872</v>
      </c>
      <c r="G45" s="4"/>
      <c r="H45" s="4">
        <f t="shared" ref="H45:V45" si="12">SUM(H42:H44)</f>
        <v>2285.8615861676249</v>
      </c>
      <c r="I45" s="4"/>
      <c r="J45" s="4">
        <f t="shared" si="12"/>
        <v>3490.2416489582724</v>
      </c>
      <c r="K45" s="4"/>
      <c r="L45" s="4">
        <f t="shared" si="12"/>
        <v>3648.1327822129429</v>
      </c>
      <c r="M45" s="4"/>
      <c r="N45" s="4">
        <f t="shared" si="12"/>
        <v>3572.1267324791324</v>
      </c>
      <c r="O45" s="4"/>
      <c r="P45" s="4">
        <f t="shared" si="12"/>
        <v>3428.6116162544376</v>
      </c>
      <c r="Q45" s="4"/>
      <c r="R45" s="4">
        <f t="shared" si="12"/>
        <v>2757.1573553274402</v>
      </c>
      <c r="S45" s="4"/>
      <c r="T45" s="4">
        <f t="shared" si="12"/>
        <v>2425.3414391862798</v>
      </c>
      <c r="U45" s="4"/>
      <c r="V45" s="4">
        <f t="shared" si="12"/>
        <v>1890.3050533503247</v>
      </c>
      <c r="W45" s="4"/>
      <c r="X45" s="4">
        <f t="shared" ref="X45" si="13">SUM(X42:X44)</f>
        <v>1575.808611016397</v>
      </c>
      <c r="Y45" s="4"/>
      <c r="Z45" s="4">
        <f t="shared" ref="Z45" si="14">SUM(Z42:Z44)</f>
        <v>2040.2771313719825</v>
      </c>
    </row>
    <row r="46" spans="1:57" s="42" customFormat="1" x14ac:dyDescent="0.25">
      <c r="A46" s="42" t="s">
        <v>1257</v>
      </c>
      <c r="B46" s="3"/>
      <c r="C46" s="3"/>
      <c r="D46" s="4">
        <f>(General!AI1091/1000)+(TID!AI200/1000)</f>
        <v>0</v>
      </c>
      <c r="E46" s="3"/>
      <c r="F46" s="4">
        <f>(General!AK1091/1000)+(TID!AK200/1000)</f>
        <v>800</v>
      </c>
      <c r="G46" s="3"/>
      <c r="H46" s="4">
        <f>(General!AM1091/1000)+(TID!AM200/1000)</f>
        <v>-800</v>
      </c>
      <c r="I46" s="3"/>
      <c r="J46" s="4">
        <f>(General!AO1091/1000)+(TID!AO200/1000)</f>
        <v>0</v>
      </c>
      <c r="K46" s="3"/>
      <c r="L46" s="4">
        <f>(General!AQ1091/1000)+(TID!AQ200/1000)</f>
        <v>400</v>
      </c>
      <c r="M46" s="4"/>
      <c r="N46" s="4">
        <f>(General!AS1091/1000)+(TID!AS200/1000)</f>
        <v>700</v>
      </c>
      <c r="O46" s="3"/>
      <c r="P46" s="4">
        <f>(General!AU1091/1000)+(TID!AU200/1000)</f>
        <v>900</v>
      </c>
      <c r="Q46" s="3"/>
      <c r="R46" s="4">
        <f>(General!AW1091/1000)+(TID!AW200/1000)</f>
        <v>700</v>
      </c>
      <c r="S46" s="3"/>
      <c r="T46" s="4">
        <f>(General!AY1091/1000)+(TID!AY200/1000)</f>
        <v>800</v>
      </c>
      <c r="U46" s="3"/>
      <c r="V46" s="4">
        <f>(General!BA1091/1000)+(TID!BA200/1000)</f>
        <v>800</v>
      </c>
      <c r="W46" s="3"/>
      <c r="X46" s="4">
        <f>(General!BC1091/1000)+(TID!BC200/1000)</f>
        <v>0</v>
      </c>
      <c r="Y46" s="3"/>
      <c r="Z46" s="4">
        <f>(General!BE1091/1000)+(TID!BE200/1000)</f>
        <v>0</v>
      </c>
      <c r="AA46" s="3"/>
      <c r="AB46" s="3"/>
      <c r="AC46" s="3"/>
      <c r="AD46" s="3"/>
      <c r="AE46" s="3"/>
      <c r="AF46" s="3"/>
      <c r="AG46" s="32"/>
      <c r="AI46" s="3"/>
      <c r="AJ46" s="3"/>
      <c r="AK46" s="3">
        <f>+AK45-(AK57*1000)</f>
        <v>0</v>
      </c>
      <c r="AL46" s="3"/>
      <c r="AM46" s="3">
        <f>+AM45-(AM57*1000)</f>
        <v>0</v>
      </c>
      <c r="AN46" s="3"/>
      <c r="AO46" s="3">
        <f>+AO45-(AO57*1000)</f>
        <v>0</v>
      </c>
      <c r="AP46" s="3"/>
      <c r="AQ46" s="3">
        <f>+AQ45-(AQ57*1000)</f>
        <v>0</v>
      </c>
      <c r="AR46" s="3"/>
      <c r="AS46" s="3">
        <f>+AS45-(AS57*1000)</f>
        <v>0</v>
      </c>
      <c r="AT46" s="3"/>
      <c r="AU46" s="3">
        <f>+AU45-(AU57*1000)</f>
        <v>0</v>
      </c>
      <c r="AV46" s="3"/>
      <c r="AW46" s="3">
        <f>+AW45-(AW57*1000)</f>
        <v>0</v>
      </c>
      <c r="AX46" s="3"/>
      <c r="AY46" s="3">
        <f>+AY45-(AY57*1000)</f>
        <v>0</v>
      </c>
      <c r="AZ46" s="3"/>
      <c r="BA46" s="3">
        <f>+BA45-(BA57*1000)</f>
        <v>0</v>
      </c>
      <c r="BC46" s="3">
        <f>+BC45-(BC57*1000)</f>
        <v>0</v>
      </c>
      <c r="BE46" s="3">
        <f>+BE45-(BE57*1000)</f>
        <v>0</v>
      </c>
    </row>
    <row r="47" spans="1:57" s="42" customFormat="1" x14ac:dyDescent="0.25">
      <c r="A47" s="282" t="s">
        <v>1252</v>
      </c>
      <c r="B47" s="3"/>
      <c r="C47" s="3"/>
      <c r="D47" s="3">
        <f>+D45-D46</f>
        <v>2526.0202869749983</v>
      </c>
      <c r="E47" s="3"/>
      <c r="F47" s="3">
        <f>+F45-F46</f>
        <v>1844.745604549872</v>
      </c>
      <c r="G47" s="3"/>
      <c r="H47" s="3">
        <f>+H45-H46</f>
        <v>3085.8615861676249</v>
      </c>
      <c r="I47" s="3"/>
      <c r="J47" s="3">
        <f>+J45-J46</f>
        <v>3490.2416489582724</v>
      </c>
      <c r="K47" s="3"/>
      <c r="L47" s="3">
        <f>+L45-L46</f>
        <v>3248.1327822129429</v>
      </c>
      <c r="M47" s="4"/>
      <c r="N47" s="3">
        <f>+N45-N46</f>
        <v>2872.1267324791324</v>
      </c>
      <c r="O47" s="3"/>
      <c r="P47" s="3">
        <f>+P45-P46</f>
        <v>2528.6116162544376</v>
      </c>
      <c r="Q47" s="3"/>
      <c r="R47" s="3">
        <f>+R45-R46</f>
        <v>2057.1573553274402</v>
      </c>
      <c r="S47" s="3"/>
      <c r="T47" s="3">
        <f>+T45-T46</f>
        <v>1625.3414391862798</v>
      </c>
      <c r="U47" s="3"/>
      <c r="V47" s="3">
        <f>+V45-V46</f>
        <v>1090.3050533503247</v>
      </c>
      <c r="W47" s="3"/>
      <c r="X47" s="3">
        <f>+X45-X46</f>
        <v>1575.808611016397</v>
      </c>
      <c r="Y47" s="3"/>
      <c r="Z47" s="3">
        <f>+Z45-Z46</f>
        <v>2040.2771313719825</v>
      </c>
      <c r="AA47" s="3"/>
      <c r="AB47" s="3"/>
      <c r="AC47" s="3"/>
      <c r="AD47" s="3"/>
      <c r="AE47" s="3"/>
      <c r="AF47" s="3"/>
      <c r="AG47" s="32"/>
      <c r="AI47" s="3"/>
      <c r="AJ47" s="3"/>
      <c r="AK47" s="3">
        <f>+AK45-AK46</f>
        <v>0</v>
      </c>
      <c r="AL47" s="3"/>
      <c r="AM47" s="3">
        <f>+AM45-AM46</f>
        <v>0</v>
      </c>
      <c r="AN47" s="3"/>
      <c r="AO47" s="3">
        <f>+AO45-AO46</f>
        <v>0</v>
      </c>
      <c r="AP47" s="3"/>
      <c r="AQ47" s="3">
        <f>+AQ45-AQ46</f>
        <v>0</v>
      </c>
      <c r="AS47" s="3">
        <f>+AS45-AS46</f>
        <v>0</v>
      </c>
      <c r="AU47" s="3">
        <f>+AU45-AU46</f>
        <v>0</v>
      </c>
      <c r="AW47" s="3">
        <f>+AW45-AW46</f>
        <v>0</v>
      </c>
      <c r="AY47" s="3">
        <f>+AY45-AY46</f>
        <v>0</v>
      </c>
      <c r="BA47" s="3">
        <f>+BA45-BA46</f>
        <v>0</v>
      </c>
      <c r="BC47" s="3">
        <f>+BC45-BC46</f>
        <v>0</v>
      </c>
      <c r="BE47" s="3">
        <f>+BE45-BE46</f>
        <v>0</v>
      </c>
    </row>
    <row r="48" spans="1:57" x14ac:dyDescent="0.25"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53" s="42" customFormat="1" x14ac:dyDescent="0.25">
      <c r="A49" s="461" t="s">
        <v>1253</v>
      </c>
      <c r="B49" s="461"/>
      <c r="C49" s="461"/>
      <c r="D49" s="461"/>
      <c r="E49" s="461"/>
      <c r="F49" s="461"/>
      <c r="G49" s="461"/>
      <c r="H49" s="461"/>
      <c r="I49" s="461"/>
      <c r="J49" s="461"/>
      <c r="K49" s="461"/>
      <c r="L49" s="461"/>
      <c r="M49" s="461"/>
      <c r="N49" s="461"/>
      <c r="O49" s="461"/>
      <c r="P49" s="461"/>
      <c r="Q49" s="461"/>
      <c r="R49" s="461"/>
      <c r="S49" s="461"/>
      <c r="T49" s="461"/>
      <c r="U49" s="461"/>
      <c r="V49" s="461"/>
      <c r="W49" s="461"/>
      <c r="X49" s="461"/>
      <c r="Y49" s="461"/>
      <c r="Z49" s="461"/>
      <c r="AA49" s="397"/>
      <c r="AB49" s="397"/>
      <c r="AC49" s="397"/>
      <c r="AD49" s="397"/>
      <c r="AE49" s="397"/>
      <c r="AF49" s="397"/>
      <c r="AG49" s="397"/>
      <c r="AH49" s="397"/>
      <c r="AI49" s="397"/>
      <c r="AJ49" s="397"/>
      <c r="AK49" s="397"/>
      <c r="AL49" s="397"/>
      <c r="AM49" s="397"/>
      <c r="AN49" s="397"/>
      <c r="AO49" s="397"/>
      <c r="AP49" s="397"/>
      <c r="AQ49" s="397"/>
      <c r="AR49" s="397"/>
      <c r="AS49" s="397"/>
      <c r="AT49" s="397"/>
      <c r="AU49" s="397"/>
      <c r="AV49" s="397"/>
      <c r="AW49" s="397"/>
      <c r="AX49" s="397"/>
      <c r="AY49" s="397"/>
      <c r="AZ49" s="397"/>
      <c r="BA49" s="397"/>
    </row>
    <row r="50" spans="1:53" s="42" customFormat="1" x14ac:dyDescent="0.25">
      <c r="A50" s="317"/>
      <c r="B50" s="317"/>
      <c r="C50" s="317"/>
      <c r="D50" s="317"/>
      <c r="E50" s="317"/>
      <c r="F50" s="317"/>
      <c r="G50" s="317"/>
      <c r="H50" s="317"/>
      <c r="I50" s="317"/>
      <c r="J50" s="317"/>
      <c r="K50" s="317"/>
      <c r="L50" s="317"/>
      <c r="M50" s="317"/>
      <c r="N50" s="317"/>
      <c r="O50" s="317"/>
      <c r="P50" s="317"/>
      <c r="Q50" s="317"/>
      <c r="R50" s="317"/>
      <c r="S50" s="317"/>
      <c r="T50" s="317"/>
      <c r="U50" s="317"/>
      <c r="V50" s="317"/>
      <c r="W50" s="317"/>
      <c r="X50" s="317"/>
      <c r="Y50" s="317"/>
      <c r="Z50" s="317"/>
      <c r="AA50" s="397"/>
      <c r="AB50" s="397"/>
      <c r="AC50" s="397"/>
      <c r="AD50" s="397"/>
      <c r="AE50" s="397"/>
      <c r="AF50" s="397"/>
      <c r="AG50" s="397"/>
      <c r="AH50" s="397"/>
      <c r="AI50" s="397"/>
      <c r="AJ50" s="397"/>
      <c r="AK50" s="397"/>
      <c r="AL50" s="397"/>
      <c r="AM50" s="397"/>
      <c r="AN50" s="397"/>
      <c r="AO50" s="397"/>
      <c r="AP50" s="397"/>
      <c r="AQ50" s="397"/>
      <c r="AR50" s="397"/>
      <c r="AS50" s="397"/>
      <c r="AT50" s="397"/>
      <c r="AU50" s="397"/>
      <c r="AV50" s="397"/>
      <c r="AW50" s="397"/>
      <c r="AX50" s="397"/>
      <c r="AY50" s="397"/>
      <c r="AZ50" s="397"/>
      <c r="BA50" s="397"/>
    </row>
    <row r="51" spans="1:53" x14ac:dyDescent="0.25">
      <c r="A51" s="90" t="s">
        <v>1192</v>
      </c>
      <c r="B51" s="90"/>
      <c r="C51" s="90"/>
      <c r="D51" s="460">
        <f>+D53-D47</f>
        <v>0</v>
      </c>
      <c r="E51" s="454"/>
      <c r="F51" s="460">
        <f>+F53-F47</f>
        <v>0</v>
      </c>
      <c r="G51" s="454"/>
      <c r="H51" s="460">
        <f>+H53-H47</f>
        <v>0</v>
      </c>
      <c r="I51" s="454"/>
      <c r="J51" s="460">
        <f>+J53-J47</f>
        <v>0</v>
      </c>
      <c r="K51" s="454"/>
      <c r="L51" s="460">
        <f>+L53-L47</f>
        <v>3.637978807091713E-12</v>
      </c>
      <c r="M51" s="454"/>
      <c r="N51" s="460">
        <f>+N53-N47</f>
        <v>0</v>
      </c>
      <c r="O51" s="454"/>
      <c r="P51" s="460">
        <f>+P53-P47</f>
        <v>0</v>
      </c>
      <c r="Q51" s="454"/>
      <c r="R51" s="460">
        <f>+R53-R47</f>
        <v>0</v>
      </c>
      <c r="S51" s="454"/>
      <c r="T51" s="460">
        <f>+T53-T47</f>
        <v>0</v>
      </c>
      <c r="U51" s="454"/>
      <c r="V51" s="460">
        <f>+V53-V47</f>
        <v>0</v>
      </c>
      <c r="W51" s="454"/>
      <c r="X51" s="460">
        <f>+X53-X47</f>
        <v>2.2737367544323206E-12</v>
      </c>
      <c r="Y51" s="454"/>
      <c r="Z51" s="460">
        <f>+Z53-Z47</f>
        <v>2.9558577807620168E-12</v>
      </c>
    </row>
    <row r="52" spans="1:53" x14ac:dyDescent="0.25">
      <c r="A52" s="393" t="s">
        <v>1193</v>
      </c>
      <c r="B52" s="393"/>
      <c r="C52" s="393"/>
    </row>
    <row r="53" spans="1:53" x14ac:dyDescent="0.25">
      <c r="A53" s="386" t="s">
        <v>1194</v>
      </c>
      <c r="B53" s="4">
        <f>+General!AG1105+TID!AG213</f>
        <v>3247</v>
      </c>
      <c r="C53" s="4"/>
      <c r="D53" s="392">
        <f>General!AI1105+TID!AI213</f>
        <v>2526.0202869749992</v>
      </c>
      <c r="E53" s="392"/>
      <c r="F53" s="392">
        <f>General!AK1105+TID!AK213</f>
        <v>1844.7456045498732</v>
      </c>
      <c r="H53" s="392">
        <f>General!AM1105+TID!AM213</f>
        <v>3085.8615861676262</v>
      </c>
      <c r="J53" s="392">
        <f>General!AO1105+TID!AO213</f>
        <v>3490.2416489582747</v>
      </c>
      <c r="L53" s="392">
        <f>General!AQ1105+TID!AQ213</f>
        <v>3248.1327822129465</v>
      </c>
      <c r="N53" s="392">
        <f>General!AS1105+TID!AS213</f>
        <v>2872.1267324791347</v>
      </c>
      <c r="P53" s="392">
        <f>General!AU1105+TID!AU213</f>
        <v>2528.6116162544399</v>
      </c>
      <c r="R53" s="392">
        <f>General!AW1105+TID!AW213</f>
        <v>2057.157355327442</v>
      </c>
      <c r="T53" s="392">
        <f>General!AY1105+TID!AY213</f>
        <v>1625.3414391862807</v>
      </c>
      <c r="V53" s="392">
        <f>General!BA1105+TID!BA213</f>
        <v>1090.3050533503256</v>
      </c>
      <c r="X53" s="392">
        <f>+General!BC1105+TID!BC213</f>
        <v>1575.8086110163993</v>
      </c>
      <c r="Z53" s="392">
        <f>General!BE1105+TID!BE213</f>
        <v>2040.2771313719854</v>
      </c>
      <c r="AA53" s="392"/>
    </row>
    <row r="54" spans="1:53" hidden="1" outlineLevel="1" x14ac:dyDescent="0.25">
      <c r="A54" s="386" t="s">
        <v>1362</v>
      </c>
      <c r="B54" s="4">
        <f>+General!AG1106+TID!AG214</f>
        <v>2044</v>
      </c>
      <c r="C54" s="4"/>
      <c r="D54" s="392">
        <f>General!AI1106+TID!AI214</f>
        <v>2044</v>
      </c>
      <c r="E54" s="392"/>
      <c r="F54" s="392">
        <f>General!AK1106+TID!AK214</f>
        <v>2844</v>
      </c>
      <c r="H54" s="392">
        <f>General!AM1106+TID!AM214</f>
        <v>2044</v>
      </c>
      <c r="J54" s="392">
        <f>General!AO1106+TID!AO214</f>
        <v>2044</v>
      </c>
      <c r="L54" s="392">
        <f>General!AQ1106+TID!AQ214</f>
        <v>2444</v>
      </c>
      <c r="N54" s="392">
        <f>General!AS1106+TID!AS214</f>
        <v>3144</v>
      </c>
      <c r="P54" s="392">
        <f>General!AU1106+TID!AU214</f>
        <v>4044</v>
      </c>
      <c r="R54" s="392">
        <f>General!AW1106+TID!AW214</f>
        <v>4744</v>
      </c>
      <c r="T54" s="392">
        <f>General!AY1106+TID!AY214</f>
        <v>5544</v>
      </c>
      <c r="V54" s="392">
        <f>General!BA1106+TID!BA214</f>
        <v>6344</v>
      </c>
      <c r="X54" s="392">
        <f>General!BC1106+TID!BC214</f>
        <v>6344</v>
      </c>
      <c r="Z54" s="392">
        <f>General!BE1106+TID!BE214</f>
        <v>6344</v>
      </c>
      <c r="AA54" s="392"/>
    </row>
    <row r="55" spans="1:53" hidden="1" outlineLevel="1" x14ac:dyDescent="0.25">
      <c r="A55" s="386" t="s">
        <v>1360</v>
      </c>
      <c r="B55" s="4"/>
      <c r="C55" s="4"/>
      <c r="D55" s="392">
        <f>+General!AI1107</f>
        <v>728.15200000000004</v>
      </c>
      <c r="E55" s="392"/>
      <c r="F55" s="392">
        <f>+General!AK1107</f>
        <v>443.99600000000004</v>
      </c>
      <c r="H55" s="392">
        <f>+General!AM1107</f>
        <v>-162.07699999999994</v>
      </c>
      <c r="J55" s="392">
        <f>+General!AO1107</f>
        <v>-832.404</v>
      </c>
      <c r="L55" s="392">
        <f>+General!AQ1107</f>
        <v>-1173.769</v>
      </c>
      <c r="N55" s="392">
        <f>+General!AS1107</f>
        <v>-1700.6610000000001</v>
      </c>
      <c r="P55" s="392">
        <f>+General!AU1107</f>
        <v>-2442.529</v>
      </c>
      <c r="R55" s="392">
        <f>+General!AW1107</f>
        <v>-2921.723</v>
      </c>
      <c r="T55" s="392">
        <f>+General!AY1107</f>
        <v>-3503.56</v>
      </c>
      <c r="V55" s="392">
        <f>+General!BA1107</f>
        <v>-3790.607</v>
      </c>
      <c r="X55" s="392">
        <f>+General!BC1107</f>
        <v>-4077.654</v>
      </c>
      <c r="Z55" s="392">
        <f>+General!BE1107</f>
        <v>-4357.701</v>
      </c>
      <c r="AA55" s="392"/>
    </row>
    <row r="56" spans="1:53" collapsed="1" x14ac:dyDescent="0.25">
      <c r="A56" s="386" t="s">
        <v>1361</v>
      </c>
      <c r="B56" s="4">
        <f>SUM(B54:B55)</f>
        <v>2044</v>
      </c>
      <c r="C56" s="4"/>
      <c r="D56" s="4">
        <f>SUM(D54:D55)</f>
        <v>2772.152</v>
      </c>
      <c r="E56" s="392"/>
      <c r="F56" s="4">
        <f>SUM(F54:F55)</f>
        <v>3287.9960000000001</v>
      </c>
      <c r="H56" s="4">
        <f>SUM(H54:H55)</f>
        <v>1881.923</v>
      </c>
      <c r="J56" s="4">
        <f>SUM(J54:J55)</f>
        <v>1211.596</v>
      </c>
      <c r="L56" s="4">
        <f>SUM(L54:L55)</f>
        <v>1270.231</v>
      </c>
      <c r="N56" s="4">
        <f>SUM(N54:N55)</f>
        <v>1443.3389999999999</v>
      </c>
      <c r="P56" s="4">
        <f>SUM(P54:P55)</f>
        <v>1601.471</v>
      </c>
      <c r="R56" s="4">
        <f>SUM(R54:R55)</f>
        <v>1822.277</v>
      </c>
      <c r="T56" s="4">
        <f>SUM(T54:T55)</f>
        <v>2040.44</v>
      </c>
      <c r="V56" s="4">
        <f>SUM(V54:V55)</f>
        <v>2553.393</v>
      </c>
      <c r="X56" s="4">
        <f>SUM(X54:X55)</f>
        <v>2266.346</v>
      </c>
      <c r="Z56" s="4">
        <f>SUM(Z54:Z55)</f>
        <v>1986.299</v>
      </c>
      <c r="AA56" s="392"/>
    </row>
    <row r="57" spans="1:53" x14ac:dyDescent="0.25">
      <c r="A57" s="450" t="s">
        <v>1366</v>
      </c>
      <c r="B57" s="4">
        <f>+B53+B56</f>
        <v>5291</v>
      </c>
      <c r="C57" s="4"/>
      <c r="D57" s="4">
        <f>+D53+D56</f>
        <v>5298.1722869749992</v>
      </c>
      <c r="E57" s="392"/>
      <c r="F57" s="4">
        <f>+F53+F56</f>
        <v>5132.741604549873</v>
      </c>
      <c r="H57" s="4">
        <f>+H53+H56</f>
        <v>4967.784586167626</v>
      </c>
      <c r="J57" s="4">
        <f>+J53+J56</f>
        <v>4701.8376489582752</v>
      </c>
      <c r="L57" s="4">
        <f>+L53+L56</f>
        <v>4518.3637822129467</v>
      </c>
      <c r="N57" s="4">
        <f>+N53+N56</f>
        <v>4315.4657324791351</v>
      </c>
      <c r="P57" s="4">
        <f>+P53+P56</f>
        <v>4130.0826162544399</v>
      </c>
      <c r="R57" s="4">
        <f>+R53+R56</f>
        <v>3879.4343553274421</v>
      </c>
      <c r="T57" s="4">
        <f>+T53+T56</f>
        <v>3665.7814391862807</v>
      </c>
      <c r="V57" s="4">
        <f>+V53+V56</f>
        <v>3643.6980533503256</v>
      </c>
      <c r="X57" s="4">
        <f>+X53+X56</f>
        <v>3842.154611016399</v>
      </c>
      <c r="Z57" s="4">
        <f>+Z53+Z56</f>
        <v>4026.5761313719854</v>
      </c>
      <c r="AA57" s="392"/>
    </row>
    <row r="58" spans="1:53" x14ac:dyDescent="0.25">
      <c r="A58" s="386"/>
      <c r="B58" s="4"/>
      <c r="C58" s="4"/>
      <c r="D58" s="392"/>
      <c r="E58" s="392"/>
      <c r="F58" s="392"/>
      <c r="H58" s="392"/>
      <c r="J58" s="392"/>
      <c r="L58" s="392"/>
      <c r="N58" s="392"/>
      <c r="P58" s="392"/>
      <c r="R58" s="392"/>
      <c r="T58" s="392"/>
      <c r="V58" s="392"/>
      <c r="X58" s="392"/>
      <c r="Z58" s="392"/>
      <c r="AA58" s="392"/>
    </row>
    <row r="59" spans="1:53" x14ac:dyDescent="0.25">
      <c r="A59" s="386" t="s">
        <v>1196</v>
      </c>
      <c r="B59" s="4">
        <v>923</v>
      </c>
      <c r="C59" s="4"/>
      <c r="D59" s="392">
        <f>$B$59+General!AI1111+TID!AI215</f>
        <v>923</v>
      </c>
      <c r="E59" s="392"/>
      <c r="F59" s="392">
        <f>$B$59+General!AK1111+TID!AK215</f>
        <v>923</v>
      </c>
      <c r="H59" s="392">
        <f>$B$59+General!AM1111+TID!AM215</f>
        <v>923</v>
      </c>
      <c r="J59" s="392">
        <f>$B$59+General!AO1111+TID!AO215</f>
        <v>923</v>
      </c>
      <c r="L59" s="392">
        <f>$B$59+General!AQ1111+TID!AQ215</f>
        <v>923</v>
      </c>
      <c r="N59" s="392">
        <f>$B$59+General!AS1111+TID!AS215</f>
        <v>923</v>
      </c>
      <c r="P59" s="392">
        <f>$B$59+General!AU1111+TID!AU215</f>
        <v>923</v>
      </c>
      <c r="R59" s="392">
        <f>$B$59+General!AW1111+TID!AW215</f>
        <v>923</v>
      </c>
      <c r="T59" s="392">
        <f>$B$59+General!AY1111+TID!AY215</f>
        <v>923</v>
      </c>
      <c r="V59" s="392">
        <f>$B$59+General!BA1111+TID!BA215</f>
        <v>923</v>
      </c>
      <c r="X59" s="392">
        <f>$B$59+General!BC1111+TID!BC215</f>
        <v>923</v>
      </c>
      <c r="Z59" s="392">
        <f>$B$59+General!BE1111+TID!BE215</f>
        <v>923</v>
      </c>
      <c r="AA59" s="392"/>
    </row>
    <row r="60" spans="1:53" x14ac:dyDescent="0.25">
      <c r="A60" s="386" t="s">
        <v>1197</v>
      </c>
      <c r="B60" s="4">
        <v>1128</v>
      </c>
      <c r="C60" s="4"/>
      <c r="D60" s="392">
        <f>$B$60+General!AI1112+TID!AI216</f>
        <v>1128</v>
      </c>
      <c r="E60" s="392"/>
      <c r="F60" s="392">
        <f>$B$60+General!AK1112+TID!AK216</f>
        <v>1128</v>
      </c>
      <c r="H60" s="392">
        <f>$B$60+General!AM1112+TID!AM216</f>
        <v>1128</v>
      </c>
      <c r="J60" s="392">
        <f>$B$60+General!AO1112+TID!AO216</f>
        <v>1128</v>
      </c>
      <c r="L60" s="392">
        <f>$B$60+General!AQ1112+TID!AQ216</f>
        <v>1128</v>
      </c>
      <c r="N60" s="392">
        <f>$B$60+General!AS1112+TID!AS216</f>
        <v>1128</v>
      </c>
      <c r="P60" s="392">
        <f>$B$60+General!AU1112+TID!AU216</f>
        <v>1128</v>
      </c>
      <c r="R60" s="392">
        <f>$B$60+General!AW1112+TID!AW216</f>
        <v>1128</v>
      </c>
      <c r="T60" s="392">
        <f>$B$60+General!AY1112+TID!AY216</f>
        <v>1128</v>
      </c>
      <c r="V60" s="392">
        <f>$B$60+General!BA1112+TID!BA216</f>
        <v>1128</v>
      </c>
      <c r="X60" s="392">
        <f>$B$60+General!BC1112+TID!BC216</f>
        <v>1128</v>
      </c>
      <c r="Z60" s="392">
        <f>$B$60+General!BE1112+TID!BE216</f>
        <v>1128</v>
      </c>
      <c r="AA60" s="392"/>
    </row>
    <row r="61" spans="1:53" x14ac:dyDescent="0.25">
      <c r="A61" s="386" t="s">
        <v>1198</v>
      </c>
      <c r="B61" s="4">
        <v>2</v>
      </c>
      <c r="C61" s="4"/>
      <c r="D61" s="392">
        <f>$B$61+General!AI1113+TID!AI217</f>
        <v>2</v>
      </c>
      <c r="E61" s="392"/>
      <c r="F61" s="392">
        <f>$B$61+General!AK1113+TID!AK217</f>
        <v>2</v>
      </c>
      <c r="H61" s="392">
        <f>$B$61+General!AM1113+TID!AM217</f>
        <v>2</v>
      </c>
      <c r="J61" s="392">
        <f>$B$61+General!AO1113+TID!AO217</f>
        <v>2</v>
      </c>
      <c r="L61" s="392">
        <f>$B$61+General!AQ1113+TID!AQ217</f>
        <v>2</v>
      </c>
      <c r="N61" s="392">
        <f>$B$61+General!AS1113+TID!AS217</f>
        <v>2</v>
      </c>
      <c r="P61" s="392">
        <f>$B$61+General!AU1113+TID!AU217</f>
        <v>2</v>
      </c>
      <c r="R61" s="392">
        <f>$B$61+General!AW1113+TID!AW217</f>
        <v>2</v>
      </c>
      <c r="T61" s="392">
        <f>$B$61+General!AY1113+TID!AY217</f>
        <v>2</v>
      </c>
      <c r="V61" s="392">
        <f>$B$61+General!BA1113+TID!BA217</f>
        <v>2</v>
      </c>
      <c r="X61" s="392">
        <f>$B$61+General!BC1113+TID!BC217</f>
        <v>2</v>
      </c>
      <c r="Z61" s="392">
        <f>$B$61+General!BE1113+TID!BE217</f>
        <v>2</v>
      </c>
      <c r="AA61" s="392"/>
    </row>
    <row r="62" spans="1:53" s="394" customFormat="1" x14ac:dyDescent="0.25">
      <c r="A62" s="90" t="s">
        <v>1199</v>
      </c>
      <c r="B62" s="32">
        <f>+B53+B56+B59+B60+B61</f>
        <v>7344</v>
      </c>
      <c r="C62" s="32"/>
      <c r="D62" s="32">
        <f>+D53+D56+D59+D60+D61</f>
        <v>7351.1722869749992</v>
      </c>
      <c r="E62" s="32"/>
      <c r="F62" s="32">
        <f>+F53+F56+F59+F60+F61</f>
        <v>7185.741604549873</v>
      </c>
      <c r="H62" s="32">
        <f>+H53+H56+H59+H60+H61</f>
        <v>7020.784586167626</v>
      </c>
      <c r="J62" s="32">
        <f>+J53+J56+J59+J60+J61</f>
        <v>6754.8376489582752</v>
      </c>
      <c r="L62" s="32">
        <f>+L53+L56+L59+L60+L61</f>
        <v>6571.3637822129467</v>
      </c>
      <c r="N62" s="32">
        <f>+N53+N56+N59+N60+N61</f>
        <v>6368.4657324791351</v>
      </c>
      <c r="P62" s="32">
        <f>+P53+P56+P59+P60+P61</f>
        <v>6183.0826162544399</v>
      </c>
      <c r="R62" s="32">
        <f>+R53+R56+R59+R60+R61</f>
        <v>5932.4343553274421</v>
      </c>
      <c r="T62" s="32">
        <f>+T53+T56+T59+T60+T61</f>
        <v>5718.7814391862812</v>
      </c>
      <c r="V62" s="32">
        <f>+V53+V56+V59+V60+V61</f>
        <v>5696.6980533503256</v>
      </c>
      <c r="X62" s="32">
        <f>+X53+X56+X59+X60+X61</f>
        <v>5895.154611016399</v>
      </c>
      <c r="Z62" s="32">
        <f>+Z53+Z56+Z59+Z60+Z61</f>
        <v>6079.576131371985</v>
      </c>
      <c r="AA62" s="392"/>
    </row>
    <row r="63" spans="1:53" x14ac:dyDescent="0.25">
      <c r="A63" s="395"/>
      <c r="D63" s="392"/>
      <c r="F63" s="392"/>
      <c r="H63" s="392"/>
      <c r="J63" s="392"/>
      <c r="L63" s="392"/>
      <c r="N63" s="392"/>
      <c r="P63" s="392"/>
      <c r="R63" s="392"/>
      <c r="T63" s="392"/>
      <c r="V63" s="392"/>
      <c r="X63" s="392"/>
      <c r="Z63" s="392"/>
      <c r="AA63" s="392"/>
    </row>
    <row r="64" spans="1:53" x14ac:dyDescent="0.25">
      <c r="A64" s="90" t="s">
        <v>1200</v>
      </c>
      <c r="AA64" s="392"/>
    </row>
    <row r="65" spans="1:27" x14ac:dyDescent="0.25">
      <c r="A65" s="386" t="s">
        <v>1196</v>
      </c>
      <c r="B65" s="4">
        <v>20</v>
      </c>
      <c r="C65" s="4"/>
      <c r="D65" s="392">
        <f>$B$65+General!AI1117+TID!AI221</f>
        <v>20</v>
      </c>
      <c r="E65" s="392"/>
      <c r="F65" s="392">
        <f>$B$65+General!AK1117+TID!AK221</f>
        <v>20</v>
      </c>
      <c r="H65" s="392">
        <f>$B$65+General!AM1117+TID!AM221</f>
        <v>20</v>
      </c>
      <c r="J65" s="392">
        <f>$B$65+General!AO1117+TID!AO221</f>
        <v>20</v>
      </c>
      <c r="L65" s="392">
        <f>$B$65+General!AQ1117+TID!AQ221</f>
        <v>20</v>
      </c>
      <c r="N65" s="392">
        <f>$B$65+General!AS1117+TID!AS221</f>
        <v>20</v>
      </c>
      <c r="P65" s="392">
        <f>$B$65+General!AU1117+TID!AU221</f>
        <v>20</v>
      </c>
      <c r="R65" s="392">
        <f>$B$65+General!AW1117+TID!AW221</f>
        <v>20</v>
      </c>
      <c r="T65" s="392">
        <f>$B$65+General!AY1117+TID!AY221</f>
        <v>20</v>
      </c>
      <c r="V65" s="392">
        <f>$B$65+General!BA1117+TID!BA221</f>
        <v>20</v>
      </c>
      <c r="X65" s="392">
        <f>$B$65+General!BC1117+TID!BC221</f>
        <v>20</v>
      </c>
      <c r="Z65" s="392">
        <f>$B$65+General!BE1117+TID!BE221</f>
        <v>20</v>
      </c>
      <c r="AA65" s="392"/>
    </row>
    <row r="66" spans="1:27" x14ac:dyDescent="0.25">
      <c r="A66" s="386" t="s">
        <v>1201</v>
      </c>
      <c r="B66" s="4">
        <v>108443</v>
      </c>
      <c r="C66" s="4"/>
      <c r="D66" s="392">
        <f>+$B$66+General!AI1118+TID!AI222</f>
        <v>109003.2622266</v>
      </c>
      <c r="E66" s="392"/>
      <c r="F66" s="392">
        <f>+$B$66+General!AK1118+TID!AK222</f>
        <v>108892.575889998</v>
      </c>
      <c r="H66" s="392">
        <f>+$B$66+General!AM1118+TID!AM222</f>
        <v>108506.20126338094</v>
      </c>
      <c r="J66" s="392">
        <f>+$B$66+General!AO1118+TID!AO222</f>
        <v>108253.0000706787</v>
      </c>
      <c r="L66" s="392">
        <f>+$B$66+General!AQ1118+TID!AQ222</f>
        <v>108347.51849921216</v>
      </c>
      <c r="N66" s="392">
        <f>+$B$66+General!AS1118+TID!AS222</f>
        <v>108208.14421269976</v>
      </c>
      <c r="P66" s="392">
        <f>+$B$66+General!AU1118+TID!AU222</f>
        <v>107868.66636463256</v>
      </c>
      <c r="R66" s="392">
        <f>+$B$66+General!AW1118+TID!AW222</f>
        <v>107761.9766120288</v>
      </c>
      <c r="T66" s="392">
        <f>+$B$66+General!AY1118+TID!AY222</f>
        <v>107498.77012957814</v>
      </c>
      <c r="V66" s="392">
        <f>+$B$66+General!BA1118+TID!BA222</f>
        <v>107343.30462418744</v>
      </c>
      <c r="X66" s="392">
        <f>+$B$66+General!BC1118+TID!BC222</f>
        <v>107051.60034993879</v>
      </c>
      <c r="Z66" s="392">
        <f>+$B$66+General!BE1118+TID!BE222</f>
        <v>106790.67812347235</v>
      </c>
      <c r="AA66" s="392"/>
    </row>
    <row r="67" spans="1:27" s="394" customFormat="1" x14ac:dyDescent="0.25">
      <c r="A67" s="391" t="s">
        <v>1202</v>
      </c>
      <c r="B67" s="396">
        <f>SUM(B65:B66)</f>
        <v>108463</v>
      </c>
      <c r="C67" s="396"/>
      <c r="D67" s="396">
        <f>SUM(D65:D66)</f>
        <v>109023.2622266</v>
      </c>
      <c r="E67" s="396"/>
      <c r="F67" s="396">
        <f>SUM(F65:F66)</f>
        <v>108912.575889998</v>
      </c>
      <c r="H67" s="396">
        <f>SUM(H65:H66)</f>
        <v>108526.20126338094</v>
      </c>
      <c r="J67" s="396">
        <f>SUM(J65:J66)</f>
        <v>108273.0000706787</v>
      </c>
      <c r="L67" s="396">
        <f>SUM(L65:L66)</f>
        <v>108367.51849921216</v>
      </c>
      <c r="N67" s="396">
        <f>SUM(N65:N66)</f>
        <v>108228.14421269976</v>
      </c>
      <c r="P67" s="396">
        <f>SUM(P65:P66)</f>
        <v>107888.66636463256</v>
      </c>
      <c r="R67" s="396">
        <f>SUM(R65:R66)</f>
        <v>107781.9766120288</v>
      </c>
      <c r="T67" s="396">
        <f>SUM(T65:T66)</f>
        <v>107518.77012957814</v>
      </c>
      <c r="V67" s="396">
        <f>SUM(V65:V66)</f>
        <v>107363.30462418744</v>
      </c>
      <c r="X67" s="396">
        <f>SUM(X65:X66)</f>
        <v>107071.60034993879</v>
      </c>
      <c r="Z67" s="396">
        <f>SUM(Z65:Z66)</f>
        <v>106810.67812347235</v>
      </c>
      <c r="AA67" s="392"/>
    </row>
    <row r="68" spans="1:27" x14ac:dyDescent="0.25">
      <c r="A68" s="389"/>
      <c r="AA68" s="392"/>
    </row>
    <row r="69" spans="1:27" s="394" customFormat="1" x14ac:dyDescent="0.25">
      <c r="A69" s="90" t="s">
        <v>1203</v>
      </c>
      <c r="B69" s="396">
        <f>+B62+B67</f>
        <v>115807</v>
      </c>
      <c r="C69" s="396"/>
      <c r="D69" s="396">
        <f>+D62+D67</f>
        <v>116374.43451357499</v>
      </c>
      <c r="E69" s="396"/>
      <c r="F69" s="396">
        <f>+F62+F67</f>
        <v>116098.31749454787</v>
      </c>
      <c r="H69" s="396">
        <f>+H62+H67</f>
        <v>115546.98584954857</v>
      </c>
      <c r="J69" s="396">
        <f>+J62+J67</f>
        <v>115027.83771963697</v>
      </c>
      <c r="L69" s="396">
        <f>+L62+L67</f>
        <v>114938.88228142512</v>
      </c>
      <c r="N69" s="396">
        <f>+N62+N67</f>
        <v>114596.60994517889</v>
      </c>
      <c r="P69" s="396">
        <f>+P62+P67</f>
        <v>114071.748980887</v>
      </c>
      <c r="R69" s="396">
        <f>+R62+R67</f>
        <v>113714.41096735623</v>
      </c>
      <c r="T69" s="396">
        <f>+T62+T67</f>
        <v>113237.55156876442</v>
      </c>
      <c r="V69" s="396">
        <f>+V62+V67</f>
        <v>113060.00267753776</v>
      </c>
      <c r="X69" s="396">
        <f>+X62+X67</f>
        <v>112966.75496095519</v>
      </c>
      <c r="Z69" s="396">
        <f>+Z62+Z67</f>
        <v>112890.25425484433</v>
      </c>
      <c r="AA69" s="392"/>
    </row>
    <row r="70" spans="1:27" x14ac:dyDescent="0.25">
      <c r="A70" s="389"/>
      <c r="D70" s="392"/>
      <c r="F70" s="392"/>
      <c r="H70" s="392"/>
      <c r="J70" s="392"/>
      <c r="L70" s="392"/>
      <c r="N70" s="392"/>
      <c r="P70" s="392"/>
      <c r="R70" s="392"/>
      <c r="T70" s="392"/>
      <c r="V70" s="392"/>
      <c r="X70" s="392"/>
      <c r="Z70" s="392"/>
      <c r="AA70" s="392"/>
    </row>
    <row r="71" spans="1:27" x14ac:dyDescent="0.25">
      <c r="A71" s="90" t="s">
        <v>1204</v>
      </c>
      <c r="D71" s="392"/>
      <c r="F71" s="392"/>
      <c r="H71" s="392"/>
      <c r="J71" s="392"/>
      <c r="L71" s="392"/>
      <c r="N71" s="392"/>
      <c r="P71" s="392"/>
      <c r="R71" s="392"/>
      <c r="T71" s="392"/>
      <c r="V71" s="392"/>
      <c r="X71" s="392"/>
      <c r="Z71" s="392"/>
      <c r="AA71" s="392"/>
    </row>
    <row r="72" spans="1:27" x14ac:dyDescent="0.25">
      <c r="A72" s="386" t="s">
        <v>1205</v>
      </c>
      <c r="B72" s="4">
        <v>555</v>
      </c>
      <c r="C72" s="4"/>
      <c r="D72" s="392">
        <f>+$B$72+General!AI1124+TID!AI228</f>
        <v>555</v>
      </c>
      <c r="E72" s="392"/>
      <c r="F72" s="392">
        <f>+$B$72+General!AK1124+TID!AK228</f>
        <v>555</v>
      </c>
      <c r="H72" s="392">
        <f>+$B$72+General!AM1124+TID!AM228</f>
        <v>555</v>
      </c>
      <c r="J72" s="392">
        <f>+$B$72+General!AO1124+TID!AO228</f>
        <v>555</v>
      </c>
      <c r="L72" s="392">
        <f>+$B$72+General!AQ1124+TID!AQ228</f>
        <v>555</v>
      </c>
      <c r="N72" s="392">
        <f>+$B$72+General!AS1124+TID!AS228</f>
        <v>555</v>
      </c>
      <c r="P72" s="392">
        <f>+$B$72+General!AU1124+TID!AU228</f>
        <v>555</v>
      </c>
      <c r="R72" s="392">
        <f>+$B$72+General!AW1124+TID!AW228</f>
        <v>555</v>
      </c>
      <c r="T72" s="392">
        <f>+$B$72+General!AY1124+TID!AY228</f>
        <v>555</v>
      </c>
      <c r="V72" s="392">
        <f>+$B$72+General!BA1124+TID!BA228</f>
        <v>555</v>
      </c>
      <c r="X72" s="392">
        <f>+$B$72+General!BC1124+TID!BC228</f>
        <v>555</v>
      </c>
      <c r="Z72" s="392">
        <f>+$B$72+General!BE1124+TID!BE228</f>
        <v>555</v>
      </c>
      <c r="AA72" s="392"/>
    </row>
    <row r="73" spans="1:27" x14ac:dyDescent="0.25">
      <c r="A73" s="386" t="s">
        <v>1216</v>
      </c>
      <c r="B73" s="4">
        <v>1</v>
      </c>
      <c r="C73" s="4"/>
      <c r="D73" s="392">
        <f>+$B$73+General!AI1125+TID!AI229</f>
        <v>1</v>
      </c>
      <c r="E73" s="392"/>
      <c r="F73" s="392">
        <f>+$B$73+General!AK1125+TID!AK229</f>
        <v>2.9</v>
      </c>
      <c r="H73" s="392">
        <f>+$B$73+General!AM1125+TID!AM229</f>
        <v>2.9</v>
      </c>
      <c r="J73" s="392">
        <f>+$B$73+General!AO1125+TID!AO229</f>
        <v>1</v>
      </c>
      <c r="L73" s="392">
        <f>+$B$73+General!AQ1125+TID!AQ229</f>
        <v>1</v>
      </c>
      <c r="N73" s="392">
        <f>+$B$73+General!AS1125+TID!AS229</f>
        <v>1</v>
      </c>
      <c r="P73" s="392">
        <f>+$B$73+General!AU1125+TID!AU229</f>
        <v>1</v>
      </c>
      <c r="R73" s="392">
        <f>+$B$73+General!AW1125+TID!AW229</f>
        <v>1</v>
      </c>
      <c r="T73" s="392">
        <f>+$B$73+General!AY1125+TID!AY229</f>
        <v>1</v>
      </c>
      <c r="V73" s="392">
        <f>+$B$73+General!BA1125+TID!BA229</f>
        <v>1</v>
      </c>
      <c r="X73" s="392">
        <f>+$B$73+General!BC1125+TID!BC229</f>
        <v>1</v>
      </c>
      <c r="Z73" s="392">
        <f>+$B$73+General!BE1125+TID!BE229</f>
        <v>1</v>
      </c>
      <c r="AA73" s="392"/>
    </row>
    <row r="74" spans="1:27" x14ac:dyDescent="0.25">
      <c r="A74" s="386" t="s">
        <v>1178</v>
      </c>
      <c r="B74" s="4">
        <v>1288</v>
      </c>
      <c r="C74" s="4"/>
      <c r="D74" s="392">
        <f>+$B$74+General!AI1126+TID!AI230</f>
        <v>1288</v>
      </c>
      <c r="E74" s="392"/>
      <c r="F74" s="392">
        <f>+$B$74+General!AK1126+TID!AK230</f>
        <v>1288</v>
      </c>
      <c r="H74" s="392">
        <f>+$B$74+General!AM1126+TID!AM230</f>
        <v>1288</v>
      </c>
      <c r="J74" s="392">
        <f>+$B$74+General!AO1126+TID!AO230</f>
        <v>1288</v>
      </c>
      <c r="L74" s="392">
        <f>+$B$74+General!AQ1126+TID!AQ230</f>
        <v>1288</v>
      </c>
      <c r="N74" s="392">
        <f>+$B$74+General!AS1126+TID!AS230</f>
        <v>1288</v>
      </c>
      <c r="P74" s="392">
        <f>+$B$74+General!AU1126+TID!AU230</f>
        <v>1288</v>
      </c>
      <c r="R74" s="392">
        <f>+$B$74+General!AW1126+TID!AW230</f>
        <v>1288</v>
      </c>
      <c r="T74" s="392">
        <f>+$B$74+General!AY1126+TID!AY230</f>
        <v>1288</v>
      </c>
      <c r="V74" s="392">
        <f>+$B$74+General!BA1126+TID!BA230</f>
        <v>1288</v>
      </c>
      <c r="X74" s="392">
        <f>+$B$74+General!BC1126+TID!BC230</f>
        <v>1288</v>
      </c>
      <c r="Z74" s="392">
        <f>+$B$74+General!BE1126+TID!BE230</f>
        <v>1288</v>
      </c>
      <c r="AA74" s="392"/>
    </row>
    <row r="75" spans="1:27" s="394" customFormat="1" x14ac:dyDescent="0.25">
      <c r="A75" s="90" t="s">
        <v>1206</v>
      </c>
      <c r="B75" s="396">
        <f>SUM(B72:B74)</f>
        <v>1844</v>
      </c>
      <c r="C75" s="396"/>
      <c r="D75" s="396">
        <f>SUM(D72:D74)</f>
        <v>1844</v>
      </c>
      <c r="E75" s="396"/>
      <c r="F75" s="396">
        <f>SUM(F72:F74)</f>
        <v>1845.9</v>
      </c>
      <c r="H75" s="396">
        <f>SUM(H72:H74)</f>
        <v>1845.9</v>
      </c>
      <c r="J75" s="396">
        <f>SUM(J72:J74)</f>
        <v>1844</v>
      </c>
      <c r="L75" s="396">
        <f>SUM(L72:L74)</f>
        <v>1844</v>
      </c>
      <c r="N75" s="396">
        <f>SUM(N72:N74)</f>
        <v>1844</v>
      </c>
      <c r="P75" s="396">
        <f>SUM(P72:P74)</f>
        <v>1844</v>
      </c>
      <c r="R75" s="396">
        <f>SUM(R72:R74)</f>
        <v>1844</v>
      </c>
      <c r="T75" s="396">
        <f>SUM(T72:T74)</f>
        <v>1844</v>
      </c>
      <c r="V75" s="396">
        <f>SUM(V72:V74)</f>
        <v>1844</v>
      </c>
      <c r="X75" s="396">
        <f>SUM(X72:X74)</f>
        <v>1844</v>
      </c>
      <c r="Z75" s="396">
        <f>SUM(Z72:Z74)</f>
        <v>1844</v>
      </c>
      <c r="AA75" s="392"/>
    </row>
    <row r="76" spans="1:27" x14ac:dyDescent="0.25">
      <c r="A76" s="389"/>
      <c r="AA76" s="392"/>
    </row>
    <row r="77" spans="1:27" x14ac:dyDescent="0.25">
      <c r="A77" s="90" t="s">
        <v>1207</v>
      </c>
      <c r="AA77" s="392"/>
    </row>
    <row r="78" spans="1:27" x14ac:dyDescent="0.25">
      <c r="A78" s="386" t="s">
        <v>1216</v>
      </c>
      <c r="B78" s="4">
        <v>4</v>
      </c>
      <c r="C78" s="4"/>
      <c r="D78" s="392">
        <f>+$B$78+General!AI1130+TID!AI234</f>
        <v>2.1</v>
      </c>
      <c r="E78" s="392"/>
      <c r="F78" s="392">
        <f>+$B$78+General!AK1130+TID!AK234</f>
        <v>-1.6999999999999993</v>
      </c>
      <c r="H78" s="392">
        <f>+$B$78+General!AM1130+TID!AM234</f>
        <v>-3.5999999999999996</v>
      </c>
      <c r="J78" s="392">
        <f>+$B$78+General!AO1130+TID!AO234</f>
        <v>-1.6999999999999993</v>
      </c>
      <c r="L78" s="392">
        <f>+$B$78+General!AQ1130+TID!AQ234</f>
        <v>-1.6999999999999993</v>
      </c>
      <c r="N78" s="392">
        <f>+$B$78+General!AS1130+TID!AS234</f>
        <v>-1.6999999999999993</v>
      </c>
      <c r="P78" s="392">
        <f>+$B$78+General!AU1130+TID!AU234</f>
        <v>-1.6999999999999993</v>
      </c>
      <c r="R78" s="392">
        <f>+$B$78+General!AW1130+TID!AW234</f>
        <v>-1.6999999999999993</v>
      </c>
      <c r="T78" s="392">
        <f>+$B$78+General!AY1130+TID!AY234</f>
        <v>-1.6999999999999993</v>
      </c>
      <c r="V78" s="392">
        <f>+$B$78+General!BA1130+TID!BA234</f>
        <v>-1.6999999999999993</v>
      </c>
      <c r="X78" s="392">
        <f>+$B$78+General!BC1130+TID!BC234</f>
        <v>-1.6999999999999993</v>
      </c>
      <c r="Z78" s="392">
        <f>+$B$78+General!BE1130+TID!BE234</f>
        <v>6</v>
      </c>
      <c r="AA78" s="392"/>
    </row>
    <row r="79" spans="1:27" x14ac:dyDescent="0.25">
      <c r="A79" s="386" t="s">
        <v>1178</v>
      </c>
      <c r="B79" s="4">
        <v>228</v>
      </c>
      <c r="C79" s="4"/>
      <c r="D79" s="392">
        <f>+$B$79+General!AI1131+TID!AI235</f>
        <v>228</v>
      </c>
      <c r="E79" s="392"/>
      <c r="F79" s="392">
        <f>+$B$79+General!AK1131+TID!AK235</f>
        <v>228</v>
      </c>
      <c r="H79" s="392">
        <f>+$B$79+General!AM1131+TID!AM235</f>
        <v>228</v>
      </c>
      <c r="J79" s="392">
        <f>+$B$79+General!AO1131+TID!AO235</f>
        <v>228</v>
      </c>
      <c r="L79" s="392">
        <f>+$B$79+General!AQ1131+TID!AQ235</f>
        <v>228</v>
      </c>
      <c r="N79" s="392">
        <f>+$B$79+General!AS1131+TID!AS235</f>
        <v>228</v>
      </c>
      <c r="P79" s="392">
        <f>+$B$79+General!AU1131+TID!AU235</f>
        <v>228</v>
      </c>
      <c r="R79" s="392">
        <f>+$B$79+General!AW1131+TID!AW235</f>
        <v>228</v>
      </c>
      <c r="T79" s="392">
        <f>+$B$79+General!AY1131+TID!AY235</f>
        <v>228</v>
      </c>
      <c r="V79" s="392">
        <f>+$B$79+General!BA1131+TID!BA235</f>
        <v>228</v>
      </c>
      <c r="X79" s="392">
        <f>+$B$79+General!BC1131+TID!BC235</f>
        <v>228</v>
      </c>
      <c r="Z79" s="392">
        <f>+$B$79+General!BE1131+TID!BE235</f>
        <v>228</v>
      </c>
      <c r="AA79" s="392"/>
    </row>
    <row r="80" spans="1:27" s="394" customFormat="1" x14ac:dyDescent="0.25">
      <c r="A80" s="90" t="s">
        <v>1208</v>
      </c>
      <c r="B80" s="396">
        <f>SUM(B78:B79)</f>
        <v>232</v>
      </c>
      <c r="C80" s="396"/>
      <c r="D80" s="396">
        <f>SUM(D78:D79)</f>
        <v>230.1</v>
      </c>
      <c r="E80" s="396"/>
      <c r="F80" s="396">
        <f>SUM(F78:F79)</f>
        <v>226.3</v>
      </c>
      <c r="H80" s="396">
        <f>SUM(H78:H79)</f>
        <v>224.4</v>
      </c>
      <c r="J80" s="396">
        <f>SUM(J78:J79)</f>
        <v>226.3</v>
      </c>
      <c r="L80" s="396">
        <f>SUM(L78:L79)</f>
        <v>226.3</v>
      </c>
      <c r="N80" s="396">
        <f>SUM(N78:N79)</f>
        <v>226.3</v>
      </c>
      <c r="P80" s="396">
        <f>SUM(P78:P79)</f>
        <v>226.3</v>
      </c>
      <c r="R80" s="396">
        <f>SUM(R78:R79)</f>
        <v>226.3</v>
      </c>
      <c r="T80" s="396">
        <f>SUM(T78:T79)</f>
        <v>226.3</v>
      </c>
      <c r="V80" s="396">
        <f>SUM(V78:V79)</f>
        <v>226.3</v>
      </c>
      <c r="X80" s="396">
        <f>SUM(X78:X79)</f>
        <v>226.3</v>
      </c>
      <c r="Z80" s="396">
        <f>SUM(Z78:Z79)</f>
        <v>234</v>
      </c>
      <c r="AA80" s="392"/>
    </row>
    <row r="81" spans="1:27" x14ac:dyDescent="0.25">
      <c r="A81" s="389"/>
      <c r="AA81" s="392"/>
    </row>
    <row r="82" spans="1:27" s="394" customFormat="1" x14ac:dyDescent="0.25">
      <c r="A82" s="90" t="s">
        <v>1209</v>
      </c>
      <c r="B82" s="396">
        <f>+B75+B80</f>
        <v>2076</v>
      </c>
      <c r="C82" s="396"/>
      <c r="D82" s="396">
        <f>+D75+D80</f>
        <v>2074.1</v>
      </c>
      <c r="E82" s="396"/>
      <c r="F82" s="396">
        <f>+F75+F80</f>
        <v>2072.2000000000003</v>
      </c>
      <c r="H82" s="396">
        <f>+H75+H80</f>
        <v>2070.3000000000002</v>
      </c>
      <c r="J82" s="396">
        <f>+J75+J80</f>
        <v>2070.3000000000002</v>
      </c>
      <c r="L82" s="396">
        <f>+L75+L80</f>
        <v>2070.3000000000002</v>
      </c>
      <c r="N82" s="396">
        <f>+N75+N80</f>
        <v>2070.3000000000002</v>
      </c>
      <c r="P82" s="396">
        <f>+P75+P80</f>
        <v>2070.3000000000002</v>
      </c>
      <c r="R82" s="396">
        <f>+R75+R80</f>
        <v>2070.3000000000002</v>
      </c>
      <c r="T82" s="396">
        <f>+T75+T80</f>
        <v>2070.3000000000002</v>
      </c>
      <c r="V82" s="396">
        <f>+V75+V80</f>
        <v>2070.3000000000002</v>
      </c>
      <c r="X82" s="396">
        <f>+X75+X80</f>
        <v>2070.3000000000002</v>
      </c>
      <c r="Z82" s="396">
        <f>+Z75+Z80</f>
        <v>2078</v>
      </c>
      <c r="AA82" s="392"/>
    </row>
    <row r="83" spans="1:27" x14ac:dyDescent="0.25">
      <c r="A83" s="389"/>
      <c r="AA83" s="392"/>
    </row>
    <row r="84" spans="1:27" s="394" customFormat="1" x14ac:dyDescent="0.25">
      <c r="A84" s="391" t="s">
        <v>1210</v>
      </c>
      <c r="B84" s="396">
        <f>+B69-B82</f>
        <v>113731</v>
      </c>
      <c r="C84" s="396"/>
      <c r="D84" s="396">
        <f>+D69-D82</f>
        <v>114300.33451357498</v>
      </c>
      <c r="E84" s="396"/>
      <c r="F84" s="396">
        <f>+F69-F82</f>
        <v>114026.11749454787</v>
      </c>
      <c r="H84" s="396">
        <f>+H69-H82</f>
        <v>113476.68584954856</v>
      </c>
      <c r="J84" s="396">
        <f>+J69-J82</f>
        <v>112957.53771963697</v>
      </c>
      <c r="L84" s="396">
        <f>+L69-L82</f>
        <v>112868.58228142512</v>
      </c>
      <c r="N84" s="396">
        <f>+N69-N82</f>
        <v>112526.30994517889</v>
      </c>
      <c r="P84" s="396">
        <f>+P69-P82</f>
        <v>112001.448980887</v>
      </c>
      <c r="R84" s="396">
        <f>+R69-R82</f>
        <v>111644.11096735623</v>
      </c>
      <c r="T84" s="396">
        <f>+T69-T82</f>
        <v>111167.25156876442</v>
      </c>
      <c r="V84" s="396">
        <f>+V69-V82</f>
        <v>110989.70267753776</v>
      </c>
      <c r="X84" s="396">
        <f>+X69-X82</f>
        <v>110896.45496095519</v>
      </c>
      <c r="Z84" s="396">
        <f>+Z69-Z82</f>
        <v>110812.25425484433</v>
      </c>
      <c r="AA84" s="392"/>
    </row>
    <row r="85" spans="1:27" x14ac:dyDescent="0.25">
      <c r="A85" s="389"/>
      <c r="AA85" s="392"/>
    </row>
    <row r="86" spans="1:27" x14ac:dyDescent="0.25">
      <c r="A86" s="90" t="s">
        <v>1211</v>
      </c>
      <c r="AA86" s="392"/>
    </row>
    <row r="87" spans="1:27" x14ac:dyDescent="0.25">
      <c r="A87" s="386" t="s">
        <v>1212</v>
      </c>
      <c r="B87" s="4">
        <v>69364</v>
      </c>
      <c r="C87" s="4"/>
      <c r="D87" s="392">
        <f>+$B$87+General!AI1139+TID!AI243-General!AG1139-TID!AG243</f>
        <v>69933.334513575013</v>
      </c>
      <c r="E87" s="392"/>
      <c r="F87" s="392">
        <f>+$B$87+General!AK1139+TID!AK243-General!AG1139-TID!AG243</f>
        <v>69659.117494547885</v>
      </c>
      <c r="H87" s="392">
        <f>+$B$87+General!AM1139+TID!AM243-General!AG1139-TID!AG243</f>
        <v>69109.685849548565</v>
      </c>
      <c r="J87" s="392">
        <f>+$B$87+General!AO1139+TID!AO243-General!AG1139-TID!AG243</f>
        <v>68590.537719636981</v>
      </c>
      <c r="L87" s="392">
        <f>+$B$87+General!AQ1139+TID!AQ243-General!AG1139-TID!AG243</f>
        <v>68501.58228142513</v>
      </c>
      <c r="N87" s="392">
        <f>+$B$87+General!AS1139+TID!AS243-General!AG1139-TID!AG243</f>
        <v>68159.309945178902</v>
      </c>
      <c r="P87" s="392">
        <f>+$B$87+General!AU1139+TID!AU243-General!AG1139-TID!AG243</f>
        <v>67634.448980887013</v>
      </c>
      <c r="R87" s="392">
        <f>+$B$87+General!AW1139+TID!AW243-General!AG1139-TID!AG243</f>
        <v>67277.110967356246</v>
      </c>
      <c r="T87" s="392">
        <f>+$B$87+General!AY1139+TID!AY243-General!AG1139-TID!AG243</f>
        <v>66800.251568764434</v>
      </c>
      <c r="V87" s="392">
        <f>+$B$87+General!BA1139+TID!BA243-General!AG1139-TID!AG243</f>
        <v>66622.70267753776</v>
      </c>
      <c r="X87" s="392">
        <f>+$B$87+General!BC1139+TID!BC243-General!AG1139-TID!AG243</f>
        <v>66529.45496095519</v>
      </c>
      <c r="Z87" s="392">
        <f>+$B$87+General!BE1139+TID!BE243-1-General!AG1139-TID!AG243</f>
        <v>66444.954254844328</v>
      </c>
      <c r="AA87" s="392"/>
    </row>
    <row r="88" spans="1:27" x14ac:dyDescent="0.25">
      <c r="A88" s="386" t="s">
        <v>1213</v>
      </c>
      <c r="B88" s="4">
        <v>44367</v>
      </c>
      <c r="C88" s="4"/>
      <c r="D88" s="392">
        <f>+$B$88+General!AI1140+TID!AI244</f>
        <v>44367</v>
      </c>
      <c r="E88" s="392"/>
      <c r="F88" s="392">
        <f>+$B$88+General!AK1140+TID!AK244</f>
        <v>44367</v>
      </c>
      <c r="H88" s="392">
        <f>+$B$88+General!AM1140+TID!AM244</f>
        <v>44367</v>
      </c>
      <c r="J88" s="392">
        <f>+$B$88+General!AO1140+TID!AO244</f>
        <v>44367</v>
      </c>
      <c r="L88" s="392">
        <f>+$B$88+General!AQ1140+TID!AQ244</f>
        <v>44367</v>
      </c>
      <c r="N88" s="392">
        <f>+$B$88+General!AS1140+TID!AS244</f>
        <v>44367</v>
      </c>
      <c r="P88" s="392">
        <f>+$B$88+General!AU1140+TID!AU244</f>
        <v>44367</v>
      </c>
      <c r="R88" s="392">
        <f>+$B$88+General!AW1140+TID!AW244</f>
        <v>44367</v>
      </c>
      <c r="T88" s="392">
        <f>+$B$88+General!AY1140+TID!AY244</f>
        <v>44367</v>
      </c>
      <c r="V88" s="392">
        <f>+$B$88+General!BA1140+TID!BA244</f>
        <v>44367</v>
      </c>
      <c r="X88" s="392">
        <f>+$B$88+General!BC1140+TID!BC244</f>
        <v>44367</v>
      </c>
      <c r="Z88" s="392">
        <f>+$B$88+General!BE1140+TID!BE244</f>
        <v>44367</v>
      </c>
      <c r="AA88" s="392"/>
    </row>
    <row r="89" spans="1:27" x14ac:dyDescent="0.25">
      <c r="A89" s="386" t="s">
        <v>1214</v>
      </c>
      <c r="B89" s="4">
        <v>0</v>
      </c>
      <c r="C89" s="4"/>
      <c r="D89" s="392">
        <f>+$B$89+General!AI1141+TID!AI245</f>
        <v>0</v>
      </c>
      <c r="E89" s="4"/>
      <c r="F89" s="392">
        <f>+$B$89+General!AK1141+TID!AK245</f>
        <v>0</v>
      </c>
      <c r="H89" s="392">
        <f>+$B$89+General!AM1141+TID!AM245</f>
        <v>0</v>
      </c>
      <c r="J89" s="392">
        <f>+$B$89+General!AO1141+TID!AO245</f>
        <v>0</v>
      </c>
      <c r="L89" s="392">
        <f>+$B$89+General!AQ1141+TID!AQ245</f>
        <v>0</v>
      </c>
      <c r="N89" s="392">
        <f>+$B$89+General!AS1141+TID!AS245</f>
        <v>0</v>
      </c>
      <c r="P89" s="392">
        <f>+$B$89+General!AU1141+TID!AU245</f>
        <v>0</v>
      </c>
      <c r="R89" s="392">
        <f>+$B$89+General!AW1141+TID!AW245</f>
        <v>0</v>
      </c>
      <c r="T89" s="392">
        <f>+$B$89+General!AY1141+TID!AY245</f>
        <v>0</v>
      </c>
      <c r="V89" s="392">
        <f>+$B$89+General!BA1141+TID!BA245</f>
        <v>0</v>
      </c>
      <c r="X89" s="392">
        <f>+$B$89+General!BC1141+TID!BC245</f>
        <v>0</v>
      </c>
      <c r="Z89" s="392">
        <f>+$B$89+General!BE1141+TID!BE245</f>
        <v>0</v>
      </c>
      <c r="AA89" s="392"/>
    </row>
    <row r="90" spans="1:27" s="394" customFormat="1" x14ac:dyDescent="0.25">
      <c r="A90" s="391" t="s">
        <v>1215</v>
      </c>
      <c r="B90" s="396">
        <f>SUM(B87:B89)</f>
        <v>113731</v>
      </c>
      <c r="C90" s="396"/>
      <c r="D90" s="396">
        <f>SUM(D87:D89)</f>
        <v>114300.33451357501</v>
      </c>
      <c r="E90" s="396"/>
      <c r="F90" s="396">
        <f>SUM(F87:F89)</f>
        <v>114026.11749454789</v>
      </c>
      <c r="H90" s="396">
        <f>SUM(H87:H89)</f>
        <v>113476.68584954856</v>
      </c>
      <c r="J90" s="396">
        <f>SUM(J87:J89)</f>
        <v>112957.53771963698</v>
      </c>
      <c r="L90" s="396">
        <f>SUM(L87:L89)</f>
        <v>112868.58228142513</v>
      </c>
      <c r="N90" s="396">
        <f>SUM(N87:N89)</f>
        <v>112526.3099451789</v>
      </c>
      <c r="P90" s="396">
        <f>SUM(P87:P89)</f>
        <v>112001.44898088701</v>
      </c>
      <c r="R90" s="396">
        <f>SUM(R87:R89)</f>
        <v>111644.11096735625</v>
      </c>
      <c r="T90" s="396">
        <f>SUM(T87:T89)</f>
        <v>111167.25156876443</v>
      </c>
      <c r="V90" s="396">
        <f>SUM(V87:V89)</f>
        <v>110989.70267753776</v>
      </c>
      <c r="X90" s="396">
        <f>SUM(X87:X89)</f>
        <v>110896.45496095519</v>
      </c>
      <c r="Z90" s="396">
        <f>SUM(Z87:Z89)</f>
        <v>110811.95425484433</v>
      </c>
      <c r="AA90" s="392"/>
    </row>
    <row r="91" spans="1:27" x14ac:dyDescent="0.25">
      <c r="B91" s="392">
        <f>+B84-B90</f>
        <v>0</v>
      </c>
      <c r="C91" s="392"/>
      <c r="D91" s="392">
        <f>+D84-D90</f>
        <v>0</v>
      </c>
      <c r="F91" s="392">
        <f>+F84-F90</f>
        <v>0</v>
      </c>
      <c r="H91" s="392">
        <f>+H84-H90</f>
        <v>0</v>
      </c>
      <c r="J91" s="392">
        <f>+J84-J90</f>
        <v>0</v>
      </c>
      <c r="L91" s="392">
        <f>+L84-L90</f>
        <v>0</v>
      </c>
      <c r="N91" s="392">
        <f>+N84-N90</f>
        <v>0</v>
      </c>
      <c r="P91" s="392">
        <f>+P84-P90</f>
        <v>0</v>
      </c>
      <c r="R91" s="392">
        <f>+R84-R90</f>
        <v>0</v>
      </c>
      <c r="T91" s="392">
        <f>+T84-T90</f>
        <v>0</v>
      </c>
      <c r="V91" s="392">
        <f>+V84-V90</f>
        <v>0</v>
      </c>
      <c r="X91" s="392">
        <f>+X84-X90</f>
        <v>0</v>
      </c>
      <c r="Z91" s="392">
        <f>+Z84-Z90</f>
        <v>0.30000000000291038</v>
      </c>
      <c r="AA91" s="392"/>
    </row>
    <row r="93" spans="1:27" x14ac:dyDescent="0.25">
      <c r="D93" s="392"/>
      <c r="F93" s="392"/>
      <c r="H93" s="392"/>
      <c r="J93" s="392"/>
      <c r="L93" s="392"/>
      <c r="N93" s="392"/>
      <c r="P93" s="392"/>
      <c r="R93" s="392"/>
      <c r="T93" s="392"/>
      <c r="V93" s="392"/>
      <c r="X93" s="392"/>
      <c r="Z93" s="392"/>
    </row>
    <row r="95" spans="1:27" x14ac:dyDescent="0.25">
      <c r="D95" s="392"/>
      <c r="F95" s="392"/>
      <c r="H95" s="392"/>
      <c r="J95" s="392"/>
      <c r="L95" s="392"/>
      <c r="N95" s="392"/>
      <c r="P95" s="392"/>
      <c r="R95" s="392"/>
      <c r="T95" s="392"/>
      <c r="V95" s="392"/>
      <c r="X95" s="392"/>
      <c r="Z95" s="392"/>
    </row>
    <row r="97" spans="2:2" x14ac:dyDescent="0.25">
      <c r="B97" s="392"/>
    </row>
  </sheetData>
  <mergeCells count="2">
    <mergeCell ref="A49:Z49"/>
    <mergeCell ref="A4:Z4"/>
  </mergeCells>
  <pageMargins left="0.70866141732283472" right="0.70866141732283472" top="0.74803149606299213" bottom="0.74803149606299213" header="0.31496062992125984" footer="0.31496062992125984"/>
  <pageSetup paperSize="8" scale="93" fitToHeight="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ES1148"/>
  <sheetViews>
    <sheetView topLeftCell="AG1" zoomScale="75" zoomScaleNormal="75" workbookViewId="0">
      <pane ySplit="3" topLeftCell="A1076" activePane="bottomLeft" state="frozen"/>
      <selection pane="bottomLeft" activeCell="BA75" sqref="BA75"/>
    </sheetView>
  </sheetViews>
  <sheetFormatPr defaultRowHeight="15" outlineLevelRow="1" x14ac:dyDescent="0.25"/>
  <cols>
    <col min="1" max="1" width="84.28515625" style="42" bestFit="1" customWidth="1"/>
    <col min="2" max="2" width="17.7109375" style="3" hidden="1" customWidth="1"/>
    <col min="3" max="3" width="2.85546875" style="3" hidden="1" customWidth="1"/>
    <col min="4" max="6" width="15.5703125" style="3" hidden="1" customWidth="1"/>
    <col min="7" max="7" width="3" style="3" hidden="1" customWidth="1"/>
    <col min="8" max="8" width="15.5703125" style="3" hidden="1" customWidth="1"/>
    <col min="9" max="9" width="3" style="3" hidden="1" customWidth="1"/>
    <col min="10" max="12" width="15.5703125" style="3" hidden="1" customWidth="1"/>
    <col min="13" max="13" width="3" style="4" hidden="1" customWidth="1"/>
    <col min="14" max="14" width="15.5703125" style="3" hidden="1" customWidth="1"/>
    <col min="15" max="15" width="1.7109375" style="3" hidden="1" customWidth="1"/>
    <col min="16" max="16" width="17.42578125" style="3" hidden="1" customWidth="1"/>
    <col min="17" max="17" width="1.140625" style="3" hidden="1" customWidth="1"/>
    <col min="18" max="19" width="15.28515625" style="3" hidden="1" customWidth="1"/>
    <col min="20" max="20" width="15.5703125" style="3" hidden="1" customWidth="1"/>
    <col min="21" max="21" width="15.28515625" style="3" hidden="1" customWidth="1"/>
    <col min="22" max="22" width="15.140625" style="3" hidden="1" customWidth="1"/>
    <col min="23" max="23" width="14.42578125" style="3" hidden="1" customWidth="1"/>
    <col min="24" max="24" width="1.7109375" style="3" hidden="1" customWidth="1"/>
    <col min="25" max="25" width="16.85546875" style="3" hidden="1" customWidth="1"/>
    <col min="26" max="26" width="17.140625" style="3" hidden="1" customWidth="1"/>
    <col min="27" max="27" width="2.140625" style="3" hidden="1" customWidth="1"/>
    <col min="28" max="28" width="2.7109375" style="3" hidden="1" customWidth="1"/>
    <col min="29" max="29" width="15.5703125" style="3" hidden="1" customWidth="1"/>
    <col min="30" max="30" width="16.42578125" style="3" hidden="1" customWidth="1"/>
    <col min="31" max="31" width="19.85546875" style="3" hidden="1" customWidth="1"/>
    <col min="32" max="32" width="10.42578125" style="3" hidden="1" customWidth="1"/>
    <col min="33" max="33" width="6.42578125" style="4" bestFit="1" customWidth="1"/>
    <col min="34" max="34" width="1.7109375" style="4" customWidth="1"/>
    <col min="35" max="35" width="12" style="3" bestFit="1" customWidth="1"/>
    <col min="36" max="36" width="1.7109375" style="3" customWidth="1"/>
    <col min="37" max="37" width="12" style="3" bestFit="1" customWidth="1"/>
    <col min="38" max="38" width="1.7109375" style="3" customWidth="1"/>
    <col min="39" max="39" width="12" style="3" bestFit="1" customWidth="1"/>
    <col min="40" max="40" width="1.7109375" style="3" customWidth="1"/>
    <col min="41" max="41" width="15.5703125" style="3" customWidth="1"/>
    <col min="42" max="42" width="1.7109375" style="4" customWidth="1"/>
    <col min="43" max="43" width="15.5703125" style="3" customWidth="1"/>
    <col min="44" max="44" width="1.7109375" style="42" customWidth="1"/>
    <col min="45" max="45" width="15.5703125" style="3" customWidth="1"/>
    <col min="46" max="46" width="1.7109375" style="42" customWidth="1"/>
    <col min="47" max="47" width="15.85546875" style="3" customWidth="1"/>
    <col min="48" max="48" width="1.7109375" style="42" customWidth="1"/>
    <col min="49" max="49" width="15.5703125" style="3" customWidth="1"/>
    <col min="50" max="50" width="1.7109375" style="42" customWidth="1"/>
    <col min="51" max="51" width="15.5703125" style="3" customWidth="1"/>
    <col min="52" max="52" width="1.7109375" style="42" customWidth="1"/>
    <col min="53" max="53" width="15.5703125" style="3" customWidth="1"/>
    <col min="54" max="54" width="1.7109375" style="42" customWidth="1"/>
    <col min="55" max="55" width="12" style="6" customWidth="1"/>
    <col min="56" max="56" width="2.42578125" style="42" customWidth="1"/>
    <col min="57" max="57" width="12" style="6" customWidth="1"/>
    <col min="58" max="58" width="1.7109375" style="6" customWidth="1"/>
    <col min="59" max="59" width="9.140625" style="6" customWidth="1"/>
    <col min="60" max="60" width="13.42578125" style="6" customWidth="1"/>
    <col min="61" max="246" width="9.140625" style="6"/>
    <col min="247" max="247" width="26.5703125" style="6" customWidth="1"/>
    <col min="248" max="260" width="0" style="6" hidden="1" customWidth="1"/>
    <col min="261" max="261" width="1.7109375" style="6" customWidth="1"/>
    <col min="262" max="262" width="17.42578125" style="6" customWidth="1"/>
    <col min="263" max="263" width="1.140625" style="6" customWidth="1"/>
    <col min="264" max="276" width="0" style="6" hidden="1" customWidth="1"/>
    <col min="277" max="277" width="19.85546875" style="6" customWidth="1"/>
    <col min="278" max="278" width="0" style="6" hidden="1" customWidth="1"/>
    <col min="279" max="279" width="2.85546875" style="6" customWidth="1"/>
    <col min="280" max="280" width="15.5703125" style="6" customWidth="1"/>
    <col min="281" max="281" width="2" style="6" customWidth="1"/>
    <col min="282" max="282" width="15.5703125" style="6" customWidth="1"/>
    <col min="283" max="283" width="1.7109375" style="6" customWidth="1"/>
    <col min="284" max="284" width="15.5703125" style="6" customWidth="1"/>
    <col min="285" max="285" width="1.5703125" style="6" customWidth="1"/>
    <col min="286" max="286" width="15.5703125" style="6" customWidth="1"/>
    <col min="287" max="287" width="1.42578125" style="6" customWidth="1"/>
    <col min="288" max="288" width="15.5703125" style="6" customWidth="1"/>
    <col min="289" max="289" width="1.85546875" style="6" customWidth="1"/>
    <col min="290" max="290" width="15.5703125" style="6" customWidth="1"/>
    <col min="291" max="291" width="1.28515625" style="6" customWidth="1"/>
    <col min="292" max="292" width="15.85546875" style="6" customWidth="1"/>
    <col min="293" max="293" width="1.5703125" style="6" customWidth="1"/>
    <col min="294" max="294" width="15.5703125" style="6" customWidth="1"/>
    <col min="295" max="295" width="1.85546875" style="6" customWidth="1"/>
    <col min="296" max="296" width="15.5703125" style="6" customWidth="1"/>
    <col min="297" max="297" width="1.5703125" style="6" customWidth="1"/>
    <col min="298" max="298" width="15.5703125" style="6" customWidth="1"/>
    <col min="299" max="299" width="9.140625" style="6"/>
    <col min="300" max="300" width="15.140625" style="6" customWidth="1"/>
    <col min="301" max="502" width="9.140625" style="6"/>
    <col min="503" max="503" width="26.5703125" style="6" customWidth="1"/>
    <col min="504" max="516" width="0" style="6" hidden="1" customWidth="1"/>
    <col min="517" max="517" width="1.7109375" style="6" customWidth="1"/>
    <col min="518" max="518" width="17.42578125" style="6" customWidth="1"/>
    <col min="519" max="519" width="1.140625" style="6" customWidth="1"/>
    <col min="520" max="532" width="0" style="6" hidden="1" customWidth="1"/>
    <col min="533" max="533" width="19.85546875" style="6" customWidth="1"/>
    <col min="534" max="534" width="0" style="6" hidden="1" customWidth="1"/>
    <col min="535" max="535" width="2.85546875" style="6" customWidth="1"/>
    <col min="536" max="536" width="15.5703125" style="6" customWidth="1"/>
    <col min="537" max="537" width="2" style="6" customWidth="1"/>
    <col min="538" max="538" width="15.5703125" style="6" customWidth="1"/>
    <col min="539" max="539" width="1.7109375" style="6" customWidth="1"/>
    <col min="540" max="540" width="15.5703125" style="6" customWidth="1"/>
    <col min="541" max="541" width="1.5703125" style="6" customWidth="1"/>
    <col min="542" max="542" width="15.5703125" style="6" customWidth="1"/>
    <col min="543" max="543" width="1.42578125" style="6" customWidth="1"/>
    <col min="544" max="544" width="15.5703125" style="6" customWidth="1"/>
    <col min="545" max="545" width="1.85546875" style="6" customWidth="1"/>
    <col min="546" max="546" width="15.5703125" style="6" customWidth="1"/>
    <col min="547" max="547" width="1.28515625" style="6" customWidth="1"/>
    <col min="548" max="548" width="15.85546875" style="6" customWidth="1"/>
    <col min="549" max="549" width="1.5703125" style="6" customWidth="1"/>
    <col min="550" max="550" width="15.5703125" style="6" customWidth="1"/>
    <col min="551" max="551" width="1.85546875" style="6" customWidth="1"/>
    <col min="552" max="552" width="15.5703125" style="6" customWidth="1"/>
    <col min="553" max="553" width="1.5703125" style="6" customWidth="1"/>
    <col min="554" max="554" width="15.5703125" style="6" customWidth="1"/>
    <col min="555" max="555" width="9.140625" style="6"/>
    <col min="556" max="556" width="15.140625" style="6" customWidth="1"/>
    <col min="557" max="758" width="9.140625" style="6"/>
    <col min="759" max="759" width="26.5703125" style="6" customWidth="1"/>
    <col min="760" max="772" width="0" style="6" hidden="1" customWidth="1"/>
    <col min="773" max="773" width="1.7109375" style="6" customWidth="1"/>
    <col min="774" max="774" width="17.42578125" style="6" customWidth="1"/>
    <col min="775" max="775" width="1.140625" style="6" customWidth="1"/>
    <col min="776" max="788" width="0" style="6" hidden="1" customWidth="1"/>
    <col min="789" max="789" width="19.85546875" style="6" customWidth="1"/>
    <col min="790" max="790" width="0" style="6" hidden="1" customWidth="1"/>
    <col min="791" max="791" width="2.85546875" style="6" customWidth="1"/>
    <col min="792" max="792" width="15.5703125" style="6" customWidth="1"/>
    <col min="793" max="793" width="2" style="6" customWidth="1"/>
    <col min="794" max="794" width="15.5703125" style="6" customWidth="1"/>
    <col min="795" max="795" width="1.7109375" style="6" customWidth="1"/>
    <col min="796" max="796" width="15.5703125" style="6" customWidth="1"/>
    <col min="797" max="797" width="1.5703125" style="6" customWidth="1"/>
    <col min="798" max="798" width="15.5703125" style="6" customWidth="1"/>
    <col min="799" max="799" width="1.42578125" style="6" customWidth="1"/>
    <col min="800" max="800" width="15.5703125" style="6" customWidth="1"/>
    <col min="801" max="801" width="1.85546875" style="6" customWidth="1"/>
    <col min="802" max="802" width="15.5703125" style="6" customWidth="1"/>
    <col min="803" max="803" width="1.28515625" style="6" customWidth="1"/>
    <col min="804" max="804" width="15.85546875" style="6" customWidth="1"/>
    <col min="805" max="805" width="1.5703125" style="6" customWidth="1"/>
    <col min="806" max="806" width="15.5703125" style="6" customWidth="1"/>
    <col min="807" max="807" width="1.85546875" style="6" customWidth="1"/>
    <col min="808" max="808" width="15.5703125" style="6" customWidth="1"/>
    <col min="809" max="809" width="1.5703125" style="6" customWidth="1"/>
    <col min="810" max="810" width="15.5703125" style="6" customWidth="1"/>
    <col min="811" max="811" width="9.140625" style="6"/>
    <col min="812" max="812" width="15.140625" style="6" customWidth="1"/>
    <col min="813" max="1014" width="9.140625" style="6"/>
    <col min="1015" max="1015" width="26.5703125" style="6" customWidth="1"/>
    <col min="1016" max="1028" width="0" style="6" hidden="1" customWidth="1"/>
    <col min="1029" max="1029" width="1.7109375" style="6" customWidth="1"/>
    <col min="1030" max="1030" width="17.42578125" style="6" customWidth="1"/>
    <col min="1031" max="1031" width="1.140625" style="6" customWidth="1"/>
    <col min="1032" max="1044" width="0" style="6" hidden="1" customWidth="1"/>
    <col min="1045" max="1045" width="19.85546875" style="6" customWidth="1"/>
    <col min="1046" max="1046" width="0" style="6" hidden="1" customWidth="1"/>
    <col min="1047" max="1047" width="2.85546875" style="6" customWidth="1"/>
    <col min="1048" max="1048" width="15.5703125" style="6" customWidth="1"/>
    <col min="1049" max="1049" width="2" style="6" customWidth="1"/>
    <col min="1050" max="1050" width="15.5703125" style="6" customWidth="1"/>
    <col min="1051" max="1051" width="1.7109375" style="6" customWidth="1"/>
    <col min="1052" max="1052" width="15.5703125" style="6" customWidth="1"/>
    <col min="1053" max="1053" width="1.5703125" style="6" customWidth="1"/>
    <col min="1054" max="1054" width="15.5703125" style="6" customWidth="1"/>
    <col min="1055" max="1055" width="1.42578125" style="6" customWidth="1"/>
    <col min="1056" max="1056" width="15.5703125" style="6" customWidth="1"/>
    <col min="1057" max="1057" width="1.85546875" style="6" customWidth="1"/>
    <col min="1058" max="1058" width="15.5703125" style="6" customWidth="1"/>
    <col min="1059" max="1059" width="1.28515625" style="6" customWidth="1"/>
    <col min="1060" max="1060" width="15.85546875" style="6" customWidth="1"/>
    <col min="1061" max="1061" width="1.5703125" style="6" customWidth="1"/>
    <col min="1062" max="1062" width="15.5703125" style="6" customWidth="1"/>
    <col min="1063" max="1063" width="1.85546875" style="6" customWidth="1"/>
    <col min="1064" max="1064" width="15.5703125" style="6" customWidth="1"/>
    <col min="1065" max="1065" width="1.5703125" style="6" customWidth="1"/>
    <col min="1066" max="1066" width="15.5703125" style="6" customWidth="1"/>
    <col min="1067" max="1067" width="9.140625" style="6"/>
    <col min="1068" max="1068" width="15.140625" style="6" customWidth="1"/>
    <col min="1069" max="1270" width="9.140625" style="6"/>
    <col min="1271" max="1271" width="26.5703125" style="6" customWidth="1"/>
    <col min="1272" max="1284" width="0" style="6" hidden="1" customWidth="1"/>
    <col min="1285" max="1285" width="1.7109375" style="6" customWidth="1"/>
    <col min="1286" max="1286" width="17.42578125" style="6" customWidth="1"/>
    <col min="1287" max="1287" width="1.140625" style="6" customWidth="1"/>
    <col min="1288" max="1300" width="0" style="6" hidden="1" customWidth="1"/>
    <col min="1301" max="1301" width="19.85546875" style="6" customWidth="1"/>
    <col min="1302" max="1302" width="0" style="6" hidden="1" customWidth="1"/>
    <col min="1303" max="1303" width="2.85546875" style="6" customWidth="1"/>
    <col min="1304" max="1304" width="15.5703125" style="6" customWidth="1"/>
    <col min="1305" max="1305" width="2" style="6" customWidth="1"/>
    <col min="1306" max="1306" width="15.5703125" style="6" customWidth="1"/>
    <col min="1307" max="1307" width="1.7109375" style="6" customWidth="1"/>
    <col min="1308" max="1308" width="15.5703125" style="6" customWidth="1"/>
    <col min="1309" max="1309" width="1.5703125" style="6" customWidth="1"/>
    <col min="1310" max="1310" width="15.5703125" style="6" customWidth="1"/>
    <col min="1311" max="1311" width="1.42578125" style="6" customWidth="1"/>
    <col min="1312" max="1312" width="15.5703125" style="6" customWidth="1"/>
    <col min="1313" max="1313" width="1.85546875" style="6" customWidth="1"/>
    <col min="1314" max="1314" width="15.5703125" style="6" customWidth="1"/>
    <col min="1315" max="1315" width="1.28515625" style="6" customWidth="1"/>
    <col min="1316" max="1316" width="15.85546875" style="6" customWidth="1"/>
    <col min="1317" max="1317" width="1.5703125" style="6" customWidth="1"/>
    <col min="1318" max="1318" width="15.5703125" style="6" customWidth="1"/>
    <col min="1319" max="1319" width="1.85546875" style="6" customWidth="1"/>
    <col min="1320" max="1320" width="15.5703125" style="6" customWidth="1"/>
    <col min="1321" max="1321" width="1.5703125" style="6" customWidth="1"/>
    <col min="1322" max="1322" width="15.5703125" style="6" customWidth="1"/>
    <col min="1323" max="1323" width="9.140625" style="6"/>
    <col min="1324" max="1324" width="15.140625" style="6" customWidth="1"/>
    <col min="1325" max="1526" width="9.140625" style="6"/>
    <col min="1527" max="1527" width="26.5703125" style="6" customWidth="1"/>
    <col min="1528" max="1540" width="0" style="6" hidden="1" customWidth="1"/>
    <col min="1541" max="1541" width="1.7109375" style="6" customWidth="1"/>
    <col min="1542" max="1542" width="17.42578125" style="6" customWidth="1"/>
    <col min="1543" max="1543" width="1.140625" style="6" customWidth="1"/>
    <col min="1544" max="1556" width="0" style="6" hidden="1" customWidth="1"/>
    <col min="1557" max="1557" width="19.85546875" style="6" customWidth="1"/>
    <col min="1558" max="1558" width="0" style="6" hidden="1" customWidth="1"/>
    <col min="1559" max="1559" width="2.85546875" style="6" customWidth="1"/>
    <col min="1560" max="1560" width="15.5703125" style="6" customWidth="1"/>
    <col min="1561" max="1561" width="2" style="6" customWidth="1"/>
    <col min="1562" max="1562" width="15.5703125" style="6" customWidth="1"/>
    <col min="1563" max="1563" width="1.7109375" style="6" customWidth="1"/>
    <col min="1564" max="1564" width="15.5703125" style="6" customWidth="1"/>
    <col min="1565" max="1565" width="1.5703125" style="6" customWidth="1"/>
    <col min="1566" max="1566" width="15.5703125" style="6" customWidth="1"/>
    <col min="1567" max="1567" width="1.42578125" style="6" customWidth="1"/>
    <col min="1568" max="1568" width="15.5703125" style="6" customWidth="1"/>
    <col min="1569" max="1569" width="1.85546875" style="6" customWidth="1"/>
    <col min="1570" max="1570" width="15.5703125" style="6" customWidth="1"/>
    <col min="1571" max="1571" width="1.28515625" style="6" customWidth="1"/>
    <col min="1572" max="1572" width="15.85546875" style="6" customWidth="1"/>
    <col min="1573" max="1573" width="1.5703125" style="6" customWidth="1"/>
    <col min="1574" max="1574" width="15.5703125" style="6" customWidth="1"/>
    <col min="1575" max="1575" width="1.85546875" style="6" customWidth="1"/>
    <col min="1576" max="1576" width="15.5703125" style="6" customWidth="1"/>
    <col min="1577" max="1577" width="1.5703125" style="6" customWidth="1"/>
    <col min="1578" max="1578" width="15.5703125" style="6" customWidth="1"/>
    <col min="1579" max="1579" width="9.140625" style="6"/>
    <col min="1580" max="1580" width="15.140625" style="6" customWidth="1"/>
    <col min="1581" max="1782" width="9.140625" style="6"/>
    <col min="1783" max="1783" width="26.5703125" style="6" customWidth="1"/>
    <col min="1784" max="1796" width="0" style="6" hidden="1" customWidth="1"/>
    <col min="1797" max="1797" width="1.7109375" style="6" customWidth="1"/>
    <col min="1798" max="1798" width="17.42578125" style="6" customWidth="1"/>
    <col min="1799" max="1799" width="1.140625" style="6" customWidth="1"/>
    <col min="1800" max="1812" width="0" style="6" hidden="1" customWidth="1"/>
    <col min="1813" max="1813" width="19.85546875" style="6" customWidth="1"/>
    <col min="1814" max="1814" width="0" style="6" hidden="1" customWidth="1"/>
    <col min="1815" max="1815" width="2.85546875" style="6" customWidth="1"/>
    <col min="1816" max="1816" width="15.5703125" style="6" customWidth="1"/>
    <col min="1817" max="1817" width="2" style="6" customWidth="1"/>
    <col min="1818" max="1818" width="15.5703125" style="6" customWidth="1"/>
    <col min="1819" max="1819" width="1.7109375" style="6" customWidth="1"/>
    <col min="1820" max="1820" width="15.5703125" style="6" customWidth="1"/>
    <col min="1821" max="1821" width="1.5703125" style="6" customWidth="1"/>
    <col min="1822" max="1822" width="15.5703125" style="6" customWidth="1"/>
    <col min="1823" max="1823" width="1.42578125" style="6" customWidth="1"/>
    <col min="1824" max="1824" width="15.5703125" style="6" customWidth="1"/>
    <col min="1825" max="1825" width="1.85546875" style="6" customWidth="1"/>
    <col min="1826" max="1826" width="15.5703125" style="6" customWidth="1"/>
    <col min="1827" max="1827" width="1.28515625" style="6" customWidth="1"/>
    <col min="1828" max="1828" width="15.85546875" style="6" customWidth="1"/>
    <col min="1829" max="1829" width="1.5703125" style="6" customWidth="1"/>
    <col min="1830" max="1830" width="15.5703125" style="6" customWidth="1"/>
    <col min="1831" max="1831" width="1.85546875" style="6" customWidth="1"/>
    <col min="1832" max="1832" width="15.5703125" style="6" customWidth="1"/>
    <col min="1833" max="1833" width="1.5703125" style="6" customWidth="1"/>
    <col min="1834" max="1834" width="15.5703125" style="6" customWidth="1"/>
    <col min="1835" max="1835" width="9.140625" style="6"/>
    <col min="1836" max="1836" width="15.140625" style="6" customWidth="1"/>
    <col min="1837" max="2038" width="9.140625" style="6"/>
    <col min="2039" max="2039" width="26.5703125" style="6" customWidth="1"/>
    <col min="2040" max="2052" width="0" style="6" hidden="1" customWidth="1"/>
    <col min="2053" max="2053" width="1.7109375" style="6" customWidth="1"/>
    <col min="2054" max="2054" width="17.42578125" style="6" customWidth="1"/>
    <col min="2055" max="2055" width="1.140625" style="6" customWidth="1"/>
    <col min="2056" max="2068" width="0" style="6" hidden="1" customWidth="1"/>
    <col min="2069" max="2069" width="19.85546875" style="6" customWidth="1"/>
    <col min="2070" max="2070" width="0" style="6" hidden="1" customWidth="1"/>
    <col min="2071" max="2071" width="2.85546875" style="6" customWidth="1"/>
    <col min="2072" max="2072" width="15.5703125" style="6" customWidth="1"/>
    <col min="2073" max="2073" width="2" style="6" customWidth="1"/>
    <col min="2074" max="2074" width="15.5703125" style="6" customWidth="1"/>
    <col min="2075" max="2075" width="1.7109375" style="6" customWidth="1"/>
    <col min="2076" max="2076" width="15.5703125" style="6" customWidth="1"/>
    <col min="2077" max="2077" width="1.5703125" style="6" customWidth="1"/>
    <col min="2078" max="2078" width="15.5703125" style="6" customWidth="1"/>
    <col min="2079" max="2079" width="1.42578125" style="6" customWidth="1"/>
    <col min="2080" max="2080" width="15.5703125" style="6" customWidth="1"/>
    <col min="2081" max="2081" width="1.85546875" style="6" customWidth="1"/>
    <col min="2082" max="2082" width="15.5703125" style="6" customWidth="1"/>
    <col min="2083" max="2083" width="1.28515625" style="6" customWidth="1"/>
    <col min="2084" max="2084" width="15.85546875" style="6" customWidth="1"/>
    <col min="2085" max="2085" width="1.5703125" style="6" customWidth="1"/>
    <col min="2086" max="2086" width="15.5703125" style="6" customWidth="1"/>
    <col min="2087" max="2087" width="1.85546875" style="6" customWidth="1"/>
    <col min="2088" max="2088" width="15.5703125" style="6" customWidth="1"/>
    <col min="2089" max="2089" width="1.5703125" style="6" customWidth="1"/>
    <col min="2090" max="2090" width="15.5703125" style="6" customWidth="1"/>
    <col min="2091" max="2091" width="9.140625" style="6"/>
    <col min="2092" max="2092" width="15.140625" style="6" customWidth="1"/>
    <col min="2093" max="2294" width="9.140625" style="6"/>
    <col min="2295" max="2295" width="26.5703125" style="6" customWidth="1"/>
    <col min="2296" max="2308" width="0" style="6" hidden="1" customWidth="1"/>
    <col min="2309" max="2309" width="1.7109375" style="6" customWidth="1"/>
    <col min="2310" max="2310" width="17.42578125" style="6" customWidth="1"/>
    <col min="2311" max="2311" width="1.140625" style="6" customWidth="1"/>
    <col min="2312" max="2324" width="0" style="6" hidden="1" customWidth="1"/>
    <col min="2325" max="2325" width="19.85546875" style="6" customWidth="1"/>
    <col min="2326" max="2326" width="0" style="6" hidden="1" customWidth="1"/>
    <col min="2327" max="2327" width="2.85546875" style="6" customWidth="1"/>
    <col min="2328" max="2328" width="15.5703125" style="6" customWidth="1"/>
    <col min="2329" max="2329" width="2" style="6" customWidth="1"/>
    <col min="2330" max="2330" width="15.5703125" style="6" customWidth="1"/>
    <col min="2331" max="2331" width="1.7109375" style="6" customWidth="1"/>
    <col min="2332" max="2332" width="15.5703125" style="6" customWidth="1"/>
    <col min="2333" max="2333" width="1.5703125" style="6" customWidth="1"/>
    <col min="2334" max="2334" width="15.5703125" style="6" customWidth="1"/>
    <col min="2335" max="2335" width="1.42578125" style="6" customWidth="1"/>
    <col min="2336" max="2336" width="15.5703125" style="6" customWidth="1"/>
    <col min="2337" max="2337" width="1.85546875" style="6" customWidth="1"/>
    <col min="2338" max="2338" width="15.5703125" style="6" customWidth="1"/>
    <col min="2339" max="2339" width="1.28515625" style="6" customWidth="1"/>
    <col min="2340" max="2340" width="15.85546875" style="6" customWidth="1"/>
    <col min="2341" max="2341" width="1.5703125" style="6" customWidth="1"/>
    <col min="2342" max="2342" width="15.5703125" style="6" customWidth="1"/>
    <col min="2343" max="2343" width="1.85546875" style="6" customWidth="1"/>
    <col min="2344" max="2344" width="15.5703125" style="6" customWidth="1"/>
    <col min="2345" max="2345" width="1.5703125" style="6" customWidth="1"/>
    <col min="2346" max="2346" width="15.5703125" style="6" customWidth="1"/>
    <col min="2347" max="2347" width="9.140625" style="6"/>
    <col min="2348" max="2348" width="15.140625" style="6" customWidth="1"/>
    <col min="2349" max="2550" width="9.140625" style="6"/>
    <col min="2551" max="2551" width="26.5703125" style="6" customWidth="1"/>
    <col min="2552" max="2564" width="0" style="6" hidden="1" customWidth="1"/>
    <col min="2565" max="2565" width="1.7109375" style="6" customWidth="1"/>
    <col min="2566" max="2566" width="17.42578125" style="6" customWidth="1"/>
    <col min="2567" max="2567" width="1.140625" style="6" customWidth="1"/>
    <col min="2568" max="2580" width="0" style="6" hidden="1" customWidth="1"/>
    <col min="2581" max="2581" width="19.85546875" style="6" customWidth="1"/>
    <col min="2582" max="2582" width="0" style="6" hidden="1" customWidth="1"/>
    <col min="2583" max="2583" width="2.85546875" style="6" customWidth="1"/>
    <col min="2584" max="2584" width="15.5703125" style="6" customWidth="1"/>
    <col min="2585" max="2585" width="2" style="6" customWidth="1"/>
    <col min="2586" max="2586" width="15.5703125" style="6" customWidth="1"/>
    <col min="2587" max="2587" width="1.7109375" style="6" customWidth="1"/>
    <col min="2588" max="2588" width="15.5703125" style="6" customWidth="1"/>
    <col min="2589" max="2589" width="1.5703125" style="6" customWidth="1"/>
    <col min="2590" max="2590" width="15.5703125" style="6" customWidth="1"/>
    <col min="2591" max="2591" width="1.42578125" style="6" customWidth="1"/>
    <col min="2592" max="2592" width="15.5703125" style="6" customWidth="1"/>
    <col min="2593" max="2593" width="1.85546875" style="6" customWidth="1"/>
    <col min="2594" max="2594" width="15.5703125" style="6" customWidth="1"/>
    <col min="2595" max="2595" width="1.28515625" style="6" customWidth="1"/>
    <col min="2596" max="2596" width="15.85546875" style="6" customWidth="1"/>
    <col min="2597" max="2597" width="1.5703125" style="6" customWidth="1"/>
    <col min="2598" max="2598" width="15.5703125" style="6" customWidth="1"/>
    <col min="2599" max="2599" width="1.85546875" style="6" customWidth="1"/>
    <col min="2600" max="2600" width="15.5703125" style="6" customWidth="1"/>
    <col min="2601" max="2601" width="1.5703125" style="6" customWidth="1"/>
    <col min="2602" max="2602" width="15.5703125" style="6" customWidth="1"/>
    <col min="2603" max="2603" width="9.140625" style="6"/>
    <col min="2604" max="2604" width="15.140625" style="6" customWidth="1"/>
    <col min="2605" max="2806" width="9.140625" style="6"/>
    <col min="2807" max="2807" width="26.5703125" style="6" customWidth="1"/>
    <col min="2808" max="2820" width="0" style="6" hidden="1" customWidth="1"/>
    <col min="2821" max="2821" width="1.7109375" style="6" customWidth="1"/>
    <col min="2822" max="2822" width="17.42578125" style="6" customWidth="1"/>
    <col min="2823" max="2823" width="1.140625" style="6" customWidth="1"/>
    <col min="2824" max="2836" width="0" style="6" hidden="1" customWidth="1"/>
    <col min="2837" max="2837" width="19.85546875" style="6" customWidth="1"/>
    <col min="2838" max="2838" width="0" style="6" hidden="1" customWidth="1"/>
    <col min="2839" max="2839" width="2.85546875" style="6" customWidth="1"/>
    <col min="2840" max="2840" width="15.5703125" style="6" customWidth="1"/>
    <col min="2841" max="2841" width="2" style="6" customWidth="1"/>
    <col min="2842" max="2842" width="15.5703125" style="6" customWidth="1"/>
    <col min="2843" max="2843" width="1.7109375" style="6" customWidth="1"/>
    <col min="2844" max="2844" width="15.5703125" style="6" customWidth="1"/>
    <col min="2845" max="2845" width="1.5703125" style="6" customWidth="1"/>
    <col min="2846" max="2846" width="15.5703125" style="6" customWidth="1"/>
    <col min="2847" max="2847" width="1.42578125" style="6" customWidth="1"/>
    <col min="2848" max="2848" width="15.5703125" style="6" customWidth="1"/>
    <col min="2849" max="2849" width="1.85546875" style="6" customWidth="1"/>
    <col min="2850" max="2850" width="15.5703125" style="6" customWidth="1"/>
    <col min="2851" max="2851" width="1.28515625" style="6" customWidth="1"/>
    <col min="2852" max="2852" width="15.85546875" style="6" customWidth="1"/>
    <col min="2853" max="2853" width="1.5703125" style="6" customWidth="1"/>
    <col min="2854" max="2854" width="15.5703125" style="6" customWidth="1"/>
    <col min="2855" max="2855" width="1.85546875" style="6" customWidth="1"/>
    <col min="2856" max="2856" width="15.5703125" style="6" customWidth="1"/>
    <col min="2857" max="2857" width="1.5703125" style="6" customWidth="1"/>
    <col min="2858" max="2858" width="15.5703125" style="6" customWidth="1"/>
    <col min="2859" max="2859" width="9.140625" style="6"/>
    <col min="2860" max="2860" width="15.140625" style="6" customWidth="1"/>
    <col min="2861" max="3062" width="9.140625" style="6"/>
    <col min="3063" max="3063" width="26.5703125" style="6" customWidth="1"/>
    <col min="3064" max="3076" width="0" style="6" hidden="1" customWidth="1"/>
    <col min="3077" max="3077" width="1.7109375" style="6" customWidth="1"/>
    <col min="3078" max="3078" width="17.42578125" style="6" customWidth="1"/>
    <col min="3079" max="3079" width="1.140625" style="6" customWidth="1"/>
    <col min="3080" max="3092" width="0" style="6" hidden="1" customWidth="1"/>
    <col min="3093" max="3093" width="19.85546875" style="6" customWidth="1"/>
    <col min="3094" max="3094" width="0" style="6" hidden="1" customWidth="1"/>
    <col min="3095" max="3095" width="2.85546875" style="6" customWidth="1"/>
    <col min="3096" max="3096" width="15.5703125" style="6" customWidth="1"/>
    <col min="3097" max="3097" width="2" style="6" customWidth="1"/>
    <col min="3098" max="3098" width="15.5703125" style="6" customWidth="1"/>
    <col min="3099" max="3099" width="1.7109375" style="6" customWidth="1"/>
    <col min="3100" max="3100" width="15.5703125" style="6" customWidth="1"/>
    <col min="3101" max="3101" width="1.5703125" style="6" customWidth="1"/>
    <col min="3102" max="3102" width="15.5703125" style="6" customWidth="1"/>
    <col min="3103" max="3103" width="1.42578125" style="6" customWidth="1"/>
    <col min="3104" max="3104" width="15.5703125" style="6" customWidth="1"/>
    <col min="3105" max="3105" width="1.85546875" style="6" customWidth="1"/>
    <col min="3106" max="3106" width="15.5703125" style="6" customWidth="1"/>
    <col min="3107" max="3107" width="1.28515625" style="6" customWidth="1"/>
    <col min="3108" max="3108" width="15.85546875" style="6" customWidth="1"/>
    <col min="3109" max="3109" width="1.5703125" style="6" customWidth="1"/>
    <col min="3110" max="3110" width="15.5703125" style="6" customWidth="1"/>
    <col min="3111" max="3111" width="1.85546875" style="6" customWidth="1"/>
    <col min="3112" max="3112" width="15.5703125" style="6" customWidth="1"/>
    <col min="3113" max="3113" width="1.5703125" style="6" customWidth="1"/>
    <col min="3114" max="3114" width="15.5703125" style="6" customWidth="1"/>
    <col min="3115" max="3115" width="9.140625" style="6"/>
    <col min="3116" max="3116" width="15.140625" style="6" customWidth="1"/>
    <col min="3117" max="3318" width="9.140625" style="6"/>
    <col min="3319" max="3319" width="26.5703125" style="6" customWidth="1"/>
    <col min="3320" max="3332" width="0" style="6" hidden="1" customWidth="1"/>
    <col min="3333" max="3333" width="1.7109375" style="6" customWidth="1"/>
    <col min="3334" max="3334" width="17.42578125" style="6" customWidth="1"/>
    <col min="3335" max="3335" width="1.140625" style="6" customWidth="1"/>
    <col min="3336" max="3348" width="0" style="6" hidden="1" customWidth="1"/>
    <col min="3349" max="3349" width="19.85546875" style="6" customWidth="1"/>
    <col min="3350" max="3350" width="0" style="6" hidden="1" customWidth="1"/>
    <col min="3351" max="3351" width="2.85546875" style="6" customWidth="1"/>
    <col min="3352" max="3352" width="15.5703125" style="6" customWidth="1"/>
    <col min="3353" max="3353" width="2" style="6" customWidth="1"/>
    <col min="3354" max="3354" width="15.5703125" style="6" customWidth="1"/>
    <col min="3355" max="3355" width="1.7109375" style="6" customWidth="1"/>
    <col min="3356" max="3356" width="15.5703125" style="6" customWidth="1"/>
    <col min="3357" max="3357" width="1.5703125" style="6" customWidth="1"/>
    <col min="3358" max="3358" width="15.5703125" style="6" customWidth="1"/>
    <col min="3359" max="3359" width="1.42578125" style="6" customWidth="1"/>
    <col min="3360" max="3360" width="15.5703125" style="6" customWidth="1"/>
    <col min="3361" max="3361" width="1.85546875" style="6" customWidth="1"/>
    <col min="3362" max="3362" width="15.5703125" style="6" customWidth="1"/>
    <col min="3363" max="3363" width="1.28515625" style="6" customWidth="1"/>
    <col min="3364" max="3364" width="15.85546875" style="6" customWidth="1"/>
    <col min="3365" max="3365" width="1.5703125" style="6" customWidth="1"/>
    <col min="3366" max="3366" width="15.5703125" style="6" customWidth="1"/>
    <col min="3367" max="3367" width="1.85546875" style="6" customWidth="1"/>
    <col min="3368" max="3368" width="15.5703125" style="6" customWidth="1"/>
    <col min="3369" max="3369" width="1.5703125" style="6" customWidth="1"/>
    <col min="3370" max="3370" width="15.5703125" style="6" customWidth="1"/>
    <col min="3371" max="3371" width="9.140625" style="6"/>
    <col min="3372" max="3372" width="15.140625" style="6" customWidth="1"/>
    <col min="3373" max="3574" width="9.140625" style="6"/>
    <col min="3575" max="3575" width="26.5703125" style="6" customWidth="1"/>
    <col min="3576" max="3588" width="0" style="6" hidden="1" customWidth="1"/>
    <col min="3589" max="3589" width="1.7109375" style="6" customWidth="1"/>
    <col min="3590" max="3590" width="17.42578125" style="6" customWidth="1"/>
    <col min="3591" max="3591" width="1.140625" style="6" customWidth="1"/>
    <col min="3592" max="3604" width="0" style="6" hidden="1" customWidth="1"/>
    <col min="3605" max="3605" width="19.85546875" style="6" customWidth="1"/>
    <col min="3606" max="3606" width="0" style="6" hidden="1" customWidth="1"/>
    <col min="3607" max="3607" width="2.85546875" style="6" customWidth="1"/>
    <col min="3608" max="3608" width="15.5703125" style="6" customWidth="1"/>
    <col min="3609" max="3609" width="2" style="6" customWidth="1"/>
    <col min="3610" max="3610" width="15.5703125" style="6" customWidth="1"/>
    <col min="3611" max="3611" width="1.7109375" style="6" customWidth="1"/>
    <col min="3612" max="3612" width="15.5703125" style="6" customWidth="1"/>
    <col min="3613" max="3613" width="1.5703125" style="6" customWidth="1"/>
    <col min="3614" max="3614" width="15.5703125" style="6" customWidth="1"/>
    <col min="3615" max="3615" width="1.42578125" style="6" customWidth="1"/>
    <col min="3616" max="3616" width="15.5703125" style="6" customWidth="1"/>
    <col min="3617" max="3617" width="1.85546875" style="6" customWidth="1"/>
    <col min="3618" max="3618" width="15.5703125" style="6" customWidth="1"/>
    <col min="3619" max="3619" width="1.28515625" style="6" customWidth="1"/>
    <col min="3620" max="3620" width="15.85546875" style="6" customWidth="1"/>
    <col min="3621" max="3621" width="1.5703125" style="6" customWidth="1"/>
    <col min="3622" max="3622" width="15.5703125" style="6" customWidth="1"/>
    <col min="3623" max="3623" width="1.85546875" style="6" customWidth="1"/>
    <col min="3624" max="3624" width="15.5703125" style="6" customWidth="1"/>
    <col min="3625" max="3625" width="1.5703125" style="6" customWidth="1"/>
    <col min="3626" max="3626" width="15.5703125" style="6" customWidth="1"/>
    <col min="3627" max="3627" width="9.140625" style="6"/>
    <col min="3628" max="3628" width="15.140625" style="6" customWidth="1"/>
    <col min="3629" max="3830" width="9.140625" style="6"/>
    <col min="3831" max="3831" width="26.5703125" style="6" customWidth="1"/>
    <col min="3832" max="3844" width="0" style="6" hidden="1" customWidth="1"/>
    <col min="3845" max="3845" width="1.7109375" style="6" customWidth="1"/>
    <col min="3846" max="3846" width="17.42578125" style="6" customWidth="1"/>
    <col min="3847" max="3847" width="1.140625" style="6" customWidth="1"/>
    <col min="3848" max="3860" width="0" style="6" hidden="1" customWidth="1"/>
    <col min="3861" max="3861" width="19.85546875" style="6" customWidth="1"/>
    <col min="3862" max="3862" width="0" style="6" hidden="1" customWidth="1"/>
    <col min="3863" max="3863" width="2.85546875" style="6" customWidth="1"/>
    <col min="3864" max="3864" width="15.5703125" style="6" customWidth="1"/>
    <col min="3865" max="3865" width="2" style="6" customWidth="1"/>
    <col min="3866" max="3866" width="15.5703125" style="6" customWidth="1"/>
    <col min="3867" max="3867" width="1.7109375" style="6" customWidth="1"/>
    <col min="3868" max="3868" width="15.5703125" style="6" customWidth="1"/>
    <col min="3869" max="3869" width="1.5703125" style="6" customWidth="1"/>
    <col min="3870" max="3870" width="15.5703125" style="6" customWidth="1"/>
    <col min="3871" max="3871" width="1.42578125" style="6" customWidth="1"/>
    <col min="3872" max="3872" width="15.5703125" style="6" customWidth="1"/>
    <col min="3873" max="3873" width="1.85546875" style="6" customWidth="1"/>
    <col min="3874" max="3874" width="15.5703125" style="6" customWidth="1"/>
    <col min="3875" max="3875" width="1.28515625" style="6" customWidth="1"/>
    <col min="3876" max="3876" width="15.85546875" style="6" customWidth="1"/>
    <col min="3877" max="3877" width="1.5703125" style="6" customWidth="1"/>
    <col min="3878" max="3878" width="15.5703125" style="6" customWidth="1"/>
    <col min="3879" max="3879" width="1.85546875" style="6" customWidth="1"/>
    <col min="3880" max="3880" width="15.5703125" style="6" customWidth="1"/>
    <col min="3881" max="3881" width="1.5703125" style="6" customWidth="1"/>
    <col min="3882" max="3882" width="15.5703125" style="6" customWidth="1"/>
    <col min="3883" max="3883" width="9.140625" style="6"/>
    <col min="3884" max="3884" width="15.140625" style="6" customWidth="1"/>
    <col min="3885" max="4086" width="9.140625" style="6"/>
    <col min="4087" max="4087" width="26.5703125" style="6" customWidth="1"/>
    <col min="4088" max="4100" width="0" style="6" hidden="1" customWidth="1"/>
    <col min="4101" max="4101" width="1.7109375" style="6" customWidth="1"/>
    <col min="4102" max="4102" width="17.42578125" style="6" customWidth="1"/>
    <col min="4103" max="4103" width="1.140625" style="6" customWidth="1"/>
    <col min="4104" max="4116" width="0" style="6" hidden="1" customWidth="1"/>
    <col min="4117" max="4117" width="19.85546875" style="6" customWidth="1"/>
    <col min="4118" max="4118" width="0" style="6" hidden="1" customWidth="1"/>
    <col min="4119" max="4119" width="2.85546875" style="6" customWidth="1"/>
    <col min="4120" max="4120" width="15.5703125" style="6" customWidth="1"/>
    <col min="4121" max="4121" width="2" style="6" customWidth="1"/>
    <col min="4122" max="4122" width="15.5703125" style="6" customWidth="1"/>
    <col min="4123" max="4123" width="1.7109375" style="6" customWidth="1"/>
    <col min="4124" max="4124" width="15.5703125" style="6" customWidth="1"/>
    <col min="4125" max="4125" width="1.5703125" style="6" customWidth="1"/>
    <col min="4126" max="4126" width="15.5703125" style="6" customWidth="1"/>
    <col min="4127" max="4127" width="1.42578125" style="6" customWidth="1"/>
    <col min="4128" max="4128" width="15.5703125" style="6" customWidth="1"/>
    <col min="4129" max="4129" width="1.85546875" style="6" customWidth="1"/>
    <col min="4130" max="4130" width="15.5703125" style="6" customWidth="1"/>
    <col min="4131" max="4131" width="1.28515625" style="6" customWidth="1"/>
    <col min="4132" max="4132" width="15.85546875" style="6" customWidth="1"/>
    <col min="4133" max="4133" width="1.5703125" style="6" customWidth="1"/>
    <col min="4134" max="4134" width="15.5703125" style="6" customWidth="1"/>
    <col min="4135" max="4135" width="1.85546875" style="6" customWidth="1"/>
    <col min="4136" max="4136" width="15.5703125" style="6" customWidth="1"/>
    <col min="4137" max="4137" width="1.5703125" style="6" customWidth="1"/>
    <col min="4138" max="4138" width="15.5703125" style="6" customWidth="1"/>
    <col min="4139" max="4139" width="9.140625" style="6"/>
    <col min="4140" max="4140" width="15.140625" style="6" customWidth="1"/>
    <col min="4141" max="4342" width="9.140625" style="6"/>
    <col min="4343" max="4343" width="26.5703125" style="6" customWidth="1"/>
    <col min="4344" max="4356" width="0" style="6" hidden="1" customWidth="1"/>
    <col min="4357" max="4357" width="1.7109375" style="6" customWidth="1"/>
    <col min="4358" max="4358" width="17.42578125" style="6" customWidth="1"/>
    <col min="4359" max="4359" width="1.140625" style="6" customWidth="1"/>
    <col min="4360" max="4372" width="0" style="6" hidden="1" customWidth="1"/>
    <col min="4373" max="4373" width="19.85546875" style="6" customWidth="1"/>
    <col min="4374" max="4374" width="0" style="6" hidden="1" customWidth="1"/>
    <col min="4375" max="4375" width="2.85546875" style="6" customWidth="1"/>
    <col min="4376" max="4376" width="15.5703125" style="6" customWidth="1"/>
    <col min="4377" max="4377" width="2" style="6" customWidth="1"/>
    <col min="4378" max="4378" width="15.5703125" style="6" customWidth="1"/>
    <col min="4379" max="4379" width="1.7109375" style="6" customWidth="1"/>
    <col min="4380" max="4380" width="15.5703125" style="6" customWidth="1"/>
    <col min="4381" max="4381" width="1.5703125" style="6" customWidth="1"/>
    <col min="4382" max="4382" width="15.5703125" style="6" customWidth="1"/>
    <col min="4383" max="4383" width="1.42578125" style="6" customWidth="1"/>
    <col min="4384" max="4384" width="15.5703125" style="6" customWidth="1"/>
    <col min="4385" max="4385" width="1.85546875" style="6" customWidth="1"/>
    <col min="4386" max="4386" width="15.5703125" style="6" customWidth="1"/>
    <col min="4387" max="4387" width="1.28515625" style="6" customWidth="1"/>
    <col min="4388" max="4388" width="15.85546875" style="6" customWidth="1"/>
    <col min="4389" max="4389" width="1.5703125" style="6" customWidth="1"/>
    <col min="4390" max="4390" width="15.5703125" style="6" customWidth="1"/>
    <col min="4391" max="4391" width="1.85546875" style="6" customWidth="1"/>
    <col min="4392" max="4392" width="15.5703125" style="6" customWidth="1"/>
    <col min="4393" max="4393" width="1.5703125" style="6" customWidth="1"/>
    <col min="4394" max="4394" width="15.5703125" style="6" customWidth="1"/>
    <col min="4395" max="4395" width="9.140625" style="6"/>
    <col min="4396" max="4396" width="15.140625" style="6" customWidth="1"/>
    <col min="4397" max="4598" width="9.140625" style="6"/>
    <col min="4599" max="4599" width="26.5703125" style="6" customWidth="1"/>
    <col min="4600" max="4612" width="0" style="6" hidden="1" customWidth="1"/>
    <col min="4613" max="4613" width="1.7109375" style="6" customWidth="1"/>
    <col min="4614" max="4614" width="17.42578125" style="6" customWidth="1"/>
    <col min="4615" max="4615" width="1.140625" style="6" customWidth="1"/>
    <col min="4616" max="4628" width="0" style="6" hidden="1" customWidth="1"/>
    <col min="4629" max="4629" width="19.85546875" style="6" customWidth="1"/>
    <col min="4630" max="4630" width="0" style="6" hidden="1" customWidth="1"/>
    <col min="4631" max="4631" width="2.85546875" style="6" customWidth="1"/>
    <col min="4632" max="4632" width="15.5703125" style="6" customWidth="1"/>
    <col min="4633" max="4633" width="2" style="6" customWidth="1"/>
    <col min="4634" max="4634" width="15.5703125" style="6" customWidth="1"/>
    <col min="4635" max="4635" width="1.7109375" style="6" customWidth="1"/>
    <col min="4636" max="4636" width="15.5703125" style="6" customWidth="1"/>
    <col min="4637" max="4637" width="1.5703125" style="6" customWidth="1"/>
    <col min="4638" max="4638" width="15.5703125" style="6" customWidth="1"/>
    <col min="4639" max="4639" width="1.42578125" style="6" customWidth="1"/>
    <col min="4640" max="4640" width="15.5703125" style="6" customWidth="1"/>
    <col min="4641" max="4641" width="1.85546875" style="6" customWidth="1"/>
    <col min="4642" max="4642" width="15.5703125" style="6" customWidth="1"/>
    <col min="4643" max="4643" width="1.28515625" style="6" customWidth="1"/>
    <col min="4644" max="4644" width="15.85546875" style="6" customWidth="1"/>
    <col min="4645" max="4645" width="1.5703125" style="6" customWidth="1"/>
    <col min="4646" max="4646" width="15.5703125" style="6" customWidth="1"/>
    <col min="4647" max="4647" width="1.85546875" style="6" customWidth="1"/>
    <col min="4648" max="4648" width="15.5703125" style="6" customWidth="1"/>
    <col min="4649" max="4649" width="1.5703125" style="6" customWidth="1"/>
    <col min="4650" max="4650" width="15.5703125" style="6" customWidth="1"/>
    <col min="4651" max="4651" width="9.140625" style="6"/>
    <col min="4652" max="4652" width="15.140625" style="6" customWidth="1"/>
    <col min="4653" max="4854" width="9.140625" style="6"/>
    <col min="4855" max="4855" width="26.5703125" style="6" customWidth="1"/>
    <col min="4856" max="4868" width="0" style="6" hidden="1" customWidth="1"/>
    <col min="4869" max="4869" width="1.7109375" style="6" customWidth="1"/>
    <col min="4870" max="4870" width="17.42578125" style="6" customWidth="1"/>
    <col min="4871" max="4871" width="1.140625" style="6" customWidth="1"/>
    <col min="4872" max="4884" width="0" style="6" hidden="1" customWidth="1"/>
    <col min="4885" max="4885" width="19.85546875" style="6" customWidth="1"/>
    <col min="4886" max="4886" width="0" style="6" hidden="1" customWidth="1"/>
    <col min="4887" max="4887" width="2.85546875" style="6" customWidth="1"/>
    <col min="4888" max="4888" width="15.5703125" style="6" customWidth="1"/>
    <col min="4889" max="4889" width="2" style="6" customWidth="1"/>
    <col min="4890" max="4890" width="15.5703125" style="6" customWidth="1"/>
    <col min="4891" max="4891" width="1.7109375" style="6" customWidth="1"/>
    <col min="4892" max="4892" width="15.5703125" style="6" customWidth="1"/>
    <col min="4893" max="4893" width="1.5703125" style="6" customWidth="1"/>
    <col min="4894" max="4894" width="15.5703125" style="6" customWidth="1"/>
    <col min="4895" max="4895" width="1.42578125" style="6" customWidth="1"/>
    <col min="4896" max="4896" width="15.5703125" style="6" customWidth="1"/>
    <col min="4897" max="4897" width="1.85546875" style="6" customWidth="1"/>
    <col min="4898" max="4898" width="15.5703125" style="6" customWidth="1"/>
    <col min="4899" max="4899" width="1.28515625" style="6" customWidth="1"/>
    <col min="4900" max="4900" width="15.85546875" style="6" customWidth="1"/>
    <col min="4901" max="4901" width="1.5703125" style="6" customWidth="1"/>
    <col min="4902" max="4902" width="15.5703125" style="6" customWidth="1"/>
    <col min="4903" max="4903" width="1.85546875" style="6" customWidth="1"/>
    <col min="4904" max="4904" width="15.5703125" style="6" customWidth="1"/>
    <col min="4905" max="4905" width="1.5703125" style="6" customWidth="1"/>
    <col min="4906" max="4906" width="15.5703125" style="6" customWidth="1"/>
    <col min="4907" max="4907" width="9.140625" style="6"/>
    <col min="4908" max="4908" width="15.140625" style="6" customWidth="1"/>
    <col min="4909" max="5110" width="9.140625" style="6"/>
    <col min="5111" max="5111" width="26.5703125" style="6" customWidth="1"/>
    <col min="5112" max="5124" width="0" style="6" hidden="1" customWidth="1"/>
    <col min="5125" max="5125" width="1.7109375" style="6" customWidth="1"/>
    <col min="5126" max="5126" width="17.42578125" style="6" customWidth="1"/>
    <col min="5127" max="5127" width="1.140625" style="6" customWidth="1"/>
    <col min="5128" max="5140" width="0" style="6" hidden="1" customWidth="1"/>
    <col min="5141" max="5141" width="19.85546875" style="6" customWidth="1"/>
    <col min="5142" max="5142" width="0" style="6" hidden="1" customWidth="1"/>
    <col min="5143" max="5143" width="2.85546875" style="6" customWidth="1"/>
    <col min="5144" max="5144" width="15.5703125" style="6" customWidth="1"/>
    <col min="5145" max="5145" width="2" style="6" customWidth="1"/>
    <col min="5146" max="5146" width="15.5703125" style="6" customWidth="1"/>
    <col min="5147" max="5147" width="1.7109375" style="6" customWidth="1"/>
    <col min="5148" max="5148" width="15.5703125" style="6" customWidth="1"/>
    <col min="5149" max="5149" width="1.5703125" style="6" customWidth="1"/>
    <col min="5150" max="5150" width="15.5703125" style="6" customWidth="1"/>
    <col min="5151" max="5151" width="1.42578125" style="6" customWidth="1"/>
    <col min="5152" max="5152" width="15.5703125" style="6" customWidth="1"/>
    <col min="5153" max="5153" width="1.85546875" style="6" customWidth="1"/>
    <col min="5154" max="5154" width="15.5703125" style="6" customWidth="1"/>
    <col min="5155" max="5155" width="1.28515625" style="6" customWidth="1"/>
    <col min="5156" max="5156" width="15.85546875" style="6" customWidth="1"/>
    <col min="5157" max="5157" width="1.5703125" style="6" customWidth="1"/>
    <col min="5158" max="5158" width="15.5703125" style="6" customWidth="1"/>
    <col min="5159" max="5159" width="1.85546875" style="6" customWidth="1"/>
    <col min="5160" max="5160" width="15.5703125" style="6" customWidth="1"/>
    <col min="5161" max="5161" width="1.5703125" style="6" customWidth="1"/>
    <col min="5162" max="5162" width="15.5703125" style="6" customWidth="1"/>
    <col min="5163" max="5163" width="9.140625" style="6"/>
    <col min="5164" max="5164" width="15.140625" style="6" customWidth="1"/>
    <col min="5165" max="5366" width="9.140625" style="6"/>
    <col min="5367" max="5367" width="26.5703125" style="6" customWidth="1"/>
    <col min="5368" max="5380" width="0" style="6" hidden="1" customWidth="1"/>
    <col min="5381" max="5381" width="1.7109375" style="6" customWidth="1"/>
    <col min="5382" max="5382" width="17.42578125" style="6" customWidth="1"/>
    <col min="5383" max="5383" width="1.140625" style="6" customWidth="1"/>
    <col min="5384" max="5396" width="0" style="6" hidden="1" customWidth="1"/>
    <col min="5397" max="5397" width="19.85546875" style="6" customWidth="1"/>
    <col min="5398" max="5398" width="0" style="6" hidden="1" customWidth="1"/>
    <col min="5399" max="5399" width="2.85546875" style="6" customWidth="1"/>
    <col min="5400" max="5400" width="15.5703125" style="6" customWidth="1"/>
    <col min="5401" max="5401" width="2" style="6" customWidth="1"/>
    <col min="5402" max="5402" width="15.5703125" style="6" customWidth="1"/>
    <col min="5403" max="5403" width="1.7109375" style="6" customWidth="1"/>
    <col min="5404" max="5404" width="15.5703125" style="6" customWidth="1"/>
    <col min="5405" max="5405" width="1.5703125" style="6" customWidth="1"/>
    <col min="5406" max="5406" width="15.5703125" style="6" customWidth="1"/>
    <col min="5407" max="5407" width="1.42578125" style="6" customWidth="1"/>
    <col min="5408" max="5408" width="15.5703125" style="6" customWidth="1"/>
    <col min="5409" max="5409" width="1.85546875" style="6" customWidth="1"/>
    <col min="5410" max="5410" width="15.5703125" style="6" customWidth="1"/>
    <col min="5411" max="5411" width="1.28515625" style="6" customWidth="1"/>
    <col min="5412" max="5412" width="15.85546875" style="6" customWidth="1"/>
    <col min="5413" max="5413" width="1.5703125" style="6" customWidth="1"/>
    <col min="5414" max="5414" width="15.5703125" style="6" customWidth="1"/>
    <col min="5415" max="5415" width="1.85546875" style="6" customWidth="1"/>
    <col min="5416" max="5416" width="15.5703125" style="6" customWidth="1"/>
    <col min="5417" max="5417" width="1.5703125" style="6" customWidth="1"/>
    <col min="5418" max="5418" width="15.5703125" style="6" customWidth="1"/>
    <col min="5419" max="5419" width="9.140625" style="6"/>
    <col min="5420" max="5420" width="15.140625" style="6" customWidth="1"/>
    <col min="5421" max="5622" width="9.140625" style="6"/>
    <col min="5623" max="5623" width="26.5703125" style="6" customWidth="1"/>
    <col min="5624" max="5636" width="0" style="6" hidden="1" customWidth="1"/>
    <col min="5637" max="5637" width="1.7109375" style="6" customWidth="1"/>
    <col min="5638" max="5638" width="17.42578125" style="6" customWidth="1"/>
    <col min="5639" max="5639" width="1.140625" style="6" customWidth="1"/>
    <col min="5640" max="5652" width="0" style="6" hidden="1" customWidth="1"/>
    <col min="5653" max="5653" width="19.85546875" style="6" customWidth="1"/>
    <col min="5654" max="5654" width="0" style="6" hidden="1" customWidth="1"/>
    <col min="5655" max="5655" width="2.85546875" style="6" customWidth="1"/>
    <col min="5656" max="5656" width="15.5703125" style="6" customWidth="1"/>
    <col min="5657" max="5657" width="2" style="6" customWidth="1"/>
    <col min="5658" max="5658" width="15.5703125" style="6" customWidth="1"/>
    <col min="5659" max="5659" width="1.7109375" style="6" customWidth="1"/>
    <col min="5660" max="5660" width="15.5703125" style="6" customWidth="1"/>
    <col min="5661" max="5661" width="1.5703125" style="6" customWidth="1"/>
    <col min="5662" max="5662" width="15.5703125" style="6" customWidth="1"/>
    <col min="5663" max="5663" width="1.42578125" style="6" customWidth="1"/>
    <col min="5664" max="5664" width="15.5703125" style="6" customWidth="1"/>
    <col min="5665" max="5665" width="1.85546875" style="6" customWidth="1"/>
    <col min="5666" max="5666" width="15.5703125" style="6" customWidth="1"/>
    <col min="5667" max="5667" width="1.28515625" style="6" customWidth="1"/>
    <col min="5668" max="5668" width="15.85546875" style="6" customWidth="1"/>
    <col min="5669" max="5669" width="1.5703125" style="6" customWidth="1"/>
    <col min="5670" max="5670" width="15.5703125" style="6" customWidth="1"/>
    <col min="5671" max="5671" width="1.85546875" style="6" customWidth="1"/>
    <col min="5672" max="5672" width="15.5703125" style="6" customWidth="1"/>
    <col min="5673" max="5673" width="1.5703125" style="6" customWidth="1"/>
    <col min="5674" max="5674" width="15.5703125" style="6" customWidth="1"/>
    <col min="5675" max="5675" width="9.140625" style="6"/>
    <col min="5676" max="5676" width="15.140625" style="6" customWidth="1"/>
    <col min="5677" max="5878" width="9.140625" style="6"/>
    <col min="5879" max="5879" width="26.5703125" style="6" customWidth="1"/>
    <col min="5880" max="5892" width="0" style="6" hidden="1" customWidth="1"/>
    <col min="5893" max="5893" width="1.7109375" style="6" customWidth="1"/>
    <col min="5894" max="5894" width="17.42578125" style="6" customWidth="1"/>
    <col min="5895" max="5895" width="1.140625" style="6" customWidth="1"/>
    <col min="5896" max="5908" width="0" style="6" hidden="1" customWidth="1"/>
    <col min="5909" max="5909" width="19.85546875" style="6" customWidth="1"/>
    <col min="5910" max="5910" width="0" style="6" hidden="1" customWidth="1"/>
    <col min="5911" max="5911" width="2.85546875" style="6" customWidth="1"/>
    <col min="5912" max="5912" width="15.5703125" style="6" customWidth="1"/>
    <col min="5913" max="5913" width="2" style="6" customWidth="1"/>
    <col min="5914" max="5914" width="15.5703125" style="6" customWidth="1"/>
    <col min="5915" max="5915" width="1.7109375" style="6" customWidth="1"/>
    <col min="5916" max="5916" width="15.5703125" style="6" customWidth="1"/>
    <col min="5917" max="5917" width="1.5703125" style="6" customWidth="1"/>
    <col min="5918" max="5918" width="15.5703125" style="6" customWidth="1"/>
    <col min="5919" max="5919" width="1.42578125" style="6" customWidth="1"/>
    <col min="5920" max="5920" width="15.5703125" style="6" customWidth="1"/>
    <col min="5921" max="5921" width="1.85546875" style="6" customWidth="1"/>
    <col min="5922" max="5922" width="15.5703125" style="6" customWidth="1"/>
    <col min="5923" max="5923" width="1.28515625" style="6" customWidth="1"/>
    <col min="5924" max="5924" width="15.85546875" style="6" customWidth="1"/>
    <col min="5925" max="5925" width="1.5703125" style="6" customWidth="1"/>
    <col min="5926" max="5926" width="15.5703125" style="6" customWidth="1"/>
    <col min="5927" max="5927" width="1.85546875" style="6" customWidth="1"/>
    <col min="5928" max="5928" width="15.5703125" style="6" customWidth="1"/>
    <col min="5929" max="5929" width="1.5703125" style="6" customWidth="1"/>
    <col min="5930" max="5930" width="15.5703125" style="6" customWidth="1"/>
    <col min="5931" max="5931" width="9.140625" style="6"/>
    <col min="5932" max="5932" width="15.140625" style="6" customWidth="1"/>
    <col min="5933" max="6134" width="9.140625" style="6"/>
    <col min="6135" max="6135" width="26.5703125" style="6" customWidth="1"/>
    <col min="6136" max="6148" width="0" style="6" hidden="1" customWidth="1"/>
    <col min="6149" max="6149" width="1.7109375" style="6" customWidth="1"/>
    <col min="6150" max="6150" width="17.42578125" style="6" customWidth="1"/>
    <col min="6151" max="6151" width="1.140625" style="6" customWidth="1"/>
    <col min="6152" max="6164" width="0" style="6" hidden="1" customWidth="1"/>
    <col min="6165" max="6165" width="19.85546875" style="6" customWidth="1"/>
    <col min="6166" max="6166" width="0" style="6" hidden="1" customWidth="1"/>
    <col min="6167" max="6167" width="2.85546875" style="6" customWidth="1"/>
    <col min="6168" max="6168" width="15.5703125" style="6" customWidth="1"/>
    <col min="6169" max="6169" width="2" style="6" customWidth="1"/>
    <col min="6170" max="6170" width="15.5703125" style="6" customWidth="1"/>
    <col min="6171" max="6171" width="1.7109375" style="6" customWidth="1"/>
    <col min="6172" max="6172" width="15.5703125" style="6" customWidth="1"/>
    <col min="6173" max="6173" width="1.5703125" style="6" customWidth="1"/>
    <col min="6174" max="6174" width="15.5703125" style="6" customWidth="1"/>
    <col min="6175" max="6175" width="1.42578125" style="6" customWidth="1"/>
    <col min="6176" max="6176" width="15.5703125" style="6" customWidth="1"/>
    <col min="6177" max="6177" width="1.85546875" style="6" customWidth="1"/>
    <col min="6178" max="6178" width="15.5703125" style="6" customWidth="1"/>
    <col min="6179" max="6179" width="1.28515625" style="6" customWidth="1"/>
    <col min="6180" max="6180" width="15.85546875" style="6" customWidth="1"/>
    <col min="6181" max="6181" width="1.5703125" style="6" customWidth="1"/>
    <col min="6182" max="6182" width="15.5703125" style="6" customWidth="1"/>
    <col min="6183" max="6183" width="1.85546875" style="6" customWidth="1"/>
    <col min="6184" max="6184" width="15.5703125" style="6" customWidth="1"/>
    <col min="6185" max="6185" width="1.5703125" style="6" customWidth="1"/>
    <col min="6186" max="6186" width="15.5703125" style="6" customWidth="1"/>
    <col min="6187" max="6187" width="9.140625" style="6"/>
    <col min="6188" max="6188" width="15.140625" style="6" customWidth="1"/>
    <col min="6189" max="6390" width="9.140625" style="6"/>
    <col min="6391" max="6391" width="26.5703125" style="6" customWidth="1"/>
    <col min="6392" max="6404" width="0" style="6" hidden="1" customWidth="1"/>
    <col min="6405" max="6405" width="1.7109375" style="6" customWidth="1"/>
    <col min="6406" max="6406" width="17.42578125" style="6" customWidth="1"/>
    <col min="6407" max="6407" width="1.140625" style="6" customWidth="1"/>
    <col min="6408" max="6420" width="0" style="6" hidden="1" customWidth="1"/>
    <col min="6421" max="6421" width="19.85546875" style="6" customWidth="1"/>
    <col min="6422" max="6422" width="0" style="6" hidden="1" customWidth="1"/>
    <col min="6423" max="6423" width="2.85546875" style="6" customWidth="1"/>
    <col min="6424" max="6424" width="15.5703125" style="6" customWidth="1"/>
    <col min="6425" max="6425" width="2" style="6" customWidth="1"/>
    <col min="6426" max="6426" width="15.5703125" style="6" customWidth="1"/>
    <col min="6427" max="6427" width="1.7109375" style="6" customWidth="1"/>
    <col min="6428" max="6428" width="15.5703125" style="6" customWidth="1"/>
    <col min="6429" max="6429" width="1.5703125" style="6" customWidth="1"/>
    <col min="6430" max="6430" width="15.5703125" style="6" customWidth="1"/>
    <col min="6431" max="6431" width="1.42578125" style="6" customWidth="1"/>
    <col min="6432" max="6432" width="15.5703125" style="6" customWidth="1"/>
    <col min="6433" max="6433" width="1.85546875" style="6" customWidth="1"/>
    <col min="6434" max="6434" width="15.5703125" style="6" customWidth="1"/>
    <col min="6435" max="6435" width="1.28515625" style="6" customWidth="1"/>
    <col min="6436" max="6436" width="15.85546875" style="6" customWidth="1"/>
    <col min="6437" max="6437" width="1.5703125" style="6" customWidth="1"/>
    <col min="6438" max="6438" width="15.5703125" style="6" customWidth="1"/>
    <col min="6439" max="6439" width="1.85546875" style="6" customWidth="1"/>
    <col min="6440" max="6440" width="15.5703125" style="6" customWidth="1"/>
    <col min="6441" max="6441" width="1.5703125" style="6" customWidth="1"/>
    <col min="6442" max="6442" width="15.5703125" style="6" customWidth="1"/>
    <col min="6443" max="6443" width="9.140625" style="6"/>
    <col min="6444" max="6444" width="15.140625" style="6" customWidth="1"/>
    <col min="6445" max="6646" width="9.140625" style="6"/>
    <col min="6647" max="6647" width="26.5703125" style="6" customWidth="1"/>
    <col min="6648" max="6660" width="0" style="6" hidden="1" customWidth="1"/>
    <col min="6661" max="6661" width="1.7109375" style="6" customWidth="1"/>
    <col min="6662" max="6662" width="17.42578125" style="6" customWidth="1"/>
    <col min="6663" max="6663" width="1.140625" style="6" customWidth="1"/>
    <col min="6664" max="6676" width="0" style="6" hidden="1" customWidth="1"/>
    <col min="6677" max="6677" width="19.85546875" style="6" customWidth="1"/>
    <col min="6678" max="6678" width="0" style="6" hidden="1" customWidth="1"/>
    <col min="6679" max="6679" width="2.85546875" style="6" customWidth="1"/>
    <col min="6680" max="6680" width="15.5703125" style="6" customWidth="1"/>
    <col min="6681" max="6681" width="2" style="6" customWidth="1"/>
    <col min="6682" max="6682" width="15.5703125" style="6" customWidth="1"/>
    <col min="6683" max="6683" width="1.7109375" style="6" customWidth="1"/>
    <col min="6684" max="6684" width="15.5703125" style="6" customWidth="1"/>
    <col min="6685" max="6685" width="1.5703125" style="6" customWidth="1"/>
    <col min="6686" max="6686" width="15.5703125" style="6" customWidth="1"/>
    <col min="6687" max="6687" width="1.42578125" style="6" customWidth="1"/>
    <col min="6688" max="6688" width="15.5703125" style="6" customWidth="1"/>
    <col min="6689" max="6689" width="1.85546875" style="6" customWidth="1"/>
    <col min="6690" max="6690" width="15.5703125" style="6" customWidth="1"/>
    <col min="6691" max="6691" width="1.28515625" style="6" customWidth="1"/>
    <col min="6692" max="6692" width="15.85546875" style="6" customWidth="1"/>
    <col min="6693" max="6693" width="1.5703125" style="6" customWidth="1"/>
    <col min="6694" max="6694" width="15.5703125" style="6" customWidth="1"/>
    <col min="6695" max="6695" width="1.85546875" style="6" customWidth="1"/>
    <col min="6696" max="6696" width="15.5703125" style="6" customWidth="1"/>
    <col min="6697" max="6697" width="1.5703125" style="6" customWidth="1"/>
    <col min="6698" max="6698" width="15.5703125" style="6" customWidth="1"/>
    <col min="6699" max="6699" width="9.140625" style="6"/>
    <col min="6700" max="6700" width="15.140625" style="6" customWidth="1"/>
    <col min="6701" max="6902" width="9.140625" style="6"/>
    <col min="6903" max="6903" width="26.5703125" style="6" customWidth="1"/>
    <col min="6904" max="6916" width="0" style="6" hidden="1" customWidth="1"/>
    <col min="6917" max="6917" width="1.7109375" style="6" customWidth="1"/>
    <col min="6918" max="6918" width="17.42578125" style="6" customWidth="1"/>
    <col min="6919" max="6919" width="1.140625" style="6" customWidth="1"/>
    <col min="6920" max="6932" width="0" style="6" hidden="1" customWidth="1"/>
    <col min="6933" max="6933" width="19.85546875" style="6" customWidth="1"/>
    <col min="6934" max="6934" width="0" style="6" hidden="1" customWidth="1"/>
    <col min="6935" max="6935" width="2.85546875" style="6" customWidth="1"/>
    <col min="6936" max="6936" width="15.5703125" style="6" customWidth="1"/>
    <col min="6937" max="6937" width="2" style="6" customWidth="1"/>
    <col min="6938" max="6938" width="15.5703125" style="6" customWidth="1"/>
    <col min="6939" max="6939" width="1.7109375" style="6" customWidth="1"/>
    <col min="6940" max="6940" width="15.5703125" style="6" customWidth="1"/>
    <col min="6941" max="6941" width="1.5703125" style="6" customWidth="1"/>
    <col min="6942" max="6942" width="15.5703125" style="6" customWidth="1"/>
    <col min="6943" max="6943" width="1.42578125" style="6" customWidth="1"/>
    <col min="6944" max="6944" width="15.5703125" style="6" customWidth="1"/>
    <col min="6945" max="6945" width="1.85546875" style="6" customWidth="1"/>
    <col min="6946" max="6946" width="15.5703125" style="6" customWidth="1"/>
    <col min="6947" max="6947" width="1.28515625" style="6" customWidth="1"/>
    <col min="6948" max="6948" width="15.85546875" style="6" customWidth="1"/>
    <col min="6949" max="6949" width="1.5703125" style="6" customWidth="1"/>
    <col min="6950" max="6950" width="15.5703125" style="6" customWidth="1"/>
    <col min="6951" max="6951" width="1.85546875" style="6" customWidth="1"/>
    <col min="6952" max="6952" width="15.5703125" style="6" customWidth="1"/>
    <col min="6953" max="6953" width="1.5703125" style="6" customWidth="1"/>
    <col min="6954" max="6954" width="15.5703125" style="6" customWidth="1"/>
    <col min="6955" max="6955" width="9.140625" style="6"/>
    <col min="6956" max="6956" width="15.140625" style="6" customWidth="1"/>
    <col min="6957" max="7158" width="9.140625" style="6"/>
    <col min="7159" max="7159" width="26.5703125" style="6" customWidth="1"/>
    <col min="7160" max="7172" width="0" style="6" hidden="1" customWidth="1"/>
    <col min="7173" max="7173" width="1.7109375" style="6" customWidth="1"/>
    <col min="7174" max="7174" width="17.42578125" style="6" customWidth="1"/>
    <col min="7175" max="7175" width="1.140625" style="6" customWidth="1"/>
    <col min="7176" max="7188" width="0" style="6" hidden="1" customWidth="1"/>
    <col min="7189" max="7189" width="19.85546875" style="6" customWidth="1"/>
    <col min="7190" max="7190" width="0" style="6" hidden="1" customWidth="1"/>
    <col min="7191" max="7191" width="2.85546875" style="6" customWidth="1"/>
    <col min="7192" max="7192" width="15.5703125" style="6" customWidth="1"/>
    <col min="7193" max="7193" width="2" style="6" customWidth="1"/>
    <col min="7194" max="7194" width="15.5703125" style="6" customWidth="1"/>
    <col min="7195" max="7195" width="1.7109375" style="6" customWidth="1"/>
    <col min="7196" max="7196" width="15.5703125" style="6" customWidth="1"/>
    <col min="7197" max="7197" width="1.5703125" style="6" customWidth="1"/>
    <col min="7198" max="7198" width="15.5703125" style="6" customWidth="1"/>
    <col min="7199" max="7199" width="1.42578125" style="6" customWidth="1"/>
    <col min="7200" max="7200" width="15.5703125" style="6" customWidth="1"/>
    <col min="7201" max="7201" width="1.85546875" style="6" customWidth="1"/>
    <col min="7202" max="7202" width="15.5703125" style="6" customWidth="1"/>
    <col min="7203" max="7203" width="1.28515625" style="6" customWidth="1"/>
    <col min="7204" max="7204" width="15.85546875" style="6" customWidth="1"/>
    <col min="7205" max="7205" width="1.5703125" style="6" customWidth="1"/>
    <col min="7206" max="7206" width="15.5703125" style="6" customWidth="1"/>
    <col min="7207" max="7207" width="1.85546875" style="6" customWidth="1"/>
    <col min="7208" max="7208" width="15.5703125" style="6" customWidth="1"/>
    <col min="7209" max="7209" width="1.5703125" style="6" customWidth="1"/>
    <col min="7210" max="7210" width="15.5703125" style="6" customWidth="1"/>
    <col min="7211" max="7211" width="9.140625" style="6"/>
    <col min="7212" max="7212" width="15.140625" style="6" customWidth="1"/>
    <col min="7213" max="7414" width="9.140625" style="6"/>
    <col min="7415" max="7415" width="26.5703125" style="6" customWidth="1"/>
    <col min="7416" max="7428" width="0" style="6" hidden="1" customWidth="1"/>
    <col min="7429" max="7429" width="1.7109375" style="6" customWidth="1"/>
    <col min="7430" max="7430" width="17.42578125" style="6" customWidth="1"/>
    <col min="7431" max="7431" width="1.140625" style="6" customWidth="1"/>
    <col min="7432" max="7444" width="0" style="6" hidden="1" customWidth="1"/>
    <col min="7445" max="7445" width="19.85546875" style="6" customWidth="1"/>
    <col min="7446" max="7446" width="0" style="6" hidden="1" customWidth="1"/>
    <col min="7447" max="7447" width="2.85546875" style="6" customWidth="1"/>
    <col min="7448" max="7448" width="15.5703125" style="6" customWidth="1"/>
    <col min="7449" max="7449" width="2" style="6" customWidth="1"/>
    <col min="7450" max="7450" width="15.5703125" style="6" customWidth="1"/>
    <col min="7451" max="7451" width="1.7109375" style="6" customWidth="1"/>
    <col min="7452" max="7452" width="15.5703125" style="6" customWidth="1"/>
    <col min="7453" max="7453" width="1.5703125" style="6" customWidth="1"/>
    <col min="7454" max="7454" width="15.5703125" style="6" customWidth="1"/>
    <col min="7455" max="7455" width="1.42578125" style="6" customWidth="1"/>
    <col min="7456" max="7456" width="15.5703125" style="6" customWidth="1"/>
    <col min="7457" max="7457" width="1.85546875" style="6" customWidth="1"/>
    <col min="7458" max="7458" width="15.5703125" style="6" customWidth="1"/>
    <col min="7459" max="7459" width="1.28515625" style="6" customWidth="1"/>
    <col min="7460" max="7460" width="15.85546875" style="6" customWidth="1"/>
    <col min="7461" max="7461" width="1.5703125" style="6" customWidth="1"/>
    <col min="7462" max="7462" width="15.5703125" style="6" customWidth="1"/>
    <col min="7463" max="7463" width="1.85546875" style="6" customWidth="1"/>
    <col min="7464" max="7464" width="15.5703125" style="6" customWidth="1"/>
    <col min="7465" max="7465" width="1.5703125" style="6" customWidth="1"/>
    <col min="7466" max="7466" width="15.5703125" style="6" customWidth="1"/>
    <col min="7467" max="7467" width="9.140625" style="6"/>
    <col min="7468" max="7468" width="15.140625" style="6" customWidth="1"/>
    <col min="7469" max="7670" width="9.140625" style="6"/>
    <col min="7671" max="7671" width="26.5703125" style="6" customWidth="1"/>
    <col min="7672" max="7684" width="0" style="6" hidden="1" customWidth="1"/>
    <col min="7685" max="7685" width="1.7109375" style="6" customWidth="1"/>
    <col min="7686" max="7686" width="17.42578125" style="6" customWidth="1"/>
    <col min="7687" max="7687" width="1.140625" style="6" customWidth="1"/>
    <col min="7688" max="7700" width="0" style="6" hidden="1" customWidth="1"/>
    <col min="7701" max="7701" width="19.85546875" style="6" customWidth="1"/>
    <col min="7702" max="7702" width="0" style="6" hidden="1" customWidth="1"/>
    <col min="7703" max="7703" width="2.85546875" style="6" customWidth="1"/>
    <col min="7704" max="7704" width="15.5703125" style="6" customWidth="1"/>
    <col min="7705" max="7705" width="2" style="6" customWidth="1"/>
    <col min="7706" max="7706" width="15.5703125" style="6" customWidth="1"/>
    <col min="7707" max="7707" width="1.7109375" style="6" customWidth="1"/>
    <col min="7708" max="7708" width="15.5703125" style="6" customWidth="1"/>
    <col min="7709" max="7709" width="1.5703125" style="6" customWidth="1"/>
    <col min="7710" max="7710" width="15.5703125" style="6" customWidth="1"/>
    <col min="7711" max="7711" width="1.42578125" style="6" customWidth="1"/>
    <col min="7712" max="7712" width="15.5703125" style="6" customWidth="1"/>
    <col min="7713" max="7713" width="1.85546875" style="6" customWidth="1"/>
    <col min="7714" max="7714" width="15.5703125" style="6" customWidth="1"/>
    <col min="7715" max="7715" width="1.28515625" style="6" customWidth="1"/>
    <col min="7716" max="7716" width="15.85546875" style="6" customWidth="1"/>
    <col min="7717" max="7717" width="1.5703125" style="6" customWidth="1"/>
    <col min="7718" max="7718" width="15.5703125" style="6" customWidth="1"/>
    <col min="7719" max="7719" width="1.85546875" style="6" customWidth="1"/>
    <col min="7720" max="7720" width="15.5703125" style="6" customWidth="1"/>
    <col min="7721" max="7721" width="1.5703125" style="6" customWidth="1"/>
    <col min="7722" max="7722" width="15.5703125" style="6" customWidth="1"/>
    <col min="7723" max="7723" width="9.140625" style="6"/>
    <col min="7724" max="7724" width="15.140625" style="6" customWidth="1"/>
    <col min="7725" max="7926" width="9.140625" style="6"/>
    <col min="7927" max="7927" width="26.5703125" style="6" customWidth="1"/>
    <col min="7928" max="7940" width="0" style="6" hidden="1" customWidth="1"/>
    <col min="7941" max="7941" width="1.7109375" style="6" customWidth="1"/>
    <col min="7942" max="7942" width="17.42578125" style="6" customWidth="1"/>
    <col min="7943" max="7943" width="1.140625" style="6" customWidth="1"/>
    <col min="7944" max="7956" width="0" style="6" hidden="1" customWidth="1"/>
    <col min="7957" max="7957" width="19.85546875" style="6" customWidth="1"/>
    <col min="7958" max="7958" width="0" style="6" hidden="1" customWidth="1"/>
    <col min="7959" max="7959" width="2.85546875" style="6" customWidth="1"/>
    <col min="7960" max="7960" width="15.5703125" style="6" customWidth="1"/>
    <col min="7961" max="7961" width="2" style="6" customWidth="1"/>
    <col min="7962" max="7962" width="15.5703125" style="6" customWidth="1"/>
    <col min="7963" max="7963" width="1.7109375" style="6" customWidth="1"/>
    <col min="7964" max="7964" width="15.5703125" style="6" customWidth="1"/>
    <col min="7965" max="7965" width="1.5703125" style="6" customWidth="1"/>
    <col min="7966" max="7966" width="15.5703125" style="6" customWidth="1"/>
    <col min="7967" max="7967" width="1.42578125" style="6" customWidth="1"/>
    <col min="7968" max="7968" width="15.5703125" style="6" customWidth="1"/>
    <col min="7969" max="7969" width="1.85546875" style="6" customWidth="1"/>
    <col min="7970" max="7970" width="15.5703125" style="6" customWidth="1"/>
    <col min="7971" max="7971" width="1.28515625" style="6" customWidth="1"/>
    <col min="7972" max="7972" width="15.85546875" style="6" customWidth="1"/>
    <col min="7973" max="7973" width="1.5703125" style="6" customWidth="1"/>
    <col min="7974" max="7974" width="15.5703125" style="6" customWidth="1"/>
    <col min="7975" max="7975" width="1.85546875" style="6" customWidth="1"/>
    <col min="7976" max="7976" width="15.5703125" style="6" customWidth="1"/>
    <col min="7977" max="7977" width="1.5703125" style="6" customWidth="1"/>
    <col min="7978" max="7978" width="15.5703125" style="6" customWidth="1"/>
    <col min="7979" max="7979" width="9.140625" style="6"/>
    <col min="7980" max="7980" width="15.140625" style="6" customWidth="1"/>
    <col min="7981" max="8182" width="9.140625" style="6"/>
    <col min="8183" max="8183" width="26.5703125" style="6" customWidth="1"/>
    <col min="8184" max="8196" width="0" style="6" hidden="1" customWidth="1"/>
    <col min="8197" max="8197" width="1.7109375" style="6" customWidth="1"/>
    <col min="8198" max="8198" width="17.42578125" style="6" customWidth="1"/>
    <col min="8199" max="8199" width="1.140625" style="6" customWidth="1"/>
    <col min="8200" max="8212" width="0" style="6" hidden="1" customWidth="1"/>
    <col min="8213" max="8213" width="19.85546875" style="6" customWidth="1"/>
    <col min="8214" max="8214" width="0" style="6" hidden="1" customWidth="1"/>
    <col min="8215" max="8215" width="2.85546875" style="6" customWidth="1"/>
    <col min="8216" max="8216" width="15.5703125" style="6" customWidth="1"/>
    <col min="8217" max="8217" width="2" style="6" customWidth="1"/>
    <col min="8218" max="8218" width="15.5703125" style="6" customWidth="1"/>
    <col min="8219" max="8219" width="1.7109375" style="6" customWidth="1"/>
    <col min="8220" max="8220" width="15.5703125" style="6" customWidth="1"/>
    <col min="8221" max="8221" width="1.5703125" style="6" customWidth="1"/>
    <col min="8222" max="8222" width="15.5703125" style="6" customWidth="1"/>
    <col min="8223" max="8223" width="1.42578125" style="6" customWidth="1"/>
    <col min="8224" max="8224" width="15.5703125" style="6" customWidth="1"/>
    <col min="8225" max="8225" width="1.85546875" style="6" customWidth="1"/>
    <col min="8226" max="8226" width="15.5703125" style="6" customWidth="1"/>
    <col min="8227" max="8227" width="1.28515625" style="6" customWidth="1"/>
    <col min="8228" max="8228" width="15.85546875" style="6" customWidth="1"/>
    <col min="8229" max="8229" width="1.5703125" style="6" customWidth="1"/>
    <col min="8230" max="8230" width="15.5703125" style="6" customWidth="1"/>
    <col min="8231" max="8231" width="1.85546875" style="6" customWidth="1"/>
    <col min="8232" max="8232" width="15.5703125" style="6" customWidth="1"/>
    <col min="8233" max="8233" width="1.5703125" style="6" customWidth="1"/>
    <col min="8234" max="8234" width="15.5703125" style="6" customWidth="1"/>
    <col min="8235" max="8235" width="9.140625" style="6"/>
    <col min="8236" max="8236" width="15.140625" style="6" customWidth="1"/>
    <col min="8237" max="8438" width="9.140625" style="6"/>
    <col min="8439" max="8439" width="26.5703125" style="6" customWidth="1"/>
    <col min="8440" max="8452" width="0" style="6" hidden="1" customWidth="1"/>
    <col min="8453" max="8453" width="1.7109375" style="6" customWidth="1"/>
    <col min="8454" max="8454" width="17.42578125" style="6" customWidth="1"/>
    <col min="8455" max="8455" width="1.140625" style="6" customWidth="1"/>
    <col min="8456" max="8468" width="0" style="6" hidden="1" customWidth="1"/>
    <col min="8469" max="8469" width="19.85546875" style="6" customWidth="1"/>
    <col min="8470" max="8470" width="0" style="6" hidden="1" customWidth="1"/>
    <col min="8471" max="8471" width="2.85546875" style="6" customWidth="1"/>
    <col min="8472" max="8472" width="15.5703125" style="6" customWidth="1"/>
    <col min="8473" max="8473" width="2" style="6" customWidth="1"/>
    <col min="8474" max="8474" width="15.5703125" style="6" customWidth="1"/>
    <col min="8475" max="8475" width="1.7109375" style="6" customWidth="1"/>
    <col min="8476" max="8476" width="15.5703125" style="6" customWidth="1"/>
    <col min="8477" max="8477" width="1.5703125" style="6" customWidth="1"/>
    <col min="8478" max="8478" width="15.5703125" style="6" customWidth="1"/>
    <col min="8479" max="8479" width="1.42578125" style="6" customWidth="1"/>
    <col min="8480" max="8480" width="15.5703125" style="6" customWidth="1"/>
    <col min="8481" max="8481" width="1.85546875" style="6" customWidth="1"/>
    <col min="8482" max="8482" width="15.5703125" style="6" customWidth="1"/>
    <col min="8483" max="8483" width="1.28515625" style="6" customWidth="1"/>
    <col min="8484" max="8484" width="15.85546875" style="6" customWidth="1"/>
    <col min="8485" max="8485" width="1.5703125" style="6" customWidth="1"/>
    <col min="8486" max="8486" width="15.5703125" style="6" customWidth="1"/>
    <col min="8487" max="8487" width="1.85546875" style="6" customWidth="1"/>
    <col min="8488" max="8488" width="15.5703125" style="6" customWidth="1"/>
    <col min="8489" max="8489" width="1.5703125" style="6" customWidth="1"/>
    <col min="8490" max="8490" width="15.5703125" style="6" customWidth="1"/>
    <col min="8491" max="8491" width="9.140625" style="6"/>
    <col min="8492" max="8492" width="15.140625" style="6" customWidth="1"/>
    <col min="8493" max="8694" width="9.140625" style="6"/>
    <col min="8695" max="8695" width="26.5703125" style="6" customWidth="1"/>
    <col min="8696" max="8708" width="0" style="6" hidden="1" customWidth="1"/>
    <col min="8709" max="8709" width="1.7109375" style="6" customWidth="1"/>
    <col min="8710" max="8710" width="17.42578125" style="6" customWidth="1"/>
    <col min="8711" max="8711" width="1.140625" style="6" customWidth="1"/>
    <col min="8712" max="8724" width="0" style="6" hidden="1" customWidth="1"/>
    <col min="8725" max="8725" width="19.85546875" style="6" customWidth="1"/>
    <col min="8726" max="8726" width="0" style="6" hidden="1" customWidth="1"/>
    <col min="8727" max="8727" width="2.85546875" style="6" customWidth="1"/>
    <col min="8728" max="8728" width="15.5703125" style="6" customWidth="1"/>
    <col min="8729" max="8729" width="2" style="6" customWidth="1"/>
    <col min="8730" max="8730" width="15.5703125" style="6" customWidth="1"/>
    <col min="8731" max="8731" width="1.7109375" style="6" customWidth="1"/>
    <col min="8732" max="8732" width="15.5703125" style="6" customWidth="1"/>
    <col min="8733" max="8733" width="1.5703125" style="6" customWidth="1"/>
    <col min="8734" max="8734" width="15.5703125" style="6" customWidth="1"/>
    <col min="8735" max="8735" width="1.42578125" style="6" customWidth="1"/>
    <col min="8736" max="8736" width="15.5703125" style="6" customWidth="1"/>
    <col min="8737" max="8737" width="1.85546875" style="6" customWidth="1"/>
    <col min="8738" max="8738" width="15.5703125" style="6" customWidth="1"/>
    <col min="8739" max="8739" width="1.28515625" style="6" customWidth="1"/>
    <col min="8740" max="8740" width="15.85546875" style="6" customWidth="1"/>
    <col min="8741" max="8741" width="1.5703125" style="6" customWidth="1"/>
    <col min="8742" max="8742" width="15.5703125" style="6" customWidth="1"/>
    <col min="8743" max="8743" width="1.85546875" style="6" customWidth="1"/>
    <col min="8744" max="8744" width="15.5703125" style="6" customWidth="1"/>
    <col min="8745" max="8745" width="1.5703125" style="6" customWidth="1"/>
    <col min="8746" max="8746" width="15.5703125" style="6" customWidth="1"/>
    <col min="8747" max="8747" width="9.140625" style="6"/>
    <col min="8748" max="8748" width="15.140625" style="6" customWidth="1"/>
    <col min="8749" max="8950" width="9.140625" style="6"/>
    <col min="8951" max="8951" width="26.5703125" style="6" customWidth="1"/>
    <col min="8952" max="8964" width="0" style="6" hidden="1" customWidth="1"/>
    <col min="8965" max="8965" width="1.7109375" style="6" customWidth="1"/>
    <col min="8966" max="8966" width="17.42578125" style="6" customWidth="1"/>
    <col min="8967" max="8967" width="1.140625" style="6" customWidth="1"/>
    <col min="8968" max="8980" width="0" style="6" hidden="1" customWidth="1"/>
    <col min="8981" max="8981" width="19.85546875" style="6" customWidth="1"/>
    <col min="8982" max="8982" width="0" style="6" hidden="1" customWidth="1"/>
    <col min="8983" max="8983" width="2.85546875" style="6" customWidth="1"/>
    <col min="8984" max="8984" width="15.5703125" style="6" customWidth="1"/>
    <col min="8985" max="8985" width="2" style="6" customWidth="1"/>
    <col min="8986" max="8986" width="15.5703125" style="6" customWidth="1"/>
    <col min="8987" max="8987" width="1.7109375" style="6" customWidth="1"/>
    <col min="8988" max="8988" width="15.5703125" style="6" customWidth="1"/>
    <col min="8989" max="8989" width="1.5703125" style="6" customWidth="1"/>
    <col min="8990" max="8990" width="15.5703125" style="6" customWidth="1"/>
    <col min="8991" max="8991" width="1.42578125" style="6" customWidth="1"/>
    <col min="8992" max="8992" width="15.5703125" style="6" customWidth="1"/>
    <col min="8993" max="8993" width="1.85546875" style="6" customWidth="1"/>
    <col min="8994" max="8994" width="15.5703125" style="6" customWidth="1"/>
    <col min="8995" max="8995" width="1.28515625" style="6" customWidth="1"/>
    <col min="8996" max="8996" width="15.85546875" style="6" customWidth="1"/>
    <col min="8997" max="8997" width="1.5703125" style="6" customWidth="1"/>
    <col min="8998" max="8998" width="15.5703125" style="6" customWidth="1"/>
    <col min="8999" max="8999" width="1.85546875" style="6" customWidth="1"/>
    <col min="9000" max="9000" width="15.5703125" style="6" customWidth="1"/>
    <col min="9001" max="9001" width="1.5703125" style="6" customWidth="1"/>
    <col min="9002" max="9002" width="15.5703125" style="6" customWidth="1"/>
    <col min="9003" max="9003" width="9.140625" style="6"/>
    <col min="9004" max="9004" width="15.140625" style="6" customWidth="1"/>
    <col min="9005" max="9206" width="9.140625" style="6"/>
    <col min="9207" max="9207" width="26.5703125" style="6" customWidth="1"/>
    <col min="9208" max="9220" width="0" style="6" hidden="1" customWidth="1"/>
    <col min="9221" max="9221" width="1.7109375" style="6" customWidth="1"/>
    <col min="9222" max="9222" width="17.42578125" style="6" customWidth="1"/>
    <col min="9223" max="9223" width="1.140625" style="6" customWidth="1"/>
    <col min="9224" max="9236" width="0" style="6" hidden="1" customWidth="1"/>
    <col min="9237" max="9237" width="19.85546875" style="6" customWidth="1"/>
    <col min="9238" max="9238" width="0" style="6" hidden="1" customWidth="1"/>
    <col min="9239" max="9239" width="2.85546875" style="6" customWidth="1"/>
    <col min="9240" max="9240" width="15.5703125" style="6" customWidth="1"/>
    <col min="9241" max="9241" width="2" style="6" customWidth="1"/>
    <col min="9242" max="9242" width="15.5703125" style="6" customWidth="1"/>
    <col min="9243" max="9243" width="1.7109375" style="6" customWidth="1"/>
    <col min="9244" max="9244" width="15.5703125" style="6" customWidth="1"/>
    <col min="9245" max="9245" width="1.5703125" style="6" customWidth="1"/>
    <col min="9246" max="9246" width="15.5703125" style="6" customWidth="1"/>
    <col min="9247" max="9247" width="1.42578125" style="6" customWidth="1"/>
    <col min="9248" max="9248" width="15.5703125" style="6" customWidth="1"/>
    <col min="9249" max="9249" width="1.85546875" style="6" customWidth="1"/>
    <col min="9250" max="9250" width="15.5703125" style="6" customWidth="1"/>
    <col min="9251" max="9251" width="1.28515625" style="6" customWidth="1"/>
    <col min="9252" max="9252" width="15.85546875" style="6" customWidth="1"/>
    <col min="9253" max="9253" width="1.5703125" style="6" customWidth="1"/>
    <col min="9254" max="9254" width="15.5703125" style="6" customWidth="1"/>
    <col min="9255" max="9255" width="1.85546875" style="6" customWidth="1"/>
    <col min="9256" max="9256" width="15.5703125" style="6" customWidth="1"/>
    <col min="9257" max="9257" width="1.5703125" style="6" customWidth="1"/>
    <col min="9258" max="9258" width="15.5703125" style="6" customWidth="1"/>
    <col min="9259" max="9259" width="9.140625" style="6"/>
    <col min="9260" max="9260" width="15.140625" style="6" customWidth="1"/>
    <col min="9261" max="9462" width="9.140625" style="6"/>
    <col min="9463" max="9463" width="26.5703125" style="6" customWidth="1"/>
    <col min="9464" max="9476" width="0" style="6" hidden="1" customWidth="1"/>
    <col min="9477" max="9477" width="1.7109375" style="6" customWidth="1"/>
    <col min="9478" max="9478" width="17.42578125" style="6" customWidth="1"/>
    <col min="9479" max="9479" width="1.140625" style="6" customWidth="1"/>
    <col min="9480" max="9492" width="0" style="6" hidden="1" customWidth="1"/>
    <col min="9493" max="9493" width="19.85546875" style="6" customWidth="1"/>
    <col min="9494" max="9494" width="0" style="6" hidden="1" customWidth="1"/>
    <col min="9495" max="9495" width="2.85546875" style="6" customWidth="1"/>
    <col min="9496" max="9496" width="15.5703125" style="6" customWidth="1"/>
    <col min="9497" max="9497" width="2" style="6" customWidth="1"/>
    <col min="9498" max="9498" width="15.5703125" style="6" customWidth="1"/>
    <col min="9499" max="9499" width="1.7109375" style="6" customWidth="1"/>
    <col min="9500" max="9500" width="15.5703125" style="6" customWidth="1"/>
    <col min="9501" max="9501" width="1.5703125" style="6" customWidth="1"/>
    <col min="9502" max="9502" width="15.5703125" style="6" customWidth="1"/>
    <col min="9503" max="9503" width="1.42578125" style="6" customWidth="1"/>
    <col min="9504" max="9504" width="15.5703125" style="6" customWidth="1"/>
    <col min="9505" max="9505" width="1.85546875" style="6" customWidth="1"/>
    <col min="9506" max="9506" width="15.5703125" style="6" customWidth="1"/>
    <col min="9507" max="9507" width="1.28515625" style="6" customWidth="1"/>
    <col min="9508" max="9508" width="15.85546875" style="6" customWidth="1"/>
    <col min="9509" max="9509" width="1.5703125" style="6" customWidth="1"/>
    <col min="9510" max="9510" width="15.5703125" style="6" customWidth="1"/>
    <col min="9511" max="9511" width="1.85546875" style="6" customWidth="1"/>
    <col min="9512" max="9512" width="15.5703125" style="6" customWidth="1"/>
    <col min="9513" max="9513" width="1.5703125" style="6" customWidth="1"/>
    <col min="9514" max="9514" width="15.5703125" style="6" customWidth="1"/>
    <col min="9515" max="9515" width="9.140625" style="6"/>
    <col min="9516" max="9516" width="15.140625" style="6" customWidth="1"/>
    <col min="9517" max="9718" width="9.140625" style="6"/>
    <col min="9719" max="9719" width="26.5703125" style="6" customWidth="1"/>
    <col min="9720" max="9732" width="0" style="6" hidden="1" customWidth="1"/>
    <col min="9733" max="9733" width="1.7109375" style="6" customWidth="1"/>
    <col min="9734" max="9734" width="17.42578125" style="6" customWidth="1"/>
    <col min="9735" max="9735" width="1.140625" style="6" customWidth="1"/>
    <col min="9736" max="9748" width="0" style="6" hidden="1" customWidth="1"/>
    <col min="9749" max="9749" width="19.85546875" style="6" customWidth="1"/>
    <col min="9750" max="9750" width="0" style="6" hidden="1" customWidth="1"/>
    <col min="9751" max="9751" width="2.85546875" style="6" customWidth="1"/>
    <col min="9752" max="9752" width="15.5703125" style="6" customWidth="1"/>
    <col min="9753" max="9753" width="2" style="6" customWidth="1"/>
    <col min="9754" max="9754" width="15.5703125" style="6" customWidth="1"/>
    <col min="9755" max="9755" width="1.7109375" style="6" customWidth="1"/>
    <col min="9756" max="9756" width="15.5703125" style="6" customWidth="1"/>
    <col min="9757" max="9757" width="1.5703125" style="6" customWidth="1"/>
    <col min="9758" max="9758" width="15.5703125" style="6" customWidth="1"/>
    <col min="9759" max="9759" width="1.42578125" style="6" customWidth="1"/>
    <col min="9760" max="9760" width="15.5703125" style="6" customWidth="1"/>
    <col min="9761" max="9761" width="1.85546875" style="6" customWidth="1"/>
    <col min="9762" max="9762" width="15.5703125" style="6" customWidth="1"/>
    <col min="9763" max="9763" width="1.28515625" style="6" customWidth="1"/>
    <col min="9764" max="9764" width="15.85546875" style="6" customWidth="1"/>
    <col min="9765" max="9765" width="1.5703125" style="6" customWidth="1"/>
    <col min="9766" max="9766" width="15.5703125" style="6" customWidth="1"/>
    <col min="9767" max="9767" width="1.85546875" style="6" customWidth="1"/>
    <col min="9768" max="9768" width="15.5703125" style="6" customWidth="1"/>
    <col min="9769" max="9769" width="1.5703125" style="6" customWidth="1"/>
    <col min="9770" max="9770" width="15.5703125" style="6" customWidth="1"/>
    <col min="9771" max="9771" width="9.140625" style="6"/>
    <col min="9772" max="9772" width="15.140625" style="6" customWidth="1"/>
    <col min="9773" max="9974" width="9.140625" style="6"/>
    <col min="9975" max="9975" width="26.5703125" style="6" customWidth="1"/>
    <col min="9976" max="9988" width="0" style="6" hidden="1" customWidth="1"/>
    <col min="9989" max="9989" width="1.7109375" style="6" customWidth="1"/>
    <col min="9990" max="9990" width="17.42578125" style="6" customWidth="1"/>
    <col min="9991" max="9991" width="1.140625" style="6" customWidth="1"/>
    <col min="9992" max="10004" width="0" style="6" hidden="1" customWidth="1"/>
    <col min="10005" max="10005" width="19.85546875" style="6" customWidth="1"/>
    <col min="10006" max="10006" width="0" style="6" hidden="1" customWidth="1"/>
    <col min="10007" max="10007" width="2.85546875" style="6" customWidth="1"/>
    <col min="10008" max="10008" width="15.5703125" style="6" customWidth="1"/>
    <col min="10009" max="10009" width="2" style="6" customWidth="1"/>
    <col min="10010" max="10010" width="15.5703125" style="6" customWidth="1"/>
    <col min="10011" max="10011" width="1.7109375" style="6" customWidth="1"/>
    <col min="10012" max="10012" width="15.5703125" style="6" customWidth="1"/>
    <col min="10013" max="10013" width="1.5703125" style="6" customWidth="1"/>
    <col min="10014" max="10014" width="15.5703125" style="6" customWidth="1"/>
    <col min="10015" max="10015" width="1.42578125" style="6" customWidth="1"/>
    <col min="10016" max="10016" width="15.5703125" style="6" customWidth="1"/>
    <col min="10017" max="10017" width="1.85546875" style="6" customWidth="1"/>
    <col min="10018" max="10018" width="15.5703125" style="6" customWidth="1"/>
    <col min="10019" max="10019" width="1.28515625" style="6" customWidth="1"/>
    <col min="10020" max="10020" width="15.85546875" style="6" customWidth="1"/>
    <col min="10021" max="10021" width="1.5703125" style="6" customWidth="1"/>
    <col min="10022" max="10022" width="15.5703125" style="6" customWidth="1"/>
    <col min="10023" max="10023" width="1.85546875" style="6" customWidth="1"/>
    <col min="10024" max="10024" width="15.5703125" style="6" customWidth="1"/>
    <col min="10025" max="10025" width="1.5703125" style="6" customWidth="1"/>
    <col min="10026" max="10026" width="15.5703125" style="6" customWidth="1"/>
    <col min="10027" max="10027" width="9.140625" style="6"/>
    <col min="10028" max="10028" width="15.140625" style="6" customWidth="1"/>
    <col min="10029" max="10230" width="9.140625" style="6"/>
    <col min="10231" max="10231" width="26.5703125" style="6" customWidth="1"/>
    <col min="10232" max="10244" width="0" style="6" hidden="1" customWidth="1"/>
    <col min="10245" max="10245" width="1.7109375" style="6" customWidth="1"/>
    <col min="10246" max="10246" width="17.42578125" style="6" customWidth="1"/>
    <col min="10247" max="10247" width="1.140625" style="6" customWidth="1"/>
    <col min="10248" max="10260" width="0" style="6" hidden="1" customWidth="1"/>
    <col min="10261" max="10261" width="19.85546875" style="6" customWidth="1"/>
    <col min="10262" max="10262" width="0" style="6" hidden="1" customWidth="1"/>
    <col min="10263" max="10263" width="2.85546875" style="6" customWidth="1"/>
    <col min="10264" max="10264" width="15.5703125" style="6" customWidth="1"/>
    <col min="10265" max="10265" width="2" style="6" customWidth="1"/>
    <col min="10266" max="10266" width="15.5703125" style="6" customWidth="1"/>
    <col min="10267" max="10267" width="1.7109375" style="6" customWidth="1"/>
    <col min="10268" max="10268" width="15.5703125" style="6" customWidth="1"/>
    <col min="10269" max="10269" width="1.5703125" style="6" customWidth="1"/>
    <col min="10270" max="10270" width="15.5703125" style="6" customWidth="1"/>
    <col min="10271" max="10271" width="1.42578125" style="6" customWidth="1"/>
    <col min="10272" max="10272" width="15.5703125" style="6" customWidth="1"/>
    <col min="10273" max="10273" width="1.85546875" style="6" customWidth="1"/>
    <col min="10274" max="10274" width="15.5703125" style="6" customWidth="1"/>
    <col min="10275" max="10275" width="1.28515625" style="6" customWidth="1"/>
    <col min="10276" max="10276" width="15.85546875" style="6" customWidth="1"/>
    <col min="10277" max="10277" width="1.5703125" style="6" customWidth="1"/>
    <col min="10278" max="10278" width="15.5703125" style="6" customWidth="1"/>
    <col min="10279" max="10279" width="1.85546875" style="6" customWidth="1"/>
    <col min="10280" max="10280" width="15.5703125" style="6" customWidth="1"/>
    <col min="10281" max="10281" width="1.5703125" style="6" customWidth="1"/>
    <col min="10282" max="10282" width="15.5703125" style="6" customWidth="1"/>
    <col min="10283" max="10283" width="9.140625" style="6"/>
    <col min="10284" max="10284" width="15.140625" style="6" customWidth="1"/>
    <col min="10285" max="10486" width="9.140625" style="6"/>
    <col min="10487" max="10487" width="26.5703125" style="6" customWidth="1"/>
    <col min="10488" max="10500" width="0" style="6" hidden="1" customWidth="1"/>
    <col min="10501" max="10501" width="1.7109375" style="6" customWidth="1"/>
    <col min="10502" max="10502" width="17.42578125" style="6" customWidth="1"/>
    <col min="10503" max="10503" width="1.140625" style="6" customWidth="1"/>
    <col min="10504" max="10516" width="0" style="6" hidden="1" customWidth="1"/>
    <col min="10517" max="10517" width="19.85546875" style="6" customWidth="1"/>
    <col min="10518" max="10518" width="0" style="6" hidden="1" customWidth="1"/>
    <col min="10519" max="10519" width="2.85546875" style="6" customWidth="1"/>
    <col min="10520" max="10520" width="15.5703125" style="6" customWidth="1"/>
    <col min="10521" max="10521" width="2" style="6" customWidth="1"/>
    <col min="10522" max="10522" width="15.5703125" style="6" customWidth="1"/>
    <col min="10523" max="10523" width="1.7109375" style="6" customWidth="1"/>
    <col min="10524" max="10524" width="15.5703125" style="6" customWidth="1"/>
    <col min="10525" max="10525" width="1.5703125" style="6" customWidth="1"/>
    <col min="10526" max="10526" width="15.5703125" style="6" customWidth="1"/>
    <col min="10527" max="10527" width="1.42578125" style="6" customWidth="1"/>
    <col min="10528" max="10528" width="15.5703125" style="6" customWidth="1"/>
    <col min="10529" max="10529" width="1.85546875" style="6" customWidth="1"/>
    <col min="10530" max="10530" width="15.5703125" style="6" customWidth="1"/>
    <col min="10531" max="10531" width="1.28515625" style="6" customWidth="1"/>
    <col min="10532" max="10532" width="15.85546875" style="6" customWidth="1"/>
    <col min="10533" max="10533" width="1.5703125" style="6" customWidth="1"/>
    <col min="10534" max="10534" width="15.5703125" style="6" customWidth="1"/>
    <col min="10535" max="10535" width="1.85546875" style="6" customWidth="1"/>
    <col min="10536" max="10536" width="15.5703125" style="6" customWidth="1"/>
    <col min="10537" max="10537" width="1.5703125" style="6" customWidth="1"/>
    <col min="10538" max="10538" width="15.5703125" style="6" customWidth="1"/>
    <col min="10539" max="10539" width="9.140625" style="6"/>
    <col min="10540" max="10540" width="15.140625" style="6" customWidth="1"/>
    <col min="10541" max="10742" width="9.140625" style="6"/>
    <col min="10743" max="10743" width="26.5703125" style="6" customWidth="1"/>
    <col min="10744" max="10756" width="0" style="6" hidden="1" customWidth="1"/>
    <col min="10757" max="10757" width="1.7109375" style="6" customWidth="1"/>
    <col min="10758" max="10758" width="17.42578125" style="6" customWidth="1"/>
    <col min="10759" max="10759" width="1.140625" style="6" customWidth="1"/>
    <col min="10760" max="10772" width="0" style="6" hidden="1" customWidth="1"/>
    <col min="10773" max="10773" width="19.85546875" style="6" customWidth="1"/>
    <col min="10774" max="10774" width="0" style="6" hidden="1" customWidth="1"/>
    <col min="10775" max="10775" width="2.85546875" style="6" customWidth="1"/>
    <col min="10776" max="10776" width="15.5703125" style="6" customWidth="1"/>
    <col min="10777" max="10777" width="2" style="6" customWidth="1"/>
    <col min="10778" max="10778" width="15.5703125" style="6" customWidth="1"/>
    <col min="10779" max="10779" width="1.7109375" style="6" customWidth="1"/>
    <col min="10780" max="10780" width="15.5703125" style="6" customWidth="1"/>
    <col min="10781" max="10781" width="1.5703125" style="6" customWidth="1"/>
    <col min="10782" max="10782" width="15.5703125" style="6" customWidth="1"/>
    <col min="10783" max="10783" width="1.42578125" style="6" customWidth="1"/>
    <col min="10784" max="10784" width="15.5703125" style="6" customWidth="1"/>
    <col min="10785" max="10785" width="1.85546875" style="6" customWidth="1"/>
    <col min="10786" max="10786" width="15.5703125" style="6" customWidth="1"/>
    <col min="10787" max="10787" width="1.28515625" style="6" customWidth="1"/>
    <col min="10788" max="10788" width="15.85546875" style="6" customWidth="1"/>
    <col min="10789" max="10789" width="1.5703125" style="6" customWidth="1"/>
    <col min="10790" max="10790" width="15.5703125" style="6" customWidth="1"/>
    <col min="10791" max="10791" width="1.85546875" style="6" customWidth="1"/>
    <col min="10792" max="10792" width="15.5703125" style="6" customWidth="1"/>
    <col min="10793" max="10793" width="1.5703125" style="6" customWidth="1"/>
    <col min="10794" max="10794" width="15.5703125" style="6" customWidth="1"/>
    <col min="10795" max="10795" width="9.140625" style="6"/>
    <col min="10796" max="10796" width="15.140625" style="6" customWidth="1"/>
    <col min="10797" max="10998" width="9.140625" style="6"/>
    <col min="10999" max="10999" width="26.5703125" style="6" customWidth="1"/>
    <col min="11000" max="11012" width="0" style="6" hidden="1" customWidth="1"/>
    <col min="11013" max="11013" width="1.7109375" style="6" customWidth="1"/>
    <col min="11014" max="11014" width="17.42578125" style="6" customWidth="1"/>
    <col min="11015" max="11015" width="1.140625" style="6" customWidth="1"/>
    <col min="11016" max="11028" width="0" style="6" hidden="1" customWidth="1"/>
    <col min="11029" max="11029" width="19.85546875" style="6" customWidth="1"/>
    <col min="11030" max="11030" width="0" style="6" hidden="1" customWidth="1"/>
    <col min="11031" max="11031" width="2.85546875" style="6" customWidth="1"/>
    <col min="11032" max="11032" width="15.5703125" style="6" customWidth="1"/>
    <col min="11033" max="11033" width="2" style="6" customWidth="1"/>
    <col min="11034" max="11034" width="15.5703125" style="6" customWidth="1"/>
    <col min="11035" max="11035" width="1.7109375" style="6" customWidth="1"/>
    <col min="11036" max="11036" width="15.5703125" style="6" customWidth="1"/>
    <col min="11037" max="11037" width="1.5703125" style="6" customWidth="1"/>
    <col min="11038" max="11038" width="15.5703125" style="6" customWidth="1"/>
    <col min="11039" max="11039" width="1.42578125" style="6" customWidth="1"/>
    <col min="11040" max="11040" width="15.5703125" style="6" customWidth="1"/>
    <col min="11041" max="11041" width="1.85546875" style="6" customWidth="1"/>
    <col min="11042" max="11042" width="15.5703125" style="6" customWidth="1"/>
    <col min="11043" max="11043" width="1.28515625" style="6" customWidth="1"/>
    <col min="11044" max="11044" width="15.85546875" style="6" customWidth="1"/>
    <col min="11045" max="11045" width="1.5703125" style="6" customWidth="1"/>
    <col min="11046" max="11046" width="15.5703125" style="6" customWidth="1"/>
    <col min="11047" max="11047" width="1.85546875" style="6" customWidth="1"/>
    <col min="11048" max="11048" width="15.5703125" style="6" customWidth="1"/>
    <col min="11049" max="11049" width="1.5703125" style="6" customWidth="1"/>
    <col min="11050" max="11050" width="15.5703125" style="6" customWidth="1"/>
    <col min="11051" max="11051" width="9.140625" style="6"/>
    <col min="11052" max="11052" width="15.140625" style="6" customWidth="1"/>
    <col min="11053" max="11254" width="9.140625" style="6"/>
    <col min="11255" max="11255" width="26.5703125" style="6" customWidth="1"/>
    <col min="11256" max="11268" width="0" style="6" hidden="1" customWidth="1"/>
    <col min="11269" max="11269" width="1.7109375" style="6" customWidth="1"/>
    <col min="11270" max="11270" width="17.42578125" style="6" customWidth="1"/>
    <col min="11271" max="11271" width="1.140625" style="6" customWidth="1"/>
    <col min="11272" max="11284" width="0" style="6" hidden="1" customWidth="1"/>
    <col min="11285" max="11285" width="19.85546875" style="6" customWidth="1"/>
    <col min="11286" max="11286" width="0" style="6" hidden="1" customWidth="1"/>
    <col min="11287" max="11287" width="2.85546875" style="6" customWidth="1"/>
    <col min="11288" max="11288" width="15.5703125" style="6" customWidth="1"/>
    <col min="11289" max="11289" width="2" style="6" customWidth="1"/>
    <col min="11290" max="11290" width="15.5703125" style="6" customWidth="1"/>
    <col min="11291" max="11291" width="1.7109375" style="6" customWidth="1"/>
    <col min="11292" max="11292" width="15.5703125" style="6" customWidth="1"/>
    <col min="11293" max="11293" width="1.5703125" style="6" customWidth="1"/>
    <col min="11294" max="11294" width="15.5703125" style="6" customWidth="1"/>
    <col min="11295" max="11295" width="1.42578125" style="6" customWidth="1"/>
    <col min="11296" max="11296" width="15.5703125" style="6" customWidth="1"/>
    <col min="11297" max="11297" width="1.85546875" style="6" customWidth="1"/>
    <col min="11298" max="11298" width="15.5703125" style="6" customWidth="1"/>
    <col min="11299" max="11299" width="1.28515625" style="6" customWidth="1"/>
    <col min="11300" max="11300" width="15.85546875" style="6" customWidth="1"/>
    <col min="11301" max="11301" width="1.5703125" style="6" customWidth="1"/>
    <col min="11302" max="11302" width="15.5703125" style="6" customWidth="1"/>
    <col min="11303" max="11303" width="1.85546875" style="6" customWidth="1"/>
    <col min="11304" max="11304" width="15.5703125" style="6" customWidth="1"/>
    <col min="11305" max="11305" width="1.5703125" style="6" customWidth="1"/>
    <col min="11306" max="11306" width="15.5703125" style="6" customWidth="1"/>
    <col min="11307" max="11307" width="9.140625" style="6"/>
    <col min="11308" max="11308" width="15.140625" style="6" customWidth="1"/>
    <col min="11309" max="11510" width="9.140625" style="6"/>
    <col min="11511" max="11511" width="26.5703125" style="6" customWidth="1"/>
    <col min="11512" max="11524" width="0" style="6" hidden="1" customWidth="1"/>
    <col min="11525" max="11525" width="1.7109375" style="6" customWidth="1"/>
    <col min="11526" max="11526" width="17.42578125" style="6" customWidth="1"/>
    <col min="11527" max="11527" width="1.140625" style="6" customWidth="1"/>
    <col min="11528" max="11540" width="0" style="6" hidden="1" customWidth="1"/>
    <col min="11541" max="11541" width="19.85546875" style="6" customWidth="1"/>
    <col min="11542" max="11542" width="0" style="6" hidden="1" customWidth="1"/>
    <col min="11543" max="11543" width="2.85546875" style="6" customWidth="1"/>
    <col min="11544" max="11544" width="15.5703125" style="6" customWidth="1"/>
    <col min="11545" max="11545" width="2" style="6" customWidth="1"/>
    <col min="11546" max="11546" width="15.5703125" style="6" customWidth="1"/>
    <col min="11547" max="11547" width="1.7109375" style="6" customWidth="1"/>
    <col min="11548" max="11548" width="15.5703125" style="6" customWidth="1"/>
    <col min="11549" max="11549" width="1.5703125" style="6" customWidth="1"/>
    <col min="11550" max="11550" width="15.5703125" style="6" customWidth="1"/>
    <col min="11551" max="11551" width="1.42578125" style="6" customWidth="1"/>
    <col min="11552" max="11552" width="15.5703125" style="6" customWidth="1"/>
    <col min="11553" max="11553" width="1.85546875" style="6" customWidth="1"/>
    <col min="11554" max="11554" width="15.5703125" style="6" customWidth="1"/>
    <col min="11555" max="11555" width="1.28515625" style="6" customWidth="1"/>
    <col min="11556" max="11556" width="15.85546875" style="6" customWidth="1"/>
    <col min="11557" max="11557" width="1.5703125" style="6" customWidth="1"/>
    <col min="11558" max="11558" width="15.5703125" style="6" customWidth="1"/>
    <col min="11559" max="11559" width="1.85546875" style="6" customWidth="1"/>
    <col min="11560" max="11560" width="15.5703125" style="6" customWidth="1"/>
    <col min="11561" max="11561" width="1.5703125" style="6" customWidth="1"/>
    <col min="11562" max="11562" width="15.5703125" style="6" customWidth="1"/>
    <col min="11563" max="11563" width="9.140625" style="6"/>
    <col min="11564" max="11564" width="15.140625" style="6" customWidth="1"/>
    <col min="11565" max="11766" width="9.140625" style="6"/>
    <col min="11767" max="11767" width="26.5703125" style="6" customWidth="1"/>
    <col min="11768" max="11780" width="0" style="6" hidden="1" customWidth="1"/>
    <col min="11781" max="11781" width="1.7109375" style="6" customWidth="1"/>
    <col min="11782" max="11782" width="17.42578125" style="6" customWidth="1"/>
    <col min="11783" max="11783" width="1.140625" style="6" customWidth="1"/>
    <col min="11784" max="11796" width="0" style="6" hidden="1" customWidth="1"/>
    <col min="11797" max="11797" width="19.85546875" style="6" customWidth="1"/>
    <col min="11798" max="11798" width="0" style="6" hidden="1" customWidth="1"/>
    <col min="11799" max="11799" width="2.85546875" style="6" customWidth="1"/>
    <col min="11800" max="11800" width="15.5703125" style="6" customWidth="1"/>
    <col min="11801" max="11801" width="2" style="6" customWidth="1"/>
    <col min="11802" max="11802" width="15.5703125" style="6" customWidth="1"/>
    <col min="11803" max="11803" width="1.7109375" style="6" customWidth="1"/>
    <col min="11804" max="11804" width="15.5703125" style="6" customWidth="1"/>
    <col min="11805" max="11805" width="1.5703125" style="6" customWidth="1"/>
    <col min="11806" max="11806" width="15.5703125" style="6" customWidth="1"/>
    <col min="11807" max="11807" width="1.42578125" style="6" customWidth="1"/>
    <col min="11808" max="11808" width="15.5703125" style="6" customWidth="1"/>
    <col min="11809" max="11809" width="1.85546875" style="6" customWidth="1"/>
    <col min="11810" max="11810" width="15.5703125" style="6" customWidth="1"/>
    <col min="11811" max="11811" width="1.28515625" style="6" customWidth="1"/>
    <col min="11812" max="11812" width="15.85546875" style="6" customWidth="1"/>
    <col min="11813" max="11813" width="1.5703125" style="6" customWidth="1"/>
    <col min="11814" max="11814" width="15.5703125" style="6" customWidth="1"/>
    <col min="11815" max="11815" width="1.85546875" style="6" customWidth="1"/>
    <col min="11816" max="11816" width="15.5703125" style="6" customWidth="1"/>
    <col min="11817" max="11817" width="1.5703125" style="6" customWidth="1"/>
    <col min="11818" max="11818" width="15.5703125" style="6" customWidth="1"/>
    <col min="11819" max="11819" width="9.140625" style="6"/>
    <col min="11820" max="11820" width="15.140625" style="6" customWidth="1"/>
    <col min="11821" max="12022" width="9.140625" style="6"/>
    <col min="12023" max="12023" width="26.5703125" style="6" customWidth="1"/>
    <col min="12024" max="12036" width="0" style="6" hidden="1" customWidth="1"/>
    <col min="12037" max="12037" width="1.7109375" style="6" customWidth="1"/>
    <col min="12038" max="12038" width="17.42578125" style="6" customWidth="1"/>
    <col min="12039" max="12039" width="1.140625" style="6" customWidth="1"/>
    <col min="12040" max="12052" width="0" style="6" hidden="1" customWidth="1"/>
    <col min="12053" max="12053" width="19.85546875" style="6" customWidth="1"/>
    <col min="12054" max="12054" width="0" style="6" hidden="1" customWidth="1"/>
    <col min="12055" max="12055" width="2.85546875" style="6" customWidth="1"/>
    <col min="12056" max="12056" width="15.5703125" style="6" customWidth="1"/>
    <col min="12057" max="12057" width="2" style="6" customWidth="1"/>
    <col min="12058" max="12058" width="15.5703125" style="6" customWidth="1"/>
    <col min="12059" max="12059" width="1.7109375" style="6" customWidth="1"/>
    <col min="12060" max="12060" width="15.5703125" style="6" customWidth="1"/>
    <col min="12061" max="12061" width="1.5703125" style="6" customWidth="1"/>
    <col min="12062" max="12062" width="15.5703125" style="6" customWidth="1"/>
    <col min="12063" max="12063" width="1.42578125" style="6" customWidth="1"/>
    <col min="12064" max="12064" width="15.5703125" style="6" customWidth="1"/>
    <col min="12065" max="12065" width="1.85546875" style="6" customWidth="1"/>
    <col min="12066" max="12066" width="15.5703125" style="6" customWidth="1"/>
    <col min="12067" max="12067" width="1.28515625" style="6" customWidth="1"/>
    <col min="12068" max="12068" width="15.85546875" style="6" customWidth="1"/>
    <col min="12069" max="12069" width="1.5703125" style="6" customWidth="1"/>
    <col min="12070" max="12070" width="15.5703125" style="6" customWidth="1"/>
    <col min="12071" max="12071" width="1.85546875" style="6" customWidth="1"/>
    <col min="12072" max="12072" width="15.5703125" style="6" customWidth="1"/>
    <col min="12073" max="12073" width="1.5703125" style="6" customWidth="1"/>
    <col min="12074" max="12074" width="15.5703125" style="6" customWidth="1"/>
    <col min="12075" max="12075" width="9.140625" style="6"/>
    <col min="12076" max="12076" width="15.140625" style="6" customWidth="1"/>
    <col min="12077" max="12278" width="9.140625" style="6"/>
    <col min="12279" max="12279" width="26.5703125" style="6" customWidth="1"/>
    <col min="12280" max="12292" width="0" style="6" hidden="1" customWidth="1"/>
    <col min="12293" max="12293" width="1.7109375" style="6" customWidth="1"/>
    <col min="12294" max="12294" width="17.42578125" style="6" customWidth="1"/>
    <col min="12295" max="12295" width="1.140625" style="6" customWidth="1"/>
    <col min="12296" max="12308" width="0" style="6" hidden="1" customWidth="1"/>
    <col min="12309" max="12309" width="19.85546875" style="6" customWidth="1"/>
    <col min="12310" max="12310" width="0" style="6" hidden="1" customWidth="1"/>
    <col min="12311" max="12311" width="2.85546875" style="6" customWidth="1"/>
    <col min="12312" max="12312" width="15.5703125" style="6" customWidth="1"/>
    <col min="12313" max="12313" width="2" style="6" customWidth="1"/>
    <col min="12314" max="12314" width="15.5703125" style="6" customWidth="1"/>
    <col min="12315" max="12315" width="1.7109375" style="6" customWidth="1"/>
    <col min="12316" max="12316" width="15.5703125" style="6" customWidth="1"/>
    <col min="12317" max="12317" width="1.5703125" style="6" customWidth="1"/>
    <col min="12318" max="12318" width="15.5703125" style="6" customWidth="1"/>
    <col min="12319" max="12319" width="1.42578125" style="6" customWidth="1"/>
    <col min="12320" max="12320" width="15.5703125" style="6" customWidth="1"/>
    <col min="12321" max="12321" width="1.85546875" style="6" customWidth="1"/>
    <col min="12322" max="12322" width="15.5703125" style="6" customWidth="1"/>
    <col min="12323" max="12323" width="1.28515625" style="6" customWidth="1"/>
    <col min="12324" max="12324" width="15.85546875" style="6" customWidth="1"/>
    <col min="12325" max="12325" width="1.5703125" style="6" customWidth="1"/>
    <col min="12326" max="12326" width="15.5703125" style="6" customWidth="1"/>
    <col min="12327" max="12327" width="1.85546875" style="6" customWidth="1"/>
    <col min="12328" max="12328" width="15.5703125" style="6" customWidth="1"/>
    <col min="12329" max="12329" width="1.5703125" style="6" customWidth="1"/>
    <col min="12330" max="12330" width="15.5703125" style="6" customWidth="1"/>
    <col min="12331" max="12331" width="9.140625" style="6"/>
    <col min="12332" max="12332" width="15.140625" style="6" customWidth="1"/>
    <col min="12333" max="12534" width="9.140625" style="6"/>
    <col min="12535" max="12535" width="26.5703125" style="6" customWidth="1"/>
    <col min="12536" max="12548" width="0" style="6" hidden="1" customWidth="1"/>
    <col min="12549" max="12549" width="1.7109375" style="6" customWidth="1"/>
    <col min="12550" max="12550" width="17.42578125" style="6" customWidth="1"/>
    <col min="12551" max="12551" width="1.140625" style="6" customWidth="1"/>
    <col min="12552" max="12564" width="0" style="6" hidden="1" customWidth="1"/>
    <col min="12565" max="12565" width="19.85546875" style="6" customWidth="1"/>
    <col min="12566" max="12566" width="0" style="6" hidden="1" customWidth="1"/>
    <col min="12567" max="12567" width="2.85546875" style="6" customWidth="1"/>
    <col min="12568" max="12568" width="15.5703125" style="6" customWidth="1"/>
    <col min="12569" max="12569" width="2" style="6" customWidth="1"/>
    <col min="12570" max="12570" width="15.5703125" style="6" customWidth="1"/>
    <col min="12571" max="12571" width="1.7109375" style="6" customWidth="1"/>
    <col min="12572" max="12572" width="15.5703125" style="6" customWidth="1"/>
    <col min="12573" max="12573" width="1.5703125" style="6" customWidth="1"/>
    <col min="12574" max="12574" width="15.5703125" style="6" customWidth="1"/>
    <col min="12575" max="12575" width="1.42578125" style="6" customWidth="1"/>
    <col min="12576" max="12576" width="15.5703125" style="6" customWidth="1"/>
    <col min="12577" max="12577" width="1.85546875" style="6" customWidth="1"/>
    <col min="12578" max="12578" width="15.5703125" style="6" customWidth="1"/>
    <col min="12579" max="12579" width="1.28515625" style="6" customWidth="1"/>
    <col min="12580" max="12580" width="15.85546875" style="6" customWidth="1"/>
    <col min="12581" max="12581" width="1.5703125" style="6" customWidth="1"/>
    <col min="12582" max="12582" width="15.5703125" style="6" customWidth="1"/>
    <col min="12583" max="12583" width="1.85546875" style="6" customWidth="1"/>
    <col min="12584" max="12584" width="15.5703125" style="6" customWidth="1"/>
    <col min="12585" max="12585" width="1.5703125" style="6" customWidth="1"/>
    <col min="12586" max="12586" width="15.5703125" style="6" customWidth="1"/>
    <col min="12587" max="12587" width="9.140625" style="6"/>
    <col min="12588" max="12588" width="15.140625" style="6" customWidth="1"/>
    <col min="12589" max="12790" width="9.140625" style="6"/>
    <col min="12791" max="12791" width="26.5703125" style="6" customWidth="1"/>
    <col min="12792" max="12804" width="0" style="6" hidden="1" customWidth="1"/>
    <col min="12805" max="12805" width="1.7109375" style="6" customWidth="1"/>
    <col min="12806" max="12806" width="17.42578125" style="6" customWidth="1"/>
    <col min="12807" max="12807" width="1.140625" style="6" customWidth="1"/>
    <col min="12808" max="12820" width="0" style="6" hidden="1" customWidth="1"/>
    <col min="12821" max="12821" width="19.85546875" style="6" customWidth="1"/>
    <col min="12822" max="12822" width="0" style="6" hidden="1" customWidth="1"/>
    <col min="12823" max="12823" width="2.85546875" style="6" customWidth="1"/>
    <col min="12824" max="12824" width="15.5703125" style="6" customWidth="1"/>
    <col min="12825" max="12825" width="2" style="6" customWidth="1"/>
    <col min="12826" max="12826" width="15.5703125" style="6" customWidth="1"/>
    <col min="12827" max="12827" width="1.7109375" style="6" customWidth="1"/>
    <col min="12828" max="12828" width="15.5703125" style="6" customWidth="1"/>
    <col min="12829" max="12829" width="1.5703125" style="6" customWidth="1"/>
    <col min="12830" max="12830" width="15.5703125" style="6" customWidth="1"/>
    <col min="12831" max="12831" width="1.42578125" style="6" customWidth="1"/>
    <col min="12832" max="12832" width="15.5703125" style="6" customWidth="1"/>
    <col min="12833" max="12833" width="1.85546875" style="6" customWidth="1"/>
    <col min="12834" max="12834" width="15.5703125" style="6" customWidth="1"/>
    <col min="12835" max="12835" width="1.28515625" style="6" customWidth="1"/>
    <col min="12836" max="12836" width="15.85546875" style="6" customWidth="1"/>
    <col min="12837" max="12837" width="1.5703125" style="6" customWidth="1"/>
    <col min="12838" max="12838" width="15.5703125" style="6" customWidth="1"/>
    <col min="12839" max="12839" width="1.85546875" style="6" customWidth="1"/>
    <col min="12840" max="12840" width="15.5703125" style="6" customWidth="1"/>
    <col min="12841" max="12841" width="1.5703125" style="6" customWidth="1"/>
    <col min="12842" max="12842" width="15.5703125" style="6" customWidth="1"/>
    <col min="12843" max="12843" width="9.140625" style="6"/>
    <col min="12844" max="12844" width="15.140625" style="6" customWidth="1"/>
    <col min="12845" max="13046" width="9.140625" style="6"/>
    <col min="13047" max="13047" width="26.5703125" style="6" customWidth="1"/>
    <col min="13048" max="13060" width="0" style="6" hidden="1" customWidth="1"/>
    <col min="13061" max="13061" width="1.7109375" style="6" customWidth="1"/>
    <col min="13062" max="13062" width="17.42578125" style="6" customWidth="1"/>
    <col min="13063" max="13063" width="1.140625" style="6" customWidth="1"/>
    <col min="13064" max="13076" width="0" style="6" hidden="1" customWidth="1"/>
    <col min="13077" max="13077" width="19.85546875" style="6" customWidth="1"/>
    <col min="13078" max="13078" width="0" style="6" hidden="1" customWidth="1"/>
    <col min="13079" max="13079" width="2.85546875" style="6" customWidth="1"/>
    <col min="13080" max="13080" width="15.5703125" style="6" customWidth="1"/>
    <col min="13081" max="13081" width="2" style="6" customWidth="1"/>
    <col min="13082" max="13082" width="15.5703125" style="6" customWidth="1"/>
    <col min="13083" max="13083" width="1.7109375" style="6" customWidth="1"/>
    <col min="13084" max="13084" width="15.5703125" style="6" customWidth="1"/>
    <col min="13085" max="13085" width="1.5703125" style="6" customWidth="1"/>
    <col min="13086" max="13086" width="15.5703125" style="6" customWidth="1"/>
    <col min="13087" max="13087" width="1.42578125" style="6" customWidth="1"/>
    <col min="13088" max="13088" width="15.5703125" style="6" customWidth="1"/>
    <col min="13089" max="13089" width="1.85546875" style="6" customWidth="1"/>
    <col min="13090" max="13090" width="15.5703125" style="6" customWidth="1"/>
    <col min="13091" max="13091" width="1.28515625" style="6" customWidth="1"/>
    <col min="13092" max="13092" width="15.85546875" style="6" customWidth="1"/>
    <col min="13093" max="13093" width="1.5703125" style="6" customWidth="1"/>
    <col min="13094" max="13094" width="15.5703125" style="6" customWidth="1"/>
    <col min="13095" max="13095" width="1.85546875" style="6" customWidth="1"/>
    <col min="13096" max="13096" width="15.5703125" style="6" customWidth="1"/>
    <col min="13097" max="13097" width="1.5703125" style="6" customWidth="1"/>
    <col min="13098" max="13098" width="15.5703125" style="6" customWidth="1"/>
    <col min="13099" max="13099" width="9.140625" style="6"/>
    <col min="13100" max="13100" width="15.140625" style="6" customWidth="1"/>
    <col min="13101" max="13302" width="9.140625" style="6"/>
    <col min="13303" max="13303" width="26.5703125" style="6" customWidth="1"/>
    <col min="13304" max="13316" width="0" style="6" hidden="1" customWidth="1"/>
    <col min="13317" max="13317" width="1.7109375" style="6" customWidth="1"/>
    <col min="13318" max="13318" width="17.42578125" style="6" customWidth="1"/>
    <col min="13319" max="13319" width="1.140625" style="6" customWidth="1"/>
    <col min="13320" max="13332" width="0" style="6" hidden="1" customWidth="1"/>
    <col min="13333" max="13333" width="19.85546875" style="6" customWidth="1"/>
    <col min="13334" max="13334" width="0" style="6" hidden="1" customWidth="1"/>
    <col min="13335" max="13335" width="2.85546875" style="6" customWidth="1"/>
    <col min="13336" max="13336" width="15.5703125" style="6" customWidth="1"/>
    <col min="13337" max="13337" width="2" style="6" customWidth="1"/>
    <col min="13338" max="13338" width="15.5703125" style="6" customWidth="1"/>
    <col min="13339" max="13339" width="1.7109375" style="6" customWidth="1"/>
    <col min="13340" max="13340" width="15.5703125" style="6" customWidth="1"/>
    <col min="13341" max="13341" width="1.5703125" style="6" customWidth="1"/>
    <col min="13342" max="13342" width="15.5703125" style="6" customWidth="1"/>
    <col min="13343" max="13343" width="1.42578125" style="6" customWidth="1"/>
    <col min="13344" max="13344" width="15.5703125" style="6" customWidth="1"/>
    <col min="13345" max="13345" width="1.85546875" style="6" customWidth="1"/>
    <col min="13346" max="13346" width="15.5703125" style="6" customWidth="1"/>
    <col min="13347" max="13347" width="1.28515625" style="6" customWidth="1"/>
    <col min="13348" max="13348" width="15.85546875" style="6" customWidth="1"/>
    <col min="13349" max="13349" width="1.5703125" style="6" customWidth="1"/>
    <col min="13350" max="13350" width="15.5703125" style="6" customWidth="1"/>
    <col min="13351" max="13351" width="1.85546875" style="6" customWidth="1"/>
    <col min="13352" max="13352" width="15.5703125" style="6" customWidth="1"/>
    <col min="13353" max="13353" width="1.5703125" style="6" customWidth="1"/>
    <col min="13354" max="13354" width="15.5703125" style="6" customWidth="1"/>
    <col min="13355" max="13355" width="9.140625" style="6"/>
    <col min="13356" max="13356" width="15.140625" style="6" customWidth="1"/>
    <col min="13357" max="13558" width="9.140625" style="6"/>
    <col min="13559" max="13559" width="26.5703125" style="6" customWidth="1"/>
    <col min="13560" max="13572" width="0" style="6" hidden="1" customWidth="1"/>
    <col min="13573" max="13573" width="1.7109375" style="6" customWidth="1"/>
    <col min="13574" max="13574" width="17.42578125" style="6" customWidth="1"/>
    <col min="13575" max="13575" width="1.140625" style="6" customWidth="1"/>
    <col min="13576" max="13588" width="0" style="6" hidden="1" customWidth="1"/>
    <col min="13589" max="13589" width="19.85546875" style="6" customWidth="1"/>
    <col min="13590" max="13590" width="0" style="6" hidden="1" customWidth="1"/>
    <col min="13591" max="13591" width="2.85546875" style="6" customWidth="1"/>
    <col min="13592" max="13592" width="15.5703125" style="6" customWidth="1"/>
    <col min="13593" max="13593" width="2" style="6" customWidth="1"/>
    <col min="13594" max="13594" width="15.5703125" style="6" customWidth="1"/>
    <col min="13595" max="13595" width="1.7109375" style="6" customWidth="1"/>
    <col min="13596" max="13596" width="15.5703125" style="6" customWidth="1"/>
    <col min="13597" max="13597" width="1.5703125" style="6" customWidth="1"/>
    <col min="13598" max="13598" width="15.5703125" style="6" customWidth="1"/>
    <col min="13599" max="13599" width="1.42578125" style="6" customWidth="1"/>
    <col min="13600" max="13600" width="15.5703125" style="6" customWidth="1"/>
    <col min="13601" max="13601" width="1.85546875" style="6" customWidth="1"/>
    <col min="13602" max="13602" width="15.5703125" style="6" customWidth="1"/>
    <col min="13603" max="13603" width="1.28515625" style="6" customWidth="1"/>
    <col min="13604" max="13604" width="15.85546875" style="6" customWidth="1"/>
    <col min="13605" max="13605" width="1.5703125" style="6" customWidth="1"/>
    <col min="13606" max="13606" width="15.5703125" style="6" customWidth="1"/>
    <col min="13607" max="13607" width="1.85546875" style="6" customWidth="1"/>
    <col min="13608" max="13608" width="15.5703125" style="6" customWidth="1"/>
    <col min="13609" max="13609" width="1.5703125" style="6" customWidth="1"/>
    <col min="13610" max="13610" width="15.5703125" style="6" customWidth="1"/>
    <col min="13611" max="13611" width="9.140625" style="6"/>
    <col min="13612" max="13612" width="15.140625" style="6" customWidth="1"/>
    <col min="13613" max="13814" width="9.140625" style="6"/>
    <col min="13815" max="13815" width="26.5703125" style="6" customWidth="1"/>
    <col min="13816" max="13828" width="0" style="6" hidden="1" customWidth="1"/>
    <col min="13829" max="13829" width="1.7109375" style="6" customWidth="1"/>
    <col min="13830" max="13830" width="17.42578125" style="6" customWidth="1"/>
    <col min="13831" max="13831" width="1.140625" style="6" customWidth="1"/>
    <col min="13832" max="13844" width="0" style="6" hidden="1" customWidth="1"/>
    <col min="13845" max="13845" width="19.85546875" style="6" customWidth="1"/>
    <col min="13846" max="13846" width="0" style="6" hidden="1" customWidth="1"/>
    <col min="13847" max="13847" width="2.85546875" style="6" customWidth="1"/>
    <col min="13848" max="13848" width="15.5703125" style="6" customWidth="1"/>
    <col min="13849" max="13849" width="2" style="6" customWidth="1"/>
    <col min="13850" max="13850" width="15.5703125" style="6" customWidth="1"/>
    <col min="13851" max="13851" width="1.7109375" style="6" customWidth="1"/>
    <col min="13852" max="13852" width="15.5703125" style="6" customWidth="1"/>
    <col min="13853" max="13853" width="1.5703125" style="6" customWidth="1"/>
    <col min="13854" max="13854" width="15.5703125" style="6" customWidth="1"/>
    <col min="13855" max="13855" width="1.42578125" style="6" customWidth="1"/>
    <col min="13856" max="13856" width="15.5703125" style="6" customWidth="1"/>
    <col min="13857" max="13857" width="1.85546875" style="6" customWidth="1"/>
    <col min="13858" max="13858" width="15.5703125" style="6" customWidth="1"/>
    <col min="13859" max="13859" width="1.28515625" style="6" customWidth="1"/>
    <col min="13860" max="13860" width="15.85546875" style="6" customWidth="1"/>
    <col min="13861" max="13861" width="1.5703125" style="6" customWidth="1"/>
    <col min="13862" max="13862" width="15.5703125" style="6" customWidth="1"/>
    <col min="13863" max="13863" width="1.85546875" style="6" customWidth="1"/>
    <col min="13864" max="13864" width="15.5703125" style="6" customWidth="1"/>
    <col min="13865" max="13865" width="1.5703125" style="6" customWidth="1"/>
    <col min="13866" max="13866" width="15.5703125" style="6" customWidth="1"/>
    <col min="13867" max="13867" width="9.140625" style="6"/>
    <col min="13868" max="13868" width="15.140625" style="6" customWidth="1"/>
    <col min="13869" max="14070" width="9.140625" style="6"/>
    <col min="14071" max="14071" width="26.5703125" style="6" customWidth="1"/>
    <col min="14072" max="14084" width="0" style="6" hidden="1" customWidth="1"/>
    <col min="14085" max="14085" width="1.7109375" style="6" customWidth="1"/>
    <col min="14086" max="14086" width="17.42578125" style="6" customWidth="1"/>
    <col min="14087" max="14087" width="1.140625" style="6" customWidth="1"/>
    <col min="14088" max="14100" width="0" style="6" hidden="1" customWidth="1"/>
    <col min="14101" max="14101" width="19.85546875" style="6" customWidth="1"/>
    <col min="14102" max="14102" width="0" style="6" hidden="1" customWidth="1"/>
    <col min="14103" max="14103" width="2.85546875" style="6" customWidth="1"/>
    <col min="14104" max="14104" width="15.5703125" style="6" customWidth="1"/>
    <col min="14105" max="14105" width="2" style="6" customWidth="1"/>
    <col min="14106" max="14106" width="15.5703125" style="6" customWidth="1"/>
    <col min="14107" max="14107" width="1.7109375" style="6" customWidth="1"/>
    <col min="14108" max="14108" width="15.5703125" style="6" customWidth="1"/>
    <col min="14109" max="14109" width="1.5703125" style="6" customWidth="1"/>
    <col min="14110" max="14110" width="15.5703125" style="6" customWidth="1"/>
    <col min="14111" max="14111" width="1.42578125" style="6" customWidth="1"/>
    <col min="14112" max="14112" width="15.5703125" style="6" customWidth="1"/>
    <col min="14113" max="14113" width="1.85546875" style="6" customWidth="1"/>
    <col min="14114" max="14114" width="15.5703125" style="6" customWidth="1"/>
    <col min="14115" max="14115" width="1.28515625" style="6" customWidth="1"/>
    <col min="14116" max="14116" width="15.85546875" style="6" customWidth="1"/>
    <col min="14117" max="14117" width="1.5703125" style="6" customWidth="1"/>
    <col min="14118" max="14118" width="15.5703125" style="6" customWidth="1"/>
    <col min="14119" max="14119" width="1.85546875" style="6" customWidth="1"/>
    <col min="14120" max="14120" width="15.5703125" style="6" customWidth="1"/>
    <col min="14121" max="14121" width="1.5703125" style="6" customWidth="1"/>
    <col min="14122" max="14122" width="15.5703125" style="6" customWidth="1"/>
    <col min="14123" max="14123" width="9.140625" style="6"/>
    <col min="14124" max="14124" width="15.140625" style="6" customWidth="1"/>
    <col min="14125" max="14326" width="9.140625" style="6"/>
    <col min="14327" max="14327" width="26.5703125" style="6" customWidth="1"/>
    <col min="14328" max="14340" width="0" style="6" hidden="1" customWidth="1"/>
    <col min="14341" max="14341" width="1.7109375" style="6" customWidth="1"/>
    <col min="14342" max="14342" width="17.42578125" style="6" customWidth="1"/>
    <col min="14343" max="14343" width="1.140625" style="6" customWidth="1"/>
    <col min="14344" max="14356" width="0" style="6" hidden="1" customWidth="1"/>
    <col min="14357" max="14357" width="19.85546875" style="6" customWidth="1"/>
    <col min="14358" max="14358" width="0" style="6" hidden="1" customWidth="1"/>
    <col min="14359" max="14359" width="2.85546875" style="6" customWidth="1"/>
    <col min="14360" max="14360" width="15.5703125" style="6" customWidth="1"/>
    <col min="14361" max="14361" width="2" style="6" customWidth="1"/>
    <col min="14362" max="14362" width="15.5703125" style="6" customWidth="1"/>
    <col min="14363" max="14363" width="1.7109375" style="6" customWidth="1"/>
    <col min="14364" max="14364" width="15.5703125" style="6" customWidth="1"/>
    <col min="14365" max="14365" width="1.5703125" style="6" customWidth="1"/>
    <col min="14366" max="14366" width="15.5703125" style="6" customWidth="1"/>
    <col min="14367" max="14367" width="1.42578125" style="6" customWidth="1"/>
    <col min="14368" max="14368" width="15.5703125" style="6" customWidth="1"/>
    <col min="14369" max="14369" width="1.85546875" style="6" customWidth="1"/>
    <col min="14370" max="14370" width="15.5703125" style="6" customWidth="1"/>
    <col min="14371" max="14371" width="1.28515625" style="6" customWidth="1"/>
    <col min="14372" max="14372" width="15.85546875" style="6" customWidth="1"/>
    <col min="14373" max="14373" width="1.5703125" style="6" customWidth="1"/>
    <col min="14374" max="14374" width="15.5703125" style="6" customWidth="1"/>
    <col min="14375" max="14375" width="1.85546875" style="6" customWidth="1"/>
    <col min="14376" max="14376" width="15.5703125" style="6" customWidth="1"/>
    <col min="14377" max="14377" width="1.5703125" style="6" customWidth="1"/>
    <col min="14378" max="14378" width="15.5703125" style="6" customWidth="1"/>
    <col min="14379" max="14379" width="9.140625" style="6"/>
    <col min="14380" max="14380" width="15.140625" style="6" customWidth="1"/>
    <col min="14381" max="14582" width="9.140625" style="6"/>
    <col min="14583" max="14583" width="26.5703125" style="6" customWidth="1"/>
    <col min="14584" max="14596" width="0" style="6" hidden="1" customWidth="1"/>
    <col min="14597" max="14597" width="1.7109375" style="6" customWidth="1"/>
    <col min="14598" max="14598" width="17.42578125" style="6" customWidth="1"/>
    <col min="14599" max="14599" width="1.140625" style="6" customWidth="1"/>
    <col min="14600" max="14612" width="0" style="6" hidden="1" customWidth="1"/>
    <col min="14613" max="14613" width="19.85546875" style="6" customWidth="1"/>
    <col min="14614" max="14614" width="0" style="6" hidden="1" customWidth="1"/>
    <col min="14615" max="14615" width="2.85546875" style="6" customWidth="1"/>
    <col min="14616" max="14616" width="15.5703125" style="6" customWidth="1"/>
    <col min="14617" max="14617" width="2" style="6" customWidth="1"/>
    <col min="14618" max="14618" width="15.5703125" style="6" customWidth="1"/>
    <col min="14619" max="14619" width="1.7109375" style="6" customWidth="1"/>
    <col min="14620" max="14620" width="15.5703125" style="6" customWidth="1"/>
    <col min="14621" max="14621" width="1.5703125" style="6" customWidth="1"/>
    <col min="14622" max="14622" width="15.5703125" style="6" customWidth="1"/>
    <col min="14623" max="14623" width="1.42578125" style="6" customWidth="1"/>
    <col min="14624" max="14624" width="15.5703125" style="6" customWidth="1"/>
    <col min="14625" max="14625" width="1.85546875" style="6" customWidth="1"/>
    <col min="14626" max="14626" width="15.5703125" style="6" customWidth="1"/>
    <col min="14627" max="14627" width="1.28515625" style="6" customWidth="1"/>
    <col min="14628" max="14628" width="15.85546875" style="6" customWidth="1"/>
    <col min="14629" max="14629" width="1.5703125" style="6" customWidth="1"/>
    <col min="14630" max="14630" width="15.5703125" style="6" customWidth="1"/>
    <col min="14631" max="14631" width="1.85546875" style="6" customWidth="1"/>
    <col min="14632" max="14632" width="15.5703125" style="6" customWidth="1"/>
    <col min="14633" max="14633" width="1.5703125" style="6" customWidth="1"/>
    <col min="14634" max="14634" width="15.5703125" style="6" customWidth="1"/>
    <col min="14635" max="14635" width="9.140625" style="6"/>
    <col min="14636" max="14636" width="15.140625" style="6" customWidth="1"/>
    <col min="14637" max="14838" width="9.140625" style="6"/>
    <col min="14839" max="14839" width="26.5703125" style="6" customWidth="1"/>
    <col min="14840" max="14852" width="0" style="6" hidden="1" customWidth="1"/>
    <col min="14853" max="14853" width="1.7109375" style="6" customWidth="1"/>
    <col min="14854" max="14854" width="17.42578125" style="6" customWidth="1"/>
    <col min="14855" max="14855" width="1.140625" style="6" customWidth="1"/>
    <col min="14856" max="14868" width="0" style="6" hidden="1" customWidth="1"/>
    <col min="14869" max="14869" width="19.85546875" style="6" customWidth="1"/>
    <col min="14870" max="14870" width="0" style="6" hidden="1" customWidth="1"/>
    <col min="14871" max="14871" width="2.85546875" style="6" customWidth="1"/>
    <col min="14872" max="14872" width="15.5703125" style="6" customWidth="1"/>
    <col min="14873" max="14873" width="2" style="6" customWidth="1"/>
    <col min="14874" max="14874" width="15.5703125" style="6" customWidth="1"/>
    <col min="14875" max="14875" width="1.7109375" style="6" customWidth="1"/>
    <col min="14876" max="14876" width="15.5703125" style="6" customWidth="1"/>
    <col min="14877" max="14877" width="1.5703125" style="6" customWidth="1"/>
    <col min="14878" max="14878" width="15.5703125" style="6" customWidth="1"/>
    <col min="14879" max="14879" width="1.42578125" style="6" customWidth="1"/>
    <col min="14880" max="14880" width="15.5703125" style="6" customWidth="1"/>
    <col min="14881" max="14881" width="1.85546875" style="6" customWidth="1"/>
    <col min="14882" max="14882" width="15.5703125" style="6" customWidth="1"/>
    <col min="14883" max="14883" width="1.28515625" style="6" customWidth="1"/>
    <col min="14884" max="14884" width="15.85546875" style="6" customWidth="1"/>
    <col min="14885" max="14885" width="1.5703125" style="6" customWidth="1"/>
    <col min="14886" max="14886" width="15.5703125" style="6" customWidth="1"/>
    <col min="14887" max="14887" width="1.85546875" style="6" customWidth="1"/>
    <col min="14888" max="14888" width="15.5703125" style="6" customWidth="1"/>
    <col min="14889" max="14889" width="1.5703125" style="6" customWidth="1"/>
    <col min="14890" max="14890" width="15.5703125" style="6" customWidth="1"/>
    <col min="14891" max="14891" width="9.140625" style="6"/>
    <col min="14892" max="14892" width="15.140625" style="6" customWidth="1"/>
    <col min="14893" max="15094" width="9.140625" style="6"/>
    <col min="15095" max="15095" width="26.5703125" style="6" customWidth="1"/>
    <col min="15096" max="15108" width="0" style="6" hidden="1" customWidth="1"/>
    <col min="15109" max="15109" width="1.7109375" style="6" customWidth="1"/>
    <col min="15110" max="15110" width="17.42578125" style="6" customWidth="1"/>
    <col min="15111" max="15111" width="1.140625" style="6" customWidth="1"/>
    <col min="15112" max="15124" width="0" style="6" hidden="1" customWidth="1"/>
    <col min="15125" max="15125" width="19.85546875" style="6" customWidth="1"/>
    <col min="15126" max="15126" width="0" style="6" hidden="1" customWidth="1"/>
    <col min="15127" max="15127" width="2.85546875" style="6" customWidth="1"/>
    <col min="15128" max="15128" width="15.5703125" style="6" customWidth="1"/>
    <col min="15129" max="15129" width="2" style="6" customWidth="1"/>
    <col min="15130" max="15130" width="15.5703125" style="6" customWidth="1"/>
    <col min="15131" max="15131" width="1.7109375" style="6" customWidth="1"/>
    <col min="15132" max="15132" width="15.5703125" style="6" customWidth="1"/>
    <col min="15133" max="15133" width="1.5703125" style="6" customWidth="1"/>
    <col min="15134" max="15134" width="15.5703125" style="6" customWidth="1"/>
    <col min="15135" max="15135" width="1.42578125" style="6" customWidth="1"/>
    <col min="15136" max="15136" width="15.5703125" style="6" customWidth="1"/>
    <col min="15137" max="15137" width="1.85546875" style="6" customWidth="1"/>
    <col min="15138" max="15138" width="15.5703125" style="6" customWidth="1"/>
    <col min="15139" max="15139" width="1.28515625" style="6" customWidth="1"/>
    <col min="15140" max="15140" width="15.85546875" style="6" customWidth="1"/>
    <col min="15141" max="15141" width="1.5703125" style="6" customWidth="1"/>
    <col min="15142" max="15142" width="15.5703125" style="6" customWidth="1"/>
    <col min="15143" max="15143" width="1.85546875" style="6" customWidth="1"/>
    <col min="15144" max="15144" width="15.5703125" style="6" customWidth="1"/>
    <col min="15145" max="15145" width="1.5703125" style="6" customWidth="1"/>
    <col min="15146" max="15146" width="15.5703125" style="6" customWidth="1"/>
    <col min="15147" max="15147" width="9.140625" style="6"/>
    <col min="15148" max="15148" width="15.140625" style="6" customWidth="1"/>
    <col min="15149" max="15350" width="9.140625" style="6"/>
    <col min="15351" max="15351" width="26.5703125" style="6" customWidth="1"/>
    <col min="15352" max="15364" width="0" style="6" hidden="1" customWidth="1"/>
    <col min="15365" max="15365" width="1.7109375" style="6" customWidth="1"/>
    <col min="15366" max="15366" width="17.42578125" style="6" customWidth="1"/>
    <col min="15367" max="15367" width="1.140625" style="6" customWidth="1"/>
    <col min="15368" max="15380" width="0" style="6" hidden="1" customWidth="1"/>
    <col min="15381" max="15381" width="19.85546875" style="6" customWidth="1"/>
    <col min="15382" max="15382" width="0" style="6" hidden="1" customWidth="1"/>
    <col min="15383" max="15383" width="2.85546875" style="6" customWidth="1"/>
    <col min="15384" max="15384" width="15.5703125" style="6" customWidth="1"/>
    <col min="15385" max="15385" width="2" style="6" customWidth="1"/>
    <col min="15386" max="15386" width="15.5703125" style="6" customWidth="1"/>
    <col min="15387" max="15387" width="1.7109375" style="6" customWidth="1"/>
    <col min="15388" max="15388" width="15.5703125" style="6" customWidth="1"/>
    <col min="15389" max="15389" width="1.5703125" style="6" customWidth="1"/>
    <col min="15390" max="15390" width="15.5703125" style="6" customWidth="1"/>
    <col min="15391" max="15391" width="1.42578125" style="6" customWidth="1"/>
    <col min="15392" max="15392" width="15.5703125" style="6" customWidth="1"/>
    <col min="15393" max="15393" width="1.85546875" style="6" customWidth="1"/>
    <col min="15394" max="15394" width="15.5703125" style="6" customWidth="1"/>
    <col min="15395" max="15395" width="1.28515625" style="6" customWidth="1"/>
    <col min="15396" max="15396" width="15.85546875" style="6" customWidth="1"/>
    <col min="15397" max="15397" width="1.5703125" style="6" customWidth="1"/>
    <col min="15398" max="15398" width="15.5703125" style="6" customWidth="1"/>
    <col min="15399" max="15399" width="1.85546875" style="6" customWidth="1"/>
    <col min="15400" max="15400" width="15.5703125" style="6" customWidth="1"/>
    <col min="15401" max="15401" width="1.5703125" style="6" customWidth="1"/>
    <col min="15402" max="15402" width="15.5703125" style="6" customWidth="1"/>
    <col min="15403" max="15403" width="9.140625" style="6"/>
    <col min="15404" max="15404" width="15.140625" style="6" customWidth="1"/>
    <col min="15405" max="15606" width="9.140625" style="6"/>
    <col min="15607" max="15607" width="26.5703125" style="6" customWidth="1"/>
    <col min="15608" max="15620" width="0" style="6" hidden="1" customWidth="1"/>
    <col min="15621" max="15621" width="1.7109375" style="6" customWidth="1"/>
    <col min="15622" max="15622" width="17.42578125" style="6" customWidth="1"/>
    <col min="15623" max="15623" width="1.140625" style="6" customWidth="1"/>
    <col min="15624" max="15636" width="0" style="6" hidden="1" customWidth="1"/>
    <col min="15637" max="15637" width="19.85546875" style="6" customWidth="1"/>
    <col min="15638" max="15638" width="0" style="6" hidden="1" customWidth="1"/>
    <col min="15639" max="15639" width="2.85546875" style="6" customWidth="1"/>
    <col min="15640" max="15640" width="15.5703125" style="6" customWidth="1"/>
    <col min="15641" max="15641" width="2" style="6" customWidth="1"/>
    <col min="15642" max="15642" width="15.5703125" style="6" customWidth="1"/>
    <col min="15643" max="15643" width="1.7109375" style="6" customWidth="1"/>
    <col min="15644" max="15644" width="15.5703125" style="6" customWidth="1"/>
    <col min="15645" max="15645" width="1.5703125" style="6" customWidth="1"/>
    <col min="15646" max="15646" width="15.5703125" style="6" customWidth="1"/>
    <col min="15647" max="15647" width="1.42578125" style="6" customWidth="1"/>
    <col min="15648" max="15648" width="15.5703125" style="6" customWidth="1"/>
    <col min="15649" max="15649" width="1.85546875" style="6" customWidth="1"/>
    <col min="15650" max="15650" width="15.5703125" style="6" customWidth="1"/>
    <col min="15651" max="15651" width="1.28515625" style="6" customWidth="1"/>
    <col min="15652" max="15652" width="15.85546875" style="6" customWidth="1"/>
    <col min="15653" max="15653" width="1.5703125" style="6" customWidth="1"/>
    <col min="15654" max="15654" width="15.5703125" style="6" customWidth="1"/>
    <col min="15655" max="15655" width="1.85546875" style="6" customWidth="1"/>
    <col min="15656" max="15656" width="15.5703125" style="6" customWidth="1"/>
    <col min="15657" max="15657" width="1.5703125" style="6" customWidth="1"/>
    <col min="15658" max="15658" width="15.5703125" style="6" customWidth="1"/>
    <col min="15659" max="15659" width="9.140625" style="6"/>
    <col min="15660" max="15660" width="15.140625" style="6" customWidth="1"/>
    <col min="15661" max="15862" width="9.140625" style="6"/>
    <col min="15863" max="15863" width="26.5703125" style="6" customWidth="1"/>
    <col min="15864" max="15876" width="0" style="6" hidden="1" customWidth="1"/>
    <col min="15877" max="15877" width="1.7109375" style="6" customWidth="1"/>
    <col min="15878" max="15878" width="17.42578125" style="6" customWidth="1"/>
    <col min="15879" max="15879" width="1.140625" style="6" customWidth="1"/>
    <col min="15880" max="15892" width="0" style="6" hidden="1" customWidth="1"/>
    <col min="15893" max="15893" width="19.85546875" style="6" customWidth="1"/>
    <col min="15894" max="15894" width="0" style="6" hidden="1" customWidth="1"/>
    <col min="15895" max="15895" width="2.85546875" style="6" customWidth="1"/>
    <col min="15896" max="15896" width="15.5703125" style="6" customWidth="1"/>
    <col min="15897" max="15897" width="2" style="6" customWidth="1"/>
    <col min="15898" max="15898" width="15.5703125" style="6" customWidth="1"/>
    <col min="15899" max="15899" width="1.7109375" style="6" customWidth="1"/>
    <col min="15900" max="15900" width="15.5703125" style="6" customWidth="1"/>
    <col min="15901" max="15901" width="1.5703125" style="6" customWidth="1"/>
    <col min="15902" max="15902" width="15.5703125" style="6" customWidth="1"/>
    <col min="15903" max="15903" width="1.42578125" style="6" customWidth="1"/>
    <col min="15904" max="15904" width="15.5703125" style="6" customWidth="1"/>
    <col min="15905" max="15905" width="1.85546875" style="6" customWidth="1"/>
    <col min="15906" max="15906" width="15.5703125" style="6" customWidth="1"/>
    <col min="15907" max="15907" width="1.28515625" style="6" customWidth="1"/>
    <col min="15908" max="15908" width="15.85546875" style="6" customWidth="1"/>
    <col min="15909" max="15909" width="1.5703125" style="6" customWidth="1"/>
    <col min="15910" max="15910" width="15.5703125" style="6" customWidth="1"/>
    <col min="15911" max="15911" width="1.85546875" style="6" customWidth="1"/>
    <col min="15912" max="15912" width="15.5703125" style="6" customWidth="1"/>
    <col min="15913" max="15913" width="1.5703125" style="6" customWidth="1"/>
    <col min="15914" max="15914" width="15.5703125" style="6" customWidth="1"/>
    <col min="15915" max="15915" width="9.140625" style="6"/>
    <col min="15916" max="15916" width="15.140625" style="6" customWidth="1"/>
    <col min="15917" max="16118" width="9.140625" style="6"/>
    <col min="16119" max="16119" width="26.5703125" style="6" customWidth="1"/>
    <col min="16120" max="16132" width="0" style="6" hidden="1" customWidth="1"/>
    <col min="16133" max="16133" width="1.7109375" style="6" customWidth="1"/>
    <col min="16134" max="16134" width="17.42578125" style="6" customWidth="1"/>
    <col min="16135" max="16135" width="1.140625" style="6" customWidth="1"/>
    <col min="16136" max="16148" width="0" style="6" hidden="1" customWidth="1"/>
    <col min="16149" max="16149" width="19.85546875" style="6" customWidth="1"/>
    <col min="16150" max="16150" width="0" style="6" hidden="1" customWidth="1"/>
    <col min="16151" max="16151" width="2.85546875" style="6" customWidth="1"/>
    <col min="16152" max="16152" width="15.5703125" style="6" customWidth="1"/>
    <col min="16153" max="16153" width="2" style="6" customWidth="1"/>
    <col min="16154" max="16154" width="15.5703125" style="6" customWidth="1"/>
    <col min="16155" max="16155" width="1.7109375" style="6" customWidth="1"/>
    <col min="16156" max="16156" width="15.5703125" style="6" customWidth="1"/>
    <col min="16157" max="16157" width="1.5703125" style="6" customWidth="1"/>
    <col min="16158" max="16158" width="15.5703125" style="6" customWidth="1"/>
    <col min="16159" max="16159" width="1.42578125" style="6" customWidth="1"/>
    <col min="16160" max="16160" width="15.5703125" style="6" customWidth="1"/>
    <col min="16161" max="16161" width="1.85546875" style="6" customWidth="1"/>
    <col min="16162" max="16162" width="15.5703125" style="6" customWidth="1"/>
    <col min="16163" max="16163" width="1.28515625" style="6" customWidth="1"/>
    <col min="16164" max="16164" width="15.85546875" style="6" customWidth="1"/>
    <col min="16165" max="16165" width="1.5703125" style="6" customWidth="1"/>
    <col min="16166" max="16166" width="15.5703125" style="6" customWidth="1"/>
    <col min="16167" max="16167" width="1.85546875" style="6" customWidth="1"/>
    <col min="16168" max="16168" width="15.5703125" style="6" customWidth="1"/>
    <col min="16169" max="16169" width="1.5703125" style="6" customWidth="1"/>
    <col min="16170" max="16170" width="15.5703125" style="6" customWidth="1"/>
    <col min="16171" max="16171" width="9.140625" style="6"/>
    <col min="16172" max="16172" width="15.140625" style="6" customWidth="1"/>
    <col min="16173" max="16384" width="9.140625" style="6"/>
  </cols>
  <sheetData>
    <row r="1" spans="1:68" ht="15.75" thickBot="1" x14ac:dyDescent="0.3">
      <c r="A1" s="7" t="s">
        <v>993</v>
      </c>
    </row>
    <row r="2" spans="1:68" x14ac:dyDescent="0.25">
      <c r="A2" s="6"/>
      <c r="B2" s="237" t="s">
        <v>8</v>
      </c>
      <c r="C2" s="9"/>
      <c r="D2" s="238" t="s">
        <v>9</v>
      </c>
      <c r="E2" s="239" t="s">
        <v>10</v>
      </c>
      <c r="F2" s="240" t="s">
        <v>11</v>
      </c>
      <c r="G2" s="9"/>
      <c r="H2" s="237" t="s">
        <v>12</v>
      </c>
      <c r="I2" s="9"/>
      <c r="J2" s="238" t="s">
        <v>9</v>
      </c>
      <c r="K2" s="239" t="s">
        <v>10</v>
      </c>
      <c r="L2" s="239" t="s">
        <v>11</v>
      </c>
      <c r="M2" s="9"/>
      <c r="N2" s="240" t="s">
        <v>12</v>
      </c>
      <c r="P2" s="237" t="s">
        <v>8</v>
      </c>
      <c r="R2" s="238" t="s">
        <v>9</v>
      </c>
      <c r="S2" s="239" t="s">
        <v>10</v>
      </c>
      <c r="T2" s="249" t="s">
        <v>11</v>
      </c>
      <c r="U2" s="240" t="s">
        <v>13</v>
      </c>
      <c r="V2" s="238" t="s">
        <v>9</v>
      </c>
      <c r="W2" s="239" t="s">
        <v>10</v>
      </c>
      <c r="X2" s="239"/>
      <c r="Y2" s="249" t="s">
        <v>11</v>
      </c>
      <c r="Z2" s="240" t="s">
        <v>13</v>
      </c>
      <c r="AC2" s="238" t="s">
        <v>9</v>
      </c>
      <c r="AD2" s="239" t="s">
        <v>10</v>
      </c>
      <c r="AE2" s="249" t="s">
        <v>11</v>
      </c>
      <c r="AF2" s="240" t="s">
        <v>13</v>
      </c>
      <c r="AG2" s="9"/>
      <c r="AH2" s="255"/>
      <c r="AI2" s="237" t="s">
        <v>8</v>
      </c>
      <c r="AK2" s="237" t="s">
        <v>8</v>
      </c>
      <c r="AM2" s="237" t="s">
        <v>8</v>
      </c>
      <c r="AO2" s="237" t="s">
        <v>8</v>
      </c>
      <c r="AP2" s="250"/>
      <c r="AQ2" s="237" t="s">
        <v>8</v>
      </c>
      <c r="AS2" s="237" t="s">
        <v>8</v>
      </c>
      <c r="AU2" s="237" t="s">
        <v>8</v>
      </c>
      <c r="AW2" s="237" t="s">
        <v>8</v>
      </c>
      <c r="AY2" s="237" t="s">
        <v>8</v>
      </c>
      <c r="BA2" s="237" t="s">
        <v>8</v>
      </c>
      <c r="BB2" s="3"/>
      <c r="BC2" s="237" t="s">
        <v>8</v>
      </c>
      <c r="BD2" s="3"/>
      <c r="BE2" s="237" t="s">
        <v>8</v>
      </c>
      <c r="BF2" s="51"/>
      <c r="BG2" s="51"/>
      <c r="BH2" s="9"/>
      <c r="BI2" s="51"/>
      <c r="BJ2" s="51"/>
      <c r="BK2" s="51"/>
      <c r="BL2" s="51"/>
      <c r="BM2" s="51"/>
      <c r="BN2" s="51"/>
      <c r="BO2" s="51"/>
      <c r="BP2" s="51"/>
    </row>
    <row r="3" spans="1:68" ht="15.75" thickBot="1" x14ac:dyDescent="0.3">
      <c r="A3" s="7" t="s">
        <v>0</v>
      </c>
      <c r="B3" s="241" t="s">
        <v>14</v>
      </c>
      <c r="C3" s="9"/>
      <c r="D3" s="242" t="s">
        <v>15</v>
      </c>
      <c r="E3" s="243"/>
      <c r="F3" s="244" t="s">
        <v>16</v>
      </c>
      <c r="G3" s="9"/>
      <c r="H3" s="241"/>
      <c r="I3" s="9"/>
      <c r="J3" s="242" t="s">
        <v>17</v>
      </c>
      <c r="K3" s="243"/>
      <c r="L3" s="243" t="s">
        <v>16</v>
      </c>
      <c r="M3" s="9"/>
      <c r="N3" s="244"/>
      <c r="P3" s="241" t="s">
        <v>18</v>
      </c>
      <c r="R3" s="242" t="s">
        <v>19</v>
      </c>
      <c r="S3" s="251"/>
      <c r="T3" s="252" t="s">
        <v>20</v>
      </c>
      <c r="U3" s="253"/>
      <c r="V3" s="242" t="s">
        <v>21</v>
      </c>
      <c r="W3" s="251"/>
      <c r="X3" s="251"/>
      <c r="Y3" s="252" t="s">
        <v>21</v>
      </c>
      <c r="Z3" s="253"/>
      <c r="AC3" s="242" t="s">
        <v>22</v>
      </c>
      <c r="AD3" s="251"/>
      <c r="AE3" s="252" t="s">
        <v>23</v>
      </c>
      <c r="AF3" s="253"/>
      <c r="AG3" s="32"/>
      <c r="AH3" s="256"/>
      <c r="AI3" s="241" t="s">
        <v>24</v>
      </c>
      <c r="AK3" s="241" t="s">
        <v>25</v>
      </c>
      <c r="AM3" s="241" t="s">
        <v>26</v>
      </c>
      <c r="AO3" s="241" t="s">
        <v>27</v>
      </c>
      <c r="AP3" s="250"/>
      <c r="AQ3" s="241" t="s">
        <v>28</v>
      </c>
      <c r="AS3" s="241" t="s">
        <v>29</v>
      </c>
      <c r="AU3" s="241" t="s">
        <v>30</v>
      </c>
      <c r="AW3" s="241" t="s">
        <v>31</v>
      </c>
      <c r="AY3" s="241" t="s">
        <v>32</v>
      </c>
      <c r="BA3" s="241" t="s">
        <v>33</v>
      </c>
      <c r="BB3" s="3"/>
      <c r="BC3" s="241" t="s">
        <v>1276</v>
      </c>
      <c r="BD3" s="3"/>
      <c r="BE3" s="241" t="s">
        <v>1277</v>
      </c>
      <c r="BF3" s="51"/>
      <c r="BG3" s="51"/>
      <c r="BH3" s="9"/>
      <c r="BI3" s="51"/>
      <c r="BJ3" s="51"/>
      <c r="BK3" s="51"/>
      <c r="BL3" s="51"/>
      <c r="BM3" s="51"/>
      <c r="BN3" s="51"/>
      <c r="BO3" s="51"/>
      <c r="BP3" s="51"/>
    </row>
    <row r="4" spans="1:68" x14ac:dyDescent="0.25">
      <c r="A4" s="3"/>
      <c r="BB4" s="3"/>
      <c r="BC4" s="4"/>
      <c r="BD4" s="3"/>
      <c r="BE4" s="4"/>
      <c r="BF4" s="51"/>
      <c r="BG4" s="51"/>
      <c r="BH4" s="4"/>
      <c r="BI4" s="51"/>
      <c r="BJ4" s="51"/>
      <c r="BK4" s="51"/>
      <c r="BL4" s="51"/>
      <c r="BM4" s="51"/>
      <c r="BN4" s="51"/>
      <c r="BO4" s="51"/>
      <c r="BP4" s="51"/>
    </row>
    <row r="5" spans="1:68" s="34" customFormat="1" hidden="1" x14ac:dyDescent="0.25">
      <c r="A5" s="287" t="s">
        <v>34</v>
      </c>
      <c r="B5" s="288">
        <v>878940</v>
      </c>
      <c r="C5" s="288"/>
      <c r="D5" s="288">
        <v>878940</v>
      </c>
      <c r="E5" s="288"/>
      <c r="F5" s="288">
        <v>878940</v>
      </c>
      <c r="G5" s="288"/>
      <c r="H5" s="288"/>
      <c r="I5" s="288"/>
      <c r="J5" s="288">
        <v>528972</v>
      </c>
      <c r="K5" s="288"/>
      <c r="L5" s="288">
        <v>878940</v>
      </c>
      <c r="M5" s="288"/>
      <c r="N5" s="288">
        <f>L5-F5</f>
        <v>0</v>
      </c>
      <c r="O5" s="289"/>
      <c r="P5" s="288">
        <v>867968</v>
      </c>
      <c r="Q5" s="289"/>
      <c r="R5" s="289"/>
      <c r="S5" s="289"/>
      <c r="T5" s="288">
        <v>854113</v>
      </c>
      <c r="U5" s="289">
        <f>T5-P5</f>
        <v>-13855</v>
      </c>
      <c r="V5" s="289"/>
      <c r="W5" s="289"/>
      <c r="X5" s="289"/>
      <c r="Y5" s="288">
        <v>854113</v>
      </c>
      <c r="Z5" s="289">
        <f>Y5-T5</f>
        <v>0</v>
      </c>
      <c r="AA5" s="289"/>
      <c r="AB5" s="289"/>
      <c r="AC5" s="289"/>
      <c r="AD5" s="289"/>
      <c r="AE5" s="288">
        <v>854113</v>
      </c>
      <c r="AF5" s="289"/>
      <c r="AG5" s="307"/>
      <c r="AH5" s="289"/>
      <c r="AI5" s="288">
        <f>AE18</f>
        <v>726186</v>
      </c>
      <c r="AJ5" s="289"/>
      <c r="AK5" s="288">
        <f>AI18</f>
        <v>731657.83697499707</v>
      </c>
      <c r="AL5" s="289"/>
      <c r="AM5" s="288">
        <f>AK18</f>
        <v>571775.42609987222</v>
      </c>
      <c r="AN5" s="289"/>
      <c r="AO5" s="288">
        <f>AM18</f>
        <v>468410.85767577589</v>
      </c>
      <c r="AP5" s="288"/>
      <c r="AQ5" s="288">
        <f>AO18</f>
        <v>226544.06765410118</v>
      </c>
      <c r="AR5" s="290"/>
      <c r="AS5" s="288">
        <f>AQ18</f>
        <v>73580.269619496539</v>
      </c>
      <c r="AT5" s="290"/>
      <c r="AU5" s="288">
        <f>AS18</f>
        <v>-86186.866666898131</v>
      </c>
      <c r="AV5" s="290"/>
      <c r="AW5" s="288">
        <f>AU18</f>
        <v>-225878.60729666241</v>
      </c>
      <c r="AX5" s="290"/>
      <c r="AY5" s="288">
        <f>AW18</f>
        <v>-423336.72159724124</v>
      </c>
      <c r="AZ5" s="290"/>
      <c r="BA5" s="291">
        <f>AY18</f>
        <v>-571363.72026732564</v>
      </c>
      <c r="BB5" s="7"/>
      <c r="BC5" s="32"/>
      <c r="BD5" s="7"/>
      <c r="BE5" s="32"/>
      <c r="BF5" s="391"/>
      <c r="BG5" s="391"/>
      <c r="BH5" s="32"/>
      <c r="BI5" s="391"/>
      <c r="BJ5" s="391"/>
      <c r="BK5" s="391"/>
      <c r="BL5" s="391"/>
      <c r="BM5" s="391"/>
      <c r="BN5" s="391"/>
      <c r="BO5" s="391"/>
      <c r="BP5" s="391"/>
    </row>
    <row r="6" spans="1:68" hidden="1" x14ac:dyDescent="0.25">
      <c r="A6" s="292"/>
      <c r="B6" s="293"/>
      <c r="C6" s="293"/>
      <c r="D6" s="293"/>
      <c r="E6" s="293"/>
      <c r="F6" s="293">
        <v>779800</v>
      </c>
      <c r="G6" s="293"/>
      <c r="H6" s="293"/>
      <c r="I6" s="293"/>
      <c r="J6" s="293">
        <v>779800</v>
      </c>
      <c r="K6" s="293"/>
      <c r="L6" s="293">
        <v>779800</v>
      </c>
      <c r="M6" s="293"/>
      <c r="N6" s="293">
        <f>L6-F6</f>
        <v>0</v>
      </c>
      <c r="O6" s="294"/>
      <c r="P6" s="293"/>
      <c r="Q6" s="294"/>
      <c r="R6" s="294"/>
      <c r="S6" s="294"/>
      <c r="T6" s="293"/>
      <c r="U6" s="294"/>
      <c r="V6" s="294"/>
      <c r="W6" s="294"/>
      <c r="X6" s="294"/>
      <c r="Y6" s="293"/>
      <c r="Z6" s="294"/>
      <c r="AA6" s="294"/>
      <c r="AB6" s="294"/>
      <c r="AC6" s="294"/>
      <c r="AD6" s="294"/>
      <c r="AE6" s="293"/>
      <c r="AF6" s="294"/>
      <c r="AH6" s="294"/>
      <c r="AI6" s="293"/>
      <c r="AJ6" s="294"/>
      <c r="AK6" s="293"/>
      <c r="AL6" s="294"/>
      <c r="AM6" s="293"/>
      <c r="AN6" s="294"/>
      <c r="AO6" s="293"/>
      <c r="AP6" s="293"/>
      <c r="AQ6" s="293"/>
      <c r="AR6" s="295"/>
      <c r="AS6" s="293"/>
      <c r="AT6" s="295"/>
      <c r="AU6" s="293"/>
      <c r="AV6" s="295"/>
      <c r="AW6" s="293"/>
      <c r="AX6" s="295"/>
      <c r="AY6" s="293"/>
      <c r="AZ6" s="295"/>
      <c r="BA6" s="296"/>
      <c r="BB6" s="3"/>
      <c r="BC6" s="4"/>
      <c r="BD6" s="3"/>
      <c r="BE6" s="4"/>
      <c r="BF6" s="51"/>
      <c r="BG6" s="51"/>
      <c r="BH6" s="4"/>
      <c r="BI6" s="51"/>
      <c r="BJ6" s="51"/>
      <c r="BK6" s="51"/>
      <c r="BL6" s="51"/>
      <c r="BM6" s="51"/>
      <c r="BN6" s="51"/>
      <c r="BO6" s="51"/>
      <c r="BP6" s="51"/>
    </row>
    <row r="7" spans="1:68" hidden="1" x14ac:dyDescent="0.25">
      <c r="A7" s="297"/>
      <c r="B7" s="293"/>
      <c r="C7" s="293"/>
      <c r="D7" s="293"/>
      <c r="E7" s="293"/>
      <c r="F7" s="293">
        <v>-350000</v>
      </c>
      <c r="G7" s="293"/>
      <c r="H7" s="293"/>
      <c r="I7" s="293"/>
      <c r="J7" s="293"/>
      <c r="K7" s="293"/>
      <c r="L7" s="293">
        <v>-350000</v>
      </c>
      <c r="M7" s="293"/>
      <c r="N7" s="293"/>
      <c r="O7" s="294"/>
      <c r="P7" s="293"/>
      <c r="Q7" s="294"/>
      <c r="R7" s="294"/>
      <c r="S7" s="294"/>
      <c r="T7" s="293"/>
      <c r="U7" s="294"/>
      <c r="V7" s="294"/>
      <c r="W7" s="294"/>
      <c r="X7" s="294"/>
      <c r="Y7" s="293"/>
      <c r="Z7" s="294"/>
      <c r="AA7" s="294"/>
      <c r="AB7" s="294"/>
      <c r="AC7" s="294"/>
      <c r="AD7" s="294"/>
      <c r="AE7" s="293"/>
      <c r="AF7" s="293"/>
      <c r="AG7" s="32"/>
      <c r="AH7" s="294"/>
      <c r="AI7" s="293"/>
      <c r="AJ7" s="294"/>
      <c r="AK7" s="293"/>
      <c r="AL7" s="294"/>
      <c r="AM7" s="293"/>
      <c r="AN7" s="294"/>
      <c r="AO7" s="293"/>
      <c r="AP7" s="293"/>
      <c r="AQ7" s="293"/>
      <c r="AR7" s="295"/>
      <c r="AS7" s="293"/>
      <c r="AT7" s="295"/>
      <c r="AU7" s="293"/>
      <c r="AV7" s="295"/>
      <c r="AW7" s="293"/>
      <c r="AX7" s="295"/>
      <c r="AY7" s="293"/>
      <c r="AZ7" s="295"/>
      <c r="BA7" s="296"/>
      <c r="BB7" s="3"/>
      <c r="BC7" s="4"/>
      <c r="BD7" s="3"/>
      <c r="BE7" s="4"/>
      <c r="BF7" s="51"/>
      <c r="BG7" s="51"/>
      <c r="BH7" s="4"/>
      <c r="BI7" s="51"/>
      <c r="BJ7" s="51"/>
      <c r="BK7" s="51"/>
      <c r="BL7" s="51"/>
      <c r="BM7" s="51"/>
      <c r="BN7" s="51"/>
      <c r="BO7" s="51"/>
      <c r="BP7" s="51"/>
    </row>
    <row r="8" spans="1:68" hidden="1" x14ac:dyDescent="0.25">
      <c r="A8" s="297" t="s">
        <v>35</v>
      </c>
      <c r="B8" s="293">
        <f>B336</f>
        <v>9838063.125</v>
      </c>
      <c r="C8" s="293"/>
      <c r="D8" s="293">
        <f>D336</f>
        <v>3732615</v>
      </c>
      <c r="E8" s="293"/>
      <c r="F8" s="293">
        <f>F336</f>
        <v>10962265</v>
      </c>
      <c r="G8" s="293"/>
      <c r="H8" s="293">
        <f>F8-B8</f>
        <v>1124201.875</v>
      </c>
      <c r="I8" s="293"/>
      <c r="J8" s="293">
        <f>J336</f>
        <v>5221067</v>
      </c>
      <c r="K8" s="293"/>
      <c r="L8" s="293">
        <f>L336</f>
        <v>10903336</v>
      </c>
      <c r="M8" s="293"/>
      <c r="N8" s="293">
        <f t="shared" ref="N8:N18" si="0">L8-F8</f>
        <v>-58929</v>
      </c>
      <c r="O8" s="294"/>
      <c r="P8" s="293">
        <f>P336</f>
        <v>9601849.4000000004</v>
      </c>
      <c r="Q8" s="294"/>
      <c r="R8" s="294"/>
      <c r="S8" s="294"/>
      <c r="T8" s="293">
        <f>T336</f>
        <v>9733727</v>
      </c>
      <c r="U8" s="294">
        <f t="shared" ref="U8:U14" si="1">T8-P8</f>
        <v>131877.59999999963</v>
      </c>
      <c r="V8" s="294"/>
      <c r="W8" s="294"/>
      <c r="X8" s="294"/>
      <c r="Y8" s="293">
        <f>Y336</f>
        <v>10002842</v>
      </c>
      <c r="Z8" s="294">
        <f t="shared" ref="Z8:Z14" si="2">Y8-T8</f>
        <v>269115</v>
      </c>
      <c r="AA8" s="294"/>
      <c r="AB8" s="294"/>
      <c r="AC8" s="294"/>
      <c r="AD8" s="294"/>
      <c r="AE8" s="293">
        <f>AE336</f>
        <v>9971437</v>
      </c>
      <c r="AF8" s="293">
        <f>AF336</f>
        <v>-31404</v>
      </c>
      <c r="AG8" s="32"/>
      <c r="AH8" s="294"/>
      <c r="AI8" s="293">
        <f>AI336</f>
        <v>11013638.974374998</v>
      </c>
      <c r="AJ8" s="294"/>
      <c r="AK8" s="293">
        <f>AK336</f>
        <v>7407913.8219218757</v>
      </c>
      <c r="AL8" s="294"/>
      <c r="AM8" s="293">
        <f>AM336</f>
        <v>7761638.0664703902</v>
      </c>
      <c r="AN8" s="294"/>
      <c r="AO8" s="293">
        <f>AO336</f>
        <v>7983073.0491275387</v>
      </c>
      <c r="AP8" s="293"/>
      <c r="AQ8" s="293">
        <f>AQ336</f>
        <v>8214204.6208145283</v>
      </c>
      <c r="AR8" s="295"/>
      <c r="AS8" s="293">
        <f>AS336</f>
        <v>8439093.5081620291</v>
      </c>
      <c r="AT8" s="295"/>
      <c r="AU8" s="293">
        <f>AU336</f>
        <v>8619954.1753104366</v>
      </c>
      <c r="AV8" s="295"/>
      <c r="AW8" s="293">
        <f>AW336</f>
        <v>8816681.287259547</v>
      </c>
      <c r="AX8" s="295"/>
      <c r="AY8" s="293">
        <f>AY336</f>
        <v>8893928.8018546849</v>
      </c>
      <c r="AZ8" s="295"/>
      <c r="BA8" s="296">
        <f>BA336</f>
        <v>9130239.295832701</v>
      </c>
      <c r="BB8" s="3"/>
      <c r="BC8" s="32"/>
      <c r="BD8" s="3"/>
      <c r="BE8" s="32"/>
      <c r="BF8" s="51"/>
      <c r="BG8" s="51"/>
      <c r="BH8" s="32"/>
      <c r="BI8" s="51"/>
      <c r="BJ8" s="51"/>
      <c r="BK8" s="51"/>
      <c r="BL8" s="51"/>
      <c r="BM8" s="51"/>
      <c r="BN8" s="51"/>
      <c r="BO8" s="51"/>
      <c r="BP8" s="51"/>
    </row>
    <row r="9" spans="1:68" hidden="1" x14ac:dyDescent="0.25">
      <c r="A9" s="292" t="s">
        <v>36</v>
      </c>
      <c r="B9" s="293">
        <f>B354</f>
        <v>1130307</v>
      </c>
      <c r="C9" s="293"/>
      <c r="D9" s="293">
        <f>D354</f>
        <v>1945</v>
      </c>
      <c r="E9" s="293"/>
      <c r="F9" s="293">
        <f>F354</f>
        <v>617273</v>
      </c>
      <c r="G9" s="293"/>
      <c r="H9" s="293">
        <f>F9-B9</f>
        <v>-513034</v>
      </c>
      <c r="I9" s="293"/>
      <c r="J9" s="293">
        <f>J354</f>
        <v>12142</v>
      </c>
      <c r="K9" s="293"/>
      <c r="L9" s="293">
        <f>L354</f>
        <v>459965</v>
      </c>
      <c r="M9" s="293"/>
      <c r="N9" s="293">
        <f t="shared" si="0"/>
        <v>-157308</v>
      </c>
      <c r="O9" s="294"/>
      <c r="P9" s="293">
        <f>P354</f>
        <v>1089089</v>
      </c>
      <c r="Q9" s="294"/>
      <c r="R9" s="294"/>
      <c r="S9" s="294"/>
      <c r="T9" s="293">
        <f>T354</f>
        <v>1281605</v>
      </c>
      <c r="U9" s="294">
        <f t="shared" si="1"/>
        <v>192516</v>
      </c>
      <c r="V9" s="294"/>
      <c r="W9" s="294"/>
      <c r="X9" s="294"/>
      <c r="Y9" s="293">
        <f>Y354</f>
        <v>1248750</v>
      </c>
      <c r="Z9" s="294">
        <f t="shared" si="2"/>
        <v>-32855</v>
      </c>
      <c r="AA9" s="294"/>
      <c r="AB9" s="294"/>
      <c r="AC9" s="294"/>
      <c r="AD9" s="294"/>
      <c r="AE9" s="293">
        <f>AE354</f>
        <v>1270055</v>
      </c>
      <c r="AF9" s="293">
        <f>AF354</f>
        <v>21305</v>
      </c>
      <c r="AG9" s="32"/>
      <c r="AH9" s="294"/>
      <c r="AI9" s="293">
        <f>AI354-AI353</f>
        <v>1459552</v>
      </c>
      <c r="AJ9" s="294"/>
      <c r="AK9" s="293">
        <f>AK354-AK353</f>
        <v>447494</v>
      </c>
      <c r="AL9" s="294"/>
      <c r="AM9" s="293">
        <f>AM354-AM353</f>
        <v>125827</v>
      </c>
      <c r="AN9" s="294"/>
      <c r="AO9" s="293">
        <f>AO354-AO353</f>
        <v>61823</v>
      </c>
      <c r="AP9" s="293"/>
      <c r="AQ9" s="293">
        <f>AQ354-AQ353</f>
        <v>391035</v>
      </c>
      <c r="AR9" s="295"/>
      <c r="AS9" s="293">
        <f>AS354-AS353</f>
        <v>200948</v>
      </c>
      <c r="AT9" s="295"/>
      <c r="AU9" s="293">
        <f>AU354-AU353</f>
        <v>-13908</v>
      </c>
      <c r="AV9" s="295"/>
      <c r="AW9" s="293">
        <f>AW354-AW353</f>
        <v>248906</v>
      </c>
      <c r="AX9" s="295"/>
      <c r="AY9" s="293">
        <f>AY354-AY353</f>
        <v>146513</v>
      </c>
      <c r="AZ9" s="295"/>
      <c r="BA9" s="296">
        <f>BA354-BA353</f>
        <v>441303</v>
      </c>
      <c r="BB9" s="3"/>
      <c r="BC9" s="32"/>
      <c r="BD9" s="3"/>
      <c r="BE9" s="32"/>
      <c r="BF9" s="51"/>
      <c r="BG9" s="51"/>
      <c r="BH9" s="32"/>
      <c r="BI9" s="51"/>
      <c r="BJ9" s="51"/>
      <c r="BK9" s="51"/>
      <c r="BL9" s="51"/>
      <c r="BM9" s="51"/>
      <c r="BN9" s="51"/>
      <c r="BO9" s="51"/>
      <c r="BP9" s="51"/>
    </row>
    <row r="10" spans="1:68" hidden="1" x14ac:dyDescent="0.25">
      <c r="A10" s="297"/>
      <c r="B10" s="293">
        <f>B8+B9</f>
        <v>10968370.125</v>
      </c>
      <c r="C10" s="293"/>
      <c r="D10" s="293">
        <f>D8+D9</f>
        <v>3734560</v>
      </c>
      <c r="E10" s="293"/>
      <c r="F10" s="293">
        <f>F8+F9</f>
        <v>11579538</v>
      </c>
      <c r="G10" s="293"/>
      <c r="H10" s="293">
        <f>F10-B10</f>
        <v>611167.875</v>
      </c>
      <c r="I10" s="293"/>
      <c r="J10" s="293">
        <f>J8+J9</f>
        <v>5233209</v>
      </c>
      <c r="K10" s="293"/>
      <c r="L10" s="293">
        <f>L8+L9</f>
        <v>11363301</v>
      </c>
      <c r="M10" s="293"/>
      <c r="N10" s="293">
        <f t="shared" si="0"/>
        <v>-216237</v>
      </c>
      <c r="O10" s="294"/>
      <c r="P10" s="293">
        <f>P8+P9</f>
        <v>10690938.4</v>
      </c>
      <c r="Q10" s="294"/>
      <c r="R10" s="294"/>
      <c r="S10" s="294"/>
      <c r="T10" s="293">
        <f>T8+T9</f>
        <v>11015332</v>
      </c>
      <c r="U10" s="294">
        <f t="shared" si="1"/>
        <v>324393.59999999963</v>
      </c>
      <c r="V10" s="294"/>
      <c r="W10" s="294"/>
      <c r="X10" s="294"/>
      <c r="Y10" s="293">
        <f>Y8+Y9</f>
        <v>11251592</v>
      </c>
      <c r="Z10" s="294">
        <f t="shared" si="2"/>
        <v>236260</v>
      </c>
      <c r="AA10" s="294"/>
      <c r="AB10" s="294"/>
      <c r="AC10" s="294"/>
      <c r="AD10" s="294"/>
      <c r="AE10" s="293">
        <f>AE8+AE9</f>
        <v>11241492</v>
      </c>
      <c r="AF10" s="293">
        <f>AF8+AF9</f>
        <v>-10099</v>
      </c>
      <c r="AG10" s="32"/>
      <c r="AH10" s="294"/>
      <c r="AI10" s="293">
        <f>AI8+AI9</f>
        <v>12473190.974374998</v>
      </c>
      <c r="AJ10" s="294"/>
      <c r="AK10" s="293">
        <f>AK8+AK9</f>
        <v>7855407.8219218757</v>
      </c>
      <c r="AL10" s="294"/>
      <c r="AM10" s="293">
        <f>AM8+AM9</f>
        <v>7887465.0664703902</v>
      </c>
      <c r="AN10" s="294"/>
      <c r="AO10" s="293">
        <f>AO8+AO9</f>
        <v>8044896.0491275387</v>
      </c>
      <c r="AP10" s="293"/>
      <c r="AQ10" s="293">
        <f>AQ8+AQ9</f>
        <v>8605239.6208145283</v>
      </c>
      <c r="AR10" s="295"/>
      <c r="AS10" s="293">
        <f>AS8+AS9</f>
        <v>8640041.5081620291</v>
      </c>
      <c r="AT10" s="295"/>
      <c r="AU10" s="293">
        <f>AU8+AU9</f>
        <v>8606046.1753104366</v>
      </c>
      <c r="AV10" s="295"/>
      <c r="AW10" s="293">
        <f>AW8+AW9</f>
        <v>9065587.287259547</v>
      </c>
      <c r="AX10" s="295"/>
      <c r="AY10" s="293">
        <f>AY8+AY9</f>
        <v>9040441.8018546849</v>
      </c>
      <c r="AZ10" s="295"/>
      <c r="BA10" s="296">
        <f>BA8+BA9</f>
        <v>9571542.295832701</v>
      </c>
      <c r="BB10" s="3"/>
      <c r="BC10" s="32"/>
      <c r="BD10" s="3"/>
      <c r="BE10" s="32"/>
      <c r="BF10" s="51"/>
      <c r="BG10" s="51"/>
      <c r="BH10" s="32"/>
      <c r="BI10" s="51"/>
      <c r="BJ10" s="51"/>
      <c r="BK10" s="51"/>
      <c r="BL10" s="51"/>
      <c r="BM10" s="51"/>
      <c r="BN10" s="51"/>
      <c r="BO10" s="51"/>
      <c r="BP10" s="51"/>
    </row>
    <row r="11" spans="1:68" hidden="1" x14ac:dyDescent="0.25">
      <c r="A11" s="297"/>
      <c r="B11" s="293"/>
      <c r="C11" s="293"/>
      <c r="D11" s="293"/>
      <c r="E11" s="293"/>
      <c r="F11" s="293"/>
      <c r="G11" s="293"/>
      <c r="H11" s="293"/>
      <c r="I11" s="293"/>
      <c r="J11" s="293"/>
      <c r="K11" s="293"/>
      <c r="L11" s="293"/>
      <c r="M11" s="293"/>
      <c r="N11" s="293">
        <f t="shared" si="0"/>
        <v>0</v>
      </c>
      <c r="O11" s="294"/>
      <c r="P11" s="293"/>
      <c r="Q11" s="294"/>
      <c r="R11" s="294"/>
      <c r="S11" s="294"/>
      <c r="T11" s="293"/>
      <c r="U11" s="294">
        <f t="shared" si="1"/>
        <v>0</v>
      </c>
      <c r="V11" s="293"/>
      <c r="W11" s="293"/>
      <c r="X11" s="293"/>
      <c r="Y11" s="293"/>
      <c r="Z11" s="294">
        <f t="shared" si="2"/>
        <v>0</v>
      </c>
      <c r="AA11" s="293"/>
      <c r="AB11" s="293"/>
      <c r="AC11" s="293"/>
      <c r="AD11" s="293"/>
      <c r="AE11" s="293"/>
      <c r="AF11" s="293"/>
      <c r="AG11" s="32"/>
      <c r="AH11" s="293"/>
      <c r="AI11" s="293"/>
      <c r="AJ11" s="293"/>
      <c r="AK11" s="293"/>
      <c r="AL11" s="293"/>
      <c r="AM11" s="293"/>
      <c r="AN11" s="293"/>
      <c r="AO11" s="293"/>
      <c r="AP11" s="293"/>
      <c r="AQ11" s="293"/>
      <c r="AR11" s="293"/>
      <c r="AS11" s="293"/>
      <c r="AT11" s="293"/>
      <c r="AU11" s="293"/>
      <c r="AV11" s="293"/>
      <c r="AW11" s="293"/>
      <c r="AX11" s="293"/>
      <c r="AY11" s="293"/>
      <c r="AZ11" s="295"/>
      <c r="BA11" s="296"/>
      <c r="BB11" s="3"/>
      <c r="BC11" s="32"/>
      <c r="BD11" s="3"/>
      <c r="BE11" s="32"/>
      <c r="BF11" s="51"/>
      <c r="BG11" s="51"/>
      <c r="BH11" s="32"/>
      <c r="BI11" s="51"/>
      <c r="BJ11" s="51"/>
      <c r="BK11" s="51"/>
      <c r="BL11" s="51"/>
      <c r="BM11" s="51"/>
      <c r="BN11" s="51"/>
      <c r="BO11" s="51"/>
      <c r="BP11" s="51"/>
    </row>
    <row r="12" spans="1:68" hidden="1" x14ac:dyDescent="0.25">
      <c r="A12" s="297" t="s">
        <v>37</v>
      </c>
      <c r="B12" s="293">
        <f>B833</f>
        <v>9432799</v>
      </c>
      <c r="C12" s="293"/>
      <c r="D12" s="293">
        <f>D833</f>
        <v>2149817</v>
      </c>
      <c r="E12" s="293"/>
      <c r="F12" s="293">
        <f>F833</f>
        <v>10336946</v>
      </c>
      <c r="G12" s="293"/>
      <c r="H12" s="293">
        <f>F12-B12</f>
        <v>904147</v>
      </c>
      <c r="I12" s="293"/>
      <c r="J12" s="293">
        <f>J833</f>
        <v>4922292</v>
      </c>
      <c r="K12" s="293"/>
      <c r="L12" s="293">
        <f>L833</f>
        <v>10112378</v>
      </c>
      <c r="M12" s="293"/>
      <c r="N12" s="293">
        <f t="shared" si="0"/>
        <v>-224568</v>
      </c>
      <c r="O12" s="294"/>
      <c r="P12" s="293">
        <f>P833</f>
        <v>9583693.9279999994</v>
      </c>
      <c r="Q12" s="294"/>
      <c r="R12" s="294"/>
      <c r="S12" s="294"/>
      <c r="T12" s="293">
        <f>T833</f>
        <v>9769648.5571075007</v>
      </c>
      <c r="U12" s="294">
        <f t="shared" si="1"/>
        <v>185954.62910750136</v>
      </c>
      <c r="V12" s="293"/>
      <c r="W12" s="293"/>
      <c r="X12" s="293"/>
      <c r="Y12" s="293">
        <f>Y833</f>
        <v>10106764</v>
      </c>
      <c r="Z12" s="294">
        <f t="shared" si="2"/>
        <v>337115.44289249927</v>
      </c>
      <c r="AA12" s="293"/>
      <c r="AB12" s="293"/>
      <c r="AC12" s="293"/>
      <c r="AD12" s="293"/>
      <c r="AE12" s="293">
        <f>AE833</f>
        <v>10127014</v>
      </c>
      <c r="AF12" s="293">
        <f>AF833</f>
        <v>20249</v>
      </c>
      <c r="AG12" s="32"/>
      <c r="AH12" s="293"/>
      <c r="AI12" s="293">
        <f>AI833</f>
        <v>11179806.910800001</v>
      </c>
      <c r="AJ12" s="293"/>
      <c r="AK12" s="293">
        <f>AK833</f>
        <v>7398326.5693990011</v>
      </c>
      <c r="AL12" s="293"/>
      <c r="AM12" s="293">
        <f>AM833</f>
        <v>7649554.2615115466</v>
      </c>
      <c r="AN12" s="293"/>
      <c r="AO12" s="293">
        <f>AO833</f>
        <v>7814214.0318514518</v>
      </c>
      <c r="AP12" s="293"/>
      <c r="AQ12" s="293">
        <f>AQ833</f>
        <v>7937934.9903156627</v>
      </c>
      <c r="AR12" s="293"/>
      <c r="AS12" s="293">
        <f>AS833</f>
        <v>8213432.9309608378</v>
      </c>
      <c r="AT12" s="293"/>
      <c r="AU12" s="293">
        <f>AU833</f>
        <v>8359465.7640073895</v>
      </c>
      <c r="AV12" s="293"/>
      <c r="AW12" s="293">
        <f>AW833</f>
        <v>8643985.1541638952</v>
      </c>
      <c r="AX12" s="295"/>
      <c r="AY12" s="293">
        <f>AY833</f>
        <v>8725925.2829754166</v>
      </c>
      <c r="AZ12" s="295"/>
      <c r="BA12" s="296">
        <f>BA833</f>
        <v>8960343.8061719574</v>
      </c>
      <c r="BB12" s="3"/>
      <c r="BC12" s="32"/>
      <c r="BD12" s="3"/>
      <c r="BE12" s="32"/>
      <c r="BF12" s="51"/>
      <c r="BG12" s="51"/>
      <c r="BH12" s="32"/>
      <c r="BI12" s="51"/>
      <c r="BJ12" s="51"/>
      <c r="BK12" s="51"/>
      <c r="BL12" s="51"/>
      <c r="BM12" s="51"/>
      <c r="BN12" s="51"/>
      <c r="BO12" s="51"/>
      <c r="BP12" s="51"/>
    </row>
    <row r="13" spans="1:68" hidden="1" x14ac:dyDescent="0.25">
      <c r="A13" s="292" t="s">
        <v>38</v>
      </c>
      <c r="B13" s="293">
        <f>B1040</f>
        <v>1605150</v>
      </c>
      <c r="C13" s="293"/>
      <c r="D13" s="293">
        <f>D1040</f>
        <v>490318</v>
      </c>
      <c r="E13" s="293"/>
      <c r="F13" s="293">
        <f>F1040</f>
        <v>1707150</v>
      </c>
      <c r="G13" s="293"/>
      <c r="H13" s="293">
        <f>F13-B13</f>
        <v>102000</v>
      </c>
      <c r="I13" s="293"/>
      <c r="J13" s="293">
        <f>J1040</f>
        <v>732042</v>
      </c>
      <c r="K13" s="293"/>
      <c r="L13" s="293">
        <f>L1040</f>
        <v>1711695</v>
      </c>
      <c r="M13" s="293"/>
      <c r="N13" s="293">
        <f t="shared" si="0"/>
        <v>4545</v>
      </c>
      <c r="O13" s="294"/>
      <c r="P13" s="293">
        <f>P1040</f>
        <v>1168600.22</v>
      </c>
      <c r="Q13" s="294"/>
      <c r="R13" s="294"/>
      <c r="S13" s="294"/>
      <c r="T13" s="293">
        <f>T1040</f>
        <v>1334200</v>
      </c>
      <c r="U13" s="294">
        <f t="shared" si="1"/>
        <v>165599.78000000003</v>
      </c>
      <c r="V13" s="293"/>
      <c r="W13" s="293"/>
      <c r="X13" s="293"/>
      <c r="Y13" s="293">
        <f>Y1040</f>
        <v>1251180</v>
      </c>
      <c r="Z13" s="294">
        <f t="shared" si="2"/>
        <v>-83020</v>
      </c>
      <c r="AA13" s="293"/>
      <c r="AB13" s="293"/>
      <c r="AC13" s="293"/>
      <c r="AD13" s="293"/>
      <c r="AE13" s="293">
        <f>AE1040</f>
        <v>1242405</v>
      </c>
      <c r="AF13" s="293">
        <f>AF1040</f>
        <v>-8775</v>
      </c>
      <c r="AG13" s="32"/>
      <c r="AH13" s="293"/>
      <c r="AI13" s="293">
        <f>AI1040</f>
        <v>1287912.2265999999</v>
      </c>
      <c r="AJ13" s="293"/>
      <c r="AK13" s="293">
        <f>AK1040</f>
        <v>616963.66339799995</v>
      </c>
      <c r="AL13" s="293"/>
      <c r="AM13" s="293">
        <f>AM1040</f>
        <v>341275.37338294002</v>
      </c>
      <c r="AN13" s="293"/>
      <c r="AO13" s="293">
        <f>AO1040</f>
        <v>472548.8072977605</v>
      </c>
      <c r="AP13" s="293"/>
      <c r="AQ13" s="293">
        <f>AQ1040</f>
        <v>820268.42853347014</v>
      </c>
      <c r="AR13" s="293"/>
      <c r="AS13" s="293">
        <f>AS1040</f>
        <v>586375.71348758682</v>
      </c>
      <c r="AT13" s="293"/>
      <c r="AU13" s="293">
        <f>AU1040</f>
        <v>386272.15193281096</v>
      </c>
      <c r="AV13" s="293"/>
      <c r="AW13" s="293">
        <f>AW1040</f>
        <v>619060.24739623035</v>
      </c>
      <c r="AX13" s="295"/>
      <c r="AY13" s="293">
        <f>AY1040</f>
        <v>462543.51754935307</v>
      </c>
      <c r="AZ13" s="295"/>
      <c r="BA13" s="296">
        <f>BA1040</f>
        <v>570284.494609282</v>
      </c>
      <c r="BB13" s="3"/>
      <c r="BC13" s="32"/>
      <c r="BD13" s="3"/>
      <c r="BE13" s="32"/>
      <c r="BF13" s="51"/>
      <c r="BG13" s="51"/>
      <c r="BH13" s="32"/>
      <c r="BI13" s="51"/>
      <c r="BJ13" s="51"/>
      <c r="BK13" s="51"/>
      <c r="BL13" s="51"/>
      <c r="BM13" s="51"/>
      <c r="BN13" s="51"/>
      <c r="BO13" s="51"/>
      <c r="BP13" s="51"/>
    </row>
    <row r="14" spans="1:68" hidden="1" x14ac:dyDescent="0.25">
      <c r="A14" s="292"/>
      <c r="B14" s="293">
        <f>B12+B13</f>
        <v>11037949</v>
      </c>
      <c r="C14" s="293"/>
      <c r="D14" s="293">
        <f>D12+D13</f>
        <v>2640135</v>
      </c>
      <c r="E14" s="293"/>
      <c r="F14" s="293">
        <f>F12+F13</f>
        <v>12044096</v>
      </c>
      <c r="G14" s="293"/>
      <c r="H14" s="293">
        <f>F14-B14</f>
        <v>1006147</v>
      </c>
      <c r="I14" s="293"/>
      <c r="J14" s="293">
        <f>J12+J13</f>
        <v>5654334</v>
      </c>
      <c r="K14" s="293"/>
      <c r="L14" s="293">
        <f>L12+L13</f>
        <v>11824073</v>
      </c>
      <c r="M14" s="293"/>
      <c r="N14" s="293">
        <f t="shared" si="0"/>
        <v>-220023</v>
      </c>
      <c r="O14" s="294"/>
      <c r="P14" s="293">
        <f>P12+P13</f>
        <v>10752294.148</v>
      </c>
      <c r="Q14" s="294"/>
      <c r="R14" s="294"/>
      <c r="S14" s="294"/>
      <c r="T14" s="293">
        <f>T12+T13</f>
        <v>11103848.557107501</v>
      </c>
      <c r="U14" s="294">
        <f t="shared" si="1"/>
        <v>351554.40910750069</v>
      </c>
      <c r="V14" s="294"/>
      <c r="W14" s="294"/>
      <c r="X14" s="294"/>
      <c r="Y14" s="293">
        <f>Y12+Y13</f>
        <v>11357944</v>
      </c>
      <c r="Z14" s="294">
        <f t="shared" si="2"/>
        <v>254095.44289249927</v>
      </c>
      <c r="AA14" s="294"/>
      <c r="AB14" s="294"/>
      <c r="AC14" s="294"/>
      <c r="AD14" s="294"/>
      <c r="AE14" s="293">
        <f>AE12+AE13</f>
        <v>11369419</v>
      </c>
      <c r="AF14" s="293">
        <f>AF12+AF13</f>
        <v>11474</v>
      </c>
      <c r="AG14" s="32"/>
      <c r="AH14" s="294"/>
      <c r="AI14" s="293">
        <f>AI12+AI13</f>
        <v>12467719.137400001</v>
      </c>
      <c r="AJ14" s="294"/>
      <c r="AK14" s="293">
        <f>AK12+AK13</f>
        <v>8015290.2327970006</v>
      </c>
      <c r="AL14" s="294"/>
      <c r="AM14" s="293">
        <f>AM12+AM13</f>
        <v>7990829.6348944865</v>
      </c>
      <c r="AN14" s="294"/>
      <c r="AO14" s="293">
        <f>AO12+AO13</f>
        <v>8286762.8391492125</v>
      </c>
      <c r="AP14" s="293"/>
      <c r="AQ14" s="293">
        <f>AQ12+AQ13</f>
        <v>8758203.418849133</v>
      </c>
      <c r="AR14" s="295"/>
      <c r="AS14" s="293">
        <f>AS12+AS13</f>
        <v>8799808.6444484238</v>
      </c>
      <c r="AT14" s="295"/>
      <c r="AU14" s="293">
        <f>AU12+AU13</f>
        <v>8745737.9159402009</v>
      </c>
      <c r="AV14" s="295"/>
      <c r="AW14" s="293">
        <f>AW12+AW13</f>
        <v>9263045.4015601259</v>
      </c>
      <c r="AX14" s="295"/>
      <c r="AY14" s="293">
        <f>AY12+AY13</f>
        <v>9188468.8005247694</v>
      </c>
      <c r="AZ14" s="295"/>
      <c r="BA14" s="296">
        <f>BA12+BA13</f>
        <v>9530628.3007812388</v>
      </c>
      <c r="BB14" s="3"/>
      <c r="BC14" s="32"/>
      <c r="BD14" s="3"/>
      <c r="BE14" s="32"/>
      <c r="BF14" s="51"/>
      <c r="BG14" s="51"/>
      <c r="BH14" s="32"/>
      <c r="BI14" s="51"/>
      <c r="BJ14" s="51"/>
      <c r="BK14" s="51"/>
      <c r="BL14" s="51"/>
      <c r="BM14" s="51"/>
      <c r="BN14" s="51"/>
      <c r="BO14" s="51"/>
      <c r="BP14" s="51"/>
    </row>
    <row r="15" spans="1:68" hidden="1" x14ac:dyDescent="0.25">
      <c r="A15" s="297" t="s">
        <v>39</v>
      </c>
      <c r="B15" s="293"/>
      <c r="C15" s="293"/>
      <c r="D15" s="293"/>
      <c r="E15" s="293"/>
      <c r="F15" s="293"/>
      <c r="G15" s="293"/>
      <c r="H15" s="293"/>
      <c r="I15" s="293"/>
      <c r="J15" s="293"/>
      <c r="K15" s="293"/>
      <c r="L15" s="293"/>
      <c r="M15" s="293"/>
      <c r="N15" s="293">
        <f t="shared" si="0"/>
        <v>0</v>
      </c>
      <c r="O15" s="294"/>
      <c r="P15" s="293"/>
      <c r="Q15" s="294"/>
      <c r="R15" s="294"/>
      <c r="S15" s="294"/>
      <c r="T15" s="293"/>
      <c r="U15" s="294"/>
      <c r="V15" s="294"/>
      <c r="W15" s="294"/>
      <c r="X15" s="294"/>
      <c r="Y15" s="293"/>
      <c r="Z15" s="294"/>
      <c r="AA15" s="294"/>
      <c r="AB15" s="294"/>
      <c r="AC15" s="294"/>
      <c r="AD15" s="294"/>
      <c r="AE15" s="293"/>
      <c r="AF15" s="293"/>
      <c r="AG15" s="32"/>
      <c r="AH15" s="294"/>
      <c r="AI15" s="293"/>
      <c r="AJ15" s="294"/>
      <c r="AK15" s="293"/>
      <c r="AL15" s="294"/>
      <c r="AM15" s="293"/>
      <c r="AN15" s="294"/>
      <c r="AO15" s="293"/>
      <c r="AP15" s="293"/>
      <c r="AQ15" s="293"/>
      <c r="AR15" s="295"/>
      <c r="AS15" s="293"/>
      <c r="AT15" s="295"/>
      <c r="AU15" s="293"/>
      <c r="AV15" s="295"/>
      <c r="AW15" s="293"/>
      <c r="AX15" s="295"/>
      <c r="AY15" s="293"/>
      <c r="AZ15" s="295"/>
      <c r="BA15" s="296"/>
      <c r="BB15" s="3"/>
      <c r="BC15" s="32"/>
      <c r="BD15" s="3"/>
      <c r="BE15" s="32"/>
      <c r="BF15" s="51"/>
      <c r="BG15" s="51"/>
      <c r="BH15" s="32"/>
      <c r="BI15" s="51"/>
      <c r="BJ15" s="51"/>
      <c r="BK15" s="51"/>
      <c r="BL15" s="51"/>
      <c r="BM15" s="51"/>
      <c r="BN15" s="51"/>
      <c r="BO15" s="51"/>
      <c r="BP15" s="51"/>
    </row>
    <row r="16" spans="1:68" hidden="1" x14ac:dyDescent="0.25">
      <c r="A16" s="297" t="s">
        <v>40</v>
      </c>
      <c r="B16" s="293"/>
      <c r="C16" s="293"/>
      <c r="D16" s="293"/>
      <c r="E16" s="293"/>
      <c r="F16" s="293"/>
      <c r="G16" s="293"/>
      <c r="H16" s="293"/>
      <c r="I16" s="293"/>
      <c r="J16" s="293"/>
      <c r="K16" s="293"/>
      <c r="L16" s="293"/>
      <c r="M16" s="293"/>
      <c r="N16" s="293">
        <f t="shared" si="0"/>
        <v>0</v>
      </c>
      <c r="O16" s="294"/>
      <c r="P16" s="293"/>
      <c r="Q16" s="294"/>
      <c r="R16" s="294"/>
      <c r="S16" s="294"/>
      <c r="T16" s="293"/>
      <c r="U16" s="294"/>
      <c r="V16" s="294"/>
      <c r="W16" s="294"/>
      <c r="X16" s="294"/>
      <c r="Y16" s="293"/>
      <c r="Z16" s="294"/>
      <c r="AA16" s="294"/>
      <c r="AB16" s="294"/>
      <c r="AC16" s="294"/>
      <c r="AD16" s="294"/>
      <c r="AE16" s="293"/>
      <c r="AF16" s="293"/>
      <c r="AG16" s="32"/>
      <c r="AH16" s="294"/>
      <c r="AI16" s="293"/>
      <c r="AJ16" s="294"/>
      <c r="AK16" s="293"/>
      <c r="AL16" s="294"/>
      <c r="AM16" s="293"/>
      <c r="AN16" s="294"/>
      <c r="AO16" s="293"/>
      <c r="AP16" s="293"/>
      <c r="AQ16" s="293"/>
      <c r="AR16" s="295"/>
      <c r="AS16" s="293"/>
      <c r="AT16" s="295"/>
      <c r="AU16" s="293"/>
      <c r="AV16" s="295"/>
      <c r="AW16" s="293"/>
      <c r="AX16" s="295"/>
      <c r="AY16" s="293"/>
      <c r="AZ16" s="295"/>
      <c r="BA16" s="296"/>
      <c r="BB16" s="3"/>
      <c r="BC16" s="32"/>
      <c r="BD16" s="3"/>
      <c r="BE16" s="32"/>
      <c r="BF16" s="51"/>
      <c r="BG16" s="51"/>
      <c r="BH16" s="32"/>
      <c r="BI16" s="51"/>
      <c r="BJ16" s="51"/>
      <c r="BK16" s="51"/>
      <c r="BL16" s="51"/>
      <c r="BM16" s="51"/>
      <c r="BN16" s="51"/>
      <c r="BO16" s="51"/>
      <c r="BP16" s="51"/>
    </row>
    <row r="17" spans="1:68" hidden="1" x14ac:dyDescent="0.25">
      <c r="A17" s="292" t="s">
        <v>41</v>
      </c>
      <c r="B17" s="293">
        <f>B10-B14</f>
        <v>-69578.875</v>
      </c>
      <c r="C17" s="293"/>
      <c r="D17" s="293">
        <f>D10-D14</f>
        <v>1094425</v>
      </c>
      <c r="E17" s="293"/>
      <c r="F17" s="293">
        <f>F10-F14</f>
        <v>-464558</v>
      </c>
      <c r="G17" s="293"/>
      <c r="H17" s="293">
        <f>F17-B17</f>
        <v>-394979.125</v>
      </c>
      <c r="I17" s="293"/>
      <c r="J17" s="293">
        <f>J10-J14</f>
        <v>-421125</v>
      </c>
      <c r="K17" s="293"/>
      <c r="L17" s="293">
        <f>L10-L14</f>
        <v>-460772</v>
      </c>
      <c r="M17" s="293"/>
      <c r="N17" s="293">
        <f t="shared" si="0"/>
        <v>3786</v>
      </c>
      <c r="O17" s="294"/>
      <c r="P17" s="293">
        <f>P10-P14</f>
        <v>-61355.747999999672</v>
      </c>
      <c r="Q17" s="294"/>
      <c r="R17" s="294"/>
      <c r="S17" s="294"/>
      <c r="T17" s="293">
        <f>T10-T14</f>
        <v>-88516.557107500732</v>
      </c>
      <c r="U17" s="294">
        <f>T17-P17</f>
        <v>-27160.80910750106</v>
      </c>
      <c r="V17" s="294"/>
      <c r="W17" s="294"/>
      <c r="X17" s="294"/>
      <c r="Y17" s="293">
        <f>Y10-Y14</f>
        <v>-106352</v>
      </c>
      <c r="Z17" s="294">
        <f>Y17-T17</f>
        <v>-17835.442892499268</v>
      </c>
      <c r="AA17" s="294"/>
      <c r="AB17" s="294"/>
      <c r="AC17" s="294"/>
      <c r="AD17" s="294"/>
      <c r="AE17" s="293">
        <f>AE10-AE14</f>
        <v>-127927</v>
      </c>
      <c r="AF17" s="293">
        <f>AF10-AF14</f>
        <v>-21573</v>
      </c>
      <c r="AG17" s="32"/>
      <c r="AH17" s="294"/>
      <c r="AI17" s="293">
        <f>AI10-AI14</f>
        <v>5471.8369749970734</v>
      </c>
      <c r="AJ17" s="293"/>
      <c r="AK17" s="293">
        <f>AK10-AK14</f>
        <v>-159882.41087512486</v>
      </c>
      <c r="AL17" s="293"/>
      <c r="AM17" s="293">
        <f>AM10-AM14</f>
        <v>-103364.56842409633</v>
      </c>
      <c r="AN17" s="293"/>
      <c r="AO17" s="293">
        <f>AO10-AO14</f>
        <v>-241866.79002167378</v>
      </c>
      <c r="AP17" s="293"/>
      <c r="AQ17" s="293">
        <f>AQ10-AQ14</f>
        <v>-152963.79803460464</v>
      </c>
      <c r="AR17" s="293"/>
      <c r="AS17" s="293">
        <f>AS10-AS14</f>
        <v>-159767.13628639467</v>
      </c>
      <c r="AT17" s="293"/>
      <c r="AU17" s="293">
        <f>AU10-AU14</f>
        <v>-139691.74062976427</v>
      </c>
      <c r="AV17" s="293"/>
      <c r="AW17" s="293">
        <f>AW10-AW14</f>
        <v>-197458.11430057883</v>
      </c>
      <c r="AX17" s="293"/>
      <c r="AY17" s="293">
        <f>AY10-AY14</f>
        <v>-148026.9986700844</v>
      </c>
      <c r="AZ17" s="293"/>
      <c r="BA17" s="296">
        <f>BA10-BA14</f>
        <v>40913.995051462203</v>
      </c>
      <c r="BB17" s="3"/>
      <c r="BC17" s="32"/>
      <c r="BD17" s="3"/>
      <c r="BE17" s="32"/>
      <c r="BF17" s="51"/>
      <c r="BG17" s="51"/>
      <c r="BH17" s="32"/>
      <c r="BI17" s="51"/>
      <c r="BJ17" s="51"/>
      <c r="BK17" s="51"/>
      <c r="BL17" s="51"/>
      <c r="BM17" s="51"/>
      <c r="BN17" s="51"/>
      <c r="BO17" s="51"/>
      <c r="BP17" s="51"/>
    </row>
    <row r="18" spans="1:68" hidden="1" x14ac:dyDescent="0.25">
      <c r="A18" s="297" t="s">
        <v>42</v>
      </c>
      <c r="B18" s="293">
        <f>B5+B6+B10-B14+B16</f>
        <v>809361.125</v>
      </c>
      <c r="C18" s="293"/>
      <c r="D18" s="293">
        <f>D5+D6+D10-D14+D16</f>
        <v>1973365</v>
      </c>
      <c r="E18" s="293"/>
      <c r="F18" s="293">
        <f>F5+F6+F10-F14+F16+F7</f>
        <v>844182</v>
      </c>
      <c r="G18" s="293"/>
      <c r="H18" s="293">
        <f>F18-B18</f>
        <v>34820.875</v>
      </c>
      <c r="I18" s="293"/>
      <c r="J18" s="293">
        <f>J5+J6+J10-J14+J16</f>
        <v>887647</v>
      </c>
      <c r="K18" s="293"/>
      <c r="L18" s="293">
        <f>L5+L6+L10-L14+L16+L7</f>
        <v>847968</v>
      </c>
      <c r="M18" s="293"/>
      <c r="N18" s="293">
        <f t="shared" si="0"/>
        <v>3786</v>
      </c>
      <c r="O18" s="294"/>
      <c r="P18" s="293">
        <f>P5+P10-P14+P16</f>
        <v>806612.25200000033</v>
      </c>
      <c r="Q18" s="294"/>
      <c r="R18" s="294"/>
      <c r="S18" s="294"/>
      <c r="T18" s="293">
        <f>T5+T10-T14+T16</f>
        <v>765596.44289249927</v>
      </c>
      <c r="U18" s="294">
        <f>T18-P18</f>
        <v>-41015.80910750106</v>
      </c>
      <c r="V18" s="294"/>
      <c r="W18" s="294"/>
      <c r="X18" s="294"/>
      <c r="Y18" s="293">
        <f>Y5+Y10-Y14+Y16</f>
        <v>747761</v>
      </c>
      <c r="Z18" s="294">
        <f>Y18-T18</f>
        <v>-17835.442892499268</v>
      </c>
      <c r="AA18" s="294"/>
      <c r="AB18" s="294"/>
      <c r="AC18" s="294"/>
      <c r="AD18" s="294"/>
      <c r="AE18" s="293">
        <f>AE5+AE10-AE14+AE16</f>
        <v>726186</v>
      </c>
      <c r="AF18" s="293">
        <f>AF5+AF10-AF14+AF16</f>
        <v>-21573</v>
      </c>
      <c r="AG18" s="32"/>
      <c r="AH18" s="294"/>
      <c r="AI18" s="293">
        <f>AI5+AI10-AI14+AI16</f>
        <v>731657.83697499707</v>
      </c>
      <c r="AJ18" s="294"/>
      <c r="AK18" s="293">
        <f>AK5+AK10-AK14+AK16</f>
        <v>571775.42609987222</v>
      </c>
      <c r="AL18" s="294"/>
      <c r="AM18" s="293">
        <f>AM5+AM10-AM14+AM16</f>
        <v>468410.85767577589</v>
      </c>
      <c r="AN18" s="294"/>
      <c r="AO18" s="293">
        <f>AO5+AO10-AO14+AO16</f>
        <v>226544.06765410118</v>
      </c>
      <c r="AP18" s="293"/>
      <c r="AQ18" s="293">
        <f>AQ5+AQ10-AQ14+AQ16</f>
        <v>73580.269619496539</v>
      </c>
      <c r="AR18" s="295"/>
      <c r="AS18" s="293">
        <f>AS5+AS10-AS14+AS16</f>
        <v>-86186.866666898131</v>
      </c>
      <c r="AT18" s="295"/>
      <c r="AU18" s="293">
        <f>AU5+AU10-AU14+AU16</f>
        <v>-225878.60729666241</v>
      </c>
      <c r="AV18" s="295"/>
      <c r="AW18" s="293">
        <f>AW5+AW10-AW14+AW16</f>
        <v>-423336.72159724124</v>
      </c>
      <c r="AX18" s="295"/>
      <c r="AY18" s="293">
        <f>AY5+AY10-AY14+AY16</f>
        <v>-571363.72026732564</v>
      </c>
      <c r="AZ18" s="295"/>
      <c r="BA18" s="296">
        <f>BA5+BA10-BA14+BA16</f>
        <v>-530449.72521586344</v>
      </c>
      <c r="BB18" s="3"/>
      <c r="BC18" s="32"/>
      <c r="BD18" s="3"/>
      <c r="BE18" s="32"/>
      <c r="BF18" s="51"/>
      <c r="BG18" s="51"/>
      <c r="BH18" s="32"/>
      <c r="BI18" s="51"/>
      <c r="BJ18" s="51"/>
      <c r="BK18" s="51"/>
      <c r="BL18" s="51"/>
      <c r="BM18" s="51"/>
      <c r="BN18" s="51"/>
      <c r="BO18" s="51"/>
      <c r="BP18" s="51"/>
    </row>
    <row r="19" spans="1:68" hidden="1" x14ac:dyDescent="0.25">
      <c r="A19" s="297" t="s">
        <v>1371</v>
      </c>
      <c r="B19" s="293"/>
      <c r="C19" s="293"/>
      <c r="D19" s="293"/>
      <c r="E19" s="293"/>
      <c r="F19" s="293"/>
      <c r="G19" s="293"/>
      <c r="H19" s="293"/>
      <c r="I19" s="293"/>
      <c r="J19" s="293"/>
      <c r="K19" s="293"/>
      <c r="L19" s="293"/>
      <c r="M19" s="293"/>
      <c r="N19" s="293"/>
      <c r="O19" s="294"/>
      <c r="P19" s="293"/>
      <c r="Q19" s="294"/>
      <c r="R19" s="294"/>
      <c r="S19" s="294"/>
      <c r="T19" s="293"/>
      <c r="U19" s="294"/>
      <c r="V19" s="294"/>
      <c r="W19" s="294"/>
      <c r="X19" s="294"/>
      <c r="Y19" s="293"/>
      <c r="Z19" s="294"/>
      <c r="AA19" s="294"/>
      <c r="AB19" s="294"/>
      <c r="AC19" s="294"/>
      <c r="AD19" s="294"/>
      <c r="AE19" s="293"/>
      <c r="AF19" s="293"/>
      <c r="AG19" s="32"/>
      <c r="AH19" s="294"/>
      <c r="AI19" s="293">
        <f>+B!AH35</f>
        <v>5471.8369749970734</v>
      </c>
      <c r="AJ19" s="294"/>
      <c r="AK19" s="293">
        <f>+B!AJ35</f>
        <v>893755.58912487514</v>
      </c>
      <c r="AL19" s="294"/>
      <c r="AM19" s="293">
        <f>+B!AL35</f>
        <v>-1039084.1344240969</v>
      </c>
      <c r="AN19" s="294"/>
      <c r="AO19" s="293">
        <f>+B!AN35</f>
        <v>-166592.72169967555</v>
      </c>
      <c r="AP19" s="293"/>
      <c r="AQ19" s="293">
        <f>+B!AP35</f>
        <v>-66333.305457979441</v>
      </c>
      <c r="AR19" s="295"/>
      <c r="AS19" s="293">
        <f>+B!AR35</f>
        <v>-61405.457454741001</v>
      </c>
      <c r="AT19" s="295"/>
      <c r="AU19" s="293">
        <f>+B!AT35</f>
        <v>118719.31225949898</v>
      </c>
      <c r="AV19" s="295"/>
      <c r="AW19" s="293">
        <f>+B!AV35</f>
        <v>78574.779922015965</v>
      </c>
      <c r="AX19" s="295"/>
      <c r="AY19" s="293">
        <f>+B!AX35</f>
        <v>146216.91308212467</v>
      </c>
      <c r="AZ19" s="295"/>
      <c r="BA19" s="296">
        <f>+B!AZ35</f>
        <v>353977.80745646171</v>
      </c>
      <c r="BB19" s="3"/>
      <c r="BC19" s="32"/>
      <c r="BD19" s="3"/>
      <c r="BE19" s="32"/>
      <c r="BF19" s="51"/>
      <c r="BG19" s="51"/>
      <c r="BH19" s="32"/>
      <c r="BI19" s="51"/>
      <c r="BJ19" s="51"/>
      <c r="BK19" s="51"/>
      <c r="BL19" s="51"/>
      <c r="BM19" s="51"/>
      <c r="BN19" s="51"/>
      <c r="BO19" s="51"/>
      <c r="BP19" s="51"/>
    </row>
    <row r="20" spans="1:68" hidden="1" x14ac:dyDescent="0.25">
      <c r="A20" s="297"/>
      <c r="B20" s="293"/>
      <c r="C20" s="293"/>
      <c r="D20" s="293"/>
      <c r="E20" s="293"/>
      <c r="F20" s="293"/>
      <c r="G20" s="293"/>
      <c r="H20" s="293"/>
      <c r="I20" s="293"/>
      <c r="J20" s="293"/>
      <c r="K20" s="293"/>
      <c r="L20" s="293"/>
      <c r="M20" s="293"/>
      <c r="N20" s="293"/>
      <c r="O20" s="294"/>
      <c r="P20" s="293"/>
      <c r="Q20" s="294"/>
      <c r="R20" s="294"/>
      <c r="S20" s="294"/>
      <c r="T20" s="293"/>
      <c r="U20" s="294"/>
      <c r="V20" s="294"/>
      <c r="W20" s="294"/>
      <c r="X20" s="294"/>
      <c r="Y20" s="293"/>
      <c r="Z20" s="294"/>
      <c r="AA20" s="294"/>
      <c r="AB20" s="294"/>
      <c r="AC20" s="294"/>
      <c r="AD20" s="294"/>
      <c r="AE20" s="293"/>
      <c r="AF20" s="293"/>
      <c r="AG20" s="32"/>
      <c r="AH20" s="294"/>
      <c r="AI20" s="293">
        <f>+AI17-AI19</f>
        <v>0</v>
      </c>
      <c r="AJ20" s="294"/>
      <c r="AK20" s="293">
        <f>+AK17-AK19</f>
        <v>-1053638</v>
      </c>
      <c r="AL20" s="294"/>
      <c r="AM20" s="293">
        <f>+AM17-AM19</f>
        <v>935719.56600000057</v>
      </c>
      <c r="AN20" s="294"/>
      <c r="AO20" s="293">
        <f>+AO17-AO19</f>
        <v>-75274.068321998231</v>
      </c>
      <c r="AP20" s="293"/>
      <c r="AQ20" s="293">
        <f>+AQ17-AQ19</f>
        <v>-86630.492576625198</v>
      </c>
      <c r="AR20" s="295"/>
      <c r="AS20" s="293">
        <f>+AS17-AS19</f>
        <v>-98361.678831653669</v>
      </c>
      <c r="AT20" s="295"/>
      <c r="AU20" s="293">
        <f>+AU17-AU19</f>
        <v>-258411.05288926326</v>
      </c>
      <c r="AV20" s="295"/>
      <c r="AW20" s="293">
        <f>+AW17-AW19</f>
        <v>-276032.8942225948</v>
      </c>
      <c r="AX20" s="295"/>
      <c r="AY20" s="293">
        <f>+AY17-AY19</f>
        <v>-294243.91175220907</v>
      </c>
      <c r="AZ20" s="295"/>
      <c r="BA20" s="296">
        <f>+BA17-BA19</f>
        <v>-313063.81240499951</v>
      </c>
      <c r="BB20" s="3"/>
      <c r="BC20" s="32"/>
      <c r="BD20" s="3"/>
      <c r="BE20" s="32"/>
      <c r="BF20" s="51"/>
      <c r="BG20" s="51"/>
      <c r="BH20" s="32"/>
      <c r="BI20" s="51"/>
      <c r="BJ20" s="51"/>
      <c r="BK20" s="51"/>
      <c r="BL20" s="51"/>
      <c r="BM20" s="51"/>
      <c r="BN20" s="51"/>
      <c r="BO20" s="51"/>
      <c r="BP20" s="51"/>
    </row>
    <row r="21" spans="1:68" hidden="1" x14ac:dyDescent="0.25">
      <c r="A21" s="297" t="s">
        <v>7</v>
      </c>
      <c r="B21" s="293"/>
      <c r="C21" s="293"/>
      <c r="D21" s="293"/>
      <c r="E21" s="293"/>
      <c r="F21" s="293"/>
      <c r="G21" s="293"/>
      <c r="H21" s="293"/>
      <c r="I21" s="293"/>
      <c r="J21" s="293"/>
      <c r="K21" s="293"/>
      <c r="L21" s="293"/>
      <c r="M21" s="293"/>
      <c r="N21" s="293"/>
      <c r="O21" s="294"/>
      <c r="P21" s="293"/>
      <c r="Q21" s="294"/>
      <c r="R21" s="294"/>
      <c r="S21" s="294"/>
      <c r="T21" s="293"/>
      <c r="U21" s="294"/>
      <c r="V21" s="294"/>
      <c r="W21" s="294"/>
      <c r="X21" s="294"/>
      <c r="Y21" s="293"/>
      <c r="Z21" s="294"/>
      <c r="AA21" s="294"/>
      <c r="AB21" s="294"/>
      <c r="AC21" s="294"/>
      <c r="AD21" s="294"/>
      <c r="AE21" s="293"/>
      <c r="AF21" s="293"/>
      <c r="AG21" s="32"/>
      <c r="AH21" s="294"/>
      <c r="AI21" s="293"/>
      <c r="AJ21" s="294"/>
      <c r="AK21" s="293"/>
      <c r="AL21" s="294"/>
      <c r="AM21" s="293"/>
      <c r="AN21" s="294"/>
      <c r="AO21" s="293"/>
      <c r="AP21" s="293"/>
      <c r="AQ21" s="293"/>
      <c r="AR21" s="295"/>
      <c r="AS21" s="293"/>
      <c r="AT21" s="295"/>
      <c r="AU21" s="293"/>
      <c r="AV21" s="295"/>
      <c r="AW21" s="293"/>
      <c r="AX21" s="295"/>
      <c r="AY21" s="293"/>
      <c r="AZ21" s="295"/>
      <c r="BA21" s="296"/>
      <c r="BB21" s="3"/>
      <c r="BC21" s="4"/>
      <c r="BD21" s="3"/>
      <c r="BE21" s="4"/>
      <c r="BF21" s="51"/>
      <c r="BG21" s="51"/>
      <c r="BH21" s="4"/>
      <c r="BI21" s="51"/>
      <c r="BJ21" s="51"/>
      <c r="BK21" s="51"/>
      <c r="BL21" s="51"/>
      <c r="BM21" s="51"/>
      <c r="BN21" s="51"/>
      <c r="BO21" s="51"/>
      <c r="BP21" s="51"/>
    </row>
    <row r="22" spans="1:68" s="34" customFormat="1" hidden="1" x14ac:dyDescent="0.25">
      <c r="A22" s="292" t="s">
        <v>34</v>
      </c>
      <c r="B22" s="293">
        <v>2434680</v>
      </c>
      <c r="C22" s="293"/>
      <c r="D22" s="293">
        <v>2434680</v>
      </c>
      <c r="E22" s="293"/>
      <c r="F22" s="293">
        <v>2434680</v>
      </c>
      <c r="G22" s="293"/>
      <c r="H22" s="293">
        <f t="shared" ref="H22:H27" si="3">F22-B22</f>
        <v>0</v>
      </c>
      <c r="I22" s="293"/>
      <c r="J22" s="293">
        <v>2434680</v>
      </c>
      <c r="K22" s="293"/>
      <c r="L22" s="293">
        <v>2434680</v>
      </c>
      <c r="M22" s="293"/>
      <c r="N22" s="293"/>
      <c r="O22" s="294"/>
      <c r="P22" s="293">
        <v>3411165</v>
      </c>
      <c r="Q22" s="294"/>
      <c r="R22" s="294"/>
      <c r="S22" s="294"/>
      <c r="T22" s="293">
        <v>3411165</v>
      </c>
      <c r="U22" s="294">
        <f t="shared" ref="U22:U27" si="4">T22-P22</f>
        <v>0</v>
      </c>
      <c r="V22" s="294"/>
      <c r="W22" s="294"/>
      <c r="X22" s="294"/>
      <c r="Y22" s="293">
        <v>3411165</v>
      </c>
      <c r="Z22" s="294">
        <f t="shared" ref="Z22:Z27" si="5">Y22-T22</f>
        <v>0</v>
      </c>
      <c r="AA22" s="294"/>
      <c r="AB22" s="294"/>
      <c r="AC22" s="294"/>
      <c r="AD22" s="294"/>
      <c r="AE22" s="293">
        <v>3411165</v>
      </c>
      <c r="AF22" s="293">
        <v>3411165</v>
      </c>
      <c r="AG22" s="32"/>
      <c r="AH22" s="294"/>
      <c r="AI22" s="293">
        <v>2872260</v>
      </c>
      <c r="AJ22" s="294"/>
      <c r="AK22" s="293">
        <f>AI27</f>
        <v>2144108</v>
      </c>
      <c r="AL22" s="294"/>
      <c r="AM22" s="293">
        <f>AK27</f>
        <v>2428264</v>
      </c>
      <c r="AN22" s="294"/>
      <c r="AO22" s="293">
        <f>AM27</f>
        <v>3034337</v>
      </c>
      <c r="AP22" s="293"/>
      <c r="AQ22" s="293">
        <f>AO27</f>
        <v>3704664</v>
      </c>
      <c r="AR22" s="295"/>
      <c r="AS22" s="293">
        <f>AQ27</f>
        <v>4046029</v>
      </c>
      <c r="AT22" s="295"/>
      <c r="AU22" s="293">
        <f>AS27</f>
        <v>4572921</v>
      </c>
      <c r="AV22" s="295"/>
      <c r="AW22" s="293">
        <f>AU27</f>
        <v>5314789</v>
      </c>
      <c r="AX22" s="295"/>
      <c r="AY22" s="293">
        <f>AW27</f>
        <v>5793983</v>
      </c>
      <c r="AZ22" s="295"/>
      <c r="BA22" s="296">
        <f>AY27</f>
        <v>6375820</v>
      </c>
      <c r="BB22" s="7"/>
      <c r="BC22" s="32"/>
      <c r="BD22" s="7"/>
      <c r="BE22" s="32"/>
      <c r="BF22" s="391"/>
      <c r="BG22" s="391"/>
      <c r="BH22" s="32"/>
      <c r="BI22" s="391"/>
      <c r="BJ22" s="391"/>
      <c r="BK22" s="391"/>
      <c r="BL22" s="391"/>
      <c r="BM22" s="391"/>
      <c r="BN22" s="391"/>
      <c r="BO22" s="391"/>
      <c r="BP22" s="391"/>
    </row>
    <row r="23" spans="1:68" hidden="1" x14ac:dyDescent="0.25">
      <c r="A23" s="297"/>
      <c r="B23" s="293"/>
      <c r="C23" s="293"/>
      <c r="D23" s="293"/>
      <c r="E23" s="293"/>
      <c r="F23" s="293"/>
      <c r="G23" s="293"/>
      <c r="H23" s="293">
        <f t="shared" si="3"/>
        <v>0</v>
      </c>
      <c r="I23" s="293"/>
      <c r="J23" s="293"/>
      <c r="K23" s="293"/>
      <c r="L23" s="293"/>
      <c r="M23" s="293"/>
      <c r="N23" s="293"/>
      <c r="O23" s="294"/>
      <c r="P23" s="293"/>
      <c r="Q23" s="294"/>
      <c r="R23" s="294"/>
      <c r="S23" s="294"/>
      <c r="T23" s="293"/>
      <c r="U23" s="294">
        <f t="shared" si="4"/>
        <v>0</v>
      </c>
      <c r="V23" s="294"/>
      <c r="W23" s="294"/>
      <c r="X23" s="294"/>
      <c r="Y23" s="293"/>
      <c r="Z23" s="294">
        <f t="shared" si="5"/>
        <v>0</v>
      </c>
      <c r="AA23" s="294"/>
      <c r="AB23" s="294"/>
      <c r="AC23" s="294"/>
      <c r="AD23" s="294"/>
      <c r="AE23" s="293"/>
      <c r="AF23" s="293"/>
      <c r="AG23" s="32"/>
      <c r="AH23" s="294"/>
      <c r="AI23" s="293"/>
      <c r="AJ23" s="294"/>
      <c r="AK23" s="293"/>
      <c r="AL23" s="294"/>
      <c r="AM23" s="293"/>
      <c r="AN23" s="294"/>
      <c r="AO23" s="293"/>
      <c r="AP23" s="293"/>
      <c r="AQ23" s="293"/>
      <c r="AR23" s="295"/>
      <c r="AS23" s="293"/>
      <c r="AT23" s="295"/>
      <c r="AU23" s="293"/>
      <c r="AV23" s="295"/>
      <c r="AW23" s="293"/>
      <c r="AX23" s="295"/>
      <c r="AY23" s="293"/>
      <c r="AZ23" s="295"/>
      <c r="BA23" s="296"/>
      <c r="BB23" s="3"/>
      <c r="BC23" s="32"/>
      <c r="BD23" s="3"/>
      <c r="BE23" s="32"/>
      <c r="BF23" s="51"/>
      <c r="BG23" s="51"/>
      <c r="BH23" s="32"/>
      <c r="BI23" s="51"/>
      <c r="BJ23" s="51"/>
      <c r="BK23" s="51"/>
      <c r="BL23" s="51"/>
      <c r="BM23" s="51"/>
      <c r="BN23" s="51"/>
      <c r="BO23" s="51"/>
      <c r="BP23" s="51"/>
    </row>
    <row r="24" spans="1:68" hidden="1" x14ac:dyDescent="0.25">
      <c r="A24" s="297" t="s">
        <v>43</v>
      </c>
      <c r="B24" s="293">
        <f>-B339</f>
        <v>-66957</v>
      </c>
      <c r="C24" s="293"/>
      <c r="D24" s="293">
        <f>-D339</f>
        <v>0</v>
      </c>
      <c r="E24" s="293"/>
      <c r="F24" s="293">
        <f>-F339</f>
        <v>455167</v>
      </c>
      <c r="G24" s="293"/>
      <c r="H24" s="293">
        <f t="shared" si="3"/>
        <v>522124</v>
      </c>
      <c r="I24" s="293"/>
      <c r="J24" s="293">
        <f>-J339</f>
        <v>0</v>
      </c>
      <c r="K24" s="293"/>
      <c r="L24" s="293">
        <f>-L339</f>
        <v>612625</v>
      </c>
      <c r="M24" s="293"/>
      <c r="N24" s="293"/>
      <c r="O24" s="294"/>
      <c r="P24" s="293">
        <f>-P339</f>
        <v>-382939</v>
      </c>
      <c r="Q24" s="294"/>
      <c r="R24" s="294"/>
      <c r="S24" s="294"/>
      <c r="T24" s="293">
        <f>-T339</f>
        <v>-575455</v>
      </c>
      <c r="U24" s="294">
        <f t="shared" si="4"/>
        <v>-192516</v>
      </c>
      <c r="V24" s="294"/>
      <c r="W24" s="294"/>
      <c r="X24" s="294"/>
      <c r="Y24" s="293">
        <f>-Y339</f>
        <v>-517600</v>
      </c>
      <c r="Z24" s="294">
        <f t="shared" si="5"/>
        <v>57855</v>
      </c>
      <c r="AA24" s="294"/>
      <c r="AB24" s="294"/>
      <c r="AC24" s="294"/>
      <c r="AD24" s="294"/>
      <c r="AE24" s="293">
        <f>-AE339</f>
        <v>-538905</v>
      </c>
      <c r="AF24" s="293">
        <f>-AF339</f>
        <v>-21305</v>
      </c>
      <c r="AG24" s="32"/>
      <c r="AH24" s="294"/>
      <c r="AI24" s="293">
        <f>-AI339</f>
        <v>-728152</v>
      </c>
      <c r="AJ24" s="294"/>
      <c r="AK24" s="293">
        <f>-AK339</f>
        <v>284156</v>
      </c>
      <c r="AL24" s="294"/>
      <c r="AM24" s="293">
        <f>-AM339</f>
        <v>606073</v>
      </c>
      <c r="AN24" s="294"/>
      <c r="AO24" s="293">
        <f>-AO339</f>
        <v>670327</v>
      </c>
      <c r="AP24" s="293"/>
      <c r="AQ24" s="293">
        <f>-AQ339</f>
        <v>341365</v>
      </c>
      <c r="AR24" s="295"/>
      <c r="AS24" s="293">
        <f>-AS339</f>
        <v>526892</v>
      </c>
      <c r="AT24" s="295"/>
      <c r="AU24" s="293">
        <f>-AU339</f>
        <v>741868</v>
      </c>
      <c r="AV24" s="295"/>
      <c r="AW24" s="293">
        <f>-AW339</f>
        <v>479194</v>
      </c>
      <c r="AX24" s="295"/>
      <c r="AY24" s="293">
        <f>-AY339</f>
        <v>581837</v>
      </c>
      <c r="AZ24" s="295"/>
      <c r="BA24" s="296">
        <f>-BA339</f>
        <v>287047</v>
      </c>
      <c r="BB24" s="3"/>
      <c r="BC24" s="32"/>
      <c r="BD24" s="3"/>
      <c r="BE24" s="32"/>
      <c r="BF24" s="51"/>
      <c r="BG24" s="51"/>
      <c r="BH24" s="32"/>
      <c r="BI24" s="51"/>
      <c r="BJ24" s="51"/>
      <c r="BK24" s="51"/>
      <c r="BL24" s="51"/>
      <c r="BM24" s="51"/>
      <c r="BN24" s="51"/>
      <c r="BO24" s="51"/>
      <c r="BP24" s="51"/>
    </row>
    <row r="25" spans="1:68" hidden="1" x14ac:dyDescent="0.25">
      <c r="A25" s="297" t="s">
        <v>44</v>
      </c>
      <c r="B25" s="293"/>
      <c r="C25" s="293"/>
      <c r="D25" s="293"/>
      <c r="E25" s="293"/>
      <c r="F25" s="293"/>
      <c r="G25" s="293"/>
      <c r="H25" s="293">
        <f t="shared" si="3"/>
        <v>0</v>
      </c>
      <c r="I25" s="293"/>
      <c r="J25" s="293"/>
      <c r="K25" s="293"/>
      <c r="L25" s="293">
        <v>-193323</v>
      </c>
      <c r="M25" s="293"/>
      <c r="N25" s="293"/>
      <c r="O25" s="294"/>
      <c r="P25" s="293"/>
      <c r="Q25" s="294"/>
      <c r="R25" s="294"/>
      <c r="S25" s="294"/>
      <c r="T25" s="293"/>
      <c r="U25" s="294">
        <f t="shared" si="4"/>
        <v>0</v>
      </c>
      <c r="V25" s="294"/>
      <c r="W25" s="294"/>
      <c r="X25" s="294"/>
      <c r="Y25" s="293"/>
      <c r="Z25" s="294">
        <f t="shared" si="5"/>
        <v>0</v>
      </c>
      <c r="AA25" s="294"/>
      <c r="AB25" s="294"/>
      <c r="AC25" s="294"/>
      <c r="AD25" s="294"/>
      <c r="AE25" s="293"/>
      <c r="AF25" s="293"/>
      <c r="AG25" s="32"/>
      <c r="AH25" s="294"/>
      <c r="AI25" s="293"/>
      <c r="AJ25" s="294"/>
      <c r="AK25" s="293"/>
      <c r="AL25" s="294"/>
      <c r="AM25" s="293"/>
      <c r="AN25" s="294"/>
      <c r="AO25" s="293"/>
      <c r="AP25" s="293"/>
      <c r="AQ25" s="293"/>
      <c r="AR25" s="295"/>
      <c r="AS25" s="293"/>
      <c r="AT25" s="295"/>
      <c r="AU25" s="293"/>
      <c r="AV25" s="295"/>
      <c r="AW25" s="293"/>
      <c r="AX25" s="295"/>
      <c r="AY25" s="293"/>
      <c r="AZ25" s="295"/>
      <c r="BA25" s="296"/>
      <c r="BB25" s="3"/>
      <c r="BC25" s="32"/>
      <c r="BD25" s="3"/>
      <c r="BE25" s="32"/>
      <c r="BF25" s="51"/>
      <c r="BG25" s="51"/>
      <c r="BH25" s="32"/>
      <c r="BI25" s="51"/>
      <c r="BJ25" s="51"/>
      <c r="BK25" s="51"/>
      <c r="BL25" s="51"/>
      <c r="BM25" s="51"/>
      <c r="BN25" s="51"/>
      <c r="BO25" s="51"/>
      <c r="BP25" s="51"/>
    </row>
    <row r="26" spans="1:68" hidden="1" x14ac:dyDescent="0.25">
      <c r="A26" s="297" t="s">
        <v>41</v>
      </c>
      <c r="B26" s="293">
        <f>B24+B25</f>
        <v>-66957</v>
      </c>
      <c r="C26" s="293"/>
      <c r="D26" s="293">
        <f>D24+D25</f>
        <v>0</v>
      </c>
      <c r="E26" s="293"/>
      <c r="F26" s="293">
        <f>F24+F25</f>
        <v>455167</v>
      </c>
      <c r="G26" s="293"/>
      <c r="H26" s="293">
        <f t="shared" si="3"/>
        <v>522124</v>
      </c>
      <c r="I26" s="293"/>
      <c r="J26" s="293">
        <f>J24+J25</f>
        <v>0</v>
      </c>
      <c r="K26" s="293"/>
      <c r="L26" s="293">
        <f>L24+L25</f>
        <v>419302</v>
      </c>
      <c r="M26" s="293"/>
      <c r="N26" s="293"/>
      <c r="O26" s="294"/>
      <c r="P26" s="293">
        <f>P24+P25</f>
        <v>-382939</v>
      </c>
      <c r="Q26" s="294"/>
      <c r="R26" s="294"/>
      <c r="S26" s="294"/>
      <c r="T26" s="293">
        <f>T24+T25</f>
        <v>-575455</v>
      </c>
      <c r="U26" s="294">
        <f t="shared" si="4"/>
        <v>-192516</v>
      </c>
      <c r="V26" s="294"/>
      <c r="W26" s="294"/>
      <c r="X26" s="294"/>
      <c r="Y26" s="293">
        <f>Y24+Y25</f>
        <v>-517600</v>
      </c>
      <c r="Z26" s="294">
        <f t="shared" si="5"/>
        <v>57855</v>
      </c>
      <c r="AA26" s="294"/>
      <c r="AB26" s="294"/>
      <c r="AC26" s="294"/>
      <c r="AD26" s="294"/>
      <c r="AE26" s="293">
        <f>AE24+AE25</f>
        <v>-538905</v>
      </c>
      <c r="AF26" s="293">
        <f>AF24+AF25</f>
        <v>-21305</v>
      </c>
      <c r="AG26" s="32"/>
      <c r="AH26" s="294"/>
      <c r="AI26" s="293">
        <f>AI24+AI25</f>
        <v>-728152</v>
      </c>
      <c r="AJ26" s="294"/>
      <c r="AK26" s="293">
        <f>AK24+AK25</f>
        <v>284156</v>
      </c>
      <c r="AL26" s="294"/>
      <c r="AM26" s="293">
        <f>AM24+AM25</f>
        <v>606073</v>
      </c>
      <c r="AN26" s="294"/>
      <c r="AO26" s="293">
        <f>AO24+AO25</f>
        <v>670327</v>
      </c>
      <c r="AP26" s="293"/>
      <c r="AQ26" s="293">
        <f>AQ24+AQ25</f>
        <v>341365</v>
      </c>
      <c r="AR26" s="295"/>
      <c r="AS26" s="293">
        <f>AS24+AS25</f>
        <v>526892</v>
      </c>
      <c r="AT26" s="295"/>
      <c r="AU26" s="293">
        <f>AU24+AU25</f>
        <v>741868</v>
      </c>
      <c r="AV26" s="295"/>
      <c r="AW26" s="293">
        <f>AW24+AW25</f>
        <v>479194</v>
      </c>
      <c r="AX26" s="295"/>
      <c r="AY26" s="293">
        <f>AY24+AY25</f>
        <v>581837</v>
      </c>
      <c r="AZ26" s="295"/>
      <c r="BA26" s="296">
        <f>BA24+BA25</f>
        <v>287047</v>
      </c>
      <c r="BB26" s="3"/>
      <c r="BC26" s="32"/>
      <c r="BD26" s="3"/>
      <c r="BE26" s="32"/>
      <c r="BF26" s="51"/>
      <c r="BG26" s="51"/>
      <c r="BH26" s="32"/>
      <c r="BI26" s="51"/>
      <c r="BJ26" s="51"/>
      <c r="BK26" s="51"/>
      <c r="BL26" s="51"/>
      <c r="BM26" s="51"/>
      <c r="BN26" s="51"/>
      <c r="BO26" s="51"/>
      <c r="BP26" s="51"/>
    </row>
    <row r="27" spans="1:68" ht="15.75" hidden="1" thickBot="1" x14ac:dyDescent="0.3">
      <c r="A27" s="301" t="s">
        <v>42</v>
      </c>
      <c r="B27" s="302">
        <f>B22+B26</f>
        <v>2367723</v>
      </c>
      <c r="C27" s="302"/>
      <c r="D27" s="302">
        <f>D22+D26</f>
        <v>2434680</v>
      </c>
      <c r="E27" s="302"/>
      <c r="F27" s="302">
        <f>F22+F26</f>
        <v>2889847</v>
      </c>
      <c r="G27" s="302"/>
      <c r="H27" s="302">
        <f t="shared" si="3"/>
        <v>522124</v>
      </c>
      <c r="I27" s="302"/>
      <c r="J27" s="302">
        <f>J22+J26</f>
        <v>2434680</v>
      </c>
      <c r="K27" s="302"/>
      <c r="L27" s="302">
        <f>L22+L26</f>
        <v>2853982</v>
      </c>
      <c r="M27" s="302"/>
      <c r="N27" s="302"/>
      <c r="O27" s="303"/>
      <c r="P27" s="302">
        <f>P22+P26</f>
        <v>3028226</v>
      </c>
      <c r="Q27" s="303"/>
      <c r="R27" s="303"/>
      <c r="S27" s="303"/>
      <c r="T27" s="302">
        <f>T22+T26</f>
        <v>2835710</v>
      </c>
      <c r="U27" s="303">
        <f t="shared" si="4"/>
        <v>-192516</v>
      </c>
      <c r="V27" s="303"/>
      <c r="W27" s="303"/>
      <c r="X27" s="303"/>
      <c r="Y27" s="302">
        <f>Y22+Y26</f>
        <v>2893565</v>
      </c>
      <c r="Z27" s="303">
        <f t="shared" si="5"/>
        <v>57855</v>
      </c>
      <c r="AA27" s="303"/>
      <c r="AB27" s="303"/>
      <c r="AC27" s="303"/>
      <c r="AD27" s="303"/>
      <c r="AE27" s="302">
        <f>AE22+AE26</f>
        <v>2872260</v>
      </c>
      <c r="AF27" s="303">
        <f>AE27-Y27</f>
        <v>-21305</v>
      </c>
      <c r="AG27" s="313"/>
      <c r="AH27" s="303"/>
      <c r="AI27" s="302">
        <f>AI22+AI26</f>
        <v>2144108</v>
      </c>
      <c r="AJ27" s="303"/>
      <c r="AK27" s="302">
        <f>AK22+AK26</f>
        <v>2428264</v>
      </c>
      <c r="AL27" s="303"/>
      <c r="AM27" s="302">
        <f>AM22+AM26</f>
        <v>3034337</v>
      </c>
      <c r="AN27" s="303"/>
      <c r="AO27" s="302">
        <f>AO22+AO26</f>
        <v>3704664</v>
      </c>
      <c r="AP27" s="302"/>
      <c r="AQ27" s="302">
        <f>AQ22+AQ26</f>
        <v>4046029</v>
      </c>
      <c r="AR27" s="304"/>
      <c r="AS27" s="302">
        <f>AS22+AS26</f>
        <v>4572921</v>
      </c>
      <c r="AT27" s="304"/>
      <c r="AU27" s="302">
        <f>AU22+AU26</f>
        <v>5314789</v>
      </c>
      <c r="AV27" s="304"/>
      <c r="AW27" s="302">
        <f>AW22+AW26</f>
        <v>5793983</v>
      </c>
      <c r="AX27" s="304"/>
      <c r="AY27" s="302">
        <f>AY22+AY26</f>
        <v>6375820</v>
      </c>
      <c r="AZ27" s="304"/>
      <c r="BA27" s="305">
        <f>BA22+BA26</f>
        <v>6662867</v>
      </c>
      <c r="BB27" s="3"/>
      <c r="BC27" s="32"/>
      <c r="BD27" s="3"/>
      <c r="BE27" s="32"/>
      <c r="BF27" s="51"/>
      <c r="BG27" s="51"/>
      <c r="BH27" s="32"/>
      <c r="BI27" s="51"/>
      <c r="BJ27" s="51"/>
      <c r="BK27" s="51"/>
      <c r="BL27" s="51"/>
      <c r="BM27" s="51"/>
      <c r="BN27" s="51"/>
      <c r="BO27" s="51"/>
      <c r="BP27" s="51"/>
    </row>
    <row r="28" spans="1:68" hidden="1" x14ac:dyDescent="0.25">
      <c r="A28" s="7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P28" s="32"/>
      <c r="AF28" s="3">
        <v>6</v>
      </c>
      <c r="AI28" s="32"/>
      <c r="AK28" s="32"/>
      <c r="AM28" s="32"/>
      <c r="AO28" s="32"/>
      <c r="AP28" s="32"/>
      <c r="AQ28" s="32"/>
      <c r="AS28" s="32"/>
      <c r="AU28" s="32"/>
      <c r="AW28" s="32"/>
      <c r="AY28" s="32"/>
      <c r="BA28" s="32"/>
      <c r="BC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</row>
    <row r="29" spans="1:68" s="42" customFormat="1" hidden="1" x14ac:dyDescent="0.25">
      <c r="A29" s="294" t="s">
        <v>1368</v>
      </c>
      <c r="B29" s="294"/>
      <c r="C29" s="294"/>
      <c r="D29" s="294"/>
      <c r="E29" s="294"/>
      <c r="F29" s="294"/>
      <c r="G29" s="294"/>
      <c r="H29" s="294"/>
      <c r="I29" s="294"/>
      <c r="J29" s="294"/>
      <c r="K29" s="294"/>
      <c r="L29" s="294"/>
      <c r="M29" s="294"/>
      <c r="N29" s="294"/>
      <c r="O29" s="294"/>
      <c r="P29" s="294"/>
      <c r="Q29" s="294"/>
      <c r="R29" s="294"/>
      <c r="S29" s="294"/>
      <c r="T29" s="294"/>
      <c r="U29" s="294"/>
      <c r="V29" s="294"/>
      <c r="W29" s="294"/>
      <c r="X29" s="294"/>
      <c r="Y29" s="294"/>
      <c r="Z29" s="294"/>
      <c r="AA29" s="294"/>
      <c r="AB29" s="294"/>
      <c r="AC29" s="294"/>
      <c r="AD29" s="294"/>
      <c r="AE29" s="294"/>
      <c r="AF29" s="294"/>
      <c r="AG29" s="4"/>
      <c r="AH29" s="294"/>
      <c r="AI29" s="294"/>
      <c r="AJ29" s="294"/>
      <c r="AK29" s="294">
        <f>+AK20</f>
        <v>-1053638</v>
      </c>
      <c r="AL29" s="294">
        <f>+AL18</f>
        <v>0</v>
      </c>
      <c r="AM29" s="294">
        <f>+AM20</f>
        <v>935719.56600000057</v>
      </c>
      <c r="AN29" s="294">
        <f>+AN18</f>
        <v>0</v>
      </c>
      <c r="AO29" s="294">
        <f>+AO20</f>
        <v>-75274.068321998231</v>
      </c>
      <c r="AP29" s="294">
        <f>+AP18</f>
        <v>0</v>
      </c>
      <c r="AQ29" s="294">
        <f>+AQ20</f>
        <v>-86630.492576625198</v>
      </c>
      <c r="AR29" s="294">
        <f>+AR18</f>
        <v>0</v>
      </c>
      <c r="AS29" s="294">
        <f>+AS20</f>
        <v>-98361.678831653669</v>
      </c>
      <c r="AT29" s="294">
        <f>+AT18</f>
        <v>0</v>
      </c>
      <c r="AU29" s="294">
        <f>+AU20</f>
        <v>-258411.05288926326</v>
      </c>
      <c r="AV29" s="294">
        <f>+AV18</f>
        <v>0</v>
      </c>
      <c r="AW29" s="294">
        <f>+AW20</f>
        <v>-276032.8942225948</v>
      </c>
      <c r="AX29" s="294">
        <f>+AX18</f>
        <v>0</v>
      </c>
      <c r="AY29" s="294">
        <f>+AY20</f>
        <v>-294243.91175220907</v>
      </c>
      <c r="AZ29" s="294">
        <f>+AZ18</f>
        <v>0</v>
      </c>
      <c r="BA29" s="294">
        <f>+BA20</f>
        <v>-313063.81240499951</v>
      </c>
    </row>
    <row r="30" spans="1:68" s="42" customFormat="1" hidden="1" x14ac:dyDescent="0.25">
      <c r="A30" s="294" t="s">
        <v>946</v>
      </c>
      <c r="B30" s="294"/>
      <c r="C30" s="294"/>
      <c r="D30" s="294"/>
      <c r="E30" s="294"/>
      <c r="F30" s="294"/>
      <c r="G30" s="294"/>
      <c r="H30" s="294"/>
      <c r="I30" s="294"/>
      <c r="J30" s="294"/>
      <c r="K30" s="294"/>
      <c r="L30" s="294"/>
      <c r="M30" s="294"/>
      <c r="N30" s="294"/>
      <c r="O30" s="294"/>
      <c r="P30" s="294"/>
      <c r="Q30" s="294"/>
      <c r="R30" s="294"/>
      <c r="S30" s="294"/>
      <c r="T30" s="294"/>
      <c r="U30" s="294"/>
      <c r="V30" s="294"/>
      <c r="W30" s="294"/>
      <c r="X30" s="294"/>
      <c r="Y30" s="294"/>
      <c r="Z30" s="294"/>
      <c r="AA30" s="294"/>
      <c r="AB30" s="294"/>
      <c r="AC30" s="294"/>
      <c r="AD30" s="294"/>
      <c r="AE30" s="294"/>
      <c r="AF30" s="294"/>
      <c r="AG30" s="4"/>
      <c r="AH30" s="294"/>
      <c r="AI30" s="294"/>
      <c r="AJ30" s="294"/>
      <c r="AK30" s="294">
        <f>+B!AJ360</f>
        <v>2000000</v>
      </c>
      <c r="AL30" s="294">
        <f>+B!AK360</f>
        <v>0</v>
      </c>
      <c r="AM30" s="294">
        <f>+B!AL360</f>
        <v>0</v>
      </c>
      <c r="AN30" s="294">
        <f>+B!AM360</f>
        <v>0</v>
      </c>
      <c r="AO30" s="294">
        <f>+B!AN360</f>
        <v>0</v>
      </c>
      <c r="AP30" s="294">
        <f>+B!AO360</f>
        <v>0</v>
      </c>
      <c r="AQ30" s="294">
        <f>+B!AP360</f>
        <v>0</v>
      </c>
      <c r="AR30" s="294">
        <f>+B!AQ360</f>
        <v>0</v>
      </c>
      <c r="AS30" s="294">
        <f>+B!AR360</f>
        <v>0</v>
      </c>
      <c r="AT30" s="294">
        <f>+B!AS360</f>
        <v>0</v>
      </c>
      <c r="AU30" s="294">
        <f>+B!AT360</f>
        <v>0</v>
      </c>
      <c r="AV30" s="294">
        <f>+B!AU360</f>
        <v>0</v>
      </c>
      <c r="AW30" s="294">
        <f>+B!AV360</f>
        <v>0</v>
      </c>
      <c r="AX30" s="294">
        <f>+B!AW360</f>
        <v>0</v>
      </c>
      <c r="AY30" s="294">
        <f>+B!AX360</f>
        <v>0</v>
      </c>
      <c r="AZ30" s="294">
        <f>+B!AY360</f>
        <v>0</v>
      </c>
      <c r="BA30" s="294">
        <f>+B!AZ360</f>
        <v>0</v>
      </c>
    </row>
    <row r="31" spans="1:68" s="42" customFormat="1" hidden="1" x14ac:dyDescent="0.25">
      <c r="A31" s="294" t="s">
        <v>1372</v>
      </c>
      <c r="B31" s="294"/>
      <c r="C31" s="294"/>
      <c r="D31" s="294"/>
      <c r="E31" s="294"/>
      <c r="F31" s="294"/>
      <c r="G31" s="294"/>
      <c r="H31" s="294"/>
      <c r="I31" s="294"/>
      <c r="J31" s="294"/>
      <c r="K31" s="294"/>
      <c r="L31" s="294"/>
      <c r="M31" s="294"/>
      <c r="N31" s="294"/>
      <c r="O31" s="294"/>
      <c r="P31" s="294"/>
      <c r="Q31" s="294"/>
      <c r="R31" s="294"/>
      <c r="S31" s="294"/>
      <c r="T31" s="294"/>
      <c r="U31" s="294"/>
      <c r="V31" s="294"/>
      <c r="W31" s="294"/>
      <c r="X31" s="294"/>
      <c r="Y31" s="294"/>
      <c r="Z31" s="294"/>
      <c r="AA31" s="294"/>
      <c r="AB31" s="294"/>
      <c r="AC31" s="294"/>
      <c r="AD31" s="294"/>
      <c r="AE31" s="294"/>
      <c r="AF31" s="294"/>
      <c r="AG31" s="4"/>
      <c r="AH31" s="294"/>
      <c r="AI31" s="294"/>
      <c r="AJ31" s="294"/>
      <c r="AK31" s="294">
        <f>-B!AJ968</f>
        <v>-1000000</v>
      </c>
      <c r="AL31" s="294">
        <f>-B!AK968</f>
        <v>0</v>
      </c>
      <c r="AM31" s="294">
        <f>-B!AL968</f>
        <v>-1000000</v>
      </c>
      <c r="AN31" s="294">
        <f>-B!AM968</f>
        <v>0</v>
      </c>
      <c r="AO31" s="294">
        <f>-B!AN968</f>
        <v>0</v>
      </c>
      <c r="AP31" s="294">
        <f>-B!AO968</f>
        <v>0</v>
      </c>
      <c r="AQ31" s="294">
        <f>-B!AP968</f>
        <v>0</v>
      </c>
      <c r="AR31" s="294">
        <f>-B!AQ968</f>
        <v>0</v>
      </c>
      <c r="AS31" s="294">
        <f>-B!AR968</f>
        <v>0</v>
      </c>
      <c r="AT31" s="294">
        <f>-B!AS968</f>
        <v>0</v>
      </c>
      <c r="AU31" s="294">
        <f>-B!AT968</f>
        <v>0</v>
      </c>
      <c r="AV31" s="294">
        <f>-B!AU968</f>
        <v>0</v>
      </c>
      <c r="AW31" s="294">
        <f>-B!AV968</f>
        <v>0</v>
      </c>
      <c r="AX31" s="294">
        <f>-B!AW968</f>
        <v>0</v>
      </c>
      <c r="AY31" s="294">
        <f>-B!AX968</f>
        <v>0</v>
      </c>
      <c r="AZ31" s="294">
        <f>-B!AY968</f>
        <v>0</v>
      </c>
      <c r="BA31" s="294">
        <f>-B!AZ968</f>
        <v>0</v>
      </c>
    </row>
    <row r="32" spans="1:68" s="42" customFormat="1" hidden="1" x14ac:dyDescent="0.25">
      <c r="A32" s="294" t="s">
        <v>1370</v>
      </c>
      <c r="B32" s="294"/>
      <c r="C32" s="294"/>
      <c r="D32" s="294"/>
      <c r="E32" s="294"/>
      <c r="F32" s="294"/>
      <c r="G32" s="294"/>
      <c r="H32" s="294"/>
      <c r="I32" s="294"/>
      <c r="J32" s="294"/>
      <c r="K32" s="294"/>
      <c r="L32" s="294"/>
      <c r="M32" s="294"/>
      <c r="N32" s="294"/>
      <c r="O32" s="294"/>
      <c r="P32" s="294"/>
      <c r="Q32" s="294"/>
      <c r="R32" s="294"/>
      <c r="S32" s="294"/>
      <c r="T32" s="294"/>
      <c r="U32" s="294"/>
      <c r="V32" s="294"/>
      <c r="W32" s="294"/>
      <c r="X32" s="294"/>
      <c r="Y32" s="294"/>
      <c r="Z32" s="294"/>
      <c r="AA32" s="294"/>
      <c r="AB32" s="294"/>
      <c r="AC32" s="294"/>
      <c r="AD32" s="294"/>
      <c r="AE32" s="294"/>
      <c r="AF32" s="294"/>
      <c r="AG32" s="4"/>
      <c r="AH32" s="294"/>
      <c r="AI32" s="294"/>
      <c r="AJ32" s="294"/>
      <c r="AK32" s="294">
        <f>-B!AJ1049</f>
        <v>-268860</v>
      </c>
      <c r="AL32" s="294">
        <f>-B!AK1049</f>
        <v>0</v>
      </c>
      <c r="AM32" s="294">
        <f>-B!AL1049</f>
        <v>-268860</v>
      </c>
      <c r="AN32" s="294">
        <f>-B!AM1049</f>
        <v>0</v>
      </c>
      <c r="AO32" s="294">
        <f>-B!AN1049</f>
        <v>-268860</v>
      </c>
      <c r="AP32" s="294">
        <f>-B!AO1049</f>
        <v>0</v>
      </c>
      <c r="AQ32" s="294">
        <f>-B!AP1049</f>
        <v>-268860</v>
      </c>
      <c r="AR32" s="294">
        <f>-B!AQ1049</f>
        <v>0</v>
      </c>
      <c r="AS32" s="294">
        <f>-B!AR1049</f>
        <v>-268860</v>
      </c>
      <c r="AT32" s="294">
        <f>-B!AS1049</f>
        <v>0</v>
      </c>
      <c r="AU32" s="294">
        <f>-B!AT1049</f>
        <v>-268860</v>
      </c>
      <c r="AV32" s="294">
        <f>-B!AU1049</f>
        <v>0</v>
      </c>
      <c r="AW32" s="294">
        <f>-B!AV1049</f>
        <v>-268860</v>
      </c>
      <c r="AX32" s="294">
        <f>-B!AW1049</f>
        <v>0</v>
      </c>
      <c r="AY32" s="294">
        <f>-B!AX1049</f>
        <v>-268860</v>
      </c>
      <c r="AZ32" s="294">
        <f>-B!AY1049</f>
        <v>0</v>
      </c>
      <c r="BA32" s="294">
        <f>-B!AZ1049</f>
        <v>-268860</v>
      </c>
    </row>
    <row r="33" spans="1:57" s="42" customFormat="1" hidden="1" x14ac:dyDescent="0.25">
      <c r="A33" s="294" t="s">
        <v>1375</v>
      </c>
      <c r="B33" s="294"/>
      <c r="C33" s="294"/>
      <c r="D33" s="294"/>
      <c r="E33" s="294"/>
      <c r="F33" s="294"/>
      <c r="G33" s="294"/>
      <c r="H33" s="294"/>
      <c r="I33" s="294"/>
      <c r="J33" s="294"/>
      <c r="K33" s="294"/>
      <c r="L33" s="294"/>
      <c r="M33" s="294"/>
      <c r="N33" s="294"/>
      <c r="O33" s="294"/>
      <c r="P33" s="294"/>
      <c r="Q33" s="294"/>
      <c r="R33" s="294"/>
      <c r="S33" s="294"/>
      <c r="T33" s="294"/>
      <c r="U33" s="294"/>
      <c r="V33" s="294"/>
      <c r="W33" s="294"/>
      <c r="X33" s="294"/>
      <c r="Y33" s="294"/>
      <c r="Z33" s="294"/>
      <c r="AA33" s="294"/>
      <c r="AB33" s="294"/>
      <c r="AC33" s="294"/>
      <c r="AD33" s="294"/>
      <c r="AE33" s="294"/>
      <c r="AF33" s="294"/>
      <c r="AG33" s="4"/>
      <c r="AH33" s="294"/>
      <c r="AI33" s="294"/>
      <c r="AJ33" s="294"/>
      <c r="AK33" s="294">
        <v>322498</v>
      </c>
      <c r="AL33" s="294"/>
      <c r="AM33" s="294">
        <v>333140</v>
      </c>
      <c r="AN33" s="294"/>
      <c r="AO33" s="294">
        <v>344134</v>
      </c>
      <c r="AP33" s="294"/>
      <c r="AQ33" s="294">
        <v>355490</v>
      </c>
      <c r="AR33" s="294"/>
      <c r="AS33" s="294">
        <v>367222</v>
      </c>
      <c r="AT33" s="294"/>
      <c r="AU33" s="294">
        <v>379340</v>
      </c>
      <c r="AV33" s="294"/>
      <c r="AW33" s="294">
        <v>391858</v>
      </c>
      <c r="AX33" s="294"/>
      <c r="AY33" s="294">
        <v>404790</v>
      </c>
      <c r="AZ33" s="294"/>
      <c r="BA33" s="294">
        <v>418148</v>
      </c>
    </row>
    <row r="34" spans="1:57" s="42" customFormat="1" hidden="1" x14ac:dyDescent="0.25">
      <c r="A34" s="320" t="s">
        <v>1373</v>
      </c>
      <c r="B34" s="294"/>
      <c r="C34" s="294"/>
      <c r="D34" s="294"/>
      <c r="E34" s="294"/>
      <c r="F34" s="294"/>
      <c r="G34" s="294"/>
      <c r="H34" s="294"/>
      <c r="I34" s="294"/>
      <c r="J34" s="294"/>
      <c r="K34" s="294"/>
      <c r="L34" s="294"/>
      <c r="M34" s="294"/>
      <c r="N34" s="294"/>
      <c r="O34" s="294"/>
      <c r="P34" s="294"/>
      <c r="Q34" s="294"/>
      <c r="R34" s="294"/>
      <c r="S34" s="294"/>
      <c r="T34" s="294"/>
      <c r="U34" s="294"/>
      <c r="V34" s="294"/>
      <c r="W34" s="294"/>
      <c r="X34" s="294"/>
      <c r="Y34" s="294"/>
      <c r="Z34" s="294"/>
      <c r="AA34" s="294"/>
      <c r="AB34" s="294"/>
      <c r="AC34" s="294"/>
      <c r="AD34" s="294"/>
      <c r="AE34" s="294"/>
      <c r="AF34" s="294"/>
      <c r="AG34" s="4"/>
      <c r="AH34" s="294"/>
      <c r="AI34" s="294"/>
      <c r="AJ34" s="294"/>
      <c r="AK34" s="294"/>
      <c r="AL34" s="294"/>
      <c r="AM34" s="294"/>
      <c r="AN34" s="294"/>
      <c r="AO34" s="294"/>
      <c r="AP34" s="294"/>
      <c r="AQ34" s="294"/>
      <c r="AR34" s="294"/>
      <c r="AS34" s="294"/>
      <c r="AT34" s="294"/>
      <c r="AU34" s="294">
        <f>+AU382</f>
        <v>147931.05865616494</v>
      </c>
      <c r="AV34" s="294">
        <f t="shared" ref="AV34:BA34" si="6">+AV382</f>
        <v>0</v>
      </c>
      <c r="AW34" s="294">
        <f t="shared" si="6"/>
        <v>153034.68017980261</v>
      </c>
      <c r="AX34" s="294">
        <f t="shared" si="6"/>
        <v>0</v>
      </c>
      <c r="AY34" s="294">
        <f t="shared" si="6"/>
        <v>158314.37664600581</v>
      </c>
      <c r="AZ34" s="294">
        <f t="shared" si="6"/>
        <v>0</v>
      </c>
      <c r="BA34" s="294">
        <f t="shared" si="6"/>
        <v>163776.22264029301</v>
      </c>
    </row>
    <row r="35" spans="1:57" s="42" customFormat="1" hidden="1" x14ac:dyDescent="0.25">
      <c r="A35" s="4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4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>
        <f t="shared" ref="AI35" si="7">SUM(AI29:AI34)</f>
        <v>0</v>
      </c>
      <c r="AJ35" s="3"/>
      <c r="AK35" s="3">
        <f>SUM(AK29:AK34)</f>
        <v>0</v>
      </c>
      <c r="AL35" s="3">
        <f t="shared" ref="AL35:AZ35" si="8">SUM(AL29:AL34)</f>
        <v>0</v>
      </c>
      <c r="AM35" s="3">
        <f t="shared" si="8"/>
        <v>-0.43399999942630529</v>
      </c>
      <c r="AN35" s="3">
        <f t="shared" si="8"/>
        <v>0</v>
      </c>
      <c r="AO35" s="3">
        <f t="shared" si="8"/>
        <v>-6.8321998231112957E-2</v>
      </c>
      <c r="AP35" s="3">
        <f t="shared" si="8"/>
        <v>0</v>
      </c>
      <c r="AQ35" s="3">
        <f>SUM(AQ29:AQ34)</f>
        <v>-0.49257662519812584</v>
      </c>
      <c r="AR35" s="3">
        <f t="shared" si="8"/>
        <v>0</v>
      </c>
      <c r="AS35" s="3">
        <f t="shared" si="8"/>
        <v>0.32116834633052349</v>
      </c>
      <c r="AT35" s="3">
        <f t="shared" si="8"/>
        <v>0</v>
      </c>
      <c r="AU35" s="3">
        <f t="shared" si="8"/>
        <v>5.7669016823638231E-3</v>
      </c>
      <c r="AV35" s="3">
        <f t="shared" si="8"/>
        <v>0</v>
      </c>
      <c r="AW35" s="3">
        <f t="shared" si="8"/>
        <v>-0.21404279218404554</v>
      </c>
      <c r="AX35" s="3">
        <f t="shared" si="8"/>
        <v>0</v>
      </c>
      <c r="AY35" s="3">
        <f t="shared" si="8"/>
        <v>0.46489379674312659</v>
      </c>
      <c r="AZ35" s="3">
        <f t="shared" si="8"/>
        <v>0</v>
      </c>
      <c r="BA35" s="3">
        <f>SUM(BA29:BA34)</f>
        <v>0.41023529350059107</v>
      </c>
    </row>
    <row r="36" spans="1:57" s="42" customFormat="1" x14ac:dyDescent="0.25">
      <c r="A36" s="461" t="s">
        <v>1245</v>
      </c>
      <c r="B36" s="461"/>
      <c r="C36" s="461"/>
      <c r="D36" s="461"/>
      <c r="E36" s="461"/>
      <c r="F36" s="461"/>
      <c r="G36" s="461"/>
      <c r="H36" s="461"/>
      <c r="I36" s="461"/>
      <c r="J36" s="461"/>
      <c r="K36" s="461"/>
      <c r="L36" s="461"/>
      <c r="M36" s="461"/>
      <c r="N36" s="461"/>
      <c r="O36" s="461"/>
      <c r="P36" s="461"/>
      <c r="Q36" s="461"/>
      <c r="R36" s="461"/>
      <c r="S36" s="461"/>
      <c r="T36" s="461"/>
      <c r="U36" s="461"/>
      <c r="V36" s="461"/>
      <c r="W36" s="461"/>
      <c r="X36" s="461"/>
      <c r="Y36" s="461"/>
      <c r="Z36" s="461"/>
      <c r="AA36" s="461"/>
      <c r="AB36" s="461"/>
      <c r="AC36" s="461"/>
      <c r="AD36" s="461"/>
      <c r="AE36" s="461"/>
      <c r="AF36" s="461"/>
      <c r="AG36" s="461"/>
      <c r="AH36" s="461"/>
      <c r="AI36" s="461"/>
      <c r="AJ36" s="461"/>
      <c r="AK36" s="461"/>
      <c r="AL36" s="461"/>
      <c r="AM36" s="461"/>
      <c r="AN36" s="461"/>
      <c r="AO36" s="461"/>
      <c r="AP36" s="461"/>
      <c r="AQ36" s="461"/>
      <c r="AR36" s="461"/>
      <c r="AS36" s="461"/>
      <c r="AT36" s="461"/>
      <c r="AU36" s="461"/>
      <c r="AV36" s="461"/>
      <c r="AW36" s="461"/>
      <c r="AX36" s="461"/>
      <c r="AY36" s="461"/>
      <c r="AZ36" s="461"/>
      <c r="BA36" s="461"/>
      <c r="BB36" s="461"/>
      <c r="BC36" s="461"/>
      <c r="BD36" s="461"/>
      <c r="BE36" s="461"/>
    </row>
    <row r="37" spans="1:57" x14ac:dyDescent="0.25">
      <c r="A37" s="259" t="s">
        <v>46</v>
      </c>
      <c r="BC37" s="3"/>
      <c r="BE37" s="3"/>
    </row>
    <row r="38" spans="1:57" x14ac:dyDescent="0.25">
      <c r="A38" s="7" t="s">
        <v>47</v>
      </c>
      <c r="BC38" s="3"/>
      <c r="BE38" s="3"/>
    </row>
    <row r="39" spans="1:57" s="42" customFormat="1" hidden="1" outlineLevel="1" x14ac:dyDescent="0.25">
      <c r="A39" s="3" t="s">
        <v>48</v>
      </c>
      <c r="B39" s="3">
        <v>2178000</v>
      </c>
      <c r="C39" s="3"/>
      <c r="D39" s="3">
        <f>2188632+4614</f>
        <v>2193246</v>
      </c>
      <c r="E39" s="3">
        <f>F39-D39</f>
        <v>-3246</v>
      </c>
      <c r="F39" s="3">
        <v>2190000</v>
      </c>
      <c r="G39" s="3"/>
      <c r="H39" s="32">
        <f t="shared" ref="H39:H47" si="9">F39-B39</f>
        <v>12000</v>
      </c>
      <c r="I39" s="4"/>
      <c r="J39" s="4">
        <v>2187609</v>
      </c>
      <c r="K39" s="4">
        <f>L39-J39</f>
        <v>2391</v>
      </c>
      <c r="L39" s="4">
        <v>2190000</v>
      </c>
      <c r="M39" s="4"/>
      <c r="N39" s="4">
        <f>L39-F39</f>
        <v>0</v>
      </c>
      <c r="O39" s="3"/>
      <c r="P39" s="3">
        <f>L39*1.036+10</f>
        <v>2268850</v>
      </c>
      <c r="Q39" s="3"/>
      <c r="R39" s="3">
        <v>2276219</v>
      </c>
      <c r="S39" s="3">
        <f>T39-R39</f>
        <v>-219</v>
      </c>
      <c r="T39" s="3">
        <v>2276000</v>
      </c>
      <c r="U39" s="3">
        <f>T39-P39</f>
        <v>7150</v>
      </c>
      <c r="V39" s="3">
        <v>2276934</v>
      </c>
      <c r="W39" s="3">
        <f>Y39-V39</f>
        <v>66</v>
      </c>
      <c r="X39" s="3"/>
      <c r="Y39" s="3">
        <v>2277000</v>
      </c>
      <c r="Z39" s="3">
        <f>Y39-T39</f>
        <v>1000</v>
      </c>
      <c r="AA39" s="3"/>
      <c r="AB39" s="3"/>
      <c r="AC39" s="3">
        <v>2276600</v>
      </c>
      <c r="AD39" s="3">
        <f>AE39-AC39</f>
        <v>0</v>
      </c>
      <c r="AE39" s="3">
        <v>2276600</v>
      </c>
      <c r="AF39" s="3">
        <f>AE39-Y39</f>
        <v>-400</v>
      </c>
      <c r="AG39" s="4"/>
      <c r="AH39" s="4"/>
      <c r="AI39" s="324">
        <f>MROUND(AE39*1.034,10)</f>
        <v>2354000</v>
      </c>
      <c r="AJ39" s="3"/>
      <c r="AK39" s="3">
        <f>AI39*1.023</f>
        <v>2408142</v>
      </c>
      <c r="AL39" s="3"/>
      <c r="AM39" s="3">
        <f>AK39*1.033</f>
        <v>2487610.6859999998</v>
      </c>
      <c r="AN39" s="3">
        <f>AL39*1.033</f>
        <v>0</v>
      </c>
      <c r="AO39" s="3">
        <f>AM39*1.033</f>
        <v>2569701.8386379997</v>
      </c>
      <c r="AP39" s="4"/>
      <c r="AQ39" s="3">
        <f>AO39*1.033</f>
        <v>2654501.9993130537</v>
      </c>
      <c r="AR39" s="3"/>
      <c r="AS39" s="3">
        <f>AQ39*1.033</f>
        <v>2742100.5652903845</v>
      </c>
      <c r="AT39" s="3">
        <f>AR39*1.033</f>
        <v>0</v>
      </c>
      <c r="AU39" s="3">
        <f>AS39*1.033</f>
        <v>2832589.8839449668</v>
      </c>
      <c r="AV39" s="3">
        <f>AT39*1.033</f>
        <v>0</v>
      </c>
      <c r="AW39" s="3">
        <f>AU39*1.033</f>
        <v>2926065.3501151507</v>
      </c>
      <c r="AX39" s="3"/>
      <c r="AY39" s="3">
        <f>AW39*1.033</f>
        <v>3022625.5066689504</v>
      </c>
      <c r="AZ39" s="3">
        <f>AX39*1.033</f>
        <v>0</v>
      </c>
      <c r="BA39" s="3">
        <f>AY39*1.033</f>
        <v>3122372.1483890256</v>
      </c>
      <c r="BC39" s="3">
        <f>BA39*1.033</f>
        <v>3225410.4292858629</v>
      </c>
      <c r="BE39" s="3">
        <f>BC39*1.033</f>
        <v>3331848.9734522961</v>
      </c>
    </row>
    <row r="40" spans="1:57" s="42" customFormat="1" hidden="1" outlineLevel="1" x14ac:dyDescent="0.25">
      <c r="A40" s="3" t="s">
        <v>49</v>
      </c>
      <c r="B40" s="3"/>
      <c r="C40" s="3"/>
      <c r="D40" s="3"/>
      <c r="E40" s="3"/>
      <c r="F40" s="3"/>
      <c r="G40" s="3"/>
      <c r="H40" s="32"/>
      <c r="I40" s="4"/>
      <c r="J40" s="4"/>
      <c r="K40" s="4"/>
      <c r="L40" s="4"/>
      <c r="M40" s="4"/>
      <c r="N40" s="4"/>
      <c r="O40" s="3"/>
      <c r="P40" s="3">
        <v>-8000</v>
      </c>
      <c r="Q40" s="3"/>
      <c r="R40" s="3">
        <v>0</v>
      </c>
      <c r="S40" s="3">
        <f t="shared" ref="S40:S47" si="10">T40-R40</f>
        <v>-8000</v>
      </c>
      <c r="T40" s="3">
        <v>-8000</v>
      </c>
      <c r="U40" s="3">
        <f t="shared" ref="U40:U47" si="11">T40-P40</f>
        <v>0</v>
      </c>
      <c r="V40" s="3">
        <v>0</v>
      </c>
      <c r="W40" s="3">
        <f t="shared" ref="W40:W47" si="12">Y40-V40</f>
        <v>-8000</v>
      </c>
      <c r="X40" s="3"/>
      <c r="Y40" s="3">
        <v>-8000</v>
      </c>
      <c r="Z40" s="3">
        <f t="shared" ref="Z40:Z47" si="13">Y40-T40</f>
        <v>0</v>
      </c>
      <c r="AA40" s="3"/>
      <c r="AB40" s="3"/>
      <c r="AC40" s="3">
        <v>0</v>
      </c>
      <c r="AD40" s="3">
        <f t="shared" ref="AD40:AD47" si="14">AE40-AC40</f>
        <v>-8000</v>
      </c>
      <c r="AE40" s="3">
        <v>-8000</v>
      </c>
      <c r="AF40" s="3">
        <f t="shared" ref="AF40:AF47" si="15">AE40-Y40</f>
        <v>0</v>
      </c>
      <c r="AG40" s="4"/>
      <c r="AH40" s="4"/>
      <c r="AI40" s="3"/>
      <c r="AJ40" s="3"/>
      <c r="AK40" s="3"/>
      <c r="AL40" s="3"/>
      <c r="AM40" s="3"/>
      <c r="AN40" s="3"/>
      <c r="AO40" s="3"/>
      <c r="AP40" s="4"/>
      <c r="AQ40" s="3"/>
      <c r="AS40" s="3"/>
      <c r="AU40" s="3"/>
      <c r="AW40" s="3"/>
      <c r="AX40" s="3"/>
      <c r="AY40" s="3"/>
      <c r="BA40" s="3"/>
      <c r="BC40" s="3"/>
      <c r="BE40" s="3"/>
    </row>
    <row r="41" spans="1:57" s="42" customFormat="1" hidden="1" outlineLevel="1" x14ac:dyDescent="0.25">
      <c r="A41" s="3" t="s">
        <v>50</v>
      </c>
      <c r="B41" s="3">
        <f>983260*1.025-842</f>
        <v>1006999.4999999999</v>
      </c>
      <c r="C41" s="3"/>
      <c r="D41" s="3">
        <v>452248</v>
      </c>
      <c r="E41" s="3">
        <f t="shared" ref="E41:E47" si="16">F41-D41</f>
        <v>600069</v>
      </c>
      <c r="F41" s="3">
        <v>1052317</v>
      </c>
      <c r="G41" s="3"/>
      <c r="H41" s="32">
        <f t="shared" si="9"/>
        <v>45317.500000000116</v>
      </c>
      <c r="I41" s="4"/>
      <c r="J41" s="4">
        <v>400046</v>
      </c>
      <c r="K41" s="4">
        <f t="shared" ref="K41:K47" si="17">L41-J41</f>
        <v>652271</v>
      </c>
      <c r="L41" s="4">
        <v>1052317</v>
      </c>
      <c r="M41" s="4"/>
      <c r="N41" s="4">
        <f t="shared" ref="N41:N47" si="18">L41-F41</f>
        <v>0</v>
      </c>
      <c r="O41" s="3"/>
      <c r="P41" s="3">
        <f>L41*1.025+25</f>
        <v>1078649.9249999998</v>
      </c>
      <c r="Q41" s="3"/>
      <c r="R41" s="3">
        <v>0</v>
      </c>
      <c r="S41" s="3">
        <f t="shared" si="10"/>
        <v>1090529</v>
      </c>
      <c r="T41" s="3">
        <v>1090529</v>
      </c>
      <c r="U41" s="3">
        <f t="shared" si="11"/>
        <v>11879.075000000186</v>
      </c>
      <c r="V41" s="3">
        <v>0</v>
      </c>
      <c r="W41" s="3">
        <f t="shared" si="12"/>
        <v>1090529</v>
      </c>
      <c r="X41" s="3"/>
      <c r="Y41" s="3">
        <v>1090529</v>
      </c>
      <c r="Z41" s="3">
        <f t="shared" si="13"/>
        <v>0</v>
      </c>
      <c r="AA41" s="3"/>
      <c r="AB41" s="3"/>
      <c r="AC41" s="3">
        <v>410668</v>
      </c>
      <c r="AD41" s="3">
        <f t="shared" si="14"/>
        <v>679861</v>
      </c>
      <c r="AE41" s="3">
        <v>1090529</v>
      </c>
      <c r="AF41" s="3">
        <f t="shared" si="15"/>
        <v>0</v>
      </c>
      <c r="AG41" s="4"/>
      <c r="AH41" s="4"/>
      <c r="AI41" s="321">
        <f>AE41*1.025+8</f>
        <v>1117800.2249999999</v>
      </c>
      <c r="AJ41" s="3"/>
      <c r="AK41" s="3">
        <f>AI41*1.025</f>
        <v>1145745.2306249999</v>
      </c>
      <c r="AL41" s="3"/>
      <c r="AM41" s="3">
        <f>AK41*1.025</f>
        <v>1174388.8613906247</v>
      </c>
      <c r="AN41" s="3"/>
      <c r="AO41" s="3">
        <f>AM41*1.025</f>
        <v>1203748.5829253902</v>
      </c>
      <c r="AP41" s="4"/>
      <c r="AQ41" s="3">
        <f>AO41*1.025</f>
        <v>1233842.2974985249</v>
      </c>
      <c r="AS41" s="3">
        <f>AQ41*1.025</f>
        <v>1264688.3549359879</v>
      </c>
      <c r="AU41" s="3">
        <f>AS41*1.025</f>
        <v>1296305.5638093874</v>
      </c>
      <c r="AW41" s="3">
        <f>AU41*1.025</f>
        <v>1328713.2029046221</v>
      </c>
      <c r="AX41" s="3"/>
      <c r="AY41" s="3">
        <f>AW41*1.025</f>
        <v>1361931.0329772376</v>
      </c>
      <c r="BA41" s="3">
        <f>AY41*1.025</f>
        <v>1395979.3088016685</v>
      </c>
      <c r="BC41" s="3">
        <f>BA41*1.025</f>
        <v>1430878.7915217101</v>
      </c>
      <c r="BE41" s="3">
        <f>BC41*1.025</f>
        <v>1466650.7613097527</v>
      </c>
    </row>
    <row r="42" spans="1:57" s="42" customFormat="1" hidden="1" outlineLevel="1" x14ac:dyDescent="0.25">
      <c r="A42" s="3" t="s">
        <v>51</v>
      </c>
      <c r="B42" s="3">
        <f>701345 *1.025-879</f>
        <v>717999.62499999988</v>
      </c>
      <c r="C42" s="3"/>
      <c r="D42" s="3">
        <v>317138</v>
      </c>
      <c r="E42" s="3">
        <f t="shared" si="16"/>
        <v>409335</v>
      </c>
      <c r="F42" s="3">
        <v>726473</v>
      </c>
      <c r="G42" s="3"/>
      <c r="H42" s="32">
        <f t="shared" si="9"/>
        <v>8473.3750000001164</v>
      </c>
      <c r="I42" s="4"/>
      <c r="J42" s="4">
        <v>272890</v>
      </c>
      <c r="K42" s="4">
        <f t="shared" si="17"/>
        <v>453579</v>
      </c>
      <c r="L42" s="4">
        <v>726469</v>
      </c>
      <c r="M42" s="4"/>
      <c r="N42" s="4">
        <f t="shared" si="18"/>
        <v>-4</v>
      </c>
      <c r="O42" s="3"/>
      <c r="P42" s="3">
        <f>L42 *1.025+19</f>
        <v>744649.72499999998</v>
      </c>
      <c r="Q42" s="3"/>
      <c r="R42" s="3">
        <v>0</v>
      </c>
      <c r="S42" s="3">
        <f t="shared" si="10"/>
        <v>721822</v>
      </c>
      <c r="T42" s="3">
        <v>721822</v>
      </c>
      <c r="U42" s="3">
        <f t="shared" si="11"/>
        <v>-22827.724999999977</v>
      </c>
      <c r="V42" s="3"/>
      <c r="W42" s="3">
        <f t="shared" si="12"/>
        <v>721822</v>
      </c>
      <c r="X42" s="3"/>
      <c r="Y42" s="3">
        <v>721822</v>
      </c>
      <c r="Z42" s="3">
        <f t="shared" si="13"/>
        <v>0</v>
      </c>
      <c r="AA42" s="3"/>
      <c r="AB42" s="3"/>
      <c r="AC42" s="3">
        <v>259248</v>
      </c>
      <c r="AD42" s="3">
        <f t="shared" si="14"/>
        <v>462574</v>
      </c>
      <c r="AE42" s="3">
        <v>721822</v>
      </c>
      <c r="AF42" s="3">
        <f t="shared" si="15"/>
        <v>0</v>
      </c>
      <c r="AG42" s="4"/>
      <c r="AH42" s="4"/>
      <c r="AI42" s="321">
        <f>P42 *1.025-1266</f>
        <v>761999.9681249999</v>
      </c>
      <c r="AJ42" s="3"/>
      <c r="AK42" s="3">
        <f>AI42 *1.025</f>
        <v>781049.9673281248</v>
      </c>
      <c r="AL42" s="3"/>
      <c r="AM42" s="3">
        <f>AK42 *1.025</f>
        <v>800576.21651132789</v>
      </c>
      <c r="AN42" s="3"/>
      <c r="AO42" s="3">
        <f>AM42 *1.025</f>
        <v>820590.62192411104</v>
      </c>
      <c r="AP42" s="4"/>
      <c r="AQ42" s="3">
        <f>AO42 *1.025</f>
        <v>841105.38747221371</v>
      </c>
      <c r="AS42" s="3">
        <f>AQ42 *1.025</f>
        <v>862133.02215901902</v>
      </c>
      <c r="AU42" s="3">
        <f>AS42 *1.025</f>
        <v>883686.34771299444</v>
      </c>
      <c r="AW42" s="3">
        <f>AU42 *1.025</f>
        <v>905778.50640581921</v>
      </c>
      <c r="AY42" s="3">
        <f>AW42 *1.025</f>
        <v>928422.96906596457</v>
      </c>
      <c r="BA42" s="3">
        <f>AY42 *1.025</f>
        <v>951633.54329261358</v>
      </c>
      <c r="BC42" s="3">
        <f>BA42 *1.025</f>
        <v>975424.38187492883</v>
      </c>
      <c r="BE42" s="3">
        <f>BC42 *1.025</f>
        <v>999809.99142180197</v>
      </c>
    </row>
    <row r="43" spans="1:57" hidden="1" outlineLevel="1" x14ac:dyDescent="0.25">
      <c r="A43" s="3" t="s">
        <v>52</v>
      </c>
      <c r="B43" s="3">
        <v>366000</v>
      </c>
      <c r="E43" s="3">
        <f t="shared" si="16"/>
        <v>366000</v>
      </c>
      <c r="F43" s="3">
        <v>366000</v>
      </c>
      <c r="H43" s="32">
        <f t="shared" si="9"/>
        <v>0</v>
      </c>
      <c r="I43" s="4"/>
      <c r="J43" s="4">
        <v>20020</v>
      </c>
      <c r="K43" s="4">
        <f t="shared" si="17"/>
        <v>345980</v>
      </c>
      <c r="L43" s="4">
        <v>366000</v>
      </c>
      <c r="N43" s="4">
        <f t="shared" si="18"/>
        <v>0</v>
      </c>
      <c r="P43" s="3">
        <v>372000</v>
      </c>
      <c r="R43" s="3">
        <v>0</v>
      </c>
      <c r="S43" s="3">
        <f t="shared" si="10"/>
        <v>372000</v>
      </c>
      <c r="T43" s="3">
        <v>372000</v>
      </c>
      <c r="U43" s="3">
        <f t="shared" si="11"/>
        <v>0</v>
      </c>
      <c r="W43" s="3">
        <f t="shared" si="12"/>
        <v>430520</v>
      </c>
      <c r="Y43" s="3">
        <v>430520</v>
      </c>
      <c r="Z43" s="3">
        <f t="shared" si="13"/>
        <v>58520</v>
      </c>
      <c r="AC43" s="3">
        <v>199765</v>
      </c>
      <c r="AD43" s="3">
        <f t="shared" si="14"/>
        <v>290235</v>
      </c>
      <c r="AE43" s="3">
        <v>490000</v>
      </c>
      <c r="AF43" s="3">
        <f t="shared" si="15"/>
        <v>59480</v>
      </c>
      <c r="AI43" s="321">
        <v>319000</v>
      </c>
      <c r="AK43" s="3">
        <v>370000</v>
      </c>
      <c r="AM43" s="3">
        <v>476000</v>
      </c>
      <c r="AO43" s="3">
        <v>476000</v>
      </c>
      <c r="AQ43" s="3">
        <v>476000</v>
      </c>
      <c r="AS43" s="3">
        <v>450000</v>
      </c>
      <c r="AU43" s="3">
        <v>450000</v>
      </c>
      <c r="AW43" s="3">
        <v>450000</v>
      </c>
      <c r="AY43" s="3">
        <v>450000</v>
      </c>
      <c r="BA43" s="3">
        <v>450000</v>
      </c>
      <c r="BC43" s="3">
        <v>450000</v>
      </c>
      <c r="BE43" s="3">
        <v>450000</v>
      </c>
    </row>
    <row r="44" spans="1:57" hidden="1" outlineLevel="1" x14ac:dyDescent="0.25">
      <c r="A44" s="3" t="s">
        <v>53</v>
      </c>
      <c r="E44" s="3">
        <f t="shared" si="16"/>
        <v>0</v>
      </c>
      <c r="H44" s="32">
        <f t="shared" si="9"/>
        <v>0</v>
      </c>
      <c r="I44" s="4"/>
      <c r="J44" s="4"/>
      <c r="K44" s="4">
        <f t="shared" si="17"/>
        <v>0</v>
      </c>
      <c r="L44" s="4"/>
      <c r="N44" s="4">
        <f t="shared" si="18"/>
        <v>0</v>
      </c>
      <c r="S44" s="3">
        <f t="shared" si="10"/>
        <v>0</v>
      </c>
      <c r="U44" s="3">
        <f t="shared" si="11"/>
        <v>0</v>
      </c>
      <c r="W44" s="3">
        <f t="shared" si="12"/>
        <v>0</v>
      </c>
      <c r="Z44" s="3">
        <f t="shared" si="13"/>
        <v>0</v>
      </c>
      <c r="AD44" s="3">
        <f t="shared" si="14"/>
        <v>0</v>
      </c>
      <c r="AF44" s="3">
        <f t="shared" si="15"/>
        <v>0</v>
      </c>
      <c r="AI44" s="321"/>
      <c r="BC44" s="3"/>
      <c r="BE44" s="3"/>
    </row>
    <row r="45" spans="1:57" hidden="1" outlineLevel="1" x14ac:dyDescent="0.25">
      <c r="A45" s="3" t="s">
        <v>54</v>
      </c>
      <c r="E45" s="3">
        <f t="shared" si="16"/>
        <v>0</v>
      </c>
      <c r="H45" s="32">
        <f t="shared" si="9"/>
        <v>0</v>
      </c>
      <c r="I45" s="4"/>
      <c r="J45" s="4"/>
      <c r="K45" s="4">
        <f t="shared" si="17"/>
        <v>0</v>
      </c>
      <c r="L45" s="4"/>
      <c r="N45" s="4">
        <f t="shared" si="18"/>
        <v>0</v>
      </c>
      <c r="S45" s="3">
        <f t="shared" si="10"/>
        <v>0</v>
      </c>
      <c r="U45" s="3">
        <f t="shared" si="11"/>
        <v>0</v>
      </c>
      <c r="W45" s="3">
        <f t="shared" si="12"/>
        <v>0</v>
      </c>
      <c r="Z45" s="3">
        <f t="shared" si="13"/>
        <v>0</v>
      </c>
      <c r="AD45" s="3">
        <f t="shared" si="14"/>
        <v>0</v>
      </c>
      <c r="AF45" s="3">
        <f t="shared" si="15"/>
        <v>0</v>
      </c>
      <c r="AI45" s="321"/>
      <c r="BC45" s="3"/>
      <c r="BE45" s="3"/>
    </row>
    <row r="46" spans="1:57" hidden="1" outlineLevel="1" x14ac:dyDescent="0.25">
      <c r="A46" s="3" t="s">
        <v>55</v>
      </c>
      <c r="B46" s="3">
        <v>18500</v>
      </c>
      <c r="E46" s="3">
        <f t="shared" si="16"/>
        <v>18500</v>
      </c>
      <c r="F46" s="3">
        <v>18500</v>
      </c>
      <c r="H46" s="32">
        <f t="shared" si="9"/>
        <v>0</v>
      </c>
      <c r="I46" s="4"/>
      <c r="J46" s="4">
        <v>0</v>
      </c>
      <c r="K46" s="4">
        <f t="shared" si="17"/>
        <v>18500</v>
      </c>
      <c r="L46" s="4">
        <v>18500</v>
      </c>
      <c r="N46" s="4">
        <f t="shared" si="18"/>
        <v>0</v>
      </c>
      <c r="P46" s="3">
        <f>L46*1.02-20</f>
        <v>18850</v>
      </c>
      <c r="R46" s="3">
        <v>0</v>
      </c>
      <c r="S46" s="3">
        <f t="shared" si="10"/>
        <v>18850</v>
      </c>
      <c r="T46" s="3">
        <v>18850</v>
      </c>
      <c r="U46" s="3">
        <f t="shared" si="11"/>
        <v>0</v>
      </c>
      <c r="W46" s="3">
        <f t="shared" si="12"/>
        <v>18850</v>
      </c>
      <c r="Y46" s="3">
        <v>18850</v>
      </c>
      <c r="Z46" s="3">
        <f t="shared" si="13"/>
        <v>0</v>
      </c>
      <c r="AC46" s="3">
        <v>19525</v>
      </c>
      <c r="AD46" s="3">
        <f t="shared" si="14"/>
        <v>0</v>
      </c>
      <c r="AE46" s="3">
        <v>19525</v>
      </c>
      <c r="AF46" s="3">
        <f t="shared" si="15"/>
        <v>675</v>
      </c>
      <c r="AI46" s="324">
        <v>19850</v>
      </c>
      <c r="AK46" s="3">
        <f>AI46*1.02</f>
        <v>20247</v>
      </c>
      <c r="AM46" s="3">
        <f>AK46*1.02</f>
        <v>20651.939999999999</v>
      </c>
      <c r="AO46" s="3">
        <f>AM46*1.02</f>
        <v>21064.978800000001</v>
      </c>
      <c r="AQ46" s="3">
        <f>AO46*1.02</f>
        <v>21486.278376000002</v>
      </c>
      <c r="AS46" s="3">
        <f>AQ46*1.02</f>
        <v>21916.003943520001</v>
      </c>
      <c r="AU46" s="3">
        <f>AS46*1.02</f>
        <v>22354.324022390403</v>
      </c>
      <c r="AW46" s="3">
        <f>AU46*1.02</f>
        <v>22801.410502838211</v>
      </c>
      <c r="AY46" s="3">
        <f>AW46*1.02</f>
        <v>23257.438712894975</v>
      </c>
      <c r="BA46" s="3">
        <f>AY46*1.02</f>
        <v>23722.587487152876</v>
      </c>
      <c r="BC46" s="3">
        <f>BA46*1.02</f>
        <v>24197.039236895933</v>
      </c>
      <c r="BE46" s="3">
        <f>BC46*1.02</f>
        <v>24680.980021633852</v>
      </c>
    </row>
    <row r="47" spans="1:57" hidden="1" outlineLevel="1" x14ac:dyDescent="0.25">
      <c r="A47" s="3" t="s">
        <v>56</v>
      </c>
      <c r="B47" s="3">
        <f>130000+20000</f>
        <v>150000</v>
      </c>
      <c r="D47" s="3">
        <v>87329</v>
      </c>
      <c r="E47" s="3">
        <f t="shared" si="16"/>
        <v>72671</v>
      </c>
      <c r="F47" s="3">
        <v>160000</v>
      </c>
      <c r="H47" s="32">
        <f t="shared" si="9"/>
        <v>10000</v>
      </c>
      <c r="I47" s="4"/>
      <c r="J47" s="4">
        <v>102747</v>
      </c>
      <c r="K47" s="4">
        <f t="shared" si="17"/>
        <v>57253</v>
      </c>
      <c r="L47" s="4">
        <v>160000</v>
      </c>
      <c r="N47" s="4">
        <f t="shared" si="18"/>
        <v>0</v>
      </c>
      <c r="P47" s="3">
        <v>160000</v>
      </c>
      <c r="R47" s="3">
        <f>9641+73375</f>
        <v>83016</v>
      </c>
      <c r="S47" s="3">
        <f t="shared" si="10"/>
        <v>91984</v>
      </c>
      <c r="T47" s="3">
        <v>175000</v>
      </c>
      <c r="U47" s="3">
        <f t="shared" si="11"/>
        <v>15000</v>
      </c>
      <c r="V47" s="3">
        <v>72865</v>
      </c>
      <c r="W47" s="3">
        <f t="shared" si="12"/>
        <v>102135</v>
      </c>
      <c r="Y47" s="3">
        <v>175000</v>
      </c>
      <c r="Z47" s="3">
        <f t="shared" si="13"/>
        <v>0</v>
      </c>
      <c r="AC47" s="3">
        <f>22455+154751</f>
        <v>177206</v>
      </c>
      <c r="AD47" s="3">
        <f t="shared" si="14"/>
        <v>-2206</v>
      </c>
      <c r="AE47" s="3">
        <v>175000</v>
      </c>
      <c r="AF47" s="3">
        <f t="shared" si="15"/>
        <v>0</v>
      </c>
      <c r="AI47" s="3">
        <v>160000</v>
      </c>
      <c r="AK47" s="3">
        <v>160000</v>
      </c>
      <c r="AM47" s="3">
        <f>AK47+5000</f>
        <v>165000</v>
      </c>
      <c r="AO47" s="3">
        <f>AM47+5000</f>
        <v>170000</v>
      </c>
      <c r="AQ47" s="3">
        <f>AO47+5000</f>
        <v>175000</v>
      </c>
      <c r="AS47" s="3">
        <f>AQ47+5000</f>
        <v>180000</v>
      </c>
      <c r="AU47" s="3">
        <f>AS47+5000</f>
        <v>185000</v>
      </c>
      <c r="AW47" s="3">
        <f>AU47+5000</f>
        <v>190000</v>
      </c>
      <c r="AY47" s="3">
        <f>AW47+5000</f>
        <v>195000</v>
      </c>
      <c r="BA47" s="3">
        <f>AY47+5000</f>
        <v>200000</v>
      </c>
      <c r="BC47" s="3">
        <f>BA47+5000</f>
        <v>205000</v>
      </c>
      <c r="BE47" s="3">
        <f>BC47+5000</f>
        <v>210000</v>
      </c>
    </row>
    <row r="48" spans="1:57" hidden="1" outlineLevel="1" x14ac:dyDescent="0.25">
      <c r="A48" s="3" t="s">
        <v>57</v>
      </c>
      <c r="BC48" s="3"/>
      <c r="BE48" s="3"/>
    </row>
    <row r="49" spans="1:57" ht="15.75" collapsed="1" thickBot="1" x14ac:dyDescent="0.3">
      <c r="A49" s="7" t="s">
        <v>1160</v>
      </c>
      <c r="B49" s="44">
        <f>SUM(B39:B48)</f>
        <v>4437499.125</v>
      </c>
      <c r="C49" s="32"/>
      <c r="D49" s="44">
        <f>SUM(D39:D48)</f>
        <v>3049961</v>
      </c>
      <c r="E49" s="44">
        <f>SUM(E39:E48)</f>
        <v>1463329</v>
      </c>
      <c r="F49" s="44">
        <f>SUM(F39:F48)</f>
        <v>4513290</v>
      </c>
      <c r="G49" s="32"/>
      <c r="H49" s="44">
        <f>SUM(H39:H48)</f>
        <v>75790.875000000233</v>
      </c>
      <c r="I49" s="32"/>
      <c r="J49" s="44">
        <f>SUM(J39:J48)</f>
        <v>2983312</v>
      </c>
      <c r="K49" s="44">
        <f>SUM(K39:K48)</f>
        <v>1529974</v>
      </c>
      <c r="L49" s="44">
        <f>SUM(L39:L48)</f>
        <v>4513286</v>
      </c>
      <c r="M49" s="32"/>
      <c r="N49" s="44">
        <f>SUM(N39:N48)</f>
        <v>-4</v>
      </c>
      <c r="O49" s="44"/>
      <c r="P49" s="44">
        <f>SUM(P39:P48)</f>
        <v>4634999.6500000004</v>
      </c>
      <c r="R49" s="44">
        <f t="shared" ref="R49:W49" si="19">SUM(R39:R48)</f>
        <v>2359235</v>
      </c>
      <c r="S49" s="44">
        <f t="shared" si="19"/>
        <v>2286966</v>
      </c>
      <c r="T49" s="44">
        <f t="shared" si="19"/>
        <v>4646201</v>
      </c>
      <c r="U49" s="44">
        <f t="shared" si="19"/>
        <v>11201.35000000021</v>
      </c>
      <c r="V49" s="44">
        <f t="shared" si="19"/>
        <v>2349799</v>
      </c>
      <c r="W49" s="44">
        <f t="shared" si="19"/>
        <v>2355922</v>
      </c>
      <c r="X49" s="44"/>
      <c r="Y49" s="44">
        <f>SUM(Y39:Y48)</f>
        <v>4705721</v>
      </c>
      <c r="Z49" s="44">
        <f>SUM(Z39:Z48)</f>
        <v>59520</v>
      </c>
      <c r="AC49" s="44">
        <f>SUM(AC39:AC48)</f>
        <v>3343012</v>
      </c>
      <c r="AD49" s="44">
        <f>SUM(AD39:AD48)</f>
        <v>1422464</v>
      </c>
      <c r="AE49" s="44">
        <f>SUM(AE39:AE48)</f>
        <v>4765476</v>
      </c>
      <c r="AF49" s="44">
        <f>SUM(AF39:AF48)</f>
        <v>59755</v>
      </c>
      <c r="AG49" s="32"/>
      <c r="AI49" s="44">
        <f>SUM(AI39:AI48)</f>
        <v>4732650.1931249993</v>
      </c>
      <c r="AK49" s="44">
        <f>SUM(AK39:AK48)</f>
        <v>4885184.1979531245</v>
      </c>
      <c r="AM49" s="44">
        <f>SUM(AM39:AM48)+1</f>
        <v>5124228.7039019531</v>
      </c>
      <c r="AO49" s="44">
        <f>SUM(AO39:AO48)</f>
        <v>5261106.0222875001</v>
      </c>
      <c r="AP49" s="32"/>
      <c r="AQ49" s="44">
        <f>SUM(AQ39:AQ48)</f>
        <v>5401935.962659793</v>
      </c>
      <c r="AS49" s="44">
        <f>SUM(AS39:AS48)</f>
        <v>5520837.946328911</v>
      </c>
      <c r="AU49" s="44">
        <f>SUM(AU39:AU48)</f>
        <v>5669936.1194897387</v>
      </c>
      <c r="AW49" s="44">
        <f>SUM(AW39:AW48)</f>
        <v>5823358.4699284304</v>
      </c>
      <c r="AY49" s="44">
        <f>SUM(AY39:AY48)</f>
        <v>5981236.9474250469</v>
      </c>
      <c r="BA49" s="44">
        <f>SUM(BA39:BA48)</f>
        <v>6143707.5879704608</v>
      </c>
      <c r="BC49" s="44">
        <f>SUM(BC39:BC48)</f>
        <v>6310910.6419193977</v>
      </c>
      <c r="BE49" s="44">
        <f>SUM(BE39:BE48)</f>
        <v>6482990.7062054845</v>
      </c>
    </row>
    <row r="50" spans="1:57" s="42" customFormat="1" ht="15.75" thickTop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4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4"/>
      <c r="AH50" s="4"/>
      <c r="AI50" s="3"/>
      <c r="AJ50" s="3"/>
      <c r="AK50" s="3"/>
      <c r="AL50" s="3"/>
      <c r="AM50" s="3"/>
      <c r="AN50" s="3"/>
      <c r="AO50" s="3"/>
      <c r="AP50" s="4"/>
      <c r="AQ50" s="3"/>
      <c r="AS50" s="3"/>
      <c r="AU50" s="3"/>
      <c r="AW50" s="3"/>
      <c r="AY50" s="3"/>
      <c r="BA50" s="3"/>
      <c r="BC50" s="3"/>
      <c r="BE50" s="3"/>
    </row>
    <row r="51" spans="1:57" x14ac:dyDescent="0.25">
      <c r="A51" s="7" t="s">
        <v>58</v>
      </c>
      <c r="BC51" s="3"/>
      <c r="BE51" s="3"/>
    </row>
    <row r="52" spans="1:57" hidden="1" outlineLevel="1" x14ac:dyDescent="0.25">
      <c r="A52" s="7" t="s">
        <v>59</v>
      </c>
      <c r="BC52" s="3"/>
      <c r="BE52" s="3"/>
    </row>
    <row r="53" spans="1:57" hidden="1" outlineLevel="1" x14ac:dyDescent="0.25">
      <c r="A53" s="45" t="s">
        <v>60</v>
      </c>
      <c r="B53" s="3">
        <v>5700</v>
      </c>
      <c r="D53" s="3">
        <v>845</v>
      </c>
      <c r="E53" s="3">
        <f t="shared" ref="E53:E59" si="20">F53-D53</f>
        <v>4855</v>
      </c>
      <c r="F53" s="3">
        <v>5700</v>
      </c>
      <c r="H53" s="32">
        <f t="shared" ref="H53:H59" si="21">F53-B53</f>
        <v>0</v>
      </c>
      <c r="I53" s="32"/>
      <c r="J53" s="4">
        <v>3100</v>
      </c>
      <c r="K53" s="4">
        <f t="shared" ref="K53:K59" si="22">L53-J53</f>
        <v>2600</v>
      </c>
      <c r="L53" s="4">
        <v>5700</v>
      </c>
      <c r="N53" s="4">
        <f t="shared" ref="N53:N59" si="23">L53-F53</f>
        <v>0</v>
      </c>
      <c r="P53" s="3">
        <f>L53*1.025+7</f>
        <v>5849.4999999999991</v>
      </c>
      <c r="R53" s="3">
        <v>2985</v>
      </c>
      <c r="S53" s="3">
        <f>T53-R53</f>
        <v>3265</v>
      </c>
      <c r="T53" s="3">
        <v>6250</v>
      </c>
      <c r="U53" s="3">
        <f>T53-P53</f>
        <v>400.50000000000091</v>
      </c>
      <c r="V53" s="3">
        <v>5325</v>
      </c>
      <c r="W53" s="3">
        <f t="shared" ref="W53:W59" si="24">Y53-V53</f>
        <v>1675</v>
      </c>
      <c r="Y53" s="3">
        <v>7000</v>
      </c>
      <c r="Z53" s="3">
        <f>Y53-T53</f>
        <v>750</v>
      </c>
      <c r="AC53" s="3">
        <v>7315</v>
      </c>
      <c r="AD53" s="3">
        <f t="shared" ref="AD53:AD59" si="25">AE53-AC53</f>
        <v>935</v>
      </c>
      <c r="AE53" s="3">
        <v>8250</v>
      </c>
      <c r="AF53" s="3">
        <f t="shared" ref="AF53:AF59" si="26">AE53-Y53</f>
        <v>1250</v>
      </c>
      <c r="AI53" s="325">
        <v>8250</v>
      </c>
      <c r="AK53" s="3">
        <f>AI53*1.025</f>
        <v>8456.25</v>
      </c>
      <c r="AM53" s="3">
        <f>AK53*1.025</f>
        <v>8667.65625</v>
      </c>
      <c r="AO53" s="3">
        <f>AM53*1.025</f>
        <v>8884.34765625</v>
      </c>
      <c r="AQ53" s="3">
        <f>AO53*1.025</f>
        <v>9106.4563476562489</v>
      </c>
      <c r="AS53" s="3">
        <f>AQ53*1.025</f>
        <v>9334.117756347654</v>
      </c>
      <c r="AU53" s="3">
        <f>AS53*1.025</f>
        <v>9567.4707002563446</v>
      </c>
      <c r="AW53" s="3">
        <f>AU53*1.025</f>
        <v>9806.6574677627523</v>
      </c>
      <c r="AY53" s="3">
        <f>AW53*1.025</f>
        <v>10051.82390445682</v>
      </c>
      <c r="BA53" s="3">
        <f>AY53*1.025</f>
        <v>10303.119502068239</v>
      </c>
      <c r="BC53" s="3">
        <f>BA53*1.025</f>
        <v>10560.697489619944</v>
      </c>
      <c r="BE53" s="3">
        <f>BC53*1.025</f>
        <v>10824.714926860443</v>
      </c>
    </row>
    <row r="54" spans="1:57" hidden="1" outlineLevel="1" x14ac:dyDescent="0.25">
      <c r="A54" s="45" t="s">
        <v>61</v>
      </c>
      <c r="B54" s="3">
        <v>2250</v>
      </c>
      <c r="D54" s="3">
        <v>750</v>
      </c>
      <c r="E54" s="3">
        <f t="shared" si="20"/>
        <v>1500</v>
      </c>
      <c r="F54" s="3">
        <v>2250</v>
      </c>
      <c r="H54" s="32">
        <f t="shared" si="21"/>
        <v>0</v>
      </c>
      <c r="I54" s="32"/>
      <c r="J54" s="4">
        <v>1045</v>
      </c>
      <c r="K54" s="4">
        <f t="shared" si="22"/>
        <v>1205</v>
      </c>
      <c r="L54" s="4">
        <v>2250</v>
      </c>
      <c r="N54" s="4">
        <f t="shared" si="23"/>
        <v>0</v>
      </c>
      <c r="P54" s="3">
        <f>L54*1.025-6</f>
        <v>2300.25</v>
      </c>
      <c r="R54" s="3">
        <v>633</v>
      </c>
      <c r="S54" s="3">
        <f t="shared" ref="S54:S59" si="27">T54-R54</f>
        <v>1667</v>
      </c>
      <c r="T54" s="3">
        <v>2300</v>
      </c>
      <c r="U54" s="3">
        <f t="shared" ref="U54:U59" si="28">T54-P54</f>
        <v>-0.25</v>
      </c>
      <c r="V54" s="3">
        <v>915</v>
      </c>
      <c r="W54" s="3">
        <f t="shared" si="24"/>
        <v>1085</v>
      </c>
      <c r="Y54" s="3">
        <v>2000</v>
      </c>
      <c r="Z54" s="3">
        <f t="shared" ref="Z54:Z59" si="29">Y54-T54</f>
        <v>-300</v>
      </c>
      <c r="AC54" s="3">
        <v>1420</v>
      </c>
      <c r="AD54" s="3">
        <f t="shared" si="25"/>
        <v>480</v>
      </c>
      <c r="AE54" s="3">
        <v>1900</v>
      </c>
      <c r="AF54" s="3">
        <f t="shared" si="26"/>
        <v>-100</v>
      </c>
      <c r="AI54" s="326">
        <f>AE54+100</f>
        <v>2000</v>
      </c>
      <c r="AK54" s="3">
        <f>AI54*1.025</f>
        <v>2050</v>
      </c>
      <c r="AM54" s="3">
        <f>AK54*1.025</f>
        <v>2101.25</v>
      </c>
      <c r="AO54" s="3">
        <f>AM54*1.025</f>
        <v>2153.78125</v>
      </c>
      <c r="AQ54" s="3">
        <f>AO54*1.025</f>
        <v>2207.6257812499998</v>
      </c>
      <c r="AS54" s="3">
        <f>AQ54*1.025</f>
        <v>2262.8164257812496</v>
      </c>
      <c r="AU54" s="3">
        <f>AS54*1.025</f>
        <v>2319.3868364257805</v>
      </c>
      <c r="AW54" s="3">
        <f>AU54*1.025</f>
        <v>2377.3715073364247</v>
      </c>
      <c r="AY54" s="3">
        <f>AW54*1.025</f>
        <v>2436.8057950198349</v>
      </c>
      <c r="BA54" s="3">
        <f>AY54*1.025</f>
        <v>2497.7259398953306</v>
      </c>
      <c r="BC54" s="3">
        <f>BA54*1.025</f>
        <v>2560.1690883927135</v>
      </c>
      <c r="BE54" s="3">
        <f>BC54*1.025</f>
        <v>2624.1733156025311</v>
      </c>
    </row>
    <row r="55" spans="1:57" hidden="1" outlineLevel="1" x14ac:dyDescent="0.25">
      <c r="A55" s="46" t="s">
        <v>62</v>
      </c>
      <c r="E55" s="3">
        <f t="shared" si="20"/>
        <v>0</v>
      </c>
      <c r="H55" s="32">
        <f t="shared" si="21"/>
        <v>0</v>
      </c>
      <c r="I55" s="32"/>
      <c r="J55" s="4"/>
      <c r="K55" s="4">
        <f t="shared" si="22"/>
        <v>0</v>
      </c>
      <c r="L55" s="4"/>
      <c r="N55" s="4">
        <f t="shared" si="23"/>
        <v>0</v>
      </c>
      <c r="S55" s="3">
        <f t="shared" si="27"/>
        <v>0</v>
      </c>
      <c r="U55" s="3">
        <f t="shared" si="28"/>
        <v>0</v>
      </c>
      <c r="W55" s="3">
        <f t="shared" si="24"/>
        <v>0</v>
      </c>
      <c r="Z55" s="3">
        <f t="shared" si="29"/>
        <v>0</v>
      </c>
      <c r="AD55" s="3">
        <f t="shared" si="25"/>
        <v>0</v>
      </c>
      <c r="AF55" s="3">
        <f t="shared" si="26"/>
        <v>0</v>
      </c>
      <c r="AI55" s="326"/>
      <c r="BC55" s="3"/>
      <c r="BE55" s="3"/>
    </row>
    <row r="56" spans="1:57" hidden="1" outlineLevel="1" x14ac:dyDescent="0.25">
      <c r="A56" s="47" t="s">
        <v>63</v>
      </c>
      <c r="B56" s="3">
        <v>20000</v>
      </c>
      <c r="D56" s="3">
        <v>0</v>
      </c>
      <c r="E56" s="3">
        <f t="shared" si="20"/>
        <v>25000</v>
      </c>
      <c r="F56" s="3">
        <v>25000</v>
      </c>
      <c r="H56" s="32">
        <f t="shared" si="21"/>
        <v>5000</v>
      </c>
      <c r="I56" s="32"/>
      <c r="J56" s="4">
        <v>22098</v>
      </c>
      <c r="K56" s="4">
        <f t="shared" si="22"/>
        <v>2902</v>
      </c>
      <c r="L56" s="4">
        <v>25000</v>
      </c>
      <c r="N56" s="4">
        <f t="shared" si="23"/>
        <v>0</v>
      </c>
      <c r="P56" s="3">
        <v>22500</v>
      </c>
      <c r="R56" s="3">
        <v>22956</v>
      </c>
      <c r="S56" s="3">
        <f t="shared" si="27"/>
        <v>38394</v>
      </c>
      <c r="T56" s="3">
        <v>61350</v>
      </c>
      <c r="U56" s="3">
        <f t="shared" si="28"/>
        <v>38850</v>
      </c>
      <c r="V56" s="3">
        <v>76130</v>
      </c>
      <c r="W56" s="3">
        <f t="shared" si="24"/>
        <v>0</v>
      </c>
      <c r="Y56" s="3">
        <v>76130</v>
      </c>
      <c r="Z56" s="3">
        <f t="shared" si="29"/>
        <v>14780</v>
      </c>
      <c r="AC56" s="3">
        <v>76580</v>
      </c>
      <c r="AD56" s="3">
        <f t="shared" si="25"/>
        <v>6420</v>
      </c>
      <c r="AE56" s="3">
        <v>83000</v>
      </c>
      <c r="AF56" s="3">
        <f t="shared" si="26"/>
        <v>6870</v>
      </c>
      <c r="AI56" s="326">
        <v>40000</v>
      </c>
      <c r="AK56" s="3">
        <f>AI56*1.025</f>
        <v>41000</v>
      </c>
      <c r="AM56" s="3">
        <f>AK56*1.025</f>
        <v>42024.999999999993</v>
      </c>
      <c r="AO56" s="3">
        <f>AM56*1.025</f>
        <v>43075.624999999985</v>
      </c>
      <c r="AQ56" s="3">
        <f>AO56*1.025</f>
        <v>44152.515624999978</v>
      </c>
      <c r="AS56" s="3">
        <f>AQ56*1.025</f>
        <v>45256.328515624977</v>
      </c>
      <c r="AU56" s="3">
        <f>AS56*1.025</f>
        <v>46387.7367285156</v>
      </c>
      <c r="AW56" s="3">
        <f>AU56*1.025</f>
        <v>47547.430146728482</v>
      </c>
      <c r="AY56" s="3">
        <f>AW56*1.025</f>
        <v>48736.11590039669</v>
      </c>
      <c r="BA56" s="3">
        <f>AY56*1.025</f>
        <v>49954.518797906603</v>
      </c>
      <c r="BC56" s="3">
        <f>BA56*1.025</f>
        <v>51203.381767854262</v>
      </c>
      <c r="BE56" s="3">
        <f>BC56*1.025</f>
        <v>52483.466312050616</v>
      </c>
    </row>
    <row r="57" spans="1:57" hidden="1" outlineLevel="1" x14ac:dyDescent="0.25">
      <c r="A57" s="45" t="s">
        <v>64</v>
      </c>
      <c r="E57" s="3">
        <f t="shared" si="20"/>
        <v>0</v>
      </c>
      <c r="H57" s="32">
        <f t="shared" si="21"/>
        <v>0</v>
      </c>
      <c r="I57" s="32"/>
      <c r="J57" s="4"/>
      <c r="K57" s="4">
        <f t="shared" si="22"/>
        <v>0</v>
      </c>
      <c r="L57" s="4"/>
      <c r="N57" s="4">
        <f t="shared" si="23"/>
        <v>0</v>
      </c>
      <c r="S57" s="3">
        <f t="shared" si="27"/>
        <v>0</v>
      </c>
      <c r="U57" s="3">
        <f t="shared" si="28"/>
        <v>0</v>
      </c>
      <c r="W57" s="3">
        <f t="shared" si="24"/>
        <v>0</v>
      </c>
      <c r="Z57" s="3">
        <f t="shared" si="29"/>
        <v>0</v>
      </c>
      <c r="AD57" s="3">
        <f t="shared" si="25"/>
        <v>0</v>
      </c>
      <c r="AF57" s="3">
        <f t="shared" si="26"/>
        <v>0</v>
      </c>
      <c r="AI57" s="321"/>
      <c r="BC57" s="3"/>
      <c r="BE57" s="3"/>
    </row>
    <row r="58" spans="1:57" hidden="1" outlineLevel="1" x14ac:dyDescent="0.25">
      <c r="A58" s="45" t="s">
        <v>65</v>
      </c>
      <c r="H58" s="32"/>
      <c r="I58" s="32"/>
      <c r="J58" s="4"/>
      <c r="K58" s="4"/>
      <c r="L58" s="4"/>
      <c r="N58" s="4"/>
      <c r="P58" s="3">
        <v>12500</v>
      </c>
      <c r="S58" s="3">
        <f t="shared" si="27"/>
        <v>12500</v>
      </c>
      <c r="T58" s="3">
        <v>12500</v>
      </c>
      <c r="U58" s="3">
        <f t="shared" si="28"/>
        <v>0</v>
      </c>
      <c r="W58" s="3">
        <f t="shared" si="24"/>
        <v>12500</v>
      </c>
      <c r="Y58" s="3">
        <v>12500</v>
      </c>
      <c r="Z58" s="3">
        <f t="shared" si="29"/>
        <v>0</v>
      </c>
      <c r="AC58" s="3">
        <v>0</v>
      </c>
      <c r="AD58" s="3">
        <f t="shared" si="25"/>
        <v>0</v>
      </c>
      <c r="AE58" s="3">
        <v>0</v>
      </c>
      <c r="AF58" s="3">
        <f t="shared" si="26"/>
        <v>-12500</v>
      </c>
      <c r="AI58" s="321"/>
      <c r="BC58" s="3"/>
      <c r="BE58" s="3"/>
    </row>
    <row r="59" spans="1:57" hidden="1" outlineLevel="1" x14ac:dyDescent="0.25">
      <c r="A59" s="46" t="s">
        <v>66</v>
      </c>
      <c r="B59" s="3">
        <v>2550</v>
      </c>
      <c r="D59" s="3">
        <v>684</v>
      </c>
      <c r="E59" s="3">
        <f t="shared" si="20"/>
        <v>1866</v>
      </c>
      <c r="F59" s="3">
        <v>2550</v>
      </c>
      <c r="H59" s="32">
        <f t="shared" si="21"/>
        <v>0</v>
      </c>
      <c r="I59" s="32"/>
      <c r="J59" s="4">
        <v>465</v>
      </c>
      <c r="K59" s="4">
        <f t="shared" si="22"/>
        <v>1035</v>
      </c>
      <c r="L59" s="4">
        <v>1500</v>
      </c>
      <c r="N59" s="4">
        <f t="shared" si="23"/>
        <v>-1050</v>
      </c>
      <c r="P59" s="3">
        <f>L59*1.025+12</f>
        <v>1549.4999999999998</v>
      </c>
      <c r="R59" s="3">
        <v>1647</v>
      </c>
      <c r="S59" s="3">
        <f t="shared" si="27"/>
        <v>353</v>
      </c>
      <c r="T59" s="3">
        <v>2000</v>
      </c>
      <c r="U59" s="3">
        <f t="shared" si="28"/>
        <v>450.50000000000023</v>
      </c>
      <c r="V59" s="3">
        <v>1844</v>
      </c>
      <c r="W59" s="3">
        <f t="shared" si="24"/>
        <v>156</v>
      </c>
      <c r="Y59" s="3">
        <v>2000</v>
      </c>
      <c r="Z59" s="3">
        <f t="shared" si="29"/>
        <v>0</v>
      </c>
      <c r="AC59" s="3">
        <v>5194</v>
      </c>
      <c r="AD59" s="3">
        <f t="shared" si="25"/>
        <v>806</v>
      </c>
      <c r="AE59" s="3">
        <v>6000</v>
      </c>
      <c r="AF59" s="3">
        <f t="shared" si="26"/>
        <v>4000</v>
      </c>
      <c r="AI59" s="326">
        <v>4000</v>
      </c>
      <c r="AK59" s="3">
        <f>AI59*1.025</f>
        <v>4100</v>
      </c>
      <c r="AM59" s="3">
        <f>AK59*1.025</f>
        <v>4202.5</v>
      </c>
      <c r="AO59" s="3">
        <f>AM59*1.025</f>
        <v>4307.5625</v>
      </c>
      <c r="AQ59" s="3">
        <f>AO59*1.025</f>
        <v>4415.2515624999996</v>
      </c>
      <c r="AS59" s="3">
        <f>AQ59*1.025</f>
        <v>4525.6328515624991</v>
      </c>
      <c r="AU59" s="3">
        <f>AS59*1.025</f>
        <v>4638.7736728515611</v>
      </c>
      <c r="AW59" s="3">
        <f>AU59*1.025</f>
        <v>4754.7430146728493</v>
      </c>
      <c r="AY59" s="3">
        <f>AW59*1.025</f>
        <v>4873.6115900396699</v>
      </c>
      <c r="BA59" s="3">
        <f>AY59*1.025</f>
        <v>4995.4518797906612</v>
      </c>
      <c r="BC59" s="3">
        <f>BA59*1.025</f>
        <v>5120.3381767854271</v>
      </c>
      <c r="BE59" s="3">
        <f>BC59*1.025</f>
        <v>5248.3466312050623</v>
      </c>
    </row>
    <row r="60" spans="1:57" hidden="1" outlineLevel="1" x14ac:dyDescent="0.25">
      <c r="A60" s="3"/>
      <c r="B60" s="62">
        <f>SUM(B53:B59)</f>
        <v>30500</v>
      </c>
      <c r="C60" s="32"/>
      <c r="D60" s="62">
        <f>SUM(D53:D59)</f>
        <v>2279</v>
      </c>
      <c r="E60" s="62">
        <f>SUM(E53:E59)</f>
        <v>33221</v>
      </c>
      <c r="F60" s="62">
        <f>SUM(F53:F59)</f>
        <v>35500</v>
      </c>
      <c r="G60" s="32"/>
      <c r="H60" s="62">
        <f>SUM(H53:H59)</f>
        <v>5000</v>
      </c>
      <c r="I60" s="32"/>
      <c r="J60" s="62">
        <f t="shared" ref="J60:L61" si="30">SUM(J53:J59)</f>
        <v>26708</v>
      </c>
      <c r="K60" s="62">
        <f t="shared" si="30"/>
        <v>7742</v>
      </c>
      <c r="L60" s="62">
        <f t="shared" si="30"/>
        <v>34450</v>
      </c>
      <c r="M60" s="32"/>
      <c r="N60" s="62">
        <f>SUM(N53:N59)</f>
        <v>-1050</v>
      </c>
      <c r="P60" s="62">
        <f>SUM(P53:P59)+1</f>
        <v>44700.25</v>
      </c>
      <c r="R60" s="62">
        <f>SUM(R53:R59)+1</f>
        <v>28222</v>
      </c>
      <c r="S60" s="62">
        <f>SUM(S53:S59)+1</f>
        <v>56180</v>
      </c>
      <c r="T60" s="62">
        <f>SUM(T53:T59)+1</f>
        <v>84401</v>
      </c>
      <c r="U60" s="62">
        <f>SUM(U53:U59)</f>
        <v>39700.75</v>
      </c>
      <c r="V60" s="62">
        <f>SUM(V53:V59)+1</f>
        <v>84215</v>
      </c>
      <c r="W60" s="62">
        <f>SUM(W53:W59)+1</f>
        <v>15417</v>
      </c>
      <c r="X60" s="62"/>
      <c r="Y60" s="62">
        <f>SUM(Y53:Y59)+1</f>
        <v>99631</v>
      </c>
      <c r="Z60" s="62">
        <f>SUM(Z53:Z59)</f>
        <v>15230</v>
      </c>
      <c r="AC60" s="62">
        <f>SUM(AC53:AC59)+1</f>
        <v>90510</v>
      </c>
      <c r="AD60" s="62">
        <f>SUM(AD53:AD59)+1</f>
        <v>8642</v>
      </c>
      <c r="AE60" s="62">
        <f>SUM(AE53:AE59)+1</f>
        <v>99151</v>
      </c>
      <c r="AF60" s="62">
        <f>SUM(AF53:AF59)+1</f>
        <v>-479</v>
      </c>
      <c r="AG60" s="32"/>
      <c r="AI60" s="62">
        <f>SUM(AI53:AI59)</f>
        <v>54250</v>
      </c>
      <c r="AK60" s="62">
        <f>SUM(AK53:AK59)+1</f>
        <v>55607.25</v>
      </c>
      <c r="AM60" s="62">
        <f>SUM(AM53:AM59)</f>
        <v>56996.406249999993</v>
      </c>
      <c r="AO60" s="62">
        <f>SUM(AO53:AO59)</f>
        <v>58421.316406249985</v>
      </c>
      <c r="AP60" s="32"/>
      <c r="AQ60" s="62">
        <f>SUM(AQ53:AQ59)</f>
        <v>59881.849316406231</v>
      </c>
      <c r="AS60" s="62">
        <f>SUM(AS53:AS59)-1</f>
        <v>61377.895549316381</v>
      </c>
      <c r="AU60" s="62">
        <f>SUM(AU53:AU59)-1</f>
        <v>62912.367938049283</v>
      </c>
      <c r="AW60" s="62">
        <f>SUM(AW53:AW59)-1</f>
        <v>64485.202136500513</v>
      </c>
      <c r="AY60" s="62">
        <f>SUM(AY53:AY59)-1</f>
        <v>66097.357189913018</v>
      </c>
      <c r="BA60" s="62">
        <f>SUM(BA53:BA59)-1</f>
        <v>67749.816119660827</v>
      </c>
      <c r="BC60" s="62">
        <f>SUM(BC53:BC59)-1</f>
        <v>69443.586522652346</v>
      </c>
      <c r="BE60" s="62">
        <f>SUM(BE53:BE59)-1</f>
        <v>71179.701185718644</v>
      </c>
    </row>
    <row r="61" spans="1:57" hidden="1" outlineLevel="1" x14ac:dyDescent="0.25">
      <c r="A61" s="3"/>
      <c r="J61" s="62">
        <f t="shared" si="30"/>
        <v>50316</v>
      </c>
      <c r="K61" s="62">
        <f t="shared" si="30"/>
        <v>12884</v>
      </c>
      <c r="L61" s="62">
        <f t="shared" si="30"/>
        <v>63200</v>
      </c>
      <c r="M61" s="32"/>
      <c r="N61" s="62">
        <f>SUM(N54:N60)</f>
        <v>-2100</v>
      </c>
      <c r="BC61" s="3"/>
      <c r="BE61" s="3"/>
    </row>
    <row r="62" spans="1:57" hidden="1" outlineLevel="1" x14ac:dyDescent="0.25">
      <c r="A62" s="7" t="s">
        <v>67</v>
      </c>
      <c r="BC62" s="3"/>
      <c r="BE62" s="3"/>
    </row>
    <row r="63" spans="1:57" hidden="1" outlineLevel="1" x14ac:dyDescent="0.25">
      <c r="A63" s="3" t="s">
        <v>68</v>
      </c>
      <c r="B63" s="3">
        <v>1000</v>
      </c>
      <c r="D63" s="3">
        <v>1827</v>
      </c>
      <c r="E63" s="3">
        <f t="shared" ref="E63:E72" si="31">F63-D63</f>
        <v>3</v>
      </c>
      <c r="F63" s="3">
        <v>1830</v>
      </c>
      <c r="H63" s="32">
        <f t="shared" ref="H63:H72" si="32">F63-B63</f>
        <v>830</v>
      </c>
      <c r="I63" s="32"/>
      <c r="J63" s="4">
        <v>1827</v>
      </c>
      <c r="K63" s="4">
        <f t="shared" ref="K63:K72" si="33">L63-J63</f>
        <v>3</v>
      </c>
      <c r="L63" s="4">
        <v>1830</v>
      </c>
      <c r="N63" s="4">
        <f t="shared" ref="N63:N72" si="34">L63-F63</f>
        <v>0</v>
      </c>
      <c r="P63" s="3">
        <v>1500</v>
      </c>
      <c r="R63" s="3">
        <v>3246</v>
      </c>
      <c r="S63" s="3">
        <f t="shared" ref="S63:S72" si="35">T63-R63</f>
        <v>254</v>
      </c>
      <c r="T63" s="3">
        <v>3500</v>
      </c>
      <c r="U63" s="3">
        <f>T63-P63</f>
        <v>2000</v>
      </c>
      <c r="V63" s="3">
        <v>3254</v>
      </c>
      <c r="W63" s="3">
        <f t="shared" ref="W63:W72" si="36">Y63-V63</f>
        <v>496</v>
      </c>
      <c r="Y63" s="3">
        <v>3750</v>
      </c>
      <c r="Z63" s="3">
        <f>Y63-T63</f>
        <v>250</v>
      </c>
      <c r="AC63" s="3">
        <v>3441</v>
      </c>
      <c r="AD63" s="3">
        <f t="shared" ref="AD63:AD72" si="37">AE63-AC63</f>
        <v>309</v>
      </c>
      <c r="AE63" s="3">
        <v>3750</v>
      </c>
      <c r="AF63" s="3">
        <f t="shared" ref="AF63:AF72" si="38">AE63-Y63</f>
        <v>0</v>
      </c>
      <c r="AI63" s="326">
        <v>1500</v>
      </c>
      <c r="AK63" s="3">
        <f>AI63*1.025</f>
        <v>1537.4999999999998</v>
      </c>
      <c r="AM63" s="3">
        <f>AK63*1.025</f>
        <v>1575.9374999999995</v>
      </c>
      <c r="AO63" s="3">
        <f>AM63*1.025</f>
        <v>1615.3359374999993</v>
      </c>
      <c r="AQ63" s="3">
        <f>AO63*1.025</f>
        <v>1655.7193359374992</v>
      </c>
      <c r="AS63" s="3">
        <f>AQ63*1.025</f>
        <v>1697.1123193359365</v>
      </c>
      <c r="AU63" s="3">
        <f>AS63*1.025</f>
        <v>1739.5401273193347</v>
      </c>
      <c r="AW63" s="3">
        <f>AU63*1.025</f>
        <v>1783.028630502318</v>
      </c>
      <c r="AY63" s="3">
        <f>AW63*1.025</f>
        <v>1827.6043462648759</v>
      </c>
      <c r="BA63" s="3">
        <f>AY63*1.025</f>
        <v>1873.2944549214976</v>
      </c>
      <c r="BC63" s="3">
        <f>BA63*1.025</f>
        <v>1920.1268162945348</v>
      </c>
      <c r="BE63" s="3">
        <f>BC63*1.025</f>
        <v>1968.1299867018979</v>
      </c>
    </row>
    <row r="64" spans="1:57" hidden="1" outlineLevel="1" x14ac:dyDescent="0.25">
      <c r="A64" s="3" t="s">
        <v>69</v>
      </c>
      <c r="E64" s="3">
        <f t="shared" si="31"/>
        <v>0</v>
      </c>
      <c r="H64" s="32">
        <f t="shared" si="32"/>
        <v>0</v>
      </c>
      <c r="I64" s="32"/>
      <c r="J64" s="4"/>
      <c r="K64" s="4">
        <f t="shared" si="33"/>
        <v>0</v>
      </c>
      <c r="L64" s="4"/>
      <c r="N64" s="4">
        <f t="shared" si="34"/>
        <v>0</v>
      </c>
      <c r="W64" s="3">
        <f t="shared" si="36"/>
        <v>0</v>
      </c>
      <c r="AD64" s="3">
        <f t="shared" si="37"/>
        <v>0</v>
      </c>
      <c r="AF64" s="3">
        <f t="shared" si="38"/>
        <v>0</v>
      </c>
      <c r="BC64" s="3"/>
      <c r="BE64" s="3"/>
    </row>
    <row r="65" spans="1:57" hidden="1" outlineLevel="1" x14ac:dyDescent="0.25">
      <c r="A65" s="3" t="s">
        <v>70</v>
      </c>
      <c r="E65" s="3">
        <f t="shared" si="31"/>
        <v>0</v>
      </c>
      <c r="H65" s="32">
        <f t="shared" si="32"/>
        <v>0</v>
      </c>
      <c r="I65" s="32"/>
      <c r="J65" s="4"/>
      <c r="K65" s="4">
        <f t="shared" si="33"/>
        <v>0</v>
      </c>
      <c r="L65" s="4"/>
      <c r="N65" s="4">
        <f t="shared" si="34"/>
        <v>0</v>
      </c>
      <c r="S65" s="3">
        <f t="shared" si="35"/>
        <v>0</v>
      </c>
      <c r="U65" s="3">
        <f t="shared" ref="U65:U72" si="39">T65-P65</f>
        <v>0</v>
      </c>
      <c r="W65" s="3">
        <f t="shared" si="36"/>
        <v>0</v>
      </c>
      <c r="Z65" s="3">
        <f t="shared" ref="Z65:Z72" si="40">Y65-T65</f>
        <v>0</v>
      </c>
      <c r="AD65" s="3">
        <f t="shared" si="37"/>
        <v>0</v>
      </c>
      <c r="AF65" s="3">
        <f t="shared" si="38"/>
        <v>0</v>
      </c>
      <c r="BC65" s="3"/>
      <c r="BE65" s="3"/>
    </row>
    <row r="66" spans="1:57" hidden="1" outlineLevel="1" x14ac:dyDescent="0.25">
      <c r="A66" s="3" t="s">
        <v>71</v>
      </c>
      <c r="B66" s="3">
        <v>-1210000</v>
      </c>
      <c r="D66" s="3">
        <v>-211115</v>
      </c>
      <c r="E66" s="3">
        <f t="shared" si="31"/>
        <v>-998885</v>
      </c>
      <c r="F66" s="3">
        <v>-1210000</v>
      </c>
      <c r="H66" s="32">
        <f t="shared" si="32"/>
        <v>0</v>
      </c>
      <c r="I66" s="32"/>
      <c r="J66" s="4">
        <v>-374532</v>
      </c>
      <c r="K66" s="4">
        <f t="shared" si="33"/>
        <v>-835468</v>
      </c>
      <c r="L66" s="4">
        <v>-1210000</v>
      </c>
      <c r="N66" s="4">
        <f t="shared" si="34"/>
        <v>0</v>
      </c>
      <c r="P66" s="3">
        <f>L66*1.0325-25</f>
        <v>-1249350</v>
      </c>
      <c r="R66" s="3">
        <v>177136</v>
      </c>
      <c r="S66" s="3">
        <f t="shared" si="35"/>
        <v>-1426486</v>
      </c>
      <c r="T66" s="3">
        <v>-1249350</v>
      </c>
      <c r="U66" s="3">
        <f t="shared" si="39"/>
        <v>0</v>
      </c>
      <c r="V66" s="3">
        <v>333462</v>
      </c>
      <c r="W66" s="3">
        <f t="shared" si="36"/>
        <v>-1583462</v>
      </c>
      <c r="Y66" s="3">
        <v>-1250000</v>
      </c>
      <c r="Z66" s="3">
        <f t="shared" si="40"/>
        <v>-650</v>
      </c>
      <c r="AC66" s="3">
        <v>-490834</v>
      </c>
      <c r="AD66" s="3">
        <f t="shared" si="37"/>
        <v>-759166</v>
      </c>
      <c r="AE66" s="3">
        <v>-1250000</v>
      </c>
      <c r="AF66" s="3">
        <f t="shared" si="38"/>
        <v>0</v>
      </c>
      <c r="AI66" s="326">
        <f>P66*1.0325-46</f>
        <v>-1289999.875</v>
      </c>
      <c r="AK66" s="3">
        <f>AI66*1.0325</f>
        <v>-1331924.8709374999</v>
      </c>
      <c r="AM66" s="3">
        <f>AK66*1.0325</f>
        <v>-1375212.4292429686</v>
      </c>
      <c r="AO66" s="3">
        <f>AM66*1.0325</f>
        <v>-1419906.833193365</v>
      </c>
      <c r="AQ66" s="3">
        <f>AO66*1.0325</f>
        <v>-1466053.8052721494</v>
      </c>
      <c r="AS66" s="3">
        <f>AQ66*1.03+3-2000+20</f>
        <v>-1512012.4194303139</v>
      </c>
      <c r="AU66" s="3">
        <f>AS66*1.03+3-2000+20</f>
        <v>-1559349.7920132233</v>
      </c>
      <c r="AW66" s="3">
        <f>AU66*1.03+3-2000+20</f>
        <v>-1608107.28577362</v>
      </c>
      <c r="AY66" s="3">
        <f>AW66*1.03+3-2000+20</f>
        <v>-1658327.5043468287</v>
      </c>
      <c r="BA66" s="3">
        <f>AY66*1.03+3-2000+20</f>
        <v>-1710054.3294772336</v>
      </c>
      <c r="BC66" s="3">
        <f>BA66*1.03+3-2000+20</f>
        <v>-1763332.9593615506</v>
      </c>
      <c r="BE66" s="3">
        <f>BC66*1.03+3-2000+20</f>
        <v>-1818209.9481423972</v>
      </c>
    </row>
    <row r="67" spans="1:57" hidden="1" outlineLevel="1" x14ac:dyDescent="0.25">
      <c r="A67" s="3" t="s">
        <v>72</v>
      </c>
      <c r="B67" s="3">
        <v>1450000</v>
      </c>
      <c r="D67" s="3">
        <v>385670</v>
      </c>
      <c r="E67" s="3">
        <f t="shared" si="31"/>
        <v>1064330</v>
      </c>
      <c r="F67" s="3">
        <v>1450000</v>
      </c>
      <c r="H67" s="32">
        <f t="shared" si="32"/>
        <v>0</v>
      </c>
      <c r="I67" s="32"/>
      <c r="J67" s="4">
        <v>847686</v>
      </c>
      <c r="K67" s="4">
        <f t="shared" si="33"/>
        <v>702314</v>
      </c>
      <c r="L67" s="4">
        <v>1550000</v>
      </c>
      <c r="N67" s="4">
        <f t="shared" si="34"/>
        <v>100000</v>
      </c>
      <c r="P67" s="3">
        <f>L67*1.0325+25</f>
        <v>1600400</v>
      </c>
      <c r="R67" s="3">
        <f>408525</f>
        <v>408525</v>
      </c>
      <c r="S67" s="3">
        <f t="shared" si="35"/>
        <v>1191875</v>
      </c>
      <c r="T67" s="3">
        <v>1600400</v>
      </c>
      <c r="U67" s="3">
        <f t="shared" si="39"/>
        <v>0</v>
      </c>
      <c r="V67" s="3">
        <f>820512+3164</f>
        <v>823676</v>
      </c>
      <c r="W67" s="3">
        <f t="shared" si="36"/>
        <v>826324</v>
      </c>
      <c r="Y67" s="3">
        <v>1650000</v>
      </c>
      <c r="Z67" s="3">
        <f t="shared" si="40"/>
        <v>49600</v>
      </c>
      <c r="AC67" s="3">
        <v>1164123</v>
      </c>
      <c r="AD67" s="3">
        <f t="shared" si="37"/>
        <v>460877</v>
      </c>
      <c r="AE67" s="3">
        <v>1625000</v>
      </c>
      <c r="AF67" s="3">
        <f t="shared" si="38"/>
        <v>-25000</v>
      </c>
      <c r="AI67" s="326">
        <f>P67*1.0325+7</f>
        <v>1652420</v>
      </c>
      <c r="AK67" s="3">
        <f>AI67*1.0325</f>
        <v>1706123.65</v>
      </c>
      <c r="AM67" s="3">
        <f>AK67*1.0325</f>
        <v>1761572.6686249999</v>
      </c>
      <c r="AO67" s="3">
        <f>AM67*1.0325</f>
        <v>1818823.7803553124</v>
      </c>
      <c r="AQ67" s="3">
        <f>AO67*1.0325</f>
        <v>1877935.5532168599</v>
      </c>
      <c r="AS67" s="3">
        <f>AQ67*1.03+5</f>
        <v>1934278.6198133659</v>
      </c>
      <c r="AU67" s="3">
        <f>AS67*1.03+5</f>
        <v>1992311.9784077669</v>
      </c>
      <c r="AW67" s="3">
        <f>AU67*1.03+5</f>
        <v>2052086.33776</v>
      </c>
      <c r="AY67" s="3">
        <f>AW67*1.03+5</f>
        <v>2113653.9278928</v>
      </c>
      <c r="BA67" s="3">
        <f>AY67*1.03+5</f>
        <v>2177068.5457295841</v>
      </c>
      <c r="BC67" s="3">
        <f>BA67*1.03+5</f>
        <v>2242385.6021014717</v>
      </c>
      <c r="BE67" s="3">
        <f>BC67*1.03+5</f>
        <v>2309662.1701645157</v>
      </c>
    </row>
    <row r="68" spans="1:57" hidden="1" outlineLevel="1" x14ac:dyDescent="0.25">
      <c r="A68" s="3" t="s">
        <v>73</v>
      </c>
      <c r="E68" s="3">
        <f t="shared" si="31"/>
        <v>0</v>
      </c>
      <c r="H68" s="32">
        <f t="shared" si="32"/>
        <v>0</v>
      </c>
      <c r="I68" s="32"/>
      <c r="J68" s="4"/>
      <c r="K68" s="4">
        <f t="shared" si="33"/>
        <v>0</v>
      </c>
      <c r="L68" s="4"/>
      <c r="N68" s="4">
        <f t="shared" si="34"/>
        <v>0</v>
      </c>
      <c r="S68" s="3">
        <f t="shared" si="35"/>
        <v>0</v>
      </c>
      <c r="U68" s="3">
        <f t="shared" si="39"/>
        <v>0</v>
      </c>
      <c r="W68" s="3">
        <f t="shared" si="36"/>
        <v>0</v>
      </c>
      <c r="Z68" s="3">
        <f t="shared" si="40"/>
        <v>0</v>
      </c>
      <c r="AD68" s="3">
        <f t="shared" si="37"/>
        <v>0</v>
      </c>
      <c r="AF68" s="3">
        <f t="shared" si="38"/>
        <v>0</v>
      </c>
      <c r="AI68" s="326"/>
      <c r="BC68" s="3"/>
      <c r="BE68" s="3"/>
    </row>
    <row r="69" spans="1:57" hidden="1" outlineLevel="1" x14ac:dyDescent="0.25">
      <c r="A69" s="3" t="s">
        <v>74</v>
      </c>
      <c r="E69" s="3">
        <f t="shared" si="31"/>
        <v>0</v>
      </c>
      <c r="H69" s="32">
        <f t="shared" si="32"/>
        <v>0</v>
      </c>
      <c r="I69" s="32"/>
      <c r="J69" s="4"/>
      <c r="K69" s="4">
        <f t="shared" si="33"/>
        <v>0</v>
      </c>
      <c r="L69" s="4"/>
      <c r="N69" s="4">
        <f t="shared" si="34"/>
        <v>0</v>
      </c>
      <c r="S69" s="3">
        <f t="shared" si="35"/>
        <v>0</v>
      </c>
      <c r="U69" s="3">
        <f t="shared" si="39"/>
        <v>0</v>
      </c>
      <c r="W69" s="3">
        <f t="shared" si="36"/>
        <v>0</v>
      </c>
      <c r="Z69" s="3">
        <f t="shared" si="40"/>
        <v>0</v>
      </c>
      <c r="AD69" s="3">
        <f t="shared" si="37"/>
        <v>0</v>
      </c>
      <c r="AF69" s="3">
        <f t="shared" si="38"/>
        <v>0</v>
      </c>
      <c r="AI69" s="326"/>
      <c r="BC69" s="3"/>
      <c r="BE69" s="3"/>
    </row>
    <row r="70" spans="1:57" hidden="1" outlineLevel="1" x14ac:dyDescent="0.25">
      <c r="A70" s="3" t="s">
        <v>75</v>
      </c>
      <c r="B70" s="3">
        <v>22000</v>
      </c>
      <c r="E70" s="3">
        <f t="shared" si="31"/>
        <v>30850</v>
      </c>
      <c r="F70" s="3">
        <v>30850</v>
      </c>
      <c r="H70" s="32">
        <f t="shared" si="32"/>
        <v>8850</v>
      </c>
      <c r="I70" s="32"/>
      <c r="J70" s="4"/>
      <c r="K70" s="4">
        <f t="shared" si="33"/>
        <v>30850</v>
      </c>
      <c r="L70" s="4">
        <v>30850</v>
      </c>
      <c r="N70" s="4">
        <f t="shared" si="34"/>
        <v>0</v>
      </c>
      <c r="P70" s="3">
        <v>21350</v>
      </c>
      <c r="S70" s="3">
        <f t="shared" si="35"/>
        <v>30000</v>
      </c>
      <c r="T70" s="3">
        <v>30000</v>
      </c>
      <c r="U70" s="3">
        <f t="shared" si="39"/>
        <v>8650</v>
      </c>
      <c r="W70" s="3">
        <f t="shared" si="36"/>
        <v>30000</v>
      </c>
      <c r="Y70" s="3">
        <v>30000</v>
      </c>
      <c r="Z70" s="3">
        <f t="shared" si="40"/>
        <v>0</v>
      </c>
      <c r="AC70" s="3">
        <v>0</v>
      </c>
      <c r="AD70" s="3">
        <f t="shared" si="37"/>
        <v>30000</v>
      </c>
      <c r="AE70" s="3">
        <v>30000</v>
      </c>
      <c r="AF70" s="3">
        <f t="shared" si="38"/>
        <v>0</v>
      </c>
      <c r="AI70" s="321">
        <v>69000</v>
      </c>
      <c r="BC70" s="3"/>
      <c r="BE70" s="3"/>
    </row>
    <row r="71" spans="1:57" hidden="1" outlineLevel="1" x14ac:dyDescent="0.25">
      <c r="A71" s="3" t="s">
        <v>66</v>
      </c>
      <c r="B71" s="3">
        <v>4600</v>
      </c>
      <c r="E71" s="3">
        <f t="shared" si="31"/>
        <v>3500</v>
      </c>
      <c r="F71" s="3">
        <v>3500</v>
      </c>
      <c r="H71" s="32">
        <f t="shared" si="32"/>
        <v>-1100</v>
      </c>
      <c r="I71" s="32"/>
      <c r="J71" s="4">
        <v>100</v>
      </c>
      <c r="K71" s="4">
        <f t="shared" si="33"/>
        <v>2150</v>
      </c>
      <c r="L71" s="4">
        <v>2250</v>
      </c>
      <c r="N71" s="4">
        <f t="shared" si="34"/>
        <v>-1250</v>
      </c>
      <c r="P71" s="3">
        <f>L71*1.025-6</f>
        <v>2300.25</v>
      </c>
      <c r="R71" s="3">
        <v>1855</v>
      </c>
      <c r="S71" s="3">
        <f t="shared" si="35"/>
        <v>445</v>
      </c>
      <c r="T71" s="3">
        <v>2300</v>
      </c>
      <c r="U71" s="3">
        <f t="shared" si="39"/>
        <v>-0.25</v>
      </c>
      <c r="V71" s="3">
        <v>650</v>
      </c>
      <c r="W71" s="3">
        <f t="shared" si="36"/>
        <v>1650</v>
      </c>
      <c r="Y71" s="3">
        <v>2300</v>
      </c>
      <c r="Z71" s="3">
        <f t="shared" si="40"/>
        <v>0</v>
      </c>
      <c r="AC71" s="3">
        <v>4592</v>
      </c>
      <c r="AD71" s="3">
        <f t="shared" si="37"/>
        <v>408</v>
      </c>
      <c r="AE71" s="3">
        <v>5000</v>
      </c>
      <c r="AF71" s="3">
        <f t="shared" si="38"/>
        <v>2700</v>
      </c>
      <c r="AI71" s="326">
        <v>5000</v>
      </c>
      <c r="AK71" s="3">
        <f>AI71*1.025</f>
        <v>5125</v>
      </c>
      <c r="AM71" s="3">
        <f>AK71*1.025</f>
        <v>5253.1249999999991</v>
      </c>
      <c r="AO71" s="3">
        <f>AM71*1.025</f>
        <v>5384.4531249999982</v>
      </c>
      <c r="AQ71" s="3">
        <f>AO71*1.025</f>
        <v>5519.0644531249973</v>
      </c>
      <c r="AS71" s="3">
        <f>AQ71*1.025</f>
        <v>5657.0410644531221</v>
      </c>
      <c r="AU71" s="3">
        <f>AS71*1.025</f>
        <v>5798.46709106445</v>
      </c>
      <c r="AW71" s="3">
        <f>AU71*1.025</f>
        <v>5943.4287683410603</v>
      </c>
      <c r="AY71" s="3">
        <f>AW71*1.025</f>
        <v>6092.0144875495862</v>
      </c>
      <c r="BA71" s="3">
        <f>AY71*1.025</f>
        <v>6244.3148497383254</v>
      </c>
      <c r="BC71" s="3">
        <f>BA71*1.025</f>
        <v>6400.4227209817827</v>
      </c>
      <c r="BE71" s="3">
        <f>BC71*1.025</f>
        <v>6560.433289006327</v>
      </c>
    </row>
    <row r="72" spans="1:57" hidden="1" outlineLevel="1" x14ac:dyDescent="0.25">
      <c r="A72" s="3" t="s">
        <v>76</v>
      </c>
      <c r="B72" s="3">
        <v>42500</v>
      </c>
      <c r="D72" s="3">
        <v>11797</v>
      </c>
      <c r="E72" s="3">
        <f t="shared" si="31"/>
        <v>30703</v>
      </c>
      <c r="F72" s="3">
        <v>42500</v>
      </c>
      <c r="H72" s="32">
        <f t="shared" si="32"/>
        <v>0</v>
      </c>
      <c r="I72" s="32"/>
      <c r="J72" s="4">
        <v>27519</v>
      </c>
      <c r="K72" s="4">
        <f t="shared" si="33"/>
        <v>17481</v>
      </c>
      <c r="L72" s="4">
        <v>45000</v>
      </c>
      <c r="N72" s="4">
        <f t="shared" si="34"/>
        <v>2500</v>
      </c>
      <c r="P72" s="3">
        <f>L72+3000</f>
        <v>48000</v>
      </c>
      <c r="R72" s="3">
        <v>9930</v>
      </c>
      <c r="S72" s="3">
        <f t="shared" si="35"/>
        <v>38070</v>
      </c>
      <c r="T72" s="3">
        <v>48000</v>
      </c>
      <c r="U72" s="3">
        <f t="shared" si="39"/>
        <v>0</v>
      </c>
      <c r="V72" s="3">
        <v>23622</v>
      </c>
      <c r="W72" s="3">
        <f t="shared" si="36"/>
        <v>24378</v>
      </c>
      <c r="Y72" s="3">
        <v>48000</v>
      </c>
      <c r="Z72" s="3">
        <f t="shared" si="40"/>
        <v>0</v>
      </c>
      <c r="AC72" s="3">
        <v>33836</v>
      </c>
      <c r="AD72" s="3">
        <f t="shared" si="37"/>
        <v>14164</v>
      </c>
      <c r="AE72" s="3">
        <v>48000</v>
      </c>
      <c r="AF72" s="3">
        <f t="shared" si="38"/>
        <v>0</v>
      </c>
      <c r="AI72" s="326">
        <f>P72</f>
        <v>48000</v>
      </c>
      <c r="AK72" s="3">
        <f>AI72</f>
        <v>48000</v>
      </c>
      <c r="AM72" s="3">
        <f>AK72</f>
        <v>48000</v>
      </c>
      <c r="AO72" s="3">
        <f>AM72</f>
        <v>48000</v>
      </c>
      <c r="AQ72" s="3">
        <f>AO72</f>
        <v>48000</v>
      </c>
      <c r="AS72" s="3">
        <f>AQ72</f>
        <v>48000</v>
      </c>
      <c r="AU72" s="3">
        <f>AS72</f>
        <v>48000</v>
      </c>
      <c r="AW72" s="3">
        <f>AU72</f>
        <v>48000</v>
      </c>
      <c r="AY72" s="3">
        <f>AW72</f>
        <v>48000</v>
      </c>
      <c r="BA72" s="3">
        <f>AY72</f>
        <v>48000</v>
      </c>
      <c r="BC72" s="3">
        <f>BA72</f>
        <v>48000</v>
      </c>
      <c r="BE72" s="3">
        <f>BC72</f>
        <v>48000</v>
      </c>
    </row>
    <row r="73" spans="1:57" hidden="1" outlineLevel="1" x14ac:dyDescent="0.25">
      <c r="A73" s="3"/>
      <c r="B73" s="62">
        <f>SUM(B63:B72)</f>
        <v>310100</v>
      </c>
      <c r="C73" s="32"/>
      <c r="D73" s="62">
        <f>SUM(D63:D72)</f>
        <v>188179</v>
      </c>
      <c r="E73" s="62">
        <f>SUM(E63:E72)</f>
        <v>130501</v>
      </c>
      <c r="F73" s="62">
        <f>SUM(F63:F72)</f>
        <v>318680</v>
      </c>
      <c r="G73" s="32"/>
      <c r="H73" s="62">
        <f>SUM(H63:H72)</f>
        <v>8580</v>
      </c>
      <c r="I73" s="32"/>
      <c r="J73" s="62">
        <f>SUM(J63:J72)</f>
        <v>502600</v>
      </c>
      <c r="K73" s="62">
        <f>SUM(K63:K72)</f>
        <v>-82670</v>
      </c>
      <c r="L73" s="62">
        <f>SUM(L63:L72)</f>
        <v>419930</v>
      </c>
      <c r="M73" s="32"/>
      <c r="N73" s="62">
        <f>SUM(N63:N72)</f>
        <v>101250</v>
      </c>
      <c r="P73" s="62">
        <f>SUM(P63:P72)</f>
        <v>424200.25</v>
      </c>
      <c r="R73" s="62">
        <f t="shared" ref="R73:W73" si="41">SUM(R63:R72)</f>
        <v>600692</v>
      </c>
      <c r="S73" s="62">
        <f t="shared" si="41"/>
        <v>-165842</v>
      </c>
      <c r="T73" s="62">
        <f t="shared" si="41"/>
        <v>434850</v>
      </c>
      <c r="U73" s="62">
        <f t="shared" si="41"/>
        <v>10649.75</v>
      </c>
      <c r="V73" s="62">
        <f t="shared" si="41"/>
        <v>1184664</v>
      </c>
      <c r="W73" s="62">
        <f t="shared" si="41"/>
        <v>-700614</v>
      </c>
      <c r="X73" s="62"/>
      <c r="Y73" s="62">
        <f>SUM(Y63:Y72)</f>
        <v>484050</v>
      </c>
      <c r="Z73" s="62">
        <f>SUM(Z63:Z72)</f>
        <v>49200</v>
      </c>
      <c r="AC73" s="62">
        <f>SUM(AC63:AC72)</f>
        <v>715158</v>
      </c>
      <c r="AD73" s="62">
        <f>SUM(AD63:AD72)</f>
        <v>-253408</v>
      </c>
      <c r="AE73" s="62">
        <f>SUM(AE63:AE72)</f>
        <v>461750</v>
      </c>
      <c r="AF73" s="62">
        <f>SUM(AF63:AF72)</f>
        <v>-22300</v>
      </c>
      <c r="AG73" s="32"/>
      <c r="AI73" s="62">
        <f>SUM(AI63:AI72)</f>
        <v>485920.125</v>
      </c>
      <c r="AK73" s="62">
        <f>SUM(AK63:AK72)+1</f>
        <v>428862.27906249999</v>
      </c>
      <c r="AM73" s="62">
        <f>SUM(AM63:AM72)-1</f>
        <v>441188.30188203137</v>
      </c>
      <c r="AO73" s="62">
        <f>SUM(AO63:AO72)</f>
        <v>453916.73622444738</v>
      </c>
      <c r="AP73" s="32"/>
      <c r="AQ73" s="62">
        <f>SUM(AQ63:AQ72)</f>
        <v>467056.53173377295</v>
      </c>
      <c r="AS73" s="62">
        <f>SUM(AS63:AS72)</f>
        <v>477620.35376684117</v>
      </c>
      <c r="AU73" s="62">
        <f>SUM(AU63:AU72)</f>
        <v>488500.19361292734</v>
      </c>
      <c r="AW73" s="62">
        <f>SUM(AW63:AW72)</f>
        <v>499705.50938522338</v>
      </c>
      <c r="AY73" s="62">
        <f>SUM(AY63:AY72)</f>
        <v>511246.04237978574</v>
      </c>
      <c r="BA73" s="62">
        <f>SUM(BA63:BA72)</f>
        <v>523131.82555701031</v>
      </c>
      <c r="BC73" s="62">
        <f>SUM(BC63:BC72)</f>
        <v>535373.19227719749</v>
      </c>
      <c r="BE73" s="62">
        <f>SUM(BE63:BE72)</f>
        <v>547980.78529782686</v>
      </c>
    </row>
    <row r="74" spans="1:57" ht="15.75" collapsed="1" thickBot="1" x14ac:dyDescent="0.3">
      <c r="A74" s="7" t="s">
        <v>1159</v>
      </c>
      <c r="B74" s="44">
        <f>B73+B60-1</f>
        <v>340599</v>
      </c>
      <c r="C74" s="32"/>
      <c r="D74" s="44">
        <f>D73+D60-1</f>
        <v>190457</v>
      </c>
      <c r="E74" s="44">
        <f>E73+E60-1</f>
        <v>163721</v>
      </c>
      <c r="F74" s="44">
        <f>F73+F60-1</f>
        <v>354179</v>
      </c>
      <c r="G74" s="32"/>
      <c r="H74" s="44">
        <f>H73+H60-1</f>
        <v>13579</v>
      </c>
      <c r="I74" s="32"/>
      <c r="J74" s="44">
        <f>J73+J60-1</f>
        <v>529307</v>
      </c>
      <c r="K74" s="44">
        <f>K73+K60-1</f>
        <v>-74929</v>
      </c>
      <c r="L74" s="44">
        <f>L73+L60-1</f>
        <v>454379</v>
      </c>
      <c r="M74" s="32"/>
      <c r="N74" s="44">
        <f>N73+N60-1</f>
        <v>100199</v>
      </c>
      <c r="O74" s="44"/>
      <c r="P74" s="44">
        <f>P73+P60</f>
        <v>468900.5</v>
      </c>
      <c r="R74" s="44">
        <f t="shared" ref="R74:W74" si="42">R73+R60</f>
        <v>628914</v>
      </c>
      <c r="S74" s="44">
        <f t="shared" si="42"/>
        <v>-109662</v>
      </c>
      <c r="T74" s="44">
        <f t="shared" si="42"/>
        <v>519251</v>
      </c>
      <c r="U74" s="44">
        <f t="shared" si="42"/>
        <v>50350.5</v>
      </c>
      <c r="V74" s="44">
        <f t="shared" si="42"/>
        <v>1268879</v>
      </c>
      <c r="W74" s="44">
        <f t="shared" si="42"/>
        <v>-685197</v>
      </c>
      <c r="X74" s="44"/>
      <c r="Y74" s="44">
        <f>Y73+Y60</f>
        <v>583681</v>
      </c>
      <c r="Z74" s="44">
        <f>Z73+Z60</f>
        <v>64430</v>
      </c>
      <c r="AC74" s="44">
        <f>AC73+AC60</f>
        <v>805668</v>
      </c>
      <c r="AD74" s="44">
        <f>AD73+AD60</f>
        <v>-244766</v>
      </c>
      <c r="AE74" s="44">
        <f>AE73+AE60</f>
        <v>560901</v>
      </c>
      <c r="AF74" s="44">
        <f>AF73+AF60</f>
        <v>-22779</v>
      </c>
      <c r="AG74" s="32"/>
      <c r="AI74" s="44">
        <f>AI73+AI60</f>
        <v>540170.125</v>
      </c>
      <c r="AK74" s="44">
        <f>AK73+AK60</f>
        <v>484469.52906249999</v>
      </c>
      <c r="AM74" s="44">
        <f>AM73+AM60</f>
        <v>498184.70813203137</v>
      </c>
      <c r="AO74" s="44">
        <f>AO73+AO60</f>
        <v>512338.05263069738</v>
      </c>
      <c r="AP74" s="32"/>
      <c r="AQ74" s="44">
        <f>AQ73+AQ60</f>
        <v>526938.38105017913</v>
      </c>
      <c r="AS74" s="44">
        <f>AS73+AS60</f>
        <v>538998.24931615754</v>
      </c>
      <c r="AU74" s="44">
        <f>AU73+AU60</f>
        <v>551412.56155097659</v>
      </c>
      <c r="AW74" s="44">
        <f>AW73+AW60</f>
        <v>564190.71152172389</v>
      </c>
      <c r="AY74" s="44">
        <f>AY73+AY60</f>
        <v>577343.39956969873</v>
      </c>
      <c r="BA74" s="44">
        <f>BA73+BA60</f>
        <v>590881.6416766711</v>
      </c>
      <c r="BC74" s="44">
        <f>BC73+BC60</f>
        <v>604816.7787998498</v>
      </c>
      <c r="BE74" s="44">
        <f>BE73+BE60</f>
        <v>619160.48648354551</v>
      </c>
    </row>
    <row r="75" spans="1:57" s="42" customFormat="1" ht="15.75" thickTop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4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4"/>
      <c r="AH75" s="4"/>
      <c r="AI75" s="3"/>
      <c r="AJ75" s="3"/>
      <c r="AK75" s="3"/>
      <c r="AL75" s="3"/>
      <c r="AM75" s="3"/>
      <c r="AN75" s="3"/>
      <c r="AO75" s="3"/>
      <c r="AP75" s="4"/>
      <c r="AQ75" s="3"/>
      <c r="AS75" s="3"/>
      <c r="AU75" s="3"/>
      <c r="AW75" s="3"/>
      <c r="AY75" s="3"/>
      <c r="BA75" s="3"/>
      <c r="BC75" s="3"/>
      <c r="BE75" s="3"/>
    </row>
    <row r="76" spans="1:57" x14ac:dyDescent="0.25">
      <c r="A76" s="7" t="s">
        <v>77</v>
      </c>
      <c r="BC76" s="3"/>
      <c r="BE76" s="3"/>
    </row>
    <row r="77" spans="1:57" hidden="1" outlineLevel="1" x14ac:dyDescent="0.25">
      <c r="A77" s="7" t="s">
        <v>78</v>
      </c>
      <c r="BC77" s="3"/>
      <c r="BE77" s="3"/>
    </row>
    <row r="78" spans="1:57" hidden="1" outlineLevel="1" x14ac:dyDescent="0.25">
      <c r="A78" s="3" t="s">
        <v>79</v>
      </c>
      <c r="B78" s="3">
        <v>13090</v>
      </c>
      <c r="E78" s="3">
        <f t="shared" ref="E78:E86" si="43">F78-D78</f>
        <v>13090</v>
      </c>
      <c r="F78" s="3">
        <v>13090</v>
      </c>
      <c r="H78" s="32">
        <f t="shared" ref="H78:H86" si="44">F78-B78</f>
        <v>0</v>
      </c>
      <c r="I78" s="32"/>
      <c r="J78" s="4">
        <v>0</v>
      </c>
      <c r="K78" s="4">
        <f t="shared" ref="K78:K86" si="45">L78-J78</f>
        <v>13090</v>
      </c>
      <c r="L78" s="4">
        <v>13090</v>
      </c>
      <c r="N78" s="4">
        <f t="shared" ref="N78:N86" si="46">L78-F78</f>
        <v>0</v>
      </c>
      <c r="P78" s="3">
        <f>13480-30</f>
        <v>13450</v>
      </c>
      <c r="R78" s="3">
        <v>0</v>
      </c>
      <c r="S78" s="3">
        <f t="shared" ref="S78:S86" si="47">T78-R78</f>
        <v>13450</v>
      </c>
      <c r="T78" s="3">
        <v>13450</v>
      </c>
      <c r="U78" s="3">
        <f t="shared" ref="U78:U86" si="48">T78-P78</f>
        <v>0</v>
      </c>
      <c r="W78" s="3">
        <f t="shared" ref="W78:W86" si="49">Y78-V78</f>
        <v>13450</v>
      </c>
      <c r="Y78" s="3">
        <v>13450</v>
      </c>
      <c r="Z78" s="3">
        <f t="shared" ref="Z78:Z86" si="50">Y78-T78</f>
        <v>0</v>
      </c>
      <c r="AC78" s="3">
        <v>13482</v>
      </c>
      <c r="AD78" s="3">
        <f t="shared" ref="AD78:AD86" si="51">AE78-AC78</f>
        <v>-2</v>
      </c>
      <c r="AE78" s="3">
        <v>13480</v>
      </c>
      <c r="AF78" s="3">
        <f t="shared" ref="AF78:AF86" si="52">AE78-Y78</f>
        <v>30</v>
      </c>
      <c r="AI78" s="321">
        <v>14800</v>
      </c>
      <c r="AK78" s="3">
        <f>AI78*1.02</f>
        <v>15096</v>
      </c>
      <c r="AM78" s="3">
        <f>AK78*1.02</f>
        <v>15397.92</v>
      </c>
      <c r="AO78" s="3">
        <f>AM78*1.02</f>
        <v>15705.8784</v>
      </c>
      <c r="AQ78" s="3">
        <f>AO78*1.02</f>
        <v>16019.995967999999</v>
      </c>
      <c r="AS78" s="3">
        <f>AQ78*1.02</f>
        <v>16340.39588736</v>
      </c>
      <c r="AU78" s="3">
        <f>AS78*1.02</f>
        <v>16667.203805107201</v>
      </c>
      <c r="AW78" s="3">
        <f>AU78*1.02</f>
        <v>17000.547881209346</v>
      </c>
      <c r="AY78" s="3">
        <f>AW78*1.02</f>
        <v>17340.558838833535</v>
      </c>
      <c r="BA78" s="3">
        <f>AY78*1.02</f>
        <v>17687.370015610206</v>
      </c>
      <c r="BC78" s="3">
        <f>BA78*1.02</f>
        <v>18041.11741592241</v>
      </c>
      <c r="BE78" s="3">
        <f>BC78*1.02</f>
        <v>18401.939764240858</v>
      </c>
    </row>
    <row r="79" spans="1:57" hidden="1" outlineLevel="1" x14ac:dyDescent="0.25">
      <c r="A79" s="3" t="s">
        <v>80</v>
      </c>
      <c r="B79" s="3">
        <v>45000</v>
      </c>
      <c r="E79" s="3">
        <f t="shared" si="43"/>
        <v>45000</v>
      </c>
      <c r="F79" s="3">
        <v>45000</v>
      </c>
      <c r="H79" s="32">
        <f t="shared" si="44"/>
        <v>0</v>
      </c>
      <c r="I79" s="32"/>
      <c r="J79" s="4">
        <v>-1545</v>
      </c>
      <c r="K79" s="4">
        <f t="shared" si="45"/>
        <v>45000</v>
      </c>
      <c r="L79" s="4">
        <v>43455</v>
      </c>
      <c r="N79" s="4">
        <f t="shared" si="46"/>
        <v>-1545</v>
      </c>
      <c r="P79" s="3">
        <v>45000</v>
      </c>
      <c r="R79" s="3">
        <v>0</v>
      </c>
      <c r="S79" s="3">
        <f t="shared" si="47"/>
        <v>45000</v>
      </c>
      <c r="T79" s="3">
        <v>45000</v>
      </c>
      <c r="U79" s="3">
        <f t="shared" si="48"/>
        <v>0</v>
      </c>
      <c r="W79" s="3">
        <f t="shared" si="49"/>
        <v>45000</v>
      </c>
      <c r="Y79" s="3">
        <v>45000</v>
      </c>
      <c r="Z79" s="3">
        <f t="shared" si="50"/>
        <v>0</v>
      </c>
      <c r="AC79" s="3">
        <v>37896</v>
      </c>
      <c r="AD79" s="3">
        <f t="shared" si="51"/>
        <v>7104</v>
      </c>
      <c r="AE79" s="3">
        <v>45000</v>
      </c>
      <c r="AF79" s="3">
        <f t="shared" si="52"/>
        <v>0</v>
      </c>
      <c r="AI79" s="321"/>
      <c r="BC79" s="3"/>
      <c r="BE79" s="3"/>
    </row>
    <row r="80" spans="1:57" hidden="1" outlineLevel="1" x14ac:dyDescent="0.25">
      <c r="A80" s="3" t="s">
        <v>81</v>
      </c>
      <c r="H80" s="32"/>
      <c r="I80" s="32"/>
      <c r="J80" s="4"/>
      <c r="K80" s="4"/>
      <c r="L80" s="4"/>
      <c r="N80" s="4"/>
      <c r="U80" s="3">
        <f>T80-P80</f>
        <v>0</v>
      </c>
      <c r="W80" s="3">
        <f>Y80-V80</f>
        <v>0</v>
      </c>
      <c r="Z80" s="3">
        <f>Y80-T80</f>
        <v>0</v>
      </c>
      <c r="AD80" s="3">
        <f t="shared" si="51"/>
        <v>0</v>
      </c>
      <c r="AF80" s="3">
        <f t="shared" si="52"/>
        <v>0</v>
      </c>
      <c r="AI80" s="321"/>
      <c r="BC80" s="3"/>
      <c r="BE80" s="3"/>
    </row>
    <row r="81" spans="1:57" hidden="1" outlineLevel="1" x14ac:dyDescent="0.25">
      <c r="A81" s="3" t="s">
        <v>82</v>
      </c>
      <c r="B81" s="3">
        <v>70950</v>
      </c>
      <c r="E81" s="3">
        <f t="shared" si="43"/>
        <v>70950</v>
      </c>
      <c r="F81" s="3">
        <v>70950</v>
      </c>
      <c r="H81" s="32">
        <f t="shared" si="44"/>
        <v>0</v>
      </c>
      <c r="I81" s="32"/>
      <c r="J81" s="4">
        <v>0</v>
      </c>
      <c r="K81" s="4">
        <f t="shared" si="45"/>
        <v>70950</v>
      </c>
      <c r="L81" s="4">
        <v>70950</v>
      </c>
      <c r="N81" s="4">
        <f t="shared" si="46"/>
        <v>0</v>
      </c>
      <c r="P81" s="3">
        <f>71035+15</f>
        <v>71050</v>
      </c>
      <c r="R81" s="3">
        <v>0</v>
      </c>
      <c r="S81" s="3">
        <f t="shared" si="47"/>
        <v>71050</v>
      </c>
      <c r="T81" s="3">
        <v>71050</v>
      </c>
      <c r="U81" s="3">
        <f t="shared" si="48"/>
        <v>0</v>
      </c>
      <c r="W81" s="3">
        <f t="shared" si="49"/>
        <v>71050</v>
      </c>
      <c r="Y81" s="3">
        <v>71050</v>
      </c>
      <c r="Z81" s="3">
        <f t="shared" si="50"/>
        <v>0</v>
      </c>
      <c r="AC81" s="3">
        <v>71037</v>
      </c>
      <c r="AD81" s="3">
        <f t="shared" si="51"/>
        <v>3</v>
      </c>
      <c r="AE81" s="3">
        <v>71040</v>
      </c>
      <c r="AF81" s="3">
        <f t="shared" si="52"/>
        <v>-10</v>
      </c>
      <c r="AI81" s="321">
        <v>78650</v>
      </c>
      <c r="AK81" s="3">
        <f>AI81*1.02</f>
        <v>80223</v>
      </c>
      <c r="AM81" s="3">
        <f>AK81*1.02</f>
        <v>81827.460000000006</v>
      </c>
      <c r="AO81" s="3">
        <f>AM81*1.02</f>
        <v>83464.009200000015</v>
      </c>
      <c r="AQ81" s="3">
        <f>AO81*1.02</f>
        <v>85133.289384000018</v>
      </c>
      <c r="AS81" s="3">
        <f>AQ81*1.02</f>
        <v>86835.95517168002</v>
      </c>
      <c r="AU81" s="3">
        <f>AS81*1.02</f>
        <v>88572.674275113619</v>
      </c>
      <c r="AW81" s="3">
        <f>AU81*1.02</f>
        <v>90344.127760615898</v>
      </c>
      <c r="AY81" s="3">
        <f>AW81*1.02</f>
        <v>92151.010315828215</v>
      </c>
      <c r="BA81" s="3">
        <f>AY81*1.02</f>
        <v>93994.030522144778</v>
      </c>
      <c r="BC81" s="3">
        <f>BA81*1.02</f>
        <v>95873.911132587673</v>
      </c>
      <c r="BE81" s="3">
        <f>BC81*1.02</f>
        <v>97791.389355239429</v>
      </c>
    </row>
    <row r="82" spans="1:57" hidden="1" outlineLevel="1" x14ac:dyDescent="0.25">
      <c r="A82" s="3" t="s">
        <v>83</v>
      </c>
      <c r="B82" s="3">
        <v>5250</v>
      </c>
      <c r="E82" s="3">
        <f t="shared" si="43"/>
        <v>5250</v>
      </c>
      <c r="F82" s="3">
        <v>5250</v>
      </c>
      <c r="H82" s="32">
        <f t="shared" si="44"/>
        <v>0</v>
      </c>
      <c r="I82" s="32"/>
      <c r="J82" s="4">
        <v>0</v>
      </c>
      <c r="K82" s="4">
        <f t="shared" si="45"/>
        <v>5250</v>
      </c>
      <c r="L82" s="4">
        <v>5250</v>
      </c>
      <c r="N82" s="4">
        <f t="shared" si="46"/>
        <v>0</v>
      </c>
      <c r="P82" s="3">
        <f>5265-15</f>
        <v>5250</v>
      </c>
      <c r="R82" s="3">
        <v>0</v>
      </c>
      <c r="S82" s="3">
        <f t="shared" si="47"/>
        <v>5250</v>
      </c>
      <c r="T82" s="3">
        <v>5250</v>
      </c>
      <c r="U82" s="3">
        <f t="shared" si="48"/>
        <v>0</v>
      </c>
      <c r="V82" s="3">
        <v>4433</v>
      </c>
      <c r="W82" s="3">
        <f t="shared" si="49"/>
        <v>817</v>
      </c>
      <c r="Y82" s="3">
        <v>5250</v>
      </c>
      <c r="Z82" s="3">
        <f t="shared" si="50"/>
        <v>0</v>
      </c>
      <c r="AD82" s="3">
        <f t="shared" si="51"/>
        <v>5250</v>
      </c>
      <c r="AE82" s="3">
        <v>5250</v>
      </c>
      <c r="AF82" s="3">
        <f t="shared" si="52"/>
        <v>0</v>
      </c>
      <c r="AI82" s="321">
        <v>5000</v>
      </c>
      <c r="BC82" s="3"/>
      <c r="BE82" s="3"/>
    </row>
    <row r="83" spans="1:57" hidden="1" outlineLevel="1" x14ac:dyDescent="0.25">
      <c r="A83" s="3" t="s">
        <v>84</v>
      </c>
      <c r="E83" s="3">
        <f t="shared" si="43"/>
        <v>0</v>
      </c>
      <c r="H83" s="32">
        <f t="shared" si="44"/>
        <v>0</v>
      </c>
      <c r="I83" s="32"/>
      <c r="J83" s="4"/>
      <c r="K83" s="4">
        <f t="shared" si="45"/>
        <v>0</v>
      </c>
      <c r="L83" s="4"/>
      <c r="N83" s="4">
        <f t="shared" si="46"/>
        <v>0</v>
      </c>
      <c r="S83" s="3">
        <f t="shared" si="47"/>
        <v>0</v>
      </c>
      <c r="U83" s="3">
        <f t="shared" si="48"/>
        <v>0</v>
      </c>
      <c r="W83" s="3">
        <f t="shared" si="49"/>
        <v>0</v>
      </c>
      <c r="Z83" s="3">
        <f t="shared" si="50"/>
        <v>0</v>
      </c>
      <c r="AD83" s="3">
        <f t="shared" si="51"/>
        <v>0</v>
      </c>
      <c r="AF83" s="3">
        <f t="shared" si="52"/>
        <v>0</v>
      </c>
      <c r="AI83" s="321"/>
      <c r="BC83" s="3"/>
      <c r="BE83" s="3"/>
    </row>
    <row r="84" spans="1:57" hidden="1" outlineLevel="1" x14ac:dyDescent="0.25">
      <c r="A84" s="3" t="s">
        <v>85</v>
      </c>
      <c r="B84" s="3">
        <v>99000</v>
      </c>
      <c r="E84" s="3">
        <f t="shared" si="43"/>
        <v>99000</v>
      </c>
      <c r="F84" s="3">
        <v>99000</v>
      </c>
      <c r="H84" s="32">
        <f t="shared" si="44"/>
        <v>0</v>
      </c>
      <c r="I84" s="32"/>
      <c r="J84" s="4">
        <v>0</v>
      </c>
      <c r="K84" s="4">
        <f t="shared" si="45"/>
        <v>99000</v>
      </c>
      <c r="L84" s="4">
        <v>99000</v>
      </c>
      <c r="N84" s="4">
        <f t="shared" si="46"/>
        <v>0</v>
      </c>
      <c r="P84" s="3">
        <v>149900</v>
      </c>
      <c r="R84" s="3">
        <v>0</v>
      </c>
      <c r="S84" s="3">
        <f t="shared" si="47"/>
        <v>149900</v>
      </c>
      <c r="T84" s="3">
        <v>149900</v>
      </c>
      <c r="U84" s="3">
        <f t="shared" si="48"/>
        <v>0</v>
      </c>
      <c r="W84" s="3">
        <f t="shared" si="49"/>
        <v>149900</v>
      </c>
      <c r="Y84" s="3">
        <v>149900</v>
      </c>
      <c r="Z84" s="3">
        <f t="shared" si="50"/>
        <v>0</v>
      </c>
      <c r="AD84" s="3">
        <f t="shared" si="51"/>
        <v>149900</v>
      </c>
      <c r="AE84" s="3">
        <v>149900</v>
      </c>
      <c r="AF84" s="3">
        <f t="shared" si="52"/>
        <v>0</v>
      </c>
      <c r="AI84" s="321">
        <v>144000</v>
      </c>
      <c r="BC84" s="3"/>
      <c r="BE84" s="3"/>
    </row>
    <row r="85" spans="1:57" hidden="1" outlineLevel="1" x14ac:dyDescent="0.25">
      <c r="A85" s="3" t="s">
        <v>86</v>
      </c>
      <c r="B85" s="3">
        <v>30000</v>
      </c>
      <c r="E85" s="3">
        <f t="shared" si="43"/>
        <v>30000</v>
      </c>
      <c r="F85" s="3">
        <v>30000</v>
      </c>
      <c r="H85" s="32">
        <f t="shared" si="44"/>
        <v>0</v>
      </c>
      <c r="I85" s="32"/>
      <c r="J85" s="4">
        <v>0</v>
      </c>
      <c r="K85" s="4">
        <f t="shared" si="45"/>
        <v>30000</v>
      </c>
      <c r="L85" s="4">
        <v>30000</v>
      </c>
      <c r="N85" s="4">
        <f t="shared" si="46"/>
        <v>0</v>
      </c>
      <c r="P85" s="3">
        <v>30000</v>
      </c>
      <c r="R85" s="3">
        <v>0</v>
      </c>
      <c r="S85" s="3">
        <f t="shared" si="47"/>
        <v>30000</v>
      </c>
      <c r="T85" s="3">
        <v>30000</v>
      </c>
      <c r="U85" s="3">
        <f t="shared" si="48"/>
        <v>0</v>
      </c>
      <c r="W85" s="3">
        <f t="shared" si="49"/>
        <v>30000</v>
      </c>
      <c r="Y85" s="3">
        <v>30000</v>
      </c>
      <c r="Z85" s="3">
        <f t="shared" si="50"/>
        <v>0</v>
      </c>
      <c r="AD85" s="3">
        <f t="shared" si="51"/>
        <v>30000</v>
      </c>
      <c r="AE85" s="3">
        <v>30000</v>
      </c>
      <c r="AF85" s="3">
        <f t="shared" si="52"/>
        <v>0</v>
      </c>
      <c r="AI85" s="326">
        <f>P85</f>
        <v>30000</v>
      </c>
      <c r="AK85" s="3">
        <f>AI85*1.025</f>
        <v>30749.999999999996</v>
      </c>
      <c r="AM85" s="3">
        <f>AK85*1.025</f>
        <v>31518.749999999993</v>
      </c>
      <c r="AO85" s="3">
        <f>AM85*1.025</f>
        <v>32306.718749999989</v>
      </c>
      <c r="AQ85" s="3">
        <f>AO85*1.025</f>
        <v>33114.386718749985</v>
      </c>
      <c r="AS85" s="3">
        <f>AQ85*1.025</f>
        <v>33942.246386718733</v>
      </c>
      <c r="AU85" s="3">
        <f>AS85*1.025</f>
        <v>34790.802546386694</v>
      </c>
      <c r="AW85" s="3">
        <f>AU85*1.025</f>
        <v>35660.572610046358</v>
      </c>
      <c r="AY85" s="3">
        <f>AW85*1.025</f>
        <v>36552.086925297517</v>
      </c>
      <c r="BA85" s="3">
        <f>AY85*1.025</f>
        <v>37465.889098429951</v>
      </c>
      <c r="BC85" s="3">
        <f>BA85*1.025</f>
        <v>38402.536325890695</v>
      </c>
      <c r="BE85" s="3">
        <f>BC85*1.025</f>
        <v>39362.599734037962</v>
      </c>
    </row>
    <row r="86" spans="1:57" hidden="1" outlineLevel="1" x14ac:dyDescent="0.25">
      <c r="A86" s="3" t="s">
        <v>87</v>
      </c>
      <c r="B86" s="3">
        <v>500</v>
      </c>
      <c r="E86" s="3">
        <f t="shared" si="43"/>
        <v>500</v>
      </c>
      <c r="F86" s="3">
        <v>500</v>
      </c>
      <c r="H86" s="32">
        <f t="shared" si="44"/>
        <v>0</v>
      </c>
      <c r="I86" s="32"/>
      <c r="J86" s="4">
        <v>0</v>
      </c>
      <c r="K86" s="4">
        <f t="shared" si="45"/>
        <v>500</v>
      </c>
      <c r="L86" s="4">
        <v>500</v>
      </c>
      <c r="N86" s="4">
        <f t="shared" si="46"/>
        <v>0</v>
      </c>
      <c r="P86" s="3">
        <v>500</v>
      </c>
      <c r="R86" s="3">
        <v>0</v>
      </c>
      <c r="S86" s="3">
        <f t="shared" si="47"/>
        <v>500</v>
      </c>
      <c r="T86" s="3">
        <v>500</v>
      </c>
      <c r="U86" s="3">
        <f t="shared" si="48"/>
        <v>0</v>
      </c>
      <c r="W86" s="3">
        <f t="shared" si="49"/>
        <v>500</v>
      </c>
      <c r="Y86" s="3">
        <v>500</v>
      </c>
      <c r="Z86" s="3">
        <f t="shared" si="50"/>
        <v>0</v>
      </c>
      <c r="AD86" s="3">
        <f t="shared" si="51"/>
        <v>0</v>
      </c>
      <c r="AE86" s="3">
        <v>0</v>
      </c>
      <c r="AF86" s="3">
        <f t="shared" si="52"/>
        <v>-500</v>
      </c>
      <c r="AI86" s="326">
        <v>500</v>
      </c>
      <c r="AK86" s="3">
        <f>AI86*1.02</f>
        <v>510</v>
      </c>
      <c r="AM86" s="3">
        <f>AK86*1.02</f>
        <v>520.20000000000005</v>
      </c>
      <c r="AO86" s="3">
        <f>AM86*1.02</f>
        <v>530.60400000000004</v>
      </c>
      <c r="AQ86" s="3">
        <f>AO86*1.02</f>
        <v>541.21608000000003</v>
      </c>
      <c r="AS86" s="3">
        <f>AQ86*1.02</f>
        <v>552.0404016</v>
      </c>
      <c r="AU86" s="3">
        <f>AS86*1.02</f>
        <v>563.08120963199997</v>
      </c>
      <c r="AW86" s="3">
        <f>AU86*1.02</f>
        <v>574.34283382464002</v>
      </c>
      <c r="AY86" s="3">
        <f>AW86*1.02</f>
        <v>585.82969050113286</v>
      </c>
      <c r="BA86" s="3">
        <f>AY86*1.02</f>
        <v>597.54628431115555</v>
      </c>
      <c r="BC86" s="3">
        <f>BA86*1.02</f>
        <v>609.49720999737872</v>
      </c>
      <c r="BE86" s="3">
        <f>BC86*1.02</f>
        <v>621.68715419732632</v>
      </c>
    </row>
    <row r="87" spans="1:57" hidden="1" outlineLevel="1" x14ac:dyDescent="0.25">
      <c r="A87" s="3"/>
      <c r="B87" s="62">
        <f>SUM(B78:B86)</f>
        <v>263790</v>
      </c>
      <c r="C87" s="32"/>
      <c r="D87" s="62">
        <f>SUM(D78:D86)</f>
        <v>0</v>
      </c>
      <c r="E87" s="62">
        <f>SUM(E78:E86)</f>
        <v>263790</v>
      </c>
      <c r="F87" s="62">
        <f>SUM(F78:F86)</f>
        <v>263790</v>
      </c>
      <c r="G87" s="32"/>
      <c r="H87" s="62">
        <f>SUM(H78:H86)</f>
        <v>0</v>
      </c>
      <c r="I87" s="32"/>
      <c r="J87" s="62">
        <f>SUM(J78:J86)</f>
        <v>-1545</v>
      </c>
      <c r="K87" s="62">
        <f>SUM(K78:K86)</f>
        <v>263790</v>
      </c>
      <c r="L87" s="62">
        <f>SUM(L78:L86)</f>
        <v>262245</v>
      </c>
      <c r="M87" s="32"/>
      <c r="N87" s="62">
        <f>SUM(N78:N86)</f>
        <v>-1545</v>
      </c>
      <c r="P87" s="62">
        <f>SUM(P78:P86)</f>
        <v>315150</v>
      </c>
      <c r="R87" s="62">
        <f t="shared" ref="R87:W87" si="53">SUM(R78:R86)</f>
        <v>0</v>
      </c>
      <c r="S87" s="62">
        <f t="shared" si="53"/>
        <v>315150</v>
      </c>
      <c r="T87" s="62">
        <f t="shared" si="53"/>
        <v>315150</v>
      </c>
      <c r="U87" s="62">
        <f t="shared" si="53"/>
        <v>0</v>
      </c>
      <c r="V87" s="62">
        <f t="shared" si="53"/>
        <v>4433</v>
      </c>
      <c r="W87" s="62">
        <f t="shared" si="53"/>
        <v>310717</v>
      </c>
      <c r="X87" s="62"/>
      <c r="Y87" s="62">
        <f>SUM(Y78:Y86)</f>
        <v>315150</v>
      </c>
      <c r="Z87" s="62">
        <f>SUM(Z78:Z86)</f>
        <v>0</v>
      </c>
      <c r="AC87" s="62">
        <f>SUM(AC78:AC86)</f>
        <v>122415</v>
      </c>
      <c r="AD87" s="62">
        <f>SUM(AD78:AD86)</f>
        <v>192255</v>
      </c>
      <c r="AE87" s="62">
        <f>SUM(AE78:AE86)</f>
        <v>314670</v>
      </c>
      <c r="AF87" s="62">
        <f>SUM(AF78:AF86)</f>
        <v>-480</v>
      </c>
      <c r="AG87" s="32"/>
      <c r="AI87" s="62">
        <f>SUM(AI78:AI86)</f>
        <v>272950</v>
      </c>
      <c r="AK87" s="62">
        <f>SUM(AK78:AK86)-1</f>
        <v>126578</v>
      </c>
      <c r="AM87" s="62">
        <f>SUM(AM78:AM86)-1</f>
        <v>129263.33</v>
      </c>
      <c r="AO87" s="62">
        <f>SUM(AO78:AO86)</f>
        <v>132007.21035000001</v>
      </c>
      <c r="AP87" s="32"/>
      <c r="AQ87" s="62">
        <f>SUM(AQ78:AQ86)</f>
        <v>134808.88815075002</v>
      </c>
      <c r="AS87" s="62">
        <f>SUM(AS78:AS86)</f>
        <v>137670.63784735877</v>
      </c>
      <c r="AU87" s="62">
        <f>SUM(AU78:AU86)</f>
        <v>140593.76183623949</v>
      </c>
      <c r="AW87" s="62">
        <f>SUM(AW78:AW86)</f>
        <v>143579.59108569624</v>
      </c>
      <c r="AY87" s="62">
        <f>SUM(AY78:AY86)</f>
        <v>146629.48577046039</v>
      </c>
      <c r="BA87" s="62">
        <f>SUM(BA78:BA86)</f>
        <v>149744.83592049609</v>
      </c>
      <c r="BC87" s="62">
        <f>SUM(BC78:BC86)</f>
        <v>152927.06208439815</v>
      </c>
      <c r="BE87" s="62">
        <f>SUM(BE78:BE86)</f>
        <v>156177.61600771558</v>
      </c>
    </row>
    <row r="88" spans="1:57" hidden="1" outlineLevel="1" x14ac:dyDescent="0.25">
      <c r="A88" s="3"/>
      <c r="BC88" s="3"/>
      <c r="BE88" s="3"/>
    </row>
    <row r="89" spans="1:57" hidden="1" outlineLevel="1" x14ac:dyDescent="0.25">
      <c r="A89" s="7" t="s">
        <v>88</v>
      </c>
      <c r="BC89" s="3"/>
      <c r="BE89" s="3"/>
    </row>
    <row r="90" spans="1:57" hidden="1" outlineLevel="1" x14ac:dyDescent="0.25">
      <c r="A90" s="3" t="s">
        <v>89</v>
      </c>
      <c r="B90" s="3">
        <v>921</v>
      </c>
      <c r="D90" s="3">
        <v>725</v>
      </c>
      <c r="E90" s="3">
        <f>F90-D90</f>
        <v>195</v>
      </c>
      <c r="F90" s="3">
        <v>920</v>
      </c>
      <c r="H90" s="32">
        <f>F90-B90</f>
        <v>-1</v>
      </c>
      <c r="I90" s="32"/>
      <c r="J90" s="4">
        <v>1300</v>
      </c>
      <c r="K90" s="4">
        <f>L90-J90</f>
        <v>200</v>
      </c>
      <c r="L90" s="4">
        <v>1500</v>
      </c>
      <c r="N90" s="4">
        <f>L90-F90</f>
        <v>580</v>
      </c>
      <c r="P90" s="3">
        <f>L90*1.025+12</f>
        <v>1549.4999999999998</v>
      </c>
      <c r="R90" s="3">
        <v>1028</v>
      </c>
      <c r="S90" s="3">
        <f>T90-R90</f>
        <v>522</v>
      </c>
      <c r="T90" s="3">
        <v>1550</v>
      </c>
      <c r="U90" s="3">
        <f>T90-P90</f>
        <v>0.50000000000022737</v>
      </c>
      <c r="V90" s="3">
        <v>625</v>
      </c>
      <c r="W90" s="3">
        <f>Y90-V90</f>
        <v>575</v>
      </c>
      <c r="Y90" s="3">
        <v>1200</v>
      </c>
      <c r="Z90" s="3">
        <f>Y90-T90</f>
        <v>-350</v>
      </c>
      <c r="AC90" s="3">
        <v>830</v>
      </c>
      <c r="AD90" s="3">
        <f>AE90-AC90</f>
        <v>270</v>
      </c>
      <c r="AE90" s="3">
        <v>1100</v>
      </c>
      <c r="AF90" s="3">
        <f>AE90-Y90</f>
        <v>-100</v>
      </c>
      <c r="AI90" s="325">
        <v>1200</v>
      </c>
      <c r="AK90" s="3">
        <f>AI90*1.025</f>
        <v>1230</v>
      </c>
      <c r="AM90" s="3">
        <f>AK90*1.025</f>
        <v>1260.75</v>
      </c>
      <c r="AO90" s="3">
        <f>AM90*1.025</f>
        <v>1292.26875</v>
      </c>
      <c r="AQ90" s="3">
        <f>AO90*1.025</f>
        <v>1324.5754687499998</v>
      </c>
      <c r="AS90" s="3">
        <f>AQ90*1.025</f>
        <v>1357.6898554687498</v>
      </c>
      <c r="AU90" s="3">
        <f>AS90*1.025</f>
        <v>1391.6321018554684</v>
      </c>
      <c r="AW90" s="3">
        <f>AU90*1.025</f>
        <v>1426.422904401855</v>
      </c>
      <c r="AY90" s="3">
        <f>AW90*1.025</f>
        <v>1462.0834770119013</v>
      </c>
      <c r="BA90" s="3">
        <f>AY90*1.025</f>
        <v>1498.6355639371986</v>
      </c>
      <c r="BC90" s="3">
        <f>BA90*1.025</f>
        <v>1536.1014530356285</v>
      </c>
      <c r="BE90" s="3">
        <f>BC90*1.025</f>
        <v>1574.5039893615192</v>
      </c>
    </row>
    <row r="91" spans="1:57" hidden="1" outlineLevel="1" x14ac:dyDescent="0.25">
      <c r="A91" s="3" t="s">
        <v>57</v>
      </c>
      <c r="B91" s="3">
        <v>820</v>
      </c>
      <c r="E91" s="3">
        <f>F91-D91</f>
        <v>820</v>
      </c>
      <c r="F91" s="3">
        <v>820</v>
      </c>
      <c r="H91" s="32">
        <f>F91-B91</f>
        <v>0</v>
      </c>
      <c r="I91" s="32"/>
      <c r="J91" s="4">
        <v>316</v>
      </c>
      <c r="K91" s="4">
        <f>L91-J91</f>
        <v>384</v>
      </c>
      <c r="L91" s="4">
        <v>700</v>
      </c>
      <c r="N91" s="4">
        <f>L91-F91</f>
        <v>-120</v>
      </c>
      <c r="P91" s="3">
        <f>L91*1.025+32</f>
        <v>749.49999999999989</v>
      </c>
      <c r="R91" s="3">
        <f>355</f>
        <v>355</v>
      </c>
      <c r="S91" s="3">
        <f>T91-R91</f>
        <v>395</v>
      </c>
      <c r="T91" s="3">
        <v>750</v>
      </c>
      <c r="U91" s="3">
        <f>T91-P91</f>
        <v>0.50000000000011369</v>
      </c>
      <c r="V91" s="3">
        <v>1028</v>
      </c>
      <c r="W91" s="3">
        <f>Y91-V91</f>
        <v>472</v>
      </c>
      <c r="Y91" s="3">
        <v>1500</v>
      </c>
      <c r="Z91" s="3">
        <f>Y91-T91</f>
        <v>750</v>
      </c>
      <c r="AC91" s="3">
        <v>1684</v>
      </c>
      <c r="AD91" s="3">
        <f>AE91-AC91</f>
        <v>116</v>
      </c>
      <c r="AE91" s="3">
        <v>1800</v>
      </c>
      <c r="AF91" s="3">
        <f>AE91-Y91</f>
        <v>300</v>
      </c>
      <c r="AI91" s="326">
        <v>1900</v>
      </c>
      <c r="AK91" s="3">
        <f>AI91*1.025</f>
        <v>1947.4999999999998</v>
      </c>
      <c r="AM91" s="3">
        <f>AK91*1.025</f>
        <v>1996.1874999999995</v>
      </c>
      <c r="AO91" s="3">
        <f>AM91*1.025</f>
        <v>2046.0921874999995</v>
      </c>
      <c r="AQ91" s="3">
        <f>AO91*1.025</f>
        <v>2097.2444921874994</v>
      </c>
      <c r="AS91" s="3">
        <f>AQ91*1.025</f>
        <v>2149.6756044921867</v>
      </c>
      <c r="AU91" s="3">
        <f>AS91*1.025</f>
        <v>2203.4174946044914</v>
      </c>
      <c r="AW91" s="3">
        <f>AU91*1.025</f>
        <v>2258.5029319696037</v>
      </c>
      <c r="AY91" s="3">
        <f>AW91*1.025</f>
        <v>2314.9655052688436</v>
      </c>
      <c r="BA91" s="3">
        <f>AY91*1.025</f>
        <v>2372.8396429005643</v>
      </c>
      <c r="BC91" s="3">
        <f>BA91*1.025</f>
        <v>2432.1606339730783</v>
      </c>
      <c r="BE91" s="3">
        <f>BC91*1.025</f>
        <v>2492.9646498224051</v>
      </c>
    </row>
    <row r="92" spans="1:57" hidden="1" outlineLevel="1" x14ac:dyDescent="0.25">
      <c r="A92" s="3" t="s">
        <v>90</v>
      </c>
      <c r="AI92" s="326"/>
      <c r="BC92" s="3"/>
      <c r="BE92" s="3"/>
    </row>
    <row r="93" spans="1:57" hidden="1" outlineLevel="1" x14ac:dyDescent="0.25">
      <c r="A93" s="3"/>
      <c r="B93" s="247">
        <f>SUM(B90:B92)-1</f>
        <v>1740</v>
      </c>
      <c r="C93" s="32"/>
      <c r="D93" s="247">
        <f>SUM(D90:D92)-1</f>
        <v>724</v>
      </c>
      <c r="E93" s="247">
        <f>SUM(E90:E92)-1</f>
        <v>1014</v>
      </c>
      <c r="F93" s="247">
        <f>SUM(F90:F92)-1</f>
        <v>1739</v>
      </c>
      <c r="G93" s="32"/>
      <c r="H93" s="247">
        <f>SUM(H90:H92)-1</f>
        <v>-2</v>
      </c>
      <c r="I93" s="32"/>
      <c r="J93" s="247">
        <f>SUM(J90:J92)-1</f>
        <v>1615</v>
      </c>
      <c r="K93" s="247">
        <f>SUM(K90:K92)-1</f>
        <v>583</v>
      </c>
      <c r="L93" s="247">
        <f>SUM(L90:L92)-1</f>
        <v>2199</v>
      </c>
      <c r="M93" s="32"/>
      <c r="N93" s="247">
        <f>SUM(N90:N92)-1</f>
        <v>459</v>
      </c>
      <c r="P93" s="247">
        <f>SUM(P90:P92 )+1</f>
        <v>2299.9999999999995</v>
      </c>
      <c r="R93" s="247">
        <f t="shared" ref="R93:Z93" si="54">SUM(R90:R92 )</f>
        <v>1383</v>
      </c>
      <c r="S93" s="247">
        <f t="shared" si="54"/>
        <v>917</v>
      </c>
      <c r="T93" s="247">
        <f t="shared" si="54"/>
        <v>2300</v>
      </c>
      <c r="U93" s="247">
        <f t="shared" si="54"/>
        <v>1.0000000000003411</v>
      </c>
      <c r="V93" s="247">
        <f t="shared" si="54"/>
        <v>1653</v>
      </c>
      <c r="W93" s="247">
        <f t="shared" si="54"/>
        <v>1047</v>
      </c>
      <c r="X93" s="247"/>
      <c r="Y93" s="247">
        <f t="shared" si="54"/>
        <v>2700</v>
      </c>
      <c r="Z93" s="247">
        <f t="shared" si="54"/>
        <v>400</v>
      </c>
      <c r="AC93" s="247">
        <f>SUM(AC90:AC92 )</f>
        <v>2514</v>
      </c>
      <c r="AD93" s="247">
        <f>SUM(AD90:AD92 )</f>
        <v>386</v>
      </c>
      <c r="AE93" s="247">
        <f>SUM(AE90:AE92 )</f>
        <v>2900</v>
      </c>
      <c r="AF93" s="247">
        <f>SUM(AF90:AF92 )</f>
        <v>200</v>
      </c>
      <c r="AG93" s="32"/>
      <c r="AI93" s="247">
        <f>SUM(AI90:AI92)</f>
        <v>3100</v>
      </c>
      <c r="AK93" s="247">
        <f>SUM(AK90:AK92)</f>
        <v>3177.5</v>
      </c>
      <c r="AM93" s="247">
        <f>SUM(AM90:AM92)-1</f>
        <v>3255.9374999999995</v>
      </c>
      <c r="AO93" s="247">
        <f>SUM(AO90:AO92)-1</f>
        <v>3337.3609374999996</v>
      </c>
      <c r="AP93" s="32"/>
      <c r="AQ93" s="247">
        <f>SUM(AQ90:AQ92)</f>
        <v>3421.8199609374992</v>
      </c>
      <c r="AS93" s="247">
        <f>SUM(AS90:AS92)</f>
        <v>3507.3654599609363</v>
      </c>
      <c r="AU93" s="247">
        <f>SUM(AU90:AU92)</f>
        <v>3595.0495964599595</v>
      </c>
      <c r="AW93" s="247">
        <f>SUM(AW90:AW92)</f>
        <v>3684.9258363714589</v>
      </c>
      <c r="AY93" s="247">
        <f>SUM(AY90:AY92)</f>
        <v>3777.0489822807449</v>
      </c>
      <c r="BA93" s="247">
        <f>SUM(BA90:BA92)</f>
        <v>3871.4752068377629</v>
      </c>
      <c r="BC93" s="247">
        <f>SUM(BC90:BC92)</f>
        <v>3968.2620870087067</v>
      </c>
      <c r="BE93" s="247">
        <f>SUM(BE90:BE92)</f>
        <v>4067.4686391839241</v>
      </c>
    </row>
    <row r="94" spans="1:57" s="59" customFormat="1" hidden="1" outlineLevel="1" x14ac:dyDescent="0.25">
      <c r="A94" s="4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4"/>
      <c r="P94" s="9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9"/>
      <c r="AJ94" s="4"/>
      <c r="AK94" s="9"/>
      <c r="AL94" s="4"/>
      <c r="AM94" s="9"/>
      <c r="AN94" s="4"/>
      <c r="AO94" s="9"/>
      <c r="AP94" s="9"/>
      <c r="AQ94" s="9"/>
      <c r="AR94" s="51"/>
      <c r="AS94" s="9"/>
      <c r="AT94" s="51"/>
      <c r="AU94" s="9"/>
      <c r="AV94" s="51"/>
      <c r="AW94" s="9"/>
      <c r="AX94" s="51"/>
      <c r="AY94" s="9"/>
      <c r="AZ94" s="51"/>
      <c r="BA94" s="9"/>
      <c r="BB94" s="51"/>
      <c r="BC94" s="9"/>
      <c r="BD94" s="51"/>
      <c r="BE94" s="9"/>
    </row>
    <row r="95" spans="1:57" hidden="1" outlineLevel="1" x14ac:dyDescent="0.25">
      <c r="A95" s="7" t="s">
        <v>92</v>
      </c>
      <c r="BC95" s="3"/>
      <c r="BE95" s="3"/>
    </row>
    <row r="96" spans="1:57" hidden="1" outlineLevel="1" x14ac:dyDescent="0.25">
      <c r="A96" s="3" t="s">
        <v>93</v>
      </c>
      <c r="E96" s="3">
        <f>F96-D96</f>
        <v>0</v>
      </c>
      <c r="AI96" s="321"/>
      <c r="BC96" s="3"/>
      <c r="BE96" s="3"/>
    </row>
    <row r="97" spans="1:57" hidden="1" outlineLevel="1" x14ac:dyDescent="0.25">
      <c r="A97" s="3" t="s">
        <v>94</v>
      </c>
      <c r="E97" s="3">
        <f>F97-D97</f>
        <v>0</v>
      </c>
      <c r="W97" s="3">
        <f>Y97-V97</f>
        <v>0</v>
      </c>
      <c r="AI97" s="321"/>
      <c r="BC97" s="3"/>
      <c r="BE97" s="3"/>
    </row>
    <row r="98" spans="1:57" hidden="1" outlineLevel="1" x14ac:dyDescent="0.25">
      <c r="A98" s="3" t="s">
        <v>95</v>
      </c>
      <c r="B98" s="3">
        <v>2000</v>
      </c>
      <c r="E98" s="3">
        <f>F98-D98</f>
        <v>2000</v>
      </c>
      <c r="F98" s="3">
        <v>2000</v>
      </c>
      <c r="H98" s="32">
        <f>F98-B98</f>
        <v>0</v>
      </c>
      <c r="I98" s="32"/>
      <c r="J98" s="4">
        <v>459</v>
      </c>
      <c r="K98" s="4">
        <f>L98-J98</f>
        <v>1541</v>
      </c>
      <c r="L98" s="4">
        <v>2000</v>
      </c>
      <c r="N98" s="4">
        <f>L98-F98</f>
        <v>0</v>
      </c>
      <c r="P98" s="3">
        <f>L98*1.025</f>
        <v>2050</v>
      </c>
      <c r="R98" s="3">
        <v>0</v>
      </c>
      <c r="S98" s="3">
        <f>T98-R98</f>
        <v>1000</v>
      </c>
      <c r="T98" s="3">
        <v>1000</v>
      </c>
      <c r="U98" s="3">
        <f>T98-P98</f>
        <v>-1050</v>
      </c>
      <c r="W98" s="3">
        <f>Y98-V98</f>
        <v>9000</v>
      </c>
      <c r="Y98" s="3">
        <v>9000</v>
      </c>
      <c r="Z98" s="3">
        <f>Y98-T98</f>
        <v>8000</v>
      </c>
      <c r="AC98" s="3">
        <v>3003</v>
      </c>
      <c r="AD98" s="3">
        <f>AE98-AC98</f>
        <v>5997</v>
      </c>
      <c r="AE98" s="3">
        <v>9000</v>
      </c>
      <c r="AF98" s="3">
        <f>AE98-Y98</f>
        <v>0</v>
      </c>
      <c r="AI98" s="321">
        <v>9300</v>
      </c>
      <c r="AK98" s="3">
        <f>AI98*1.025</f>
        <v>9532.5</v>
      </c>
      <c r="AM98" s="3">
        <f>AK98*1.025</f>
        <v>9770.8125</v>
      </c>
      <c r="AO98" s="3">
        <f>AM98*1.025</f>
        <v>10015.082812499999</v>
      </c>
      <c r="AQ98" s="3">
        <f>AO98*1.025</f>
        <v>10265.459882812498</v>
      </c>
      <c r="AS98" s="3">
        <f>AQ98*1.025</f>
        <v>10522.096379882809</v>
      </c>
      <c r="AU98" s="3">
        <f>AS98*1.025</f>
        <v>10785.148789379879</v>
      </c>
      <c r="AW98" s="3">
        <f>AU98*1.025</f>
        <v>11054.777509114374</v>
      </c>
      <c r="AY98" s="3">
        <f>AW98*1.025</f>
        <v>11331.146946842233</v>
      </c>
      <c r="BA98" s="3">
        <f>AY98*1.025</f>
        <v>11614.425620513288</v>
      </c>
      <c r="BC98" s="3">
        <f>BA98*1.025</f>
        <v>11904.786261026118</v>
      </c>
      <c r="BE98" s="3">
        <f>BC98*1.025</f>
        <v>12202.40591755177</v>
      </c>
    </row>
    <row r="99" spans="1:57" hidden="1" outlineLevel="1" x14ac:dyDescent="0.25">
      <c r="A99" s="3"/>
      <c r="B99" s="62">
        <f>SUM(B96:B98)</f>
        <v>2000</v>
      </c>
      <c r="C99" s="32"/>
      <c r="D99" s="62">
        <f>SUM(D96:D98)</f>
        <v>0</v>
      </c>
      <c r="E99" s="62">
        <f>SUM(E96:E98)</f>
        <v>2000</v>
      </c>
      <c r="F99" s="62">
        <f>SUM(F96:F98)</f>
        <v>2000</v>
      </c>
      <c r="G99" s="32"/>
      <c r="H99" s="62">
        <f>SUM(H96:H98)</f>
        <v>0</v>
      </c>
      <c r="I99" s="32"/>
      <c r="J99" s="62">
        <f>SUM(J96:J98)</f>
        <v>459</v>
      </c>
      <c r="K99" s="62">
        <f>SUM(K96:K98)</f>
        <v>1541</v>
      </c>
      <c r="L99" s="62">
        <f>SUM(L96:L98)</f>
        <v>2000</v>
      </c>
      <c r="M99" s="32"/>
      <c r="N99" s="62">
        <f>SUM(N96:N98)</f>
        <v>0</v>
      </c>
      <c r="P99" s="62">
        <f>SUM(P96:P98)</f>
        <v>2050</v>
      </c>
      <c r="R99" s="62">
        <f t="shared" ref="R99:Z99" si="55">SUM(R96:R98)</f>
        <v>0</v>
      </c>
      <c r="S99" s="62">
        <f t="shared" si="55"/>
        <v>1000</v>
      </c>
      <c r="T99" s="62">
        <f t="shared" si="55"/>
        <v>1000</v>
      </c>
      <c r="U99" s="62">
        <f t="shared" si="55"/>
        <v>-1050</v>
      </c>
      <c r="V99" s="62">
        <f t="shared" si="55"/>
        <v>0</v>
      </c>
      <c r="W99" s="62">
        <f t="shared" si="55"/>
        <v>9000</v>
      </c>
      <c r="X99" s="62"/>
      <c r="Y99" s="62">
        <f t="shared" si="55"/>
        <v>9000</v>
      </c>
      <c r="Z99" s="62">
        <f t="shared" si="55"/>
        <v>8000</v>
      </c>
      <c r="AC99" s="62">
        <f>SUM(AC96:AC98)</f>
        <v>3003</v>
      </c>
      <c r="AD99" s="62">
        <f>SUM(AD96:AD98)</f>
        <v>5997</v>
      </c>
      <c r="AE99" s="62">
        <f>SUM(AE96:AE98)</f>
        <v>9000</v>
      </c>
      <c r="AF99" s="62">
        <f>SUM(AF96:AF98)</f>
        <v>0</v>
      </c>
      <c r="AG99" s="32"/>
      <c r="AI99" s="62">
        <f>SUM(AI96:AI98)</f>
        <v>9300</v>
      </c>
      <c r="AK99" s="62">
        <f>SUM(AK96:AK98)</f>
        <v>9532.5</v>
      </c>
      <c r="AM99" s="62">
        <f>SUM(AM96:AM98)</f>
        <v>9770.8125</v>
      </c>
      <c r="AO99" s="62">
        <f>SUM(AO96:AO98)</f>
        <v>10015.082812499999</v>
      </c>
      <c r="AP99" s="32"/>
      <c r="AQ99" s="62">
        <f>SUM(AQ96:AQ98)</f>
        <v>10265.459882812498</v>
      </c>
      <c r="AS99" s="62">
        <f>SUM(AS96:AS98)</f>
        <v>10522.096379882809</v>
      </c>
      <c r="AU99" s="62">
        <f>SUM(AU96:AU98)</f>
        <v>10785.148789379879</v>
      </c>
      <c r="AW99" s="62">
        <f>SUM(AW96:AW98)</f>
        <v>11054.777509114374</v>
      </c>
      <c r="AY99" s="62">
        <f>SUM(AY96:AY98)</f>
        <v>11331.146946842233</v>
      </c>
      <c r="BA99" s="62">
        <f>SUM(BA96:BA98)</f>
        <v>11614.425620513288</v>
      </c>
      <c r="BC99" s="62">
        <f>SUM(BC96:BC98)</f>
        <v>11904.786261026118</v>
      </c>
      <c r="BE99" s="62">
        <f>SUM(BE96:BE98)</f>
        <v>12202.40591755177</v>
      </c>
    </row>
    <row r="100" spans="1:57" ht="15.75" collapsed="1" thickBot="1" x14ac:dyDescent="0.3">
      <c r="A100" s="7" t="s">
        <v>1161</v>
      </c>
      <c r="B100" s="44">
        <f>B93+B87+B99</f>
        <v>267530</v>
      </c>
      <c r="C100" s="32"/>
      <c r="D100" s="44">
        <f>D93+D87+D99</f>
        <v>724</v>
      </c>
      <c r="E100" s="44">
        <f>E93+E87+E99</f>
        <v>266804</v>
      </c>
      <c r="F100" s="44">
        <f>F93+F87+F99</f>
        <v>267529</v>
      </c>
      <c r="G100" s="32"/>
      <c r="H100" s="44">
        <f>H93+H87+H99</f>
        <v>-2</v>
      </c>
      <c r="I100" s="32"/>
      <c r="J100" s="44">
        <f>J93+J87+J99</f>
        <v>529</v>
      </c>
      <c r="K100" s="44">
        <f>K93+K87+K99</f>
        <v>265914</v>
      </c>
      <c r="L100" s="44">
        <f>L93+L87+L99</f>
        <v>266444</v>
      </c>
      <c r="M100" s="32"/>
      <c r="N100" s="44">
        <f>N93+N87+N99</f>
        <v>-1086</v>
      </c>
      <c r="O100" s="44"/>
      <c r="P100" s="44">
        <f>P93+P87+P99</f>
        <v>319500</v>
      </c>
      <c r="R100" s="44">
        <f t="shared" ref="R100:W100" si="56">R93+R87+R99</f>
        <v>1383</v>
      </c>
      <c r="S100" s="44">
        <f t="shared" si="56"/>
        <v>317067</v>
      </c>
      <c r="T100" s="44">
        <f t="shared" si="56"/>
        <v>318450</v>
      </c>
      <c r="U100" s="44">
        <f t="shared" si="56"/>
        <v>-1048.9999999999995</v>
      </c>
      <c r="V100" s="44">
        <f t="shared" si="56"/>
        <v>6086</v>
      </c>
      <c r="W100" s="44">
        <f t="shared" si="56"/>
        <v>320764</v>
      </c>
      <c r="X100" s="44"/>
      <c r="Y100" s="44">
        <f>Y93+Y87+Y99</f>
        <v>326850</v>
      </c>
      <c r="Z100" s="44">
        <f>Z93+Z87+Z99</f>
        <v>8400</v>
      </c>
      <c r="AC100" s="44">
        <f>AC93+AC87+AC99</f>
        <v>127932</v>
      </c>
      <c r="AD100" s="44">
        <f>AD93+AD87+AD99</f>
        <v>198638</v>
      </c>
      <c r="AE100" s="44">
        <f>AE93+AE87+AE99</f>
        <v>326570</v>
      </c>
      <c r="AF100" s="44">
        <f>AF93+AF87+AF99</f>
        <v>-280</v>
      </c>
      <c r="AG100" s="32"/>
      <c r="AI100" s="44">
        <f>AI93+AI87+AI99</f>
        <v>285350</v>
      </c>
      <c r="AK100" s="44">
        <f>AK93+AK87+AK99</f>
        <v>139288</v>
      </c>
      <c r="AM100" s="44">
        <f>AM93+AM87+AM99</f>
        <v>142290.07999999999</v>
      </c>
      <c r="AO100" s="44">
        <f>AO93+AO87+AO99</f>
        <v>145359.65410000001</v>
      </c>
      <c r="AP100" s="32"/>
      <c r="AQ100" s="44">
        <f>AQ93+AQ87+AQ99</f>
        <v>148496.16799449999</v>
      </c>
      <c r="AS100" s="44">
        <f>AS93+AS87+AS99</f>
        <v>151700.09968720251</v>
      </c>
      <c r="AU100" s="44">
        <f>AU93+AU87+AU99</f>
        <v>154973.96022207933</v>
      </c>
      <c r="AW100" s="44">
        <f>AW93+AW87+AW99</f>
        <v>158319.29443118209</v>
      </c>
      <c r="AY100" s="44">
        <f>AY93+AY87+AY99</f>
        <v>161737.68169958337</v>
      </c>
      <c r="BA100" s="44">
        <f>BA93+BA87+BA99</f>
        <v>165230.73674784714</v>
      </c>
      <c r="BC100" s="44">
        <f>BC93+BC87+BC99</f>
        <v>168800.11043243296</v>
      </c>
      <c r="BE100" s="44">
        <f>BE93+BE87+BE99</f>
        <v>172447.49056445129</v>
      </c>
    </row>
    <row r="101" spans="1:57" s="42" customFormat="1" ht="15.75" thickTop="1" x14ac:dyDescent="0.25">
      <c r="A101" s="3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"/>
      <c r="P101" s="32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4"/>
      <c r="AH101" s="4"/>
      <c r="AI101" s="32"/>
      <c r="AJ101" s="3"/>
      <c r="AK101" s="32"/>
      <c r="AL101" s="3"/>
      <c r="AM101" s="32"/>
      <c r="AN101" s="3"/>
      <c r="AO101" s="32"/>
      <c r="AP101" s="32"/>
      <c r="AQ101" s="32"/>
      <c r="AS101" s="32"/>
      <c r="AU101" s="32"/>
      <c r="AW101" s="32"/>
      <c r="AY101" s="32"/>
      <c r="BA101" s="32"/>
      <c r="BC101" s="32"/>
      <c r="BE101" s="32"/>
    </row>
    <row r="102" spans="1:57" s="42" customFormat="1" x14ac:dyDescent="0.25">
      <c r="A102" s="7" t="s">
        <v>1162</v>
      </c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"/>
      <c r="P102" s="32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4"/>
      <c r="AH102" s="4"/>
      <c r="AI102" s="32"/>
      <c r="AJ102" s="3"/>
      <c r="AK102" s="32"/>
      <c r="AL102" s="3"/>
      <c r="AM102" s="32"/>
      <c r="AN102" s="3"/>
      <c r="AO102" s="32"/>
      <c r="AP102" s="32"/>
      <c r="AQ102" s="32"/>
      <c r="AS102" s="32"/>
      <c r="AU102" s="32"/>
      <c r="AW102" s="32"/>
      <c r="AY102" s="32"/>
      <c r="BA102" s="32"/>
      <c r="BC102" s="32"/>
      <c r="BE102" s="32"/>
    </row>
    <row r="103" spans="1:57" hidden="1" outlineLevel="1" x14ac:dyDescent="0.25">
      <c r="A103" s="7" t="s">
        <v>96</v>
      </c>
      <c r="BC103" s="3"/>
      <c r="BE103" s="3"/>
    </row>
    <row r="104" spans="1:57" hidden="1" outlineLevel="1" x14ac:dyDescent="0.25">
      <c r="A104" s="3" t="s">
        <v>97</v>
      </c>
      <c r="B104" s="3">
        <v>300</v>
      </c>
      <c r="E104" s="3">
        <f>F104-D104</f>
        <v>300</v>
      </c>
      <c r="F104" s="3">
        <v>300</v>
      </c>
      <c r="H104" s="32">
        <f>F104-B104</f>
        <v>0</v>
      </c>
      <c r="I104" s="32"/>
      <c r="J104" s="32"/>
      <c r="K104" s="4">
        <f>L104-J104</f>
        <v>0</v>
      </c>
      <c r="L104" s="32">
        <v>0</v>
      </c>
      <c r="M104" s="32"/>
      <c r="N104" s="4">
        <f>L104-F104</f>
        <v>-300</v>
      </c>
      <c r="P104" s="3">
        <v>300</v>
      </c>
      <c r="R104" s="3">
        <v>0</v>
      </c>
      <c r="S104" s="3">
        <f>T104-R104</f>
        <v>300</v>
      </c>
      <c r="T104" s="3">
        <v>300</v>
      </c>
      <c r="U104" s="3">
        <f>T104-P104</f>
        <v>0</v>
      </c>
      <c r="W104" s="3">
        <f>Y104-V104</f>
        <v>0</v>
      </c>
      <c r="AI104" s="325">
        <v>9150</v>
      </c>
      <c r="AK104" s="3">
        <f>AI104*1.025</f>
        <v>9378.75</v>
      </c>
      <c r="AM104" s="3">
        <f>AK104*1.025</f>
        <v>9613.21875</v>
      </c>
      <c r="AO104" s="3">
        <f>AM104*1.025</f>
        <v>9853.5492187499985</v>
      </c>
      <c r="AQ104" s="3">
        <f>AO104*1.025</f>
        <v>10099.887949218748</v>
      </c>
      <c r="AS104" s="3">
        <f>AQ104*1.025</f>
        <v>10352.385147949215</v>
      </c>
      <c r="AU104" s="3">
        <f>AS104*1.025</f>
        <v>10611.194776647944</v>
      </c>
      <c r="AW104" s="3">
        <f>AU104*1.025</f>
        <v>10876.474646064142</v>
      </c>
      <c r="AY104" s="3">
        <f>AW104*1.025</f>
        <v>11148.386512215744</v>
      </c>
      <c r="BA104" s="3">
        <f>AY104*1.025</f>
        <v>11427.096175021137</v>
      </c>
      <c r="BC104" s="3">
        <f>BA104*1.025</f>
        <v>11712.773579396664</v>
      </c>
      <c r="BE104" s="3">
        <f>BC104*1.025</f>
        <v>12005.592918881579</v>
      </c>
    </row>
    <row r="105" spans="1:57" hidden="1" outlineLevel="1" x14ac:dyDescent="0.25">
      <c r="A105" s="3" t="s">
        <v>98</v>
      </c>
      <c r="AI105" s="321"/>
      <c r="BC105" s="3"/>
      <c r="BE105" s="3"/>
    </row>
    <row r="106" spans="1:57" hidden="1" outlineLevel="1" x14ac:dyDescent="0.25">
      <c r="A106" s="3"/>
      <c r="B106" s="62">
        <f>SUM(B104:B105)</f>
        <v>300</v>
      </c>
      <c r="C106" s="32"/>
      <c r="D106" s="62">
        <f>SUM(D104:D105)</f>
        <v>0</v>
      </c>
      <c r="E106" s="62">
        <f>SUM(E104:E105)</f>
        <v>300</v>
      </c>
      <c r="F106" s="62">
        <f>SUM(F104:F105)</f>
        <v>300</v>
      </c>
      <c r="G106" s="32"/>
      <c r="H106" s="62">
        <f>SUM(H104:H105)</f>
        <v>0</v>
      </c>
      <c r="I106" s="32"/>
      <c r="J106" s="62">
        <f>SUM(J104:J105)</f>
        <v>0</v>
      </c>
      <c r="K106" s="62">
        <f>SUM(K104:K105)</f>
        <v>0</v>
      </c>
      <c r="L106" s="62">
        <f>SUM(L104:L105)</f>
        <v>0</v>
      </c>
      <c r="M106" s="32"/>
      <c r="N106" s="62">
        <f>SUM(N104:N105)</f>
        <v>-300</v>
      </c>
      <c r="P106" s="62">
        <f>SUM(P104:P105)</f>
        <v>300</v>
      </c>
      <c r="R106" s="62">
        <f t="shared" ref="R106:Y106" si="57">SUM(R104:R105)</f>
        <v>0</v>
      </c>
      <c r="S106" s="62">
        <f t="shared" si="57"/>
        <v>300</v>
      </c>
      <c r="T106" s="62">
        <f t="shared" si="57"/>
        <v>300</v>
      </c>
      <c r="U106" s="62">
        <f t="shared" si="57"/>
        <v>0</v>
      </c>
      <c r="V106" s="62">
        <f t="shared" si="57"/>
        <v>0</v>
      </c>
      <c r="W106" s="62">
        <f t="shared" si="57"/>
        <v>0</v>
      </c>
      <c r="X106" s="62"/>
      <c r="Y106" s="62">
        <f t="shared" si="57"/>
        <v>0</v>
      </c>
      <c r="Z106" s="62">
        <f>Y106-T106</f>
        <v>-300</v>
      </c>
      <c r="AC106" s="62">
        <f>SUM(AC104:AC105)</f>
        <v>0</v>
      </c>
      <c r="AD106" s="62">
        <f>AE106-AC106</f>
        <v>0</v>
      </c>
      <c r="AE106" s="62">
        <f>SUM(AE104:AE105)</f>
        <v>0</v>
      </c>
      <c r="AF106" s="62">
        <f>SUM(AF104:AF105)</f>
        <v>0</v>
      </c>
      <c r="AG106" s="32"/>
      <c r="AI106" s="62">
        <f>SUM(AI104:AI105)</f>
        <v>9150</v>
      </c>
      <c r="AK106" s="62">
        <f>SUM(AK104:AK105)</f>
        <v>9378.75</v>
      </c>
      <c r="AM106" s="62">
        <f>SUM(AM104:AM105)</f>
        <v>9613.21875</v>
      </c>
      <c r="AO106" s="62">
        <f>SUM(AO104:AO105)</f>
        <v>9853.5492187499985</v>
      </c>
      <c r="AP106" s="32"/>
      <c r="AQ106" s="62">
        <f>SUM(AQ104:AQ105)</f>
        <v>10099.887949218748</v>
      </c>
      <c r="AS106" s="62">
        <f>SUM(AS104:AS105)</f>
        <v>10352.385147949215</v>
      </c>
      <c r="AU106" s="62">
        <f>SUM(AU104:AU105)</f>
        <v>10611.194776647944</v>
      </c>
      <c r="AW106" s="62">
        <f>SUM(AW104:AW105)</f>
        <v>10876.474646064142</v>
      </c>
      <c r="AY106" s="62">
        <f>SUM(AY104:AY105)</f>
        <v>11148.386512215744</v>
      </c>
      <c r="BA106" s="62">
        <f>SUM(BA104:BA105)</f>
        <v>11427.096175021137</v>
      </c>
      <c r="BC106" s="62">
        <f>SUM(BC104:BC105)</f>
        <v>11712.773579396664</v>
      </c>
      <c r="BE106" s="62">
        <f>SUM(BE104:BE105)</f>
        <v>12005.592918881579</v>
      </c>
    </row>
    <row r="107" spans="1:57" hidden="1" outlineLevel="1" x14ac:dyDescent="0.25">
      <c r="A107" s="7" t="s">
        <v>99</v>
      </c>
      <c r="BC107" s="3"/>
      <c r="BE107" s="3"/>
    </row>
    <row r="108" spans="1:57" hidden="1" outlineLevel="1" x14ac:dyDescent="0.25">
      <c r="A108" s="3" t="s">
        <v>93</v>
      </c>
      <c r="B108" s="3">
        <v>30000</v>
      </c>
      <c r="E108" s="3">
        <f>F108-D108</f>
        <v>30000</v>
      </c>
      <c r="F108" s="3">
        <v>30000</v>
      </c>
      <c r="H108" s="32">
        <f t="shared" ref="H108:H113" si="58">F108-B108</f>
        <v>0</v>
      </c>
      <c r="I108" s="32"/>
      <c r="J108" s="4"/>
      <c r="K108" s="4">
        <f t="shared" ref="K108:K113" si="59">L108-J108</f>
        <v>30000</v>
      </c>
      <c r="L108" s="4">
        <v>30000</v>
      </c>
      <c r="M108" s="32"/>
      <c r="N108" s="4">
        <f t="shared" ref="N108:N113" si="60">L108-F108</f>
        <v>0</v>
      </c>
      <c r="P108" s="3">
        <v>30000</v>
      </c>
      <c r="R108" s="3">
        <v>0</v>
      </c>
      <c r="S108" s="3">
        <f t="shared" ref="S108:S113" si="61">T108-R108</f>
        <v>30900</v>
      </c>
      <c r="T108" s="3">
        <v>30900</v>
      </c>
      <c r="U108" s="3">
        <f t="shared" ref="U108:U113" si="62">T108-P108</f>
        <v>900</v>
      </c>
      <c r="V108" s="3">
        <v>30900</v>
      </c>
      <c r="W108" s="3">
        <f t="shared" ref="W108:W113" si="63">Y108-V108</f>
        <v>1600</v>
      </c>
      <c r="Y108" s="3">
        <v>32500</v>
      </c>
      <c r="Z108" s="3">
        <f t="shared" ref="Z108:Z113" si="64">Y108-T108</f>
        <v>1600</v>
      </c>
      <c r="AC108" s="3">
        <v>33923</v>
      </c>
      <c r="AD108" s="3">
        <f t="shared" ref="AD108:AD113" si="65">AE108-AC108</f>
        <v>7</v>
      </c>
      <c r="AE108" s="3">
        <v>33930</v>
      </c>
      <c r="AF108" s="3">
        <f t="shared" ref="AF108:AF113" si="66">AE108-Y108</f>
        <v>1430</v>
      </c>
      <c r="AI108" s="321">
        <f>P108*1.025-50</f>
        <v>30699.999999999996</v>
      </c>
      <c r="AK108" s="3">
        <f t="shared" ref="AK108:AY108" si="67">AI108*1.025</f>
        <v>31467.499999999993</v>
      </c>
      <c r="AL108" s="3">
        <f t="shared" si="67"/>
        <v>0</v>
      </c>
      <c r="AM108" s="3">
        <f t="shared" si="67"/>
        <v>32254.187499999989</v>
      </c>
      <c r="AN108" s="3">
        <f t="shared" si="67"/>
        <v>0</v>
      </c>
      <c r="AO108" s="3">
        <f t="shared" si="67"/>
        <v>33060.542187499988</v>
      </c>
      <c r="AQ108" s="3">
        <f>AO108*1.025</f>
        <v>33887.055742187484</v>
      </c>
      <c r="AR108" s="3"/>
      <c r="AS108" s="3">
        <f t="shared" si="67"/>
        <v>34734.232135742168</v>
      </c>
      <c r="AT108" s="3">
        <f t="shared" si="67"/>
        <v>0</v>
      </c>
      <c r="AU108" s="3">
        <f t="shared" si="67"/>
        <v>35602.587939135716</v>
      </c>
      <c r="AV108" s="3">
        <f t="shared" si="67"/>
        <v>0</v>
      </c>
      <c r="AW108" s="3">
        <f t="shared" si="67"/>
        <v>36492.652637614105</v>
      </c>
      <c r="AX108" s="3"/>
      <c r="AY108" s="3">
        <f t="shared" si="67"/>
        <v>37404.968953554453</v>
      </c>
      <c r="BA108" s="3">
        <f>AY108*1.025</f>
        <v>38340.093177393312</v>
      </c>
      <c r="BC108" s="3">
        <f>BA108*1.025</f>
        <v>39298.59550682814</v>
      </c>
      <c r="BE108" s="3">
        <f>BC108*1.025</f>
        <v>40281.06039449884</v>
      </c>
    </row>
    <row r="109" spans="1:57" hidden="1" outlineLevel="1" x14ac:dyDescent="0.25">
      <c r="A109" s="3" t="s">
        <v>100</v>
      </c>
      <c r="B109" s="3">
        <v>3000</v>
      </c>
      <c r="E109" s="3">
        <f>F109-D109</f>
        <v>3000</v>
      </c>
      <c r="F109" s="3">
        <v>3000</v>
      </c>
      <c r="H109" s="32">
        <f t="shared" si="58"/>
        <v>0</v>
      </c>
      <c r="I109" s="32"/>
      <c r="J109" s="4"/>
      <c r="K109" s="4">
        <f t="shared" si="59"/>
        <v>3000</v>
      </c>
      <c r="L109" s="4">
        <v>3000</v>
      </c>
      <c r="M109" s="32"/>
      <c r="N109" s="4">
        <f t="shared" si="60"/>
        <v>0</v>
      </c>
      <c r="P109" s="3">
        <v>3000</v>
      </c>
      <c r="R109" s="3">
        <v>0</v>
      </c>
      <c r="S109" s="3">
        <f t="shared" si="61"/>
        <v>3000</v>
      </c>
      <c r="T109" s="3">
        <v>3000</v>
      </c>
      <c r="U109" s="3">
        <f t="shared" si="62"/>
        <v>0</v>
      </c>
      <c r="V109" s="3">
        <v>3023</v>
      </c>
      <c r="W109" s="3">
        <f t="shared" si="63"/>
        <v>-3</v>
      </c>
      <c r="Y109" s="3">
        <v>3020</v>
      </c>
      <c r="Z109" s="3">
        <f t="shared" si="64"/>
        <v>20</v>
      </c>
      <c r="AD109" s="3">
        <f t="shared" si="65"/>
        <v>0</v>
      </c>
      <c r="AE109" s="3">
        <v>0</v>
      </c>
      <c r="AF109" s="3">
        <f t="shared" si="66"/>
        <v>-3020</v>
      </c>
      <c r="AI109" s="321">
        <v>2400</v>
      </c>
      <c r="AK109" s="3">
        <f>AI109*1.025</f>
        <v>2460</v>
      </c>
      <c r="AL109" s="3">
        <f>AJ109*1.025</f>
        <v>0</v>
      </c>
      <c r="AM109" s="3">
        <f>AK109*1.025</f>
        <v>2521.5</v>
      </c>
      <c r="AN109" s="3">
        <f>AL109*1.025</f>
        <v>0</v>
      </c>
      <c r="AO109" s="3">
        <f>AM109*1.025</f>
        <v>2584.5374999999999</v>
      </c>
      <c r="AQ109" s="3">
        <f>AO109*1.025</f>
        <v>2649.1509374999996</v>
      </c>
      <c r="AR109" s="3"/>
      <c r="AS109" s="3">
        <f>AQ109*1.025</f>
        <v>2715.3797109374996</v>
      </c>
      <c r="AT109" s="3">
        <f>AR109*1.025</f>
        <v>0</v>
      </c>
      <c r="AU109" s="3">
        <f>AS109*1.025</f>
        <v>2783.2642037109367</v>
      </c>
      <c r="AV109" s="3">
        <f>AT109*1.025</f>
        <v>0</v>
      </c>
      <c r="AW109" s="3">
        <f>AU109*1.025</f>
        <v>2852.84580880371</v>
      </c>
      <c r="AX109" s="3"/>
      <c r="AY109" s="3">
        <f>AW109*1.025</f>
        <v>2924.1669540238026</v>
      </c>
      <c r="BA109" s="3">
        <f>AY109*1.025</f>
        <v>2997.2711278743973</v>
      </c>
      <c r="BC109" s="3">
        <f>BA109*1.025</f>
        <v>3072.2029060712571</v>
      </c>
      <c r="BE109" s="3">
        <f>BC109*1.025</f>
        <v>3149.0079787230384</v>
      </c>
    </row>
    <row r="110" spans="1:57" hidden="1" outlineLevel="1" x14ac:dyDescent="0.25">
      <c r="A110" s="3" t="s">
        <v>101</v>
      </c>
      <c r="E110" s="3">
        <f>F110-D110</f>
        <v>0</v>
      </c>
      <c r="H110" s="32">
        <f t="shared" si="58"/>
        <v>0</v>
      </c>
      <c r="I110" s="32"/>
      <c r="J110" s="4"/>
      <c r="K110" s="4">
        <f t="shared" si="59"/>
        <v>0</v>
      </c>
      <c r="L110" s="4"/>
      <c r="M110" s="32"/>
      <c r="N110" s="4">
        <f t="shared" si="60"/>
        <v>0</v>
      </c>
      <c r="S110" s="3">
        <f t="shared" si="61"/>
        <v>0</v>
      </c>
      <c r="U110" s="3">
        <f t="shared" si="62"/>
        <v>0</v>
      </c>
      <c r="W110" s="3">
        <f t="shared" si="63"/>
        <v>0</v>
      </c>
      <c r="Z110" s="3">
        <f t="shared" si="64"/>
        <v>0</v>
      </c>
      <c r="AD110" s="3">
        <f t="shared" si="65"/>
        <v>0</v>
      </c>
      <c r="AF110" s="3">
        <f t="shared" si="66"/>
        <v>0</v>
      </c>
      <c r="AI110" s="325"/>
      <c r="BC110" s="3"/>
      <c r="BE110" s="3"/>
    </row>
    <row r="111" spans="1:57" hidden="1" outlineLevel="1" x14ac:dyDescent="0.25">
      <c r="A111" s="3" t="s">
        <v>102</v>
      </c>
      <c r="H111" s="32">
        <f t="shared" si="58"/>
        <v>0</v>
      </c>
      <c r="I111" s="32"/>
      <c r="J111" s="4">
        <v>870</v>
      </c>
      <c r="K111" s="4">
        <f t="shared" si="59"/>
        <v>230</v>
      </c>
      <c r="L111" s="4">
        <v>1100</v>
      </c>
      <c r="M111" s="32"/>
      <c r="N111" s="4">
        <f t="shared" si="60"/>
        <v>1100</v>
      </c>
      <c r="P111" s="3">
        <v>1100</v>
      </c>
      <c r="R111" s="3">
        <v>127</v>
      </c>
      <c r="S111" s="3">
        <f t="shared" si="61"/>
        <v>373</v>
      </c>
      <c r="T111" s="3">
        <v>500</v>
      </c>
      <c r="U111" s="3">
        <f t="shared" si="62"/>
        <v>-600</v>
      </c>
      <c r="V111" s="3">
        <v>604</v>
      </c>
      <c r="W111" s="3">
        <f t="shared" si="63"/>
        <v>296</v>
      </c>
      <c r="Y111" s="3">
        <v>900</v>
      </c>
      <c r="Z111" s="3">
        <f t="shared" si="64"/>
        <v>400</v>
      </c>
      <c r="AC111" s="3">
        <v>618</v>
      </c>
      <c r="AD111" s="3">
        <f t="shared" si="65"/>
        <v>132</v>
      </c>
      <c r="AE111" s="3">
        <v>750</v>
      </c>
      <c r="AF111" s="3">
        <f t="shared" si="66"/>
        <v>-150</v>
      </c>
      <c r="AI111" s="325">
        <f>AE111*1.025+31</f>
        <v>799.74999999999989</v>
      </c>
      <c r="AK111" s="3">
        <f t="shared" ref="AK111:BE111" si="68">AI111*1.025</f>
        <v>819.74374999999986</v>
      </c>
      <c r="AL111" s="3">
        <f t="shared" si="68"/>
        <v>0</v>
      </c>
      <c r="AM111" s="3">
        <f t="shared" si="68"/>
        <v>840.23734374999981</v>
      </c>
      <c r="AN111" s="3">
        <f t="shared" si="68"/>
        <v>0</v>
      </c>
      <c r="AO111" s="3">
        <f t="shared" si="68"/>
        <v>861.2432773437497</v>
      </c>
      <c r="AQ111" s="3">
        <f>AO111*1.025</f>
        <v>882.77435927734336</v>
      </c>
      <c r="AR111" s="3"/>
      <c r="AS111" s="3">
        <f t="shared" si="68"/>
        <v>904.8437182592769</v>
      </c>
      <c r="AT111" s="3">
        <f t="shared" si="68"/>
        <v>0</v>
      </c>
      <c r="AU111" s="3">
        <f t="shared" si="68"/>
        <v>927.46481121575869</v>
      </c>
      <c r="AV111" s="3">
        <f t="shared" si="68"/>
        <v>0</v>
      </c>
      <c r="AW111" s="3">
        <f t="shared" si="68"/>
        <v>950.65143149615255</v>
      </c>
      <c r="AX111" s="3"/>
      <c r="AY111" s="3">
        <f t="shared" si="68"/>
        <v>974.41771728355627</v>
      </c>
      <c r="BA111" s="3">
        <f t="shared" si="68"/>
        <v>998.77816021564513</v>
      </c>
      <c r="BC111" s="3">
        <f t="shared" si="68"/>
        <v>1023.7476142210362</v>
      </c>
      <c r="BE111" s="3">
        <f t="shared" si="68"/>
        <v>1049.3413045765619</v>
      </c>
    </row>
    <row r="112" spans="1:57" hidden="1" outlineLevel="1" x14ac:dyDescent="0.25">
      <c r="A112" s="3" t="s">
        <v>103</v>
      </c>
      <c r="B112" s="3">
        <v>2000</v>
      </c>
      <c r="E112" s="3">
        <f>F112-D112</f>
        <v>2000</v>
      </c>
      <c r="F112" s="3">
        <v>2000</v>
      </c>
      <c r="H112" s="32">
        <f t="shared" si="58"/>
        <v>0</v>
      </c>
      <c r="I112" s="32"/>
      <c r="J112" s="4"/>
      <c r="K112" s="4">
        <f t="shared" si="59"/>
        <v>2000</v>
      </c>
      <c r="L112" s="4">
        <v>2000</v>
      </c>
      <c r="M112" s="32"/>
      <c r="N112" s="4">
        <f t="shared" si="60"/>
        <v>0</v>
      </c>
      <c r="P112" s="3">
        <f>L112*1.025</f>
        <v>2050</v>
      </c>
      <c r="R112" s="3">
        <v>0</v>
      </c>
      <c r="S112" s="3">
        <f t="shared" si="61"/>
        <v>2000</v>
      </c>
      <c r="T112" s="3">
        <v>2000</v>
      </c>
      <c r="U112" s="3">
        <f t="shared" si="62"/>
        <v>-50</v>
      </c>
      <c r="W112" s="3">
        <f t="shared" si="63"/>
        <v>2000</v>
      </c>
      <c r="Y112" s="3">
        <v>2000</v>
      </c>
      <c r="Z112" s="3">
        <f t="shared" si="64"/>
        <v>0</v>
      </c>
      <c r="AD112" s="3">
        <f t="shared" si="65"/>
        <v>0</v>
      </c>
      <c r="AE112" s="3">
        <v>0</v>
      </c>
      <c r="AF112" s="3">
        <f t="shared" si="66"/>
        <v>-2000</v>
      </c>
      <c r="AI112" s="321">
        <v>1000</v>
      </c>
      <c r="AK112" s="3">
        <f>AI112*1.025</f>
        <v>1025</v>
      </c>
      <c r="AM112" s="3">
        <f>AK112*1.025</f>
        <v>1050.625</v>
      </c>
      <c r="AO112" s="3">
        <f>AM112*1.025</f>
        <v>1076.890625</v>
      </c>
      <c r="AQ112" s="3">
        <f>AO112*1.025</f>
        <v>1103.8128906249999</v>
      </c>
      <c r="AS112" s="3">
        <f>AQ112*1.025</f>
        <v>1131.4082128906248</v>
      </c>
      <c r="AU112" s="3">
        <f>AS112*1.025</f>
        <v>1159.6934182128903</v>
      </c>
      <c r="AW112" s="3">
        <f>AU112*1.025</f>
        <v>1188.6857536682123</v>
      </c>
      <c r="AY112" s="3">
        <f>AW112*1.025</f>
        <v>1218.4028975099175</v>
      </c>
      <c r="BA112" s="3">
        <f>AY112*1.025</f>
        <v>1248.8629699476653</v>
      </c>
      <c r="BC112" s="3">
        <f>BA112*1.025</f>
        <v>1280.0845441963568</v>
      </c>
      <c r="BE112" s="3">
        <f>BC112*1.025</f>
        <v>1312.0866578012656</v>
      </c>
    </row>
    <row r="113" spans="1:57" hidden="1" outlineLevel="1" x14ac:dyDescent="0.25">
      <c r="A113" s="3" t="s">
        <v>90</v>
      </c>
      <c r="B113" s="3">
        <v>1250</v>
      </c>
      <c r="D113" s="3">
        <v>50</v>
      </c>
      <c r="E113" s="3">
        <f>F113-D113</f>
        <v>1200</v>
      </c>
      <c r="F113" s="3">
        <v>1250</v>
      </c>
      <c r="H113" s="32">
        <f t="shared" si="58"/>
        <v>0</v>
      </c>
      <c r="I113" s="32"/>
      <c r="J113" s="4">
        <v>90</v>
      </c>
      <c r="K113" s="4">
        <f t="shared" si="59"/>
        <v>1160</v>
      </c>
      <c r="L113" s="4">
        <v>1250</v>
      </c>
      <c r="M113" s="32"/>
      <c r="N113" s="4">
        <f t="shared" si="60"/>
        <v>0</v>
      </c>
      <c r="P113" s="3">
        <f>L113*1.025+19</f>
        <v>1300.25</v>
      </c>
      <c r="S113" s="3">
        <f t="shared" si="61"/>
        <v>1300</v>
      </c>
      <c r="T113" s="3">
        <v>1300</v>
      </c>
      <c r="U113" s="3">
        <f t="shared" si="62"/>
        <v>-0.25</v>
      </c>
      <c r="V113" s="3">
        <v>474</v>
      </c>
      <c r="W113" s="3">
        <f t="shared" si="63"/>
        <v>526</v>
      </c>
      <c r="Y113" s="3">
        <v>1000</v>
      </c>
      <c r="Z113" s="3">
        <f t="shared" si="64"/>
        <v>-300</v>
      </c>
      <c r="AC113" s="3">
        <v>574</v>
      </c>
      <c r="AD113" s="3">
        <f t="shared" si="65"/>
        <v>176</v>
      </c>
      <c r="AE113" s="3">
        <v>750</v>
      </c>
      <c r="AF113" s="3">
        <f t="shared" si="66"/>
        <v>-250</v>
      </c>
      <c r="AI113" s="326">
        <f>AE113*1.025+31</f>
        <v>799.74999999999989</v>
      </c>
      <c r="AK113" s="3">
        <f>AI113*1.03+13</f>
        <v>836.74249999999995</v>
      </c>
      <c r="AM113" s="3">
        <f>AK113*1.03+11</f>
        <v>872.84477500000003</v>
      </c>
      <c r="AO113" s="3">
        <f>AM113*1.03+9</f>
        <v>908.0301182500001</v>
      </c>
      <c r="AQ113" s="3">
        <f>AO113*1.03+8</f>
        <v>943.27102179750011</v>
      </c>
      <c r="AS113" s="3">
        <f>AQ113*1.03+7</f>
        <v>978.56915245142511</v>
      </c>
      <c r="AU113" s="3">
        <f>AS113*1.03+7</f>
        <v>1014.9262270249679</v>
      </c>
      <c r="AW113" s="3">
        <f>AU113*1.03+7</f>
        <v>1052.3740138357171</v>
      </c>
      <c r="AY113" s="3">
        <f>AW113*1.03+7</f>
        <v>1090.9452342507886</v>
      </c>
      <c r="BA113" s="3">
        <f>AY113*1.03+7</f>
        <v>1130.6735912783124</v>
      </c>
      <c r="BC113" s="3">
        <f>BA113*1.03+7</f>
        <v>1171.5937990166617</v>
      </c>
      <c r="BE113" s="3">
        <f>BC113*1.03+7</f>
        <v>1213.7416129871615</v>
      </c>
    </row>
    <row r="114" spans="1:57" hidden="1" outlineLevel="1" x14ac:dyDescent="0.25">
      <c r="A114" s="3"/>
      <c r="B114" s="62">
        <f>SUM(B108:B113)</f>
        <v>36250</v>
      </c>
      <c r="C114" s="32"/>
      <c r="D114" s="62">
        <f>SUM(D108:D113)</f>
        <v>50</v>
      </c>
      <c r="E114" s="62">
        <f>SUM(E108:E113)</f>
        <v>36200</v>
      </c>
      <c r="F114" s="62">
        <f>SUM(F108:F113)</f>
        <v>36250</v>
      </c>
      <c r="G114" s="32"/>
      <c r="H114" s="62">
        <f>SUM(H108:H113)</f>
        <v>0</v>
      </c>
      <c r="I114" s="32"/>
      <c r="J114" s="62">
        <f>SUM(J108:J113)</f>
        <v>960</v>
      </c>
      <c r="K114" s="62">
        <f>SUM(K108:K113)</f>
        <v>36390</v>
      </c>
      <c r="L114" s="62">
        <f>SUM(L108:L113)</f>
        <v>37350</v>
      </c>
      <c r="M114" s="32"/>
      <c r="N114" s="62">
        <f>SUM(N108:N113)</f>
        <v>1100</v>
      </c>
      <c r="P114" s="62">
        <f>SUM(P108:P113)</f>
        <v>37450.25</v>
      </c>
      <c r="R114" s="62">
        <f t="shared" ref="R114:Z114" si="69">SUM(R108:R113)</f>
        <v>127</v>
      </c>
      <c r="S114" s="62">
        <f t="shared" si="69"/>
        <v>37573</v>
      </c>
      <c r="T114" s="62">
        <f t="shared" si="69"/>
        <v>37700</v>
      </c>
      <c r="U114" s="62">
        <f t="shared" si="69"/>
        <v>249.75</v>
      </c>
      <c r="V114" s="62">
        <f t="shared" si="69"/>
        <v>35001</v>
      </c>
      <c r="W114" s="62">
        <f t="shared" si="69"/>
        <v>4419</v>
      </c>
      <c r="X114" s="62"/>
      <c r="Y114" s="62">
        <f t="shared" si="69"/>
        <v>39420</v>
      </c>
      <c r="Z114" s="62">
        <f t="shared" si="69"/>
        <v>1720</v>
      </c>
      <c r="AC114" s="62">
        <f>SUM(AC108:AC113)</f>
        <v>35115</v>
      </c>
      <c r="AD114" s="62">
        <f>SUM(AD108:AD113)</f>
        <v>315</v>
      </c>
      <c r="AE114" s="62">
        <f>SUM(AE108:AE113)</f>
        <v>35430</v>
      </c>
      <c r="AF114" s="62">
        <f>SUM(AF108:AF113)</f>
        <v>-3990</v>
      </c>
      <c r="AG114" s="32"/>
      <c r="AI114" s="62">
        <f>SUM(AI108:AI113)</f>
        <v>35699.5</v>
      </c>
      <c r="AK114" s="62">
        <f>SUM(AK108:AK113)-1</f>
        <v>36607.986249999994</v>
      </c>
      <c r="AM114" s="62">
        <f>SUM(AM108:AM113)</f>
        <v>37539.394618749982</v>
      </c>
      <c r="AO114" s="62">
        <f>SUM(AO108:AO113)</f>
        <v>38491.243708093731</v>
      </c>
      <c r="AP114" s="32"/>
      <c r="AQ114" s="62">
        <f>SUM(AQ108:AQ113)</f>
        <v>39466.064951387329</v>
      </c>
      <c r="AS114" s="62">
        <f>SUM(AS108:AS113)</f>
        <v>40464.432930280993</v>
      </c>
      <c r="AU114" s="62">
        <f>SUM(AU108:AU113)</f>
        <v>41487.936599300272</v>
      </c>
      <c r="AW114" s="62">
        <f>SUM(AW108:AW113)</f>
        <v>42537.209645417897</v>
      </c>
      <c r="AY114" s="62">
        <f>SUM(AY108:AY113)</f>
        <v>43612.901756622516</v>
      </c>
      <c r="BA114" s="62">
        <f>SUM(BA108:BA113)</f>
        <v>44715.679026709331</v>
      </c>
      <c r="BC114" s="62">
        <f>SUM(BC108:BC113)</f>
        <v>45846.224370333453</v>
      </c>
      <c r="BE114" s="62">
        <f>SUM(BE108:BE113)</f>
        <v>47005.237948586866</v>
      </c>
    </row>
    <row r="115" spans="1:57" hidden="1" outlineLevel="1" x14ac:dyDescent="0.25">
      <c r="A115" s="7" t="s">
        <v>104</v>
      </c>
      <c r="BC115" s="3"/>
      <c r="BE115" s="3"/>
    </row>
    <row r="116" spans="1:57" hidden="1" outlineLevel="1" x14ac:dyDescent="0.25">
      <c r="A116" s="3" t="s">
        <v>105</v>
      </c>
      <c r="AI116" s="326"/>
      <c r="BC116" s="3"/>
      <c r="BE116" s="3"/>
    </row>
    <row r="117" spans="1:57" hidden="1" outlineLevel="1" x14ac:dyDescent="0.25">
      <c r="A117" s="3" t="s">
        <v>106</v>
      </c>
      <c r="B117" s="3">
        <v>0</v>
      </c>
      <c r="E117" s="3">
        <f>F117-D117</f>
        <v>0</v>
      </c>
      <c r="H117" s="32">
        <f>F117-B117</f>
        <v>0</v>
      </c>
      <c r="I117" s="32"/>
      <c r="J117" s="32"/>
      <c r="K117" s="32"/>
      <c r="L117" s="32"/>
      <c r="M117" s="32"/>
      <c r="N117" s="32"/>
      <c r="P117" s="3">
        <f>B117*1.03</f>
        <v>0</v>
      </c>
      <c r="S117" s="3">
        <f>T117-R117</f>
        <v>0</v>
      </c>
      <c r="U117" s="3">
        <f>T117-P117</f>
        <v>0</v>
      </c>
      <c r="W117" s="3">
        <f>Y117-V117</f>
        <v>0</v>
      </c>
      <c r="Z117" s="3">
        <f>Y117-T117</f>
        <v>0</v>
      </c>
      <c r="AD117" s="3">
        <f>AE117-AC117</f>
        <v>0</v>
      </c>
      <c r="AF117" s="3">
        <f>AE117-Y117</f>
        <v>0</v>
      </c>
      <c r="AI117" s="325">
        <f>P117*1.03</f>
        <v>0</v>
      </c>
      <c r="AK117" s="3">
        <f>AI117*1.03</f>
        <v>0</v>
      </c>
      <c r="AM117" s="3">
        <f>AK117*1.03</f>
        <v>0</v>
      </c>
      <c r="AO117" s="3">
        <f>AM117*1.03</f>
        <v>0</v>
      </c>
      <c r="AQ117" s="3">
        <f>AO117*1.03</f>
        <v>0</v>
      </c>
      <c r="AS117" s="3">
        <f>AQ117*1.03</f>
        <v>0</v>
      </c>
      <c r="AU117" s="3">
        <f>AS117*1.03</f>
        <v>0</v>
      </c>
      <c r="AW117" s="3">
        <f>AU117*1.03</f>
        <v>0</v>
      </c>
      <c r="AY117" s="3">
        <f>AW117*1.03</f>
        <v>0</v>
      </c>
      <c r="BA117" s="3">
        <f>AY117*1.03</f>
        <v>0</v>
      </c>
      <c r="BC117" s="3">
        <f>BA117*1.03</f>
        <v>0</v>
      </c>
      <c r="BE117" s="3">
        <f>BC117*1.03</f>
        <v>0</v>
      </c>
    </row>
    <row r="118" spans="1:57" hidden="1" outlineLevel="1" x14ac:dyDescent="0.25">
      <c r="A118" s="3"/>
      <c r="B118" s="62">
        <f>B117+B116</f>
        <v>0</v>
      </c>
      <c r="C118" s="32"/>
      <c r="D118" s="62">
        <f>D117+D116</f>
        <v>0</v>
      </c>
      <c r="E118" s="62">
        <f>E117+E116</f>
        <v>0</v>
      </c>
      <c r="F118" s="62">
        <f>F117+F116</f>
        <v>0</v>
      </c>
      <c r="G118" s="32"/>
      <c r="H118" s="62">
        <f>H117+H116</f>
        <v>0</v>
      </c>
      <c r="I118" s="32"/>
      <c r="J118" s="62">
        <f>J117+J116</f>
        <v>0</v>
      </c>
      <c r="K118" s="62">
        <f>K117+K116</f>
        <v>0</v>
      </c>
      <c r="L118" s="62">
        <f>L117+L116</f>
        <v>0</v>
      </c>
      <c r="M118" s="32"/>
      <c r="N118" s="62">
        <f>N117+N116</f>
        <v>0</v>
      </c>
      <c r="P118" s="62">
        <f>P117+P116</f>
        <v>0</v>
      </c>
      <c r="R118" s="62">
        <f>R117+R116</f>
        <v>0</v>
      </c>
      <c r="S118" s="62">
        <f>S117+S116</f>
        <v>0</v>
      </c>
      <c r="T118" s="62">
        <f>T117+T116</f>
        <v>0</v>
      </c>
      <c r="U118" s="62">
        <f>U117+U116</f>
        <v>0</v>
      </c>
      <c r="V118" s="62">
        <f>SUM(V116:V117)</f>
        <v>0</v>
      </c>
      <c r="W118" s="62">
        <f>SUM(W116:W117)</f>
        <v>0</v>
      </c>
      <c r="X118" s="62"/>
      <c r="Y118" s="62">
        <f>SUM(Y116:Y117)</f>
        <v>0</v>
      </c>
      <c r="Z118" s="62">
        <f>Y118-T118</f>
        <v>0</v>
      </c>
      <c r="AC118" s="62">
        <f>SUM(AC116:AC117)</f>
        <v>0</v>
      </c>
      <c r="AD118" s="62">
        <f>SUM(AD116:AD117)</f>
        <v>0</v>
      </c>
      <c r="AE118" s="62">
        <f>SUM(AE116:AE117)</f>
        <v>0</v>
      </c>
      <c r="AF118" s="62">
        <f>SUM(AF116:AF117)</f>
        <v>0</v>
      </c>
      <c r="AG118" s="32"/>
      <c r="AI118" s="62">
        <f>AI117+AI116</f>
        <v>0</v>
      </c>
      <c r="AK118" s="62">
        <f>AK117+AK116</f>
        <v>0</v>
      </c>
      <c r="AM118" s="62">
        <f>AM117+AM116</f>
        <v>0</v>
      </c>
      <c r="AO118" s="62">
        <f>AO117+AO116</f>
        <v>0</v>
      </c>
      <c r="AP118" s="32"/>
      <c r="AQ118" s="62">
        <f>AQ117+AQ116</f>
        <v>0</v>
      </c>
      <c r="AS118" s="62">
        <f>AS117+AS116</f>
        <v>0</v>
      </c>
      <c r="AU118" s="62">
        <f>AU117+AU116</f>
        <v>0</v>
      </c>
      <c r="AW118" s="62">
        <f>AW117+AW116</f>
        <v>0</v>
      </c>
      <c r="AY118" s="62">
        <f>AY117+AY116</f>
        <v>0</v>
      </c>
      <c r="BA118" s="62">
        <f>BA117+BA116</f>
        <v>0</v>
      </c>
      <c r="BC118" s="62">
        <f>BC117+BC116</f>
        <v>0</v>
      </c>
      <c r="BE118" s="62">
        <f>BE117+BE116</f>
        <v>0</v>
      </c>
    </row>
    <row r="119" spans="1:57" hidden="1" outlineLevel="1" x14ac:dyDescent="0.25">
      <c r="A119" s="7" t="s">
        <v>107</v>
      </c>
      <c r="BC119" s="3"/>
      <c r="BE119" s="3"/>
    </row>
    <row r="120" spans="1:57" hidden="1" outlineLevel="1" x14ac:dyDescent="0.25">
      <c r="A120" s="3" t="s">
        <v>108</v>
      </c>
      <c r="AI120" s="321"/>
      <c r="BC120" s="3"/>
      <c r="BE120" s="3"/>
    </row>
    <row r="121" spans="1:57" ht="15.75" collapsed="1" thickBot="1" x14ac:dyDescent="0.3">
      <c r="A121" s="7" t="s">
        <v>1163</v>
      </c>
      <c r="B121" s="44">
        <f>B120+B118+B114+B106</f>
        <v>36550</v>
      </c>
      <c r="C121" s="32"/>
      <c r="D121" s="44">
        <f>D120+D118+D114+D106</f>
        <v>50</v>
      </c>
      <c r="E121" s="44">
        <f>E120+E118+E114+E106</f>
        <v>36500</v>
      </c>
      <c r="F121" s="44">
        <f>F120+F118+F114+F106</f>
        <v>36550</v>
      </c>
      <c r="G121" s="32"/>
      <c r="H121" s="44">
        <f>H120+H118+H114+H106</f>
        <v>0</v>
      </c>
      <c r="I121" s="32"/>
      <c r="J121" s="44">
        <f>J120+J118+J114+J106</f>
        <v>960</v>
      </c>
      <c r="K121" s="44">
        <f>K120+K118+K114+K106</f>
        <v>36390</v>
      </c>
      <c r="L121" s="44">
        <f>L120+L118+L114+L106</f>
        <v>37350</v>
      </c>
      <c r="M121" s="32"/>
      <c r="N121" s="44">
        <f>N120+N118+N114+N106</f>
        <v>800</v>
      </c>
      <c r="O121" s="44"/>
      <c r="P121" s="44">
        <f>P120+P118+P114+P106</f>
        <v>37750.25</v>
      </c>
      <c r="R121" s="44">
        <f t="shared" ref="R121:Z121" si="70">R120+R118+R114+R106</f>
        <v>127</v>
      </c>
      <c r="S121" s="44">
        <f t="shared" si="70"/>
        <v>37873</v>
      </c>
      <c r="T121" s="44">
        <f t="shared" si="70"/>
        <v>38000</v>
      </c>
      <c r="U121" s="44">
        <f t="shared" si="70"/>
        <v>249.75</v>
      </c>
      <c r="V121" s="44">
        <f t="shared" si="70"/>
        <v>35001</v>
      </c>
      <c r="W121" s="44">
        <f t="shared" si="70"/>
        <v>4419</v>
      </c>
      <c r="X121" s="44"/>
      <c r="Y121" s="44">
        <f t="shared" si="70"/>
        <v>39420</v>
      </c>
      <c r="Z121" s="44">
        <f t="shared" si="70"/>
        <v>1420</v>
      </c>
      <c r="AC121" s="44">
        <f>AC120+AC118+AC114+AC106</f>
        <v>35115</v>
      </c>
      <c r="AD121" s="44">
        <f>AD120+AD118+AD114+AD106</f>
        <v>315</v>
      </c>
      <c r="AE121" s="44">
        <f>AE120+AE118+AE114+AE106</f>
        <v>35430</v>
      </c>
      <c r="AF121" s="44">
        <f>AF120+AF118+AF114+AF106</f>
        <v>-3990</v>
      </c>
      <c r="AG121" s="32"/>
      <c r="AI121" s="44">
        <f>AI120+AI118+AI114+AI106</f>
        <v>44849.5</v>
      </c>
      <c r="AK121" s="44">
        <f>AK120+AK118+AK114+AK106</f>
        <v>45986.736249999994</v>
      </c>
      <c r="AM121" s="44">
        <f>AM120+AM118+AM114+AM106</f>
        <v>47152.613368749982</v>
      </c>
      <c r="AO121" s="44">
        <f>AO120+AO118+AO114+AO106</f>
        <v>48344.792926843729</v>
      </c>
      <c r="AP121" s="32"/>
      <c r="AQ121" s="44">
        <f>AQ120+AQ118+AQ114+AQ106</f>
        <v>49565.952900606077</v>
      </c>
      <c r="AS121" s="44">
        <f>AS120+AS118+AS114+AS106</f>
        <v>50816.818078230208</v>
      </c>
      <c r="AU121" s="44">
        <f>AU120+AU118+AU114+AU106</f>
        <v>52099.131375948215</v>
      </c>
      <c r="AW121" s="44">
        <f>AW120+AW118+AW114+AW106</f>
        <v>53413.684291482037</v>
      </c>
      <c r="AY121" s="44">
        <f>AY120+AY118+AY114+AY106</f>
        <v>54761.28826883826</v>
      </c>
      <c r="BA121" s="44">
        <f>BA120+BA118+BA114+BA106</f>
        <v>56142.775201730467</v>
      </c>
      <c r="BC121" s="44">
        <f>BC120+BC118+BC114+BC106</f>
        <v>57558.997949730117</v>
      </c>
      <c r="BE121" s="44">
        <f>BE120+BE118+BE114+BE106</f>
        <v>59010.830867468445</v>
      </c>
    </row>
    <row r="122" spans="1:57" s="42" customFormat="1" ht="15.75" thickTop="1" x14ac:dyDescent="0.25">
      <c r="A122" s="3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"/>
      <c r="P122" s="32"/>
      <c r="Q122" s="3"/>
      <c r="R122" s="32"/>
      <c r="S122" s="32"/>
      <c r="T122" s="32"/>
      <c r="U122" s="32"/>
      <c r="V122" s="32"/>
      <c r="W122" s="32"/>
      <c r="X122" s="32"/>
      <c r="Y122" s="32"/>
      <c r="Z122" s="32"/>
      <c r="AA122" s="3"/>
      <c r="AB122" s="3"/>
      <c r="AC122" s="32"/>
      <c r="AD122" s="32"/>
      <c r="AE122" s="32"/>
      <c r="AF122" s="32"/>
      <c r="AG122" s="32"/>
      <c r="AH122" s="4"/>
      <c r="AI122" s="32"/>
      <c r="AJ122" s="3"/>
      <c r="AK122" s="32"/>
      <c r="AL122" s="3"/>
      <c r="AM122" s="32"/>
      <c r="AN122" s="3"/>
      <c r="AO122" s="32"/>
      <c r="AP122" s="32"/>
      <c r="AQ122" s="32"/>
      <c r="AS122" s="32"/>
      <c r="AU122" s="32"/>
      <c r="AW122" s="32"/>
      <c r="AY122" s="32"/>
      <c r="BA122" s="32"/>
      <c r="BC122" s="32"/>
      <c r="BE122" s="32"/>
    </row>
    <row r="123" spans="1:57" x14ac:dyDescent="0.25">
      <c r="A123" s="7" t="s">
        <v>109</v>
      </c>
      <c r="BC123" s="3"/>
      <c r="BE123" s="3"/>
    </row>
    <row r="124" spans="1:57" hidden="1" outlineLevel="1" x14ac:dyDescent="0.25">
      <c r="A124" s="3" t="s">
        <v>110</v>
      </c>
      <c r="B124" s="3">
        <v>1250</v>
      </c>
      <c r="E124" s="3">
        <f>F124-D124</f>
        <v>1250</v>
      </c>
      <c r="F124" s="3">
        <v>1250</v>
      </c>
      <c r="H124" s="32">
        <f>F124-B124</f>
        <v>0</v>
      </c>
      <c r="I124" s="32"/>
      <c r="J124" s="32"/>
      <c r="K124" s="4">
        <f>L124-J124</f>
        <v>1250</v>
      </c>
      <c r="L124" s="4">
        <v>1250</v>
      </c>
      <c r="M124" s="32"/>
      <c r="N124" s="4">
        <f>L124-F124</f>
        <v>0</v>
      </c>
      <c r="P124" s="4">
        <v>1250</v>
      </c>
      <c r="Q124" s="4"/>
      <c r="R124" s="4"/>
      <c r="S124" s="3">
        <f>T124-R124</f>
        <v>1250</v>
      </c>
      <c r="T124" s="3">
        <v>1250</v>
      </c>
      <c r="U124" s="3">
        <f>T124-P124</f>
        <v>0</v>
      </c>
      <c r="V124" s="4"/>
      <c r="W124" s="3">
        <f>Y124-V124</f>
        <v>1250</v>
      </c>
      <c r="Y124" s="4">
        <v>1250</v>
      </c>
      <c r="Z124" s="3">
        <f>Y124-T124</f>
        <v>0</v>
      </c>
      <c r="AA124" s="4"/>
      <c r="AB124" s="4"/>
      <c r="AC124" s="4">
        <v>1530</v>
      </c>
      <c r="AD124" s="3">
        <f>AE124-AC124</f>
        <v>0</v>
      </c>
      <c r="AE124" s="3">
        <v>1530</v>
      </c>
      <c r="AF124" s="3">
        <f>AE124-Y124</f>
        <v>280</v>
      </c>
      <c r="AI124" s="322">
        <v>1250</v>
      </c>
      <c r="AJ124" s="4"/>
      <c r="AK124" s="4">
        <v>1250</v>
      </c>
      <c r="AL124" s="4"/>
      <c r="AM124" s="4">
        <v>1250</v>
      </c>
      <c r="AN124" s="4"/>
      <c r="AO124" s="4">
        <v>1250</v>
      </c>
      <c r="AQ124" s="4">
        <v>1250</v>
      </c>
      <c r="AR124" s="51"/>
      <c r="AS124" s="4">
        <v>1250</v>
      </c>
      <c r="AT124" s="51"/>
      <c r="AU124" s="4">
        <v>1250</v>
      </c>
      <c r="AV124" s="51"/>
      <c r="AW124" s="4">
        <v>1250</v>
      </c>
      <c r="AX124" s="51"/>
      <c r="AY124" s="4">
        <v>1250</v>
      </c>
      <c r="BA124" s="4">
        <v>1250</v>
      </c>
      <c r="BC124" s="4">
        <v>1250</v>
      </c>
      <c r="BE124" s="4">
        <v>1250</v>
      </c>
    </row>
    <row r="125" spans="1:57" hidden="1" outlineLevel="1" x14ac:dyDescent="0.25">
      <c r="A125" s="3" t="s">
        <v>111</v>
      </c>
      <c r="H125" s="32"/>
      <c r="I125" s="32"/>
      <c r="J125" s="32"/>
      <c r="K125" s="4"/>
      <c r="L125" s="4"/>
      <c r="M125" s="32"/>
      <c r="N125" s="4"/>
      <c r="P125" s="4"/>
      <c r="Q125" s="4"/>
      <c r="R125" s="4"/>
      <c r="V125" s="4"/>
      <c r="Y125" s="4"/>
      <c r="AA125" s="4"/>
      <c r="AB125" s="4"/>
      <c r="AC125" s="4">
        <v>1850</v>
      </c>
      <c r="AD125" s="3">
        <f>AE125-AC125</f>
        <v>0</v>
      </c>
      <c r="AE125" s="3">
        <v>1850</v>
      </c>
      <c r="AF125" s="3">
        <f>AE125-Y125</f>
        <v>1850</v>
      </c>
      <c r="AI125" s="322"/>
      <c r="AJ125" s="4"/>
      <c r="AK125" s="4"/>
      <c r="AL125" s="4"/>
      <c r="AM125" s="4"/>
      <c r="AN125" s="4"/>
      <c r="AO125" s="4"/>
      <c r="AQ125" s="4"/>
      <c r="AR125" s="51"/>
      <c r="AS125" s="4"/>
      <c r="AT125" s="51"/>
      <c r="AU125" s="4"/>
      <c r="AV125" s="51"/>
      <c r="AW125" s="4"/>
      <c r="AX125" s="51"/>
      <c r="AY125" s="4"/>
      <c r="BA125" s="4"/>
      <c r="BC125" s="4"/>
      <c r="BE125" s="4"/>
    </row>
    <row r="126" spans="1:57" hidden="1" outlineLevel="1" x14ac:dyDescent="0.25">
      <c r="A126" s="3" t="s">
        <v>112</v>
      </c>
      <c r="B126" s="3">
        <v>1000</v>
      </c>
      <c r="E126" s="3">
        <f>F126-D126</f>
        <v>1000</v>
      </c>
      <c r="F126" s="3">
        <v>1000</v>
      </c>
      <c r="H126" s="32">
        <f>F126-B126</f>
        <v>0</v>
      </c>
      <c r="I126" s="32"/>
      <c r="J126" s="32"/>
      <c r="K126" s="4">
        <f>L126-J126</f>
        <v>1000</v>
      </c>
      <c r="L126" s="4">
        <v>1000</v>
      </c>
      <c r="M126" s="32"/>
      <c r="N126" s="4">
        <f>L126-F126</f>
        <v>0</v>
      </c>
      <c r="P126" s="52">
        <v>1000</v>
      </c>
      <c r="Q126" s="52"/>
      <c r="R126" s="52"/>
      <c r="S126" s="52">
        <f>T126-R126</f>
        <v>1000</v>
      </c>
      <c r="T126" s="52">
        <v>1000</v>
      </c>
      <c r="U126" s="52">
        <f>T126-P126</f>
        <v>0</v>
      </c>
      <c r="V126" s="52"/>
      <c r="W126" s="52">
        <f>Y126-V126</f>
        <v>1000</v>
      </c>
      <c r="X126" s="52"/>
      <c r="Y126" s="52">
        <v>1000</v>
      </c>
      <c r="Z126" s="52">
        <f>Y126-T126</f>
        <v>0</v>
      </c>
      <c r="AA126" s="4"/>
      <c r="AB126" s="4"/>
      <c r="AC126" s="4">
        <v>1000</v>
      </c>
      <c r="AD126" s="3">
        <f>AE126-AC126</f>
        <v>0</v>
      </c>
      <c r="AE126" s="3">
        <v>1000</v>
      </c>
      <c r="AF126" s="3">
        <f>AE126-Y126</f>
        <v>0</v>
      </c>
      <c r="AI126" s="323">
        <v>1000</v>
      </c>
      <c r="AJ126" s="52"/>
      <c r="AK126" s="52">
        <v>1000</v>
      </c>
      <c r="AL126" s="52"/>
      <c r="AM126" s="52">
        <v>1000</v>
      </c>
      <c r="AN126" s="52"/>
      <c r="AO126" s="52">
        <v>1000</v>
      </c>
      <c r="AQ126" s="52">
        <v>1000</v>
      </c>
      <c r="AR126" s="53"/>
      <c r="AS126" s="52">
        <v>1000</v>
      </c>
      <c r="AT126" s="53"/>
      <c r="AU126" s="52">
        <v>1000</v>
      </c>
      <c r="AV126" s="53"/>
      <c r="AW126" s="52">
        <v>1000</v>
      </c>
      <c r="AX126" s="53"/>
      <c r="AY126" s="52">
        <v>1000</v>
      </c>
      <c r="BA126" s="52">
        <v>1000</v>
      </c>
      <c r="BC126" s="52">
        <v>1000</v>
      </c>
      <c r="BE126" s="52">
        <v>1000</v>
      </c>
    </row>
    <row r="127" spans="1:57" ht="15.75" collapsed="1" thickBot="1" x14ac:dyDescent="0.3">
      <c r="A127" s="7" t="s">
        <v>1164</v>
      </c>
      <c r="B127" s="44">
        <f>SUM(B124:B126)</f>
        <v>2250</v>
      </c>
      <c r="C127" s="32"/>
      <c r="D127" s="44">
        <f>SUM(D124:D126)</f>
        <v>0</v>
      </c>
      <c r="E127" s="44">
        <f>SUM(E124:E126)</f>
        <v>2250</v>
      </c>
      <c r="F127" s="44">
        <f>SUM(F124:F126)</f>
        <v>2250</v>
      </c>
      <c r="G127" s="32"/>
      <c r="H127" s="44">
        <f>SUM(H124:H126)</f>
        <v>0</v>
      </c>
      <c r="I127" s="32"/>
      <c r="J127" s="44">
        <f>SUM(J124:J126)</f>
        <v>0</v>
      </c>
      <c r="K127" s="44">
        <f>SUM(K124:K126)</f>
        <v>2250</v>
      </c>
      <c r="L127" s="44">
        <f>SUM(L124:L126)</f>
        <v>2250</v>
      </c>
      <c r="M127" s="32"/>
      <c r="N127" s="44">
        <f>SUM(N124:N126)</f>
        <v>0</v>
      </c>
      <c r="O127" s="44"/>
      <c r="P127" s="44">
        <f>SUM(P124:P126)</f>
        <v>2250</v>
      </c>
      <c r="R127" s="44">
        <f t="shared" ref="R127:Z127" si="71">SUM(R124:R126)</f>
        <v>0</v>
      </c>
      <c r="S127" s="44">
        <f t="shared" si="71"/>
        <v>2250</v>
      </c>
      <c r="T127" s="44">
        <f t="shared" si="71"/>
        <v>2250</v>
      </c>
      <c r="U127" s="44">
        <f t="shared" si="71"/>
        <v>0</v>
      </c>
      <c r="V127" s="44">
        <f t="shared" si="71"/>
        <v>0</v>
      </c>
      <c r="W127" s="44">
        <f t="shared" si="71"/>
        <v>2250</v>
      </c>
      <c r="X127" s="44"/>
      <c r="Y127" s="44">
        <f t="shared" si="71"/>
        <v>2250</v>
      </c>
      <c r="Z127" s="44">
        <f t="shared" si="71"/>
        <v>0</v>
      </c>
      <c r="AC127" s="44">
        <f>SUM(AC124:AC126)</f>
        <v>4380</v>
      </c>
      <c r="AD127" s="44">
        <f>SUM(AD124:AD126)</f>
        <v>0</v>
      </c>
      <c r="AE127" s="44">
        <f>SUM(AE124:AE126)</f>
        <v>4380</v>
      </c>
      <c r="AF127" s="44">
        <f>SUM(AF124:AF126)</f>
        <v>2130</v>
      </c>
      <c r="AG127" s="32"/>
      <c r="AI127" s="44">
        <f>SUM(AI124:AI126)</f>
        <v>2250</v>
      </c>
      <c r="AK127" s="44">
        <f>SUM(AK124:AK126)</f>
        <v>2250</v>
      </c>
      <c r="AM127" s="44">
        <f>SUM(AM124:AM126)</f>
        <v>2250</v>
      </c>
      <c r="AO127" s="44">
        <f>SUM(AO124:AO126)</f>
        <v>2250</v>
      </c>
      <c r="AP127" s="32"/>
      <c r="AQ127" s="44">
        <f>SUM(AQ124:AQ126)</f>
        <v>2250</v>
      </c>
      <c r="AS127" s="44">
        <f>SUM(AS124:AS126)</f>
        <v>2250</v>
      </c>
      <c r="AU127" s="44">
        <f>SUM(AU124:AU126)</f>
        <v>2250</v>
      </c>
      <c r="AW127" s="44">
        <f>SUM(AW124:AW126)</f>
        <v>2250</v>
      </c>
      <c r="AY127" s="44">
        <f>SUM(AY124:AY126)</f>
        <v>2250</v>
      </c>
      <c r="BA127" s="44">
        <f>SUM(BA124:BA126)</f>
        <v>2250</v>
      </c>
      <c r="BC127" s="44">
        <f>SUM(BC124:BC126)</f>
        <v>2250</v>
      </c>
      <c r="BE127" s="44">
        <f>SUM(BE124:BE126)</f>
        <v>2250</v>
      </c>
    </row>
    <row r="128" spans="1:57" ht="15.75" thickTop="1" x14ac:dyDescent="0.25">
      <c r="A128" s="3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P128" s="55"/>
      <c r="R128" s="55"/>
      <c r="S128" s="55"/>
      <c r="T128" s="55"/>
      <c r="U128" s="55"/>
      <c r="V128" s="55"/>
      <c r="W128" s="55"/>
      <c r="X128" s="55"/>
      <c r="Y128" s="55"/>
      <c r="Z128" s="55"/>
      <c r="AC128" s="55"/>
      <c r="AD128" s="55"/>
      <c r="AE128" s="55"/>
      <c r="AF128" s="55"/>
      <c r="AG128" s="55"/>
      <c r="AI128" s="55"/>
      <c r="AK128" s="55"/>
      <c r="AM128" s="55"/>
      <c r="AO128" s="55"/>
      <c r="AP128" s="55"/>
      <c r="AQ128" s="55"/>
      <c r="AS128" s="55"/>
      <c r="AU128" s="55"/>
      <c r="AW128" s="55"/>
      <c r="AY128" s="55"/>
      <c r="BA128" s="55"/>
      <c r="BC128" s="55"/>
      <c r="BE128" s="55"/>
    </row>
    <row r="129" spans="1:57" x14ac:dyDescent="0.25">
      <c r="A129" s="7" t="s">
        <v>113</v>
      </c>
      <c r="BC129" s="3"/>
      <c r="BE129" s="3"/>
    </row>
    <row r="130" spans="1:57" hidden="1" outlineLevel="1" x14ac:dyDescent="0.25">
      <c r="A130" s="7" t="s">
        <v>114</v>
      </c>
      <c r="BC130" s="3"/>
      <c r="BE130" s="3"/>
    </row>
    <row r="131" spans="1:57" hidden="1" outlineLevel="1" x14ac:dyDescent="0.25">
      <c r="A131" s="3" t="s">
        <v>115</v>
      </c>
      <c r="B131" s="3">
        <v>7500</v>
      </c>
      <c r="D131" s="3">
        <v>2100</v>
      </c>
      <c r="E131" s="3">
        <f>F131-D131</f>
        <v>5900</v>
      </c>
      <c r="F131" s="3">
        <v>8000</v>
      </c>
      <c r="H131" s="32">
        <f>F131-B131</f>
        <v>500</v>
      </c>
      <c r="I131" s="32"/>
      <c r="J131" s="4">
        <v>3900</v>
      </c>
      <c r="K131" s="4">
        <f>L131-J131</f>
        <v>4100</v>
      </c>
      <c r="L131" s="4">
        <v>8000</v>
      </c>
      <c r="N131" s="4">
        <f>L131-F131</f>
        <v>0</v>
      </c>
      <c r="P131" s="3">
        <f>L131*1.025</f>
        <v>8200</v>
      </c>
      <c r="R131" s="3">
        <v>2100</v>
      </c>
      <c r="S131" s="3">
        <f>T131-R131</f>
        <v>6100</v>
      </c>
      <c r="T131" s="3">
        <v>8200</v>
      </c>
      <c r="U131" s="3">
        <f>T131-P131</f>
        <v>0</v>
      </c>
      <c r="V131" s="3">
        <v>4500</v>
      </c>
      <c r="W131" s="3">
        <f>Y131-V131</f>
        <v>3700</v>
      </c>
      <c r="Y131" s="3">
        <v>8200</v>
      </c>
      <c r="Z131" s="3">
        <f>Y131-T131</f>
        <v>0</v>
      </c>
      <c r="AC131" s="3">
        <v>5700</v>
      </c>
      <c r="AD131" s="3">
        <f>AE131-AC131</f>
        <v>2500</v>
      </c>
      <c r="AE131" s="3">
        <v>8200</v>
      </c>
      <c r="AF131" s="3">
        <f>AE131-Y131</f>
        <v>0</v>
      </c>
      <c r="AI131" s="325">
        <f>P131*1.025-5</f>
        <v>8400</v>
      </c>
      <c r="AK131" s="3">
        <f>AI131*1.025</f>
        <v>8610</v>
      </c>
      <c r="AM131" s="3">
        <f>AK131*1.025</f>
        <v>8825.25</v>
      </c>
      <c r="AO131" s="3">
        <f>AM131*1.025</f>
        <v>9045.8812499999985</v>
      </c>
      <c r="AQ131" s="3">
        <f>AO131*1.025</f>
        <v>9272.0282812499972</v>
      </c>
      <c r="AS131" s="3">
        <f>AQ131*1.025</f>
        <v>9503.828988281246</v>
      </c>
      <c r="AU131" s="3">
        <f>AS131*1.025</f>
        <v>9741.424712988277</v>
      </c>
      <c r="AW131" s="3">
        <f>AU131*1.025</f>
        <v>9984.9603308129826</v>
      </c>
      <c r="AY131" s="3">
        <f>AW131*1.025</f>
        <v>10234.584339083307</v>
      </c>
      <c r="BA131" s="3">
        <f>AY131*1.025</f>
        <v>10490.44894756039</v>
      </c>
      <c r="BC131" s="3">
        <f>BA131*1.025</f>
        <v>10752.710171249399</v>
      </c>
      <c r="BE131" s="3">
        <f>BC131*1.025</f>
        <v>11021.527925530632</v>
      </c>
    </row>
    <row r="132" spans="1:57" hidden="1" outlineLevel="1" x14ac:dyDescent="0.25">
      <c r="A132" s="3" t="s">
        <v>116</v>
      </c>
      <c r="BC132" s="3"/>
      <c r="BE132" s="3"/>
    </row>
    <row r="133" spans="1:57" hidden="1" outlineLevel="1" x14ac:dyDescent="0.25">
      <c r="A133" s="3" t="s">
        <v>57</v>
      </c>
      <c r="AI133" s="326"/>
      <c r="BC133" s="3"/>
      <c r="BE133" s="3"/>
    </row>
    <row r="134" spans="1:57" hidden="1" outlineLevel="1" x14ac:dyDescent="0.25">
      <c r="A134" s="3"/>
      <c r="B134" s="62">
        <f>SUM(B131:B133)</f>
        <v>7500</v>
      </c>
      <c r="C134" s="32"/>
      <c r="D134" s="62">
        <f>SUM(D131:D133)</f>
        <v>2100</v>
      </c>
      <c r="E134" s="62">
        <f>SUM(E131:E133)</f>
        <v>5900</v>
      </c>
      <c r="F134" s="62">
        <f>SUM(F131:F133)</f>
        <v>8000</v>
      </c>
      <c r="G134" s="32"/>
      <c r="H134" s="62">
        <f>SUM(H131:H133)</f>
        <v>500</v>
      </c>
      <c r="I134" s="32"/>
      <c r="J134" s="62">
        <f>SUM(J131:J133)</f>
        <v>3900</v>
      </c>
      <c r="K134" s="62">
        <f>SUM(K131:K133)</f>
        <v>4100</v>
      </c>
      <c r="L134" s="62">
        <f>SUM(L131:L133)</f>
        <v>8000</v>
      </c>
      <c r="M134" s="32"/>
      <c r="N134" s="62">
        <f>SUM(N131:N133)</f>
        <v>0</v>
      </c>
      <c r="P134" s="62">
        <f>SUM(P131:P133)</f>
        <v>8200</v>
      </c>
      <c r="R134" s="62">
        <f t="shared" ref="R134:Z134" si="72">SUM(R131:R133)</f>
        <v>2100</v>
      </c>
      <c r="S134" s="62">
        <f t="shared" si="72"/>
        <v>6100</v>
      </c>
      <c r="T134" s="62">
        <f t="shared" si="72"/>
        <v>8200</v>
      </c>
      <c r="U134" s="62">
        <f t="shared" si="72"/>
        <v>0</v>
      </c>
      <c r="V134" s="62">
        <f t="shared" si="72"/>
        <v>4500</v>
      </c>
      <c r="W134" s="62">
        <f t="shared" si="72"/>
        <v>3700</v>
      </c>
      <c r="X134" s="62"/>
      <c r="Y134" s="62">
        <f t="shared" si="72"/>
        <v>8200</v>
      </c>
      <c r="Z134" s="62">
        <f t="shared" si="72"/>
        <v>0</v>
      </c>
      <c r="AC134" s="62">
        <f>SUM(AC131:AC133)</f>
        <v>5700</v>
      </c>
      <c r="AD134" s="62">
        <f>SUM(AD131:AD133)</f>
        <v>2500</v>
      </c>
      <c r="AE134" s="62">
        <f>SUM(AE131:AE133)</f>
        <v>8200</v>
      </c>
      <c r="AF134" s="62">
        <f>SUM(AF131:AF133)</f>
        <v>0</v>
      </c>
      <c r="AG134" s="32"/>
      <c r="AI134" s="62">
        <f>SUM(AI131:AI133)</f>
        <v>8400</v>
      </c>
      <c r="AK134" s="62">
        <f>SUM(AK131:AK133)</f>
        <v>8610</v>
      </c>
      <c r="AM134" s="62">
        <f>SUM(AM131:AM133)</f>
        <v>8825.25</v>
      </c>
      <c r="AO134" s="62">
        <f>SUM(AO131:AO133)</f>
        <v>9045.8812499999985</v>
      </c>
      <c r="AP134" s="32"/>
      <c r="AQ134" s="62">
        <f>SUM(AQ131:AQ133)</f>
        <v>9272.0282812499972</v>
      </c>
      <c r="AS134" s="62">
        <f>SUM(AS131:AS133)</f>
        <v>9503.828988281246</v>
      </c>
      <c r="AU134" s="62">
        <f>SUM(AU131:AU133)</f>
        <v>9741.424712988277</v>
      </c>
      <c r="AW134" s="62">
        <f>SUM(AW131:AW133)</f>
        <v>9984.9603308129826</v>
      </c>
      <c r="AY134" s="62">
        <f>SUM(AY131:AY133)</f>
        <v>10234.584339083307</v>
      </c>
      <c r="BA134" s="62">
        <f>SUM(BA131:BA133)</f>
        <v>10490.44894756039</v>
      </c>
      <c r="BC134" s="62">
        <f>SUM(BC131:BC133)</f>
        <v>10752.710171249399</v>
      </c>
      <c r="BE134" s="62">
        <f>SUM(BE131:BE133)</f>
        <v>11021.527925530632</v>
      </c>
    </row>
    <row r="135" spans="1:57" s="42" customFormat="1" hidden="1" outlineLevel="1" x14ac:dyDescent="0.25">
      <c r="A135" s="7" t="s">
        <v>117</v>
      </c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4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4"/>
      <c r="AH135" s="4"/>
      <c r="AI135" s="3"/>
      <c r="AJ135" s="3"/>
      <c r="AK135" s="3"/>
      <c r="AL135" s="3"/>
      <c r="AM135" s="3"/>
      <c r="AN135" s="3"/>
      <c r="AO135" s="3"/>
      <c r="AP135" s="4"/>
      <c r="AQ135" s="3"/>
      <c r="AS135" s="3"/>
      <c r="AU135" s="3"/>
      <c r="AW135" s="3"/>
      <c r="AY135" s="3"/>
      <c r="BA135" s="3"/>
      <c r="BC135" s="3"/>
      <c r="BE135" s="3"/>
    </row>
    <row r="136" spans="1:57" hidden="1" outlineLevel="1" x14ac:dyDescent="0.25">
      <c r="A136" s="3" t="s">
        <v>118</v>
      </c>
      <c r="B136" s="3">
        <v>40000</v>
      </c>
      <c r="D136" s="3">
        <v>6179</v>
      </c>
      <c r="E136" s="3">
        <f t="shared" ref="E136:E141" si="73">F136-D136</f>
        <v>33821</v>
      </c>
      <c r="F136" s="3">
        <v>40000</v>
      </c>
      <c r="H136" s="32">
        <f t="shared" ref="H136:H141" si="74">F136-B136</f>
        <v>0</v>
      </c>
      <c r="I136" s="32"/>
      <c r="J136" s="4">
        <v>10843</v>
      </c>
      <c r="K136" s="4">
        <f t="shared" ref="K136:K141" si="75">L136-J136</f>
        <v>19157</v>
      </c>
      <c r="L136" s="4">
        <v>30000</v>
      </c>
      <c r="N136" s="4">
        <f t="shared" ref="N136:N141" si="76">L136-F136</f>
        <v>-10000</v>
      </c>
      <c r="P136" s="3">
        <f>L136*1.025-750</f>
        <v>29999.999999999996</v>
      </c>
      <c r="R136" s="3">
        <v>4276</v>
      </c>
      <c r="S136" s="3">
        <f t="shared" ref="S136:S141" si="77">T136-R136</f>
        <v>23224</v>
      </c>
      <c r="T136" s="3">
        <v>27500</v>
      </c>
      <c r="U136" s="3">
        <f t="shared" ref="U136:U141" si="78">T136-P136</f>
        <v>-2499.9999999999964</v>
      </c>
      <c r="V136" s="3">
        <v>11056</v>
      </c>
      <c r="W136" s="3">
        <f t="shared" ref="W136:W141" si="79">Y136-V136</f>
        <v>13944</v>
      </c>
      <c r="Y136" s="3">
        <v>25000</v>
      </c>
      <c r="Z136" s="3">
        <f t="shared" ref="Z136:Z141" si="80">Y136-T136</f>
        <v>-2500</v>
      </c>
      <c r="AC136" s="3">
        <v>15003</v>
      </c>
      <c r="AD136" s="3">
        <f t="shared" ref="AD136:AD141" si="81">AE136-AC136</f>
        <v>7497</v>
      </c>
      <c r="AE136" s="3">
        <v>22500</v>
      </c>
      <c r="AF136" s="3">
        <f t="shared" ref="AF136:AF141" si="82">AE136-Y136</f>
        <v>-2500</v>
      </c>
      <c r="AI136" s="325">
        <v>40000</v>
      </c>
      <c r="AK136" s="3">
        <f>AI136*1.025</f>
        <v>41000</v>
      </c>
      <c r="AM136" s="3">
        <f>AK136*1.025</f>
        <v>42024.999999999993</v>
      </c>
      <c r="AO136" s="3">
        <f>AM136*1.025</f>
        <v>43075.624999999985</v>
      </c>
      <c r="AQ136" s="3">
        <f>AO136*1.025</f>
        <v>44152.515624999978</v>
      </c>
      <c r="AS136" s="3">
        <f>AQ136*1.025</f>
        <v>45256.328515624977</v>
      </c>
      <c r="AU136" s="3">
        <f>AS136*1.025</f>
        <v>46387.7367285156</v>
      </c>
      <c r="AW136" s="3">
        <f>AU136*1.025</f>
        <v>47547.430146728482</v>
      </c>
      <c r="AY136" s="3">
        <f>AW136*1.025</f>
        <v>48736.11590039669</v>
      </c>
      <c r="BA136" s="3">
        <f>AY136*1.025</f>
        <v>49954.518797906603</v>
      </c>
      <c r="BC136" s="3">
        <f>BA136*1.025</f>
        <v>51203.381767854262</v>
      </c>
      <c r="BE136" s="3">
        <f>BC136*1.025</f>
        <v>52483.466312050616</v>
      </c>
    </row>
    <row r="137" spans="1:57" hidden="1" outlineLevel="1" x14ac:dyDescent="0.25">
      <c r="A137" s="3" t="s">
        <v>119</v>
      </c>
      <c r="B137" s="3">
        <v>40000</v>
      </c>
      <c r="D137" s="3">
        <v>26628</v>
      </c>
      <c r="E137" s="3">
        <f t="shared" si="73"/>
        <v>13372</v>
      </c>
      <c r="F137" s="3">
        <v>40000</v>
      </c>
      <c r="H137" s="32">
        <f t="shared" si="74"/>
        <v>0</v>
      </c>
      <c r="I137" s="32"/>
      <c r="J137" s="4">
        <v>26628</v>
      </c>
      <c r="K137" s="4">
        <f t="shared" si="75"/>
        <v>13372</v>
      </c>
      <c r="L137" s="4">
        <v>40000</v>
      </c>
      <c r="N137" s="4">
        <f t="shared" si="76"/>
        <v>0</v>
      </c>
      <c r="P137" s="3">
        <f>L137*1.025</f>
        <v>41000</v>
      </c>
      <c r="R137" s="3">
        <v>600</v>
      </c>
      <c r="S137" s="3">
        <f t="shared" si="77"/>
        <v>36900</v>
      </c>
      <c r="T137" s="3">
        <v>37500</v>
      </c>
      <c r="U137" s="3">
        <f t="shared" si="78"/>
        <v>-3500</v>
      </c>
      <c r="V137" s="3">
        <v>5887</v>
      </c>
      <c r="W137" s="3">
        <f t="shared" si="79"/>
        <v>21613</v>
      </c>
      <c r="Y137" s="3">
        <v>27500</v>
      </c>
      <c r="Z137" s="3">
        <f t="shared" si="80"/>
        <v>-10000</v>
      </c>
      <c r="AC137" s="3">
        <v>5887</v>
      </c>
      <c r="AD137" s="3">
        <f t="shared" si="81"/>
        <v>11613</v>
      </c>
      <c r="AE137" s="3">
        <v>17500</v>
      </c>
      <c r="AF137" s="3">
        <f t="shared" si="82"/>
        <v>-10000</v>
      </c>
      <c r="AI137" s="325">
        <v>20000</v>
      </c>
      <c r="AK137" s="3">
        <f>AI137*1.025</f>
        <v>20500</v>
      </c>
      <c r="AM137" s="3">
        <f>AK137*1.025</f>
        <v>21012.499999999996</v>
      </c>
      <c r="AO137" s="3">
        <f>AM137*1.025</f>
        <v>21537.812499999993</v>
      </c>
      <c r="AQ137" s="3">
        <f>AO137*1.025</f>
        <v>22076.257812499989</v>
      </c>
      <c r="AS137" s="3">
        <f>AQ137*1.025</f>
        <v>22628.164257812488</v>
      </c>
      <c r="AU137" s="3">
        <f>AS137*1.025</f>
        <v>23193.8683642578</v>
      </c>
      <c r="AW137" s="3">
        <f>AU137*1.025</f>
        <v>23773.715073364241</v>
      </c>
      <c r="AY137" s="3">
        <f>AW137*1.025</f>
        <v>24368.057950198345</v>
      </c>
      <c r="BA137" s="3">
        <f>AY137*1.025</f>
        <v>24977.259398953302</v>
      </c>
      <c r="BC137" s="3">
        <f>BA137*1.025</f>
        <v>25601.690883927131</v>
      </c>
      <c r="BE137" s="3">
        <f>BC137*1.025</f>
        <v>26241.733156025308</v>
      </c>
    </row>
    <row r="138" spans="1:57" hidden="1" outlineLevel="1" x14ac:dyDescent="0.25">
      <c r="A138" s="3" t="s">
        <v>90</v>
      </c>
      <c r="B138" s="3">
        <v>1000</v>
      </c>
      <c r="E138" s="3">
        <f t="shared" si="73"/>
        <v>1000</v>
      </c>
      <c r="F138" s="3">
        <v>1000</v>
      </c>
      <c r="H138" s="32">
        <f t="shared" si="74"/>
        <v>0</v>
      </c>
      <c r="I138" s="32"/>
      <c r="J138" s="4"/>
      <c r="K138" s="4">
        <f t="shared" si="75"/>
        <v>1000</v>
      </c>
      <c r="L138" s="4">
        <v>1000</v>
      </c>
      <c r="N138" s="4">
        <f t="shared" si="76"/>
        <v>0</v>
      </c>
      <c r="P138" s="3">
        <f>L138*1.025+75</f>
        <v>1100</v>
      </c>
      <c r="S138" s="3">
        <f t="shared" si="77"/>
        <v>1100</v>
      </c>
      <c r="T138" s="3">
        <v>1100</v>
      </c>
      <c r="U138" s="3">
        <f t="shared" si="78"/>
        <v>0</v>
      </c>
      <c r="W138" s="3">
        <f t="shared" si="79"/>
        <v>1000</v>
      </c>
      <c r="Y138" s="3">
        <v>1000</v>
      </c>
      <c r="Z138" s="3">
        <f t="shared" si="80"/>
        <v>-100</v>
      </c>
      <c r="AD138" s="3">
        <f t="shared" si="81"/>
        <v>1000</v>
      </c>
      <c r="AE138" s="3">
        <v>1000</v>
      </c>
      <c r="AF138" s="3">
        <f t="shared" si="82"/>
        <v>0</v>
      </c>
      <c r="AI138" s="326">
        <v>1500</v>
      </c>
      <c r="AK138" s="3">
        <f>AI138*1.025</f>
        <v>1537.4999999999998</v>
      </c>
      <c r="AM138" s="3">
        <f>AK138*1.025</f>
        <v>1575.9374999999995</v>
      </c>
      <c r="AO138" s="3">
        <f>AM138*1.025</f>
        <v>1615.3359374999993</v>
      </c>
      <c r="AQ138" s="3">
        <f>AO138*1.025</f>
        <v>1655.7193359374992</v>
      </c>
      <c r="AS138" s="3">
        <f>AQ138*1.025</f>
        <v>1697.1123193359365</v>
      </c>
      <c r="AU138" s="3">
        <f>AS138*1.025</f>
        <v>1739.5401273193347</v>
      </c>
      <c r="AW138" s="3">
        <f>AU138*1.025</f>
        <v>1783.028630502318</v>
      </c>
      <c r="AY138" s="3">
        <f>AW138*1.025</f>
        <v>1827.6043462648759</v>
      </c>
      <c r="BA138" s="3">
        <f>AY138*1.025</f>
        <v>1873.2944549214976</v>
      </c>
      <c r="BC138" s="3">
        <f>BA138*1.025</f>
        <v>1920.1268162945348</v>
      </c>
      <c r="BE138" s="3">
        <f>BC138*1.025</f>
        <v>1968.1299867018979</v>
      </c>
    </row>
    <row r="139" spans="1:57" hidden="1" outlineLevel="1" x14ac:dyDescent="0.25">
      <c r="A139" s="3" t="s">
        <v>120</v>
      </c>
      <c r="E139" s="3">
        <f t="shared" si="73"/>
        <v>0</v>
      </c>
      <c r="H139" s="32">
        <f t="shared" si="74"/>
        <v>0</v>
      </c>
      <c r="I139" s="32"/>
      <c r="J139" s="4"/>
      <c r="K139" s="4">
        <f t="shared" si="75"/>
        <v>0</v>
      </c>
      <c r="L139" s="4"/>
      <c r="N139" s="4">
        <f t="shared" si="76"/>
        <v>0</v>
      </c>
      <c r="S139" s="3">
        <f t="shared" si="77"/>
        <v>0</v>
      </c>
      <c r="U139" s="3">
        <f t="shared" si="78"/>
        <v>0</v>
      </c>
      <c r="W139" s="3">
        <f t="shared" si="79"/>
        <v>0</v>
      </c>
      <c r="Z139" s="3">
        <f t="shared" si="80"/>
        <v>0</v>
      </c>
      <c r="AD139" s="3">
        <f t="shared" si="81"/>
        <v>0</v>
      </c>
      <c r="AF139" s="3">
        <f t="shared" si="82"/>
        <v>0</v>
      </c>
      <c r="AI139" s="321"/>
      <c r="BC139" s="3"/>
      <c r="BE139" s="3"/>
    </row>
    <row r="140" spans="1:57" hidden="1" outlineLevel="1" x14ac:dyDescent="0.25">
      <c r="A140" s="3" t="s">
        <v>121</v>
      </c>
      <c r="E140" s="3">
        <f t="shared" si="73"/>
        <v>0</v>
      </c>
      <c r="H140" s="32">
        <f t="shared" si="74"/>
        <v>0</v>
      </c>
      <c r="I140" s="32"/>
      <c r="J140" s="4"/>
      <c r="K140" s="4">
        <f t="shared" si="75"/>
        <v>0</v>
      </c>
      <c r="L140" s="4"/>
      <c r="N140" s="4">
        <f t="shared" si="76"/>
        <v>0</v>
      </c>
      <c r="S140" s="3">
        <f t="shared" si="77"/>
        <v>0</v>
      </c>
      <c r="U140" s="3">
        <f t="shared" si="78"/>
        <v>0</v>
      </c>
      <c r="W140" s="3">
        <f t="shared" si="79"/>
        <v>0</v>
      </c>
      <c r="Z140" s="3">
        <f t="shared" si="80"/>
        <v>0</v>
      </c>
      <c r="AD140" s="3">
        <f t="shared" si="81"/>
        <v>0</v>
      </c>
      <c r="AF140" s="3">
        <f t="shared" si="82"/>
        <v>0</v>
      </c>
      <c r="AI140" s="321"/>
      <c r="BC140" s="3"/>
      <c r="BE140" s="3"/>
    </row>
    <row r="141" spans="1:57" hidden="1" outlineLevel="1" x14ac:dyDescent="0.25">
      <c r="A141" s="3" t="s">
        <v>122</v>
      </c>
      <c r="B141" s="3">
        <v>6600</v>
      </c>
      <c r="D141" s="3">
        <v>2315</v>
      </c>
      <c r="E141" s="3">
        <f t="shared" si="73"/>
        <v>4685</v>
      </c>
      <c r="F141" s="3">
        <v>7000</v>
      </c>
      <c r="H141" s="32">
        <f t="shared" si="74"/>
        <v>400</v>
      </c>
      <c r="I141" s="32"/>
      <c r="J141" s="4">
        <v>5416</v>
      </c>
      <c r="K141" s="4">
        <f t="shared" si="75"/>
        <v>2084</v>
      </c>
      <c r="L141" s="4">
        <v>7500</v>
      </c>
      <c r="N141" s="4">
        <f t="shared" si="76"/>
        <v>500</v>
      </c>
      <c r="P141" s="3">
        <f>L141*1.025+12</f>
        <v>7699.4999999999991</v>
      </c>
      <c r="R141" s="3">
        <v>2985</v>
      </c>
      <c r="S141" s="3">
        <f t="shared" si="77"/>
        <v>4715</v>
      </c>
      <c r="T141" s="3">
        <v>7700</v>
      </c>
      <c r="U141" s="3">
        <f t="shared" si="78"/>
        <v>0.50000000000090949</v>
      </c>
      <c r="V141" s="3">
        <v>5946</v>
      </c>
      <c r="W141" s="3">
        <f t="shared" si="79"/>
        <v>3054</v>
      </c>
      <c r="Y141" s="3">
        <v>9000</v>
      </c>
      <c r="Z141" s="3">
        <f t="shared" si="80"/>
        <v>1300</v>
      </c>
      <c r="AC141" s="3">
        <v>9081</v>
      </c>
      <c r="AD141" s="3">
        <f t="shared" si="81"/>
        <v>1919</v>
      </c>
      <c r="AE141" s="3">
        <v>11000</v>
      </c>
      <c r="AF141" s="3">
        <f t="shared" si="82"/>
        <v>2000</v>
      </c>
      <c r="AI141" s="325">
        <f>AE141*1.025+5</f>
        <v>11279.999999999998</v>
      </c>
      <c r="AK141" s="3">
        <f>AI141*1.025</f>
        <v>11561.999999999996</v>
      </c>
      <c r="AM141" s="3">
        <f>AK141*1.025</f>
        <v>11851.049999999996</v>
      </c>
      <c r="AO141" s="3">
        <f>AM141*1.025</f>
        <v>12147.326249999995</v>
      </c>
      <c r="AQ141" s="3">
        <f>AO141*1.025</f>
        <v>12451.009406249994</v>
      </c>
      <c r="AS141" s="3">
        <f>AQ141*1.025</f>
        <v>12762.284641406242</v>
      </c>
      <c r="AU141" s="3">
        <f>AS141*1.025</f>
        <v>13081.341757441398</v>
      </c>
      <c r="AW141" s="3">
        <f>AU141*1.025</f>
        <v>13408.375301377431</v>
      </c>
      <c r="AY141" s="3">
        <f>AW141*1.025</f>
        <v>13743.584683911866</v>
      </c>
      <c r="BA141" s="3">
        <f>AY141*1.025</f>
        <v>14087.174301009662</v>
      </c>
      <c r="BC141" s="3">
        <f>BA141*1.025</f>
        <v>14439.353658534901</v>
      </c>
      <c r="BE141" s="3">
        <f>BC141*1.025</f>
        <v>14800.337499998272</v>
      </c>
    </row>
    <row r="142" spans="1:57" hidden="1" outlineLevel="1" x14ac:dyDescent="0.25">
      <c r="A142" s="3"/>
      <c r="B142" s="62">
        <f>SUM(B136:B141)</f>
        <v>87600</v>
      </c>
      <c r="C142" s="32"/>
      <c r="D142" s="62">
        <f>SUM(D136:D141)</f>
        <v>35122</v>
      </c>
      <c r="E142" s="62">
        <f>SUM(E136:E141)</f>
        <v>52878</v>
      </c>
      <c r="F142" s="62">
        <f>SUM(F136:F141)</f>
        <v>88000</v>
      </c>
      <c r="G142" s="32"/>
      <c r="H142" s="62">
        <f>SUM(H136:H141)</f>
        <v>400</v>
      </c>
      <c r="I142" s="32"/>
      <c r="J142" s="62">
        <f>SUM(J136:J141)</f>
        <v>42887</v>
      </c>
      <c r="K142" s="62">
        <f>SUM(K136:K141)</f>
        <v>35613</v>
      </c>
      <c r="L142" s="62">
        <f>SUM(L136:L141)</f>
        <v>78500</v>
      </c>
      <c r="M142" s="32"/>
      <c r="N142" s="62">
        <f>SUM(N136:N141)</f>
        <v>-9500</v>
      </c>
      <c r="P142" s="62">
        <f>SUM(P136:P141)</f>
        <v>79799.5</v>
      </c>
      <c r="R142" s="62">
        <f t="shared" ref="R142:Z142" si="83">SUM(R136:R141)</f>
        <v>7861</v>
      </c>
      <c r="S142" s="62">
        <f t="shared" si="83"/>
        <v>65939</v>
      </c>
      <c r="T142" s="62">
        <f t="shared" si="83"/>
        <v>73800</v>
      </c>
      <c r="U142" s="62">
        <f t="shared" si="83"/>
        <v>-5999.4999999999955</v>
      </c>
      <c r="V142" s="62">
        <f t="shared" si="83"/>
        <v>22889</v>
      </c>
      <c r="W142" s="62">
        <f t="shared" si="83"/>
        <v>39611</v>
      </c>
      <c r="X142" s="62"/>
      <c r="Y142" s="62">
        <f t="shared" si="83"/>
        <v>62500</v>
      </c>
      <c r="Z142" s="62">
        <f t="shared" si="83"/>
        <v>-11300</v>
      </c>
      <c r="AC142" s="62">
        <f>SUM(AC136:AC141)</f>
        <v>29971</v>
      </c>
      <c r="AD142" s="62">
        <f>SUM(AD136:AD141)</f>
        <v>22029</v>
      </c>
      <c r="AE142" s="62">
        <f>SUM(AE136:AE141)</f>
        <v>52000</v>
      </c>
      <c r="AF142" s="62">
        <f>SUM(AF136:AF141)</f>
        <v>-10500</v>
      </c>
      <c r="AG142" s="32"/>
      <c r="AI142" s="62">
        <f>SUM(AI136:AI141)</f>
        <v>72780</v>
      </c>
      <c r="AK142" s="62">
        <f>SUM(AK136:AK141)-1</f>
        <v>74598.5</v>
      </c>
      <c r="AM142" s="62">
        <f>SUM(AM136:AM141)</f>
        <v>76464.487499999988</v>
      </c>
      <c r="AO142" s="62">
        <f>SUM(AO136:AO141)</f>
        <v>78376.099687499969</v>
      </c>
      <c r="AP142" s="32"/>
      <c r="AQ142" s="62">
        <f>SUM(AQ136:AQ141)</f>
        <v>80335.502179687464</v>
      </c>
      <c r="AS142" s="62">
        <f>SUM(AS136:AS141)</f>
        <v>82343.88973417964</v>
      </c>
      <c r="AU142" s="62">
        <f>SUM(AU136:AU141)</f>
        <v>84402.486977534136</v>
      </c>
      <c r="AW142" s="62">
        <f>SUM(AW136:AW141)</f>
        <v>86512.549151972475</v>
      </c>
      <c r="AY142" s="62">
        <f>SUM(AY136:AY141)</f>
        <v>88675.362880771776</v>
      </c>
      <c r="BA142" s="62">
        <f>SUM(BA136:BA141)</f>
        <v>90892.246952791058</v>
      </c>
      <c r="BC142" s="62">
        <f>SUM(BC136:BC141)</f>
        <v>93164.55312661083</v>
      </c>
      <c r="BE142" s="62">
        <f>SUM(BE136:BE141)</f>
        <v>95493.666954776098</v>
      </c>
    </row>
    <row r="143" spans="1:57" hidden="1" outlineLevel="1" x14ac:dyDescent="0.25">
      <c r="A143" s="7" t="s">
        <v>123</v>
      </c>
      <c r="BC143" s="3"/>
      <c r="BE143" s="3"/>
    </row>
    <row r="144" spans="1:57" hidden="1" outlineLevel="1" x14ac:dyDescent="0.25">
      <c r="A144" s="3" t="s">
        <v>124</v>
      </c>
      <c r="B144" s="3">
        <v>361300</v>
      </c>
      <c r="D144" s="3">
        <v>363333</v>
      </c>
      <c r="E144" s="3">
        <f t="shared" ref="E144:E152" si="84">F144-D144</f>
        <v>-33</v>
      </c>
      <c r="F144" s="3">
        <v>363300</v>
      </c>
      <c r="H144" s="32">
        <f t="shared" ref="H144:H152" si="85">F144-B144</f>
        <v>2000</v>
      </c>
      <c r="I144" s="32"/>
      <c r="J144" s="4">
        <v>363530</v>
      </c>
      <c r="K144" s="4">
        <f t="shared" ref="K144:K152" si="86">L144-J144</f>
        <v>0</v>
      </c>
      <c r="L144" s="4">
        <v>363530</v>
      </c>
      <c r="N144" s="4">
        <f t="shared" ref="N144:N152" si="87">L144-F144</f>
        <v>230</v>
      </c>
      <c r="P144" s="3">
        <f>L144*1.075+5</f>
        <v>390799.75</v>
      </c>
      <c r="R144" s="3">
        <v>393075</v>
      </c>
      <c r="S144" s="3">
        <f t="shared" ref="S144:S152" si="88">T144-R144</f>
        <v>0</v>
      </c>
      <c r="T144" s="3">
        <v>393075</v>
      </c>
      <c r="U144" s="3">
        <f t="shared" ref="U144:U149" si="89">T144-P144</f>
        <v>2275.25</v>
      </c>
      <c r="V144" s="3">
        <v>393724</v>
      </c>
      <c r="W144" s="3">
        <f t="shared" ref="W144:W152" si="90">Y144-V144</f>
        <v>-4</v>
      </c>
      <c r="Y144" s="3">
        <v>393720</v>
      </c>
      <c r="Z144" s="3">
        <f t="shared" ref="Z144:Z152" si="91">Y144-T144</f>
        <v>645</v>
      </c>
      <c r="AC144" s="3">
        <v>393585</v>
      </c>
      <c r="AD144" s="3">
        <f t="shared" ref="AD144:AD152" si="92">AE144-AC144</f>
        <v>135</v>
      </c>
      <c r="AE144" s="3">
        <v>393720</v>
      </c>
      <c r="AF144" s="3">
        <f t="shared" ref="AF144:AF152" si="93">AE144-Y144</f>
        <v>0</v>
      </c>
      <c r="AI144" s="324">
        <f>AE144*1.05-6</f>
        <v>413400</v>
      </c>
      <c r="AK144" s="3">
        <f>AI144*1.05</f>
        <v>434070</v>
      </c>
      <c r="AM144" s="3">
        <f>AK144*1.05</f>
        <v>455773.5</v>
      </c>
      <c r="AO144" s="3">
        <f>AM144*1.05</f>
        <v>478562.17500000005</v>
      </c>
      <c r="AQ144" s="3">
        <f>AO144*1.05</f>
        <v>502490.28375000006</v>
      </c>
      <c r="AS144" s="3">
        <f>AQ144*1.05</f>
        <v>527614.79793750006</v>
      </c>
      <c r="AU144" s="3">
        <f>AS144*1.05</f>
        <v>553995.53783437505</v>
      </c>
      <c r="AW144" s="3">
        <f>AU144*1.05</f>
        <v>581695.31472609378</v>
      </c>
      <c r="AY144" s="3">
        <f>AW144*1.05</f>
        <v>610780.08046239847</v>
      </c>
      <c r="BA144" s="3">
        <f>AY144*1.05</f>
        <v>641319.0844855184</v>
      </c>
      <c r="BC144" s="3">
        <f>BA144*1.05</f>
        <v>673385.03870979429</v>
      </c>
      <c r="BE144" s="3">
        <f>BC144*1.05</f>
        <v>707054.290645284</v>
      </c>
    </row>
    <row r="145" spans="1:57" hidden="1" outlineLevel="1" x14ac:dyDescent="0.25">
      <c r="A145" s="3" t="s">
        <v>125</v>
      </c>
      <c r="B145" s="3">
        <v>13500</v>
      </c>
      <c r="E145" s="3">
        <f t="shared" si="84"/>
        <v>13500</v>
      </c>
      <c r="F145" s="3">
        <v>13500</v>
      </c>
      <c r="H145" s="32">
        <f t="shared" si="85"/>
        <v>0</v>
      </c>
      <c r="I145" s="32"/>
      <c r="J145" s="4">
        <v>0</v>
      </c>
      <c r="K145" s="4">
        <f t="shared" si="86"/>
        <v>13500</v>
      </c>
      <c r="L145" s="4">
        <v>13500</v>
      </c>
      <c r="N145" s="4">
        <f t="shared" si="87"/>
        <v>0</v>
      </c>
      <c r="P145" s="3">
        <f>13600*1.02-22</f>
        <v>13850</v>
      </c>
      <c r="R145" s="3">
        <v>0</v>
      </c>
      <c r="S145" s="3">
        <f t="shared" si="88"/>
        <v>13850</v>
      </c>
      <c r="T145" s="3">
        <v>13850</v>
      </c>
      <c r="U145" s="3">
        <f t="shared" si="89"/>
        <v>0</v>
      </c>
      <c r="W145" s="3">
        <f t="shared" si="90"/>
        <v>13850</v>
      </c>
      <c r="Y145" s="3">
        <v>13850</v>
      </c>
      <c r="Z145" s="3">
        <f t="shared" si="91"/>
        <v>0</v>
      </c>
      <c r="AC145" s="3">
        <v>14589</v>
      </c>
      <c r="AD145" s="3">
        <f t="shared" si="92"/>
        <v>1</v>
      </c>
      <c r="AE145" s="3">
        <v>14590</v>
      </c>
      <c r="AF145" s="3">
        <f t="shared" si="93"/>
        <v>740</v>
      </c>
      <c r="AI145" s="324">
        <f>AE145*1.02-32</f>
        <v>14849.800000000001</v>
      </c>
      <c r="AK145" s="3">
        <f>AI145*1.02</f>
        <v>15146.796000000002</v>
      </c>
      <c r="AM145" s="3">
        <f>AK145*1.02</f>
        <v>15449.731920000002</v>
      </c>
      <c r="AO145" s="3">
        <f>AM145*1.02</f>
        <v>15758.726558400002</v>
      </c>
      <c r="AQ145" s="3">
        <f>AO145*1.02</f>
        <v>16073.901089568002</v>
      </c>
      <c r="AS145" s="3">
        <f>AQ145*1.02</f>
        <v>16395.379111359362</v>
      </c>
      <c r="AU145" s="3">
        <f>AS145*1.02</f>
        <v>16723.28669358655</v>
      </c>
      <c r="AW145" s="3">
        <f>AU145*1.02</f>
        <v>17057.752427458279</v>
      </c>
      <c r="AY145" s="3">
        <f>AW145*1.02</f>
        <v>17398.907476007444</v>
      </c>
      <c r="BA145" s="3">
        <f>AY145*1.02</f>
        <v>17746.885625527593</v>
      </c>
      <c r="BC145" s="3">
        <f>BA145*1.02</f>
        <v>18101.823338038146</v>
      </c>
      <c r="BE145" s="3">
        <f>BC145*1.02</f>
        <v>18463.859804798911</v>
      </c>
    </row>
    <row r="146" spans="1:57" hidden="1" outlineLevel="1" x14ac:dyDescent="0.25">
      <c r="A146" s="3" t="s">
        <v>126</v>
      </c>
      <c r="B146" s="3">
        <v>1850</v>
      </c>
      <c r="D146" s="3">
        <v>855</v>
      </c>
      <c r="E146" s="3">
        <f t="shared" si="84"/>
        <v>995</v>
      </c>
      <c r="F146" s="3">
        <v>1850</v>
      </c>
      <c r="H146" s="32">
        <f t="shared" si="85"/>
        <v>0</v>
      </c>
      <c r="I146" s="32"/>
      <c r="J146" s="4">
        <v>982</v>
      </c>
      <c r="K146" s="4">
        <f t="shared" si="86"/>
        <v>868</v>
      </c>
      <c r="L146" s="4">
        <v>1850</v>
      </c>
      <c r="N146" s="4">
        <f t="shared" si="87"/>
        <v>0</v>
      </c>
      <c r="P146" s="3">
        <f>L146*1.025+4</f>
        <v>1900.2499999999998</v>
      </c>
      <c r="R146" s="3">
        <v>855</v>
      </c>
      <c r="S146" s="3">
        <f t="shared" si="88"/>
        <v>1045</v>
      </c>
      <c r="T146" s="3">
        <v>1900</v>
      </c>
      <c r="U146" s="3">
        <f t="shared" si="89"/>
        <v>-0.24999999999977263</v>
      </c>
      <c r="V146" s="3">
        <v>1236</v>
      </c>
      <c r="W146" s="3">
        <f t="shared" si="90"/>
        <v>664</v>
      </c>
      <c r="Y146" s="3">
        <v>1900</v>
      </c>
      <c r="Z146" s="3">
        <f t="shared" si="91"/>
        <v>0</v>
      </c>
      <c r="AC146" s="3">
        <v>1673</v>
      </c>
      <c r="AD146" s="3">
        <f t="shared" si="92"/>
        <v>227</v>
      </c>
      <c r="AE146" s="3">
        <v>1900</v>
      </c>
      <c r="AF146" s="3">
        <f t="shared" si="93"/>
        <v>0</v>
      </c>
      <c r="AI146" s="325">
        <f>P146*1.025+2</f>
        <v>1949.7562499999997</v>
      </c>
      <c r="AK146" s="3">
        <f>AI146*1.025</f>
        <v>1998.5001562499995</v>
      </c>
      <c r="AM146" s="3">
        <f>AK146*1.025</f>
        <v>2048.4626601562491</v>
      </c>
      <c r="AO146" s="3">
        <f>AM146*1.025</f>
        <v>2099.674226660155</v>
      </c>
      <c r="AQ146" s="3">
        <f>AO146*1.025</f>
        <v>2152.1660823266589</v>
      </c>
      <c r="AS146" s="3">
        <f>AQ146*1.025</f>
        <v>2205.9702343848253</v>
      </c>
      <c r="AU146" s="3">
        <f>AS146*1.025</f>
        <v>2261.1194902444458</v>
      </c>
      <c r="AW146" s="3">
        <f>AU146*1.025</f>
        <v>2317.6474775005568</v>
      </c>
      <c r="AY146" s="3">
        <f>AW146*1.025</f>
        <v>2375.5886644380703</v>
      </c>
      <c r="BA146" s="3">
        <f>AY146*1.025</f>
        <v>2434.9783810490217</v>
      </c>
      <c r="BC146" s="3">
        <f>BA146*1.025</f>
        <v>2495.8528405752468</v>
      </c>
      <c r="BE146" s="3">
        <f>BC146*1.025</f>
        <v>2558.2491615896279</v>
      </c>
    </row>
    <row r="147" spans="1:57" hidden="1" outlineLevel="1" x14ac:dyDescent="0.25">
      <c r="A147" s="3" t="s">
        <v>127</v>
      </c>
      <c r="B147" s="3">
        <v>7400</v>
      </c>
      <c r="D147" s="3">
        <v>2440</v>
      </c>
      <c r="E147" s="3">
        <f t="shared" si="84"/>
        <v>4960</v>
      </c>
      <c r="F147" s="3">
        <v>7400</v>
      </c>
      <c r="H147" s="32">
        <f t="shared" si="85"/>
        <v>0</v>
      </c>
      <c r="I147" s="32"/>
      <c r="J147" s="4">
        <v>4428</v>
      </c>
      <c r="K147" s="4">
        <f t="shared" si="86"/>
        <v>2972</v>
      </c>
      <c r="L147" s="4">
        <v>7400</v>
      </c>
      <c r="N147" s="4">
        <f t="shared" si="87"/>
        <v>0</v>
      </c>
      <c r="P147" s="3">
        <f>L147*1.025+15</f>
        <v>7599.9999999999991</v>
      </c>
      <c r="R147" s="3">
        <v>1571</v>
      </c>
      <c r="S147" s="3">
        <f t="shared" si="88"/>
        <v>6029</v>
      </c>
      <c r="T147" s="3">
        <v>7600</v>
      </c>
      <c r="U147" s="3">
        <f t="shared" si="89"/>
        <v>0</v>
      </c>
      <c r="V147" s="3">
        <v>3655</v>
      </c>
      <c r="W147" s="3">
        <f t="shared" si="90"/>
        <v>3845</v>
      </c>
      <c r="Y147" s="3">
        <v>7500</v>
      </c>
      <c r="Z147" s="3">
        <f t="shared" si="91"/>
        <v>-100</v>
      </c>
      <c r="AC147" s="3">
        <v>6387</v>
      </c>
      <c r="AD147" s="3">
        <f t="shared" si="92"/>
        <v>1113</v>
      </c>
      <c r="AE147" s="3">
        <v>7500</v>
      </c>
      <c r="AF147" s="3">
        <f t="shared" si="93"/>
        <v>0</v>
      </c>
      <c r="AI147" s="325">
        <v>9000</v>
      </c>
      <c r="AK147" s="3">
        <f>AI147*1.025</f>
        <v>9225</v>
      </c>
      <c r="AM147" s="3">
        <f>AK147*1.025</f>
        <v>9455.625</v>
      </c>
      <c r="AO147" s="3">
        <f>AM147*1.025</f>
        <v>9692.015625</v>
      </c>
      <c r="AQ147" s="3">
        <f>AO147*1.025</f>
        <v>9934.3160156249996</v>
      </c>
      <c r="AS147" s="3">
        <f>AQ147*1.025</f>
        <v>10182.673916015623</v>
      </c>
      <c r="AU147" s="3">
        <f>AS147*1.025</f>
        <v>10437.240763916012</v>
      </c>
      <c r="AW147" s="3">
        <f>AU147*1.025</f>
        <v>10698.171783013911</v>
      </c>
      <c r="AY147" s="3">
        <f>AW147*1.025</f>
        <v>10965.626077589259</v>
      </c>
      <c r="BA147" s="3">
        <f>AY147*1.025</f>
        <v>11239.766729528988</v>
      </c>
      <c r="BC147" s="3">
        <f>BA147*1.025</f>
        <v>11520.760897767212</v>
      </c>
      <c r="BE147" s="3">
        <f>BC147*1.025</f>
        <v>11808.779920211391</v>
      </c>
    </row>
    <row r="148" spans="1:57" hidden="1" outlineLevel="1" x14ac:dyDescent="0.25">
      <c r="A148" s="3" t="s">
        <v>128</v>
      </c>
      <c r="E148" s="3">
        <f t="shared" si="84"/>
        <v>0</v>
      </c>
      <c r="H148" s="32">
        <f t="shared" si="85"/>
        <v>0</v>
      </c>
      <c r="I148" s="32"/>
      <c r="J148" s="4"/>
      <c r="K148" s="4">
        <f t="shared" si="86"/>
        <v>0</v>
      </c>
      <c r="L148" s="4"/>
      <c r="N148" s="4">
        <f t="shared" si="87"/>
        <v>0</v>
      </c>
      <c r="P148" s="3">
        <f>B148*1.03</f>
        <v>0</v>
      </c>
      <c r="S148" s="3">
        <f t="shared" si="88"/>
        <v>0</v>
      </c>
      <c r="U148" s="3">
        <f t="shared" si="89"/>
        <v>0</v>
      </c>
      <c r="W148" s="3">
        <f t="shared" si="90"/>
        <v>0</v>
      </c>
      <c r="Z148" s="3">
        <f t="shared" si="91"/>
        <v>0</v>
      </c>
      <c r="AD148" s="3">
        <f t="shared" si="92"/>
        <v>0</v>
      </c>
      <c r="AF148" s="3">
        <f t="shared" si="93"/>
        <v>0</v>
      </c>
      <c r="AI148" s="325">
        <f>P148*1.03</f>
        <v>0</v>
      </c>
      <c r="AK148" s="3">
        <f>AI148*1.03</f>
        <v>0</v>
      </c>
      <c r="AM148" s="3">
        <f>AK148*1.03</f>
        <v>0</v>
      </c>
      <c r="AO148" s="3">
        <f>AM148*1.03</f>
        <v>0</v>
      </c>
      <c r="AQ148" s="3">
        <f>AO148*1.03</f>
        <v>0</v>
      </c>
      <c r="AS148" s="3">
        <f>AQ148*1.03</f>
        <v>0</v>
      </c>
      <c r="AU148" s="3">
        <f>AS148*1.03</f>
        <v>0</v>
      </c>
      <c r="AW148" s="3">
        <f>AU148*1.03</f>
        <v>0</v>
      </c>
      <c r="AY148" s="3">
        <f>AW148*1.03</f>
        <v>0</v>
      </c>
      <c r="BA148" s="3">
        <f>AY148*1.03</f>
        <v>0</v>
      </c>
      <c r="BC148" s="3">
        <f>BA148*1.03</f>
        <v>0</v>
      </c>
      <c r="BE148" s="3">
        <f>BC148*1.03</f>
        <v>0</v>
      </c>
    </row>
    <row r="149" spans="1:57" hidden="1" outlineLevel="1" x14ac:dyDescent="0.25">
      <c r="A149" s="3" t="s">
        <v>129</v>
      </c>
      <c r="B149" s="3">
        <v>5800</v>
      </c>
      <c r="D149" s="3">
        <v>818</v>
      </c>
      <c r="E149" s="3">
        <f t="shared" si="84"/>
        <v>4982</v>
      </c>
      <c r="F149" s="3">
        <v>5800</v>
      </c>
      <c r="H149" s="32">
        <f t="shared" si="85"/>
        <v>0</v>
      </c>
      <c r="I149" s="32"/>
      <c r="J149" s="4">
        <v>4449</v>
      </c>
      <c r="K149" s="4">
        <f t="shared" si="86"/>
        <v>1351</v>
      </c>
      <c r="L149" s="4">
        <v>5800</v>
      </c>
      <c r="N149" s="4">
        <f t="shared" si="87"/>
        <v>0</v>
      </c>
      <c r="R149" s="3">
        <v>3638</v>
      </c>
      <c r="S149" s="3">
        <f t="shared" si="88"/>
        <v>2</v>
      </c>
      <c r="T149" s="3">
        <v>3640</v>
      </c>
      <c r="U149" s="3">
        <f t="shared" si="89"/>
        <v>3640</v>
      </c>
      <c r="V149" s="3">
        <v>17459</v>
      </c>
      <c r="W149" s="3">
        <f t="shared" si="90"/>
        <v>41</v>
      </c>
      <c r="Y149" s="3">
        <v>17500</v>
      </c>
      <c r="Z149" s="3">
        <f t="shared" si="91"/>
        <v>13860</v>
      </c>
      <c r="AC149" s="3">
        <v>17495</v>
      </c>
      <c r="AD149" s="3">
        <f t="shared" si="92"/>
        <v>0</v>
      </c>
      <c r="AE149" s="3">
        <v>17495</v>
      </c>
      <c r="AF149" s="3">
        <f t="shared" si="93"/>
        <v>-5</v>
      </c>
      <c r="AI149" s="325"/>
      <c r="BC149" s="3"/>
      <c r="BE149" s="3"/>
    </row>
    <row r="150" spans="1:57" hidden="1" outlineLevel="1" x14ac:dyDescent="0.25">
      <c r="A150" s="3" t="s">
        <v>130</v>
      </c>
      <c r="B150" s="3">
        <v>800</v>
      </c>
      <c r="D150" s="3">
        <v>0</v>
      </c>
      <c r="E150" s="3">
        <f t="shared" si="84"/>
        <v>800</v>
      </c>
      <c r="F150" s="3">
        <v>800</v>
      </c>
      <c r="H150" s="32">
        <f t="shared" si="85"/>
        <v>0</v>
      </c>
      <c r="I150" s="32"/>
      <c r="J150" s="4"/>
      <c r="K150" s="4">
        <f t="shared" si="86"/>
        <v>800</v>
      </c>
      <c r="L150" s="4">
        <v>800</v>
      </c>
      <c r="N150" s="4">
        <f t="shared" si="87"/>
        <v>0</v>
      </c>
      <c r="P150" s="3">
        <f>L150*1.025+30</f>
        <v>849.99999999999989</v>
      </c>
      <c r="S150" s="3">
        <f t="shared" si="88"/>
        <v>850</v>
      </c>
      <c r="T150" s="3">
        <v>850</v>
      </c>
      <c r="U150" s="3">
        <f>T150-P150</f>
        <v>0</v>
      </c>
      <c r="W150" s="3">
        <f t="shared" si="90"/>
        <v>500</v>
      </c>
      <c r="Y150" s="3">
        <v>500</v>
      </c>
      <c r="Z150" s="3">
        <f t="shared" si="91"/>
        <v>-350</v>
      </c>
      <c r="AD150" s="3">
        <f t="shared" si="92"/>
        <v>500</v>
      </c>
      <c r="AE150" s="3">
        <v>500</v>
      </c>
      <c r="AF150" s="3">
        <f t="shared" si="93"/>
        <v>0</v>
      </c>
      <c r="AI150" s="325">
        <f>AE150*1.025+37</f>
        <v>549.5</v>
      </c>
      <c r="AK150" s="3">
        <f>AI150*1.025</f>
        <v>563.23749999999995</v>
      </c>
      <c r="AM150" s="3">
        <f>AK150*1.025</f>
        <v>577.31843749999996</v>
      </c>
      <c r="AO150" s="3">
        <f>AM150*1.025</f>
        <v>591.75139843749992</v>
      </c>
      <c r="AQ150" s="3">
        <f>AO150*1.025</f>
        <v>606.54518339843742</v>
      </c>
      <c r="AS150" s="3">
        <f>AQ150*1.025</f>
        <v>621.70881298339827</v>
      </c>
      <c r="AU150" s="3">
        <f>AS150*1.025</f>
        <v>637.25153330798321</v>
      </c>
      <c r="AW150" s="3">
        <f>AU150*1.025</f>
        <v>653.18282164068273</v>
      </c>
      <c r="AY150" s="3">
        <f>AW150*1.025</f>
        <v>669.51239218169974</v>
      </c>
      <c r="BA150" s="3">
        <f>AY150*1.025</f>
        <v>686.25020198624213</v>
      </c>
      <c r="BC150" s="3">
        <f>BA150*1.025</f>
        <v>703.40645703589814</v>
      </c>
      <c r="BE150" s="3">
        <f>BC150*1.025</f>
        <v>720.9916184617955</v>
      </c>
    </row>
    <row r="151" spans="1:57" hidden="1" outlineLevel="1" x14ac:dyDescent="0.25">
      <c r="A151" s="3" t="s">
        <v>131</v>
      </c>
      <c r="B151" s="3">
        <v>30000</v>
      </c>
      <c r="D151" s="3">
        <v>0</v>
      </c>
      <c r="E151" s="3">
        <f t="shared" si="84"/>
        <v>30000</v>
      </c>
      <c r="F151" s="3">
        <v>30000</v>
      </c>
      <c r="H151" s="32">
        <f t="shared" si="85"/>
        <v>0</v>
      </c>
      <c r="I151" s="32"/>
      <c r="J151" s="4">
        <v>0</v>
      </c>
      <c r="K151" s="4">
        <f t="shared" si="86"/>
        <v>30000</v>
      </c>
      <c r="L151" s="4">
        <v>30000</v>
      </c>
      <c r="N151" s="4">
        <f t="shared" si="87"/>
        <v>0</v>
      </c>
      <c r="S151" s="3">
        <f t="shared" si="88"/>
        <v>0</v>
      </c>
      <c r="U151" s="3">
        <f>T151-P151</f>
        <v>0</v>
      </c>
      <c r="W151" s="3">
        <f t="shared" si="90"/>
        <v>0</v>
      </c>
      <c r="Z151" s="3">
        <f t="shared" si="91"/>
        <v>0</v>
      </c>
      <c r="AD151" s="3">
        <f t="shared" si="92"/>
        <v>0</v>
      </c>
      <c r="AF151" s="3">
        <f t="shared" si="93"/>
        <v>0</v>
      </c>
      <c r="AI151" s="325">
        <v>5000</v>
      </c>
      <c r="AK151" s="3">
        <v>75000</v>
      </c>
      <c r="AM151" s="3">
        <f>AK151*1.05</f>
        <v>78750</v>
      </c>
      <c r="AO151" s="3">
        <f>AM151*1.05</f>
        <v>82687.5</v>
      </c>
      <c r="AQ151" s="3">
        <f>AO151*1.05</f>
        <v>86821.875</v>
      </c>
      <c r="AS151" s="3">
        <f>AQ151*1.05</f>
        <v>91162.96875</v>
      </c>
      <c r="AU151" s="3">
        <f>AS151*1.05</f>
        <v>95721.1171875</v>
      </c>
      <c r="AW151" s="3">
        <f>AU151*1.05</f>
        <v>100507.173046875</v>
      </c>
      <c r="AY151" s="3">
        <f>AW151*1.05</f>
        <v>105532.53169921876</v>
      </c>
      <c r="BA151" s="3">
        <f>AY151*1.05</f>
        <v>110809.15828417971</v>
      </c>
      <c r="BC151" s="3">
        <f>BA151*1.05</f>
        <v>116349.6161983887</v>
      </c>
      <c r="BE151" s="3">
        <f>BC151*1.05</f>
        <v>122167.09700830813</v>
      </c>
    </row>
    <row r="152" spans="1:57" hidden="1" outlineLevel="1" x14ac:dyDescent="0.25">
      <c r="A152" s="3" t="s">
        <v>132</v>
      </c>
      <c r="B152" s="3">
        <v>15000</v>
      </c>
      <c r="D152" s="3">
        <v>0</v>
      </c>
      <c r="E152" s="3">
        <f t="shared" si="84"/>
        <v>15000</v>
      </c>
      <c r="F152" s="3">
        <v>15000</v>
      </c>
      <c r="H152" s="32">
        <f t="shared" si="85"/>
        <v>0</v>
      </c>
      <c r="I152" s="32"/>
      <c r="J152" s="4">
        <v>10559</v>
      </c>
      <c r="K152" s="4">
        <f t="shared" si="86"/>
        <v>4441</v>
      </c>
      <c r="L152" s="4">
        <v>15000</v>
      </c>
      <c r="N152" s="4">
        <f t="shared" si="87"/>
        <v>0</v>
      </c>
      <c r="P152" s="3">
        <f>L152*1.025+25</f>
        <v>15399.999999999998</v>
      </c>
      <c r="S152" s="3">
        <f t="shared" si="88"/>
        <v>15400</v>
      </c>
      <c r="T152" s="3">
        <v>15400</v>
      </c>
      <c r="U152" s="3">
        <f>T152-P152</f>
        <v>0</v>
      </c>
      <c r="W152" s="3">
        <f t="shared" si="90"/>
        <v>15400</v>
      </c>
      <c r="Y152" s="3">
        <v>15400</v>
      </c>
      <c r="Z152" s="3">
        <f t="shared" si="91"/>
        <v>0</v>
      </c>
      <c r="AD152" s="3">
        <f t="shared" si="92"/>
        <v>15400</v>
      </c>
      <c r="AE152" s="3">
        <v>15400</v>
      </c>
      <c r="AF152" s="3">
        <f t="shared" si="93"/>
        <v>0</v>
      </c>
      <c r="AI152" s="326">
        <v>50000</v>
      </c>
      <c r="AK152" s="3">
        <v>30000</v>
      </c>
      <c r="AM152" s="3">
        <f>AK152*1.025</f>
        <v>30749.999999999996</v>
      </c>
      <c r="AO152" s="3">
        <f>AM152*1.025</f>
        <v>31518.749999999993</v>
      </c>
      <c r="AQ152" s="3">
        <f>AO152*1.025</f>
        <v>32306.718749999989</v>
      </c>
      <c r="AS152" s="3">
        <f>AQ152*1.025</f>
        <v>33114.386718749985</v>
      </c>
      <c r="AU152" s="3">
        <f>AS152*1.025</f>
        <v>33942.246386718733</v>
      </c>
      <c r="AW152" s="3">
        <f>AU152*1.025</f>
        <v>34790.802546386694</v>
      </c>
      <c r="AY152" s="3">
        <f>AW152*1.025</f>
        <v>35660.572610046358</v>
      </c>
      <c r="BA152" s="3">
        <f>AY152*1.025</f>
        <v>36552.086925297517</v>
      </c>
      <c r="BC152" s="3">
        <f>BA152*1.025</f>
        <v>37465.889098429951</v>
      </c>
      <c r="BE152" s="3">
        <f>BC152*1.025</f>
        <v>38402.536325890695</v>
      </c>
    </row>
    <row r="153" spans="1:57" hidden="1" outlineLevel="1" x14ac:dyDescent="0.25">
      <c r="A153" s="3"/>
      <c r="B153" s="62">
        <f>SUM(B144:B152)</f>
        <v>435650</v>
      </c>
      <c r="C153" s="32"/>
      <c r="D153" s="62">
        <f>SUM(D144:D152)-1</f>
        <v>367445</v>
      </c>
      <c r="E153" s="62">
        <f>SUM(E144:E152)</f>
        <v>70204</v>
      </c>
      <c r="F153" s="62">
        <f>SUM(F144:F152)</f>
        <v>437650</v>
      </c>
      <c r="G153" s="32"/>
      <c r="H153" s="62">
        <f>SUM(H144:H152)</f>
        <v>2000</v>
      </c>
      <c r="I153" s="32"/>
      <c r="J153" s="62">
        <f>SUM(J144:J152)</f>
        <v>383948</v>
      </c>
      <c r="K153" s="62">
        <f>SUM(K144:K152)</f>
        <v>53932</v>
      </c>
      <c r="L153" s="62">
        <f>SUM(L144:L152)</f>
        <v>437880</v>
      </c>
      <c r="M153" s="32"/>
      <c r="N153" s="62">
        <f>SUM(N144:N152)</f>
        <v>230</v>
      </c>
      <c r="P153" s="62">
        <f>SUM(P144:P152)</f>
        <v>430400</v>
      </c>
      <c r="R153" s="62">
        <f t="shared" ref="R153:Z153" si="94">SUM(R144:R152)</f>
        <v>399139</v>
      </c>
      <c r="S153" s="62">
        <f t="shared" si="94"/>
        <v>37176</v>
      </c>
      <c r="T153" s="62">
        <f t="shared" si="94"/>
        <v>436315</v>
      </c>
      <c r="U153" s="62">
        <f t="shared" si="94"/>
        <v>5915</v>
      </c>
      <c r="V153" s="62">
        <f t="shared" si="94"/>
        <v>416074</v>
      </c>
      <c r="W153" s="62">
        <f t="shared" si="94"/>
        <v>34296</v>
      </c>
      <c r="X153" s="62"/>
      <c r="Y153" s="62">
        <f t="shared" si="94"/>
        <v>450370</v>
      </c>
      <c r="Z153" s="62">
        <f t="shared" si="94"/>
        <v>14055</v>
      </c>
      <c r="AC153" s="62">
        <f>SUM(AC144:AC152)</f>
        <v>433729</v>
      </c>
      <c r="AD153" s="62">
        <f>SUM(AD144:AD152)</f>
        <v>17376</v>
      </c>
      <c r="AE153" s="62">
        <f>SUM(AE144:AE152)</f>
        <v>451105</v>
      </c>
      <c r="AF153" s="62">
        <f>SUM(AF144:AF152)</f>
        <v>735</v>
      </c>
      <c r="AG153" s="32"/>
      <c r="AI153" s="62">
        <f>SUM(AI144:AI152)+1</f>
        <v>494750.05624999997</v>
      </c>
      <c r="AK153" s="62">
        <f>SUM(AK144:AK152)</f>
        <v>566003.53365624999</v>
      </c>
      <c r="AM153" s="62">
        <f>SUM(AM144:AM152)</f>
        <v>592804.63801765628</v>
      </c>
      <c r="AO153" s="62">
        <f>SUM(AO144:AO152)</f>
        <v>620910.59280849772</v>
      </c>
      <c r="AP153" s="32"/>
      <c r="AQ153" s="62">
        <f>SUM(AQ144:AQ152)</f>
        <v>650385.80587091809</v>
      </c>
      <c r="AS153" s="62">
        <f>SUM(AS144:AS152)</f>
        <v>681297.88548099331</v>
      </c>
      <c r="AU153" s="62">
        <f>SUM(AU144:AU152)</f>
        <v>713717.79988964868</v>
      </c>
      <c r="AW153" s="62">
        <f>SUM(AW144:AW152)</f>
        <v>747720.04482896905</v>
      </c>
      <c r="AY153" s="62">
        <f>SUM(AY144:AY152)</f>
        <v>783382.81938188011</v>
      </c>
      <c r="BA153" s="62">
        <f>SUM(BA144:BA152)</f>
        <v>820788.21063308755</v>
      </c>
      <c r="BC153" s="62">
        <f>SUM(BC144:BC152)</f>
        <v>860022.38754002959</v>
      </c>
      <c r="BE153" s="62">
        <f>SUM(BE144:BE152)</f>
        <v>901175.80448454467</v>
      </c>
    </row>
    <row r="154" spans="1:57" hidden="1" outlineLevel="1" x14ac:dyDescent="0.25">
      <c r="A154" s="7" t="s">
        <v>133</v>
      </c>
      <c r="BC154" s="3"/>
      <c r="BE154" s="3"/>
    </row>
    <row r="155" spans="1:57" hidden="1" outlineLevel="1" x14ac:dyDescent="0.25">
      <c r="A155" s="3" t="s">
        <v>134</v>
      </c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I155" s="322"/>
      <c r="AJ155" s="4"/>
      <c r="AK155" s="4"/>
      <c r="AL155" s="4"/>
      <c r="AM155" s="4"/>
      <c r="AN155" s="4"/>
      <c r="AO155" s="4"/>
      <c r="AQ155" s="4"/>
      <c r="AR155" s="51"/>
      <c r="AS155" s="4"/>
      <c r="AU155" s="4"/>
      <c r="AW155" s="4"/>
      <c r="AY155" s="4"/>
      <c r="BA155" s="4"/>
      <c r="BC155" s="4"/>
      <c r="BE155" s="4"/>
    </row>
    <row r="156" spans="1:57" hidden="1" outlineLevel="1" x14ac:dyDescent="0.25">
      <c r="A156" s="7" t="s">
        <v>135</v>
      </c>
      <c r="AI156" s="325"/>
      <c r="BC156" s="3"/>
      <c r="BE156" s="3"/>
    </row>
    <row r="157" spans="1:57" hidden="1" outlineLevel="1" x14ac:dyDescent="0.25">
      <c r="A157" s="3" t="s">
        <v>136</v>
      </c>
      <c r="B157" s="3">
        <v>34000</v>
      </c>
      <c r="D157" s="3">
        <v>13790</v>
      </c>
      <c r="E157" s="3">
        <f>F157-D157</f>
        <v>28210</v>
      </c>
      <c r="F157" s="3">
        <v>42000</v>
      </c>
      <c r="H157" s="32">
        <f>F157-B157</f>
        <v>8000</v>
      </c>
      <c r="I157" s="32"/>
      <c r="J157" s="4">
        <v>24617</v>
      </c>
      <c r="K157" s="4">
        <f>L157-J157</f>
        <v>23383</v>
      </c>
      <c r="L157" s="4">
        <v>48000</v>
      </c>
      <c r="M157" s="32"/>
      <c r="N157" s="4">
        <f>L157-F157</f>
        <v>6000</v>
      </c>
      <c r="P157" s="3">
        <f>L157*1.025</f>
        <v>49199.999999999993</v>
      </c>
      <c r="R157" s="3">
        <v>11577</v>
      </c>
      <c r="S157" s="3">
        <f>T157-R157</f>
        <v>37623</v>
      </c>
      <c r="T157" s="3">
        <v>49200</v>
      </c>
      <c r="U157" s="3">
        <f>T157-P157</f>
        <v>0</v>
      </c>
      <c r="V157" s="3">
        <v>21813</v>
      </c>
      <c r="W157" s="3">
        <f>Y157-V157</f>
        <v>27387</v>
      </c>
      <c r="Y157" s="3">
        <v>49200</v>
      </c>
      <c r="Z157" s="3">
        <f>Y157-T157</f>
        <v>0</v>
      </c>
      <c r="AC157" s="3">
        <v>30486</v>
      </c>
      <c r="AD157" s="3">
        <f>AE157-AC157</f>
        <v>18714</v>
      </c>
      <c r="AE157" s="3">
        <v>49200</v>
      </c>
      <c r="AF157" s="3">
        <f>AE157-Y157</f>
        <v>0</v>
      </c>
      <c r="AI157" s="325">
        <f>AE157*1.025+70</f>
        <v>50499.999999999993</v>
      </c>
      <c r="AK157" s="3">
        <f>AI157*1.025</f>
        <v>51762.499999999985</v>
      </c>
      <c r="AM157" s="3">
        <f>AK157*1.025</f>
        <v>53056.562499999978</v>
      </c>
      <c r="AO157" s="3">
        <f>AM157*1.025</f>
        <v>54382.976562499971</v>
      </c>
      <c r="AQ157" s="3">
        <f>AO157*1.025</f>
        <v>55742.550976562467</v>
      </c>
      <c r="AS157" s="3">
        <f>AQ157*1.025</f>
        <v>57136.114750976521</v>
      </c>
      <c r="AU157" s="3">
        <f>AS157*1.025</f>
        <v>58564.517619750928</v>
      </c>
      <c r="AW157" s="3">
        <f>AU157*1.025</f>
        <v>60028.630560244696</v>
      </c>
      <c r="AY157" s="3">
        <f>AW157*1.025</f>
        <v>61529.346324250808</v>
      </c>
      <c r="BA157" s="3">
        <f>AY157*1.025</f>
        <v>63067.579982357071</v>
      </c>
      <c r="BC157" s="3">
        <f>BA157*1.025</f>
        <v>64644.269481915995</v>
      </c>
      <c r="BE157" s="3">
        <f>BC157*1.025</f>
        <v>66260.376218963895</v>
      </c>
    </row>
    <row r="158" spans="1:57" ht="15.75" collapsed="1" thickBot="1" x14ac:dyDescent="0.3">
      <c r="A158" s="7" t="s">
        <v>1165</v>
      </c>
      <c r="B158" s="44">
        <f>B157+B153+B142+B134+B155</f>
        <v>564750</v>
      </c>
      <c r="C158" s="32"/>
      <c r="D158" s="44">
        <f>D157+D153+D142+D134+D155</f>
        <v>418457</v>
      </c>
      <c r="E158" s="44">
        <f>E157+E153+E142+E134+E155</f>
        <v>157192</v>
      </c>
      <c r="F158" s="44">
        <f>F157+F153+F142+F134+F155</f>
        <v>575650</v>
      </c>
      <c r="G158" s="32"/>
      <c r="H158" s="44">
        <f>H157+H153+H142+H134+H155</f>
        <v>10900</v>
      </c>
      <c r="I158" s="32"/>
      <c r="J158" s="44">
        <f>J157+J153+J142+J134+J155</f>
        <v>455352</v>
      </c>
      <c r="K158" s="44">
        <f>K157+K153+K142+K134+K155</f>
        <v>117028</v>
      </c>
      <c r="L158" s="44">
        <f>L157+L153+L142+L134+L155</f>
        <v>572380</v>
      </c>
      <c r="M158" s="32"/>
      <c r="N158" s="44">
        <f>N157+N153+N142+N134+N155</f>
        <v>-3270</v>
      </c>
      <c r="O158" s="44"/>
      <c r="P158" s="44">
        <f>P157+P153+P142+P134+P155</f>
        <v>567599.5</v>
      </c>
      <c r="R158" s="44">
        <f t="shared" ref="R158:Z158" si="95">R157+R153+R142+R134+R155</f>
        <v>420677</v>
      </c>
      <c r="S158" s="44">
        <f t="shared" si="95"/>
        <v>146838</v>
      </c>
      <c r="T158" s="44">
        <f t="shared" si="95"/>
        <v>567515</v>
      </c>
      <c r="U158" s="44">
        <f t="shared" si="95"/>
        <v>-84.499999999995453</v>
      </c>
      <c r="V158" s="44">
        <f t="shared" si="95"/>
        <v>465276</v>
      </c>
      <c r="W158" s="44">
        <f t="shared" si="95"/>
        <v>104994</v>
      </c>
      <c r="X158" s="44"/>
      <c r="Y158" s="44">
        <f t="shared" si="95"/>
        <v>570270</v>
      </c>
      <c r="Z158" s="44">
        <f t="shared" si="95"/>
        <v>2755</v>
      </c>
      <c r="AC158" s="44">
        <f>AC157+AC153+AC142+AC134+AC155</f>
        <v>499886</v>
      </c>
      <c r="AD158" s="44">
        <f>AD157+AD153+AD142+AD134+AD155</f>
        <v>60619</v>
      </c>
      <c r="AE158" s="44">
        <f>AE157+AE153+AE142+AE134+AE155</f>
        <v>560505</v>
      </c>
      <c r="AF158" s="44">
        <f>AF157+AF153+AF142+AF134+AF155</f>
        <v>-9765</v>
      </c>
      <c r="AG158" s="32"/>
      <c r="AI158" s="44">
        <f>AI157+AI153+AI142+AI134+AI155</f>
        <v>626430.05624999991</v>
      </c>
      <c r="AK158" s="44">
        <f>AK157+AK153+AK142+AK134+AK155</f>
        <v>700974.53365624999</v>
      </c>
      <c r="AM158" s="44">
        <f>AM157+AM153+AM142+AM134+AM155</f>
        <v>731150.93801765633</v>
      </c>
      <c r="AO158" s="44">
        <f>AO157+AO153+AO142+AO134+AO155</f>
        <v>762715.55030849762</v>
      </c>
      <c r="AP158" s="32"/>
      <c r="AQ158" s="44">
        <f>AQ157+AQ153+AQ142+AQ134+AQ155</f>
        <v>795735.88730841805</v>
      </c>
      <c r="AS158" s="44">
        <f>AS157+AS153+AS142+AS134+AS155</f>
        <v>830281.71895443066</v>
      </c>
      <c r="AU158" s="44">
        <f>AU157+AU153+AU142+AU134+AU155</f>
        <v>866426.22919992206</v>
      </c>
      <c r="AW158" s="44">
        <f>AW157+AW153+AW142+AW134+AW155</f>
        <v>904246.1848719992</v>
      </c>
      <c r="AY158" s="44">
        <f>AY157+AY153+AY142+AY134+AY155</f>
        <v>943822.11292598594</v>
      </c>
      <c r="BA158" s="44">
        <f>BA157+BA153+BA142+BA134+BA155</f>
        <v>985238.48651579616</v>
      </c>
      <c r="BC158" s="44">
        <f>BC157+BC153+BC142+BC134+BC155</f>
        <v>1028583.9203198057</v>
      </c>
      <c r="BE158" s="44">
        <f>BE157+BE153+BE142+BE134+BE155</f>
        <v>1073951.3755838154</v>
      </c>
    </row>
    <row r="159" spans="1:57" s="59" customFormat="1" ht="15.75" thickTop="1" x14ac:dyDescent="0.25">
      <c r="A159" s="4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4"/>
      <c r="P159" s="9"/>
      <c r="Q159" s="4"/>
      <c r="R159" s="9"/>
      <c r="S159" s="9"/>
      <c r="T159" s="258"/>
      <c r="U159" s="9"/>
      <c r="V159" s="9"/>
      <c r="W159" s="9"/>
      <c r="X159" s="9"/>
      <c r="Y159" s="258"/>
      <c r="Z159" s="9"/>
      <c r="AA159" s="4"/>
      <c r="AB159" s="4"/>
      <c r="AC159" s="9"/>
      <c r="AD159" s="9"/>
      <c r="AE159" s="258"/>
      <c r="AF159" s="9"/>
      <c r="AG159" s="9"/>
      <c r="AH159" s="4"/>
      <c r="AI159" s="9"/>
      <c r="AJ159" s="4"/>
      <c r="AK159" s="9"/>
      <c r="AL159" s="4"/>
      <c r="AM159" s="9"/>
      <c r="AN159" s="4"/>
      <c r="AO159" s="9"/>
      <c r="AP159" s="9"/>
      <c r="AQ159" s="9"/>
      <c r="AR159" s="51"/>
      <c r="AS159" s="9"/>
      <c r="AT159" s="51"/>
      <c r="AU159" s="9"/>
      <c r="AV159" s="51"/>
      <c r="AW159" s="9"/>
      <c r="AX159" s="51"/>
      <c r="AY159" s="9"/>
      <c r="AZ159" s="51"/>
      <c r="BA159" s="9"/>
      <c r="BB159" s="51"/>
      <c r="BC159" s="9"/>
      <c r="BD159" s="51"/>
      <c r="BE159" s="9"/>
    </row>
    <row r="160" spans="1:57" x14ac:dyDescent="0.25">
      <c r="A160" s="7" t="s">
        <v>137</v>
      </c>
      <c r="BC160" s="3"/>
      <c r="BE160" s="3"/>
    </row>
    <row r="161" spans="1:57" hidden="1" outlineLevel="1" x14ac:dyDescent="0.25">
      <c r="A161" s="7" t="s">
        <v>138</v>
      </c>
      <c r="BC161" s="3"/>
      <c r="BE161" s="3"/>
    </row>
    <row r="162" spans="1:57" hidden="1" outlineLevel="1" x14ac:dyDescent="0.25">
      <c r="A162" s="3" t="s">
        <v>139</v>
      </c>
      <c r="B162" s="3">
        <v>5500</v>
      </c>
      <c r="E162" s="3">
        <f>F162-D162</f>
        <v>5500</v>
      </c>
      <c r="F162" s="3">
        <v>5500</v>
      </c>
      <c r="H162" s="32">
        <f>F162-B162</f>
        <v>0</v>
      </c>
      <c r="I162" s="32"/>
      <c r="J162" s="4"/>
      <c r="K162" s="4">
        <f>L162-J162</f>
        <v>5500</v>
      </c>
      <c r="L162" s="3">
        <v>5500</v>
      </c>
      <c r="N162" s="4">
        <f>L162-F162</f>
        <v>0</v>
      </c>
      <c r="P162" s="3">
        <f>L162*1.02-10</f>
        <v>5600</v>
      </c>
      <c r="S162" s="3">
        <f>T162-R162</f>
        <v>7175</v>
      </c>
      <c r="T162" s="3">
        <v>7175</v>
      </c>
      <c r="U162" s="3">
        <f>T162-P162</f>
        <v>1575</v>
      </c>
      <c r="V162" s="3">
        <v>7175</v>
      </c>
      <c r="W162" s="3">
        <f>Y162-V162</f>
        <v>0</v>
      </c>
      <c r="Y162" s="3">
        <v>7175</v>
      </c>
      <c r="Z162" s="3">
        <f>Y162-T162</f>
        <v>0</v>
      </c>
      <c r="AC162" s="3">
        <v>7175</v>
      </c>
      <c r="AD162" s="3">
        <f>AE162-AC162</f>
        <v>3895</v>
      </c>
      <c r="AE162" s="3">
        <v>11070</v>
      </c>
      <c r="AF162" s="3">
        <f>AE162-Y162</f>
        <v>3895</v>
      </c>
      <c r="AI162" s="321">
        <v>5500</v>
      </c>
      <c r="AK162" s="3">
        <f>AI162*1.02</f>
        <v>5610</v>
      </c>
      <c r="AM162" s="3">
        <f>AK162*1.02</f>
        <v>5722.2</v>
      </c>
      <c r="AO162" s="3">
        <f>AM162*1.02</f>
        <v>5836.6440000000002</v>
      </c>
      <c r="AQ162" s="3">
        <f>AO162*1.02</f>
        <v>5953.3768800000007</v>
      </c>
      <c r="AS162" s="3">
        <f>AQ162*1.02</f>
        <v>6072.4444176000006</v>
      </c>
      <c r="AU162" s="3">
        <f>AS162*1.02</f>
        <v>6193.8933059520004</v>
      </c>
      <c r="AW162" s="3">
        <f>AU162*1.02</f>
        <v>6317.7711720710404</v>
      </c>
      <c r="AY162" s="3">
        <f>AW162*1.02</f>
        <v>6444.1265955124609</v>
      </c>
      <c r="BA162" s="3">
        <f>AY162*1.02</f>
        <v>6573.0091274227107</v>
      </c>
      <c r="BC162" s="3">
        <f>BA162*1.02</f>
        <v>6704.4693099711649</v>
      </c>
      <c r="BE162" s="3">
        <f>BC162*1.02</f>
        <v>6838.5586961705885</v>
      </c>
    </row>
    <row r="163" spans="1:57" hidden="1" outlineLevel="1" x14ac:dyDescent="0.25">
      <c r="A163" s="3" t="s">
        <v>140</v>
      </c>
      <c r="B163" s="3">
        <v>19000</v>
      </c>
      <c r="E163" s="3">
        <f>F163-D163</f>
        <v>19000</v>
      </c>
      <c r="F163" s="3">
        <v>19000</v>
      </c>
      <c r="H163" s="32">
        <f>F163-B163</f>
        <v>0</v>
      </c>
      <c r="I163" s="32"/>
      <c r="J163" s="4"/>
      <c r="K163" s="4">
        <f>L163-J163</f>
        <v>19000</v>
      </c>
      <c r="L163" s="3">
        <v>19000</v>
      </c>
      <c r="N163" s="4">
        <f>L163-F163</f>
        <v>0</v>
      </c>
      <c r="P163" s="3">
        <f>L163*1.02+20</f>
        <v>19400</v>
      </c>
      <c r="S163" s="3">
        <f>T163-R163</f>
        <v>16900</v>
      </c>
      <c r="T163" s="3">
        <v>16900</v>
      </c>
      <c r="U163" s="3">
        <f>T163-P163</f>
        <v>-2500</v>
      </c>
      <c r="V163" s="3">
        <v>16900</v>
      </c>
      <c r="W163" s="3">
        <f>Y163-V163</f>
        <v>0</v>
      </c>
      <c r="Y163" s="3">
        <v>16900</v>
      </c>
      <c r="Z163" s="3">
        <f>Y163-T163</f>
        <v>0</v>
      </c>
      <c r="AC163" s="3">
        <v>16900</v>
      </c>
      <c r="AD163" s="3">
        <f>AE163-AC163</f>
        <v>0</v>
      </c>
      <c r="AE163" s="3">
        <v>16900</v>
      </c>
      <c r="AF163" s="3">
        <f>AE163-Y163</f>
        <v>0</v>
      </c>
      <c r="AI163" s="321">
        <v>19000</v>
      </c>
      <c r="AK163" s="3">
        <f>AI163*1.02</f>
        <v>19380</v>
      </c>
      <c r="AM163" s="3">
        <f>AK163*1.02</f>
        <v>19767.599999999999</v>
      </c>
      <c r="AO163" s="3">
        <f>AM163*1.02</f>
        <v>20162.951999999997</v>
      </c>
      <c r="AQ163" s="3">
        <f>AO163*1.02</f>
        <v>20566.211039999998</v>
      </c>
      <c r="AS163" s="3">
        <f>AQ163*1.02</f>
        <v>20977.535260799999</v>
      </c>
      <c r="AU163" s="3">
        <f>AS163*1.02</f>
        <v>21397.085966015999</v>
      </c>
      <c r="AW163" s="3">
        <f>AU163*1.02</f>
        <v>21825.027685336318</v>
      </c>
      <c r="AY163" s="3">
        <f>AW163*1.02</f>
        <v>22261.528239043044</v>
      </c>
      <c r="BA163" s="3">
        <f>AY163*1.02</f>
        <v>22706.758803823905</v>
      </c>
      <c r="BC163" s="3">
        <f>BA163*1.02</f>
        <v>23160.893979900382</v>
      </c>
      <c r="BE163" s="3">
        <f>BC163*1.02</f>
        <v>23624.111859498389</v>
      </c>
    </row>
    <row r="164" spans="1:57" hidden="1" outlineLevel="1" x14ac:dyDescent="0.25">
      <c r="A164" s="3" t="s">
        <v>141</v>
      </c>
      <c r="D164" s="3">
        <v>78</v>
      </c>
      <c r="E164" s="3">
        <f>F164-D164</f>
        <v>22</v>
      </c>
      <c r="F164" s="3">
        <v>100</v>
      </c>
      <c r="H164" s="32">
        <f>F164-B164</f>
        <v>100</v>
      </c>
      <c r="I164" s="32"/>
      <c r="J164" s="4">
        <v>78</v>
      </c>
      <c r="K164" s="4">
        <f>L164-J164</f>
        <v>22</v>
      </c>
      <c r="L164" s="4">
        <v>100</v>
      </c>
      <c r="N164" s="4">
        <f>L164-F164</f>
        <v>0</v>
      </c>
      <c r="S164" s="3">
        <f>T164-R164</f>
        <v>0</v>
      </c>
      <c r="U164" s="3">
        <f>T164-P164</f>
        <v>0</v>
      </c>
      <c r="W164" s="3">
        <f>Y164-V164</f>
        <v>0</v>
      </c>
      <c r="Z164" s="3">
        <f>Y164-T164</f>
        <v>0</v>
      </c>
      <c r="AD164" s="3">
        <f>AE164-AC164</f>
        <v>0</v>
      </c>
      <c r="AF164" s="3">
        <f>AE164-Y164</f>
        <v>0</v>
      </c>
      <c r="AI164" s="325"/>
      <c r="BC164" s="3"/>
      <c r="BE164" s="3"/>
    </row>
    <row r="165" spans="1:57" s="42" customFormat="1" hidden="1" outlineLevel="1" x14ac:dyDescent="0.25">
      <c r="A165" s="3" t="s">
        <v>90</v>
      </c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4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4"/>
      <c r="AH165" s="4"/>
      <c r="AI165" s="326"/>
      <c r="AJ165" s="3"/>
      <c r="AK165" s="3"/>
      <c r="AL165" s="3"/>
      <c r="AM165" s="3"/>
      <c r="AN165" s="3"/>
      <c r="AO165" s="3"/>
      <c r="AP165" s="4"/>
      <c r="AQ165" s="3"/>
      <c r="AS165" s="3"/>
      <c r="AU165" s="3"/>
      <c r="AW165" s="3"/>
      <c r="AY165" s="3"/>
      <c r="BA165" s="3"/>
      <c r="BC165" s="3"/>
      <c r="BE165" s="3"/>
    </row>
    <row r="166" spans="1:57" hidden="1" outlineLevel="1" x14ac:dyDescent="0.25">
      <c r="A166" s="3"/>
      <c r="B166" s="62">
        <f>SUM(B162:B165)</f>
        <v>24500</v>
      </c>
      <c r="C166" s="32"/>
      <c r="D166" s="62">
        <f>SUM(D162:D165)</f>
        <v>78</v>
      </c>
      <c r="E166" s="62">
        <f>SUM(E162:E165)</f>
        <v>24522</v>
      </c>
      <c r="F166" s="62">
        <f>SUM(F162:F165)</f>
        <v>24600</v>
      </c>
      <c r="G166" s="32"/>
      <c r="H166" s="62">
        <f>SUM(H162:H165)</f>
        <v>100</v>
      </c>
      <c r="I166" s="32"/>
      <c r="J166" s="62">
        <f>SUM(J162:J165)</f>
        <v>78</v>
      </c>
      <c r="K166" s="62">
        <f>SUM(K162:K165)</f>
        <v>24522</v>
      </c>
      <c r="L166" s="62">
        <f>SUM(L162:L165)</f>
        <v>24600</v>
      </c>
      <c r="M166" s="32"/>
      <c r="N166" s="62">
        <f>SUM(N162:N165)</f>
        <v>0</v>
      </c>
      <c r="P166" s="62">
        <f>SUM(P162:P165)</f>
        <v>25000</v>
      </c>
      <c r="R166" s="62">
        <f t="shared" ref="R166:Z166" si="96">SUM(R162:R165)</f>
        <v>0</v>
      </c>
      <c r="S166" s="62">
        <f t="shared" si="96"/>
        <v>24075</v>
      </c>
      <c r="T166" s="62">
        <f t="shared" si="96"/>
        <v>24075</v>
      </c>
      <c r="U166" s="62">
        <f t="shared" si="96"/>
        <v>-925</v>
      </c>
      <c r="V166" s="62">
        <f t="shared" si="96"/>
        <v>24075</v>
      </c>
      <c r="W166" s="62">
        <f t="shared" si="96"/>
        <v>0</v>
      </c>
      <c r="X166" s="62"/>
      <c r="Y166" s="62">
        <f t="shared" si="96"/>
        <v>24075</v>
      </c>
      <c r="Z166" s="62">
        <f t="shared" si="96"/>
        <v>0</v>
      </c>
      <c r="AC166" s="62">
        <f>SUM(AC162:AC165)</f>
        <v>24075</v>
      </c>
      <c r="AD166" s="62">
        <f>SUM(AD162:AD165)</f>
        <v>3895</v>
      </c>
      <c r="AE166" s="62">
        <f>SUM(AE162:AE165)</f>
        <v>27970</v>
      </c>
      <c r="AF166" s="62">
        <f>SUM(AF162:AF165)</f>
        <v>3895</v>
      </c>
      <c r="AG166" s="32"/>
      <c r="AI166" s="62">
        <f>SUM(AI162:AI165)</f>
        <v>24500</v>
      </c>
      <c r="AK166" s="62">
        <f>SUM(AK162:AK165)</f>
        <v>24990</v>
      </c>
      <c r="AM166" s="62">
        <f>SUM(AM162:AM165)</f>
        <v>25489.8</v>
      </c>
      <c r="AO166" s="62">
        <f>SUM(AO162:AO165)</f>
        <v>25999.595999999998</v>
      </c>
      <c r="AP166" s="32"/>
      <c r="AQ166" s="62">
        <f>SUM(AQ162:AQ165)</f>
        <v>26519.587919999998</v>
      </c>
      <c r="AS166" s="62">
        <f>SUM(AS162:AS165)</f>
        <v>27049.979678399999</v>
      </c>
      <c r="AU166" s="62">
        <f>SUM(AU162:AU165)</f>
        <v>27590.979271967997</v>
      </c>
      <c r="AW166" s="62">
        <f>SUM(AW162:AW165)</f>
        <v>28142.798857407357</v>
      </c>
      <c r="AY166" s="62">
        <f>SUM(AY162:AY165)</f>
        <v>28705.654834555506</v>
      </c>
      <c r="BA166" s="62">
        <f>SUM(BA162:BA165)</f>
        <v>29279.767931246613</v>
      </c>
      <c r="BC166" s="62">
        <f>SUM(BC162:BC165)</f>
        <v>29865.363289871548</v>
      </c>
      <c r="BE166" s="62">
        <f>SUM(BE162:BE165)</f>
        <v>30462.670555668978</v>
      </c>
    </row>
    <row r="167" spans="1:57" hidden="1" outlineLevel="1" x14ac:dyDescent="0.25">
      <c r="A167" s="7" t="s">
        <v>142</v>
      </c>
      <c r="BC167" s="3"/>
      <c r="BE167" s="3"/>
    </row>
    <row r="168" spans="1:57" hidden="1" outlineLevel="1" x14ac:dyDescent="0.25">
      <c r="A168" s="3" t="s">
        <v>143</v>
      </c>
      <c r="Z168" s="3">
        <f>Y168-T168</f>
        <v>0</v>
      </c>
      <c r="AI168" s="321"/>
      <c r="BC168" s="3"/>
      <c r="BE168" s="3"/>
    </row>
    <row r="169" spans="1:57" hidden="1" outlineLevel="1" x14ac:dyDescent="0.25">
      <c r="A169" s="3" t="s">
        <v>144</v>
      </c>
      <c r="Z169" s="3">
        <f>Y169-T169</f>
        <v>0</v>
      </c>
      <c r="BC169" s="3"/>
      <c r="BE169" s="3"/>
    </row>
    <row r="170" spans="1:57" hidden="1" outlineLevel="1" x14ac:dyDescent="0.25">
      <c r="A170" s="3" t="s">
        <v>145</v>
      </c>
      <c r="B170" s="3">
        <v>1250</v>
      </c>
      <c r="D170" s="3">
        <v>574</v>
      </c>
      <c r="E170" s="3">
        <f>F170-D170</f>
        <v>676</v>
      </c>
      <c r="F170" s="3">
        <v>1250</v>
      </c>
      <c r="H170" s="32">
        <f>F170-B170</f>
        <v>0</v>
      </c>
      <c r="I170" s="32"/>
      <c r="J170" s="4">
        <v>730</v>
      </c>
      <c r="K170" s="4">
        <f>L170-J170</f>
        <v>520</v>
      </c>
      <c r="L170" s="4">
        <v>1250</v>
      </c>
      <c r="M170" s="32"/>
      <c r="N170" s="4">
        <f>L170-F170</f>
        <v>0</v>
      </c>
      <c r="P170" s="3">
        <f>L170*1.02+25</f>
        <v>1300</v>
      </c>
      <c r="R170" s="3">
        <v>169</v>
      </c>
      <c r="S170" s="3">
        <f>T170-R170</f>
        <v>631</v>
      </c>
      <c r="T170" s="3">
        <v>800</v>
      </c>
      <c r="U170" s="3">
        <f>T170-P170</f>
        <v>-500</v>
      </c>
      <c r="V170" s="3">
        <v>276</v>
      </c>
      <c r="W170" s="3">
        <f>Y170-V170</f>
        <v>524</v>
      </c>
      <c r="Y170" s="3">
        <v>800</v>
      </c>
      <c r="Z170" s="3">
        <f>Y170-T170</f>
        <v>0</v>
      </c>
      <c r="AC170" s="3">
        <v>800</v>
      </c>
      <c r="AD170" s="3">
        <f>AE170-AC170</f>
        <v>200</v>
      </c>
      <c r="AE170" s="3">
        <v>1000</v>
      </c>
      <c r="AF170" s="3">
        <f>AE170-Y170</f>
        <v>200</v>
      </c>
      <c r="AI170" s="325">
        <v>1000</v>
      </c>
      <c r="AK170" s="3">
        <f>AI170*1.02</f>
        <v>1020</v>
      </c>
      <c r="AM170" s="3">
        <f>AK170*1.02</f>
        <v>1040.4000000000001</v>
      </c>
      <c r="AO170" s="3">
        <f>AM170*1.02</f>
        <v>1061.2080000000001</v>
      </c>
      <c r="AQ170" s="3">
        <f>AO170*1.02</f>
        <v>1082.4321600000001</v>
      </c>
      <c r="AS170" s="3">
        <f>AQ170*1.02</f>
        <v>1104.0808032</v>
      </c>
      <c r="AU170" s="3">
        <f>AS170*1.02</f>
        <v>1126.1624192639999</v>
      </c>
      <c r="AW170" s="3">
        <f>AU170*1.02</f>
        <v>1148.68566764928</v>
      </c>
      <c r="AY170" s="3">
        <f>AW170*1.02</f>
        <v>1171.6593810022657</v>
      </c>
      <c r="BA170" s="3">
        <f>AY170*1.02</f>
        <v>1195.0925686223111</v>
      </c>
      <c r="BC170" s="3">
        <f>BA170*1.02</f>
        <v>1218.9944199947574</v>
      </c>
      <c r="BE170" s="3">
        <f>BC170*1.02</f>
        <v>1243.3743083946526</v>
      </c>
    </row>
    <row r="171" spans="1:57" hidden="1" outlineLevel="1" x14ac:dyDescent="0.25">
      <c r="A171" s="3"/>
      <c r="B171" s="62">
        <f>SUM(B168:B170)</f>
        <v>1250</v>
      </c>
      <c r="C171" s="32"/>
      <c r="D171" s="62">
        <f>SUM(D168:D170)</f>
        <v>574</v>
      </c>
      <c r="E171" s="62">
        <f>SUM(E168:E170)</f>
        <v>676</v>
      </c>
      <c r="F171" s="62">
        <f>SUM(F168:F170)</f>
        <v>1250</v>
      </c>
      <c r="G171" s="32"/>
      <c r="H171" s="62">
        <f>SUM(H168:H170)</f>
        <v>0</v>
      </c>
      <c r="I171" s="32"/>
      <c r="J171" s="62">
        <f>SUM(J168:J170)</f>
        <v>730</v>
      </c>
      <c r="K171" s="62">
        <f>SUM(K168:K170)</f>
        <v>520</v>
      </c>
      <c r="L171" s="62">
        <f>SUM(L168:L170)</f>
        <v>1250</v>
      </c>
      <c r="M171" s="32"/>
      <c r="N171" s="62">
        <f>SUM(N168:N170)</f>
        <v>0</v>
      </c>
      <c r="P171" s="62">
        <f>SUM(P168:P170)</f>
        <v>1300</v>
      </c>
      <c r="R171" s="62">
        <f t="shared" ref="R171:Z171" si="97">SUM(R168:R170)</f>
        <v>169</v>
      </c>
      <c r="S171" s="62">
        <f t="shared" si="97"/>
        <v>631</v>
      </c>
      <c r="T171" s="62">
        <f t="shared" si="97"/>
        <v>800</v>
      </c>
      <c r="U171" s="62">
        <f t="shared" si="97"/>
        <v>-500</v>
      </c>
      <c r="V171" s="62">
        <f t="shared" si="97"/>
        <v>276</v>
      </c>
      <c r="W171" s="62">
        <f t="shared" si="97"/>
        <v>524</v>
      </c>
      <c r="X171" s="62"/>
      <c r="Y171" s="62">
        <f t="shared" si="97"/>
        <v>800</v>
      </c>
      <c r="Z171" s="62">
        <f t="shared" si="97"/>
        <v>0</v>
      </c>
      <c r="AC171" s="62">
        <f>SUM(AC168:AC170)</f>
        <v>800</v>
      </c>
      <c r="AD171" s="62">
        <f>SUM(AD168:AD170)</f>
        <v>200</v>
      </c>
      <c r="AE171" s="62">
        <f>SUM(AE168:AE170)</f>
        <v>1000</v>
      </c>
      <c r="AF171" s="62">
        <f>SUM(AF168:AF170)</f>
        <v>200</v>
      </c>
      <c r="AG171" s="32"/>
      <c r="AI171" s="62">
        <f>SUM(AI168:AI170)</f>
        <v>1000</v>
      </c>
      <c r="AK171" s="62">
        <f>SUM(AK168:AK170)</f>
        <v>1020</v>
      </c>
      <c r="AM171" s="62">
        <f>SUM(AM168:AM170)</f>
        <v>1040.4000000000001</v>
      </c>
      <c r="AO171" s="62">
        <f>SUM(AO168:AO170)</f>
        <v>1061.2080000000001</v>
      </c>
      <c r="AP171" s="32"/>
      <c r="AQ171" s="62">
        <f>SUM(AQ168:AQ170)</f>
        <v>1082.4321600000001</v>
      </c>
      <c r="AS171" s="62">
        <f>SUM(AS168:AS170)</f>
        <v>1104.0808032</v>
      </c>
      <c r="AU171" s="62">
        <f>SUM(AU168:AU170)</f>
        <v>1126.1624192639999</v>
      </c>
      <c r="AW171" s="62">
        <f>SUM(AW168:AW170)</f>
        <v>1148.68566764928</v>
      </c>
      <c r="AY171" s="62">
        <f>SUM(AY168:AY170)</f>
        <v>1171.6593810022657</v>
      </c>
      <c r="BA171" s="62">
        <f>SUM(BA168:BA170)</f>
        <v>1195.0925686223111</v>
      </c>
      <c r="BC171" s="62">
        <f>SUM(BC168:BC170)</f>
        <v>1218.9944199947574</v>
      </c>
      <c r="BE171" s="62">
        <f>SUM(BE168:BE170)</f>
        <v>1243.3743083946526</v>
      </c>
    </row>
    <row r="172" spans="1:57" hidden="1" outlineLevel="1" x14ac:dyDescent="0.25">
      <c r="A172" s="7" t="s">
        <v>146</v>
      </c>
      <c r="BC172" s="3"/>
      <c r="BE172" s="3"/>
    </row>
    <row r="173" spans="1:57" hidden="1" outlineLevel="1" x14ac:dyDescent="0.25">
      <c r="A173" s="3" t="s">
        <v>147</v>
      </c>
      <c r="E173" s="3">
        <f>F173-D173</f>
        <v>0</v>
      </c>
      <c r="AI173" s="325"/>
      <c r="BC173" s="3"/>
      <c r="BE173" s="3"/>
    </row>
    <row r="174" spans="1:57" hidden="1" outlineLevel="1" x14ac:dyDescent="0.25">
      <c r="A174" s="3" t="s">
        <v>148</v>
      </c>
      <c r="B174" s="3">
        <v>10850</v>
      </c>
      <c r="D174" s="3">
        <v>4030</v>
      </c>
      <c r="E174" s="3">
        <f>F174-D174</f>
        <v>6820</v>
      </c>
      <c r="F174" s="3">
        <v>10850</v>
      </c>
      <c r="H174" s="32">
        <f>F174-B174</f>
        <v>0</v>
      </c>
      <c r="I174" s="32"/>
      <c r="J174" s="4">
        <v>6760</v>
      </c>
      <c r="K174" s="4">
        <f>L174-J174</f>
        <v>4090</v>
      </c>
      <c r="L174" s="4">
        <v>10850</v>
      </c>
      <c r="M174" s="32"/>
      <c r="N174" s="4">
        <f>L174-F174</f>
        <v>0</v>
      </c>
      <c r="P174" s="3">
        <f>L174*1.025+29</f>
        <v>11150.249999999998</v>
      </c>
      <c r="R174" s="3">
        <v>3143</v>
      </c>
      <c r="S174" s="3">
        <f>T174-R174</f>
        <v>8007</v>
      </c>
      <c r="T174" s="3">
        <v>11150</v>
      </c>
      <c r="U174" s="3">
        <f>T174-P174</f>
        <v>-0.24999999999818101</v>
      </c>
      <c r="V174" s="3">
        <v>5955</v>
      </c>
      <c r="W174" s="3">
        <f>Y174-V174</f>
        <v>5195</v>
      </c>
      <c r="Y174" s="3">
        <v>11150</v>
      </c>
      <c r="Z174" s="3">
        <f>Y174-T174</f>
        <v>0</v>
      </c>
      <c r="AC174" s="3">
        <v>8768</v>
      </c>
      <c r="AD174" s="3">
        <f>AE174-AC174</f>
        <v>2382</v>
      </c>
      <c r="AE174" s="3">
        <v>11150</v>
      </c>
      <c r="AF174" s="3">
        <f>AE174-Y174</f>
        <v>0</v>
      </c>
      <c r="AI174" s="321">
        <f>AE174*1.025+71</f>
        <v>11499.749999999998</v>
      </c>
      <c r="AK174" s="3">
        <f>AI174*1.025</f>
        <v>11787.243749999998</v>
      </c>
      <c r="AM174" s="3">
        <f>AK174*1.025</f>
        <v>12081.924843749997</v>
      </c>
      <c r="AO174" s="3">
        <f>AM174*1.025</f>
        <v>12383.972964843746</v>
      </c>
      <c r="AQ174" s="3">
        <f>AO174*1.025</f>
        <v>12693.572288964839</v>
      </c>
      <c r="AS174" s="3">
        <f>AQ174*1.025</f>
        <v>13010.911596188958</v>
      </c>
      <c r="AU174" s="3">
        <f>AS174*1.025</f>
        <v>13336.184386093681</v>
      </c>
      <c r="AW174" s="3">
        <f>AU174*1.025</f>
        <v>13669.588995746022</v>
      </c>
      <c r="AY174" s="3">
        <f>AW174*1.025</f>
        <v>14011.328720639671</v>
      </c>
      <c r="BA174" s="3">
        <f>AY174*1.025</f>
        <v>14361.611938655662</v>
      </c>
      <c r="BC174" s="3">
        <f>BA174*1.025</f>
        <v>14720.652237122053</v>
      </c>
      <c r="BE174" s="3">
        <f>BC174*1.025</f>
        <v>15088.668543050102</v>
      </c>
    </row>
    <row r="175" spans="1:57" hidden="1" outlineLevel="1" x14ac:dyDescent="0.25">
      <c r="A175" s="3"/>
      <c r="B175" s="62">
        <f>B173+B174</f>
        <v>10850</v>
      </c>
      <c r="C175" s="32"/>
      <c r="D175" s="62">
        <f>D173+D174</f>
        <v>4030</v>
      </c>
      <c r="E175" s="62">
        <f>E173+E174</f>
        <v>6820</v>
      </c>
      <c r="F175" s="62">
        <f>F173+F174</f>
        <v>10850</v>
      </c>
      <c r="G175" s="32"/>
      <c r="H175" s="62">
        <f>H173+H174</f>
        <v>0</v>
      </c>
      <c r="I175" s="32"/>
      <c r="J175" s="62">
        <f>J173+J174</f>
        <v>6760</v>
      </c>
      <c r="K175" s="62">
        <f>K173+K174</f>
        <v>4090</v>
      </c>
      <c r="L175" s="62">
        <f>L173+L174</f>
        <v>10850</v>
      </c>
      <c r="M175" s="32"/>
      <c r="N175" s="62">
        <f>N173+N174</f>
        <v>0</v>
      </c>
      <c r="P175" s="62">
        <f>P173+P174</f>
        <v>11150.249999999998</v>
      </c>
      <c r="R175" s="62">
        <f t="shared" ref="R175:Z175" si="98">R173+R174</f>
        <v>3143</v>
      </c>
      <c r="S175" s="62">
        <f t="shared" si="98"/>
        <v>8007</v>
      </c>
      <c r="T175" s="62">
        <f t="shared" si="98"/>
        <v>11150</v>
      </c>
      <c r="U175" s="62">
        <f t="shared" si="98"/>
        <v>-0.24999999999818101</v>
      </c>
      <c r="V175" s="62">
        <f t="shared" si="98"/>
        <v>5955</v>
      </c>
      <c r="W175" s="62">
        <f t="shared" si="98"/>
        <v>5195</v>
      </c>
      <c r="X175" s="62"/>
      <c r="Y175" s="62">
        <f t="shared" si="98"/>
        <v>11150</v>
      </c>
      <c r="Z175" s="62">
        <f t="shared" si="98"/>
        <v>0</v>
      </c>
      <c r="AC175" s="62">
        <f>AC173+AC174</f>
        <v>8768</v>
      </c>
      <c r="AD175" s="62">
        <f>AD173+AD174</f>
        <v>2382</v>
      </c>
      <c r="AE175" s="62">
        <f>AE173+AE174</f>
        <v>11150</v>
      </c>
      <c r="AF175" s="62">
        <f>AF173+AF174</f>
        <v>0</v>
      </c>
      <c r="AG175" s="32"/>
      <c r="AI175" s="62">
        <f>AI173+AI174</f>
        <v>11499.749999999998</v>
      </c>
      <c r="AK175" s="62">
        <f>AK173+AK174</f>
        <v>11787.243749999998</v>
      </c>
      <c r="AM175" s="62">
        <f>AM173+AM174</f>
        <v>12081.924843749997</v>
      </c>
      <c r="AO175" s="62">
        <f>AO173+AO174</f>
        <v>12383.972964843746</v>
      </c>
      <c r="AP175" s="32"/>
      <c r="AQ175" s="62">
        <f>AQ173+AQ174</f>
        <v>12693.572288964839</v>
      </c>
      <c r="AS175" s="62">
        <f>AS173+AS174</f>
        <v>13010.911596188958</v>
      </c>
      <c r="AU175" s="62">
        <f>AU173+AU174</f>
        <v>13336.184386093681</v>
      </c>
      <c r="AW175" s="62">
        <f>AW173+AW174</f>
        <v>13669.588995746022</v>
      </c>
      <c r="AY175" s="62">
        <f>AY173+AY174</f>
        <v>14011.328720639671</v>
      </c>
      <c r="BA175" s="62">
        <f>BA173+BA174</f>
        <v>14361.611938655662</v>
      </c>
      <c r="BC175" s="62">
        <f>BC173+BC174</f>
        <v>14720.652237122053</v>
      </c>
      <c r="BE175" s="62">
        <f>BE173+BE174</f>
        <v>15088.668543050102</v>
      </c>
    </row>
    <row r="176" spans="1:57" hidden="1" outlineLevel="1" x14ac:dyDescent="0.25">
      <c r="A176" s="7" t="s">
        <v>149</v>
      </c>
      <c r="H176" s="245"/>
      <c r="I176" s="4"/>
      <c r="J176" s="4"/>
      <c r="K176" s="4"/>
      <c r="L176" s="4"/>
      <c r="N176" s="4"/>
      <c r="BC176" s="3"/>
      <c r="BE176" s="3"/>
    </row>
    <row r="177" spans="1:57" hidden="1" outlineLevel="1" x14ac:dyDescent="0.25">
      <c r="A177" s="3" t="s">
        <v>150</v>
      </c>
      <c r="B177" s="37">
        <v>100</v>
      </c>
      <c r="C177" s="32"/>
      <c r="D177" s="37"/>
      <c r="E177" s="37">
        <f>F177-D177</f>
        <v>100</v>
      </c>
      <c r="F177" s="37">
        <v>100</v>
      </c>
      <c r="G177" s="32"/>
      <c r="H177" s="37">
        <f>F177-B177</f>
        <v>0</v>
      </c>
      <c r="I177" s="32"/>
      <c r="J177" s="37">
        <f>H177-D177</f>
        <v>0</v>
      </c>
      <c r="K177" s="37">
        <f>L177-J177</f>
        <v>0</v>
      </c>
      <c r="L177" s="37">
        <v>0</v>
      </c>
      <c r="M177" s="32"/>
      <c r="N177" s="37">
        <f>L177-H177</f>
        <v>0</v>
      </c>
      <c r="P177" s="37">
        <v>100</v>
      </c>
      <c r="R177" s="37"/>
      <c r="S177" s="37">
        <f>T177-R177</f>
        <v>0</v>
      </c>
      <c r="T177" s="37"/>
      <c r="U177" s="37">
        <f>T177-P177</f>
        <v>-100</v>
      </c>
      <c r="V177" s="37"/>
      <c r="W177" s="37">
        <f>Y177-V177</f>
        <v>0</v>
      </c>
      <c r="X177" s="37"/>
      <c r="Y177" s="37"/>
      <c r="Z177" s="37">
        <f>Y177-T177</f>
        <v>0</v>
      </c>
      <c r="AC177" s="37"/>
      <c r="AD177" s="37">
        <f>AE177-AC177</f>
        <v>0</v>
      </c>
      <c r="AE177" s="37"/>
      <c r="AF177" s="37">
        <f>AE177-Y177</f>
        <v>0</v>
      </c>
      <c r="AG177" s="32"/>
      <c r="AI177" s="327">
        <v>100</v>
      </c>
      <c r="AK177" s="37">
        <v>110</v>
      </c>
      <c r="AM177" s="37">
        <v>120</v>
      </c>
      <c r="AO177" s="37">
        <v>130</v>
      </c>
      <c r="AP177" s="32"/>
      <c r="AQ177" s="37">
        <v>140</v>
      </c>
      <c r="AS177" s="37">
        <v>140</v>
      </c>
      <c r="AU177" s="37">
        <v>140</v>
      </c>
      <c r="AW177" s="37">
        <v>140</v>
      </c>
      <c r="AY177" s="37">
        <v>140</v>
      </c>
      <c r="BA177" s="37">
        <v>140</v>
      </c>
      <c r="BC177" s="37">
        <v>140</v>
      </c>
      <c r="BE177" s="37">
        <v>140</v>
      </c>
    </row>
    <row r="178" spans="1:57" hidden="1" outlineLevel="1" x14ac:dyDescent="0.25">
      <c r="A178" s="3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P178" s="32"/>
      <c r="R178" s="32"/>
      <c r="S178" s="32"/>
      <c r="T178" s="32"/>
      <c r="U178" s="32"/>
      <c r="V178" s="32"/>
      <c r="W178" s="32"/>
      <c r="X178" s="32"/>
      <c r="Y178" s="32"/>
      <c r="Z178" s="32"/>
      <c r="AC178" s="32"/>
      <c r="AD178" s="32"/>
      <c r="AE178" s="32"/>
      <c r="AF178" s="32"/>
      <c r="AG178" s="32"/>
      <c r="AI178" s="32"/>
      <c r="AK178" s="32"/>
      <c r="AM178" s="32"/>
      <c r="AO178" s="32"/>
      <c r="AP178" s="32"/>
      <c r="AQ178" s="32"/>
      <c r="AS178" s="32"/>
      <c r="AU178" s="32"/>
      <c r="AW178" s="32"/>
      <c r="AY178" s="32"/>
      <c r="BA178" s="32"/>
      <c r="BC178" s="32"/>
      <c r="BE178" s="32"/>
    </row>
    <row r="179" spans="1:57" hidden="1" outlineLevel="1" x14ac:dyDescent="0.25">
      <c r="A179" s="7" t="s">
        <v>151</v>
      </c>
      <c r="BC179" s="3"/>
      <c r="BE179" s="3"/>
    </row>
    <row r="180" spans="1:57" hidden="1" outlineLevel="1" x14ac:dyDescent="0.25">
      <c r="A180" s="3" t="s">
        <v>152</v>
      </c>
      <c r="AI180" s="321"/>
      <c r="BC180" s="3"/>
      <c r="BE180" s="3"/>
    </row>
    <row r="181" spans="1:57" hidden="1" outlineLevel="1" x14ac:dyDescent="0.25">
      <c r="A181" s="3" t="s">
        <v>153</v>
      </c>
      <c r="AI181" s="321"/>
      <c r="BC181" s="3"/>
      <c r="BE181" s="3"/>
    </row>
    <row r="182" spans="1:57" hidden="1" outlineLevel="1" x14ac:dyDescent="0.25">
      <c r="A182" s="3" t="s">
        <v>154</v>
      </c>
      <c r="AI182" s="321"/>
      <c r="BC182" s="3"/>
      <c r="BE182" s="3"/>
    </row>
    <row r="183" spans="1:57" hidden="1" outlineLevel="1" x14ac:dyDescent="0.25">
      <c r="A183" s="3" t="s">
        <v>155</v>
      </c>
      <c r="B183" s="3">
        <v>5000</v>
      </c>
      <c r="D183" s="3">
        <v>722</v>
      </c>
      <c r="E183" s="3">
        <f>F183-D183</f>
        <v>4278</v>
      </c>
      <c r="F183" s="3">
        <v>5000</v>
      </c>
      <c r="H183" s="32">
        <f>F183-B183</f>
        <v>0</v>
      </c>
      <c r="I183" s="32"/>
      <c r="J183" s="4">
        <v>3252</v>
      </c>
      <c r="K183" s="4">
        <f t="shared" ref="K183:K188" si="99">L183-J183</f>
        <v>1748</v>
      </c>
      <c r="L183" s="4">
        <v>5000</v>
      </c>
      <c r="N183" s="4">
        <f t="shared" ref="N183:N188" si="100">L183-F183</f>
        <v>0</v>
      </c>
      <c r="P183" s="3">
        <v>1000</v>
      </c>
      <c r="R183" s="3">
        <v>59</v>
      </c>
      <c r="S183" s="3">
        <f t="shared" ref="S183:S188" si="101">T183-R183</f>
        <v>691</v>
      </c>
      <c r="T183" s="3">
        <v>750</v>
      </c>
      <c r="U183" s="3">
        <f t="shared" ref="U183:U188" si="102">T183-P183</f>
        <v>-250</v>
      </c>
      <c r="V183" s="3">
        <v>267</v>
      </c>
      <c r="W183" s="3">
        <f t="shared" ref="W183:W188" si="103">Y183-V183</f>
        <v>333</v>
      </c>
      <c r="Y183" s="3">
        <v>600</v>
      </c>
      <c r="Z183" s="3">
        <f t="shared" ref="Z183:Z188" si="104">Y183-T183</f>
        <v>-150</v>
      </c>
      <c r="AC183" s="3">
        <v>338</v>
      </c>
      <c r="AD183" s="3">
        <f t="shared" ref="AD183:AD188" si="105">AE183-AC183</f>
        <v>162</v>
      </c>
      <c r="AE183" s="3">
        <v>500</v>
      </c>
      <c r="AF183" s="3">
        <f t="shared" ref="AF183:AF188" si="106">AE183-Y183</f>
        <v>-100</v>
      </c>
      <c r="AI183" s="321">
        <v>500</v>
      </c>
      <c r="AK183" s="3">
        <f>AI183*1.025</f>
        <v>512.5</v>
      </c>
      <c r="AM183" s="3">
        <f>AK183*1.025</f>
        <v>525.3125</v>
      </c>
      <c r="AO183" s="3">
        <f>AM183*1.025</f>
        <v>538.4453125</v>
      </c>
      <c r="AQ183" s="3">
        <f>AO183*1.025</f>
        <v>551.90644531249995</v>
      </c>
      <c r="AS183" s="3">
        <f>AQ183*1.025</f>
        <v>565.70410644531239</v>
      </c>
      <c r="AU183" s="3">
        <f>AS183*1.025</f>
        <v>579.84670910644513</v>
      </c>
      <c r="AW183" s="3">
        <f>AU183*1.025</f>
        <v>594.34287683410616</v>
      </c>
      <c r="AY183" s="3">
        <f>AW183*1.025</f>
        <v>609.20144875495873</v>
      </c>
      <c r="BA183" s="3">
        <f>AY183*1.025</f>
        <v>624.43148497383265</v>
      </c>
      <c r="BC183" s="3">
        <f>BA183*1.025</f>
        <v>640.04227209817839</v>
      </c>
      <c r="BE183" s="3">
        <f>BC183*1.025</f>
        <v>656.04332890063279</v>
      </c>
    </row>
    <row r="184" spans="1:57" hidden="1" outlineLevel="1" x14ac:dyDescent="0.25">
      <c r="A184" s="3"/>
      <c r="H184" s="32"/>
      <c r="I184" s="32"/>
      <c r="J184" s="4"/>
      <c r="K184" s="4">
        <f t="shared" si="99"/>
        <v>0</v>
      </c>
      <c r="L184" s="4"/>
      <c r="N184" s="4">
        <f t="shared" si="100"/>
        <v>0</v>
      </c>
      <c r="S184" s="3">
        <f t="shared" si="101"/>
        <v>0</v>
      </c>
      <c r="U184" s="3">
        <f t="shared" si="102"/>
        <v>0</v>
      </c>
      <c r="W184" s="3">
        <f t="shared" si="103"/>
        <v>0</v>
      </c>
      <c r="Z184" s="3">
        <f t="shared" si="104"/>
        <v>0</v>
      </c>
      <c r="AD184" s="3">
        <f t="shared" si="105"/>
        <v>0</v>
      </c>
      <c r="AF184" s="3">
        <f t="shared" si="106"/>
        <v>0</v>
      </c>
      <c r="BC184" s="3"/>
      <c r="BE184" s="3"/>
    </row>
    <row r="185" spans="1:57" hidden="1" outlineLevel="1" x14ac:dyDescent="0.25">
      <c r="A185" s="3" t="s">
        <v>156</v>
      </c>
      <c r="B185" s="3">
        <v>7500</v>
      </c>
      <c r="E185" s="3">
        <f>F185-D185</f>
        <v>7500</v>
      </c>
      <c r="F185" s="3">
        <v>7500</v>
      </c>
      <c r="H185" s="32">
        <f>F185-B185</f>
        <v>0</v>
      </c>
      <c r="I185" s="32"/>
      <c r="J185" s="4"/>
      <c r="K185" s="4">
        <f t="shared" si="99"/>
        <v>7500</v>
      </c>
      <c r="L185" s="4">
        <v>7500</v>
      </c>
      <c r="N185" s="4">
        <f t="shared" si="100"/>
        <v>0</v>
      </c>
      <c r="S185" s="3">
        <f t="shared" si="101"/>
        <v>0</v>
      </c>
      <c r="U185" s="3">
        <f t="shared" si="102"/>
        <v>0</v>
      </c>
      <c r="W185" s="3">
        <f t="shared" si="103"/>
        <v>0</v>
      </c>
      <c r="Z185" s="3">
        <f t="shared" si="104"/>
        <v>0</v>
      </c>
      <c r="AD185" s="3">
        <f t="shared" si="105"/>
        <v>0</v>
      </c>
      <c r="AF185" s="3">
        <f t="shared" si="106"/>
        <v>0</v>
      </c>
      <c r="AI185" s="321"/>
      <c r="BC185" s="3"/>
      <c r="BE185" s="3"/>
    </row>
    <row r="186" spans="1:57" hidden="1" outlineLevel="1" x14ac:dyDescent="0.25">
      <c r="A186" s="3" t="s">
        <v>157</v>
      </c>
      <c r="E186" s="3">
        <f>F186-D186</f>
        <v>0</v>
      </c>
      <c r="H186" s="32">
        <f>F186-B186</f>
        <v>0</v>
      </c>
      <c r="I186" s="32"/>
      <c r="J186" s="4"/>
      <c r="K186" s="4">
        <f t="shared" si="99"/>
        <v>0</v>
      </c>
      <c r="L186" s="4"/>
      <c r="N186" s="4">
        <f t="shared" si="100"/>
        <v>0</v>
      </c>
      <c r="S186" s="3">
        <f t="shared" si="101"/>
        <v>0</v>
      </c>
      <c r="U186" s="3">
        <f t="shared" si="102"/>
        <v>0</v>
      </c>
      <c r="W186" s="3">
        <f t="shared" si="103"/>
        <v>0</v>
      </c>
      <c r="Z186" s="3">
        <f t="shared" si="104"/>
        <v>0</v>
      </c>
      <c r="AD186" s="3">
        <f t="shared" si="105"/>
        <v>0</v>
      </c>
      <c r="AF186" s="3">
        <f t="shared" si="106"/>
        <v>0</v>
      </c>
      <c r="AI186" s="321"/>
      <c r="BC186" s="3"/>
      <c r="BE186" s="3"/>
    </row>
    <row r="187" spans="1:57" hidden="1" outlineLevel="1" x14ac:dyDescent="0.25">
      <c r="A187" s="3" t="s">
        <v>158</v>
      </c>
      <c r="E187" s="3">
        <f>F187-D187</f>
        <v>12000</v>
      </c>
      <c r="F187" s="3">
        <v>12000</v>
      </c>
      <c r="H187" s="32">
        <f>F187-B187</f>
        <v>12000</v>
      </c>
      <c r="I187" s="32"/>
      <c r="J187" s="4"/>
      <c r="K187" s="4">
        <f t="shared" si="99"/>
        <v>15000</v>
      </c>
      <c r="L187" s="4">
        <v>15000</v>
      </c>
      <c r="N187" s="4">
        <f t="shared" si="100"/>
        <v>3000</v>
      </c>
      <c r="P187" s="3">
        <v>3000</v>
      </c>
      <c r="S187" s="3">
        <f t="shared" si="101"/>
        <v>3000</v>
      </c>
      <c r="T187" s="3">
        <v>3000</v>
      </c>
      <c r="U187" s="3">
        <f t="shared" si="102"/>
        <v>0</v>
      </c>
      <c r="V187" s="3">
        <v>0</v>
      </c>
      <c r="W187" s="3">
        <f t="shared" si="103"/>
        <v>7000</v>
      </c>
      <c r="Y187" s="3">
        <v>7000</v>
      </c>
      <c r="Z187" s="3">
        <f t="shared" si="104"/>
        <v>4000</v>
      </c>
      <c r="AC187" s="3">
        <v>5000</v>
      </c>
      <c r="AD187" s="3">
        <f t="shared" si="105"/>
        <v>3500</v>
      </c>
      <c r="AE187" s="3">
        <v>8500</v>
      </c>
      <c r="AF187" s="3">
        <f t="shared" si="106"/>
        <v>1500</v>
      </c>
      <c r="AI187" s="321">
        <v>5000</v>
      </c>
      <c r="AK187" s="3">
        <f>AI187*1.025</f>
        <v>5125</v>
      </c>
      <c r="AM187" s="3">
        <f>AK187*1.025</f>
        <v>5253.1249999999991</v>
      </c>
      <c r="AO187" s="3">
        <f>AM187*1.025</f>
        <v>5384.4531249999982</v>
      </c>
      <c r="AQ187" s="3">
        <f>AO187*1.025</f>
        <v>5519.0644531249973</v>
      </c>
      <c r="AS187" s="3">
        <f>AQ187*1.025</f>
        <v>5657.0410644531221</v>
      </c>
      <c r="AU187" s="3">
        <f>AS187*1.025</f>
        <v>5798.46709106445</v>
      </c>
      <c r="AW187" s="3">
        <f>AU187*1.025</f>
        <v>5943.4287683410603</v>
      </c>
      <c r="AY187" s="3">
        <f>AW187*1.025</f>
        <v>6092.0144875495862</v>
      </c>
      <c r="BA187" s="3">
        <f>AY187*1.025</f>
        <v>6244.3148497383254</v>
      </c>
      <c r="BC187" s="3">
        <f>BA187*1.025</f>
        <v>6400.4227209817827</v>
      </c>
      <c r="BE187" s="3">
        <f>BC187*1.025</f>
        <v>6560.433289006327</v>
      </c>
    </row>
    <row r="188" spans="1:57" hidden="1" outlineLevel="1" x14ac:dyDescent="0.25">
      <c r="A188" s="3" t="s">
        <v>159</v>
      </c>
      <c r="H188" s="32">
        <f>F188-B188</f>
        <v>0</v>
      </c>
      <c r="I188" s="32"/>
      <c r="J188" s="4"/>
      <c r="K188" s="4">
        <f t="shared" si="99"/>
        <v>0</v>
      </c>
      <c r="L188" s="4"/>
      <c r="N188" s="4">
        <f t="shared" si="100"/>
        <v>0</v>
      </c>
      <c r="P188" s="3">
        <v>2500</v>
      </c>
      <c r="S188" s="3">
        <f t="shared" si="101"/>
        <v>0</v>
      </c>
      <c r="T188" s="3">
        <v>0</v>
      </c>
      <c r="U188" s="3">
        <f t="shared" si="102"/>
        <v>-2500</v>
      </c>
      <c r="V188" s="3">
        <v>0</v>
      </c>
      <c r="W188" s="3">
        <f t="shared" si="103"/>
        <v>0</v>
      </c>
      <c r="Y188" s="3">
        <v>0</v>
      </c>
      <c r="Z188" s="3">
        <f t="shared" si="104"/>
        <v>0</v>
      </c>
      <c r="AD188" s="3">
        <f t="shared" si="105"/>
        <v>0</v>
      </c>
      <c r="AF188" s="3">
        <f t="shared" si="106"/>
        <v>0</v>
      </c>
      <c r="AI188" s="321">
        <v>0</v>
      </c>
      <c r="BC188" s="3"/>
      <c r="BE188" s="3"/>
    </row>
    <row r="189" spans="1:57" hidden="1" outlineLevel="1" x14ac:dyDescent="0.25">
      <c r="A189" s="3"/>
      <c r="B189" s="62">
        <f>SUM(B180:B188)</f>
        <v>12500</v>
      </c>
      <c r="C189" s="32"/>
      <c r="D189" s="62">
        <f>SUM(D180:D188)</f>
        <v>722</v>
      </c>
      <c r="E189" s="62">
        <f>SUM(E180:E188)</f>
        <v>23778</v>
      </c>
      <c r="F189" s="62">
        <f>SUM(F180:F188)</f>
        <v>24500</v>
      </c>
      <c r="G189" s="32"/>
      <c r="H189" s="62">
        <f>SUM(H180:H188)</f>
        <v>12000</v>
      </c>
      <c r="I189" s="32"/>
      <c r="J189" s="62">
        <f>SUM(J180:J188)</f>
        <v>3252</v>
      </c>
      <c r="K189" s="62">
        <f>SUM(K180:K188)</f>
        <v>24248</v>
      </c>
      <c r="L189" s="62">
        <f>SUM(L180:L188)</f>
        <v>27500</v>
      </c>
      <c r="M189" s="32"/>
      <c r="N189" s="62">
        <f>SUM(N180:N188)</f>
        <v>3000</v>
      </c>
      <c r="P189" s="62">
        <f>SUM(P180:P188)</f>
        <v>6500</v>
      </c>
      <c r="R189" s="62">
        <f t="shared" ref="R189:Z189" si="107">SUM(R180:R188)</f>
        <v>59</v>
      </c>
      <c r="S189" s="62">
        <f t="shared" si="107"/>
        <v>3691</v>
      </c>
      <c r="T189" s="62">
        <f t="shared" si="107"/>
        <v>3750</v>
      </c>
      <c r="U189" s="62">
        <f t="shared" si="107"/>
        <v>-2750</v>
      </c>
      <c r="V189" s="62">
        <f t="shared" si="107"/>
        <v>267</v>
      </c>
      <c r="W189" s="62">
        <f t="shared" si="107"/>
        <v>7333</v>
      </c>
      <c r="X189" s="62"/>
      <c r="Y189" s="62">
        <f t="shared" si="107"/>
        <v>7600</v>
      </c>
      <c r="Z189" s="62">
        <f t="shared" si="107"/>
        <v>3850</v>
      </c>
      <c r="AC189" s="62">
        <f>SUM(AC180:AC188)</f>
        <v>5338</v>
      </c>
      <c r="AD189" s="62">
        <f>SUM(AD180:AD188)</f>
        <v>3662</v>
      </c>
      <c r="AE189" s="62">
        <f>SUM(AE180:AE188)</f>
        <v>9000</v>
      </c>
      <c r="AF189" s="62">
        <f>SUM(AF180:AF188)</f>
        <v>1400</v>
      </c>
      <c r="AG189" s="32"/>
      <c r="AI189" s="62">
        <f>SUM(AI180:AI188)</f>
        <v>5500</v>
      </c>
      <c r="AK189" s="62">
        <f>SUM(AK180:AK188)</f>
        <v>5637.5</v>
      </c>
      <c r="AM189" s="62">
        <f>SUM(AM180:AM188)</f>
        <v>5778.4374999999991</v>
      </c>
      <c r="AO189" s="62">
        <f>SUM(AO180:AO188)</f>
        <v>5922.8984374999982</v>
      </c>
      <c r="AP189" s="32"/>
      <c r="AQ189" s="62">
        <f>SUM(AQ180:AQ188)</f>
        <v>6070.9708984374975</v>
      </c>
      <c r="AS189" s="62">
        <f>SUM(AS180:AS188)</f>
        <v>6222.7451708984345</v>
      </c>
      <c r="AU189" s="62">
        <f>SUM(AU180:AU188)</f>
        <v>6378.3138001708949</v>
      </c>
      <c r="AW189" s="62">
        <f>SUM(AW180:AW188)</f>
        <v>6537.7716451751667</v>
      </c>
      <c r="AY189" s="62">
        <f>SUM(AY180:AY188)</f>
        <v>6701.2159363045448</v>
      </c>
      <c r="BA189" s="62">
        <f>SUM(BA180:BA188)</f>
        <v>6868.7463347121584</v>
      </c>
      <c r="BC189" s="62">
        <f>SUM(BC180:BC188)</f>
        <v>7040.4649930799615</v>
      </c>
      <c r="BE189" s="62">
        <f>SUM(BE180:BE188)</f>
        <v>7216.4766179069593</v>
      </c>
    </row>
    <row r="190" spans="1:57" hidden="1" outlineLevel="1" x14ac:dyDescent="0.25">
      <c r="A190" s="7" t="s">
        <v>160</v>
      </c>
      <c r="BC190" s="3"/>
      <c r="BE190" s="3"/>
    </row>
    <row r="191" spans="1:57" hidden="1" outlineLevel="1" x14ac:dyDescent="0.25">
      <c r="A191" s="3" t="s">
        <v>161</v>
      </c>
      <c r="BC191" s="3"/>
      <c r="BE191" s="3"/>
    </row>
    <row r="192" spans="1:57" hidden="1" outlineLevel="1" x14ac:dyDescent="0.25">
      <c r="A192" s="3" t="s">
        <v>90</v>
      </c>
      <c r="AI192" s="326"/>
      <c r="BC192" s="3"/>
      <c r="BE192" s="3"/>
    </row>
    <row r="193" spans="1:57" hidden="1" outlineLevel="1" x14ac:dyDescent="0.25">
      <c r="A193" s="3" t="s">
        <v>90</v>
      </c>
      <c r="AI193" s="326"/>
      <c r="BC193" s="3"/>
      <c r="BE193" s="3"/>
    </row>
    <row r="194" spans="1:57" hidden="1" outlineLevel="1" x14ac:dyDescent="0.25">
      <c r="A194" s="3" t="s">
        <v>162</v>
      </c>
      <c r="Z194" s="3">
        <f>Y194-T194</f>
        <v>0</v>
      </c>
      <c r="AI194" s="321"/>
      <c r="BC194" s="3"/>
      <c r="BE194" s="3"/>
    </row>
    <row r="195" spans="1:57" hidden="1" outlineLevel="1" x14ac:dyDescent="0.25">
      <c r="A195" s="3" t="s">
        <v>163</v>
      </c>
      <c r="AI195" s="326"/>
      <c r="BC195" s="3"/>
      <c r="BE195" s="3"/>
    </row>
    <row r="196" spans="1:57" hidden="1" outlineLevel="1" x14ac:dyDescent="0.25">
      <c r="A196" s="3"/>
      <c r="B196" s="62">
        <f>SUM(B191:B195)</f>
        <v>0</v>
      </c>
      <c r="C196" s="32"/>
      <c r="D196" s="62">
        <f>SUM(D191:D195)</f>
        <v>0</v>
      </c>
      <c r="E196" s="62">
        <f>SUM(E191:E195)</f>
        <v>0</v>
      </c>
      <c r="F196" s="62">
        <f>SUM(F191:F195)</f>
        <v>0</v>
      </c>
      <c r="G196" s="32"/>
      <c r="H196" s="62">
        <f>SUM(H191:H195)</f>
        <v>0</v>
      </c>
      <c r="I196" s="32"/>
      <c r="J196" s="62">
        <f>SUM(J191:J195)</f>
        <v>0</v>
      </c>
      <c r="K196" s="62">
        <f>SUM(K191:K195)</f>
        <v>0</v>
      </c>
      <c r="L196" s="62">
        <f>SUM(L191:L195)</f>
        <v>0</v>
      </c>
      <c r="M196" s="32"/>
      <c r="N196" s="62">
        <f>SUM(N191:N195)</f>
        <v>0</v>
      </c>
      <c r="P196" s="62">
        <f>SUM(P191:P195)</f>
        <v>0</v>
      </c>
      <c r="R196" s="62">
        <f t="shared" ref="R196:Z196" si="108">SUM(R191:R195)</f>
        <v>0</v>
      </c>
      <c r="S196" s="62">
        <f t="shared" si="108"/>
        <v>0</v>
      </c>
      <c r="T196" s="62">
        <f t="shared" si="108"/>
        <v>0</v>
      </c>
      <c r="U196" s="62">
        <f t="shared" si="108"/>
        <v>0</v>
      </c>
      <c r="V196" s="62">
        <f t="shared" si="108"/>
        <v>0</v>
      </c>
      <c r="W196" s="62">
        <f t="shared" si="108"/>
        <v>0</v>
      </c>
      <c r="X196" s="62"/>
      <c r="Y196" s="62">
        <f t="shared" si="108"/>
        <v>0</v>
      </c>
      <c r="Z196" s="62">
        <f t="shared" si="108"/>
        <v>0</v>
      </c>
      <c r="AC196" s="62">
        <f>SUM(AC191:AC195)</f>
        <v>0</v>
      </c>
      <c r="AD196" s="62">
        <f>SUM(AD191:AD195)</f>
        <v>0</v>
      </c>
      <c r="AE196" s="62">
        <f>SUM(AE191:AE195)</f>
        <v>0</v>
      </c>
      <c r="AF196" s="62">
        <f>SUM(AF191:AF195)</f>
        <v>0</v>
      </c>
      <c r="AG196" s="32"/>
      <c r="AI196" s="62">
        <f>SUM(AI191:AI195)</f>
        <v>0</v>
      </c>
      <c r="AK196" s="62">
        <f>SUM(AK191:AK195)</f>
        <v>0</v>
      </c>
      <c r="AM196" s="62">
        <f>SUM(AM191:AM195)</f>
        <v>0</v>
      </c>
      <c r="AO196" s="62">
        <f>SUM(AO191:AO195)</f>
        <v>0</v>
      </c>
      <c r="AP196" s="32"/>
      <c r="AQ196" s="62">
        <f>SUM(AQ191:AQ195)</f>
        <v>0</v>
      </c>
      <c r="AS196" s="62">
        <f>SUM(AS191:AS195)</f>
        <v>0</v>
      </c>
      <c r="AU196" s="62">
        <f>SUM(AU191:AU195)</f>
        <v>0</v>
      </c>
      <c r="AW196" s="62">
        <f>SUM(AW191:AW195)</f>
        <v>0</v>
      </c>
      <c r="AY196" s="62">
        <f>SUM(AY191:AY195)</f>
        <v>0</v>
      </c>
      <c r="BA196" s="62">
        <f>SUM(BA191:BA195)</f>
        <v>0</v>
      </c>
      <c r="BC196" s="62">
        <f>SUM(BC191:BC195)</f>
        <v>0</v>
      </c>
      <c r="BE196" s="62">
        <f>SUM(BE191:BE195)</f>
        <v>0</v>
      </c>
    </row>
    <row r="197" spans="1:57" hidden="1" outlineLevel="1" x14ac:dyDescent="0.25">
      <c r="A197" s="7" t="s">
        <v>164</v>
      </c>
      <c r="BC197" s="3"/>
      <c r="BE197" s="3"/>
    </row>
    <row r="198" spans="1:57" hidden="1" outlineLevel="1" x14ac:dyDescent="0.25">
      <c r="A198" s="3" t="s">
        <v>165</v>
      </c>
      <c r="S198" s="3">
        <f t="shared" ref="S198:S218" si="109">T198-R198</f>
        <v>0</v>
      </c>
      <c r="U198" s="3">
        <f t="shared" ref="U198:U218" si="110">T198-P198</f>
        <v>0</v>
      </c>
      <c r="W198" s="3">
        <f t="shared" ref="W198:W218" si="111">Y198-V198</f>
        <v>0</v>
      </c>
      <c r="Z198" s="3">
        <f t="shared" ref="Z198:Z218" si="112">Y198-T198</f>
        <v>0</v>
      </c>
      <c r="BC198" s="3"/>
      <c r="BE198" s="3"/>
    </row>
    <row r="199" spans="1:57" hidden="1" outlineLevel="1" x14ac:dyDescent="0.25">
      <c r="A199" s="3" t="s">
        <v>166</v>
      </c>
      <c r="B199" s="3">
        <v>20000</v>
      </c>
      <c r="E199" s="3">
        <f t="shared" ref="E199:E218" si="113">F199-D199</f>
        <v>20000</v>
      </c>
      <c r="F199" s="3">
        <v>20000</v>
      </c>
      <c r="H199" s="32">
        <f t="shared" ref="H199:H218" si="114">F199-B199</f>
        <v>0</v>
      </c>
      <c r="I199" s="32"/>
      <c r="J199" s="4">
        <v>0</v>
      </c>
      <c r="K199" s="4">
        <f t="shared" ref="K199:K218" si="115">L199-J199</f>
        <v>20000</v>
      </c>
      <c r="L199" s="4">
        <v>20000</v>
      </c>
      <c r="N199" s="4">
        <f t="shared" ref="N199:N218" si="116">L199-F199</f>
        <v>0</v>
      </c>
      <c r="S199" s="3">
        <f t="shared" si="109"/>
        <v>0</v>
      </c>
      <c r="U199" s="3">
        <f t="shared" si="110"/>
        <v>0</v>
      </c>
      <c r="W199" s="3">
        <f t="shared" si="111"/>
        <v>0</v>
      </c>
      <c r="Z199" s="3">
        <f t="shared" si="112"/>
        <v>0</v>
      </c>
      <c r="AI199" s="321"/>
      <c r="BC199" s="3"/>
      <c r="BE199" s="3"/>
    </row>
    <row r="200" spans="1:57" hidden="1" outlineLevel="1" x14ac:dyDescent="0.25">
      <c r="A200" s="3" t="s">
        <v>167</v>
      </c>
      <c r="H200" s="32"/>
      <c r="I200" s="32"/>
      <c r="J200" s="4"/>
      <c r="K200" s="4"/>
      <c r="L200" s="4"/>
      <c r="N200" s="4"/>
      <c r="AC200" s="3">
        <v>0</v>
      </c>
      <c r="AD200" s="3">
        <f>AE200-AC200</f>
        <v>6000</v>
      </c>
      <c r="AE200" s="3">
        <v>6000</v>
      </c>
      <c r="AF200" s="3">
        <f>AE200-Y200</f>
        <v>6000</v>
      </c>
      <c r="AI200" s="321"/>
      <c r="BC200" s="3"/>
      <c r="BE200" s="3"/>
    </row>
    <row r="201" spans="1:57" hidden="1" outlineLevel="1" x14ac:dyDescent="0.25">
      <c r="A201" s="3" t="s">
        <v>168</v>
      </c>
      <c r="E201" s="3">
        <f t="shared" si="113"/>
        <v>0</v>
      </c>
      <c r="H201" s="32">
        <f t="shared" si="114"/>
        <v>0</v>
      </c>
      <c r="I201" s="32"/>
      <c r="J201" s="4"/>
      <c r="K201" s="4">
        <f t="shared" si="115"/>
        <v>0</v>
      </c>
      <c r="L201" s="4"/>
      <c r="N201" s="4">
        <f t="shared" si="116"/>
        <v>0</v>
      </c>
      <c r="S201" s="3">
        <f t="shared" si="109"/>
        <v>0</v>
      </c>
      <c r="U201" s="3">
        <f t="shared" si="110"/>
        <v>0</v>
      </c>
      <c r="W201" s="3">
        <f t="shared" si="111"/>
        <v>0</v>
      </c>
      <c r="Z201" s="3">
        <f t="shared" si="112"/>
        <v>0</v>
      </c>
      <c r="AD201" s="3">
        <f t="shared" ref="AD201:AD218" si="117">AE201-AC201</f>
        <v>0</v>
      </c>
      <c r="AF201" s="3">
        <f t="shared" ref="AF201:AF218" si="118">AE201-Y201</f>
        <v>0</v>
      </c>
      <c r="AI201" s="321"/>
      <c r="BC201" s="3"/>
      <c r="BE201" s="3"/>
    </row>
    <row r="202" spans="1:57" hidden="1" outlineLevel="1" x14ac:dyDescent="0.25">
      <c r="A202" s="3" t="s">
        <v>169</v>
      </c>
      <c r="E202" s="3">
        <f t="shared" si="113"/>
        <v>0</v>
      </c>
      <c r="H202" s="32">
        <f t="shared" si="114"/>
        <v>0</v>
      </c>
      <c r="I202" s="32"/>
      <c r="J202" s="4"/>
      <c r="K202" s="4">
        <f t="shared" si="115"/>
        <v>0</v>
      </c>
      <c r="L202" s="4"/>
      <c r="N202" s="4">
        <f t="shared" si="116"/>
        <v>0</v>
      </c>
      <c r="S202" s="3">
        <f t="shared" si="109"/>
        <v>0</v>
      </c>
      <c r="U202" s="3">
        <f t="shared" si="110"/>
        <v>0</v>
      </c>
      <c r="W202" s="3">
        <f t="shared" si="111"/>
        <v>0</v>
      </c>
      <c r="Z202" s="3">
        <f t="shared" si="112"/>
        <v>0</v>
      </c>
      <c r="AD202" s="3">
        <f t="shared" si="117"/>
        <v>0</v>
      </c>
      <c r="AF202" s="3">
        <f t="shared" si="118"/>
        <v>0</v>
      </c>
      <c r="AI202" s="321"/>
      <c r="BC202" s="3"/>
      <c r="BE202" s="3"/>
    </row>
    <row r="203" spans="1:57" hidden="1" outlineLevel="1" x14ac:dyDescent="0.25">
      <c r="A203" s="3" t="s">
        <v>170</v>
      </c>
      <c r="B203" s="3">
        <v>15000</v>
      </c>
      <c r="E203" s="3">
        <f t="shared" si="113"/>
        <v>15000</v>
      </c>
      <c r="F203" s="3">
        <v>15000</v>
      </c>
      <c r="H203" s="32">
        <f t="shared" si="114"/>
        <v>0</v>
      </c>
      <c r="I203" s="32"/>
      <c r="J203" s="4">
        <v>0</v>
      </c>
      <c r="K203" s="4">
        <f t="shared" si="115"/>
        <v>15000</v>
      </c>
      <c r="L203" s="4">
        <v>15000</v>
      </c>
      <c r="N203" s="4">
        <f t="shared" si="116"/>
        <v>0</v>
      </c>
      <c r="S203" s="3">
        <f t="shared" si="109"/>
        <v>0</v>
      </c>
      <c r="U203" s="3">
        <f t="shared" si="110"/>
        <v>0</v>
      </c>
      <c r="W203" s="3">
        <f t="shared" si="111"/>
        <v>0</v>
      </c>
      <c r="Z203" s="3">
        <f t="shared" si="112"/>
        <v>0</v>
      </c>
      <c r="AD203" s="3">
        <f t="shared" si="117"/>
        <v>10000</v>
      </c>
      <c r="AE203" s="3">
        <v>10000</v>
      </c>
      <c r="AF203" s="3">
        <f t="shared" si="118"/>
        <v>10000</v>
      </c>
      <c r="AI203" s="321">
        <v>5000</v>
      </c>
      <c r="BC203" s="3"/>
      <c r="BE203" s="3"/>
    </row>
    <row r="204" spans="1:57" hidden="1" outlineLevel="1" x14ac:dyDescent="0.25">
      <c r="A204" s="3" t="s">
        <v>171</v>
      </c>
      <c r="E204" s="3">
        <f t="shared" si="113"/>
        <v>20000</v>
      </c>
      <c r="F204" s="3">
        <v>20000</v>
      </c>
      <c r="H204" s="32">
        <f t="shared" si="114"/>
        <v>20000</v>
      </c>
      <c r="I204" s="32"/>
      <c r="J204" s="4">
        <v>0</v>
      </c>
      <c r="K204" s="4">
        <f t="shared" si="115"/>
        <v>20000</v>
      </c>
      <c r="L204" s="4">
        <v>20000</v>
      </c>
      <c r="N204" s="4">
        <f t="shared" si="116"/>
        <v>0</v>
      </c>
      <c r="S204" s="3">
        <f t="shared" si="109"/>
        <v>0</v>
      </c>
      <c r="U204" s="3">
        <f t="shared" si="110"/>
        <v>0</v>
      </c>
      <c r="W204" s="3">
        <f t="shared" si="111"/>
        <v>0</v>
      </c>
      <c r="Z204" s="3">
        <f t="shared" si="112"/>
        <v>0</v>
      </c>
      <c r="AD204" s="3">
        <f t="shared" si="117"/>
        <v>0</v>
      </c>
      <c r="AF204" s="3">
        <f t="shared" si="118"/>
        <v>0</v>
      </c>
      <c r="AI204" s="321"/>
      <c r="BC204" s="3"/>
      <c r="BE204" s="3"/>
    </row>
    <row r="205" spans="1:57" hidden="1" outlineLevel="1" x14ac:dyDescent="0.25">
      <c r="A205" s="3" t="s">
        <v>172</v>
      </c>
      <c r="E205" s="3">
        <f t="shared" si="113"/>
        <v>30000</v>
      </c>
      <c r="F205" s="3">
        <v>30000</v>
      </c>
      <c r="H205" s="32">
        <f t="shared" si="114"/>
        <v>30000</v>
      </c>
      <c r="I205" s="32"/>
      <c r="J205" s="4">
        <v>0</v>
      </c>
      <c r="K205" s="4">
        <f t="shared" si="115"/>
        <v>30000</v>
      </c>
      <c r="L205" s="4">
        <v>30000</v>
      </c>
      <c r="N205" s="4">
        <f t="shared" si="116"/>
        <v>0</v>
      </c>
      <c r="S205" s="3">
        <f t="shared" si="109"/>
        <v>0</v>
      </c>
      <c r="U205" s="3">
        <f t="shared" si="110"/>
        <v>0</v>
      </c>
      <c r="W205" s="3">
        <f t="shared" si="111"/>
        <v>0</v>
      </c>
      <c r="Z205" s="3">
        <f t="shared" si="112"/>
        <v>0</v>
      </c>
      <c r="AD205" s="3">
        <f t="shared" si="117"/>
        <v>0</v>
      </c>
      <c r="AF205" s="3">
        <f t="shared" si="118"/>
        <v>0</v>
      </c>
      <c r="AI205" s="321"/>
      <c r="BC205" s="3"/>
      <c r="BE205" s="3"/>
    </row>
    <row r="206" spans="1:57" hidden="1" outlineLevel="1" x14ac:dyDescent="0.25">
      <c r="A206" s="3" t="s">
        <v>173</v>
      </c>
      <c r="E206" s="3">
        <f t="shared" si="113"/>
        <v>0</v>
      </c>
      <c r="H206" s="32">
        <f t="shared" si="114"/>
        <v>0</v>
      </c>
      <c r="I206" s="32"/>
      <c r="J206" s="4"/>
      <c r="K206" s="4">
        <f t="shared" si="115"/>
        <v>0</v>
      </c>
      <c r="L206" s="4"/>
      <c r="N206" s="4">
        <f t="shared" si="116"/>
        <v>0</v>
      </c>
      <c r="S206" s="3">
        <f t="shared" si="109"/>
        <v>0</v>
      </c>
      <c r="U206" s="3">
        <f t="shared" si="110"/>
        <v>0</v>
      </c>
      <c r="W206" s="3">
        <f t="shared" si="111"/>
        <v>0</v>
      </c>
      <c r="Z206" s="3">
        <f t="shared" si="112"/>
        <v>0</v>
      </c>
      <c r="AD206" s="3">
        <f t="shared" si="117"/>
        <v>0</v>
      </c>
      <c r="AF206" s="3">
        <f t="shared" si="118"/>
        <v>0</v>
      </c>
      <c r="AI206" s="321"/>
      <c r="BC206" s="3"/>
      <c r="BE206" s="3"/>
    </row>
    <row r="207" spans="1:57" hidden="1" outlineLevel="1" x14ac:dyDescent="0.25">
      <c r="A207" s="3" t="s">
        <v>174</v>
      </c>
      <c r="B207" s="3">
        <v>1000</v>
      </c>
      <c r="E207" s="3">
        <f t="shared" si="113"/>
        <v>1000</v>
      </c>
      <c r="F207" s="3">
        <v>1000</v>
      </c>
      <c r="H207" s="32">
        <f t="shared" si="114"/>
        <v>0</v>
      </c>
      <c r="I207" s="32"/>
      <c r="J207" s="4">
        <v>0</v>
      </c>
      <c r="K207" s="4">
        <f t="shared" si="115"/>
        <v>1000</v>
      </c>
      <c r="L207" s="4">
        <v>1000</v>
      </c>
      <c r="N207" s="4">
        <f t="shared" si="116"/>
        <v>0</v>
      </c>
      <c r="P207" s="3">
        <v>1000</v>
      </c>
      <c r="S207" s="3">
        <f t="shared" si="109"/>
        <v>500</v>
      </c>
      <c r="T207" s="3">
        <v>500</v>
      </c>
      <c r="U207" s="3">
        <f t="shared" si="110"/>
        <v>-500</v>
      </c>
      <c r="V207" s="3">
        <v>0</v>
      </c>
      <c r="W207" s="3">
        <f t="shared" si="111"/>
        <v>100</v>
      </c>
      <c r="Y207" s="3">
        <v>100</v>
      </c>
      <c r="Z207" s="3">
        <f t="shared" si="112"/>
        <v>-400</v>
      </c>
      <c r="AC207" s="3">
        <v>123</v>
      </c>
      <c r="AD207" s="3">
        <f t="shared" si="117"/>
        <v>2</v>
      </c>
      <c r="AE207" s="3">
        <v>125</v>
      </c>
      <c r="AF207" s="3">
        <f t="shared" si="118"/>
        <v>25</v>
      </c>
      <c r="AI207" s="325">
        <v>1100</v>
      </c>
      <c r="AK207" s="3">
        <f>AI207*1.025</f>
        <v>1127.5</v>
      </c>
      <c r="AM207" s="3">
        <f>AK207*1.025</f>
        <v>1155.6875</v>
      </c>
      <c r="AO207" s="3">
        <f>AM207*1.025</f>
        <v>1184.5796874999999</v>
      </c>
      <c r="AQ207" s="3">
        <f>AO207*1.025</f>
        <v>1214.1941796874999</v>
      </c>
      <c r="AS207" s="3">
        <f>AQ207*1.025</f>
        <v>1244.5490341796872</v>
      </c>
      <c r="AU207" s="3">
        <f>AS207*1.025</f>
        <v>1275.6627600341792</v>
      </c>
      <c r="AW207" s="3">
        <f>AU207*1.025</f>
        <v>1307.5543290350336</v>
      </c>
      <c r="AY207" s="3">
        <f>AW207*1.025</f>
        <v>1340.2431872609093</v>
      </c>
      <c r="BA207" s="3">
        <f>AY207*1.025</f>
        <v>1373.7492669424319</v>
      </c>
      <c r="BC207" s="3">
        <f>BA207*1.025</f>
        <v>1408.0929986159924</v>
      </c>
      <c r="BE207" s="3">
        <f>BC207*1.025</f>
        <v>1443.295323581392</v>
      </c>
    </row>
    <row r="208" spans="1:57" hidden="1" outlineLevel="1" x14ac:dyDescent="0.25">
      <c r="A208" s="3" t="s">
        <v>175</v>
      </c>
      <c r="E208" s="3">
        <f t="shared" si="113"/>
        <v>0</v>
      </c>
      <c r="H208" s="32">
        <f t="shared" si="114"/>
        <v>0</v>
      </c>
      <c r="I208" s="32"/>
      <c r="J208" s="4"/>
      <c r="K208" s="4">
        <f t="shared" si="115"/>
        <v>0</v>
      </c>
      <c r="L208" s="4"/>
      <c r="N208" s="4">
        <f t="shared" si="116"/>
        <v>0</v>
      </c>
      <c r="S208" s="3">
        <f t="shared" si="109"/>
        <v>0</v>
      </c>
      <c r="U208" s="3">
        <f t="shared" si="110"/>
        <v>0</v>
      </c>
      <c r="W208" s="3">
        <f t="shared" si="111"/>
        <v>0</v>
      </c>
      <c r="Z208" s="3">
        <f t="shared" si="112"/>
        <v>0</v>
      </c>
      <c r="AD208" s="3">
        <f t="shared" si="117"/>
        <v>0</v>
      </c>
      <c r="AF208" s="3">
        <f t="shared" si="118"/>
        <v>0</v>
      </c>
      <c r="AI208" s="321"/>
      <c r="BC208" s="3"/>
      <c r="BE208" s="3"/>
    </row>
    <row r="209" spans="1:57" hidden="1" outlineLevel="1" x14ac:dyDescent="0.25">
      <c r="A209" s="3" t="s">
        <v>176</v>
      </c>
      <c r="E209" s="3">
        <f t="shared" si="113"/>
        <v>0</v>
      </c>
      <c r="H209" s="32">
        <f t="shared" si="114"/>
        <v>0</v>
      </c>
      <c r="I209" s="32"/>
      <c r="J209" s="4"/>
      <c r="K209" s="4">
        <f t="shared" si="115"/>
        <v>0</v>
      </c>
      <c r="L209" s="4"/>
      <c r="N209" s="4">
        <f t="shared" si="116"/>
        <v>0</v>
      </c>
      <c r="S209" s="3">
        <f t="shared" si="109"/>
        <v>0</v>
      </c>
      <c r="U209" s="3">
        <f t="shared" si="110"/>
        <v>0</v>
      </c>
      <c r="W209" s="3">
        <f t="shared" si="111"/>
        <v>0</v>
      </c>
      <c r="Z209" s="3">
        <f t="shared" si="112"/>
        <v>0</v>
      </c>
      <c r="AD209" s="3">
        <f t="shared" si="117"/>
        <v>0</v>
      </c>
      <c r="AF209" s="3">
        <f t="shared" si="118"/>
        <v>0</v>
      </c>
      <c r="AI209" s="321"/>
      <c r="BC209" s="3"/>
      <c r="BE209" s="3"/>
    </row>
    <row r="210" spans="1:57" hidden="1" outlineLevel="1" x14ac:dyDescent="0.25">
      <c r="A210" s="3" t="s">
        <v>176</v>
      </c>
      <c r="E210" s="3">
        <f t="shared" si="113"/>
        <v>0</v>
      </c>
      <c r="H210" s="32">
        <f t="shared" si="114"/>
        <v>0</v>
      </c>
      <c r="I210" s="32"/>
      <c r="J210" s="4"/>
      <c r="K210" s="4">
        <f t="shared" si="115"/>
        <v>0</v>
      </c>
      <c r="L210" s="4"/>
      <c r="N210" s="4">
        <f t="shared" si="116"/>
        <v>0</v>
      </c>
      <c r="S210" s="3">
        <f t="shared" si="109"/>
        <v>0</v>
      </c>
      <c r="U210" s="3">
        <f t="shared" si="110"/>
        <v>0</v>
      </c>
      <c r="W210" s="3">
        <f t="shared" si="111"/>
        <v>0</v>
      </c>
      <c r="Z210" s="3">
        <f t="shared" si="112"/>
        <v>0</v>
      </c>
      <c r="AD210" s="3">
        <f t="shared" si="117"/>
        <v>0</v>
      </c>
      <c r="AF210" s="3">
        <f t="shared" si="118"/>
        <v>0</v>
      </c>
      <c r="AI210" s="321"/>
      <c r="BC210" s="3"/>
      <c r="BE210" s="3"/>
    </row>
    <row r="211" spans="1:57" hidden="1" outlineLevel="1" x14ac:dyDescent="0.25">
      <c r="A211" s="3" t="s">
        <v>177</v>
      </c>
      <c r="E211" s="3">
        <f t="shared" si="113"/>
        <v>0</v>
      </c>
      <c r="H211" s="32">
        <f t="shared" si="114"/>
        <v>0</v>
      </c>
      <c r="I211" s="32"/>
      <c r="J211" s="4"/>
      <c r="K211" s="4">
        <f t="shared" si="115"/>
        <v>0</v>
      </c>
      <c r="L211" s="4"/>
      <c r="N211" s="4">
        <f t="shared" si="116"/>
        <v>0</v>
      </c>
      <c r="S211" s="3">
        <f t="shared" si="109"/>
        <v>0</v>
      </c>
      <c r="U211" s="3">
        <f t="shared" si="110"/>
        <v>0</v>
      </c>
      <c r="W211" s="3">
        <f t="shared" si="111"/>
        <v>0</v>
      </c>
      <c r="Z211" s="3">
        <f t="shared" si="112"/>
        <v>0</v>
      </c>
      <c r="AD211" s="3">
        <f t="shared" si="117"/>
        <v>0</v>
      </c>
      <c r="AF211" s="3">
        <f t="shared" si="118"/>
        <v>0</v>
      </c>
      <c r="AI211" s="321"/>
      <c r="BC211" s="3"/>
      <c r="BE211" s="3"/>
    </row>
    <row r="212" spans="1:57" hidden="1" outlineLevel="1" x14ac:dyDescent="0.25">
      <c r="A212" s="3" t="s">
        <v>178</v>
      </c>
      <c r="E212" s="3">
        <f t="shared" si="113"/>
        <v>0</v>
      </c>
      <c r="H212" s="32">
        <f t="shared" si="114"/>
        <v>0</v>
      </c>
      <c r="I212" s="32"/>
      <c r="J212" s="4"/>
      <c r="K212" s="4">
        <f t="shared" si="115"/>
        <v>0</v>
      </c>
      <c r="L212" s="4"/>
      <c r="N212" s="4">
        <f t="shared" si="116"/>
        <v>0</v>
      </c>
      <c r="S212" s="3">
        <f t="shared" si="109"/>
        <v>0</v>
      </c>
      <c r="U212" s="3">
        <f t="shared" si="110"/>
        <v>0</v>
      </c>
      <c r="W212" s="3">
        <f t="shared" si="111"/>
        <v>0</v>
      </c>
      <c r="Z212" s="3">
        <f t="shared" si="112"/>
        <v>0</v>
      </c>
      <c r="AD212" s="3">
        <f t="shared" si="117"/>
        <v>0</v>
      </c>
      <c r="AF212" s="3">
        <f t="shared" si="118"/>
        <v>0</v>
      </c>
      <c r="AI212" s="321"/>
      <c r="BC212" s="3"/>
      <c r="BE212" s="3"/>
    </row>
    <row r="213" spans="1:57" hidden="1" outlineLevel="1" x14ac:dyDescent="0.25">
      <c r="A213" s="3" t="s">
        <v>179</v>
      </c>
      <c r="H213" s="32"/>
      <c r="I213" s="32"/>
      <c r="J213" s="4"/>
      <c r="K213" s="4"/>
      <c r="L213" s="4"/>
      <c r="N213" s="4"/>
      <c r="AI213" s="321">
        <v>91500</v>
      </c>
      <c r="BC213" s="3"/>
      <c r="BE213" s="3"/>
    </row>
    <row r="214" spans="1:57" hidden="1" outlineLevel="1" x14ac:dyDescent="0.25">
      <c r="A214" s="3" t="s">
        <v>180</v>
      </c>
      <c r="D214" s="3">
        <v>1770</v>
      </c>
      <c r="E214" s="3">
        <f>F214-D214</f>
        <v>0</v>
      </c>
      <c r="F214" s="3">
        <v>1770</v>
      </c>
      <c r="H214" s="32">
        <f>F214-B214</f>
        <v>1770</v>
      </c>
      <c r="I214" s="32"/>
      <c r="J214" s="4">
        <v>1770</v>
      </c>
      <c r="K214" s="4">
        <f t="shared" si="115"/>
        <v>0</v>
      </c>
      <c r="L214" s="4">
        <v>1770</v>
      </c>
      <c r="N214" s="4">
        <f t="shared" si="116"/>
        <v>0</v>
      </c>
      <c r="S214" s="3">
        <f t="shared" si="109"/>
        <v>0</v>
      </c>
      <c r="U214" s="3">
        <f t="shared" si="110"/>
        <v>0</v>
      </c>
      <c r="W214" s="3">
        <f t="shared" si="111"/>
        <v>0</v>
      </c>
      <c r="Z214" s="3">
        <f t="shared" si="112"/>
        <v>0</v>
      </c>
      <c r="AD214" s="3">
        <f t="shared" si="117"/>
        <v>0</v>
      </c>
      <c r="AF214" s="3">
        <f t="shared" si="118"/>
        <v>0</v>
      </c>
      <c r="AI214" s="321"/>
      <c r="BC214" s="3"/>
      <c r="BE214" s="3"/>
    </row>
    <row r="215" spans="1:57" hidden="1" outlineLevel="1" x14ac:dyDescent="0.25">
      <c r="A215" s="3" t="s">
        <v>181</v>
      </c>
      <c r="H215" s="32"/>
      <c r="I215" s="32"/>
      <c r="J215" s="4"/>
      <c r="K215" s="4"/>
      <c r="L215" s="4"/>
      <c r="N215" s="4"/>
      <c r="S215" s="3">
        <f t="shared" si="109"/>
        <v>10750</v>
      </c>
      <c r="T215" s="3">
        <v>10750</v>
      </c>
      <c r="U215" s="3">
        <f>T215-P215</f>
        <v>10750</v>
      </c>
      <c r="V215" s="3">
        <v>0</v>
      </c>
      <c r="W215" s="3">
        <f t="shared" si="111"/>
        <v>10750</v>
      </c>
      <c r="Y215" s="3">
        <v>10750</v>
      </c>
      <c r="Z215" s="3">
        <f t="shared" si="112"/>
        <v>0</v>
      </c>
      <c r="AD215" s="3">
        <f t="shared" si="117"/>
        <v>10750</v>
      </c>
      <c r="AE215" s="3">
        <v>10750</v>
      </c>
      <c r="AF215" s="3">
        <f t="shared" si="118"/>
        <v>0</v>
      </c>
      <c r="AI215" s="321"/>
      <c r="BC215" s="3"/>
      <c r="BE215" s="3"/>
    </row>
    <row r="216" spans="1:57" hidden="1" outlineLevel="1" x14ac:dyDescent="0.25">
      <c r="A216" s="3" t="s">
        <v>182</v>
      </c>
      <c r="D216" s="3">
        <v>21173</v>
      </c>
      <c r="E216" s="3">
        <f t="shared" si="113"/>
        <v>7</v>
      </c>
      <c r="F216" s="3">
        <v>21180</v>
      </c>
      <c r="H216" s="32">
        <f t="shared" si="114"/>
        <v>21180</v>
      </c>
      <c r="I216" s="32"/>
      <c r="J216" s="4">
        <v>-9856</v>
      </c>
      <c r="K216" s="4">
        <f t="shared" si="115"/>
        <v>9856</v>
      </c>
      <c r="L216" s="4">
        <v>0</v>
      </c>
      <c r="N216" s="4">
        <f t="shared" si="116"/>
        <v>-21180</v>
      </c>
      <c r="S216" s="3">
        <f t="shared" si="109"/>
        <v>0</v>
      </c>
      <c r="U216" s="3">
        <f t="shared" si="110"/>
        <v>0</v>
      </c>
      <c r="W216" s="3">
        <f t="shared" si="111"/>
        <v>0</v>
      </c>
      <c r="Z216" s="3">
        <f t="shared" si="112"/>
        <v>0</v>
      </c>
      <c r="AD216" s="3">
        <f t="shared" si="117"/>
        <v>0</v>
      </c>
      <c r="AF216" s="3">
        <f t="shared" si="118"/>
        <v>0</v>
      </c>
      <c r="AI216" s="321"/>
      <c r="BC216" s="3"/>
      <c r="BE216" s="3"/>
    </row>
    <row r="217" spans="1:57" hidden="1" outlineLevel="1" x14ac:dyDescent="0.25">
      <c r="A217" s="3" t="s">
        <v>183</v>
      </c>
      <c r="E217" s="3">
        <f t="shared" si="113"/>
        <v>0</v>
      </c>
      <c r="H217" s="32">
        <f t="shared" si="114"/>
        <v>0</v>
      </c>
      <c r="I217" s="32"/>
      <c r="J217" s="4"/>
      <c r="K217" s="4">
        <f t="shared" si="115"/>
        <v>0</v>
      </c>
      <c r="L217" s="4"/>
      <c r="N217" s="4">
        <f t="shared" si="116"/>
        <v>0</v>
      </c>
      <c r="S217" s="3">
        <f t="shared" si="109"/>
        <v>0</v>
      </c>
      <c r="U217" s="3">
        <f t="shared" si="110"/>
        <v>0</v>
      </c>
      <c r="W217" s="3">
        <f t="shared" si="111"/>
        <v>0</v>
      </c>
      <c r="Z217" s="3">
        <f t="shared" si="112"/>
        <v>0</v>
      </c>
      <c r="AD217" s="3">
        <f t="shared" si="117"/>
        <v>0</v>
      </c>
      <c r="AF217" s="3">
        <f t="shared" si="118"/>
        <v>0</v>
      </c>
      <c r="AI217" s="321"/>
      <c r="BC217" s="3"/>
      <c r="BE217" s="3"/>
    </row>
    <row r="218" spans="1:57" hidden="1" outlineLevel="1" x14ac:dyDescent="0.25">
      <c r="A218" s="3" t="s">
        <v>90</v>
      </c>
      <c r="B218" s="3">
        <v>100</v>
      </c>
      <c r="E218" s="3">
        <f t="shared" si="113"/>
        <v>100</v>
      </c>
      <c r="F218" s="3">
        <v>100</v>
      </c>
      <c r="H218" s="32">
        <f t="shared" si="114"/>
        <v>0</v>
      </c>
      <c r="I218" s="32"/>
      <c r="J218" s="4"/>
      <c r="K218" s="4">
        <f t="shared" si="115"/>
        <v>100</v>
      </c>
      <c r="L218" s="4">
        <v>100</v>
      </c>
      <c r="N218" s="4">
        <f t="shared" si="116"/>
        <v>0</v>
      </c>
      <c r="P218" s="3">
        <v>100</v>
      </c>
      <c r="S218" s="3">
        <f t="shared" si="109"/>
        <v>100</v>
      </c>
      <c r="T218" s="3">
        <v>100</v>
      </c>
      <c r="U218" s="3">
        <f t="shared" si="110"/>
        <v>0</v>
      </c>
      <c r="W218" s="3">
        <f t="shared" si="111"/>
        <v>100</v>
      </c>
      <c r="Y218" s="3">
        <v>100</v>
      </c>
      <c r="Z218" s="3">
        <f t="shared" si="112"/>
        <v>0</v>
      </c>
      <c r="AD218" s="3">
        <f t="shared" si="117"/>
        <v>100</v>
      </c>
      <c r="AE218" s="3">
        <v>100</v>
      </c>
      <c r="AF218" s="3">
        <f t="shared" si="118"/>
        <v>0</v>
      </c>
      <c r="AI218" s="326">
        <v>100</v>
      </c>
      <c r="AK218" s="3">
        <f>AI218*1.025</f>
        <v>102.49999999999999</v>
      </c>
      <c r="AM218" s="3">
        <f>AK218*1.025</f>
        <v>105.06249999999997</v>
      </c>
      <c r="AO218" s="3">
        <f>AM218*1.025</f>
        <v>107.68906249999996</v>
      </c>
      <c r="AQ218" s="3">
        <f>AO218*1.025</f>
        <v>110.38128906249996</v>
      </c>
      <c r="AS218" s="3">
        <f>AQ218*1.025</f>
        <v>113.14082128906244</v>
      </c>
      <c r="AU218" s="3">
        <f>AS218*1.025</f>
        <v>115.96934182128899</v>
      </c>
      <c r="AW218" s="3">
        <f>AU218*1.025</f>
        <v>118.8685753668212</v>
      </c>
      <c r="AY218" s="3">
        <f>AW218*1.025</f>
        <v>121.84028975099173</v>
      </c>
      <c r="BA218" s="3">
        <f>AY218*1.025</f>
        <v>124.88629699476651</v>
      </c>
      <c r="BC218" s="3">
        <f>BA218*1.025</f>
        <v>128.00845441963565</v>
      </c>
      <c r="BE218" s="3">
        <f>BC218*1.025</f>
        <v>131.20866578012652</v>
      </c>
    </row>
    <row r="219" spans="1:57" hidden="1" outlineLevel="1" x14ac:dyDescent="0.25">
      <c r="A219" s="3"/>
      <c r="B219" s="62">
        <f>SUM(B198:B218)</f>
        <v>36100</v>
      </c>
      <c r="C219" s="32"/>
      <c r="D219" s="62">
        <f>SUM(D198:D218)</f>
        <v>22943</v>
      </c>
      <c r="E219" s="62">
        <f>SUM(E198:E218)</f>
        <v>86107</v>
      </c>
      <c r="F219" s="62">
        <f>SUM(F198:F218)</f>
        <v>109050</v>
      </c>
      <c r="G219" s="32"/>
      <c r="H219" s="62">
        <f>SUM(H198:H218)</f>
        <v>72950</v>
      </c>
      <c r="I219" s="32"/>
      <c r="J219" s="62">
        <f>SUM(J198:J218)</f>
        <v>-8086</v>
      </c>
      <c r="K219" s="62">
        <f>SUM(K198:K218)</f>
        <v>95956</v>
      </c>
      <c r="L219" s="62">
        <f>SUM(L198:L218)</f>
        <v>87870</v>
      </c>
      <c r="M219" s="32"/>
      <c r="N219" s="62">
        <f>SUM(N198:N218)</f>
        <v>-21180</v>
      </c>
      <c r="P219" s="62">
        <f>SUM(P198:P218)</f>
        <v>1100</v>
      </c>
      <c r="R219" s="62">
        <f t="shared" ref="R219:W219" si="119">SUM(R198:R218)</f>
        <v>0</v>
      </c>
      <c r="S219" s="62">
        <f t="shared" si="119"/>
        <v>11350</v>
      </c>
      <c r="T219" s="62">
        <f t="shared" si="119"/>
        <v>11350</v>
      </c>
      <c r="U219" s="62">
        <f t="shared" si="119"/>
        <v>10250</v>
      </c>
      <c r="V219" s="62">
        <f t="shared" si="119"/>
        <v>0</v>
      </c>
      <c r="W219" s="62">
        <f t="shared" si="119"/>
        <v>10950</v>
      </c>
      <c r="X219" s="62"/>
      <c r="Y219" s="62">
        <f>SUM(Y198:Y218)</f>
        <v>10950</v>
      </c>
      <c r="Z219" s="62">
        <f>SUM(Z198:Z218)</f>
        <v>-400</v>
      </c>
      <c r="AC219" s="62">
        <f>SUM(AC198:AC218)</f>
        <v>123</v>
      </c>
      <c r="AD219" s="62">
        <f>SUM(AD198:AD218)</f>
        <v>26852</v>
      </c>
      <c r="AE219" s="62">
        <f>SUM(AE198:AE218)</f>
        <v>26975</v>
      </c>
      <c r="AF219" s="62">
        <f>SUM(AF198:AF218)</f>
        <v>16025</v>
      </c>
      <c r="AG219" s="32"/>
      <c r="AI219" s="62">
        <f>SUM(AI198:AI218)</f>
        <v>97700</v>
      </c>
      <c r="AK219" s="62">
        <f>SUM(AK198:AK218)</f>
        <v>1230</v>
      </c>
      <c r="AM219" s="62">
        <f>SUM(AM198:AM218)</f>
        <v>1260.75</v>
      </c>
      <c r="AO219" s="62">
        <f>SUM(AO198:AO218)</f>
        <v>1292.2687499999997</v>
      </c>
      <c r="AP219" s="32"/>
      <c r="AQ219" s="62">
        <f>SUM(AQ198:AQ218)</f>
        <v>1324.5754687499998</v>
      </c>
      <c r="AS219" s="62">
        <f>SUM(AS198:AS218)</f>
        <v>1357.6898554687496</v>
      </c>
      <c r="AU219" s="62">
        <f>SUM(AU198:AU218)</f>
        <v>1391.6321018554681</v>
      </c>
      <c r="AW219" s="62">
        <f>SUM(AW198:AW218)</f>
        <v>1426.4229044018548</v>
      </c>
      <c r="AY219" s="62">
        <f>SUM(AY198:AY218)</f>
        <v>1462.0834770119011</v>
      </c>
      <c r="BA219" s="62">
        <f>SUM(BA198:BA218)</f>
        <v>1498.6355639371984</v>
      </c>
      <c r="BC219" s="62">
        <f>SUM(BC198:BC218)</f>
        <v>1536.1014530356281</v>
      </c>
      <c r="BE219" s="62">
        <f>SUM(BE198:BE218)</f>
        <v>1574.5039893615185</v>
      </c>
    </row>
    <row r="220" spans="1:57" ht="15.75" collapsed="1" thickBot="1" x14ac:dyDescent="0.3">
      <c r="A220" s="7" t="s">
        <v>1166</v>
      </c>
      <c r="B220" s="44">
        <f>B219+B196+B189+B177+B175+B171+B166</f>
        <v>85300</v>
      </c>
      <c r="C220" s="32"/>
      <c r="D220" s="44">
        <f>D219+D196+D189+D177+D175+D171+D166</f>
        <v>28347</v>
      </c>
      <c r="E220" s="44">
        <f>E219+E196+E189+E177+E175+E171+E166</f>
        <v>142003</v>
      </c>
      <c r="F220" s="44">
        <f>F219+F196+F189+F177+F175+F171+F166</f>
        <v>170350</v>
      </c>
      <c r="G220" s="32"/>
      <c r="H220" s="44">
        <f>H219+H196+H189+H177+H175+H171+H166</f>
        <v>85050</v>
      </c>
      <c r="I220" s="32"/>
      <c r="J220" s="44">
        <f>J219+J196+J189+J177+J175+J171+J166</f>
        <v>2734</v>
      </c>
      <c r="K220" s="44">
        <f>K219+K196+K189+K177+K175+K171+K166</f>
        <v>149336</v>
      </c>
      <c r="L220" s="44">
        <f>L219+L196+L189+L177+L175+L171+L166</f>
        <v>152070</v>
      </c>
      <c r="M220" s="32"/>
      <c r="N220" s="44">
        <f>N219+N196+N189+N177+N175+N171+N166</f>
        <v>-18180</v>
      </c>
      <c r="O220" s="44"/>
      <c r="P220" s="44">
        <f>P219+P196+P189+P177+P175+P171+P166</f>
        <v>45150.25</v>
      </c>
      <c r="R220" s="44">
        <f t="shared" ref="R220:W220" si="120">R219+R196+R189+R177+R175+R171+R166</f>
        <v>3371</v>
      </c>
      <c r="S220" s="44">
        <f t="shared" si="120"/>
        <v>47754</v>
      </c>
      <c r="T220" s="44">
        <f t="shared" si="120"/>
        <v>51125</v>
      </c>
      <c r="U220" s="44">
        <f t="shared" si="120"/>
        <v>5974.7500000000018</v>
      </c>
      <c r="V220" s="44">
        <f t="shared" si="120"/>
        <v>30573</v>
      </c>
      <c r="W220" s="44">
        <f t="shared" si="120"/>
        <v>24002</v>
      </c>
      <c r="X220" s="44"/>
      <c r="Y220" s="44">
        <f>Y219+Y196+Y189+Y177+Y175+Y171+Y166</f>
        <v>54575</v>
      </c>
      <c r="Z220" s="44">
        <f>Z219+Z196+Z189+Z177+Z175+Z171+Z166</f>
        <v>3450</v>
      </c>
      <c r="AC220" s="44">
        <f>AC219+AC196+AC189+AC177+AC175+AC171+AC166</f>
        <v>39104</v>
      </c>
      <c r="AD220" s="44">
        <f>AD219+AD196+AD189+AD177+AD175+AD171+AD166</f>
        <v>36991</v>
      </c>
      <c r="AE220" s="44">
        <f>AE219+AE196+AE189+AE177+AE175+AE171+AE166</f>
        <v>76095</v>
      </c>
      <c r="AF220" s="44">
        <f>AF219+AF196+AF189+AF177+AF175+AF171+AF166</f>
        <v>21520</v>
      </c>
      <c r="AG220" s="32"/>
      <c r="AH220" s="44"/>
      <c r="AI220" s="44">
        <f t="shared" ref="AI220" si="121">AI219+AI196+AI189+AI177+AI175+AI171+AI166</f>
        <v>140299.75</v>
      </c>
      <c r="AJ220" s="32"/>
      <c r="AK220" s="44">
        <f t="shared" ref="AK220" si="122">AK219+AK196+AK189+AK177+AK175+AK171+AK166</f>
        <v>44774.743749999994</v>
      </c>
      <c r="AL220" s="32">
        <f t="shared" ref="AL220" si="123">AL219+AL196+AL189+AL177+AL175+AL171+AL166</f>
        <v>0</v>
      </c>
      <c r="AM220" s="44">
        <f t="shared" ref="AM220" si="124">AM219+AM196+AM189+AM177+AM175+AM171+AM166</f>
        <v>45771.312343749996</v>
      </c>
      <c r="AN220" s="32">
        <f t="shared" ref="AN220" si="125">AN219+AN196+AN189+AN177+AN175+AN171+AN166</f>
        <v>0</v>
      </c>
      <c r="AO220" s="44">
        <f t="shared" ref="AO220" si="126">AO219+AO196+AO189+AO177+AO175+AO171+AO166</f>
        <v>46789.944152343742</v>
      </c>
      <c r="AP220" s="32">
        <f t="shared" ref="AP220" si="127">AP219+AP196+AP189+AP177+AP175+AP171+AP166</f>
        <v>0</v>
      </c>
      <c r="AQ220" s="44">
        <f t="shared" ref="AQ220" si="128">AQ219+AQ196+AQ189+AQ177+AQ175+AQ171+AQ166</f>
        <v>47831.138736152338</v>
      </c>
      <c r="AR220" s="32">
        <f t="shared" ref="AR220" si="129">AR219+AR196+AR189+AR177+AR175+AR171+AR166</f>
        <v>0</v>
      </c>
      <c r="AS220" s="44">
        <f t="shared" ref="AS220" si="130">AS219+AS196+AS189+AS177+AS175+AS171+AS166</f>
        <v>48885.40710415614</v>
      </c>
      <c r="AT220" s="32">
        <f t="shared" ref="AT220" si="131">AT219+AT196+AT189+AT177+AT175+AT171+AT166</f>
        <v>0</v>
      </c>
      <c r="AU220" s="44">
        <f t="shared" ref="AU220" si="132">AU219+AU196+AU189+AU177+AU175+AU171+AU166</f>
        <v>49963.271979352037</v>
      </c>
      <c r="AV220" s="32">
        <f t="shared" ref="AV220" si="133">AV219+AV196+AV189+AV177+AV175+AV171+AV166</f>
        <v>0</v>
      </c>
      <c r="AW220" s="44">
        <f t="shared" ref="AW220" si="134">AW219+AW196+AW189+AW177+AW175+AW171+AW166</f>
        <v>51065.26807037968</v>
      </c>
      <c r="AX220" s="32">
        <f t="shared" ref="AX220" si="135">AX219+AX196+AX189+AX177+AX175+AX171+AX166</f>
        <v>0</v>
      </c>
      <c r="AY220" s="44">
        <f t="shared" ref="AY220" si="136">AY219+AY196+AY189+AY177+AY175+AY171+AY166</f>
        <v>52191.942349513891</v>
      </c>
      <c r="AZ220" s="32">
        <f t="shared" ref="AZ220" si="137">AZ219+AZ196+AZ189+AZ177+AZ175+AZ171+AZ166</f>
        <v>0</v>
      </c>
      <c r="BA220" s="44">
        <f>BA219+BA196+BA189+BA177+BA175+BA171+BA166</f>
        <v>53343.854337173943</v>
      </c>
      <c r="BB220" s="32"/>
      <c r="BC220" s="44">
        <f t="shared" ref="BC220:BE220" si="138">BC219+BC196+BC189+BC177+BC175+BC171+BC166</f>
        <v>54521.576393103947</v>
      </c>
      <c r="BD220" s="44">
        <f t="shared" si="138"/>
        <v>0</v>
      </c>
      <c r="BE220" s="44">
        <f t="shared" si="138"/>
        <v>55725.694014382214</v>
      </c>
    </row>
    <row r="221" spans="1:57" ht="15.75" thickTop="1" x14ac:dyDescent="0.25">
      <c r="A221" s="3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P221" s="32"/>
      <c r="AI221" s="32"/>
      <c r="AK221" s="32"/>
      <c r="AM221" s="32"/>
      <c r="AO221" s="32"/>
      <c r="AP221" s="32"/>
      <c r="AQ221" s="32"/>
      <c r="AS221" s="32"/>
      <c r="AU221" s="32"/>
      <c r="AW221" s="32"/>
      <c r="AY221" s="32"/>
      <c r="BA221" s="32"/>
      <c r="BC221" s="32"/>
      <c r="BE221" s="32"/>
    </row>
    <row r="222" spans="1:57" s="42" customFormat="1" x14ac:dyDescent="0.25">
      <c r="A222" s="7" t="s">
        <v>184</v>
      </c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4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4"/>
      <c r="AH222" s="4"/>
      <c r="AI222" s="3"/>
      <c r="AJ222" s="3"/>
      <c r="AK222" s="3"/>
      <c r="AL222" s="3"/>
      <c r="AM222" s="3"/>
      <c r="AN222" s="3"/>
      <c r="AO222" s="3"/>
      <c r="AP222" s="4"/>
      <c r="AQ222" s="3"/>
      <c r="AS222" s="3"/>
      <c r="AU222" s="3"/>
      <c r="AW222" s="3"/>
      <c r="AY222" s="3"/>
      <c r="BA222" s="3"/>
      <c r="BC222" s="3"/>
      <c r="BE222" s="3"/>
    </row>
    <row r="223" spans="1:57" hidden="1" outlineLevel="1" x14ac:dyDescent="0.25">
      <c r="A223" s="7" t="s">
        <v>185</v>
      </c>
      <c r="BC223" s="3"/>
      <c r="BE223" s="3"/>
    </row>
    <row r="224" spans="1:57" hidden="1" outlineLevel="1" x14ac:dyDescent="0.25">
      <c r="A224" s="3" t="s">
        <v>186</v>
      </c>
      <c r="B224" s="3">
        <v>600</v>
      </c>
      <c r="D224" s="3">
        <v>144</v>
      </c>
      <c r="E224" s="3">
        <f>F224-D224</f>
        <v>456</v>
      </c>
      <c r="F224" s="3">
        <v>600</v>
      </c>
      <c r="H224" s="32">
        <f>F224-B224</f>
        <v>0</v>
      </c>
      <c r="I224" s="32"/>
      <c r="J224" s="4">
        <v>216</v>
      </c>
      <c r="K224" s="4">
        <f>L224-J224</f>
        <v>384</v>
      </c>
      <c r="L224" s="4">
        <v>600</v>
      </c>
      <c r="N224" s="4">
        <f>L224-F224</f>
        <v>0</v>
      </c>
      <c r="P224" s="3">
        <v>600</v>
      </c>
      <c r="R224" s="3">
        <v>286</v>
      </c>
      <c r="S224" s="3">
        <f>T224-R224</f>
        <v>314</v>
      </c>
      <c r="T224" s="3">
        <v>600</v>
      </c>
      <c r="U224" s="3">
        <f>T224-P224</f>
        <v>0</v>
      </c>
      <c r="V224" s="3">
        <v>608</v>
      </c>
      <c r="W224" s="3">
        <f>Y224-V224</f>
        <v>192</v>
      </c>
      <c r="Y224" s="3">
        <v>800</v>
      </c>
      <c r="Z224" s="3">
        <f>Y224-T224</f>
        <v>200</v>
      </c>
      <c r="AC224" s="3">
        <v>580</v>
      </c>
      <c r="AD224" s="3">
        <f>AE224-AC224</f>
        <v>220</v>
      </c>
      <c r="AE224" s="3">
        <v>800</v>
      </c>
      <c r="AF224" s="3">
        <f>AE224-Y224</f>
        <v>0</v>
      </c>
      <c r="AI224" s="325">
        <v>15000</v>
      </c>
      <c r="AK224" s="3">
        <f>AI224*1.025</f>
        <v>15374.999999999998</v>
      </c>
      <c r="AM224" s="3">
        <f>AK224*1.025</f>
        <v>15759.374999999996</v>
      </c>
      <c r="AO224" s="3">
        <f>AM224*1.025</f>
        <v>16153.359374999995</v>
      </c>
      <c r="AQ224" s="3">
        <f>AO224*1.025</f>
        <v>16557.193359374993</v>
      </c>
      <c r="AS224" s="3">
        <f>AQ224*1.025</f>
        <v>16971.123193359366</v>
      </c>
      <c r="AU224" s="3">
        <f>AS224*1.025</f>
        <v>17395.401273193347</v>
      </c>
      <c r="AW224" s="3">
        <f>AU224*1.025</f>
        <v>17830.286305023179</v>
      </c>
      <c r="AY224" s="3">
        <f>AW224*1.025</f>
        <v>18276.043462648759</v>
      </c>
      <c r="BA224" s="3">
        <f>AY224*1.025</f>
        <v>18732.944549214975</v>
      </c>
      <c r="BC224" s="3">
        <f>BA224*1.025</f>
        <v>19201.268162945347</v>
      </c>
      <c r="BE224" s="3">
        <f>BC224*1.025</f>
        <v>19681.299867018981</v>
      </c>
    </row>
    <row r="225" spans="1:57" hidden="1" outlineLevel="1" x14ac:dyDescent="0.25">
      <c r="A225" s="3" t="s">
        <v>187</v>
      </c>
      <c r="E225" s="3">
        <f>F225-D225</f>
        <v>0</v>
      </c>
      <c r="H225" s="32">
        <f>F225-B225</f>
        <v>0</v>
      </c>
      <c r="I225" s="32"/>
      <c r="J225" s="4"/>
      <c r="K225" s="4">
        <f>L225-J225</f>
        <v>0</v>
      </c>
      <c r="L225" s="4"/>
      <c r="N225" s="4">
        <f>L225-F225</f>
        <v>0</v>
      </c>
      <c r="S225" s="3">
        <f>T225-R225</f>
        <v>0</v>
      </c>
      <c r="U225" s="3">
        <f>T225-P225</f>
        <v>0</v>
      </c>
      <c r="W225" s="3">
        <f>Y225-V225</f>
        <v>0</v>
      </c>
      <c r="Z225" s="3">
        <f>Y225-T225</f>
        <v>0</v>
      </c>
      <c r="AD225" s="3">
        <f>AE225-AC225</f>
        <v>0</v>
      </c>
      <c r="AF225" s="3">
        <f>AE225-Y225</f>
        <v>0</v>
      </c>
      <c r="AI225" s="325">
        <v>29700</v>
      </c>
      <c r="AK225" s="3">
        <f>AI225*1.025</f>
        <v>30442.499999999996</v>
      </c>
      <c r="AM225" s="3">
        <f>AK225*1.025</f>
        <v>31203.562499999993</v>
      </c>
      <c r="AO225" s="3">
        <f>AM225*1.025</f>
        <v>31983.651562499988</v>
      </c>
      <c r="AQ225" s="3">
        <f>AO225*1.025</f>
        <v>32783.242851562485</v>
      </c>
      <c r="AS225" s="3">
        <f>AQ225*1.025</f>
        <v>33602.823922851545</v>
      </c>
      <c r="AU225" s="3">
        <f>AS225*1.025</f>
        <v>34442.894520922833</v>
      </c>
      <c r="AW225" s="3">
        <f>AU225*1.025</f>
        <v>35303.966883945905</v>
      </c>
      <c r="AY225" s="3">
        <f>AW225*1.025</f>
        <v>36186.566056044547</v>
      </c>
      <c r="BA225" s="3">
        <f>AY225*1.025</f>
        <v>37091.23020744566</v>
      </c>
      <c r="BC225" s="3">
        <f>BA225*1.025</f>
        <v>38018.510962631801</v>
      </c>
      <c r="BE225" s="3">
        <f>BC225*1.025</f>
        <v>38968.97373669759</v>
      </c>
    </row>
    <row r="226" spans="1:57" hidden="1" outlineLevel="1" x14ac:dyDescent="0.25">
      <c r="A226" s="3" t="s">
        <v>188</v>
      </c>
      <c r="E226" s="3">
        <f>F226-D226</f>
        <v>0</v>
      </c>
      <c r="H226" s="32">
        <f>F226-B226</f>
        <v>0</v>
      </c>
      <c r="I226" s="32"/>
      <c r="J226" s="4"/>
      <c r="K226" s="4">
        <f>L226-J226</f>
        <v>0</v>
      </c>
      <c r="L226" s="4"/>
      <c r="N226" s="4">
        <f>L226-F226</f>
        <v>0</v>
      </c>
      <c r="S226" s="3">
        <f>T226-R226</f>
        <v>0</v>
      </c>
      <c r="U226" s="3">
        <f>T226-P226</f>
        <v>0</v>
      </c>
      <c r="W226" s="3">
        <f>Y226-V226</f>
        <v>0</v>
      </c>
      <c r="Z226" s="3">
        <f>Y226-T226</f>
        <v>0</v>
      </c>
      <c r="AD226" s="3">
        <f>AE226-AC226</f>
        <v>0</v>
      </c>
      <c r="AF226" s="3">
        <f>AE226-Y226</f>
        <v>0</v>
      </c>
      <c r="AI226" s="326"/>
      <c r="BC226" s="3"/>
      <c r="BE226" s="3"/>
    </row>
    <row r="227" spans="1:57" hidden="1" outlineLevel="1" x14ac:dyDescent="0.25">
      <c r="A227" s="3" t="s">
        <v>189</v>
      </c>
      <c r="E227" s="3">
        <f>F227-D227</f>
        <v>0</v>
      </c>
      <c r="H227" s="32">
        <f>F227-B227</f>
        <v>0</v>
      </c>
      <c r="I227" s="32"/>
      <c r="J227" s="4"/>
      <c r="K227" s="4">
        <f>L227-J227</f>
        <v>0</v>
      </c>
      <c r="L227" s="4"/>
      <c r="N227" s="4">
        <f>L227-F227</f>
        <v>0</v>
      </c>
      <c r="S227" s="3">
        <f>T227-R227</f>
        <v>0</v>
      </c>
      <c r="U227" s="3">
        <f>T227-P227</f>
        <v>0</v>
      </c>
      <c r="W227" s="3">
        <f>Y227-V227</f>
        <v>0</v>
      </c>
      <c r="Z227" s="3">
        <f>Y227-T227</f>
        <v>0</v>
      </c>
      <c r="AD227" s="3">
        <f>AE227-AC227</f>
        <v>0</v>
      </c>
      <c r="AF227" s="3">
        <f>AE227-Y227</f>
        <v>0</v>
      </c>
      <c r="AI227" s="325"/>
      <c r="BC227" s="3"/>
      <c r="BE227" s="3"/>
    </row>
    <row r="228" spans="1:57" hidden="1" outlineLevel="1" x14ac:dyDescent="0.25">
      <c r="A228" s="3" t="s">
        <v>90</v>
      </c>
      <c r="E228" s="3">
        <f>F228-D228</f>
        <v>0</v>
      </c>
      <c r="H228" s="32">
        <f>F228-B228</f>
        <v>0</v>
      </c>
      <c r="I228" s="32"/>
      <c r="J228" s="4"/>
      <c r="K228" s="4">
        <f>L228-J228</f>
        <v>0</v>
      </c>
      <c r="L228" s="4"/>
      <c r="N228" s="4">
        <f>L228-F228</f>
        <v>0</v>
      </c>
      <c r="R228" s="3">
        <v>0</v>
      </c>
      <c r="S228" s="3">
        <f>T228-R228</f>
        <v>100</v>
      </c>
      <c r="T228" s="3">
        <v>100</v>
      </c>
      <c r="U228" s="3">
        <f>T228-P228</f>
        <v>100</v>
      </c>
      <c r="W228" s="3">
        <f>Y228-V228</f>
        <v>100</v>
      </c>
      <c r="Y228" s="3">
        <v>100</v>
      </c>
      <c r="Z228" s="3">
        <f>Y228-T228</f>
        <v>0</v>
      </c>
      <c r="AC228" s="3">
        <v>125</v>
      </c>
      <c r="AD228" s="3">
        <f>AE228-AC228</f>
        <v>0</v>
      </c>
      <c r="AE228" s="3">
        <v>125</v>
      </c>
      <c r="AF228" s="3">
        <f>AE228-Y228</f>
        <v>25</v>
      </c>
      <c r="AI228" s="326"/>
      <c r="BC228" s="3"/>
      <c r="BE228" s="3"/>
    </row>
    <row r="229" spans="1:57" ht="15.75" collapsed="1" thickBot="1" x14ac:dyDescent="0.3">
      <c r="A229" s="7" t="s">
        <v>1168</v>
      </c>
      <c r="B229" s="44">
        <f>SUM(B224:B228)</f>
        <v>600</v>
      </c>
      <c r="C229" s="32"/>
      <c r="D229" s="44">
        <f>SUM(D224:D228)</f>
        <v>144</v>
      </c>
      <c r="E229" s="44">
        <f>SUM(E224:E228)</f>
        <v>456</v>
      </c>
      <c r="F229" s="44">
        <f>SUM(F224:F228)</f>
        <v>600</v>
      </c>
      <c r="G229" s="32"/>
      <c r="H229" s="44">
        <f>SUM(H224:H228)</f>
        <v>0</v>
      </c>
      <c r="I229" s="32"/>
      <c r="J229" s="44">
        <f>SUM(J224:J228)</f>
        <v>216</v>
      </c>
      <c r="K229" s="44">
        <f>SUM(K224:K228)</f>
        <v>384</v>
      </c>
      <c r="L229" s="44">
        <f>SUM(L224:L228)</f>
        <v>600</v>
      </c>
      <c r="M229" s="32"/>
      <c r="N229" s="44">
        <f>SUM(N224:N228)</f>
        <v>0</v>
      </c>
      <c r="P229" s="44">
        <f>SUM(P224:P228)</f>
        <v>600</v>
      </c>
      <c r="R229" s="44">
        <f t="shared" ref="R229:Z229" si="139">SUM(R224:R228)</f>
        <v>286</v>
      </c>
      <c r="S229" s="44">
        <f t="shared" si="139"/>
        <v>414</v>
      </c>
      <c r="T229" s="44">
        <f t="shared" si="139"/>
        <v>700</v>
      </c>
      <c r="U229" s="44">
        <f t="shared" si="139"/>
        <v>100</v>
      </c>
      <c r="V229" s="44">
        <f t="shared" si="139"/>
        <v>608</v>
      </c>
      <c r="W229" s="44">
        <f t="shared" si="139"/>
        <v>292</v>
      </c>
      <c r="X229" s="44"/>
      <c r="Y229" s="44">
        <f t="shared" si="139"/>
        <v>900</v>
      </c>
      <c r="Z229" s="44">
        <f t="shared" si="139"/>
        <v>200</v>
      </c>
      <c r="AC229" s="44">
        <f>SUM(AC224:AC228)</f>
        <v>705</v>
      </c>
      <c r="AD229" s="44">
        <f>SUM(AD224:AD228)</f>
        <v>220</v>
      </c>
      <c r="AE229" s="44">
        <f>SUM(AE224:AE228)</f>
        <v>925</v>
      </c>
      <c r="AF229" s="44">
        <f>SUM(AF224:AF228)</f>
        <v>25</v>
      </c>
      <c r="AG229" s="32"/>
      <c r="AI229" s="44">
        <f>SUM(AI224:AI228)</f>
        <v>44700</v>
      </c>
      <c r="AK229" s="44">
        <f>SUM(AK224:AK228)</f>
        <v>45817.499999999993</v>
      </c>
      <c r="AM229" s="44">
        <f>SUM(AM224:AM228)</f>
        <v>46962.937499999985</v>
      </c>
      <c r="AO229" s="44">
        <f>SUM(AO224:AO228)</f>
        <v>48137.010937499981</v>
      </c>
      <c r="AP229" s="32"/>
      <c r="AQ229" s="44">
        <f>SUM(AQ224:AQ228)</f>
        <v>49340.436210937478</v>
      </c>
      <c r="AS229" s="44">
        <f>SUM(AS224:AS228)</f>
        <v>50573.947116210911</v>
      </c>
      <c r="AU229" s="44">
        <f>SUM(AU224:AU228)</f>
        <v>51838.29579411618</v>
      </c>
      <c r="AW229" s="44">
        <f>SUM(AW224:AW228)</f>
        <v>53134.253188969087</v>
      </c>
      <c r="AY229" s="44">
        <f>SUM(AY224:AY228)</f>
        <v>54462.609518693309</v>
      </c>
      <c r="BA229" s="44">
        <f>SUM(BA224:BA228)</f>
        <v>55824.174756660635</v>
      </c>
      <c r="BC229" s="44">
        <f>SUM(BC224:BC228)</f>
        <v>57219.779125577144</v>
      </c>
      <c r="BE229" s="44">
        <f>SUM(BE224:BE228)</f>
        <v>58650.273603716574</v>
      </c>
    </row>
    <row r="230" spans="1:57" ht="15.75" thickTop="1" x14ac:dyDescent="0.25">
      <c r="A230" s="3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P230" s="32"/>
      <c r="R230" s="32"/>
      <c r="S230" s="32"/>
      <c r="T230" s="32"/>
      <c r="U230" s="32"/>
      <c r="V230" s="32"/>
      <c r="W230" s="32"/>
      <c r="X230" s="32"/>
      <c r="Y230" s="32"/>
      <c r="Z230" s="32"/>
      <c r="AC230" s="32"/>
      <c r="AD230" s="32"/>
      <c r="AE230" s="32"/>
      <c r="AF230" s="32"/>
      <c r="AG230" s="32"/>
      <c r="AI230" s="32"/>
      <c r="AK230" s="32"/>
      <c r="AM230" s="32"/>
      <c r="AO230" s="32"/>
      <c r="AP230" s="32"/>
      <c r="AQ230" s="32"/>
      <c r="AS230" s="32"/>
      <c r="AU230" s="32"/>
      <c r="AW230" s="32"/>
      <c r="AY230" s="32"/>
      <c r="BA230" s="32"/>
      <c r="BC230" s="32"/>
      <c r="BE230" s="32"/>
    </row>
    <row r="231" spans="1:57" x14ac:dyDescent="0.25">
      <c r="A231" s="7" t="s">
        <v>190</v>
      </c>
      <c r="BC231" s="3"/>
      <c r="BE231" s="3"/>
    </row>
    <row r="232" spans="1:57" hidden="1" outlineLevel="1" x14ac:dyDescent="0.25">
      <c r="A232" s="7" t="s">
        <v>191</v>
      </c>
      <c r="BC232" s="3"/>
      <c r="BE232" s="3"/>
    </row>
    <row r="233" spans="1:57" hidden="1" outlineLevel="1" x14ac:dyDescent="0.25">
      <c r="A233" s="3" t="s">
        <v>192</v>
      </c>
      <c r="B233" s="52"/>
      <c r="C233" s="4"/>
      <c r="D233" s="52"/>
      <c r="E233" s="52">
        <f>F233-D233</f>
        <v>0</v>
      </c>
      <c r="F233" s="52"/>
      <c r="G233" s="4"/>
      <c r="H233" s="52"/>
      <c r="I233" s="4"/>
      <c r="J233" s="52"/>
      <c r="K233" s="52">
        <f>L233-J233</f>
        <v>0</v>
      </c>
      <c r="L233" s="37"/>
      <c r="M233" s="32"/>
      <c r="N233" s="52">
        <f>L233-F233</f>
        <v>0</v>
      </c>
      <c r="P233" s="52"/>
      <c r="R233" s="52"/>
      <c r="S233" s="52"/>
      <c r="T233" s="52"/>
      <c r="U233" s="52"/>
      <c r="V233" s="52">
        <v>150</v>
      </c>
      <c r="W233" s="52"/>
      <c r="X233" s="52"/>
      <c r="Y233" s="52"/>
      <c r="Z233" s="52"/>
      <c r="AC233" s="52"/>
      <c r="AD233" s="52"/>
      <c r="AE233" s="52"/>
      <c r="AF233" s="52"/>
      <c r="AI233" s="52"/>
      <c r="AK233" s="52"/>
      <c r="AM233" s="52"/>
      <c r="AO233" s="52"/>
      <c r="AQ233" s="52"/>
      <c r="AS233" s="52"/>
      <c r="AU233" s="52"/>
      <c r="AW233" s="52"/>
      <c r="AY233" s="52"/>
      <c r="BA233" s="52"/>
      <c r="BC233" s="52"/>
      <c r="BE233" s="52"/>
    </row>
    <row r="234" spans="1:57" hidden="1" outlineLevel="1" x14ac:dyDescent="0.25">
      <c r="A234" s="7" t="s">
        <v>193</v>
      </c>
      <c r="BC234" s="3"/>
      <c r="BE234" s="3"/>
    </row>
    <row r="235" spans="1:57" hidden="1" outlineLevel="1" x14ac:dyDescent="0.25">
      <c r="A235" s="3" t="s">
        <v>194</v>
      </c>
      <c r="AI235" s="326"/>
      <c r="BC235" s="3"/>
      <c r="BE235" s="3"/>
    </row>
    <row r="236" spans="1:57" hidden="1" outlineLevel="1" x14ac:dyDescent="0.25">
      <c r="A236" s="3" t="s">
        <v>195</v>
      </c>
      <c r="J236" s="3">
        <v>21173</v>
      </c>
      <c r="K236" s="4">
        <f>L236-J236</f>
        <v>0</v>
      </c>
      <c r="L236" s="4">
        <v>21173</v>
      </c>
      <c r="M236" s="32"/>
      <c r="N236" s="4">
        <f>L236-F236</f>
        <v>21173</v>
      </c>
      <c r="AI236" s="326"/>
      <c r="BC236" s="3"/>
      <c r="BE236" s="3"/>
    </row>
    <row r="237" spans="1:57" hidden="1" outlineLevel="1" x14ac:dyDescent="0.25">
      <c r="A237" s="3" t="s">
        <v>90</v>
      </c>
      <c r="AI237" s="326"/>
      <c r="BC237" s="3"/>
      <c r="BE237" s="3"/>
    </row>
    <row r="238" spans="1:57" hidden="1" outlineLevel="1" x14ac:dyDescent="0.25">
      <c r="A238" s="3" t="s">
        <v>196</v>
      </c>
      <c r="B238" s="3">
        <v>5000</v>
      </c>
      <c r="E238" s="3">
        <f>F238-D238</f>
        <v>5000</v>
      </c>
      <c r="F238" s="3">
        <v>5000</v>
      </c>
      <c r="H238" s="3">
        <f>F238-B238</f>
        <v>0</v>
      </c>
      <c r="J238" s="3">
        <v>9091</v>
      </c>
      <c r="K238" s="4">
        <f>L238-J238</f>
        <v>0</v>
      </c>
      <c r="L238" s="4">
        <v>9091</v>
      </c>
      <c r="M238" s="32"/>
      <c r="N238" s="4">
        <f>L238-F238</f>
        <v>4091</v>
      </c>
      <c r="P238" s="3">
        <v>2500</v>
      </c>
      <c r="R238" s="3">
        <v>0</v>
      </c>
      <c r="S238" s="3">
        <f>T238-R238</f>
        <v>2500</v>
      </c>
      <c r="T238" s="3">
        <v>2500</v>
      </c>
      <c r="U238" s="3">
        <f>T238-P238</f>
        <v>0</v>
      </c>
      <c r="W238" s="3">
        <f>Y238-V238</f>
        <v>2500</v>
      </c>
      <c r="Y238" s="3">
        <v>2500</v>
      </c>
      <c r="Z238" s="3">
        <f>Y238-T238</f>
        <v>0</v>
      </c>
      <c r="AC238" s="3">
        <v>0</v>
      </c>
      <c r="AD238" s="3">
        <f>AE238-AC238</f>
        <v>2500</v>
      </c>
      <c r="AE238" s="3">
        <v>2500</v>
      </c>
      <c r="AF238" s="3">
        <f>AE238-Y238</f>
        <v>0</v>
      </c>
      <c r="AI238" s="326"/>
      <c r="AR238" s="3"/>
      <c r="AT238" s="3"/>
      <c r="AV238" s="3"/>
      <c r="AX238" s="3"/>
      <c r="BC238" s="3"/>
      <c r="BE238" s="3"/>
    </row>
    <row r="239" spans="1:57" hidden="1" outlineLevel="1" x14ac:dyDescent="0.25">
      <c r="A239" s="7"/>
      <c r="B239" s="62">
        <f>SUM(B235:B238)</f>
        <v>5000</v>
      </c>
      <c r="C239" s="32"/>
      <c r="D239" s="62">
        <f>SUM(D235:D238)</f>
        <v>0</v>
      </c>
      <c r="E239" s="62">
        <f>SUM(E235:E238)</f>
        <v>5000</v>
      </c>
      <c r="F239" s="62">
        <f>SUM(F235:F238)</f>
        <v>5000</v>
      </c>
      <c r="G239" s="32"/>
      <c r="H239" s="62">
        <f>SUM(H235:H238)</f>
        <v>0</v>
      </c>
      <c r="I239" s="32"/>
      <c r="J239" s="62">
        <f>SUM(J235:J238)</f>
        <v>30264</v>
      </c>
      <c r="K239" s="62">
        <f>SUM(K235:K238)</f>
        <v>0</v>
      </c>
      <c r="L239" s="62">
        <f>SUM(L235:L238)</f>
        <v>30264</v>
      </c>
      <c r="M239" s="32"/>
      <c r="N239" s="62">
        <f>SUM(N235:N238)</f>
        <v>25264</v>
      </c>
      <c r="P239" s="62">
        <f>SUM(P235:P238)</f>
        <v>2500</v>
      </c>
      <c r="R239" s="62">
        <f t="shared" ref="R239:Z239" si="140">SUM(R235:R238)</f>
        <v>0</v>
      </c>
      <c r="S239" s="62">
        <f t="shared" si="140"/>
        <v>2500</v>
      </c>
      <c r="T239" s="62">
        <f t="shared" si="140"/>
        <v>2500</v>
      </c>
      <c r="U239" s="62">
        <f t="shared" si="140"/>
        <v>0</v>
      </c>
      <c r="V239" s="62">
        <f t="shared" si="140"/>
        <v>0</v>
      </c>
      <c r="W239" s="62">
        <f t="shared" si="140"/>
        <v>2500</v>
      </c>
      <c r="X239" s="62"/>
      <c r="Y239" s="62">
        <f t="shared" si="140"/>
        <v>2500</v>
      </c>
      <c r="Z239" s="62">
        <f t="shared" si="140"/>
        <v>0</v>
      </c>
      <c r="AC239" s="62">
        <f>SUM(AC235:AC238)</f>
        <v>0</v>
      </c>
      <c r="AD239" s="62">
        <f>SUM(AD235:AD238)</f>
        <v>2500</v>
      </c>
      <c r="AE239" s="62">
        <f>SUM(AE235:AE238)</f>
        <v>2500</v>
      </c>
      <c r="AF239" s="62">
        <f>SUM(AF235:AF238)</f>
        <v>0</v>
      </c>
      <c r="AG239" s="32"/>
      <c r="AI239" s="62">
        <f>SUM(AI235:AI238)</f>
        <v>0</v>
      </c>
      <c r="AK239" s="62">
        <f>SUM(AK235:AK238)</f>
        <v>0</v>
      </c>
      <c r="AM239" s="62">
        <f>SUM(AM235:AM238)</f>
        <v>0</v>
      </c>
      <c r="AO239" s="62">
        <f>SUM(AO235:AO238)</f>
        <v>0</v>
      </c>
      <c r="AP239" s="32"/>
      <c r="AQ239" s="62">
        <f>SUM(AQ235:AQ238)</f>
        <v>0</v>
      </c>
      <c r="AS239" s="62">
        <f>SUM(AS235:AS238)</f>
        <v>0</v>
      </c>
      <c r="AU239" s="62">
        <f>SUM(AU235:AU238)</f>
        <v>0</v>
      </c>
      <c r="AW239" s="62">
        <f>SUM(AW235:AW238)</f>
        <v>0</v>
      </c>
      <c r="AY239" s="62">
        <f>SUM(AY235:AY238)</f>
        <v>0</v>
      </c>
      <c r="BA239" s="62">
        <f>SUM(BA235:BA238)</f>
        <v>0</v>
      </c>
      <c r="BC239" s="62">
        <f>SUM(BC235:BC238)</f>
        <v>0</v>
      </c>
      <c r="BE239" s="62">
        <f>SUM(BE235:BE238)</f>
        <v>0</v>
      </c>
    </row>
    <row r="240" spans="1:57" hidden="1" outlineLevel="1" x14ac:dyDescent="0.25">
      <c r="A240" s="7" t="s">
        <v>197</v>
      </c>
      <c r="BC240" s="3"/>
      <c r="BE240" s="3"/>
    </row>
    <row r="241" spans="1:57" hidden="1" outlineLevel="1" x14ac:dyDescent="0.25">
      <c r="A241" s="3" t="s">
        <v>198</v>
      </c>
      <c r="AI241" s="326"/>
      <c r="BC241" s="3"/>
      <c r="BE241" s="3"/>
    </row>
    <row r="242" spans="1:57" hidden="1" outlineLevel="1" x14ac:dyDescent="0.25">
      <c r="A242" s="3" t="s">
        <v>199</v>
      </c>
      <c r="AI242" s="326"/>
      <c r="BC242" s="3"/>
      <c r="BE242" s="3"/>
    </row>
    <row r="243" spans="1:57" hidden="1" outlineLevel="1" x14ac:dyDescent="0.25">
      <c r="A243" s="3" t="s">
        <v>200</v>
      </c>
      <c r="AI243" s="321"/>
      <c r="BC243" s="3"/>
      <c r="BE243" s="3"/>
    </row>
    <row r="244" spans="1:57" hidden="1" outlineLevel="1" x14ac:dyDescent="0.25">
      <c r="A244" s="3"/>
      <c r="B244" s="62">
        <f>SUM(B241:B243)</f>
        <v>0</v>
      </c>
      <c r="C244" s="32"/>
      <c r="D244" s="62">
        <f>SUM(D241:D243)</f>
        <v>0</v>
      </c>
      <c r="E244" s="62">
        <f>SUM(E241:E243)</f>
        <v>0</v>
      </c>
      <c r="F244" s="62">
        <f>SUM(F241:F243)</f>
        <v>0</v>
      </c>
      <c r="G244" s="32"/>
      <c r="H244" s="62">
        <f>SUM(H241:H243)</f>
        <v>0</v>
      </c>
      <c r="I244" s="62"/>
      <c r="J244" s="62">
        <v>0</v>
      </c>
      <c r="K244" s="62">
        <f>L244-J244</f>
        <v>0</v>
      </c>
      <c r="L244" s="62">
        <v>0</v>
      </c>
      <c r="M244" s="32"/>
      <c r="N244" s="62"/>
      <c r="O244" s="62"/>
      <c r="P244" s="62">
        <f>SUM(P241:P243)</f>
        <v>0</v>
      </c>
      <c r="R244" s="62">
        <f t="shared" ref="R244:Z244" si="141">SUM(R241:R243)</f>
        <v>0</v>
      </c>
      <c r="S244" s="62">
        <f t="shared" si="141"/>
        <v>0</v>
      </c>
      <c r="T244" s="62">
        <f t="shared" si="141"/>
        <v>0</v>
      </c>
      <c r="U244" s="62">
        <f t="shared" si="141"/>
        <v>0</v>
      </c>
      <c r="V244" s="62">
        <f t="shared" si="141"/>
        <v>0</v>
      </c>
      <c r="W244" s="62">
        <f t="shared" si="141"/>
        <v>0</v>
      </c>
      <c r="X244" s="62"/>
      <c r="Y244" s="62">
        <f t="shared" si="141"/>
        <v>0</v>
      </c>
      <c r="Z244" s="62">
        <f t="shared" si="141"/>
        <v>0</v>
      </c>
      <c r="AC244" s="62">
        <f>SUM(AC241:AC243)</f>
        <v>0</v>
      </c>
      <c r="AD244" s="62">
        <v>0</v>
      </c>
      <c r="AE244" s="62"/>
      <c r="AF244" s="62">
        <f>AE244-AC244</f>
        <v>0</v>
      </c>
      <c r="AG244" s="32"/>
      <c r="AI244" s="62">
        <f>SUM(AI241:AI243)</f>
        <v>0</v>
      </c>
      <c r="AK244" s="62">
        <f>SUM(AK241:AK243)</f>
        <v>0</v>
      </c>
      <c r="AM244" s="62">
        <f>SUM(AM241:AM243)</f>
        <v>0</v>
      </c>
      <c r="AO244" s="62">
        <f>SUM(AO241:AO243)</f>
        <v>0</v>
      </c>
      <c r="AP244" s="32"/>
      <c r="AQ244" s="62">
        <f>SUM(AQ241:AQ243)</f>
        <v>0</v>
      </c>
      <c r="AS244" s="62">
        <f>SUM(AS241:AS243)</f>
        <v>0</v>
      </c>
      <c r="AU244" s="62">
        <f>SUM(AU241:AU243)</f>
        <v>0</v>
      </c>
      <c r="AW244" s="62">
        <f>SUM(AW241:AW243)</f>
        <v>0</v>
      </c>
      <c r="AY244" s="62">
        <f>SUM(AY241:AY243)</f>
        <v>0</v>
      </c>
      <c r="BA244" s="62">
        <f>SUM(BA241:BA243)</f>
        <v>0</v>
      </c>
      <c r="BC244" s="62">
        <f>SUM(BC241:BC243)</f>
        <v>0</v>
      </c>
      <c r="BE244" s="62">
        <f>SUM(BE241:BE243)</f>
        <v>0</v>
      </c>
    </row>
    <row r="245" spans="1:57" hidden="1" outlineLevel="1" x14ac:dyDescent="0.25">
      <c r="A245" s="7" t="s">
        <v>201</v>
      </c>
      <c r="BC245" s="3"/>
      <c r="BE245" s="3"/>
    </row>
    <row r="246" spans="1:57" hidden="1" outlineLevel="1" x14ac:dyDescent="0.25">
      <c r="A246" s="3" t="s">
        <v>202</v>
      </c>
      <c r="AI246" s="321"/>
      <c r="BC246" s="3"/>
      <c r="BE246" s="3"/>
    </row>
    <row r="247" spans="1:57" hidden="1" outlineLevel="1" x14ac:dyDescent="0.25">
      <c r="A247" s="3" t="s">
        <v>203</v>
      </c>
      <c r="AI247" s="321"/>
      <c r="BC247" s="3"/>
      <c r="BE247" s="3"/>
    </row>
    <row r="248" spans="1:57" hidden="1" outlineLevel="1" x14ac:dyDescent="0.25">
      <c r="A248" s="3"/>
      <c r="B248" s="62">
        <f>SUM(B246:B247)</f>
        <v>0</v>
      </c>
      <c r="C248" s="32"/>
      <c r="D248" s="62">
        <f>SUM(D246:D247)</f>
        <v>0</v>
      </c>
      <c r="E248" s="62">
        <f>SUM(E246:E247)</f>
        <v>0</v>
      </c>
      <c r="F248" s="62">
        <f>SUM(F246:F247)</f>
        <v>0</v>
      </c>
      <c r="G248" s="32"/>
      <c r="H248" s="62">
        <f>SUM(H246:H247)</f>
        <v>0</v>
      </c>
      <c r="I248" s="32"/>
      <c r="J248" s="62">
        <f>SUM(J246:J247)</f>
        <v>0</v>
      </c>
      <c r="K248" s="62">
        <f>SUM(K246:K247)</f>
        <v>0</v>
      </c>
      <c r="L248" s="62">
        <f>SUM(L246:L247)</f>
        <v>0</v>
      </c>
      <c r="M248" s="32"/>
      <c r="N248" s="62">
        <f>SUM(N246:N247)</f>
        <v>0</v>
      </c>
      <c r="P248" s="62">
        <f>SUM(P246:P247)</f>
        <v>0</v>
      </c>
      <c r="R248" s="62">
        <f t="shared" ref="R248:Z248" si="142">SUM(R246:R247)</f>
        <v>0</v>
      </c>
      <c r="S248" s="62">
        <f t="shared" si="142"/>
        <v>0</v>
      </c>
      <c r="T248" s="62">
        <f t="shared" si="142"/>
        <v>0</v>
      </c>
      <c r="U248" s="62">
        <f t="shared" si="142"/>
        <v>0</v>
      </c>
      <c r="V248" s="62">
        <f t="shared" si="142"/>
        <v>0</v>
      </c>
      <c r="W248" s="62">
        <f t="shared" si="142"/>
        <v>0</v>
      </c>
      <c r="X248" s="62"/>
      <c r="Y248" s="62">
        <f t="shared" si="142"/>
        <v>0</v>
      </c>
      <c r="Z248" s="62">
        <f t="shared" si="142"/>
        <v>0</v>
      </c>
      <c r="AC248" s="62">
        <f>SUM(AC246:AC247)</f>
        <v>0</v>
      </c>
      <c r="AD248" s="62">
        <f>SUM(AD243:AD247)</f>
        <v>0</v>
      </c>
      <c r="AE248" s="62">
        <v>0</v>
      </c>
      <c r="AF248" s="62">
        <f>AE248-AC248</f>
        <v>0</v>
      </c>
      <c r="AG248" s="32"/>
      <c r="AI248" s="62">
        <f>SUM(AI246:AI247)</f>
        <v>0</v>
      </c>
      <c r="AK248" s="62">
        <f>SUM(AK246:AK247)</f>
        <v>0</v>
      </c>
      <c r="AM248" s="62">
        <f>SUM(AM246:AM247)</f>
        <v>0</v>
      </c>
      <c r="AO248" s="62">
        <f>SUM(AO246:AO247)</f>
        <v>0</v>
      </c>
      <c r="AP248" s="32"/>
      <c r="AQ248" s="62">
        <f>SUM(AQ246:AQ247)</f>
        <v>0</v>
      </c>
      <c r="AS248" s="62">
        <f>SUM(AS246:AS247)</f>
        <v>0</v>
      </c>
      <c r="AU248" s="62">
        <f>SUM(AU246:AU247)</f>
        <v>0</v>
      </c>
      <c r="AW248" s="62">
        <f>SUM(AW246:AW247)</f>
        <v>0</v>
      </c>
      <c r="AY248" s="62">
        <f>SUM(AY246:AY247)</f>
        <v>0</v>
      </c>
      <c r="BA248" s="62">
        <f>SUM(BA246:BA247)</f>
        <v>0</v>
      </c>
      <c r="BC248" s="62">
        <f>SUM(BC246:BC247)</f>
        <v>0</v>
      </c>
      <c r="BE248" s="62">
        <f>SUM(BE246:BE247)</f>
        <v>0</v>
      </c>
    </row>
    <row r="249" spans="1:57" hidden="1" outlineLevel="1" x14ac:dyDescent="0.25">
      <c r="A249" s="7" t="s">
        <v>204</v>
      </c>
      <c r="BC249" s="3"/>
      <c r="BE249" s="3"/>
    </row>
    <row r="250" spans="1:57" hidden="1" outlineLevel="1" x14ac:dyDescent="0.25">
      <c r="A250" s="3" t="s">
        <v>205</v>
      </c>
      <c r="B250" s="3">
        <v>383000</v>
      </c>
      <c r="E250" s="3">
        <f t="shared" ref="E250:E263" si="143">F250-D250</f>
        <v>270370</v>
      </c>
      <c r="F250" s="3">
        <v>270370</v>
      </c>
      <c r="H250" s="3">
        <f t="shared" ref="H250:H263" si="144">F250-B250</f>
        <v>-112630</v>
      </c>
      <c r="J250" s="3">
        <v>187500</v>
      </c>
      <c r="K250" s="4">
        <f t="shared" ref="K250:K263" si="145">L250-J250</f>
        <v>57781</v>
      </c>
      <c r="L250" s="4">
        <v>245281</v>
      </c>
      <c r="M250" s="32"/>
      <c r="N250" s="4">
        <f t="shared" ref="N250:N263" si="146">L250-F250</f>
        <v>-25089</v>
      </c>
      <c r="P250" s="3">
        <v>384350</v>
      </c>
      <c r="R250" s="3">
        <v>0</v>
      </c>
      <c r="S250" s="3">
        <f t="shared" ref="S250:S263" si="147">T250-R250</f>
        <v>384350</v>
      </c>
      <c r="T250" s="3">
        <v>384350</v>
      </c>
      <c r="U250" s="3">
        <f t="shared" ref="U250:U263" si="148">T250-P250</f>
        <v>0</v>
      </c>
      <c r="V250" s="3">
        <v>22037</v>
      </c>
      <c r="W250" s="3">
        <f t="shared" ref="W250:W263" si="149">Y250-V250</f>
        <v>372963</v>
      </c>
      <c r="Y250" s="3">
        <v>395000</v>
      </c>
      <c r="Z250" s="3">
        <f t="shared" ref="Z250:Z263" si="150">Y250-T250</f>
        <v>10650</v>
      </c>
      <c r="AC250" s="3">
        <v>205133</v>
      </c>
      <c r="AD250" s="3">
        <f t="shared" ref="AD250:AD263" si="151">AE250-AC250</f>
        <v>189867</v>
      </c>
      <c r="AE250" s="3">
        <v>395000</v>
      </c>
      <c r="AF250" s="3">
        <f t="shared" ref="AF250:AF263" si="152">AE250-Y250</f>
        <v>0</v>
      </c>
      <c r="AI250" s="321">
        <v>394000</v>
      </c>
      <c r="AK250" s="3">
        <f>AI250*1.025</f>
        <v>403849.99999999994</v>
      </c>
      <c r="AM250" s="3">
        <v>413950</v>
      </c>
      <c r="AO250" s="3">
        <v>424300</v>
      </c>
      <c r="AQ250" s="3">
        <v>434900</v>
      </c>
      <c r="AS250" s="3">
        <v>445750</v>
      </c>
      <c r="AU250" s="3">
        <v>456900</v>
      </c>
      <c r="AW250" s="3">
        <v>468300</v>
      </c>
      <c r="AY250" s="3">
        <v>480050</v>
      </c>
      <c r="BA250" s="3">
        <v>480050</v>
      </c>
      <c r="BC250" s="3">
        <v>480050</v>
      </c>
      <c r="BE250" s="3">
        <v>480050</v>
      </c>
    </row>
    <row r="251" spans="1:57" hidden="1" outlineLevel="1" x14ac:dyDescent="0.25">
      <c r="A251" s="3" t="s">
        <v>206</v>
      </c>
      <c r="E251" s="3">
        <f t="shared" si="143"/>
        <v>38190</v>
      </c>
      <c r="F251" s="3">
        <v>38190</v>
      </c>
      <c r="H251" s="3">
        <f t="shared" si="144"/>
        <v>38190</v>
      </c>
      <c r="K251" s="4">
        <f t="shared" si="145"/>
        <v>16796</v>
      </c>
      <c r="L251" s="4">
        <v>16796</v>
      </c>
      <c r="N251" s="4">
        <f t="shared" si="146"/>
        <v>-21394</v>
      </c>
      <c r="S251" s="3">
        <f t="shared" si="147"/>
        <v>0</v>
      </c>
      <c r="U251" s="3">
        <f t="shared" si="148"/>
        <v>0</v>
      </c>
      <c r="V251" s="3">
        <v>30990</v>
      </c>
      <c r="W251" s="3">
        <f t="shared" si="149"/>
        <v>0</v>
      </c>
      <c r="Y251" s="3">
        <v>30990</v>
      </c>
      <c r="Z251" s="3">
        <f t="shared" si="150"/>
        <v>30990</v>
      </c>
      <c r="AD251" s="3">
        <f t="shared" si="151"/>
        <v>31990</v>
      </c>
      <c r="AE251" s="3">
        <v>31990</v>
      </c>
      <c r="AF251" s="3">
        <f t="shared" si="152"/>
        <v>1000</v>
      </c>
      <c r="AI251" s="321"/>
      <c r="BC251" s="3"/>
      <c r="BE251" s="3"/>
    </row>
    <row r="252" spans="1:57" hidden="1" outlineLevel="1" x14ac:dyDescent="0.25">
      <c r="A252" s="3" t="s">
        <v>207</v>
      </c>
      <c r="E252" s="3">
        <f t="shared" si="143"/>
        <v>0</v>
      </c>
      <c r="H252" s="3">
        <f t="shared" si="144"/>
        <v>0</v>
      </c>
      <c r="K252" s="4">
        <f t="shared" si="145"/>
        <v>0</v>
      </c>
      <c r="L252" s="4"/>
      <c r="N252" s="4">
        <f t="shared" si="146"/>
        <v>0</v>
      </c>
      <c r="S252" s="3">
        <f t="shared" si="147"/>
        <v>0</v>
      </c>
      <c r="U252" s="3">
        <f t="shared" si="148"/>
        <v>0</v>
      </c>
      <c r="W252" s="3">
        <f t="shared" si="149"/>
        <v>0</v>
      </c>
      <c r="Z252" s="3">
        <f t="shared" si="150"/>
        <v>0</v>
      </c>
      <c r="AD252" s="3">
        <f t="shared" si="151"/>
        <v>0</v>
      </c>
      <c r="AF252" s="3">
        <f t="shared" si="152"/>
        <v>0</v>
      </c>
      <c r="AI252" s="321"/>
      <c r="BC252" s="3"/>
      <c r="BE252" s="3"/>
    </row>
    <row r="253" spans="1:57" hidden="1" outlineLevel="1" x14ac:dyDescent="0.25">
      <c r="A253" s="3" t="s">
        <v>208</v>
      </c>
      <c r="E253" s="3">
        <f t="shared" si="143"/>
        <v>0</v>
      </c>
      <c r="H253" s="3">
        <f t="shared" si="144"/>
        <v>0</v>
      </c>
      <c r="K253" s="4">
        <f t="shared" si="145"/>
        <v>0</v>
      </c>
      <c r="L253" s="4"/>
      <c r="N253" s="4">
        <f t="shared" si="146"/>
        <v>0</v>
      </c>
      <c r="S253" s="3">
        <f t="shared" si="147"/>
        <v>0</v>
      </c>
      <c r="U253" s="3">
        <f t="shared" si="148"/>
        <v>0</v>
      </c>
      <c r="W253" s="3">
        <f t="shared" si="149"/>
        <v>0</v>
      </c>
      <c r="Z253" s="3">
        <f t="shared" si="150"/>
        <v>0</v>
      </c>
      <c r="AD253" s="3">
        <f t="shared" si="151"/>
        <v>0</v>
      </c>
      <c r="AF253" s="3">
        <f t="shared" si="152"/>
        <v>0</v>
      </c>
      <c r="AI253" s="321"/>
      <c r="BC253" s="3"/>
      <c r="BE253" s="3"/>
    </row>
    <row r="254" spans="1:57" hidden="1" outlineLevel="1" x14ac:dyDescent="0.25">
      <c r="A254" s="3" t="s">
        <v>209</v>
      </c>
      <c r="E254" s="3">
        <f t="shared" si="143"/>
        <v>0</v>
      </c>
      <c r="H254" s="3">
        <f t="shared" si="144"/>
        <v>0</v>
      </c>
      <c r="K254" s="4">
        <f t="shared" si="145"/>
        <v>0</v>
      </c>
      <c r="L254" s="4"/>
      <c r="N254" s="4">
        <f t="shared" si="146"/>
        <v>0</v>
      </c>
      <c r="S254" s="3">
        <f t="shared" si="147"/>
        <v>0</v>
      </c>
      <c r="U254" s="3">
        <f t="shared" si="148"/>
        <v>0</v>
      </c>
      <c r="W254" s="3">
        <f t="shared" si="149"/>
        <v>0</v>
      </c>
      <c r="Z254" s="3">
        <f t="shared" si="150"/>
        <v>0</v>
      </c>
      <c r="AD254" s="3">
        <f t="shared" si="151"/>
        <v>0</v>
      </c>
      <c r="AF254" s="3">
        <f t="shared" si="152"/>
        <v>0</v>
      </c>
      <c r="AI254" s="321"/>
      <c r="BC254" s="3"/>
      <c r="BE254" s="3"/>
    </row>
    <row r="255" spans="1:57" hidden="1" outlineLevel="1" x14ac:dyDescent="0.25">
      <c r="A255" s="3" t="s">
        <v>210</v>
      </c>
      <c r="E255" s="3">
        <f t="shared" si="143"/>
        <v>66440</v>
      </c>
      <c r="F255" s="3">
        <v>66440</v>
      </c>
      <c r="H255" s="3">
        <f t="shared" si="144"/>
        <v>66440</v>
      </c>
      <c r="K255" s="4">
        <f t="shared" si="145"/>
        <v>64719</v>
      </c>
      <c r="L255" s="4">
        <v>64719</v>
      </c>
      <c r="N255" s="4">
        <f t="shared" si="146"/>
        <v>-1721</v>
      </c>
      <c r="S255" s="3">
        <f t="shared" si="147"/>
        <v>0</v>
      </c>
      <c r="U255" s="3">
        <f t="shared" si="148"/>
        <v>0</v>
      </c>
      <c r="W255" s="3">
        <f t="shared" si="149"/>
        <v>0</v>
      </c>
      <c r="Z255" s="3">
        <f t="shared" si="150"/>
        <v>0</v>
      </c>
      <c r="AD255" s="3">
        <f t="shared" si="151"/>
        <v>0</v>
      </c>
      <c r="AF255" s="3">
        <f t="shared" si="152"/>
        <v>0</v>
      </c>
      <c r="AI255" s="321"/>
      <c r="BC255" s="3"/>
      <c r="BE255" s="3"/>
    </row>
    <row r="256" spans="1:57" hidden="1" outlineLevel="1" x14ac:dyDescent="0.25">
      <c r="A256" s="3" t="s">
        <v>211</v>
      </c>
      <c r="E256" s="3">
        <f t="shared" si="143"/>
        <v>0</v>
      </c>
      <c r="H256" s="3">
        <f t="shared" si="144"/>
        <v>0</v>
      </c>
      <c r="K256" s="4">
        <f t="shared" si="145"/>
        <v>65000</v>
      </c>
      <c r="L256" s="4">
        <v>65000</v>
      </c>
      <c r="N256" s="4">
        <f t="shared" si="146"/>
        <v>65000</v>
      </c>
      <c r="P256" s="4"/>
      <c r="Q256" s="4"/>
      <c r="R256" s="4"/>
      <c r="S256" s="3">
        <f t="shared" si="147"/>
        <v>0</v>
      </c>
      <c r="U256" s="3">
        <f t="shared" si="148"/>
        <v>0</v>
      </c>
      <c r="V256" s="4"/>
      <c r="W256" s="3">
        <f t="shared" si="149"/>
        <v>0</v>
      </c>
      <c r="Y256" s="4"/>
      <c r="Z256" s="3">
        <f t="shared" si="150"/>
        <v>0</v>
      </c>
      <c r="AA256" s="4"/>
      <c r="AB256" s="4"/>
      <c r="AC256" s="4"/>
      <c r="AD256" s="3">
        <f t="shared" si="151"/>
        <v>0</v>
      </c>
      <c r="AF256" s="3">
        <f t="shared" si="152"/>
        <v>0</v>
      </c>
      <c r="AI256" s="322"/>
      <c r="AJ256" s="4"/>
      <c r="AK256" s="4"/>
      <c r="AL256" s="4"/>
      <c r="AM256" s="4"/>
      <c r="AN256" s="4"/>
      <c r="AO256" s="4"/>
      <c r="AQ256" s="4"/>
      <c r="AR256" s="51"/>
      <c r="AS256" s="4"/>
      <c r="AT256" s="51"/>
      <c r="AU256" s="4"/>
      <c r="AV256" s="51"/>
      <c r="AW256" s="4"/>
      <c r="AX256" s="51"/>
      <c r="AY256" s="4"/>
      <c r="BA256" s="4"/>
      <c r="BC256" s="4"/>
      <c r="BE256" s="4"/>
    </row>
    <row r="257" spans="1:57" hidden="1" outlineLevel="1" x14ac:dyDescent="0.25">
      <c r="A257" s="3" t="s">
        <v>212</v>
      </c>
      <c r="B257" s="3">
        <v>80000</v>
      </c>
      <c r="E257" s="3">
        <f t="shared" si="143"/>
        <v>65000</v>
      </c>
      <c r="F257" s="3">
        <v>65000</v>
      </c>
      <c r="H257" s="3">
        <f t="shared" si="144"/>
        <v>-15000</v>
      </c>
      <c r="K257" s="4">
        <f t="shared" si="145"/>
        <v>65000</v>
      </c>
      <c r="L257" s="4">
        <v>65000</v>
      </c>
      <c r="N257" s="4">
        <f t="shared" si="146"/>
        <v>0</v>
      </c>
      <c r="P257" s="4">
        <v>67350</v>
      </c>
      <c r="Q257" s="4"/>
      <c r="R257" s="4">
        <v>0</v>
      </c>
      <c r="S257" s="3">
        <f t="shared" si="147"/>
        <v>67350</v>
      </c>
      <c r="T257" s="3">
        <v>67350</v>
      </c>
      <c r="U257" s="3">
        <f t="shared" si="148"/>
        <v>0</v>
      </c>
      <c r="V257" s="4">
        <v>0</v>
      </c>
      <c r="W257" s="3">
        <f t="shared" si="149"/>
        <v>67350</v>
      </c>
      <c r="Y257" s="4">
        <v>67350</v>
      </c>
      <c r="Z257" s="3">
        <f t="shared" si="150"/>
        <v>0</v>
      </c>
      <c r="AA257" s="4"/>
      <c r="AB257" s="4"/>
      <c r="AC257" s="4"/>
      <c r="AD257" s="3">
        <f t="shared" si="151"/>
        <v>67350</v>
      </c>
      <c r="AE257" s="3">
        <v>67350</v>
      </c>
      <c r="AF257" s="3">
        <f t="shared" si="152"/>
        <v>0</v>
      </c>
      <c r="AI257" s="322">
        <v>69050</v>
      </c>
      <c r="AJ257" s="4"/>
      <c r="AK257" s="4">
        <v>70800</v>
      </c>
      <c r="AL257" s="4"/>
      <c r="AM257" s="4">
        <v>72550</v>
      </c>
      <c r="AN257" s="4"/>
      <c r="AO257" s="4">
        <v>74350</v>
      </c>
      <c r="AQ257" s="4">
        <v>76200</v>
      </c>
      <c r="AR257" s="51"/>
      <c r="AS257" s="4">
        <v>78100</v>
      </c>
      <c r="AT257" s="51"/>
      <c r="AU257" s="4">
        <v>80100</v>
      </c>
      <c r="AV257" s="51"/>
      <c r="AW257" s="4">
        <v>82100</v>
      </c>
      <c r="AX257" s="51"/>
      <c r="AY257" s="4">
        <v>84100</v>
      </c>
      <c r="BA257" s="4">
        <v>84100</v>
      </c>
      <c r="BC257" s="4">
        <v>84100</v>
      </c>
      <c r="BE257" s="4">
        <v>84100</v>
      </c>
    </row>
    <row r="258" spans="1:57" hidden="1" outlineLevel="1" x14ac:dyDescent="0.25">
      <c r="A258" s="3" t="s">
        <v>213</v>
      </c>
      <c r="E258" s="3">
        <f t="shared" si="143"/>
        <v>0</v>
      </c>
      <c r="H258" s="3">
        <f t="shared" si="144"/>
        <v>0</v>
      </c>
      <c r="K258" s="4">
        <f t="shared" si="145"/>
        <v>0</v>
      </c>
      <c r="L258" s="4"/>
      <c r="N258" s="4">
        <f t="shared" si="146"/>
        <v>0</v>
      </c>
      <c r="S258" s="3">
        <f t="shared" si="147"/>
        <v>0</v>
      </c>
      <c r="U258" s="3">
        <f t="shared" si="148"/>
        <v>0</v>
      </c>
      <c r="W258" s="3">
        <f t="shared" si="149"/>
        <v>0</v>
      </c>
      <c r="Z258" s="3">
        <f t="shared" si="150"/>
        <v>0</v>
      </c>
      <c r="AD258" s="3">
        <f t="shared" si="151"/>
        <v>0</v>
      </c>
      <c r="AF258" s="3">
        <f t="shared" si="152"/>
        <v>0</v>
      </c>
      <c r="AI258" s="321"/>
      <c r="BC258" s="3"/>
      <c r="BE258" s="3"/>
    </row>
    <row r="259" spans="1:57" hidden="1" outlineLevel="1" x14ac:dyDescent="0.25">
      <c r="A259" s="3" t="s">
        <v>203</v>
      </c>
      <c r="E259" s="3">
        <f t="shared" si="143"/>
        <v>0</v>
      </c>
      <c r="H259" s="3">
        <f t="shared" si="144"/>
        <v>0</v>
      </c>
      <c r="K259" s="4">
        <f t="shared" si="145"/>
        <v>0</v>
      </c>
      <c r="L259" s="4"/>
      <c r="N259" s="4">
        <f t="shared" si="146"/>
        <v>0</v>
      </c>
      <c r="S259" s="3">
        <f t="shared" si="147"/>
        <v>0</v>
      </c>
      <c r="U259" s="3">
        <f t="shared" si="148"/>
        <v>0</v>
      </c>
      <c r="W259" s="3">
        <f t="shared" si="149"/>
        <v>0</v>
      </c>
      <c r="Z259" s="3">
        <f t="shared" si="150"/>
        <v>0</v>
      </c>
      <c r="AD259" s="3">
        <f t="shared" si="151"/>
        <v>0</v>
      </c>
      <c r="AF259" s="3">
        <f t="shared" si="152"/>
        <v>0</v>
      </c>
      <c r="AI259" s="321"/>
      <c r="BC259" s="3"/>
      <c r="BE259" s="3"/>
    </row>
    <row r="260" spans="1:57" hidden="1" outlineLevel="1" x14ac:dyDescent="0.25">
      <c r="A260" s="3" t="s">
        <v>214</v>
      </c>
      <c r="E260" s="3">
        <f t="shared" si="143"/>
        <v>0</v>
      </c>
      <c r="H260" s="3">
        <f t="shared" si="144"/>
        <v>0</v>
      </c>
      <c r="K260" s="4">
        <f t="shared" si="145"/>
        <v>0</v>
      </c>
      <c r="L260" s="4"/>
      <c r="N260" s="4">
        <f t="shared" si="146"/>
        <v>0</v>
      </c>
      <c r="P260" s="3">
        <v>7000</v>
      </c>
      <c r="S260" s="3">
        <f t="shared" si="147"/>
        <v>7000</v>
      </c>
      <c r="T260" s="3">
        <v>7000</v>
      </c>
      <c r="U260" s="3">
        <f t="shared" si="148"/>
        <v>0</v>
      </c>
      <c r="W260" s="3">
        <f t="shared" si="149"/>
        <v>7000</v>
      </c>
      <c r="Y260" s="3">
        <v>7000</v>
      </c>
      <c r="Z260" s="3">
        <f t="shared" si="150"/>
        <v>0</v>
      </c>
      <c r="AC260" s="3">
        <v>0</v>
      </c>
      <c r="AD260" s="3">
        <f t="shared" si="151"/>
        <v>7000</v>
      </c>
      <c r="AE260" s="3">
        <v>7000</v>
      </c>
      <c r="AF260" s="3">
        <f t="shared" si="152"/>
        <v>0</v>
      </c>
      <c r="AI260" s="321">
        <v>7000</v>
      </c>
      <c r="AK260" s="3">
        <v>7000</v>
      </c>
      <c r="AM260" s="3">
        <v>7000</v>
      </c>
      <c r="AO260" s="3">
        <v>8000</v>
      </c>
      <c r="AQ260" s="3">
        <v>8000</v>
      </c>
      <c r="AS260" s="3">
        <v>8000</v>
      </c>
      <c r="AU260" s="3">
        <v>8000</v>
      </c>
      <c r="AW260" s="3">
        <v>8000</v>
      </c>
      <c r="AY260" s="3">
        <v>10000</v>
      </c>
      <c r="BA260" s="3">
        <v>10000</v>
      </c>
      <c r="BC260" s="3">
        <v>10000</v>
      </c>
      <c r="BE260" s="3">
        <v>10000</v>
      </c>
    </row>
    <row r="261" spans="1:57" hidden="1" outlineLevel="1" x14ac:dyDescent="0.25">
      <c r="A261" s="3" t="s">
        <v>215</v>
      </c>
      <c r="E261" s="3">
        <f t="shared" si="143"/>
        <v>0</v>
      </c>
      <c r="H261" s="3">
        <f t="shared" si="144"/>
        <v>0</v>
      </c>
      <c r="K261" s="4">
        <f t="shared" si="145"/>
        <v>0</v>
      </c>
      <c r="L261" s="4"/>
      <c r="N261" s="4">
        <f t="shared" si="146"/>
        <v>0</v>
      </c>
      <c r="S261" s="3">
        <f t="shared" si="147"/>
        <v>0</v>
      </c>
      <c r="U261" s="3">
        <f t="shared" si="148"/>
        <v>0</v>
      </c>
      <c r="W261" s="3">
        <f t="shared" si="149"/>
        <v>0</v>
      </c>
      <c r="Z261" s="3">
        <f t="shared" si="150"/>
        <v>0</v>
      </c>
      <c r="AD261" s="3">
        <f t="shared" si="151"/>
        <v>0</v>
      </c>
      <c r="AF261" s="3">
        <f t="shared" si="152"/>
        <v>0</v>
      </c>
      <c r="AI261" s="321"/>
      <c r="BC261" s="3"/>
      <c r="BE261" s="3"/>
    </row>
    <row r="262" spans="1:57" hidden="1" outlineLevel="1" x14ac:dyDescent="0.25">
      <c r="A262" s="3" t="s">
        <v>216</v>
      </c>
      <c r="K262" s="4"/>
      <c r="L262" s="4"/>
      <c r="N262" s="4"/>
      <c r="U262" s="3">
        <v>0</v>
      </c>
      <c r="V262" s="3">
        <v>0</v>
      </c>
      <c r="W262" s="3">
        <f t="shared" si="149"/>
        <v>31150</v>
      </c>
      <c r="Y262" s="3">
        <v>31150</v>
      </c>
      <c r="Z262" s="3">
        <f t="shared" si="150"/>
        <v>31150</v>
      </c>
      <c r="AD262" s="3">
        <f t="shared" si="151"/>
        <v>28520</v>
      </c>
      <c r="AE262" s="3">
        <v>28520</v>
      </c>
      <c r="AF262" s="3">
        <f t="shared" si="152"/>
        <v>-2630</v>
      </c>
      <c r="AI262" s="321"/>
      <c r="BC262" s="3"/>
      <c r="BE262" s="3"/>
    </row>
    <row r="263" spans="1:57" hidden="1" outlineLevel="1" x14ac:dyDescent="0.25">
      <c r="A263" s="3" t="s">
        <v>217</v>
      </c>
      <c r="B263" s="3">
        <v>18000</v>
      </c>
      <c r="E263" s="3">
        <f t="shared" si="143"/>
        <v>18000</v>
      </c>
      <c r="F263" s="3">
        <v>18000</v>
      </c>
      <c r="H263" s="3">
        <f t="shared" si="144"/>
        <v>0</v>
      </c>
      <c r="K263" s="4">
        <f t="shared" si="145"/>
        <v>18000</v>
      </c>
      <c r="L263" s="4">
        <v>18000</v>
      </c>
      <c r="N263" s="4">
        <f t="shared" si="146"/>
        <v>0</v>
      </c>
      <c r="P263" s="3">
        <v>39000</v>
      </c>
      <c r="S263" s="3">
        <f t="shared" si="147"/>
        <v>39000</v>
      </c>
      <c r="T263" s="3">
        <v>39000</v>
      </c>
      <c r="U263" s="3">
        <f t="shared" si="148"/>
        <v>0</v>
      </c>
      <c r="V263" s="3">
        <v>16571</v>
      </c>
      <c r="W263" s="3">
        <f t="shared" si="149"/>
        <v>22429</v>
      </c>
      <c r="Y263" s="3">
        <v>39000</v>
      </c>
      <c r="Z263" s="3">
        <f t="shared" si="150"/>
        <v>0</v>
      </c>
      <c r="AC263" s="3">
        <v>16571</v>
      </c>
      <c r="AD263" s="3">
        <f t="shared" si="151"/>
        <v>22429</v>
      </c>
      <c r="AE263" s="3">
        <v>39000</v>
      </c>
      <c r="AF263" s="3">
        <f t="shared" si="152"/>
        <v>0</v>
      </c>
      <c r="AI263" s="321">
        <v>29000</v>
      </c>
      <c r="AK263" s="3">
        <v>23000</v>
      </c>
      <c r="AM263" s="3">
        <v>66000</v>
      </c>
      <c r="AO263" s="3">
        <v>22500</v>
      </c>
      <c r="AQ263" s="3">
        <v>36000</v>
      </c>
      <c r="AS263" s="3">
        <v>65500</v>
      </c>
      <c r="AU263" s="3">
        <v>18000</v>
      </c>
      <c r="AW263" s="3">
        <v>29500</v>
      </c>
      <c r="AY263" s="3">
        <v>12500</v>
      </c>
      <c r="BA263" s="3">
        <v>12500</v>
      </c>
      <c r="BC263" s="3">
        <v>12500</v>
      </c>
      <c r="BE263" s="3">
        <v>12500</v>
      </c>
    </row>
    <row r="264" spans="1:57" hidden="1" outlineLevel="1" x14ac:dyDescent="0.25">
      <c r="A264" s="3" t="s">
        <v>216</v>
      </c>
      <c r="AI264" s="321"/>
      <c r="BC264" s="3"/>
      <c r="BE264" s="3"/>
    </row>
    <row r="265" spans="1:57" hidden="1" outlineLevel="1" x14ac:dyDescent="0.25">
      <c r="A265" s="3"/>
      <c r="B265" s="62">
        <f>SUM(B250:B264)</f>
        <v>481000</v>
      </c>
      <c r="C265" s="32"/>
      <c r="D265" s="62">
        <f>SUM(D250:D264)</f>
        <v>0</v>
      </c>
      <c r="E265" s="62">
        <f>SUM(E250:E264)</f>
        <v>458000</v>
      </c>
      <c r="F265" s="62">
        <f>SUM(F250:F264)</f>
        <v>458000</v>
      </c>
      <c r="G265" s="32"/>
      <c r="H265" s="62">
        <f>SUM(H250:H264)</f>
        <v>-23000</v>
      </c>
      <c r="I265" s="32"/>
      <c r="J265" s="62">
        <f>SUM(J250:J264)</f>
        <v>187500</v>
      </c>
      <c r="K265" s="62">
        <f>SUM(K250:K264)</f>
        <v>287296</v>
      </c>
      <c r="L265" s="62">
        <f>SUM(L250:L264)</f>
        <v>474796</v>
      </c>
      <c r="M265" s="32"/>
      <c r="N265" s="62">
        <f>SUM(N250:N264)</f>
        <v>16796</v>
      </c>
      <c r="P265" s="62">
        <f>SUM(P250:P264)</f>
        <v>497700</v>
      </c>
      <c r="R265" s="62">
        <f t="shared" ref="R265:Z265" si="153">SUM(R250:R264)</f>
        <v>0</v>
      </c>
      <c r="S265" s="62">
        <f t="shared" si="153"/>
        <v>497700</v>
      </c>
      <c r="T265" s="62">
        <f t="shared" si="153"/>
        <v>497700</v>
      </c>
      <c r="U265" s="62">
        <f t="shared" si="153"/>
        <v>0</v>
      </c>
      <c r="V265" s="62">
        <f t="shared" si="153"/>
        <v>69598</v>
      </c>
      <c r="W265" s="62">
        <f t="shared" si="153"/>
        <v>500892</v>
      </c>
      <c r="X265" s="62"/>
      <c r="Y265" s="62">
        <f t="shared" si="153"/>
        <v>570490</v>
      </c>
      <c r="Z265" s="62">
        <f t="shared" si="153"/>
        <v>72790</v>
      </c>
      <c r="AC265" s="62">
        <f>SUM(AC250:AC264)</f>
        <v>221704</v>
      </c>
      <c r="AD265" s="62">
        <f>SUM(AD250:AD264)</f>
        <v>347156</v>
      </c>
      <c r="AE265" s="62">
        <f>SUM(AE250:AE264)</f>
        <v>568860</v>
      </c>
      <c r="AF265" s="62">
        <f>SUM(AF250:AF264)</f>
        <v>-1630</v>
      </c>
      <c r="AG265" s="32"/>
      <c r="AI265" s="62">
        <f>SUM(AI250:AI264)</f>
        <v>499050</v>
      </c>
      <c r="AK265" s="62">
        <f>SUM(AK250:AK264)</f>
        <v>504649.99999999994</v>
      </c>
      <c r="AM265" s="62">
        <f>SUM(AM250:AM264)</f>
        <v>559500</v>
      </c>
      <c r="AO265" s="62">
        <f>SUM(AO250:AO264)</f>
        <v>529150</v>
      </c>
      <c r="AP265" s="32"/>
      <c r="AQ265" s="62">
        <f>SUM(AQ250:AQ264)</f>
        <v>555100</v>
      </c>
      <c r="AS265" s="62">
        <f>SUM(AS250:AS264)</f>
        <v>597350</v>
      </c>
      <c r="AU265" s="62">
        <f>SUM(AU250:AU264)</f>
        <v>563000</v>
      </c>
      <c r="AW265" s="62">
        <f>SUM(AW250:AW264)</f>
        <v>587900</v>
      </c>
      <c r="AY265" s="62">
        <f>SUM(AY250:AY264)</f>
        <v>586650</v>
      </c>
      <c r="BA265" s="62">
        <f>SUM(BA250:BA264)</f>
        <v>586650</v>
      </c>
      <c r="BC265" s="62">
        <f>SUM(BC250:BC264)</f>
        <v>586650</v>
      </c>
      <c r="BE265" s="62">
        <f>SUM(BE250:BE264)</f>
        <v>586650</v>
      </c>
    </row>
    <row r="266" spans="1:57" hidden="1" outlineLevel="1" x14ac:dyDescent="0.25">
      <c r="A266" s="7" t="s">
        <v>57</v>
      </c>
      <c r="BC266" s="3"/>
      <c r="BE266" s="3"/>
    </row>
    <row r="267" spans="1:57" hidden="1" outlineLevel="1" x14ac:dyDescent="0.25">
      <c r="A267" s="3" t="s">
        <v>218</v>
      </c>
      <c r="AI267" s="321">
        <v>2000000</v>
      </c>
      <c r="BC267" s="3"/>
      <c r="BE267" s="3"/>
    </row>
    <row r="268" spans="1:57" hidden="1" outlineLevel="1" x14ac:dyDescent="0.25">
      <c r="A268" s="3" t="s">
        <v>219</v>
      </c>
      <c r="E268" s="3">
        <f t="shared" ref="E268:E283" si="154">F268-D268</f>
        <v>0</v>
      </c>
      <c r="H268" s="3">
        <f t="shared" ref="H268:H283" si="155">F268-B268</f>
        <v>0</v>
      </c>
      <c r="K268" s="4">
        <f>L268-J268</f>
        <v>0</v>
      </c>
      <c r="L268" s="32"/>
      <c r="M268" s="32"/>
      <c r="N268" s="4">
        <f>L268-F268</f>
        <v>0</v>
      </c>
      <c r="AI268" s="321"/>
      <c r="BC268" s="3"/>
      <c r="BE268" s="3"/>
    </row>
    <row r="269" spans="1:57" hidden="1" outlineLevel="1" x14ac:dyDescent="0.25">
      <c r="A269" s="3" t="s">
        <v>220</v>
      </c>
      <c r="E269" s="3">
        <f t="shared" si="154"/>
        <v>0</v>
      </c>
      <c r="H269" s="3">
        <f t="shared" si="155"/>
        <v>0</v>
      </c>
      <c r="K269" s="4">
        <f>L269-J269</f>
        <v>0</v>
      </c>
      <c r="L269" s="32"/>
      <c r="M269" s="32"/>
      <c r="N269" s="4">
        <f>L269-F269</f>
        <v>0</v>
      </c>
      <c r="AD269" s="3">
        <f t="shared" ref="AD269:AD297" si="156">AE269-AC269</f>
        <v>0</v>
      </c>
      <c r="AF269" s="3">
        <f t="shared" ref="AF269:AF297" si="157">AE269-Y269</f>
        <v>0</v>
      </c>
      <c r="AI269" s="321"/>
      <c r="BC269" s="3"/>
      <c r="BE269" s="3"/>
    </row>
    <row r="270" spans="1:57" hidden="1" outlineLevel="1" x14ac:dyDescent="0.25">
      <c r="A270" s="3" t="s">
        <v>221</v>
      </c>
      <c r="K270" s="4"/>
      <c r="L270" s="32"/>
      <c r="M270" s="32"/>
      <c r="N270" s="4"/>
      <c r="AD270" s="3">
        <f t="shared" si="156"/>
        <v>0</v>
      </c>
      <c r="AF270" s="3">
        <f t="shared" si="157"/>
        <v>0</v>
      </c>
      <c r="AI270" s="321"/>
      <c r="BC270" s="3"/>
      <c r="BE270" s="3"/>
    </row>
    <row r="271" spans="1:57" hidden="1" outlineLevel="1" x14ac:dyDescent="0.25">
      <c r="A271" s="3" t="s">
        <v>222</v>
      </c>
      <c r="B271" s="3">
        <v>20000</v>
      </c>
      <c r="E271" s="3">
        <f t="shared" si="154"/>
        <v>20000</v>
      </c>
      <c r="F271" s="3">
        <v>20000</v>
      </c>
      <c r="H271" s="3">
        <f t="shared" si="155"/>
        <v>0</v>
      </c>
      <c r="K271" s="4">
        <f>L271-J271</f>
        <v>20000</v>
      </c>
      <c r="L271" s="4">
        <v>20000</v>
      </c>
      <c r="M271" s="32"/>
      <c r="N271" s="4">
        <f>L271-F271</f>
        <v>0</v>
      </c>
      <c r="P271" s="3">
        <v>20000</v>
      </c>
      <c r="R271" s="3">
        <v>0</v>
      </c>
      <c r="S271" s="3">
        <f t="shared" ref="S271:S297" si="158">T271-R271</f>
        <v>20000</v>
      </c>
      <c r="T271" s="3">
        <v>20000</v>
      </c>
      <c r="U271" s="3">
        <f t="shared" ref="U271:U297" si="159">T271-P271</f>
        <v>0</v>
      </c>
      <c r="V271" s="3">
        <v>0</v>
      </c>
      <c r="W271" s="3">
        <f t="shared" ref="W271:W297" si="160">Y271-V271</f>
        <v>20000</v>
      </c>
      <c r="Y271" s="3">
        <v>20000</v>
      </c>
      <c r="Z271" s="3">
        <f t="shared" ref="Z271:Z297" si="161">Y271-T271</f>
        <v>0</v>
      </c>
      <c r="AD271" s="3">
        <f t="shared" si="156"/>
        <v>20000</v>
      </c>
      <c r="AE271" s="3">
        <v>20000</v>
      </c>
      <c r="AF271" s="3">
        <f t="shared" si="157"/>
        <v>0</v>
      </c>
      <c r="AI271" s="321"/>
      <c r="BC271" s="3"/>
      <c r="BE271" s="3"/>
    </row>
    <row r="272" spans="1:57" hidden="1" outlineLevel="1" x14ac:dyDescent="0.25">
      <c r="A272" s="3" t="s">
        <v>223</v>
      </c>
      <c r="E272" s="3">
        <f t="shared" si="154"/>
        <v>0</v>
      </c>
      <c r="H272" s="3">
        <f t="shared" si="155"/>
        <v>0</v>
      </c>
      <c r="K272" s="4">
        <f t="shared" ref="K272:K297" si="162">L272-J272</f>
        <v>0</v>
      </c>
      <c r="L272" s="4"/>
      <c r="N272" s="4">
        <f t="shared" ref="N272:N297" si="163">L272-F272</f>
        <v>0</v>
      </c>
      <c r="S272" s="3">
        <f t="shared" si="158"/>
        <v>0</v>
      </c>
      <c r="U272" s="3">
        <f t="shared" si="159"/>
        <v>0</v>
      </c>
      <c r="W272" s="3">
        <f t="shared" si="160"/>
        <v>0</v>
      </c>
      <c r="Z272" s="3">
        <f t="shared" si="161"/>
        <v>0</v>
      </c>
      <c r="AD272" s="3">
        <f t="shared" si="156"/>
        <v>0</v>
      </c>
      <c r="AF272" s="3">
        <f t="shared" si="157"/>
        <v>0</v>
      </c>
      <c r="AI272" s="321"/>
      <c r="BC272" s="3"/>
      <c r="BE272" s="3"/>
    </row>
    <row r="273" spans="1:57" hidden="1" outlineLevel="1" x14ac:dyDescent="0.25">
      <c r="A273" s="3" t="s">
        <v>224</v>
      </c>
      <c r="E273" s="3">
        <f t="shared" si="154"/>
        <v>0</v>
      </c>
      <c r="H273" s="3">
        <f t="shared" si="155"/>
        <v>0</v>
      </c>
      <c r="K273" s="4">
        <f t="shared" si="162"/>
        <v>0</v>
      </c>
      <c r="L273" s="4"/>
      <c r="N273" s="4">
        <f t="shared" si="163"/>
        <v>0</v>
      </c>
      <c r="S273" s="3">
        <f t="shared" si="158"/>
        <v>0</v>
      </c>
      <c r="U273" s="3">
        <f t="shared" si="159"/>
        <v>0</v>
      </c>
      <c r="W273" s="3">
        <f t="shared" si="160"/>
        <v>0</v>
      </c>
      <c r="Z273" s="3">
        <f t="shared" si="161"/>
        <v>0</v>
      </c>
      <c r="AD273" s="3">
        <f t="shared" si="156"/>
        <v>0</v>
      </c>
      <c r="AF273" s="3">
        <f t="shared" si="157"/>
        <v>0</v>
      </c>
      <c r="AI273" s="321"/>
      <c r="BC273" s="3"/>
      <c r="BE273" s="3"/>
    </row>
    <row r="274" spans="1:57" hidden="1" outlineLevel="1" x14ac:dyDescent="0.25">
      <c r="A274" s="3" t="s">
        <v>225</v>
      </c>
      <c r="E274" s="3">
        <f t="shared" si="154"/>
        <v>688502</v>
      </c>
      <c r="F274" s="3">
        <v>688502</v>
      </c>
      <c r="H274" s="3">
        <f t="shared" si="155"/>
        <v>688502</v>
      </c>
      <c r="J274" s="3">
        <v>264955</v>
      </c>
      <c r="K274" s="4">
        <f t="shared" si="162"/>
        <v>423547</v>
      </c>
      <c r="L274" s="4">
        <v>688502</v>
      </c>
      <c r="N274" s="4">
        <f t="shared" si="163"/>
        <v>0</v>
      </c>
      <c r="S274" s="3">
        <f t="shared" si="158"/>
        <v>0</v>
      </c>
      <c r="U274" s="3">
        <f t="shared" si="159"/>
        <v>0</v>
      </c>
      <c r="W274" s="3">
        <f t="shared" si="160"/>
        <v>0</v>
      </c>
      <c r="Z274" s="3">
        <f t="shared" si="161"/>
        <v>0</v>
      </c>
      <c r="AD274" s="3">
        <f t="shared" si="156"/>
        <v>0</v>
      </c>
      <c r="AF274" s="3">
        <f t="shared" si="157"/>
        <v>0</v>
      </c>
      <c r="AI274" s="321"/>
      <c r="BC274" s="3"/>
      <c r="BE274" s="3"/>
    </row>
    <row r="275" spans="1:57" hidden="1" outlineLevel="1" x14ac:dyDescent="0.25">
      <c r="A275" s="3" t="s">
        <v>226</v>
      </c>
      <c r="B275" s="3">
        <v>2750000</v>
      </c>
      <c r="E275" s="3">
        <f t="shared" si="154"/>
        <v>1818053</v>
      </c>
      <c r="F275" s="3">
        <v>1818053</v>
      </c>
      <c r="H275" s="3">
        <f t="shared" si="155"/>
        <v>-931947</v>
      </c>
      <c r="J275" s="3">
        <v>430420</v>
      </c>
      <c r="K275" s="4">
        <f t="shared" si="162"/>
        <v>1387633</v>
      </c>
      <c r="L275" s="4">
        <v>1818053</v>
      </c>
      <c r="N275" s="4">
        <f t="shared" si="163"/>
        <v>0</v>
      </c>
      <c r="P275" s="3">
        <v>2500000</v>
      </c>
      <c r="R275" s="3">
        <v>0</v>
      </c>
      <c r="S275" s="3">
        <f t="shared" si="158"/>
        <v>2500000</v>
      </c>
      <c r="T275" s="3">
        <v>2500000</v>
      </c>
      <c r="U275" s="3">
        <f t="shared" si="159"/>
        <v>0</v>
      </c>
      <c r="V275" s="3">
        <v>86000</v>
      </c>
      <c r="W275" s="3">
        <f t="shared" si="160"/>
        <v>2414000</v>
      </c>
      <c r="Y275" s="3">
        <v>2500000</v>
      </c>
      <c r="Z275" s="3">
        <f t="shared" si="161"/>
        <v>0</v>
      </c>
      <c r="AC275" s="3">
        <v>199152</v>
      </c>
      <c r="AD275" s="3">
        <f t="shared" si="156"/>
        <v>2300848</v>
      </c>
      <c r="AE275" s="3">
        <v>2500000</v>
      </c>
      <c r="AF275" s="3">
        <f t="shared" si="157"/>
        <v>0</v>
      </c>
      <c r="AI275" s="321">
        <v>1500000</v>
      </c>
      <c r="BC275" s="3"/>
      <c r="BE275" s="3"/>
    </row>
    <row r="276" spans="1:57" hidden="1" outlineLevel="1" x14ac:dyDescent="0.25">
      <c r="A276" s="3" t="s">
        <v>227</v>
      </c>
      <c r="E276" s="3">
        <f t="shared" si="154"/>
        <v>0</v>
      </c>
      <c r="H276" s="3">
        <f t="shared" si="155"/>
        <v>0</v>
      </c>
      <c r="K276" s="4">
        <f t="shared" si="162"/>
        <v>0</v>
      </c>
      <c r="L276" s="4"/>
      <c r="N276" s="4">
        <f t="shared" si="163"/>
        <v>0</v>
      </c>
      <c r="S276" s="3">
        <f t="shared" si="158"/>
        <v>0</v>
      </c>
      <c r="U276" s="3">
        <f t="shared" si="159"/>
        <v>0</v>
      </c>
      <c r="W276" s="3">
        <f t="shared" si="160"/>
        <v>0</v>
      </c>
      <c r="Z276" s="3">
        <f t="shared" si="161"/>
        <v>0</v>
      </c>
      <c r="AD276" s="3">
        <f t="shared" si="156"/>
        <v>0</v>
      </c>
      <c r="AF276" s="3">
        <f t="shared" si="157"/>
        <v>0</v>
      </c>
      <c r="AI276" s="321"/>
      <c r="BC276" s="3"/>
      <c r="BE276" s="3"/>
    </row>
    <row r="277" spans="1:57" hidden="1" outlineLevel="1" x14ac:dyDescent="0.25">
      <c r="A277" s="3" t="s">
        <v>228</v>
      </c>
      <c r="E277" s="3">
        <f t="shared" si="154"/>
        <v>1014107</v>
      </c>
      <c r="F277" s="3">
        <v>1014107</v>
      </c>
      <c r="H277" s="3">
        <f t="shared" si="155"/>
        <v>1014107</v>
      </c>
      <c r="J277" s="3">
        <v>161215</v>
      </c>
      <c r="K277" s="4">
        <f t="shared" si="162"/>
        <v>852892</v>
      </c>
      <c r="L277" s="4">
        <v>1014107</v>
      </c>
      <c r="N277" s="4">
        <f t="shared" si="163"/>
        <v>0</v>
      </c>
      <c r="S277" s="3">
        <f t="shared" si="158"/>
        <v>0</v>
      </c>
      <c r="U277" s="3">
        <f t="shared" si="159"/>
        <v>0</v>
      </c>
      <c r="W277" s="3">
        <f t="shared" si="160"/>
        <v>0</v>
      </c>
      <c r="Z277" s="3">
        <f t="shared" si="161"/>
        <v>0</v>
      </c>
      <c r="AD277" s="3">
        <f t="shared" si="156"/>
        <v>0</v>
      </c>
      <c r="AF277" s="3">
        <f t="shared" si="157"/>
        <v>0</v>
      </c>
      <c r="AI277" s="321"/>
      <c r="BC277" s="3"/>
      <c r="BE277" s="3"/>
    </row>
    <row r="278" spans="1:57" hidden="1" outlineLevel="1" x14ac:dyDescent="0.25">
      <c r="A278" s="3" t="s">
        <v>229</v>
      </c>
      <c r="E278" s="3">
        <f t="shared" si="154"/>
        <v>157220</v>
      </c>
      <c r="F278" s="3">
        <v>157220</v>
      </c>
      <c r="H278" s="3">
        <f t="shared" si="155"/>
        <v>157220</v>
      </c>
      <c r="K278" s="4">
        <f t="shared" si="162"/>
        <v>157220</v>
      </c>
      <c r="L278" s="4">
        <v>157220</v>
      </c>
      <c r="N278" s="4">
        <f t="shared" si="163"/>
        <v>0</v>
      </c>
      <c r="S278" s="3">
        <f t="shared" si="158"/>
        <v>0</v>
      </c>
      <c r="U278" s="3">
        <f t="shared" si="159"/>
        <v>0</v>
      </c>
      <c r="W278" s="3">
        <f t="shared" si="160"/>
        <v>0</v>
      </c>
      <c r="Z278" s="3">
        <f t="shared" si="161"/>
        <v>0</v>
      </c>
      <c r="AD278" s="3">
        <f t="shared" si="156"/>
        <v>0</v>
      </c>
      <c r="AF278" s="3">
        <f t="shared" si="157"/>
        <v>0</v>
      </c>
      <c r="AI278" s="321"/>
      <c r="BC278" s="3"/>
      <c r="BE278" s="3"/>
    </row>
    <row r="279" spans="1:57" hidden="1" outlineLevel="1" x14ac:dyDescent="0.25">
      <c r="A279" s="3" t="s">
        <v>230</v>
      </c>
      <c r="E279" s="3">
        <f t="shared" si="154"/>
        <v>0</v>
      </c>
      <c r="H279" s="3">
        <f t="shared" si="155"/>
        <v>0</v>
      </c>
      <c r="K279" s="4">
        <f t="shared" si="162"/>
        <v>0</v>
      </c>
      <c r="L279" s="4"/>
      <c r="N279" s="4">
        <f t="shared" si="163"/>
        <v>0</v>
      </c>
      <c r="S279" s="3">
        <f t="shared" si="158"/>
        <v>0</v>
      </c>
      <c r="U279" s="3">
        <f t="shared" si="159"/>
        <v>0</v>
      </c>
      <c r="W279" s="3">
        <f t="shared" si="160"/>
        <v>0</v>
      </c>
      <c r="Z279" s="3">
        <f t="shared" si="161"/>
        <v>0</v>
      </c>
      <c r="AD279" s="3">
        <f t="shared" si="156"/>
        <v>0</v>
      </c>
      <c r="AF279" s="3">
        <f t="shared" si="157"/>
        <v>0</v>
      </c>
      <c r="AI279" s="321"/>
      <c r="BC279" s="3"/>
      <c r="BE279" s="3"/>
    </row>
    <row r="280" spans="1:57" hidden="1" outlineLevel="1" x14ac:dyDescent="0.25">
      <c r="A280" s="3" t="s">
        <v>231</v>
      </c>
      <c r="E280" s="3">
        <f t="shared" si="154"/>
        <v>0</v>
      </c>
      <c r="H280" s="3">
        <f t="shared" si="155"/>
        <v>0</v>
      </c>
      <c r="K280" s="4">
        <f t="shared" si="162"/>
        <v>0</v>
      </c>
      <c r="L280" s="4"/>
      <c r="N280" s="4">
        <f t="shared" si="163"/>
        <v>0</v>
      </c>
      <c r="S280" s="3">
        <f t="shared" si="158"/>
        <v>0</v>
      </c>
      <c r="U280" s="3">
        <f t="shared" si="159"/>
        <v>0</v>
      </c>
      <c r="W280" s="3">
        <f t="shared" si="160"/>
        <v>0</v>
      </c>
      <c r="Z280" s="3">
        <f t="shared" si="161"/>
        <v>0</v>
      </c>
      <c r="AD280" s="3">
        <f t="shared" si="156"/>
        <v>0</v>
      </c>
      <c r="AF280" s="3">
        <f t="shared" si="157"/>
        <v>0</v>
      </c>
      <c r="AI280" s="321"/>
      <c r="BC280" s="3"/>
      <c r="BE280" s="3"/>
    </row>
    <row r="281" spans="1:57" hidden="1" outlineLevel="1" x14ac:dyDescent="0.25">
      <c r="A281" s="3" t="s">
        <v>232</v>
      </c>
      <c r="E281" s="3">
        <f t="shared" si="154"/>
        <v>0</v>
      </c>
      <c r="H281" s="3">
        <f t="shared" si="155"/>
        <v>0</v>
      </c>
      <c r="K281" s="4">
        <f t="shared" si="162"/>
        <v>0</v>
      </c>
      <c r="L281" s="4"/>
      <c r="N281" s="4">
        <f t="shared" si="163"/>
        <v>0</v>
      </c>
      <c r="S281" s="3">
        <f t="shared" si="158"/>
        <v>0</v>
      </c>
      <c r="U281" s="3">
        <f t="shared" si="159"/>
        <v>0</v>
      </c>
      <c r="W281" s="3">
        <f t="shared" si="160"/>
        <v>0</v>
      </c>
      <c r="Z281" s="3">
        <f t="shared" si="161"/>
        <v>0</v>
      </c>
      <c r="AD281" s="3">
        <f t="shared" si="156"/>
        <v>0</v>
      </c>
      <c r="AF281" s="3">
        <f t="shared" si="157"/>
        <v>0</v>
      </c>
      <c r="AI281" s="321"/>
      <c r="BC281" s="3"/>
      <c r="BE281" s="3"/>
    </row>
    <row r="282" spans="1:57" hidden="1" outlineLevel="1" x14ac:dyDescent="0.25">
      <c r="A282" s="3" t="s">
        <v>233</v>
      </c>
      <c r="E282" s="3">
        <f t="shared" si="154"/>
        <v>0</v>
      </c>
      <c r="H282" s="3">
        <f t="shared" si="155"/>
        <v>0</v>
      </c>
      <c r="K282" s="4">
        <f t="shared" si="162"/>
        <v>0</v>
      </c>
      <c r="L282" s="4"/>
      <c r="N282" s="4">
        <f t="shared" si="163"/>
        <v>0</v>
      </c>
      <c r="S282" s="3">
        <f t="shared" si="158"/>
        <v>0</v>
      </c>
      <c r="U282" s="3">
        <f t="shared" si="159"/>
        <v>0</v>
      </c>
      <c r="W282" s="3">
        <f t="shared" si="160"/>
        <v>0</v>
      </c>
      <c r="Z282" s="3">
        <f t="shared" si="161"/>
        <v>0</v>
      </c>
      <c r="AD282" s="3">
        <f t="shared" si="156"/>
        <v>0</v>
      </c>
      <c r="AF282" s="3">
        <f t="shared" si="157"/>
        <v>0</v>
      </c>
      <c r="AI282" s="321"/>
      <c r="BC282" s="3"/>
      <c r="BE282" s="3"/>
    </row>
    <row r="283" spans="1:57" hidden="1" outlineLevel="1" x14ac:dyDescent="0.25">
      <c r="A283" s="3" t="s">
        <v>234</v>
      </c>
      <c r="E283" s="3">
        <f t="shared" si="154"/>
        <v>0</v>
      </c>
      <c r="H283" s="3">
        <f t="shared" si="155"/>
        <v>0</v>
      </c>
      <c r="K283" s="4">
        <f t="shared" si="162"/>
        <v>0</v>
      </c>
      <c r="L283" s="4"/>
      <c r="N283" s="4">
        <f t="shared" si="163"/>
        <v>0</v>
      </c>
      <c r="S283" s="3">
        <f t="shared" si="158"/>
        <v>0</v>
      </c>
      <c r="U283" s="3">
        <f t="shared" si="159"/>
        <v>0</v>
      </c>
      <c r="W283" s="3">
        <f t="shared" si="160"/>
        <v>0</v>
      </c>
      <c r="Z283" s="3">
        <f t="shared" si="161"/>
        <v>0</v>
      </c>
      <c r="AD283" s="3">
        <f t="shared" si="156"/>
        <v>0</v>
      </c>
      <c r="AF283" s="3">
        <f t="shared" si="157"/>
        <v>0</v>
      </c>
      <c r="AI283" s="321"/>
      <c r="BC283" s="3"/>
      <c r="BE283" s="3"/>
    </row>
    <row r="284" spans="1:57" hidden="1" outlineLevel="1" x14ac:dyDescent="0.25">
      <c r="A284" s="3" t="s">
        <v>235</v>
      </c>
      <c r="K284" s="4">
        <f t="shared" si="162"/>
        <v>0</v>
      </c>
      <c r="L284" s="4"/>
      <c r="N284" s="4">
        <f t="shared" si="163"/>
        <v>0</v>
      </c>
      <c r="S284" s="3">
        <f t="shared" si="158"/>
        <v>0</v>
      </c>
      <c r="U284" s="3">
        <f t="shared" si="159"/>
        <v>0</v>
      </c>
      <c r="W284" s="3">
        <f t="shared" si="160"/>
        <v>0</v>
      </c>
      <c r="Z284" s="3">
        <f t="shared" si="161"/>
        <v>0</v>
      </c>
      <c r="AD284" s="3">
        <f t="shared" si="156"/>
        <v>0</v>
      </c>
      <c r="AF284" s="3">
        <f t="shared" si="157"/>
        <v>0</v>
      </c>
      <c r="AI284" s="321"/>
      <c r="BC284" s="3"/>
      <c r="BE284" s="3"/>
    </row>
    <row r="285" spans="1:57" hidden="1" outlineLevel="1" x14ac:dyDescent="0.25">
      <c r="A285" s="3" t="s">
        <v>236</v>
      </c>
      <c r="K285" s="4">
        <f t="shared" si="162"/>
        <v>0</v>
      </c>
      <c r="L285" s="4"/>
      <c r="N285" s="4">
        <f t="shared" si="163"/>
        <v>0</v>
      </c>
      <c r="S285" s="3">
        <f t="shared" si="158"/>
        <v>0</v>
      </c>
      <c r="U285" s="3">
        <f t="shared" si="159"/>
        <v>0</v>
      </c>
      <c r="W285" s="3">
        <f t="shared" si="160"/>
        <v>0</v>
      </c>
      <c r="Z285" s="3">
        <f t="shared" si="161"/>
        <v>0</v>
      </c>
      <c r="AD285" s="3">
        <f t="shared" si="156"/>
        <v>0</v>
      </c>
      <c r="AF285" s="3">
        <f t="shared" si="157"/>
        <v>0</v>
      </c>
      <c r="AI285" s="321"/>
      <c r="BC285" s="3"/>
      <c r="BE285" s="3"/>
    </row>
    <row r="286" spans="1:57" hidden="1" outlineLevel="1" x14ac:dyDescent="0.25">
      <c r="A286" s="3" t="s">
        <v>237</v>
      </c>
      <c r="K286" s="4">
        <f>L286-J286</f>
        <v>0</v>
      </c>
      <c r="L286" s="4"/>
      <c r="N286" s="4">
        <f>L286-F286</f>
        <v>0</v>
      </c>
      <c r="S286" s="3">
        <f t="shared" si="158"/>
        <v>0</v>
      </c>
      <c r="U286" s="3">
        <f t="shared" si="159"/>
        <v>0</v>
      </c>
      <c r="W286" s="3">
        <f t="shared" si="160"/>
        <v>0</v>
      </c>
      <c r="Z286" s="3">
        <f t="shared" si="161"/>
        <v>0</v>
      </c>
      <c r="AD286" s="3">
        <f t="shared" si="156"/>
        <v>0</v>
      </c>
      <c r="AF286" s="3">
        <f t="shared" si="157"/>
        <v>0</v>
      </c>
      <c r="AI286" s="321"/>
      <c r="BC286" s="3"/>
      <c r="BE286" s="3"/>
    </row>
    <row r="287" spans="1:57" hidden="1" outlineLevel="1" x14ac:dyDescent="0.25">
      <c r="A287" s="3" t="s">
        <v>238</v>
      </c>
      <c r="B287" s="3">
        <v>27750</v>
      </c>
      <c r="E287" s="3">
        <f t="shared" ref="E287:E297" si="164">F287-D287</f>
        <v>27750</v>
      </c>
      <c r="F287" s="3">
        <v>27750</v>
      </c>
      <c r="H287" s="3">
        <f t="shared" ref="H287:H297" si="165">F287-B287</f>
        <v>0</v>
      </c>
      <c r="K287" s="4">
        <f t="shared" si="162"/>
        <v>27750</v>
      </c>
      <c r="L287" s="4">
        <v>27750</v>
      </c>
      <c r="N287" s="4">
        <f t="shared" si="163"/>
        <v>0</v>
      </c>
      <c r="P287" s="3">
        <f>L287*1.036+1</f>
        <v>28750</v>
      </c>
      <c r="R287" s="3">
        <v>0</v>
      </c>
      <c r="S287" s="3">
        <f t="shared" si="158"/>
        <v>28750</v>
      </c>
      <c r="T287" s="3">
        <v>28750</v>
      </c>
      <c r="U287" s="3">
        <f t="shared" si="159"/>
        <v>0</v>
      </c>
      <c r="V287" s="3">
        <v>0</v>
      </c>
      <c r="W287" s="3">
        <f t="shared" si="160"/>
        <v>28750</v>
      </c>
      <c r="Y287" s="3">
        <v>28750</v>
      </c>
      <c r="Z287" s="3">
        <f t="shared" si="161"/>
        <v>0</v>
      </c>
      <c r="AC287" s="3">
        <v>0</v>
      </c>
      <c r="AD287" s="3">
        <f t="shared" si="156"/>
        <v>28750</v>
      </c>
      <c r="AE287" s="3">
        <v>28750</v>
      </c>
      <c r="AF287" s="3">
        <f t="shared" si="157"/>
        <v>0</v>
      </c>
      <c r="AI287" s="321">
        <f>AE287*1.03+37</f>
        <v>29649.5</v>
      </c>
      <c r="AK287" s="3">
        <f>AI287*1.03</f>
        <v>30538.985000000001</v>
      </c>
      <c r="AM287" s="3">
        <f>AK287*1.03</f>
        <v>31455.154550000003</v>
      </c>
      <c r="AO287" s="3">
        <f>AM287*1.03</f>
        <v>32398.809186500002</v>
      </c>
      <c r="AQ287" s="3">
        <f>AO287*1.03</f>
        <v>33370.773462095007</v>
      </c>
      <c r="AS287" s="3">
        <f>AQ287*1.03</f>
        <v>34371.896665957858</v>
      </c>
      <c r="AU287" s="3">
        <f>AS287*1.03</f>
        <v>35403.053565936592</v>
      </c>
      <c r="AW287" s="3">
        <f>AU287*1.03</f>
        <v>36465.145172914694</v>
      </c>
      <c r="AY287" s="3">
        <f>AW287*1.03</f>
        <v>37559.099528102139</v>
      </c>
      <c r="BA287" s="3">
        <f>AY287*1.03</f>
        <v>38685.872513945207</v>
      </c>
      <c r="BC287" s="3">
        <f>BA287*1.03</f>
        <v>39846.448689363562</v>
      </c>
      <c r="BE287" s="3">
        <f>BC287*1.03</f>
        <v>41041.842150044467</v>
      </c>
    </row>
    <row r="288" spans="1:57" hidden="1" outlineLevel="1" x14ac:dyDescent="0.25">
      <c r="A288" s="3" t="s">
        <v>239</v>
      </c>
      <c r="E288" s="3">
        <f t="shared" si="164"/>
        <v>0</v>
      </c>
      <c r="H288" s="3">
        <f t="shared" si="165"/>
        <v>0</v>
      </c>
      <c r="K288" s="4">
        <f t="shared" si="162"/>
        <v>0</v>
      </c>
      <c r="L288" s="4"/>
      <c r="N288" s="4">
        <f t="shared" si="163"/>
        <v>0</v>
      </c>
      <c r="S288" s="3">
        <f t="shared" si="158"/>
        <v>0</v>
      </c>
      <c r="U288" s="3">
        <f t="shared" si="159"/>
        <v>0</v>
      </c>
      <c r="W288" s="3">
        <f t="shared" si="160"/>
        <v>0</v>
      </c>
      <c r="Z288" s="3">
        <f t="shared" si="161"/>
        <v>0</v>
      </c>
      <c r="AD288" s="3">
        <f t="shared" si="156"/>
        <v>0</v>
      </c>
      <c r="AF288" s="3">
        <f t="shared" si="157"/>
        <v>0</v>
      </c>
      <c r="AI288" s="321"/>
      <c r="BC288" s="3"/>
      <c r="BE288" s="3"/>
    </row>
    <row r="289" spans="1:57" hidden="1" outlineLevel="1" x14ac:dyDescent="0.25">
      <c r="A289" s="3" t="s">
        <v>240</v>
      </c>
      <c r="E289" s="3">
        <f t="shared" si="164"/>
        <v>0</v>
      </c>
      <c r="H289" s="3">
        <f t="shared" si="165"/>
        <v>0</v>
      </c>
      <c r="K289" s="4">
        <f t="shared" si="162"/>
        <v>0</v>
      </c>
      <c r="L289" s="4"/>
      <c r="N289" s="4">
        <f t="shared" si="163"/>
        <v>0</v>
      </c>
      <c r="S289" s="3">
        <f t="shared" si="158"/>
        <v>0</v>
      </c>
      <c r="U289" s="3">
        <f t="shared" si="159"/>
        <v>0</v>
      </c>
      <c r="W289" s="3">
        <f t="shared" si="160"/>
        <v>0</v>
      </c>
      <c r="Z289" s="3">
        <f t="shared" si="161"/>
        <v>0</v>
      </c>
      <c r="AD289" s="3">
        <f t="shared" si="156"/>
        <v>0</v>
      </c>
      <c r="AF289" s="3">
        <f t="shared" si="157"/>
        <v>0</v>
      </c>
      <c r="AI289" s="321"/>
      <c r="BC289" s="3"/>
      <c r="BE289" s="3"/>
    </row>
    <row r="290" spans="1:57" s="42" customFormat="1" hidden="1" outlineLevel="1" x14ac:dyDescent="0.25">
      <c r="A290" s="3" t="s">
        <v>241</v>
      </c>
      <c r="B290" s="4">
        <v>49000</v>
      </c>
      <c r="C290" s="4"/>
      <c r="D290" s="4"/>
      <c r="E290" s="3">
        <f t="shared" si="164"/>
        <v>49000</v>
      </c>
      <c r="F290" s="4">
        <v>49000</v>
      </c>
      <c r="G290" s="4"/>
      <c r="H290" s="3">
        <f t="shared" si="165"/>
        <v>0</v>
      </c>
      <c r="I290" s="3"/>
      <c r="J290" s="3"/>
      <c r="K290" s="4">
        <f t="shared" si="162"/>
        <v>49000</v>
      </c>
      <c r="L290" s="4">
        <v>49000</v>
      </c>
      <c r="M290" s="4"/>
      <c r="N290" s="4">
        <f t="shared" si="163"/>
        <v>0</v>
      </c>
      <c r="O290" s="3"/>
      <c r="P290" s="32"/>
      <c r="Q290" s="3"/>
      <c r="R290" s="3"/>
      <c r="S290" s="3">
        <f t="shared" si="158"/>
        <v>49000</v>
      </c>
      <c r="T290" s="3">
        <v>49000</v>
      </c>
      <c r="U290" s="3">
        <f t="shared" si="159"/>
        <v>49000</v>
      </c>
      <c r="V290" s="3">
        <v>0</v>
      </c>
      <c r="W290" s="3">
        <f t="shared" si="160"/>
        <v>49000</v>
      </c>
      <c r="X290" s="3"/>
      <c r="Y290" s="3">
        <v>49000</v>
      </c>
      <c r="Z290" s="3">
        <f t="shared" si="161"/>
        <v>0</v>
      </c>
      <c r="AA290" s="3"/>
      <c r="AB290" s="3"/>
      <c r="AC290" s="3"/>
      <c r="AD290" s="3">
        <f t="shared" si="156"/>
        <v>49000</v>
      </c>
      <c r="AE290" s="3">
        <v>49000</v>
      </c>
      <c r="AF290" s="3">
        <f t="shared" si="157"/>
        <v>0</v>
      </c>
      <c r="AG290" s="4"/>
      <c r="AH290" s="4"/>
      <c r="AI290" s="321"/>
      <c r="AJ290" s="32"/>
      <c r="AK290" s="32"/>
      <c r="AL290" s="3"/>
      <c r="AM290" s="32"/>
      <c r="AN290" s="3"/>
      <c r="AO290" s="32"/>
      <c r="AP290" s="32"/>
      <c r="AQ290" s="32"/>
      <c r="AS290" s="32"/>
      <c r="AU290" s="32"/>
      <c r="AW290" s="32"/>
      <c r="AY290" s="32"/>
      <c r="BA290" s="32"/>
      <c r="BC290" s="32"/>
      <c r="BE290" s="32"/>
    </row>
    <row r="291" spans="1:57" hidden="1" outlineLevel="1" x14ac:dyDescent="0.25">
      <c r="A291" s="3" t="s">
        <v>242</v>
      </c>
      <c r="E291" s="3">
        <f t="shared" si="164"/>
        <v>0</v>
      </c>
      <c r="H291" s="3">
        <f t="shared" si="165"/>
        <v>0</v>
      </c>
      <c r="K291" s="4">
        <f t="shared" si="162"/>
        <v>0</v>
      </c>
      <c r="L291" s="4"/>
      <c r="N291" s="4">
        <f t="shared" si="163"/>
        <v>0</v>
      </c>
      <c r="P291" s="64"/>
      <c r="S291" s="3">
        <f t="shared" si="158"/>
        <v>0</v>
      </c>
      <c r="U291" s="3">
        <f t="shared" si="159"/>
        <v>0</v>
      </c>
      <c r="W291" s="3">
        <f t="shared" si="160"/>
        <v>0</v>
      </c>
      <c r="Z291" s="3">
        <f t="shared" si="161"/>
        <v>0</v>
      </c>
      <c r="AD291" s="3">
        <f t="shared" si="156"/>
        <v>0</v>
      </c>
      <c r="AF291" s="3">
        <f t="shared" si="157"/>
        <v>0</v>
      </c>
      <c r="AI291" s="321"/>
      <c r="BC291" s="3"/>
      <c r="BE291" s="3"/>
    </row>
    <row r="292" spans="1:57" hidden="1" outlineLevel="1" x14ac:dyDescent="0.25">
      <c r="A292" s="3" t="s">
        <v>243</v>
      </c>
      <c r="E292" s="3">
        <f t="shared" si="164"/>
        <v>0</v>
      </c>
      <c r="H292" s="3">
        <f t="shared" si="165"/>
        <v>0</v>
      </c>
      <c r="K292" s="4">
        <f t="shared" si="162"/>
        <v>0</v>
      </c>
      <c r="L292" s="4"/>
      <c r="N292" s="4">
        <f t="shared" si="163"/>
        <v>0</v>
      </c>
      <c r="S292" s="3">
        <f t="shared" si="158"/>
        <v>0</v>
      </c>
      <c r="U292" s="3">
        <f t="shared" si="159"/>
        <v>0</v>
      </c>
      <c r="V292" s="3">
        <v>150</v>
      </c>
      <c r="W292" s="3">
        <f t="shared" si="160"/>
        <v>0</v>
      </c>
      <c r="Y292" s="3">
        <v>150</v>
      </c>
      <c r="Z292" s="3">
        <f t="shared" si="161"/>
        <v>150</v>
      </c>
      <c r="AC292" s="3">
        <v>250</v>
      </c>
      <c r="AD292" s="3">
        <f t="shared" si="156"/>
        <v>0</v>
      </c>
      <c r="AE292" s="3">
        <v>250</v>
      </c>
      <c r="AF292" s="3">
        <f t="shared" si="157"/>
        <v>100</v>
      </c>
      <c r="AI292" s="321"/>
      <c r="BC292" s="3"/>
      <c r="BE292" s="3"/>
    </row>
    <row r="293" spans="1:57" hidden="1" outlineLevel="1" x14ac:dyDescent="0.25">
      <c r="A293" s="3" t="s">
        <v>244</v>
      </c>
      <c r="E293" s="3">
        <f t="shared" si="164"/>
        <v>0</v>
      </c>
      <c r="H293" s="3">
        <f t="shared" si="165"/>
        <v>0</v>
      </c>
      <c r="K293" s="4">
        <f t="shared" si="162"/>
        <v>0</v>
      </c>
      <c r="L293" s="4"/>
      <c r="N293" s="4">
        <f t="shared" si="163"/>
        <v>0</v>
      </c>
      <c r="S293" s="3">
        <f t="shared" si="158"/>
        <v>0</v>
      </c>
      <c r="U293" s="3">
        <f t="shared" si="159"/>
        <v>0</v>
      </c>
      <c r="W293" s="3">
        <f t="shared" si="160"/>
        <v>0</v>
      </c>
      <c r="Z293" s="3">
        <f t="shared" si="161"/>
        <v>0</v>
      </c>
      <c r="AD293" s="3">
        <f t="shared" si="156"/>
        <v>0</v>
      </c>
      <c r="AF293" s="3">
        <f t="shared" si="157"/>
        <v>0</v>
      </c>
      <c r="AI293" s="321"/>
      <c r="BC293" s="3"/>
      <c r="BE293" s="3"/>
    </row>
    <row r="294" spans="1:57" hidden="1" outlineLevel="1" x14ac:dyDescent="0.25">
      <c r="A294" s="3" t="s">
        <v>245</v>
      </c>
      <c r="B294" s="3">
        <v>20000</v>
      </c>
      <c r="E294" s="3">
        <f t="shared" si="164"/>
        <v>20000</v>
      </c>
      <c r="F294" s="3">
        <v>20000</v>
      </c>
      <c r="H294" s="3">
        <f t="shared" si="165"/>
        <v>0</v>
      </c>
      <c r="K294" s="4">
        <f t="shared" si="162"/>
        <v>20000</v>
      </c>
      <c r="L294" s="4">
        <v>20000</v>
      </c>
      <c r="N294" s="4">
        <f t="shared" si="163"/>
        <v>0</v>
      </c>
      <c r="S294" s="3">
        <f t="shared" si="158"/>
        <v>30000</v>
      </c>
      <c r="T294" s="3">
        <v>30000</v>
      </c>
      <c r="U294" s="3">
        <f t="shared" si="159"/>
        <v>30000</v>
      </c>
      <c r="V294" s="3">
        <v>0</v>
      </c>
      <c r="W294" s="3">
        <f t="shared" si="160"/>
        <v>30000</v>
      </c>
      <c r="Y294" s="3">
        <v>30000</v>
      </c>
      <c r="Z294" s="3">
        <f t="shared" si="161"/>
        <v>0</v>
      </c>
      <c r="AD294" s="3">
        <f t="shared" si="156"/>
        <v>30000</v>
      </c>
      <c r="AE294" s="3">
        <v>30000</v>
      </c>
      <c r="AF294" s="3">
        <f t="shared" si="157"/>
        <v>0</v>
      </c>
      <c r="AI294" s="321"/>
      <c r="BC294" s="3"/>
      <c r="BE294" s="3"/>
    </row>
    <row r="295" spans="1:57" hidden="1" outlineLevel="1" x14ac:dyDescent="0.25">
      <c r="A295" s="3" t="s">
        <v>246</v>
      </c>
      <c r="K295" s="4"/>
      <c r="L295" s="4"/>
      <c r="N295" s="4"/>
      <c r="AD295" s="3">
        <f>AE295-AC295</f>
        <v>10000</v>
      </c>
      <c r="AE295" s="3">
        <v>10000</v>
      </c>
      <c r="AF295" s="3">
        <f>AE295-Y295</f>
        <v>10000</v>
      </c>
      <c r="AI295" s="321"/>
      <c r="BC295" s="3"/>
      <c r="BE295" s="3"/>
    </row>
    <row r="296" spans="1:57" hidden="1" outlineLevel="1" x14ac:dyDescent="0.25">
      <c r="A296" s="3" t="s">
        <v>247</v>
      </c>
      <c r="E296" s="3">
        <f t="shared" si="164"/>
        <v>0</v>
      </c>
      <c r="H296" s="3">
        <f t="shared" si="165"/>
        <v>0</v>
      </c>
      <c r="K296" s="4">
        <f t="shared" si="162"/>
        <v>0</v>
      </c>
      <c r="L296" s="4"/>
      <c r="N296" s="4">
        <f t="shared" si="163"/>
        <v>0</v>
      </c>
      <c r="S296" s="3">
        <f t="shared" si="158"/>
        <v>0</v>
      </c>
      <c r="U296" s="3">
        <f t="shared" si="159"/>
        <v>0</v>
      </c>
      <c r="W296" s="3">
        <f t="shared" si="160"/>
        <v>0</v>
      </c>
      <c r="Z296" s="3">
        <f t="shared" si="161"/>
        <v>0</v>
      </c>
      <c r="AD296" s="3">
        <f t="shared" si="156"/>
        <v>0</v>
      </c>
      <c r="AF296" s="3">
        <f t="shared" si="157"/>
        <v>0</v>
      </c>
      <c r="AI296" s="321"/>
      <c r="BC296" s="3"/>
      <c r="BE296" s="3"/>
    </row>
    <row r="297" spans="1:57" hidden="1" outlineLevel="1" x14ac:dyDescent="0.25">
      <c r="A297" s="3" t="s">
        <v>248</v>
      </c>
      <c r="B297" s="3">
        <v>20000</v>
      </c>
      <c r="D297" s="3">
        <v>5280</v>
      </c>
      <c r="E297" s="3">
        <f t="shared" si="164"/>
        <v>24720</v>
      </c>
      <c r="F297" s="3">
        <v>30000</v>
      </c>
      <c r="H297" s="3">
        <f t="shared" si="165"/>
        <v>10000</v>
      </c>
      <c r="J297" s="3">
        <v>19652</v>
      </c>
      <c r="K297" s="4">
        <f t="shared" si="162"/>
        <v>10348</v>
      </c>
      <c r="L297" s="4">
        <v>30000</v>
      </c>
      <c r="N297" s="4">
        <f t="shared" si="163"/>
        <v>0</v>
      </c>
      <c r="P297" s="3">
        <v>30000</v>
      </c>
      <c r="R297" s="3">
        <v>0</v>
      </c>
      <c r="S297" s="3">
        <f t="shared" si="158"/>
        <v>30000</v>
      </c>
      <c r="T297" s="3">
        <v>30000</v>
      </c>
      <c r="U297" s="3">
        <f t="shared" si="159"/>
        <v>0</v>
      </c>
      <c r="V297" s="3">
        <v>0</v>
      </c>
      <c r="W297" s="3">
        <f t="shared" si="160"/>
        <v>30000</v>
      </c>
      <c r="Y297" s="3">
        <v>30000</v>
      </c>
      <c r="Z297" s="3">
        <f t="shared" si="161"/>
        <v>0</v>
      </c>
      <c r="AD297" s="3">
        <f t="shared" si="156"/>
        <v>30000</v>
      </c>
      <c r="AE297" s="3">
        <v>30000</v>
      </c>
      <c r="AF297" s="3">
        <f t="shared" si="157"/>
        <v>0</v>
      </c>
      <c r="AI297" s="326">
        <v>30000</v>
      </c>
      <c r="AK297" s="3">
        <v>30000</v>
      </c>
      <c r="AM297" s="3">
        <v>30000</v>
      </c>
      <c r="AO297" s="3">
        <v>30000</v>
      </c>
      <c r="AQ297" s="3">
        <v>30000</v>
      </c>
      <c r="AS297" s="3">
        <v>30000</v>
      </c>
      <c r="AU297" s="3">
        <v>30000</v>
      </c>
      <c r="AW297" s="3">
        <v>30000</v>
      </c>
      <c r="AY297" s="3">
        <v>30000</v>
      </c>
      <c r="BA297" s="3">
        <v>30000</v>
      </c>
      <c r="BC297" s="3">
        <v>30000</v>
      </c>
      <c r="BE297" s="3">
        <v>30000</v>
      </c>
    </row>
    <row r="298" spans="1:57" hidden="1" outlineLevel="1" x14ac:dyDescent="0.25">
      <c r="A298" s="3"/>
      <c r="B298" s="62">
        <f>SUM(B267:B297)</f>
        <v>2886750</v>
      </c>
      <c r="C298" s="32"/>
      <c r="D298" s="62">
        <f>SUM(D267:D297)</f>
        <v>5280</v>
      </c>
      <c r="E298" s="62">
        <f>SUM(E267:E297)</f>
        <v>3819352</v>
      </c>
      <c r="F298" s="62">
        <f>SUM(F267:F297)</f>
        <v>3824632</v>
      </c>
      <c r="G298" s="32"/>
      <c r="H298" s="62">
        <f>SUM(H267:H297)</f>
        <v>937882</v>
      </c>
      <c r="I298" s="32"/>
      <c r="J298" s="62">
        <f>SUM(J267:J297)</f>
        <v>876242</v>
      </c>
      <c r="K298" s="62">
        <f>SUM(K267:K297)</f>
        <v>2948390</v>
      </c>
      <c r="L298" s="62">
        <f>SUM(L267:L297)</f>
        <v>3824632</v>
      </c>
      <c r="M298" s="32"/>
      <c r="N298" s="62">
        <f>SUM(N267:N297)</f>
        <v>0</v>
      </c>
      <c r="P298" s="62">
        <f>SUM(P267:P297)</f>
        <v>2578750</v>
      </c>
      <c r="R298" s="62">
        <f t="shared" ref="R298:W298" si="166">SUM(R267:R297)</f>
        <v>0</v>
      </c>
      <c r="S298" s="62">
        <f t="shared" si="166"/>
        <v>2657750</v>
      </c>
      <c r="T298" s="62">
        <f t="shared" si="166"/>
        <v>2657750</v>
      </c>
      <c r="U298" s="62">
        <f t="shared" si="166"/>
        <v>79000</v>
      </c>
      <c r="V298" s="62">
        <f t="shared" si="166"/>
        <v>86150</v>
      </c>
      <c r="W298" s="62">
        <f t="shared" si="166"/>
        <v>2571750</v>
      </c>
      <c r="X298" s="62"/>
      <c r="Y298" s="62">
        <f>SUM(Y267:Y297)</f>
        <v>2657900</v>
      </c>
      <c r="Z298" s="62">
        <f>SUM(Z267:Z297)</f>
        <v>150</v>
      </c>
      <c r="AC298" s="62">
        <f>SUM(AC267:AC297)</f>
        <v>199402</v>
      </c>
      <c r="AD298" s="62">
        <f>SUM(AD267:AD297)</f>
        <v>2468598</v>
      </c>
      <c r="AE298" s="62">
        <f>SUM(AE267:AE297)</f>
        <v>2668000</v>
      </c>
      <c r="AF298" s="62">
        <f>SUM(AF267:AF297)</f>
        <v>10100</v>
      </c>
      <c r="AG298" s="32"/>
      <c r="AI298" s="62">
        <f>SUM(AI267:AI297)</f>
        <v>3559649.5</v>
      </c>
      <c r="AK298" s="62">
        <f>SUM(AK267:AK297)</f>
        <v>60538.985000000001</v>
      </c>
      <c r="AM298" s="62">
        <f>SUM(AM267:AM297)</f>
        <v>61455.154550000007</v>
      </c>
      <c r="AO298" s="62">
        <f>SUM(AO267:AO297)</f>
        <v>62398.809186500002</v>
      </c>
      <c r="AP298" s="32"/>
      <c r="AQ298" s="62">
        <f>SUM(AQ267:AQ297)</f>
        <v>63370.773462095007</v>
      </c>
      <c r="AS298" s="62">
        <f>SUM(AS267:AS297)</f>
        <v>64371.896665957858</v>
      </c>
      <c r="AU298" s="62">
        <f>SUM(AU267:AU297)</f>
        <v>65403.053565936592</v>
      </c>
      <c r="AW298" s="62">
        <f>SUM(AW267:AW297)</f>
        <v>66465.145172914694</v>
      </c>
      <c r="AY298" s="62">
        <f>SUM(AY267:AY297)</f>
        <v>67559.099528102146</v>
      </c>
      <c r="BA298" s="62">
        <f>SUM(BA267:BA297)</f>
        <v>68685.872513945214</v>
      </c>
      <c r="BC298" s="62">
        <f>SUM(BC267:BC297)</f>
        <v>69846.448689363562</v>
      </c>
      <c r="BE298" s="62">
        <f>SUM(BE267:BE297)</f>
        <v>71041.842150044467</v>
      </c>
    </row>
    <row r="299" spans="1:57" ht="15.75" collapsed="1" thickBot="1" x14ac:dyDescent="0.3">
      <c r="A299" s="7" t="s">
        <v>1167</v>
      </c>
      <c r="B299" s="44">
        <f>B298+B265 +B248+B244+B233+B239</f>
        <v>3372750</v>
      </c>
      <c r="C299" s="32"/>
      <c r="D299" s="44">
        <f>D298+D265 +D248+D244+D233+D239</f>
        <v>5280</v>
      </c>
      <c r="E299" s="44">
        <f>E298+E265 +E248+E244+E233+E239</f>
        <v>4282352</v>
      </c>
      <c r="F299" s="44">
        <f>F298+F265 +F248+F244+F233+F239</f>
        <v>4287632</v>
      </c>
      <c r="G299" s="32"/>
      <c r="H299" s="44">
        <f>H298+H265 +H248+H244+H233+H239</f>
        <v>914882</v>
      </c>
      <c r="I299" s="32"/>
      <c r="J299" s="44">
        <f>J298+J265 +J248+J244+J233+J239</f>
        <v>1094006</v>
      </c>
      <c r="K299" s="44">
        <f>K298+K265 +K248+K244+K233+K239</f>
        <v>3235686</v>
      </c>
      <c r="L299" s="44">
        <f>L298+L265 +L248+L244+L233+L239</f>
        <v>4329692</v>
      </c>
      <c r="M299" s="32"/>
      <c r="N299" s="44">
        <f>N298+N265 +N248+N244+N233+N239</f>
        <v>42060</v>
      </c>
      <c r="P299" s="44">
        <f>P298+P265 +P248+P244+P233+P239</f>
        <v>3078950</v>
      </c>
      <c r="R299" s="44">
        <f t="shared" ref="R299:W299" si="167">R298+R265 +R248+R244+R233+R239</f>
        <v>0</v>
      </c>
      <c r="S299" s="44">
        <f t="shared" si="167"/>
        <v>3157950</v>
      </c>
      <c r="T299" s="44">
        <f t="shared" si="167"/>
        <v>3157950</v>
      </c>
      <c r="U299" s="44">
        <f t="shared" si="167"/>
        <v>79000</v>
      </c>
      <c r="V299" s="44">
        <f t="shared" si="167"/>
        <v>155898</v>
      </c>
      <c r="W299" s="44">
        <f t="shared" si="167"/>
        <v>3075142</v>
      </c>
      <c r="X299" s="44"/>
      <c r="Y299" s="44">
        <f>Y298+Y265 +Y248+Y244+Y233+Y239</f>
        <v>3230890</v>
      </c>
      <c r="Z299" s="44">
        <f>Z298+Z265 +Z248+Z244+Z233+Z239</f>
        <v>72940</v>
      </c>
      <c r="AC299" s="44">
        <f>AC298+AC265 +AC248+AC244+AC233+AC239</f>
        <v>421106</v>
      </c>
      <c r="AD299" s="44">
        <f>AD298+AD265 +AD248+AD244+AD233+AD239</f>
        <v>2818254</v>
      </c>
      <c r="AE299" s="44">
        <f>AE298+AE265 +AE248+AE244+AE233+AE239</f>
        <v>3239360</v>
      </c>
      <c r="AF299" s="44">
        <f>AF298+AF265 +AF248+AF244+AF233+AF239</f>
        <v>8470</v>
      </c>
      <c r="AG299" s="32"/>
      <c r="AI299" s="44">
        <f>AI298+AI265 +AI248+AI244+AI233+AI239</f>
        <v>4058699.5</v>
      </c>
      <c r="AK299" s="44">
        <f>AK298+AK265 +AK248+AK244+AK233+AK239</f>
        <v>565188.98499999999</v>
      </c>
      <c r="AM299" s="44">
        <f>AM298+AM265 +AM248+AM244+AM233+AM239</f>
        <v>620955.15454999998</v>
      </c>
      <c r="AO299" s="44">
        <f>AO298+AO265 +AO248+AO244+AO233+AO239</f>
        <v>591548.80918650003</v>
      </c>
      <c r="AP299" s="32"/>
      <c r="AQ299" s="44">
        <f>AQ298+AQ265 +AQ248+AQ244+AQ233+AQ239</f>
        <v>618470.77346209507</v>
      </c>
      <c r="AS299" s="44">
        <f>AS298+AS265 +AS248+AS244+AS233+AS239</f>
        <v>661721.89666595787</v>
      </c>
      <c r="AU299" s="44">
        <f>AU298+AU265 +AU248+AU244+AU233+AU239</f>
        <v>628403.05356593663</v>
      </c>
      <c r="AW299" s="44">
        <f>AW298+AW265 +AW248+AW244+AW233+AW239</f>
        <v>654365.14517291472</v>
      </c>
      <c r="AY299" s="44">
        <f>AY298+AY265 +AY248+AY244+AY233+AY239</f>
        <v>654209.0995281022</v>
      </c>
      <c r="BA299" s="44">
        <f>BA298+BA265 +BA248+BA244+BA233+BA239</f>
        <v>655335.87251394521</v>
      </c>
      <c r="BC299" s="44">
        <f>BC298+BC265 +BC248+BC244+BC233+BC239</f>
        <v>656496.44868936355</v>
      </c>
      <c r="BE299" s="44">
        <f>BE298+BE265 +BE248+BE244+BE233+BE239</f>
        <v>657691.84215004451</v>
      </c>
    </row>
    <row r="300" spans="1:57" ht="15.75" thickTop="1" x14ac:dyDescent="0.25">
      <c r="A300" s="7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P300" s="32"/>
      <c r="R300" s="32"/>
      <c r="S300" s="32"/>
      <c r="T300" s="32"/>
      <c r="U300" s="32"/>
      <c r="V300" s="32"/>
      <c r="W300" s="32"/>
      <c r="X300" s="32"/>
      <c r="Y300" s="32"/>
      <c r="Z300" s="32"/>
      <c r="AC300" s="32"/>
      <c r="AD300" s="32"/>
      <c r="AE300" s="32"/>
      <c r="AF300" s="32"/>
      <c r="AG300" s="32"/>
      <c r="AI300" s="32"/>
      <c r="AK300" s="32"/>
      <c r="AM300" s="32"/>
      <c r="AO300" s="32"/>
      <c r="AP300" s="32"/>
      <c r="AQ300" s="32"/>
      <c r="AS300" s="32"/>
      <c r="AU300" s="32"/>
      <c r="AW300" s="32"/>
      <c r="AY300" s="32"/>
      <c r="BA300" s="32"/>
      <c r="BC300" s="32"/>
      <c r="BE300" s="32"/>
    </row>
    <row r="301" spans="1:57" x14ac:dyDescent="0.25">
      <c r="A301" s="7" t="s">
        <v>250</v>
      </c>
      <c r="BC301" s="3"/>
      <c r="BE301" s="3"/>
    </row>
    <row r="302" spans="1:57" hidden="1" outlineLevel="1" x14ac:dyDescent="0.25">
      <c r="A302" s="7" t="s">
        <v>251</v>
      </c>
      <c r="BC302" s="3"/>
      <c r="BE302" s="3"/>
    </row>
    <row r="303" spans="1:57" s="42" customFormat="1" hidden="1" outlineLevel="1" x14ac:dyDescent="0.25">
      <c r="A303" s="3" t="s">
        <v>252</v>
      </c>
      <c r="B303" s="3">
        <v>8100</v>
      </c>
      <c r="C303" s="3"/>
      <c r="D303" s="3">
        <v>2012</v>
      </c>
      <c r="E303" s="3">
        <f>F303-D303</f>
        <v>6088</v>
      </c>
      <c r="F303" s="3">
        <v>8100</v>
      </c>
      <c r="G303" s="3"/>
      <c r="H303" s="3">
        <f>F303-B303</f>
        <v>0</v>
      </c>
      <c r="I303" s="3"/>
      <c r="J303" s="3">
        <v>4025</v>
      </c>
      <c r="K303" s="4">
        <f>L303-J303</f>
        <v>4075</v>
      </c>
      <c r="L303" s="4">
        <v>8100</v>
      </c>
      <c r="M303" s="4"/>
      <c r="N303" s="4">
        <f>L303-F303</f>
        <v>0</v>
      </c>
      <c r="O303" s="3"/>
      <c r="P303" s="3">
        <f>L303*1.025-3</f>
        <v>8299.5</v>
      </c>
      <c r="Q303" s="3"/>
      <c r="R303" s="3">
        <v>2045</v>
      </c>
      <c r="S303" s="3">
        <f>T303-R303</f>
        <v>6255</v>
      </c>
      <c r="T303" s="3">
        <v>8300</v>
      </c>
      <c r="U303" s="3">
        <f>T303-P303</f>
        <v>0.5</v>
      </c>
      <c r="V303" s="3">
        <v>4092</v>
      </c>
      <c r="W303" s="3">
        <f>Y303-V303</f>
        <v>4208</v>
      </c>
      <c r="X303" s="3"/>
      <c r="Y303" s="3">
        <v>8300</v>
      </c>
      <c r="Z303" s="3">
        <f>Y303-T303</f>
        <v>0</v>
      </c>
      <c r="AA303" s="3"/>
      <c r="AB303" s="3"/>
      <c r="AC303" s="3">
        <v>6134</v>
      </c>
      <c r="AD303" s="3">
        <f>AE303-AC303</f>
        <v>2166</v>
      </c>
      <c r="AE303" s="3">
        <v>8300</v>
      </c>
      <c r="AF303" s="3">
        <f>AE303-Y303</f>
        <v>0</v>
      </c>
      <c r="AG303" s="4"/>
      <c r="AH303" s="4"/>
      <c r="AI303" s="325">
        <f>AE303*1.03+1</f>
        <v>8550</v>
      </c>
      <c r="AJ303" s="3"/>
      <c r="AK303" s="3">
        <f>AI303*1.03</f>
        <v>8806.5</v>
      </c>
      <c r="AL303" s="3"/>
      <c r="AM303" s="3">
        <f>AK303*1.03</f>
        <v>9070.6949999999997</v>
      </c>
      <c r="AN303" s="3"/>
      <c r="AO303" s="3">
        <f>AM303*1.03</f>
        <v>9342.815849999999</v>
      </c>
      <c r="AP303" s="4"/>
      <c r="AQ303" s="3">
        <f>AO303*1.03</f>
        <v>9623.1003254999996</v>
      </c>
      <c r="AS303" s="3">
        <f>AQ303*1.03</f>
        <v>9911.7933352649998</v>
      </c>
      <c r="AU303" s="3">
        <f>AS303*1.03</f>
        <v>10209.14713532295</v>
      </c>
      <c r="AW303" s="3">
        <f>AU303*1.03</f>
        <v>10515.42154938264</v>
      </c>
      <c r="AY303" s="3">
        <f>AW303*1.03</f>
        <v>10830.884195864119</v>
      </c>
      <c r="BA303" s="3">
        <f>AY303*1.03</f>
        <v>11155.810721740043</v>
      </c>
      <c r="BC303" s="3">
        <f>BA303*1.03</f>
        <v>11490.485043392244</v>
      </c>
      <c r="BE303" s="3">
        <f>BC303*1.03</f>
        <v>11835.199594694011</v>
      </c>
    </row>
    <row r="304" spans="1:57" hidden="1" outlineLevel="1" x14ac:dyDescent="0.25">
      <c r="A304" s="3" t="s">
        <v>251</v>
      </c>
      <c r="E304" s="3">
        <f>F304-D304</f>
        <v>0</v>
      </c>
      <c r="H304" s="3">
        <f>F304-B304</f>
        <v>0</v>
      </c>
      <c r="K304" s="4">
        <f>L304-J304</f>
        <v>0</v>
      </c>
      <c r="L304" s="4"/>
      <c r="N304" s="4">
        <f>L304-F304</f>
        <v>0</v>
      </c>
      <c r="AD304" s="3">
        <f>AE304-AC304</f>
        <v>0</v>
      </c>
      <c r="AF304" s="3">
        <f>AE304-Y304</f>
        <v>0</v>
      </c>
      <c r="AI304" s="325"/>
      <c r="BC304" s="3"/>
      <c r="BE304" s="3"/>
    </row>
    <row r="305" spans="1:57" hidden="1" outlineLevel="1" x14ac:dyDescent="0.25">
      <c r="A305" s="3"/>
      <c r="B305" s="62">
        <f>SUM(B303:B304)</f>
        <v>8100</v>
      </c>
      <c r="C305" s="32"/>
      <c r="D305" s="62">
        <f>SUM(D303:D304)</f>
        <v>2012</v>
      </c>
      <c r="E305" s="62">
        <f>SUM(E303:E304)</f>
        <v>6088</v>
      </c>
      <c r="F305" s="62">
        <f>SUM(F303:F304)</f>
        <v>8100</v>
      </c>
      <c r="G305" s="32"/>
      <c r="H305" s="62">
        <f>SUM(H303:H304)</f>
        <v>0</v>
      </c>
      <c r="I305" s="32"/>
      <c r="J305" s="62">
        <f>SUM(J303:J304)</f>
        <v>4025</v>
      </c>
      <c r="K305" s="62">
        <f>SUM(K303:K304)</f>
        <v>4075</v>
      </c>
      <c r="L305" s="62">
        <f>SUM(L303:L304)</f>
        <v>8100</v>
      </c>
      <c r="M305" s="32"/>
      <c r="N305" s="62">
        <f>SUM(N303:N304)</f>
        <v>0</v>
      </c>
      <c r="P305" s="62">
        <f>SUM(P303:P304)</f>
        <v>8299.5</v>
      </c>
      <c r="R305" s="62">
        <f t="shared" ref="R305:Z305" si="168">SUM(R303:R304)</f>
        <v>2045</v>
      </c>
      <c r="S305" s="62">
        <f t="shared" si="168"/>
        <v>6255</v>
      </c>
      <c r="T305" s="62">
        <f t="shared" si="168"/>
        <v>8300</v>
      </c>
      <c r="U305" s="62">
        <f t="shared" si="168"/>
        <v>0.5</v>
      </c>
      <c r="V305" s="62">
        <f t="shared" si="168"/>
        <v>4092</v>
      </c>
      <c r="W305" s="62">
        <f t="shared" si="168"/>
        <v>4208</v>
      </c>
      <c r="X305" s="62"/>
      <c r="Y305" s="62">
        <f t="shared" si="168"/>
        <v>8300</v>
      </c>
      <c r="Z305" s="62">
        <f t="shared" si="168"/>
        <v>0</v>
      </c>
      <c r="AC305" s="62">
        <f>SUM(AC303:AC304)</f>
        <v>6134</v>
      </c>
      <c r="AD305" s="62">
        <f>SUM(AD303:AD304)</f>
        <v>2166</v>
      </c>
      <c r="AE305" s="62">
        <f>SUM(AE303:AE304)</f>
        <v>8300</v>
      </c>
      <c r="AF305" s="62">
        <f>SUM(AF303:AF304)</f>
        <v>0</v>
      </c>
      <c r="AG305" s="32"/>
      <c r="AI305" s="62">
        <f>SUM(AI303:AI304)</f>
        <v>8550</v>
      </c>
      <c r="AK305" s="62">
        <f>SUM(AK303:AK304)</f>
        <v>8806.5</v>
      </c>
      <c r="AM305" s="62">
        <f>SUM(AM303:AM304)</f>
        <v>9070.6949999999997</v>
      </c>
      <c r="AO305" s="62">
        <f>SUM(AO303:AO304)</f>
        <v>9342.815849999999</v>
      </c>
      <c r="AP305" s="32"/>
      <c r="AQ305" s="62">
        <f>SUM(AQ303:AQ304)</f>
        <v>9623.1003254999996</v>
      </c>
      <c r="AS305" s="62">
        <f>SUM(AS303:AS304)</f>
        <v>9911.7933352649998</v>
      </c>
      <c r="AU305" s="62">
        <f>SUM(AU303:AU304)</f>
        <v>10209.14713532295</v>
      </c>
      <c r="AW305" s="62">
        <f>SUM(AW303:AW304)</f>
        <v>10515.42154938264</v>
      </c>
      <c r="AY305" s="62">
        <f>SUM(AY303:AY304)</f>
        <v>10830.884195864119</v>
      </c>
      <c r="BA305" s="62">
        <f>SUM(BA303:BA304)</f>
        <v>11155.810721740043</v>
      </c>
      <c r="BC305" s="62">
        <f>SUM(BC303:BC304)</f>
        <v>11490.485043392244</v>
      </c>
      <c r="BE305" s="62">
        <f>SUM(BE303:BE304)</f>
        <v>11835.199594694011</v>
      </c>
    </row>
    <row r="306" spans="1:57" hidden="1" outlineLevel="1" x14ac:dyDescent="0.25">
      <c r="A306" s="7" t="s">
        <v>253</v>
      </c>
      <c r="BC306" s="3"/>
      <c r="BE306" s="3"/>
    </row>
    <row r="307" spans="1:57" hidden="1" outlineLevel="1" x14ac:dyDescent="0.25">
      <c r="A307" s="3" t="s">
        <v>254</v>
      </c>
      <c r="AI307" s="321"/>
      <c r="BC307" s="3"/>
      <c r="BE307" s="3"/>
    </row>
    <row r="308" spans="1:57" hidden="1" outlineLevel="1" x14ac:dyDescent="0.25">
      <c r="A308" s="3" t="s">
        <v>255</v>
      </c>
      <c r="AD308" s="3">
        <f t="shared" ref="AD308:AD314" si="169">AE308-AC308</f>
        <v>0</v>
      </c>
      <c r="AF308" s="3">
        <f t="shared" ref="AF308:AF314" si="170">AE308-Y308</f>
        <v>0</v>
      </c>
      <c r="AI308" s="321"/>
      <c r="BC308" s="3"/>
      <c r="BE308" s="3"/>
    </row>
    <row r="309" spans="1:57" hidden="1" outlineLevel="1" x14ac:dyDescent="0.25">
      <c r="A309" s="3" t="s">
        <v>256</v>
      </c>
      <c r="B309" s="3">
        <v>16000</v>
      </c>
      <c r="D309" s="3">
        <v>2765</v>
      </c>
      <c r="E309" s="3">
        <f t="shared" ref="E309:E314" si="171">F309-D309</f>
        <v>12235</v>
      </c>
      <c r="F309" s="3">
        <v>15000</v>
      </c>
      <c r="H309" s="3">
        <f t="shared" ref="H309:H314" si="172">F309-B309</f>
        <v>-1000</v>
      </c>
      <c r="J309" s="3">
        <v>6336</v>
      </c>
      <c r="K309" s="4">
        <f t="shared" ref="K309:K314" si="173">L309-J309</f>
        <v>8664</v>
      </c>
      <c r="L309" s="4">
        <v>15000</v>
      </c>
      <c r="N309" s="4">
        <f t="shared" ref="N309:N314" si="174">L309-F309</f>
        <v>0</v>
      </c>
      <c r="P309" s="3">
        <f>L309*1.025</f>
        <v>15374.999999999998</v>
      </c>
      <c r="R309" s="3">
        <v>2509</v>
      </c>
      <c r="S309" s="3">
        <f t="shared" ref="S309:S314" si="175">T309-R309</f>
        <v>10491</v>
      </c>
      <c r="T309" s="3">
        <v>13000</v>
      </c>
      <c r="U309" s="3">
        <f t="shared" ref="U309:U314" si="176">T309-P309</f>
        <v>-2374.9999999999982</v>
      </c>
      <c r="V309" s="3">
        <v>5645</v>
      </c>
      <c r="W309" s="3">
        <f t="shared" ref="W309:W314" si="177">Y309-V309</f>
        <v>7355</v>
      </c>
      <c r="Y309" s="3">
        <v>13000</v>
      </c>
      <c r="Z309" s="3">
        <f t="shared" ref="Z309:Z314" si="178">Y309-T309</f>
        <v>0</v>
      </c>
      <c r="AC309" s="3">
        <v>8559</v>
      </c>
      <c r="AD309" s="3">
        <f t="shared" si="169"/>
        <v>3941</v>
      </c>
      <c r="AE309" s="3">
        <v>12500</v>
      </c>
      <c r="AF309" s="3">
        <f t="shared" si="170"/>
        <v>-500</v>
      </c>
      <c r="AI309" s="326">
        <v>13000</v>
      </c>
      <c r="AK309" s="3">
        <f>AI309*1.025</f>
        <v>13324.999999999998</v>
      </c>
      <c r="AM309" s="3">
        <f>AK309*1.025</f>
        <v>13658.124999999996</v>
      </c>
      <c r="AO309" s="3">
        <f>AM309*1.025</f>
        <v>13999.578124999995</v>
      </c>
      <c r="AQ309" s="3">
        <f>AO309*1.025</f>
        <v>14349.567578124994</v>
      </c>
      <c r="AS309" s="3">
        <f>AQ309*1.025</f>
        <v>14708.306767578117</v>
      </c>
      <c r="AU309" s="3">
        <f>AS309*1.025</f>
        <v>15076.014436767568</v>
      </c>
      <c r="AW309" s="3">
        <f>AU309*1.025</f>
        <v>15452.914797686755</v>
      </c>
      <c r="AY309" s="3">
        <f>AW309*1.025</f>
        <v>15839.237667628922</v>
      </c>
      <c r="BA309" s="3">
        <f>AY309*1.025</f>
        <v>16235.218609319643</v>
      </c>
      <c r="BC309" s="3">
        <f>BA309*1.025</f>
        <v>16641.099074552632</v>
      </c>
      <c r="BE309" s="3">
        <f>BC309*1.025</f>
        <v>17057.126551416448</v>
      </c>
    </row>
    <row r="310" spans="1:57" hidden="1" outlineLevel="1" x14ac:dyDescent="0.25">
      <c r="A310" s="3" t="s">
        <v>257</v>
      </c>
      <c r="B310" s="3">
        <v>53000</v>
      </c>
      <c r="D310" s="3">
        <v>10308</v>
      </c>
      <c r="E310" s="3">
        <f t="shared" si="171"/>
        <v>42692</v>
      </c>
      <c r="F310" s="3">
        <v>53000</v>
      </c>
      <c r="H310" s="3">
        <f t="shared" si="172"/>
        <v>0</v>
      </c>
      <c r="J310" s="3">
        <v>22975</v>
      </c>
      <c r="K310" s="4">
        <f t="shared" si="173"/>
        <v>30025</v>
      </c>
      <c r="L310" s="4">
        <v>53000</v>
      </c>
      <c r="N310" s="4">
        <f t="shared" si="174"/>
        <v>0</v>
      </c>
      <c r="P310" s="3">
        <f>L310*1.025</f>
        <v>54324.999999999993</v>
      </c>
      <c r="R310" s="3">
        <v>9489</v>
      </c>
      <c r="S310" s="3">
        <f t="shared" si="175"/>
        <v>35511</v>
      </c>
      <c r="T310" s="3">
        <v>45000</v>
      </c>
      <c r="U310" s="3">
        <f t="shared" si="176"/>
        <v>-9324.9999999999927</v>
      </c>
      <c r="V310" s="3">
        <v>20063</v>
      </c>
      <c r="W310" s="3">
        <f t="shared" si="177"/>
        <v>24937</v>
      </c>
      <c r="Y310" s="3">
        <v>45000</v>
      </c>
      <c r="Z310" s="3">
        <f t="shared" si="178"/>
        <v>0</v>
      </c>
      <c r="AC310" s="3">
        <v>32152</v>
      </c>
      <c r="AD310" s="3">
        <f t="shared" si="169"/>
        <v>12848</v>
      </c>
      <c r="AE310" s="3">
        <v>45000</v>
      </c>
      <c r="AF310" s="3">
        <f t="shared" si="170"/>
        <v>0</v>
      </c>
      <c r="AI310" s="326">
        <v>46500</v>
      </c>
      <c r="AK310" s="3">
        <f>AI310*1.025</f>
        <v>47662.499999999993</v>
      </c>
      <c r="AM310" s="3">
        <f>AK310*1.025</f>
        <v>48854.062499999985</v>
      </c>
      <c r="AO310" s="3">
        <f>AM310*1.025</f>
        <v>50075.414062499978</v>
      </c>
      <c r="AQ310" s="3">
        <f>AO310*1.025</f>
        <v>51327.299414062472</v>
      </c>
      <c r="AS310" s="3">
        <f>AQ310*1.025</f>
        <v>52610.48189941403</v>
      </c>
      <c r="AU310" s="3">
        <f>AS310*1.025</f>
        <v>53925.743946899376</v>
      </c>
      <c r="AW310" s="3">
        <f>AU310*1.025</f>
        <v>55273.887545571859</v>
      </c>
      <c r="AY310" s="3">
        <f>AW310*1.025</f>
        <v>56655.734734211153</v>
      </c>
      <c r="BA310" s="3">
        <f>AY310*1.025</f>
        <v>58072.128102566428</v>
      </c>
      <c r="BC310" s="3">
        <f>BA310*1.025</f>
        <v>59523.931305130587</v>
      </c>
      <c r="BE310" s="3">
        <f>BC310*1.025</f>
        <v>61012.029587758843</v>
      </c>
    </row>
    <row r="311" spans="1:57" hidden="1" outlineLevel="1" x14ac:dyDescent="0.25">
      <c r="A311" s="3" t="s">
        <v>258</v>
      </c>
      <c r="B311" s="3">
        <v>23500</v>
      </c>
      <c r="D311" s="3">
        <v>7360</v>
      </c>
      <c r="E311" s="3">
        <f t="shared" si="171"/>
        <v>18640</v>
      </c>
      <c r="F311" s="3">
        <v>26000</v>
      </c>
      <c r="H311" s="3">
        <f t="shared" si="172"/>
        <v>2500</v>
      </c>
      <c r="J311" s="3">
        <v>11763</v>
      </c>
      <c r="K311" s="4">
        <f t="shared" si="173"/>
        <v>14237</v>
      </c>
      <c r="L311" s="4">
        <v>26000</v>
      </c>
      <c r="N311" s="4">
        <f t="shared" si="174"/>
        <v>0</v>
      </c>
      <c r="P311" s="3">
        <f>L311*1.025</f>
        <v>26649.999999999996</v>
      </c>
      <c r="R311" s="3">
        <v>4035</v>
      </c>
      <c r="S311" s="3">
        <f t="shared" si="175"/>
        <v>20465</v>
      </c>
      <c r="T311" s="3">
        <v>24500</v>
      </c>
      <c r="U311" s="3">
        <f t="shared" si="176"/>
        <v>-2149.9999999999964</v>
      </c>
      <c r="V311" s="3">
        <v>8690</v>
      </c>
      <c r="W311" s="3">
        <f t="shared" si="177"/>
        <v>13810</v>
      </c>
      <c r="Y311" s="3">
        <v>22500</v>
      </c>
      <c r="Z311" s="3">
        <f t="shared" si="178"/>
        <v>-2000</v>
      </c>
      <c r="AC311" s="3">
        <v>13187</v>
      </c>
      <c r="AD311" s="3">
        <f t="shared" si="169"/>
        <v>6813</v>
      </c>
      <c r="AE311" s="3">
        <v>20000</v>
      </c>
      <c r="AF311" s="3">
        <f t="shared" si="170"/>
        <v>-2500</v>
      </c>
      <c r="AI311" s="326">
        <v>22000</v>
      </c>
      <c r="AK311" s="3">
        <f>AI311*1.025</f>
        <v>22549.999999999996</v>
      </c>
      <c r="AM311" s="3">
        <f>AK311*1.025</f>
        <v>23113.749999999993</v>
      </c>
      <c r="AO311" s="3">
        <f>AM311*1.025</f>
        <v>23691.593749999989</v>
      </c>
      <c r="AQ311" s="3">
        <f>AO311*1.025</f>
        <v>24283.883593749986</v>
      </c>
      <c r="AS311" s="3">
        <f>AQ311*1.025</f>
        <v>24890.980683593734</v>
      </c>
      <c r="AU311" s="3">
        <f>AS311*1.025</f>
        <v>25513.255200683576</v>
      </c>
      <c r="AW311" s="3">
        <f>AU311*1.025</f>
        <v>26151.086580700663</v>
      </c>
      <c r="AY311" s="3">
        <f>AW311*1.025</f>
        <v>26804.863745218176</v>
      </c>
      <c r="BA311" s="3">
        <f>AY311*1.025</f>
        <v>27474.985338848626</v>
      </c>
      <c r="BC311" s="3">
        <f>BA311*1.025</f>
        <v>28161.859972319839</v>
      </c>
      <c r="BE311" s="3">
        <f>BC311*1.025</f>
        <v>28865.906471627834</v>
      </c>
    </row>
    <row r="312" spans="1:57" hidden="1" outlineLevel="1" x14ac:dyDescent="0.25">
      <c r="A312" s="3" t="s">
        <v>259</v>
      </c>
      <c r="E312" s="3">
        <f t="shared" si="171"/>
        <v>0</v>
      </c>
      <c r="H312" s="3">
        <f t="shared" si="172"/>
        <v>0</v>
      </c>
      <c r="K312" s="4">
        <f t="shared" si="173"/>
        <v>0</v>
      </c>
      <c r="L312" s="4"/>
      <c r="N312" s="4">
        <f t="shared" si="174"/>
        <v>0</v>
      </c>
      <c r="S312" s="3">
        <f t="shared" si="175"/>
        <v>0</v>
      </c>
      <c r="U312" s="3">
        <f t="shared" si="176"/>
        <v>0</v>
      </c>
      <c r="W312" s="3">
        <f t="shared" si="177"/>
        <v>0</v>
      </c>
      <c r="Z312" s="3">
        <f t="shared" si="178"/>
        <v>0</v>
      </c>
      <c r="AD312" s="3">
        <f t="shared" si="169"/>
        <v>0</v>
      </c>
      <c r="AF312" s="3">
        <f t="shared" si="170"/>
        <v>0</v>
      </c>
      <c r="AI312" s="321"/>
      <c r="BC312" s="3"/>
      <c r="BE312" s="3"/>
    </row>
    <row r="313" spans="1:57" hidden="1" outlineLevel="1" x14ac:dyDescent="0.25">
      <c r="A313" s="3" t="s">
        <v>260</v>
      </c>
      <c r="B313" s="3">
        <v>17500</v>
      </c>
      <c r="D313" s="3">
        <v>0</v>
      </c>
      <c r="E313" s="3">
        <f t="shared" si="171"/>
        <v>17500</v>
      </c>
      <c r="F313" s="3">
        <v>17500</v>
      </c>
      <c r="H313" s="3">
        <f t="shared" si="172"/>
        <v>0</v>
      </c>
      <c r="K313" s="4">
        <f t="shared" si="173"/>
        <v>17500</v>
      </c>
      <c r="L313" s="4">
        <v>17500</v>
      </c>
      <c r="N313" s="4">
        <f t="shared" si="174"/>
        <v>0</v>
      </c>
      <c r="P313" s="3">
        <v>17500</v>
      </c>
      <c r="S313" s="3">
        <f t="shared" si="175"/>
        <v>17500</v>
      </c>
      <c r="T313" s="3">
        <v>17500</v>
      </c>
      <c r="U313" s="3">
        <f t="shared" si="176"/>
        <v>0</v>
      </c>
      <c r="V313" s="3">
        <v>0</v>
      </c>
      <c r="W313" s="3">
        <f t="shared" si="177"/>
        <v>0</v>
      </c>
      <c r="Y313" s="3">
        <v>0</v>
      </c>
      <c r="Z313" s="3">
        <f t="shared" si="178"/>
        <v>-17500</v>
      </c>
      <c r="AD313" s="3">
        <f t="shared" si="169"/>
        <v>0</v>
      </c>
      <c r="AF313" s="3">
        <f t="shared" si="170"/>
        <v>0</v>
      </c>
      <c r="AI313" s="326"/>
      <c r="BC313" s="3"/>
      <c r="BE313" s="3"/>
    </row>
    <row r="314" spans="1:57" hidden="1" outlineLevel="1" x14ac:dyDescent="0.25">
      <c r="A314" s="3" t="s">
        <v>57</v>
      </c>
      <c r="B314" s="3">
        <v>300</v>
      </c>
      <c r="D314" s="3">
        <v>204</v>
      </c>
      <c r="E314" s="3">
        <f t="shared" si="171"/>
        <v>96</v>
      </c>
      <c r="F314" s="3">
        <v>300</v>
      </c>
      <c r="H314" s="3">
        <f t="shared" si="172"/>
        <v>0</v>
      </c>
      <c r="J314" s="3">
        <v>433</v>
      </c>
      <c r="K314" s="4">
        <f t="shared" si="173"/>
        <v>67</v>
      </c>
      <c r="L314" s="4">
        <v>500</v>
      </c>
      <c r="N314" s="4">
        <f t="shared" si="174"/>
        <v>200</v>
      </c>
      <c r="P314" s="3">
        <f>L314*1.025+2</f>
        <v>514.5</v>
      </c>
      <c r="S314" s="3">
        <f t="shared" si="175"/>
        <v>500</v>
      </c>
      <c r="T314" s="3">
        <v>500</v>
      </c>
      <c r="U314" s="3">
        <f t="shared" si="176"/>
        <v>-14.5</v>
      </c>
      <c r="V314" s="3">
        <v>203</v>
      </c>
      <c r="W314" s="3">
        <f t="shared" si="177"/>
        <v>297</v>
      </c>
      <c r="Y314" s="3">
        <v>500</v>
      </c>
      <c r="Z314" s="3">
        <f t="shared" si="178"/>
        <v>0</v>
      </c>
      <c r="AD314" s="3">
        <f t="shared" si="169"/>
        <v>500</v>
      </c>
      <c r="AE314" s="3">
        <v>500</v>
      </c>
      <c r="AF314" s="3">
        <f t="shared" si="170"/>
        <v>0</v>
      </c>
      <c r="AI314" s="326">
        <v>550</v>
      </c>
      <c r="AK314" s="3">
        <f>AI314*1.025</f>
        <v>563.75</v>
      </c>
      <c r="AM314" s="3">
        <f>AK314*1.025</f>
        <v>577.84375</v>
      </c>
      <c r="AO314" s="3">
        <f>AM314*1.025</f>
        <v>592.28984374999993</v>
      </c>
      <c r="AQ314" s="3">
        <f>AO314*1.025</f>
        <v>607.09708984374993</v>
      </c>
      <c r="AS314" s="3">
        <f>AQ314*1.025</f>
        <v>622.27451708984358</v>
      </c>
      <c r="AU314" s="3">
        <f>AS314*1.025</f>
        <v>637.8313800170896</v>
      </c>
      <c r="AW314" s="3">
        <f>AU314*1.025</f>
        <v>653.77716451751678</v>
      </c>
      <c r="AY314" s="3">
        <f>AW314*1.025</f>
        <v>670.12159363045464</v>
      </c>
      <c r="BA314" s="3">
        <f>AY314*1.025</f>
        <v>686.87463347121593</v>
      </c>
      <c r="BC314" s="3">
        <f>BA314*1.025</f>
        <v>704.04649930799621</v>
      </c>
      <c r="BE314" s="3">
        <f>BC314*1.025</f>
        <v>721.64766179069602</v>
      </c>
    </row>
    <row r="315" spans="1:57" hidden="1" outlineLevel="1" x14ac:dyDescent="0.25">
      <c r="A315" s="3"/>
      <c r="B315" s="62">
        <f>SUM(B307:B314)</f>
        <v>110300</v>
      </c>
      <c r="C315" s="32"/>
      <c r="D315" s="62">
        <f>SUM(D307:D314)</f>
        <v>20637</v>
      </c>
      <c r="E315" s="62">
        <f>SUM(E307:E314)</f>
        <v>91163</v>
      </c>
      <c r="F315" s="62">
        <f>SUM(F307:F314)</f>
        <v>111800</v>
      </c>
      <c r="G315" s="32"/>
      <c r="H315" s="62">
        <f>SUM(H307:H314)</f>
        <v>1500</v>
      </c>
      <c r="I315" s="32"/>
      <c r="J315" s="62">
        <f>SUM(J307:J314)</f>
        <v>41507</v>
      </c>
      <c r="K315" s="62">
        <f>SUM(K307:K314)</f>
        <v>70493</v>
      </c>
      <c r="L315" s="62">
        <f>SUM(L307:L314)</f>
        <v>112000</v>
      </c>
      <c r="M315" s="32"/>
      <c r="N315" s="62">
        <f>SUM(N307:N314)</f>
        <v>200</v>
      </c>
      <c r="P315" s="62">
        <f>SUM(P307:P314)</f>
        <v>114364.49999999999</v>
      </c>
      <c r="R315" s="62">
        <f t="shared" ref="R315:Z315" si="179">SUM(R307:R314)</f>
        <v>16033</v>
      </c>
      <c r="S315" s="62">
        <f t="shared" si="179"/>
        <v>84467</v>
      </c>
      <c r="T315" s="62">
        <f t="shared" si="179"/>
        <v>100500</v>
      </c>
      <c r="U315" s="62">
        <f t="shared" si="179"/>
        <v>-13864.499999999987</v>
      </c>
      <c r="V315" s="62">
        <f t="shared" si="179"/>
        <v>34601</v>
      </c>
      <c r="W315" s="62">
        <f t="shared" si="179"/>
        <v>46399</v>
      </c>
      <c r="X315" s="62"/>
      <c r="Y315" s="62">
        <f t="shared" si="179"/>
        <v>81000</v>
      </c>
      <c r="Z315" s="62">
        <f t="shared" si="179"/>
        <v>-19500</v>
      </c>
      <c r="AC315" s="62">
        <f>SUM(AC307:AC314)</f>
        <v>53898</v>
      </c>
      <c r="AD315" s="62">
        <f>SUM(AD307:AD314)</f>
        <v>24102</v>
      </c>
      <c r="AE315" s="62">
        <f>SUM(AE307:AE314)</f>
        <v>78000</v>
      </c>
      <c r="AF315" s="62">
        <f>SUM(AF307:AF314)</f>
        <v>-3000</v>
      </c>
      <c r="AG315" s="32"/>
      <c r="AI315" s="62">
        <f t="shared" ref="AI315:AY315" si="180">SUM(AI307:AI314)</f>
        <v>82050</v>
      </c>
      <c r="AJ315" s="32"/>
      <c r="AK315" s="62">
        <f t="shared" si="180"/>
        <v>84101.249999999985</v>
      </c>
      <c r="AM315" s="62">
        <f t="shared" si="180"/>
        <v>86203.781249999971</v>
      </c>
      <c r="AO315" s="62">
        <f t="shared" si="180"/>
        <v>88358.875781249953</v>
      </c>
      <c r="AP315" s="32"/>
      <c r="AQ315" s="62">
        <f t="shared" si="180"/>
        <v>90567.847675781202</v>
      </c>
      <c r="AS315" s="62">
        <f t="shared" si="180"/>
        <v>92832.043867675719</v>
      </c>
      <c r="AU315" s="62">
        <f t="shared" si="180"/>
        <v>95152.844964367614</v>
      </c>
      <c r="AW315" s="62">
        <f t="shared" si="180"/>
        <v>97531.666088476806</v>
      </c>
      <c r="AY315" s="62">
        <f t="shared" si="180"/>
        <v>99969.957740688697</v>
      </c>
      <c r="BA315" s="62">
        <f>SUM(BA307:BA314)</f>
        <v>102469.20668420591</v>
      </c>
      <c r="BC315" s="62">
        <f>SUM(BC307:BC314)</f>
        <v>105030.93685131105</v>
      </c>
      <c r="BE315" s="62">
        <f>SUM(BE307:BE314)</f>
        <v>107656.71027259383</v>
      </c>
    </row>
    <row r="316" spans="1:57" hidden="1" outlineLevel="1" x14ac:dyDescent="0.25">
      <c r="A316" s="7" t="s">
        <v>261</v>
      </c>
      <c r="AJ316" s="4"/>
      <c r="BC316" s="3"/>
      <c r="BE316" s="3"/>
    </row>
    <row r="317" spans="1:57" hidden="1" outlineLevel="1" x14ac:dyDescent="0.25">
      <c r="A317" s="3" t="s">
        <v>262</v>
      </c>
      <c r="Z317" s="3">
        <f>Y317-T317</f>
        <v>0</v>
      </c>
      <c r="AJ317" s="4"/>
      <c r="BC317" s="3"/>
      <c r="BE317" s="3"/>
    </row>
    <row r="318" spans="1:57" hidden="1" outlineLevel="1" x14ac:dyDescent="0.25">
      <c r="A318" s="3" t="s">
        <v>263</v>
      </c>
      <c r="AI318" s="321">
        <v>60000</v>
      </c>
      <c r="AJ318" s="4"/>
      <c r="BC318" s="3"/>
      <c r="BE318" s="3"/>
    </row>
    <row r="319" spans="1:57" hidden="1" outlineLevel="1" x14ac:dyDescent="0.25">
      <c r="A319" s="3" t="s">
        <v>264</v>
      </c>
      <c r="AI319" s="325"/>
      <c r="AJ319" s="4"/>
      <c r="AK319" s="3">
        <v>3000</v>
      </c>
      <c r="AM319" s="3">
        <f>AK319*1.03</f>
        <v>3090</v>
      </c>
      <c r="AO319" s="3">
        <f>AM319*1.03</f>
        <v>3182.7000000000003</v>
      </c>
      <c r="AQ319" s="3">
        <f>AO319*1.03</f>
        <v>3278.1810000000005</v>
      </c>
      <c r="AS319" s="3">
        <f>AQ319*1.03</f>
        <v>3376.5264300000008</v>
      </c>
      <c r="AU319" s="3">
        <f>AS319*1.03</f>
        <v>3477.8222229000007</v>
      </c>
      <c r="AW319" s="3">
        <f>AU319*1.03</f>
        <v>3582.1568895870009</v>
      </c>
      <c r="AY319" s="3">
        <f>AW319*1.03</f>
        <v>3689.621596274611</v>
      </c>
      <c r="BA319" s="3">
        <f>AY319*1.03</f>
        <v>3800.3102441628494</v>
      </c>
      <c r="BC319" s="3">
        <f>BA319*1.03</f>
        <v>3914.3195514877348</v>
      </c>
      <c r="BE319" s="3">
        <f>BC319*1.03</f>
        <v>4031.7491380323668</v>
      </c>
    </row>
    <row r="320" spans="1:57" hidden="1" outlineLevel="1" x14ac:dyDescent="0.25">
      <c r="A320" s="3" t="s">
        <v>265</v>
      </c>
      <c r="B320" s="3">
        <v>50000</v>
      </c>
      <c r="D320" s="3">
        <v>5532</v>
      </c>
      <c r="E320" s="3">
        <f>F320-D320</f>
        <v>31968</v>
      </c>
      <c r="F320" s="3">
        <v>37500</v>
      </c>
      <c r="H320" s="3">
        <f>F320-B320</f>
        <v>-12500</v>
      </c>
      <c r="J320" s="3">
        <v>13599</v>
      </c>
      <c r="K320" s="4">
        <f>L320-J320</f>
        <v>23901</v>
      </c>
      <c r="L320" s="4">
        <v>37500</v>
      </c>
      <c r="N320" s="4">
        <f>L320-F320</f>
        <v>0</v>
      </c>
      <c r="P320" s="3">
        <v>40000</v>
      </c>
      <c r="R320" s="3">
        <v>6979</v>
      </c>
      <c r="S320" s="3">
        <f>T320-R320</f>
        <v>33021</v>
      </c>
      <c r="T320" s="3">
        <v>40000</v>
      </c>
      <c r="U320" s="3">
        <f>T320-P320</f>
        <v>0</v>
      </c>
      <c r="V320" s="3">
        <v>15118</v>
      </c>
      <c r="W320" s="3">
        <f>Y320-V320</f>
        <v>24882</v>
      </c>
      <c r="Y320" s="3">
        <v>40000</v>
      </c>
      <c r="Z320" s="3">
        <f>Y320-T320</f>
        <v>0</v>
      </c>
      <c r="AC320" s="3">
        <v>23327</v>
      </c>
      <c r="AD320" s="3">
        <f>AE320-AC320</f>
        <v>16673</v>
      </c>
      <c r="AE320" s="3">
        <v>40000</v>
      </c>
      <c r="AF320" s="3">
        <f>AE320-Y320</f>
        <v>0</v>
      </c>
      <c r="AI320" s="325">
        <v>42500</v>
      </c>
      <c r="AJ320" s="4"/>
      <c r="AK320" s="3">
        <v>48000</v>
      </c>
      <c r="AM320" s="3">
        <f>AK320*1.025</f>
        <v>49199.999999999993</v>
      </c>
      <c r="AO320" s="3">
        <f>AM320*1.025</f>
        <v>50429.999999999985</v>
      </c>
      <c r="AQ320" s="3">
        <f>AO320*1.025</f>
        <v>51690.749999999978</v>
      </c>
      <c r="AS320" s="3">
        <f>AQ320*1.025</f>
        <v>52983.018749999974</v>
      </c>
      <c r="AU320" s="3">
        <f>AS320*1.025</f>
        <v>54307.594218749968</v>
      </c>
      <c r="AW320" s="3">
        <f>AU320*1.025</f>
        <v>55665.284074218711</v>
      </c>
      <c r="AY320" s="3">
        <f>AW320*1.025</f>
        <v>57056.916176074177</v>
      </c>
      <c r="BA320" s="3">
        <f>AY320*1.025</f>
        <v>58483.339080476027</v>
      </c>
      <c r="BC320" s="3">
        <f>BA320*1.025</f>
        <v>59945.422557487924</v>
      </c>
      <c r="BE320" s="3">
        <f>BC320*1.025</f>
        <v>61444.058121425114</v>
      </c>
    </row>
    <row r="321" spans="1:57" hidden="1" outlineLevel="1" x14ac:dyDescent="0.25">
      <c r="A321" s="3"/>
      <c r="B321" s="62">
        <f>SUM(B317:B320)</f>
        <v>50000</v>
      </c>
      <c r="C321" s="32"/>
      <c r="D321" s="62">
        <f>SUM(D317:D320)</f>
        <v>5532</v>
      </c>
      <c r="E321" s="62">
        <f>SUM(E317:E320)</f>
        <v>31968</v>
      </c>
      <c r="F321" s="62">
        <f>SUM(F317:F320)</f>
        <v>37500</v>
      </c>
      <c r="G321" s="32"/>
      <c r="H321" s="62">
        <f>SUM(H317:H320)</f>
        <v>-12500</v>
      </c>
      <c r="I321" s="32"/>
      <c r="J321" s="62">
        <f>SUM(J317:J320)</f>
        <v>13599</v>
      </c>
      <c r="K321" s="62">
        <f>SUM(K317:K320)</f>
        <v>23901</v>
      </c>
      <c r="L321" s="62">
        <v>0</v>
      </c>
      <c r="M321" s="32"/>
      <c r="N321" s="62">
        <f>SUM(N317:N320)</f>
        <v>0</v>
      </c>
      <c r="P321" s="62">
        <f>SUM(P317:P320)</f>
        <v>40000</v>
      </c>
      <c r="R321" s="62">
        <f t="shared" ref="R321:Z321" si="181">SUM(R317:R320)</f>
        <v>6979</v>
      </c>
      <c r="S321" s="62">
        <f t="shared" si="181"/>
        <v>33021</v>
      </c>
      <c r="T321" s="62">
        <f t="shared" si="181"/>
        <v>40000</v>
      </c>
      <c r="U321" s="62">
        <f t="shared" si="181"/>
        <v>0</v>
      </c>
      <c r="V321" s="62">
        <f t="shared" si="181"/>
        <v>15118</v>
      </c>
      <c r="W321" s="62">
        <f t="shared" si="181"/>
        <v>24882</v>
      </c>
      <c r="X321" s="62"/>
      <c r="Y321" s="62">
        <f t="shared" si="181"/>
        <v>40000</v>
      </c>
      <c r="Z321" s="62">
        <f t="shared" si="181"/>
        <v>0</v>
      </c>
      <c r="AC321" s="62">
        <f>SUM(AC317:AC320)</f>
        <v>23327</v>
      </c>
      <c r="AD321" s="62">
        <f>SUM(AD317:AD320)</f>
        <v>16673</v>
      </c>
      <c r="AE321" s="62">
        <f>SUM(AE317:AE320)</f>
        <v>40000</v>
      </c>
      <c r="AF321" s="62">
        <f>SUM(AF317:AF320)</f>
        <v>0</v>
      </c>
      <c r="AG321" s="32"/>
      <c r="AI321" s="62">
        <f t="shared" ref="AI321:AY321" si="182">SUM(AI317:AI320)</f>
        <v>102500</v>
      </c>
      <c r="AJ321" s="32"/>
      <c r="AK321" s="62">
        <f t="shared" si="182"/>
        <v>51000</v>
      </c>
      <c r="AM321" s="62">
        <f t="shared" si="182"/>
        <v>52289.999999999993</v>
      </c>
      <c r="AO321" s="62">
        <f t="shared" si="182"/>
        <v>53612.699999999983</v>
      </c>
      <c r="AP321" s="32"/>
      <c r="AQ321" s="62">
        <f t="shared" si="182"/>
        <v>54968.930999999982</v>
      </c>
      <c r="AS321" s="62">
        <f t="shared" si="182"/>
        <v>56359.545179999972</v>
      </c>
      <c r="AU321" s="62">
        <f t="shared" si="182"/>
        <v>57785.41644164997</v>
      </c>
      <c r="AW321" s="62">
        <f t="shared" si="182"/>
        <v>59247.440963805711</v>
      </c>
      <c r="AY321" s="62">
        <f t="shared" si="182"/>
        <v>60746.537772348791</v>
      </c>
      <c r="BA321" s="62">
        <f>SUM(BA317:BA320)</f>
        <v>62283.649324638878</v>
      </c>
      <c r="BC321" s="62">
        <f>SUM(BC317:BC320)</f>
        <v>63859.742108975661</v>
      </c>
      <c r="BE321" s="62">
        <f>SUM(BE317:BE320)</f>
        <v>65475.807259457484</v>
      </c>
    </row>
    <row r="322" spans="1:57" s="42" customFormat="1" hidden="1" outlineLevel="1" x14ac:dyDescent="0.25">
      <c r="A322" s="3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"/>
      <c r="P322" s="32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4"/>
      <c r="AH322" s="4"/>
      <c r="AI322" s="32"/>
      <c r="AJ322" s="32"/>
      <c r="AK322" s="32"/>
      <c r="AL322" s="3"/>
      <c r="AM322" s="32"/>
      <c r="AN322" s="3"/>
      <c r="AO322" s="32"/>
      <c r="AP322" s="32"/>
      <c r="AQ322" s="32"/>
      <c r="AS322" s="32"/>
      <c r="AU322" s="32"/>
      <c r="AW322" s="32"/>
      <c r="AY322" s="32"/>
      <c r="BA322" s="32"/>
      <c r="BC322" s="32"/>
      <c r="BE322" s="32"/>
    </row>
    <row r="323" spans="1:57" hidden="1" outlineLevel="1" x14ac:dyDescent="0.25">
      <c r="A323" s="7" t="s">
        <v>57</v>
      </c>
      <c r="AJ323" s="4"/>
      <c r="BC323" s="3"/>
      <c r="BE323" s="3"/>
    </row>
    <row r="324" spans="1:57" hidden="1" outlineLevel="1" x14ac:dyDescent="0.25">
      <c r="A324" s="3" t="s">
        <v>266</v>
      </c>
      <c r="B324" s="3">
        <v>70000</v>
      </c>
      <c r="D324" s="3">
        <v>0</v>
      </c>
      <c r="E324" s="3">
        <f t="shared" ref="E324:E332" si="183">F324-D324</f>
        <v>40000</v>
      </c>
      <c r="F324" s="3">
        <v>40000</v>
      </c>
      <c r="H324" s="3">
        <f t="shared" ref="H324:H332" si="184">F324-B324</f>
        <v>-30000</v>
      </c>
      <c r="J324" s="3">
        <v>0</v>
      </c>
      <c r="K324" s="4">
        <f t="shared" ref="K324:K332" si="185">L324-J324</f>
        <v>25000</v>
      </c>
      <c r="L324" s="4">
        <v>25000</v>
      </c>
      <c r="N324" s="4">
        <f t="shared" ref="N324:N332" si="186">L324-F324</f>
        <v>-15000</v>
      </c>
      <c r="P324" s="3">
        <v>0</v>
      </c>
      <c r="S324" s="3">
        <f t="shared" ref="S324:S332" si="187">T324-R324</f>
        <v>0</v>
      </c>
      <c r="U324" s="3">
        <f t="shared" ref="U324:U332" si="188">T324-P324</f>
        <v>0</v>
      </c>
      <c r="W324" s="3">
        <f t="shared" ref="W324:W332" si="189">Y324-V324</f>
        <v>0</v>
      </c>
      <c r="Z324" s="3">
        <f t="shared" ref="Z324:Z332" si="190">Y324-T324</f>
        <v>0</v>
      </c>
      <c r="AD324" s="3">
        <f t="shared" ref="AD324:AD332" si="191">AE324-AC324</f>
        <v>0</v>
      </c>
      <c r="AF324" s="3">
        <f t="shared" ref="AF324:AF332" si="192">AE324-Y324</f>
        <v>0</v>
      </c>
      <c r="AI324" s="321"/>
      <c r="AJ324" s="4"/>
      <c r="BC324" s="3"/>
      <c r="BE324" s="3"/>
    </row>
    <row r="325" spans="1:57" s="42" customFormat="1" hidden="1" outlineLevel="1" x14ac:dyDescent="0.25">
      <c r="A325" s="3" t="s">
        <v>267</v>
      </c>
      <c r="B325" s="3">
        <v>205585</v>
      </c>
      <c r="C325" s="3"/>
      <c r="D325" s="3">
        <v>0</v>
      </c>
      <c r="E325" s="3">
        <f t="shared" si="183"/>
        <v>205585</v>
      </c>
      <c r="F325" s="3">
        <v>205585</v>
      </c>
      <c r="G325" s="3"/>
      <c r="H325" s="3">
        <f t="shared" si="184"/>
        <v>0</v>
      </c>
      <c r="I325" s="3"/>
      <c r="J325" s="3">
        <v>0</v>
      </c>
      <c r="K325" s="4">
        <f t="shared" si="185"/>
        <v>205585</v>
      </c>
      <c r="L325" s="4">
        <v>205585</v>
      </c>
      <c r="M325" s="4"/>
      <c r="N325" s="4">
        <f t="shared" si="186"/>
        <v>0</v>
      </c>
      <c r="O325" s="3"/>
      <c r="P325" s="3">
        <v>147860</v>
      </c>
      <c r="Q325" s="3"/>
      <c r="R325" s="3">
        <v>0</v>
      </c>
      <c r="S325" s="3">
        <f t="shared" si="187"/>
        <v>147860</v>
      </c>
      <c r="T325" s="3">
        <v>147860</v>
      </c>
      <c r="U325" s="3">
        <f t="shared" si="188"/>
        <v>0</v>
      </c>
      <c r="V325" s="3">
        <v>0</v>
      </c>
      <c r="W325" s="3">
        <f t="shared" si="189"/>
        <v>147860</v>
      </c>
      <c r="X325" s="3"/>
      <c r="Y325" s="3">
        <v>147860</v>
      </c>
      <c r="Z325" s="3">
        <f t="shared" si="190"/>
        <v>0</v>
      </c>
      <c r="AA325" s="3"/>
      <c r="AB325" s="3"/>
      <c r="AC325" s="3">
        <v>0</v>
      </c>
      <c r="AD325" s="3">
        <f t="shared" si="191"/>
        <v>49300</v>
      </c>
      <c r="AE325" s="3">
        <v>49300</v>
      </c>
      <c r="AF325" s="3">
        <f t="shared" si="192"/>
        <v>-98560</v>
      </c>
      <c r="AG325" s="4"/>
      <c r="AH325" s="4"/>
      <c r="AI325" s="321">
        <v>147860</v>
      </c>
      <c r="AJ325" s="4"/>
      <c r="AK325" s="3">
        <v>147860</v>
      </c>
      <c r="AL325" s="3"/>
      <c r="AM325" s="3">
        <v>147860</v>
      </c>
      <c r="AN325" s="3"/>
      <c r="AO325" s="3">
        <v>200720</v>
      </c>
      <c r="AP325" s="4"/>
      <c r="AQ325" s="3">
        <v>200720</v>
      </c>
      <c r="AS325" s="3">
        <v>200720</v>
      </c>
      <c r="AU325" s="3">
        <v>200720</v>
      </c>
      <c r="AW325" s="3">
        <v>150540</v>
      </c>
      <c r="AY325" s="3"/>
      <c r="BA325" s="3"/>
      <c r="BC325" s="3"/>
      <c r="BE325" s="3"/>
    </row>
    <row r="326" spans="1:57" hidden="1" outlineLevel="1" x14ac:dyDescent="0.25">
      <c r="A326" s="3" t="s">
        <v>268</v>
      </c>
      <c r="E326" s="3">
        <f t="shared" si="183"/>
        <v>0</v>
      </c>
      <c r="H326" s="3">
        <f t="shared" si="184"/>
        <v>0</v>
      </c>
      <c r="K326" s="4">
        <f t="shared" si="185"/>
        <v>0</v>
      </c>
      <c r="L326" s="4"/>
      <c r="N326" s="4">
        <f t="shared" si="186"/>
        <v>0</v>
      </c>
      <c r="S326" s="3">
        <f t="shared" si="187"/>
        <v>0</v>
      </c>
      <c r="U326" s="3">
        <f t="shared" si="188"/>
        <v>0</v>
      </c>
      <c r="W326" s="3">
        <f t="shared" si="189"/>
        <v>0</v>
      </c>
      <c r="Z326" s="3">
        <f t="shared" si="190"/>
        <v>0</v>
      </c>
      <c r="AD326" s="3">
        <f t="shared" si="191"/>
        <v>0</v>
      </c>
      <c r="AF326" s="3">
        <f t="shared" si="192"/>
        <v>0</v>
      </c>
      <c r="AI326" s="326"/>
      <c r="AJ326" s="4"/>
      <c r="BC326" s="3"/>
      <c r="BE326" s="3"/>
    </row>
    <row r="327" spans="1:57" hidden="1" outlineLevel="1" x14ac:dyDescent="0.25">
      <c r="A327" s="3" t="s">
        <v>269</v>
      </c>
      <c r="B327" s="3">
        <v>5000</v>
      </c>
      <c r="D327" s="3">
        <v>1273</v>
      </c>
      <c r="E327" s="3">
        <f t="shared" si="183"/>
        <v>3727</v>
      </c>
      <c r="F327" s="3">
        <v>5000</v>
      </c>
      <c r="H327" s="3">
        <f t="shared" si="184"/>
        <v>0</v>
      </c>
      <c r="J327" s="3">
        <v>2364</v>
      </c>
      <c r="K327" s="4">
        <f t="shared" si="185"/>
        <v>2636</v>
      </c>
      <c r="L327" s="4">
        <v>5000</v>
      </c>
      <c r="N327" s="4">
        <f t="shared" si="186"/>
        <v>0</v>
      </c>
      <c r="P327" s="3">
        <f>L327*1.025+20000</f>
        <v>25125</v>
      </c>
      <c r="R327" s="3">
        <v>2727</v>
      </c>
      <c r="S327" s="3">
        <f t="shared" si="187"/>
        <v>22398</v>
      </c>
      <c r="T327" s="3">
        <v>25125</v>
      </c>
      <c r="U327" s="3">
        <f t="shared" si="188"/>
        <v>0</v>
      </c>
      <c r="V327" s="3">
        <v>8398</v>
      </c>
      <c r="W327" s="3">
        <f t="shared" si="189"/>
        <v>16727</v>
      </c>
      <c r="Y327" s="3">
        <v>25125</v>
      </c>
      <c r="Z327" s="3">
        <f t="shared" si="190"/>
        <v>0</v>
      </c>
      <c r="AC327" s="3">
        <v>14307</v>
      </c>
      <c r="AD327" s="3">
        <f t="shared" si="191"/>
        <v>10818</v>
      </c>
      <c r="AE327" s="3">
        <v>25125</v>
      </c>
      <c r="AF327" s="3">
        <f t="shared" si="192"/>
        <v>0</v>
      </c>
      <c r="AI327" s="325">
        <f>AE327*1.03+1</f>
        <v>25879.75</v>
      </c>
      <c r="AJ327" s="4"/>
      <c r="AK327" s="3">
        <f>AI327*1.025</f>
        <v>26526.743749999998</v>
      </c>
      <c r="AM327" s="3">
        <f>AK327*1.025</f>
        <v>27189.912343749995</v>
      </c>
      <c r="AO327" s="3">
        <f>AM327*1.025</f>
        <v>27869.660152343742</v>
      </c>
      <c r="AQ327" s="3">
        <f>AO327*1.025</f>
        <v>28566.401656152335</v>
      </c>
      <c r="AS327" s="3">
        <f>AQ327*1.025</f>
        <v>29280.561697556142</v>
      </c>
      <c r="AU327" s="3">
        <f>AS327*1.025</f>
        <v>30012.575739995042</v>
      </c>
      <c r="AW327" s="3">
        <f>AU327*1.025</f>
        <v>30762.890133494915</v>
      </c>
      <c r="AY327" s="3">
        <f>AW327*1.025</f>
        <v>31531.962386832285</v>
      </c>
      <c r="BA327" s="3">
        <f>AY327*1.025</f>
        <v>32320.261446503089</v>
      </c>
      <c r="BC327" s="3">
        <f>BA327*1.025</f>
        <v>33128.26798266566</v>
      </c>
      <c r="BE327" s="3">
        <f>BC327*1.025</f>
        <v>33956.4746822323</v>
      </c>
    </row>
    <row r="328" spans="1:57" hidden="1" outlineLevel="1" x14ac:dyDescent="0.25">
      <c r="A328" s="3" t="s">
        <v>270</v>
      </c>
      <c r="E328" s="3">
        <f t="shared" si="183"/>
        <v>0</v>
      </c>
      <c r="H328" s="3">
        <f t="shared" si="184"/>
        <v>0</v>
      </c>
      <c r="K328" s="4">
        <f t="shared" si="185"/>
        <v>0</v>
      </c>
      <c r="L328" s="4"/>
      <c r="N328" s="4">
        <f t="shared" si="186"/>
        <v>0</v>
      </c>
      <c r="S328" s="3">
        <f t="shared" si="187"/>
        <v>0</v>
      </c>
      <c r="U328" s="3">
        <f t="shared" si="188"/>
        <v>0</v>
      </c>
      <c r="W328" s="3">
        <f t="shared" si="189"/>
        <v>0</v>
      </c>
      <c r="Z328" s="3">
        <f t="shared" si="190"/>
        <v>0</v>
      </c>
      <c r="AD328" s="3">
        <f t="shared" si="191"/>
        <v>0</v>
      </c>
      <c r="AF328" s="3">
        <f t="shared" si="192"/>
        <v>0</v>
      </c>
      <c r="AI328" s="325"/>
      <c r="AJ328" s="4"/>
      <c r="BC328" s="3"/>
      <c r="BE328" s="3"/>
    </row>
    <row r="329" spans="1:57" hidden="1" outlineLevel="1" x14ac:dyDescent="0.25">
      <c r="A329" s="3" t="s">
        <v>271</v>
      </c>
      <c r="E329" s="3">
        <f t="shared" si="183"/>
        <v>0</v>
      </c>
      <c r="H329" s="3">
        <f t="shared" si="184"/>
        <v>0</v>
      </c>
      <c r="K329" s="4">
        <f t="shared" si="185"/>
        <v>0</v>
      </c>
      <c r="L329" s="4"/>
      <c r="N329" s="4">
        <f t="shared" si="186"/>
        <v>0</v>
      </c>
      <c r="S329" s="3">
        <f t="shared" si="187"/>
        <v>0</v>
      </c>
      <c r="U329" s="3">
        <f t="shared" si="188"/>
        <v>0</v>
      </c>
      <c r="W329" s="3">
        <f t="shared" si="189"/>
        <v>0</v>
      </c>
      <c r="Z329" s="3">
        <f t="shared" si="190"/>
        <v>0</v>
      </c>
      <c r="AD329" s="3">
        <f t="shared" si="191"/>
        <v>0</v>
      </c>
      <c r="AF329" s="3">
        <f t="shared" si="192"/>
        <v>0</v>
      </c>
      <c r="AI329" s="325"/>
      <c r="AJ329" s="4"/>
      <c r="BC329" s="3"/>
      <c r="BE329" s="3"/>
    </row>
    <row r="330" spans="1:57" hidden="1" outlineLevel="1" x14ac:dyDescent="0.25">
      <c r="A330" s="3" t="s">
        <v>272</v>
      </c>
      <c r="B330" s="3">
        <v>141000</v>
      </c>
      <c r="E330" s="3">
        <f t="shared" si="183"/>
        <v>141000</v>
      </c>
      <c r="F330" s="3">
        <v>141000</v>
      </c>
      <c r="H330" s="3">
        <f t="shared" si="184"/>
        <v>0</v>
      </c>
      <c r="J330" s="3">
        <v>8172</v>
      </c>
      <c r="K330" s="4">
        <f>L330-J330</f>
        <v>1828</v>
      </c>
      <c r="L330" s="4">
        <v>10000</v>
      </c>
      <c r="M330" s="32"/>
      <c r="N330" s="4">
        <f>L330-F330</f>
        <v>-131000</v>
      </c>
      <c r="P330" s="3">
        <v>0</v>
      </c>
      <c r="S330" s="3">
        <f t="shared" si="187"/>
        <v>0</v>
      </c>
      <c r="U330" s="3">
        <f t="shared" si="188"/>
        <v>0</v>
      </c>
      <c r="W330" s="3">
        <f t="shared" si="189"/>
        <v>0</v>
      </c>
      <c r="Z330" s="3">
        <f t="shared" si="190"/>
        <v>0</v>
      </c>
      <c r="AD330" s="3">
        <f t="shared" si="191"/>
        <v>0</v>
      </c>
      <c r="AF330" s="3">
        <f t="shared" si="192"/>
        <v>0</v>
      </c>
      <c r="AI330" s="325"/>
      <c r="AJ330" s="4"/>
      <c r="BC330" s="3"/>
      <c r="BE330" s="3"/>
    </row>
    <row r="331" spans="1:57" hidden="1" outlineLevel="1" x14ac:dyDescent="0.25">
      <c r="A331" s="3" t="s">
        <v>273</v>
      </c>
      <c r="B331" s="3">
        <v>130000</v>
      </c>
      <c r="D331" s="3">
        <v>3645</v>
      </c>
      <c r="E331" s="3">
        <f t="shared" si="183"/>
        <v>191355</v>
      </c>
      <c r="F331" s="3">
        <v>195000</v>
      </c>
      <c r="H331" s="3">
        <f t="shared" si="184"/>
        <v>65000</v>
      </c>
      <c r="J331" s="3">
        <v>71138</v>
      </c>
      <c r="K331" s="4">
        <f t="shared" si="185"/>
        <v>123862</v>
      </c>
      <c r="L331" s="4">
        <v>195000</v>
      </c>
      <c r="N331" s="4">
        <f t="shared" si="186"/>
        <v>0</v>
      </c>
      <c r="P331" s="3">
        <v>100000</v>
      </c>
      <c r="R331" s="3">
        <v>4203</v>
      </c>
      <c r="S331" s="3">
        <f t="shared" si="187"/>
        <v>95797</v>
      </c>
      <c r="T331" s="3">
        <v>100000</v>
      </c>
      <c r="U331" s="3">
        <f t="shared" si="188"/>
        <v>0</v>
      </c>
      <c r="V331" s="3">
        <v>5629</v>
      </c>
      <c r="W331" s="3">
        <f t="shared" si="189"/>
        <v>169371</v>
      </c>
      <c r="Y331" s="3">
        <v>175000</v>
      </c>
      <c r="Z331" s="3">
        <f t="shared" si="190"/>
        <v>75000</v>
      </c>
      <c r="AC331" s="3">
        <v>22638</v>
      </c>
      <c r="AD331" s="3">
        <f t="shared" si="191"/>
        <v>167362</v>
      </c>
      <c r="AE331" s="3">
        <v>190000</v>
      </c>
      <c r="AF331" s="3">
        <f t="shared" si="192"/>
        <v>15000</v>
      </c>
      <c r="AI331" s="326">
        <v>160000</v>
      </c>
      <c r="AK331" s="3">
        <f>AI331*1.025</f>
        <v>164000</v>
      </c>
      <c r="AM331" s="3">
        <f>AK331*1.025</f>
        <v>168099.99999999997</v>
      </c>
      <c r="AO331" s="3">
        <f>AM331*1.025</f>
        <v>172302.49999999994</v>
      </c>
      <c r="AQ331" s="3">
        <f>AO331*1.025</f>
        <v>176610.06249999991</v>
      </c>
      <c r="AS331" s="3">
        <f>AQ331*1.025</f>
        <v>181025.31406249991</v>
      </c>
      <c r="AU331" s="3">
        <f>AS331*1.025</f>
        <v>185550.9469140624</v>
      </c>
      <c r="AW331" s="3">
        <f>AU331*1.025</f>
        <v>190189.72058691393</v>
      </c>
      <c r="AY331" s="3">
        <f>AW331*1.025</f>
        <v>194944.46360158676</v>
      </c>
      <c r="BA331" s="3">
        <f>AY331*1.025</f>
        <v>199818.07519162641</v>
      </c>
      <c r="BC331" s="3">
        <f>BA331*1.025</f>
        <v>204813.52707141705</v>
      </c>
      <c r="BE331" s="3">
        <f>BC331*1.025</f>
        <v>209933.86524820246</v>
      </c>
    </row>
    <row r="332" spans="1:57" hidden="1" outlineLevel="1" x14ac:dyDescent="0.25">
      <c r="A332" s="3" t="s">
        <v>274</v>
      </c>
      <c r="B332" s="3">
        <v>10250</v>
      </c>
      <c r="D332" s="3">
        <v>6096</v>
      </c>
      <c r="E332" s="3">
        <f t="shared" si="183"/>
        <v>4154</v>
      </c>
      <c r="F332" s="3">
        <v>10250</v>
      </c>
      <c r="H332" s="3">
        <f t="shared" si="184"/>
        <v>0</v>
      </c>
      <c r="J332" s="3">
        <v>13846</v>
      </c>
      <c r="K332" s="4">
        <f t="shared" si="185"/>
        <v>354</v>
      </c>
      <c r="L332" s="4">
        <v>14200</v>
      </c>
      <c r="N332" s="4">
        <f t="shared" si="186"/>
        <v>3950</v>
      </c>
      <c r="P332" s="3">
        <f>10250*1.025-6</f>
        <v>10500.249999999998</v>
      </c>
      <c r="R332" s="3">
        <v>6548</v>
      </c>
      <c r="S332" s="3">
        <f t="shared" si="187"/>
        <v>3952</v>
      </c>
      <c r="T332" s="3">
        <v>10500</v>
      </c>
      <c r="U332" s="3">
        <f t="shared" si="188"/>
        <v>-0.24999999999818101</v>
      </c>
      <c r="V332" s="3">
        <v>9297</v>
      </c>
      <c r="W332" s="3">
        <f t="shared" si="189"/>
        <v>1703</v>
      </c>
      <c r="Y332" s="3">
        <v>11000</v>
      </c>
      <c r="Z332" s="3">
        <f t="shared" si="190"/>
        <v>500</v>
      </c>
      <c r="AC332" s="3">
        <v>11071</v>
      </c>
      <c r="AD332" s="3">
        <f t="shared" si="191"/>
        <v>-1</v>
      </c>
      <c r="AE332" s="3">
        <v>11070</v>
      </c>
      <c r="AF332" s="3">
        <f t="shared" si="192"/>
        <v>70</v>
      </c>
      <c r="AI332" s="326">
        <f>AE332*1.03-2</f>
        <v>11400.1</v>
      </c>
      <c r="AK332" s="3">
        <f>AI332*1.025</f>
        <v>11685.102499999999</v>
      </c>
      <c r="AM332" s="3">
        <f>AK332*1.025</f>
        <v>11977.230062499999</v>
      </c>
      <c r="AO332" s="3">
        <f>AM332*1.025</f>
        <v>12276.660814062498</v>
      </c>
      <c r="AQ332" s="3">
        <f>AO332*1.025</f>
        <v>12583.57733441406</v>
      </c>
      <c r="AS332" s="3">
        <f>AQ332*1.025</f>
        <v>12898.16676777441</v>
      </c>
      <c r="AU332" s="3">
        <f>AS332*1.025</f>
        <v>13220.620936968769</v>
      </c>
      <c r="AW332" s="3">
        <f>AU332*1.025</f>
        <v>13551.136460392987</v>
      </c>
      <c r="AY332" s="3">
        <f>AW332*1.025</f>
        <v>13889.914871902811</v>
      </c>
      <c r="BA332" s="3">
        <f>AY332*1.025</f>
        <v>14237.162743700379</v>
      </c>
      <c r="BC332" s="3">
        <f>BA332*1.025</f>
        <v>14593.091812292887</v>
      </c>
      <c r="BE332" s="3">
        <f>BC332*1.025</f>
        <v>14957.919107600208</v>
      </c>
    </row>
    <row r="333" spans="1:57" hidden="1" outlineLevel="1" x14ac:dyDescent="0.25">
      <c r="A333" s="3"/>
      <c r="B333" s="62">
        <f>SUM(B323:B332)</f>
        <v>561835</v>
      </c>
      <c r="C333" s="32"/>
      <c r="D333" s="62">
        <f>SUM(D323:D332)</f>
        <v>11014</v>
      </c>
      <c r="E333" s="62">
        <f>SUM(E323:E332)</f>
        <v>585821</v>
      </c>
      <c r="F333" s="62">
        <f>SUM(F323:F332)</f>
        <v>596835</v>
      </c>
      <c r="G333" s="32"/>
      <c r="H333" s="62">
        <f>SUM(H323:H332)</f>
        <v>35000</v>
      </c>
      <c r="I333" s="32"/>
      <c r="J333" s="62">
        <f>SUM(J323:J332)</f>
        <v>95520</v>
      </c>
      <c r="K333" s="62">
        <f>SUM(K323:K332)</f>
        <v>359265</v>
      </c>
      <c r="L333" s="62">
        <f>SUM(L323:L332)</f>
        <v>454785</v>
      </c>
      <c r="M333" s="32"/>
      <c r="N333" s="62">
        <f>SUM(N323:N332)</f>
        <v>-142050</v>
      </c>
      <c r="P333" s="62">
        <f>SUM(P323:P332)</f>
        <v>283485.25</v>
      </c>
      <c r="R333" s="62">
        <f t="shared" ref="R333:Z333" si="193">SUM(R323:R332)</f>
        <v>13478</v>
      </c>
      <c r="S333" s="62">
        <f t="shared" si="193"/>
        <v>270007</v>
      </c>
      <c r="T333" s="62">
        <f t="shared" si="193"/>
        <v>283485</v>
      </c>
      <c r="U333" s="62">
        <f t="shared" si="193"/>
        <v>-0.24999999999818101</v>
      </c>
      <c r="V333" s="62">
        <f t="shared" si="193"/>
        <v>23324</v>
      </c>
      <c r="W333" s="62">
        <f t="shared" si="193"/>
        <v>335661</v>
      </c>
      <c r="X333" s="62"/>
      <c r="Y333" s="62">
        <f t="shared" si="193"/>
        <v>358985</v>
      </c>
      <c r="Z333" s="62">
        <f t="shared" si="193"/>
        <v>75500</v>
      </c>
      <c r="AC333" s="62">
        <f>SUM(AC323:AC332)</f>
        <v>48016</v>
      </c>
      <c r="AD333" s="62">
        <f>SUM(AD323:AD332)</f>
        <v>227479</v>
      </c>
      <c r="AE333" s="62">
        <f>SUM(AE323:AE332)</f>
        <v>275495</v>
      </c>
      <c r="AF333" s="62">
        <f>SUM(AF323:AF332)</f>
        <v>-83490</v>
      </c>
      <c r="AG333" s="32"/>
      <c r="AI333" s="62">
        <f>SUM(AI323:AI332)</f>
        <v>345139.85</v>
      </c>
      <c r="AJ333" s="32"/>
      <c r="AK333" s="62">
        <f t="shared" ref="AK333:AY333" si="194">SUM(AK323:AK332)</f>
        <v>350071.84625</v>
      </c>
      <c r="AM333" s="62">
        <f t="shared" si="194"/>
        <v>355127.14240625</v>
      </c>
      <c r="AO333" s="62">
        <f t="shared" si="194"/>
        <v>413168.8209664062</v>
      </c>
      <c r="AP333" s="32"/>
      <c r="AQ333" s="62">
        <f t="shared" si="194"/>
        <v>418480.04149056628</v>
      </c>
      <c r="AS333" s="62">
        <f t="shared" si="194"/>
        <v>423924.04252783046</v>
      </c>
      <c r="AU333" s="62">
        <f t="shared" si="194"/>
        <v>429504.14359102625</v>
      </c>
      <c r="AW333" s="62">
        <f t="shared" si="194"/>
        <v>385043.74718080182</v>
      </c>
      <c r="AY333" s="62">
        <f t="shared" si="194"/>
        <v>240366.34086032186</v>
      </c>
      <c r="BA333" s="62">
        <f>SUM(BA323:BA332)</f>
        <v>246375.49938182987</v>
      </c>
      <c r="BC333" s="62">
        <f>SUM(BC323:BC332)</f>
        <v>252534.8868663756</v>
      </c>
      <c r="BE333" s="62">
        <f>SUM(BE323:BE332)</f>
        <v>258848.25903803497</v>
      </c>
    </row>
    <row r="334" spans="1:57" ht="15.75" collapsed="1" thickBot="1" x14ac:dyDescent="0.3">
      <c r="A334" s="7" t="s">
        <v>1169</v>
      </c>
      <c r="B334" s="44">
        <f>B333+B321+B315+B305</f>
        <v>730235</v>
      </c>
      <c r="C334" s="32"/>
      <c r="D334" s="44">
        <f>D333+D321+D315+D305</f>
        <v>39195</v>
      </c>
      <c r="E334" s="44">
        <f>E333+E321+E315+E305</f>
        <v>715040</v>
      </c>
      <c r="F334" s="44">
        <f>F333+F321+F315+F305</f>
        <v>754235</v>
      </c>
      <c r="G334" s="32"/>
      <c r="H334" s="44">
        <f>H333+H321+H315+H305</f>
        <v>24000</v>
      </c>
      <c r="I334" s="32"/>
      <c r="J334" s="44">
        <f>J333+J321+J315+J305</f>
        <v>154651</v>
      </c>
      <c r="K334" s="44">
        <f>K333+K321+K315+K305</f>
        <v>457734</v>
      </c>
      <c r="L334" s="44">
        <f>L333+L321+L315+L305</f>
        <v>574885</v>
      </c>
      <c r="M334" s="32"/>
      <c r="N334" s="44">
        <f>N333+N321+N315+N305</f>
        <v>-141850</v>
      </c>
      <c r="P334" s="44">
        <f>P333+P321+P315+P305</f>
        <v>446149.25</v>
      </c>
      <c r="R334" s="44">
        <f t="shared" ref="R334:W334" si="195">R333+R321+R315+R305</f>
        <v>38535</v>
      </c>
      <c r="S334" s="44">
        <f t="shared" si="195"/>
        <v>393750</v>
      </c>
      <c r="T334" s="44">
        <f t="shared" si="195"/>
        <v>432285</v>
      </c>
      <c r="U334" s="44">
        <f t="shared" si="195"/>
        <v>-13864.249999999985</v>
      </c>
      <c r="V334" s="44">
        <f t="shared" si="195"/>
        <v>77135</v>
      </c>
      <c r="W334" s="44">
        <f t="shared" si="195"/>
        <v>411150</v>
      </c>
      <c r="X334" s="44"/>
      <c r="Y334" s="44">
        <f>Y333+Y321+Y315+Y305</f>
        <v>488285</v>
      </c>
      <c r="Z334" s="44">
        <f>Z333+Z321+Z315+Z305</f>
        <v>56000</v>
      </c>
      <c r="AC334" s="44">
        <f>AC333+AC321+AC315+AC305</f>
        <v>131375</v>
      </c>
      <c r="AD334" s="44">
        <f>AD333+AD321+AD315+AD305</f>
        <v>270420</v>
      </c>
      <c r="AE334" s="44">
        <f>AE333+AE321+AE315+AE305</f>
        <v>401795</v>
      </c>
      <c r="AF334" s="44">
        <f>AF333+AF321+AF315+AF305</f>
        <v>-86490</v>
      </c>
      <c r="AG334" s="32"/>
      <c r="AI334" s="44">
        <f>AI333+AI321+AI315+AI305</f>
        <v>538239.85</v>
      </c>
      <c r="AK334" s="44">
        <f>AK333+AK321+AK315+AK305</f>
        <v>493979.59625</v>
      </c>
      <c r="AM334" s="44">
        <f>AM333+AM321+AM315+AM305</f>
        <v>502691.61865625001</v>
      </c>
      <c r="AO334" s="44">
        <f>AO333+AO321+AO315+AO305</f>
        <v>564483.21259765618</v>
      </c>
      <c r="AP334" s="32"/>
      <c r="AQ334" s="44">
        <f>AQ333+AQ321+AQ315+AQ305</f>
        <v>573639.92049184744</v>
      </c>
      <c r="AS334" s="44">
        <f>AS333+AS321+AS315+AS305</f>
        <v>583027.42491077119</v>
      </c>
      <c r="AU334" s="44">
        <f>AU333+AU321+AU315+AU305</f>
        <v>592651.55213236669</v>
      </c>
      <c r="AW334" s="44">
        <f>AW333+AW321+AW315+AW305</f>
        <v>552338.27578246698</v>
      </c>
      <c r="AY334" s="44">
        <f>AY333+AY321+AY315+AY305</f>
        <v>411913.72056922346</v>
      </c>
      <c r="BA334" s="44">
        <f>BA333+BA321+BA315+BA305</f>
        <v>422284.16611241474</v>
      </c>
      <c r="BC334" s="44">
        <f>BC333+BC321+BC315+BC305</f>
        <v>432916.05087005458</v>
      </c>
      <c r="BE334" s="44">
        <f>BE333+BE321+BE315+BE305</f>
        <v>443815.97616478032</v>
      </c>
    </row>
    <row r="335" spans="1:57" ht="16.5" thickTop="1" thickBot="1" x14ac:dyDescent="0.3">
      <c r="A335" s="3"/>
      <c r="AJ335" s="4"/>
      <c r="BC335" s="3"/>
      <c r="BE335" s="3"/>
    </row>
    <row r="336" spans="1:57" s="263" customFormat="1" ht="16.5" thickTop="1" thickBot="1" x14ac:dyDescent="0.3">
      <c r="A336" s="259" t="s">
        <v>1172</v>
      </c>
      <c r="B336" s="260">
        <f>B49+B74+B100+B121+B127+B158+B220+B229+B299+B334</f>
        <v>9838063.125</v>
      </c>
      <c r="C336" s="261"/>
      <c r="D336" s="260">
        <f>D49+D74+D100+D121+D127+D158+D220+D229+D299+D334</f>
        <v>3732615</v>
      </c>
      <c r="E336" s="260">
        <f>E49+E74+E100+E121+E127+E158+E220+E229+E299+E334</f>
        <v>7229647</v>
      </c>
      <c r="F336" s="260">
        <f>F49+F74+F100+F121+F127+F158+F220+F229+F299+F334</f>
        <v>10962265</v>
      </c>
      <c r="G336" s="261"/>
      <c r="H336" s="260">
        <f>H49+H74+H100+H121+H127+H158+H220+H229+H299+H334</f>
        <v>1124199.8750000002</v>
      </c>
      <c r="I336" s="261"/>
      <c r="J336" s="260">
        <f>J49+J74+J100+J121+J127+J158+J220+J229+J299+J334</f>
        <v>5221067</v>
      </c>
      <c r="K336" s="260">
        <f>K49+K74+K100+K121+K127+K158+K220+K229+K299+K334</f>
        <v>5719767</v>
      </c>
      <c r="L336" s="260">
        <f>L49+L74+L100+L121+L127+L158+L220+L229+L299+L334</f>
        <v>10903336</v>
      </c>
      <c r="M336" s="261"/>
      <c r="N336" s="260">
        <f>N49+N74+N100+N121+N127+N158+N220+N229+N299+N334</f>
        <v>-21331</v>
      </c>
      <c r="O336" s="262"/>
      <c r="P336" s="260">
        <f>P49+P74+P100+P121+P127+P158+P220+P229+P299+P334</f>
        <v>9601849.4000000004</v>
      </c>
      <c r="Q336" s="262"/>
      <c r="R336" s="260">
        <f t="shared" ref="R336:W336" si="196">R49+R74+R100+R121+R127+R158+R220+R229+R299+R334</f>
        <v>3452528</v>
      </c>
      <c r="S336" s="260">
        <f t="shared" si="196"/>
        <v>6281200</v>
      </c>
      <c r="T336" s="260">
        <f t="shared" si="196"/>
        <v>9733727</v>
      </c>
      <c r="U336" s="260">
        <f t="shared" si="196"/>
        <v>131878.60000000021</v>
      </c>
      <c r="V336" s="260">
        <f t="shared" si="196"/>
        <v>4389255</v>
      </c>
      <c r="W336" s="260">
        <f t="shared" si="196"/>
        <v>5613738</v>
      </c>
      <c r="X336" s="260"/>
      <c r="Y336" s="260">
        <f>Y49+Y74+Y100+Y121+Y127+Y158+Y220+Y229+Y299+Y334</f>
        <v>10002842</v>
      </c>
      <c r="Z336" s="260">
        <f>Y336-T336</f>
        <v>269115</v>
      </c>
      <c r="AA336" s="262"/>
      <c r="AB336" s="262"/>
      <c r="AC336" s="260">
        <f>AC49+AC74+AC100+AC121+AC127+AC158+AC220+AC229+AC299+AC334</f>
        <v>5408283</v>
      </c>
      <c r="AD336" s="260">
        <f>AD49+AD74+AD100+AD121+AD127+AD158+AD220+AD229+AD299+AD334</f>
        <v>4563155</v>
      </c>
      <c r="AE336" s="260">
        <f>AE49+AE74+AE100+AE121+AE127+AE158+AE220+AE229+AE299+AE334</f>
        <v>9971437</v>
      </c>
      <c r="AF336" s="260">
        <f>AF49+AF74+AF100+AF121+AF127+AF158+AF220+AF229+AF299+AF334</f>
        <v>-31404</v>
      </c>
      <c r="AG336" s="32"/>
      <c r="AH336" s="4"/>
      <c r="AI336" s="83">
        <f>AI49+AI74+AI100+AI121+AI127+AI158+AI220+AI229+AI299+AI334</f>
        <v>11013638.974374998</v>
      </c>
      <c r="AJ336" s="32"/>
      <c r="AK336" s="83">
        <f>AK49+AK74+AK100+AK121+AK127+AK158+AK220+AK229+AK299+AK334</f>
        <v>7407913.8219218757</v>
      </c>
      <c r="AL336" s="3"/>
      <c r="AM336" s="83">
        <f>AM49+AM74+AM100+AM121+AM127+AM158+AM220+AM229+AM299+AM334</f>
        <v>7761638.0664703902</v>
      </c>
      <c r="AN336" s="3"/>
      <c r="AO336" s="83">
        <f>AO49+AO74+AO100+AO121+AO127+AO158+AO220+AO229+AO299+AO334</f>
        <v>7983073.0491275387</v>
      </c>
      <c r="AP336" s="32"/>
      <c r="AQ336" s="83">
        <f>AQ49+AQ74+AQ100+AQ121+AQ127+AQ158+AQ220+AQ229+AQ299+AQ334</f>
        <v>8214204.6208145283</v>
      </c>
      <c r="AR336" s="42"/>
      <c r="AS336" s="83">
        <f>AS49+AS74+AS100+AS121+AS127+AS158+AS220+AS229+AS299+AS334</f>
        <v>8439093.5081620291</v>
      </c>
      <c r="AT336" s="42"/>
      <c r="AU336" s="83">
        <f>AU49+AU74+AU100+AU121+AU127+AU158+AU220+AU229+AU299+AU334</f>
        <v>8619954.1753104366</v>
      </c>
      <c r="AV336" s="42"/>
      <c r="AW336" s="83">
        <f>AW49+AW74+AW100+AW121+AW127+AW158+AW220+AW229+AW299+AW334</f>
        <v>8816681.287259547</v>
      </c>
      <c r="AX336" s="42"/>
      <c r="AY336" s="83">
        <f>AY49+AY74+AY100+AY121+AY127+AY158+AY220+AY229+AY299+AY334</f>
        <v>8893928.8018546849</v>
      </c>
      <c r="AZ336" s="42"/>
      <c r="BA336" s="83">
        <f>BA49+BA74+BA100+BA121+BA127+BA158+BA220+BA229+BA299+BA334</f>
        <v>9130239.295832701</v>
      </c>
      <c r="BB336" s="42"/>
      <c r="BC336" s="83">
        <f>BC49+BC74+BC100+BC121+BC127+BC158+BC220+BC229+BC299+BC334</f>
        <v>9374074.3044993151</v>
      </c>
      <c r="BD336" s="42"/>
      <c r="BE336" s="83">
        <f>BE49+BE74+BE100+BE121+BE127+BE158+BE220+BE229+BE299+BE334</f>
        <v>9625694.6756376866</v>
      </c>
    </row>
    <row r="337" spans="1:1015 1029:2039 2053:3063 3077:4087 4101:5111 5125:6135 6149:7159 7173:8183 8197:9207 9221:10231 10245:11255 11269:12279 12293:13303 13317:14327 14341:15351 15365:16373" s="42" customFormat="1" ht="15.75" thickTop="1" x14ac:dyDescent="0.25">
      <c r="A337" s="3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"/>
      <c r="P337" s="32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4"/>
      <c r="AH337" s="4"/>
      <c r="AI337" s="32"/>
      <c r="AJ337" s="32"/>
      <c r="AK337" s="32"/>
      <c r="AL337" s="3"/>
      <c r="AM337" s="32"/>
      <c r="AN337" s="3"/>
      <c r="AO337" s="32"/>
      <c r="AP337" s="32"/>
      <c r="AQ337" s="32"/>
      <c r="AS337" s="32"/>
      <c r="AU337" s="32"/>
      <c r="AW337" s="32"/>
      <c r="AY337" s="32"/>
      <c r="BA337" s="32"/>
      <c r="BC337" s="32"/>
      <c r="BE337" s="32"/>
    </row>
    <row r="338" spans="1:1015 1029:2039 2053:3063 3077:4087 4101:5111 5125:6135 6149:7159 7173:8183 8197:9207 9221:10231 10245:11255 11269:12279 12293:13303 13317:14327 14341:15351 15365:16373" x14ac:dyDescent="0.25">
      <c r="A338" s="7" t="s">
        <v>275</v>
      </c>
      <c r="AJ338" s="4"/>
      <c r="BC338" s="3"/>
      <c r="BE338" s="3"/>
    </row>
    <row r="339" spans="1:1015 1029:2039 2053:3063 3077:4087 4101:5111 5125:6135 6149:7159 7173:8183 8197:9207 9221:10231 10245:11255 11269:12279 12293:13303 13317:14327 14341:15351 15365:16373" hidden="1" outlineLevel="1" x14ac:dyDescent="0.25">
      <c r="A339" s="3" t="s">
        <v>276</v>
      </c>
      <c r="B339" s="3">
        <f>-[1]Sheet3!$AH$67</f>
        <v>66957</v>
      </c>
      <c r="E339" s="3">
        <f t="shared" ref="E339:E352" si="197">F339-D339</f>
        <v>-455167</v>
      </c>
      <c r="F339" s="3">
        <v>-455167</v>
      </c>
      <c r="H339" s="3">
        <f t="shared" ref="H339:H352" si="198">F339-B339</f>
        <v>-522124</v>
      </c>
      <c r="K339" s="4">
        <f t="shared" ref="K339:K352" si="199">L339-J339</f>
        <v>-612625</v>
      </c>
      <c r="L339" s="4">
        <v>-612625</v>
      </c>
      <c r="N339" s="4">
        <f t="shared" ref="N339:N352" si="200">L339-F339</f>
        <v>-157458</v>
      </c>
      <c r="P339" s="3">
        <v>382939</v>
      </c>
      <c r="R339" s="3">
        <v>0</v>
      </c>
      <c r="S339" s="3">
        <f t="shared" ref="S339:S352" si="201">T339-R339</f>
        <v>575455</v>
      </c>
      <c r="T339" s="3">
        <v>575455</v>
      </c>
      <c r="U339" s="3">
        <f t="shared" ref="U339:U352" si="202">T339-P339</f>
        <v>192516</v>
      </c>
      <c r="W339" s="3">
        <f t="shared" ref="W339:W352" si="203">Y339-V339</f>
        <v>517600</v>
      </c>
      <c r="Y339" s="3">
        <v>517600</v>
      </c>
      <c r="Z339" s="3">
        <f t="shared" ref="Z339:Z352" si="204">Y339-T339</f>
        <v>-57855</v>
      </c>
      <c r="AD339" s="3">
        <f t="shared" ref="AD339:AD352" si="205">AE339-AC339</f>
        <v>538905</v>
      </c>
      <c r="AE339" s="3">
        <v>538905</v>
      </c>
      <c r="AF339" s="3">
        <f t="shared" ref="AF339:AF352" si="206">AE339-Y339</f>
        <v>21305</v>
      </c>
      <c r="AI339" s="3">
        <v>728152</v>
      </c>
      <c r="AJ339" s="4"/>
      <c r="AK339" s="3">
        <v>-284156</v>
      </c>
      <c r="AM339" s="3">
        <v>-606073</v>
      </c>
      <c r="AO339" s="3">
        <v>-670327</v>
      </c>
      <c r="AQ339" s="3">
        <v>-341365</v>
      </c>
      <c r="AS339" s="3">
        <v>-526892</v>
      </c>
      <c r="AU339" s="3">
        <v>-741868</v>
      </c>
      <c r="AW339" s="3">
        <v>-479194</v>
      </c>
      <c r="AY339" s="3">
        <v>-581837</v>
      </c>
      <c r="BA339" s="3">
        <v>-287047</v>
      </c>
      <c r="BC339" s="3">
        <v>-287047</v>
      </c>
      <c r="BE339" s="3">
        <v>-287047</v>
      </c>
    </row>
    <row r="340" spans="1:1015 1029:2039 2053:3063 3077:4087 4101:5111 5125:6135 6149:7159 7173:8183 8197:9207 9221:10231 10245:11255 11269:12279 12293:13303 13317:14327 14341:15351 15365:16373" hidden="1" outlineLevel="1" x14ac:dyDescent="0.25">
      <c r="A340" s="3" t="s">
        <v>277</v>
      </c>
      <c r="B340" s="3">
        <f>5825+25</f>
        <v>5850</v>
      </c>
      <c r="D340" s="3">
        <v>1945</v>
      </c>
      <c r="E340" s="3">
        <f t="shared" si="197"/>
        <v>3905</v>
      </c>
      <c r="F340" s="3">
        <v>5850</v>
      </c>
      <c r="H340" s="3">
        <f t="shared" si="198"/>
        <v>0</v>
      </c>
      <c r="J340" s="3">
        <v>3052</v>
      </c>
      <c r="K340" s="4">
        <f t="shared" si="199"/>
        <v>2948</v>
      </c>
      <c r="L340" s="4">
        <v>6000</v>
      </c>
      <c r="N340" s="4">
        <f t="shared" si="200"/>
        <v>150</v>
      </c>
      <c r="P340" s="3">
        <v>6150</v>
      </c>
      <c r="R340" s="3">
        <v>1201</v>
      </c>
      <c r="S340" s="3">
        <f t="shared" si="201"/>
        <v>4949</v>
      </c>
      <c r="T340" s="3">
        <v>6150</v>
      </c>
      <c r="U340" s="3">
        <f t="shared" si="202"/>
        <v>0</v>
      </c>
      <c r="V340" s="3">
        <v>2929</v>
      </c>
      <c r="W340" s="3">
        <f t="shared" si="203"/>
        <v>3221</v>
      </c>
      <c r="Y340" s="3">
        <v>6150</v>
      </c>
      <c r="Z340" s="3">
        <f t="shared" si="204"/>
        <v>0</v>
      </c>
      <c r="AC340" s="3">
        <v>4986</v>
      </c>
      <c r="AD340" s="3">
        <f t="shared" si="205"/>
        <v>1164</v>
      </c>
      <c r="AE340" s="3">
        <v>6150</v>
      </c>
      <c r="AF340" s="3">
        <f t="shared" si="206"/>
        <v>0</v>
      </c>
      <c r="AI340" s="3">
        <v>6400</v>
      </c>
      <c r="AJ340" s="4"/>
      <c r="AK340" s="3">
        <v>6650</v>
      </c>
      <c r="AM340" s="3">
        <v>6900</v>
      </c>
      <c r="AO340" s="3">
        <v>7150</v>
      </c>
      <c r="AQ340" s="3">
        <v>7400</v>
      </c>
      <c r="AS340" s="3">
        <v>2840</v>
      </c>
      <c r="AU340" s="3">
        <v>2960</v>
      </c>
      <c r="AW340" s="3">
        <v>3100</v>
      </c>
      <c r="AY340" s="3">
        <v>3350</v>
      </c>
      <c r="BA340" s="3">
        <v>3350</v>
      </c>
      <c r="BC340" s="3">
        <v>3350</v>
      </c>
      <c r="BE340" s="3">
        <v>3350</v>
      </c>
    </row>
    <row r="341" spans="1:1015 1029:2039 2053:3063 3077:4087 4101:5111 5125:6135 6149:7159 7173:8183 8197:9207 9221:10231 10245:11255 11269:12279 12293:13303 13317:14327 14341:15351 15365:16373" hidden="1" outlineLevel="1" x14ac:dyDescent="0.25">
      <c r="A341" s="3" t="s">
        <v>278</v>
      </c>
      <c r="K341" s="4"/>
      <c r="L341" s="4"/>
      <c r="N341" s="4"/>
      <c r="AJ341" s="4"/>
      <c r="BC341" s="3"/>
      <c r="BE341" s="3"/>
    </row>
    <row r="342" spans="1:1015 1029:2039 2053:3063 3077:4087 4101:5111 5125:6135 6149:7159 7173:8183 8197:9207 9221:10231 10245:11255 11269:12279 12293:13303 13317:14327 14341:15351 15365:16373" hidden="1" outlineLevel="1" x14ac:dyDescent="0.25">
      <c r="A342" s="3" t="s">
        <v>279</v>
      </c>
      <c r="B342" s="3">
        <v>7500</v>
      </c>
      <c r="E342" s="3">
        <f t="shared" si="197"/>
        <v>7500</v>
      </c>
      <c r="F342" s="3">
        <v>7500</v>
      </c>
      <c r="H342" s="3">
        <f t="shared" si="198"/>
        <v>0</v>
      </c>
      <c r="J342" s="7"/>
      <c r="K342" s="4">
        <f t="shared" si="199"/>
        <v>7500</v>
      </c>
      <c r="L342" s="4">
        <v>7500</v>
      </c>
      <c r="N342" s="4">
        <f t="shared" si="200"/>
        <v>0</v>
      </c>
      <c r="S342" s="3">
        <f t="shared" si="201"/>
        <v>0</v>
      </c>
      <c r="U342" s="3">
        <f t="shared" si="202"/>
        <v>0</v>
      </c>
      <c r="W342" s="3">
        <f t="shared" si="203"/>
        <v>0</v>
      </c>
      <c r="Z342" s="3">
        <f t="shared" si="204"/>
        <v>0</v>
      </c>
      <c r="AD342" s="3">
        <f t="shared" si="205"/>
        <v>0</v>
      </c>
      <c r="AF342" s="3">
        <f t="shared" si="206"/>
        <v>0</v>
      </c>
      <c r="AJ342" s="4"/>
      <c r="BC342" s="3"/>
      <c r="BE342" s="3"/>
    </row>
    <row r="343" spans="1:1015 1029:2039 2053:3063 3077:4087 4101:5111 5125:6135 6149:7159 7173:8183 8197:9207 9221:10231 10245:11255 11269:12279 12293:13303 13317:14327 14341:15351 15365:16373" hidden="1" outlineLevel="1" x14ac:dyDescent="0.25">
      <c r="A343" s="3" t="s">
        <v>280</v>
      </c>
      <c r="J343" s="7"/>
      <c r="K343" s="4"/>
      <c r="L343" s="4"/>
      <c r="N343" s="4"/>
      <c r="AJ343" s="4"/>
      <c r="BC343" s="3"/>
      <c r="BE343" s="3"/>
    </row>
    <row r="344" spans="1:1015 1029:2039 2053:3063 3077:4087 4101:5111 5125:6135 6149:7159 7173:8183 8197:9207 9221:10231 10245:11255 11269:12279 12293:13303 13317:14327 14341:15351 15365:16373" hidden="1" outlineLevel="1" x14ac:dyDescent="0.25">
      <c r="A344" s="66" t="s">
        <v>281</v>
      </c>
      <c r="E344" s="3">
        <f t="shared" si="197"/>
        <v>0</v>
      </c>
      <c r="H344" s="3">
        <f t="shared" si="198"/>
        <v>0</v>
      </c>
      <c r="J344" s="7"/>
      <c r="K344" s="4">
        <f t="shared" si="199"/>
        <v>0</v>
      </c>
      <c r="L344" s="4"/>
      <c r="N344" s="4">
        <f t="shared" si="200"/>
        <v>0</v>
      </c>
      <c r="S344" s="3">
        <f t="shared" si="201"/>
        <v>0</v>
      </c>
      <c r="U344" s="3">
        <f t="shared" si="202"/>
        <v>0</v>
      </c>
      <c r="W344" s="3">
        <f t="shared" si="203"/>
        <v>0</v>
      </c>
      <c r="Z344" s="3">
        <f t="shared" si="204"/>
        <v>0</v>
      </c>
      <c r="AD344" s="3">
        <f t="shared" si="205"/>
        <v>0</v>
      </c>
      <c r="AF344" s="3">
        <f t="shared" si="206"/>
        <v>0</v>
      </c>
      <c r="AJ344" s="4"/>
      <c r="BC344" s="3"/>
      <c r="BE344" s="3"/>
    </row>
    <row r="345" spans="1:1015 1029:2039 2053:3063 3077:4087 4101:5111 5125:6135 6149:7159 7173:8183 8197:9207 9221:10231 10245:11255 11269:12279 12293:13303 13317:14327 14341:15351 15365:16373" hidden="1" outlineLevel="1" x14ac:dyDescent="0.25">
      <c r="A345" s="3" t="s">
        <v>282</v>
      </c>
      <c r="E345" s="3">
        <f t="shared" si="197"/>
        <v>0</v>
      </c>
      <c r="H345" s="3">
        <f t="shared" si="198"/>
        <v>0</v>
      </c>
      <c r="J345" s="7"/>
      <c r="K345" s="4">
        <f t="shared" si="199"/>
        <v>0</v>
      </c>
      <c r="L345" s="4"/>
      <c r="N345" s="4">
        <f t="shared" si="200"/>
        <v>0</v>
      </c>
      <c r="S345" s="3">
        <f t="shared" si="201"/>
        <v>0</v>
      </c>
      <c r="U345" s="3">
        <f t="shared" si="202"/>
        <v>0</v>
      </c>
      <c r="W345" s="3">
        <f t="shared" si="203"/>
        <v>0</v>
      </c>
      <c r="Z345" s="3">
        <f t="shared" si="204"/>
        <v>0</v>
      </c>
      <c r="AD345" s="3">
        <f t="shared" si="205"/>
        <v>0</v>
      </c>
      <c r="AF345" s="3">
        <f t="shared" si="206"/>
        <v>0</v>
      </c>
      <c r="AJ345" s="4"/>
      <c r="BC345" s="3"/>
      <c r="BE345" s="3"/>
    </row>
    <row r="346" spans="1:1015 1029:2039 2053:3063 3077:4087 4101:5111 5125:6135 6149:7159 7173:8183 8197:9207 9221:10231 10245:11255 11269:12279 12293:13303 13317:14327 14341:15351 15365:16373" hidden="1" outlineLevel="1" x14ac:dyDescent="0.25">
      <c r="A346" s="3" t="s">
        <v>283</v>
      </c>
      <c r="E346" s="3">
        <f t="shared" si="197"/>
        <v>0</v>
      </c>
      <c r="H346" s="3">
        <f t="shared" si="198"/>
        <v>0</v>
      </c>
      <c r="J346" s="7"/>
      <c r="K346" s="4">
        <f t="shared" si="199"/>
        <v>0</v>
      </c>
      <c r="L346" s="4"/>
      <c r="N346" s="4">
        <f t="shared" si="200"/>
        <v>0</v>
      </c>
      <c r="S346" s="3">
        <f t="shared" si="201"/>
        <v>0</v>
      </c>
      <c r="U346" s="3">
        <f t="shared" si="202"/>
        <v>0</v>
      </c>
      <c r="W346" s="3">
        <f t="shared" si="203"/>
        <v>0</v>
      </c>
      <c r="Z346" s="3">
        <f t="shared" si="204"/>
        <v>0</v>
      </c>
      <c r="AD346" s="3">
        <f t="shared" si="205"/>
        <v>0</v>
      </c>
      <c r="AF346" s="3">
        <f t="shared" si="206"/>
        <v>0</v>
      </c>
      <c r="AJ346" s="4"/>
      <c r="BC346" s="3"/>
      <c r="BE346" s="3"/>
    </row>
    <row r="347" spans="1:1015 1029:2039 2053:3063 3077:4087 4101:5111 5125:6135 6149:7159 7173:8183 8197:9207 9221:10231 10245:11255 11269:12279 12293:13303 13317:14327 14341:15351 15365:16373" hidden="1" outlineLevel="1" x14ac:dyDescent="0.25">
      <c r="A347" s="3" t="s">
        <v>284</v>
      </c>
      <c r="E347" s="3">
        <f t="shared" si="197"/>
        <v>0</v>
      </c>
      <c r="H347" s="3">
        <f t="shared" si="198"/>
        <v>0</v>
      </c>
      <c r="J347" s="7"/>
      <c r="K347" s="4">
        <f t="shared" si="199"/>
        <v>0</v>
      </c>
      <c r="L347" s="4"/>
      <c r="N347" s="4">
        <f t="shared" si="200"/>
        <v>0</v>
      </c>
      <c r="S347" s="3">
        <f t="shared" si="201"/>
        <v>0</v>
      </c>
      <c r="U347" s="3">
        <f t="shared" si="202"/>
        <v>0</v>
      </c>
      <c r="W347" s="3">
        <f t="shared" si="203"/>
        <v>0</v>
      </c>
      <c r="Z347" s="3">
        <f t="shared" si="204"/>
        <v>0</v>
      </c>
      <c r="AD347" s="3">
        <f t="shared" si="205"/>
        <v>0</v>
      </c>
      <c r="AF347" s="3">
        <f t="shared" si="206"/>
        <v>0</v>
      </c>
      <c r="AJ347" s="4"/>
      <c r="BC347" s="3"/>
      <c r="BE347" s="3"/>
    </row>
    <row r="348" spans="1:1015 1029:2039 2053:3063 3077:4087 4101:5111 5125:6135 6149:7159 7173:8183 8197:9207 9221:10231 10245:11255 11269:12279 12293:13303 13317:14327 14341:15351 15365:16373" hidden="1" outlineLevel="1" x14ac:dyDescent="0.25">
      <c r="A348" s="3" t="s">
        <v>285</v>
      </c>
      <c r="D348" s="3">
        <v>0</v>
      </c>
      <c r="E348" s="3">
        <f t="shared" si="197"/>
        <v>9090</v>
      </c>
      <c r="F348" s="3">
        <v>9090</v>
      </c>
      <c r="H348" s="3">
        <f t="shared" si="198"/>
        <v>9090</v>
      </c>
      <c r="J348" s="3">
        <v>9090</v>
      </c>
      <c r="K348" s="4">
        <f t="shared" si="199"/>
        <v>0</v>
      </c>
      <c r="L348" s="4">
        <v>9090</v>
      </c>
      <c r="N348" s="4">
        <f t="shared" si="200"/>
        <v>0</v>
      </c>
      <c r="S348" s="3">
        <f t="shared" si="201"/>
        <v>0</v>
      </c>
      <c r="U348" s="3">
        <f t="shared" si="202"/>
        <v>0</v>
      </c>
      <c r="W348" s="3">
        <f t="shared" si="203"/>
        <v>0</v>
      </c>
      <c r="Z348" s="3">
        <f t="shared" si="204"/>
        <v>0</v>
      </c>
      <c r="AD348" s="3">
        <f t="shared" si="205"/>
        <v>0</v>
      </c>
      <c r="AF348" s="3">
        <f t="shared" si="206"/>
        <v>0</v>
      </c>
      <c r="AJ348" s="4"/>
      <c r="BC348" s="3"/>
      <c r="BE348" s="3"/>
    </row>
    <row r="349" spans="1:1015 1029:2039 2053:3063 3077:4087 4101:5111 5125:6135 6149:7159 7173:8183 8197:9207 9221:10231 10245:11255 11269:12279 12293:13303 13317:14327 14341:15351 15365:16373" hidden="1" outlineLevel="1" x14ac:dyDescent="0.25">
      <c r="A349" s="3" t="s">
        <v>286</v>
      </c>
      <c r="E349" s="3">
        <f t="shared" si="197"/>
        <v>0</v>
      </c>
      <c r="H349" s="3">
        <f t="shared" si="198"/>
        <v>0</v>
      </c>
      <c r="J349" s="7"/>
      <c r="K349" s="4">
        <f t="shared" si="199"/>
        <v>0</v>
      </c>
      <c r="L349" s="4"/>
      <c r="N349" s="4">
        <f t="shared" si="200"/>
        <v>0</v>
      </c>
      <c r="S349" s="3">
        <f t="shared" si="201"/>
        <v>0</v>
      </c>
      <c r="U349" s="3">
        <f t="shared" si="202"/>
        <v>0</v>
      </c>
      <c r="W349" s="3">
        <f t="shared" si="203"/>
        <v>0</v>
      </c>
      <c r="Z349" s="3">
        <f t="shared" si="204"/>
        <v>0</v>
      </c>
      <c r="AD349" s="3">
        <f t="shared" si="205"/>
        <v>0</v>
      </c>
      <c r="AF349" s="3">
        <f t="shared" si="206"/>
        <v>0</v>
      </c>
      <c r="AJ349" s="4"/>
      <c r="BC349" s="3"/>
      <c r="BE349" s="3"/>
    </row>
    <row r="350" spans="1:1015 1029:2039 2053:3063 3077:4087 4101:5111 5125:6135 6149:7159 7173:8183 8197:9207 9221:10231 10245:11255 11269:12279 12293:13303 13317:14327 14341:15351 15365:16373" hidden="1" outlineLevel="1" x14ac:dyDescent="0.25">
      <c r="A350" s="3" t="s">
        <v>287</v>
      </c>
      <c r="B350" s="3">
        <v>350000</v>
      </c>
      <c r="E350" s="3">
        <f t="shared" si="197"/>
        <v>350000</v>
      </c>
      <c r="F350" s="3">
        <v>350000</v>
      </c>
      <c r="H350" s="3">
        <f t="shared" si="198"/>
        <v>0</v>
      </c>
      <c r="J350" s="7"/>
      <c r="K350" s="4">
        <f t="shared" si="199"/>
        <v>350000</v>
      </c>
      <c r="L350" s="4">
        <v>350000</v>
      </c>
      <c r="N350" s="4">
        <f t="shared" si="200"/>
        <v>0</v>
      </c>
      <c r="S350" s="3">
        <f t="shared" si="201"/>
        <v>0</v>
      </c>
      <c r="U350" s="3">
        <f t="shared" si="202"/>
        <v>0</v>
      </c>
      <c r="W350" s="3">
        <f t="shared" si="203"/>
        <v>0</v>
      </c>
      <c r="Z350" s="3">
        <f t="shared" si="204"/>
        <v>0</v>
      </c>
      <c r="AD350" s="3">
        <f t="shared" si="205"/>
        <v>0</v>
      </c>
      <c r="AF350" s="3">
        <f t="shared" si="206"/>
        <v>0</v>
      </c>
      <c r="AJ350" s="4"/>
      <c r="BC350" s="3"/>
      <c r="BE350" s="3"/>
    </row>
    <row r="351" spans="1:1015 1029:2039 2053:3063 3077:4087 4101:5111 5125:6135 6149:7159 7173:8183 8197:9207 9221:10231 10245:11255 11269:12279 12293:13303 13317:14327 14341:15351 15365:16373" hidden="1" outlineLevel="1" x14ac:dyDescent="0.25">
      <c r="A351" s="3" t="s">
        <v>288</v>
      </c>
      <c r="E351" s="3">
        <f t="shared" si="197"/>
        <v>0</v>
      </c>
      <c r="H351" s="3">
        <f t="shared" si="198"/>
        <v>0</v>
      </c>
      <c r="J351" s="7"/>
      <c r="K351" s="4">
        <f t="shared" si="199"/>
        <v>0</v>
      </c>
      <c r="L351" s="4"/>
      <c r="N351" s="4">
        <f t="shared" si="200"/>
        <v>0</v>
      </c>
      <c r="S351" s="3">
        <f t="shared" si="201"/>
        <v>0</v>
      </c>
      <c r="U351" s="3">
        <f t="shared" si="202"/>
        <v>0</v>
      </c>
      <c r="W351" s="3">
        <f t="shared" si="203"/>
        <v>0</v>
      </c>
      <c r="Z351" s="3">
        <f t="shared" si="204"/>
        <v>0</v>
      </c>
      <c r="AD351" s="3">
        <f t="shared" si="205"/>
        <v>0</v>
      </c>
      <c r="AF351" s="3">
        <f t="shared" si="206"/>
        <v>0</v>
      </c>
      <c r="AJ351" s="4"/>
      <c r="BC351" s="3"/>
      <c r="BE351" s="3"/>
    </row>
    <row r="352" spans="1:1015 1029:2039 2053:3063 3077:4087 4101:5111 5125:6135 6149:7159 7173:8183 8197:9207 9221:10231 10245:11255 11269:12279 12293:13303 13317:14327 14341:15351 15365:16373" hidden="1" outlineLevel="1" x14ac:dyDescent="0.25">
      <c r="A352" s="267" t="s">
        <v>289</v>
      </c>
      <c r="B352" s="3">
        <v>700000</v>
      </c>
      <c r="E352" s="3">
        <f t="shared" si="197"/>
        <v>700000</v>
      </c>
      <c r="F352" s="3">
        <v>700000</v>
      </c>
      <c r="H352" s="3">
        <f t="shared" si="198"/>
        <v>0</v>
      </c>
      <c r="J352" s="7"/>
      <c r="K352" s="4">
        <f t="shared" si="199"/>
        <v>700000</v>
      </c>
      <c r="L352" s="4">
        <v>700000</v>
      </c>
      <c r="N352" s="4">
        <f t="shared" si="200"/>
        <v>0</v>
      </c>
      <c r="P352" s="3">
        <v>700000</v>
      </c>
      <c r="R352" s="3">
        <v>0</v>
      </c>
      <c r="S352" s="3">
        <f t="shared" si="201"/>
        <v>700000</v>
      </c>
      <c r="T352" s="3">
        <v>700000</v>
      </c>
      <c r="U352" s="3">
        <f t="shared" si="202"/>
        <v>0</v>
      </c>
      <c r="V352" s="3">
        <v>0</v>
      </c>
      <c r="W352" s="3">
        <f t="shared" si="203"/>
        <v>725000</v>
      </c>
      <c r="Y352" s="3">
        <v>725000</v>
      </c>
      <c r="Z352" s="3">
        <f t="shared" si="204"/>
        <v>25000</v>
      </c>
      <c r="AD352" s="3">
        <f t="shared" si="205"/>
        <v>725000</v>
      </c>
      <c r="AE352" s="3">
        <v>725000</v>
      </c>
      <c r="AF352" s="3">
        <f t="shared" si="206"/>
        <v>0</v>
      </c>
      <c r="AI352" s="3">
        <v>725000</v>
      </c>
      <c r="AJ352" s="4"/>
      <c r="AK352" s="3">
        <v>725000</v>
      </c>
      <c r="AM352" s="3">
        <v>725000</v>
      </c>
      <c r="AO352" s="3">
        <v>725000</v>
      </c>
      <c r="AQ352" s="3">
        <v>725000</v>
      </c>
      <c r="AS352" s="3">
        <v>725000</v>
      </c>
      <c r="AU352" s="3">
        <v>725000</v>
      </c>
      <c r="AW352" s="3">
        <v>725000</v>
      </c>
      <c r="AY352" s="3">
        <v>725000</v>
      </c>
      <c r="BA352" s="3">
        <v>725000</v>
      </c>
      <c r="BC352" s="3">
        <v>725000</v>
      </c>
      <c r="BE352" s="3">
        <v>725000</v>
      </c>
      <c r="BI352" s="268"/>
      <c r="BJ352" s="268"/>
      <c r="BK352" s="268"/>
      <c r="BL352" s="268"/>
      <c r="BM352" s="268"/>
      <c r="BN352" s="268"/>
      <c r="BO352" s="268"/>
      <c r="BP352" s="268"/>
      <c r="BQ352" s="268"/>
      <c r="BR352" s="268"/>
      <c r="BS352" s="268"/>
      <c r="BT352" s="268"/>
      <c r="BU352" s="268"/>
      <c r="BV352" s="268"/>
      <c r="BW352" s="268"/>
      <c r="BX352" s="268"/>
      <c r="BY352" s="268"/>
      <c r="BZ352" s="268"/>
      <c r="CA352" s="268"/>
      <c r="CB352" s="268"/>
      <c r="CC352" s="268"/>
      <c r="CD352" s="268"/>
      <c r="CE352" s="268"/>
      <c r="CF352" s="268"/>
      <c r="CG352" s="268"/>
      <c r="CH352" s="268"/>
      <c r="CI352" s="268"/>
      <c r="CJ352" s="268"/>
      <c r="CK352" s="268"/>
      <c r="CL352" s="268"/>
      <c r="CM352" s="268"/>
      <c r="CN352" s="268"/>
      <c r="CO352" s="268"/>
      <c r="CP352" s="268"/>
      <c r="CQ352" s="268"/>
      <c r="CR352" s="268"/>
      <c r="CS352" s="268"/>
      <c r="CT352" s="268"/>
      <c r="CU352" s="268"/>
      <c r="CV352" s="268"/>
      <c r="CW352" s="268"/>
      <c r="CX352" s="268"/>
      <c r="CY352" s="268"/>
      <c r="CZ352" s="268"/>
      <c r="DA352" s="268"/>
      <c r="DB352" s="268"/>
      <c r="DC352" s="268"/>
      <c r="DD352" s="268"/>
      <c r="DE352" s="268"/>
      <c r="DF352" s="268"/>
      <c r="DG352" s="268"/>
      <c r="DH352" s="268"/>
      <c r="DI352" s="268"/>
      <c r="DJ352" s="268"/>
      <c r="DK352" s="268"/>
      <c r="DL352" s="268"/>
      <c r="DM352" s="268"/>
      <c r="DN352" s="268"/>
      <c r="DO352" s="268"/>
      <c r="DP352" s="268"/>
      <c r="DQ352" s="268"/>
      <c r="DR352" s="268"/>
      <c r="DS352" s="268"/>
      <c r="DT352" s="268"/>
      <c r="DU352" s="268"/>
      <c r="DV352" s="268"/>
      <c r="DW352" s="268"/>
      <c r="DX352" s="268"/>
      <c r="DY352" s="268"/>
      <c r="DZ352" s="268"/>
      <c r="EA352" s="268"/>
      <c r="EB352" s="268"/>
      <c r="EC352" s="268"/>
      <c r="ED352" s="268"/>
      <c r="EE352" s="268"/>
      <c r="EF352" s="268"/>
      <c r="EG352" s="268"/>
      <c r="EH352" s="268"/>
      <c r="EI352" s="268"/>
      <c r="EJ352" s="268"/>
      <c r="EK352" s="268"/>
      <c r="EL352" s="268"/>
      <c r="EM352" s="268"/>
      <c r="EN352" s="268"/>
      <c r="EO352" s="268"/>
      <c r="EP352" s="268"/>
      <c r="EQ352" s="268"/>
      <c r="ER352" s="268"/>
      <c r="ES352" s="268"/>
      <c r="ET352" s="268"/>
      <c r="EU352" s="268"/>
      <c r="EV352" s="268"/>
      <c r="EW352" s="268"/>
      <c r="EX352" s="268"/>
      <c r="EY352" s="268"/>
      <c r="EZ352" s="268"/>
      <c r="FA352" s="268"/>
      <c r="FB352" s="268"/>
      <c r="FC352" s="268"/>
      <c r="FD352" s="268"/>
      <c r="FE352" s="268"/>
      <c r="FF352" s="268"/>
      <c r="FG352" s="268"/>
      <c r="FH352" s="268"/>
      <c r="FI352" s="268"/>
      <c r="FJ352" s="268"/>
      <c r="FK352" s="268"/>
      <c r="FL352" s="268"/>
      <c r="FM352" s="268"/>
      <c r="FN352" s="268"/>
      <c r="FO352" s="268"/>
      <c r="FP352" s="268"/>
      <c r="FQ352" s="268"/>
      <c r="FR352" s="268"/>
      <c r="FS352" s="268"/>
      <c r="FT352" s="268"/>
      <c r="FU352" s="268"/>
      <c r="FV352" s="268"/>
      <c r="FW352" s="268"/>
      <c r="FX352" s="268"/>
      <c r="FY352" s="268"/>
      <c r="FZ352" s="268"/>
      <c r="GA352" s="268"/>
      <c r="GB352" s="268"/>
      <c r="GC352" s="268"/>
      <c r="GD352" s="268"/>
      <c r="GE352" s="268"/>
      <c r="GF352" s="268"/>
      <c r="GG352" s="268"/>
      <c r="GH352" s="268"/>
      <c r="GI352" s="268"/>
      <c r="GJ352" s="268"/>
      <c r="GK352" s="268"/>
      <c r="GL352" s="268"/>
      <c r="GM352" s="268"/>
      <c r="GN352" s="268"/>
      <c r="GO352" s="268"/>
      <c r="GP352" s="268"/>
      <c r="GQ352" s="268"/>
      <c r="GR352" s="268"/>
      <c r="GS352" s="268"/>
      <c r="GT352" s="268"/>
      <c r="GU352" s="268"/>
      <c r="GV352" s="268"/>
      <c r="GW352" s="268"/>
      <c r="GX352" s="268"/>
      <c r="GY352" s="268"/>
      <c r="GZ352" s="268"/>
      <c r="HA352" s="268"/>
      <c r="HB352" s="268"/>
      <c r="HC352" s="268"/>
      <c r="HD352" s="268"/>
      <c r="HE352" s="268"/>
      <c r="HF352" s="268"/>
      <c r="HG352" s="268"/>
      <c r="HH352" s="268"/>
      <c r="HI352" s="268"/>
      <c r="HJ352" s="268"/>
      <c r="HK352" s="268"/>
      <c r="HL352" s="268"/>
      <c r="HM352" s="268"/>
      <c r="HN352" s="268"/>
      <c r="HO352" s="268"/>
      <c r="HP352" s="268"/>
      <c r="HQ352" s="268"/>
      <c r="HR352" s="268"/>
      <c r="HS352" s="268"/>
      <c r="HT352" s="268"/>
      <c r="HU352" s="268"/>
      <c r="HV352" s="268"/>
      <c r="HW352" s="268"/>
      <c r="HX352" s="268"/>
      <c r="HY352" s="268"/>
      <c r="HZ352" s="268"/>
      <c r="IA352" s="268"/>
      <c r="IB352" s="268"/>
      <c r="IC352" s="268"/>
      <c r="ID352" s="268"/>
      <c r="IE352" s="268"/>
      <c r="IF352" s="268"/>
      <c r="IG352" s="268"/>
      <c r="IH352" s="268"/>
      <c r="II352" s="268"/>
      <c r="IJ352" s="268"/>
      <c r="IK352" s="268"/>
      <c r="IL352" s="268"/>
      <c r="IM352" s="268"/>
      <c r="JA352" s="268"/>
      <c r="JB352" s="268"/>
      <c r="JC352" s="268"/>
      <c r="JQ352" s="268"/>
      <c r="JS352" s="268"/>
      <c r="JT352" s="268"/>
      <c r="JU352" s="268"/>
      <c r="JV352" s="268"/>
      <c r="JW352" s="268"/>
      <c r="JX352" s="268"/>
      <c r="JY352" s="268"/>
      <c r="JZ352" s="268"/>
      <c r="KA352" s="268"/>
      <c r="KB352" s="268"/>
      <c r="KC352" s="268"/>
      <c r="KD352" s="268"/>
      <c r="KE352" s="268"/>
      <c r="KF352" s="268"/>
      <c r="KG352" s="268"/>
      <c r="KH352" s="268"/>
      <c r="KI352" s="268"/>
      <c r="KJ352" s="268"/>
      <c r="KK352" s="268"/>
      <c r="KL352" s="268"/>
      <c r="KM352" s="268"/>
      <c r="KN352" s="268"/>
      <c r="KO352" s="268"/>
      <c r="KP352" s="268"/>
      <c r="KQ352" s="268"/>
      <c r="KR352" s="268"/>
      <c r="KS352" s="268"/>
      <c r="KT352" s="268"/>
      <c r="KU352" s="268"/>
      <c r="KV352" s="268"/>
      <c r="KW352" s="268"/>
      <c r="KX352" s="268"/>
      <c r="KY352" s="268"/>
      <c r="KZ352" s="268"/>
      <c r="LA352" s="268"/>
      <c r="LB352" s="268"/>
      <c r="LC352" s="268"/>
      <c r="LD352" s="268"/>
      <c r="LE352" s="268"/>
      <c r="LF352" s="268"/>
      <c r="LG352" s="268"/>
      <c r="LH352" s="268"/>
      <c r="LI352" s="268"/>
      <c r="LJ352" s="268"/>
      <c r="LK352" s="268"/>
      <c r="LL352" s="268"/>
      <c r="LM352" s="268"/>
      <c r="LN352" s="268"/>
      <c r="LO352" s="268"/>
      <c r="LP352" s="268"/>
      <c r="LQ352" s="268"/>
      <c r="LR352" s="268"/>
      <c r="LS352" s="268"/>
      <c r="LT352" s="268"/>
      <c r="LU352" s="268"/>
      <c r="LV352" s="268"/>
      <c r="LW352" s="268"/>
      <c r="LX352" s="268"/>
      <c r="LY352" s="268"/>
      <c r="LZ352" s="268"/>
      <c r="MA352" s="268"/>
      <c r="MB352" s="268"/>
      <c r="MC352" s="268"/>
      <c r="MD352" s="268"/>
      <c r="ME352" s="268"/>
      <c r="MF352" s="268"/>
      <c r="MG352" s="268"/>
      <c r="MH352" s="268"/>
      <c r="MI352" s="268"/>
      <c r="MJ352" s="268"/>
      <c r="MK352" s="268"/>
      <c r="ML352" s="268"/>
      <c r="MM352" s="268"/>
      <c r="MN352" s="268"/>
      <c r="MO352" s="268"/>
      <c r="MP352" s="268"/>
      <c r="MQ352" s="268"/>
      <c r="MR352" s="268"/>
      <c r="MS352" s="268"/>
      <c r="MT352" s="268"/>
      <c r="MU352" s="268"/>
      <c r="MV352" s="268"/>
      <c r="MW352" s="268"/>
      <c r="MX352" s="268"/>
      <c r="MY352" s="268"/>
      <c r="MZ352" s="268"/>
      <c r="NA352" s="268"/>
      <c r="NB352" s="268"/>
      <c r="NC352" s="268"/>
      <c r="ND352" s="268"/>
      <c r="NE352" s="268"/>
      <c r="NF352" s="268"/>
      <c r="NG352" s="268"/>
      <c r="NH352" s="268"/>
      <c r="NI352" s="268"/>
      <c r="NJ352" s="268"/>
      <c r="NK352" s="268"/>
      <c r="NL352" s="268"/>
      <c r="NM352" s="268"/>
      <c r="NN352" s="268"/>
      <c r="NO352" s="268"/>
      <c r="NP352" s="268"/>
      <c r="NQ352" s="268"/>
      <c r="NR352" s="268"/>
      <c r="NS352" s="268"/>
      <c r="NT352" s="268"/>
      <c r="NU352" s="268"/>
      <c r="NV352" s="268"/>
      <c r="NW352" s="268"/>
      <c r="NX352" s="268"/>
      <c r="NY352" s="268"/>
      <c r="NZ352" s="268"/>
      <c r="OA352" s="268"/>
      <c r="OB352" s="268"/>
      <c r="OC352" s="268"/>
      <c r="OD352" s="268"/>
      <c r="OE352" s="268"/>
      <c r="OF352" s="268"/>
      <c r="OG352" s="268"/>
      <c r="OH352" s="268"/>
      <c r="OI352" s="268"/>
      <c r="OJ352" s="268"/>
      <c r="OK352" s="268"/>
      <c r="OL352" s="268"/>
      <c r="OM352" s="268"/>
      <c r="ON352" s="268"/>
      <c r="OO352" s="268"/>
      <c r="OP352" s="268"/>
      <c r="OQ352" s="268"/>
      <c r="OR352" s="268"/>
      <c r="OS352" s="268"/>
      <c r="OT352" s="268"/>
      <c r="OU352" s="268"/>
      <c r="OV352" s="268"/>
      <c r="OW352" s="268"/>
      <c r="OX352" s="268"/>
      <c r="OY352" s="268"/>
      <c r="OZ352" s="268"/>
      <c r="PA352" s="268"/>
      <c r="PB352" s="268"/>
      <c r="PC352" s="268"/>
      <c r="PD352" s="268"/>
      <c r="PE352" s="268"/>
      <c r="PF352" s="268"/>
      <c r="PG352" s="268"/>
      <c r="PH352" s="268"/>
      <c r="PI352" s="268"/>
      <c r="PJ352" s="268"/>
      <c r="PK352" s="268"/>
      <c r="PL352" s="268"/>
      <c r="PM352" s="268"/>
      <c r="PN352" s="268"/>
      <c r="PO352" s="268"/>
      <c r="PP352" s="268"/>
      <c r="PQ352" s="268"/>
      <c r="PR352" s="268"/>
      <c r="PS352" s="268"/>
      <c r="PT352" s="268"/>
      <c r="PU352" s="268"/>
      <c r="PV352" s="268"/>
      <c r="PW352" s="268"/>
      <c r="PX352" s="268"/>
      <c r="PY352" s="268"/>
      <c r="PZ352" s="268"/>
      <c r="QA352" s="268"/>
      <c r="QB352" s="268"/>
      <c r="QC352" s="268"/>
      <c r="QD352" s="268"/>
      <c r="QE352" s="268"/>
      <c r="QF352" s="268"/>
      <c r="QG352" s="268"/>
      <c r="QH352" s="268"/>
      <c r="QI352" s="268"/>
      <c r="QJ352" s="268"/>
      <c r="QK352" s="268"/>
      <c r="QL352" s="268"/>
      <c r="QM352" s="268"/>
      <c r="QN352" s="268"/>
      <c r="QO352" s="268"/>
      <c r="QP352" s="268"/>
      <c r="QQ352" s="268"/>
      <c r="QR352" s="268"/>
      <c r="QS352" s="268"/>
      <c r="QT352" s="268"/>
      <c r="QU352" s="268"/>
      <c r="QV352" s="268"/>
      <c r="QW352" s="268"/>
      <c r="QX352" s="268"/>
      <c r="QY352" s="268"/>
      <c r="QZ352" s="268"/>
      <c r="RA352" s="268"/>
      <c r="RB352" s="268"/>
      <c r="RC352" s="268"/>
      <c r="RD352" s="268"/>
      <c r="RE352" s="268"/>
      <c r="RF352" s="268"/>
      <c r="RG352" s="268"/>
      <c r="RH352" s="268"/>
      <c r="RI352" s="268"/>
      <c r="RJ352" s="268"/>
      <c r="RK352" s="268"/>
      <c r="RL352" s="268"/>
      <c r="RM352" s="268"/>
      <c r="RN352" s="268"/>
      <c r="RO352" s="268"/>
      <c r="RP352" s="268"/>
      <c r="RQ352" s="268"/>
      <c r="RR352" s="268"/>
      <c r="RS352" s="268"/>
      <c r="RT352" s="268"/>
      <c r="RU352" s="268"/>
      <c r="RV352" s="268"/>
      <c r="RW352" s="268"/>
      <c r="RX352" s="268"/>
      <c r="RY352" s="268"/>
      <c r="RZ352" s="268"/>
      <c r="SA352" s="268"/>
      <c r="SB352" s="268"/>
      <c r="SC352" s="268"/>
      <c r="SD352" s="268"/>
      <c r="SE352" s="268"/>
      <c r="SF352" s="268"/>
      <c r="SG352" s="268"/>
      <c r="SH352" s="268"/>
      <c r="SI352" s="268"/>
      <c r="SW352" s="268"/>
      <c r="SX352" s="268"/>
      <c r="SY352" s="268"/>
      <c r="TM352" s="268"/>
      <c r="TO352" s="268"/>
      <c r="TP352" s="268"/>
      <c r="TQ352" s="268"/>
      <c r="TR352" s="268"/>
      <c r="TS352" s="268"/>
      <c r="TT352" s="268"/>
      <c r="TU352" s="268"/>
      <c r="TV352" s="268"/>
      <c r="TW352" s="268"/>
      <c r="TX352" s="268"/>
      <c r="TY352" s="268"/>
      <c r="TZ352" s="268"/>
      <c r="UA352" s="268"/>
      <c r="UB352" s="268"/>
      <c r="UC352" s="268"/>
      <c r="UD352" s="268"/>
      <c r="UE352" s="268"/>
      <c r="UF352" s="268"/>
      <c r="UG352" s="268"/>
      <c r="UH352" s="268"/>
      <c r="UI352" s="268"/>
      <c r="UJ352" s="268"/>
      <c r="UK352" s="268"/>
      <c r="UL352" s="268"/>
      <c r="UM352" s="268"/>
      <c r="UN352" s="268"/>
      <c r="UO352" s="268"/>
      <c r="UP352" s="268"/>
      <c r="UQ352" s="268"/>
      <c r="UR352" s="268"/>
      <c r="US352" s="268"/>
      <c r="UT352" s="268"/>
      <c r="UU352" s="268"/>
      <c r="UV352" s="268"/>
      <c r="UW352" s="268"/>
      <c r="UX352" s="268"/>
      <c r="UY352" s="268"/>
      <c r="UZ352" s="268"/>
      <c r="VA352" s="268"/>
      <c r="VB352" s="268"/>
      <c r="VC352" s="268"/>
      <c r="VD352" s="268"/>
      <c r="VE352" s="268"/>
      <c r="VF352" s="268"/>
      <c r="VG352" s="268"/>
      <c r="VH352" s="268"/>
      <c r="VI352" s="268"/>
      <c r="VJ352" s="268"/>
      <c r="VK352" s="268"/>
      <c r="VL352" s="268"/>
      <c r="VM352" s="268"/>
      <c r="VN352" s="268"/>
      <c r="VO352" s="268"/>
      <c r="VP352" s="268"/>
      <c r="VQ352" s="268"/>
      <c r="VR352" s="268"/>
      <c r="VS352" s="268"/>
      <c r="VT352" s="268"/>
      <c r="VU352" s="268"/>
      <c r="VV352" s="268"/>
      <c r="VW352" s="268"/>
      <c r="VX352" s="268"/>
      <c r="VY352" s="268"/>
      <c r="VZ352" s="268"/>
      <c r="WA352" s="268"/>
      <c r="WB352" s="268"/>
      <c r="WC352" s="268"/>
      <c r="WD352" s="268"/>
      <c r="WE352" s="268"/>
      <c r="WF352" s="268"/>
      <c r="WG352" s="268"/>
      <c r="WH352" s="268"/>
      <c r="WI352" s="268"/>
      <c r="WJ352" s="268"/>
      <c r="WK352" s="268"/>
      <c r="WL352" s="268"/>
      <c r="WM352" s="268"/>
      <c r="WN352" s="268"/>
      <c r="WO352" s="268"/>
      <c r="WP352" s="268"/>
      <c r="WQ352" s="268"/>
      <c r="WR352" s="268"/>
      <c r="WS352" s="268"/>
      <c r="WT352" s="268"/>
      <c r="WU352" s="268"/>
      <c r="WV352" s="268"/>
      <c r="WW352" s="268"/>
      <c r="WX352" s="268"/>
      <c r="WY352" s="268"/>
      <c r="WZ352" s="268"/>
      <c r="XA352" s="268"/>
      <c r="XB352" s="268"/>
      <c r="XC352" s="268"/>
      <c r="XD352" s="268"/>
      <c r="XE352" s="268"/>
      <c r="XF352" s="268"/>
      <c r="XG352" s="268"/>
      <c r="XH352" s="268"/>
      <c r="XI352" s="268"/>
      <c r="XJ352" s="268"/>
      <c r="XK352" s="268"/>
      <c r="XL352" s="268"/>
      <c r="XM352" s="268"/>
      <c r="XN352" s="268"/>
      <c r="XO352" s="268"/>
      <c r="XP352" s="268"/>
      <c r="XQ352" s="268"/>
      <c r="XR352" s="268"/>
      <c r="XS352" s="268"/>
      <c r="XT352" s="268"/>
      <c r="XU352" s="268"/>
      <c r="XV352" s="268"/>
      <c r="XW352" s="268"/>
      <c r="XX352" s="268"/>
      <c r="XY352" s="268"/>
      <c r="XZ352" s="268"/>
      <c r="YA352" s="268"/>
      <c r="YB352" s="268"/>
      <c r="YC352" s="268"/>
      <c r="YD352" s="268"/>
      <c r="YE352" s="268"/>
      <c r="YF352" s="268"/>
      <c r="YG352" s="268"/>
      <c r="YH352" s="268"/>
      <c r="YI352" s="268"/>
      <c r="YJ352" s="268"/>
      <c r="YK352" s="268"/>
      <c r="YL352" s="268"/>
      <c r="YM352" s="268"/>
      <c r="YN352" s="268"/>
      <c r="YO352" s="268"/>
      <c r="YP352" s="268"/>
      <c r="YQ352" s="268"/>
      <c r="YR352" s="268"/>
      <c r="YS352" s="268"/>
      <c r="YT352" s="268"/>
      <c r="YU352" s="268"/>
      <c r="YV352" s="268"/>
      <c r="YW352" s="268"/>
      <c r="YX352" s="268"/>
      <c r="YY352" s="268"/>
      <c r="YZ352" s="268"/>
      <c r="ZA352" s="268"/>
      <c r="ZB352" s="268"/>
      <c r="ZC352" s="268"/>
      <c r="ZD352" s="268"/>
      <c r="ZE352" s="268"/>
      <c r="ZF352" s="268"/>
      <c r="ZG352" s="268"/>
      <c r="ZH352" s="268"/>
      <c r="ZI352" s="268"/>
      <c r="ZJ352" s="268"/>
      <c r="ZK352" s="268"/>
      <c r="ZL352" s="268"/>
      <c r="ZM352" s="268"/>
      <c r="ZN352" s="268"/>
      <c r="ZO352" s="268"/>
      <c r="ZP352" s="268"/>
      <c r="ZQ352" s="268"/>
      <c r="ZR352" s="268"/>
      <c r="ZS352" s="268"/>
      <c r="ZT352" s="268"/>
      <c r="ZU352" s="268"/>
      <c r="ZV352" s="268"/>
      <c r="ZW352" s="268"/>
      <c r="ZX352" s="268"/>
      <c r="ZY352" s="268"/>
      <c r="ZZ352" s="268"/>
      <c r="AAA352" s="268"/>
      <c r="AAB352" s="268"/>
      <c r="AAC352" s="268"/>
      <c r="AAD352" s="268"/>
      <c r="AAE352" s="268"/>
      <c r="AAF352" s="268"/>
      <c r="AAG352" s="268"/>
      <c r="AAH352" s="268"/>
      <c r="AAI352" s="268"/>
      <c r="AAJ352" s="268"/>
      <c r="AAK352" s="268"/>
      <c r="AAL352" s="268"/>
      <c r="AAM352" s="268"/>
      <c r="AAN352" s="268"/>
      <c r="AAO352" s="268"/>
      <c r="AAP352" s="268"/>
      <c r="AAQ352" s="268"/>
      <c r="AAR352" s="268"/>
      <c r="AAS352" s="268"/>
      <c r="AAT352" s="268"/>
      <c r="AAU352" s="268"/>
      <c r="AAV352" s="268"/>
      <c r="AAW352" s="268"/>
      <c r="AAX352" s="268"/>
      <c r="AAY352" s="268"/>
      <c r="AAZ352" s="268"/>
      <c r="ABA352" s="268"/>
      <c r="ABB352" s="268"/>
      <c r="ABC352" s="268"/>
      <c r="ABD352" s="268"/>
      <c r="ABE352" s="268"/>
      <c r="ABF352" s="268"/>
      <c r="ABG352" s="268"/>
      <c r="ABH352" s="268"/>
      <c r="ABI352" s="268"/>
      <c r="ABJ352" s="268"/>
      <c r="ABK352" s="268"/>
      <c r="ABL352" s="268"/>
      <c r="ABM352" s="268"/>
      <c r="ABN352" s="268"/>
      <c r="ABO352" s="268"/>
      <c r="ABP352" s="268"/>
      <c r="ABQ352" s="268"/>
      <c r="ABR352" s="268"/>
      <c r="ABS352" s="268"/>
      <c r="ABT352" s="268"/>
      <c r="ABU352" s="268"/>
      <c r="ABV352" s="268"/>
      <c r="ABW352" s="268"/>
      <c r="ABX352" s="268"/>
      <c r="ABY352" s="268"/>
      <c r="ABZ352" s="268"/>
      <c r="ACA352" s="268"/>
      <c r="ACB352" s="268"/>
      <c r="ACC352" s="268"/>
      <c r="ACD352" s="268"/>
      <c r="ACE352" s="268"/>
      <c r="ACS352" s="268"/>
      <c r="ACT352" s="268"/>
      <c r="ACU352" s="268"/>
      <c r="ADI352" s="268"/>
      <c r="ADK352" s="268"/>
      <c r="ADL352" s="268"/>
      <c r="ADM352" s="268"/>
      <c r="ADN352" s="268"/>
      <c r="ADO352" s="268"/>
      <c r="ADP352" s="268"/>
      <c r="ADQ352" s="268"/>
      <c r="ADR352" s="268"/>
      <c r="ADS352" s="268"/>
      <c r="ADT352" s="268"/>
      <c r="ADU352" s="268"/>
      <c r="ADV352" s="268"/>
      <c r="ADW352" s="268"/>
      <c r="ADX352" s="268"/>
      <c r="ADY352" s="268"/>
      <c r="ADZ352" s="268"/>
      <c r="AEA352" s="268"/>
      <c r="AEB352" s="268"/>
      <c r="AEC352" s="268"/>
      <c r="AED352" s="268"/>
      <c r="AEE352" s="268"/>
      <c r="AEF352" s="268"/>
      <c r="AEG352" s="268"/>
      <c r="AEH352" s="268"/>
      <c r="AEI352" s="268"/>
      <c r="AEJ352" s="268"/>
      <c r="AEK352" s="268"/>
      <c r="AEL352" s="268"/>
      <c r="AEM352" s="268"/>
      <c r="AEN352" s="268"/>
      <c r="AEO352" s="268"/>
      <c r="AEP352" s="268"/>
      <c r="AEQ352" s="268"/>
      <c r="AER352" s="268"/>
      <c r="AES352" s="268"/>
      <c r="AET352" s="268"/>
      <c r="AEU352" s="268"/>
      <c r="AEV352" s="268"/>
      <c r="AEW352" s="268"/>
      <c r="AEX352" s="268"/>
      <c r="AEY352" s="268"/>
      <c r="AEZ352" s="268"/>
      <c r="AFA352" s="268"/>
      <c r="AFB352" s="268"/>
      <c r="AFC352" s="268"/>
      <c r="AFD352" s="268"/>
      <c r="AFE352" s="268"/>
      <c r="AFF352" s="268"/>
      <c r="AFG352" s="268"/>
      <c r="AFH352" s="268"/>
      <c r="AFI352" s="268"/>
      <c r="AFJ352" s="268"/>
      <c r="AFK352" s="268"/>
      <c r="AFL352" s="268"/>
      <c r="AFM352" s="268"/>
      <c r="AFN352" s="268"/>
      <c r="AFO352" s="268"/>
      <c r="AFP352" s="268"/>
      <c r="AFQ352" s="268"/>
      <c r="AFR352" s="268"/>
      <c r="AFS352" s="268"/>
      <c r="AFT352" s="268"/>
      <c r="AFU352" s="268"/>
      <c r="AFV352" s="268"/>
      <c r="AFW352" s="268"/>
      <c r="AFX352" s="268"/>
      <c r="AFY352" s="268"/>
      <c r="AFZ352" s="268"/>
      <c r="AGA352" s="268"/>
      <c r="AGB352" s="268"/>
      <c r="AGC352" s="268"/>
      <c r="AGD352" s="268"/>
      <c r="AGE352" s="268"/>
      <c r="AGF352" s="268"/>
      <c r="AGG352" s="268"/>
      <c r="AGH352" s="268"/>
      <c r="AGI352" s="268"/>
      <c r="AGJ352" s="268"/>
      <c r="AGK352" s="268"/>
      <c r="AGL352" s="268"/>
      <c r="AGM352" s="268"/>
      <c r="AGN352" s="268"/>
      <c r="AGO352" s="268"/>
      <c r="AGP352" s="268"/>
      <c r="AGQ352" s="268"/>
      <c r="AGR352" s="268"/>
      <c r="AGS352" s="268"/>
      <c r="AGT352" s="268"/>
      <c r="AGU352" s="268"/>
      <c r="AGV352" s="268"/>
      <c r="AGW352" s="268"/>
      <c r="AGX352" s="268"/>
      <c r="AGY352" s="268"/>
      <c r="AGZ352" s="268"/>
      <c r="AHA352" s="268"/>
      <c r="AHB352" s="268"/>
      <c r="AHC352" s="268"/>
      <c r="AHD352" s="268"/>
      <c r="AHE352" s="268"/>
      <c r="AHF352" s="268"/>
      <c r="AHG352" s="268"/>
      <c r="AHH352" s="268"/>
      <c r="AHI352" s="268"/>
      <c r="AHJ352" s="268"/>
      <c r="AHK352" s="268"/>
      <c r="AHL352" s="268"/>
      <c r="AHM352" s="268"/>
      <c r="AHN352" s="268"/>
      <c r="AHO352" s="268"/>
      <c r="AHP352" s="268"/>
      <c r="AHQ352" s="268"/>
      <c r="AHR352" s="268"/>
      <c r="AHS352" s="268"/>
      <c r="AHT352" s="268"/>
      <c r="AHU352" s="268"/>
      <c r="AHV352" s="268"/>
      <c r="AHW352" s="268"/>
      <c r="AHX352" s="268"/>
      <c r="AHY352" s="268"/>
      <c r="AHZ352" s="268"/>
      <c r="AIA352" s="268"/>
      <c r="AIB352" s="268"/>
      <c r="AIC352" s="268"/>
      <c r="AID352" s="268"/>
      <c r="AIE352" s="268"/>
      <c r="AIF352" s="268"/>
      <c r="AIG352" s="268"/>
      <c r="AIH352" s="268"/>
      <c r="AII352" s="268"/>
      <c r="AIJ352" s="268"/>
      <c r="AIK352" s="268"/>
      <c r="AIL352" s="268"/>
      <c r="AIM352" s="268"/>
      <c r="AIN352" s="268"/>
      <c r="AIO352" s="268"/>
      <c r="AIP352" s="268"/>
      <c r="AIQ352" s="268"/>
      <c r="AIR352" s="268"/>
      <c r="AIS352" s="268"/>
      <c r="AIT352" s="268"/>
      <c r="AIU352" s="268"/>
      <c r="AIV352" s="268"/>
      <c r="AIW352" s="268"/>
      <c r="AIX352" s="268"/>
      <c r="AIY352" s="268"/>
      <c r="AIZ352" s="268"/>
      <c r="AJA352" s="268"/>
      <c r="AJB352" s="268"/>
      <c r="AJC352" s="268"/>
      <c r="AJD352" s="268"/>
      <c r="AJE352" s="268"/>
      <c r="AJF352" s="268"/>
      <c r="AJG352" s="268"/>
      <c r="AJH352" s="268"/>
      <c r="AJI352" s="268"/>
      <c r="AJJ352" s="268"/>
      <c r="AJK352" s="268"/>
      <c r="AJL352" s="268"/>
      <c r="AJM352" s="268"/>
      <c r="AJN352" s="268"/>
      <c r="AJO352" s="268"/>
      <c r="AJP352" s="268"/>
      <c r="AJQ352" s="268"/>
      <c r="AJR352" s="268"/>
      <c r="AJS352" s="268"/>
      <c r="AJT352" s="268"/>
      <c r="AJU352" s="268"/>
      <c r="AJV352" s="268"/>
      <c r="AJW352" s="268"/>
      <c r="AJX352" s="268"/>
      <c r="AJY352" s="268"/>
      <c r="AJZ352" s="268"/>
      <c r="AKA352" s="268"/>
      <c r="AKB352" s="268"/>
      <c r="AKC352" s="268"/>
      <c r="AKD352" s="268"/>
      <c r="AKE352" s="268"/>
      <c r="AKF352" s="268"/>
      <c r="AKG352" s="268"/>
      <c r="AKH352" s="268"/>
      <c r="AKI352" s="268"/>
      <c r="AKJ352" s="268"/>
      <c r="AKK352" s="268"/>
      <c r="AKL352" s="268"/>
      <c r="AKM352" s="268"/>
      <c r="AKN352" s="268"/>
      <c r="AKO352" s="268"/>
      <c r="AKP352" s="268"/>
      <c r="AKQ352" s="268"/>
      <c r="AKR352" s="268"/>
      <c r="AKS352" s="268"/>
      <c r="AKT352" s="268"/>
      <c r="AKU352" s="268"/>
      <c r="AKV352" s="268"/>
      <c r="AKW352" s="268"/>
      <c r="AKX352" s="268"/>
      <c r="AKY352" s="268"/>
      <c r="AKZ352" s="268"/>
      <c r="ALA352" s="268"/>
      <c r="ALB352" s="268"/>
      <c r="ALC352" s="268"/>
      <c r="ALD352" s="268"/>
      <c r="ALE352" s="268"/>
      <c r="ALF352" s="268"/>
      <c r="ALG352" s="268"/>
      <c r="ALH352" s="268"/>
      <c r="ALI352" s="268"/>
      <c r="ALJ352" s="268"/>
      <c r="ALK352" s="268"/>
      <c r="ALL352" s="268"/>
      <c r="ALM352" s="268"/>
      <c r="ALN352" s="268"/>
      <c r="ALO352" s="268"/>
      <c r="ALP352" s="268"/>
      <c r="ALQ352" s="268"/>
      <c r="ALR352" s="268"/>
      <c r="ALS352" s="268"/>
      <c r="ALT352" s="268"/>
      <c r="ALU352" s="268"/>
      <c r="ALV352" s="268"/>
      <c r="ALW352" s="268"/>
      <c r="ALX352" s="268"/>
      <c r="ALY352" s="268"/>
      <c r="ALZ352" s="268"/>
      <c r="AMA352" s="268"/>
      <c r="AMO352" s="268"/>
      <c r="AMP352" s="268"/>
      <c r="AMQ352" s="268"/>
      <c r="ANE352" s="268"/>
      <c r="ANG352" s="268"/>
      <c r="ANH352" s="268"/>
      <c r="ANI352" s="268"/>
      <c r="ANJ352" s="268"/>
      <c r="ANK352" s="268"/>
      <c r="ANL352" s="268"/>
      <c r="ANM352" s="268"/>
      <c r="ANN352" s="268"/>
      <c r="ANO352" s="268"/>
      <c r="ANP352" s="268"/>
      <c r="ANQ352" s="268"/>
      <c r="ANR352" s="268"/>
      <c r="ANS352" s="268"/>
      <c r="ANT352" s="268"/>
      <c r="ANU352" s="268"/>
      <c r="ANV352" s="268"/>
      <c r="ANW352" s="268"/>
      <c r="ANX352" s="268"/>
      <c r="ANY352" s="268"/>
      <c r="ANZ352" s="268"/>
      <c r="AOA352" s="268"/>
      <c r="AOB352" s="268"/>
      <c r="AOC352" s="268"/>
      <c r="AOD352" s="268"/>
      <c r="AOE352" s="268"/>
      <c r="AOF352" s="268"/>
      <c r="AOG352" s="268"/>
      <c r="AOH352" s="268"/>
      <c r="AOI352" s="268"/>
      <c r="AOJ352" s="268"/>
      <c r="AOK352" s="268"/>
      <c r="AOL352" s="268"/>
      <c r="AOM352" s="268"/>
      <c r="AON352" s="268"/>
      <c r="AOO352" s="268"/>
      <c r="AOP352" s="268"/>
      <c r="AOQ352" s="268"/>
      <c r="AOR352" s="268"/>
      <c r="AOS352" s="268"/>
      <c r="AOT352" s="268"/>
      <c r="AOU352" s="268"/>
      <c r="AOV352" s="268"/>
      <c r="AOW352" s="268"/>
      <c r="AOX352" s="268"/>
      <c r="AOY352" s="268"/>
      <c r="AOZ352" s="268"/>
      <c r="APA352" s="268"/>
      <c r="APB352" s="268"/>
      <c r="APC352" s="268"/>
      <c r="APD352" s="268"/>
      <c r="APE352" s="268"/>
      <c r="APF352" s="268"/>
      <c r="APG352" s="268"/>
      <c r="APH352" s="268"/>
      <c r="API352" s="268"/>
      <c r="APJ352" s="268"/>
      <c r="APK352" s="268"/>
      <c r="APL352" s="268"/>
      <c r="APM352" s="268"/>
      <c r="APN352" s="268"/>
      <c r="APO352" s="268"/>
      <c r="APP352" s="268"/>
      <c r="APQ352" s="268"/>
      <c r="APR352" s="268"/>
      <c r="APS352" s="268"/>
      <c r="APT352" s="268"/>
      <c r="APU352" s="268"/>
      <c r="APV352" s="268"/>
      <c r="APW352" s="268"/>
      <c r="APX352" s="268"/>
      <c r="APY352" s="268"/>
      <c r="APZ352" s="268"/>
      <c r="AQA352" s="268"/>
      <c r="AQB352" s="268"/>
      <c r="AQC352" s="268"/>
      <c r="AQD352" s="268"/>
      <c r="AQE352" s="268"/>
      <c r="AQF352" s="268"/>
      <c r="AQG352" s="268"/>
      <c r="AQH352" s="268"/>
      <c r="AQI352" s="268"/>
      <c r="AQJ352" s="268"/>
      <c r="AQK352" s="268"/>
      <c r="AQL352" s="268"/>
      <c r="AQM352" s="268"/>
      <c r="AQN352" s="268"/>
      <c r="AQO352" s="268"/>
      <c r="AQP352" s="268"/>
      <c r="AQQ352" s="268"/>
      <c r="AQR352" s="268"/>
      <c r="AQS352" s="268"/>
      <c r="AQT352" s="268"/>
      <c r="AQU352" s="268"/>
      <c r="AQV352" s="268"/>
      <c r="AQW352" s="268"/>
      <c r="AQX352" s="268"/>
      <c r="AQY352" s="268"/>
      <c r="AQZ352" s="268"/>
      <c r="ARA352" s="268"/>
      <c r="ARB352" s="268"/>
      <c r="ARC352" s="268"/>
      <c r="ARD352" s="268"/>
      <c r="ARE352" s="268"/>
      <c r="ARF352" s="268"/>
      <c r="ARG352" s="268"/>
      <c r="ARH352" s="268"/>
      <c r="ARI352" s="268"/>
      <c r="ARJ352" s="268"/>
      <c r="ARK352" s="268"/>
      <c r="ARL352" s="268"/>
      <c r="ARM352" s="268"/>
      <c r="ARN352" s="268"/>
      <c r="ARO352" s="268"/>
      <c r="ARP352" s="268"/>
      <c r="ARQ352" s="268"/>
      <c r="ARR352" s="268"/>
      <c r="ARS352" s="268"/>
      <c r="ART352" s="268"/>
      <c r="ARU352" s="268"/>
      <c r="ARV352" s="268"/>
      <c r="ARW352" s="268"/>
      <c r="ARX352" s="268"/>
      <c r="ARY352" s="268"/>
      <c r="ARZ352" s="268"/>
      <c r="ASA352" s="268"/>
      <c r="ASB352" s="268"/>
      <c r="ASC352" s="268"/>
      <c r="ASD352" s="268"/>
      <c r="ASE352" s="268"/>
      <c r="ASF352" s="268"/>
      <c r="ASG352" s="268"/>
      <c r="ASH352" s="268"/>
      <c r="ASI352" s="268"/>
      <c r="ASJ352" s="268"/>
      <c r="ASK352" s="268"/>
      <c r="ASL352" s="268"/>
      <c r="ASM352" s="268"/>
      <c r="ASN352" s="268"/>
      <c r="ASO352" s="268"/>
      <c r="ASP352" s="268"/>
      <c r="ASQ352" s="268"/>
      <c r="ASR352" s="268"/>
      <c r="ASS352" s="268"/>
      <c r="AST352" s="268"/>
      <c r="ASU352" s="268"/>
      <c r="ASV352" s="268"/>
      <c r="ASW352" s="268"/>
      <c r="ASX352" s="268"/>
      <c r="ASY352" s="268"/>
      <c r="ASZ352" s="268"/>
      <c r="ATA352" s="268"/>
      <c r="ATB352" s="268"/>
      <c r="ATC352" s="268"/>
      <c r="ATD352" s="268"/>
      <c r="ATE352" s="268"/>
      <c r="ATF352" s="268"/>
      <c r="ATG352" s="268"/>
      <c r="ATH352" s="268"/>
      <c r="ATI352" s="268"/>
      <c r="ATJ352" s="268"/>
      <c r="ATK352" s="268"/>
      <c r="ATL352" s="268"/>
      <c r="ATM352" s="268"/>
      <c r="ATN352" s="268"/>
      <c r="ATO352" s="268"/>
      <c r="ATP352" s="268"/>
      <c r="ATQ352" s="268"/>
      <c r="ATR352" s="268"/>
      <c r="ATS352" s="268"/>
      <c r="ATT352" s="268"/>
      <c r="ATU352" s="268"/>
      <c r="ATV352" s="268"/>
      <c r="ATW352" s="268"/>
      <c r="ATX352" s="268"/>
      <c r="ATY352" s="268"/>
      <c r="ATZ352" s="268"/>
      <c r="AUA352" s="268"/>
      <c r="AUB352" s="268"/>
      <c r="AUC352" s="268"/>
      <c r="AUD352" s="268"/>
      <c r="AUE352" s="268"/>
      <c r="AUF352" s="268"/>
      <c r="AUG352" s="268"/>
      <c r="AUH352" s="268"/>
      <c r="AUI352" s="268"/>
      <c r="AUJ352" s="268"/>
      <c r="AUK352" s="268"/>
      <c r="AUL352" s="268"/>
      <c r="AUM352" s="268"/>
      <c r="AUN352" s="268"/>
      <c r="AUO352" s="268"/>
      <c r="AUP352" s="268"/>
      <c r="AUQ352" s="268"/>
      <c r="AUR352" s="268"/>
      <c r="AUS352" s="268"/>
      <c r="AUT352" s="268"/>
      <c r="AUU352" s="268"/>
      <c r="AUV352" s="268"/>
      <c r="AUW352" s="268"/>
      <c r="AUX352" s="268"/>
      <c r="AUY352" s="268"/>
      <c r="AUZ352" s="268"/>
      <c r="AVA352" s="268"/>
      <c r="AVB352" s="268"/>
      <c r="AVC352" s="268"/>
      <c r="AVD352" s="268"/>
      <c r="AVE352" s="268"/>
      <c r="AVF352" s="268"/>
      <c r="AVG352" s="268"/>
      <c r="AVH352" s="268"/>
      <c r="AVI352" s="268"/>
      <c r="AVJ352" s="268"/>
      <c r="AVK352" s="268"/>
      <c r="AVL352" s="268"/>
      <c r="AVM352" s="268"/>
      <c r="AVN352" s="268"/>
      <c r="AVO352" s="268"/>
      <c r="AVP352" s="268"/>
      <c r="AVQ352" s="268"/>
      <c r="AVR352" s="268"/>
      <c r="AVS352" s="268"/>
      <c r="AVT352" s="268"/>
      <c r="AVU352" s="268"/>
      <c r="AVV352" s="268"/>
      <c r="AVW352" s="268"/>
      <c r="AWK352" s="268"/>
      <c r="AWL352" s="268"/>
      <c r="AWM352" s="268"/>
      <c r="AXA352" s="268"/>
      <c r="AXC352" s="268"/>
      <c r="AXD352" s="268"/>
      <c r="AXE352" s="268"/>
      <c r="AXF352" s="268"/>
      <c r="AXG352" s="268"/>
      <c r="AXH352" s="268"/>
      <c r="AXI352" s="268"/>
      <c r="AXJ352" s="268"/>
      <c r="AXK352" s="268"/>
      <c r="AXL352" s="268"/>
      <c r="AXM352" s="268"/>
      <c r="AXN352" s="268"/>
      <c r="AXO352" s="268"/>
      <c r="AXP352" s="268"/>
      <c r="AXQ352" s="268"/>
      <c r="AXR352" s="268"/>
      <c r="AXS352" s="268"/>
      <c r="AXT352" s="268"/>
      <c r="AXU352" s="268"/>
      <c r="AXV352" s="268"/>
      <c r="AXW352" s="268"/>
      <c r="AXX352" s="268"/>
      <c r="AXY352" s="268"/>
      <c r="AXZ352" s="268"/>
      <c r="AYA352" s="268"/>
      <c r="AYB352" s="268"/>
      <c r="AYC352" s="268"/>
      <c r="AYD352" s="268"/>
      <c r="AYE352" s="268"/>
      <c r="AYF352" s="268"/>
      <c r="AYG352" s="268"/>
      <c r="AYH352" s="268"/>
      <c r="AYI352" s="268"/>
      <c r="AYJ352" s="268"/>
      <c r="AYK352" s="268"/>
      <c r="AYL352" s="268"/>
      <c r="AYM352" s="268"/>
      <c r="AYN352" s="268"/>
      <c r="AYO352" s="268"/>
      <c r="AYP352" s="268"/>
      <c r="AYQ352" s="268"/>
      <c r="AYR352" s="268"/>
      <c r="AYS352" s="268"/>
      <c r="AYT352" s="268"/>
      <c r="AYU352" s="268"/>
      <c r="AYV352" s="268"/>
      <c r="AYW352" s="268"/>
      <c r="AYX352" s="268"/>
      <c r="AYY352" s="268"/>
      <c r="AYZ352" s="268"/>
      <c r="AZA352" s="268"/>
      <c r="AZB352" s="268"/>
      <c r="AZC352" s="268"/>
      <c r="AZD352" s="268"/>
      <c r="AZE352" s="268"/>
      <c r="AZF352" s="268"/>
      <c r="AZG352" s="268"/>
      <c r="AZH352" s="268"/>
      <c r="AZI352" s="268"/>
      <c r="AZJ352" s="268"/>
      <c r="AZK352" s="268"/>
      <c r="AZL352" s="268"/>
      <c r="AZM352" s="268"/>
      <c r="AZN352" s="268"/>
      <c r="AZO352" s="268"/>
      <c r="AZP352" s="268"/>
      <c r="AZQ352" s="268"/>
      <c r="AZR352" s="268"/>
      <c r="AZS352" s="268"/>
      <c r="AZT352" s="268"/>
      <c r="AZU352" s="268"/>
      <c r="AZV352" s="268"/>
      <c r="AZW352" s="268"/>
      <c r="AZX352" s="268"/>
      <c r="AZY352" s="268"/>
      <c r="AZZ352" s="268"/>
      <c r="BAA352" s="268"/>
      <c r="BAB352" s="268"/>
      <c r="BAC352" s="268"/>
      <c r="BAD352" s="268"/>
      <c r="BAE352" s="268"/>
      <c r="BAF352" s="268"/>
      <c r="BAG352" s="268"/>
      <c r="BAH352" s="268"/>
      <c r="BAI352" s="268"/>
      <c r="BAJ352" s="268"/>
      <c r="BAK352" s="268"/>
      <c r="BAL352" s="268"/>
      <c r="BAM352" s="268"/>
      <c r="BAN352" s="268"/>
      <c r="BAO352" s="268"/>
      <c r="BAP352" s="268"/>
      <c r="BAQ352" s="268"/>
      <c r="BAR352" s="268"/>
      <c r="BAS352" s="268"/>
      <c r="BAT352" s="268"/>
      <c r="BAU352" s="268"/>
      <c r="BAV352" s="268"/>
      <c r="BAW352" s="268"/>
      <c r="BAX352" s="268"/>
      <c r="BAY352" s="268"/>
      <c r="BAZ352" s="268"/>
      <c r="BBA352" s="268"/>
      <c r="BBB352" s="268"/>
      <c r="BBC352" s="268"/>
      <c r="BBD352" s="268"/>
      <c r="BBE352" s="268"/>
      <c r="BBF352" s="268"/>
      <c r="BBG352" s="268"/>
      <c r="BBH352" s="268"/>
      <c r="BBI352" s="268"/>
      <c r="BBJ352" s="268"/>
      <c r="BBK352" s="268"/>
      <c r="BBL352" s="268"/>
      <c r="BBM352" s="268"/>
      <c r="BBN352" s="268"/>
      <c r="BBO352" s="268"/>
      <c r="BBP352" s="268"/>
      <c r="BBQ352" s="268"/>
      <c r="BBR352" s="268"/>
      <c r="BBS352" s="268"/>
      <c r="BBT352" s="268"/>
      <c r="BBU352" s="268"/>
      <c r="BBV352" s="268"/>
      <c r="BBW352" s="268"/>
      <c r="BBX352" s="268"/>
      <c r="BBY352" s="268"/>
      <c r="BBZ352" s="268"/>
      <c r="BCA352" s="268"/>
      <c r="BCB352" s="268"/>
      <c r="BCC352" s="268"/>
      <c r="BCD352" s="268"/>
      <c r="BCE352" s="268"/>
      <c r="BCF352" s="268"/>
      <c r="BCG352" s="268"/>
      <c r="BCH352" s="268"/>
      <c r="BCI352" s="268"/>
      <c r="BCJ352" s="268"/>
      <c r="BCK352" s="268"/>
      <c r="BCL352" s="268"/>
      <c r="BCM352" s="268"/>
      <c r="BCN352" s="268"/>
      <c r="BCO352" s="268"/>
      <c r="BCP352" s="268"/>
      <c r="BCQ352" s="268"/>
      <c r="BCR352" s="268"/>
      <c r="BCS352" s="268"/>
      <c r="BCT352" s="268"/>
      <c r="BCU352" s="268"/>
      <c r="BCV352" s="268"/>
      <c r="BCW352" s="268"/>
      <c r="BCX352" s="268"/>
      <c r="BCY352" s="268"/>
      <c r="BCZ352" s="268"/>
      <c r="BDA352" s="268"/>
      <c r="BDB352" s="268"/>
      <c r="BDC352" s="268"/>
      <c r="BDD352" s="268"/>
      <c r="BDE352" s="268"/>
      <c r="BDF352" s="268"/>
      <c r="BDG352" s="268"/>
      <c r="BDH352" s="268"/>
      <c r="BDI352" s="268"/>
      <c r="BDJ352" s="268"/>
      <c r="BDK352" s="268"/>
      <c r="BDL352" s="268"/>
      <c r="BDM352" s="268"/>
      <c r="BDN352" s="268"/>
      <c r="BDO352" s="268"/>
      <c r="BDP352" s="268"/>
      <c r="BDQ352" s="268"/>
      <c r="BDR352" s="268"/>
      <c r="BDS352" s="268"/>
      <c r="BDT352" s="268"/>
      <c r="BDU352" s="268"/>
      <c r="BDV352" s="268"/>
      <c r="BDW352" s="268"/>
      <c r="BDX352" s="268"/>
      <c r="BDY352" s="268"/>
      <c r="BDZ352" s="268"/>
      <c r="BEA352" s="268"/>
      <c r="BEB352" s="268"/>
      <c r="BEC352" s="268"/>
      <c r="BED352" s="268"/>
      <c r="BEE352" s="268"/>
      <c r="BEF352" s="268"/>
      <c r="BEG352" s="268"/>
      <c r="BEH352" s="268"/>
      <c r="BEI352" s="268"/>
      <c r="BEJ352" s="268"/>
      <c r="BEK352" s="268"/>
      <c r="BEL352" s="268"/>
      <c r="BEM352" s="268"/>
      <c r="BEN352" s="268"/>
      <c r="BEO352" s="268"/>
      <c r="BEP352" s="268"/>
      <c r="BEQ352" s="268"/>
      <c r="BER352" s="268"/>
      <c r="BES352" s="268"/>
      <c r="BET352" s="268"/>
      <c r="BEU352" s="268"/>
      <c r="BEV352" s="268"/>
      <c r="BEW352" s="268"/>
      <c r="BEX352" s="268"/>
      <c r="BEY352" s="268"/>
      <c r="BEZ352" s="268"/>
      <c r="BFA352" s="268"/>
      <c r="BFB352" s="268"/>
      <c r="BFC352" s="268"/>
      <c r="BFD352" s="268"/>
      <c r="BFE352" s="268"/>
      <c r="BFF352" s="268"/>
      <c r="BFG352" s="268"/>
      <c r="BFH352" s="268"/>
      <c r="BFI352" s="268"/>
      <c r="BFJ352" s="268"/>
      <c r="BFK352" s="268"/>
      <c r="BFL352" s="268"/>
      <c r="BFM352" s="268"/>
      <c r="BFN352" s="268"/>
      <c r="BFO352" s="268"/>
      <c r="BFP352" s="268"/>
      <c r="BFQ352" s="268"/>
      <c r="BFR352" s="268"/>
      <c r="BFS352" s="268"/>
      <c r="BGG352" s="268"/>
      <c r="BGH352" s="268"/>
      <c r="BGI352" s="268"/>
      <c r="BGW352" s="268"/>
      <c r="BGY352" s="268"/>
      <c r="BGZ352" s="268"/>
      <c r="BHA352" s="268"/>
      <c r="BHB352" s="268"/>
      <c r="BHC352" s="268"/>
      <c r="BHD352" s="268"/>
      <c r="BHE352" s="268"/>
      <c r="BHF352" s="268"/>
      <c r="BHG352" s="268"/>
      <c r="BHH352" s="268"/>
      <c r="BHI352" s="268"/>
      <c r="BHJ352" s="268"/>
      <c r="BHK352" s="268"/>
      <c r="BHL352" s="268"/>
      <c r="BHM352" s="268"/>
      <c r="BHN352" s="268"/>
      <c r="BHO352" s="268"/>
      <c r="BHP352" s="268"/>
      <c r="BHQ352" s="268"/>
      <c r="BHR352" s="268"/>
      <c r="BHS352" s="268"/>
      <c r="BHT352" s="268"/>
      <c r="BHU352" s="268"/>
      <c r="BHV352" s="268"/>
      <c r="BHW352" s="268"/>
      <c r="BHX352" s="268"/>
      <c r="BHY352" s="268"/>
      <c r="BHZ352" s="268"/>
      <c r="BIA352" s="268"/>
      <c r="BIB352" s="268"/>
      <c r="BIC352" s="268"/>
      <c r="BID352" s="268"/>
      <c r="BIE352" s="268"/>
      <c r="BIF352" s="268"/>
      <c r="BIG352" s="268"/>
      <c r="BIH352" s="268"/>
      <c r="BII352" s="268"/>
      <c r="BIJ352" s="268"/>
      <c r="BIK352" s="268"/>
      <c r="BIL352" s="268"/>
      <c r="BIM352" s="268"/>
      <c r="BIN352" s="268"/>
      <c r="BIO352" s="268"/>
      <c r="BIP352" s="268"/>
      <c r="BIQ352" s="268"/>
      <c r="BIR352" s="268"/>
      <c r="BIS352" s="268"/>
      <c r="BIT352" s="268"/>
      <c r="BIU352" s="268"/>
      <c r="BIV352" s="268"/>
      <c r="BIW352" s="268"/>
      <c r="BIX352" s="268"/>
      <c r="BIY352" s="268"/>
      <c r="BIZ352" s="268"/>
      <c r="BJA352" s="268"/>
      <c r="BJB352" s="268"/>
      <c r="BJC352" s="268"/>
      <c r="BJD352" s="268"/>
      <c r="BJE352" s="268"/>
      <c r="BJF352" s="268"/>
      <c r="BJG352" s="268"/>
      <c r="BJH352" s="268"/>
      <c r="BJI352" s="268"/>
      <c r="BJJ352" s="268"/>
      <c r="BJK352" s="268"/>
      <c r="BJL352" s="268"/>
      <c r="BJM352" s="268"/>
      <c r="BJN352" s="268"/>
      <c r="BJO352" s="268"/>
      <c r="BJP352" s="268"/>
      <c r="BJQ352" s="268"/>
      <c r="BJR352" s="268"/>
      <c r="BJS352" s="268"/>
      <c r="BJT352" s="268"/>
      <c r="BJU352" s="268"/>
      <c r="BJV352" s="268"/>
      <c r="BJW352" s="268"/>
      <c r="BJX352" s="268"/>
      <c r="BJY352" s="268"/>
      <c r="BJZ352" s="268"/>
      <c r="BKA352" s="268"/>
      <c r="BKB352" s="268"/>
      <c r="BKC352" s="268"/>
      <c r="BKD352" s="268"/>
      <c r="BKE352" s="268"/>
      <c r="BKF352" s="268"/>
      <c r="BKG352" s="268"/>
      <c r="BKH352" s="268"/>
      <c r="BKI352" s="268"/>
      <c r="BKJ352" s="268"/>
      <c r="BKK352" s="268"/>
      <c r="BKL352" s="268"/>
      <c r="BKM352" s="268"/>
      <c r="BKN352" s="268"/>
      <c r="BKO352" s="268"/>
      <c r="BKP352" s="268"/>
      <c r="BKQ352" s="268"/>
      <c r="BKR352" s="268"/>
      <c r="BKS352" s="268"/>
      <c r="BKT352" s="268"/>
      <c r="BKU352" s="268"/>
      <c r="BKV352" s="268"/>
      <c r="BKW352" s="268"/>
      <c r="BKX352" s="268"/>
      <c r="BKY352" s="268"/>
      <c r="BKZ352" s="268"/>
      <c r="BLA352" s="268"/>
      <c r="BLB352" s="268"/>
      <c r="BLC352" s="268"/>
      <c r="BLD352" s="268"/>
      <c r="BLE352" s="268"/>
      <c r="BLF352" s="268"/>
      <c r="BLG352" s="268"/>
      <c r="BLH352" s="268"/>
      <c r="BLI352" s="268"/>
      <c r="BLJ352" s="268"/>
      <c r="BLK352" s="268"/>
      <c r="BLL352" s="268"/>
      <c r="BLM352" s="268"/>
      <c r="BLN352" s="268"/>
      <c r="BLO352" s="268"/>
      <c r="BLP352" s="268"/>
      <c r="BLQ352" s="268"/>
      <c r="BLR352" s="268"/>
      <c r="BLS352" s="268"/>
      <c r="BLT352" s="268"/>
      <c r="BLU352" s="268"/>
      <c r="BLV352" s="268"/>
      <c r="BLW352" s="268"/>
      <c r="BLX352" s="268"/>
      <c r="BLY352" s="268"/>
      <c r="BLZ352" s="268"/>
      <c r="BMA352" s="268"/>
      <c r="BMB352" s="268"/>
      <c r="BMC352" s="268"/>
      <c r="BMD352" s="268"/>
      <c r="BME352" s="268"/>
      <c r="BMF352" s="268"/>
      <c r="BMG352" s="268"/>
      <c r="BMH352" s="268"/>
      <c r="BMI352" s="268"/>
      <c r="BMJ352" s="268"/>
      <c r="BMK352" s="268"/>
      <c r="BML352" s="268"/>
      <c r="BMM352" s="268"/>
      <c r="BMN352" s="268"/>
      <c r="BMO352" s="268"/>
      <c r="BMP352" s="268"/>
      <c r="BMQ352" s="268"/>
      <c r="BMR352" s="268"/>
      <c r="BMS352" s="268"/>
      <c r="BMT352" s="268"/>
      <c r="BMU352" s="268"/>
      <c r="BMV352" s="268"/>
      <c r="BMW352" s="268"/>
      <c r="BMX352" s="268"/>
      <c r="BMY352" s="268"/>
      <c r="BMZ352" s="268"/>
      <c r="BNA352" s="268"/>
      <c r="BNB352" s="268"/>
      <c r="BNC352" s="268"/>
      <c r="BND352" s="268"/>
      <c r="BNE352" s="268"/>
      <c r="BNF352" s="268"/>
      <c r="BNG352" s="268"/>
      <c r="BNH352" s="268"/>
      <c r="BNI352" s="268"/>
      <c r="BNJ352" s="268"/>
      <c r="BNK352" s="268"/>
      <c r="BNL352" s="268"/>
      <c r="BNM352" s="268"/>
      <c r="BNN352" s="268"/>
      <c r="BNO352" s="268"/>
      <c r="BNP352" s="268"/>
      <c r="BNQ352" s="268"/>
      <c r="BNR352" s="268"/>
      <c r="BNS352" s="268"/>
      <c r="BNT352" s="268"/>
      <c r="BNU352" s="268"/>
      <c r="BNV352" s="268"/>
      <c r="BNW352" s="268"/>
      <c r="BNX352" s="268"/>
      <c r="BNY352" s="268"/>
      <c r="BNZ352" s="268"/>
      <c r="BOA352" s="268"/>
      <c r="BOB352" s="268"/>
      <c r="BOC352" s="268"/>
      <c r="BOD352" s="268"/>
      <c r="BOE352" s="268"/>
      <c r="BOF352" s="268"/>
      <c r="BOG352" s="268"/>
      <c r="BOH352" s="268"/>
      <c r="BOI352" s="268"/>
      <c r="BOJ352" s="268"/>
      <c r="BOK352" s="268"/>
      <c r="BOL352" s="268"/>
      <c r="BOM352" s="268"/>
      <c r="BON352" s="268"/>
      <c r="BOO352" s="268"/>
      <c r="BOP352" s="268"/>
      <c r="BOQ352" s="268"/>
      <c r="BOR352" s="268"/>
      <c r="BOS352" s="268"/>
      <c r="BOT352" s="268"/>
      <c r="BOU352" s="268"/>
      <c r="BOV352" s="268"/>
      <c r="BOW352" s="268"/>
      <c r="BOX352" s="268"/>
      <c r="BOY352" s="268"/>
      <c r="BOZ352" s="268"/>
      <c r="BPA352" s="268"/>
      <c r="BPB352" s="268"/>
      <c r="BPC352" s="268"/>
      <c r="BPD352" s="268"/>
      <c r="BPE352" s="268"/>
      <c r="BPF352" s="268"/>
      <c r="BPG352" s="268"/>
      <c r="BPH352" s="268"/>
      <c r="BPI352" s="268"/>
      <c r="BPJ352" s="268"/>
      <c r="BPK352" s="268"/>
      <c r="BPL352" s="268"/>
      <c r="BPM352" s="268"/>
      <c r="BPN352" s="268"/>
      <c r="BPO352" s="268"/>
      <c r="BQC352" s="268"/>
      <c r="BQD352" s="268"/>
      <c r="BQE352" s="268"/>
      <c r="BQS352" s="268"/>
      <c r="BQU352" s="268"/>
      <c r="BQV352" s="268"/>
      <c r="BQW352" s="268"/>
      <c r="BQX352" s="268"/>
      <c r="BQY352" s="268"/>
      <c r="BQZ352" s="268"/>
      <c r="BRA352" s="268"/>
      <c r="BRB352" s="268"/>
      <c r="BRC352" s="268"/>
      <c r="BRD352" s="268"/>
      <c r="BRE352" s="268"/>
      <c r="BRF352" s="268"/>
      <c r="BRG352" s="268"/>
      <c r="BRH352" s="268"/>
      <c r="BRI352" s="268"/>
      <c r="BRJ352" s="268"/>
      <c r="BRK352" s="268"/>
      <c r="BRL352" s="268"/>
      <c r="BRM352" s="268"/>
      <c r="BRN352" s="268"/>
      <c r="BRO352" s="268"/>
      <c r="BRP352" s="268"/>
      <c r="BRQ352" s="268"/>
      <c r="BRR352" s="268"/>
      <c r="BRS352" s="268"/>
      <c r="BRT352" s="268"/>
      <c r="BRU352" s="268"/>
      <c r="BRV352" s="268"/>
      <c r="BRW352" s="268"/>
      <c r="BRX352" s="268"/>
      <c r="BRY352" s="268"/>
      <c r="BRZ352" s="268"/>
      <c r="BSA352" s="268"/>
      <c r="BSB352" s="268"/>
      <c r="BSC352" s="268"/>
      <c r="BSD352" s="268"/>
      <c r="BSE352" s="268"/>
      <c r="BSF352" s="268"/>
      <c r="BSG352" s="268"/>
      <c r="BSH352" s="268"/>
      <c r="BSI352" s="268"/>
      <c r="BSJ352" s="268"/>
      <c r="BSK352" s="268"/>
      <c r="BSL352" s="268"/>
      <c r="BSM352" s="268"/>
      <c r="BSN352" s="268"/>
      <c r="BSO352" s="268"/>
      <c r="BSP352" s="268"/>
      <c r="BSQ352" s="268"/>
      <c r="BSR352" s="268"/>
      <c r="BSS352" s="268"/>
      <c r="BST352" s="268"/>
      <c r="BSU352" s="268"/>
      <c r="BSV352" s="268"/>
      <c r="BSW352" s="268"/>
      <c r="BSX352" s="268"/>
      <c r="BSY352" s="268"/>
      <c r="BSZ352" s="268"/>
      <c r="BTA352" s="268"/>
      <c r="BTB352" s="268"/>
      <c r="BTC352" s="268"/>
      <c r="BTD352" s="268"/>
      <c r="BTE352" s="268"/>
      <c r="BTF352" s="268"/>
      <c r="BTG352" s="268"/>
      <c r="BTH352" s="268"/>
      <c r="BTI352" s="268"/>
      <c r="BTJ352" s="268"/>
      <c r="BTK352" s="268"/>
      <c r="BTL352" s="268"/>
      <c r="BTM352" s="268"/>
      <c r="BTN352" s="268"/>
      <c r="BTO352" s="268"/>
      <c r="BTP352" s="268"/>
      <c r="BTQ352" s="268"/>
      <c r="BTR352" s="268"/>
      <c r="BTS352" s="268"/>
      <c r="BTT352" s="268"/>
      <c r="BTU352" s="268"/>
      <c r="BTV352" s="268"/>
      <c r="BTW352" s="268"/>
      <c r="BTX352" s="268"/>
      <c r="BTY352" s="268"/>
      <c r="BTZ352" s="268"/>
      <c r="BUA352" s="268"/>
      <c r="BUB352" s="268"/>
      <c r="BUC352" s="268"/>
      <c r="BUD352" s="268"/>
      <c r="BUE352" s="268"/>
      <c r="BUF352" s="268"/>
      <c r="BUG352" s="268"/>
      <c r="BUH352" s="268"/>
      <c r="BUI352" s="268"/>
      <c r="BUJ352" s="268"/>
      <c r="BUK352" s="268"/>
      <c r="BUL352" s="268"/>
      <c r="BUM352" s="268"/>
      <c r="BUN352" s="268"/>
      <c r="BUO352" s="268"/>
      <c r="BUP352" s="268"/>
      <c r="BUQ352" s="268"/>
      <c r="BUR352" s="268"/>
      <c r="BUS352" s="268"/>
      <c r="BUT352" s="268"/>
      <c r="BUU352" s="268"/>
      <c r="BUV352" s="268"/>
      <c r="BUW352" s="268"/>
      <c r="BUX352" s="268"/>
      <c r="BUY352" s="268"/>
      <c r="BUZ352" s="268"/>
      <c r="BVA352" s="268"/>
      <c r="BVB352" s="268"/>
      <c r="BVC352" s="268"/>
      <c r="BVD352" s="268"/>
      <c r="BVE352" s="268"/>
      <c r="BVF352" s="268"/>
      <c r="BVG352" s="268"/>
      <c r="BVH352" s="268"/>
      <c r="BVI352" s="268"/>
      <c r="BVJ352" s="268"/>
      <c r="BVK352" s="268"/>
      <c r="BVL352" s="268"/>
      <c r="BVM352" s="268"/>
      <c r="BVN352" s="268"/>
      <c r="BVO352" s="268"/>
      <c r="BVP352" s="268"/>
      <c r="BVQ352" s="268"/>
      <c r="BVR352" s="268"/>
      <c r="BVS352" s="268"/>
      <c r="BVT352" s="268"/>
      <c r="BVU352" s="268"/>
      <c r="BVV352" s="268"/>
      <c r="BVW352" s="268"/>
      <c r="BVX352" s="268"/>
      <c r="BVY352" s="268"/>
      <c r="BVZ352" s="268"/>
      <c r="BWA352" s="268"/>
      <c r="BWB352" s="268"/>
      <c r="BWC352" s="268"/>
      <c r="BWD352" s="268"/>
      <c r="BWE352" s="268"/>
      <c r="BWF352" s="268"/>
      <c r="BWG352" s="268"/>
      <c r="BWH352" s="268"/>
      <c r="BWI352" s="268"/>
      <c r="BWJ352" s="268"/>
      <c r="BWK352" s="268"/>
      <c r="BWL352" s="268"/>
      <c r="BWM352" s="268"/>
      <c r="BWN352" s="268"/>
      <c r="BWO352" s="268"/>
      <c r="BWP352" s="268"/>
      <c r="BWQ352" s="268"/>
      <c r="BWR352" s="268"/>
      <c r="BWS352" s="268"/>
      <c r="BWT352" s="268"/>
      <c r="BWU352" s="268"/>
      <c r="BWV352" s="268"/>
      <c r="BWW352" s="268"/>
      <c r="BWX352" s="268"/>
      <c r="BWY352" s="268"/>
      <c r="BWZ352" s="268"/>
      <c r="BXA352" s="268"/>
      <c r="BXB352" s="268"/>
      <c r="BXC352" s="268"/>
      <c r="BXD352" s="268"/>
      <c r="BXE352" s="268"/>
      <c r="BXF352" s="268"/>
      <c r="BXG352" s="268"/>
      <c r="BXH352" s="268"/>
      <c r="BXI352" s="268"/>
      <c r="BXJ352" s="268"/>
      <c r="BXK352" s="268"/>
      <c r="BXL352" s="268"/>
      <c r="BXM352" s="268"/>
      <c r="BXN352" s="268"/>
      <c r="BXO352" s="268"/>
      <c r="BXP352" s="268"/>
      <c r="BXQ352" s="268"/>
      <c r="BXR352" s="268"/>
      <c r="BXS352" s="268"/>
      <c r="BXT352" s="268"/>
      <c r="BXU352" s="268"/>
      <c r="BXV352" s="268"/>
      <c r="BXW352" s="268"/>
      <c r="BXX352" s="268"/>
      <c r="BXY352" s="268"/>
      <c r="BXZ352" s="268"/>
      <c r="BYA352" s="268"/>
      <c r="BYB352" s="268"/>
      <c r="BYC352" s="268"/>
      <c r="BYD352" s="268"/>
      <c r="BYE352" s="268"/>
      <c r="BYF352" s="268"/>
      <c r="BYG352" s="268"/>
      <c r="BYH352" s="268"/>
      <c r="BYI352" s="268"/>
      <c r="BYJ352" s="268"/>
      <c r="BYK352" s="268"/>
      <c r="BYL352" s="268"/>
      <c r="BYM352" s="268"/>
      <c r="BYN352" s="268"/>
      <c r="BYO352" s="268"/>
      <c r="BYP352" s="268"/>
      <c r="BYQ352" s="268"/>
      <c r="BYR352" s="268"/>
      <c r="BYS352" s="268"/>
      <c r="BYT352" s="268"/>
      <c r="BYU352" s="268"/>
      <c r="BYV352" s="268"/>
      <c r="BYW352" s="268"/>
      <c r="BYX352" s="268"/>
      <c r="BYY352" s="268"/>
      <c r="BYZ352" s="268"/>
      <c r="BZA352" s="268"/>
      <c r="BZB352" s="268"/>
      <c r="BZC352" s="268"/>
      <c r="BZD352" s="268"/>
      <c r="BZE352" s="268"/>
      <c r="BZF352" s="268"/>
      <c r="BZG352" s="268"/>
      <c r="BZH352" s="268"/>
      <c r="BZI352" s="268"/>
      <c r="BZJ352" s="268"/>
      <c r="BZK352" s="268"/>
      <c r="BZY352" s="268"/>
      <c r="BZZ352" s="268"/>
      <c r="CAA352" s="268"/>
      <c r="CAO352" s="268"/>
      <c r="CAQ352" s="268"/>
      <c r="CAR352" s="268"/>
      <c r="CAS352" s="268"/>
      <c r="CAT352" s="268"/>
      <c r="CAU352" s="268"/>
      <c r="CAV352" s="268"/>
      <c r="CAW352" s="268"/>
      <c r="CAX352" s="268"/>
      <c r="CAY352" s="268"/>
      <c r="CAZ352" s="268"/>
      <c r="CBA352" s="268"/>
      <c r="CBB352" s="268"/>
      <c r="CBC352" s="268"/>
      <c r="CBD352" s="268"/>
      <c r="CBE352" s="268"/>
      <c r="CBF352" s="268"/>
      <c r="CBG352" s="268"/>
      <c r="CBH352" s="268"/>
      <c r="CBI352" s="268"/>
      <c r="CBJ352" s="268"/>
      <c r="CBK352" s="268"/>
      <c r="CBL352" s="268"/>
      <c r="CBM352" s="268"/>
      <c r="CBN352" s="268"/>
      <c r="CBO352" s="268"/>
      <c r="CBP352" s="268"/>
      <c r="CBQ352" s="268"/>
      <c r="CBR352" s="268"/>
      <c r="CBS352" s="268"/>
      <c r="CBT352" s="268"/>
      <c r="CBU352" s="268"/>
      <c r="CBV352" s="268"/>
      <c r="CBW352" s="268"/>
      <c r="CBX352" s="268"/>
      <c r="CBY352" s="268"/>
      <c r="CBZ352" s="268"/>
      <c r="CCA352" s="268"/>
      <c r="CCB352" s="268"/>
      <c r="CCC352" s="268"/>
      <c r="CCD352" s="268"/>
      <c r="CCE352" s="268"/>
      <c r="CCF352" s="268"/>
      <c r="CCG352" s="268"/>
      <c r="CCH352" s="268"/>
      <c r="CCI352" s="268"/>
      <c r="CCJ352" s="268"/>
      <c r="CCK352" s="268"/>
      <c r="CCL352" s="268"/>
      <c r="CCM352" s="268"/>
      <c r="CCN352" s="268"/>
      <c r="CCO352" s="268"/>
      <c r="CCP352" s="268"/>
      <c r="CCQ352" s="268"/>
      <c r="CCR352" s="268"/>
      <c r="CCS352" s="268"/>
      <c r="CCT352" s="268"/>
      <c r="CCU352" s="268"/>
      <c r="CCV352" s="268"/>
      <c r="CCW352" s="268"/>
      <c r="CCX352" s="268"/>
      <c r="CCY352" s="268"/>
      <c r="CCZ352" s="268"/>
      <c r="CDA352" s="268"/>
      <c r="CDB352" s="268"/>
      <c r="CDC352" s="268"/>
      <c r="CDD352" s="268"/>
      <c r="CDE352" s="268"/>
      <c r="CDF352" s="268"/>
      <c r="CDG352" s="268"/>
      <c r="CDH352" s="268"/>
      <c r="CDI352" s="268"/>
      <c r="CDJ352" s="268"/>
      <c r="CDK352" s="268"/>
      <c r="CDL352" s="268"/>
      <c r="CDM352" s="268"/>
      <c r="CDN352" s="268"/>
      <c r="CDO352" s="268"/>
      <c r="CDP352" s="268"/>
      <c r="CDQ352" s="268"/>
      <c r="CDR352" s="268"/>
      <c r="CDS352" s="268"/>
      <c r="CDT352" s="268"/>
      <c r="CDU352" s="268"/>
      <c r="CDV352" s="268"/>
      <c r="CDW352" s="268"/>
      <c r="CDX352" s="268"/>
      <c r="CDY352" s="268"/>
      <c r="CDZ352" s="268"/>
      <c r="CEA352" s="268"/>
      <c r="CEB352" s="268"/>
      <c r="CEC352" s="268"/>
      <c r="CED352" s="268"/>
      <c r="CEE352" s="268"/>
      <c r="CEF352" s="268"/>
      <c r="CEG352" s="268"/>
      <c r="CEH352" s="268"/>
      <c r="CEI352" s="268"/>
      <c r="CEJ352" s="268"/>
      <c r="CEK352" s="268"/>
      <c r="CEL352" s="268"/>
      <c r="CEM352" s="268"/>
      <c r="CEN352" s="268"/>
      <c r="CEO352" s="268"/>
      <c r="CEP352" s="268"/>
      <c r="CEQ352" s="268"/>
      <c r="CER352" s="268"/>
      <c r="CES352" s="268"/>
      <c r="CET352" s="268"/>
      <c r="CEU352" s="268"/>
      <c r="CEV352" s="268"/>
      <c r="CEW352" s="268"/>
      <c r="CEX352" s="268"/>
      <c r="CEY352" s="268"/>
      <c r="CEZ352" s="268"/>
      <c r="CFA352" s="268"/>
      <c r="CFB352" s="268"/>
      <c r="CFC352" s="268"/>
      <c r="CFD352" s="268"/>
      <c r="CFE352" s="268"/>
      <c r="CFF352" s="268"/>
      <c r="CFG352" s="268"/>
      <c r="CFH352" s="268"/>
      <c r="CFI352" s="268"/>
      <c r="CFJ352" s="268"/>
      <c r="CFK352" s="268"/>
      <c r="CFL352" s="268"/>
      <c r="CFM352" s="268"/>
      <c r="CFN352" s="268"/>
      <c r="CFO352" s="268"/>
      <c r="CFP352" s="268"/>
      <c r="CFQ352" s="268"/>
      <c r="CFR352" s="268"/>
      <c r="CFS352" s="268"/>
      <c r="CFT352" s="268"/>
      <c r="CFU352" s="268"/>
      <c r="CFV352" s="268"/>
      <c r="CFW352" s="268"/>
      <c r="CFX352" s="268"/>
      <c r="CFY352" s="268"/>
      <c r="CFZ352" s="268"/>
      <c r="CGA352" s="268"/>
      <c r="CGB352" s="268"/>
      <c r="CGC352" s="268"/>
      <c r="CGD352" s="268"/>
      <c r="CGE352" s="268"/>
      <c r="CGF352" s="268"/>
      <c r="CGG352" s="268"/>
      <c r="CGH352" s="268"/>
      <c r="CGI352" s="268"/>
      <c r="CGJ352" s="268"/>
      <c r="CGK352" s="268"/>
      <c r="CGL352" s="268"/>
      <c r="CGM352" s="268"/>
      <c r="CGN352" s="268"/>
      <c r="CGO352" s="268"/>
      <c r="CGP352" s="268"/>
      <c r="CGQ352" s="268"/>
      <c r="CGR352" s="268"/>
      <c r="CGS352" s="268"/>
      <c r="CGT352" s="268"/>
      <c r="CGU352" s="268"/>
      <c r="CGV352" s="268"/>
      <c r="CGW352" s="268"/>
      <c r="CGX352" s="268"/>
      <c r="CGY352" s="268"/>
      <c r="CGZ352" s="268"/>
      <c r="CHA352" s="268"/>
      <c r="CHB352" s="268"/>
      <c r="CHC352" s="268"/>
      <c r="CHD352" s="268"/>
      <c r="CHE352" s="268"/>
      <c r="CHF352" s="268"/>
      <c r="CHG352" s="268"/>
      <c r="CHH352" s="268"/>
      <c r="CHI352" s="268"/>
      <c r="CHJ352" s="268"/>
      <c r="CHK352" s="268"/>
      <c r="CHL352" s="268"/>
      <c r="CHM352" s="268"/>
      <c r="CHN352" s="268"/>
      <c r="CHO352" s="268"/>
      <c r="CHP352" s="268"/>
      <c r="CHQ352" s="268"/>
      <c r="CHR352" s="268"/>
      <c r="CHS352" s="268"/>
      <c r="CHT352" s="268"/>
      <c r="CHU352" s="268"/>
      <c r="CHV352" s="268"/>
      <c r="CHW352" s="268"/>
      <c r="CHX352" s="268"/>
      <c r="CHY352" s="268"/>
      <c r="CHZ352" s="268"/>
      <c r="CIA352" s="268"/>
      <c r="CIB352" s="268"/>
      <c r="CIC352" s="268"/>
      <c r="CID352" s="268"/>
      <c r="CIE352" s="268"/>
      <c r="CIF352" s="268"/>
      <c r="CIG352" s="268"/>
      <c r="CIH352" s="268"/>
      <c r="CII352" s="268"/>
      <c r="CIJ352" s="268"/>
      <c r="CIK352" s="268"/>
      <c r="CIL352" s="268"/>
      <c r="CIM352" s="268"/>
      <c r="CIN352" s="268"/>
      <c r="CIO352" s="268"/>
      <c r="CIP352" s="268"/>
      <c r="CIQ352" s="268"/>
      <c r="CIR352" s="268"/>
      <c r="CIS352" s="268"/>
      <c r="CIT352" s="268"/>
      <c r="CIU352" s="268"/>
      <c r="CIV352" s="268"/>
      <c r="CIW352" s="268"/>
      <c r="CIX352" s="268"/>
      <c r="CIY352" s="268"/>
      <c r="CIZ352" s="268"/>
      <c r="CJA352" s="268"/>
      <c r="CJB352" s="268"/>
      <c r="CJC352" s="268"/>
      <c r="CJD352" s="268"/>
      <c r="CJE352" s="268"/>
      <c r="CJF352" s="268"/>
      <c r="CJG352" s="268"/>
      <c r="CJU352" s="268"/>
      <c r="CJV352" s="268"/>
      <c r="CJW352" s="268"/>
      <c r="CKK352" s="268"/>
      <c r="CKM352" s="268"/>
      <c r="CKN352" s="268"/>
      <c r="CKO352" s="268"/>
      <c r="CKP352" s="268"/>
      <c r="CKQ352" s="268"/>
      <c r="CKR352" s="268"/>
      <c r="CKS352" s="268"/>
      <c r="CKT352" s="268"/>
      <c r="CKU352" s="268"/>
      <c r="CKV352" s="268"/>
      <c r="CKW352" s="268"/>
      <c r="CKX352" s="268"/>
      <c r="CKY352" s="268"/>
      <c r="CKZ352" s="268"/>
      <c r="CLA352" s="268"/>
      <c r="CLB352" s="268"/>
      <c r="CLC352" s="268"/>
      <c r="CLD352" s="268"/>
      <c r="CLE352" s="268"/>
      <c r="CLF352" s="268"/>
      <c r="CLG352" s="268"/>
      <c r="CLH352" s="268"/>
      <c r="CLI352" s="268"/>
      <c r="CLJ352" s="268"/>
      <c r="CLK352" s="268"/>
      <c r="CLL352" s="268"/>
      <c r="CLM352" s="268"/>
      <c r="CLN352" s="268"/>
      <c r="CLO352" s="268"/>
      <c r="CLP352" s="268"/>
      <c r="CLQ352" s="268"/>
      <c r="CLR352" s="268"/>
      <c r="CLS352" s="268"/>
      <c r="CLT352" s="268"/>
      <c r="CLU352" s="268"/>
      <c r="CLV352" s="268"/>
      <c r="CLW352" s="268"/>
      <c r="CLX352" s="268"/>
      <c r="CLY352" s="268"/>
      <c r="CLZ352" s="268"/>
      <c r="CMA352" s="268"/>
      <c r="CMB352" s="268"/>
      <c r="CMC352" s="268"/>
      <c r="CMD352" s="268"/>
      <c r="CME352" s="268"/>
      <c r="CMF352" s="268"/>
      <c r="CMG352" s="268"/>
      <c r="CMH352" s="268"/>
      <c r="CMI352" s="268"/>
      <c r="CMJ352" s="268"/>
      <c r="CMK352" s="268"/>
      <c r="CML352" s="268"/>
      <c r="CMM352" s="268"/>
      <c r="CMN352" s="268"/>
      <c r="CMO352" s="268"/>
      <c r="CMP352" s="268"/>
      <c r="CMQ352" s="268"/>
      <c r="CMR352" s="268"/>
      <c r="CMS352" s="268"/>
      <c r="CMT352" s="268"/>
      <c r="CMU352" s="268"/>
      <c r="CMV352" s="268"/>
      <c r="CMW352" s="268"/>
      <c r="CMX352" s="268"/>
      <c r="CMY352" s="268"/>
      <c r="CMZ352" s="268"/>
      <c r="CNA352" s="268"/>
      <c r="CNB352" s="268"/>
      <c r="CNC352" s="268"/>
      <c r="CND352" s="268"/>
      <c r="CNE352" s="268"/>
      <c r="CNF352" s="268"/>
      <c r="CNG352" s="268"/>
      <c r="CNH352" s="268"/>
      <c r="CNI352" s="268"/>
      <c r="CNJ352" s="268"/>
      <c r="CNK352" s="268"/>
      <c r="CNL352" s="268"/>
      <c r="CNM352" s="268"/>
      <c r="CNN352" s="268"/>
      <c r="CNO352" s="268"/>
      <c r="CNP352" s="268"/>
      <c r="CNQ352" s="268"/>
      <c r="CNR352" s="268"/>
      <c r="CNS352" s="268"/>
      <c r="CNT352" s="268"/>
      <c r="CNU352" s="268"/>
      <c r="CNV352" s="268"/>
      <c r="CNW352" s="268"/>
      <c r="CNX352" s="268"/>
      <c r="CNY352" s="268"/>
      <c r="CNZ352" s="268"/>
      <c r="COA352" s="268"/>
      <c r="COB352" s="268"/>
      <c r="COC352" s="268"/>
      <c r="COD352" s="268"/>
      <c r="COE352" s="268"/>
      <c r="COF352" s="268"/>
      <c r="COG352" s="268"/>
      <c r="COH352" s="268"/>
      <c r="COI352" s="268"/>
      <c r="COJ352" s="268"/>
      <c r="COK352" s="268"/>
      <c r="COL352" s="268"/>
      <c r="COM352" s="268"/>
      <c r="CON352" s="268"/>
      <c r="COO352" s="268"/>
      <c r="COP352" s="268"/>
      <c r="COQ352" s="268"/>
      <c r="COR352" s="268"/>
      <c r="COS352" s="268"/>
      <c r="COT352" s="268"/>
      <c r="COU352" s="268"/>
      <c r="COV352" s="268"/>
      <c r="COW352" s="268"/>
      <c r="COX352" s="268"/>
      <c r="COY352" s="268"/>
      <c r="COZ352" s="268"/>
      <c r="CPA352" s="268"/>
      <c r="CPB352" s="268"/>
      <c r="CPC352" s="268"/>
      <c r="CPD352" s="268"/>
      <c r="CPE352" s="268"/>
      <c r="CPF352" s="268"/>
      <c r="CPG352" s="268"/>
      <c r="CPH352" s="268"/>
      <c r="CPI352" s="268"/>
      <c r="CPJ352" s="268"/>
      <c r="CPK352" s="268"/>
      <c r="CPL352" s="268"/>
      <c r="CPM352" s="268"/>
      <c r="CPN352" s="268"/>
      <c r="CPO352" s="268"/>
      <c r="CPP352" s="268"/>
      <c r="CPQ352" s="268"/>
      <c r="CPR352" s="268"/>
      <c r="CPS352" s="268"/>
      <c r="CPT352" s="268"/>
      <c r="CPU352" s="268"/>
      <c r="CPV352" s="268"/>
      <c r="CPW352" s="268"/>
      <c r="CPX352" s="268"/>
      <c r="CPY352" s="268"/>
      <c r="CPZ352" s="268"/>
      <c r="CQA352" s="268"/>
      <c r="CQB352" s="268"/>
      <c r="CQC352" s="268"/>
      <c r="CQD352" s="268"/>
      <c r="CQE352" s="268"/>
      <c r="CQF352" s="268"/>
      <c r="CQG352" s="268"/>
      <c r="CQH352" s="268"/>
      <c r="CQI352" s="268"/>
      <c r="CQJ352" s="268"/>
      <c r="CQK352" s="268"/>
      <c r="CQL352" s="268"/>
      <c r="CQM352" s="268"/>
      <c r="CQN352" s="268"/>
      <c r="CQO352" s="268"/>
      <c r="CQP352" s="268"/>
      <c r="CQQ352" s="268"/>
      <c r="CQR352" s="268"/>
      <c r="CQS352" s="268"/>
      <c r="CQT352" s="268"/>
      <c r="CQU352" s="268"/>
      <c r="CQV352" s="268"/>
      <c r="CQW352" s="268"/>
      <c r="CQX352" s="268"/>
      <c r="CQY352" s="268"/>
      <c r="CQZ352" s="268"/>
      <c r="CRA352" s="268"/>
      <c r="CRB352" s="268"/>
      <c r="CRC352" s="268"/>
      <c r="CRD352" s="268"/>
      <c r="CRE352" s="268"/>
      <c r="CRF352" s="268"/>
      <c r="CRG352" s="268"/>
      <c r="CRH352" s="268"/>
      <c r="CRI352" s="268"/>
      <c r="CRJ352" s="268"/>
      <c r="CRK352" s="268"/>
      <c r="CRL352" s="268"/>
      <c r="CRM352" s="268"/>
      <c r="CRN352" s="268"/>
      <c r="CRO352" s="268"/>
      <c r="CRP352" s="268"/>
      <c r="CRQ352" s="268"/>
      <c r="CRR352" s="268"/>
      <c r="CRS352" s="268"/>
      <c r="CRT352" s="268"/>
      <c r="CRU352" s="268"/>
      <c r="CRV352" s="268"/>
      <c r="CRW352" s="268"/>
      <c r="CRX352" s="268"/>
      <c r="CRY352" s="268"/>
      <c r="CRZ352" s="268"/>
      <c r="CSA352" s="268"/>
      <c r="CSB352" s="268"/>
      <c r="CSC352" s="268"/>
      <c r="CSD352" s="268"/>
      <c r="CSE352" s="268"/>
      <c r="CSF352" s="268"/>
      <c r="CSG352" s="268"/>
      <c r="CSH352" s="268"/>
      <c r="CSI352" s="268"/>
      <c r="CSJ352" s="268"/>
      <c r="CSK352" s="268"/>
      <c r="CSL352" s="268"/>
      <c r="CSM352" s="268"/>
      <c r="CSN352" s="268"/>
      <c r="CSO352" s="268"/>
      <c r="CSP352" s="268"/>
      <c r="CSQ352" s="268"/>
      <c r="CSR352" s="268"/>
      <c r="CSS352" s="268"/>
      <c r="CST352" s="268"/>
      <c r="CSU352" s="268"/>
      <c r="CSV352" s="268"/>
      <c r="CSW352" s="268"/>
      <c r="CSX352" s="268"/>
      <c r="CSY352" s="268"/>
      <c r="CSZ352" s="268"/>
      <c r="CTA352" s="268"/>
      <c r="CTB352" s="268"/>
      <c r="CTC352" s="268"/>
      <c r="CTQ352" s="268"/>
      <c r="CTR352" s="268"/>
      <c r="CTS352" s="268"/>
      <c r="CUG352" s="268"/>
      <c r="CUI352" s="268"/>
      <c r="CUJ352" s="268"/>
      <c r="CUK352" s="268"/>
      <c r="CUL352" s="268"/>
      <c r="CUM352" s="268"/>
      <c r="CUN352" s="268"/>
      <c r="CUO352" s="268"/>
      <c r="CUP352" s="268"/>
      <c r="CUQ352" s="268"/>
      <c r="CUR352" s="268"/>
      <c r="CUS352" s="268"/>
      <c r="CUT352" s="268"/>
      <c r="CUU352" s="268"/>
      <c r="CUV352" s="268"/>
      <c r="CUW352" s="268"/>
      <c r="CUX352" s="268"/>
      <c r="CUY352" s="268"/>
      <c r="CUZ352" s="268"/>
      <c r="CVA352" s="268"/>
      <c r="CVB352" s="268"/>
      <c r="CVC352" s="268"/>
      <c r="CVD352" s="268"/>
      <c r="CVE352" s="268"/>
      <c r="CVF352" s="268"/>
      <c r="CVG352" s="268"/>
      <c r="CVH352" s="268"/>
      <c r="CVI352" s="268"/>
      <c r="CVJ352" s="268"/>
      <c r="CVK352" s="268"/>
      <c r="CVL352" s="268"/>
      <c r="CVM352" s="268"/>
      <c r="CVN352" s="268"/>
      <c r="CVO352" s="268"/>
      <c r="CVP352" s="268"/>
      <c r="CVQ352" s="268"/>
      <c r="CVR352" s="268"/>
      <c r="CVS352" s="268"/>
      <c r="CVT352" s="268"/>
      <c r="CVU352" s="268"/>
      <c r="CVV352" s="268"/>
      <c r="CVW352" s="268"/>
      <c r="CVX352" s="268"/>
      <c r="CVY352" s="268"/>
      <c r="CVZ352" s="268"/>
      <c r="CWA352" s="268"/>
      <c r="CWB352" s="268"/>
      <c r="CWC352" s="268"/>
      <c r="CWD352" s="268"/>
      <c r="CWE352" s="268"/>
      <c r="CWF352" s="268"/>
      <c r="CWG352" s="268"/>
      <c r="CWH352" s="268"/>
      <c r="CWI352" s="268"/>
      <c r="CWJ352" s="268"/>
      <c r="CWK352" s="268"/>
      <c r="CWL352" s="268"/>
      <c r="CWM352" s="268"/>
      <c r="CWN352" s="268"/>
      <c r="CWO352" s="268"/>
      <c r="CWP352" s="268"/>
      <c r="CWQ352" s="268"/>
      <c r="CWR352" s="268"/>
      <c r="CWS352" s="268"/>
      <c r="CWT352" s="268"/>
      <c r="CWU352" s="268"/>
      <c r="CWV352" s="268"/>
      <c r="CWW352" s="268"/>
      <c r="CWX352" s="268"/>
      <c r="CWY352" s="268"/>
      <c r="CWZ352" s="268"/>
      <c r="CXA352" s="268"/>
      <c r="CXB352" s="268"/>
      <c r="CXC352" s="268"/>
      <c r="CXD352" s="268"/>
      <c r="CXE352" s="268"/>
      <c r="CXF352" s="268"/>
      <c r="CXG352" s="268"/>
      <c r="CXH352" s="268"/>
      <c r="CXI352" s="268"/>
      <c r="CXJ352" s="268"/>
      <c r="CXK352" s="268"/>
      <c r="CXL352" s="268"/>
      <c r="CXM352" s="268"/>
      <c r="CXN352" s="268"/>
      <c r="CXO352" s="268"/>
      <c r="CXP352" s="268"/>
      <c r="CXQ352" s="268"/>
      <c r="CXR352" s="268"/>
      <c r="CXS352" s="268"/>
      <c r="CXT352" s="268"/>
      <c r="CXU352" s="268"/>
      <c r="CXV352" s="268"/>
      <c r="CXW352" s="268"/>
      <c r="CXX352" s="268"/>
      <c r="CXY352" s="268"/>
      <c r="CXZ352" s="268"/>
      <c r="CYA352" s="268"/>
      <c r="CYB352" s="268"/>
      <c r="CYC352" s="268"/>
      <c r="CYD352" s="268"/>
      <c r="CYE352" s="268"/>
      <c r="CYF352" s="268"/>
      <c r="CYG352" s="268"/>
      <c r="CYH352" s="268"/>
      <c r="CYI352" s="268"/>
      <c r="CYJ352" s="268"/>
      <c r="CYK352" s="268"/>
      <c r="CYL352" s="268"/>
      <c r="CYM352" s="268"/>
      <c r="CYN352" s="268"/>
      <c r="CYO352" s="268"/>
      <c r="CYP352" s="268"/>
      <c r="CYQ352" s="268"/>
      <c r="CYR352" s="268"/>
      <c r="CYS352" s="268"/>
      <c r="CYT352" s="268"/>
      <c r="CYU352" s="268"/>
      <c r="CYV352" s="268"/>
      <c r="CYW352" s="268"/>
      <c r="CYX352" s="268"/>
      <c r="CYY352" s="268"/>
      <c r="CYZ352" s="268"/>
      <c r="CZA352" s="268"/>
      <c r="CZB352" s="268"/>
      <c r="CZC352" s="268"/>
      <c r="CZD352" s="268"/>
      <c r="CZE352" s="268"/>
      <c r="CZF352" s="268"/>
      <c r="CZG352" s="268"/>
      <c r="CZH352" s="268"/>
      <c r="CZI352" s="268"/>
      <c r="CZJ352" s="268"/>
      <c r="CZK352" s="268"/>
      <c r="CZL352" s="268"/>
      <c r="CZM352" s="268"/>
      <c r="CZN352" s="268"/>
      <c r="CZO352" s="268"/>
      <c r="CZP352" s="268"/>
      <c r="CZQ352" s="268"/>
      <c r="CZR352" s="268"/>
      <c r="CZS352" s="268"/>
      <c r="CZT352" s="268"/>
      <c r="CZU352" s="268"/>
      <c r="CZV352" s="268"/>
      <c r="CZW352" s="268"/>
      <c r="CZX352" s="268"/>
      <c r="CZY352" s="268"/>
      <c r="CZZ352" s="268"/>
      <c r="DAA352" s="268"/>
      <c r="DAB352" s="268"/>
      <c r="DAC352" s="268"/>
      <c r="DAD352" s="268"/>
      <c r="DAE352" s="268"/>
      <c r="DAF352" s="268"/>
      <c r="DAG352" s="268"/>
      <c r="DAH352" s="268"/>
      <c r="DAI352" s="268"/>
      <c r="DAJ352" s="268"/>
      <c r="DAK352" s="268"/>
      <c r="DAL352" s="268"/>
      <c r="DAM352" s="268"/>
      <c r="DAN352" s="268"/>
      <c r="DAO352" s="268"/>
      <c r="DAP352" s="268"/>
      <c r="DAQ352" s="268"/>
      <c r="DAR352" s="268"/>
      <c r="DAS352" s="268"/>
      <c r="DAT352" s="268"/>
      <c r="DAU352" s="268"/>
      <c r="DAV352" s="268"/>
      <c r="DAW352" s="268"/>
      <c r="DAX352" s="268"/>
      <c r="DAY352" s="268"/>
      <c r="DAZ352" s="268"/>
      <c r="DBA352" s="268"/>
      <c r="DBB352" s="268"/>
      <c r="DBC352" s="268"/>
      <c r="DBD352" s="268"/>
      <c r="DBE352" s="268"/>
      <c r="DBF352" s="268"/>
      <c r="DBG352" s="268"/>
      <c r="DBH352" s="268"/>
      <c r="DBI352" s="268"/>
      <c r="DBJ352" s="268"/>
      <c r="DBK352" s="268"/>
      <c r="DBL352" s="268"/>
      <c r="DBM352" s="268"/>
      <c r="DBN352" s="268"/>
      <c r="DBO352" s="268"/>
      <c r="DBP352" s="268"/>
      <c r="DBQ352" s="268"/>
      <c r="DBR352" s="268"/>
      <c r="DBS352" s="268"/>
      <c r="DBT352" s="268"/>
      <c r="DBU352" s="268"/>
      <c r="DBV352" s="268"/>
      <c r="DBW352" s="268"/>
      <c r="DBX352" s="268"/>
      <c r="DBY352" s="268"/>
      <c r="DBZ352" s="268"/>
      <c r="DCA352" s="268"/>
      <c r="DCB352" s="268"/>
      <c r="DCC352" s="268"/>
      <c r="DCD352" s="268"/>
      <c r="DCE352" s="268"/>
      <c r="DCF352" s="268"/>
      <c r="DCG352" s="268"/>
      <c r="DCH352" s="268"/>
      <c r="DCI352" s="268"/>
      <c r="DCJ352" s="268"/>
      <c r="DCK352" s="268"/>
      <c r="DCL352" s="268"/>
      <c r="DCM352" s="268"/>
      <c r="DCN352" s="268"/>
      <c r="DCO352" s="268"/>
      <c r="DCP352" s="268"/>
      <c r="DCQ352" s="268"/>
      <c r="DCR352" s="268"/>
      <c r="DCS352" s="268"/>
      <c r="DCT352" s="268"/>
      <c r="DCU352" s="268"/>
      <c r="DCV352" s="268"/>
      <c r="DCW352" s="268"/>
      <c r="DCX352" s="268"/>
      <c r="DCY352" s="268"/>
      <c r="DDM352" s="268"/>
      <c r="DDN352" s="268"/>
      <c r="DDO352" s="268"/>
      <c r="DEC352" s="268"/>
      <c r="DEE352" s="268"/>
      <c r="DEF352" s="268"/>
      <c r="DEG352" s="268"/>
      <c r="DEH352" s="268"/>
      <c r="DEI352" s="268"/>
      <c r="DEJ352" s="268"/>
      <c r="DEK352" s="268"/>
      <c r="DEL352" s="268"/>
      <c r="DEM352" s="268"/>
      <c r="DEN352" s="268"/>
      <c r="DEO352" s="268"/>
      <c r="DEP352" s="268"/>
      <c r="DEQ352" s="268"/>
      <c r="DER352" s="268"/>
      <c r="DES352" s="268"/>
      <c r="DET352" s="268"/>
      <c r="DEU352" s="268"/>
      <c r="DEV352" s="268"/>
      <c r="DEW352" s="268"/>
      <c r="DEX352" s="268"/>
      <c r="DEY352" s="268"/>
      <c r="DEZ352" s="268"/>
      <c r="DFA352" s="268"/>
      <c r="DFB352" s="268"/>
      <c r="DFC352" s="268"/>
      <c r="DFD352" s="268"/>
      <c r="DFE352" s="268"/>
      <c r="DFF352" s="268"/>
      <c r="DFG352" s="268"/>
      <c r="DFH352" s="268"/>
      <c r="DFI352" s="268"/>
      <c r="DFJ352" s="268"/>
      <c r="DFK352" s="268"/>
      <c r="DFL352" s="268"/>
      <c r="DFM352" s="268"/>
      <c r="DFN352" s="268"/>
      <c r="DFO352" s="268"/>
      <c r="DFP352" s="268"/>
      <c r="DFQ352" s="268"/>
      <c r="DFR352" s="268"/>
      <c r="DFS352" s="268"/>
      <c r="DFT352" s="268"/>
      <c r="DFU352" s="268"/>
      <c r="DFV352" s="268"/>
      <c r="DFW352" s="268"/>
      <c r="DFX352" s="268"/>
      <c r="DFY352" s="268"/>
      <c r="DFZ352" s="268"/>
      <c r="DGA352" s="268"/>
      <c r="DGB352" s="268"/>
      <c r="DGC352" s="268"/>
      <c r="DGD352" s="268"/>
      <c r="DGE352" s="268"/>
      <c r="DGF352" s="268"/>
      <c r="DGG352" s="268"/>
      <c r="DGH352" s="268"/>
      <c r="DGI352" s="268"/>
      <c r="DGJ352" s="268"/>
      <c r="DGK352" s="268"/>
      <c r="DGL352" s="268"/>
      <c r="DGM352" s="268"/>
      <c r="DGN352" s="268"/>
      <c r="DGO352" s="268"/>
      <c r="DGP352" s="268"/>
      <c r="DGQ352" s="268"/>
      <c r="DGR352" s="268"/>
      <c r="DGS352" s="268"/>
      <c r="DGT352" s="268"/>
      <c r="DGU352" s="268"/>
      <c r="DGV352" s="268"/>
      <c r="DGW352" s="268"/>
      <c r="DGX352" s="268"/>
      <c r="DGY352" s="268"/>
      <c r="DGZ352" s="268"/>
      <c r="DHA352" s="268"/>
      <c r="DHB352" s="268"/>
      <c r="DHC352" s="268"/>
      <c r="DHD352" s="268"/>
      <c r="DHE352" s="268"/>
      <c r="DHF352" s="268"/>
      <c r="DHG352" s="268"/>
      <c r="DHH352" s="268"/>
      <c r="DHI352" s="268"/>
      <c r="DHJ352" s="268"/>
      <c r="DHK352" s="268"/>
      <c r="DHL352" s="268"/>
      <c r="DHM352" s="268"/>
      <c r="DHN352" s="268"/>
      <c r="DHO352" s="268"/>
      <c r="DHP352" s="268"/>
      <c r="DHQ352" s="268"/>
      <c r="DHR352" s="268"/>
      <c r="DHS352" s="268"/>
      <c r="DHT352" s="268"/>
      <c r="DHU352" s="268"/>
      <c r="DHV352" s="268"/>
      <c r="DHW352" s="268"/>
      <c r="DHX352" s="268"/>
      <c r="DHY352" s="268"/>
      <c r="DHZ352" s="268"/>
      <c r="DIA352" s="268"/>
      <c r="DIB352" s="268"/>
      <c r="DIC352" s="268"/>
      <c r="DID352" s="268"/>
      <c r="DIE352" s="268"/>
      <c r="DIF352" s="268"/>
      <c r="DIG352" s="268"/>
      <c r="DIH352" s="268"/>
      <c r="DII352" s="268"/>
      <c r="DIJ352" s="268"/>
      <c r="DIK352" s="268"/>
      <c r="DIL352" s="268"/>
      <c r="DIM352" s="268"/>
      <c r="DIN352" s="268"/>
      <c r="DIO352" s="268"/>
      <c r="DIP352" s="268"/>
      <c r="DIQ352" s="268"/>
      <c r="DIR352" s="268"/>
      <c r="DIS352" s="268"/>
      <c r="DIT352" s="268"/>
      <c r="DIU352" s="268"/>
      <c r="DIV352" s="268"/>
      <c r="DIW352" s="268"/>
      <c r="DIX352" s="268"/>
      <c r="DIY352" s="268"/>
      <c r="DIZ352" s="268"/>
      <c r="DJA352" s="268"/>
      <c r="DJB352" s="268"/>
      <c r="DJC352" s="268"/>
      <c r="DJD352" s="268"/>
      <c r="DJE352" s="268"/>
      <c r="DJF352" s="268"/>
      <c r="DJG352" s="268"/>
      <c r="DJH352" s="268"/>
      <c r="DJI352" s="268"/>
      <c r="DJJ352" s="268"/>
      <c r="DJK352" s="268"/>
      <c r="DJL352" s="268"/>
      <c r="DJM352" s="268"/>
      <c r="DJN352" s="268"/>
      <c r="DJO352" s="268"/>
      <c r="DJP352" s="268"/>
      <c r="DJQ352" s="268"/>
      <c r="DJR352" s="268"/>
      <c r="DJS352" s="268"/>
      <c r="DJT352" s="268"/>
      <c r="DJU352" s="268"/>
      <c r="DJV352" s="268"/>
      <c r="DJW352" s="268"/>
      <c r="DJX352" s="268"/>
      <c r="DJY352" s="268"/>
      <c r="DJZ352" s="268"/>
      <c r="DKA352" s="268"/>
      <c r="DKB352" s="268"/>
      <c r="DKC352" s="268"/>
      <c r="DKD352" s="268"/>
      <c r="DKE352" s="268"/>
      <c r="DKF352" s="268"/>
      <c r="DKG352" s="268"/>
      <c r="DKH352" s="268"/>
      <c r="DKI352" s="268"/>
      <c r="DKJ352" s="268"/>
      <c r="DKK352" s="268"/>
      <c r="DKL352" s="268"/>
      <c r="DKM352" s="268"/>
      <c r="DKN352" s="268"/>
      <c r="DKO352" s="268"/>
      <c r="DKP352" s="268"/>
      <c r="DKQ352" s="268"/>
      <c r="DKR352" s="268"/>
      <c r="DKS352" s="268"/>
      <c r="DKT352" s="268"/>
      <c r="DKU352" s="268"/>
      <c r="DKV352" s="268"/>
      <c r="DKW352" s="268"/>
      <c r="DKX352" s="268"/>
      <c r="DKY352" s="268"/>
      <c r="DKZ352" s="268"/>
      <c r="DLA352" s="268"/>
      <c r="DLB352" s="268"/>
      <c r="DLC352" s="268"/>
      <c r="DLD352" s="268"/>
      <c r="DLE352" s="268"/>
      <c r="DLF352" s="268"/>
      <c r="DLG352" s="268"/>
      <c r="DLH352" s="268"/>
      <c r="DLI352" s="268"/>
      <c r="DLJ352" s="268"/>
      <c r="DLK352" s="268"/>
      <c r="DLL352" s="268"/>
      <c r="DLM352" s="268"/>
      <c r="DLN352" s="268"/>
      <c r="DLO352" s="268"/>
      <c r="DLP352" s="268"/>
      <c r="DLQ352" s="268"/>
      <c r="DLR352" s="268"/>
      <c r="DLS352" s="268"/>
      <c r="DLT352" s="268"/>
      <c r="DLU352" s="268"/>
      <c r="DLV352" s="268"/>
      <c r="DLW352" s="268"/>
      <c r="DLX352" s="268"/>
      <c r="DLY352" s="268"/>
      <c r="DLZ352" s="268"/>
      <c r="DMA352" s="268"/>
      <c r="DMB352" s="268"/>
      <c r="DMC352" s="268"/>
      <c r="DMD352" s="268"/>
      <c r="DME352" s="268"/>
      <c r="DMF352" s="268"/>
      <c r="DMG352" s="268"/>
      <c r="DMH352" s="268"/>
      <c r="DMI352" s="268"/>
      <c r="DMJ352" s="268"/>
      <c r="DMK352" s="268"/>
      <c r="DML352" s="268"/>
      <c r="DMM352" s="268"/>
      <c r="DMN352" s="268"/>
      <c r="DMO352" s="268"/>
      <c r="DMP352" s="268"/>
      <c r="DMQ352" s="268"/>
      <c r="DMR352" s="268"/>
      <c r="DMS352" s="268"/>
      <c r="DMT352" s="268"/>
      <c r="DMU352" s="268"/>
      <c r="DNI352" s="268"/>
      <c r="DNJ352" s="268"/>
      <c r="DNK352" s="268"/>
      <c r="DNY352" s="268"/>
      <c r="DOA352" s="268"/>
      <c r="DOB352" s="268"/>
      <c r="DOC352" s="268"/>
      <c r="DOD352" s="268"/>
      <c r="DOE352" s="268"/>
      <c r="DOF352" s="268"/>
      <c r="DOG352" s="268"/>
      <c r="DOH352" s="268"/>
      <c r="DOI352" s="268"/>
      <c r="DOJ352" s="268"/>
      <c r="DOK352" s="268"/>
      <c r="DOL352" s="268"/>
      <c r="DOM352" s="268"/>
      <c r="DON352" s="268"/>
      <c r="DOO352" s="268"/>
      <c r="DOP352" s="268"/>
      <c r="DOQ352" s="268"/>
      <c r="DOR352" s="268"/>
      <c r="DOS352" s="268"/>
      <c r="DOT352" s="268"/>
      <c r="DOU352" s="268"/>
      <c r="DOV352" s="268"/>
      <c r="DOW352" s="268"/>
      <c r="DOX352" s="268"/>
      <c r="DOY352" s="268"/>
      <c r="DOZ352" s="268"/>
      <c r="DPA352" s="268"/>
      <c r="DPB352" s="268"/>
      <c r="DPC352" s="268"/>
      <c r="DPD352" s="268"/>
      <c r="DPE352" s="268"/>
      <c r="DPF352" s="268"/>
      <c r="DPG352" s="268"/>
      <c r="DPH352" s="268"/>
      <c r="DPI352" s="268"/>
      <c r="DPJ352" s="268"/>
      <c r="DPK352" s="268"/>
      <c r="DPL352" s="268"/>
      <c r="DPM352" s="268"/>
      <c r="DPN352" s="268"/>
      <c r="DPO352" s="268"/>
      <c r="DPP352" s="268"/>
      <c r="DPQ352" s="268"/>
      <c r="DPR352" s="268"/>
      <c r="DPS352" s="268"/>
      <c r="DPT352" s="268"/>
      <c r="DPU352" s="268"/>
      <c r="DPV352" s="268"/>
      <c r="DPW352" s="268"/>
      <c r="DPX352" s="268"/>
      <c r="DPY352" s="268"/>
      <c r="DPZ352" s="268"/>
      <c r="DQA352" s="268"/>
      <c r="DQB352" s="268"/>
      <c r="DQC352" s="268"/>
      <c r="DQD352" s="268"/>
      <c r="DQE352" s="268"/>
      <c r="DQF352" s="268"/>
      <c r="DQG352" s="268"/>
      <c r="DQH352" s="268"/>
      <c r="DQI352" s="268"/>
      <c r="DQJ352" s="268"/>
      <c r="DQK352" s="268"/>
      <c r="DQL352" s="268"/>
      <c r="DQM352" s="268"/>
      <c r="DQN352" s="268"/>
      <c r="DQO352" s="268"/>
      <c r="DQP352" s="268"/>
      <c r="DQQ352" s="268"/>
      <c r="DQR352" s="268"/>
      <c r="DQS352" s="268"/>
      <c r="DQT352" s="268"/>
      <c r="DQU352" s="268"/>
      <c r="DQV352" s="268"/>
      <c r="DQW352" s="268"/>
      <c r="DQX352" s="268"/>
      <c r="DQY352" s="268"/>
      <c r="DQZ352" s="268"/>
      <c r="DRA352" s="268"/>
      <c r="DRB352" s="268"/>
      <c r="DRC352" s="268"/>
      <c r="DRD352" s="268"/>
      <c r="DRE352" s="268"/>
      <c r="DRF352" s="268"/>
      <c r="DRG352" s="268"/>
      <c r="DRH352" s="268"/>
      <c r="DRI352" s="268"/>
      <c r="DRJ352" s="268"/>
      <c r="DRK352" s="268"/>
      <c r="DRL352" s="268"/>
      <c r="DRM352" s="268"/>
      <c r="DRN352" s="268"/>
      <c r="DRO352" s="268"/>
      <c r="DRP352" s="268"/>
      <c r="DRQ352" s="268"/>
      <c r="DRR352" s="268"/>
      <c r="DRS352" s="268"/>
      <c r="DRT352" s="268"/>
      <c r="DRU352" s="268"/>
      <c r="DRV352" s="268"/>
      <c r="DRW352" s="268"/>
      <c r="DRX352" s="268"/>
      <c r="DRY352" s="268"/>
      <c r="DRZ352" s="268"/>
      <c r="DSA352" s="268"/>
      <c r="DSB352" s="268"/>
      <c r="DSC352" s="268"/>
      <c r="DSD352" s="268"/>
      <c r="DSE352" s="268"/>
      <c r="DSF352" s="268"/>
      <c r="DSG352" s="268"/>
      <c r="DSH352" s="268"/>
      <c r="DSI352" s="268"/>
      <c r="DSJ352" s="268"/>
      <c r="DSK352" s="268"/>
      <c r="DSL352" s="268"/>
      <c r="DSM352" s="268"/>
      <c r="DSN352" s="268"/>
      <c r="DSO352" s="268"/>
      <c r="DSP352" s="268"/>
      <c r="DSQ352" s="268"/>
      <c r="DSR352" s="268"/>
      <c r="DSS352" s="268"/>
      <c r="DST352" s="268"/>
      <c r="DSU352" s="268"/>
      <c r="DSV352" s="268"/>
      <c r="DSW352" s="268"/>
      <c r="DSX352" s="268"/>
      <c r="DSY352" s="268"/>
      <c r="DSZ352" s="268"/>
      <c r="DTA352" s="268"/>
      <c r="DTB352" s="268"/>
      <c r="DTC352" s="268"/>
      <c r="DTD352" s="268"/>
      <c r="DTE352" s="268"/>
      <c r="DTF352" s="268"/>
      <c r="DTG352" s="268"/>
      <c r="DTH352" s="268"/>
      <c r="DTI352" s="268"/>
      <c r="DTJ352" s="268"/>
      <c r="DTK352" s="268"/>
      <c r="DTL352" s="268"/>
      <c r="DTM352" s="268"/>
      <c r="DTN352" s="268"/>
      <c r="DTO352" s="268"/>
      <c r="DTP352" s="268"/>
      <c r="DTQ352" s="268"/>
      <c r="DTR352" s="268"/>
      <c r="DTS352" s="268"/>
      <c r="DTT352" s="268"/>
      <c r="DTU352" s="268"/>
      <c r="DTV352" s="268"/>
      <c r="DTW352" s="268"/>
      <c r="DTX352" s="268"/>
      <c r="DTY352" s="268"/>
      <c r="DTZ352" s="268"/>
      <c r="DUA352" s="268"/>
      <c r="DUB352" s="268"/>
      <c r="DUC352" s="268"/>
      <c r="DUD352" s="268"/>
      <c r="DUE352" s="268"/>
      <c r="DUF352" s="268"/>
      <c r="DUG352" s="268"/>
      <c r="DUH352" s="268"/>
      <c r="DUI352" s="268"/>
      <c r="DUJ352" s="268"/>
      <c r="DUK352" s="268"/>
      <c r="DUL352" s="268"/>
      <c r="DUM352" s="268"/>
      <c r="DUN352" s="268"/>
      <c r="DUO352" s="268"/>
      <c r="DUP352" s="268"/>
      <c r="DUQ352" s="268"/>
      <c r="DUR352" s="268"/>
      <c r="DUS352" s="268"/>
      <c r="DUT352" s="268"/>
      <c r="DUU352" s="268"/>
      <c r="DUV352" s="268"/>
      <c r="DUW352" s="268"/>
      <c r="DUX352" s="268"/>
      <c r="DUY352" s="268"/>
      <c r="DUZ352" s="268"/>
      <c r="DVA352" s="268"/>
      <c r="DVB352" s="268"/>
      <c r="DVC352" s="268"/>
      <c r="DVD352" s="268"/>
      <c r="DVE352" s="268"/>
      <c r="DVF352" s="268"/>
      <c r="DVG352" s="268"/>
      <c r="DVH352" s="268"/>
      <c r="DVI352" s="268"/>
      <c r="DVJ352" s="268"/>
      <c r="DVK352" s="268"/>
      <c r="DVL352" s="268"/>
      <c r="DVM352" s="268"/>
      <c r="DVN352" s="268"/>
      <c r="DVO352" s="268"/>
      <c r="DVP352" s="268"/>
      <c r="DVQ352" s="268"/>
      <c r="DVR352" s="268"/>
      <c r="DVS352" s="268"/>
      <c r="DVT352" s="268"/>
      <c r="DVU352" s="268"/>
      <c r="DVV352" s="268"/>
      <c r="DVW352" s="268"/>
      <c r="DVX352" s="268"/>
      <c r="DVY352" s="268"/>
      <c r="DVZ352" s="268"/>
      <c r="DWA352" s="268"/>
      <c r="DWB352" s="268"/>
      <c r="DWC352" s="268"/>
      <c r="DWD352" s="268"/>
      <c r="DWE352" s="268"/>
      <c r="DWF352" s="268"/>
      <c r="DWG352" s="268"/>
      <c r="DWH352" s="268"/>
      <c r="DWI352" s="268"/>
      <c r="DWJ352" s="268"/>
      <c r="DWK352" s="268"/>
      <c r="DWL352" s="268"/>
      <c r="DWM352" s="268"/>
      <c r="DWN352" s="268"/>
      <c r="DWO352" s="268"/>
      <c r="DWP352" s="268"/>
      <c r="DWQ352" s="268"/>
      <c r="DXE352" s="268"/>
      <c r="DXF352" s="268"/>
      <c r="DXG352" s="268"/>
      <c r="DXU352" s="268"/>
      <c r="DXW352" s="268"/>
      <c r="DXX352" s="268"/>
      <c r="DXY352" s="268"/>
      <c r="DXZ352" s="268"/>
      <c r="DYA352" s="268"/>
      <c r="DYB352" s="268"/>
      <c r="DYC352" s="268"/>
      <c r="DYD352" s="268"/>
      <c r="DYE352" s="268"/>
      <c r="DYF352" s="268"/>
      <c r="DYG352" s="268"/>
      <c r="DYH352" s="268"/>
      <c r="DYI352" s="268"/>
      <c r="DYJ352" s="268"/>
      <c r="DYK352" s="268"/>
      <c r="DYL352" s="268"/>
      <c r="DYM352" s="268"/>
      <c r="DYN352" s="268"/>
      <c r="DYO352" s="268"/>
      <c r="DYP352" s="268"/>
      <c r="DYQ352" s="268"/>
      <c r="DYR352" s="268"/>
      <c r="DYS352" s="268"/>
      <c r="DYT352" s="268"/>
      <c r="DYU352" s="268"/>
      <c r="DYV352" s="268"/>
      <c r="DYW352" s="268"/>
      <c r="DYX352" s="268"/>
      <c r="DYY352" s="268"/>
      <c r="DYZ352" s="268"/>
      <c r="DZA352" s="268"/>
      <c r="DZB352" s="268"/>
      <c r="DZC352" s="268"/>
      <c r="DZD352" s="268"/>
      <c r="DZE352" s="268"/>
      <c r="DZF352" s="268"/>
      <c r="DZG352" s="268"/>
      <c r="DZH352" s="268"/>
      <c r="DZI352" s="268"/>
      <c r="DZJ352" s="268"/>
      <c r="DZK352" s="268"/>
      <c r="DZL352" s="268"/>
      <c r="DZM352" s="268"/>
      <c r="DZN352" s="268"/>
      <c r="DZO352" s="268"/>
      <c r="DZP352" s="268"/>
      <c r="DZQ352" s="268"/>
      <c r="DZR352" s="268"/>
      <c r="DZS352" s="268"/>
      <c r="DZT352" s="268"/>
      <c r="DZU352" s="268"/>
      <c r="DZV352" s="268"/>
      <c r="DZW352" s="268"/>
      <c r="DZX352" s="268"/>
      <c r="DZY352" s="268"/>
      <c r="DZZ352" s="268"/>
      <c r="EAA352" s="268"/>
      <c r="EAB352" s="268"/>
      <c r="EAC352" s="268"/>
      <c r="EAD352" s="268"/>
      <c r="EAE352" s="268"/>
      <c r="EAF352" s="268"/>
      <c r="EAG352" s="268"/>
      <c r="EAH352" s="268"/>
      <c r="EAI352" s="268"/>
      <c r="EAJ352" s="268"/>
      <c r="EAK352" s="268"/>
      <c r="EAL352" s="268"/>
      <c r="EAM352" s="268"/>
      <c r="EAN352" s="268"/>
      <c r="EAO352" s="268"/>
      <c r="EAP352" s="268"/>
      <c r="EAQ352" s="268"/>
      <c r="EAR352" s="268"/>
      <c r="EAS352" s="268"/>
      <c r="EAT352" s="268"/>
      <c r="EAU352" s="268"/>
      <c r="EAV352" s="268"/>
      <c r="EAW352" s="268"/>
      <c r="EAX352" s="268"/>
      <c r="EAY352" s="268"/>
      <c r="EAZ352" s="268"/>
      <c r="EBA352" s="268"/>
      <c r="EBB352" s="268"/>
      <c r="EBC352" s="268"/>
      <c r="EBD352" s="268"/>
      <c r="EBE352" s="268"/>
      <c r="EBF352" s="268"/>
      <c r="EBG352" s="268"/>
      <c r="EBH352" s="268"/>
      <c r="EBI352" s="268"/>
      <c r="EBJ352" s="268"/>
      <c r="EBK352" s="268"/>
      <c r="EBL352" s="268"/>
      <c r="EBM352" s="268"/>
      <c r="EBN352" s="268"/>
      <c r="EBO352" s="268"/>
      <c r="EBP352" s="268"/>
      <c r="EBQ352" s="268"/>
      <c r="EBR352" s="268"/>
      <c r="EBS352" s="268"/>
      <c r="EBT352" s="268"/>
      <c r="EBU352" s="268"/>
      <c r="EBV352" s="268"/>
      <c r="EBW352" s="268"/>
      <c r="EBX352" s="268"/>
      <c r="EBY352" s="268"/>
      <c r="EBZ352" s="268"/>
      <c r="ECA352" s="268"/>
      <c r="ECB352" s="268"/>
      <c r="ECC352" s="268"/>
      <c r="ECD352" s="268"/>
      <c r="ECE352" s="268"/>
      <c r="ECF352" s="268"/>
      <c r="ECG352" s="268"/>
      <c r="ECH352" s="268"/>
      <c r="ECI352" s="268"/>
      <c r="ECJ352" s="268"/>
      <c r="ECK352" s="268"/>
      <c r="ECL352" s="268"/>
      <c r="ECM352" s="268"/>
      <c r="ECN352" s="268"/>
      <c r="ECO352" s="268"/>
      <c r="ECP352" s="268"/>
      <c r="ECQ352" s="268"/>
      <c r="ECR352" s="268"/>
      <c r="ECS352" s="268"/>
      <c r="ECT352" s="268"/>
      <c r="ECU352" s="268"/>
      <c r="ECV352" s="268"/>
      <c r="ECW352" s="268"/>
      <c r="ECX352" s="268"/>
      <c r="ECY352" s="268"/>
      <c r="ECZ352" s="268"/>
      <c r="EDA352" s="268"/>
      <c r="EDB352" s="268"/>
      <c r="EDC352" s="268"/>
      <c r="EDD352" s="268"/>
      <c r="EDE352" s="268"/>
      <c r="EDF352" s="268"/>
      <c r="EDG352" s="268"/>
      <c r="EDH352" s="268"/>
      <c r="EDI352" s="268"/>
      <c r="EDJ352" s="268"/>
      <c r="EDK352" s="268"/>
      <c r="EDL352" s="268"/>
      <c r="EDM352" s="268"/>
      <c r="EDN352" s="268"/>
      <c r="EDO352" s="268"/>
      <c r="EDP352" s="268"/>
      <c r="EDQ352" s="268"/>
      <c r="EDR352" s="268"/>
      <c r="EDS352" s="268"/>
      <c r="EDT352" s="268"/>
      <c r="EDU352" s="268"/>
      <c r="EDV352" s="268"/>
      <c r="EDW352" s="268"/>
      <c r="EDX352" s="268"/>
      <c r="EDY352" s="268"/>
      <c r="EDZ352" s="268"/>
      <c r="EEA352" s="268"/>
      <c r="EEB352" s="268"/>
      <c r="EEC352" s="268"/>
      <c r="EED352" s="268"/>
      <c r="EEE352" s="268"/>
      <c r="EEF352" s="268"/>
      <c r="EEG352" s="268"/>
      <c r="EEH352" s="268"/>
      <c r="EEI352" s="268"/>
      <c r="EEJ352" s="268"/>
      <c r="EEK352" s="268"/>
      <c r="EEL352" s="268"/>
      <c r="EEM352" s="268"/>
      <c r="EEN352" s="268"/>
      <c r="EEO352" s="268"/>
      <c r="EEP352" s="268"/>
      <c r="EEQ352" s="268"/>
      <c r="EER352" s="268"/>
      <c r="EES352" s="268"/>
      <c r="EET352" s="268"/>
      <c r="EEU352" s="268"/>
      <c r="EEV352" s="268"/>
      <c r="EEW352" s="268"/>
      <c r="EEX352" s="268"/>
      <c r="EEY352" s="268"/>
      <c r="EEZ352" s="268"/>
      <c r="EFA352" s="268"/>
      <c r="EFB352" s="268"/>
      <c r="EFC352" s="268"/>
      <c r="EFD352" s="268"/>
      <c r="EFE352" s="268"/>
      <c r="EFF352" s="268"/>
      <c r="EFG352" s="268"/>
      <c r="EFH352" s="268"/>
      <c r="EFI352" s="268"/>
      <c r="EFJ352" s="268"/>
      <c r="EFK352" s="268"/>
      <c r="EFL352" s="268"/>
      <c r="EFM352" s="268"/>
      <c r="EFN352" s="268"/>
      <c r="EFO352" s="268"/>
      <c r="EFP352" s="268"/>
      <c r="EFQ352" s="268"/>
      <c r="EFR352" s="268"/>
      <c r="EFS352" s="268"/>
      <c r="EFT352" s="268"/>
      <c r="EFU352" s="268"/>
      <c r="EFV352" s="268"/>
      <c r="EFW352" s="268"/>
      <c r="EFX352" s="268"/>
      <c r="EFY352" s="268"/>
      <c r="EFZ352" s="268"/>
      <c r="EGA352" s="268"/>
      <c r="EGB352" s="268"/>
      <c r="EGC352" s="268"/>
      <c r="EGD352" s="268"/>
      <c r="EGE352" s="268"/>
      <c r="EGF352" s="268"/>
      <c r="EGG352" s="268"/>
      <c r="EGH352" s="268"/>
      <c r="EGI352" s="268"/>
      <c r="EGJ352" s="268"/>
      <c r="EGK352" s="268"/>
      <c r="EGL352" s="268"/>
      <c r="EGM352" s="268"/>
      <c r="EHA352" s="268"/>
      <c r="EHB352" s="268"/>
      <c r="EHC352" s="268"/>
      <c r="EHQ352" s="268"/>
      <c r="EHS352" s="268"/>
      <c r="EHT352" s="268"/>
      <c r="EHU352" s="268"/>
      <c r="EHV352" s="268"/>
      <c r="EHW352" s="268"/>
      <c r="EHX352" s="268"/>
      <c r="EHY352" s="268"/>
      <c r="EHZ352" s="268"/>
      <c r="EIA352" s="268"/>
      <c r="EIB352" s="268"/>
      <c r="EIC352" s="268"/>
      <c r="EID352" s="268"/>
      <c r="EIE352" s="268"/>
      <c r="EIF352" s="268"/>
      <c r="EIG352" s="268"/>
      <c r="EIH352" s="268"/>
      <c r="EII352" s="268"/>
      <c r="EIJ352" s="268"/>
      <c r="EIK352" s="268"/>
      <c r="EIL352" s="268"/>
      <c r="EIM352" s="268"/>
      <c r="EIN352" s="268"/>
      <c r="EIO352" s="268"/>
      <c r="EIP352" s="268"/>
      <c r="EIQ352" s="268"/>
      <c r="EIR352" s="268"/>
      <c r="EIS352" s="268"/>
      <c r="EIT352" s="268"/>
      <c r="EIU352" s="268"/>
      <c r="EIV352" s="268"/>
      <c r="EIW352" s="268"/>
      <c r="EIX352" s="268"/>
      <c r="EIY352" s="268"/>
      <c r="EIZ352" s="268"/>
      <c r="EJA352" s="268"/>
      <c r="EJB352" s="268"/>
      <c r="EJC352" s="268"/>
      <c r="EJD352" s="268"/>
      <c r="EJE352" s="268"/>
      <c r="EJF352" s="268"/>
      <c r="EJG352" s="268"/>
      <c r="EJH352" s="268"/>
      <c r="EJI352" s="268"/>
      <c r="EJJ352" s="268"/>
      <c r="EJK352" s="268"/>
      <c r="EJL352" s="268"/>
      <c r="EJM352" s="268"/>
      <c r="EJN352" s="268"/>
      <c r="EJO352" s="268"/>
      <c r="EJP352" s="268"/>
      <c r="EJQ352" s="268"/>
      <c r="EJR352" s="268"/>
      <c r="EJS352" s="268"/>
      <c r="EJT352" s="268"/>
      <c r="EJU352" s="268"/>
      <c r="EJV352" s="268"/>
      <c r="EJW352" s="268"/>
      <c r="EJX352" s="268"/>
      <c r="EJY352" s="268"/>
      <c r="EJZ352" s="268"/>
      <c r="EKA352" s="268"/>
      <c r="EKB352" s="268"/>
      <c r="EKC352" s="268"/>
      <c r="EKD352" s="268"/>
      <c r="EKE352" s="268"/>
      <c r="EKF352" s="268"/>
      <c r="EKG352" s="268"/>
      <c r="EKH352" s="268"/>
      <c r="EKI352" s="268"/>
      <c r="EKJ352" s="268"/>
      <c r="EKK352" s="268"/>
      <c r="EKL352" s="268"/>
      <c r="EKM352" s="268"/>
      <c r="EKN352" s="268"/>
      <c r="EKO352" s="268"/>
      <c r="EKP352" s="268"/>
      <c r="EKQ352" s="268"/>
      <c r="EKR352" s="268"/>
      <c r="EKS352" s="268"/>
      <c r="EKT352" s="268"/>
      <c r="EKU352" s="268"/>
      <c r="EKV352" s="268"/>
      <c r="EKW352" s="268"/>
      <c r="EKX352" s="268"/>
      <c r="EKY352" s="268"/>
      <c r="EKZ352" s="268"/>
      <c r="ELA352" s="268"/>
      <c r="ELB352" s="268"/>
      <c r="ELC352" s="268"/>
      <c r="ELD352" s="268"/>
      <c r="ELE352" s="268"/>
      <c r="ELF352" s="268"/>
      <c r="ELG352" s="268"/>
      <c r="ELH352" s="268"/>
      <c r="ELI352" s="268"/>
      <c r="ELJ352" s="268"/>
      <c r="ELK352" s="268"/>
      <c r="ELL352" s="268"/>
      <c r="ELM352" s="268"/>
      <c r="ELN352" s="268"/>
      <c r="ELO352" s="268"/>
      <c r="ELP352" s="268"/>
      <c r="ELQ352" s="268"/>
      <c r="ELR352" s="268"/>
      <c r="ELS352" s="268"/>
      <c r="ELT352" s="268"/>
      <c r="ELU352" s="268"/>
      <c r="ELV352" s="268"/>
      <c r="ELW352" s="268"/>
      <c r="ELX352" s="268"/>
      <c r="ELY352" s="268"/>
      <c r="ELZ352" s="268"/>
      <c r="EMA352" s="268"/>
      <c r="EMB352" s="268"/>
      <c r="EMC352" s="268"/>
      <c r="EMD352" s="268"/>
      <c r="EME352" s="268"/>
      <c r="EMF352" s="268"/>
      <c r="EMG352" s="268"/>
      <c r="EMH352" s="268"/>
      <c r="EMI352" s="268"/>
      <c r="EMJ352" s="268"/>
      <c r="EMK352" s="268"/>
      <c r="EML352" s="268"/>
      <c r="EMM352" s="268"/>
      <c r="EMN352" s="268"/>
      <c r="EMO352" s="268"/>
      <c r="EMP352" s="268"/>
      <c r="EMQ352" s="268"/>
      <c r="EMR352" s="268"/>
      <c r="EMS352" s="268"/>
      <c r="EMT352" s="268"/>
      <c r="EMU352" s="268"/>
      <c r="EMV352" s="268"/>
      <c r="EMW352" s="268"/>
      <c r="EMX352" s="268"/>
      <c r="EMY352" s="268"/>
      <c r="EMZ352" s="268"/>
      <c r="ENA352" s="268"/>
      <c r="ENB352" s="268"/>
      <c r="ENC352" s="268"/>
      <c r="END352" s="268"/>
      <c r="ENE352" s="268"/>
      <c r="ENF352" s="268"/>
      <c r="ENG352" s="268"/>
      <c r="ENH352" s="268"/>
      <c r="ENI352" s="268"/>
      <c r="ENJ352" s="268"/>
      <c r="ENK352" s="268"/>
      <c r="ENL352" s="268"/>
      <c r="ENM352" s="268"/>
      <c r="ENN352" s="268"/>
      <c r="ENO352" s="268"/>
      <c r="ENP352" s="268"/>
      <c r="ENQ352" s="268"/>
      <c r="ENR352" s="268"/>
      <c r="ENS352" s="268"/>
      <c r="ENT352" s="268"/>
      <c r="ENU352" s="268"/>
      <c r="ENV352" s="268"/>
      <c r="ENW352" s="268"/>
      <c r="ENX352" s="268"/>
      <c r="ENY352" s="268"/>
      <c r="ENZ352" s="268"/>
      <c r="EOA352" s="268"/>
      <c r="EOB352" s="268"/>
      <c r="EOC352" s="268"/>
      <c r="EOD352" s="268"/>
      <c r="EOE352" s="268"/>
      <c r="EOF352" s="268"/>
      <c r="EOG352" s="268"/>
      <c r="EOH352" s="268"/>
      <c r="EOI352" s="268"/>
      <c r="EOJ352" s="268"/>
      <c r="EOK352" s="268"/>
      <c r="EOL352" s="268"/>
      <c r="EOM352" s="268"/>
      <c r="EON352" s="268"/>
      <c r="EOO352" s="268"/>
      <c r="EOP352" s="268"/>
      <c r="EOQ352" s="268"/>
      <c r="EOR352" s="268"/>
      <c r="EOS352" s="268"/>
      <c r="EOT352" s="268"/>
      <c r="EOU352" s="268"/>
      <c r="EOV352" s="268"/>
      <c r="EOW352" s="268"/>
      <c r="EOX352" s="268"/>
      <c r="EOY352" s="268"/>
      <c r="EOZ352" s="268"/>
      <c r="EPA352" s="268"/>
      <c r="EPB352" s="268"/>
      <c r="EPC352" s="268"/>
      <c r="EPD352" s="268"/>
      <c r="EPE352" s="268"/>
      <c r="EPF352" s="268"/>
      <c r="EPG352" s="268"/>
      <c r="EPH352" s="268"/>
      <c r="EPI352" s="268"/>
      <c r="EPJ352" s="268"/>
      <c r="EPK352" s="268"/>
      <c r="EPL352" s="268"/>
      <c r="EPM352" s="268"/>
      <c r="EPN352" s="268"/>
      <c r="EPO352" s="268"/>
      <c r="EPP352" s="268"/>
      <c r="EPQ352" s="268"/>
      <c r="EPR352" s="268"/>
      <c r="EPS352" s="268"/>
      <c r="EPT352" s="268"/>
      <c r="EPU352" s="268"/>
      <c r="EPV352" s="268"/>
      <c r="EPW352" s="268"/>
      <c r="EPX352" s="268"/>
      <c r="EPY352" s="268"/>
      <c r="EPZ352" s="268"/>
      <c r="EQA352" s="268"/>
      <c r="EQB352" s="268"/>
      <c r="EQC352" s="268"/>
      <c r="EQD352" s="268"/>
      <c r="EQE352" s="268"/>
      <c r="EQF352" s="268"/>
      <c r="EQG352" s="268"/>
      <c r="EQH352" s="268"/>
      <c r="EQI352" s="268"/>
      <c r="EQW352" s="268"/>
      <c r="EQX352" s="268"/>
      <c r="EQY352" s="268"/>
      <c r="ERM352" s="268"/>
      <c r="ERO352" s="268"/>
      <c r="ERP352" s="268"/>
      <c r="ERQ352" s="268"/>
      <c r="ERR352" s="268"/>
      <c r="ERS352" s="268"/>
      <c r="ERT352" s="268"/>
      <c r="ERU352" s="268"/>
      <c r="ERV352" s="268"/>
      <c r="ERW352" s="268"/>
      <c r="ERX352" s="268"/>
      <c r="ERY352" s="268"/>
      <c r="ERZ352" s="268"/>
      <c r="ESA352" s="268"/>
      <c r="ESB352" s="268"/>
      <c r="ESC352" s="268"/>
      <c r="ESD352" s="268"/>
      <c r="ESE352" s="268"/>
      <c r="ESF352" s="268"/>
      <c r="ESG352" s="268"/>
      <c r="ESH352" s="268"/>
      <c r="ESI352" s="268"/>
      <c r="ESJ352" s="268"/>
      <c r="ESK352" s="268"/>
      <c r="ESL352" s="268"/>
      <c r="ESM352" s="268"/>
      <c r="ESN352" s="268"/>
      <c r="ESO352" s="268"/>
      <c r="ESP352" s="268"/>
      <c r="ESQ352" s="268"/>
      <c r="ESR352" s="268"/>
      <c r="ESS352" s="268"/>
      <c r="EST352" s="268"/>
      <c r="ESU352" s="268"/>
      <c r="ESV352" s="268"/>
      <c r="ESW352" s="268"/>
      <c r="ESX352" s="268"/>
      <c r="ESY352" s="268"/>
      <c r="ESZ352" s="268"/>
      <c r="ETA352" s="268"/>
      <c r="ETB352" s="268"/>
      <c r="ETC352" s="268"/>
      <c r="ETD352" s="268"/>
      <c r="ETE352" s="268"/>
      <c r="ETF352" s="268"/>
      <c r="ETG352" s="268"/>
      <c r="ETH352" s="268"/>
      <c r="ETI352" s="268"/>
      <c r="ETJ352" s="268"/>
      <c r="ETK352" s="268"/>
      <c r="ETL352" s="268"/>
      <c r="ETM352" s="268"/>
      <c r="ETN352" s="268"/>
      <c r="ETO352" s="268"/>
      <c r="ETP352" s="268"/>
      <c r="ETQ352" s="268"/>
      <c r="ETR352" s="268"/>
      <c r="ETS352" s="268"/>
      <c r="ETT352" s="268"/>
      <c r="ETU352" s="268"/>
      <c r="ETV352" s="268"/>
      <c r="ETW352" s="268"/>
      <c r="ETX352" s="268"/>
      <c r="ETY352" s="268"/>
      <c r="ETZ352" s="268"/>
      <c r="EUA352" s="268"/>
      <c r="EUB352" s="268"/>
      <c r="EUC352" s="268"/>
      <c r="EUD352" s="268"/>
      <c r="EUE352" s="268"/>
      <c r="EUF352" s="268"/>
      <c r="EUG352" s="268"/>
      <c r="EUH352" s="268"/>
      <c r="EUI352" s="268"/>
      <c r="EUJ352" s="268"/>
      <c r="EUK352" s="268"/>
      <c r="EUL352" s="268"/>
      <c r="EUM352" s="268"/>
      <c r="EUN352" s="268"/>
      <c r="EUO352" s="268"/>
      <c r="EUP352" s="268"/>
      <c r="EUQ352" s="268"/>
      <c r="EUR352" s="268"/>
      <c r="EUS352" s="268"/>
      <c r="EUT352" s="268"/>
      <c r="EUU352" s="268"/>
      <c r="EUV352" s="268"/>
      <c r="EUW352" s="268"/>
      <c r="EUX352" s="268"/>
      <c r="EUY352" s="268"/>
      <c r="EUZ352" s="268"/>
      <c r="EVA352" s="268"/>
      <c r="EVB352" s="268"/>
      <c r="EVC352" s="268"/>
      <c r="EVD352" s="268"/>
      <c r="EVE352" s="268"/>
      <c r="EVF352" s="268"/>
      <c r="EVG352" s="268"/>
      <c r="EVH352" s="268"/>
      <c r="EVI352" s="268"/>
      <c r="EVJ352" s="268"/>
      <c r="EVK352" s="268"/>
      <c r="EVL352" s="268"/>
      <c r="EVM352" s="268"/>
      <c r="EVN352" s="268"/>
      <c r="EVO352" s="268"/>
      <c r="EVP352" s="268"/>
      <c r="EVQ352" s="268"/>
      <c r="EVR352" s="268"/>
      <c r="EVS352" s="268"/>
      <c r="EVT352" s="268"/>
      <c r="EVU352" s="268"/>
      <c r="EVV352" s="268"/>
      <c r="EVW352" s="268"/>
      <c r="EVX352" s="268"/>
      <c r="EVY352" s="268"/>
      <c r="EVZ352" s="268"/>
      <c r="EWA352" s="268"/>
      <c r="EWB352" s="268"/>
      <c r="EWC352" s="268"/>
      <c r="EWD352" s="268"/>
      <c r="EWE352" s="268"/>
      <c r="EWF352" s="268"/>
      <c r="EWG352" s="268"/>
      <c r="EWH352" s="268"/>
      <c r="EWI352" s="268"/>
      <c r="EWJ352" s="268"/>
      <c r="EWK352" s="268"/>
      <c r="EWL352" s="268"/>
      <c r="EWM352" s="268"/>
      <c r="EWN352" s="268"/>
      <c r="EWO352" s="268"/>
      <c r="EWP352" s="268"/>
      <c r="EWQ352" s="268"/>
      <c r="EWR352" s="268"/>
      <c r="EWS352" s="268"/>
      <c r="EWT352" s="268"/>
      <c r="EWU352" s="268"/>
      <c r="EWV352" s="268"/>
      <c r="EWW352" s="268"/>
      <c r="EWX352" s="268"/>
      <c r="EWY352" s="268"/>
      <c r="EWZ352" s="268"/>
      <c r="EXA352" s="268"/>
      <c r="EXB352" s="268"/>
      <c r="EXC352" s="268"/>
      <c r="EXD352" s="268"/>
      <c r="EXE352" s="268"/>
      <c r="EXF352" s="268"/>
      <c r="EXG352" s="268"/>
      <c r="EXH352" s="268"/>
      <c r="EXI352" s="268"/>
      <c r="EXJ352" s="268"/>
      <c r="EXK352" s="268"/>
      <c r="EXL352" s="268"/>
      <c r="EXM352" s="268"/>
      <c r="EXN352" s="268"/>
      <c r="EXO352" s="268"/>
      <c r="EXP352" s="268"/>
      <c r="EXQ352" s="268"/>
      <c r="EXR352" s="268"/>
      <c r="EXS352" s="268"/>
      <c r="EXT352" s="268"/>
      <c r="EXU352" s="268"/>
      <c r="EXV352" s="268"/>
      <c r="EXW352" s="268"/>
      <c r="EXX352" s="268"/>
      <c r="EXY352" s="268"/>
      <c r="EXZ352" s="268"/>
      <c r="EYA352" s="268"/>
      <c r="EYB352" s="268"/>
      <c r="EYC352" s="268"/>
      <c r="EYD352" s="268"/>
      <c r="EYE352" s="268"/>
      <c r="EYF352" s="268"/>
      <c r="EYG352" s="268"/>
      <c r="EYH352" s="268"/>
      <c r="EYI352" s="268"/>
      <c r="EYJ352" s="268"/>
      <c r="EYK352" s="268"/>
      <c r="EYL352" s="268"/>
      <c r="EYM352" s="268"/>
      <c r="EYN352" s="268"/>
      <c r="EYO352" s="268"/>
      <c r="EYP352" s="268"/>
      <c r="EYQ352" s="268"/>
      <c r="EYR352" s="268"/>
      <c r="EYS352" s="268"/>
      <c r="EYT352" s="268"/>
      <c r="EYU352" s="268"/>
      <c r="EYV352" s="268"/>
      <c r="EYW352" s="268"/>
      <c r="EYX352" s="268"/>
      <c r="EYY352" s="268"/>
      <c r="EYZ352" s="268"/>
      <c r="EZA352" s="268"/>
      <c r="EZB352" s="268"/>
      <c r="EZC352" s="268"/>
      <c r="EZD352" s="268"/>
      <c r="EZE352" s="268"/>
      <c r="EZF352" s="268"/>
      <c r="EZG352" s="268"/>
      <c r="EZH352" s="268"/>
      <c r="EZI352" s="268"/>
      <c r="EZJ352" s="268"/>
      <c r="EZK352" s="268"/>
      <c r="EZL352" s="268"/>
      <c r="EZM352" s="268"/>
      <c r="EZN352" s="268"/>
      <c r="EZO352" s="268"/>
      <c r="EZP352" s="268"/>
      <c r="EZQ352" s="268"/>
      <c r="EZR352" s="268"/>
      <c r="EZS352" s="268"/>
      <c r="EZT352" s="268"/>
      <c r="EZU352" s="268"/>
      <c r="EZV352" s="268"/>
      <c r="EZW352" s="268"/>
      <c r="EZX352" s="268"/>
      <c r="EZY352" s="268"/>
      <c r="EZZ352" s="268"/>
      <c r="FAA352" s="268"/>
      <c r="FAB352" s="268"/>
      <c r="FAC352" s="268"/>
      <c r="FAD352" s="268"/>
      <c r="FAE352" s="268"/>
      <c r="FAS352" s="268"/>
      <c r="FAT352" s="268"/>
      <c r="FAU352" s="268"/>
      <c r="FBI352" s="268"/>
      <c r="FBK352" s="268"/>
      <c r="FBL352" s="268"/>
      <c r="FBM352" s="268"/>
      <c r="FBN352" s="268"/>
      <c r="FBO352" s="268"/>
      <c r="FBP352" s="268"/>
      <c r="FBQ352" s="268"/>
      <c r="FBR352" s="268"/>
      <c r="FBS352" s="268"/>
      <c r="FBT352" s="268"/>
      <c r="FBU352" s="268"/>
      <c r="FBV352" s="268"/>
      <c r="FBW352" s="268"/>
      <c r="FBX352" s="268"/>
      <c r="FBY352" s="268"/>
      <c r="FBZ352" s="268"/>
      <c r="FCA352" s="268"/>
      <c r="FCB352" s="268"/>
      <c r="FCC352" s="268"/>
      <c r="FCD352" s="268"/>
      <c r="FCE352" s="268"/>
      <c r="FCF352" s="268"/>
      <c r="FCG352" s="268"/>
      <c r="FCH352" s="268"/>
      <c r="FCI352" s="268"/>
      <c r="FCJ352" s="268"/>
      <c r="FCK352" s="268"/>
      <c r="FCL352" s="268"/>
      <c r="FCM352" s="268"/>
      <c r="FCN352" s="268"/>
      <c r="FCO352" s="268"/>
      <c r="FCP352" s="268"/>
      <c r="FCQ352" s="268"/>
      <c r="FCR352" s="268"/>
      <c r="FCS352" s="268"/>
      <c r="FCT352" s="268"/>
      <c r="FCU352" s="268"/>
      <c r="FCV352" s="268"/>
      <c r="FCW352" s="268"/>
      <c r="FCX352" s="268"/>
      <c r="FCY352" s="268"/>
      <c r="FCZ352" s="268"/>
      <c r="FDA352" s="268"/>
      <c r="FDB352" s="268"/>
      <c r="FDC352" s="268"/>
      <c r="FDD352" s="268"/>
      <c r="FDE352" s="268"/>
      <c r="FDF352" s="268"/>
      <c r="FDG352" s="268"/>
      <c r="FDH352" s="268"/>
      <c r="FDI352" s="268"/>
      <c r="FDJ352" s="268"/>
      <c r="FDK352" s="268"/>
      <c r="FDL352" s="268"/>
      <c r="FDM352" s="268"/>
      <c r="FDN352" s="268"/>
      <c r="FDO352" s="268"/>
      <c r="FDP352" s="268"/>
      <c r="FDQ352" s="268"/>
      <c r="FDR352" s="268"/>
      <c r="FDS352" s="268"/>
      <c r="FDT352" s="268"/>
      <c r="FDU352" s="268"/>
      <c r="FDV352" s="268"/>
      <c r="FDW352" s="268"/>
      <c r="FDX352" s="268"/>
      <c r="FDY352" s="268"/>
      <c r="FDZ352" s="268"/>
      <c r="FEA352" s="268"/>
      <c r="FEB352" s="268"/>
      <c r="FEC352" s="268"/>
      <c r="FED352" s="268"/>
      <c r="FEE352" s="268"/>
      <c r="FEF352" s="268"/>
      <c r="FEG352" s="268"/>
      <c r="FEH352" s="268"/>
      <c r="FEI352" s="268"/>
      <c r="FEJ352" s="268"/>
      <c r="FEK352" s="268"/>
      <c r="FEL352" s="268"/>
      <c r="FEM352" s="268"/>
      <c r="FEN352" s="268"/>
      <c r="FEO352" s="268"/>
      <c r="FEP352" s="268"/>
      <c r="FEQ352" s="268"/>
      <c r="FER352" s="268"/>
      <c r="FES352" s="268"/>
      <c r="FET352" s="268"/>
      <c r="FEU352" s="268"/>
      <c r="FEV352" s="268"/>
      <c r="FEW352" s="268"/>
      <c r="FEX352" s="268"/>
      <c r="FEY352" s="268"/>
      <c r="FEZ352" s="268"/>
      <c r="FFA352" s="268"/>
      <c r="FFB352" s="268"/>
      <c r="FFC352" s="268"/>
      <c r="FFD352" s="268"/>
      <c r="FFE352" s="268"/>
      <c r="FFF352" s="268"/>
      <c r="FFG352" s="268"/>
      <c r="FFH352" s="268"/>
      <c r="FFI352" s="268"/>
      <c r="FFJ352" s="268"/>
      <c r="FFK352" s="268"/>
      <c r="FFL352" s="268"/>
      <c r="FFM352" s="268"/>
      <c r="FFN352" s="268"/>
      <c r="FFO352" s="268"/>
      <c r="FFP352" s="268"/>
      <c r="FFQ352" s="268"/>
      <c r="FFR352" s="268"/>
      <c r="FFS352" s="268"/>
      <c r="FFT352" s="268"/>
      <c r="FFU352" s="268"/>
      <c r="FFV352" s="268"/>
      <c r="FFW352" s="268"/>
      <c r="FFX352" s="268"/>
      <c r="FFY352" s="268"/>
      <c r="FFZ352" s="268"/>
      <c r="FGA352" s="268"/>
      <c r="FGB352" s="268"/>
      <c r="FGC352" s="268"/>
      <c r="FGD352" s="268"/>
      <c r="FGE352" s="268"/>
      <c r="FGF352" s="268"/>
      <c r="FGG352" s="268"/>
      <c r="FGH352" s="268"/>
      <c r="FGI352" s="268"/>
      <c r="FGJ352" s="268"/>
      <c r="FGK352" s="268"/>
      <c r="FGL352" s="268"/>
      <c r="FGM352" s="268"/>
      <c r="FGN352" s="268"/>
      <c r="FGO352" s="268"/>
      <c r="FGP352" s="268"/>
      <c r="FGQ352" s="268"/>
      <c r="FGR352" s="268"/>
      <c r="FGS352" s="268"/>
      <c r="FGT352" s="268"/>
      <c r="FGU352" s="268"/>
      <c r="FGV352" s="268"/>
      <c r="FGW352" s="268"/>
      <c r="FGX352" s="268"/>
      <c r="FGY352" s="268"/>
      <c r="FGZ352" s="268"/>
      <c r="FHA352" s="268"/>
      <c r="FHB352" s="268"/>
      <c r="FHC352" s="268"/>
      <c r="FHD352" s="268"/>
      <c r="FHE352" s="268"/>
      <c r="FHF352" s="268"/>
      <c r="FHG352" s="268"/>
      <c r="FHH352" s="268"/>
      <c r="FHI352" s="268"/>
      <c r="FHJ352" s="268"/>
      <c r="FHK352" s="268"/>
      <c r="FHL352" s="268"/>
      <c r="FHM352" s="268"/>
      <c r="FHN352" s="268"/>
      <c r="FHO352" s="268"/>
      <c r="FHP352" s="268"/>
      <c r="FHQ352" s="268"/>
      <c r="FHR352" s="268"/>
      <c r="FHS352" s="268"/>
      <c r="FHT352" s="268"/>
      <c r="FHU352" s="268"/>
      <c r="FHV352" s="268"/>
      <c r="FHW352" s="268"/>
      <c r="FHX352" s="268"/>
      <c r="FHY352" s="268"/>
      <c r="FHZ352" s="268"/>
      <c r="FIA352" s="268"/>
      <c r="FIB352" s="268"/>
      <c r="FIC352" s="268"/>
      <c r="FID352" s="268"/>
      <c r="FIE352" s="268"/>
      <c r="FIF352" s="268"/>
      <c r="FIG352" s="268"/>
      <c r="FIH352" s="268"/>
      <c r="FII352" s="268"/>
      <c r="FIJ352" s="268"/>
      <c r="FIK352" s="268"/>
      <c r="FIL352" s="268"/>
      <c r="FIM352" s="268"/>
      <c r="FIN352" s="268"/>
      <c r="FIO352" s="268"/>
      <c r="FIP352" s="268"/>
      <c r="FIQ352" s="268"/>
      <c r="FIR352" s="268"/>
      <c r="FIS352" s="268"/>
      <c r="FIT352" s="268"/>
      <c r="FIU352" s="268"/>
      <c r="FIV352" s="268"/>
      <c r="FIW352" s="268"/>
      <c r="FIX352" s="268"/>
      <c r="FIY352" s="268"/>
      <c r="FIZ352" s="268"/>
      <c r="FJA352" s="268"/>
      <c r="FJB352" s="268"/>
      <c r="FJC352" s="268"/>
      <c r="FJD352" s="268"/>
      <c r="FJE352" s="268"/>
      <c r="FJF352" s="268"/>
      <c r="FJG352" s="268"/>
      <c r="FJH352" s="268"/>
      <c r="FJI352" s="268"/>
      <c r="FJJ352" s="268"/>
      <c r="FJK352" s="268"/>
      <c r="FJL352" s="268"/>
      <c r="FJM352" s="268"/>
      <c r="FJN352" s="268"/>
      <c r="FJO352" s="268"/>
      <c r="FJP352" s="268"/>
      <c r="FJQ352" s="268"/>
      <c r="FJR352" s="268"/>
      <c r="FJS352" s="268"/>
      <c r="FJT352" s="268"/>
      <c r="FJU352" s="268"/>
      <c r="FJV352" s="268"/>
      <c r="FJW352" s="268"/>
      <c r="FJX352" s="268"/>
      <c r="FJY352" s="268"/>
      <c r="FJZ352" s="268"/>
      <c r="FKA352" s="268"/>
      <c r="FKO352" s="268"/>
      <c r="FKP352" s="268"/>
      <c r="FKQ352" s="268"/>
      <c r="FLE352" s="268"/>
      <c r="FLG352" s="268"/>
      <c r="FLH352" s="268"/>
      <c r="FLI352" s="268"/>
      <c r="FLJ352" s="268"/>
      <c r="FLK352" s="268"/>
      <c r="FLL352" s="268"/>
      <c r="FLM352" s="268"/>
      <c r="FLN352" s="268"/>
      <c r="FLO352" s="268"/>
      <c r="FLP352" s="268"/>
      <c r="FLQ352" s="268"/>
      <c r="FLR352" s="268"/>
      <c r="FLS352" s="268"/>
      <c r="FLT352" s="268"/>
      <c r="FLU352" s="268"/>
      <c r="FLV352" s="268"/>
      <c r="FLW352" s="268"/>
      <c r="FLX352" s="268"/>
      <c r="FLY352" s="268"/>
      <c r="FLZ352" s="268"/>
      <c r="FMA352" s="268"/>
      <c r="FMB352" s="268"/>
      <c r="FMC352" s="268"/>
      <c r="FMD352" s="268"/>
      <c r="FME352" s="268"/>
      <c r="FMF352" s="268"/>
      <c r="FMG352" s="268"/>
      <c r="FMH352" s="268"/>
      <c r="FMI352" s="268"/>
      <c r="FMJ352" s="268"/>
      <c r="FMK352" s="268"/>
      <c r="FML352" s="268"/>
      <c r="FMM352" s="268"/>
      <c r="FMN352" s="268"/>
      <c r="FMO352" s="268"/>
      <c r="FMP352" s="268"/>
      <c r="FMQ352" s="268"/>
      <c r="FMR352" s="268"/>
      <c r="FMS352" s="268"/>
      <c r="FMT352" s="268"/>
      <c r="FMU352" s="268"/>
      <c r="FMV352" s="268"/>
      <c r="FMW352" s="268"/>
      <c r="FMX352" s="268"/>
      <c r="FMY352" s="268"/>
      <c r="FMZ352" s="268"/>
      <c r="FNA352" s="268"/>
      <c r="FNB352" s="268"/>
      <c r="FNC352" s="268"/>
      <c r="FND352" s="268"/>
      <c r="FNE352" s="268"/>
      <c r="FNF352" s="268"/>
      <c r="FNG352" s="268"/>
      <c r="FNH352" s="268"/>
      <c r="FNI352" s="268"/>
      <c r="FNJ352" s="268"/>
      <c r="FNK352" s="268"/>
      <c r="FNL352" s="268"/>
      <c r="FNM352" s="268"/>
      <c r="FNN352" s="268"/>
      <c r="FNO352" s="268"/>
      <c r="FNP352" s="268"/>
      <c r="FNQ352" s="268"/>
      <c r="FNR352" s="268"/>
      <c r="FNS352" s="268"/>
      <c r="FNT352" s="268"/>
      <c r="FNU352" s="268"/>
      <c r="FNV352" s="268"/>
      <c r="FNW352" s="268"/>
      <c r="FNX352" s="268"/>
      <c r="FNY352" s="268"/>
      <c r="FNZ352" s="268"/>
      <c r="FOA352" s="268"/>
      <c r="FOB352" s="268"/>
      <c r="FOC352" s="268"/>
      <c r="FOD352" s="268"/>
      <c r="FOE352" s="268"/>
      <c r="FOF352" s="268"/>
      <c r="FOG352" s="268"/>
      <c r="FOH352" s="268"/>
      <c r="FOI352" s="268"/>
      <c r="FOJ352" s="268"/>
      <c r="FOK352" s="268"/>
      <c r="FOL352" s="268"/>
      <c r="FOM352" s="268"/>
      <c r="FON352" s="268"/>
      <c r="FOO352" s="268"/>
      <c r="FOP352" s="268"/>
      <c r="FOQ352" s="268"/>
      <c r="FOR352" s="268"/>
      <c r="FOS352" s="268"/>
      <c r="FOT352" s="268"/>
      <c r="FOU352" s="268"/>
      <c r="FOV352" s="268"/>
      <c r="FOW352" s="268"/>
      <c r="FOX352" s="268"/>
      <c r="FOY352" s="268"/>
      <c r="FOZ352" s="268"/>
      <c r="FPA352" s="268"/>
      <c r="FPB352" s="268"/>
      <c r="FPC352" s="268"/>
      <c r="FPD352" s="268"/>
      <c r="FPE352" s="268"/>
      <c r="FPF352" s="268"/>
      <c r="FPG352" s="268"/>
      <c r="FPH352" s="268"/>
      <c r="FPI352" s="268"/>
      <c r="FPJ352" s="268"/>
      <c r="FPK352" s="268"/>
      <c r="FPL352" s="268"/>
      <c r="FPM352" s="268"/>
      <c r="FPN352" s="268"/>
      <c r="FPO352" s="268"/>
      <c r="FPP352" s="268"/>
      <c r="FPQ352" s="268"/>
      <c r="FPR352" s="268"/>
      <c r="FPS352" s="268"/>
      <c r="FPT352" s="268"/>
      <c r="FPU352" s="268"/>
      <c r="FPV352" s="268"/>
      <c r="FPW352" s="268"/>
      <c r="FPX352" s="268"/>
      <c r="FPY352" s="268"/>
      <c r="FPZ352" s="268"/>
      <c r="FQA352" s="268"/>
      <c r="FQB352" s="268"/>
      <c r="FQC352" s="268"/>
      <c r="FQD352" s="268"/>
      <c r="FQE352" s="268"/>
      <c r="FQF352" s="268"/>
      <c r="FQG352" s="268"/>
      <c r="FQH352" s="268"/>
      <c r="FQI352" s="268"/>
      <c r="FQJ352" s="268"/>
      <c r="FQK352" s="268"/>
      <c r="FQL352" s="268"/>
      <c r="FQM352" s="268"/>
      <c r="FQN352" s="268"/>
      <c r="FQO352" s="268"/>
      <c r="FQP352" s="268"/>
      <c r="FQQ352" s="268"/>
      <c r="FQR352" s="268"/>
      <c r="FQS352" s="268"/>
      <c r="FQT352" s="268"/>
      <c r="FQU352" s="268"/>
      <c r="FQV352" s="268"/>
      <c r="FQW352" s="268"/>
      <c r="FQX352" s="268"/>
      <c r="FQY352" s="268"/>
      <c r="FQZ352" s="268"/>
      <c r="FRA352" s="268"/>
      <c r="FRB352" s="268"/>
      <c r="FRC352" s="268"/>
      <c r="FRD352" s="268"/>
      <c r="FRE352" s="268"/>
      <c r="FRF352" s="268"/>
      <c r="FRG352" s="268"/>
      <c r="FRH352" s="268"/>
      <c r="FRI352" s="268"/>
      <c r="FRJ352" s="268"/>
      <c r="FRK352" s="268"/>
      <c r="FRL352" s="268"/>
      <c r="FRM352" s="268"/>
      <c r="FRN352" s="268"/>
      <c r="FRO352" s="268"/>
      <c r="FRP352" s="268"/>
      <c r="FRQ352" s="268"/>
      <c r="FRR352" s="268"/>
      <c r="FRS352" s="268"/>
      <c r="FRT352" s="268"/>
      <c r="FRU352" s="268"/>
      <c r="FRV352" s="268"/>
      <c r="FRW352" s="268"/>
      <c r="FRX352" s="268"/>
      <c r="FRY352" s="268"/>
      <c r="FRZ352" s="268"/>
      <c r="FSA352" s="268"/>
      <c r="FSB352" s="268"/>
      <c r="FSC352" s="268"/>
      <c r="FSD352" s="268"/>
      <c r="FSE352" s="268"/>
      <c r="FSF352" s="268"/>
      <c r="FSG352" s="268"/>
      <c r="FSH352" s="268"/>
      <c r="FSI352" s="268"/>
      <c r="FSJ352" s="268"/>
      <c r="FSK352" s="268"/>
      <c r="FSL352" s="268"/>
      <c r="FSM352" s="268"/>
      <c r="FSN352" s="268"/>
      <c r="FSO352" s="268"/>
      <c r="FSP352" s="268"/>
      <c r="FSQ352" s="268"/>
      <c r="FSR352" s="268"/>
      <c r="FSS352" s="268"/>
      <c r="FST352" s="268"/>
      <c r="FSU352" s="268"/>
      <c r="FSV352" s="268"/>
      <c r="FSW352" s="268"/>
      <c r="FSX352" s="268"/>
      <c r="FSY352" s="268"/>
      <c r="FSZ352" s="268"/>
      <c r="FTA352" s="268"/>
      <c r="FTB352" s="268"/>
      <c r="FTC352" s="268"/>
      <c r="FTD352" s="268"/>
      <c r="FTE352" s="268"/>
      <c r="FTF352" s="268"/>
      <c r="FTG352" s="268"/>
      <c r="FTH352" s="268"/>
      <c r="FTI352" s="268"/>
      <c r="FTJ352" s="268"/>
      <c r="FTK352" s="268"/>
      <c r="FTL352" s="268"/>
      <c r="FTM352" s="268"/>
      <c r="FTN352" s="268"/>
      <c r="FTO352" s="268"/>
      <c r="FTP352" s="268"/>
      <c r="FTQ352" s="268"/>
      <c r="FTR352" s="268"/>
      <c r="FTS352" s="268"/>
      <c r="FTT352" s="268"/>
      <c r="FTU352" s="268"/>
      <c r="FTV352" s="268"/>
      <c r="FTW352" s="268"/>
      <c r="FUK352" s="268"/>
      <c r="FUL352" s="268"/>
      <c r="FUM352" s="268"/>
      <c r="FVA352" s="268"/>
      <c r="FVC352" s="268"/>
      <c r="FVD352" s="268"/>
      <c r="FVE352" s="268"/>
      <c r="FVF352" s="268"/>
      <c r="FVG352" s="268"/>
      <c r="FVH352" s="268"/>
      <c r="FVI352" s="268"/>
      <c r="FVJ352" s="268"/>
      <c r="FVK352" s="268"/>
      <c r="FVL352" s="268"/>
      <c r="FVM352" s="268"/>
      <c r="FVN352" s="268"/>
      <c r="FVO352" s="268"/>
      <c r="FVP352" s="268"/>
      <c r="FVQ352" s="268"/>
      <c r="FVR352" s="268"/>
      <c r="FVS352" s="268"/>
      <c r="FVT352" s="268"/>
      <c r="FVU352" s="268"/>
      <c r="FVV352" s="268"/>
      <c r="FVW352" s="268"/>
      <c r="FVX352" s="268"/>
      <c r="FVY352" s="268"/>
      <c r="FVZ352" s="268"/>
      <c r="FWA352" s="268"/>
      <c r="FWB352" s="268"/>
      <c r="FWC352" s="268"/>
      <c r="FWD352" s="268"/>
      <c r="FWE352" s="268"/>
      <c r="FWF352" s="268"/>
      <c r="FWG352" s="268"/>
      <c r="FWH352" s="268"/>
      <c r="FWI352" s="268"/>
      <c r="FWJ352" s="268"/>
      <c r="FWK352" s="268"/>
      <c r="FWL352" s="268"/>
      <c r="FWM352" s="268"/>
      <c r="FWN352" s="268"/>
      <c r="FWO352" s="268"/>
      <c r="FWP352" s="268"/>
      <c r="FWQ352" s="268"/>
      <c r="FWR352" s="268"/>
      <c r="FWS352" s="268"/>
      <c r="FWT352" s="268"/>
      <c r="FWU352" s="268"/>
      <c r="FWV352" s="268"/>
      <c r="FWW352" s="268"/>
      <c r="FWX352" s="268"/>
      <c r="FWY352" s="268"/>
      <c r="FWZ352" s="268"/>
      <c r="FXA352" s="268"/>
      <c r="FXB352" s="268"/>
      <c r="FXC352" s="268"/>
      <c r="FXD352" s="268"/>
      <c r="FXE352" s="268"/>
      <c r="FXF352" s="268"/>
      <c r="FXG352" s="268"/>
      <c r="FXH352" s="268"/>
      <c r="FXI352" s="268"/>
      <c r="FXJ352" s="268"/>
      <c r="FXK352" s="268"/>
      <c r="FXL352" s="268"/>
      <c r="FXM352" s="268"/>
      <c r="FXN352" s="268"/>
      <c r="FXO352" s="268"/>
      <c r="FXP352" s="268"/>
      <c r="FXQ352" s="268"/>
      <c r="FXR352" s="268"/>
      <c r="FXS352" s="268"/>
      <c r="FXT352" s="268"/>
      <c r="FXU352" s="268"/>
      <c r="FXV352" s="268"/>
      <c r="FXW352" s="268"/>
      <c r="FXX352" s="268"/>
      <c r="FXY352" s="268"/>
      <c r="FXZ352" s="268"/>
      <c r="FYA352" s="268"/>
      <c r="FYB352" s="268"/>
      <c r="FYC352" s="268"/>
      <c r="FYD352" s="268"/>
      <c r="FYE352" s="268"/>
      <c r="FYF352" s="268"/>
      <c r="FYG352" s="268"/>
      <c r="FYH352" s="268"/>
      <c r="FYI352" s="268"/>
      <c r="FYJ352" s="268"/>
      <c r="FYK352" s="268"/>
      <c r="FYL352" s="268"/>
      <c r="FYM352" s="268"/>
      <c r="FYN352" s="268"/>
      <c r="FYO352" s="268"/>
      <c r="FYP352" s="268"/>
      <c r="FYQ352" s="268"/>
      <c r="FYR352" s="268"/>
      <c r="FYS352" s="268"/>
      <c r="FYT352" s="268"/>
      <c r="FYU352" s="268"/>
      <c r="FYV352" s="268"/>
      <c r="FYW352" s="268"/>
      <c r="FYX352" s="268"/>
      <c r="FYY352" s="268"/>
      <c r="FYZ352" s="268"/>
      <c r="FZA352" s="268"/>
      <c r="FZB352" s="268"/>
      <c r="FZC352" s="268"/>
      <c r="FZD352" s="268"/>
      <c r="FZE352" s="268"/>
      <c r="FZF352" s="268"/>
      <c r="FZG352" s="268"/>
      <c r="FZH352" s="268"/>
      <c r="FZI352" s="268"/>
      <c r="FZJ352" s="268"/>
      <c r="FZK352" s="268"/>
      <c r="FZL352" s="268"/>
      <c r="FZM352" s="268"/>
      <c r="FZN352" s="268"/>
      <c r="FZO352" s="268"/>
      <c r="FZP352" s="268"/>
      <c r="FZQ352" s="268"/>
      <c r="FZR352" s="268"/>
      <c r="FZS352" s="268"/>
      <c r="FZT352" s="268"/>
      <c r="FZU352" s="268"/>
      <c r="FZV352" s="268"/>
      <c r="FZW352" s="268"/>
      <c r="FZX352" s="268"/>
      <c r="FZY352" s="268"/>
      <c r="FZZ352" s="268"/>
      <c r="GAA352" s="268"/>
      <c r="GAB352" s="268"/>
      <c r="GAC352" s="268"/>
      <c r="GAD352" s="268"/>
      <c r="GAE352" s="268"/>
      <c r="GAF352" s="268"/>
      <c r="GAG352" s="268"/>
      <c r="GAH352" s="268"/>
      <c r="GAI352" s="268"/>
      <c r="GAJ352" s="268"/>
      <c r="GAK352" s="268"/>
      <c r="GAL352" s="268"/>
      <c r="GAM352" s="268"/>
      <c r="GAN352" s="268"/>
      <c r="GAO352" s="268"/>
      <c r="GAP352" s="268"/>
      <c r="GAQ352" s="268"/>
      <c r="GAR352" s="268"/>
      <c r="GAS352" s="268"/>
      <c r="GAT352" s="268"/>
      <c r="GAU352" s="268"/>
      <c r="GAV352" s="268"/>
      <c r="GAW352" s="268"/>
      <c r="GAX352" s="268"/>
      <c r="GAY352" s="268"/>
      <c r="GAZ352" s="268"/>
      <c r="GBA352" s="268"/>
      <c r="GBB352" s="268"/>
      <c r="GBC352" s="268"/>
      <c r="GBD352" s="268"/>
      <c r="GBE352" s="268"/>
      <c r="GBF352" s="268"/>
      <c r="GBG352" s="268"/>
      <c r="GBH352" s="268"/>
      <c r="GBI352" s="268"/>
      <c r="GBJ352" s="268"/>
      <c r="GBK352" s="268"/>
      <c r="GBL352" s="268"/>
      <c r="GBM352" s="268"/>
      <c r="GBN352" s="268"/>
      <c r="GBO352" s="268"/>
      <c r="GBP352" s="268"/>
      <c r="GBQ352" s="268"/>
      <c r="GBR352" s="268"/>
      <c r="GBS352" s="268"/>
      <c r="GBT352" s="268"/>
      <c r="GBU352" s="268"/>
      <c r="GBV352" s="268"/>
      <c r="GBW352" s="268"/>
      <c r="GBX352" s="268"/>
      <c r="GBY352" s="268"/>
      <c r="GBZ352" s="268"/>
      <c r="GCA352" s="268"/>
      <c r="GCB352" s="268"/>
      <c r="GCC352" s="268"/>
      <c r="GCD352" s="268"/>
      <c r="GCE352" s="268"/>
      <c r="GCF352" s="268"/>
      <c r="GCG352" s="268"/>
      <c r="GCH352" s="268"/>
      <c r="GCI352" s="268"/>
      <c r="GCJ352" s="268"/>
      <c r="GCK352" s="268"/>
      <c r="GCL352" s="268"/>
      <c r="GCM352" s="268"/>
      <c r="GCN352" s="268"/>
      <c r="GCO352" s="268"/>
      <c r="GCP352" s="268"/>
      <c r="GCQ352" s="268"/>
      <c r="GCR352" s="268"/>
      <c r="GCS352" s="268"/>
      <c r="GCT352" s="268"/>
      <c r="GCU352" s="268"/>
      <c r="GCV352" s="268"/>
      <c r="GCW352" s="268"/>
      <c r="GCX352" s="268"/>
      <c r="GCY352" s="268"/>
      <c r="GCZ352" s="268"/>
      <c r="GDA352" s="268"/>
      <c r="GDB352" s="268"/>
      <c r="GDC352" s="268"/>
      <c r="GDD352" s="268"/>
      <c r="GDE352" s="268"/>
      <c r="GDF352" s="268"/>
      <c r="GDG352" s="268"/>
      <c r="GDH352" s="268"/>
      <c r="GDI352" s="268"/>
      <c r="GDJ352" s="268"/>
      <c r="GDK352" s="268"/>
      <c r="GDL352" s="268"/>
      <c r="GDM352" s="268"/>
      <c r="GDN352" s="268"/>
      <c r="GDO352" s="268"/>
      <c r="GDP352" s="268"/>
      <c r="GDQ352" s="268"/>
      <c r="GDR352" s="268"/>
      <c r="GDS352" s="268"/>
      <c r="GEG352" s="268"/>
      <c r="GEH352" s="268"/>
      <c r="GEI352" s="268"/>
      <c r="GEW352" s="268"/>
      <c r="GEY352" s="268"/>
      <c r="GEZ352" s="268"/>
      <c r="GFA352" s="268"/>
      <c r="GFB352" s="268"/>
      <c r="GFC352" s="268"/>
      <c r="GFD352" s="268"/>
      <c r="GFE352" s="268"/>
      <c r="GFF352" s="268"/>
      <c r="GFG352" s="268"/>
      <c r="GFH352" s="268"/>
      <c r="GFI352" s="268"/>
      <c r="GFJ352" s="268"/>
      <c r="GFK352" s="268"/>
      <c r="GFL352" s="268"/>
      <c r="GFM352" s="268"/>
      <c r="GFN352" s="268"/>
      <c r="GFO352" s="268"/>
      <c r="GFP352" s="268"/>
      <c r="GFQ352" s="268"/>
      <c r="GFR352" s="268"/>
      <c r="GFS352" s="268"/>
      <c r="GFT352" s="268"/>
      <c r="GFU352" s="268"/>
      <c r="GFV352" s="268"/>
      <c r="GFW352" s="268"/>
      <c r="GFX352" s="268"/>
      <c r="GFY352" s="268"/>
      <c r="GFZ352" s="268"/>
      <c r="GGA352" s="268"/>
      <c r="GGB352" s="268"/>
      <c r="GGC352" s="268"/>
      <c r="GGD352" s="268"/>
      <c r="GGE352" s="268"/>
      <c r="GGF352" s="268"/>
      <c r="GGG352" s="268"/>
      <c r="GGH352" s="268"/>
      <c r="GGI352" s="268"/>
      <c r="GGJ352" s="268"/>
      <c r="GGK352" s="268"/>
      <c r="GGL352" s="268"/>
      <c r="GGM352" s="268"/>
      <c r="GGN352" s="268"/>
      <c r="GGO352" s="268"/>
      <c r="GGP352" s="268"/>
      <c r="GGQ352" s="268"/>
      <c r="GGR352" s="268"/>
      <c r="GGS352" s="268"/>
      <c r="GGT352" s="268"/>
      <c r="GGU352" s="268"/>
      <c r="GGV352" s="268"/>
      <c r="GGW352" s="268"/>
      <c r="GGX352" s="268"/>
      <c r="GGY352" s="268"/>
      <c r="GGZ352" s="268"/>
      <c r="GHA352" s="268"/>
      <c r="GHB352" s="268"/>
      <c r="GHC352" s="268"/>
      <c r="GHD352" s="268"/>
      <c r="GHE352" s="268"/>
      <c r="GHF352" s="268"/>
      <c r="GHG352" s="268"/>
      <c r="GHH352" s="268"/>
      <c r="GHI352" s="268"/>
      <c r="GHJ352" s="268"/>
      <c r="GHK352" s="268"/>
      <c r="GHL352" s="268"/>
      <c r="GHM352" s="268"/>
      <c r="GHN352" s="268"/>
      <c r="GHO352" s="268"/>
      <c r="GHP352" s="268"/>
      <c r="GHQ352" s="268"/>
      <c r="GHR352" s="268"/>
      <c r="GHS352" s="268"/>
      <c r="GHT352" s="268"/>
      <c r="GHU352" s="268"/>
      <c r="GHV352" s="268"/>
      <c r="GHW352" s="268"/>
      <c r="GHX352" s="268"/>
      <c r="GHY352" s="268"/>
      <c r="GHZ352" s="268"/>
      <c r="GIA352" s="268"/>
      <c r="GIB352" s="268"/>
      <c r="GIC352" s="268"/>
      <c r="GID352" s="268"/>
      <c r="GIE352" s="268"/>
      <c r="GIF352" s="268"/>
      <c r="GIG352" s="268"/>
      <c r="GIH352" s="268"/>
      <c r="GII352" s="268"/>
      <c r="GIJ352" s="268"/>
      <c r="GIK352" s="268"/>
      <c r="GIL352" s="268"/>
      <c r="GIM352" s="268"/>
      <c r="GIN352" s="268"/>
      <c r="GIO352" s="268"/>
      <c r="GIP352" s="268"/>
      <c r="GIQ352" s="268"/>
      <c r="GIR352" s="268"/>
      <c r="GIS352" s="268"/>
      <c r="GIT352" s="268"/>
      <c r="GIU352" s="268"/>
      <c r="GIV352" s="268"/>
      <c r="GIW352" s="268"/>
      <c r="GIX352" s="268"/>
      <c r="GIY352" s="268"/>
      <c r="GIZ352" s="268"/>
      <c r="GJA352" s="268"/>
      <c r="GJB352" s="268"/>
      <c r="GJC352" s="268"/>
      <c r="GJD352" s="268"/>
      <c r="GJE352" s="268"/>
      <c r="GJF352" s="268"/>
      <c r="GJG352" s="268"/>
      <c r="GJH352" s="268"/>
      <c r="GJI352" s="268"/>
      <c r="GJJ352" s="268"/>
      <c r="GJK352" s="268"/>
      <c r="GJL352" s="268"/>
      <c r="GJM352" s="268"/>
      <c r="GJN352" s="268"/>
      <c r="GJO352" s="268"/>
      <c r="GJP352" s="268"/>
      <c r="GJQ352" s="268"/>
      <c r="GJR352" s="268"/>
      <c r="GJS352" s="268"/>
      <c r="GJT352" s="268"/>
      <c r="GJU352" s="268"/>
      <c r="GJV352" s="268"/>
      <c r="GJW352" s="268"/>
      <c r="GJX352" s="268"/>
      <c r="GJY352" s="268"/>
      <c r="GJZ352" s="268"/>
      <c r="GKA352" s="268"/>
      <c r="GKB352" s="268"/>
      <c r="GKC352" s="268"/>
      <c r="GKD352" s="268"/>
      <c r="GKE352" s="268"/>
      <c r="GKF352" s="268"/>
      <c r="GKG352" s="268"/>
      <c r="GKH352" s="268"/>
      <c r="GKI352" s="268"/>
      <c r="GKJ352" s="268"/>
      <c r="GKK352" s="268"/>
      <c r="GKL352" s="268"/>
      <c r="GKM352" s="268"/>
      <c r="GKN352" s="268"/>
      <c r="GKO352" s="268"/>
      <c r="GKP352" s="268"/>
      <c r="GKQ352" s="268"/>
      <c r="GKR352" s="268"/>
      <c r="GKS352" s="268"/>
      <c r="GKT352" s="268"/>
      <c r="GKU352" s="268"/>
      <c r="GKV352" s="268"/>
      <c r="GKW352" s="268"/>
      <c r="GKX352" s="268"/>
      <c r="GKY352" s="268"/>
      <c r="GKZ352" s="268"/>
      <c r="GLA352" s="268"/>
      <c r="GLB352" s="268"/>
      <c r="GLC352" s="268"/>
      <c r="GLD352" s="268"/>
      <c r="GLE352" s="268"/>
      <c r="GLF352" s="268"/>
      <c r="GLG352" s="268"/>
      <c r="GLH352" s="268"/>
      <c r="GLI352" s="268"/>
      <c r="GLJ352" s="268"/>
      <c r="GLK352" s="268"/>
      <c r="GLL352" s="268"/>
      <c r="GLM352" s="268"/>
      <c r="GLN352" s="268"/>
      <c r="GLO352" s="268"/>
      <c r="GLP352" s="268"/>
      <c r="GLQ352" s="268"/>
      <c r="GLR352" s="268"/>
      <c r="GLS352" s="268"/>
      <c r="GLT352" s="268"/>
      <c r="GLU352" s="268"/>
      <c r="GLV352" s="268"/>
      <c r="GLW352" s="268"/>
      <c r="GLX352" s="268"/>
      <c r="GLY352" s="268"/>
      <c r="GLZ352" s="268"/>
      <c r="GMA352" s="268"/>
      <c r="GMB352" s="268"/>
      <c r="GMC352" s="268"/>
      <c r="GMD352" s="268"/>
      <c r="GME352" s="268"/>
      <c r="GMF352" s="268"/>
      <c r="GMG352" s="268"/>
      <c r="GMH352" s="268"/>
      <c r="GMI352" s="268"/>
      <c r="GMJ352" s="268"/>
      <c r="GMK352" s="268"/>
      <c r="GML352" s="268"/>
      <c r="GMM352" s="268"/>
      <c r="GMN352" s="268"/>
      <c r="GMO352" s="268"/>
      <c r="GMP352" s="268"/>
      <c r="GMQ352" s="268"/>
      <c r="GMR352" s="268"/>
      <c r="GMS352" s="268"/>
      <c r="GMT352" s="268"/>
      <c r="GMU352" s="268"/>
      <c r="GMV352" s="268"/>
      <c r="GMW352" s="268"/>
      <c r="GMX352" s="268"/>
      <c r="GMY352" s="268"/>
      <c r="GMZ352" s="268"/>
      <c r="GNA352" s="268"/>
      <c r="GNB352" s="268"/>
      <c r="GNC352" s="268"/>
      <c r="GND352" s="268"/>
      <c r="GNE352" s="268"/>
      <c r="GNF352" s="268"/>
      <c r="GNG352" s="268"/>
      <c r="GNH352" s="268"/>
      <c r="GNI352" s="268"/>
      <c r="GNJ352" s="268"/>
      <c r="GNK352" s="268"/>
      <c r="GNL352" s="268"/>
      <c r="GNM352" s="268"/>
      <c r="GNN352" s="268"/>
      <c r="GNO352" s="268"/>
      <c r="GOC352" s="268"/>
      <c r="GOD352" s="268"/>
      <c r="GOE352" s="268"/>
      <c r="GOS352" s="268"/>
      <c r="GOU352" s="268"/>
      <c r="GOV352" s="268"/>
      <c r="GOW352" s="268"/>
      <c r="GOX352" s="268"/>
      <c r="GOY352" s="268"/>
      <c r="GOZ352" s="268"/>
      <c r="GPA352" s="268"/>
      <c r="GPB352" s="268"/>
      <c r="GPC352" s="268"/>
      <c r="GPD352" s="268"/>
      <c r="GPE352" s="268"/>
      <c r="GPF352" s="268"/>
      <c r="GPG352" s="268"/>
      <c r="GPH352" s="268"/>
      <c r="GPI352" s="268"/>
      <c r="GPJ352" s="268"/>
      <c r="GPK352" s="268"/>
      <c r="GPL352" s="268"/>
      <c r="GPM352" s="268"/>
      <c r="GPN352" s="268"/>
      <c r="GPO352" s="268"/>
      <c r="GPP352" s="268"/>
      <c r="GPQ352" s="268"/>
      <c r="GPR352" s="268"/>
      <c r="GPS352" s="268"/>
      <c r="GPT352" s="268"/>
      <c r="GPU352" s="268"/>
      <c r="GPV352" s="268"/>
      <c r="GPW352" s="268"/>
      <c r="GPX352" s="268"/>
      <c r="GPY352" s="268"/>
      <c r="GPZ352" s="268"/>
      <c r="GQA352" s="268"/>
      <c r="GQB352" s="268"/>
      <c r="GQC352" s="268"/>
      <c r="GQD352" s="268"/>
      <c r="GQE352" s="268"/>
      <c r="GQF352" s="268"/>
      <c r="GQG352" s="268"/>
      <c r="GQH352" s="268"/>
      <c r="GQI352" s="268"/>
      <c r="GQJ352" s="268"/>
      <c r="GQK352" s="268"/>
      <c r="GQL352" s="268"/>
      <c r="GQM352" s="268"/>
      <c r="GQN352" s="268"/>
      <c r="GQO352" s="268"/>
      <c r="GQP352" s="268"/>
      <c r="GQQ352" s="268"/>
      <c r="GQR352" s="268"/>
      <c r="GQS352" s="268"/>
      <c r="GQT352" s="268"/>
      <c r="GQU352" s="268"/>
      <c r="GQV352" s="268"/>
      <c r="GQW352" s="268"/>
      <c r="GQX352" s="268"/>
      <c r="GQY352" s="268"/>
      <c r="GQZ352" s="268"/>
      <c r="GRA352" s="268"/>
      <c r="GRB352" s="268"/>
      <c r="GRC352" s="268"/>
      <c r="GRD352" s="268"/>
      <c r="GRE352" s="268"/>
      <c r="GRF352" s="268"/>
      <c r="GRG352" s="268"/>
      <c r="GRH352" s="268"/>
      <c r="GRI352" s="268"/>
      <c r="GRJ352" s="268"/>
      <c r="GRK352" s="268"/>
      <c r="GRL352" s="268"/>
      <c r="GRM352" s="268"/>
      <c r="GRN352" s="268"/>
      <c r="GRO352" s="268"/>
      <c r="GRP352" s="268"/>
      <c r="GRQ352" s="268"/>
      <c r="GRR352" s="268"/>
      <c r="GRS352" s="268"/>
      <c r="GRT352" s="268"/>
      <c r="GRU352" s="268"/>
      <c r="GRV352" s="268"/>
      <c r="GRW352" s="268"/>
      <c r="GRX352" s="268"/>
      <c r="GRY352" s="268"/>
      <c r="GRZ352" s="268"/>
      <c r="GSA352" s="268"/>
      <c r="GSB352" s="268"/>
      <c r="GSC352" s="268"/>
      <c r="GSD352" s="268"/>
      <c r="GSE352" s="268"/>
      <c r="GSF352" s="268"/>
      <c r="GSG352" s="268"/>
      <c r="GSH352" s="268"/>
      <c r="GSI352" s="268"/>
      <c r="GSJ352" s="268"/>
      <c r="GSK352" s="268"/>
      <c r="GSL352" s="268"/>
      <c r="GSM352" s="268"/>
      <c r="GSN352" s="268"/>
      <c r="GSO352" s="268"/>
      <c r="GSP352" s="268"/>
      <c r="GSQ352" s="268"/>
      <c r="GSR352" s="268"/>
      <c r="GSS352" s="268"/>
      <c r="GST352" s="268"/>
      <c r="GSU352" s="268"/>
      <c r="GSV352" s="268"/>
      <c r="GSW352" s="268"/>
      <c r="GSX352" s="268"/>
      <c r="GSY352" s="268"/>
      <c r="GSZ352" s="268"/>
      <c r="GTA352" s="268"/>
      <c r="GTB352" s="268"/>
      <c r="GTC352" s="268"/>
      <c r="GTD352" s="268"/>
      <c r="GTE352" s="268"/>
      <c r="GTF352" s="268"/>
      <c r="GTG352" s="268"/>
      <c r="GTH352" s="268"/>
      <c r="GTI352" s="268"/>
      <c r="GTJ352" s="268"/>
      <c r="GTK352" s="268"/>
      <c r="GTL352" s="268"/>
      <c r="GTM352" s="268"/>
      <c r="GTN352" s="268"/>
      <c r="GTO352" s="268"/>
      <c r="GTP352" s="268"/>
      <c r="GTQ352" s="268"/>
      <c r="GTR352" s="268"/>
      <c r="GTS352" s="268"/>
      <c r="GTT352" s="268"/>
      <c r="GTU352" s="268"/>
      <c r="GTV352" s="268"/>
      <c r="GTW352" s="268"/>
      <c r="GTX352" s="268"/>
      <c r="GTY352" s="268"/>
      <c r="GTZ352" s="268"/>
      <c r="GUA352" s="268"/>
      <c r="GUB352" s="268"/>
      <c r="GUC352" s="268"/>
      <c r="GUD352" s="268"/>
      <c r="GUE352" s="268"/>
      <c r="GUF352" s="268"/>
      <c r="GUG352" s="268"/>
      <c r="GUH352" s="268"/>
      <c r="GUI352" s="268"/>
      <c r="GUJ352" s="268"/>
      <c r="GUK352" s="268"/>
      <c r="GUL352" s="268"/>
      <c r="GUM352" s="268"/>
      <c r="GUN352" s="268"/>
      <c r="GUO352" s="268"/>
      <c r="GUP352" s="268"/>
      <c r="GUQ352" s="268"/>
      <c r="GUR352" s="268"/>
      <c r="GUS352" s="268"/>
      <c r="GUT352" s="268"/>
      <c r="GUU352" s="268"/>
      <c r="GUV352" s="268"/>
      <c r="GUW352" s="268"/>
      <c r="GUX352" s="268"/>
      <c r="GUY352" s="268"/>
      <c r="GUZ352" s="268"/>
      <c r="GVA352" s="268"/>
      <c r="GVB352" s="268"/>
      <c r="GVC352" s="268"/>
      <c r="GVD352" s="268"/>
      <c r="GVE352" s="268"/>
      <c r="GVF352" s="268"/>
      <c r="GVG352" s="268"/>
      <c r="GVH352" s="268"/>
      <c r="GVI352" s="268"/>
      <c r="GVJ352" s="268"/>
      <c r="GVK352" s="268"/>
      <c r="GVL352" s="268"/>
      <c r="GVM352" s="268"/>
      <c r="GVN352" s="268"/>
      <c r="GVO352" s="268"/>
      <c r="GVP352" s="268"/>
      <c r="GVQ352" s="268"/>
      <c r="GVR352" s="268"/>
      <c r="GVS352" s="268"/>
      <c r="GVT352" s="268"/>
      <c r="GVU352" s="268"/>
      <c r="GVV352" s="268"/>
      <c r="GVW352" s="268"/>
      <c r="GVX352" s="268"/>
      <c r="GVY352" s="268"/>
      <c r="GVZ352" s="268"/>
      <c r="GWA352" s="268"/>
      <c r="GWB352" s="268"/>
      <c r="GWC352" s="268"/>
      <c r="GWD352" s="268"/>
      <c r="GWE352" s="268"/>
      <c r="GWF352" s="268"/>
      <c r="GWG352" s="268"/>
      <c r="GWH352" s="268"/>
      <c r="GWI352" s="268"/>
      <c r="GWJ352" s="268"/>
      <c r="GWK352" s="268"/>
      <c r="GWL352" s="268"/>
      <c r="GWM352" s="268"/>
      <c r="GWN352" s="268"/>
      <c r="GWO352" s="268"/>
      <c r="GWP352" s="268"/>
      <c r="GWQ352" s="268"/>
      <c r="GWR352" s="268"/>
      <c r="GWS352" s="268"/>
      <c r="GWT352" s="268"/>
      <c r="GWU352" s="268"/>
      <c r="GWV352" s="268"/>
      <c r="GWW352" s="268"/>
      <c r="GWX352" s="268"/>
      <c r="GWY352" s="268"/>
      <c r="GWZ352" s="268"/>
      <c r="GXA352" s="268"/>
      <c r="GXB352" s="268"/>
      <c r="GXC352" s="268"/>
      <c r="GXD352" s="268"/>
      <c r="GXE352" s="268"/>
      <c r="GXF352" s="268"/>
      <c r="GXG352" s="268"/>
      <c r="GXH352" s="268"/>
      <c r="GXI352" s="268"/>
      <c r="GXJ352" s="268"/>
      <c r="GXK352" s="268"/>
      <c r="GXY352" s="268"/>
      <c r="GXZ352" s="268"/>
      <c r="GYA352" s="268"/>
      <c r="GYO352" s="268"/>
      <c r="GYQ352" s="268"/>
      <c r="GYR352" s="268"/>
      <c r="GYS352" s="268"/>
      <c r="GYT352" s="268"/>
      <c r="GYU352" s="268"/>
      <c r="GYV352" s="268"/>
      <c r="GYW352" s="268"/>
      <c r="GYX352" s="268"/>
      <c r="GYY352" s="268"/>
      <c r="GYZ352" s="268"/>
      <c r="GZA352" s="268"/>
      <c r="GZB352" s="268"/>
      <c r="GZC352" s="268"/>
      <c r="GZD352" s="268"/>
      <c r="GZE352" s="268"/>
      <c r="GZF352" s="268"/>
      <c r="GZG352" s="268"/>
      <c r="GZH352" s="268"/>
      <c r="GZI352" s="268"/>
      <c r="GZJ352" s="268"/>
      <c r="GZK352" s="268"/>
      <c r="GZL352" s="268"/>
      <c r="GZM352" s="268"/>
      <c r="GZN352" s="268"/>
      <c r="GZO352" s="268"/>
      <c r="GZP352" s="268"/>
      <c r="GZQ352" s="268"/>
      <c r="GZR352" s="268"/>
      <c r="GZS352" s="268"/>
      <c r="GZT352" s="268"/>
      <c r="GZU352" s="268"/>
      <c r="GZV352" s="268"/>
      <c r="GZW352" s="268"/>
      <c r="GZX352" s="268"/>
      <c r="GZY352" s="268"/>
      <c r="GZZ352" s="268"/>
      <c r="HAA352" s="268"/>
      <c r="HAB352" s="268"/>
      <c r="HAC352" s="268"/>
      <c r="HAD352" s="268"/>
      <c r="HAE352" s="268"/>
      <c r="HAF352" s="268"/>
      <c r="HAG352" s="268"/>
      <c r="HAH352" s="268"/>
      <c r="HAI352" s="268"/>
      <c r="HAJ352" s="268"/>
      <c r="HAK352" s="268"/>
      <c r="HAL352" s="268"/>
      <c r="HAM352" s="268"/>
      <c r="HAN352" s="268"/>
      <c r="HAO352" s="268"/>
      <c r="HAP352" s="268"/>
      <c r="HAQ352" s="268"/>
      <c r="HAR352" s="268"/>
      <c r="HAS352" s="268"/>
      <c r="HAT352" s="268"/>
      <c r="HAU352" s="268"/>
      <c r="HAV352" s="268"/>
      <c r="HAW352" s="268"/>
      <c r="HAX352" s="268"/>
      <c r="HAY352" s="268"/>
      <c r="HAZ352" s="268"/>
      <c r="HBA352" s="268"/>
      <c r="HBB352" s="268"/>
      <c r="HBC352" s="268"/>
      <c r="HBD352" s="268"/>
      <c r="HBE352" s="268"/>
      <c r="HBF352" s="268"/>
      <c r="HBG352" s="268"/>
      <c r="HBH352" s="268"/>
      <c r="HBI352" s="268"/>
      <c r="HBJ352" s="268"/>
      <c r="HBK352" s="268"/>
      <c r="HBL352" s="268"/>
      <c r="HBM352" s="268"/>
      <c r="HBN352" s="268"/>
      <c r="HBO352" s="268"/>
      <c r="HBP352" s="268"/>
      <c r="HBQ352" s="268"/>
      <c r="HBR352" s="268"/>
      <c r="HBS352" s="268"/>
      <c r="HBT352" s="268"/>
      <c r="HBU352" s="268"/>
      <c r="HBV352" s="268"/>
      <c r="HBW352" s="268"/>
      <c r="HBX352" s="268"/>
      <c r="HBY352" s="268"/>
      <c r="HBZ352" s="268"/>
      <c r="HCA352" s="268"/>
      <c r="HCB352" s="268"/>
      <c r="HCC352" s="268"/>
      <c r="HCD352" s="268"/>
      <c r="HCE352" s="268"/>
      <c r="HCF352" s="268"/>
      <c r="HCG352" s="268"/>
      <c r="HCH352" s="268"/>
      <c r="HCI352" s="268"/>
      <c r="HCJ352" s="268"/>
      <c r="HCK352" s="268"/>
      <c r="HCL352" s="268"/>
      <c r="HCM352" s="268"/>
      <c r="HCN352" s="268"/>
      <c r="HCO352" s="268"/>
      <c r="HCP352" s="268"/>
      <c r="HCQ352" s="268"/>
      <c r="HCR352" s="268"/>
      <c r="HCS352" s="268"/>
      <c r="HCT352" s="268"/>
      <c r="HCU352" s="268"/>
      <c r="HCV352" s="268"/>
      <c r="HCW352" s="268"/>
      <c r="HCX352" s="268"/>
      <c r="HCY352" s="268"/>
      <c r="HCZ352" s="268"/>
      <c r="HDA352" s="268"/>
      <c r="HDB352" s="268"/>
      <c r="HDC352" s="268"/>
      <c r="HDD352" s="268"/>
      <c r="HDE352" s="268"/>
      <c r="HDF352" s="268"/>
      <c r="HDG352" s="268"/>
      <c r="HDH352" s="268"/>
      <c r="HDI352" s="268"/>
      <c r="HDJ352" s="268"/>
      <c r="HDK352" s="268"/>
      <c r="HDL352" s="268"/>
      <c r="HDM352" s="268"/>
      <c r="HDN352" s="268"/>
      <c r="HDO352" s="268"/>
      <c r="HDP352" s="268"/>
      <c r="HDQ352" s="268"/>
      <c r="HDR352" s="268"/>
      <c r="HDS352" s="268"/>
      <c r="HDT352" s="268"/>
      <c r="HDU352" s="268"/>
      <c r="HDV352" s="268"/>
      <c r="HDW352" s="268"/>
      <c r="HDX352" s="268"/>
      <c r="HDY352" s="268"/>
      <c r="HDZ352" s="268"/>
      <c r="HEA352" s="268"/>
      <c r="HEB352" s="268"/>
      <c r="HEC352" s="268"/>
      <c r="HED352" s="268"/>
      <c r="HEE352" s="268"/>
      <c r="HEF352" s="268"/>
      <c r="HEG352" s="268"/>
      <c r="HEH352" s="268"/>
      <c r="HEI352" s="268"/>
      <c r="HEJ352" s="268"/>
      <c r="HEK352" s="268"/>
      <c r="HEL352" s="268"/>
      <c r="HEM352" s="268"/>
      <c r="HEN352" s="268"/>
      <c r="HEO352" s="268"/>
      <c r="HEP352" s="268"/>
      <c r="HEQ352" s="268"/>
      <c r="HER352" s="268"/>
      <c r="HES352" s="268"/>
      <c r="HET352" s="268"/>
      <c r="HEU352" s="268"/>
      <c r="HEV352" s="268"/>
      <c r="HEW352" s="268"/>
      <c r="HEX352" s="268"/>
      <c r="HEY352" s="268"/>
      <c r="HEZ352" s="268"/>
      <c r="HFA352" s="268"/>
      <c r="HFB352" s="268"/>
      <c r="HFC352" s="268"/>
      <c r="HFD352" s="268"/>
      <c r="HFE352" s="268"/>
      <c r="HFF352" s="268"/>
      <c r="HFG352" s="268"/>
      <c r="HFH352" s="268"/>
      <c r="HFI352" s="268"/>
      <c r="HFJ352" s="268"/>
      <c r="HFK352" s="268"/>
      <c r="HFL352" s="268"/>
      <c r="HFM352" s="268"/>
      <c r="HFN352" s="268"/>
      <c r="HFO352" s="268"/>
      <c r="HFP352" s="268"/>
      <c r="HFQ352" s="268"/>
      <c r="HFR352" s="268"/>
      <c r="HFS352" s="268"/>
      <c r="HFT352" s="268"/>
      <c r="HFU352" s="268"/>
      <c r="HFV352" s="268"/>
      <c r="HFW352" s="268"/>
      <c r="HFX352" s="268"/>
      <c r="HFY352" s="268"/>
      <c r="HFZ352" s="268"/>
      <c r="HGA352" s="268"/>
      <c r="HGB352" s="268"/>
      <c r="HGC352" s="268"/>
      <c r="HGD352" s="268"/>
      <c r="HGE352" s="268"/>
      <c r="HGF352" s="268"/>
      <c r="HGG352" s="268"/>
      <c r="HGH352" s="268"/>
      <c r="HGI352" s="268"/>
      <c r="HGJ352" s="268"/>
      <c r="HGK352" s="268"/>
      <c r="HGL352" s="268"/>
      <c r="HGM352" s="268"/>
      <c r="HGN352" s="268"/>
      <c r="HGO352" s="268"/>
      <c r="HGP352" s="268"/>
      <c r="HGQ352" s="268"/>
      <c r="HGR352" s="268"/>
      <c r="HGS352" s="268"/>
      <c r="HGT352" s="268"/>
      <c r="HGU352" s="268"/>
      <c r="HGV352" s="268"/>
      <c r="HGW352" s="268"/>
      <c r="HGX352" s="268"/>
      <c r="HGY352" s="268"/>
      <c r="HGZ352" s="268"/>
      <c r="HHA352" s="268"/>
      <c r="HHB352" s="268"/>
      <c r="HHC352" s="268"/>
      <c r="HHD352" s="268"/>
      <c r="HHE352" s="268"/>
      <c r="HHF352" s="268"/>
      <c r="HHG352" s="268"/>
      <c r="HHU352" s="268"/>
      <c r="HHV352" s="268"/>
      <c r="HHW352" s="268"/>
      <c r="HIK352" s="268"/>
      <c r="HIM352" s="268"/>
      <c r="HIN352" s="268"/>
      <c r="HIO352" s="268"/>
      <c r="HIP352" s="268"/>
      <c r="HIQ352" s="268"/>
      <c r="HIR352" s="268"/>
      <c r="HIS352" s="268"/>
      <c r="HIT352" s="268"/>
      <c r="HIU352" s="268"/>
      <c r="HIV352" s="268"/>
      <c r="HIW352" s="268"/>
      <c r="HIX352" s="268"/>
      <c r="HIY352" s="268"/>
      <c r="HIZ352" s="268"/>
      <c r="HJA352" s="268"/>
      <c r="HJB352" s="268"/>
      <c r="HJC352" s="268"/>
      <c r="HJD352" s="268"/>
      <c r="HJE352" s="268"/>
      <c r="HJF352" s="268"/>
      <c r="HJG352" s="268"/>
      <c r="HJH352" s="268"/>
      <c r="HJI352" s="268"/>
      <c r="HJJ352" s="268"/>
      <c r="HJK352" s="268"/>
      <c r="HJL352" s="268"/>
      <c r="HJM352" s="268"/>
      <c r="HJN352" s="268"/>
      <c r="HJO352" s="268"/>
      <c r="HJP352" s="268"/>
      <c r="HJQ352" s="268"/>
      <c r="HJR352" s="268"/>
      <c r="HJS352" s="268"/>
      <c r="HJT352" s="268"/>
      <c r="HJU352" s="268"/>
      <c r="HJV352" s="268"/>
      <c r="HJW352" s="268"/>
      <c r="HJX352" s="268"/>
      <c r="HJY352" s="268"/>
      <c r="HJZ352" s="268"/>
      <c r="HKA352" s="268"/>
      <c r="HKB352" s="268"/>
      <c r="HKC352" s="268"/>
      <c r="HKD352" s="268"/>
      <c r="HKE352" s="268"/>
      <c r="HKF352" s="268"/>
      <c r="HKG352" s="268"/>
      <c r="HKH352" s="268"/>
      <c r="HKI352" s="268"/>
      <c r="HKJ352" s="268"/>
      <c r="HKK352" s="268"/>
      <c r="HKL352" s="268"/>
      <c r="HKM352" s="268"/>
      <c r="HKN352" s="268"/>
      <c r="HKO352" s="268"/>
      <c r="HKP352" s="268"/>
      <c r="HKQ352" s="268"/>
      <c r="HKR352" s="268"/>
      <c r="HKS352" s="268"/>
      <c r="HKT352" s="268"/>
      <c r="HKU352" s="268"/>
      <c r="HKV352" s="268"/>
      <c r="HKW352" s="268"/>
      <c r="HKX352" s="268"/>
      <c r="HKY352" s="268"/>
      <c r="HKZ352" s="268"/>
      <c r="HLA352" s="268"/>
      <c r="HLB352" s="268"/>
      <c r="HLC352" s="268"/>
      <c r="HLD352" s="268"/>
      <c r="HLE352" s="268"/>
      <c r="HLF352" s="268"/>
      <c r="HLG352" s="268"/>
      <c r="HLH352" s="268"/>
      <c r="HLI352" s="268"/>
      <c r="HLJ352" s="268"/>
      <c r="HLK352" s="268"/>
      <c r="HLL352" s="268"/>
      <c r="HLM352" s="268"/>
      <c r="HLN352" s="268"/>
      <c r="HLO352" s="268"/>
      <c r="HLP352" s="268"/>
      <c r="HLQ352" s="268"/>
      <c r="HLR352" s="268"/>
      <c r="HLS352" s="268"/>
      <c r="HLT352" s="268"/>
      <c r="HLU352" s="268"/>
      <c r="HLV352" s="268"/>
      <c r="HLW352" s="268"/>
      <c r="HLX352" s="268"/>
      <c r="HLY352" s="268"/>
      <c r="HLZ352" s="268"/>
      <c r="HMA352" s="268"/>
      <c r="HMB352" s="268"/>
      <c r="HMC352" s="268"/>
      <c r="HMD352" s="268"/>
      <c r="HME352" s="268"/>
      <c r="HMF352" s="268"/>
      <c r="HMG352" s="268"/>
      <c r="HMH352" s="268"/>
      <c r="HMI352" s="268"/>
      <c r="HMJ352" s="268"/>
      <c r="HMK352" s="268"/>
      <c r="HML352" s="268"/>
      <c r="HMM352" s="268"/>
      <c r="HMN352" s="268"/>
      <c r="HMO352" s="268"/>
      <c r="HMP352" s="268"/>
      <c r="HMQ352" s="268"/>
      <c r="HMR352" s="268"/>
      <c r="HMS352" s="268"/>
      <c r="HMT352" s="268"/>
      <c r="HMU352" s="268"/>
      <c r="HMV352" s="268"/>
      <c r="HMW352" s="268"/>
      <c r="HMX352" s="268"/>
      <c r="HMY352" s="268"/>
      <c r="HMZ352" s="268"/>
      <c r="HNA352" s="268"/>
      <c r="HNB352" s="268"/>
      <c r="HNC352" s="268"/>
      <c r="HND352" s="268"/>
      <c r="HNE352" s="268"/>
      <c r="HNF352" s="268"/>
      <c r="HNG352" s="268"/>
      <c r="HNH352" s="268"/>
      <c r="HNI352" s="268"/>
      <c r="HNJ352" s="268"/>
      <c r="HNK352" s="268"/>
      <c r="HNL352" s="268"/>
      <c r="HNM352" s="268"/>
      <c r="HNN352" s="268"/>
      <c r="HNO352" s="268"/>
      <c r="HNP352" s="268"/>
      <c r="HNQ352" s="268"/>
      <c r="HNR352" s="268"/>
      <c r="HNS352" s="268"/>
      <c r="HNT352" s="268"/>
      <c r="HNU352" s="268"/>
      <c r="HNV352" s="268"/>
      <c r="HNW352" s="268"/>
      <c r="HNX352" s="268"/>
      <c r="HNY352" s="268"/>
      <c r="HNZ352" s="268"/>
      <c r="HOA352" s="268"/>
      <c r="HOB352" s="268"/>
      <c r="HOC352" s="268"/>
      <c r="HOD352" s="268"/>
      <c r="HOE352" s="268"/>
      <c r="HOF352" s="268"/>
      <c r="HOG352" s="268"/>
      <c r="HOH352" s="268"/>
      <c r="HOI352" s="268"/>
      <c r="HOJ352" s="268"/>
      <c r="HOK352" s="268"/>
      <c r="HOL352" s="268"/>
      <c r="HOM352" s="268"/>
      <c r="HON352" s="268"/>
      <c r="HOO352" s="268"/>
      <c r="HOP352" s="268"/>
      <c r="HOQ352" s="268"/>
      <c r="HOR352" s="268"/>
      <c r="HOS352" s="268"/>
      <c r="HOT352" s="268"/>
      <c r="HOU352" s="268"/>
      <c r="HOV352" s="268"/>
      <c r="HOW352" s="268"/>
      <c r="HOX352" s="268"/>
      <c r="HOY352" s="268"/>
      <c r="HOZ352" s="268"/>
      <c r="HPA352" s="268"/>
      <c r="HPB352" s="268"/>
      <c r="HPC352" s="268"/>
      <c r="HPD352" s="268"/>
      <c r="HPE352" s="268"/>
      <c r="HPF352" s="268"/>
      <c r="HPG352" s="268"/>
      <c r="HPH352" s="268"/>
      <c r="HPI352" s="268"/>
      <c r="HPJ352" s="268"/>
      <c r="HPK352" s="268"/>
      <c r="HPL352" s="268"/>
      <c r="HPM352" s="268"/>
      <c r="HPN352" s="268"/>
      <c r="HPO352" s="268"/>
      <c r="HPP352" s="268"/>
      <c r="HPQ352" s="268"/>
      <c r="HPR352" s="268"/>
      <c r="HPS352" s="268"/>
      <c r="HPT352" s="268"/>
      <c r="HPU352" s="268"/>
      <c r="HPV352" s="268"/>
      <c r="HPW352" s="268"/>
      <c r="HPX352" s="268"/>
      <c r="HPY352" s="268"/>
      <c r="HPZ352" s="268"/>
      <c r="HQA352" s="268"/>
      <c r="HQB352" s="268"/>
      <c r="HQC352" s="268"/>
      <c r="HQD352" s="268"/>
      <c r="HQE352" s="268"/>
      <c r="HQF352" s="268"/>
      <c r="HQG352" s="268"/>
      <c r="HQH352" s="268"/>
      <c r="HQI352" s="268"/>
      <c r="HQJ352" s="268"/>
      <c r="HQK352" s="268"/>
      <c r="HQL352" s="268"/>
      <c r="HQM352" s="268"/>
      <c r="HQN352" s="268"/>
      <c r="HQO352" s="268"/>
      <c r="HQP352" s="268"/>
      <c r="HQQ352" s="268"/>
      <c r="HQR352" s="268"/>
      <c r="HQS352" s="268"/>
      <c r="HQT352" s="268"/>
      <c r="HQU352" s="268"/>
      <c r="HQV352" s="268"/>
      <c r="HQW352" s="268"/>
      <c r="HQX352" s="268"/>
      <c r="HQY352" s="268"/>
      <c r="HQZ352" s="268"/>
      <c r="HRA352" s="268"/>
      <c r="HRB352" s="268"/>
      <c r="HRC352" s="268"/>
      <c r="HRQ352" s="268"/>
      <c r="HRR352" s="268"/>
      <c r="HRS352" s="268"/>
      <c r="HSG352" s="268"/>
      <c r="HSI352" s="268"/>
      <c r="HSJ352" s="268"/>
      <c r="HSK352" s="268"/>
      <c r="HSL352" s="268"/>
      <c r="HSM352" s="268"/>
      <c r="HSN352" s="268"/>
      <c r="HSO352" s="268"/>
      <c r="HSP352" s="268"/>
      <c r="HSQ352" s="268"/>
      <c r="HSR352" s="268"/>
      <c r="HSS352" s="268"/>
      <c r="HST352" s="268"/>
      <c r="HSU352" s="268"/>
      <c r="HSV352" s="268"/>
      <c r="HSW352" s="268"/>
      <c r="HSX352" s="268"/>
      <c r="HSY352" s="268"/>
      <c r="HSZ352" s="268"/>
      <c r="HTA352" s="268"/>
      <c r="HTB352" s="268"/>
      <c r="HTC352" s="268"/>
      <c r="HTD352" s="268"/>
      <c r="HTE352" s="268"/>
      <c r="HTF352" s="268"/>
      <c r="HTG352" s="268"/>
      <c r="HTH352" s="268"/>
      <c r="HTI352" s="268"/>
      <c r="HTJ352" s="268"/>
      <c r="HTK352" s="268"/>
      <c r="HTL352" s="268"/>
      <c r="HTM352" s="268"/>
      <c r="HTN352" s="268"/>
      <c r="HTO352" s="268"/>
      <c r="HTP352" s="268"/>
      <c r="HTQ352" s="268"/>
      <c r="HTR352" s="268"/>
      <c r="HTS352" s="268"/>
      <c r="HTT352" s="268"/>
      <c r="HTU352" s="268"/>
      <c r="HTV352" s="268"/>
      <c r="HTW352" s="268"/>
      <c r="HTX352" s="268"/>
      <c r="HTY352" s="268"/>
      <c r="HTZ352" s="268"/>
      <c r="HUA352" s="268"/>
      <c r="HUB352" s="268"/>
      <c r="HUC352" s="268"/>
      <c r="HUD352" s="268"/>
      <c r="HUE352" s="268"/>
      <c r="HUF352" s="268"/>
      <c r="HUG352" s="268"/>
      <c r="HUH352" s="268"/>
      <c r="HUI352" s="268"/>
      <c r="HUJ352" s="268"/>
      <c r="HUK352" s="268"/>
      <c r="HUL352" s="268"/>
      <c r="HUM352" s="268"/>
      <c r="HUN352" s="268"/>
      <c r="HUO352" s="268"/>
      <c r="HUP352" s="268"/>
      <c r="HUQ352" s="268"/>
      <c r="HUR352" s="268"/>
      <c r="HUS352" s="268"/>
      <c r="HUT352" s="268"/>
      <c r="HUU352" s="268"/>
      <c r="HUV352" s="268"/>
      <c r="HUW352" s="268"/>
      <c r="HUX352" s="268"/>
      <c r="HUY352" s="268"/>
      <c r="HUZ352" s="268"/>
      <c r="HVA352" s="268"/>
      <c r="HVB352" s="268"/>
      <c r="HVC352" s="268"/>
      <c r="HVD352" s="268"/>
      <c r="HVE352" s="268"/>
      <c r="HVF352" s="268"/>
      <c r="HVG352" s="268"/>
      <c r="HVH352" s="268"/>
      <c r="HVI352" s="268"/>
      <c r="HVJ352" s="268"/>
      <c r="HVK352" s="268"/>
      <c r="HVL352" s="268"/>
      <c r="HVM352" s="268"/>
      <c r="HVN352" s="268"/>
      <c r="HVO352" s="268"/>
      <c r="HVP352" s="268"/>
      <c r="HVQ352" s="268"/>
      <c r="HVR352" s="268"/>
      <c r="HVS352" s="268"/>
      <c r="HVT352" s="268"/>
      <c r="HVU352" s="268"/>
      <c r="HVV352" s="268"/>
      <c r="HVW352" s="268"/>
      <c r="HVX352" s="268"/>
      <c r="HVY352" s="268"/>
      <c r="HVZ352" s="268"/>
      <c r="HWA352" s="268"/>
      <c r="HWB352" s="268"/>
      <c r="HWC352" s="268"/>
      <c r="HWD352" s="268"/>
      <c r="HWE352" s="268"/>
      <c r="HWF352" s="268"/>
      <c r="HWG352" s="268"/>
      <c r="HWH352" s="268"/>
      <c r="HWI352" s="268"/>
      <c r="HWJ352" s="268"/>
      <c r="HWK352" s="268"/>
      <c r="HWL352" s="268"/>
      <c r="HWM352" s="268"/>
      <c r="HWN352" s="268"/>
      <c r="HWO352" s="268"/>
      <c r="HWP352" s="268"/>
      <c r="HWQ352" s="268"/>
      <c r="HWR352" s="268"/>
      <c r="HWS352" s="268"/>
      <c r="HWT352" s="268"/>
      <c r="HWU352" s="268"/>
      <c r="HWV352" s="268"/>
      <c r="HWW352" s="268"/>
      <c r="HWX352" s="268"/>
      <c r="HWY352" s="268"/>
      <c r="HWZ352" s="268"/>
      <c r="HXA352" s="268"/>
      <c r="HXB352" s="268"/>
      <c r="HXC352" s="268"/>
      <c r="HXD352" s="268"/>
      <c r="HXE352" s="268"/>
      <c r="HXF352" s="268"/>
      <c r="HXG352" s="268"/>
      <c r="HXH352" s="268"/>
      <c r="HXI352" s="268"/>
      <c r="HXJ352" s="268"/>
      <c r="HXK352" s="268"/>
      <c r="HXL352" s="268"/>
      <c r="HXM352" s="268"/>
      <c r="HXN352" s="268"/>
      <c r="HXO352" s="268"/>
      <c r="HXP352" s="268"/>
      <c r="HXQ352" s="268"/>
      <c r="HXR352" s="268"/>
      <c r="HXS352" s="268"/>
      <c r="HXT352" s="268"/>
      <c r="HXU352" s="268"/>
      <c r="HXV352" s="268"/>
      <c r="HXW352" s="268"/>
      <c r="HXX352" s="268"/>
      <c r="HXY352" s="268"/>
      <c r="HXZ352" s="268"/>
      <c r="HYA352" s="268"/>
      <c r="HYB352" s="268"/>
      <c r="HYC352" s="268"/>
      <c r="HYD352" s="268"/>
      <c r="HYE352" s="268"/>
      <c r="HYF352" s="268"/>
      <c r="HYG352" s="268"/>
      <c r="HYH352" s="268"/>
      <c r="HYI352" s="268"/>
      <c r="HYJ352" s="268"/>
      <c r="HYK352" s="268"/>
      <c r="HYL352" s="268"/>
      <c r="HYM352" s="268"/>
      <c r="HYN352" s="268"/>
      <c r="HYO352" s="268"/>
      <c r="HYP352" s="268"/>
      <c r="HYQ352" s="268"/>
      <c r="HYR352" s="268"/>
      <c r="HYS352" s="268"/>
      <c r="HYT352" s="268"/>
      <c r="HYU352" s="268"/>
      <c r="HYV352" s="268"/>
      <c r="HYW352" s="268"/>
      <c r="HYX352" s="268"/>
      <c r="HYY352" s="268"/>
      <c r="HYZ352" s="268"/>
      <c r="HZA352" s="268"/>
      <c r="HZB352" s="268"/>
      <c r="HZC352" s="268"/>
      <c r="HZD352" s="268"/>
      <c r="HZE352" s="268"/>
      <c r="HZF352" s="268"/>
      <c r="HZG352" s="268"/>
      <c r="HZH352" s="268"/>
      <c r="HZI352" s="268"/>
      <c r="HZJ352" s="268"/>
      <c r="HZK352" s="268"/>
      <c r="HZL352" s="268"/>
      <c r="HZM352" s="268"/>
      <c r="HZN352" s="268"/>
      <c r="HZO352" s="268"/>
      <c r="HZP352" s="268"/>
      <c r="HZQ352" s="268"/>
      <c r="HZR352" s="268"/>
      <c r="HZS352" s="268"/>
      <c r="HZT352" s="268"/>
      <c r="HZU352" s="268"/>
      <c r="HZV352" s="268"/>
      <c r="HZW352" s="268"/>
      <c r="HZX352" s="268"/>
      <c r="HZY352" s="268"/>
      <c r="HZZ352" s="268"/>
      <c r="IAA352" s="268"/>
      <c r="IAB352" s="268"/>
      <c r="IAC352" s="268"/>
      <c r="IAD352" s="268"/>
      <c r="IAE352" s="268"/>
      <c r="IAF352" s="268"/>
      <c r="IAG352" s="268"/>
      <c r="IAH352" s="268"/>
      <c r="IAI352" s="268"/>
      <c r="IAJ352" s="268"/>
      <c r="IAK352" s="268"/>
      <c r="IAL352" s="268"/>
      <c r="IAM352" s="268"/>
      <c r="IAN352" s="268"/>
      <c r="IAO352" s="268"/>
      <c r="IAP352" s="268"/>
      <c r="IAQ352" s="268"/>
      <c r="IAR352" s="268"/>
      <c r="IAS352" s="268"/>
      <c r="IAT352" s="268"/>
      <c r="IAU352" s="268"/>
      <c r="IAV352" s="268"/>
      <c r="IAW352" s="268"/>
      <c r="IAX352" s="268"/>
      <c r="IAY352" s="268"/>
      <c r="IBM352" s="268"/>
      <c r="IBN352" s="268"/>
      <c r="IBO352" s="268"/>
      <c r="ICC352" s="268"/>
      <c r="ICE352" s="268"/>
      <c r="ICF352" s="268"/>
      <c r="ICG352" s="268"/>
      <c r="ICH352" s="268"/>
      <c r="ICI352" s="268"/>
      <c r="ICJ352" s="268"/>
      <c r="ICK352" s="268"/>
      <c r="ICL352" s="268"/>
      <c r="ICM352" s="268"/>
      <c r="ICN352" s="268"/>
      <c r="ICO352" s="268"/>
      <c r="ICP352" s="268"/>
      <c r="ICQ352" s="268"/>
      <c r="ICR352" s="268"/>
      <c r="ICS352" s="268"/>
      <c r="ICT352" s="268"/>
      <c r="ICU352" s="268"/>
      <c r="ICV352" s="268"/>
      <c r="ICW352" s="268"/>
      <c r="ICX352" s="268"/>
      <c r="ICY352" s="268"/>
      <c r="ICZ352" s="268"/>
      <c r="IDA352" s="268"/>
      <c r="IDB352" s="268"/>
      <c r="IDC352" s="268"/>
      <c r="IDD352" s="268"/>
      <c r="IDE352" s="268"/>
      <c r="IDF352" s="268"/>
      <c r="IDG352" s="268"/>
      <c r="IDH352" s="268"/>
      <c r="IDI352" s="268"/>
      <c r="IDJ352" s="268"/>
      <c r="IDK352" s="268"/>
      <c r="IDL352" s="268"/>
      <c r="IDM352" s="268"/>
      <c r="IDN352" s="268"/>
      <c r="IDO352" s="268"/>
      <c r="IDP352" s="268"/>
      <c r="IDQ352" s="268"/>
      <c r="IDR352" s="268"/>
      <c r="IDS352" s="268"/>
      <c r="IDT352" s="268"/>
      <c r="IDU352" s="268"/>
      <c r="IDV352" s="268"/>
      <c r="IDW352" s="268"/>
      <c r="IDX352" s="268"/>
      <c r="IDY352" s="268"/>
      <c r="IDZ352" s="268"/>
      <c r="IEA352" s="268"/>
      <c r="IEB352" s="268"/>
      <c r="IEC352" s="268"/>
      <c r="IED352" s="268"/>
      <c r="IEE352" s="268"/>
      <c r="IEF352" s="268"/>
      <c r="IEG352" s="268"/>
      <c r="IEH352" s="268"/>
      <c r="IEI352" s="268"/>
      <c r="IEJ352" s="268"/>
      <c r="IEK352" s="268"/>
      <c r="IEL352" s="268"/>
      <c r="IEM352" s="268"/>
      <c r="IEN352" s="268"/>
      <c r="IEO352" s="268"/>
      <c r="IEP352" s="268"/>
      <c r="IEQ352" s="268"/>
      <c r="IER352" s="268"/>
      <c r="IES352" s="268"/>
      <c r="IET352" s="268"/>
      <c r="IEU352" s="268"/>
      <c r="IEV352" s="268"/>
      <c r="IEW352" s="268"/>
      <c r="IEX352" s="268"/>
      <c r="IEY352" s="268"/>
      <c r="IEZ352" s="268"/>
      <c r="IFA352" s="268"/>
      <c r="IFB352" s="268"/>
      <c r="IFC352" s="268"/>
      <c r="IFD352" s="268"/>
      <c r="IFE352" s="268"/>
      <c r="IFF352" s="268"/>
      <c r="IFG352" s="268"/>
      <c r="IFH352" s="268"/>
      <c r="IFI352" s="268"/>
      <c r="IFJ352" s="268"/>
      <c r="IFK352" s="268"/>
      <c r="IFL352" s="268"/>
      <c r="IFM352" s="268"/>
      <c r="IFN352" s="268"/>
      <c r="IFO352" s="268"/>
      <c r="IFP352" s="268"/>
      <c r="IFQ352" s="268"/>
      <c r="IFR352" s="268"/>
      <c r="IFS352" s="268"/>
      <c r="IFT352" s="268"/>
      <c r="IFU352" s="268"/>
      <c r="IFV352" s="268"/>
      <c r="IFW352" s="268"/>
      <c r="IFX352" s="268"/>
      <c r="IFY352" s="268"/>
      <c r="IFZ352" s="268"/>
      <c r="IGA352" s="268"/>
      <c r="IGB352" s="268"/>
      <c r="IGC352" s="268"/>
      <c r="IGD352" s="268"/>
      <c r="IGE352" s="268"/>
      <c r="IGF352" s="268"/>
      <c r="IGG352" s="268"/>
      <c r="IGH352" s="268"/>
      <c r="IGI352" s="268"/>
      <c r="IGJ352" s="268"/>
      <c r="IGK352" s="268"/>
      <c r="IGL352" s="268"/>
      <c r="IGM352" s="268"/>
      <c r="IGN352" s="268"/>
      <c r="IGO352" s="268"/>
      <c r="IGP352" s="268"/>
      <c r="IGQ352" s="268"/>
      <c r="IGR352" s="268"/>
      <c r="IGS352" s="268"/>
      <c r="IGT352" s="268"/>
      <c r="IGU352" s="268"/>
      <c r="IGV352" s="268"/>
      <c r="IGW352" s="268"/>
      <c r="IGX352" s="268"/>
      <c r="IGY352" s="268"/>
      <c r="IGZ352" s="268"/>
      <c r="IHA352" s="268"/>
      <c r="IHB352" s="268"/>
      <c r="IHC352" s="268"/>
      <c r="IHD352" s="268"/>
      <c r="IHE352" s="268"/>
      <c r="IHF352" s="268"/>
      <c r="IHG352" s="268"/>
      <c r="IHH352" s="268"/>
      <c r="IHI352" s="268"/>
      <c r="IHJ352" s="268"/>
      <c r="IHK352" s="268"/>
      <c r="IHL352" s="268"/>
      <c r="IHM352" s="268"/>
      <c r="IHN352" s="268"/>
      <c r="IHO352" s="268"/>
      <c r="IHP352" s="268"/>
      <c r="IHQ352" s="268"/>
      <c r="IHR352" s="268"/>
      <c r="IHS352" s="268"/>
      <c r="IHT352" s="268"/>
      <c r="IHU352" s="268"/>
      <c r="IHV352" s="268"/>
      <c r="IHW352" s="268"/>
      <c r="IHX352" s="268"/>
      <c r="IHY352" s="268"/>
      <c r="IHZ352" s="268"/>
      <c r="IIA352" s="268"/>
      <c r="IIB352" s="268"/>
      <c r="IIC352" s="268"/>
      <c r="IID352" s="268"/>
      <c r="IIE352" s="268"/>
      <c r="IIF352" s="268"/>
      <c r="IIG352" s="268"/>
      <c r="IIH352" s="268"/>
      <c r="III352" s="268"/>
      <c r="IIJ352" s="268"/>
      <c r="IIK352" s="268"/>
      <c r="IIL352" s="268"/>
      <c r="IIM352" s="268"/>
      <c r="IIN352" s="268"/>
      <c r="IIO352" s="268"/>
      <c r="IIP352" s="268"/>
      <c r="IIQ352" s="268"/>
      <c r="IIR352" s="268"/>
      <c r="IIS352" s="268"/>
      <c r="IIT352" s="268"/>
      <c r="IIU352" s="268"/>
      <c r="IIV352" s="268"/>
      <c r="IIW352" s="268"/>
      <c r="IIX352" s="268"/>
      <c r="IIY352" s="268"/>
      <c r="IIZ352" s="268"/>
      <c r="IJA352" s="268"/>
      <c r="IJB352" s="268"/>
      <c r="IJC352" s="268"/>
      <c r="IJD352" s="268"/>
      <c r="IJE352" s="268"/>
      <c r="IJF352" s="268"/>
      <c r="IJG352" s="268"/>
      <c r="IJH352" s="268"/>
      <c r="IJI352" s="268"/>
      <c r="IJJ352" s="268"/>
      <c r="IJK352" s="268"/>
      <c r="IJL352" s="268"/>
      <c r="IJM352" s="268"/>
      <c r="IJN352" s="268"/>
      <c r="IJO352" s="268"/>
      <c r="IJP352" s="268"/>
      <c r="IJQ352" s="268"/>
      <c r="IJR352" s="268"/>
      <c r="IJS352" s="268"/>
      <c r="IJT352" s="268"/>
      <c r="IJU352" s="268"/>
      <c r="IJV352" s="268"/>
      <c r="IJW352" s="268"/>
      <c r="IJX352" s="268"/>
      <c r="IJY352" s="268"/>
      <c r="IJZ352" s="268"/>
      <c r="IKA352" s="268"/>
      <c r="IKB352" s="268"/>
      <c r="IKC352" s="268"/>
      <c r="IKD352" s="268"/>
      <c r="IKE352" s="268"/>
      <c r="IKF352" s="268"/>
      <c r="IKG352" s="268"/>
      <c r="IKH352" s="268"/>
      <c r="IKI352" s="268"/>
      <c r="IKJ352" s="268"/>
      <c r="IKK352" s="268"/>
      <c r="IKL352" s="268"/>
      <c r="IKM352" s="268"/>
      <c r="IKN352" s="268"/>
      <c r="IKO352" s="268"/>
      <c r="IKP352" s="268"/>
      <c r="IKQ352" s="268"/>
      <c r="IKR352" s="268"/>
      <c r="IKS352" s="268"/>
      <c r="IKT352" s="268"/>
      <c r="IKU352" s="268"/>
      <c r="ILI352" s="268"/>
      <c r="ILJ352" s="268"/>
      <c r="ILK352" s="268"/>
      <c r="ILY352" s="268"/>
      <c r="IMA352" s="268"/>
      <c r="IMB352" s="268"/>
      <c r="IMC352" s="268"/>
      <c r="IMD352" s="268"/>
      <c r="IME352" s="268"/>
      <c r="IMF352" s="268"/>
      <c r="IMG352" s="268"/>
      <c r="IMH352" s="268"/>
      <c r="IMI352" s="268"/>
      <c r="IMJ352" s="268"/>
      <c r="IMK352" s="268"/>
      <c r="IML352" s="268"/>
      <c r="IMM352" s="268"/>
      <c r="IMN352" s="268"/>
      <c r="IMO352" s="268"/>
      <c r="IMP352" s="268"/>
      <c r="IMQ352" s="268"/>
      <c r="IMR352" s="268"/>
      <c r="IMS352" s="268"/>
      <c r="IMT352" s="268"/>
      <c r="IMU352" s="268"/>
      <c r="IMV352" s="268"/>
      <c r="IMW352" s="268"/>
      <c r="IMX352" s="268"/>
      <c r="IMY352" s="268"/>
      <c r="IMZ352" s="268"/>
      <c r="INA352" s="268"/>
      <c r="INB352" s="268"/>
      <c r="INC352" s="268"/>
      <c r="IND352" s="268"/>
      <c r="INE352" s="268"/>
      <c r="INF352" s="268"/>
      <c r="ING352" s="268"/>
      <c r="INH352" s="268"/>
      <c r="INI352" s="268"/>
      <c r="INJ352" s="268"/>
      <c r="INK352" s="268"/>
      <c r="INL352" s="268"/>
      <c r="INM352" s="268"/>
      <c r="INN352" s="268"/>
      <c r="INO352" s="268"/>
      <c r="INP352" s="268"/>
      <c r="INQ352" s="268"/>
      <c r="INR352" s="268"/>
      <c r="INS352" s="268"/>
      <c r="INT352" s="268"/>
      <c r="INU352" s="268"/>
      <c r="INV352" s="268"/>
      <c r="INW352" s="268"/>
      <c r="INX352" s="268"/>
      <c r="INY352" s="268"/>
      <c r="INZ352" s="268"/>
      <c r="IOA352" s="268"/>
      <c r="IOB352" s="268"/>
      <c r="IOC352" s="268"/>
      <c r="IOD352" s="268"/>
      <c r="IOE352" s="268"/>
      <c r="IOF352" s="268"/>
      <c r="IOG352" s="268"/>
      <c r="IOH352" s="268"/>
      <c r="IOI352" s="268"/>
      <c r="IOJ352" s="268"/>
      <c r="IOK352" s="268"/>
      <c r="IOL352" s="268"/>
      <c r="IOM352" s="268"/>
      <c r="ION352" s="268"/>
      <c r="IOO352" s="268"/>
      <c r="IOP352" s="268"/>
      <c r="IOQ352" s="268"/>
      <c r="IOR352" s="268"/>
      <c r="IOS352" s="268"/>
      <c r="IOT352" s="268"/>
      <c r="IOU352" s="268"/>
      <c r="IOV352" s="268"/>
      <c r="IOW352" s="268"/>
      <c r="IOX352" s="268"/>
      <c r="IOY352" s="268"/>
      <c r="IOZ352" s="268"/>
      <c r="IPA352" s="268"/>
      <c r="IPB352" s="268"/>
      <c r="IPC352" s="268"/>
      <c r="IPD352" s="268"/>
      <c r="IPE352" s="268"/>
      <c r="IPF352" s="268"/>
      <c r="IPG352" s="268"/>
      <c r="IPH352" s="268"/>
      <c r="IPI352" s="268"/>
      <c r="IPJ352" s="268"/>
      <c r="IPK352" s="268"/>
      <c r="IPL352" s="268"/>
      <c r="IPM352" s="268"/>
      <c r="IPN352" s="268"/>
      <c r="IPO352" s="268"/>
      <c r="IPP352" s="268"/>
      <c r="IPQ352" s="268"/>
      <c r="IPR352" s="268"/>
      <c r="IPS352" s="268"/>
      <c r="IPT352" s="268"/>
      <c r="IPU352" s="268"/>
      <c r="IPV352" s="268"/>
      <c r="IPW352" s="268"/>
      <c r="IPX352" s="268"/>
      <c r="IPY352" s="268"/>
      <c r="IPZ352" s="268"/>
      <c r="IQA352" s="268"/>
      <c r="IQB352" s="268"/>
      <c r="IQC352" s="268"/>
      <c r="IQD352" s="268"/>
      <c r="IQE352" s="268"/>
      <c r="IQF352" s="268"/>
      <c r="IQG352" s="268"/>
      <c r="IQH352" s="268"/>
      <c r="IQI352" s="268"/>
      <c r="IQJ352" s="268"/>
      <c r="IQK352" s="268"/>
      <c r="IQL352" s="268"/>
      <c r="IQM352" s="268"/>
      <c r="IQN352" s="268"/>
      <c r="IQO352" s="268"/>
      <c r="IQP352" s="268"/>
      <c r="IQQ352" s="268"/>
      <c r="IQR352" s="268"/>
      <c r="IQS352" s="268"/>
      <c r="IQT352" s="268"/>
      <c r="IQU352" s="268"/>
      <c r="IQV352" s="268"/>
      <c r="IQW352" s="268"/>
      <c r="IQX352" s="268"/>
      <c r="IQY352" s="268"/>
      <c r="IQZ352" s="268"/>
      <c r="IRA352" s="268"/>
      <c r="IRB352" s="268"/>
      <c r="IRC352" s="268"/>
      <c r="IRD352" s="268"/>
      <c r="IRE352" s="268"/>
      <c r="IRF352" s="268"/>
      <c r="IRG352" s="268"/>
      <c r="IRH352" s="268"/>
      <c r="IRI352" s="268"/>
      <c r="IRJ352" s="268"/>
      <c r="IRK352" s="268"/>
      <c r="IRL352" s="268"/>
      <c r="IRM352" s="268"/>
      <c r="IRN352" s="268"/>
      <c r="IRO352" s="268"/>
      <c r="IRP352" s="268"/>
      <c r="IRQ352" s="268"/>
      <c r="IRR352" s="268"/>
      <c r="IRS352" s="268"/>
      <c r="IRT352" s="268"/>
      <c r="IRU352" s="268"/>
      <c r="IRV352" s="268"/>
      <c r="IRW352" s="268"/>
      <c r="IRX352" s="268"/>
      <c r="IRY352" s="268"/>
      <c r="IRZ352" s="268"/>
      <c r="ISA352" s="268"/>
      <c r="ISB352" s="268"/>
      <c r="ISC352" s="268"/>
      <c r="ISD352" s="268"/>
      <c r="ISE352" s="268"/>
      <c r="ISF352" s="268"/>
      <c r="ISG352" s="268"/>
      <c r="ISH352" s="268"/>
      <c r="ISI352" s="268"/>
      <c r="ISJ352" s="268"/>
      <c r="ISK352" s="268"/>
      <c r="ISL352" s="268"/>
      <c r="ISM352" s="268"/>
      <c r="ISN352" s="268"/>
      <c r="ISO352" s="268"/>
      <c r="ISP352" s="268"/>
      <c r="ISQ352" s="268"/>
      <c r="ISR352" s="268"/>
      <c r="ISS352" s="268"/>
      <c r="IST352" s="268"/>
      <c r="ISU352" s="268"/>
      <c r="ISV352" s="268"/>
      <c r="ISW352" s="268"/>
      <c r="ISX352" s="268"/>
      <c r="ISY352" s="268"/>
      <c r="ISZ352" s="268"/>
      <c r="ITA352" s="268"/>
      <c r="ITB352" s="268"/>
      <c r="ITC352" s="268"/>
      <c r="ITD352" s="268"/>
      <c r="ITE352" s="268"/>
      <c r="ITF352" s="268"/>
      <c r="ITG352" s="268"/>
      <c r="ITH352" s="268"/>
      <c r="ITI352" s="268"/>
      <c r="ITJ352" s="268"/>
      <c r="ITK352" s="268"/>
      <c r="ITL352" s="268"/>
      <c r="ITM352" s="268"/>
      <c r="ITN352" s="268"/>
      <c r="ITO352" s="268"/>
      <c r="ITP352" s="268"/>
      <c r="ITQ352" s="268"/>
      <c r="ITR352" s="268"/>
      <c r="ITS352" s="268"/>
      <c r="ITT352" s="268"/>
      <c r="ITU352" s="268"/>
      <c r="ITV352" s="268"/>
      <c r="ITW352" s="268"/>
      <c r="ITX352" s="268"/>
      <c r="ITY352" s="268"/>
      <c r="ITZ352" s="268"/>
      <c r="IUA352" s="268"/>
      <c r="IUB352" s="268"/>
      <c r="IUC352" s="268"/>
      <c r="IUD352" s="268"/>
      <c r="IUE352" s="268"/>
      <c r="IUF352" s="268"/>
      <c r="IUG352" s="268"/>
      <c r="IUH352" s="268"/>
      <c r="IUI352" s="268"/>
      <c r="IUJ352" s="268"/>
      <c r="IUK352" s="268"/>
      <c r="IUL352" s="268"/>
      <c r="IUM352" s="268"/>
      <c r="IUN352" s="268"/>
      <c r="IUO352" s="268"/>
      <c r="IUP352" s="268"/>
      <c r="IUQ352" s="268"/>
      <c r="IVE352" s="268"/>
      <c r="IVF352" s="268"/>
      <c r="IVG352" s="268"/>
      <c r="IVU352" s="268"/>
      <c r="IVW352" s="268"/>
      <c r="IVX352" s="268"/>
      <c r="IVY352" s="268"/>
      <c r="IVZ352" s="268"/>
      <c r="IWA352" s="268"/>
      <c r="IWB352" s="268"/>
      <c r="IWC352" s="268"/>
      <c r="IWD352" s="268"/>
      <c r="IWE352" s="268"/>
      <c r="IWF352" s="268"/>
      <c r="IWG352" s="268"/>
      <c r="IWH352" s="268"/>
      <c r="IWI352" s="268"/>
      <c r="IWJ352" s="268"/>
      <c r="IWK352" s="268"/>
      <c r="IWL352" s="268"/>
      <c r="IWM352" s="268"/>
      <c r="IWN352" s="268"/>
      <c r="IWO352" s="268"/>
      <c r="IWP352" s="268"/>
      <c r="IWQ352" s="268"/>
      <c r="IWR352" s="268"/>
      <c r="IWS352" s="268"/>
      <c r="IWT352" s="268"/>
      <c r="IWU352" s="268"/>
      <c r="IWV352" s="268"/>
      <c r="IWW352" s="268"/>
      <c r="IWX352" s="268"/>
      <c r="IWY352" s="268"/>
      <c r="IWZ352" s="268"/>
      <c r="IXA352" s="268"/>
      <c r="IXB352" s="268"/>
      <c r="IXC352" s="268"/>
      <c r="IXD352" s="268"/>
      <c r="IXE352" s="268"/>
      <c r="IXF352" s="268"/>
      <c r="IXG352" s="268"/>
      <c r="IXH352" s="268"/>
      <c r="IXI352" s="268"/>
      <c r="IXJ352" s="268"/>
      <c r="IXK352" s="268"/>
      <c r="IXL352" s="268"/>
      <c r="IXM352" s="268"/>
      <c r="IXN352" s="268"/>
      <c r="IXO352" s="268"/>
      <c r="IXP352" s="268"/>
      <c r="IXQ352" s="268"/>
      <c r="IXR352" s="268"/>
      <c r="IXS352" s="268"/>
      <c r="IXT352" s="268"/>
      <c r="IXU352" s="268"/>
      <c r="IXV352" s="268"/>
      <c r="IXW352" s="268"/>
      <c r="IXX352" s="268"/>
      <c r="IXY352" s="268"/>
      <c r="IXZ352" s="268"/>
      <c r="IYA352" s="268"/>
      <c r="IYB352" s="268"/>
      <c r="IYC352" s="268"/>
      <c r="IYD352" s="268"/>
      <c r="IYE352" s="268"/>
      <c r="IYF352" s="268"/>
      <c r="IYG352" s="268"/>
      <c r="IYH352" s="268"/>
      <c r="IYI352" s="268"/>
      <c r="IYJ352" s="268"/>
      <c r="IYK352" s="268"/>
      <c r="IYL352" s="268"/>
      <c r="IYM352" s="268"/>
      <c r="IYN352" s="268"/>
      <c r="IYO352" s="268"/>
      <c r="IYP352" s="268"/>
      <c r="IYQ352" s="268"/>
      <c r="IYR352" s="268"/>
      <c r="IYS352" s="268"/>
      <c r="IYT352" s="268"/>
      <c r="IYU352" s="268"/>
      <c r="IYV352" s="268"/>
      <c r="IYW352" s="268"/>
      <c r="IYX352" s="268"/>
      <c r="IYY352" s="268"/>
      <c r="IYZ352" s="268"/>
      <c r="IZA352" s="268"/>
      <c r="IZB352" s="268"/>
      <c r="IZC352" s="268"/>
      <c r="IZD352" s="268"/>
      <c r="IZE352" s="268"/>
      <c r="IZF352" s="268"/>
      <c r="IZG352" s="268"/>
      <c r="IZH352" s="268"/>
      <c r="IZI352" s="268"/>
      <c r="IZJ352" s="268"/>
      <c r="IZK352" s="268"/>
      <c r="IZL352" s="268"/>
      <c r="IZM352" s="268"/>
      <c r="IZN352" s="268"/>
      <c r="IZO352" s="268"/>
      <c r="IZP352" s="268"/>
      <c r="IZQ352" s="268"/>
      <c r="IZR352" s="268"/>
      <c r="IZS352" s="268"/>
      <c r="IZT352" s="268"/>
      <c r="IZU352" s="268"/>
      <c r="IZV352" s="268"/>
      <c r="IZW352" s="268"/>
      <c r="IZX352" s="268"/>
      <c r="IZY352" s="268"/>
      <c r="IZZ352" s="268"/>
      <c r="JAA352" s="268"/>
      <c r="JAB352" s="268"/>
      <c r="JAC352" s="268"/>
      <c r="JAD352" s="268"/>
      <c r="JAE352" s="268"/>
      <c r="JAF352" s="268"/>
      <c r="JAG352" s="268"/>
      <c r="JAH352" s="268"/>
      <c r="JAI352" s="268"/>
      <c r="JAJ352" s="268"/>
      <c r="JAK352" s="268"/>
      <c r="JAL352" s="268"/>
      <c r="JAM352" s="268"/>
      <c r="JAN352" s="268"/>
      <c r="JAO352" s="268"/>
      <c r="JAP352" s="268"/>
      <c r="JAQ352" s="268"/>
      <c r="JAR352" s="268"/>
      <c r="JAS352" s="268"/>
      <c r="JAT352" s="268"/>
      <c r="JAU352" s="268"/>
      <c r="JAV352" s="268"/>
      <c r="JAW352" s="268"/>
      <c r="JAX352" s="268"/>
      <c r="JAY352" s="268"/>
      <c r="JAZ352" s="268"/>
      <c r="JBA352" s="268"/>
      <c r="JBB352" s="268"/>
      <c r="JBC352" s="268"/>
      <c r="JBD352" s="268"/>
      <c r="JBE352" s="268"/>
      <c r="JBF352" s="268"/>
      <c r="JBG352" s="268"/>
      <c r="JBH352" s="268"/>
      <c r="JBI352" s="268"/>
      <c r="JBJ352" s="268"/>
      <c r="JBK352" s="268"/>
      <c r="JBL352" s="268"/>
      <c r="JBM352" s="268"/>
      <c r="JBN352" s="268"/>
      <c r="JBO352" s="268"/>
      <c r="JBP352" s="268"/>
      <c r="JBQ352" s="268"/>
      <c r="JBR352" s="268"/>
      <c r="JBS352" s="268"/>
      <c r="JBT352" s="268"/>
      <c r="JBU352" s="268"/>
      <c r="JBV352" s="268"/>
      <c r="JBW352" s="268"/>
      <c r="JBX352" s="268"/>
      <c r="JBY352" s="268"/>
      <c r="JBZ352" s="268"/>
      <c r="JCA352" s="268"/>
      <c r="JCB352" s="268"/>
      <c r="JCC352" s="268"/>
      <c r="JCD352" s="268"/>
      <c r="JCE352" s="268"/>
      <c r="JCF352" s="268"/>
      <c r="JCG352" s="268"/>
      <c r="JCH352" s="268"/>
      <c r="JCI352" s="268"/>
      <c r="JCJ352" s="268"/>
      <c r="JCK352" s="268"/>
      <c r="JCL352" s="268"/>
      <c r="JCM352" s="268"/>
      <c r="JCN352" s="268"/>
      <c r="JCO352" s="268"/>
      <c r="JCP352" s="268"/>
      <c r="JCQ352" s="268"/>
      <c r="JCR352" s="268"/>
      <c r="JCS352" s="268"/>
      <c r="JCT352" s="268"/>
      <c r="JCU352" s="268"/>
      <c r="JCV352" s="268"/>
      <c r="JCW352" s="268"/>
      <c r="JCX352" s="268"/>
      <c r="JCY352" s="268"/>
      <c r="JCZ352" s="268"/>
      <c r="JDA352" s="268"/>
      <c r="JDB352" s="268"/>
      <c r="JDC352" s="268"/>
      <c r="JDD352" s="268"/>
      <c r="JDE352" s="268"/>
      <c r="JDF352" s="268"/>
      <c r="JDG352" s="268"/>
      <c r="JDH352" s="268"/>
      <c r="JDI352" s="268"/>
      <c r="JDJ352" s="268"/>
      <c r="JDK352" s="268"/>
      <c r="JDL352" s="268"/>
      <c r="JDM352" s="268"/>
      <c r="JDN352" s="268"/>
      <c r="JDO352" s="268"/>
      <c r="JDP352" s="268"/>
      <c r="JDQ352" s="268"/>
      <c r="JDR352" s="268"/>
      <c r="JDS352" s="268"/>
      <c r="JDT352" s="268"/>
      <c r="JDU352" s="268"/>
      <c r="JDV352" s="268"/>
      <c r="JDW352" s="268"/>
      <c r="JDX352" s="268"/>
      <c r="JDY352" s="268"/>
      <c r="JDZ352" s="268"/>
      <c r="JEA352" s="268"/>
      <c r="JEB352" s="268"/>
      <c r="JEC352" s="268"/>
      <c r="JED352" s="268"/>
      <c r="JEE352" s="268"/>
      <c r="JEF352" s="268"/>
      <c r="JEG352" s="268"/>
      <c r="JEH352" s="268"/>
      <c r="JEI352" s="268"/>
      <c r="JEJ352" s="268"/>
      <c r="JEK352" s="268"/>
      <c r="JEL352" s="268"/>
      <c r="JEM352" s="268"/>
      <c r="JFA352" s="268"/>
      <c r="JFB352" s="268"/>
      <c r="JFC352" s="268"/>
      <c r="JFQ352" s="268"/>
      <c r="JFS352" s="268"/>
      <c r="JFT352" s="268"/>
      <c r="JFU352" s="268"/>
      <c r="JFV352" s="268"/>
      <c r="JFW352" s="268"/>
      <c r="JFX352" s="268"/>
      <c r="JFY352" s="268"/>
      <c r="JFZ352" s="268"/>
      <c r="JGA352" s="268"/>
      <c r="JGB352" s="268"/>
      <c r="JGC352" s="268"/>
      <c r="JGD352" s="268"/>
      <c r="JGE352" s="268"/>
      <c r="JGF352" s="268"/>
      <c r="JGG352" s="268"/>
      <c r="JGH352" s="268"/>
      <c r="JGI352" s="268"/>
      <c r="JGJ352" s="268"/>
      <c r="JGK352" s="268"/>
      <c r="JGL352" s="268"/>
      <c r="JGM352" s="268"/>
      <c r="JGN352" s="268"/>
      <c r="JGO352" s="268"/>
      <c r="JGP352" s="268"/>
      <c r="JGQ352" s="268"/>
      <c r="JGR352" s="268"/>
      <c r="JGS352" s="268"/>
      <c r="JGT352" s="268"/>
      <c r="JGU352" s="268"/>
      <c r="JGV352" s="268"/>
      <c r="JGW352" s="268"/>
      <c r="JGX352" s="268"/>
      <c r="JGY352" s="268"/>
      <c r="JGZ352" s="268"/>
      <c r="JHA352" s="268"/>
      <c r="JHB352" s="268"/>
      <c r="JHC352" s="268"/>
      <c r="JHD352" s="268"/>
      <c r="JHE352" s="268"/>
      <c r="JHF352" s="268"/>
      <c r="JHG352" s="268"/>
      <c r="JHH352" s="268"/>
      <c r="JHI352" s="268"/>
      <c r="JHJ352" s="268"/>
      <c r="JHK352" s="268"/>
      <c r="JHL352" s="268"/>
      <c r="JHM352" s="268"/>
      <c r="JHN352" s="268"/>
      <c r="JHO352" s="268"/>
      <c r="JHP352" s="268"/>
      <c r="JHQ352" s="268"/>
      <c r="JHR352" s="268"/>
      <c r="JHS352" s="268"/>
      <c r="JHT352" s="268"/>
      <c r="JHU352" s="268"/>
      <c r="JHV352" s="268"/>
      <c r="JHW352" s="268"/>
      <c r="JHX352" s="268"/>
      <c r="JHY352" s="268"/>
      <c r="JHZ352" s="268"/>
      <c r="JIA352" s="268"/>
      <c r="JIB352" s="268"/>
      <c r="JIC352" s="268"/>
      <c r="JID352" s="268"/>
      <c r="JIE352" s="268"/>
      <c r="JIF352" s="268"/>
      <c r="JIG352" s="268"/>
      <c r="JIH352" s="268"/>
      <c r="JII352" s="268"/>
      <c r="JIJ352" s="268"/>
      <c r="JIK352" s="268"/>
      <c r="JIL352" s="268"/>
      <c r="JIM352" s="268"/>
      <c r="JIN352" s="268"/>
      <c r="JIO352" s="268"/>
      <c r="JIP352" s="268"/>
      <c r="JIQ352" s="268"/>
      <c r="JIR352" s="268"/>
      <c r="JIS352" s="268"/>
      <c r="JIT352" s="268"/>
      <c r="JIU352" s="268"/>
      <c r="JIV352" s="268"/>
      <c r="JIW352" s="268"/>
      <c r="JIX352" s="268"/>
      <c r="JIY352" s="268"/>
      <c r="JIZ352" s="268"/>
      <c r="JJA352" s="268"/>
      <c r="JJB352" s="268"/>
      <c r="JJC352" s="268"/>
      <c r="JJD352" s="268"/>
      <c r="JJE352" s="268"/>
      <c r="JJF352" s="268"/>
      <c r="JJG352" s="268"/>
      <c r="JJH352" s="268"/>
      <c r="JJI352" s="268"/>
      <c r="JJJ352" s="268"/>
      <c r="JJK352" s="268"/>
      <c r="JJL352" s="268"/>
      <c r="JJM352" s="268"/>
      <c r="JJN352" s="268"/>
      <c r="JJO352" s="268"/>
      <c r="JJP352" s="268"/>
      <c r="JJQ352" s="268"/>
      <c r="JJR352" s="268"/>
      <c r="JJS352" s="268"/>
      <c r="JJT352" s="268"/>
      <c r="JJU352" s="268"/>
      <c r="JJV352" s="268"/>
      <c r="JJW352" s="268"/>
      <c r="JJX352" s="268"/>
      <c r="JJY352" s="268"/>
      <c r="JJZ352" s="268"/>
      <c r="JKA352" s="268"/>
      <c r="JKB352" s="268"/>
      <c r="JKC352" s="268"/>
      <c r="JKD352" s="268"/>
      <c r="JKE352" s="268"/>
      <c r="JKF352" s="268"/>
      <c r="JKG352" s="268"/>
      <c r="JKH352" s="268"/>
      <c r="JKI352" s="268"/>
      <c r="JKJ352" s="268"/>
      <c r="JKK352" s="268"/>
      <c r="JKL352" s="268"/>
      <c r="JKM352" s="268"/>
      <c r="JKN352" s="268"/>
      <c r="JKO352" s="268"/>
      <c r="JKP352" s="268"/>
      <c r="JKQ352" s="268"/>
      <c r="JKR352" s="268"/>
      <c r="JKS352" s="268"/>
      <c r="JKT352" s="268"/>
      <c r="JKU352" s="268"/>
      <c r="JKV352" s="268"/>
      <c r="JKW352" s="268"/>
      <c r="JKX352" s="268"/>
      <c r="JKY352" s="268"/>
      <c r="JKZ352" s="268"/>
      <c r="JLA352" s="268"/>
      <c r="JLB352" s="268"/>
      <c r="JLC352" s="268"/>
      <c r="JLD352" s="268"/>
      <c r="JLE352" s="268"/>
      <c r="JLF352" s="268"/>
      <c r="JLG352" s="268"/>
      <c r="JLH352" s="268"/>
      <c r="JLI352" s="268"/>
      <c r="JLJ352" s="268"/>
      <c r="JLK352" s="268"/>
      <c r="JLL352" s="268"/>
      <c r="JLM352" s="268"/>
      <c r="JLN352" s="268"/>
      <c r="JLO352" s="268"/>
      <c r="JLP352" s="268"/>
      <c r="JLQ352" s="268"/>
      <c r="JLR352" s="268"/>
      <c r="JLS352" s="268"/>
      <c r="JLT352" s="268"/>
      <c r="JLU352" s="268"/>
      <c r="JLV352" s="268"/>
      <c r="JLW352" s="268"/>
      <c r="JLX352" s="268"/>
      <c r="JLY352" s="268"/>
      <c r="JLZ352" s="268"/>
      <c r="JMA352" s="268"/>
      <c r="JMB352" s="268"/>
      <c r="JMC352" s="268"/>
      <c r="JMD352" s="268"/>
      <c r="JME352" s="268"/>
      <c r="JMF352" s="268"/>
      <c r="JMG352" s="268"/>
      <c r="JMH352" s="268"/>
      <c r="JMI352" s="268"/>
      <c r="JMJ352" s="268"/>
      <c r="JMK352" s="268"/>
      <c r="JML352" s="268"/>
      <c r="JMM352" s="268"/>
      <c r="JMN352" s="268"/>
      <c r="JMO352" s="268"/>
      <c r="JMP352" s="268"/>
      <c r="JMQ352" s="268"/>
      <c r="JMR352" s="268"/>
      <c r="JMS352" s="268"/>
      <c r="JMT352" s="268"/>
      <c r="JMU352" s="268"/>
      <c r="JMV352" s="268"/>
      <c r="JMW352" s="268"/>
      <c r="JMX352" s="268"/>
      <c r="JMY352" s="268"/>
      <c r="JMZ352" s="268"/>
      <c r="JNA352" s="268"/>
      <c r="JNB352" s="268"/>
      <c r="JNC352" s="268"/>
      <c r="JND352" s="268"/>
      <c r="JNE352" s="268"/>
      <c r="JNF352" s="268"/>
      <c r="JNG352" s="268"/>
      <c r="JNH352" s="268"/>
      <c r="JNI352" s="268"/>
      <c r="JNJ352" s="268"/>
      <c r="JNK352" s="268"/>
      <c r="JNL352" s="268"/>
      <c r="JNM352" s="268"/>
      <c r="JNN352" s="268"/>
      <c r="JNO352" s="268"/>
      <c r="JNP352" s="268"/>
      <c r="JNQ352" s="268"/>
      <c r="JNR352" s="268"/>
      <c r="JNS352" s="268"/>
      <c r="JNT352" s="268"/>
      <c r="JNU352" s="268"/>
      <c r="JNV352" s="268"/>
      <c r="JNW352" s="268"/>
      <c r="JNX352" s="268"/>
      <c r="JNY352" s="268"/>
      <c r="JNZ352" s="268"/>
      <c r="JOA352" s="268"/>
      <c r="JOB352" s="268"/>
      <c r="JOC352" s="268"/>
      <c r="JOD352" s="268"/>
      <c r="JOE352" s="268"/>
      <c r="JOF352" s="268"/>
      <c r="JOG352" s="268"/>
      <c r="JOH352" s="268"/>
      <c r="JOI352" s="268"/>
      <c r="JOW352" s="268"/>
      <c r="JOX352" s="268"/>
      <c r="JOY352" s="268"/>
      <c r="JPM352" s="268"/>
      <c r="JPO352" s="268"/>
      <c r="JPP352" s="268"/>
      <c r="JPQ352" s="268"/>
      <c r="JPR352" s="268"/>
      <c r="JPS352" s="268"/>
      <c r="JPT352" s="268"/>
      <c r="JPU352" s="268"/>
      <c r="JPV352" s="268"/>
      <c r="JPW352" s="268"/>
      <c r="JPX352" s="268"/>
      <c r="JPY352" s="268"/>
      <c r="JPZ352" s="268"/>
      <c r="JQA352" s="268"/>
      <c r="JQB352" s="268"/>
      <c r="JQC352" s="268"/>
      <c r="JQD352" s="268"/>
      <c r="JQE352" s="268"/>
      <c r="JQF352" s="268"/>
      <c r="JQG352" s="268"/>
      <c r="JQH352" s="268"/>
      <c r="JQI352" s="268"/>
      <c r="JQJ352" s="268"/>
      <c r="JQK352" s="268"/>
      <c r="JQL352" s="268"/>
      <c r="JQM352" s="268"/>
      <c r="JQN352" s="268"/>
      <c r="JQO352" s="268"/>
      <c r="JQP352" s="268"/>
      <c r="JQQ352" s="268"/>
      <c r="JQR352" s="268"/>
      <c r="JQS352" s="268"/>
      <c r="JQT352" s="268"/>
      <c r="JQU352" s="268"/>
      <c r="JQV352" s="268"/>
      <c r="JQW352" s="268"/>
      <c r="JQX352" s="268"/>
      <c r="JQY352" s="268"/>
      <c r="JQZ352" s="268"/>
      <c r="JRA352" s="268"/>
      <c r="JRB352" s="268"/>
      <c r="JRC352" s="268"/>
      <c r="JRD352" s="268"/>
      <c r="JRE352" s="268"/>
      <c r="JRF352" s="268"/>
      <c r="JRG352" s="268"/>
      <c r="JRH352" s="268"/>
      <c r="JRI352" s="268"/>
      <c r="JRJ352" s="268"/>
      <c r="JRK352" s="268"/>
      <c r="JRL352" s="268"/>
      <c r="JRM352" s="268"/>
      <c r="JRN352" s="268"/>
      <c r="JRO352" s="268"/>
      <c r="JRP352" s="268"/>
      <c r="JRQ352" s="268"/>
      <c r="JRR352" s="268"/>
      <c r="JRS352" s="268"/>
      <c r="JRT352" s="268"/>
      <c r="JRU352" s="268"/>
      <c r="JRV352" s="268"/>
      <c r="JRW352" s="268"/>
      <c r="JRX352" s="268"/>
      <c r="JRY352" s="268"/>
      <c r="JRZ352" s="268"/>
      <c r="JSA352" s="268"/>
      <c r="JSB352" s="268"/>
      <c r="JSC352" s="268"/>
      <c r="JSD352" s="268"/>
      <c r="JSE352" s="268"/>
      <c r="JSF352" s="268"/>
      <c r="JSG352" s="268"/>
      <c r="JSH352" s="268"/>
      <c r="JSI352" s="268"/>
      <c r="JSJ352" s="268"/>
      <c r="JSK352" s="268"/>
      <c r="JSL352" s="268"/>
      <c r="JSM352" s="268"/>
      <c r="JSN352" s="268"/>
      <c r="JSO352" s="268"/>
      <c r="JSP352" s="268"/>
      <c r="JSQ352" s="268"/>
      <c r="JSR352" s="268"/>
      <c r="JSS352" s="268"/>
      <c r="JST352" s="268"/>
      <c r="JSU352" s="268"/>
      <c r="JSV352" s="268"/>
      <c r="JSW352" s="268"/>
      <c r="JSX352" s="268"/>
      <c r="JSY352" s="268"/>
      <c r="JSZ352" s="268"/>
      <c r="JTA352" s="268"/>
      <c r="JTB352" s="268"/>
      <c r="JTC352" s="268"/>
      <c r="JTD352" s="268"/>
      <c r="JTE352" s="268"/>
      <c r="JTF352" s="268"/>
      <c r="JTG352" s="268"/>
      <c r="JTH352" s="268"/>
      <c r="JTI352" s="268"/>
      <c r="JTJ352" s="268"/>
      <c r="JTK352" s="268"/>
      <c r="JTL352" s="268"/>
      <c r="JTM352" s="268"/>
      <c r="JTN352" s="268"/>
      <c r="JTO352" s="268"/>
      <c r="JTP352" s="268"/>
      <c r="JTQ352" s="268"/>
      <c r="JTR352" s="268"/>
      <c r="JTS352" s="268"/>
      <c r="JTT352" s="268"/>
      <c r="JTU352" s="268"/>
      <c r="JTV352" s="268"/>
      <c r="JTW352" s="268"/>
      <c r="JTX352" s="268"/>
      <c r="JTY352" s="268"/>
      <c r="JTZ352" s="268"/>
      <c r="JUA352" s="268"/>
      <c r="JUB352" s="268"/>
      <c r="JUC352" s="268"/>
      <c r="JUD352" s="268"/>
      <c r="JUE352" s="268"/>
      <c r="JUF352" s="268"/>
      <c r="JUG352" s="268"/>
      <c r="JUH352" s="268"/>
      <c r="JUI352" s="268"/>
      <c r="JUJ352" s="268"/>
      <c r="JUK352" s="268"/>
      <c r="JUL352" s="268"/>
      <c r="JUM352" s="268"/>
      <c r="JUN352" s="268"/>
      <c r="JUO352" s="268"/>
      <c r="JUP352" s="268"/>
      <c r="JUQ352" s="268"/>
      <c r="JUR352" s="268"/>
      <c r="JUS352" s="268"/>
      <c r="JUT352" s="268"/>
      <c r="JUU352" s="268"/>
      <c r="JUV352" s="268"/>
      <c r="JUW352" s="268"/>
      <c r="JUX352" s="268"/>
      <c r="JUY352" s="268"/>
      <c r="JUZ352" s="268"/>
      <c r="JVA352" s="268"/>
      <c r="JVB352" s="268"/>
      <c r="JVC352" s="268"/>
      <c r="JVD352" s="268"/>
      <c r="JVE352" s="268"/>
      <c r="JVF352" s="268"/>
      <c r="JVG352" s="268"/>
      <c r="JVH352" s="268"/>
      <c r="JVI352" s="268"/>
      <c r="JVJ352" s="268"/>
      <c r="JVK352" s="268"/>
      <c r="JVL352" s="268"/>
      <c r="JVM352" s="268"/>
      <c r="JVN352" s="268"/>
      <c r="JVO352" s="268"/>
      <c r="JVP352" s="268"/>
      <c r="JVQ352" s="268"/>
      <c r="JVR352" s="268"/>
      <c r="JVS352" s="268"/>
      <c r="JVT352" s="268"/>
      <c r="JVU352" s="268"/>
      <c r="JVV352" s="268"/>
      <c r="JVW352" s="268"/>
      <c r="JVX352" s="268"/>
      <c r="JVY352" s="268"/>
      <c r="JVZ352" s="268"/>
      <c r="JWA352" s="268"/>
      <c r="JWB352" s="268"/>
      <c r="JWC352" s="268"/>
      <c r="JWD352" s="268"/>
      <c r="JWE352" s="268"/>
      <c r="JWF352" s="268"/>
      <c r="JWG352" s="268"/>
      <c r="JWH352" s="268"/>
      <c r="JWI352" s="268"/>
      <c r="JWJ352" s="268"/>
      <c r="JWK352" s="268"/>
      <c r="JWL352" s="268"/>
      <c r="JWM352" s="268"/>
      <c r="JWN352" s="268"/>
      <c r="JWO352" s="268"/>
      <c r="JWP352" s="268"/>
      <c r="JWQ352" s="268"/>
      <c r="JWR352" s="268"/>
      <c r="JWS352" s="268"/>
      <c r="JWT352" s="268"/>
      <c r="JWU352" s="268"/>
      <c r="JWV352" s="268"/>
      <c r="JWW352" s="268"/>
      <c r="JWX352" s="268"/>
      <c r="JWY352" s="268"/>
      <c r="JWZ352" s="268"/>
      <c r="JXA352" s="268"/>
      <c r="JXB352" s="268"/>
      <c r="JXC352" s="268"/>
      <c r="JXD352" s="268"/>
      <c r="JXE352" s="268"/>
      <c r="JXF352" s="268"/>
      <c r="JXG352" s="268"/>
      <c r="JXH352" s="268"/>
      <c r="JXI352" s="268"/>
      <c r="JXJ352" s="268"/>
      <c r="JXK352" s="268"/>
      <c r="JXL352" s="268"/>
      <c r="JXM352" s="268"/>
      <c r="JXN352" s="268"/>
      <c r="JXO352" s="268"/>
      <c r="JXP352" s="268"/>
      <c r="JXQ352" s="268"/>
      <c r="JXR352" s="268"/>
      <c r="JXS352" s="268"/>
      <c r="JXT352" s="268"/>
      <c r="JXU352" s="268"/>
      <c r="JXV352" s="268"/>
      <c r="JXW352" s="268"/>
      <c r="JXX352" s="268"/>
      <c r="JXY352" s="268"/>
      <c r="JXZ352" s="268"/>
      <c r="JYA352" s="268"/>
      <c r="JYB352" s="268"/>
      <c r="JYC352" s="268"/>
      <c r="JYD352" s="268"/>
      <c r="JYE352" s="268"/>
      <c r="JYS352" s="268"/>
      <c r="JYT352" s="268"/>
      <c r="JYU352" s="268"/>
      <c r="JZI352" s="268"/>
      <c r="JZK352" s="268"/>
      <c r="JZL352" s="268"/>
      <c r="JZM352" s="268"/>
      <c r="JZN352" s="268"/>
      <c r="JZO352" s="268"/>
      <c r="JZP352" s="268"/>
      <c r="JZQ352" s="268"/>
      <c r="JZR352" s="268"/>
      <c r="JZS352" s="268"/>
      <c r="JZT352" s="268"/>
      <c r="JZU352" s="268"/>
      <c r="JZV352" s="268"/>
      <c r="JZW352" s="268"/>
      <c r="JZX352" s="268"/>
      <c r="JZY352" s="268"/>
      <c r="JZZ352" s="268"/>
      <c r="KAA352" s="268"/>
      <c r="KAB352" s="268"/>
      <c r="KAC352" s="268"/>
      <c r="KAD352" s="268"/>
      <c r="KAE352" s="268"/>
      <c r="KAF352" s="268"/>
      <c r="KAG352" s="268"/>
      <c r="KAH352" s="268"/>
      <c r="KAI352" s="268"/>
      <c r="KAJ352" s="268"/>
      <c r="KAK352" s="268"/>
      <c r="KAL352" s="268"/>
      <c r="KAM352" s="268"/>
      <c r="KAN352" s="268"/>
      <c r="KAO352" s="268"/>
      <c r="KAP352" s="268"/>
      <c r="KAQ352" s="268"/>
      <c r="KAR352" s="268"/>
      <c r="KAS352" s="268"/>
      <c r="KAT352" s="268"/>
      <c r="KAU352" s="268"/>
      <c r="KAV352" s="268"/>
      <c r="KAW352" s="268"/>
      <c r="KAX352" s="268"/>
      <c r="KAY352" s="268"/>
      <c r="KAZ352" s="268"/>
      <c r="KBA352" s="268"/>
      <c r="KBB352" s="268"/>
      <c r="KBC352" s="268"/>
      <c r="KBD352" s="268"/>
      <c r="KBE352" s="268"/>
      <c r="KBF352" s="268"/>
      <c r="KBG352" s="268"/>
      <c r="KBH352" s="268"/>
      <c r="KBI352" s="268"/>
      <c r="KBJ352" s="268"/>
      <c r="KBK352" s="268"/>
      <c r="KBL352" s="268"/>
      <c r="KBM352" s="268"/>
      <c r="KBN352" s="268"/>
      <c r="KBO352" s="268"/>
      <c r="KBP352" s="268"/>
      <c r="KBQ352" s="268"/>
      <c r="KBR352" s="268"/>
      <c r="KBS352" s="268"/>
      <c r="KBT352" s="268"/>
      <c r="KBU352" s="268"/>
      <c r="KBV352" s="268"/>
      <c r="KBW352" s="268"/>
      <c r="KBX352" s="268"/>
      <c r="KBY352" s="268"/>
      <c r="KBZ352" s="268"/>
      <c r="KCA352" s="268"/>
      <c r="KCB352" s="268"/>
      <c r="KCC352" s="268"/>
      <c r="KCD352" s="268"/>
      <c r="KCE352" s="268"/>
      <c r="KCF352" s="268"/>
      <c r="KCG352" s="268"/>
      <c r="KCH352" s="268"/>
      <c r="KCI352" s="268"/>
      <c r="KCJ352" s="268"/>
      <c r="KCK352" s="268"/>
      <c r="KCL352" s="268"/>
      <c r="KCM352" s="268"/>
      <c r="KCN352" s="268"/>
      <c r="KCO352" s="268"/>
      <c r="KCP352" s="268"/>
      <c r="KCQ352" s="268"/>
      <c r="KCR352" s="268"/>
      <c r="KCS352" s="268"/>
      <c r="KCT352" s="268"/>
      <c r="KCU352" s="268"/>
      <c r="KCV352" s="268"/>
      <c r="KCW352" s="268"/>
      <c r="KCX352" s="268"/>
      <c r="KCY352" s="268"/>
      <c r="KCZ352" s="268"/>
      <c r="KDA352" s="268"/>
      <c r="KDB352" s="268"/>
      <c r="KDC352" s="268"/>
      <c r="KDD352" s="268"/>
      <c r="KDE352" s="268"/>
      <c r="KDF352" s="268"/>
      <c r="KDG352" s="268"/>
      <c r="KDH352" s="268"/>
      <c r="KDI352" s="268"/>
      <c r="KDJ352" s="268"/>
      <c r="KDK352" s="268"/>
      <c r="KDL352" s="268"/>
      <c r="KDM352" s="268"/>
      <c r="KDN352" s="268"/>
      <c r="KDO352" s="268"/>
      <c r="KDP352" s="268"/>
      <c r="KDQ352" s="268"/>
      <c r="KDR352" s="268"/>
      <c r="KDS352" s="268"/>
      <c r="KDT352" s="268"/>
      <c r="KDU352" s="268"/>
      <c r="KDV352" s="268"/>
      <c r="KDW352" s="268"/>
      <c r="KDX352" s="268"/>
      <c r="KDY352" s="268"/>
      <c r="KDZ352" s="268"/>
      <c r="KEA352" s="268"/>
      <c r="KEB352" s="268"/>
      <c r="KEC352" s="268"/>
      <c r="KED352" s="268"/>
      <c r="KEE352" s="268"/>
      <c r="KEF352" s="268"/>
      <c r="KEG352" s="268"/>
      <c r="KEH352" s="268"/>
      <c r="KEI352" s="268"/>
      <c r="KEJ352" s="268"/>
      <c r="KEK352" s="268"/>
      <c r="KEL352" s="268"/>
      <c r="KEM352" s="268"/>
      <c r="KEN352" s="268"/>
      <c r="KEO352" s="268"/>
      <c r="KEP352" s="268"/>
      <c r="KEQ352" s="268"/>
      <c r="KER352" s="268"/>
      <c r="KES352" s="268"/>
      <c r="KET352" s="268"/>
      <c r="KEU352" s="268"/>
      <c r="KEV352" s="268"/>
      <c r="KEW352" s="268"/>
      <c r="KEX352" s="268"/>
      <c r="KEY352" s="268"/>
      <c r="KEZ352" s="268"/>
      <c r="KFA352" s="268"/>
      <c r="KFB352" s="268"/>
      <c r="KFC352" s="268"/>
      <c r="KFD352" s="268"/>
      <c r="KFE352" s="268"/>
      <c r="KFF352" s="268"/>
      <c r="KFG352" s="268"/>
      <c r="KFH352" s="268"/>
      <c r="KFI352" s="268"/>
      <c r="KFJ352" s="268"/>
      <c r="KFK352" s="268"/>
      <c r="KFL352" s="268"/>
      <c r="KFM352" s="268"/>
      <c r="KFN352" s="268"/>
      <c r="KFO352" s="268"/>
      <c r="KFP352" s="268"/>
      <c r="KFQ352" s="268"/>
      <c r="KFR352" s="268"/>
      <c r="KFS352" s="268"/>
      <c r="KFT352" s="268"/>
      <c r="KFU352" s="268"/>
      <c r="KFV352" s="268"/>
      <c r="KFW352" s="268"/>
      <c r="KFX352" s="268"/>
      <c r="KFY352" s="268"/>
      <c r="KFZ352" s="268"/>
      <c r="KGA352" s="268"/>
      <c r="KGB352" s="268"/>
      <c r="KGC352" s="268"/>
      <c r="KGD352" s="268"/>
      <c r="KGE352" s="268"/>
      <c r="KGF352" s="268"/>
      <c r="KGG352" s="268"/>
      <c r="KGH352" s="268"/>
      <c r="KGI352" s="268"/>
      <c r="KGJ352" s="268"/>
      <c r="KGK352" s="268"/>
      <c r="KGL352" s="268"/>
      <c r="KGM352" s="268"/>
      <c r="KGN352" s="268"/>
      <c r="KGO352" s="268"/>
      <c r="KGP352" s="268"/>
      <c r="KGQ352" s="268"/>
      <c r="KGR352" s="268"/>
      <c r="KGS352" s="268"/>
      <c r="KGT352" s="268"/>
      <c r="KGU352" s="268"/>
      <c r="KGV352" s="268"/>
      <c r="KGW352" s="268"/>
      <c r="KGX352" s="268"/>
      <c r="KGY352" s="268"/>
      <c r="KGZ352" s="268"/>
      <c r="KHA352" s="268"/>
      <c r="KHB352" s="268"/>
      <c r="KHC352" s="268"/>
      <c r="KHD352" s="268"/>
      <c r="KHE352" s="268"/>
      <c r="KHF352" s="268"/>
      <c r="KHG352" s="268"/>
      <c r="KHH352" s="268"/>
      <c r="KHI352" s="268"/>
      <c r="KHJ352" s="268"/>
      <c r="KHK352" s="268"/>
      <c r="KHL352" s="268"/>
      <c r="KHM352" s="268"/>
      <c r="KHN352" s="268"/>
      <c r="KHO352" s="268"/>
      <c r="KHP352" s="268"/>
      <c r="KHQ352" s="268"/>
      <c r="KHR352" s="268"/>
      <c r="KHS352" s="268"/>
      <c r="KHT352" s="268"/>
      <c r="KHU352" s="268"/>
      <c r="KHV352" s="268"/>
      <c r="KHW352" s="268"/>
      <c r="KHX352" s="268"/>
      <c r="KHY352" s="268"/>
      <c r="KHZ352" s="268"/>
      <c r="KIA352" s="268"/>
      <c r="KIO352" s="268"/>
      <c r="KIP352" s="268"/>
      <c r="KIQ352" s="268"/>
      <c r="KJE352" s="268"/>
      <c r="KJG352" s="268"/>
      <c r="KJH352" s="268"/>
      <c r="KJI352" s="268"/>
      <c r="KJJ352" s="268"/>
      <c r="KJK352" s="268"/>
      <c r="KJL352" s="268"/>
      <c r="KJM352" s="268"/>
      <c r="KJN352" s="268"/>
      <c r="KJO352" s="268"/>
      <c r="KJP352" s="268"/>
      <c r="KJQ352" s="268"/>
      <c r="KJR352" s="268"/>
      <c r="KJS352" s="268"/>
      <c r="KJT352" s="268"/>
      <c r="KJU352" s="268"/>
      <c r="KJV352" s="268"/>
      <c r="KJW352" s="268"/>
      <c r="KJX352" s="268"/>
      <c r="KJY352" s="268"/>
      <c r="KJZ352" s="268"/>
      <c r="KKA352" s="268"/>
      <c r="KKB352" s="268"/>
      <c r="KKC352" s="268"/>
      <c r="KKD352" s="268"/>
      <c r="KKE352" s="268"/>
      <c r="KKF352" s="268"/>
      <c r="KKG352" s="268"/>
      <c r="KKH352" s="268"/>
      <c r="KKI352" s="268"/>
      <c r="KKJ352" s="268"/>
      <c r="KKK352" s="268"/>
      <c r="KKL352" s="268"/>
      <c r="KKM352" s="268"/>
      <c r="KKN352" s="268"/>
      <c r="KKO352" s="268"/>
      <c r="KKP352" s="268"/>
      <c r="KKQ352" s="268"/>
      <c r="KKR352" s="268"/>
      <c r="KKS352" s="268"/>
      <c r="KKT352" s="268"/>
      <c r="KKU352" s="268"/>
      <c r="KKV352" s="268"/>
      <c r="KKW352" s="268"/>
      <c r="KKX352" s="268"/>
      <c r="KKY352" s="268"/>
      <c r="KKZ352" s="268"/>
      <c r="KLA352" s="268"/>
      <c r="KLB352" s="268"/>
      <c r="KLC352" s="268"/>
      <c r="KLD352" s="268"/>
      <c r="KLE352" s="268"/>
      <c r="KLF352" s="268"/>
      <c r="KLG352" s="268"/>
      <c r="KLH352" s="268"/>
      <c r="KLI352" s="268"/>
      <c r="KLJ352" s="268"/>
      <c r="KLK352" s="268"/>
      <c r="KLL352" s="268"/>
      <c r="KLM352" s="268"/>
      <c r="KLN352" s="268"/>
      <c r="KLO352" s="268"/>
      <c r="KLP352" s="268"/>
      <c r="KLQ352" s="268"/>
      <c r="KLR352" s="268"/>
      <c r="KLS352" s="268"/>
      <c r="KLT352" s="268"/>
      <c r="KLU352" s="268"/>
      <c r="KLV352" s="268"/>
      <c r="KLW352" s="268"/>
      <c r="KLX352" s="268"/>
      <c r="KLY352" s="268"/>
      <c r="KLZ352" s="268"/>
      <c r="KMA352" s="268"/>
      <c r="KMB352" s="268"/>
      <c r="KMC352" s="268"/>
      <c r="KMD352" s="268"/>
      <c r="KME352" s="268"/>
      <c r="KMF352" s="268"/>
      <c r="KMG352" s="268"/>
      <c r="KMH352" s="268"/>
      <c r="KMI352" s="268"/>
      <c r="KMJ352" s="268"/>
      <c r="KMK352" s="268"/>
      <c r="KML352" s="268"/>
      <c r="KMM352" s="268"/>
      <c r="KMN352" s="268"/>
      <c r="KMO352" s="268"/>
      <c r="KMP352" s="268"/>
      <c r="KMQ352" s="268"/>
      <c r="KMR352" s="268"/>
      <c r="KMS352" s="268"/>
      <c r="KMT352" s="268"/>
      <c r="KMU352" s="268"/>
      <c r="KMV352" s="268"/>
      <c r="KMW352" s="268"/>
      <c r="KMX352" s="268"/>
      <c r="KMY352" s="268"/>
      <c r="KMZ352" s="268"/>
      <c r="KNA352" s="268"/>
      <c r="KNB352" s="268"/>
      <c r="KNC352" s="268"/>
      <c r="KND352" s="268"/>
      <c r="KNE352" s="268"/>
      <c r="KNF352" s="268"/>
      <c r="KNG352" s="268"/>
      <c r="KNH352" s="268"/>
      <c r="KNI352" s="268"/>
      <c r="KNJ352" s="268"/>
      <c r="KNK352" s="268"/>
      <c r="KNL352" s="268"/>
      <c r="KNM352" s="268"/>
      <c r="KNN352" s="268"/>
      <c r="KNO352" s="268"/>
      <c r="KNP352" s="268"/>
      <c r="KNQ352" s="268"/>
      <c r="KNR352" s="268"/>
      <c r="KNS352" s="268"/>
      <c r="KNT352" s="268"/>
      <c r="KNU352" s="268"/>
      <c r="KNV352" s="268"/>
      <c r="KNW352" s="268"/>
      <c r="KNX352" s="268"/>
      <c r="KNY352" s="268"/>
      <c r="KNZ352" s="268"/>
      <c r="KOA352" s="268"/>
      <c r="KOB352" s="268"/>
      <c r="KOC352" s="268"/>
      <c r="KOD352" s="268"/>
      <c r="KOE352" s="268"/>
      <c r="KOF352" s="268"/>
      <c r="KOG352" s="268"/>
      <c r="KOH352" s="268"/>
      <c r="KOI352" s="268"/>
      <c r="KOJ352" s="268"/>
      <c r="KOK352" s="268"/>
      <c r="KOL352" s="268"/>
      <c r="KOM352" s="268"/>
      <c r="KON352" s="268"/>
      <c r="KOO352" s="268"/>
      <c r="KOP352" s="268"/>
      <c r="KOQ352" s="268"/>
      <c r="KOR352" s="268"/>
      <c r="KOS352" s="268"/>
      <c r="KOT352" s="268"/>
      <c r="KOU352" s="268"/>
      <c r="KOV352" s="268"/>
      <c r="KOW352" s="268"/>
      <c r="KOX352" s="268"/>
      <c r="KOY352" s="268"/>
      <c r="KOZ352" s="268"/>
      <c r="KPA352" s="268"/>
      <c r="KPB352" s="268"/>
      <c r="KPC352" s="268"/>
      <c r="KPD352" s="268"/>
      <c r="KPE352" s="268"/>
      <c r="KPF352" s="268"/>
      <c r="KPG352" s="268"/>
      <c r="KPH352" s="268"/>
      <c r="KPI352" s="268"/>
      <c r="KPJ352" s="268"/>
      <c r="KPK352" s="268"/>
      <c r="KPL352" s="268"/>
      <c r="KPM352" s="268"/>
      <c r="KPN352" s="268"/>
      <c r="KPO352" s="268"/>
      <c r="KPP352" s="268"/>
      <c r="KPQ352" s="268"/>
      <c r="KPR352" s="268"/>
      <c r="KPS352" s="268"/>
      <c r="KPT352" s="268"/>
      <c r="KPU352" s="268"/>
      <c r="KPV352" s="268"/>
      <c r="KPW352" s="268"/>
      <c r="KPX352" s="268"/>
      <c r="KPY352" s="268"/>
      <c r="KPZ352" s="268"/>
      <c r="KQA352" s="268"/>
      <c r="KQB352" s="268"/>
      <c r="KQC352" s="268"/>
      <c r="KQD352" s="268"/>
      <c r="KQE352" s="268"/>
      <c r="KQF352" s="268"/>
      <c r="KQG352" s="268"/>
      <c r="KQH352" s="268"/>
      <c r="KQI352" s="268"/>
      <c r="KQJ352" s="268"/>
      <c r="KQK352" s="268"/>
      <c r="KQL352" s="268"/>
      <c r="KQM352" s="268"/>
      <c r="KQN352" s="268"/>
      <c r="KQO352" s="268"/>
      <c r="KQP352" s="268"/>
      <c r="KQQ352" s="268"/>
      <c r="KQR352" s="268"/>
      <c r="KQS352" s="268"/>
      <c r="KQT352" s="268"/>
      <c r="KQU352" s="268"/>
      <c r="KQV352" s="268"/>
      <c r="KQW352" s="268"/>
      <c r="KQX352" s="268"/>
      <c r="KQY352" s="268"/>
      <c r="KQZ352" s="268"/>
      <c r="KRA352" s="268"/>
      <c r="KRB352" s="268"/>
      <c r="KRC352" s="268"/>
      <c r="KRD352" s="268"/>
      <c r="KRE352" s="268"/>
      <c r="KRF352" s="268"/>
      <c r="KRG352" s="268"/>
      <c r="KRH352" s="268"/>
      <c r="KRI352" s="268"/>
      <c r="KRJ352" s="268"/>
      <c r="KRK352" s="268"/>
      <c r="KRL352" s="268"/>
      <c r="KRM352" s="268"/>
      <c r="KRN352" s="268"/>
      <c r="KRO352" s="268"/>
      <c r="KRP352" s="268"/>
      <c r="KRQ352" s="268"/>
      <c r="KRR352" s="268"/>
      <c r="KRS352" s="268"/>
      <c r="KRT352" s="268"/>
      <c r="KRU352" s="268"/>
      <c r="KRV352" s="268"/>
      <c r="KRW352" s="268"/>
      <c r="KSK352" s="268"/>
      <c r="KSL352" s="268"/>
      <c r="KSM352" s="268"/>
      <c r="KTA352" s="268"/>
      <c r="KTC352" s="268"/>
      <c r="KTD352" s="268"/>
      <c r="KTE352" s="268"/>
      <c r="KTF352" s="268"/>
      <c r="KTG352" s="268"/>
      <c r="KTH352" s="268"/>
      <c r="KTI352" s="268"/>
      <c r="KTJ352" s="268"/>
      <c r="KTK352" s="268"/>
      <c r="KTL352" s="268"/>
      <c r="KTM352" s="268"/>
      <c r="KTN352" s="268"/>
      <c r="KTO352" s="268"/>
      <c r="KTP352" s="268"/>
      <c r="KTQ352" s="268"/>
      <c r="KTR352" s="268"/>
      <c r="KTS352" s="268"/>
      <c r="KTT352" s="268"/>
      <c r="KTU352" s="268"/>
      <c r="KTV352" s="268"/>
      <c r="KTW352" s="268"/>
      <c r="KTX352" s="268"/>
      <c r="KTY352" s="268"/>
      <c r="KTZ352" s="268"/>
      <c r="KUA352" s="268"/>
      <c r="KUB352" s="268"/>
      <c r="KUC352" s="268"/>
      <c r="KUD352" s="268"/>
      <c r="KUE352" s="268"/>
      <c r="KUF352" s="268"/>
      <c r="KUG352" s="268"/>
      <c r="KUH352" s="268"/>
      <c r="KUI352" s="268"/>
      <c r="KUJ352" s="268"/>
      <c r="KUK352" s="268"/>
      <c r="KUL352" s="268"/>
      <c r="KUM352" s="268"/>
      <c r="KUN352" s="268"/>
      <c r="KUO352" s="268"/>
      <c r="KUP352" s="268"/>
      <c r="KUQ352" s="268"/>
      <c r="KUR352" s="268"/>
      <c r="KUS352" s="268"/>
      <c r="KUT352" s="268"/>
      <c r="KUU352" s="268"/>
      <c r="KUV352" s="268"/>
      <c r="KUW352" s="268"/>
      <c r="KUX352" s="268"/>
      <c r="KUY352" s="268"/>
      <c r="KUZ352" s="268"/>
      <c r="KVA352" s="268"/>
      <c r="KVB352" s="268"/>
      <c r="KVC352" s="268"/>
      <c r="KVD352" s="268"/>
      <c r="KVE352" s="268"/>
      <c r="KVF352" s="268"/>
      <c r="KVG352" s="268"/>
      <c r="KVH352" s="268"/>
      <c r="KVI352" s="268"/>
      <c r="KVJ352" s="268"/>
      <c r="KVK352" s="268"/>
      <c r="KVL352" s="268"/>
      <c r="KVM352" s="268"/>
      <c r="KVN352" s="268"/>
      <c r="KVO352" s="268"/>
      <c r="KVP352" s="268"/>
      <c r="KVQ352" s="268"/>
      <c r="KVR352" s="268"/>
      <c r="KVS352" s="268"/>
      <c r="KVT352" s="268"/>
      <c r="KVU352" s="268"/>
      <c r="KVV352" s="268"/>
      <c r="KVW352" s="268"/>
      <c r="KVX352" s="268"/>
      <c r="KVY352" s="268"/>
      <c r="KVZ352" s="268"/>
      <c r="KWA352" s="268"/>
      <c r="KWB352" s="268"/>
      <c r="KWC352" s="268"/>
      <c r="KWD352" s="268"/>
      <c r="KWE352" s="268"/>
      <c r="KWF352" s="268"/>
      <c r="KWG352" s="268"/>
      <c r="KWH352" s="268"/>
      <c r="KWI352" s="268"/>
      <c r="KWJ352" s="268"/>
      <c r="KWK352" s="268"/>
      <c r="KWL352" s="268"/>
      <c r="KWM352" s="268"/>
      <c r="KWN352" s="268"/>
      <c r="KWO352" s="268"/>
      <c r="KWP352" s="268"/>
      <c r="KWQ352" s="268"/>
      <c r="KWR352" s="268"/>
      <c r="KWS352" s="268"/>
      <c r="KWT352" s="268"/>
      <c r="KWU352" s="268"/>
      <c r="KWV352" s="268"/>
      <c r="KWW352" s="268"/>
      <c r="KWX352" s="268"/>
      <c r="KWY352" s="268"/>
      <c r="KWZ352" s="268"/>
      <c r="KXA352" s="268"/>
      <c r="KXB352" s="268"/>
      <c r="KXC352" s="268"/>
      <c r="KXD352" s="268"/>
      <c r="KXE352" s="268"/>
      <c r="KXF352" s="268"/>
      <c r="KXG352" s="268"/>
      <c r="KXH352" s="268"/>
      <c r="KXI352" s="268"/>
      <c r="KXJ352" s="268"/>
      <c r="KXK352" s="268"/>
      <c r="KXL352" s="268"/>
      <c r="KXM352" s="268"/>
      <c r="KXN352" s="268"/>
      <c r="KXO352" s="268"/>
      <c r="KXP352" s="268"/>
      <c r="KXQ352" s="268"/>
      <c r="KXR352" s="268"/>
      <c r="KXS352" s="268"/>
      <c r="KXT352" s="268"/>
      <c r="KXU352" s="268"/>
      <c r="KXV352" s="268"/>
      <c r="KXW352" s="268"/>
      <c r="KXX352" s="268"/>
      <c r="KXY352" s="268"/>
      <c r="KXZ352" s="268"/>
      <c r="KYA352" s="268"/>
      <c r="KYB352" s="268"/>
      <c r="KYC352" s="268"/>
      <c r="KYD352" s="268"/>
      <c r="KYE352" s="268"/>
      <c r="KYF352" s="268"/>
      <c r="KYG352" s="268"/>
      <c r="KYH352" s="268"/>
      <c r="KYI352" s="268"/>
      <c r="KYJ352" s="268"/>
      <c r="KYK352" s="268"/>
      <c r="KYL352" s="268"/>
      <c r="KYM352" s="268"/>
      <c r="KYN352" s="268"/>
      <c r="KYO352" s="268"/>
      <c r="KYP352" s="268"/>
      <c r="KYQ352" s="268"/>
      <c r="KYR352" s="268"/>
      <c r="KYS352" s="268"/>
      <c r="KYT352" s="268"/>
      <c r="KYU352" s="268"/>
      <c r="KYV352" s="268"/>
      <c r="KYW352" s="268"/>
      <c r="KYX352" s="268"/>
      <c r="KYY352" s="268"/>
      <c r="KYZ352" s="268"/>
      <c r="KZA352" s="268"/>
      <c r="KZB352" s="268"/>
      <c r="KZC352" s="268"/>
      <c r="KZD352" s="268"/>
      <c r="KZE352" s="268"/>
      <c r="KZF352" s="268"/>
      <c r="KZG352" s="268"/>
      <c r="KZH352" s="268"/>
      <c r="KZI352" s="268"/>
      <c r="KZJ352" s="268"/>
      <c r="KZK352" s="268"/>
      <c r="KZL352" s="268"/>
      <c r="KZM352" s="268"/>
      <c r="KZN352" s="268"/>
      <c r="KZO352" s="268"/>
      <c r="KZP352" s="268"/>
      <c r="KZQ352" s="268"/>
      <c r="KZR352" s="268"/>
      <c r="KZS352" s="268"/>
      <c r="KZT352" s="268"/>
      <c r="KZU352" s="268"/>
      <c r="KZV352" s="268"/>
      <c r="KZW352" s="268"/>
      <c r="KZX352" s="268"/>
      <c r="KZY352" s="268"/>
      <c r="KZZ352" s="268"/>
      <c r="LAA352" s="268"/>
      <c r="LAB352" s="268"/>
      <c r="LAC352" s="268"/>
      <c r="LAD352" s="268"/>
      <c r="LAE352" s="268"/>
      <c r="LAF352" s="268"/>
      <c r="LAG352" s="268"/>
      <c r="LAH352" s="268"/>
      <c r="LAI352" s="268"/>
      <c r="LAJ352" s="268"/>
      <c r="LAK352" s="268"/>
      <c r="LAL352" s="268"/>
      <c r="LAM352" s="268"/>
      <c r="LAN352" s="268"/>
      <c r="LAO352" s="268"/>
      <c r="LAP352" s="268"/>
      <c r="LAQ352" s="268"/>
      <c r="LAR352" s="268"/>
      <c r="LAS352" s="268"/>
      <c r="LAT352" s="268"/>
      <c r="LAU352" s="268"/>
      <c r="LAV352" s="268"/>
      <c r="LAW352" s="268"/>
      <c r="LAX352" s="268"/>
      <c r="LAY352" s="268"/>
      <c r="LAZ352" s="268"/>
      <c r="LBA352" s="268"/>
      <c r="LBB352" s="268"/>
      <c r="LBC352" s="268"/>
      <c r="LBD352" s="268"/>
      <c r="LBE352" s="268"/>
      <c r="LBF352" s="268"/>
      <c r="LBG352" s="268"/>
      <c r="LBH352" s="268"/>
      <c r="LBI352" s="268"/>
      <c r="LBJ352" s="268"/>
      <c r="LBK352" s="268"/>
      <c r="LBL352" s="268"/>
      <c r="LBM352" s="268"/>
      <c r="LBN352" s="268"/>
      <c r="LBO352" s="268"/>
      <c r="LBP352" s="268"/>
      <c r="LBQ352" s="268"/>
      <c r="LBR352" s="268"/>
      <c r="LBS352" s="268"/>
      <c r="LCG352" s="268"/>
      <c r="LCH352" s="268"/>
      <c r="LCI352" s="268"/>
      <c r="LCW352" s="268"/>
      <c r="LCY352" s="268"/>
      <c r="LCZ352" s="268"/>
      <c r="LDA352" s="268"/>
      <c r="LDB352" s="268"/>
      <c r="LDC352" s="268"/>
      <c r="LDD352" s="268"/>
      <c r="LDE352" s="268"/>
      <c r="LDF352" s="268"/>
      <c r="LDG352" s="268"/>
      <c r="LDH352" s="268"/>
      <c r="LDI352" s="268"/>
      <c r="LDJ352" s="268"/>
      <c r="LDK352" s="268"/>
      <c r="LDL352" s="268"/>
      <c r="LDM352" s="268"/>
      <c r="LDN352" s="268"/>
      <c r="LDO352" s="268"/>
      <c r="LDP352" s="268"/>
      <c r="LDQ352" s="268"/>
      <c r="LDR352" s="268"/>
      <c r="LDS352" s="268"/>
      <c r="LDT352" s="268"/>
      <c r="LDU352" s="268"/>
      <c r="LDV352" s="268"/>
      <c r="LDW352" s="268"/>
      <c r="LDX352" s="268"/>
      <c r="LDY352" s="268"/>
      <c r="LDZ352" s="268"/>
      <c r="LEA352" s="268"/>
      <c r="LEB352" s="268"/>
      <c r="LEC352" s="268"/>
      <c r="LED352" s="268"/>
      <c r="LEE352" s="268"/>
      <c r="LEF352" s="268"/>
      <c r="LEG352" s="268"/>
      <c r="LEH352" s="268"/>
      <c r="LEI352" s="268"/>
      <c r="LEJ352" s="268"/>
      <c r="LEK352" s="268"/>
      <c r="LEL352" s="268"/>
      <c r="LEM352" s="268"/>
      <c r="LEN352" s="268"/>
      <c r="LEO352" s="268"/>
      <c r="LEP352" s="268"/>
      <c r="LEQ352" s="268"/>
      <c r="LER352" s="268"/>
      <c r="LES352" s="268"/>
      <c r="LET352" s="268"/>
      <c r="LEU352" s="268"/>
      <c r="LEV352" s="268"/>
      <c r="LEW352" s="268"/>
      <c r="LEX352" s="268"/>
      <c r="LEY352" s="268"/>
      <c r="LEZ352" s="268"/>
      <c r="LFA352" s="268"/>
      <c r="LFB352" s="268"/>
      <c r="LFC352" s="268"/>
      <c r="LFD352" s="268"/>
      <c r="LFE352" s="268"/>
      <c r="LFF352" s="268"/>
      <c r="LFG352" s="268"/>
      <c r="LFH352" s="268"/>
      <c r="LFI352" s="268"/>
      <c r="LFJ352" s="268"/>
      <c r="LFK352" s="268"/>
      <c r="LFL352" s="268"/>
      <c r="LFM352" s="268"/>
      <c r="LFN352" s="268"/>
      <c r="LFO352" s="268"/>
      <c r="LFP352" s="268"/>
      <c r="LFQ352" s="268"/>
      <c r="LFR352" s="268"/>
      <c r="LFS352" s="268"/>
      <c r="LFT352" s="268"/>
      <c r="LFU352" s="268"/>
      <c r="LFV352" s="268"/>
      <c r="LFW352" s="268"/>
      <c r="LFX352" s="268"/>
      <c r="LFY352" s="268"/>
      <c r="LFZ352" s="268"/>
      <c r="LGA352" s="268"/>
      <c r="LGB352" s="268"/>
      <c r="LGC352" s="268"/>
      <c r="LGD352" s="268"/>
      <c r="LGE352" s="268"/>
      <c r="LGF352" s="268"/>
      <c r="LGG352" s="268"/>
      <c r="LGH352" s="268"/>
      <c r="LGI352" s="268"/>
      <c r="LGJ352" s="268"/>
      <c r="LGK352" s="268"/>
      <c r="LGL352" s="268"/>
      <c r="LGM352" s="268"/>
      <c r="LGN352" s="268"/>
      <c r="LGO352" s="268"/>
      <c r="LGP352" s="268"/>
      <c r="LGQ352" s="268"/>
      <c r="LGR352" s="268"/>
      <c r="LGS352" s="268"/>
      <c r="LGT352" s="268"/>
      <c r="LGU352" s="268"/>
      <c r="LGV352" s="268"/>
      <c r="LGW352" s="268"/>
      <c r="LGX352" s="268"/>
      <c r="LGY352" s="268"/>
      <c r="LGZ352" s="268"/>
      <c r="LHA352" s="268"/>
      <c r="LHB352" s="268"/>
      <c r="LHC352" s="268"/>
      <c r="LHD352" s="268"/>
      <c r="LHE352" s="268"/>
      <c r="LHF352" s="268"/>
      <c r="LHG352" s="268"/>
      <c r="LHH352" s="268"/>
      <c r="LHI352" s="268"/>
      <c r="LHJ352" s="268"/>
      <c r="LHK352" s="268"/>
      <c r="LHL352" s="268"/>
      <c r="LHM352" s="268"/>
      <c r="LHN352" s="268"/>
      <c r="LHO352" s="268"/>
      <c r="LHP352" s="268"/>
      <c r="LHQ352" s="268"/>
      <c r="LHR352" s="268"/>
      <c r="LHS352" s="268"/>
      <c r="LHT352" s="268"/>
      <c r="LHU352" s="268"/>
      <c r="LHV352" s="268"/>
      <c r="LHW352" s="268"/>
      <c r="LHX352" s="268"/>
      <c r="LHY352" s="268"/>
      <c r="LHZ352" s="268"/>
      <c r="LIA352" s="268"/>
      <c r="LIB352" s="268"/>
      <c r="LIC352" s="268"/>
      <c r="LID352" s="268"/>
      <c r="LIE352" s="268"/>
      <c r="LIF352" s="268"/>
      <c r="LIG352" s="268"/>
      <c r="LIH352" s="268"/>
      <c r="LII352" s="268"/>
      <c r="LIJ352" s="268"/>
      <c r="LIK352" s="268"/>
      <c r="LIL352" s="268"/>
      <c r="LIM352" s="268"/>
      <c r="LIN352" s="268"/>
      <c r="LIO352" s="268"/>
      <c r="LIP352" s="268"/>
      <c r="LIQ352" s="268"/>
      <c r="LIR352" s="268"/>
      <c r="LIS352" s="268"/>
      <c r="LIT352" s="268"/>
      <c r="LIU352" s="268"/>
      <c r="LIV352" s="268"/>
      <c r="LIW352" s="268"/>
      <c r="LIX352" s="268"/>
      <c r="LIY352" s="268"/>
      <c r="LIZ352" s="268"/>
      <c r="LJA352" s="268"/>
      <c r="LJB352" s="268"/>
      <c r="LJC352" s="268"/>
      <c r="LJD352" s="268"/>
      <c r="LJE352" s="268"/>
      <c r="LJF352" s="268"/>
      <c r="LJG352" s="268"/>
      <c r="LJH352" s="268"/>
      <c r="LJI352" s="268"/>
      <c r="LJJ352" s="268"/>
      <c r="LJK352" s="268"/>
      <c r="LJL352" s="268"/>
      <c r="LJM352" s="268"/>
      <c r="LJN352" s="268"/>
      <c r="LJO352" s="268"/>
      <c r="LJP352" s="268"/>
      <c r="LJQ352" s="268"/>
      <c r="LJR352" s="268"/>
      <c r="LJS352" s="268"/>
      <c r="LJT352" s="268"/>
      <c r="LJU352" s="268"/>
      <c r="LJV352" s="268"/>
      <c r="LJW352" s="268"/>
      <c r="LJX352" s="268"/>
      <c r="LJY352" s="268"/>
      <c r="LJZ352" s="268"/>
      <c r="LKA352" s="268"/>
      <c r="LKB352" s="268"/>
      <c r="LKC352" s="268"/>
      <c r="LKD352" s="268"/>
      <c r="LKE352" s="268"/>
      <c r="LKF352" s="268"/>
      <c r="LKG352" s="268"/>
      <c r="LKH352" s="268"/>
      <c r="LKI352" s="268"/>
      <c r="LKJ352" s="268"/>
      <c r="LKK352" s="268"/>
      <c r="LKL352" s="268"/>
      <c r="LKM352" s="268"/>
      <c r="LKN352" s="268"/>
      <c r="LKO352" s="268"/>
      <c r="LKP352" s="268"/>
      <c r="LKQ352" s="268"/>
      <c r="LKR352" s="268"/>
      <c r="LKS352" s="268"/>
      <c r="LKT352" s="268"/>
      <c r="LKU352" s="268"/>
      <c r="LKV352" s="268"/>
      <c r="LKW352" s="268"/>
      <c r="LKX352" s="268"/>
      <c r="LKY352" s="268"/>
      <c r="LKZ352" s="268"/>
      <c r="LLA352" s="268"/>
      <c r="LLB352" s="268"/>
      <c r="LLC352" s="268"/>
      <c r="LLD352" s="268"/>
      <c r="LLE352" s="268"/>
      <c r="LLF352" s="268"/>
      <c r="LLG352" s="268"/>
      <c r="LLH352" s="268"/>
      <c r="LLI352" s="268"/>
      <c r="LLJ352" s="268"/>
      <c r="LLK352" s="268"/>
      <c r="LLL352" s="268"/>
      <c r="LLM352" s="268"/>
      <c r="LLN352" s="268"/>
      <c r="LLO352" s="268"/>
      <c r="LMC352" s="268"/>
      <c r="LMD352" s="268"/>
      <c r="LME352" s="268"/>
      <c r="LMS352" s="268"/>
      <c r="LMU352" s="268"/>
      <c r="LMV352" s="268"/>
      <c r="LMW352" s="268"/>
      <c r="LMX352" s="268"/>
      <c r="LMY352" s="268"/>
      <c r="LMZ352" s="268"/>
      <c r="LNA352" s="268"/>
      <c r="LNB352" s="268"/>
      <c r="LNC352" s="268"/>
      <c r="LND352" s="268"/>
      <c r="LNE352" s="268"/>
      <c r="LNF352" s="268"/>
      <c r="LNG352" s="268"/>
      <c r="LNH352" s="268"/>
      <c r="LNI352" s="268"/>
      <c r="LNJ352" s="268"/>
      <c r="LNK352" s="268"/>
      <c r="LNL352" s="268"/>
      <c r="LNM352" s="268"/>
      <c r="LNN352" s="268"/>
      <c r="LNO352" s="268"/>
      <c r="LNP352" s="268"/>
      <c r="LNQ352" s="268"/>
      <c r="LNR352" s="268"/>
      <c r="LNS352" s="268"/>
      <c r="LNT352" s="268"/>
      <c r="LNU352" s="268"/>
      <c r="LNV352" s="268"/>
      <c r="LNW352" s="268"/>
      <c r="LNX352" s="268"/>
      <c r="LNY352" s="268"/>
      <c r="LNZ352" s="268"/>
      <c r="LOA352" s="268"/>
      <c r="LOB352" s="268"/>
      <c r="LOC352" s="268"/>
      <c r="LOD352" s="268"/>
      <c r="LOE352" s="268"/>
      <c r="LOF352" s="268"/>
      <c r="LOG352" s="268"/>
      <c r="LOH352" s="268"/>
      <c r="LOI352" s="268"/>
      <c r="LOJ352" s="268"/>
      <c r="LOK352" s="268"/>
      <c r="LOL352" s="268"/>
      <c r="LOM352" s="268"/>
      <c r="LON352" s="268"/>
      <c r="LOO352" s="268"/>
      <c r="LOP352" s="268"/>
      <c r="LOQ352" s="268"/>
      <c r="LOR352" s="268"/>
      <c r="LOS352" s="268"/>
      <c r="LOT352" s="268"/>
      <c r="LOU352" s="268"/>
      <c r="LOV352" s="268"/>
      <c r="LOW352" s="268"/>
      <c r="LOX352" s="268"/>
      <c r="LOY352" s="268"/>
      <c r="LOZ352" s="268"/>
      <c r="LPA352" s="268"/>
      <c r="LPB352" s="268"/>
      <c r="LPC352" s="268"/>
      <c r="LPD352" s="268"/>
      <c r="LPE352" s="268"/>
      <c r="LPF352" s="268"/>
      <c r="LPG352" s="268"/>
      <c r="LPH352" s="268"/>
      <c r="LPI352" s="268"/>
      <c r="LPJ352" s="268"/>
      <c r="LPK352" s="268"/>
      <c r="LPL352" s="268"/>
      <c r="LPM352" s="268"/>
      <c r="LPN352" s="268"/>
      <c r="LPO352" s="268"/>
      <c r="LPP352" s="268"/>
      <c r="LPQ352" s="268"/>
      <c r="LPR352" s="268"/>
      <c r="LPS352" s="268"/>
      <c r="LPT352" s="268"/>
      <c r="LPU352" s="268"/>
      <c r="LPV352" s="268"/>
      <c r="LPW352" s="268"/>
      <c r="LPX352" s="268"/>
      <c r="LPY352" s="268"/>
      <c r="LPZ352" s="268"/>
      <c r="LQA352" s="268"/>
      <c r="LQB352" s="268"/>
      <c r="LQC352" s="268"/>
      <c r="LQD352" s="268"/>
      <c r="LQE352" s="268"/>
      <c r="LQF352" s="268"/>
      <c r="LQG352" s="268"/>
      <c r="LQH352" s="268"/>
      <c r="LQI352" s="268"/>
      <c r="LQJ352" s="268"/>
      <c r="LQK352" s="268"/>
      <c r="LQL352" s="268"/>
      <c r="LQM352" s="268"/>
      <c r="LQN352" s="268"/>
      <c r="LQO352" s="268"/>
      <c r="LQP352" s="268"/>
      <c r="LQQ352" s="268"/>
      <c r="LQR352" s="268"/>
      <c r="LQS352" s="268"/>
      <c r="LQT352" s="268"/>
      <c r="LQU352" s="268"/>
      <c r="LQV352" s="268"/>
      <c r="LQW352" s="268"/>
      <c r="LQX352" s="268"/>
      <c r="LQY352" s="268"/>
      <c r="LQZ352" s="268"/>
      <c r="LRA352" s="268"/>
      <c r="LRB352" s="268"/>
      <c r="LRC352" s="268"/>
      <c r="LRD352" s="268"/>
      <c r="LRE352" s="268"/>
      <c r="LRF352" s="268"/>
      <c r="LRG352" s="268"/>
      <c r="LRH352" s="268"/>
      <c r="LRI352" s="268"/>
      <c r="LRJ352" s="268"/>
      <c r="LRK352" s="268"/>
      <c r="LRL352" s="268"/>
      <c r="LRM352" s="268"/>
      <c r="LRN352" s="268"/>
      <c r="LRO352" s="268"/>
      <c r="LRP352" s="268"/>
      <c r="LRQ352" s="268"/>
      <c r="LRR352" s="268"/>
      <c r="LRS352" s="268"/>
      <c r="LRT352" s="268"/>
      <c r="LRU352" s="268"/>
      <c r="LRV352" s="268"/>
      <c r="LRW352" s="268"/>
      <c r="LRX352" s="268"/>
      <c r="LRY352" s="268"/>
      <c r="LRZ352" s="268"/>
      <c r="LSA352" s="268"/>
      <c r="LSB352" s="268"/>
      <c r="LSC352" s="268"/>
      <c r="LSD352" s="268"/>
      <c r="LSE352" s="268"/>
      <c r="LSF352" s="268"/>
      <c r="LSG352" s="268"/>
      <c r="LSH352" s="268"/>
      <c r="LSI352" s="268"/>
      <c r="LSJ352" s="268"/>
      <c r="LSK352" s="268"/>
      <c r="LSL352" s="268"/>
      <c r="LSM352" s="268"/>
      <c r="LSN352" s="268"/>
      <c r="LSO352" s="268"/>
      <c r="LSP352" s="268"/>
      <c r="LSQ352" s="268"/>
      <c r="LSR352" s="268"/>
      <c r="LSS352" s="268"/>
      <c r="LST352" s="268"/>
      <c r="LSU352" s="268"/>
      <c r="LSV352" s="268"/>
      <c r="LSW352" s="268"/>
      <c r="LSX352" s="268"/>
      <c r="LSY352" s="268"/>
      <c r="LSZ352" s="268"/>
      <c r="LTA352" s="268"/>
      <c r="LTB352" s="268"/>
      <c r="LTC352" s="268"/>
      <c r="LTD352" s="268"/>
      <c r="LTE352" s="268"/>
      <c r="LTF352" s="268"/>
      <c r="LTG352" s="268"/>
      <c r="LTH352" s="268"/>
      <c r="LTI352" s="268"/>
      <c r="LTJ352" s="268"/>
      <c r="LTK352" s="268"/>
      <c r="LTL352" s="268"/>
      <c r="LTM352" s="268"/>
      <c r="LTN352" s="268"/>
      <c r="LTO352" s="268"/>
      <c r="LTP352" s="268"/>
      <c r="LTQ352" s="268"/>
      <c r="LTR352" s="268"/>
      <c r="LTS352" s="268"/>
      <c r="LTT352" s="268"/>
      <c r="LTU352" s="268"/>
      <c r="LTV352" s="268"/>
      <c r="LTW352" s="268"/>
      <c r="LTX352" s="268"/>
      <c r="LTY352" s="268"/>
      <c r="LTZ352" s="268"/>
      <c r="LUA352" s="268"/>
      <c r="LUB352" s="268"/>
      <c r="LUC352" s="268"/>
      <c r="LUD352" s="268"/>
      <c r="LUE352" s="268"/>
      <c r="LUF352" s="268"/>
      <c r="LUG352" s="268"/>
      <c r="LUH352" s="268"/>
      <c r="LUI352" s="268"/>
      <c r="LUJ352" s="268"/>
      <c r="LUK352" s="268"/>
      <c r="LUL352" s="268"/>
      <c r="LUM352" s="268"/>
      <c r="LUN352" s="268"/>
      <c r="LUO352" s="268"/>
      <c r="LUP352" s="268"/>
      <c r="LUQ352" s="268"/>
      <c r="LUR352" s="268"/>
      <c r="LUS352" s="268"/>
      <c r="LUT352" s="268"/>
      <c r="LUU352" s="268"/>
      <c r="LUV352" s="268"/>
      <c r="LUW352" s="268"/>
      <c r="LUX352" s="268"/>
      <c r="LUY352" s="268"/>
      <c r="LUZ352" s="268"/>
      <c r="LVA352" s="268"/>
      <c r="LVB352" s="268"/>
      <c r="LVC352" s="268"/>
      <c r="LVD352" s="268"/>
      <c r="LVE352" s="268"/>
      <c r="LVF352" s="268"/>
      <c r="LVG352" s="268"/>
      <c r="LVH352" s="268"/>
      <c r="LVI352" s="268"/>
      <c r="LVJ352" s="268"/>
      <c r="LVK352" s="268"/>
      <c r="LVY352" s="268"/>
      <c r="LVZ352" s="268"/>
      <c r="LWA352" s="268"/>
      <c r="LWO352" s="268"/>
      <c r="LWQ352" s="268"/>
      <c r="LWR352" s="268"/>
      <c r="LWS352" s="268"/>
      <c r="LWT352" s="268"/>
      <c r="LWU352" s="268"/>
      <c r="LWV352" s="268"/>
      <c r="LWW352" s="268"/>
      <c r="LWX352" s="268"/>
      <c r="LWY352" s="268"/>
      <c r="LWZ352" s="268"/>
      <c r="LXA352" s="268"/>
      <c r="LXB352" s="268"/>
      <c r="LXC352" s="268"/>
      <c r="LXD352" s="268"/>
      <c r="LXE352" s="268"/>
      <c r="LXF352" s="268"/>
      <c r="LXG352" s="268"/>
      <c r="LXH352" s="268"/>
      <c r="LXI352" s="268"/>
      <c r="LXJ352" s="268"/>
      <c r="LXK352" s="268"/>
      <c r="LXL352" s="268"/>
      <c r="LXM352" s="268"/>
      <c r="LXN352" s="268"/>
      <c r="LXO352" s="268"/>
      <c r="LXP352" s="268"/>
      <c r="LXQ352" s="268"/>
      <c r="LXR352" s="268"/>
      <c r="LXS352" s="268"/>
      <c r="LXT352" s="268"/>
      <c r="LXU352" s="268"/>
      <c r="LXV352" s="268"/>
      <c r="LXW352" s="268"/>
      <c r="LXX352" s="268"/>
      <c r="LXY352" s="268"/>
      <c r="LXZ352" s="268"/>
      <c r="LYA352" s="268"/>
      <c r="LYB352" s="268"/>
      <c r="LYC352" s="268"/>
      <c r="LYD352" s="268"/>
      <c r="LYE352" s="268"/>
      <c r="LYF352" s="268"/>
      <c r="LYG352" s="268"/>
      <c r="LYH352" s="268"/>
      <c r="LYI352" s="268"/>
      <c r="LYJ352" s="268"/>
      <c r="LYK352" s="268"/>
      <c r="LYL352" s="268"/>
      <c r="LYM352" s="268"/>
      <c r="LYN352" s="268"/>
      <c r="LYO352" s="268"/>
      <c r="LYP352" s="268"/>
      <c r="LYQ352" s="268"/>
      <c r="LYR352" s="268"/>
      <c r="LYS352" s="268"/>
      <c r="LYT352" s="268"/>
      <c r="LYU352" s="268"/>
      <c r="LYV352" s="268"/>
      <c r="LYW352" s="268"/>
      <c r="LYX352" s="268"/>
      <c r="LYY352" s="268"/>
      <c r="LYZ352" s="268"/>
      <c r="LZA352" s="268"/>
      <c r="LZB352" s="268"/>
      <c r="LZC352" s="268"/>
      <c r="LZD352" s="268"/>
      <c r="LZE352" s="268"/>
      <c r="LZF352" s="268"/>
      <c r="LZG352" s="268"/>
      <c r="LZH352" s="268"/>
      <c r="LZI352" s="268"/>
      <c r="LZJ352" s="268"/>
      <c r="LZK352" s="268"/>
      <c r="LZL352" s="268"/>
      <c r="LZM352" s="268"/>
      <c r="LZN352" s="268"/>
      <c r="LZO352" s="268"/>
      <c r="LZP352" s="268"/>
      <c r="LZQ352" s="268"/>
      <c r="LZR352" s="268"/>
      <c r="LZS352" s="268"/>
      <c r="LZT352" s="268"/>
      <c r="LZU352" s="268"/>
      <c r="LZV352" s="268"/>
      <c r="LZW352" s="268"/>
      <c r="LZX352" s="268"/>
      <c r="LZY352" s="268"/>
      <c r="LZZ352" s="268"/>
      <c r="MAA352" s="268"/>
      <c r="MAB352" s="268"/>
      <c r="MAC352" s="268"/>
      <c r="MAD352" s="268"/>
      <c r="MAE352" s="268"/>
      <c r="MAF352" s="268"/>
      <c r="MAG352" s="268"/>
      <c r="MAH352" s="268"/>
      <c r="MAI352" s="268"/>
      <c r="MAJ352" s="268"/>
      <c r="MAK352" s="268"/>
      <c r="MAL352" s="268"/>
      <c r="MAM352" s="268"/>
      <c r="MAN352" s="268"/>
      <c r="MAO352" s="268"/>
      <c r="MAP352" s="268"/>
      <c r="MAQ352" s="268"/>
      <c r="MAR352" s="268"/>
      <c r="MAS352" s="268"/>
      <c r="MAT352" s="268"/>
      <c r="MAU352" s="268"/>
      <c r="MAV352" s="268"/>
      <c r="MAW352" s="268"/>
      <c r="MAX352" s="268"/>
      <c r="MAY352" s="268"/>
      <c r="MAZ352" s="268"/>
      <c r="MBA352" s="268"/>
      <c r="MBB352" s="268"/>
      <c r="MBC352" s="268"/>
      <c r="MBD352" s="268"/>
      <c r="MBE352" s="268"/>
      <c r="MBF352" s="268"/>
      <c r="MBG352" s="268"/>
      <c r="MBH352" s="268"/>
      <c r="MBI352" s="268"/>
      <c r="MBJ352" s="268"/>
      <c r="MBK352" s="268"/>
      <c r="MBL352" s="268"/>
      <c r="MBM352" s="268"/>
      <c r="MBN352" s="268"/>
      <c r="MBO352" s="268"/>
      <c r="MBP352" s="268"/>
      <c r="MBQ352" s="268"/>
      <c r="MBR352" s="268"/>
      <c r="MBS352" s="268"/>
      <c r="MBT352" s="268"/>
      <c r="MBU352" s="268"/>
      <c r="MBV352" s="268"/>
      <c r="MBW352" s="268"/>
      <c r="MBX352" s="268"/>
      <c r="MBY352" s="268"/>
      <c r="MBZ352" s="268"/>
      <c r="MCA352" s="268"/>
      <c r="MCB352" s="268"/>
      <c r="MCC352" s="268"/>
      <c r="MCD352" s="268"/>
      <c r="MCE352" s="268"/>
      <c r="MCF352" s="268"/>
      <c r="MCG352" s="268"/>
      <c r="MCH352" s="268"/>
      <c r="MCI352" s="268"/>
      <c r="MCJ352" s="268"/>
      <c r="MCK352" s="268"/>
      <c r="MCL352" s="268"/>
      <c r="MCM352" s="268"/>
      <c r="MCN352" s="268"/>
      <c r="MCO352" s="268"/>
      <c r="MCP352" s="268"/>
      <c r="MCQ352" s="268"/>
      <c r="MCR352" s="268"/>
      <c r="MCS352" s="268"/>
      <c r="MCT352" s="268"/>
      <c r="MCU352" s="268"/>
      <c r="MCV352" s="268"/>
      <c r="MCW352" s="268"/>
      <c r="MCX352" s="268"/>
      <c r="MCY352" s="268"/>
      <c r="MCZ352" s="268"/>
      <c r="MDA352" s="268"/>
      <c r="MDB352" s="268"/>
      <c r="MDC352" s="268"/>
      <c r="MDD352" s="268"/>
      <c r="MDE352" s="268"/>
      <c r="MDF352" s="268"/>
      <c r="MDG352" s="268"/>
      <c r="MDH352" s="268"/>
      <c r="MDI352" s="268"/>
      <c r="MDJ352" s="268"/>
      <c r="MDK352" s="268"/>
      <c r="MDL352" s="268"/>
      <c r="MDM352" s="268"/>
      <c r="MDN352" s="268"/>
      <c r="MDO352" s="268"/>
      <c r="MDP352" s="268"/>
      <c r="MDQ352" s="268"/>
      <c r="MDR352" s="268"/>
      <c r="MDS352" s="268"/>
      <c r="MDT352" s="268"/>
      <c r="MDU352" s="268"/>
      <c r="MDV352" s="268"/>
      <c r="MDW352" s="268"/>
      <c r="MDX352" s="268"/>
      <c r="MDY352" s="268"/>
      <c r="MDZ352" s="268"/>
      <c r="MEA352" s="268"/>
      <c r="MEB352" s="268"/>
      <c r="MEC352" s="268"/>
      <c r="MED352" s="268"/>
      <c r="MEE352" s="268"/>
      <c r="MEF352" s="268"/>
      <c r="MEG352" s="268"/>
      <c r="MEH352" s="268"/>
      <c r="MEI352" s="268"/>
      <c r="MEJ352" s="268"/>
      <c r="MEK352" s="268"/>
      <c r="MEL352" s="268"/>
      <c r="MEM352" s="268"/>
      <c r="MEN352" s="268"/>
      <c r="MEO352" s="268"/>
      <c r="MEP352" s="268"/>
      <c r="MEQ352" s="268"/>
      <c r="MER352" s="268"/>
      <c r="MES352" s="268"/>
      <c r="MET352" s="268"/>
      <c r="MEU352" s="268"/>
      <c r="MEV352" s="268"/>
      <c r="MEW352" s="268"/>
      <c r="MEX352" s="268"/>
      <c r="MEY352" s="268"/>
      <c r="MEZ352" s="268"/>
      <c r="MFA352" s="268"/>
      <c r="MFB352" s="268"/>
      <c r="MFC352" s="268"/>
      <c r="MFD352" s="268"/>
      <c r="MFE352" s="268"/>
      <c r="MFF352" s="268"/>
      <c r="MFG352" s="268"/>
      <c r="MFU352" s="268"/>
      <c r="MFV352" s="268"/>
      <c r="MFW352" s="268"/>
      <c r="MGK352" s="268"/>
      <c r="MGM352" s="268"/>
      <c r="MGN352" s="268"/>
      <c r="MGO352" s="268"/>
      <c r="MGP352" s="268"/>
      <c r="MGQ352" s="268"/>
      <c r="MGR352" s="268"/>
      <c r="MGS352" s="268"/>
      <c r="MGT352" s="268"/>
      <c r="MGU352" s="268"/>
      <c r="MGV352" s="268"/>
      <c r="MGW352" s="268"/>
      <c r="MGX352" s="268"/>
      <c r="MGY352" s="268"/>
      <c r="MGZ352" s="268"/>
      <c r="MHA352" s="268"/>
      <c r="MHB352" s="268"/>
      <c r="MHC352" s="268"/>
      <c r="MHD352" s="268"/>
      <c r="MHE352" s="268"/>
      <c r="MHF352" s="268"/>
      <c r="MHG352" s="268"/>
      <c r="MHH352" s="268"/>
      <c r="MHI352" s="268"/>
      <c r="MHJ352" s="268"/>
      <c r="MHK352" s="268"/>
      <c r="MHL352" s="268"/>
      <c r="MHM352" s="268"/>
      <c r="MHN352" s="268"/>
      <c r="MHO352" s="268"/>
      <c r="MHP352" s="268"/>
      <c r="MHQ352" s="268"/>
      <c r="MHR352" s="268"/>
      <c r="MHS352" s="268"/>
      <c r="MHT352" s="268"/>
      <c r="MHU352" s="268"/>
      <c r="MHV352" s="268"/>
      <c r="MHW352" s="268"/>
      <c r="MHX352" s="268"/>
      <c r="MHY352" s="268"/>
      <c r="MHZ352" s="268"/>
      <c r="MIA352" s="268"/>
      <c r="MIB352" s="268"/>
      <c r="MIC352" s="268"/>
      <c r="MID352" s="268"/>
      <c r="MIE352" s="268"/>
      <c r="MIF352" s="268"/>
      <c r="MIG352" s="268"/>
      <c r="MIH352" s="268"/>
      <c r="MII352" s="268"/>
      <c r="MIJ352" s="268"/>
      <c r="MIK352" s="268"/>
      <c r="MIL352" s="268"/>
      <c r="MIM352" s="268"/>
      <c r="MIN352" s="268"/>
      <c r="MIO352" s="268"/>
      <c r="MIP352" s="268"/>
      <c r="MIQ352" s="268"/>
      <c r="MIR352" s="268"/>
      <c r="MIS352" s="268"/>
      <c r="MIT352" s="268"/>
      <c r="MIU352" s="268"/>
      <c r="MIV352" s="268"/>
      <c r="MIW352" s="268"/>
      <c r="MIX352" s="268"/>
      <c r="MIY352" s="268"/>
      <c r="MIZ352" s="268"/>
      <c r="MJA352" s="268"/>
      <c r="MJB352" s="268"/>
      <c r="MJC352" s="268"/>
      <c r="MJD352" s="268"/>
      <c r="MJE352" s="268"/>
      <c r="MJF352" s="268"/>
      <c r="MJG352" s="268"/>
      <c r="MJH352" s="268"/>
      <c r="MJI352" s="268"/>
      <c r="MJJ352" s="268"/>
      <c r="MJK352" s="268"/>
      <c r="MJL352" s="268"/>
      <c r="MJM352" s="268"/>
      <c r="MJN352" s="268"/>
      <c r="MJO352" s="268"/>
      <c r="MJP352" s="268"/>
      <c r="MJQ352" s="268"/>
      <c r="MJR352" s="268"/>
      <c r="MJS352" s="268"/>
      <c r="MJT352" s="268"/>
      <c r="MJU352" s="268"/>
      <c r="MJV352" s="268"/>
      <c r="MJW352" s="268"/>
      <c r="MJX352" s="268"/>
      <c r="MJY352" s="268"/>
      <c r="MJZ352" s="268"/>
      <c r="MKA352" s="268"/>
      <c r="MKB352" s="268"/>
      <c r="MKC352" s="268"/>
      <c r="MKD352" s="268"/>
      <c r="MKE352" s="268"/>
      <c r="MKF352" s="268"/>
      <c r="MKG352" s="268"/>
      <c r="MKH352" s="268"/>
      <c r="MKI352" s="268"/>
      <c r="MKJ352" s="268"/>
      <c r="MKK352" s="268"/>
      <c r="MKL352" s="268"/>
      <c r="MKM352" s="268"/>
      <c r="MKN352" s="268"/>
      <c r="MKO352" s="268"/>
      <c r="MKP352" s="268"/>
      <c r="MKQ352" s="268"/>
      <c r="MKR352" s="268"/>
      <c r="MKS352" s="268"/>
      <c r="MKT352" s="268"/>
      <c r="MKU352" s="268"/>
      <c r="MKV352" s="268"/>
      <c r="MKW352" s="268"/>
      <c r="MKX352" s="268"/>
      <c r="MKY352" s="268"/>
      <c r="MKZ352" s="268"/>
      <c r="MLA352" s="268"/>
      <c r="MLB352" s="268"/>
      <c r="MLC352" s="268"/>
      <c r="MLD352" s="268"/>
      <c r="MLE352" s="268"/>
      <c r="MLF352" s="268"/>
      <c r="MLG352" s="268"/>
      <c r="MLH352" s="268"/>
      <c r="MLI352" s="268"/>
      <c r="MLJ352" s="268"/>
      <c r="MLK352" s="268"/>
      <c r="MLL352" s="268"/>
      <c r="MLM352" s="268"/>
      <c r="MLN352" s="268"/>
      <c r="MLO352" s="268"/>
      <c r="MLP352" s="268"/>
      <c r="MLQ352" s="268"/>
      <c r="MLR352" s="268"/>
      <c r="MLS352" s="268"/>
      <c r="MLT352" s="268"/>
      <c r="MLU352" s="268"/>
      <c r="MLV352" s="268"/>
      <c r="MLW352" s="268"/>
      <c r="MLX352" s="268"/>
      <c r="MLY352" s="268"/>
      <c r="MLZ352" s="268"/>
      <c r="MMA352" s="268"/>
      <c r="MMB352" s="268"/>
      <c r="MMC352" s="268"/>
      <c r="MMD352" s="268"/>
      <c r="MME352" s="268"/>
      <c r="MMF352" s="268"/>
      <c r="MMG352" s="268"/>
      <c r="MMH352" s="268"/>
      <c r="MMI352" s="268"/>
      <c r="MMJ352" s="268"/>
      <c r="MMK352" s="268"/>
      <c r="MML352" s="268"/>
      <c r="MMM352" s="268"/>
      <c r="MMN352" s="268"/>
      <c r="MMO352" s="268"/>
      <c r="MMP352" s="268"/>
      <c r="MMQ352" s="268"/>
      <c r="MMR352" s="268"/>
      <c r="MMS352" s="268"/>
      <c r="MMT352" s="268"/>
      <c r="MMU352" s="268"/>
      <c r="MMV352" s="268"/>
      <c r="MMW352" s="268"/>
      <c r="MMX352" s="268"/>
      <c r="MMY352" s="268"/>
      <c r="MMZ352" s="268"/>
      <c r="MNA352" s="268"/>
      <c r="MNB352" s="268"/>
      <c r="MNC352" s="268"/>
      <c r="MND352" s="268"/>
      <c r="MNE352" s="268"/>
      <c r="MNF352" s="268"/>
      <c r="MNG352" s="268"/>
      <c r="MNH352" s="268"/>
      <c r="MNI352" s="268"/>
      <c r="MNJ352" s="268"/>
      <c r="MNK352" s="268"/>
      <c r="MNL352" s="268"/>
      <c r="MNM352" s="268"/>
      <c r="MNN352" s="268"/>
      <c r="MNO352" s="268"/>
      <c r="MNP352" s="268"/>
      <c r="MNQ352" s="268"/>
      <c r="MNR352" s="268"/>
      <c r="MNS352" s="268"/>
      <c r="MNT352" s="268"/>
      <c r="MNU352" s="268"/>
      <c r="MNV352" s="268"/>
      <c r="MNW352" s="268"/>
      <c r="MNX352" s="268"/>
      <c r="MNY352" s="268"/>
      <c r="MNZ352" s="268"/>
      <c r="MOA352" s="268"/>
      <c r="MOB352" s="268"/>
      <c r="MOC352" s="268"/>
      <c r="MOD352" s="268"/>
      <c r="MOE352" s="268"/>
      <c r="MOF352" s="268"/>
      <c r="MOG352" s="268"/>
      <c r="MOH352" s="268"/>
      <c r="MOI352" s="268"/>
      <c r="MOJ352" s="268"/>
      <c r="MOK352" s="268"/>
      <c r="MOL352" s="268"/>
      <c r="MOM352" s="268"/>
      <c r="MON352" s="268"/>
      <c r="MOO352" s="268"/>
      <c r="MOP352" s="268"/>
      <c r="MOQ352" s="268"/>
      <c r="MOR352" s="268"/>
      <c r="MOS352" s="268"/>
      <c r="MOT352" s="268"/>
      <c r="MOU352" s="268"/>
      <c r="MOV352" s="268"/>
      <c r="MOW352" s="268"/>
      <c r="MOX352" s="268"/>
      <c r="MOY352" s="268"/>
      <c r="MOZ352" s="268"/>
      <c r="MPA352" s="268"/>
      <c r="MPB352" s="268"/>
      <c r="MPC352" s="268"/>
      <c r="MPQ352" s="268"/>
      <c r="MPR352" s="268"/>
      <c r="MPS352" s="268"/>
      <c r="MQG352" s="268"/>
      <c r="MQI352" s="268"/>
      <c r="MQJ352" s="268"/>
      <c r="MQK352" s="268"/>
      <c r="MQL352" s="268"/>
      <c r="MQM352" s="268"/>
      <c r="MQN352" s="268"/>
      <c r="MQO352" s="268"/>
      <c r="MQP352" s="268"/>
      <c r="MQQ352" s="268"/>
      <c r="MQR352" s="268"/>
      <c r="MQS352" s="268"/>
      <c r="MQT352" s="268"/>
      <c r="MQU352" s="268"/>
      <c r="MQV352" s="268"/>
      <c r="MQW352" s="268"/>
      <c r="MQX352" s="268"/>
      <c r="MQY352" s="268"/>
      <c r="MQZ352" s="268"/>
      <c r="MRA352" s="268"/>
      <c r="MRB352" s="268"/>
      <c r="MRC352" s="268"/>
      <c r="MRD352" s="268"/>
      <c r="MRE352" s="268"/>
      <c r="MRF352" s="268"/>
      <c r="MRG352" s="268"/>
      <c r="MRH352" s="268"/>
      <c r="MRI352" s="268"/>
      <c r="MRJ352" s="268"/>
      <c r="MRK352" s="268"/>
      <c r="MRL352" s="268"/>
      <c r="MRM352" s="268"/>
      <c r="MRN352" s="268"/>
      <c r="MRO352" s="268"/>
      <c r="MRP352" s="268"/>
      <c r="MRQ352" s="268"/>
      <c r="MRR352" s="268"/>
      <c r="MRS352" s="268"/>
      <c r="MRT352" s="268"/>
      <c r="MRU352" s="268"/>
      <c r="MRV352" s="268"/>
      <c r="MRW352" s="268"/>
      <c r="MRX352" s="268"/>
      <c r="MRY352" s="268"/>
      <c r="MRZ352" s="268"/>
      <c r="MSA352" s="268"/>
      <c r="MSB352" s="268"/>
      <c r="MSC352" s="268"/>
      <c r="MSD352" s="268"/>
      <c r="MSE352" s="268"/>
      <c r="MSF352" s="268"/>
      <c r="MSG352" s="268"/>
      <c r="MSH352" s="268"/>
      <c r="MSI352" s="268"/>
      <c r="MSJ352" s="268"/>
      <c r="MSK352" s="268"/>
      <c r="MSL352" s="268"/>
      <c r="MSM352" s="268"/>
      <c r="MSN352" s="268"/>
      <c r="MSO352" s="268"/>
      <c r="MSP352" s="268"/>
      <c r="MSQ352" s="268"/>
      <c r="MSR352" s="268"/>
      <c r="MSS352" s="268"/>
      <c r="MST352" s="268"/>
      <c r="MSU352" s="268"/>
      <c r="MSV352" s="268"/>
      <c r="MSW352" s="268"/>
      <c r="MSX352" s="268"/>
      <c r="MSY352" s="268"/>
      <c r="MSZ352" s="268"/>
      <c r="MTA352" s="268"/>
      <c r="MTB352" s="268"/>
      <c r="MTC352" s="268"/>
      <c r="MTD352" s="268"/>
      <c r="MTE352" s="268"/>
      <c r="MTF352" s="268"/>
      <c r="MTG352" s="268"/>
      <c r="MTH352" s="268"/>
      <c r="MTI352" s="268"/>
      <c r="MTJ352" s="268"/>
      <c r="MTK352" s="268"/>
      <c r="MTL352" s="268"/>
      <c r="MTM352" s="268"/>
      <c r="MTN352" s="268"/>
      <c r="MTO352" s="268"/>
      <c r="MTP352" s="268"/>
      <c r="MTQ352" s="268"/>
      <c r="MTR352" s="268"/>
      <c r="MTS352" s="268"/>
      <c r="MTT352" s="268"/>
      <c r="MTU352" s="268"/>
      <c r="MTV352" s="268"/>
      <c r="MTW352" s="268"/>
      <c r="MTX352" s="268"/>
      <c r="MTY352" s="268"/>
      <c r="MTZ352" s="268"/>
      <c r="MUA352" s="268"/>
      <c r="MUB352" s="268"/>
      <c r="MUC352" s="268"/>
      <c r="MUD352" s="268"/>
      <c r="MUE352" s="268"/>
      <c r="MUF352" s="268"/>
      <c r="MUG352" s="268"/>
      <c r="MUH352" s="268"/>
      <c r="MUI352" s="268"/>
      <c r="MUJ352" s="268"/>
      <c r="MUK352" s="268"/>
      <c r="MUL352" s="268"/>
      <c r="MUM352" s="268"/>
      <c r="MUN352" s="268"/>
      <c r="MUO352" s="268"/>
      <c r="MUP352" s="268"/>
      <c r="MUQ352" s="268"/>
      <c r="MUR352" s="268"/>
      <c r="MUS352" s="268"/>
      <c r="MUT352" s="268"/>
      <c r="MUU352" s="268"/>
      <c r="MUV352" s="268"/>
      <c r="MUW352" s="268"/>
      <c r="MUX352" s="268"/>
      <c r="MUY352" s="268"/>
      <c r="MUZ352" s="268"/>
      <c r="MVA352" s="268"/>
      <c r="MVB352" s="268"/>
      <c r="MVC352" s="268"/>
      <c r="MVD352" s="268"/>
      <c r="MVE352" s="268"/>
      <c r="MVF352" s="268"/>
      <c r="MVG352" s="268"/>
      <c r="MVH352" s="268"/>
      <c r="MVI352" s="268"/>
      <c r="MVJ352" s="268"/>
      <c r="MVK352" s="268"/>
      <c r="MVL352" s="268"/>
      <c r="MVM352" s="268"/>
      <c r="MVN352" s="268"/>
      <c r="MVO352" s="268"/>
      <c r="MVP352" s="268"/>
      <c r="MVQ352" s="268"/>
      <c r="MVR352" s="268"/>
      <c r="MVS352" s="268"/>
      <c r="MVT352" s="268"/>
      <c r="MVU352" s="268"/>
      <c r="MVV352" s="268"/>
      <c r="MVW352" s="268"/>
      <c r="MVX352" s="268"/>
      <c r="MVY352" s="268"/>
      <c r="MVZ352" s="268"/>
      <c r="MWA352" s="268"/>
      <c r="MWB352" s="268"/>
      <c r="MWC352" s="268"/>
      <c r="MWD352" s="268"/>
      <c r="MWE352" s="268"/>
      <c r="MWF352" s="268"/>
      <c r="MWG352" s="268"/>
      <c r="MWH352" s="268"/>
      <c r="MWI352" s="268"/>
      <c r="MWJ352" s="268"/>
      <c r="MWK352" s="268"/>
      <c r="MWL352" s="268"/>
      <c r="MWM352" s="268"/>
      <c r="MWN352" s="268"/>
      <c r="MWO352" s="268"/>
      <c r="MWP352" s="268"/>
      <c r="MWQ352" s="268"/>
      <c r="MWR352" s="268"/>
      <c r="MWS352" s="268"/>
      <c r="MWT352" s="268"/>
      <c r="MWU352" s="268"/>
      <c r="MWV352" s="268"/>
      <c r="MWW352" s="268"/>
      <c r="MWX352" s="268"/>
      <c r="MWY352" s="268"/>
      <c r="MWZ352" s="268"/>
      <c r="MXA352" s="268"/>
      <c r="MXB352" s="268"/>
      <c r="MXC352" s="268"/>
      <c r="MXD352" s="268"/>
      <c r="MXE352" s="268"/>
      <c r="MXF352" s="268"/>
      <c r="MXG352" s="268"/>
      <c r="MXH352" s="268"/>
      <c r="MXI352" s="268"/>
      <c r="MXJ352" s="268"/>
      <c r="MXK352" s="268"/>
      <c r="MXL352" s="268"/>
      <c r="MXM352" s="268"/>
      <c r="MXN352" s="268"/>
      <c r="MXO352" s="268"/>
      <c r="MXP352" s="268"/>
      <c r="MXQ352" s="268"/>
      <c r="MXR352" s="268"/>
      <c r="MXS352" s="268"/>
      <c r="MXT352" s="268"/>
      <c r="MXU352" s="268"/>
      <c r="MXV352" s="268"/>
      <c r="MXW352" s="268"/>
      <c r="MXX352" s="268"/>
      <c r="MXY352" s="268"/>
      <c r="MXZ352" s="268"/>
      <c r="MYA352" s="268"/>
      <c r="MYB352" s="268"/>
      <c r="MYC352" s="268"/>
      <c r="MYD352" s="268"/>
      <c r="MYE352" s="268"/>
      <c r="MYF352" s="268"/>
      <c r="MYG352" s="268"/>
      <c r="MYH352" s="268"/>
      <c r="MYI352" s="268"/>
      <c r="MYJ352" s="268"/>
      <c r="MYK352" s="268"/>
      <c r="MYL352" s="268"/>
      <c r="MYM352" s="268"/>
      <c r="MYN352" s="268"/>
      <c r="MYO352" s="268"/>
      <c r="MYP352" s="268"/>
      <c r="MYQ352" s="268"/>
      <c r="MYR352" s="268"/>
      <c r="MYS352" s="268"/>
      <c r="MYT352" s="268"/>
      <c r="MYU352" s="268"/>
      <c r="MYV352" s="268"/>
      <c r="MYW352" s="268"/>
      <c r="MYX352" s="268"/>
      <c r="MYY352" s="268"/>
      <c r="MZM352" s="268"/>
      <c r="MZN352" s="268"/>
      <c r="MZO352" s="268"/>
      <c r="NAC352" s="268"/>
      <c r="NAE352" s="268"/>
      <c r="NAF352" s="268"/>
      <c r="NAG352" s="268"/>
      <c r="NAH352" s="268"/>
      <c r="NAI352" s="268"/>
      <c r="NAJ352" s="268"/>
      <c r="NAK352" s="268"/>
      <c r="NAL352" s="268"/>
      <c r="NAM352" s="268"/>
      <c r="NAN352" s="268"/>
      <c r="NAO352" s="268"/>
      <c r="NAP352" s="268"/>
      <c r="NAQ352" s="268"/>
      <c r="NAR352" s="268"/>
      <c r="NAS352" s="268"/>
      <c r="NAT352" s="268"/>
      <c r="NAU352" s="268"/>
      <c r="NAV352" s="268"/>
      <c r="NAW352" s="268"/>
      <c r="NAX352" s="268"/>
      <c r="NAY352" s="268"/>
      <c r="NAZ352" s="268"/>
      <c r="NBA352" s="268"/>
      <c r="NBB352" s="268"/>
      <c r="NBC352" s="268"/>
      <c r="NBD352" s="268"/>
      <c r="NBE352" s="268"/>
      <c r="NBF352" s="268"/>
      <c r="NBG352" s="268"/>
      <c r="NBH352" s="268"/>
      <c r="NBI352" s="268"/>
      <c r="NBJ352" s="268"/>
      <c r="NBK352" s="268"/>
      <c r="NBL352" s="268"/>
      <c r="NBM352" s="268"/>
      <c r="NBN352" s="268"/>
      <c r="NBO352" s="268"/>
      <c r="NBP352" s="268"/>
      <c r="NBQ352" s="268"/>
      <c r="NBR352" s="268"/>
      <c r="NBS352" s="268"/>
      <c r="NBT352" s="268"/>
      <c r="NBU352" s="268"/>
      <c r="NBV352" s="268"/>
      <c r="NBW352" s="268"/>
      <c r="NBX352" s="268"/>
      <c r="NBY352" s="268"/>
      <c r="NBZ352" s="268"/>
      <c r="NCA352" s="268"/>
      <c r="NCB352" s="268"/>
      <c r="NCC352" s="268"/>
      <c r="NCD352" s="268"/>
      <c r="NCE352" s="268"/>
      <c r="NCF352" s="268"/>
      <c r="NCG352" s="268"/>
      <c r="NCH352" s="268"/>
      <c r="NCI352" s="268"/>
      <c r="NCJ352" s="268"/>
      <c r="NCK352" s="268"/>
      <c r="NCL352" s="268"/>
      <c r="NCM352" s="268"/>
      <c r="NCN352" s="268"/>
      <c r="NCO352" s="268"/>
      <c r="NCP352" s="268"/>
      <c r="NCQ352" s="268"/>
      <c r="NCR352" s="268"/>
      <c r="NCS352" s="268"/>
      <c r="NCT352" s="268"/>
      <c r="NCU352" s="268"/>
      <c r="NCV352" s="268"/>
      <c r="NCW352" s="268"/>
      <c r="NCX352" s="268"/>
      <c r="NCY352" s="268"/>
      <c r="NCZ352" s="268"/>
      <c r="NDA352" s="268"/>
      <c r="NDB352" s="268"/>
      <c r="NDC352" s="268"/>
      <c r="NDD352" s="268"/>
      <c r="NDE352" s="268"/>
      <c r="NDF352" s="268"/>
      <c r="NDG352" s="268"/>
      <c r="NDH352" s="268"/>
      <c r="NDI352" s="268"/>
      <c r="NDJ352" s="268"/>
      <c r="NDK352" s="268"/>
      <c r="NDL352" s="268"/>
      <c r="NDM352" s="268"/>
      <c r="NDN352" s="268"/>
      <c r="NDO352" s="268"/>
      <c r="NDP352" s="268"/>
      <c r="NDQ352" s="268"/>
      <c r="NDR352" s="268"/>
      <c r="NDS352" s="268"/>
      <c r="NDT352" s="268"/>
      <c r="NDU352" s="268"/>
      <c r="NDV352" s="268"/>
      <c r="NDW352" s="268"/>
      <c r="NDX352" s="268"/>
      <c r="NDY352" s="268"/>
      <c r="NDZ352" s="268"/>
      <c r="NEA352" s="268"/>
      <c r="NEB352" s="268"/>
      <c r="NEC352" s="268"/>
      <c r="NED352" s="268"/>
      <c r="NEE352" s="268"/>
      <c r="NEF352" s="268"/>
      <c r="NEG352" s="268"/>
      <c r="NEH352" s="268"/>
      <c r="NEI352" s="268"/>
      <c r="NEJ352" s="268"/>
      <c r="NEK352" s="268"/>
      <c r="NEL352" s="268"/>
      <c r="NEM352" s="268"/>
      <c r="NEN352" s="268"/>
      <c r="NEO352" s="268"/>
      <c r="NEP352" s="268"/>
      <c r="NEQ352" s="268"/>
      <c r="NER352" s="268"/>
      <c r="NES352" s="268"/>
      <c r="NET352" s="268"/>
      <c r="NEU352" s="268"/>
      <c r="NEV352" s="268"/>
      <c r="NEW352" s="268"/>
      <c r="NEX352" s="268"/>
      <c r="NEY352" s="268"/>
      <c r="NEZ352" s="268"/>
      <c r="NFA352" s="268"/>
      <c r="NFB352" s="268"/>
      <c r="NFC352" s="268"/>
      <c r="NFD352" s="268"/>
      <c r="NFE352" s="268"/>
      <c r="NFF352" s="268"/>
      <c r="NFG352" s="268"/>
      <c r="NFH352" s="268"/>
      <c r="NFI352" s="268"/>
      <c r="NFJ352" s="268"/>
      <c r="NFK352" s="268"/>
      <c r="NFL352" s="268"/>
      <c r="NFM352" s="268"/>
      <c r="NFN352" s="268"/>
      <c r="NFO352" s="268"/>
      <c r="NFP352" s="268"/>
      <c r="NFQ352" s="268"/>
      <c r="NFR352" s="268"/>
      <c r="NFS352" s="268"/>
      <c r="NFT352" s="268"/>
      <c r="NFU352" s="268"/>
      <c r="NFV352" s="268"/>
      <c r="NFW352" s="268"/>
      <c r="NFX352" s="268"/>
      <c r="NFY352" s="268"/>
      <c r="NFZ352" s="268"/>
      <c r="NGA352" s="268"/>
      <c r="NGB352" s="268"/>
      <c r="NGC352" s="268"/>
      <c r="NGD352" s="268"/>
      <c r="NGE352" s="268"/>
      <c r="NGF352" s="268"/>
      <c r="NGG352" s="268"/>
      <c r="NGH352" s="268"/>
      <c r="NGI352" s="268"/>
      <c r="NGJ352" s="268"/>
      <c r="NGK352" s="268"/>
      <c r="NGL352" s="268"/>
      <c r="NGM352" s="268"/>
      <c r="NGN352" s="268"/>
      <c r="NGO352" s="268"/>
      <c r="NGP352" s="268"/>
      <c r="NGQ352" s="268"/>
      <c r="NGR352" s="268"/>
      <c r="NGS352" s="268"/>
      <c r="NGT352" s="268"/>
      <c r="NGU352" s="268"/>
      <c r="NGV352" s="268"/>
      <c r="NGW352" s="268"/>
      <c r="NGX352" s="268"/>
      <c r="NGY352" s="268"/>
      <c r="NGZ352" s="268"/>
      <c r="NHA352" s="268"/>
      <c r="NHB352" s="268"/>
      <c r="NHC352" s="268"/>
      <c r="NHD352" s="268"/>
      <c r="NHE352" s="268"/>
      <c r="NHF352" s="268"/>
      <c r="NHG352" s="268"/>
      <c r="NHH352" s="268"/>
      <c r="NHI352" s="268"/>
      <c r="NHJ352" s="268"/>
      <c r="NHK352" s="268"/>
      <c r="NHL352" s="268"/>
      <c r="NHM352" s="268"/>
      <c r="NHN352" s="268"/>
      <c r="NHO352" s="268"/>
      <c r="NHP352" s="268"/>
      <c r="NHQ352" s="268"/>
      <c r="NHR352" s="268"/>
      <c r="NHS352" s="268"/>
      <c r="NHT352" s="268"/>
      <c r="NHU352" s="268"/>
      <c r="NHV352" s="268"/>
      <c r="NHW352" s="268"/>
      <c r="NHX352" s="268"/>
      <c r="NHY352" s="268"/>
      <c r="NHZ352" s="268"/>
      <c r="NIA352" s="268"/>
      <c r="NIB352" s="268"/>
      <c r="NIC352" s="268"/>
      <c r="NID352" s="268"/>
      <c r="NIE352" s="268"/>
      <c r="NIF352" s="268"/>
      <c r="NIG352" s="268"/>
      <c r="NIH352" s="268"/>
      <c r="NII352" s="268"/>
      <c r="NIJ352" s="268"/>
      <c r="NIK352" s="268"/>
      <c r="NIL352" s="268"/>
      <c r="NIM352" s="268"/>
      <c r="NIN352" s="268"/>
      <c r="NIO352" s="268"/>
      <c r="NIP352" s="268"/>
      <c r="NIQ352" s="268"/>
      <c r="NIR352" s="268"/>
      <c r="NIS352" s="268"/>
      <c r="NIT352" s="268"/>
      <c r="NIU352" s="268"/>
      <c r="NJI352" s="268"/>
      <c r="NJJ352" s="268"/>
      <c r="NJK352" s="268"/>
      <c r="NJY352" s="268"/>
      <c r="NKA352" s="268"/>
      <c r="NKB352" s="268"/>
      <c r="NKC352" s="268"/>
      <c r="NKD352" s="268"/>
      <c r="NKE352" s="268"/>
      <c r="NKF352" s="268"/>
      <c r="NKG352" s="268"/>
      <c r="NKH352" s="268"/>
      <c r="NKI352" s="268"/>
      <c r="NKJ352" s="268"/>
      <c r="NKK352" s="268"/>
      <c r="NKL352" s="268"/>
      <c r="NKM352" s="268"/>
      <c r="NKN352" s="268"/>
      <c r="NKO352" s="268"/>
      <c r="NKP352" s="268"/>
      <c r="NKQ352" s="268"/>
      <c r="NKR352" s="268"/>
      <c r="NKS352" s="268"/>
      <c r="NKT352" s="268"/>
      <c r="NKU352" s="268"/>
      <c r="NKV352" s="268"/>
      <c r="NKW352" s="268"/>
      <c r="NKX352" s="268"/>
      <c r="NKY352" s="268"/>
      <c r="NKZ352" s="268"/>
      <c r="NLA352" s="268"/>
      <c r="NLB352" s="268"/>
      <c r="NLC352" s="268"/>
      <c r="NLD352" s="268"/>
      <c r="NLE352" s="268"/>
      <c r="NLF352" s="268"/>
      <c r="NLG352" s="268"/>
      <c r="NLH352" s="268"/>
      <c r="NLI352" s="268"/>
      <c r="NLJ352" s="268"/>
      <c r="NLK352" s="268"/>
      <c r="NLL352" s="268"/>
      <c r="NLM352" s="268"/>
      <c r="NLN352" s="268"/>
      <c r="NLO352" s="268"/>
      <c r="NLP352" s="268"/>
      <c r="NLQ352" s="268"/>
      <c r="NLR352" s="268"/>
      <c r="NLS352" s="268"/>
      <c r="NLT352" s="268"/>
      <c r="NLU352" s="268"/>
      <c r="NLV352" s="268"/>
      <c r="NLW352" s="268"/>
      <c r="NLX352" s="268"/>
      <c r="NLY352" s="268"/>
      <c r="NLZ352" s="268"/>
      <c r="NMA352" s="268"/>
      <c r="NMB352" s="268"/>
      <c r="NMC352" s="268"/>
      <c r="NMD352" s="268"/>
      <c r="NME352" s="268"/>
      <c r="NMF352" s="268"/>
      <c r="NMG352" s="268"/>
      <c r="NMH352" s="268"/>
      <c r="NMI352" s="268"/>
      <c r="NMJ352" s="268"/>
      <c r="NMK352" s="268"/>
      <c r="NML352" s="268"/>
      <c r="NMM352" s="268"/>
      <c r="NMN352" s="268"/>
      <c r="NMO352" s="268"/>
      <c r="NMP352" s="268"/>
      <c r="NMQ352" s="268"/>
      <c r="NMR352" s="268"/>
      <c r="NMS352" s="268"/>
      <c r="NMT352" s="268"/>
      <c r="NMU352" s="268"/>
      <c r="NMV352" s="268"/>
      <c r="NMW352" s="268"/>
      <c r="NMX352" s="268"/>
      <c r="NMY352" s="268"/>
      <c r="NMZ352" s="268"/>
      <c r="NNA352" s="268"/>
      <c r="NNB352" s="268"/>
      <c r="NNC352" s="268"/>
      <c r="NND352" s="268"/>
      <c r="NNE352" s="268"/>
      <c r="NNF352" s="268"/>
      <c r="NNG352" s="268"/>
      <c r="NNH352" s="268"/>
      <c r="NNI352" s="268"/>
      <c r="NNJ352" s="268"/>
      <c r="NNK352" s="268"/>
      <c r="NNL352" s="268"/>
      <c r="NNM352" s="268"/>
      <c r="NNN352" s="268"/>
      <c r="NNO352" s="268"/>
      <c r="NNP352" s="268"/>
      <c r="NNQ352" s="268"/>
      <c r="NNR352" s="268"/>
      <c r="NNS352" s="268"/>
      <c r="NNT352" s="268"/>
      <c r="NNU352" s="268"/>
      <c r="NNV352" s="268"/>
      <c r="NNW352" s="268"/>
      <c r="NNX352" s="268"/>
      <c r="NNY352" s="268"/>
      <c r="NNZ352" s="268"/>
      <c r="NOA352" s="268"/>
      <c r="NOB352" s="268"/>
      <c r="NOC352" s="268"/>
      <c r="NOD352" s="268"/>
      <c r="NOE352" s="268"/>
      <c r="NOF352" s="268"/>
      <c r="NOG352" s="268"/>
      <c r="NOH352" s="268"/>
      <c r="NOI352" s="268"/>
      <c r="NOJ352" s="268"/>
      <c r="NOK352" s="268"/>
      <c r="NOL352" s="268"/>
      <c r="NOM352" s="268"/>
      <c r="NON352" s="268"/>
      <c r="NOO352" s="268"/>
      <c r="NOP352" s="268"/>
      <c r="NOQ352" s="268"/>
      <c r="NOR352" s="268"/>
      <c r="NOS352" s="268"/>
      <c r="NOT352" s="268"/>
      <c r="NOU352" s="268"/>
      <c r="NOV352" s="268"/>
      <c r="NOW352" s="268"/>
      <c r="NOX352" s="268"/>
      <c r="NOY352" s="268"/>
      <c r="NOZ352" s="268"/>
      <c r="NPA352" s="268"/>
      <c r="NPB352" s="268"/>
      <c r="NPC352" s="268"/>
      <c r="NPD352" s="268"/>
      <c r="NPE352" s="268"/>
      <c r="NPF352" s="268"/>
      <c r="NPG352" s="268"/>
      <c r="NPH352" s="268"/>
      <c r="NPI352" s="268"/>
      <c r="NPJ352" s="268"/>
      <c r="NPK352" s="268"/>
      <c r="NPL352" s="268"/>
      <c r="NPM352" s="268"/>
      <c r="NPN352" s="268"/>
      <c r="NPO352" s="268"/>
      <c r="NPP352" s="268"/>
      <c r="NPQ352" s="268"/>
      <c r="NPR352" s="268"/>
      <c r="NPS352" s="268"/>
      <c r="NPT352" s="268"/>
      <c r="NPU352" s="268"/>
      <c r="NPV352" s="268"/>
      <c r="NPW352" s="268"/>
      <c r="NPX352" s="268"/>
      <c r="NPY352" s="268"/>
      <c r="NPZ352" s="268"/>
      <c r="NQA352" s="268"/>
      <c r="NQB352" s="268"/>
      <c r="NQC352" s="268"/>
      <c r="NQD352" s="268"/>
      <c r="NQE352" s="268"/>
      <c r="NQF352" s="268"/>
      <c r="NQG352" s="268"/>
      <c r="NQH352" s="268"/>
      <c r="NQI352" s="268"/>
      <c r="NQJ352" s="268"/>
      <c r="NQK352" s="268"/>
      <c r="NQL352" s="268"/>
      <c r="NQM352" s="268"/>
      <c r="NQN352" s="268"/>
      <c r="NQO352" s="268"/>
      <c r="NQP352" s="268"/>
      <c r="NQQ352" s="268"/>
      <c r="NQR352" s="268"/>
      <c r="NQS352" s="268"/>
      <c r="NQT352" s="268"/>
      <c r="NQU352" s="268"/>
      <c r="NQV352" s="268"/>
      <c r="NQW352" s="268"/>
      <c r="NQX352" s="268"/>
      <c r="NQY352" s="268"/>
      <c r="NQZ352" s="268"/>
      <c r="NRA352" s="268"/>
      <c r="NRB352" s="268"/>
      <c r="NRC352" s="268"/>
      <c r="NRD352" s="268"/>
      <c r="NRE352" s="268"/>
      <c r="NRF352" s="268"/>
      <c r="NRG352" s="268"/>
      <c r="NRH352" s="268"/>
      <c r="NRI352" s="268"/>
      <c r="NRJ352" s="268"/>
      <c r="NRK352" s="268"/>
      <c r="NRL352" s="268"/>
      <c r="NRM352" s="268"/>
      <c r="NRN352" s="268"/>
      <c r="NRO352" s="268"/>
      <c r="NRP352" s="268"/>
      <c r="NRQ352" s="268"/>
      <c r="NRR352" s="268"/>
      <c r="NRS352" s="268"/>
      <c r="NRT352" s="268"/>
      <c r="NRU352" s="268"/>
      <c r="NRV352" s="268"/>
      <c r="NRW352" s="268"/>
      <c r="NRX352" s="268"/>
      <c r="NRY352" s="268"/>
      <c r="NRZ352" s="268"/>
      <c r="NSA352" s="268"/>
      <c r="NSB352" s="268"/>
      <c r="NSC352" s="268"/>
      <c r="NSD352" s="268"/>
      <c r="NSE352" s="268"/>
      <c r="NSF352" s="268"/>
      <c r="NSG352" s="268"/>
      <c r="NSH352" s="268"/>
      <c r="NSI352" s="268"/>
      <c r="NSJ352" s="268"/>
      <c r="NSK352" s="268"/>
      <c r="NSL352" s="268"/>
      <c r="NSM352" s="268"/>
      <c r="NSN352" s="268"/>
      <c r="NSO352" s="268"/>
      <c r="NSP352" s="268"/>
      <c r="NSQ352" s="268"/>
      <c r="NTE352" s="268"/>
      <c r="NTF352" s="268"/>
      <c r="NTG352" s="268"/>
      <c r="NTU352" s="268"/>
      <c r="NTW352" s="268"/>
      <c r="NTX352" s="268"/>
      <c r="NTY352" s="268"/>
      <c r="NTZ352" s="268"/>
      <c r="NUA352" s="268"/>
      <c r="NUB352" s="268"/>
      <c r="NUC352" s="268"/>
      <c r="NUD352" s="268"/>
      <c r="NUE352" s="268"/>
      <c r="NUF352" s="268"/>
      <c r="NUG352" s="268"/>
      <c r="NUH352" s="268"/>
      <c r="NUI352" s="268"/>
      <c r="NUJ352" s="268"/>
      <c r="NUK352" s="268"/>
      <c r="NUL352" s="268"/>
      <c r="NUM352" s="268"/>
      <c r="NUN352" s="268"/>
      <c r="NUO352" s="268"/>
      <c r="NUP352" s="268"/>
      <c r="NUQ352" s="268"/>
      <c r="NUR352" s="268"/>
      <c r="NUS352" s="268"/>
      <c r="NUT352" s="268"/>
      <c r="NUU352" s="268"/>
      <c r="NUV352" s="268"/>
      <c r="NUW352" s="268"/>
      <c r="NUX352" s="268"/>
      <c r="NUY352" s="268"/>
      <c r="NUZ352" s="268"/>
      <c r="NVA352" s="268"/>
      <c r="NVB352" s="268"/>
      <c r="NVC352" s="268"/>
      <c r="NVD352" s="268"/>
      <c r="NVE352" s="268"/>
      <c r="NVF352" s="268"/>
      <c r="NVG352" s="268"/>
      <c r="NVH352" s="268"/>
      <c r="NVI352" s="268"/>
      <c r="NVJ352" s="268"/>
      <c r="NVK352" s="268"/>
      <c r="NVL352" s="268"/>
      <c r="NVM352" s="268"/>
      <c r="NVN352" s="268"/>
      <c r="NVO352" s="268"/>
      <c r="NVP352" s="268"/>
      <c r="NVQ352" s="268"/>
      <c r="NVR352" s="268"/>
      <c r="NVS352" s="268"/>
      <c r="NVT352" s="268"/>
      <c r="NVU352" s="268"/>
      <c r="NVV352" s="268"/>
      <c r="NVW352" s="268"/>
      <c r="NVX352" s="268"/>
      <c r="NVY352" s="268"/>
      <c r="NVZ352" s="268"/>
      <c r="NWA352" s="268"/>
      <c r="NWB352" s="268"/>
      <c r="NWC352" s="268"/>
      <c r="NWD352" s="268"/>
      <c r="NWE352" s="268"/>
      <c r="NWF352" s="268"/>
      <c r="NWG352" s="268"/>
      <c r="NWH352" s="268"/>
      <c r="NWI352" s="268"/>
      <c r="NWJ352" s="268"/>
      <c r="NWK352" s="268"/>
      <c r="NWL352" s="268"/>
      <c r="NWM352" s="268"/>
      <c r="NWN352" s="268"/>
      <c r="NWO352" s="268"/>
      <c r="NWP352" s="268"/>
      <c r="NWQ352" s="268"/>
      <c r="NWR352" s="268"/>
      <c r="NWS352" s="268"/>
      <c r="NWT352" s="268"/>
      <c r="NWU352" s="268"/>
      <c r="NWV352" s="268"/>
      <c r="NWW352" s="268"/>
      <c r="NWX352" s="268"/>
      <c r="NWY352" s="268"/>
      <c r="NWZ352" s="268"/>
      <c r="NXA352" s="268"/>
      <c r="NXB352" s="268"/>
      <c r="NXC352" s="268"/>
      <c r="NXD352" s="268"/>
      <c r="NXE352" s="268"/>
      <c r="NXF352" s="268"/>
      <c r="NXG352" s="268"/>
      <c r="NXH352" s="268"/>
      <c r="NXI352" s="268"/>
      <c r="NXJ352" s="268"/>
      <c r="NXK352" s="268"/>
      <c r="NXL352" s="268"/>
      <c r="NXM352" s="268"/>
      <c r="NXN352" s="268"/>
      <c r="NXO352" s="268"/>
      <c r="NXP352" s="268"/>
      <c r="NXQ352" s="268"/>
      <c r="NXR352" s="268"/>
      <c r="NXS352" s="268"/>
      <c r="NXT352" s="268"/>
      <c r="NXU352" s="268"/>
      <c r="NXV352" s="268"/>
      <c r="NXW352" s="268"/>
      <c r="NXX352" s="268"/>
      <c r="NXY352" s="268"/>
      <c r="NXZ352" s="268"/>
      <c r="NYA352" s="268"/>
      <c r="NYB352" s="268"/>
      <c r="NYC352" s="268"/>
      <c r="NYD352" s="268"/>
      <c r="NYE352" s="268"/>
      <c r="NYF352" s="268"/>
      <c r="NYG352" s="268"/>
      <c r="NYH352" s="268"/>
      <c r="NYI352" s="268"/>
      <c r="NYJ352" s="268"/>
      <c r="NYK352" s="268"/>
      <c r="NYL352" s="268"/>
      <c r="NYM352" s="268"/>
      <c r="NYN352" s="268"/>
      <c r="NYO352" s="268"/>
      <c r="NYP352" s="268"/>
      <c r="NYQ352" s="268"/>
      <c r="NYR352" s="268"/>
      <c r="NYS352" s="268"/>
      <c r="NYT352" s="268"/>
      <c r="NYU352" s="268"/>
      <c r="NYV352" s="268"/>
      <c r="NYW352" s="268"/>
      <c r="NYX352" s="268"/>
      <c r="NYY352" s="268"/>
      <c r="NYZ352" s="268"/>
      <c r="NZA352" s="268"/>
      <c r="NZB352" s="268"/>
      <c r="NZC352" s="268"/>
      <c r="NZD352" s="268"/>
      <c r="NZE352" s="268"/>
      <c r="NZF352" s="268"/>
      <c r="NZG352" s="268"/>
      <c r="NZH352" s="268"/>
      <c r="NZI352" s="268"/>
      <c r="NZJ352" s="268"/>
      <c r="NZK352" s="268"/>
      <c r="NZL352" s="268"/>
      <c r="NZM352" s="268"/>
      <c r="NZN352" s="268"/>
      <c r="NZO352" s="268"/>
      <c r="NZP352" s="268"/>
      <c r="NZQ352" s="268"/>
      <c r="NZR352" s="268"/>
      <c r="NZS352" s="268"/>
      <c r="NZT352" s="268"/>
      <c r="NZU352" s="268"/>
      <c r="NZV352" s="268"/>
      <c r="NZW352" s="268"/>
      <c r="NZX352" s="268"/>
      <c r="NZY352" s="268"/>
      <c r="NZZ352" s="268"/>
      <c r="OAA352" s="268"/>
      <c r="OAB352" s="268"/>
      <c r="OAC352" s="268"/>
      <c r="OAD352" s="268"/>
      <c r="OAE352" s="268"/>
      <c r="OAF352" s="268"/>
      <c r="OAG352" s="268"/>
      <c r="OAH352" s="268"/>
      <c r="OAI352" s="268"/>
      <c r="OAJ352" s="268"/>
      <c r="OAK352" s="268"/>
      <c r="OAL352" s="268"/>
      <c r="OAM352" s="268"/>
      <c r="OAN352" s="268"/>
      <c r="OAO352" s="268"/>
      <c r="OAP352" s="268"/>
      <c r="OAQ352" s="268"/>
      <c r="OAR352" s="268"/>
      <c r="OAS352" s="268"/>
      <c r="OAT352" s="268"/>
      <c r="OAU352" s="268"/>
      <c r="OAV352" s="268"/>
      <c r="OAW352" s="268"/>
      <c r="OAX352" s="268"/>
      <c r="OAY352" s="268"/>
      <c r="OAZ352" s="268"/>
      <c r="OBA352" s="268"/>
      <c r="OBB352" s="268"/>
      <c r="OBC352" s="268"/>
      <c r="OBD352" s="268"/>
      <c r="OBE352" s="268"/>
      <c r="OBF352" s="268"/>
      <c r="OBG352" s="268"/>
      <c r="OBH352" s="268"/>
      <c r="OBI352" s="268"/>
      <c r="OBJ352" s="268"/>
      <c r="OBK352" s="268"/>
      <c r="OBL352" s="268"/>
      <c r="OBM352" s="268"/>
      <c r="OBN352" s="268"/>
      <c r="OBO352" s="268"/>
      <c r="OBP352" s="268"/>
      <c r="OBQ352" s="268"/>
      <c r="OBR352" s="268"/>
      <c r="OBS352" s="268"/>
      <c r="OBT352" s="268"/>
      <c r="OBU352" s="268"/>
      <c r="OBV352" s="268"/>
      <c r="OBW352" s="268"/>
      <c r="OBX352" s="268"/>
      <c r="OBY352" s="268"/>
      <c r="OBZ352" s="268"/>
      <c r="OCA352" s="268"/>
      <c r="OCB352" s="268"/>
      <c r="OCC352" s="268"/>
      <c r="OCD352" s="268"/>
      <c r="OCE352" s="268"/>
      <c r="OCF352" s="268"/>
      <c r="OCG352" s="268"/>
      <c r="OCH352" s="268"/>
      <c r="OCI352" s="268"/>
      <c r="OCJ352" s="268"/>
      <c r="OCK352" s="268"/>
      <c r="OCL352" s="268"/>
      <c r="OCM352" s="268"/>
      <c r="ODA352" s="268"/>
      <c r="ODB352" s="268"/>
      <c r="ODC352" s="268"/>
      <c r="ODQ352" s="268"/>
      <c r="ODS352" s="268"/>
      <c r="ODT352" s="268"/>
      <c r="ODU352" s="268"/>
      <c r="ODV352" s="268"/>
      <c r="ODW352" s="268"/>
      <c r="ODX352" s="268"/>
      <c r="ODY352" s="268"/>
      <c r="ODZ352" s="268"/>
      <c r="OEA352" s="268"/>
      <c r="OEB352" s="268"/>
      <c r="OEC352" s="268"/>
      <c r="OED352" s="268"/>
      <c r="OEE352" s="268"/>
      <c r="OEF352" s="268"/>
      <c r="OEG352" s="268"/>
      <c r="OEH352" s="268"/>
      <c r="OEI352" s="268"/>
      <c r="OEJ352" s="268"/>
      <c r="OEK352" s="268"/>
      <c r="OEL352" s="268"/>
      <c r="OEM352" s="268"/>
      <c r="OEN352" s="268"/>
      <c r="OEO352" s="268"/>
      <c r="OEP352" s="268"/>
      <c r="OEQ352" s="268"/>
      <c r="OER352" s="268"/>
      <c r="OES352" s="268"/>
      <c r="OET352" s="268"/>
      <c r="OEU352" s="268"/>
      <c r="OEV352" s="268"/>
      <c r="OEW352" s="268"/>
      <c r="OEX352" s="268"/>
      <c r="OEY352" s="268"/>
      <c r="OEZ352" s="268"/>
      <c r="OFA352" s="268"/>
      <c r="OFB352" s="268"/>
      <c r="OFC352" s="268"/>
      <c r="OFD352" s="268"/>
      <c r="OFE352" s="268"/>
      <c r="OFF352" s="268"/>
      <c r="OFG352" s="268"/>
      <c r="OFH352" s="268"/>
      <c r="OFI352" s="268"/>
      <c r="OFJ352" s="268"/>
      <c r="OFK352" s="268"/>
      <c r="OFL352" s="268"/>
      <c r="OFM352" s="268"/>
      <c r="OFN352" s="268"/>
      <c r="OFO352" s="268"/>
      <c r="OFP352" s="268"/>
      <c r="OFQ352" s="268"/>
      <c r="OFR352" s="268"/>
      <c r="OFS352" s="268"/>
      <c r="OFT352" s="268"/>
      <c r="OFU352" s="268"/>
      <c r="OFV352" s="268"/>
      <c r="OFW352" s="268"/>
      <c r="OFX352" s="268"/>
      <c r="OFY352" s="268"/>
      <c r="OFZ352" s="268"/>
      <c r="OGA352" s="268"/>
      <c r="OGB352" s="268"/>
      <c r="OGC352" s="268"/>
      <c r="OGD352" s="268"/>
      <c r="OGE352" s="268"/>
      <c r="OGF352" s="268"/>
      <c r="OGG352" s="268"/>
      <c r="OGH352" s="268"/>
      <c r="OGI352" s="268"/>
      <c r="OGJ352" s="268"/>
      <c r="OGK352" s="268"/>
      <c r="OGL352" s="268"/>
      <c r="OGM352" s="268"/>
      <c r="OGN352" s="268"/>
      <c r="OGO352" s="268"/>
      <c r="OGP352" s="268"/>
      <c r="OGQ352" s="268"/>
      <c r="OGR352" s="268"/>
      <c r="OGS352" s="268"/>
      <c r="OGT352" s="268"/>
      <c r="OGU352" s="268"/>
      <c r="OGV352" s="268"/>
      <c r="OGW352" s="268"/>
      <c r="OGX352" s="268"/>
      <c r="OGY352" s="268"/>
      <c r="OGZ352" s="268"/>
      <c r="OHA352" s="268"/>
      <c r="OHB352" s="268"/>
      <c r="OHC352" s="268"/>
      <c r="OHD352" s="268"/>
      <c r="OHE352" s="268"/>
      <c r="OHF352" s="268"/>
      <c r="OHG352" s="268"/>
      <c r="OHH352" s="268"/>
      <c r="OHI352" s="268"/>
      <c r="OHJ352" s="268"/>
      <c r="OHK352" s="268"/>
      <c r="OHL352" s="268"/>
      <c r="OHM352" s="268"/>
      <c r="OHN352" s="268"/>
      <c r="OHO352" s="268"/>
      <c r="OHP352" s="268"/>
      <c r="OHQ352" s="268"/>
      <c r="OHR352" s="268"/>
      <c r="OHS352" s="268"/>
      <c r="OHT352" s="268"/>
      <c r="OHU352" s="268"/>
      <c r="OHV352" s="268"/>
      <c r="OHW352" s="268"/>
      <c r="OHX352" s="268"/>
      <c r="OHY352" s="268"/>
      <c r="OHZ352" s="268"/>
      <c r="OIA352" s="268"/>
      <c r="OIB352" s="268"/>
      <c r="OIC352" s="268"/>
      <c r="OID352" s="268"/>
      <c r="OIE352" s="268"/>
      <c r="OIF352" s="268"/>
      <c r="OIG352" s="268"/>
      <c r="OIH352" s="268"/>
      <c r="OII352" s="268"/>
      <c r="OIJ352" s="268"/>
      <c r="OIK352" s="268"/>
      <c r="OIL352" s="268"/>
      <c r="OIM352" s="268"/>
      <c r="OIN352" s="268"/>
      <c r="OIO352" s="268"/>
      <c r="OIP352" s="268"/>
      <c r="OIQ352" s="268"/>
      <c r="OIR352" s="268"/>
      <c r="OIS352" s="268"/>
      <c r="OIT352" s="268"/>
      <c r="OIU352" s="268"/>
      <c r="OIV352" s="268"/>
      <c r="OIW352" s="268"/>
      <c r="OIX352" s="268"/>
      <c r="OIY352" s="268"/>
      <c r="OIZ352" s="268"/>
      <c r="OJA352" s="268"/>
      <c r="OJB352" s="268"/>
      <c r="OJC352" s="268"/>
      <c r="OJD352" s="268"/>
      <c r="OJE352" s="268"/>
      <c r="OJF352" s="268"/>
      <c r="OJG352" s="268"/>
      <c r="OJH352" s="268"/>
      <c r="OJI352" s="268"/>
      <c r="OJJ352" s="268"/>
      <c r="OJK352" s="268"/>
      <c r="OJL352" s="268"/>
      <c r="OJM352" s="268"/>
      <c r="OJN352" s="268"/>
      <c r="OJO352" s="268"/>
      <c r="OJP352" s="268"/>
      <c r="OJQ352" s="268"/>
      <c r="OJR352" s="268"/>
      <c r="OJS352" s="268"/>
      <c r="OJT352" s="268"/>
      <c r="OJU352" s="268"/>
      <c r="OJV352" s="268"/>
      <c r="OJW352" s="268"/>
      <c r="OJX352" s="268"/>
      <c r="OJY352" s="268"/>
      <c r="OJZ352" s="268"/>
      <c r="OKA352" s="268"/>
      <c r="OKB352" s="268"/>
      <c r="OKC352" s="268"/>
      <c r="OKD352" s="268"/>
      <c r="OKE352" s="268"/>
      <c r="OKF352" s="268"/>
      <c r="OKG352" s="268"/>
      <c r="OKH352" s="268"/>
      <c r="OKI352" s="268"/>
      <c r="OKJ352" s="268"/>
      <c r="OKK352" s="268"/>
      <c r="OKL352" s="268"/>
      <c r="OKM352" s="268"/>
      <c r="OKN352" s="268"/>
      <c r="OKO352" s="268"/>
      <c r="OKP352" s="268"/>
      <c r="OKQ352" s="268"/>
      <c r="OKR352" s="268"/>
      <c r="OKS352" s="268"/>
      <c r="OKT352" s="268"/>
      <c r="OKU352" s="268"/>
      <c r="OKV352" s="268"/>
      <c r="OKW352" s="268"/>
      <c r="OKX352" s="268"/>
      <c r="OKY352" s="268"/>
      <c r="OKZ352" s="268"/>
      <c r="OLA352" s="268"/>
      <c r="OLB352" s="268"/>
      <c r="OLC352" s="268"/>
      <c r="OLD352" s="268"/>
      <c r="OLE352" s="268"/>
      <c r="OLF352" s="268"/>
      <c r="OLG352" s="268"/>
      <c r="OLH352" s="268"/>
      <c r="OLI352" s="268"/>
      <c r="OLJ352" s="268"/>
      <c r="OLK352" s="268"/>
      <c r="OLL352" s="268"/>
      <c r="OLM352" s="268"/>
      <c r="OLN352" s="268"/>
      <c r="OLO352" s="268"/>
      <c r="OLP352" s="268"/>
      <c r="OLQ352" s="268"/>
      <c r="OLR352" s="268"/>
      <c r="OLS352" s="268"/>
      <c r="OLT352" s="268"/>
      <c r="OLU352" s="268"/>
      <c r="OLV352" s="268"/>
      <c r="OLW352" s="268"/>
      <c r="OLX352" s="268"/>
      <c r="OLY352" s="268"/>
      <c r="OLZ352" s="268"/>
      <c r="OMA352" s="268"/>
      <c r="OMB352" s="268"/>
      <c r="OMC352" s="268"/>
      <c r="OMD352" s="268"/>
      <c r="OME352" s="268"/>
      <c r="OMF352" s="268"/>
      <c r="OMG352" s="268"/>
      <c r="OMH352" s="268"/>
      <c r="OMI352" s="268"/>
      <c r="OMW352" s="268"/>
      <c r="OMX352" s="268"/>
      <c r="OMY352" s="268"/>
      <c r="ONM352" s="268"/>
      <c r="ONO352" s="268"/>
      <c r="ONP352" s="268"/>
      <c r="ONQ352" s="268"/>
      <c r="ONR352" s="268"/>
      <c r="ONS352" s="268"/>
      <c r="ONT352" s="268"/>
      <c r="ONU352" s="268"/>
      <c r="ONV352" s="268"/>
      <c r="ONW352" s="268"/>
      <c r="ONX352" s="268"/>
      <c r="ONY352" s="268"/>
      <c r="ONZ352" s="268"/>
      <c r="OOA352" s="268"/>
      <c r="OOB352" s="268"/>
      <c r="OOC352" s="268"/>
      <c r="OOD352" s="268"/>
      <c r="OOE352" s="268"/>
      <c r="OOF352" s="268"/>
      <c r="OOG352" s="268"/>
      <c r="OOH352" s="268"/>
      <c r="OOI352" s="268"/>
      <c r="OOJ352" s="268"/>
      <c r="OOK352" s="268"/>
      <c r="OOL352" s="268"/>
      <c r="OOM352" s="268"/>
      <c r="OON352" s="268"/>
      <c r="OOO352" s="268"/>
      <c r="OOP352" s="268"/>
      <c r="OOQ352" s="268"/>
      <c r="OOR352" s="268"/>
      <c r="OOS352" s="268"/>
      <c r="OOT352" s="268"/>
      <c r="OOU352" s="268"/>
      <c r="OOV352" s="268"/>
      <c r="OOW352" s="268"/>
      <c r="OOX352" s="268"/>
      <c r="OOY352" s="268"/>
      <c r="OOZ352" s="268"/>
      <c r="OPA352" s="268"/>
      <c r="OPB352" s="268"/>
      <c r="OPC352" s="268"/>
      <c r="OPD352" s="268"/>
      <c r="OPE352" s="268"/>
      <c r="OPF352" s="268"/>
      <c r="OPG352" s="268"/>
      <c r="OPH352" s="268"/>
      <c r="OPI352" s="268"/>
      <c r="OPJ352" s="268"/>
      <c r="OPK352" s="268"/>
      <c r="OPL352" s="268"/>
      <c r="OPM352" s="268"/>
      <c r="OPN352" s="268"/>
      <c r="OPO352" s="268"/>
      <c r="OPP352" s="268"/>
      <c r="OPQ352" s="268"/>
      <c r="OPR352" s="268"/>
      <c r="OPS352" s="268"/>
      <c r="OPT352" s="268"/>
      <c r="OPU352" s="268"/>
      <c r="OPV352" s="268"/>
      <c r="OPW352" s="268"/>
      <c r="OPX352" s="268"/>
      <c r="OPY352" s="268"/>
      <c r="OPZ352" s="268"/>
      <c r="OQA352" s="268"/>
      <c r="OQB352" s="268"/>
      <c r="OQC352" s="268"/>
      <c r="OQD352" s="268"/>
      <c r="OQE352" s="268"/>
      <c r="OQF352" s="268"/>
      <c r="OQG352" s="268"/>
      <c r="OQH352" s="268"/>
      <c r="OQI352" s="268"/>
      <c r="OQJ352" s="268"/>
      <c r="OQK352" s="268"/>
      <c r="OQL352" s="268"/>
      <c r="OQM352" s="268"/>
      <c r="OQN352" s="268"/>
      <c r="OQO352" s="268"/>
      <c r="OQP352" s="268"/>
      <c r="OQQ352" s="268"/>
      <c r="OQR352" s="268"/>
      <c r="OQS352" s="268"/>
      <c r="OQT352" s="268"/>
      <c r="OQU352" s="268"/>
      <c r="OQV352" s="268"/>
      <c r="OQW352" s="268"/>
      <c r="OQX352" s="268"/>
      <c r="OQY352" s="268"/>
      <c r="OQZ352" s="268"/>
      <c r="ORA352" s="268"/>
      <c r="ORB352" s="268"/>
      <c r="ORC352" s="268"/>
      <c r="ORD352" s="268"/>
      <c r="ORE352" s="268"/>
      <c r="ORF352" s="268"/>
      <c r="ORG352" s="268"/>
      <c r="ORH352" s="268"/>
      <c r="ORI352" s="268"/>
      <c r="ORJ352" s="268"/>
      <c r="ORK352" s="268"/>
      <c r="ORL352" s="268"/>
      <c r="ORM352" s="268"/>
      <c r="ORN352" s="268"/>
      <c r="ORO352" s="268"/>
      <c r="ORP352" s="268"/>
      <c r="ORQ352" s="268"/>
      <c r="ORR352" s="268"/>
      <c r="ORS352" s="268"/>
      <c r="ORT352" s="268"/>
      <c r="ORU352" s="268"/>
      <c r="ORV352" s="268"/>
      <c r="ORW352" s="268"/>
      <c r="ORX352" s="268"/>
      <c r="ORY352" s="268"/>
      <c r="ORZ352" s="268"/>
      <c r="OSA352" s="268"/>
      <c r="OSB352" s="268"/>
      <c r="OSC352" s="268"/>
      <c r="OSD352" s="268"/>
      <c r="OSE352" s="268"/>
      <c r="OSF352" s="268"/>
      <c r="OSG352" s="268"/>
      <c r="OSH352" s="268"/>
      <c r="OSI352" s="268"/>
      <c r="OSJ352" s="268"/>
      <c r="OSK352" s="268"/>
      <c r="OSL352" s="268"/>
      <c r="OSM352" s="268"/>
      <c r="OSN352" s="268"/>
      <c r="OSO352" s="268"/>
      <c r="OSP352" s="268"/>
      <c r="OSQ352" s="268"/>
      <c r="OSR352" s="268"/>
      <c r="OSS352" s="268"/>
      <c r="OST352" s="268"/>
      <c r="OSU352" s="268"/>
      <c r="OSV352" s="268"/>
      <c r="OSW352" s="268"/>
      <c r="OSX352" s="268"/>
      <c r="OSY352" s="268"/>
      <c r="OSZ352" s="268"/>
      <c r="OTA352" s="268"/>
      <c r="OTB352" s="268"/>
      <c r="OTC352" s="268"/>
      <c r="OTD352" s="268"/>
      <c r="OTE352" s="268"/>
      <c r="OTF352" s="268"/>
      <c r="OTG352" s="268"/>
      <c r="OTH352" s="268"/>
      <c r="OTI352" s="268"/>
      <c r="OTJ352" s="268"/>
      <c r="OTK352" s="268"/>
      <c r="OTL352" s="268"/>
      <c r="OTM352" s="268"/>
      <c r="OTN352" s="268"/>
      <c r="OTO352" s="268"/>
      <c r="OTP352" s="268"/>
      <c r="OTQ352" s="268"/>
      <c r="OTR352" s="268"/>
      <c r="OTS352" s="268"/>
      <c r="OTT352" s="268"/>
      <c r="OTU352" s="268"/>
      <c r="OTV352" s="268"/>
      <c r="OTW352" s="268"/>
      <c r="OTX352" s="268"/>
      <c r="OTY352" s="268"/>
      <c r="OTZ352" s="268"/>
      <c r="OUA352" s="268"/>
      <c r="OUB352" s="268"/>
      <c r="OUC352" s="268"/>
      <c r="OUD352" s="268"/>
      <c r="OUE352" s="268"/>
      <c r="OUF352" s="268"/>
      <c r="OUG352" s="268"/>
      <c r="OUH352" s="268"/>
      <c r="OUI352" s="268"/>
      <c r="OUJ352" s="268"/>
      <c r="OUK352" s="268"/>
      <c r="OUL352" s="268"/>
      <c r="OUM352" s="268"/>
      <c r="OUN352" s="268"/>
      <c r="OUO352" s="268"/>
      <c r="OUP352" s="268"/>
      <c r="OUQ352" s="268"/>
      <c r="OUR352" s="268"/>
      <c r="OUS352" s="268"/>
      <c r="OUT352" s="268"/>
      <c r="OUU352" s="268"/>
      <c r="OUV352" s="268"/>
      <c r="OUW352" s="268"/>
      <c r="OUX352" s="268"/>
      <c r="OUY352" s="268"/>
      <c r="OUZ352" s="268"/>
      <c r="OVA352" s="268"/>
      <c r="OVB352" s="268"/>
      <c r="OVC352" s="268"/>
      <c r="OVD352" s="268"/>
      <c r="OVE352" s="268"/>
      <c r="OVF352" s="268"/>
      <c r="OVG352" s="268"/>
      <c r="OVH352" s="268"/>
      <c r="OVI352" s="268"/>
      <c r="OVJ352" s="268"/>
      <c r="OVK352" s="268"/>
      <c r="OVL352" s="268"/>
      <c r="OVM352" s="268"/>
      <c r="OVN352" s="268"/>
      <c r="OVO352" s="268"/>
      <c r="OVP352" s="268"/>
      <c r="OVQ352" s="268"/>
      <c r="OVR352" s="268"/>
      <c r="OVS352" s="268"/>
      <c r="OVT352" s="268"/>
      <c r="OVU352" s="268"/>
      <c r="OVV352" s="268"/>
      <c r="OVW352" s="268"/>
      <c r="OVX352" s="268"/>
      <c r="OVY352" s="268"/>
      <c r="OVZ352" s="268"/>
      <c r="OWA352" s="268"/>
      <c r="OWB352" s="268"/>
      <c r="OWC352" s="268"/>
      <c r="OWD352" s="268"/>
      <c r="OWE352" s="268"/>
      <c r="OWS352" s="268"/>
      <c r="OWT352" s="268"/>
      <c r="OWU352" s="268"/>
      <c r="OXI352" s="268"/>
      <c r="OXK352" s="268"/>
      <c r="OXL352" s="268"/>
      <c r="OXM352" s="268"/>
      <c r="OXN352" s="268"/>
      <c r="OXO352" s="268"/>
      <c r="OXP352" s="268"/>
      <c r="OXQ352" s="268"/>
      <c r="OXR352" s="268"/>
      <c r="OXS352" s="268"/>
      <c r="OXT352" s="268"/>
      <c r="OXU352" s="268"/>
      <c r="OXV352" s="268"/>
      <c r="OXW352" s="268"/>
      <c r="OXX352" s="268"/>
      <c r="OXY352" s="268"/>
      <c r="OXZ352" s="268"/>
      <c r="OYA352" s="268"/>
      <c r="OYB352" s="268"/>
      <c r="OYC352" s="268"/>
      <c r="OYD352" s="268"/>
      <c r="OYE352" s="268"/>
      <c r="OYF352" s="268"/>
      <c r="OYG352" s="268"/>
      <c r="OYH352" s="268"/>
      <c r="OYI352" s="268"/>
      <c r="OYJ352" s="268"/>
      <c r="OYK352" s="268"/>
      <c r="OYL352" s="268"/>
      <c r="OYM352" s="268"/>
      <c r="OYN352" s="268"/>
      <c r="OYO352" s="268"/>
      <c r="OYP352" s="268"/>
      <c r="OYQ352" s="268"/>
      <c r="OYR352" s="268"/>
      <c r="OYS352" s="268"/>
      <c r="OYT352" s="268"/>
      <c r="OYU352" s="268"/>
      <c r="OYV352" s="268"/>
      <c r="OYW352" s="268"/>
      <c r="OYX352" s="268"/>
      <c r="OYY352" s="268"/>
      <c r="OYZ352" s="268"/>
      <c r="OZA352" s="268"/>
      <c r="OZB352" s="268"/>
      <c r="OZC352" s="268"/>
      <c r="OZD352" s="268"/>
      <c r="OZE352" s="268"/>
      <c r="OZF352" s="268"/>
      <c r="OZG352" s="268"/>
      <c r="OZH352" s="268"/>
      <c r="OZI352" s="268"/>
      <c r="OZJ352" s="268"/>
      <c r="OZK352" s="268"/>
      <c r="OZL352" s="268"/>
      <c r="OZM352" s="268"/>
      <c r="OZN352" s="268"/>
      <c r="OZO352" s="268"/>
      <c r="OZP352" s="268"/>
      <c r="OZQ352" s="268"/>
      <c r="OZR352" s="268"/>
      <c r="OZS352" s="268"/>
      <c r="OZT352" s="268"/>
      <c r="OZU352" s="268"/>
      <c r="OZV352" s="268"/>
      <c r="OZW352" s="268"/>
      <c r="OZX352" s="268"/>
      <c r="OZY352" s="268"/>
      <c r="OZZ352" s="268"/>
      <c r="PAA352" s="268"/>
      <c r="PAB352" s="268"/>
      <c r="PAC352" s="268"/>
      <c r="PAD352" s="268"/>
      <c r="PAE352" s="268"/>
      <c r="PAF352" s="268"/>
      <c r="PAG352" s="268"/>
      <c r="PAH352" s="268"/>
      <c r="PAI352" s="268"/>
      <c r="PAJ352" s="268"/>
      <c r="PAK352" s="268"/>
      <c r="PAL352" s="268"/>
      <c r="PAM352" s="268"/>
      <c r="PAN352" s="268"/>
      <c r="PAO352" s="268"/>
      <c r="PAP352" s="268"/>
      <c r="PAQ352" s="268"/>
      <c r="PAR352" s="268"/>
      <c r="PAS352" s="268"/>
      <c r="PAT352" s="268"/>
      <c r="PAU352" s="268"/>
      <c r="PAV352" s="268"/>
      <c r="PAW352" s="268"/>
      <c r="PAX352" s="268"/>
      <c r="PAY352" s="268"/>
      <c r="PAZ352" s="268"/>
      <c r="PBA352" s="268"/>
      <c r="PBB352" s="268"/>
      <c r="PBC352" s="268"/>
      <c r="PBD352" s="268"/>
      <c r="PBE352" s="268"/>
      <c r="PBF352" s="268"/>
      <c r="PBG352" s="268"/>
      <c r="PBH352" s="268"/>
      <c r="PBI352" s="268"/>
      <c r="PBJ352" s="268"/>
      <c r="PBK352" s="268"/>
      <c r="PBL352" s="268"/>
      <c r="PBM352" s="268"/>
      <c r="PBN352" s="268"/>
      <c r="PBO352" s="268"/>
      <c r="PBP352" s="268"/>
      <c r="PBQ352" s="268"/>
      <c r="PBR352" s="268"/>
      <c r="PBS352" s="268"/>
      <c r="PBT352" s="268"/>
      <c r="PBU352" s="268"/>
      <c r="PBV352" s="268"/>
      <c r="PBW352" s="268"/>
      <c r="PBX352" s="268"/>
      <c r="PBY352" s="268"/>
      <c r="PBZ352" s="268"/>
      <c r="PCA352" s="268"/>
      <c r="PCB352" s="268"/>
      <c r="PCC352" s="268"/>
      <c r="PCD352" s="268"/>
      <c r="PCE352" s="268"/>
      <c r="PCF352" s="268"/>
      <c r="PCG352" s="268"/>
      <c r="PCH352" s="268"/>
      <c r="PCI352" s="268"/>
      <c r="PCJ352" s="268"/>
      <c r="PCK352" s="268"/>
      <c r="PCL352" s="268"/>
      <c r="PCM352" s="268"/>
      <c r="PCN352" s="268"/>
      <c r="PCO352" s="268"/>
      <c r="PCP352" s="268"/>
      <c r="PCQ352" s="268"/>
      <c r="PCR352" s="268"/>
      <c r="PCS352" s="268"/>
      <c r="PCT352" s="268"/>
      <c r="PCU352" s="268"/>
      <c r="PCV352" s="268"/>
      <c r="PCW352" s="268"/>
      <c r="PCX352" s="268"/>
      <c r="PCY352" s="268"/>
      <c r="PCZ352" s="268"/>
      <c r="PDA352" s="268"/>
      <c r="PDB352" s="268"/>
      <c r="PDC352" s="268"/>
      <c r="PDD352" s="268"/>
      <c r="PDE352" s="268"/>
      <c r="PDF352" s="268"/>
      <c r="PDG352" s="268"/>
      <c r="PDH352" s="268"/>
      <c r="PDI352" s="268"/>
      <c r="PDJ352" s="268"/>
      <c r="PDK352" s="268"/>
      <c r="PDL352" s="268"/>
      <c r="PDM352" s="268"/>
      <c r="PDN352" s="268"/>
      <c r="PDO352" s="268"/>
      <c r="PDP352" s="268"/>
      <c r="PDQ352" s="268"/>
      <c r="PDR352" s="268"/>
      <c r="PDS352" s="268"/>
      <c r="PDT352" s="268"/>
      <c r="PDU352" s="268"/>
      <c r="PDV352" s="268"/>
      <c r="PDW352" s="268"/>
      <c r="PDX352" s="268"/>
      <c r="PDY352" s="268"/>
      <c r="PDZ352" s="268"/>
      <c r="PEA352" s="268"/>
      <c r="PEB352" s="268"/>
      <c r="PEC352" s="268"/>
      <c r="PED352" s="268"/>
      <c r="PEE352" s="268"/>
      <c r="PEF352" s="268"/>
      <c r="PEG352" s="268"/>
      <c r="PEH352" s="268"/>
      <c r="PEI352" s="268"/>
      <c r="PEJ352" s="268"/>
      <c r="PEK352" s="268"/>
      <c r="PEL352" s="268"/>
      <c r="PEM352" s="268"/>
      <c r="PEN352" s="268"/>
      <c r="PEO352" s="268"/>
      <c r="PEP352" s="268"/>
      <c r="PEQ352" s="268"/>
      <c r="PER352" s="268"/>
      <c r="PES352" s="268"/>
      <c r="PET352" s="268"/>
      <c r="PEU352" s="268"/>
      <c r="PEV352" s="268"/>
      <c r="PEW352" s="268"/>
      <c r="PEX352" s="268"/>
      <c r="PEY352" s="268"/>
      <c r="PEZ352" s="268"/>
      <c r="PFA352" s="268"/>
      <c r="PFB352" s="268"/>
      <c r="PFC352" s="268"/>
      <c r="PFD352" s="268"/>
      <c r="PFE352" s="268"/>
      <c r="PFF352" s="268"/>
      <c r="PFG352" s="268"/>
      <c r="PFH352" s="268"/>
      <c r="PFI352" s="268"/>
      <c r="PFJ352" s="268"/>
      <c r="PFK352" s="268"/>
      <c r="PFL352" s="268"/>
      <c r="PFM352" s="268"/>
      <c r="PFN352" s="268"/>
      <c r="PFO352" s="268"/>
      <c r="PFP352" s="268"/>
      <c r="PFQ352" s="268"/>
      <c r="PFR352" s="268"/>
      <c r="PFS352" s="268"/>
      <c r="PFT352" s="268"/>
      <c r="PFU352" s="268"/>
      <c r="PFV352" s="268"/>
      <c r="PFW352" s="268"/>
      <c r="PFX352" s="268"/>
      <c r="PFY352" s="268"/>
      <c r="PFZ352" s="268"/>
      <c r="PGA352" s="268"/>
      <c r="PGO352" s="268"/>
      <c r="PGP352" s="268"/>
      <c r="PGQ352" s="268"/>
      <c r="PHE352" s="268"/>
      <c r="PHG352" s="268"/>
      <c r="PHH352" s="268"/>
      <c r="PHI352" s="268"/>
      <c r="PHJ352" s="268"/>
      <c r="PHK352" s="268"/>
      <c r="PHL352" s="268"/>
      <c r="PHM352" s="268"/>
      <c r="PHN352" s="268"/>
      <c r="PHO352" s="268"/>
      <c r="PHP352" s="268"/>
      <c r="PHQ352" s="268"/>
      <c r="PHR352" s="268"/>
      <c r="PHS352" s="268"/>
      <c r="PHT352" s="268"/>
      <c r="PHU352" s="268"/>
      <c r="PHV352" s="268"/>
      <c r="PHW352" s="268"/>
      <c r="PHX352" s="268"/>
      <c r="PHY352" s="268"/>
      <c r="PHZ352" s="268"/>
      <c r="PIA352" s="268"/>
      <c r="PIB352" s="268"/>
      <c r="PIC352" s="268"/>
      <c r="PID352" s="268"/>
      <c r="PIE352" s="268"/>
      <c r="PIF352" s="268"/>
      <c r="PIG352" s="268"/>
      <c r="PIH352" s="268"/>
      <c r="PII352" s="268"/>
      <c r="PIJ352" s="268"/>
      <c r="PIK352" s="268"/>
      <c r="PIL352" s="268"/>
      <c r="PIM352" s="268"/>
      <c r="PIN352" s="268"/>
      <c r="PIO352" s="268"/>
      <c r="PIP352" s="268"/>
      <c r="PIQ352" s="268"/>
      <c r="PIR352" s="268"/>
      <c r="PIS352" s="268"/>
      <c r="PIT352" s="268"/>
      <c r="PIU352" s="268"/>
      <c r="PIV352" s="268"/>
      <c r="PIW352" s="268"/>
      <c r="PIX352" s="268"/>
      <c r="PIY352" s="268"/>
      <c r="PIZ352" s="268"/>
      <c r="PJA352" s="268"/>
      <c r="PJB352" s="268"/>
      <c r="PJC352" s="268"/>
      <c r="PJD352" s="268"/>
      <c r="PJE352" s="268"/>
      <c r="PJF352" s="268"/>
      <c r="PJG352" s="268"/>
      <c r="PJH352" s="268"/>
      <c r="PJI352" s="268"/>
      <c r="PJJ352" s="268"/>
      <c r="PJK352" s="268"/>
      <c r="PJL352" s="268"/>
      <c r="PJM352" s="268"/>
      <c r="PJN352" s="268"/>
      <c r="PJO352" s="268"/>
      <c r="PJP352" s="268"/>
      <c r="PJQ352" s="268"/>
      <c r="PJR352" s="268"/>
      <c r="PJS352" s="268"/>
      <c r="PJT352" s="268"/>
      <c r="PJU352" s="268"/>
      <c r="PJV352" s="268"/>
      <c r="PJW352" s="268"/>
      <c r="PJX352" s="268"/>
      <c r="PJY352" s="268"/>
      <c r="PJZ352" s="268"/>
      <c r="PKA352" s="268"/>
      <c r="PKB352" s="268"/>
      <c r="PKC352" s="268"/>
      <c r="PKD352" s="268"/>
      <c r="PKE352" s="268"/>
      <c r="PKF352" s="268"/>
      <c r="PKG352" s="268"/>
      <c r="PKH352" s="268"/>
      <c r="PKI352" s="268"/>
      <c r="PKJ352" s="268"/>
      <c r="PKK352" s="268"/>
      <c r="PKL352" s="268"/>
      <c r="PKM352" s="268"/>
      <c r="PKN352" s="268"/>
      <c r="PKO352" s="268"/>
      <c r="PKP352" s="268"/>
      <c r="PKQ352" s="268"/>
      <c r="PKR352" s="268"/>
      <c r="PKS352" s="268"/>
      <c r="PKT352" s="268"/>
      <c r="PKU352" s="268"/>
      <c r="PKV352" s="268"/>
      <c r="PKW352" s="268"/>
      <c r="PKX352" s="268"/>
      <c r="PKY352" s="268"/>
      <c r="PKZ352" s="268"/>
      <c r="PLA352" s="268"/>
      <c r="PLB352" s="268"/>
      <c r="PLC352" s="268"/>
      <c r="PLD352" s="268"/>
      <c r="PLE352" s="268"/>
      <c r="PLF352" s="268"/>
      <c r="PLG352" s="268"/>
      <c r="PLH352" s="268"/>
      <c r="PLI352" s="268"/>
      <c r="PLJ352" s="268"/>
      <c r="PLK352" s="268"/>
      <c r="PLL352" s="268"/>
      <c r="PLM352" s="268"/>
      <c r="PLN352" s="268"/>
      <c r="PLO352" s="268"/>
      <c r="PLP352" s="268"/>
      <c r="PLQ352" s="268"/>
      <c r="PLR352" s="268"/>
      <c r="PLS352" s="268"/>
      <c r="PLT352" s="268"/>
      <c r="PLU352" s="268"/>
      <c r="PLV352" s="268"/>
      <c r="PLW352" s="268"/>
      <c r="PLX352" s="268"/>
      <c r="PLY352" s="268"/>
      <c r="PLZ352" s="268"/>
      <c r="PMA352" s="268"/>
      <c r="PMB352" s="268"/>
      <c r="PMC352" s="268"/>
      <c r="PMD352" s="268"/>
      <c r="PME352" s="268"/>
      <c r="PMF352" s="268"/>
      <c r="PMG352" s="268"/>
      <c r="PMH352" s="268"/>
      <c r="PMI352" s="268"/>
      <c r="PMJ352" s="268"/>
      <c r="PMK352" s="268"/>
      <c r="PML352" s="268"/>
      <c r="PMM352" s="268"/>
      <c r="PMN352" s="268"/>
      <c r="PMO352" s="268"/>
      <c r="PMP352" s="268"/>
      <c r="PMQ352" s="268"/>
      <c r="PMR352" s="268"/>
      <c r="PMS352" s="268"/>
      <c r="PMT352" s="268"/>
      <c r="PMU352" s="268"/>
      <c r="PMV352" s="268"/>
      <c r="PMW352" s="268"/>
      <c r="PMX352" s="268"/>
      <c r="PMY352" s="268"/>
      <c r="PMZ352" s="268"/>
      <c r="PNA352" s="268"/>
      <c r="PNB352" s="268"/>
      <c r="PNC352" s="268"/>
      <c r="PND352" s="268"/>
      <c r="PNE352" s="268"/>
      <c r="PNF352" s="268"/>
      <c r="PNG352" s="268"/>
      <c r="PNH352" s="268"/>
      <c r="PNI352" s="268"/>
      <c r="PNJ352" s="268"/>
      <c r="PNK352" s="268"/>
      <c r="PNL352" s="268"/>
      <c r="PNM352" s="268"/>
      <c r="PNN352" s="268"/>
      <c r="PNO352" s="268"/>
      <c r="PNP352" s="268"/>
      <c r="PNQ352" s="268"/>
      <c r="PNR352" s="268"/>
      <c r="PNS352" s="268"/>
      <c r="PNT352" s="268"/>
      <c r="PNU352" s="268"/>
      <c r="PNV352" s="268"/>
      <c r="PNW352" s="268"/>
      <c r="PNX352" s="268"/>
      <c r="PNY352" s="268"/>
      <c r="PNZ352" s="268"/>
      <c r="POA352" s="268"/>
      <c r="POB352" s="268"/>
      <c r="POC352" s="268"/>
      <c r="POD352" s="268"/>
      <c r="POE352" s="268"/>
      <c r="POF352" s="268"/>
      <c r="POG352" s="268"/>
      <c r="POH352" s="268"/>
      <c r="POI352" s="268"/>
      <c r="POJ352" s="268"/>
      <c r="POK352" s="268"/>
      <c r="POL352" s="268"/>
      <c r="POM352" s="268"/>
      <c r="PON352" s="268"/>
      <c r="POO352" s="268"/>
      <c r="POP352" s="268"/>
      <c r="POQ352" s="268"/>
      <c r="POR352" s="268"/>
      <c r="POS352" s="268"/>
      <c r="POT352" s="268"/>
      <c r="POU352" s="268"/>
      <c r="POV352" s="268"/>
      <c r="POW352" s="268"/>
      <c r="POX352" s="268"/>
      <c r="POY352" s="268"/>
      <c r="POZ352" s="268"/>
      <c r="PPA352" s="268"/>
      <c r="PPB352" s="268"/>
      <c r="PPC352" s="268"/>
      <c r="PPD352" s="268"/>
      <c r="PPE352" s="268"/>
      <c r="PPF352" s="268"/>
      <c r="PPG352" s="268"/>
      <c r="PPH352" s="268"/>
      <c r="PPI352" s="268"/>
      <c r="PPJ352" s="268"/>
      <c r="PPK352" s="268"/>
      <c r="PPL352" s="268"/>
      <c r="PPM352" s="268"/>
      <c r="PPN352" s="268"/>
      <c r="PPO352" s="268"/>
      <c r="PPP352" s="268"/>
      <c r="PPQ352" s="268"/>
      <c r="PPR352" s="268"/>
      <c r="PPS352" s="268"/>
      <c r="PPT352" s="268"/>
      <c r="PPU352" s="268"/>
      <c r="PPV352" s="268"/>
      <c r="PPW352" s="268"/>
      <c r="PQK352" s="268"/>
      <c r="PQL352" s="268"/>
      <c r="PQM352" s="268"/>
      <c r="PRA352" s="268"/>
      <c r="PRC352" s="268"/>
      <c r="PRD352" s="268"/>
      <c r="PRE352" s="268"/>
      <c r="PRF352" s="268"/>
      <c r="PRG352" s="268"/>
      <c r="PRH352" s="268"/>
      <c r="PRI352" s="268"/>
      <c r="PRJ352" s="268"/>
      <c r="PRK352" s="268"/>
      <c r="PRL352" s="268"/>
      <c r="PRM352" s="268"/>
      <c r="PRN352" s="268"/>
      <c r="PRO352" s="268"/>
      <c r="PRP352" s="268"/>
      <c r="PRQ352" s="268"/>
      <c r="PRR352" s="268"/>
      <c r="PRS352" s="268"/>
      <c r="PRT352" s="268"/>
      <c r="PRU352" s="268"/>
      <c r="PRV352" s="268"/>
      <c r="PRW352" s="268"/>
      <c r="PRX352" s="268"/>
      <c r="PRY352" s="268"/>
      <c r="PRZ352" s="268"/>
      <c r="PSA352" s="268"/>
      <c r="PSB352" s="268"/>
      <c r="PSC352" s="268"/>
      <c r="PSD352" s="268"/>
      <c r="PSE352" s="268"/>
      <c r="PSF352" s="268"/>
      <c r="PSG352" s="268"/>
      <c r="PSH352" s="268"/>
      <c r="PSI352" s="268"/>
      <c r="PSJ352" s="268"/>
      <c r="PSK352" s="268"/>
      <c r="PSL352" s="268"/>
      <c r="PSM352" s="268"/>
      <c r="PSN352" s="268"/>
      <c r="PSO352" s="268"/>
      <c r="PSP352" s="268"/>
      <c r="PSQ352" s="268"/>
      <c r="PSR352" s="268"/>
      <c r="PSS352" s="268"/>
      <c r="PST352" s="268"/>
      <c r="PSU352" s="268"/>
      <c r="PSV352" s="268"/>
      <c r="PSW352" s="268"/>
      <c r="PSX352" s="268"/>
      <c r="PSY352" s="268"/>
      <c r="PSZ352" s="268"/>
      <c r="PTA352" s="268"/>
      <c r="PTB352" s="268"/>
      <c r="PTC352" s="268"/>
      <c r="PTD352" s="268"/>
      <c r="PTE352" s="268"/>
      <c r="PTF352" s="268"/>
      <c r="PTG352" s="268"/>
      <c r="PTH352" s="268"/>
      <c r="PTI352" s="268"/>
      <c r="PTJ352" s="268"/>
      <c r="PTK352" s="268"/>
      <c r="PTL352" s="268"/>
      <c r="PTM352" s="268"/>
      <c r="PTN352" s="268"/>
      <c r="PTO352" s="268"/>
      <c r="PTP352" s="268"/>
      <c r="PTQ352" s="268"/>
      <c r="PTR352" s="268"/>
      <c r="PTS352" s="268"/>
      <c r="PTT352" s="268"/>
      <c r="PTU352" s="268"/>
      <c r="PTV352" s="268"/>
      <c r="PTW352" s="268"/>
      <c r="PTX352" s="268"/>
      <c r="PTY352" s="268"/>
      <c r="PTZ352" s="268"/>
      <c r="PUA352" s="268"/>
      <c r="PUB352" s="268"/>
      <c r="PUC352" s="268"/>
      <c r="PUD352" s="268"/>
      <c r="PUE352" s="268"/>
      <c r="PUF352" s="268"/>
      <c r="PUG352" s="268"/>
      <c r="PUH352" s="268"/>
      <c r="PUI352" s="268"/>
      <c r="PUJ352" s="268"/>
      <c r="PUK352" s="268"/>
      <c r="PUL352" s="268"/>
      <c r="PUM352" s="268"/>
      <c r="PUN352" s="268"/>
      <c r="PUO352" s="268"/>
      <c r="PUP352" s="268"/>
      <c r="PUQ352" s="268"/>
      <c r="PUR352" s="268"/>
      <c r="PUS352" s="268"/>
      <c r="PUT352" s="268"/>
      <c r="PUU352" s="268"/>
      <c r="PUV352" s="268"/>
      <c r="PUW352" s="268"/>
      <c r="PUX352" s="268"/>
      <c r="PUY352" s="268"/>
      <c r="PUZ352" s="268"/>
      <c r="PVA352" s="268"/>
      <c r="PVB352" s="268"/>
      <c r="PVC352" s="268"/>
      <c r="PVD352" s="268"/>
      <c r="PVE352" s="268"/>
      <c r="PVF352" s="268"/>
      <c r="PVG352" s="268"/>
      <c r="PVH352" s="268"/>
      <c r="PVI352" s="268"/>
      <c r="PVJ352" s="268"/>
      <c r="PVK352" s="268"/>
      <c r="PVL352" s="268"/>
      <c r="PVM352" s="268"/>
      <c r="PVN352" s="268"/>
      <c r="PVO352" s="268"/>
      <c r="PVP352" s="268"/>
      <c r="PVQ352" s="268"/>
      <c r="PVR352" s="268"/>
      <c r="PVS352" s="268"/>
      <c r="PVT352" s="268"/>
      <c r="PVU352" s="268"/>
      <c r="PVV352" s="268"/>
      <c r="PVW352" s="268"/>
      <c r="PVX352" s="268"/>
      <c r="PVY352" s="268"/>
      <c r="PVZ352" s="268"/>
      <c r="PWA352" s="268"/>
      <c r="PWB352" s="268"/>
      <c r="PWC352" s="268"/>
      <c r="PWD352" s="268"/>
      <c r="PWE352" s="268"/>
      <c r="PWF352" s="268"/>
      <c r="PWG352" s="268"/>
      <c r="PWH352" s="268"/>
      <c r="PWI352" s="268"/>
      <c r="PWJ352" s="268"/>
      <c r="PWK352" s="268"/>
      <c r="PWL352" s="268"/>
      <c r="PWM352" s="268"/>
      <c r="PWN352" s="268"/>
      <c r="PWO352" s="268"/>
      <c r="PWP352" s="268"/>
      <c r="PWQ352" s="268"/>
      <c r="PWR352" s="268"/>
      <c r="PWS352" s="268"/>
      <c r="PWT352" s="268"/>
      <c r="PWU352" s="268"/>
      <c r="PWV352" s="268"/>
      <c r="PWW352" s="268"/>
      <c r="PWX352" s="268"/>
      <c r="PWY352" s="268"/>
      <c r="PWZ352" s="268"/>
      <c r="PXA352" s="268"/>
      <c r="PXB352" s="268"/>
      <c r="PXC352" s="268"/>
      <c r="PXD352" s="268"/>
      <c r="PXE352" s="268"/>
      <c r="PXF352" s="268"/>
      <c r="PXG352" s="268"/>
      <c r="PXH352" s="268"/>
      <c r="PXI352" s="268"/>
      <c r="PXJ352" s="268"/>
      <c r="PXK352" s="268"/>
      <c r="PXL352" s="268"/>
      <c r="PXM352" s="268"/>
      <c r="PXN352" s="268"/>
      <c r="PXO352" s="268"/>
      <c r="PXP352" s="268"/>
      <c r="PXQ352" s="268"/>
      <c r="PXR352" s="268"/>
      <c r="PXS352" s="268"/>
      <c r="PXT352" s="268"/>
      <c r="PXU352" s="268"/>
      <c r="PXV352" s="268"/>
      <c r="PXW352" s="268"/>
      <c r="PXX352" s="268"/>
      <c r="PXY352" s="268"/>
      <c r="PXZ352" s="268"/>
      <c r="PYA352" s="268"/>
      <c r="PYB352" s="268"/>
      <c r="PYC352" s="268"/>
      <c r="PYD352" s="268"/>
      <c r="PYE352" s="268"/>
      <c r="PYF352" s="268"/>
      <c r="PYG352" s="268"/>
      <c r="PYH352" s="268"/>
      <c r="PYI352" s="268"/>
      <c r="PYJ352" s="268"/>
      <c r="PYK352" s="268"/>
      <c r="PYL352" s="268"/>
      <c r="PYM352" s="268"/>
      <c r="PYN352" s="268"/>
      <c r="PYO352" s="268"/>
      <c r="PYP352" s="268"/>
      <c r="PYQ352" s="268"/>
      <c r="PYR352" s="268"/>
      <c r="PYS352" s="268"/>
      <c r="PYT352" s="268"/>
      <c r="PYU352" s="268"/>
      <c r="PYV352" s="268"/>
      <c r="PYW352" s="268"/>
      <c r="PYX352" s="268"/>
      <c r="PYY352" s="268"/>
      <c r="PYZ352" s="268"/>
      <c r="PZA352" s="268"/>
      <c r="PZB352" s="268"/>
      <c r="PZC352" s="268"/>
      <c r="PZD352" s="268"/>
      <c r="PZE352" s="268"/>
      <c r="PZF352" s="268"/>
      <c r="PZG352" s="268"/>
      <c r="PZH352" s="268"/>
      <c r="PZI352" s="268"/>
      <c r="PZJ352" s="268"/>
      <c r="PZK352" s="268"/>
      <c r="PZL352" s="268"/>
      <c r="PZM352" s="268"/>
      <c r="PZN352" s="268"/>
      <c r="PZO352" s="268"/>
      <c r="PZP352" s="268"/>
      <c r="PZQ352" s="268"/>
      <c r="PZR352" s="268"/>
      <c r="PZS352" s="268"/>
      <c r="QAG352" s="268"/>
      <c r="QAH352" s="268"/>
      <c r="QAI352" s="268"/>
      <c r="QAW352" s="268"/>
      <c r="QAY352" s="268"/>
      <c r="QAZ352" s="268"/>
      <c r="QBA352" s="268"/>
      <c r="QBB352" s="268"/>
      <c r="QBC352" s="268"/>
      <c r="QBD352" s="268"/>
      <c r="QBE352" s="268"/>
      <c r="QBF352" s="268"/>
      <c r="QBG352" s="268"/>
      <c r="QBH352" s="268"/>
      <c r="QBI352" s="268"/>
      <c r="QBJ352" s="268"/>
      <c r="QBK352" s="268"/>
      <c r="QBL352" s="268"/>
      <c r="QBM352" s="268"/>
      <c r="QBN352" s="268"/>
      <c r="QBO352" s="268"/>
      <c r="QBP352" s="268"/>
      <c r="QBQ352" s="268"/>
      <c r="QBR352" s="268"/>
      <c r="QBS352" s="268"/>
      <c r="QBT352" s="268"/>
      <c r="QBU352" s="268"/>
      <c r="QBV352" s="268"/>
      <c r="QBW352" s="268"/>
      <c r="QBX352" s="268"/>
      <c r="QBY352" s="268"/>
      <c r="QBZ352" s="268"/>
      <c r="QCA352" s="268"/>
      <c r="QCB352" s="268"/>
      <c r="QCC352" s="268"/>
      <c r="QCD352" s="268"/>
      <c r="QCE352" s="268"/>
      <c r="QCF352" s="268"/>
      <c r="QCG352" s="268"/>
      <c r="QCH352" s="268"/>
      <c r="QCI352" s="268"/>
      <c r="QCJ352" s="268"/>
      <c r="QCK352" s="268"/>
      <c r="QCL352" s="268"/>
      <c r="QCM352" s="268"/>
      <c r="QCN352" s="268"/>
      <c r="QCO352" s="268"/>
      <c r="QCP352" s="268"/>
      <c r="QCQ352" s="268"/>
      <c r="QCR352" s="268"/>
      <c r="QCS352" s="268"/>
      <c r="QCT352" s="268"/>
      <c r="QCU352" s="268"/>
      <c r="QCV352" s="268"/>
      <c r="QCW352" s="268"/>
      <c r="QCX352" s="268"/>
      <c r="QCY352" s="268"/>
      <c r="QCZ352" s="268"/>
      <c r="QDA352" s="268"/>
      <c r="QDB352" s="268"/>
      <c r="QDC352" s="268"/>
      <c r="QDD352" s="268"/>
      <c r="QDE352" s="268"/>
      <c r="QDF352" s="268"/>
      <c r="QDG352" s="268"/>
      <c r="QDH352" s="268"/>
      <c r="QDI352" s="268"/>
      <c r="QDJ352" s="268"/>
      <c r="QDK352" s="268"/>
      <c r="QDL352" s="268"/>
      <c r="QDM352" s="268"/>
      <c r="QDN352" s="268"/>
      <c r="QDO352" s="268"/>
      <c r="QDP352" s="268"/>
      <c r="QDQ352" s="268"/>
      <c r="QDR352" s="268"/>
      <c r="QDS352" s="268"/>
      <c r="QDT352" s="268"/>
      <c r="QDU352" s="268"/>
      <c r="QDV352" s="268"/>
      <c r="QDW352" s="268"/>
      <c r="QDX352" s="268"/>
      <c r="QDY352" s="268"/>
      <c r="QDZ352" s="268"/>
      <c r="QEA352" s="268"/>
      <c r="QEB352" s="268"/>
      <c r="QEC352" s="268"/>
      <c r="QED352" s="268"/>
      <c r="QEE352" s="268"/>
      <c r="QEF352" s="268"/>
      <c r="QEG352" s="268"/>
      <c r="QEH352" s="268"/>
      <c r="QEI352" s="268"/>
      <c r="QEJ352" s="268"/>
      <c r="QEK352" s="268"/>
      <c r="QEL352" s="268"/>
      <c r="QEM352" s="268"/>
      <c r="QEN352" s="268"/>
      <c r="QEO352" s="268"/>
      <c r="QEP352" s="268"/>
      <c r="QEQ352" s="268"/>
      <c r="QER352" s="268"/>
      <c r="QES352" s="268"/>
      <c r="QET352" s="268"/>
      <c r="QEU352" s="268"/>
      <c r="QEV352" s="268"/>
      <c r="QEW352" s="268"/>
      <c r="QEX352" s="268"/>
      <c r="QEY352" s="268"/>
      <c r="QEZ352" s="268"/>
      <c r="QFA352" s="268"/>
      <c r="QFB352" s="268"/>
      <c r="QFC352" s="268"/>
      <c r="QFD352" s="268"/>
      <c r="QFE352" s="268"/>
      <c r="QFF352" s="268"/>
      <c r="QFG352" s="268"/>
      <c r="QFH352" s="268"/>
      <c r="QFI352" s="268"/>
      <c r="QFJ352" s="268"/>
      <c r="QFK352" s="268"/>
      <c r="QFL352" s="268"/>
      <c r="QFM352" s="268"/>
      <c r="QFN352" s="268"/>
      <c r="QFO352" s="268"/>
      <c r="QFP352" s="268"/>
      <c r="QFQ352" s="268"/>
      <c r="QFR352" s="268"/>
      <c r="QFS352" s="268"/>
      <c r="QFT352" s="268"/>
      <c r="QFU352" s="268"/>
      <c r="QFV352" s="268"/>
      <c r="QFW352" s="268"/>
      <c r="QFX352" s="268"/>
      <c r="QFY352" s="268"/>
      <c r="QFZ352" s="268"/>
      <c r="QGA352" s="268"/>
      <c r="QGB352" s="268"/>
      <c r="QGC352" s="268"/>
      <c r="QGD352" s="268"/>
      <c r="QGE352" s="268"/>
      <c r="QGF352" s="268"/>
      <c r="QGG352" s="268"/>
      <c r="QGH352" s="268"/>
      <c r="QGI352" s="268"/>
      <c r="QGJ352" s="268"/>
      <c r="QGK352" s="268"/>
      <c r="QGL352" s="268"/>
      <c r="QGM352" s="268"/>
      <c r="QGN352" s="268"/>
      <c r="QGO352" s="268"/>
      <c r="QGP352" s="268"/>
      <c r="QGQ352" s="268"/>
      <c r="QGR352" s="268"/>
      <c r="QGS352" s="268"/>
      <c r="QGT352" s="268"/>
      <c r="QGU352" s="268"/>
      <c r="QGV352" s="268"/>
      <c r="QGW352" s="268"/>
      <c r="QGX352" s="268"/>
      <c r="QGY352" s="268"/>
      <c r="QGZ352" s="268"/>
      <c r="QHA352" s="268"/>
      <c r="QHB352" s="268"/>
      <c r="QHC352" s="268"/>
      <c r="QHD352" s="268"/>
      <c r="QHE352" s="268"/>
      <c r="QHF352" s="268"/>
      <c r="QHG352" s="268"/>
      <c r="QHH352" s="268"/>
      <c r="QHI352" s="268"/>
      <c r="QHJ352" s="268"/>
      <c r="QHK352" s="268"/>
      <c r="QHL352" s="268"/>
      <c r="QHM352" s="268"/>
      <c r="QHN352" s="268"/>
      <c r="QHO352" s="268"/>
      <c r="QHP352" s="268"/>
      <c r="QHQ352" s="268"/>
      <c r="QHR352" s="268"/>
      <c r="QHS352" s="268"/>
      <c r="QHT352" s="268"/>
      <c r="QHU352" s="268"/>
      <c r="QHV352" s="268"/>
      <c r="QHW352" s="268"/>
      <c r="QHX352" s="268"/>
      <c r="QHY352" s="268"/>
      <c r="QHZ352" s="268"/>
      <c r="QIA352" s="268"/>
      <c r="QIB352" s="268"/>
      <c r="QIC352" s="268"/>
      <c r="QID352" s="268"/>
      <c r="QIE352" s="268"/>
      <c r="QIF352" s="268"/>
      <c r="QIG352" s="268"/>
      <c r="QIH352" s="268"/>
      <c r="QII352" s="268"/>
      <c r="QIJ352" s="268"/>
      <c r="QIK352" s="268"/>
      <c r="QIL352" s="268"/>
      <c r="QIM352" s="268"/>
      <c r="QIN352" s="268"/>
      <c r="QIO352" s="268"/>
      <c r="QIP352" s="268"/>
      <c r="QIQ352" s="268"/>
      <c r="QIR352" s="268"/>
      <c r="QIS352" s="268"/>
      <c r="QIT352" s="268"/>
      <c r="QIU352" s="268"/>
      <c r="QIV352" s="268"/>
      <c r="QIW352" s="268"/>
      <c r="QIX352" s="268"/>
      <c r="QIY352" s="268"/>
      <c r="QIZ352" s="268"/>
      <c r="QJA352" s="268"/>
      <c r="QJB352" s="268"/>
      <c r="QJC352" s="268"/>
      <c r="QJD352" s="268"/>
      <c r="QJE352" s="268"/>
      <c r="QJF352" s="268"/>
      <c r="QJG352" s="268"/>
      <c r="QJH352" s="268"/>
      <c r="QJI352" s="268"/>
      <c r="QJJ352" s="268"/>
      <c r="QJK352" s="268"/>
      <c r="QJL352" s="268"/>
      <c r="QJM352" s="268"/>
      <c r="QJN352" s="268"/>
      <c r="QJO352" s="268"/>
      <c r="QKC352" s="268"/>
      <c r="QKD352" s="268"/>
      <c r="QKE352" s="268"/>
      <c r="QKS352" s="268"/>
      <c r="QKU352" s="268"/>
      <c r="QKV352" s="268"/>
      <c r="QKW352" s="268"/>
      <c r="QKX352" s="268"/>
      <c r="QKY352" s="268"/>
      <c r="QKZ352" s="268"/>
      <c r="QLA352" s="268"/>
      <c r="QLB352" s="268"/>
      <c r="QLC352" s="268"/>
      <c r="QLD352" s="268"/>
      <c r="QLE352" s="268"/>
      <c r="QLF352" s="268"/>
      <c r="QLG352" s="268"/>
      <c r="QLH352" s="268"/>
      <c r="QLI352" s="268"/>
      <c r="QLJ352" s="268"/>
      <c r="QLK352" s="268"/>
      <c r="QLL352" s="268"/>
      <c r="QLM352" s="268"/>
      <c r="QLN352" s="268"/>
      <c r="QLO352" s="268"/>
      <c r="QLP352" s="268"/>
      <c r="QLQ352" s="268"/>
      <c r="QLR352" s="268"/>
      <c r="QLS352" s="268"/>
      <c r="QLT352" s="268"/>
      <c r="QLU352" s="268"/>
      <c r="QLV352" s="268"/>
      <c r="QLW352" s="268"/>
      <c r="QLX352" s="268"/>
      <c r="QLY352" s="268"/>
      <c r="QLZ352" s="268"/>
      <c r="QMA352" s="268"/>
      <c r="QMB352" s="268"/>
      <c r="QMC352" s="268"/>
      <c r="QMD352" s="268"/>
      <c r="QME352" s="268"/>
      <c r="QMF352" s="268"/>
      <c r="QMG352" s="268"/>
      <c r="QMH352" s="268"/>
      <c r="QMI352" s="268"/>
      <c r="QMJ352" s="268"/>
      <c r="QMK352" s="268"/>
      <c r="QML352" s="268"/>
      <c r="QMM352" s="268"/>
      <c r="QMN352" s="268"/>
      <c r="QMO352" s="268"/>
      <c r="QMP352" s="268"/>
      <c r="QMQ352" s="268"/>
      <c r="QMR352" s="268"/>
      <c r="QMS352" s="268"/>
      <c r="QMT352" s="268"/>
      <c r="QMU352" s="268"/>
      <c r="QMV352" s="268"/>
      <c r="QMW352" s="268"/>
      <c r="QMX352" s="268"/>
      <c r="QMY352" s="268"/>
      <c r="QMZ352" s="268"/>
      <c r="QNA352" s="268"/>
      <c r="QNB352" s="268"/>
      <c r="QNC352" s="268"/>
      <c r="QND352" s="268"/>
      <c r="QNE352" s="268"/>
      <c r="QNF352" s="268"/>
      <c r="QNG352" s="268"/>
      <c r="QNH352" s="268"/>
      <c r="QNI352" s="268"/>
      <c r="QNJ352" s="268"/>
      <c r="QNK352" s="268"/>
      <c r="QNL352" s="268"/>
      <c r="QNM352" s="268"/>
      <c r="QNN352" s="268"/>
      <c r="QNO352" s="268"/>
      <c r="QNP352" s="268"/>
      <c r="QNQ352" s="268"/>
      <c r="QNR352" s="268"/>
      <c r="QNS352" s="268"/>
      <c r="QNT352" s="268"/>
      <c r="QNU352" s="268"/>
      <c r="QNV352" s="268"/>
      <c r="QNW352" s="268"/>
      <c r="QNX352" s="268"/>
      <c r="QNY352" s="268"/>
      <c r="QNZ352" s="268"/>
      <c r="QOA352" s="268"/>
      <c r="QOB352" s="268"/>
      <c r="QOC352" s="268"/>
      <c r="QOD352" s="268"/>
      <c r="QOE352" s="268"/>
      <c r="QOF352" s="268"/>
      <c r="QOG352" s="268"/>
      <c r="QOH352" s="268"/>
      <c r="QOI352" s="268"/>
      <c r="QOJ352" s="268"/>
      <c r="QOK352" s="268"/>
      <c r="QOL352" s="268"/>
      <c r="QOM352" s="268"/>
      <c r="QON352" s="268"/>
      <c r="QOO352" s="268"/>
      <c r="QOP352" s="268"/>
      <c r="QOQ352" s="268"/>
      <c r="QOR352" s="268"/>
      <c r="QOS352" s="268"/>
      <c r="QOT352" s="268"/>
      <c r="QOU352" s="268"/>
      <c r="QOV352" s="268"/>
      <c r="QOW352" s="268"/>
      <c r="QOX352" s="268"/>
      <c r="QOY352" s="268"/>
      <c r="QOZ352" s="268"/>
      <c r="QPA352" s="268"/>
      <c r="QPB352" s="268"/>
      <c r="QPC352" s="268"/>
      <c r="QPD352" s="268"/>
      <c r="QPE352" s="268"/>
      <c r="QPF352" s="268"/>
      <c r="QPG352" s="268"/>
      <c r="QPH352" s="268"/>
      <c r="QPI352" s="268"/>
      <c r="QPJ352" s="268"/>
      <c r="QPK352" s="268"/>
      <c r="QPL352" s="268"/>
      <c r="QPM352" s="268"/>
      <c r="QPN352" s="268"/>
      <c r="QPO352" s="268"/>
      <c r="QPP352" s="268"/>
      <c r="QPQ352" s="268"/>
      <c r="QPR352" s="268"/>
      <c r="QPS352" s="268"/>
      <c r="QPT352" s="268"/>
      <c r="QPU352" s="268"/>
      <c r="QPV352" s="268"/>
      <c r="QPW352" s="268"/>
      <c r="QPX352" s="268"/>
      <c r="QPY352" s="268"/>
      <c r="QPZ352" s="268"/>
      <c r="QQA352" s="268"/>
      <c r="QQB352" s="268"/>
      <c r="QQC352" s="268"/>
      <c r="QQD352" s="268"/>
      <c r="QQE352" s="268"/>
      <c r="QQF352" s="268"/>
      <c r="QQG352" s="268"/>
      <c r="QQH352" s="268"/>
      <c r="QQI352" s="268"/>
      <c r="QQJ352" s="268"/>
      <c r="QQK352" s="268"/>
      <c r="QQL352" s="268"/>
      <c r="QQM352" s="268"/>
      <c r="QQN352" s="268"/>
      <c r="QQO352" s="268"/>
      <c r="QQP352" s="268"/>
      <c r="QQQ352" s="268"/>
      <c r="QQR352" s="268"/>
      <c r="QQS352" s="268"/>
      <c r="QQT352" s="268"/>
      <c r="QQU352" s="268"/>
      <c r="QQV352" s="268"/>
      <c r="QQW352" s="268"/>
      <c r="QQX352" s="268"/>
      <c r="QQY352" s="268"/>
      <c r="QQZ352" s="268"/>
      <c r="QRA352" s="268"/>
      <c r="QRB352" s="268"/>
      <c r="QRC352" s="268"/>
      <c r="QRD352" s="268"/>
      <c r="QRE352" s="268"/>
      <c r="QRF352" s="268"/>
      <c r="QRG352" s="268"/>
      <c r="QRH352" s="268"/>
      <c r="QRI352" s="268"/>
      <c r="QRJ352" s="268"/>
      <c r="QRK352" s="268"/>
      <c r="QRL352" s="268"/>
      <c r="QRM352" s="268"/>
      <c r="QRN352" s="268"/>
      <c r="QRO352" s="268"/>
      <c r="QRP352" s="268"/>
      <c r="QRQ352" s="268"/>
      <c r="QRR352" s="268"/>
      <c r="QRS352" s="268"/>
      <c r="QRT352" s="268"/>
      <c r="QRU352" s="268"/>
      <c r="QRV352" s="268"/>
      <c r="QRW352" s="268"/>
      <c r="QRX352" s="268"/>
      <c r="QRY352" s="268"/>
      <c r="QRZ352" s="268"/>
      <c r="QSA352" s="268"/>
      <c r="QSB352" s="268"/>
      <c r="QSC352" s="268"/>
      <c r="QSD352" s="268"/>
      <c r="QSE352" s="268"/>
      <c r="QSF352" s="268"/>
      <c r="QSG352" s="268"/>
      <c r="QSH352" s="268"/>
      <c r="QSI352" s="268"/>
      <c r="QSJ352" s="268"/>
      <c r="QSK352" s="268"/>
      <c r="QSL352" s="268"/>
      <c r="QSM352" s="268"/>
      <c r="QSN352" s="268"/>
      <c r="QSO352" s="268"/>
      <c r="QSP352" s="268"/>
      <c r="QSQ352" s="268"/>
      <c r="QSR352" s="268"/>
      <c r="QSS352" s="268"/>
      <c r="QST352" s="268"/>
      <c r="QSU352" s="268"/>
      <c r="QSV352" s="268"/>
      <c r="QSW352" s="268"/>
      <c r="QSX352" s="268"/>
      <c r="QSY352" s="268"/>
      <c r="QSZ352" s="268"/>
      <c r="QTA352" s="268"/>
      <c r="QTB352" s="268"/>
      <c r="QTC352" s="268"/>
      <c r="QTD352" s="268"/>
      <c r="QTE352" s="268"/>
      <c r="QTF352" s="268"/>
      <c r="QTG352" s="268"/>
      <c r="QTH352" s="268"/>
      <c r="QTI352" s="268"/>
      <c r="QTJ352" s="268"/>
      <c r="QTK352" s="268"/>
      <c r="QTY352" s="268"/>
      <c r="QTZ352" s="268"/>
      <c r="QUA352" s="268"/>
      <c r="QUO352" s="268"/>
      <c r="QUQ352" s="268"/>
      <c r="QUR352" s="268"/>
      <c r="QUS352" s="268"/>
      <c r="QUT352" s="268"/>
      <c r="QUU352" s="268"/>
      <c r="QUV352" s="268"/>
      <c r="QUW352" s="268"/>
      <c r="QUX352" s="268"/>
      <c r="QUY352" s="268"/>
      <c r="QUZ352" s="268"/>
      <c r="QVA352" s="268"/>
      <c r="QVB352" s="268"/>
      <c r="QVC352" s="268"/>
      <c r="QVD352" s="268"/>
      <c r="QVE352" s="268"/>
      <c r="QVF352" s="268"/>
      <c r="QVG352" s="268"/>
      <c r="QVH352" s="268"/>
      <c r="QVI352" s="268"/>
      <c r="QVJ352" s="268"/>
      <c r="QVK352" s="268"/>
      <c r="QVL352" s="268"/>
      <c r="QVM352" s="268"/>
      <c r="QVN352" s="268"/>
      <c r="QVO352" s="268"/>
      <c r="QVP352" s="268"/>
      <c r="QVQ352" s="268"/>
      <c r="QVR352" s="268"/>
      <c r="QVS352" s="268"/>
      <c r="QVT352" s="268"/>
      <c r="QVU352" s="268"/>
      <c r="QVV352" s="268"/>
      <c r="QVW352" s="268"/>
      <c r="QVX352" s="268"/>
      <c r="QVY352" s="268"/>
      <c r="QVZ352" s="268"/>
      <c r="QWA352" s="268"/>
      <c r="QWB352" s="268"/>
      <c r="QWC352" s="268"/>
      <c r="QWD352" s="268"/>
      <c r="QWE352" s="268"/>
      <c r="QWF352" s="268"/>
      <c r="QWG352" s="268"/>
      <c r="QWH352" s="268"/>
      <c r="QWI352" s="268"/>
      <c r="QWJ352" s="268"/>
      <c r="QWK352" s="268"/>
      <c r="QWL352" s="268"/>
      <c r="QWM352" s="268"/>
      <c r="QWN352" s="268"/>
      <c r="QWO352" s="268"/>
      <c r="QWP352" s="268"/>
      <c r="QWQ352" s="268"/>
      <c r="QWR352" s="268"/>
      <c r="QWS352" s="268"/>
      <c r="QWT352" s="268"/>
      <c r="QWU352" s="268"/>
      <c r="QWV352" s="268"/>
      <c r="QWW352" s="268"/>
      <c r="QWX352" s="268"/>
      <c r="QWY352" s="268"/>
      <c r="QWZ352" s="268"/>
      <c r="QXA352" s="268"/>
      <c r="QXB352" s="268"/>
      <c r="QXC352" s="268"/>
      <c r="QXD352" s="268"/>
      <c r="QXE352" s="268"/>
      <c r="QXF352" s="268"/>
      <c r="QXG352" s="268"/>
      <c r="QXH352" s="268"/>
      <c r="QXI352" s="268"/>
      <c r="QXJ352" s="268"/>
      <c r="QXK352" s="268"/>
      <c r="QXL352" s="268"/>
      <c r="QXM352" s="268"/>
      <c r="QXN352" s="268"/>
      <c r="QXO352" s="268"/>
      <c r="QXP352" s="268"/>
      <c r="QXQ352" s="268"/>
      <c r="QXR352" s="268"/>
      <c r="QXS352" s="268"/>
      <c r="QXT352" s="268"/>
      <c r="QXU352" s="268"/>
      <c r="QXV352" s="268"/>
      <c r="QXW352" s="268"/>
      <c r="QXX352" s="268"/>
      <c r="QXY352" s="268"/>
      <c r="QXZ352" s="268"/>
      <c r="QYA352" s="268"/>
      <c r="QYB352" s="268"/>
      <c r="QYC352" s="268"/>
      <c r="QYD352" s="268"/>
      <c r="QYE352" s="268"/>
      <c r="QYF352" s="268"/>
      <c r="QYG352" s="268"/>
      <c r="QYH352" s="268"/>
      <c r="QYI352" s="268"/>
      <c r="QYJ352" s="268"/>
      <c r="QYK352" s="268"/>
      <c r="QYL352" s="268"/>
      <c r="QYM352" s="268"/>
      <c r="QYN352" s="268"/>
      <c r="QYO352" s="268"/>
      <c r="QYP352" s="268"/>
      <c r="QYQ352" s="268"/>
      <c r="QYR352" s="268"/>
      <c r="QYS352" s="268"/>
      <c r="QYT352" s="268"/>
      <c r="QYU352" s="268"/>
      <c r="QYV352" s="268"/>
      <c r="QYW352" s="268"/>
      <c r="QYX352" s="268"/>
      <c r="QYY352" s="268"/>
      <c r="QYZ352" s="268"/>
      <c r="QZA352" s="268"/>
      <c r="QZB352" s="268"/>
      <c r="QZC352" s="268"/>
      <c r="QZD352" s="268"/>
      <c r="QZE352" s="268"/>
      <c r="QZF352" s="268"/>
      <c r="QZG352" s="268"/>
      <c r="QZH352" s="268"/>
      <c r="QZI352" s="268"/>
      <c r="QZJ352" s="268"/>
      <c r="QZK352" s="268"/>
      <c r="QZL352" s="268"/>
      <c r="QZM352" s="268"/>
      <c r="QZN352" s="268"/>
      <c r="QZO352" s="268"/>
      <c r="QZP352" s="268"/>
      <c r="QZQ352" s="268"/>
      <c r="QZR352" s="268"/>
      <c r="QZS352" s="268"/>
      <c r="QZT352" s="268"/>
      <c r="QZU352" s="268"/>
      <c r="QZV352" s="268"/>
      <c r="QZW352" s="268"/>
      <c r="QZX352" s="268"/>
      <c r="QZY352" s="268"/>
      <c r="QZZ352" s="268"/>
      <c r="RAA352" s="268"/>
      <c r="RAB352" s="268"/>
      <c r="RAC352" s="268"/>
      <c r="RAD352" s="268"/>
      <c r="RAE352" s="268"/>
      <c r="RAF352" s="268"/>
      <c r="RAG352" s="268"/>
      <c r="RAH352" s="268"/>
      <c r="RAI352" s="268"/>
      <c r="RAJ352" s="268"/>
      <c r="RAK352" s="268"/>
      <c r="RAL352" s="268"/>
      <c r="RAM352" s="268"/>
      <c r="RAN352" s="268"/>
      <c r="RAO352" s="268"/>
      <c r="RAP352" s="268"/>
      <c r="RAQ352" s="268"/>
      <c r="RAR352" s="268"/>
      <c r="RAS352" s="268"/>
      <c r="RAT352" s="268"/>
      <c r="RAU352" s="268"/>
      <c r="RAV352" s="268"/>
      <c r="RAW352" s="268"/>
      <c r="RAX352" s="268"/>
      <c r="RAY352" s="268"/>
      <c r="RAZ352" s="268"/>
      <c r="RBA352" s="268"/>
      <c r="RBB352" s="268"/>
      <c r="RBC352" s="268"/>
      <c r="RBD352" s="268"/>
      <c r="RBE352" s="268"/>
      <c r="RBF352" s="268"/>
      <c r="RBG352" s="268"/>
      <c r="RBH352" s="268"/>
      <c r="RBI352" s="268"/>
      <c r="RBJ352" s="268"/>
      <c r="RBK352" s="268"/>
      <c r="RBL352" s="268"/>
      <c r="RBM352" s="268"/>
      <c r="RBN352" s="268"/>
      <c r="RBO352" s="268"/>
      <c r="RBP352" s="268"/>
      <c r="RBQ352" s="268"/>
      <c r="RBR352" s="268"/>
      <c r="RBS352" s="268"/>
      <c r="RBT352" s="268"/>
      <c r="RBU352" s="268"/>
      <c r="RBV352" s="268"/>
      <c r="RBW352" s="268"/>
      <c r="RBX352" s="268"/>
      <c r="RBY352" s="268"/>
      <c r="RBZ352" s="268"/>
      <c r="RCA352" s="268"/>
      <c r="RCB352" s="268"/>
      <c r="RCC352" s="268"/>
      <c r="RCD352" s="268"/>
      <c r="RCE352" s="268"/>
      <c r="RCF352" s="268"/>
      <c r="RCG352" s="268"/>
      <c r="RCH352" s="268"/>
      <c r="RCI352" s="268"/>
      <c r="RCJ352" s="268"/>
      <c r="RCK352" s="268"/>
      <c r="RCL352" s="268"/>
      <c r="RCM352" s="268"/>
      <c r="RCN352" s="268"/>
      <c r="RCO352" s="268"/>
      <c r="RCP352" s="268"/>
      <c r="RCQ352" s="268"/>
      <c r="RCR352" s="268"/>
      <c r="RCS352" s="268"/>
      <c r="RCT352" s="268"/>
      <c r="RCU352" s="268"/>
      <c r="RCV352" s="268"/>
      <c r="RCW352" s="268"/>
      <c r="RCX352" s="268"/>
      <c r="RCY352" s="268"/>
      <c r="RCZ352" s="268"/>
      <c r="RDA352" s="268"/>
      <c r="RDB352" s="268"/>
      <c r="RDC352" s="268"/>
      <c r="RDD352" s="268"/>
      <c r="RDE352" s="268"/>
      <c r="RDF352" s="268"/>
      <c r="RDG352" s="268"/>
      <c r="RDU352" s="268"/>
      <c r="RDV352" s="268"/>
      <c r="RDW352" s="268"/>
      <c r="REK352" s="268"/>
      <c r="REM352" s="268"/>
      <c r="REN352" s="268"/>
      <c r="REO352" s="268"/>
      <c r="REP352" s="268"/>
      <c r="REQ352" s="268"/>
      <c r="RER352" s="268"/>
      <c r="RES352" s="268"/>
      <c r="RET352" s="268"/>
      <c r="REU352" s="268"/>
      <c r="REV352" s="268"/>
      <c r="REW352" s="268"/>
      <c r="REX352" s="268"/>
      <c r="REY352" s="268"/>
      <c r="REZ352" s="268"/>
      <c r="RFA352" s="268"/>
      <c r="RFB352" s="268"/>
      <c r="RFC352" s="268"/>
      <c r="RFD352" s="268"/>
      <c r="RFE352" s="268"/>
      <c r="RFF352" s="268"/>
      <c r="RFG352" s="268"/>
      <c r="RFH352" s="268"/>
      <c r="RFI352" s="268"/>
      <c r="RFJ352" s="268"/>
      <c r="RFK352" s="268"/>
      <c r="RFL352" s="268"/>
      <c r="RFM352" s="268"/>
      <c r="RFN352" s="268"/>
      <c r="RFO352" s="268"/>
      <c r="RFP352" s="268"/>
      <c r="RFQ352" s="268"/>
      <c r="RFR352" s="268"/>
      <c r="RFS352" s="268"/>
      <c r="RFT352" s="268"/>
      <c r="RFU352" s="268"/>
      <c r="RFV352" s="268"/>
      <c r="RFW352" s="268"/>
      <c r="RFX352" s="268"/>
      <c r="RFY352" s="268"/>
      <c r="RFZ352" s="268"/>
      <c r="RGA352" s="268"/>
      <c r="RGB352" s="268"/>
      <c r="RGC352" s="268"/>
      <c r="RGD352" s="268"/>
      <c r="RGE352" s="268"/>
      <c r="RGF352" s="268"/>
      <c r="RGG352" s="268"/>
      <c r="RGH352" s="268"/>
      <c r="RGI352" s="268"/>
      <c r="RGJ352" s="268"/>
      <c r="RGK352" s="268"/>
      <c r="RGL352" s="268"/>
      <c r="RGM352" s="268"/>
      <c r="RGN352" s="268"/>
      <c r="RGO352" s="268"/>
      <c r="RGP352" s="268"/>
      <c r="RGQ352" s="268"/>
      <c r="RGR352" s="268"/>
      <c r="RGS352" s="268"/>
      <c r="RGT352" s="268"/>
      <c r="RGU352" s="268"/>
      <c r="RGV352" s="268"/>
      <c r="RGW352" s="268"/>
      <c r="RGX352" s="268"/>
      <c r="RGY352" s="268"/>
      <c r="RGZ352" s="268"/>
      <c r="RHA352" s="268"/>
      <c r="RHB352" s="268"/>
      <c r="RHC352" s="268"/>
      <c r="RHD352" s="268"/>
      <c r="RHE352" s="268"/>
      <c r="RHF352" s="268"/>
      <c r="RHG352" s="268"/>
      <c r="RHH352" s="268"/>
      <c r="RHI352" s="268"/>
      <c r="RHJ352" s="268"/>
      <c r="RHK352" s="268"/>
      <c r="RHL352" s="268"/>
      <c r="RHM352" s="268"/>
      <c r="RHN352" s="268"/>
      <c r="RHO352" s="268"/>
      <c r="RHP352" s="268"/>
      <c r="RHQ352" s="268"/>
      <c r="RHR352" s="268"/>
      <c r="RHS352" s="268"/>
      <c r="RHT352" s="268"/>
      <c r="RHU352" s="268"/>
      <c r="RHV352" s="268"/>
      <c r="RHW352" s="268"/>
      <c r="RHX352" s="268"/>
      <c r="RHY352" s="268"/>
      <c r="RHZ352" s="268"/>
      <c r="RIA352" s="268"/>
      <c r="RIB352" s="268"/>
      <c r="RIC352" s="268"/>
      <c r="RID352" s="268"/>
      <c r="RIE352" s="268"/>
      <c r="RIF352" s="268"/>
      <c r="RIG352" s="268"/>
      <c r="RIH352" s="268"/>
      <c r="RII352" s="268"/>
      <c r="RIJ352" s="268"/>
      <c r="RIK352" s="268"/>
      <c r="RIL352" s="268"/>
      <c r="RIM352" s="268"/>
      <c r="RIN352" s="268"/>
      <c r="RIO352" s="268"/>
      <c r="RIP352" s="268"/>
      <c r="RIQ352" s="268"/>
      <c r="RIR352" s="268"/>
      <c r="RIS352" s="268"/>
      <c r="RIT352" s="268"/>
      <c r="RIU352" s="268"/>
      <c r="RIV352" s="268"/>
      <c r="RIW352" s="268"/>
      <c r="RIX352" s="268"/>
      <c r="RIY352" s="268"/>
      <c r="RIZ352" s="268"/>
      <c r="RJA352" s="268"/>
      <c r="RJB352" s="268"/>
      <c r="RJC352" s="268"/>
      <c r="RJD352" s="268"/>
      <c r="RJE352" s="268"/>
      <c r="RJF352" s="268"/>
      <c r="RJG352" s="268"/>
      <c r="RJH352" s="268"/>
      <c r="RJI352" s="268"/>
      <c r="RJJ352" s="268"/>
      <c r="RJK352" s="268"/>
      <c r="RJL352" s="268"/>
      <c r="RJM352" s="268"/>
      <c r="RJN352" s="268"/>
      <c r="RJO352" s="268"/>
      <c r="RJP352" s="268"/>
      <c r="RJQ352" s="268"/>
      <c r="RJR352" s="268"/>
      <c r="RJS352" s="268"/>
      <c r="RJT352" s="268"/>
      <c r="RJU352" s="268"/>
      <c r="RJV352" s="268"/>
      <c r="RJW352" s="268"/>
      <c r="RJX352" s="268"/>
      <c r="RJY352" s="268"/>
      <c r="RJZ352" s="268"/>
      <c r="RKA352" s="268"/>
      <c r="RKB352" s="268"/>
      <c r="RKC352" s="268"/>
      <c r="RKD352" s="268"/>
      <c r="RKE352" s="268"/>
      <c r="RKF352" s="268"/>
      <c r="RKG352" s="268"/>
      <c r="RKH352" s="268"/>
      <c r="RKI352" s="268"/>
      <c r="RKJ352" s="268"/>
      <c r="RKK352" s="268"/>
      <c r="RKL352" s="268"/>
      <c r="RKM352" s="268"/>
      <c r="RKN352" s="268"/>
      <c r="RKO352" s="268"/>
      <c r="RKP352" s="268"/>
      <c r="RKQ352" s="268"/>
      <c r="RKR352" s="268"/>
      <c r="RKS352" s="268"/>
      <c r="RKT352" s="268"/>
      <c r="RKU352" s="268"/>
      <c r="RKV352" s="268"/>
      <c r="RKW352" s="268"/>
      <c r="RKX352" s="268"/>
      <c r="RKY352" s="268"/>
      <c r="RKZ352" s="268"/>
      <c r="RLA352" s="268"/>
      <c r="RLB352" s="268"/>
      <c r="RLC352" s="268"/>
      <c r="RLD352" s="268"/>
      <c r="RLE352" s="268"/>
      <c r="RLF352" s="268"/>
      <c r="RLG352" s="268"/>
      <c r="RLH352" s="268"/>
      <c r="RLI352" s="268"/>
      <c r="RLJ352" s="268"/>
      <c r="RLK352" s="268"/>
      <c r="RLL352" s="268"/>
      <c r="RLM352" s="268"/>
      <c r="RLN352" s="268"/>
      <c r="RLO352" s="268"/>
      <c r="RLP352" s="268"/>
      <c r="RLQ352" s="268"/>
      <c r="RLR352" s="268"/>
      <c r="RLS352" s="268"/>
      <c r="RLT352" s="268"/>
      <c r="RLU352" s="268"/>
      <c r="RLV352" s="268"/>
      <c r="RLW352" s="268"/>
      <c r="RLX352" s="268"/>
      <c r="RLY352" s="268"/>
      <c r="RLZ352" s="268"/>
      <c r="RMA352" s="268"/>
      <c r="RMB352" s="268"/>
      <c r="RMC352" s="268"/>
      <c r="RMD352" s="268"/>
      <c r="RME352" s="268"/>
      <c r="RMF352" s="268"/>
      <c r="RMG352" s="268"/>
      <c r="RMH352" s="268"/>
      <c r="RMI352" s="268"/>
      <c r="RMJ352" s="268"/>
      <c r="RMK352" s="268"/>
      <c r="RML352" s="268"/>
      <c r="RMM352" s="268"/>
      <c r="RMN352" s="268"/>
      <c r="RMO352" s="268"/>
      <c r="RMP352" s="268"/>
      <c r="RMQ352" s="268"/>
      <c r="RMR352" s="268"/>
      <c r="RMS352" s="268"/>
      <c r="RMT352" s="268"/>
      <c r="RMU352" s="268"/>
      <c r="RMV352" s="268"/>
      <c r="RMW352" s="268"/>
      <c r="RMX352" s="268"/>
      <c r="RMY352" s="268"/>
      <c r="RMZ352" s="268"/>
      <c r="RNA352" s="268"/>
      <c r="RNB352" s="268"/>
      <c r="RNC352" s="268"/>
      <c r="RNQ352" s="268"/>
      <c r="RNR352" s="268"/>
      <c r="RNS352" s="268"/>
      <c r="ROG352" s="268"/>
      <c r="ROI352" s="268"/>
      <c r="ROJ352" s="268"/>
      <c r="ROK352" s="268"/>
      <c r="ROL352" s="268"/>
      <c r="ROM352" s="268"/>
      <c r="RON352" s="268"/>
      <c r="ROO352" s="268"/>
      <c r="ROP352" s="268"/>
      <c r="ROQ352" s="268"/>
      <c r="ROR352" s="268"/>
      <c r="ROS352" s="268"/>
      <c r="ROT352" s="268"/>
      <c r="ROU352" s="268"/>
      <c r="ROV352" s="268"/>
      <c r="ROW352" s="268"/>
      <c r="ROX352" s="268"/>
      <c r="ROY352" s="268"/>
      <c r="ROZ352" s="268"/>
      <c r="RPA352" s="268"/>
      <c r="RPB352" s="268"/>
      <c r="RPC352" s="268"/>
      <c r="RPD352" s="268"/>
      <c r="RPE352" s="268"/>
      <c r="RPF352" s="268"/>
      <c r="RPG352" s="268"/>
      <c r="RPH352" s="268"/>
      <c r="RPI352" s="268"/>
      <c r="RPJ352" s="268"/>
      <c r="RPK352" s="268"/>
      <c r="RPL352" s="268"/>
      <c r="RPM352" s="268"/>
      <c r="RPN352" s="268"/>
      <c r="RPO352" s="268"/>
      <c r="RPP352" s="268"/>
      <c r="RPQ352" s="268"/>
      <c r="RPR352" s="268"/>
      <c r="RPS352" s="268"/>
      <c r="RPT352" s="268"/>
      <c r="RPU352" s="268"/>
      <c r="RPV352" s="268"/>
      <c r="RPW352" s="268"/>
      <c r="RPX352" s="268"/>
      <c r="RPY352" s="268"/>
      <c r="RPZ352" s="268"/>
      <c r="RQA352" s="268"/>
      <c r="RQB352" s="268"/>
      <c r="RQC352" s="268"/>
      <c r="RQD352" s="268"/>
      <c r="RQE352" s="268"/>
      <c r="RQF352" s="268"/>
      <c r="RQG352" s="268"/>
      <c r="RQH352" s="268"/>
      <c r="RQI352" s="268"/>
      <c r="RQJ352" s="268"/>
      <c r="RQK352" s="268"/>
      <c r="RQL352" s="268"/>
      <c r="RQM352" s="268"/>
      <c r="RQN352" s="268"/>
      <c r="RQO352" s="268"/>
      <c r="RQP352" s="268"/>
      <c r="RQQ352" s="268"/>
      <c r="RQR352" s="268"/>
      <c r="RQS352" s="268"/>
      <c r="RQT352" s="268"/>
      <c r="RQU352" s="268"/>
      <c r="RQV352" s="268"/>
      <c r="RQW352" s="268"/>
      <c r="RQX352" s="268"/>
      <c r="RQY352" s="268"/>
      <c r="RQZ352" s="268"/>
      <c r="RRA352" s="268"/>
      <c r="RRB352" s="268"/>
      <c r="RRC352" s="268"/>
      <c r="RRD352" s="268"/>
      <c r="RRE352" s="268"/>
      <c r="RRF352" s="268"/>
      <c r="RRG352" s="268"/>
      <c r="RRH352" s="268"/>
      <c r="RRI352" s="268"/>
      <c r="RRJ352" s="268"/>
      <c r="RRK352" s="268"/>
      <c r="RRL352" s="268"/>
      <c r="RRM352" s="268"/>
      <c r="RRN352" s="268"/>
      <c r="RRO352" s="268"/>
      <c r="RRP352" s="268"/>
      <c r="RRQ352" s="268"/>
      <c r="RRR352" s="268"/>
      <c r="RRS352" s="268"/>
      <c r="RRT352" s="268"/>
      <c r="RRU352" s="268"/>
      <c r="RRV352" s="268"/>
      <c r="RRW352" s="268"/>
      <c r="RRX352" s="268"/>
      <c r="RRY352" s="268"/>
      <c r="RRZ352" s="268"/>
      <c r="RSA352" s="268"/>
      <c r="RSB352" s="268"/>
      <c r="RSC352" s="268"/>
      <c r="RSD352" s="268"/>
      <c r="RSE352" s="268"/>
      <c r="RSF352" s="268"/>
      <c r="RSG352" s="268"/>
      <c r="RSH352" s="268"/>
      <c r="RSI352" s="268"/>
      <c r="RSJ352" s="268"/>
      <c r="RSK352" s="268"/>
      <c r="RSL352" s="268"/>
      <c r="RSM352" s="268"/>
      <c r="RSN352" s="268"/>
      <c r="RSO352" s="268"/>
      <c r="RSP352" s="268"/>
      <c r="RSQ352" s="268"/>
      <c r="RSR352" s="268"/>
      <c r="RSS352" s="268"/>
      <c r="RST352" s="268"/>
      <c r="RSU352" s="268"/>
      <c r="RSV352" s="268"/>
      <c r="RSW352" s="268"/>
      <c r="RSX352" s="268"/>
      <c r="RSY352" s="268"/>
      <c r="RSZ352" s="268"/>
      <c r="RTA352" s="268"/>
      <c r="RTB352" s="268"/>
      <c r="RTC352" s="268"/>
      <c r="RTD352" s="268"/>
      <c r="RTE352" s="268"/>
      <c r="RTF352" s="268"/>
      <c r="RTG352" s="268"/>
      <c r="RTH352" s="268"/>
      <c r="RTI352" s="268"/>
      <c r="RTJ352" s="268"/>
      <c r="RTK352" s="268"/>
      <c r="RTL352" s="268"/>
      <c r="RTM352" s="268"/>
      <c r="RTN352" s="268"/>
      <c r="RTO352" s="268"/>
      <c r="RTP352" s="268"/>
      <c r="RTQ352" s="268"/>
      <c r="RTR352" s="268"/>
      <c r="RTS352" s="268"/>
      <c r="RTT352" s="268"/>
      <c r="RTU352" s="268"/>
      <c r="RTV352" s="268"/>
      <c r="RTW352" s="268"/>
      <c r="RTX352" s="268"/>
      <c r="RTY352" s="268"/>
      <c r="RTZ352" s="268"/>
      <c r="RUA352" s="268"/>
      <c r="RUB352" s="268"/>
      <c r="RUC352" s="268"/>
      <c r="RUD352" s="268"/>
      <c r="RUE352" s="268"/>
      <c r="RUF352" s="268"/>
      <c r="RUG352" s="268"/>
      <c r="RUH352" s="268"/>
      <c r="RUI352" s="268"/>
      <c r="RUJ352" s="268"/>
      <c r="RUK352" s="268"/>
      <c r="RUL352" s="268"/>
      <c r="RUM352" s="268"/>
      <c r="RUN352" s="268"/>
      <c r="RUO352" s="268"/>
      <c r="RUP352" s="268"/>
      <c r="RUQ352" s="268"/>
      <c r="RUR352" s="268"/>
      <c r="RUS352" s="268"/>
      <c r="RUT352" s="268"/>
      <c r="RUU352" s="268"/>
      <c r="RUV352" s="268"/>
      <c r="RUW352" s="268"/>
      <c r="RUX352" s="268"/>
      <c r="RUY352" s="268"/>
      <c r="RUZ352" s="268"/>
      <c r="RVA352" s="268"/>
      <c r="RVB352" s="268"/>
      <c r="RVC352" s="268"/>
      <c r="RVD352" s="268"/>
      <c r="RVE352" s="268"/>
      <c r="RVF352" s="268"/>
      <c r="RVG352" s="268"/>
      <c r="RVH352" s="268"/>
      <c r="RVI352" s="268"/>
      <c r="RVJ352" s="268"/>
      <c r="RVK352" s="268"/>
      <c r="RVL352" s="268"/>
      <c r="RVM352" s="268"/>
      <c r="RVN352" s="268"/>
      <c r="RVO352" s="268"/>
      <c r="RVP352" s="268"/>
      <c r="RVQ352" s="268"/>
      <c r="RVR352" s="268"/>
      <c r="RVS352" s="268"/>
      <c r="RVT352" s="268"/>
      <c r="RVU352" s="268"/>
      <c r="RVV352" s="268"/>
      <c r="RVW352" s="268"/>
      <c r="RVX352" s="268"/>
      <c r="RVY352" s="268"/>
      <c r="RVZ352" s="268"/>
      <c r="RWA352" s="268"/>
      <c r="RWB352" s="268"/>
      <c r="RWC352" s="268"/>
      <c r="RWD352" s="268"/>
      <c r="RWE352" s="268"/>
      <c r="RWF352" s="268"/>
      <c r="RWG352" s="268"/>
      <c r="RWH352" s="268"/>
      <c r="RWI352" s="268"/>
      <c r="RWJ352" s="268"/>
      <c r="RWK352" s="268"/>
      <c r="RWL352" s="268"/>
      <c r="RWM352" s="268"/>
      <c r="RWN352" s="268"/>
      <c r="RWO352" s="268"/>
      <c r="RWP352" s="268"/>
      <c r="RWQ352" s="268"/>
      <c r="RWR352" s="268"/>
      <c r="RWS352" s="268"/>
      <c r="RWT352" s="268"/>
      <c r="RWU352" s="268"/>
      <c r="RWV352" s="268"/>
      <c r="RWW352" s="268"/>
      <c r="RWX352" s="268"/>
      <c r="RWY352" s="268"/>
      <c r="RXM352" s="268"/>
      <c r="RXN352" s="268"/>
      <c r="RXO352" s="268"/>
      <c r="RYC352" s="268"/>
      <c r="RYE352" s="268"/>
      <c r="RYF352" s="268"/>
      <c r="RYG352" s="268"/>
      <c r="RYH352" s="268"/>
      <c r="RYI352" s="268"/>
      <c r="RYJ352" s="268"/>
      <c r="RYK352" s="268"/>
      <c r="RYL352" s="268"/>
      <c r="RYM352" s="268"/>
      <c r="RYN352" s="268"/>
      <c r="RYO352" s="268"/>
      <c r="RYP352" s="268"/>
      <c r="RYQ352" s="268"/>
      <c r="RYR352" s="268"/>
      <c r="RYS352" s="268"/>
      <c r="RYT352" s="268"/>
      <c r="RYU352" s="268"/>
      <c r="RYV352" s="268"/>
      <c r="RYW352" s="268"/>
      <c r="RYX352" s="268"/>
      <c r="RYY352" s="268"/>
      <c r="RYZ352" s="268"/>
      <c r="RZA352" s="268"/>
      <c r="RZB352" s="268"/>
      <c r="RZC352" s="268"/>
      <c r="RZD352" s="268"/>
      <c r="RZE352" s="268"/>
      <c r="RZF352" s="268"/>
      <c r="RZG352" s="268"/>
      <c r="RZH352" s="268"/>
      <c r="RZI352" s="268"/>
      <c r="RZJ352" s="268"/>
      <c r="RZK352" s="268"/>
      <c r="RZL352" s="268"/>
      <c r="RZM352" s="268"/>
      <c r="RZN352" s="268"/>
      <c r="RZO352" s="268"/>
      <c r="RZP352" s="268"/>
      <c r="RZQ352" s="268"/>
      <c r="RZR352" s="268"/>
      <c r="RZS352" s="268"/>
      <c r="RZT352" s="268"/>
      <c r="RZU352" s="268"/>
      <c r="RZV352" s="268"/>
      <c r="RZW352" s="268"/>
      <c r="RZX352" s="268"/>
      <c r="RZY352" s="268"/>
      <c r="RZZ352" s="268"/>
      <c r="SAA352" s="268"/>
      <c r="SAB352" s="268"/>
      <c r="SAC352" s="268"/>
      <c r="SAD352" s="268"/>
      <c r="SAE352" s="268"/>
      <c r="SAF352" s="268"/>
      <c r="SAG352" s="268"/>
      <c r="SAH352" s="268"/>
      <c r="SAI352" s="268"/>
      <c r="SAJ352" s="268"/>
      <c r="SAK352" s="268"/>
      <c r="SAL352" s="268"/>
      <c r="SAM352" s="268"/>
      <c r="SAN352" s="268"/>
      <c r="SAO352" s="268"/>
      <c r="SAP352" s="268"/>
      <c r="SAQ352" s="268"/>
      <c r="SAR352" s="268"/>
      <c r="SAS352" s="268"/>
      <c r="SAT352" s="268"/>
      <c r="SAU352" s="268"/>
      <c r="SAV352" s="268"/>
      <c r="SAW352" s="268"/>
      <c r="SAX352" s="268"/>
      <c r="SAY352" s="268"/>
      <c r="SAZ352" s="268"/>
      <c r="SBA352" s="268"/>
      <c r="SBB352" s="268"/>
      <c r="SBC352" s="268"/>
      <c r="SBD352" s="268"/>
      <c r="SBE352" s="268"/>
      <c r="SBF352" s="268"/>
      <c r="SBG352" s="268"/>
      <c r="SBH352" s="268"/>
      <c r="SBI352" s="268"/>
      <c r="SBJ352" s="268"/>
      <c r="SBK352" s="268"/>
      <c r="SBL352" s="268"/>
      <c r="SBM352" s="268"/>
      <c r="SBN352" s="268"/>
      <c r="SBO352" s="268"/>
      <c r="SBP352" s="268"/>
      <c r="SBQ352" s="268"/>
      <c r="SBR352" s="268"/>
      <c r="SBS352" s="268"/>
      <c r="SBT352" s="268"/>
      <c r="SBU352" s="268"/>
      <c r="SBV352" s="268"/>
      <c r="SBW352" s="268"/>
      <c r="SBX352" s="268"/>
      <c r="SBY352" s="268"/>
      <c r="SBZ352" s="268"/>
      <c r="SCA352" s="268"/>
      <c r="SCB352" s="268"/>
      <c r="SCC352" s="268"/>
      <c r="SCD352" s="268"/>
      <c r="SCE352" s="268"/>
      <c r="SCF352" s="268"/>
      <c r="SCG352" s="268"/>
      <c r="SCH352" s="268"/>
      <c r="SCI352" s="268"/>
      <c r="SCJ352" s="268"/>
      <c r="SCK352" s="268"/>
      <c r="SCL352" s="268"/>
      <c r="SCM352" s="268"/>
      <c r="SCN352" s="268"/>
      <c r="SCO352" s="268"/>
      <c r="SCP352" s="268"/>
      <c r="SCQ352" s="268"/>
      <c r="SCR352" s="268"/>
      <c r="SCS352" s="268"/>
      <c r="SCT352" s="268"/>
      <c r="SCU352" s="268"/>
      <c r="SCV352" s="268"/>
      <c r="SCW352" s="268"/>
      <c r="SCX352" s="268"/>
      <c r="SCY352" s="268"/>
      <c r="SCZ352" s="268"/>
      <c r="SDA352" s="268"/>
      <c r="SDB352" s="268"/>
      <c r="SDC352" s="268"/>
      <c r="SDD352" s="268"/>
      <c r="SDE352" s="268"/>
      <c r="SDF352" s="268"/>
      <c r="SDG352" s="268"/>
      <c r="SDH352" s="268"/>
      <c r="SDI352" s="268"/>
      <c r="SDJ352" s="268"/>
      <c r="SDK352" s="268"/>
      <c r="SDL352" s="268"/>
      <c r="SDM352" s="268"/>
      <c r="SDN352" s="268"/>
      <c r="SDO352" s="268"/>
      <c r="SDP352" s="268"/>
      <c r="SDQ352" s="268"/>
      <c r="SDR352" s="268"/>
      <c r="SDS352" s="268"/>
      <c r="SDT352" s="268"/>
      <c r="SDU352" s="268"/>
      <c r="SDV352" s="268"/>
      <c r="SDW352" s="268"/>
      <c r="SDX352" s="268"/>
      <c r="SDY352" s="268"/>
      <c r="SDZ352" s="268"/>
      <c r="SEA352" s="268"/>
      <c r="SEB352" s="268"/>
      <c r="SEC352" s="268"/>
      <c r="SED352" s="268"/>
      <c r="SEE352" s="268"/>
      <c r="SEF352" s="268"/>
      <c r="SEG352" s="268"/>
      <c r="SEH352" s="268"/>
      <c r="SEI352" s="268"/>
      <c r="SEJ352" s="268"/>
      <c r="SEK352" s="268"/>
      <c r="SEL352" s="268"/>
      <c r="SEM352" s="268"/>
      <c r="SEN352" s="268"/>
      <c r="SEO352" s="268"/>
      <c r="SEP352" s="268"/>
      <c r="SEQ352" s="268"/>
      <c r="SER352" s="268"/>
      <c r="SES352" s="268"/>
      <c r="SET352" s="268"/>
      <c r="SEU352" s="268"/>
      <c r="SEV352" s="268"/>
      <c r="SEW352" s="268"/>
      <c r="SEX352" s="268"/>
      <c r="SEY352" s="268"/>
      <c r="SEZ352" s="268"/>
      <c r="SFA352" s="268"/>
      <c r="SFB352" s="268"/>
      <c r="SFC352" s="268"/>
      <c r="SFD352" s="268"/>
      <c r="SFE352" s="268"/>
      <c r="SFF352" s="268"/>
      <c r="SFG352" s="268"/>
      <c r="SFH352" s="268"/>
      <c r="SFI352" s="268"/>
      <c r="SFJ352" s="268"/>
      <c r="SFK352" s="268"/>
      <c r="SFL352" s="268"/>
      <c r="SFM352" s="268"/>
      <c r="SFN352" s="268"/>
      <c r="SFO352" s="268"/>
      <c r="SFP352" s="268"/>
      <c r="SFQ352" s="268"/>
      <c r="SFR352" s="268"/>
      <c r="SFS352" s="268"/>
      <c r="SFT352" s="268"/>
      <c r="SFU352" s="268"/>
      <c r="SFV352" s="268"/>
      <c r="SFW352" s="268"/>
      <c r="SFX352" s="268"/>
      <c r="SFY352" s="268"/>
      <c r="SFZ352" s="268"/>
      <c r="SGA352" s="268"/>
      <c r="SGB352" s="268"/>
      <c r="SGC352" s="268"/>
      <c r="SGD352" s="268"/>
      <c r="SGE352" s="268"/>
      <c r="SGF352" s="268"/>
      <c r="SGG352" s="268"/>
      <c r="SGH352" s="268"/>
      <c r="SGI352" s="268"/>
      <c r="SGJ352" s="268"/>
      <c r="SGK352" s="268"/>
      <c r="SGL352" s="268"/>
      <c r="SGM352" s="268"/>
      <c r="SGN352" s="268"/>
      <c r="SGO352" s="268"/>
      <c r="SGP352" s="268"/>
      <c r="SGQ352" s="268"/>
      <c r="SGR352" s="268"/>
      <c r="SGS352" s="268"/>
      <c r="SGT352" s="268"/>
      <c r="SGU352" s="268"/>
      <c r="SHI352" s="268"/>
      <c r="SHJ352" s="268"/>
      <c r="SHK352" s="268"/>
      <c r="SHY352" s="268"/>
      <c r="SIA352" s="268"/>
      <c r="SIB352" s="268"/>
      <c r="SIC352" s="268"/>
      <c r="SID352" s="268"/>
      <c r="SIE352" s="268"/>
      <c r="SIF352" s="268"/>
      <c r="SIG352" s="268"/>
      <c r="SIH352" s="268"/>
      <c r="SII352" s="268"/>
      <c r="SIJ352" s="268"/>
      <c r="SIK352" s="268"/>
      <c r="SIL352" s="268"/>
      <c r="SIM352" s="268"/>
      <c r="SIN352" s="268"/>
      <c r="SIO352" s="268"/>
      <c r="SIP352" s="268"/>
      <c r="SIQ352" s="268"/>
      <c r="SIR352" s="268"/>
      <c r="SIS352" s="268"/>
      <c r="SIT352" s="268"/>
      <c r="SIU352" s="268"/>
      <c r="SIV352" s="268"/>
      <c r="SIW352" s="268"/>
      <c r="SIX352" s="268"/>
      <c r="SIY352" s="268"/>
      <c r="SIZ352" s="268"/>
      <c r="SJA352" s="268"/>
      <c r="SJB352" s="268"/>
      <c r="SJC352" s="268"/>
      <c r="SJD352" s="268"/>
      <c r="SJE352" s="268"/>
      <c r="SJF352" s="268"/>
      <c r="SJG352" s="268"/>
      <c r="SJH352" s="268"/>
      <c r="SJI352" s="268"/>
      <c r="SJJ352" s="268"/>
      <c r="SJK352" s="268"/>
      <c r="SJL352" s="268"/>
      <c r="SJM352" s="268"/>
      <c r="SJN352" s="268"/>
      <c r="SJO352" s="268"/>
      <c r="SJP352" s="268"/>
      <c r="SJQ352" s="268"/>
      <c r="SJR352" s="268"/>
      <c r="SJS352" s="268"/>
      <c r="SJT352" s="268"/>
      <c r="SJU352" s="268"/>
      <c r="SJV352" s="268"/>
      <c r="SJW352" s="268"/>
      <c r="SJX352" s="268"/>
      <c r="SJY352" s="268"/>
      <c r="SJZ352" s="268"/>
      <c r="SKA352" s="268"/>
      <c r="SKB352" s="268"/>
      <c r="SKC352" s="268"/>
      <c r="SKD352" s="268"/>
      <c r="SKE352" s="268"/>
      <c r="SKF352" s="268"/>
      <c r="SKG352" s="268"/>
      <c r="SKH352" s="268"/>
      <c r="SKI352" s="268"/>
      <c r="SKJ352" s="268"/>
      <c r="SKK352" s="268"/>
      <c r="SKL352" s="268"/>
      <c r="SKM352" s="268"/>
      <c r="SKN352" s="268"/>
      <c r="SKO352" s="268"/>
      <c r="SKP352" s="268"/>
      <c r="SKQ352" s="268"/>
      <c r="SKR352" s="268"/>
      <c r="SKS352" s="268"/>
      <c r="SKT352" s="268"/>
      <c r="SKU352" s="268"/>
      <c r="SKV352" s="268"/>
      <c r="SKW352" s="268"/>
      <c r="SKX352" s="268"/>
      <c r="SKY352" s="268"/>
      <c r="SKZ352" s="268"/>
      <c r="SLA352" s="268"/>
      <c r="SLB352" s="268"/>
      <c r="SLC352" s="268"/>
      <c r="SLD352" s="268"/>
      <c r="SLE352" s="268"/>
      <c r="SLF352" s="268"/>
      <c r="SLG352" s="268"/>
      <c r="SLH352" s="268"/>
      <c r="SLI352" s="268"/>
      <c r="SLJ352" s="268"/>
      <c r="SLK352" s="268"/>
      <c r="SLL352" s="268"/>
      <c r="SLM352" s="268"/>
      <c r="SLN352" s="268"/>
      <c r="SLO352" s="268"/>
      <c r="SLP352" s="268"/>
      <c r="SLQ352" s="268"/>
      <c r="SLR352" s="268"/>
      <c r="SLS352" s="268"/>
      <c r="SLT352" s="268"/>
      <c r="SLU352" s="268"/>
      <c r="SLV352" s="268"/>
      <c r="SLW352" s="268"/>
      <c r="SLX352" s="268"/>
      <c r="SLY352" s="268"/>
      <c r="SLZ352" s="268"/>
      <c r="SMA352" s="268"/>
      <c r="SMB352" s="268"/>
      <c r="SMC352" s="268"/>
      <c r="SMD352" s="268"/>
      <c r="SME352" s="268"/>
      <c r="SMF352" s="268"/>
      <c r="SMG352" s="268"/>
      <c r="SMH352" s="268"/>
      <c r="SMI352" s="268"/>
      <c r="SMJ352" s="268"/>
      <c r="SMK352" s="268"/>
      <c r="SML352" s="268"/>
      <c r="SMM352" s="268"/>
      <c r="SMN352" s="268"/>
      <c r="SMO352" s="268"/>
      <c r="SMP352" s="268"/>
      <c r="SMQ352" s="268"/>
      <c r="SMR352" s="268"/>
      <c r="SMS352" s="268"/>
      <c r="SMT352" s="268"/>
      <c r="SMU352" s="268"/>
      <c r="SMV352" s="268"/>
      <c r="SMW352" s="268"/>
      <c r="SMX352" s="268"/>
      <c r="SMY352" s="268"/>
      <c r="SMZ352" s="268"/>
      <c r="SNA352" s="268"/>
      <c r="SNB352" s="268"/>
      <c r="SNC352" s="268"/>
      <c r="SND352" s="268"/>
      <c r="SNE352" s="268"/>
      <c r="SNF352" s="268"/>
      <c r="SNG352" s="268"/>
      <c r="SNH352" s="268"/>
      <c r="SNI352" s="268"/>
      <c r="SNJ352" s="268"/>
      <c r="SNK352" s="268"/>
      <c r="SNL352" s="268"/>
      <c r="SNM352" s="268"/>
      <c r="SNN352" s="268"/>
      <c r="SNO352" s="268"/>
      <c r="SNP352" s="268"/>
      <c r="SNQ352" s="268"/>
      <c r="SNR352" s="268"/>
      <c r="SNS352" s="268"/>
      <c r="SNT352" s="268"/>
      <c r="SNU352" s="268"/>
      <c r="SNV352" s="268"/>
      <c r="SNW352" s="268"/>
      <c r="SNX352" s="268"/>
      <c r="SNY352" s="268"/>
      <c r="SNZ352" s="268"/>
      <c r="SOA352" s="268"/>
      <c r="SOB352" s="268"/>
      <c r="SOC352" s="268"/>
      <c r="SOD352" s="268"/>
      <c r="SOE352" s="268"/>
      <c r="SOF352" s="268"/>
      <c r="SOG352" s="268"/>
      <c r="SOH352" s="268"/>
      <c r="SOI352" s="268"/>
      <c r="SOJ352" s="268"/>
      <c r="SOK352" s="268"/>
      <c r="SOL352" s="268"/>
      <c r="SOM352" s="268"/>
      <c r="SON352" s="268"/>
      <c r="SOO352" s="268"/>
      <c r="SOP352" s="268"/>
      <c r="SOQ352" s="268"/>
      <c r="SOR352" s="268"/>
      <c r="SOS352" s="268"/>
      <c r="SOT352" s="268"/>
      <c r="SOU352" s="268"/>
      <c r="SOV352" s="268"/>
      <c r="SOW352" s="268"/>
      <c r="SOX352" s="268"/>
      <c r="SOY352" s="268"/>
      <c r="SOZ352" s="268"/>
      <c r="SPA352" s="268"/>
      <c r="SPB352" s="268"/>
      <c r="SPC352" s="268"/>
      <c r="SPD352" s="268"/>
      <c r="SPE352" s="268"/>
      <c r="SPF352" s="268"/>
      <c r="SPG352" s="268"/>
      <c r="SPH352" s="268"/>
      <c r="SPI352" s="268"/>
      <c r="SPJ352" s="268"/>
      <c r="SPK352" s="268"/>
      <c r="SPL352" s="268"/>
      <c r="SPM352" s="268"/>
      <c r="SPN352" s="268"/>
      <c r="SPO352" s="268"/>
      <c r="SPP352" s="268"/>
      <c r="SPQ352" s="268"/>
      <c r="SPR352" s="268"/>
      <c r="SPS352" s="268"/>
      <c r="SPT352" s="268"/>
      <c r="SPU352" s="268"/>
      <c r="SPV352" s="268"/>
      <c r="SPW352" s="268"/>
      <c r="SPX352" s="268"/>
      <c r="SPY352" s="268"/>
      <c r="SPZ352" s="268"/>
      <c r="SQA352" s="268"/>
      <c r="SQB352" s="268"/>
      <c r="SQC352" s="268"/>
      <c r="SQD352" s="268"/>
      <c r="SQE352" s="268"/>
      <c r="SQF352" s="268"/>
      <c r="SQG352" s="268"/>
      <c r="SQH352" s="268"/>
      <c r="SQI352" s="268"/>
      <c r="SQJ352" s="268"/>
      <c r="SQK352" s="268"/>
      <c r="SQL352" s="268"/>
      <c r="SQM352" s="268"/>
      <c r="SQN352" s="268"/>
      <c r="SQO352" s="268"/>
      <c r="SQP352" s="268"/>
      <c r="SQQ352" s="268"/>
      <c r="SRE352" s="268"/>
      <c r="SRF352" s="268"/>
      <c r="SRG352" s="268"/>
      <c r="SRU352" s="268"/>
      <c r="SRW352" s="268"/>
      <c r="SRX352" s="268"/>
      <c r="SRY352" s="268"/>
      <c r="SRZ352" s="268"/>
      <c r="SSA352" s="268"/>
      <c r="SSB352" s="268"/>
      <c r="SSC352" s="268"/>
      <c r="SSD352" s="268"/>
      <c r="SSE352" s="268"/>
      <c r="SSF352" s="268"/>
      <c r="SSG352" s="268"/>
      <c r="SSH352" s="268"/>
      <c r="SSI352" s="268"/>
      <c r="SSJ352" s="268"/>
      <c r="SSK352" s="268"/>
      <c r="SSL352" s="268"/>
      <c r="SSM352" s="268"/>
      <c r="SSN352" s="268"/>
      <c r="SSO352" s="268"/>
      <c r="SSP352" s="268"/>
      <c r="SSQ352" s="268"/>
      <c r="SSR352" s="268"/>
      <c r="SSS352" s="268"/>
      <c r="SST352" s="268"/>
      <c r="SSU352" s="268"/>
      <c r="SSV352" s="268"/>
      <c r="SSW352" s="268"/>
      <c r="SSX352" s="268"/>
      <c r="SSY352" s="268"/>
      <c r="SSZ352" s="268"/>
      <c r="STA352" s="268"/>
      <c r="STB352" s="268"/>
      <c r="STC352" s="268"/>
      <c r="STD352" s="268"/>
      <c r="STE352" s="268"/>
      <c r="STF352" s="268"/>
      <c r="STG352" s="268"/>
      <c r="STH352" s="268"/>
      <c r="STI352" s="268"/>
      <c r="STJ352" s="268"/>
      <c r="STK352" s="268"/>
      <c r="STL352" s="268"/>
      <c r="STM352" s="268"/>
      <c r="STN352" s="268"/>
      <c r="STO352" s="268"/>
      <c r="STP352" s="268"/>
      <c r="STQ352" s="268"/>
      <c r="STR352" s="268"/>
      <c r="STS352" s="268"/>
      <c r="STT352" s="268"/>
      <c r="STU352" s="268"/>
      <c r="STV352" s="268"/>
      <c r="STW352" s="268"/>
      <c r="STX352" s="268"/>
      <c r="STY352" s="268"/>
      <c r="STZ352" s="268"/>
      <c r="SUA352" s="268"/>
      <c r="SUB352" s="268"/>
      <c r="SUC352" s="268"/>
      <c r="SUD352" s="268"/>
      <c r="SUE352" s="268"/>
      <c r="SUF352" s="268"/>
      <c r="SUG352" s="268"/>
      <c r="SUH352" s="268"/>
      <c r="SUI352" s="268"/>
      <c r="SUJ352" s="268"/>
      <c r="SUK352" s="268"/>
      <c r="SUL352" s="268"/>
      <c r="SUM352" s="268"/>
      <c r="SUN352" s="268"/>
      <c r="SUO352" s="268"/>
      <c r="SUP352" s="268"/>
      <c r="SUQ352" s="268"/>
      <c r="SUR352" s="268"/>
      <c r="SUS352" s="268"/>
      <c r="SUT352" s="268"/>
      <c r="SUU352" s="268"/>
      <c r="SUV352" s="268"/>
      <c r="SUW352" s="268"/>
      <c r="SUX352" s="268"/>
      <c r="SUY352" s="268"/>
      <c r="SUZ352" s="268"/>
      <c r="SVA352" s="268"/>
      <c r="SVB352" s="268"/>
      <c r="SVC352" s="268"/>
      <c r="SVD352" s="268"/>
      <c r="SVE352" s="268"/>
      <c r="SVF352" s="268"/>
      <c r="SVG352" s="268"/>
      <c r="SVH352" s="268"/>
      <c r="SVI352" s="268"/>
      <c r="SVJ352" s="268"/>
      <c r="SVK352" s="268"/>
      <c r="SVL352" s="268"/>
      <c r="SVM352" s="268"/>
      <c r="SVN352" s="268"/>
      <c r="SVO352" s="268"/>
      <c r="SVP352" s="268"/>
      <c r="SVQ352" s="268"/>
      <c r="SVR352" s="268"/>
      <c r="SVS352" s="268"/>
      <c r="SVT352" s="268"/>
      <c r="SVU352" s="268"/>
      <c r="SVV352" s="268"/>
      <c r="SVW352" s="268"/>
      <c r="SVX352" s="268"/>
      <c r="SVY352" s="268"/>
      <c r="SVZ352" s="268"/>
      <c r="SWA352" s="268"/>
      <c r="SWB352" s="268"/>
      <c r="SWC352" s="268"/>
      <c r="SWD352" s="268"/>
      <c r="SWE352" s="268"/>
      <c r="SWF352" s="268"/>
      <c r="SWG352" s="268"/>
      <c r="SWH352" s="268"/>
      <c r="SWI352" s="268"/>
      <c r="SWJ352" s="268"/>
      <c r="SWK352" s="268"/>
      <c r="SWL352" s="268"/>
      <c r="SWM352" s="268"/>
      <c r="SWN352" s="268"/>
      <c r="SWO352" s="268"/>
      <c r="SWP352" s="268"/>
      <c r="SWQ352" s="268"/>
      <c r="SWR352" s="268"/>
      <c r="SWS352" s="268"/>
      <c r="SWT352" s="268"/>
      <c r="SWU352" s="268"/>
      <c r="SWV352" s="268"/>
      <c r="SWW352" s="268"/>
      <c r="SWX352" s="268"/>
      <c r="SWY352" s="268"/>
      <c r="SWZ352" s="268"/>
      <c r="SXA352" s="268"/>
      <c r="SXB352" s="268"/>
      <c r="SXC352" s="268"/>
      <c r="SXD352" s="268"/>
      <c r="SXE352" s="268"/>
      <c r="SXF352" s="268"/>
      <c r="SXG352" s="268"/>
      <c r="SXH352" s="268"/>
      <c r="SXI352" s="268"/>
      <c r="SXJ352" s="268"/>
      <c r="SXK352" s="268"/>
      <c r="SXL352" s="268"/>
      <c r="SXM352" s="268"/>
      <c r="SXN352" s="268"/>
      <c r="SXO352" s="268"/>
      <c r="SXP352" s="268"/>
      <c r="SXQ352" s="268"/>
      <c r="SXR352" s="268"/>
      <c r="SXS352" s="268"/>
      <c r="SXT352" s="268"/>
      <c r="SXU352" s="268"/>
      <c r="SXV352" s="268"/>
      <c r="SXW352" s="268"/>
      <c r="SXX352" s="268"/>
      <c r="SXY352" s="268"/>
      <c r="SXZ352" s="268"/>
      <c r="SYA352" s="268"/>
      <c r="SYB352" s="268"/>
      <c r="SYC352" s="268"/>
      <c r="SYD352" s="268"/>
      <c r="SYE352" s="268"/>
      <c r="SYF352" s="268"/>
      <c r="SYG352" s="268"/>
      <c r="SYH352" s="268"/>
      <c r="SYI352" s="268"/>
      <c r="SYJ352" s="268"/>
      <c r="SYK352" s="268"/>
      <c r="SYL352" s="268"/>
      <c r="SYM352" s="268"/>
      <c r="SYN352" s="268"/>
      <c r="SYO352" s="268"/>
      <c r="SYP352" s="268"/>
      <c r="SYQ352" s="268"/>
      <c r="SYR352" s="268"/>
      <c r="SYS352" s="268"/>
      <c r="SYT352" s="268"/>
      <c r="SYU352" s="268"/>
      <c r="SYV352" s="268"/>
      <c r="SYW352" s="268"/>
      <c r="SYX352" s="268"/>
      <c r="SYY352" s="268"/>
      <c r="SYZ352" s="268"/>
      <c r="SZA352" s="268"/>
      <c r="SZB352" s="268"/>
      <c r="SZC352" s="268"/>
      <c r="SZD352" s="268"/>
      <c r="SZE352" s="268"/>
      <c r="SZF352" s="268"/>
      <c r="SZG352" s="268"/>
      <c r="SZH352" s="268"/>
      <c r="SZI352" s="268"/>
      <c r="SZJ352" s="268"/>
      <c r="SZK352" s="268"/>
      <c r="SZL352" s="268"/>
      <c r="SZM352" s="268"/>
      <c r="SZN352" s="268"/>
      <c r="SZO352" s="268"/>
      <c r="SZP352" s="268"/>
      <c r="SZQ352" s="268"/>
      <c r="SZR352" s="268"/>
      <c r="SZS352" s="268"/>
      <c r="SZT352" s="268"/>
      <c r="SZU352" s="268"/>
      <c r="SZV352" s="268"/>
      <c r="SZW352" s="268"/>
      <c r="SZX352" s="268"/>
      <c r="SZY352" s="268"/>
      <c r="SZZ352" s="268"/>
      <c r="TAA352" s="268"/>
      <c r="TAB352" s="268"/>
      <c r="TAC352" s="268"/>
      <c r="TAD352" s="268"/>
      <c r="TAE352" s="268"/>
      <c r="TAF352" s="268"/>
      <c r="TAG352" s="268"/>
      <c r="TAH352" s="268"/>
      <c r="TAI352" s="268"/>
      <c r="TAJ352" s="268"/>
      <c r="TAK352" s="268"/>
      <c r="TAL352" s="268"/>
      <c r="TAM352" s="268"/>
      <c r="TBA352" s="268"/>
      <c r="TBB352" s="268"/>
      <c r="TBC352" s="268"/>
      <c r="TBQ352" s="268"/>
      <c r="TBS352" s="268"/>
      <c r="TBT352" s="268"/>
      <c r="TBU352" s="268"/>
      <c r="TBV352" s="268"/>
      <c r="TBW352" s="268"/>
      <c r="TBX352" s="268"/>
      <c r="TBY352" s="268"/>
      <c r="TBZ352" s="268"/>
      <c r="TCA352" s="268"/>
      <c r="TCB352" s="268"/>
      <c r="TCC352" s="268"/>
      <c r="TCD352" s="268"/>
      <c r="TCE352" s="268"/>
      <c r="TCF352" s="268"/>
      <c r="TCG352" s="268"/>
      <c r="TCH352" s="268"/>
      <c r="TCI352" s="268"/>
      <c r="TCJ352" s="268"/>
      <c r="TCK352" s="268"/>
      <c r="TCL352" s="268"/>
      <c r="TCM352" s="268"/>
      <c r="TCN352" s="268"/>
      <c r="TCO352" s="268"/>
      <c r="TCP352" s="268"/>
      <c r="TCQ352" s="268"/>
      <c r="TCR352" s="268"/>
      <c r="TCS352" s="268"/>
      <c r="TCT352" s="268"/>
      <c r="TCU352" s="268"/>
      <c r="TCV352" s="268"/>
      <c r="TCW352" s="268"/>
      <c r="TCX352" s="268"/>
      <c r="TCY352" s="268"/>
      <c r="TCZ352" s="268"/>
      <c r="TDA352" s="268"/>
      <c r="TDB352" s="268"/>
      <c r="TDC352" s="268"/>
      <c r="TDD352" s="268"/>
      <c r="TDE352" s="268"/>
      <c r="TDF352" s="268"/>
      <c r="TDG352" s="268"/>
      <c r="TDH352" s="268"/>
      <c r="TDI352" s="268"/>
      <c r="TDJ352" s="268"/>
      <c r="TDK352" s="268"/>
      <c r="TDL352" s="268"/>
      <c r="TDM352" s="268"/>
      <c r="TDN352" s="268"/>
      <c r="TDO352" s="268"/>
      <c r="TDP352" s="268"/>
      <c r="TDQ352" s="268"/>
      <c r="TDR352" s="268"/>
      <c r="TDS352" s="268"/>
      <c r="TDT352" s="268"/>
      <c r="TDU352" s="268"/>
      <c r="TDV352" s="268"/>
      <c r="TDW352" s="268"/>
      <c r="TDX352" s="268"/>
      <c r="TDY352" s="268"/>
      <c r="TDZ352" s="268"/>
      <c r="TEA352" s="268"/>
      <c r="TEB352" s="268"/>
      <c r="TEC352" s="268"/>
      <c r="TED352" s="268"/>
      <c r="TEE352" s="268"/>
      <c r="TEF352" s="268"/>
      <c r="TEG352" s="268"/>
      <c r="TEH352" s="268"/>
      <c r="TEI352" s="268"/>
      <c r="TEJ352" s="268"/>
      <c r="TEK352" s="268"/>
      <c r="TEL352" s="268"/>
      <c r="TEM352" s="268"/>
      <c r="TEN352" s="268"/>
      <c r="TEO352" s="268"/>
      <c r="TEP352" s="268"/>
      <c r="TEQ352" s="268"/>
      <c r="TER352" s="268"/>
      <c r="TES352" s="268"/>
      <c r="TET352" s="268"/>
      <c r="TEU352" s="268"/>
      <c r="TEV352" s="268"/>
      <c r="TEW352" s="268"/>
      <c r="TEX352" s="268"/>
      <c r="TEY352" s="268"/>
      <c r="TEZ352" s="268"/>
      <c r="TFA352" s="268"/>
      <c r="TFB352" s="268"/>
      <c r="TFC352" s="268"/>
      <c r="TFD352" s="268"/>
      <c r="TFE352" s="268"/>
      <c r="TFF352" s="268"/>
      <c r="TFG352" s="268"/>
      <c r="TFH352" s="268"/>
      <c r="TFI352" s="268"/>
      <c r="TFJ352" s="268"/>
      <c r="TFK352" s="268"/>
      <c r="TFL352" s="268"/>
      <c r="TFM352" s="268"/>
      <c r="TFN352" s="268"/>
      <c r="TFO352" s="268"/>
      <c r="TFP352" s="268"/>
      <c r="TFQ352" s="268"/>
      <c r="TFR352" s="268"/>
      <c r="TFS352" s="268"/>
      <c r="TFT352" s="268"/>
      <c r="TFU352" s="268"/>
      <c r="TFV352" s="268"/>
      <c r="TFW352" s="268"/>
      <c r="TFX352" s="268"/>
      <c r="TFY352" s="268"/>
      <c r="TFZ352" s="268"/>
      <c r="TGA352" s="268"/>
      <c r="TGB352" s="268"/>
      <c r="TGC352" s="268"/>
      <c r="TGD352" s="268"/>
      <c r="TGE352" s="268"/>
      <c r="TGF352" s="268"/>
      <c r="TGG352" s="268"/>
      <c r="TGH352" s="268"/>
      <c r="TGI352" s="268"/>
      <c r="TGJ352" s="268"/>
      <c r="TGK352" s="268"/>
      <c r="TGL352" s="268"/>
      <c r="TGM352" s="268"/>
      <c r="TGN352" s="268"/>
      <c r="TGO352" s="268"/>
      <c r="TGP352" s="268"/>
      <c r="TGQ352" s="268"/>
      <c r="TGR352" s="268"/>
      <c r="TGS352" s="268"/>
      <c r="TGT352" s="268"/>
      <c r="TGU352" s="268"/>
      <c r="TGV352" s="268"/>
      <c r="TGW352" s="268"/>
      <c r="TGX352" s="268"/>
      <c r="TGY352" s="268"/>
      <c r="TGZ352" s="268"/>
      <c r="THA352" s="268"/>
      <c r="THB352" s="268"/>
      <c r="THC352" s="268"/>
      <c r="THD352" s="268"/>
      <c r="THE352" s="268"/>
      <c r="THF352" s="268"/>
      <c r="THG352" s="268"/>
      <c r="THH352" s="268"/>
      <c r="THI352" s="268"/>
      <c r="THJ352" s="268"/>
      <c r="THK352" s="268"/>
      <c r="THL352" s="268"/>
      <c r="THM352" s="268"/>
      <c r="THN352" s="268"/>
      <c r="THO352" s="268"/>
      <c r="THP352" s="268"/>
      <c r="THQ352" s="268"/>
      <c r="THR352" s="268"/>
      <c r="THS352" s="268"/>
      <c r="THT352" s="268"/>
      <c r="THU352" s="268"/>
      <c r="THV352" s="268"/>
      <c r="THW352" s="268"/>
      <c r="THX352" s="268"/>
      <c r="THY352" s="268"/>
      <c r="THZ352" s="268"/>
      <c r="TIA352" s="268"/>
      <c r="TIB352" s="268"/>
      <c r="TIC352" s="268"/>
      <c r="TID352" s="268"/>
      <c r="TIE352" s="268"/>
      <c r="TIF352" s="268"/>
      <c r="TIG352" s="268"/>
      <c r="TIH352" s="268"/>
      <c r="TII352" s="268"/>
      <c r="TIJ352" s="268"/>
      <c r="TIK352" s="268"/>
      <c r="TIL352" s="268"/>
      <c r="TIM352" s="268"/>
      <c r="TIN352" s="268"/>
      <c r="TIO352" s="268"/>
      <c r="TIP352" s="268"/>
      <c r="TIQ352" s="268"/>
      <c r="TIR352" s="268"/>
      <c r="TIS352" s="268"/>
      <c r="TIT352" s="268"/>
      <c r="TIU352" s="268"/>
      <c r="TIV352" s="268"/>
      <c r="TIW352" s="268"/>
      <c r="TIX352" s="268"/>
      <c r="TIY352" s="268"/>
      <c r="TIZ352" s="268"/>
      <c r="TJA352" s="268"/>
      <c r="TJB352" s="268"/>
      <c r="TJC352" s="268"/>
      <c r="TJD352" s="268"/>
      <c r="TJE352" s="268"/>
      <c r="TJF352" s="268"/>
      <c r="TJG352" s="268"/>
      <c r="TJH352" s="268"/>
      <c r="TJI352" s="268"/>
      <c r="TJJ352" s="268"/>
      <c r="TJK352" s="268"/>
      <c r="TJL352" s="268"/>
      <c r="TJM352" s="268"/>
      <c r="TJN352" s="268"/>
      <c r="TJO352" s="268"/>
      <c r="TJP352" s="268"/>
      <c r="TJQ352" s="268"/>
      <c r="TJR352" s="268"/>
      <c r="TJS352" s="268"/>
      <c r="TJT352" s="268"/>
      <c r="TJU352" s="268"/>
      <c r="TJV352" s="268"/>
      <c r="TJW352" s="268"/>
      <c r="TJX352" s="268"/>
      <c r="TJY352" s="268"/>
      <c r="TJZ352" s="268"/>
      <c r="TKA352" s="268"/>
      <c r="TKB352" s="268"/>
      <c r="TKC352" s="268"/>
      <c r="TKD352" s="268"/>
      <c r="TKE352" s="268"/>
      <c r="TKF352" s="268"/>
      <c r="TKG352" s="268"/>
      <c r="TKH352" s="268"/>
      <c r="TKI352" s="268"/>
      <c r="TKW352" s="268"/>
      <c r="TKX352" s="268"/>
      <c r="TKY352" s="268"/>
      <c r="TLM352" s="268"/>
      <c r="TLO352" s="268"/>
      <c r="TLP352" s="268"/>
      <c r="TLQ352" s="268"/>
      <c r="TLR352" s="268"/>
      <c r="TLS352" s="268"/>
      <c r="TLT352" s="268"/>
      <c r="TLU352" s="268"/>
      <c r="TLV352" s="268"/>
      <c r="TLW352" s="268"/>
      <c r="TLX352" s="268"/>
      <c r="TLY352" s="268"/>
      <c r="TLZ352" s="268"/>
      <c r="TMA352" s="268"/>
      <c r="TMB352" s="268"/>
      <c r="TMC352" s="268"/>
      <c r="TMD352" s="268"/>
      <c r="TME352" s="268"/>
      <c r="TMF352" s="268"/>
      <c r="TMG352" s="268"/>
      <c r="TMH352" s="268"/>
      <c r="TMI352" s="268"/>
      <c r="TMJ352" s="268"/>
      <c r="TMK352" s="268"/>
      <c r="TML352" s="268"/>
      <c r="TMM352" s="268"/>
      <c r="TMN352" s="268"/>
      <c r="TMO352" s="268"/>
      <c r="TMP352" s="268"/>
      <c r="TMQ352" s="268"/>
      <c r="TMR352" s="268"/>
      <c r="TMS352" s="268"/>
      <c r="TMT352" s="268"/>
      <c r="TMU352" s="268"/>
      <c r="TMV352" s="268"/>
      <c r="TMW352" s="268"/>
      <c r="TMX352" s="268"/>
      <c r="TMY352" s="268"/>
      <c r="TMZ352" s="268"/>
      <c r="TNA352" s="268"/>
      <c r="TNB352" s="268"/>
      <c r="TNC352" s="268"/>
      <c r="TND352" s="268"/>
      <c r="TNE352" s="268"/>
      <c r="TNF352" s="268"/>
      <c r="TNG352" s="268"/>
      <c r="TNH352" s="268"/>
      <c r="TNI352" s="268"/>
      <c r="TNJ352" s="268"/>
      <c r="TNK352" s="268"/>
      <c r="TNL352" s="268"/>
      <c r="TNM352" s="268"/>
      <c r="TNN352" s="268"/>
      <c r="TNO352" s="268"/>
      <c r="TNP352" s="268"/>
      <c r="TNQ352" s="268"/>
      <c r="TNR352" s="268"/>
      <c r="TNS352" s="268"/>
      <c r="TNT352" s="268"/>
      <c r="TNU352" s="268"/>
      <c r="TNV352" s="268"/>
      <c r="TNW352" s="268"/>
      <c r="TNX352" s="268"/>
      <c r="TNY352" s="268"/>
      <c r="TNZ352" s="268"/>
      <c r="TOA352" s="268"/>
      <c r="TOB352" s="268"/>
      <c r="TOC352" s="268"/>
      <c r="TOD352" s="268"/>
      <c r="TOE352" s="268"/>
      <c r="TOF352" s="268"/>
      <c r="TOG352" s="268"/>
      <c r="TOH352" s="268"/>
      <c r="TOI352" s="268"/>
      <c r="TOJ352" s="268"/>
      <c r="TOK352" s="268"/>
      <c r="TOL352" s="268"/>
      <c r="TOM352" s="268"/>
      <c r="TON352" s="268"/>
      <c r="TOO352" s="268"/>
      <c r="TOP352" s="268"/>
      <c r="TOQ352" s="268"/>
      <c r="TOR352" s="268"/>
      <c r="TOS352" s="268"/>
      <c r="TOT352" s="268"/>
      <c r="TOU352" s="268"/>
      <c r="TOV352" s="268"/>
      <c r="TOW352" s="268"/>
      <c r="TOX352" s="268"/>
      <c r="TOY352" s="268"/>
      <c r="TOZ352" s="268"/>
      <c r="TPA352" s="268"/>
      <c r="TPB352" s="268"/>
      <c r="TPC352" s="268"/>
      <c r="TPD352" s="268"/>
      <c r="TPE352" s="268"/>
      <c r="TPF352" s="268"/>
      <c r="TPG352" s="268"/>
      <c r="TPH352" s="268"/>
      <c r="TPI352" s="268"/>
      <c r="TPJ352" s="268"/>
      <c r="TPK352" s="268"/>
      <c r="TPL352" s="268"/>
      <c r="TPM352" s="268"/>
      <c r="TPN352" s="268"/>
      <c r="TPO352" s="268"/>
      <c r="TPP352" s="268"/>
      <c r="TPQ352" s="268"/>
      <c r="TPR352" s="268"/>
      <c r="TPS352" s="268"/>
      <c r="TPT352" s="268"/>
      <c r="TPU352" s="268"/>
      <c r="TPV352" s="268"/>
      <c r="TPW352" s="268"/>
      <c r="TPX352" s="268"/>
      <c r="TPY352" s="268"/>
      <c r="TPZ352" s="268"/>
      <c r="TQA352" s="268"/>
      <c r="TQB352" s="268"/>
      <c r="TQC352" s="268"/>
      <c r="TQD352" s="268"/>
      <c r="TQE352" s="268"/>
      <c r="TQF352" s="268"/>
      <c r="TQG352" s="268"/>
      <c r="TQH352" s="268"/>
      <c r="TQI352" s="268"/>
      <c r="TQJ352" s="268"/>
      <c r="TQK352" s="268"/>
      <c r="TQL352" s="268"/>
      <c r="TQM352" s="268"/>
      <c r="TQN352" s="268"/>
      <c r="TQO352" s="268"/>
      <c r="TQP352" s="268"/>
      <c r="TQQ352" s="268"/>
      <c r="TQR352" s="268"/>
      <c r="TQS352" s="268"/>
      <c r="TQT352" s="268"/>
      <c r="TQU352" s="268"/>
      <c r="TQV352" s="268"/>
      <c r="TQW352" s="268"/>
      <c r="TQX352" s="268"/>
      <c r="TQY352" s="268"/>
      <c r="TQZ352" s="268"/>
      <c r="TRA352" s="268"/>
      <c r="TRB352" s="268"/>
      <c r="TRC352" s="268"/>
      <c r="TRD352" s="268"/>
      <c r="TRE352" s="268"/>
      <c r="TRF352" s="268"/>
      <c r="TRG352" s="268"/>
      <c r="TRH352" s="268"/>
      <c r="TRI352" s="268"/>
      <c r="TRJ352" s="268"/>
      <c r="TRK352" s="268"/>
      <c r="TRL352" s="268"/>
      <c r="TRM352" s="268"/>
      <c r="TRN352" s="268"/>
      <c r="TRO352" s="268"/>
      <c r="TRP352" s="268"/>
      <c r="TRQ352" s="268"/>
      <c r="TRR352" s="268"/>
      <c r="TRS352" s="268"/>
      <c r="TRT352" s="268"/>
      <c r="TRU352" s="268"/>
      <c r="TRV352" s="268"/>
      <c r="TRW352" s="268"/>
      <c r="TRX352" s="268"/>
      <c r="TRY352" s="268"/>
      <c r="TRZ352" s="268"/>
      <c r="TSA352" s="268"/>
      <c r="TSB352" s="268"/>
      <c r="TSC352" s="268"/>
      <c r="TSD352" s="268"/>
      <c r="TSE352" s="268"/>
      <c r="TSF352" s="268"/>
      <c r="TSG352" s="268"/>
      <c r="TSH352" s="268"/>
      <c r="TSI352" s="268"/>
      <c r="TSJ352" s="268"/>
      <c r="TSK352" s="268"/>
      <c r="TSL352" s="268"/>
      <c r="TSM352" s="268"/>
      <c r="TSN352" s="268"/>
      <c r="TSO352" s="268"/>
      <c r="TSP352" s="268"/>
      <c r="TSQ352" s="268"/>
      <c r="TSR352" s="268"/>
      <c r="TSS352" s="268"/>
      <c r="TST352" s="268"/>
      <c r="TSU352" s="268"/>
      <c r="TSV352" s="268"/>
      <c r="TSW352" s="268"/>
      <c r="TSX352" s="268"/>
      <c r="TSY352" s="268"/>
      <c r="TSZ352" s="268"/>
      <c r="TTA352" s="268"/>
      <c r="TTB352" s="268"/>
      <c r="TTC352" s="268"/>
      <c r="TTD352" s="268"/>
      <c r="TTE352" s="268"/>
      <c r="TTF352" s="268"/>
      <c r="TTG352" s="268"/>
      <c r="TTH352" s="268"/>
      <c r="TTI352" s="268"/>
      <c r="TTJ352" s="268"/>
      <c r="TTK352" s="268"/>
      <c r="TTL352" s="268"/>
      <c r="TTM352" s="268"/>
      <c r="TTN352" s="268"/>
      <c r="TTO352" s="268"/>
      <c r="TTP352" s="268"/>
      <c r="TTQ352" s="268"/>
      <c r="TTR352" s="268"/>
      <c r="TTS352" s="268"/>
      <c r="TTT352" s="268"/>
      <c r="TTU352" s="268"/>
      <c r="TTV352" s="268"/>
      <c r="TTW352" s="268"/>
      <c r="TTX352" s="268"/>
      <c r="TTY352" s="268"/>
      <c r="TTZ352" s="268"/>
      <c r="TUA352" s="268"/>
      <c r="TUB352" s="268"/>
      <c r="TUC352" s="268"/>
      <c r="TUD352" s="268"/>
      <c r="TUE352" s="268"/>
      <c r="TUS352" s="268"/>
      <c r="TUT352" s="268"/>
      <c r="TUU352" s="268"/>
      <c r="TVI352" s="268"/>
      <c r="TVK352" s="268"/>
      <c r="TVL352" s="268"/>
      <c r="TVM352" s="268"/>
      <c r="TVN352" s="268"/>
      <c r="TVO352" s="268"/>
      <c r="TVP352" s="268"/>
      <c r="TVQ352" s="268"/>
      <c r="TVR352" s="268"/>
      <c r="TVS352" s="268"/>
      <c r="TVT352" s="268"/>
      <c r="TVU352" s="268"/>
      <c r="TVV352" s="268"/>
      <c r="TVW352" s="268"/>
      <c r="TVX352" s="268"/>
      <c r="TVY352" s="268"/>
      <c r="TVZ352" s="268"/>
      <c r="TWA352" s="268"/>
      <c r="TWB352" s="268"/>
      <c r="TWC352" s="268"/>
      <c r="TWD352" s="268"/>
      <c r="TWE352" s="268"/>
      <c r="TWF352" s="268"/>
      <c r="TWG352" s="268"/>
      <c r="TWH352" s="268"/>
      <c r="TWI352" s="268"/>
      <c r="TWJ352" s="268"/>
      <c r="TWK352" s="268"/>
      <c r="TWL352" s="268"/>
      <c r="TWM352" s="268"/>
      <c r="TWN352" s="268"/>
      <c r="TWO352" s="268"/>
      <c r="TWP352" s="268"/>
      <c r="TWQ352" s="268"/>
      <c r="TWR352" s="268"/>
      <c r="TWS352" s="268"/>
      <c r="TWT352" s="268"/>
      <c r="TWU352" s="268"/>
      <c r="TWV352" s="268"/>
      <c r="TWW352" s="268"/>
      <c r="TWX352" s="268"/>
      <c r="TWY352" s="268"/>
      <c r="TWZ352" s="268"/>
      <c r="TXA352" s="268"/>
      <c r="TXB352" s="268"/>
      <c r="TXC352" s="268"/>
      <c r="TXD352" s="268"/>
      <c r="TXE352" s="268"/>
      <c r="TXF352" s="268"/>
      <c r="TXG352" s="268"/>
      <c r="TXH352" s="268"/>
      <c r="TXI352" s="268"/>
      <c r="TXJ352" s="268"/>
      <c r="TXK352" s="268"/>
      <c r="TXL352" s="268"/>
      <c r="TXM352" s="268"/>
      <c r="TXN352" s="268"/>
      <c r="TXO352" s="268"/>
      <c r="TXP352" s="268"/>
      <c r="TXQ352" s="268"/>
      <c r="TXR352" s="268"/>
      <c r="TXS352" s="268"/>
      <c r="TXT352" s="268"/>
      <c r="TXU352" s="268"/>
      <c r="TXV352" s="268"/>
      <c r="TXW352" s="268"/>
      <c r="TXX352" s="268"/>
      <c r="TXY352" s="268"/>
      <c r="TXZ352" s="268"/>
      <c r="TYA352" s="268"/>
      <c r="TYB352" s="268"/>
      <c r="TYC352" s="268"/>
      <c r="TYD352" s="268"/>
      <c r="TYE352" s="268"/>
      <c r="TYF352" s="268"/>
      <c r="TYG352" s="268"/>
      <c r="TYH352" s="268"/>
      <c r="TYI352" s="268"/>
      <c r="TYJ352" s="268"/>
      <c r="TYK352" s="268"/>
      <c r="TYL352" s="268"/>
      <c r="TYM352" s="268"/>
      <c r="TYN352" s="268"/>
      <c r="TYO352" s="268"/>
      <c r="TYP352" s="268"/>
      <c r="TYQ352" s="268"/>
      <c r="TYR352" s="268"/>
      <c r="TYS352" s="268"/>
      <c r="TYT352" s="268"/>
      <c r="TYU352" s="268"/>
      <c r="TYV352" s="268"/>
      <c r="TYW352" s="268"/>
      <c r="TYX352" s="268"/>
      <c r="TYY352" s="268"/>
      <c r="TYZ352" s="268"/>
      <c r="TZA352" s="268"/>
      <c r="TZB352" s="268"/>
      <c r="TZC352" s="268"/>
      <c r="TZD352" s="268"/>
      <c r="TZE352" s="268"/>
      <c r="TZF352" s="268"/>
      <c r="TZG352" s="268"/>
      <c r="TZH352" s="268"/>
      <c r="TZI352" s="268"/>
      <c r="TZJ352" s="268"/>
      <c r="TZK352" s="268"/>
      <c r="TZL352" s="268"/>
      <c r="TZM352" s="268"/>
      <c r="TZN352" s="268"/>
      <c r="TZO352" s="268"/>
      <c r="TZP352" s="268"/>
      <c r="TZQ352" s="268"/>
      <c r="TZR352" s="268"/>
      <c r="TZS352" s="268"/>
      <c r="TZT352" s="268"/>
      <c r="TZU352" s="268"/>
      <c r="TZV352" s="268"/>
      <c r="TZW352" s="268"/>
      <c r="TZX352" s="268"/>
      <c r="TZY352" s="268"/>
      <c r="TZZ352" s="268"/>
      <c r="UAA352" s="268"/>
      <c r="UAB352" s="268"/>
      <c r="UAC352" s="268"/>
      <c r="UAD352" s="268"/>
      <c r="UAE352" s="268"/>
      <c r="UAF352" s="268"/>
      <c r="UAG352" s="268"/>
      <c r="UAH352" s="268"/>
      <c r="UAI352" s="268"/>
      <c r="UAJ352" s="268"/>
      <c r="UAK352" s="268"/>
      <c r="UAL352" s="268"/>
      <c r="UAM352" s="268"/>
      <c r="UAN352" s="268"/>
      <c r="UAO352" s="268"/>
      <c r="UAP352" s="268"/>
      <c r="UAQ352" s="268"/>
      <c r="UAR352" s="268"/>
      <c r="UAS352" s="268"/>
      <c r="UAT352" s="268"/>
      <c r="UAU352" s="268"/>
      <c r="UAV352" s="268"/>
      <c r="UAW352" s="268"/>
      <c r="UAX352" s="268"/>
      <c r="UAY352" s="268"/>
      <c r="UAZ352" s="268"/>
      <c r="UBA352" s="268"/>
      <c r="UBB352" s="268"/>
      <c r="UBC352" s="268"/>
      <c r="UBD352" s="268"/>
      <c r="UBE352" s="268"/>
      <c r="UBF352" s="268"/>
      <c r="UBG352" s="268"/>
      <c r="UBH352" s="268"/>
      <c r="UBI352" s="268"/>
      <c r="UBJ352" s="268"/>
      <c r="UBK352" s="268"/>
      <c r="UBL352" s="268"/>
      <c r="UBM352" s="268"/>
      <c r="UBN352" s="268"/>
      <c r="UBO352" s="268"/>
      <c r="UBP352" s="268"/>
      <c r="UBQ352" s="268"/>
      <c r="UBR352" s="268"/>
      <c r="UBS352" s="268"/>
      <c r="UBT352" s="268"/>
      <c r="UBU352" s="268"/>
      <c r="UBV352" s="268"/>
      <c r="UBW352" s="268"/>
      <c r="UBX352" s="268"/>
      <c r="UBY352" s="268"/>
      <c r="UBZ352" s="268"/>
      <c r="UCA352" s="268"/>
      <c r="UCB352" s="268"/>
      <c r="UCC352" s="268"/>
      <c r="UCD352" s="268"/>
      <c r="UCE352" s="268"/>
      <c r="UCF352" s="268"/>
      <c r="UCG352" s="268"/>
      <c r="UCH352" s="268"/>
      <c r="UCI352" s="268"/>
      <c r="UCJ352" s="268"/>
      <c r="UCK352" s="268"/>
      <c r="UCL352" s="268"/>
      <c r="UCM352" s="268"/>
      <c r="UCN352" s="268"/>
      <c r="UCO352" s="268"/>
      <c r="UCP352" s="268"/>
      <c r="UCQ352" s="268"/>
      <c r="UCR352" s="268"/>
      <c r="UCS352" s="268"/>
      <c r="UCT352" s="268"/>
      <c r="UCU352" s="268"/>
      <c r="UCV352" s="268"/>
      <c r="UCW352" s="268"/>
      <c r="UCX352" s="268"/>
      <c r="UCY352" s="268"/>
      <c r="UCZ352" s="268"/>
      <c r="UDA352" s="268"/>
      <c r="UDB352" s="268"/>
      <c r="UDC352" s="268"/>
      <c r="UDD352" s="268"/>
      <c r="UDE352" s="268"/>
      <c r="UDF352" s="268"/>
      <c r="UDG352" s="268"/>
      <c r="UDH352" s="268"/>
      <c r="UDI352" s="268"/>
      <c r="UDJ352" s="268"/>
      <c r="UDK352" s="268"/>
      <c r="UDL352" s="268"/>
      <c r="UDM352" s="268"/>
      <c r="UDN352" s="268"/>
      <c r="UDO352" s="268"/>
      <c r="UDP352" s="268"/>
      <c r="UDQ352" s="268"/>
      <c r="UDR352" s="268"/>
      <c r="UDS352" s="268"/>
      <c r="UDT352" s="268"/>
      <c r="UDU352" s="268"/>
      <c r="UDV352" s="268"/>
      <c r="UDW352" s="268"/>
      <c r="UDX352" s="268"/>
      <c r="UDY352" s="268"/>
      <c r="UDZ352" s="268"/>
      <c r="UEA352" s="268"/>
      <c r="UEO352" s="268"/>
      <c r="UEP352" s="268"/>
      <c r="UEQ352" s="268"/>
      <c r="UFE352" s="268"/>
      <c r="UFG352" s="268"/>
      <c r="UFH352" s="268"/>
      <c r="UFI352" s="268"/>
      <c r="UFJ352" s="268"/>
      <c r="UFK352" s="268"/>
      <c r="UFL352" s="268"/>
      <c r="UFM352" s="268"/>
      <c r="UFN352" s="268"/>
      <c r="UFO352" s="268"/>
      <c r="UFP352" s="268"/>
      <c r="UFQ352" s="268"/>
      <c r="UFR352" s="268"/>
      <c r="UFS352" s="268"/>
      <c r="UFT352" s="268"/>
      <c r="UFU352" s="268"/>
      <c r="UFV352" s="268"/>
      <c r="UFW352" s="268"/>
      <c r="UFX352" s="268"/>
      <c r="UFY352" s="268"/>
      <c r="UFZ352" s="268"/>
      <c r="UGA352" s="268"/>
      <c r="UGB352" s="268"/>
      <c r="UGC352" s="268"/>
      <c r="UGD352" s="268"/>
      <c r="UGE352" s="268"/>
      <c r="UGF352" s="268"/>
      <c r="UGG352" s="268"/>
      <c r="UGH352" s="268"/>
      <c r="UGI352" s="268"/>
      <c r="UGJ352" s="268"/>
      <c r="UGK352" s="268"/>
      <c r="UGL352" s="268"/>
      <c r="UGM352" s="268"/>
      <c r="UGN352" s="268"/>
      <c r="UGO352" s="268"/>
      <c r="UGP352" s="268"/>
      <c r="UGQ352" s="268"/>
      <c r="UGR352" s="268"/>
      <c r="UGS352" s="268"/>
      <c r="UGT352" s="268"/>
      <c r="UGU352" s="268"/>
      <c r="UGV352" s="268"/>
      <c r="UGW352" s="268"/>
      <c r="UGX352" s="268"/>
      <c r="UGY352" s="268"/>
      <c r="UGZ352" s="268"/>
      <c r="UHA352" s="268"/>
      <c r="UHB352" s="268"/>
      <c r="UHC352" s="268"/>
      <c r="UHD352" s="268"/>
      <c r="UHE352" s="268"/>
      <c r="UHF352" s="268"/>
      <c r="UHG352" s="268"/>
      <c r="UHH352" s="268"/>
      <c r="UHI352" s="268"/>
      <c r="UHJ352" s="268"/>
      <c r="UHK352" s="268"/>
      <c r="UHL352" s="268"/>
      <c r="UHM352" s="268"/>
      <c r="UHN352" s="268"/>
      <c r="UHO352" s="268"/>
      <c r="UHP352" s="268"/>
      <c r="UHQ352" s="268"/>
      <c r="UHR352" s="268"/>
      <c r="UHS352" s="268"/>
      <c r="UHT352" s="268"/>
      <c r="UHU352" s="268"/>
      <c r="UHV352" s="268"/>
      <c r="UHW352" s="268"/>
      <c r="UHX352" s="268"/>
      <c r="UHY352" s="268"/>
      <c r="UHZ352" s="268"/>
      <c r="UIA352" s="268"/>
      <c r="UIB352" s="268"/>
      <c r="UIC352" s="268"/>
      <c r="UID352" s="268"/>
      <c r="UIE352" s="268"/>
      <c r="UIF352" s="268"/>
      <c r="UIG352" s="268"/>
      <c r="UIH352" s="268"/>
      <c r="UII352" s="268"/>
      <c r="UIJ352" s="268"/>
      <c r="UIK352" s="268"/>
      <c r="UIL352" s="268"/>
      <c r="UIM352" s="268"/>
      <c r="UIN352" s="268"/>
      <c r="UIO352" s="268"/>
      <c r="UIP352" s="268"/>
      <c r="UIQ352" s="268"/>
      <c r="UIR352" s="268"/>
      <c r="UIS352" s="268"/>
      <c r="UIT352" s="268"/>
      <c r="UIU352" s="268"/>
      <c r="UIV352" s="268"/>
      <c r="UIW352" s="268"/>
      <c r="UIX352" s="268"/>
      <c r="UIY352" s="268"/>
      <c r="UIZ352" s="268"/>
      <c r="UJA352" s="268"/>
      <c r="UJB352" s="268"/>
      <c r="UJC352" s="268"/>
      <c r="UJD352" s="268"/>
      <c r="UJE352" s="268"/>
      <c r="UJF352" s="268"/>
      <c r="UJG352" s="268"/>
      <c r="UJH352" s="268"/>
      <c r="UJI352" s="268"/>
      <c r="UJJ352" s="268"/>
      <c r="UJK352" s="268"/>
      <c r="UJL352" s="268"/>
      <c r="UJM352" s="268"/>
      <c r="UJN352" s="268"/>
      <c r="UJO352" s="268"/>
      <c r="UJP352" s="268"/>
      <c r="UJQ352" s="268"/>
      <c r="UJR352" s="268"/>
      <c r="UJS352" s="268"/>
      <c r="UJT352" s="268"/>
      <c r="UJU352" s="268"/>
      <c r="UJV352" s="268"/>
      <c r="UJW352" s="268"/>
      <c r="UJX352" s="268"/>
      <c r="UJY352" s="268"/>
      <c r="UJZ352" s="268"/>
      <c r="UKA352" s="268"/>
      <c r="UKB352" s="268"/>
      <c r="UKC352" s="268"/>
      <c r="UKD352" s="268"/>
      <c r="UKE352" s="268"/>
      <c r="UKF352" s="268"/>
      <c r="UKG352" s="268"/>
      <c r="UKH352" s="268"/>
      <c r="UKI352" s="268"/>
      <c r="UKJ352" s="268"/>
      <c r="UKK352" s="268"/>
      <c r="UKL352" s="268"/>
      <c r="UKM352" s="268"/>
      <c r="UKN352" s="268"/>
      <c r="UKO352" s="268"/>
      <c r="UKP352" s="268"/>
      <c r="UKQ352" s="268"/>
      <c r="UKR352" s="268"/>
      <c r="UKS352" s="268"/>
      <c r="UKT352" s="268"/>
      <c r="UKU352" s="268"/>
      <c r="UKV352" s="268"/>
      <c r="UKW352" s="268"/>
      <c r="UKX352" s="268"/>
      <c r="UKY352" s="268"/>
      <c r="UKZ352" s="268"/>
      <c r="ULA352" s="268"/>
      <c r="ULB352" s="268"/>
      <c r="ULC352" s="268"/>
      <c r="ULD352" s="268"/>
      <c r="ULE352" s="268"/>
      <c r="ULF352" s="268"/>
      <c r="ULG352" s="268"/>
      <c r="ULH352" s="268"/>
      <c r="ULI352" s="268"/>
      <c r="ULJ352" s="268"/>
      <c r="ULK352" s="268"/>
      <c r="ULL352" s="268"/>
      <c r="ULM352" s="268"/>
      <c r="ULN352" s="268"/>
      <c r="ULO352" s="268"/>
      <c r="ULP352" s="268"/>
      <c r="ULQ352" s="268"/>
      <c r="ULR352" s="268"/>
      <c r="ULS352" s="268"/>
      <c r="ULT352" s="268"/>
      <c r="ULU352" s="268"/>
      <c r="ULV352" s="268"/>
      <c r="ULW352" s="268"/>
      <c r="ULX352" s="268"/>
      <c r="ULY352" s="268"/>
      <c r="ULZ352" s="268"/>
      <c r="UMA352" s="268"/>
      <c r="UMB352" s="268"/>
      <c r="UMC352" s="268"/>
      <c r="UMD352" s="268"/>
      <c r="UME352" s="268"/>
      <c r="UMF352" s="268"/>
      <c r="UMG352" s="268"/>
      <c r="UMH352" s="268"/>
      <c r="UMI352" s="268"/>
      <c r="UMJ352" s="268"/>
      <c r="UMK352" s="268"/>
      <c r="UML352" s="268"/>
      <c r="UMM352" s="268"/>
      <c r="UMN352" s="268"/>
      <c r="UMO352" s="268"/>
      <c r="UMP352" s="268"/>
      <c r="UMQ352" s="268"/>
      <c r="UMR352" s="268"/>
      <c r="UMS352" s="268"/>
      <c r="UMT352" s="268"/>
      <c r="UMU352" s="268"/>
      <c r="UMV352" s="268"/>
      <c r="UMW352" s="268"/>
      <c r="UMX352" s="268"/>
      <c r="UMY352" s="268"/>
      <c r="UMZ352" s="268"/>
      <c r="UNA352" s="268"/>
      <c r="UNB352" s="268"/>
      <c r="UNC352" s="268"/>
      <c r="UND352" s="268"/>
      <c r="UNE352" s="268"/>
      <c r="UNF352" s="268"/>
      <c r="UNG352" s="268"/>
      <c r="UNH352" s="268"/>
      <c r="UNI352" s="268"/>
      <c r="UNJ352" s="268"/>
      <c r="UNK352" s="268"/>
      <c r="UNL352" s="268"/>
      <c r="UNM352" s="268"/>
      <c r="UNN352" s="268"/>
      <c r="UNO352" s="268"/>
      <c r="UNP352" s="268"/>
      <c r="UNQ352" s="268"/>
      <c r="UNR352" s="268"/>
      <c r="UNS352" s="268"/>
      <c r="UNT352" s="268"/>
      <c r="UNU352" s="268"/>
      <c r="UNV352" s="268"/>
      <c r="UNW352" s="268"/>
      <c r="UOK352" s="268"/>
      <c r="UOL352" s="268"/>
      <c r="UOM352" s="268"/>
      <c r="UPA352" s="268"/>
      <c r="UPC352" s="268"/>
      <c r="UPD352" s="268"/>
      <c r="UPE352" s="268"/>
      <c r="UPF352" s="268"/>
      <c r="UPG352" s="268"/>
      <c r="UPH352" s="268"/>
      <c r="UPI352" s="268"/>
      <c r="UPJ352" s="268"/>
      <c r="UPK352" s="268"/>
      <c r="UPL352" s="268"/>
      <c r="UPM352" s="268"/>
      <c r="UPN352" s="268"/>
      <c r="UPO352" s="268"/>
      <c r="UPP352" s="268"/>
      <c r="UPQ352" s="268"/>
      <c r="UPR352" s="268"/>
      <c r="UPS352" s="268"/>
      <c r="UPT352" s="268"/>
      <c r="UPU352" s="268"/>
      <c r="UPV352" s="268"/>
      <c r="UPW352" s="268"/>
      <c r="UPX352" s="268"/>
      <c r="UPY352" s="268"/>
      <c r="UPZ352" s="268"/>
      <c r="UQA352" s="268"/>
      <c r="UQB352" s="268"/>
      <c r="UQC352" s="268"/>
      <c r="UQD352" s="268"/>
      <c r="UQE352" s="268"/>
      <c r="UQF352" s="268"/>
      <c r="UQG352" s="268"/>
      <c r="UQH352" s="268"/>
      <c r="UQI352" s="268"/>
      <c r="UQJ352" s="268"/>
      <c r="UQK352" s="268"/>
      <c r="UQL352" s="268"/>
      <c r="UQM352" s="268"/>
      <c r="UQN352" s="268"/>
      <c r="UQO352" s="268"/>
      <c r="UQP352" s="268"/>
      <c r="UQQ352" s="268"/>
      <c r="UQR352" s="268"/>
      <c r="UQS352" s="268"/>
      <c r="UQT352" s="268"/>
      <c r="UQU352" s="268"/>
      <c r="UQV352" s="268"/>
      <c r="UQW352" s="268"/>
      <c r="UQX352" s="268"/>
      <c r="UQY352" s="268"/>
      <c r="UQZ352" s="268"/>
      <c r="URA352" s="268"/>
      <c r="URB352" s="268"/>
      <c r="URC352" s="268"/>
      <c r="URD352" s="268"/>
      <c r="URE352" s="268"/>
      <c r="URF352" s="268"/>
      <c r="URG352" s="268"/>
      <c r="URH352" s="268"/>
      <c r="URI352" s="268"/>
      <c r="URJ352" s="268"/>
      <c r="URK352" s="268"/>
      <c r="URL352" s="268"/>
      <c r="URM352" s="268"/>
      <c r="URN352" s="268"/>
      <c r="URO352" s="268"/>
      <c r="URP352" s="268"/>
      <c r="URQ352" s="268"/>
      <c r="URR352" s="268"/>
      <c r="URS352" s="268"/>
      <c r="URT352" s="268"/>
      <c r="URU352" s="268"/>
      <c r="URV352" s="268"/>
      <c r="URW352" s="268"/>
      <c r="URX352" s="268"/>
      <c r="URY352" s="268"/>
      <c r="URZ352" s="268"/>
      <c r="USA352" s="268"/>
      <c r="USB352" s="268"/>
      <c r="USC352" s="268"/>
      <c r="USD352" s="268"/>
      <c r="USE352" s="268"/>
      <c r="USF352" s="268"/>
      <c r="USG352" s="268"/>
      <c r="USH352" s="268"/>
      <c r="USI352" s="268"/>
      <c r="USJ352" s="268"/>
      <c r="USK352" s="268"/>
      <c r="USL352" s="268"/>
      <c r="USM352" s="268"/>
      <c r="USN352" s="268"/>
      <c r="USO352" s="268"/>
      <c r="USP352" s="268"/>
      <c r="USQ352" s="268"/>
      <c r="USR352" s="268"/>
      <c r="USS352" s="268"/>
      <c r="UST352" s="268"/>
      <c r="USU352" s="268"/>
      <c r="USV352" s="268"/>
      <c r="USW352" s="268"/>
      <c r="USX352" s="268"/>
      <c r="USY352" s="268"/>
      <c r="USZ352" s="268"/>
      <c r="UTA352" s="268"/>
      <c r="UTB352" s="268"/>
      <c r="UTC352" s="268"/>
      <c r="UTD352" s="268"/>
      <c r="UTE352" s="268"/>
      <c r="UTF352" s="268"/>
      <c r="UTG352" s="268"/>
      <c r="UTH352" s="268"/>
      <c r="UTI352" s="268"/>
      <c r="UTJ352" s="268"/>
      <c r="UTK352" s="268"/>
      <c r="UTL352" s="268"/>
      <c r="UTM352" s="268"/>
      <c r="UTN352" s="268"/>
      <c r="UTO352" s="268"/>
      <c r="UTP352" s="268"/>
      <c r="UTQ352" s="268"/>
      <c r="UTR352" s="268"/>
      <c r="UTS352" s="268"/>
      <c r="UTT352" s="268"/>
      <c r="UTU352" s="268"/>
      <c r="UTV352" s="268"/>
      <c r="UTW352" s="268"/>
      <c r="UTX352" s="268"/>
      <c r="UTY352" s="268"/>
      <c r="UTZ352" s="268"/>
      <c r="UUA352" s="268"/>
      <c r="UUB352" s="268"/>
      <c r="UUC352" s="268"/>
      <c r="UUD352" s="268"/>
      <c r="UUE352" s="268"/>
      <c r="UUF352" s="268"/>
      <c r="UUG352" s="268"/>
      <c r="UUH352" s="268"/>
      <c r="UUI352" s="268"/>
      <c r="UUJ352" s="268"/>
      <c r="UUK352" s="268"/>
      <c r="UUL352" s="268"/>
      <c r="UUM352" s="268"/>
      <c r="UUN352" s="268"/>
      <c r="UUO352" s="268"/>
      <c r="UUP352" s="268"/>
      <c r="UUQ352" s="268"/>
      <c r="UUR352" s="268"/>
      <c r="UUS352" s="268"/>
      <c r="UUT352" s="268"/>
      <c r="UUU352" s="268"/>
      <c r="UUV352" s="268"/>
      <c r="UUW352" s="268"/>
      <c r="UUX352" s="268"/>
      <c r="UUY352" s="268"/>
      <c r="UUZ352" s="268"/>
      <c r="UVA352" s="268"/>
      <c r="UVB352" s="268"/>
      <c r="UVC352" s="268"/>
      <c r="UVD352" s="268"/>
      <c r="UVE352" s="268"/>
      <c r="UVF352" s="268"/>
      <c r="UVG352" s="268"/>
      <c r="UVH352" s="268"/>
      <c r="UVI352" s="268"/>
      <c r="UVJ352" s="268"/>
      <c r="UVK352" s="268"/>
      <c r="UVL352" s="268"/>
      <c r="UVM352" s="268"/>
      <c r="UVN352" s="268"/>
      <c r="UVO352" s="268"/>
      <c r="UVP352" s="268"/>
      <c r="UVQ352" s="268"/>
      <c r="UVR352" s="268"/>
      <c r="UVS352" s="268"/>
      <c r="UVT352" s="268"/>
      <c r="UVU352" s="268"/>
      <c r="UVV352" s="268"/>
      <c r="UVW352" s="268"/>
      <c r="UVX352" s="268"/>
      <c r="UVY352" s="268"/>
      <c r="UVZ352" s="268"/>
      <c r="UWA352" s="268"/>
      <c r="UWB352" s="268"/>
      <c r="UWC352" s="268"/>
      <c r="UWD352" s="268"/>
      <c r="UWE352" s="268"/>
      <c r="UWF352" s="268"/>
      <c r="UWG352" s="268"/>
      <c r="UWH352" s="268"/>
      <c r="UWI352" s="268"/>
      <c r="UWJ352" s="268"/>
      <c r="UWK352" s="268"/>
      <c r="UWL352" s="268"/>
      <c r="UWM352" s="268"/>
      <c r="UWN352" s="268"/>
      <c r="UWO352" s="268"/>
      <c r="UWP352" s="268"/>
      <c r="UWQ352" s="268"/>
      <c r="UWR352" s="268"/>
      <c r="UWS352" s="268"/>
      <c r="UWT352" s="268"/>
      <c r="UWU352" s="268"/>
      <c r="UWV352" s="268"/>
      <c r="UWW352" s="268"/>
      <c r="UWX352" s="268"/>
      <c r="UWY352" s="268"/>
      <c r="UWZ352" s="268"/>
      <c r="UXA352" s="268"/>
      <c r="UXB352" s="268"/>
      <c r="UXC352" s="268"/>
      <c r="UXD352" s="268"/>
      <c r="UXE352" s="268"/>
      <c r="UXF352" s="268"/>
      <c r="UXG352" s="268"/>
      <c r="UXH352" s="268"/>
      <c r="UXI352" s="268"/>
      <c r="UXJ352" s="268"/>
      <c r="UXK352" s="268"/>
      <c r="UXL352" s="268"/>
      <c r="UXM352" s="268"/>
      <c r="UXN352" s="268"/>
      <c r="UXO352" s="268"/>
      <c r="UXP352" s="268"/>
      <c r="UXQ352" s="268"/>
      <c r="UXR352" s="268"/>
      <c r="UXS352" s="268"/>
      <c r="UYG352" s="268"/>
      <c r="UYH352" s="268"/>
      <c r="UYI352" s="268"/>
      <c r="UYW352" s="268"/>
      <c r="UYY352" s="268"/>
      <c r="UYZ352" s="268"/>
      <c r="UZA352" s="268"/>
      <c r="UZB352" s="268"/>
      <c r="UZC352" s="268"/>
      <c r="UZD352" s="268"/>
      <c r="UZE352" s="268"/>
      <c r="UZF352" s="268"/>
      <c r="UZG352" s="268"/>
      <c r="UZH352" s="268"/>
      <c r="UZI352" s="268"/>
      <c r="UZJ352" s="268"/>
      <c r="UZK352" s="268"/>
      <c r="UZL352" s="268"/>
      <c r="UZM352" s="268"/>
      <c r="UZN352" s="268"/>
      <c r="UZO352" s="268"/>
      <c r="UZP352" s="268"/>
      <c r="UZQ352" s="268"/>
      <c r="UZR352" s="268"/>
      <c r="UZS352" s="268"/>
      <c r="UZT352" s="268"/>
      <c r="UZU352" s="268"/>
      <c r="UZV352" s="268"/>
      <c r="UZW352" s="268"/>
      <c r="UZX352" s="268"/>
      <c r="UZY352" s="268"/>
      <c r="UZZ352" s="268"/>
      <c r="VAA352" s="268"/>
      <c r="VAB352" s="268"/>
      <c r="VAC352" s="268"/>
      <c r="VAD352" s="268"/>
      <c r="VAE352" s="268"/>
      <c r="VAF352" s="268"/>
      <c r="VAG352" s="268"/>
      <c r="VAH352" s="268"/>
      <c r="VAI352" s="268"/>
      <c r="VAJ352" s="268"/>
      <c r="VAK352" s="268"/>
      <c r="VAL352" s="268"/>
      <c r="VAM352" s="268"/>
      <c r="VAN352" s="268"/>
      <c r="VAO352" s="268"/>
      <c r="VAP352" s="268"/>
      <c r="VAQ352" s="268"/>
      <c r="VAR352" s="268"/>
      <c r="VAS352" s="268"/>
      <c r="VAT352" s="268"/>
      <c r="VAU352" s="268"/>
      <c r="VAV352" s="268"/>
      <c r="VAW352" s="268"/>
      <c r="VAX352" s="268"/>
      <c r="VAY352" s="268"/>
      <c r="VAZ352" s="268"/>
      <c r="VBA352" s="268"/>
      <c r="VBB352" s="268"/>
      <c r="VBC352" s="268"/>
      <c r="VBD352" s="268"/>
      <c r="VBE352" s="268"/>
      <c r="VBF352" s="268"/>
      <c r="VBG352" s="268"/>
      <c r="VBH352" s="268"/>
      <c r="VBI352" s="268"/>
      <c r="VBJ352" s="268"/>
      <c r="VBK352" s="268"/>
      <c r="VBL352" s="268"/>
      <c r="VBM352" s="268"/>
      <c r="VBN352" s="268"/>
      <c r="VBO352" s="268"/>
      <c r="VBP352" s="268"/>
      <c r="VBQ352" s="268"/>
      <c r="VBR352" s="268"/>
      <c r="VBS352" s="268"/>
      <c r="VBT352" s="268"/>
      <c r="VBU352" s="268"/>
      <c r="VBV352" s="268"/>
      <c r="VBW352" s="268"/>
      <c r="VBX352" s="268"/>
      <c r="VBY352" s="268"/>
      <c r="VBZ352" s="268"/>
      <c r="VCA352" s="268"/>
      <c r="VCB352" s="268"/>
      <c r="VCC352" s="268"/>
      <c r="VCD352" s="268"/>
      <c r="VCE352" s="268"/>
      <c r="VCF352" s="268"/>
      <c r="VCG352" s="268"/>
      <c r="VCH352" s="268"/>
      <c r="VCI352" s="268"/>
      <c r="VCJ352" s="268"/>
      <c r="VCK352" s="268"/>
      <c r="VCL352" s="268"/>
      <c r="VCM352" s="268"/>
      <c r="VCN352" s="268"/>
      <c r="VCO352" s="268"/>
      <c r="VCP352" s="268"/>
      <c r="VCQ352" s="268"/>
      <c r="VCR352" s="268"/>
      <c r="VCS352" s="268"/>
      <c r="VCT352" s="268"/>
      <c r="VCU352" s="268"/>
      <c r="VCV352" s="268"/>
      <c r="VCW352" s="268"/>
      <c r="VCX352" s="268"/>
      <c r="VCY352" s="268"/>
      <c r="VCZ352" s="268"/>
      <c r="VDA352" s="268"/>
      <c r="VDB352" s="268"/>
      <c r="VDC352" s="268"/>
      <c r="VDD352" s="268"/>
      <c r="VDE352" s="268"/>
      <c r="VDF352" s="268"/>
      <c r="VDG352" s="268"/>
      <c r="VDH352" s="268"/>
      <c r="VDI352" s="268"/>
      <c r="VDJ352" s="268"/>
      <c r="VDK352" s="268"/>
      <c r="VDL352" s="268"/>
      <c r="VDM352" s="268"/>
      <c r="VDN352" s="268"/>
      <c r="VDO352" s="268"/>
      <c r="VDP352" s="268"/>
      <c r="VDQ352" s="268"/>
      <c r="VDR352" s="268"/>
      <c r="VDS352" s="268"/>
      <c r="VDT352" s="268"/>
      <c r="VDU352" s="268"/>
      <c r="VDV352" s="268"/>
      <c r="VDW352" s="268"/>
      <c r="VDX352" s="268"/>
      <c r="VDY352" s="268"/>
      <c r="VDZ352" s="268"/>
      <c r="VEA352" s="268"/>
      <c r="VEB352" s="268"/>
      <c r="VEC352" s="268"/>
      <c r="VED352" s="268"/>
      <c r="VEE352" s="268"/>
      <c r="VEF352" s="268"/>
      <c r="VEG352" s="268"/>
      <c r="VEH352" s="268"/>
      <c r="VEI352" s="268"/>
      <c r="VEJ352" s="268"/>
      <c r="VEK352" s="268"/>
      <c r="VEL352" s="268"/>
      <c r="VEM352" s="268"/>
      <c r="VEN352" s="268"/>
      <c r="VEO352" s="268"/>
      <c r="VEP352" s="268"/>
      <c r="VEQ352" s="268"/>
      <c r="VER352" s="268"/>
      <c r="VES352" s="268"/>
      <c r="VET352" s="268"/>
      <c r="VEU352" s="268"/>
      <c r="VEV352" s="268"/>
      <c r="VEW352" s="268"/>
      <c r="VEX352" s="268"/>
      <c r="VEY352" s="268"/>
      <c r="VEZ352" s="268"/>
      <c r="VFA352" s="268"/>
      <c r="VFB352" s="268"/>
      <c r="VFC352" s="268"/>
      <c r="VFD352" s="268"/>
      <c r="VFE352" s="268"/>
      <c r="VFF352" s="268"/>
      <c r="VFG352" s="268"/>
      <c r="VFH352" s="268"/>
      <c r="VFI352" s="268"/>
      <c r="VFJ352" s="268"/>
      <c r="VFK352" s="268"/>
      <c r="VFL352" s="268"/>
      <c r="VFM352" s="268"/>
      <c r="VFN352" s="268"/>
      <c r="VFO352" s="268"/>
      <c r="VFP352" s="268"/>
      <c r="VFQ352" s="268"/>
      <c r="VFR352" s="268"/>
      <c r="VFS352" s="268"/>
      <c r="VFT352" s="268"/>
      <c r="VFU352" s="268"/>
      <c r="VFV352" s="268"/>
      <c r="VFW352" s="268"/>
      <c r="VFX352" s="268"/>
      <c r="VFY352" s="268"/>
      <c r="VFZ352" s="268"/>
      <c r="VGA352" s="268"/>
      <c r="VGB352" s="268"/>
      <c r="VGC352" s="268"/>
      <c r="VGD352" s="268"/>
      <c r="VGE352" s="268"/>
      <c r="VGF352" s="268"/>
      <c r="VGG352" s="268"/>
      <c r="VGH352" s="268"/>
      <c r="VGI352" s="268"/>
      <c r="VGJ352" s="268"/>
      <c r="VGK352" s="268"/>
      <c r="VGL352" s="268"/>
      <c r="VGM352" s="268"/>
      <c r="VGN352" s="268"/>
      <c r="VGO352" s="268"/>
      <c r="VGP352" s="268"/>
      <c r="VGQ352" s="268"/>
      <c r="VGR352" s="268"/>
      <c r="VGS352" s="268"/>
      <c r="VGT352" s="268"/>
      <c r="VGU352" s="268"/>
      <c r="VGV352" s="268"/>
      <c r="VGW352" s="268"/>
      <c r="VGX352" s="268"/>
      <c r="VGY352" s="268"/>
      <c r="VGZ352" s="268"/>
      <c r="VHA352" s="268"/>
      <c r="VHB352" s="268"/>
      <c r="VHC352" s="268"/>
      <c r="VHD352" s="268"/>
      <c r="VHE352" s="268"/>
      <c r="VHF352" s="268"/>
      <c r="VHG352" s="268"/>
      <c r="VHH352" s="268"/>
      <c r="VHI352" s="268"/>
      <c r="VHJ352" s="268"/>
      <c r="VHK352" s="268"/>
      <c r="VHL352" s="268"/>
      <c r="VHM352" s="268"/>
      <c r="VHN352" s="268"/>
      <c r="VHO352" s="268"/>
      <c r="VIC352" s="268"/>
      <c r="VID352" s="268"/>
      <c r="VIE352" s="268"/>
      <c r="VIS352" s="268"/>
      <c r="VIU352" s="268"/>
      <c r="VIV352" s="268"/>
      <c r="VIW352" s="268"/>
      <c r="VIX352" s="268"/>
      <c r="VIY352" s="268"/>
      <c r="VIZ352" s="268"/>
      <c r="VJA352" s="268"/>
      <c r="VJB352" s="268"/>
      <c r="VJC352" s="268"/>
      <c r="VJD352" s="268"/>
      <c r="VJE352" s="268"/>
      <c r="VJF352" s="268"/>
      <c r="VJG352" s="268"/>
      <c r="VJH352" s="268"/>
      <c r="VJI352" s="268"/>
      <c r="VJJ352" s="268"/>
      <c r="VJK352" s="268"/>
      <c r="VJL352" s="268"/>
      <c r="VJM352" s="268"/>
      <c r="VJN352" s="268"/>
      <c r="VJO352" s="268"/>
      <c r="VJP352" s="268"/>
      <c r="VJQ352" s="268"/>
      <c r="VJR352" s="268"/>
      <c r="VJS352" s="268"/>
      <c r="VJT352" s="268"/>
      <c r="VJU352" s="268"/>
      <c r="VJV352" s="268"/>
      <c r="VJW352" s="268"/>
      <c r="VJX352" s="268"/>
      <c r="VJY352" s="268"/>
      <c r="VJZ352" s="268"/>
      <c r="VKA352" s="268"/>
      <c r="VKB352" s="268"/>
      <c r="VKC352" s="268"/>
      <c r="VKD352" s="268"/>
      <c r="VKE352" s="268"/>
      <c r="VKF352" s="268"/>
      <c r="VKG352" s="268"/>
      <c r="VKH352" s="268"/>
      <c r="VKI352" s="268"/>
      <c r="VKJ352" s="268"/>
      <c r="VKK352" s="268"/>
      <c r="VKL352" s="268"/>
      <c r="VKM352" s="268"/>
      <c r="VKN352" s="268"/>
      <c r="VKO352" s="268"/>
      <c r="VKP352" s="268"/>
      <c r="VKQ352" s="268"/>
      <c r="VKR352" s="268"/>
      <c r="VKS352" s="268"/>
      <c r="VKT352" s="268"/>
      <c r="VKU352" s="268"/>
      <c r="VKV352" s="268"/>
      <c r="VKW352" s="268"/>
      <c r="VKX352" s="268"/>
      <c r="VKY352" s="268"/>
      <c r="VKZ352" s="268"/>
      <c r="VLA352" s="268"/>
      <c r="VLB352" s="268"/>
      <c r="VLC352" s="268"/>
      <c r="VLD352" s="268"/>
      <c r="VLE352" s="268"/>
      <c r="VLF352" s="268"/>
      <c r="VLG352" s="268"/>
      <c r="VLH352" s="268"/>
      <c r="VLI352" s="268"/>
      <c r="VLJ352" s="268"/>
      <c r="VLK352" s="268"/>
      <c r="VLL352" s="268"/>
      <c r="VLM352" s="268"/>
      <c r="VLN352" s="268"/>
      <c r="VLO352" s="268"/>
      <c r="VLP352" s="268"/>
      <c r="VLQ352" s="268"/>
      <c r="VLR352" s="268"/>
      <c r="VLS352" s="268"/>
      <c r="VLT352" s="268"/>
      <c r="VLU352" s="268"/>
      <c r="VLV352" s="268"/>
      <c r="VLW352" s="268"/>
      <c r="VLX352" s="268"/>
      <c r="VLY352" s="268"/>
      <c r="VLZ352" s="268"/>
      <c r="VMA352" s="268"/>
      <c r="VMB352" s="268"/>
      <c r="VMC352" s="268"/>
      <c r="VMD352" s="268"/>
      <c r="VME352" s="268"/>
      <c r="VMF352" s="268"/>
      <c r="VMG352" s="268"/>
      <c r="VMH352" s="268"/>
      <c r="VMI352" s="268"/>
      <c r="VMJ352" s="268"/>
      <c r="VMK352" s="268"/>
      <c r="VML352" s="268"/>
      <c r="VMM352" s="268"/>
      <c r="VMN352" s="268"/>
      <c r="VMO352" s="268"/>
      <c r="VMP352" s="268"/>
      <c r="VMQ352" s="268"/>
      <c r="VMR352" s="268"/>
      <c r="VMS352" s="268"/>
      <c r="VMT352" s="268"/>
      <c r="VMU352" s="268"/>
      <c r="VMV352" s="268"/>
      <c r="VMW352" s="268"/>
      <c r="VMX352" s="268"/>
      <c r="VMY352" s="268"/>
      <c r="VMZ352" s="268"/>
      <c r="VNA352" s="268"/>
      <c r="VNB352" s="268"/>
      <c r="VNC352" s="268"/>
      <c r="VND352" s="268"/>
      <c r="VNE352" s="268"/>
      <c r="VNF352" s="268"/>
      <c r="VNG352" s="268"/>
      <c r="VNH352" s="268"/>
      <c r="VNI352" s="268"/>
      <c r="VNJ352" s="268"/>
      <c r="VNK352" s="268"/>
      <c r="VNL352" s="268"/>
      <c r="VNM352" s="268"/>
      <c r="VNN352" s="268"/>
      <c r="VNO352" s="268"/>
      <c r="VNP352" s="268"/>
      <c r="VNQ352" s="268"/>
      <c r="VNR352" s="268"/>
      <c r="VNS352" s="268"/>
      <c r="VNT352" s="268"/>
      <c r="VNU352" s="268"/>
      <c r="VNV352" s="268"/>
      <c r="VNW352" s="268"/>
      <c r="VNX352" s="268"/>
      <c r="VNY352" s="268"/>
      <c r="VNZ352" s="268"/>
      <c r="VOA352" s="268"/>
      <c r="VOB352" s="268"/>
      <c r="VOC352" s="268"/>
      <c r="VOD352" s="268"/>
      <c r="VOE352" s="268"/>
      <c r="VOF352" s="268"/>
      <c r="VOG352" s="268"/>
      <c r="VOH352" s="268"/>
      <c r="VOI352" s="268"/>
      <c r="VOJ352" s="268"/>
      <c r="VOK352" s="268"/>
      <c r="VOL352" s="268"/>
      <c r="VOM352" s="268"/>
      <c r="VON352" s="268"/>
      <c r="VOO352" s="268"/>
      <c r="VOP352" s="268"/>
      <c r="VOQ352" s="268"/>
      <c r="VOR352" s="268"/>
      <c r="VOS352" s="268"/>
      <c r="VOT352" s="268"/>
      <c r="VOU352" s="268"/>
      <c r="VOV352" s="268"/>
      <c r="VOW352" s="268"/>
      <c r="VOX352" s="268"/>
      <c r="VOY352" s="268"/>
      <c r="VOZ352" s="268"/>
      <c r="VPA352" s="268"/>
      <c r="VPB352" s="268"/>
      <c r="VPC352" s="268"/>
      <c r="VPD352" s="268"/>
      <c r="VPE352" s="268"/>
      <c r="VPF352" s="268"/>
      <c r="VPG352" s="268"/>
      <c r="VPH352" s="268"/>
      <c r="VPI352" s="268"/>
      <c r="VPJ352" s="268"/>
      <c r="VPK352" s="268"/>
      <c r="VPL352" s="268"/>
      <c r="VPM352" s="268"/>
      <c r="VPN352" s="268"/>
      <c r="VPO352" s="268"/>
      <c r="VPP352" s="268"/>
      <c r="VPQ352" s="268"/>
      <c r="VPR352" s="268"/>
      <c r="VPS352" s="268"/>
      <c r="VPT352" s="268"/>
      <c r="VPU352" s="268"/>
      <c r="VPV352" s="268"/>
      <c r="VPW352" s="268"/>
      <c r="VPX352" s="268"/>
      <c r="VPY352" s="268"/>
      <c r="VPZ352" s="268"/>
      <c r="VQA352" s="268"/>
      <c r="VQB352" s="268"/>
      <c r="VQC352" s="268"/>
      <c r="VQD352" s="268"/>
      <c r="VQE352" s="268"/>
      <c r="VQF352" s="268"/>
      <c r="VQG352" s="268"/>
      <c r="VQH352" s="268"/>
      <c r="VQI352" s="268"/>
      <c r="VQJ352" s="268"/>
      <c r="VQK352" s="268"/>
      <c r="VQL352" s="268"/>
      <c r="VQM352" s="268"/>
      <c r="VQN352" s="268"/>
      <c r="VQO352" s="268"/>
      <c r="VQP352" s="268"/>
      <c r="VQQ352" s="268"/>
      <c r="VQR352" s="268"/>
      <c r="VQS352" s="268"/>
      <c r="VQT352" s="268"/>
      <c r="VQU352" s="268"/>
      <c r="VQV352" s="268"/>
      <c r="VQW352" s="268"/>
      <c r="VQX352" s="268"/>
      <c r="VQY352" s="268"/>
      <c r="VQZ352" s="268"/>
      <c r="VRA352" s="268"/>
      <c r="VRB352" s="268"/>
      <c r="VRC352" s="268"/>
      <c r="VRD352" s="268"/>
      <c r="VRE352" s="268"/>
      <c r="VRF352" s="268"/>
      <c r="VRG352" s="268"/>
      <c r="VRH352" s="268"/>
      <c r="VRI352" s="268"/>
      <c r="VRJ352" s="268"/>
      <c r="VRK352" s="268"/>
      <c r="VRY352" s="268"/>
      <c r="VRZ352" s="268"/>
      <c r="VSA352" s="268"/>
      <c r="VSO352" s="268"/>
      <c r="VSQ352" s="268"/>
      <c r="VSR352" s="268"/>
      <c r="VSS352" s="268"/>
      <c r="VST352" s="268"/>
      <c r="VSU352" s="268"/>
      <c r="VSV352" s="268"/>
      <c r="VSW352" s="268"/>
      <c r="VSX352" s="268"/>
      <c r="VSY352" s="268"/>
      <c r="VSZ352" s="268"/>
      <c r="VTA352" s="268"/>
      <c r="VTB352" s="268"/>
      <c r="VTC352" s="268"/>
      <c r="VTD352" s="268"/>
      <c r="VTE352" s="268"/>
      <c r="VTF352" s="268"/>
      <c r="VTG352" s="268"/>
      <c r="VTH352" s="268"/>
      <c r="VTI352" s="268"/>
      <c r="VTJ352" s="268"/>
      <c r="VTK352" s="268"/>
      <c r="VTL352" s="268"/>
      <c r="VTM352" s="268"/>
      <c r="VTN352" s="268"/>
      <c r="VTO352" s="268"/>
      <c r="VTP352" s="268"/>
      <c r="VTQ352" s="268"/>
      <c r="VTR352" s="268"/>
      <c r="VTS352" s="268"/>
      <c r="VTT352" s="268"/>
      <c r="VTU352" s="268"/>
      <c r="VTV352" s="268"/>
      <c r="VTW352" s="268"/>
      <c r="VTX352" s="268"/>
      <c r="VTY352" s="268"/>
      <c r="VTZ352" s="268"/>
      <c r="VUA352" s="268"/>
      <c r="VUB352" s="268"/>
      <c r="VUC352" s="268"/>
      <c r="VUD352" s="268"/>
      <c r="VUE352" s="268"/>
      <c r="VUF352" s="268"/>
      <c r="VUG352" s="268"/>
      <c r="VUH352" s="268"/>
      <c r="VUI352" s="268"/>
      <c r="VUJ352" s="268"/>
      <c r="VUK352" s="268"/>
      <c r="VUL352" s="268"/>
      <c r="VUM352" s="268"/>
      <c r="VUN352" s="268"/>
      <c r="VUO352" s="268"/>
      <c r="VUP352" s="268"/>
      <c r="VUQ352" s="268"/>
      <c r="VUR352" s="268"/>
      <c r="VUS352" s="268"/>
      <c r="VUT352" s="268"/>
      <c r="VUU352" s="268"/>
      <c r="VUV352" s="268"/>
      <c r="VUW352" s="268"/>
      <c r="VUX352" s="268"/>
      <c r="VUY352" s="268"/>
      <c r="VUZ352" s="268"/>
      <c r="VVA352" s="268"/>
      <c r="VVB352" s="268"/>
      <c r="VVC352" s="268"/>
      <c r="VVD352" s="268"/>
      <c r="VVE352" s="268"/>
      <c r="VVF352" s="268"/>
      <c r="VVG352" s="268"/>
      <c r="VVH352" s="268"/>
      <c r="VVI352" s="268"/>
      <c r="VVJ352" s="268"/>
      <c r="VVK352" s="268"/>
      <c r="VVL352" s="268"/>
      <c r="VVM352" s="268"/>
      <c r="VVN352" s="268"/>
      <c r="VVO352" s="268"/>
      <c r="VVP352" s="268"/>
      <c r="VVQ352" s="268"/>
      <c r="VVR352" s="268"/>
      <c r="VVS352" s="268"/>
      <c r="VVT352" s="268"/>
      <c r="VVU352" s="268"/>
      <c r="VVV352" s="268"/>
      <c r="VVW352" s="268"/>
      <c r="VVX352" s="268"/>
      <c r="VVY352" s="268"/>
      <c r="VVZ352" s="268"/>
      <c r="VWA352" s="268"/>
      <c r="VWB352" s="268"/>
      <c r="VWC352" s="268"/>
      <c r="VWD352" s="268"/>
      <c r="VWE352" s="268"/>
      <c r="VWF352" s="268"/>
      <c r="VWG352" s="268"/>
      <c r="VWH352" s="268"/>
      <c r="VWI352" s="268"/>
      <c r="VWJ352" s="268"/>
      <c r="VWK352" s="268"/>
      <c r="VWL352" s="268"/>
      <c r="VWM352" s="268"/>
      <c r="VWN352" s="268"/>
      <c r="VWO352" s="268"/>
      <c r="VWP352" s="268"/>
      <c r="VWQ352" s="268"/>
      <c r="VWR352" s="268"/>
      <c r="VWS352" s="268"/>
      <c r="VWT352" s="268"/>
      <c r="VWU352" s="268"/>
      <c r="VWV352" s="268"/>
      <c r="VWW352" s="268"/>
      <c r="VWX352" s="268"/>
      <c r="VWY352" s="268"/>
      <c r="VWZ352" s="268"/>
      <c r="VXA352" s="268"/>
      <c r="VXB352" s="268"/>
      <c r="VXC352" s="268"/>
      <c r="VXD352" s="268"/>
      <c r="VXE352" s="268"/>
      <c r="VXF352" s="268"/>
      <c r="VXG352" s="268"/>
      <c r="VXH352" s="268"/>
      <c r="VXI352" s="268"/>
      <c r="VXJ352" s="268"/>
      <c r="VXK352" s="268"/>
      <c r="VXL352" s="268"/>
      <c r="VXM352" s="268"/>
      <c r="VXN352" s="268"/>
      <c r="VXO352" s="268"/>
      <c r="VXP352" s="268"/>
      <c r="VXQ352" s="268"/>
      <c r="VXR352" s="268"/>
      <c r="VXS352" s="268"/>
      <c r="VXT352" s="268"/>
      <c r="VXU352" s="268"/>
      <c r="VXV352" s="268"/>
      <c r="VXW352" s="268"/>
      <c r="VXX352" s="268"/>
      <c r="VXY352" s="268"/>
      <c r="VXZ352" s="268"/>
      <c r="VYA352" s="268"/>
      <c r="VYB352" s="268"/>
      <c r="VYC352" s="268"/>
      <c r="VYD352" s="268"/>
      <c r="VYE352" s="268"/>
      <c r="VYF352" s="268"/>
      <c r="VYG352" s="268"/>
      <c r="VYH352" s="268"/>
      <c r="VYI352" s="268"/>
      <c r="VYJ352" s="268"/>
      <c r="VYK352" s="268"/>
      <c r="VYL352" s="268"/>
      <c r="VYM352" s="268"/>
      <c r="VYN352" s="268"/>
      <c r="VYO352" s="268"/>
      <c r="VYP352" s="268"/>
      <c r="VYQ352" s="268"/>
      <c r="VYR352" s="268"/>
      <c r="VYS352" s="268"/>
      <c r="VYT352" s="268"/>
      <c r="VYU352" s="268"/>
      <c r="VYV352" s="268"/>
      <c r="VYW352" s="268"/>
      <c r="VYX352" s="268"/>
      <c r="VYY352" s="268"/>
      <c r="VYZ352" s="268"/>
      <c r="VZA352" s="268"/>
      <c r="VZB352" s="268"/>
      <c r="VZC352" s="268"/>
      <c r="VZD352" s="268"/>
      <c r="VZE352" s="268"/>
      <c r="VZF352" s="268"/>
      <c r="VZG352" s="268"/>
      <c r="VZH352" s="268"/>
      <c r="VZI352" s="268"/>
      <c r="VZJ352" s="268"/>
      <c r="VZK352" s="268"/>
      <c r="VZL352" s="268"/>
      <c r="VZM352" s="268"/>
      <c r="VZN352" s="268"/>
      <c r="VZO352" s="268"/>
      <c r="VZP352" s="268"/>
      <c r="VZQ352" s="268"/>
      <c r="VZR352" s="268"/>
      <c r="VZS352" s="268"/>
      <c r="VZT352" s="268"/>
      <c r="VZU352" s="268"/>
      <c r="VZV352" s="268"/>
      <c r="VZW352" s="268"/>
      <c r="VZX352" s="268"/>
      <c r="VZY352" s="268"/>
      <c r="VZZ352" s="268"/>
      <c r="WAA352" s="268"/>
      <c r="WAB352" s="268"/>
      <c r="WAC352" s="268"/>
      <c r="WAD352" s="268"/>
      <c r="WAE352" s="268"/>
      <c r="WAF352" s="268"/>
      <c r="WAG352" s="268"/>
      <c r="WAH352" s="268"/>
      <c r="WAI352" s="268"/>
      <c r="WAJ352" s="268"/>
      <c r="WAK352" s="268"/>
      <c r="WAL352" s="268"/>
      <c r="WAM352" s="268"/>
      <c r="WAN352" s="268"/>
      <c r="WAO352" s="268"/>
      <c r="WAP352" s="268"/>
      <c r="WAQ352" s="268"/>
      <c r="WAR352" s="268"/>
      <c r="WAS352" s="268"/>
      <c r="WAT352" s="268"/>
      <c r="WAU352" s="268"/>
      <c r="WAV352" s="268"/>
      <c r="WAW352" s="268"/>
      <c r="WAX352" s="268"/>
      <c r="WAY352" s="268"/>
      <c r="WAZ352" s="268"/>
      <c r="WBA352" s="268"/>
      <c r="WBB352" s="268"/>
      <c r="WBC352" s="268"/>
      <c r="WBD352" s="268"/>
      <c r="WBE352" s="268"/>
      <c r="WBF352" s="268"/>
      <c r="WBG352" s="268"/>
      <c r="WBU352" s="268"/>
      <c r="WBV352" s="268"/>
      <c r="WBW352" s="268"/>
      <c r="WCK352" s="268"/>
      <c r="WCM352" s="268"/>
      <c r="WCN352" s="268"/>
      <c r="WCO352" s="268"/>
      <c r="WCP352" s="268"/>
      <c r="WCQ352" s="268"/>
      <c r="WCR352" s="268"/>
      <c r="WCS352" s="268"/>
      <c r="WCT352" s="268"/>
      <c r="WCU352" s="268"/>
      <c r="WCV352" s="268"/>
      <c r="WCW352" s="268"/>
      <c r="WCX352" s="268"/>
      <c r="WCY352" s="268"/>
      <c r="WCZ352" s="268"/>
      <c r="WDA352" s="268"/>
      <c r="WDB352" s="268"/>
      <c r="WDC352" s="268"/>
      <c r="WDD352" s="268"/>
      <c r="WDE352" s="268"/>
      <c r="WDF352" s="268"/>
      <c r="WDG352" s="268"/>
      <c r="WDH352" s="268"/>
      <c r="WDI352" s="268"/>
      <c r="WDJ352" s="268"/>
      <c r="WDK352" s="268"/>
      <c r="WDL352" s="268"/>
      <c r="WDM352" s="268"/>
      <c r="WDN352" s="268"/>
      <c r="WDO352" s="268"/>
      <c r="WDP352" s="268"/>
      <c r="WDQ352" s="268"/>
      <c r="WDR352" s="268"/>
      <c r="WDS352" s="268"/>
      <c r="WDT352" s="268"/>
      <c r="WDU352" s="268"/>
      <c r="WDV352" s="268"/>
      <c r="WDW352" s="268"/>
      <c r="WDX352" s="268"/>
      <c r="WDY352" s="268"/>
      <c r="WDZ352" s="268"/>
      <c r="WEA352" s="268"/>
      <c r="WEB352" s="268"/>
      <c r="WEC352" s="268"/>
      <c r="WED352" s="268"/>
      <c r="WEE352" s="268"/>
      <c r="WEF352" s="268"/>
      <c r="WEG352" s="268"/>
      <c r="WEH352" s="268"/>
      <c r="WEI352" s="268"/>
      <c r="WEJ352" s="268"/>
      <c r="WEK352" s="268"/>
      <c r="WEL352" s="268"/>
      <c r="WEM352" s="268"/>
      <c r="WEN352" s="268"/>
      <c r="WEO352" s="268"/>
      <c r="WEP352" s="268"/>
      <c r="WEQ352" s="268"/>
      <c r="WER352" s="268"/>
      <c r="WES352" s="268"/>
      <c r="WET352" s="268"/>
      <c r="WEU352" s="268"/>
      <c r="WEV352" s="268"/>
      <c r="WEW352" s="268"/>
      <c r="WEX352" s="268"/>
      <c r="WEY352" s="268"/>
      <c r="WEZ352" s="268"/>
      <c r="WFA352" s="268"/>
      <c r="WFB352" s="268"/>
      <c r="WFC352" s="268"/>
      <c r="WFD352" s="268"/>
      <c r="WFE352" s="268"/>
      <c r="WFF352" s="268"/>
      <c r="WFG352" s="268"/>
      <c r="WFH352" s="268"/>
      <c r="WFI352" s="268"/>
      <c r="WFJ352" s="268"/>
      <c r="WFK352" s="268"/>
      <c r="WFL352" s="268"/>
      <c r="WFM352" s="268"/>
      <c r="WFN352" s="268"/>
      <c r="WFO352" s="268"/>
      <c r="WFP352" s="268"/>
      <c r="WFQ352" s="268"/>
      <c r="WFR352" s="268"/>
      <c r="WFS352" s="268"/>
      <c r="WFT352" s="268"/>
      <c r="WFU352" s="268"/>
      <c r="WFV352" s="268"/>
      <c r="WFW352" s="268"/>
      <c r="WFX352" s="268"/>
      <c r="WFY352" s="268"/>
      <c r="WFZ352" s="268"/>
      <c r="WGA352" s="268"/>
      <c r="WGB352" s="268"/>
      <c r="WGC352" s="268"/>
      <c r="WGD352" s="268"/>
      <c r="WGE352" s="268"/>
      <c r="WGF352" s="268"/>
      <c r="WGG352" s="268"/>
      <c r="WGH352" s="268"/>
      <c r="WGI352" s="268"/>
      <c r="WGJ352" s="268"/>
      <c r="WGK352" s="268"/>
      <c r="WGL352" s="268"/>
      <c r="WGM352" s="268"/>
      <c r="WGN352" s="268"/>
      <c r="WGO352" s="268"/>
      <c r="WGP352" s="268"/>
      <c r="WGQ352" s="268"/>
      <c r="WGR352" s="268"/>
      <c r="WGS352" s="268"/>
      <c r="WGT352" s="268"/>
      <c r="WGU352" s="268"/>
      <c r="WGV352" s="268"/>
      <c r="WGW352" s="268"/>
      <c r="WGX352" s="268"/>
      <c r="WGY352" s="268"/>
      <c r="WGZ352" s="268"/>
      <c r="WHA352" s="268"/>
      <c r="WHB352" s="268"/>
      <c r="WHC352" s="268"/>
      <c r="WHD352" s="268"/>
      <c r="WHE352" s="268"/>
      <c r="WHF352" s="268"/>
      <c r="WHG352" s="268"/>
      <c r="WHH352" s="268"/>
      <c r="WHI352" s="268"/>
      <c r="WHJ352" s="268"/>
      <c r="WHK352" s="268"/>
      <c r="WHL352" s="268"/>
      <c r="WHM352" s="268"/>
      <c r="WHN352" s="268"/>
      <c r="WHO352" s="268"/>
      <c r="WHP352" s="268"/>
      <c r="WHQ352" s="268"/>
      <c r="WHR352" s="268"/>
      <c r="WHS352" s="268"/>
      <c r="WHT352" s="268"/>
      <c r="WHU352" s="268"/>
      <c r="WHV352" s="268"/>
      <c r="WHW352" s="268"/>
      <c r="WHX352" s="268"/>
      <c r="WHY352" s="268"/>
      <c r="WHZ352" s="268"/>
      <c r="WIA352" s="268"/>
      <c r="WIB352" s="268"/>
      <c r="WIC352" s="268"/>
      <c r="WID352" s="268"/>
      <c r="WIE352" s="268"/>
      <c r="WIF352" s="268"/>
      <c r="WIG352" s="268"/>
      <c r="WIH352" s="268"/>
      <c r="WII352" s="268"/>
      <c r="WIJ352" s="268"/>
      <c r="WIK352" s="268"/>
      <c r="WIL352" s="268"/>
      <c r="WIM352" s="268"/>
      <c r="WIN352" s="268"/>
      <c r="WIO352" s="268"/>
      <c r="WIP352" s="268"/>
      <c r="WIQ352" s="268"/>
      <c r="WIR352" s="268"/>
      <c r="WIS352" s="268"/>
      <c r="WIT352" s="268"/>
      <c r="WIU352" s="268"/>
      <c r="WIV352" s="268"/>
      <c r="WIW352" s="268"/>
      <c r="WIX352" s="268"/>
      <c r="WIY352" s="268"/>
      <c r="WIZ352" s="268"/>
      <c r="WJA352" s="268"/>
      <c r="WJB352" s="268"/>
      <c r="WJC352" s="268"/>
      <c r="WJD352" s="268"/>
      <c r="WJE352" s="268"/>
      <c r="WJF352" s="268"/>
      <c r="WJG352" s="268"/>
      <c r="WJH352" s="268"/>
      <c r="WJI352" s="268"/>
      <c r="WJJ352" s="268"/>
      <c r="WJK352" s="268"/>
      <c r="WJL352" s="268"/>
      <c r="WJM352" s="268"/>
      <c r="WJN352" s="268"/>
      <c r="WJO352" s="268"/>
      <c r="WJP352" s="268"/>
      <c r="WJQ352" s="268"/>
      <c r="WJR352" s="268"/>
      <c r="WJS352" s="268"/>
      <c r="WJT352" s="268"/>
      <c r="WJU352" s="268"/>
      <c r="WJV352" s="268"/>
      <c r="WJW352" s="268"/>
      <c r="WJX352" s="268"/>
      <c r="WJY352" s="268"/>
      <c r="WJZ352" s="268"/>
      <c r="WKA352" s="268"/>
      <c r="WKB352" s="268"/>
      <c r="WKC352" s="268"/>
      <c r="WKD352" s="268"/>
      <c r="WKE352" s="268"/>
      <c r="WKF352" s="268"/>
      <c r="WKG352" s="268"/>
      <c r="WKH352" s="268"/>
      <c r="WKI352" s="268"/>
      <c r="WKJ352" s="268"/>
      <c r="WKK352" s="268"/>
      <c r="WKL352" s="268"/>
      <c r="WKM352" s="268"/>
      <c r="WKN352" s="268"/>
      <c r="WKO352" s="268"/>
      <c r="WKP352" s="268"/>
      <c r="WKQ352" s="268"/>
      <c r="WKR352" s="268"/>
      <c r="WKS352" s="268"/>
      <c r="WKT352" s="268"/>
      <c r="WKU352" s="268"/>
      <c r="WKV352" s="268"/>
      <c r="WKW352" s="268"/>
      <c r="WKX352" s="268"/>
      <c r="WKY352" s="268"/>
      <c r="WKZ352" s="268"/>
      <c r="WLA352" s="268"/>
      <c r="WLB352" s="268"/>
      <c r="WLC352" s="268"/>
      <c r="WLQ352" s="268"/>
      <c r="WLR352" s="268"/>
      <c r="WLS352" s="268"/>
      <c r="WMG352" s="268"/>
      <c r="WMI352" s="268"/>
      <c r="WMJ352" s="268"/>
      <c r="WMK352" s="268"/>
      <c r="WML352" s="268"/>
      <c r="WMM352" s="268"/>
      <c r="WMN352" s="268"/>
      <c r="WMO352" s="268"/>
      <c r="WMP352" s="268"/>
      <c r="WMQ352" s="268"/>
      <c r="WMR352" s="268"/>
      <c r="WMS352" s="268"/>
      <c r="WMT352" s="268"/>
      <c r="WMU352" s="268"/>
      <c r="WMV352" s="268"/>
      <c r="WMW352" s="268"/>
      <c r="WMX352" s="268"/>
      <c r="WMY352" s="268"/>
      <c r="WMZ352" s="268"/>
      <c r="WNA352" s="268"/>
      <c r="WNB352" s="268"/>
      <c r="WNC352" s="268"/>
      <c r="WND352" s="268"/>
      <c r="WNE352" s="268"/>
      <c r="WNF352" s="268"/>
      <c r="WNG352" s="268"/>
      <c r="WNH352" s="268"/>
      <c r="WNI352" s="268"/>
      <c r="WNJ352" s="268"/>
      <c r="WNK352" s="268"/>
      <c r="WNL352" s="268"/>
      <c r="WNM352" s="268"/>
      <c r="WNN352" s="268"/>
      <c r="WNO352" s="268"/>
      <c r="WNP352" s="268"/>
      <c r="WNQ352" s="268"/>
      <c r="WNR352" s="268"/>
      <c r="WNS352" s="268"/>
      <c r="WNT352" s="268"/>
      <c r="WNU352" s="268"/>
      <c r="WNV352" s="268"/>
      <c r="WNW352" s="268"/>
      <c r="WNX352" s="268"/>
      <c r="WNY352" s="268"/>
      <c r="WNZ352" s="268"/>
      <c r="WOA352" s="268"/>
      <c r="WOB352" s="268"/>
      <c r="WOC352" s="268"/>
      <c r="WOD352" s="268"/>
      <c r="WOE352" s="268"/>
      <c r="WOF352" s="268"/>
      <c r="WOG352" s="268"/>
      <c r="WOH352" s="268"/>
      <c r="WOI352" s="268"/>
      <c r="WOJ352" s="268"/>
      <c r="WOK352" s="268"/>
      <c r="WOL352" s="268"/>
      <c r="WOM352" s="268"/>
      <c r="WON352" s="268"/>
      <c r="WOO352" s="268"/>
      <c r="WOP352" s="268"/>
      <c r="WOQ352" s="268"/>
      <c r="WOR352" s="268"/>
      <c r="WOS352" s="268"/>
      <c r="WOT352" s="268"/>
      <c r="WOU352" s="268"/>
      <c r="WOV352" s="268"/>
      <c r="WOW352" s="268"/>
      <c r="WOX352" s="268"/>
      <c r="WOY352" s="268"/>
      <c r="WOZ352" s="268"/>
      <c r="WPA352" s="268"/>
      <c r="WPB352" s="268"/>
      <c r="WPC352" s="268"/>
      <c r="WPD352" s="268"/>
      <c r="WPE352" s="268"/>
      <c r="WPF352" s="268"/>
      <c r="WPG352" s="268"/>
      <c r="WPH352" s="268"/>
      <c r="WPI352" s="268"/>
      <c r="WPJ352" s="268"/>
      <c r="WPK352" s="268"/>
      <c r="WPL352" s="268"/>
      <c r="WPM352" s="268"/>
      <c r="WPN352" s="268"/>
      <c r="WPO352" s="268"/>
      <c r="WPP352" s="268"/>
      <c r="WPQ352" s="268"/>
      <c r="WPR352" s="268"/>
      <c r="WPS352" s="268"/>
      <c r="WPT352" s="268"/>
      <c r="WPU352" s="268"/>
      <c r="WPV352" s="268"/>
      <c r="WPW352" s="268"/>
      <c r="WPX352" s="268"/>
      <c r="WPY352" s="268"/>
      <c r="WPZ352" s="268"/>
      <c r="WQA352" s="268"/>
      <c r="WQB352" s="268"/>
      <c r="WQC352" s="268"/>
      <c r="WQD352" s="268"/>
      <c r="WQE352" s="268"/>
      <c r="WQF352" s="268"/>
      <c r="WQG352" s="268"/>
      <c r="WQH352" s="268"/>
      <c r="WQI352" s="268"/>
      <c r="WQJ352" s="268"/>
      <c r="WQK352" s="268"/>
      <c r="WQL352" s="268"/>
      <c r="WQM352" s="268"/>
      <c r="WQN352" s="268"/>
      <c r="WQO352" s="268"/>
      <c r="WQP352" s="268"/>
      <c r="WQQ352" s="268"/>
      <c r="WQR352" s="268"/>
      <c r="WQS352" s="268"/>
      <c r="WQT352" s="268"/>
      <c r="WQU352" s="268"/>
      <c r="WQV352" s="268"/>
      <c r="WQW352" s="268"/>
      <c r="WQX352" s="268"/>
      <c r="WQY352" s="268"/>
      <c r="WQZ352" s="268"/>
      <c r="WRA352" s="268"/>
      <c r="WRB352" s="268"/>
      <c r="WRC352" s="268"/>
      <c r="WRD352" s="268"/>
      <c r="WRE352" s="268"/>
      <c r="WRF352" s="268"/>
      <c r="WRG352" s="268"/>
      <c r="WRH352" s="268"/>
      <c r="WRI352" s="268"/>
      <c r="WRJ352" s="268"/>
      <c r="WRK352" s="268"/>
      <c r="WRL352" s="268"/>
      <c r="WRM352" s="268"/>
      <c r="WRN352" s="268"/>
      <c r="WRO352" s="268"/>
      <c r="WRP352" s="268"/>
      <c r="WRQ352" s="268"/>
      <c r="WRR352" s="268"/>
      <c r="WRS352" s="268"/>
      <c r="WRT352" s="268"/>
      <c r="WRU352" s="268"/>
      <c r="WRV352" s="268"/>
      <c r="WRW352" s="268"/>
      <c r="WRX352" s="268"/>
      <c r="WRY352" s="268"/>
      <c r="WRZ352" s="268"/>
      <c r="WSA352" s="268"/>
      <c r="WSB352" s="268"/>
      <c r="WSC352" s="268"/>
      <c r="WSD352" s="268"/>
      <c r="WSE352" s="268"/>
      <c r="WSF352" s="268"/>
      <c r="WSG352" s="268"/>
      <c r="WSH352" s="268"/>
      <c r="WSI352" s="268"/>
      <c r="WSJ352" s="268"/>
      <c r="WSK352" s="268"/>
      <c r="WSL352" s="268"/>
      <c r="WSM352" s="268"/>
      <c r="WSN352" s="268"/>
      <c r="WSO352" s="268"/>
      <c r="WSP352" s="268"/>
      <c r="WSQ352" s="268"/>
      <c r="WSR352" s="268"/>
      <c r="WSS352" s="268"/>
      <c r="WST352" s="268"/>
      <c r="WSU352" s="268"/>
      <c r="WSV352" s="268"/>
      <c r="WSW352" s="268"/>
      <c r="WSX352" s="268"/>
      <c r="WSY352" s="268"/>
      <c r="WSZ352" s="268"/>
      <c r="WTA352" s="268"/>
      <c r="WTB352" s="268"/>
      <c r="WTC352" s="268"/>
      <c r="WTD352" s="268"/>
      <c r="WTE352" s="268"/>
      <c r="WTF352" s="268"/>
      <c r="WTG352" s="268"/>
      <c r="WTH352" s="268"/>
      <c r="WTI352" s="268"/>
      <c r="WTJ352" s="268"/>
      <c r="WTK352" s="268"/>
      <c r="WTL352" s="268"/>
      <c r="WTM352" s="268"/>
      <c r="WTN352" s="268"/>
      <c r="WTO352" s="268"/>
      <c r="WTP352" s="268"/>
      <c r="WTQ352" s="268"/>
      <c r="WTR352" s="268"/>
      <c r="WTS352" s="268"/>
      <c r="WTT352" s="268"/>
      <c r="WTU352" s="268"/>
      <c r="WTV352" s="268"/>
      <c r="WTW352" s="268"/>
      <c r="WTX352" s="268"/>
      <c r="WTY352" s="268"/>
      <c r="WTZ352" s="268"/>
      <c r="WUA352" s="268"/>
      <c r="WUB352" s="268"/>
      <c r="WUC352" s="268"/>
      <c r="WUD352" s="268"/>
      <c r="WUE352" s="268"/>
      <c r="WUF352" s="268"/>
      <c r="WUG352" s="268"/>
      <c r="WUH352" s="268"/>
      <c r="WUI352" s="268"/>
      <c r="WUJ352" s="268"/>
      <c r="WUK352" s="268"/>
      <c r="WUL352" s="268"/>
      <c r="WUM352" s="268"/>
      <c r="WUN352" s="268"/>
      <c r="WUO352" s="268"/>
      <c r="WUP352" s="268"/>
      <c r="WUQ352" s="268"/>
      <c r="WUR352" s="268"/>
      <c r="WUS352" s="268"/>
      <c r="WUT352" s="268"/>
      <c r="WUU352" s="268"/>
      <c r="WUV352" s="268"/>
      <c r="WUW352" s="268"/>
      <c r="WUX352" s="268"/>
      <c r="WUY352" s="268"/>
      <c r="WVM352" s="268"/>
      <c r="WVN352" s="268"/>
      <c r="WVO352" s="268"/>
      <c r="WWC352" s="268"/>
      <c r="WWE352" s="268"/>
      <c r="WWF352" s="268"/>
      <c r="WWG352" s="268"/>
      <c r="WWH352" s="268"/>
      <c r="WWI352" s="268"/>
      <c r="WWJ352" s="268"/>
      <c r="WWK352" s="268"/>
      <c r="WWL352" s="268"/>
      <c r="WWM352" s="268"/>
      <c r="WWN352" s="268"/>
      <c r="WWO352" s="268"/>
      <c r="WWP352" s="268"/>
      <c r="WWQ352" s="268"/>
      <c r="WWR352" s="268"/>
      <c r="WWS352" s="268"/>
      <c r="WWT352" s="268"/>
      <c r="WWU352" s="268"/>
      <c r="WWV352" s="268"/>
      <c r="WWW352" s="268"/>
      <c r="WWX352" s="268"/>
      <c r="WWY352" s="268"/>
      <c r="WWZ352" s="268"/>
      <c r="WXA352" s="268"/>
      <c r="WXB352" s="268"/>
      <c r="WXC352" s="268"/>
      <c r="WXD352" s="268"/>
      <c r="WXE352" s="268"/>
      <c r="WXF352" s="268"/>
      <c r="WXG352" s="268"/>
      <c r="WXH352" s="268"/>
      <c r="WXI352" s="268"/>
      <c r="WXJ352" s="268"/>
      <c r="WXK352" s="268"/>
      <c r="WXL352" s="268"/>
      <c r="WXM352" s="268"/>
      <c r="WXN352" s="268"/>
      <c r="WXO352" s="268"/>
      <c r="WXP352" s="268"/>
      <c r="WXQ352" s="268"/>
      <c r="WXR352" s="268"/>
      <c r="WXS352" s="268"/>
      <c r="WXT352" s="268"/>
      <c r="WXU352" s="268"/>
      <c r="WXV352" s="268"/>
      <c r="WXW352" s="268"/>
      <c r="WXX352" s="268"/>
      <c r="WXY352" s="268"/>
      <c r="WXZ352" s="268"/>
      <c r="WYA352" s="268"/>
      <c r="WYB352" s="268"/>
      <c r="WYC352" s="268"/>
      <c r="WYD352" s="268"/>
      <c r="WYE352" s="268"/>
      <c r="WYF352" s="268"/>
      <c r="WYG352" s="268"/>
      <c r="WYH352" s="268"/>
      <c r="WYI352" s="268"/>
      <c r="WYJ352" s="268"/>
      <c r="WYK352" s="268"/>
      <c r="WYL352" s="268"/>
      <c r="WYM352" s="268"/>
      <c r="WYN352" s="268"/>
      <c r="WYO352" s="268"/>
      <c r="WYP352" s="268"/>
      <c r="WYQ352" s="268"/>
      <c r="WYR352" s="268"/>
      <c r="WYS352" s="268"/>
      <c r="WYT352" s="268"/>
      <c r="WYU352" s="268"/>
      <c r="WYV352" s="268"/>
      <c r="WYW352" s="268"/>
      <c r="WYX352" s="268"/>
      <c r="WYY352" s="268"/>
      <c r="WYZ352" s="268"/>
      <c r="WZA352" s="268"/>
      <c r="WZB352" s="268"/>
      <c r="WZC352" s="268"/>
      <c r="WZD352" s="268"/>
      <c r="WZE352" s="268"/>
      <c r="WZF352" s="268"/>
      <c r="WZG352" s="268"/>
      <c r="WZH352" s="268"/>
      <c r="WZI352" s="268"/>
      <c r="WZJ352" s="268"/>
      <c r="WZK352" s="268"/>
      <c r="WZL352" s="268"/>
      <c r="WZM352" s="268"/>
      <c r="WZN352" s="268"/>
      <c r="WZO352" s="268"/>
      <c r="WZP352" s="268"/>
      <c r="WZQ352" s="268"/>
      <c r="WZR352" s="268"/>
      <c r="WZS352" s="268"/>
      <c r="WZT352" s="268"/>
      <c r="WZU352" s="268"/>
      <c r="WZV352" s="268"/>
      <c r="WZW352" s="268"/>
      <c r="WZX352" s="268"/>
      <c r="WZY352" s="268"/>
      <c r="WZZ352" s="268"/>
      <c r="XAA352" s="268"/>
      <c r="XAB352" s="268"/>
      <c r="XAC352" s="268"/>
      <c r="XAD352" s="268"/>
      <c r="XAE352" s="268"/>
      <c r="XAF352" s="268"/>
      <c r="XAG352" s="268"/>
      <c r="XAH352" s="268"/>
      <c r="XAI352" s="268"/>
      <c r="XAJ352" s="268"/>
      <c r="XAK352" s="268"/>
      <c r="XAL352" s="268"/>
      <c r="XAM352" s="268"/>
      <c r="XAN352" s="268"/>
      <c r="XAO352" s="268"/>
      <c r="XAP352" s="268"/>
      <c r="XAQ352" s="268"/>
      <c r="XAR352" s="268"/>
      <c r="XAS352" s="268"/>
      <c r="XAT352" s="268"/>
      <c r="XAU352" s="268"/>
      <c r="XAV352" s="268"/>
      <c r="XAW352" s="268"/>
      <c r="XAX352" s="268"/>
      <c r="XAY352" s="268"/>
      <c r="XAZ352" s="268"/>
      <c r="XBA352" s="268"/>
      <c r="XBB352" s="268"/>
      <c r="XBC352" s="268"/>
      <c r="XBD352" s="268"/>
      <c r="XBE352" s="268"/>
      <c r="XBF352" s="268"/>
      <c r="XBG352" s="268"/>
      <c r="XBH352" s="268"/>
      <c r="XBI352" s="268"/>
      <c r="XBJ352" s="268"/>
      <c r="XBK352" s="268"/>
      <c r="XBL352" s="268"/>
      <c r="XBM352" s="268"/>
      <c r="XBN352" s="268"/>
      <c r="XBO352" s="268"/>
      <c r="XBP352" s="268"/>
      <c r="XBQ352" s="268"/>
      <c r="XBR352" s="268"/>
      <c r="XBS352" s="268"/>
      <c r="XBT352" s="268"/>
      <c r="XBU352" s="268"/>
      <c r="XBV352" s="268"/>
      <c r="XBW352" s="268"/>
      <c r="XBX352" s="268"/>
      <c r="XBY352" s="268"/>
      <c r="XBZ352" s="268"/>
      <c r="XCA352" s="268"/>
      <c r="XCB352" s="268"/>
      <c r="XCC352" s="268"/>
      <c r="XCD352" s="268"/>
      <c r="XCE352" s="268"/>
      <c r="XCF352" s="268"/>
      <c r="XCG352" s="268"/>
      <c r="XCH352" s="268"/>
      <c r="XCI352" s="268"/>
      <c r="XCJ352" s="268"/>
      <c r="XCK352" s="268"/>
      <c r="XCL352" s="268"/>
      <c r="XCM352" s="268"/>
      <c r="XCN352" s="268"/>
      <c r="XCO352" s="268"/>
      <c r="XCP352" s="268"/>
      <c r="XCQ352" s="268"/>
      <c r="XCR352" s="268"/>
      <c r="XCS352" s="268"/>
      <c r="XCT352" s="268"/>
      <c r="XCU352" s="268"/>
      <c r="XCV352" s="268"/>
      <c r="XCW352" s="268"/>
      <c r="XCX352" s="268"/>
      <c r="XCY352" s="268"/>
      <c r="XCZ352" s="268"/>
      <c r="XDA352" s="268"/>
      <c r="XDB352" s="268"/>
      <c r="XDC352" s="268"/>
      <c r="XDD352" s="268"/>
      <c r="XDE352" s="268"/>
      <c r="XDF352" s="268"/>
      <c r="XDG352" s="268"/>
      <c r="XDH352" s="268"/>
      <c r="XDI352" s="268"/>
      <c r="XDJ352" s="268"/>
      <c r="XDK352" s="268"/>
      <c r="XDL352" s="268"/>
      <c r="XDM352" s="268"/>
      <c r="XDN352" s="268"/>
      <c r="XDO352" s="268"/>
      <c r="XDP352" s="268"/>
      <c r="XDQ352" s="268"/>
      <c r="XDR352" s="268"/>
      <c r="XDS352" s="268"/>
      <c r="XDT352" s="268"/>
      <c r="XDU352" s="268"/>
      <c r="XDV352" s="268"/>
      <c r="XDW352" s="268"/>
      <c r="XDX352" s="268"/>
      <c r="XDY352" s="268"/>
      <c r="XDZ352" s="268"/>
      <c r="XEA352" s="268"/>
      <c r="XEB352" s="268"/>
      <c r="XEC352" s="268"/>
      <c r="XED352" s="268"/>
      <c r="XEE352" s="268"/>
      <c r="XEF352" s="268"/>
      <c r="XEG352" s="268"/>
      <c r="XEH352" s="268"/>
      <c r="XEI352" s="268"/>
      <c r="XEJ352" s="268"/>
      <c r="XEK352" s="268"/>
      <c r="XEL352" s="268"/>
      <c r="XEM352" s="268"/>
      <c r="XEN352" s="268"/>
      <c r="XEO352" s="268"/>
      <c r="XEP352" s="268"/>
      <c r="XEQ352" s="268"/>
      <c r="XER352" s="268"/>
      <c r="XES352" s="268"/>
    </row>
    <row r="353" spans="1:1015 1029:2039 2053:3063 3077:4087 4101:5111 5125:6135 6149:7159 7173:8183 8197:9207 9221:10231 10245:11255 11269:12279 12293:13303 13317:14327 14341:15351 15365:16373" hidden="1" outlineLevel="1" x14ac:dyDescent="0.25">
      <c r="A353" s="3" t="s">
        <v>1236</v>
      </c>
      <c r="J353" s="7"/>
      <c r="K353" s="4"/>
      <c r="L353" s="4"/>
      <c r="N353" s="4"/>
      <c r="AI353" s="3">
        <f>-AI352</f>
        <v>-725000</v>
      </c>
      <c r="AJ353" s="4"/>
      <c r="AK353" s="3">
        <f>-AK352</f>
        <v>-725000</v>
      </c>
      <c r="AM353" s="3">
        <f>-AM352</f>
        <v>-725000</v>
      </c>
      <c r="AO353" s="3">
        <f>-AO352</f>
        <v>-725000</v>
      </c>
      <c r="AQ353" s="3">
        <f>-AQ352</f>
        <v>-725000</v>
      </c>
      <c r="AS353" s="3">
        <f>-AS352</f>
        <v>-725000</v>
      </c>
      <c r="AU353" s="3">
        <f>-AU352</f>
        <v>-725000</v>
      </c>
      <c r="AW353" s="3">
        <f>-AW352</f>
        <v>-725000</v>
      </c>
      <c r="AY353" s="3">
        <f>-AY352</f>
        <v>-725000</v>
      </c>
      <c r="BA353" s="3">
        <f>-BA352</f>
        <v>-725000</v>
      </c>
      <c r="BC353" s="3">
        <f>-BC352</f>
        <v>-725000</v>
      </c>
      <c r="BE353" s="3">
        <f>-BE352</f>
        <v>-725000</v>
      </c>
      <c r="BI353" s="268"/>
      <c r="BJ353" s="268"/>
      <c r="BK353" s="268"/>
      <c r="BL353" s="268"/>
      <c r="BM353" s="268"/>
      <c r="BN353" s="268"/>
      <c r="BO353" s="268"/>
      <c r="BP353" s="268"/>
      <c r="BQ353" s="268"/>
      <c r="BR353" s="268"/>
      <c r="BS353" s="268"/>
      <c r="BT353" s="268"/>
      <c r="BU353" s="268"/>
      <c r="BV353" s="268"/>
      <c r="BW353" s="268"/>
      <c r="BX353" s="268"/>
      <c r="BY353" s="268"/>
      <c r="BZ353" s="268"/>
      <c r="CA353" s="268"/>
      <c r="CB353" s="268"/>
      <c r="CC353" s="268"/>
      <c r="CD353" s="268"/>
      <c r="CE353" s="268"/>
      <c r="CF353" s="268"/>
      <c r="CG353" s="268"/>
      <c r="CH353" s="268"/>
      <c r="CI353" s="268"/>
      <c r="CJ353" s="268"/>
      <c r="CK353" s="268"/>
      <c r="CL353" s="268"/>
      <c r="CM353" s="268"/>
      <c r="CN353" s="268"/>
      <c r="CO353" s="268"/>
      <c r="CP353" s="268"/>
      <c r="CQ353" s="268"/>
      <c r="CR353" s="268"/>
      <c r="CS353" s="268"/>
      <c r="CT353" s="268"/>
      <c r="CU353" s="268"/>
      <c r="CV353" s="268"/>
      <c r="CW353" s="268"/>
      <c r="CX353" s="268"/>
      <c r="CY353" s="268"/>
      <c r="CZ353" s="268"/>
      <c r="DA353" s="268"/>
      <c r="DB353" s="268"/>
      <c r="DC353" s="268"/>
      <c r="DD353" s="268"/>
      <c r="DE353" s="268"/>
      <c r="DF353" s="268"/>
      <c r="DG353" s="268"/>
      <c r="DH353" s="268"/>
      <c r="DI353" s="268"/>
      <c r="DJ353" s="268"/>
      <c r="DK353" s="268"/>
      <c r="DL353" s="268"/>
      <c r="DM353" s="268"/>
      <c r="DN353" s="268"/>
      <c r="DO353" s="268"/>
      <c r="DP353" s="268"/>
      <c r="DQ353" s="268"/>
      <c r="DR353" s="268"/>
      <c r="DS353" s="268"/>
      <c r="DT353" s="268"/>
      <c r="DU353" s="268"/>
      <c r="DV353" s="268"/>
      <c r="DW353" s="268"/>
      <c r="DX353" s="268"/>
      <c r="DY353" s="268"/>
      <c r="DZ353" s="268"/>
      <c r="EA353" s="268"/>
      <c r="EB353" s="268"/>
      <c r="EC353" s="268"/>
      <c r="ED353" s="268"/>
      <c r="EE353" s="268"/>
      <c r="EF353" s="268"/>
      <c r="EG353" s="268"/>
      <c r="EH353" s="268"/>
      <c r="EI353" s="268"/>
      <c r="EJ353" s="268"/>
      <c r="EK353" s="268"/>
      <c r="EL353" s="268"/>
      <c r="EM353" s="268"/>
      <c r="EN353" s="268"/>
      <c r="EO353" s="268"/>
      <c r="EP353" s="268"/>
      <c r="EQ353" s="268"/>
      <c r="ER353" s="268"/>
      <c r="ES353" s="268"/>
      <c r="ET353" s="268"/>
      <c r="EU353" s="268"/>
      <c r="EV353" s="268"/>
      <c r="EW353" s="268"/>
      <c r="EX353" s="268"/>
      <c r="EY353" s="268"/>
      <c r="EZ353" s="268"/>
      <c r="FA353" s="268"/>
      <c r="FB353" s="268"/>
      <c r="FC353" s="268"/>
      <c r="FD353" s="268"/>
      <c r="FE353" s="268"/>
      <c r="FF353" s="268"/>
      <c r="FG353" s="268"/>
      <c r="FH353" s="268"/>
      <c r="FI353" s="268"/>
      <c r="FJ353" s="268"/>
      <c r="FK353" s="268"/>
      <c r="FL353" s="268"/>
      <c r="FM353" s="268"/>
      <c r="FN353" s="268"/>
      <c r="FO353" s="268"/>
      <c r="FP353" s="268"/>
      <c r="FQ353" s="268"/>
      <c r="FR353" s="268"/>
      <c r="FS353" s="268"/>
      <c r="FT353" s="268"/>
      <c r="FU353" s="268"/>
      <c r="FV353" s="268"/>
      <c r="FW353" s="268"/>
      <c r="FX353" s="268"/>
      <c r="FY353" s="268"/>
      <c r="FZ353" s="268"/>
      <c r="GA353" s="268"/>
      <c r="GB353" s="268"/>
      <c r="GC353" s="268"/>
      <c r="GD353" s="268"/>
      <c r="GE353" s="268"/>
      <c r="GF353" s="268"/>
      <c r="GG353" s="268"/>
      <c r="GH353" s="268"/>
      <c r="GI353" s="268"/>
      <c r="GJ353" s="268"/>
      <c r="GK353" s="268"/>
      <c r="GL353" s="268"/>
      <c r="GM353" s="268"/>
      <c r="GN353" s="268"/>
      <c r="GO353" s="268"/>
      <c r="GP353" s="268"/>
      <c r="GQ353" s="268"/>
      <c r="GR353" s="268"/>
      <c r="GS353" s="268"/>
      <c r="GT353" s="268"/>
      <c r="GU353" s="268"/>
      <c r="GV353" s="268"/>
      <c r="GW353" s="268"/>
      <c r="GX353" s="268"/>
      <c r="GY353" s="268"/>
      <c r="GZ353" s="268"/>
      <c r="HA353" s="268"/>
      <c r="HB353" s="268"/>
      <c r="HC353" s="268"/>
      <c r="HD353" s="268"/>
      <c r="HE353" s="268"/>
      <c r="HF353" s="268"/>
      <c r="HG353" s="268"/>
      <c r="HH353" s="268"/>
      <c r="HI353" s="268"/>
      <c r="HJ353" s="268"/>
      <c r="HK353" s="268"/>
      <c r="HL353" s="268"/>
      <c r="HM353" s="268"/>
      <c r="HN353" s="268"/>
      <c r="HO353" s="268"/>
      <c r="HP353" s="268"/>
      <c r="HQ353" s="268"/>
      <c r="HR353" s="268"/>
      <c r="HS353" s="268"/>
      <c r="HT353" s="268"/>
      <c r="HU353" s="268"/>
      <c r="HV353" s="268"/>
      <c r="HW353" s="268"/>
      <c r="HX353" s="268"/>
      <c r="HY353" s="268"/>
      <c r="HZ353" s="268"/>
      <c r="IA353" s="268"/>
      <c r="IB353" s="268"/>
      <c r="IC353" s="268"/>
      <c r="ID353" s="268"/>
      <c r="IE353" s="268"/>
      <c r="IF353" s="268"/>
      <c r="IG353" s="268"/>
      <c r="IH353" s="268"/>
      <c r="II353" s="268"/>
      <c r="IJ353" s="268"/>
      <c r="IK353" s="268"/>
      <c r="IL353" s="268"/>
      <c r="IM353" s="268"/>
      <c r="JA353" s="268"/>
      <c r="JB353" s="268"/>
      <c r="JC353" s="268"/>
      <c r="JQ353" s="268"/>
      <c r="JS353" s="268"/>
      <c r="JT353" s="268"/>
      <c r="JU353" s="268"/>
      <c r="JV353" s="268"/>
      <c r="JW353" s="268"/>
      <c r="JX353" s="268"/>
      <c r="JY353" s="268"/>
      <c r="JZ353" s="268"/>
      <c r="KA353" s="268"/>
      <c r="KB353" s="268"/>
      <c r="KC353" s="268"/>
      <c r="KD353" s="268"/>
      <c r="KE353" s="268"/>
      <c r="KF353" s="268"/>
      <c r="KG353" s="268"/>
      <c r="KH353" s="268"/>
      <c r="KI353" s="268"/>
      <c r="KJ353" s="268"/>
      <c r="KK353" s="268"/>
      <c r="KL353" s="268"/>
      <c r="KM353" s="268"/>
      <c r="KN353" s="268"/>
      <c r="KO353" s="268"/>
      <c r="KP353" s="268"/>
      <c r="KQ353" s="268"/>
      <c r="KR353" s="268"/>
      <c r="KS353" s="268"/>
      <c r="KT353" s="268"/>
      <c r="KU353" s="268"/>
      <c r="KV353" s="268"/>
      <c r="KW353" s="268"/>
      <c r="KX353" s="268"/>
      <c r="KY353" s="268"/>
      <c r="KZ353" s="268"/>
      <c r="LA353" s="268"/>
      <c r="LB353" s="268"/>
      <c r="LC353" s="268"/>
      <c r="LD353" s="268"/>
      <c r="LE353" s="268"/>
      <c r="LF353" s="268"/>
      <c r="LG353" s="268"/>
      <c r="LH353" s="268"/>
      <c r="LI353" s="268"/>
      <c r="LJ353" s="268"/>
      <c r="LK353" s="268"/>
      <c r="LL353" s="268"/>
      <c r="LM353" s="268"/>
      <c r="LN353" s="268"/>
      <c r="LO353" s="268"/>
      <c r="LP353" s="268"/>
      <c r="LQ353" s="268"/>
      <c r="LR353" s="268"/>
      <c r="LS353" s="268"/>
      <c r="LT353" s="268"/>
      <c r="LU353" s="268"/>
      <c r="LV353" s="268"/>
      <c r="LW353" s="268"/>
      <c r="LX353" s="268"/>
      <c r="LY353" s="268"/>
      <c r="LZ353" s="268"/>
      <c r="MA353" s="268"/>
      <c r="MB353" s="268"/>
      <c r="MC353" s="268"/>
      <c r="MD353" s="268"/>
      <c r="ME353" s="268"/>
      <c r="MF353" s="268"/>
      <c r="MG353" s="268"/>
      <c r="MH353" s="268"/>
      <c r="MI353" s="268"/>
      <c r="MJ353" s="268"/>
      <c r="MK353" s="268"/>
      <c r="ML353" s="268"/>
      <c r="MM353" s="268"/>
      <c r="MN353" s="268"/>
      <c r="MO353" s="268"/>
      <c r="MP353" s="268"/>
      <c r="MQ353" s="268"/>
      <c r="MR353" s="268"/>
      <c r="MS353" s="268"/>
      <c r="MT353" s="268"/>
      <c r="MU353" s="268"/>
      <c r="MV353" s="268"/>
      <c r="MW353" s="268"/>
      <c r="MX353" s="268"/>
      <c r="MY353" s="268"/>
      <c r="MZ353" s="268"/>
      <c r="NA353" s="268"/>
      <c r="NB353" s="268"/>
      <c r="NC353" s="268"/>
      <c r="ND353" s="268"/>
      <c r="NE353" s="268"/>
      <c r="NF353" s="268"/>
      <c r="NG353" s="268"/>
      <c r="NH353" s="268"/>
      <c r="NI353" s="268"/>
      <c r="NJ353" s="268"/>
      <c r="NK353" s="268"/>
      <c r="NL353" s="268"/>
      <c r="NM353" s="268"/>
      <c r="NN353" s="268"/>
      <c r="NO353" s="268"/>
      <c r="NP353" s="268"/>
      <c r="NQ353" s="268"/>
      <c r="NR353" s="268"/>
      <c r="NS353" s="268"/>
      <c r="NT353" s="268"/>
      <c r="NU353" s="268"/>
      <c r="NV353" s="268"/>
      <c r="NW353" s="268"/>
      <c r="NX353" s="268"/>
      <c r="NY353" s="268"/>
      <c r="NZ353" s="268"/>
      <c r="OA353" s="268"/>
      <c r="OB353" s="268"/>
      <c r="OC353" s="268"/>
      <c r="OD353" s="268"/>
      <c r="OE353" s="268"/>
      <c r="OF353" s="268"/>
      <c r="OG353" s="268"/>
      <c r="OH353" s="268"/>
      <c r="OI353" s="268"/>
      <c r="OJ353" s="268"/>
      <c r="OK353" s="268"/>
      <c r="OL353" s="268"/>
      <c r="OM353" s="268"/>
      <c r="ON353" s="268"/>
      <c r="OO353" s="268"/>
      <c r="OP353" s="268"/>
      <c r="OQ353" s="268"/>
      <c r="OR353" s="268"/>
      <c r="OS353" s="268"/>
      <c r="OT353" s="268"/>
      <c r="OU353" s="268"/>
      <c r="OV353" s="268"/>
      <c r="OW353" s="268"/>
      <c r="OX353" s="268"/>
      <c r="OY353" s="268"/>
      <c r="OZ353" s="268"/>
      <c r="PA353" s="268"/>
      <c r="PB353" s="268"/>
      <c r="PC353" s="268"/>
      <c r="PD353" s="268"/>
      <c r="PE353" s="268"/>
      <c r="PF353" s="268"/>
      <c r="PG353" s="268"/>
      <c r="PH353" s="268"/>
      <c r="PI353" s="268"/>
      <c r="PJ353" s="268"/>
      <c r="PK353" s="268"/>
      <c r="PL353" s="268"/>
      <c r="PM353" s="268"/>
      <c r="PN353" s="268"/>
      <c r="PO353" s="268"/>
      <c r="PP353" s="268"/>
      <c r="PQ353" s="268"/>
      <c r="PR353" s="268"/>
      <c r="PS353" s="268"/>
      <c r="PT353" s="268"/>
      <c r="PU353" s="268"/>
      <c r="PV353" s="268"/>
      <c r="PW353" s="268"/>
      <c r="PX353" s="268"/>
      <c r="PY353" s="268"/>
      <c r="PZ353" s="268"/>
      <c r="QA353" s="268"/>
      <c r="QB353" s="268"/>
      <c r="QC353" s="268"/>
      <c r="QD353" s="268"/>
      <c r="QE353" s="268"/>
      <c r="QF353" s="268"/>
      <c r="QG353" s="268"/>
      <c r="QH353" s="268"/>
      <c r="QI353" s="268"/>
      <c r="QJ353" s="268"/>
      <c r="QK353" s="268"/>
      <c r="QL353" s="268"/>
      <c r="QM353" s="268"/>
      <c r="QN353" s="268"/>
      <c r="QO353" s="268"/>
      <c r="QP353" s="268"/>
      <c r="QQ353" s="268"/>
      <c r="QR353" s="268"/>
      <c r="QS353" s="268"/>
      <c r="QT353" s="268"/>
      <c r="QU353" s="268"/>
      <c r="QV353" s="268"/>
      <c r="QW353" s="268"/>
      <c r="QX353" s="268"/>
      <c r="QY353" s="268"/>
      <c r="QZ353" s="268"/>
      <c r="RA353" s="268"/>
      <c r="RB353" s="268"/>
      <c r="RC353" s="268"/>
      <c r="RD353" s="268"/>
      <c r="RE353" s="268"/>
      <c r="RF353" s="268"/>
      <c r="RG353" s="268"/>
      <c r="RH353" s="268"/>
      <c r="RI353" s="268"/>
      <c r="RJ353" s="268"/>
      <c r="RK353" s="268"/>
      <c r="RL353" s="268"/>
      <c r="RM353" s="268"/>
      <c r="RN353" s="268"/>
      <c r="RO353" s="268"/>
      <c r="RP353" s="268"/>
      <c r="RQ353" s="268"/>
      <c r="RR353" s="268"/>
      <c r="RS353" s="268"/>
      <c r="RT353" s="268"/>
      <c r="RU353" s="268"/>
      <c r="RV353" s="268"/>
      <c r="RW353" s="268"/>
      <c r="RX353" s="268"/>
      <c r="RY353" s="268"/>
      <c r="RZ353" s="268"/>
      <c r="SA353" s="268"/>
      <c r="SB353" s="268"/>
      <c r="SC353" s="268"/>
      <c r="SD353" s="268"/>
      <c r="SE353" s="268"/>
      <c r="SF353" s="268"/>
      <c r="SG353" s="268"/>
      <c r="SH353" s="268"/>
      <c r="SI353" s="268"/>
      <c r="SW353" s="268"/>
      <c r="SX353" s="268"/>
      <c r="SY353" s="268"/>
      <c r="TM353" s="268"/>
      <c r="TO353" s="268"/>
      <c r="TP353" s="268"/>
      <c r="TQ353" s="268"/>
      <c r="TR353" s="268"/>
      <c r="TS353" s="268"/>
      <c r="TT353" s="268"/>
      <c r="TU353" s="268"/>
      <c r="TV353" s="268"/>
      <c r="TW353" s="268"/>
      <c r="TX353" s="268"/>
      <c r="TY353" s="268"/>
      <c r="TZ353" s="268"/>
      <c r="UA353" s="268"/>
      <c r="UB353" s="268"/>
      <c r="UC353" s="268"/>
      <c r="UD353" s="268"/>
      <c r="UE353" s="268"/>
      <c r="UF353" s="268"/>
      <c r="UG353" s="268"/>
      <c r="UH353" s="268"/>
      <c r="UI353" s="268"/>
      <c r="UJ353" s="268"/>
      <c r="UK353" s="268"/>
      <c r="UL353" s="268"/>
      <c r="UM353" s="268"/>
      <c r="UN353" s="268"/>
      <c r="UO353" s="268"/>
      <c r="UP353" s="268"/>
      <c r="UQ353" s="268"/>
      <c r="UR353" s="268"/>
      <c r="US353" s="268"/>
      <c r="UT353" s="268"/>
      <c r="UU353" s="268"/>
      <c r="UV353" s="268"/>
      <c r="UW353" s="268"/>
      <c r="UX353" s="268"/>
      <c r="UY353" s="268"/>
      <c r="UZ353" s="268"/>
      <c r="VA353" s="268"/>
      <c r="VB353" s="268"/>
      <c r="VC353" s="268"/>
      <c r="VD353" s="268"/>
      <c r="VE353" s="268"/>
      <c r="VF353" s="268"/>
      <c r="VG353" s="268"/>
      <c r="VH353" s="268"/>
      <c r="VI353" s="268"/>
      <c r="VJ353" s="268"/>
      <c r="VK353" s="268"/>
      <c r="VL353" s="268"/>
      <c r="VM353" s="268"/>
      <c r="VN353" s="268"/>
      <c r="VO353" s="268"/>
      <c r="VP353" s="268"/>
      <c r="VQ353" s="268"/>
      <c r="VR353" s="268"/>
      <c r="VS353" s="268"/>
      <c r="VT353" s="268"/>
      <c r="VU353" s="268"/>
      <c r="VV353" s="268"/>
      <c r="VW353" s="268"/>
      <c r="VX353" s="268"/>
      <c r="VY353" s="268"/>
      <c r="VZ353" s="268"/>
      <c r="WA353" s="268"/>
      <c r="WB353" s="268"/>
      <c r="WC353" s="268"/>
      <c r="WD353" s="268"/>
      <c r="WE353" s="268"/>
      <c r="WF353" s="268"/>
      <c r="WG353" s="268"/>
      <c r="WH353" s="268"/>
      <c r="WI353" s="268"/>
      <c r="WJ353" s="268"/>
      <c r="WK353" s="268"/>
      <c r="WL353" s="268"/>
      <c r="WM353" s="268"/>
      <c r="WN353" s="268"/>
      <c r="WO353" s="268"/>
      <c r="WP353" s="268"/>
      <c r="WQ353" s="268"/>
      <c r="WR353" s="268"/>
      <c r="WS353" s="268"/>
      <c r="WT353" s="268"/>
      <c r="WU353" s="268"/>
      <c r="WV353" s="268"/>
      <c r="WW353" s="268"/>
      <c r="WX353" s="268"/>
      <c r="WY353" s="268"/>
      <c r="WZ353" s="268"/>
      <c r="XA353" s="268"/>
      <c r="XB353" s="268"/>
      <c r="XC353" s="268"/>
      <c r="XD353" s="268"/>
      <c r="XE353" s="268"/>
      <c r="XF353" s="268"/>
      <c r="XG353" s="268"/>
      <c r="XH353" s="268"/>
      <c r="XI353" s="268"/>
      <c r="XJ353" s="268"/>
      <c r="XK353" s="268"/>
      <c r="XL353" s="268"/>
      <c r="XM353" s="268"/>
      <c r="XN353" s="268"/>
      <c r="XO353" s="268"/>
      <c r="XP353" s="268"/>
      <c r="XQ353" s="268"/>
      <c r="XR353" s="268"/>
      <c r="XS353" s="268"/>
      <c r="XT353" s="268"/>
      <c r="XU353" s="268"/>
      <c r="XV353" s="268"/>
      <c r="XW353" s="268"/>
      <c r="XX353" s="268"/>
      <c r="XY353" s="268"/>
      <c r="XZ353" s="268"/>
      <c r="YA353" s="268"/>
      <c r="YB353" s="268"/>
      <c r="YC353" s="268"/>
      <c r="YD353" s="268"/>
      <c r="YE353" s="268"/>
      <c r="YF353" s="268"/>
      <c r="YG353" s="268"/>
      <c r="YH353" s="268"/>
      <c r="YI353" s="268"/>
      <c r="YJ353" s="268"/>
      <c r="YK353" s="268"/>
      <c r="YL353" s="268"/>
      <c r="YM353" s="268"/>
      <c r="YN353" s="268"/>
      <c r="YO353" s="268"/>
      <c r="YP353" s="268"/>
      <c r="YQ353" s="268"/>
      <c r="YR353" s="268"/>
      <c r="YS353" s="268"/>
      <c r="YT353" s="268"/>
      <c r="YU353" s="268"/>
      <c r="YV353" s="268"/>
      <c r="YW353" s="268"/>
      <c r="YX353" s="268"/>
      <c r="YY353" s="268"/>
      <c r="YZ353" s="268"/>
      <c r="ZA353" s="268"/>
      <c r="ZB353" s="268"/>
      <c r="ZC353" s="268"/>
      <c r="ZD353" s="268"/>
      <c r="ZE353" s="268"/>
      <c r="ZF353" s="268"/>
      <c r="ZG353" s="268"/>
      <c r="ZH353" s="268"/>
      <c r="ZI353" s="268"/>
      <c r="ZJ353" s="268"/>
      <c r="ZK353" s="268"/>
      <c r="ZL353" s="268"/>
      <c r="ZM353" s="268"/>
      <c r="ZN353" s="268"/>
      <c r="ZO353" s="268"/>
      <c r="ZP353" s="268"/>
      <c r="ZQ353" s="268"/>
      <c r="ZR353" s="268"/>
      <c r="ZS353" s="268"/>
      <c r="ZT353" s="268"/>
      <c r="ZU353" s="268"/>
      <c r="ZV353" s="268"/>
      <c r="ZW353" s="268"/>
      <c r="ZX353" s="268"/>
      <c r="ZY353" s="268"/>
      <c r="ZZ353" s="268"/>
      <c r="AAA353" s="268"/>
      <c r="AAB353" s="268"/>
      <c r="AAC353" s="268"/>
      <c r="AAD353" s="268"/>
      <c r="AAE353" s="268"/>
      <c r="AAF353" s="268"/>
      <c r="AAG353" s="268"/>
      <c r="AAH353" s="268"/>
      <c r="AAI353" s="268"/>
      <c r="AAJ353" s="268"/>
      <c r="AAK353" s="268"/>
      <c r="AAL353" s="268"/>
      <c r="AAM353" s="268"/>
      <c r="AAN353" s="268"/>
      <c r="AAO353" s="268"/>
      <c r="AAP353" s="268"/>
      <c r="AAQ353" s="268"/>
      <c r="AAR353" s="268"/>
      <c r="AAS353" s="268"/>
      <c r="AAT353" s="268"/>
      <c r="AAU353" s="268"/>
      <c r="AAV353" s="268"/>
      <c r="AAW353" s="268"/>
      <c r="AAX353" s="268"/>
      <c r="AAY353" s="268"/>
      <c r="AAZ353" s="268"/>
      <c r="ABA353" s="268"/>
      <c r="ABB353" s="268"/>
      <c r="ABC353" s="268"/>
      <c r="ABD353" s="268"/>
      <c r="ABE353" s="268"/>
      <c r="ABF353" s="268"/>
      <c r="ABG353" s="268"/>
      <c r="ABH353" s="268"/>
      <c r="ABI353" s="268"/>
      <c r="ABJ353" s="268"/>
      <c r="ABK353" s="268"/>
      <c r="ABL353" s="268"/>
      <c r="ABM353" s="268"/>
      <c r="ABN353" s="268"/>
      <c r="ABO353" s="268"/>
      <c r="ABP353" s="268"/>
      <c r="ABQ353" s="268"/>
      <c r="ABR353" s="268"/>
      <c r="ABS353" s="268"/>
      <c r="ABT353" s="268"/>
      <c r="ABU353" s="268"/>
      <c r="ABV353" s="268"/>
      <c r="ABW353" s="268"/>
      <c r="ABX353" s="268"/>
      <c r="ABY353" s="268"/>
      <c r="ABZ353" s="268"/>
      <c r="ACA353" s="268"/>
      <c r="ACB353" s="268"/>
      <c r="ACC353" s="268"/>
      <c r="ACD353" s="268"/>
      <c r="ACE353" s="268"/>
      <c r="ACS353" s="268"/>
      <c r="ACT353" s="268"/>
      <c r="ACU353" s="268"/>
      <c r="ADI353" s="268"/>
      <c r="ADK353" s="268"/>
      <c r="ADL353" s="268"/>
      <c r="ADM353" s="268"/>
      <c r="ADN353" s="268"/>
      <c r="ADO353" s="268"/>
      <c r="ADP353" s="268"/>
      <c r="ADQ353" s="268"/>
      <c r="ADR353" s="268"/>
      <c r="ADS353" s="268"/>
      <c r="ADT353" s="268"/>
      <c r="ADU353" s="268"/>
      <c r="ADV353" s="268"/>
      <c r="ADW353" s="268"/>
      <c r="ADX353" s="268"/>
      <c r="ADY353" s="268"/>
      <c r="ADZ353" s="268"/>
      <c r="AEA353" s="268"/>
      <c r="AEB353" s="268"/>
      <c r="AEC353" s="268"/>
      <c r="AED353" s="268"/>
      <c r="AEE353" s="268"/>
      <c r="AEF353" s="268"/>
      <c r="AEG353" s="268"/>
      <c r="AEH353" s="268"/>
      <c r="AEI353" s="268"/>
      <c r="AEJ353" s="268"/>
      <c r="AEK353" s="268"/>
      <c r="AEL353" s="268"/>
      <c r="AEM353" s="268"/>
      <c r="AEN353" s="268"/>
      <c r="AEO353" s="268"/>
      <c r="AEP353" s="268"/>
      <c r="AEQ353" s="268"/>
      <c r="AER353" s="268"/>
      <c r="AES353" s="268"/>
      <c r="AET353" s="268"/>
      <c r="AEU353" s="268"/>
      <c r="AEV353" s="268"/>
      <c r="AEW353" s="268"/>
      <c r="AEX353" s="268"/>
      <c r="AEY353" s="268"/>
      <c r="AEZ353" s="268"/>
      <c r="AFA353" s="268"/>
      <c r="AFB353" s="268"/>
      <c r="AFC353" s="268"/>
      <c r="AFD353" s="268"/>
      <c r="AFE353" s="268"/>
      <c r="AFF353" s="268"/>
      <c r="AFG353" s="268"/>
      <c r="AFH353" s="268"/>
      <c r="AFI353" s="268"/>
      <c r="AFJ353" s="268"/>
      <c r="AFK353" s="268"/>
      <c r="AFL353" s="268"/>
      <c r="AFM353" s="268"/>
      <c r="AFN353" s="268"/>
      <c r="AFO353" s="268"/>
      <c r="AFP353" s="268"/>
      <c r="AFQ353" s="268"/>
      <c r="AFR353" s="268"/>
      <c r="AFS353" s="268"/>
      <c r="AFT353" s="268"/>
      <c r="AFU353" s="268"/>
      <c r="AFV353" s="268"/>
      <c r="AFW353" s="268"/>
      <c r="AFX353" s="268"/>
      <c r="AFY353" s="268"/>
      <c r="AFZ353" s="268"/>
      <c r="AGA353" s="268"/>
      <c r="AGB353" s="268"/>
      <c r="AGC353" s="268"/>
      <c r="AGD353" s="268"/>
      <c r="AGE353" s="268"/>
      <c r="AGF353" s="268"/>
      <c r="AGG353" s="268"/>
      <c r="AGH353" s="268"/>
      <c r="AGI353" s="268"/>
      <c r="AGJ353" s="268"/>
      <c r="AGK353" s="268"/>
      <c r="AGL353" s="268"/>
      <c r="AGM353" s="268"/>
      <c r="AGN353" s="268"/>
      <c r="AGO353" s="268"/>
      <c r="AGP353" s="268"/>
      <c r="AGQ353" s="268"/>
      <c r="AGR353" s="268"/>
      <c r="AGS353" s="268"/>
      <c r="AGT353" s="268"/>
      <c r="AGU353" s="268"/>
      <c r="AGV353" s="268"/>
      <c r="AGW353" s="268"/>
      <c r="AGX353" s="268"/>
      <c r="AGY353" s="268"/>
      <c r="AGZ353" s="268"/>
      <c r="AHA353" s="268"/>
      <c r="AHB353" s="268"/>
      <c r="AHC353" s="268"/>
      <c r="AHD353" s="268"/>
      <c r="AHE353" s="268"/>
      <c r="AHF353" s="268"/>
      <c r="AHG353" s="268"/>
      <c r="AHH353" s="268"/>
      <c r="AHI353" s="268"/>
      <c r="AHJ353" s="268"/>
      <c r="AHK353" s="268"/>
      <c r="AHL353" s="268"/>
      <c r="AHM353" s="268"/>
      <c r="AHN353" s="268"/>
      <c r="AHO353" s="268"/>
      <c r="AHP353" s="268"/>
      <c r="AHQ353" s="268"/>
      <c r="AHR353" s="268"/>
      <c r="AHS353" s="268"/>
      <c r="AHT353" s="268"/>
      <c r="AHU353" s="268"/>
      <c r="AHV353" s="268"/>
      <c r="AHW353" s="268"/>
      <c r="AHX353" s="268"/>
      <c r="AHY353" s="268"/>
      <c r="AHZ353" s="268"/>
      <c r="AIA353" s="268"/>
      <c r="AIB353" s="268"/>
      <c r="AIC353" s="268"/>
      <c r="AID353" s="268"/>
      <c r="AIE353" s="268"/>
      <c r="AIF353" s="268"/>
      <c r="AIG353" s="268"/>
      <c r="AIH353" s="268"/>
      <c r="AII353" s="268"/>
      <c r="AIJ353" s="268"/>
      <c r="AIK353" s="268"/>
      <c r="AIL353" s="268"/>
      <c r="AIM353" s="268"/>
      <c r="AIN353" s="268"/>
      <c r="AIO353" s="268"/>
      <c r="AIP353" s="268"/>
      <c r="AIQ353" s="268"/>
      <c r="AIR353" s="268"/>
      <c r="AIS353" s="268"/>
      <c r="AIT353" s="268"/>
      <c r="AIU353" s="268"/>
      <c r="AIV353" s="268"/>
      <c r="AIW353" s="268"/>
      <c r="AIX353" s="268"/>
      <c r="AIY353" s="268"/>
      <c r="AIZ353" s="268"/>
      <c r="AJA353" s="268"/>
      <c r="AJB353" s="268"/>
      <c r="AJC353" s="268"/>
      <c r="AJD353" s="268"/>
      <c r="AJE353" s="268"/>
      <c r="AJF353" s="268"/>
      <c r="AJG353" s="268"/>
      <c r="AJH353" s="268"/>
      <c r="AJI353" s="268"/>
      <c r="AJJ353" s="268"/>
      <c r="AJK353" s="268"/>
      <c r="AJL353" s="268"/>
      <c r="AJM353" s="268"/>
      <c r="AJN353" s="268"/>
      <c r="AJO353" s="268"/>
      <c r="AJP353" s="268"/>
      <c r="AJQ353" s="268"/>
      <c r="AJR353" s="268"/>
      <c r="AJS353" s="268"/>
      <c r="AJT353" s="268"/>
      <c r="AJU353" s="268"/>
      <c r="AJV353" s="268"/>
      <c r="AJW353" s="268"/>
      <c r="AJX353" s="268"/>
      <c r="AJY353" s="268"/>
      <c r="AJZ353" s="268"/>
      <c r="AKA353" s="268"/>
      <c r="AKB353" s="268"/>
      <c r="AKC353" s="268"/>
      <c r="AKD353" s="268"/>
      <c r="AKE353" s="268"/>
      <c r="AKF353" s="268"/>
      <c r="AKG353" s="268"/>
      <c r="AKH353" s="268"/>
      <c r="AKI353" s="268"/>
      <c r="AKJ353" s="268"/>
      <c r="AKK353" s="268"/>
      <c r="AKL353" s="268"/>
      <c r="AKM353" s="268"/>
      <c r="AKN353" s="268"/>
      <c r="AKO353" s="268"/>
      <c r="AKP353" s="268"/>
      <c r="AKQ353" s="268"/>
      <c r="AKR353" s="268"/>
      <c r="AKS353" s="268"/>
      <c r="AKT353" s="268"/>
      <c r="AKU353" s="268"/>
      <c r="AKV353" s="268"/>
      <c r="AKW353" s="268"/>
      <c r="AKX353" s="268"/>
      <c r="AKY353" s="268"/>
      <c r="AKZ353" s="268"/>
      <c r="ALA353" s="268"/>
      <c r="ALB353" s="268"/>
      <c r="ALC353" s="268"/>
      <c r="ALD353" s="268"/>
      <c r="ALE353" s="268"/>
      <c r="ALF353" s="268"/>
      <c r="ALG353" s="268"/>
      <c r="ALH353" s="268"/>
      <c r="ALI353" s="268"/>
      <c r="ALJ353" s="268"/>
      <c r="ALK353" s="268"/>
      <c r="ALL353" s="268"/>
      <c r="ALM353" s="268"/>
      <c r="ALN353" s="268"/>
      <c r="ALO353" s="268"/>
      <c r="ALP353" s="268"/>
      <c r="ALQ353" s="268"/>
      <c r="ALR353" s="268"/>
      <c r="ALS353" s="268"/>
      <c r="ALT353" s="268"/>
      <c r="ALU353" s="268"/>
      <c r="ALV353" s="268"/>
      <c r="ALW353" s="268"/>
      <c r="ALX353" s="268"/>
      <c r="ALY353" s="268"/>
      <c r="ALZ353" s="268"/>
      <c r="AMA353" s="268"/>
      <c r="AMO353" s="268"/>
      <c r="AMP353" s="268"/>
      <c r="AMQ353" s="268"/>
      <c r="ANE353" s="268"/>
      <c r="ANG353" s="268"/>
      <c r="ANH353" s="268"/>
      <c r="ANI353" s="268"/>
      <c r="ANJ353" s="268"/>
      <c r="ANK353" s="268"/>
      <c r="ANL353" s="268"/>
      <c r="ANM353" s="268"/>
      <c r="ANN353" s="268"/>
      <c r="ANO353" s="268"/>
      <c r="ANP353" s="268"/>
      <c r="ANQ353" s="268"/>
      <c r="ANR353" s="268"/>
      <c r="ANS353" s="268"/>
      <c r="ANT353" s="268"/>
      <c r="ANU353" s="268"/>
      <c r="ANV353" s="268"/>
      <c r="ANW353" s="268"/>
      <c r="ANX353" s="268"/>
      <c r="ANY353" s="268"/>
      <c r="ANZ353" s="268"/>
      <c r="AOA353" s="268"/>
      <c r="AOB353" s="268"/>
      <c r="AOC353" s="268"/>
      <c r="AOD353" s="268"/>
      <c r="AOE353" s="268"/>
      <c r="AOF353" s="268"/>
      <c r="AOG353" s="268"/>
      <c r="AOH353" s="268"/>
      <c r="AOI353" s="268"/>
      <c r="AOJ353" s="268"/>
      <c r="AOK353" s="268"/>
      <c r="AOL353" s="268"/>
      <c r="AOM353" s="268"/>
      <c r="AON353" s="268"/>
      <c r="AOO353" s="268"/>
      <c r="AOP353" s="268"/>
      <c r="AOQ353" s="268"/>
      <c r="AOR353" s="268"/>
      <c r="AOS353" s="268"/>
      <c r="AOT353" s="268"/>
      <c r="AOU353" s="268"/>
      <c r="AOV353" s="268"/>
      <c r="AOW353" s="268"/>
      <c r="AOX353" s="268"/>
      <c r="AOY353" s="268"/>
      <c r="AOZ353" s="268"/>
      <c r="APA353" s="268"/>
      <c r="APB353" s="268"/>
      <c r="APC353" s="268"/>
      <c r="APD353" s="268"/>
      <c r="APE353" s="268"/>
      <c r="APF353" s="268"/>
      <c r="APG353" s="268"/>
      <c r="APH353" s="268"/>
      <c r="API353" s="268"/>
      <c r="APJ353" s="268"/>
      <c r="APK353" s="268"/>
      <c r="APL353" s="268"/>
      <c r="APM353" s="268"/>
      <c r="APN353" s="268"/>
      <c r="APO353" s="268"/>
      <c r="APP353" s="268"/>
      <c r="APQ353" s="268"/>
      <c r="APR353" s="268"/>
      <c r="APS353" s="268"/>
      <c r="APT353" s="268"/>
      <c r="APU353" s="268"/>
      <c r="APV353" s="268"/>
      <c r="APW353" s="268"/>
      <c r="APX353" s="268"/>
      <c r="APY353" s="268"/>
      <c r="APZ353" s="268"/>
      <c r="AQA353" s="268"/>
      <c r="AQB353" s="268"/>
      <c r="AQC353" s="268"/>
      <c r="AQD353" s="268"/>
      <c r="AQE353" s="268"/>
      <c r="AQF353" s="268"/>
      <c r="AQG353" s="268"/>
      <c r="AQH353" s="268"/>
      <c r="AQI353" s="268"/>
      <c r="AQJ353" s="268"/>
      <c r="AQK353" s="268"/>
      <c r="AQL353" s="268"/>
      <c r="AQM353" s="268"/>
      <c r="AQN353" s="268"/>
      <c r="AQO353" s="268"/>
      <c r="AQP353" s="268"/>
      <c r="AQQ353" s="268"/>
      <c r="AQR353" s="268"/>
      <c r="AQS353" s="268"/>
      <c r="AQT353" s="268"/>
      <c r="AQU353" s="268"/>
      <c r="AQV353" s="268"/>
      <c r="AQW353" s="268"/>
      <c r="AQX353" s="268"/>
      <c r="AQY353" s="268"/>
      <c r="AQZ353" s="268"/>
      <c r="ARA353" s="268"/>
      <c r="ARB353" s="268"/>
      <c r="ARC353" s="268"/>
      <c r="ARD353" s="268"/>
      <c r="ARE353" s="268"/>
      <c r="ARF353" s="268"/>
      <c r="ARG353" s="268"/>
      <c r="ARH353" s="268"/>
      <c r="ARI353" s="268"/>
      <c r="ARJ353" s="268"/>
      <c r="ARK353" s="268"/>
      <c r="ARL353" s="268"/>
      <c r="ARM353" s="268"/>
      <c r="ARN353" s="268"/>
      <c r="ARO353" s="268"/>
      <c r="ARP353" s="268"/>
      <c r="ARQ353" s="268"/>
      <c r="ARR353" s="268"/>
      <c r="ARS353" s="268"/>
      <c r="ART353" s="268"/>
      <c r="ARU353" s="268"/>
      <c r="ARV353" s="268"/>
      <c r="ARW353" s="268"/>
      <c r="ARX353" s="268"/>
      <c r="ARY353" s="268"/>
      <c r="ARZ353" s="268"/>
      <c r="ASA353" s="268"/>
      <c r="ASB353" s="268"/>
      <c r="ASC353" s="268"/>
      <c r="ASD353" s="268"/>
      <c r="ASE353" s="268"/>
      <c r="ASF353" s="268"/>
      <c r="ASG353" s="268"/>
      <c r="ASH353" s="268"/>
      <c r="ASI353" s="268"/>
      <c r="ASJ353" s="268"/>
      <c r="ASK353" s="268"/>
      <c r="ASL353" s="268"/>
      <c r="ASM353" s="268"/>
      <c r="ASN353" s="268"/>
      <c r="ASO353" s="268"/>
      <c r="ASP353" s="268"/>
      <c r="ASQ353" s="268"/>
      <c r="ASR353" s="268"/>
      <c r="ASS353" s="268"/>
      <c r="AST353" s="268"/>
      <c r="ASU353" s="268"/>
      <c r="ASV353" s="268"/>
      <c r="ASW353" s="268"/>
      <c r="ASX353" s="268"/>
      <c r="ASY353" s="268"/>
      <c r="ASZ353" s="268"/>
      <c r="ATA353" s="268"/>
      <c r="ATB353" s="268"/>
      <c r="ATC353" s="268"/>
      <c r="ATD353" s="268"/>
      <c r="ATE353" s="268"/>
      <c r="ATF353" s="268"/>
      <c r="ATG353" s="268"/>
      <c r="ATH353" s="268"/>
      <c r="ATI353" s="268"/>
      <c r="ATJ353" s="268"/>
      <c r="ATK353" s="268"/>
      <c r="ATL353" s="268"/>
      <c r="ATM353" s="268"/>
      <c r="ATN353" s="268"/>
      <c r="ATO353" s="268"/>
      <c r="ATP353" s="268"/>
      <c r="ATQ353" s="268"/>
      <c r="ATR353" s="268"/>
      <c r="ATS353" s="268"/>
      <c r="ATT353" s="268"/>
      <c r="ATU353" s="268"/>
      <c r="ATV353" s="268"/>
      <c r="ATW353" s="268"/>
      <c r="ATX353" s="268"/>
      <c r="ATY353" s="268"/>
      <c r="ATZ353" s="268"/>
      <c r="AUA353" s="268"/>
      <c r="AUB353" s="268"/>
      <c r="AUC353" s="268"/>
      <c r="AUD353" s="268"/>
      <c r="AUE353" s="268"/>
      <c r="AUF353" s="268"/>
      <c r="AUG353" s="268"/>
      <c r="AUH353" s="268"/>
      <c r="AUI353" s="268"/>
      <c r="AUJ353" s="268"/>
      <c r="AUK353" s="268"/>
      <c r="AUL353" s="268"/>
      <c r="AUM353" s="268"/>
      <c r="AUN353" s="268"/>
      <c r="AUO353" s="268"/>
      <c r="AUP353" s="268"/>
      <c r="AUQ353" s="268"/>
      <c r="AUR353" s="268"/>
      <c r="AUS353" s="268"/>
      <c r="AUT353" s="268"/>
      <c r="AUU353" s="268"/>
      <c r="AUV353" s="268"/>
      <c r="AUW353" s="268"/>
      <c r="AUX353" s="268"/>
      <c r="AUY353" s="268"/>
      <c r="AUZ353" s="268"/>
      <c r="AVA353" s="268"/>
      <c r="AVB353" s="268"/>
      <c r="AVC353" s="268"/>
      <c r="AVD353" s="268"/>
      <c r="AVE353" s="268"/>
      <c r="AVF353" s="268"/>
      <c r="AVG353" s="268"/>
      <c r="AVH353" s="268"/>
      <c r="AVI353" s="268"/>
      <c r="AVJ353" s="268"/>
      <c r="AVK353" s="268"/>
      <c r="AVL353" s="268"/>
      <c r="AVM353" s="268"/>
      <c r="AVN353" s="268"/>
      <c r="AVO353" s="268"/>
      <c r="AVP353" s="268"/>
      <c r="AVQ353" s="268"/>
      <c r="AVR353" s="268"/>
      <c r="AVS353" s="268"/>
      <c r="AVT353" s="268"/>
      <c r="AVU353" s="268"/>
      <c r="AVV353" s="268"/>
      <c r="AVW353" s="268"/>
      <c r="AWK353" s="268"/>
      <c r="AWL353" s="268"/>
      <c r="AWM353" s="268"/>
      <c r="AXA353" s="268"/>
      <c r="AXC353" s="268"/>
      <c r="AXD353" s="268"/>
      <c r="AXE353" s="268"/>
      <c r="AXF353" s="268"/>
      <c r="AXG353" s="268"/>
      <c r="AXH353" s="268"/>
      <c r="AXI353" s="268"/>
      <c r="AXJ353" s="268"/>
      <c r="AXK353" s="268"/>
      <c r="AXL353" s="268"/>
      <c r="AXM353" s="268"/>
      <c r="AXN353" s="268"/>
      <c r="AXO353" s="268"/>
      <c r="AXP353" s="268"/>
      <c r="AXQ353" s="268"/>
      <c r="AXR353" s="268"/>
      <c r="AXS353" s="268"/>
      <c r="AXT353" s="268"/>
      <c r="AXU353" s="268"/>
      <c r="AXV353" s="268"/>
      <c r="AXW353" s="268"/>
      <c r="AXX353" s="268"/>
      <c r="AXY353" s="268"/>
      <c r="AXZ353" s="268"/>
      <c r="AYA353" s="268"/>
      <c r="AYB353" s="268"/>
      <c r="AYC353" s="268"/>
      <c r="AYD353" s="268"/>
      <c r="AYE353" s="268"/>
      <c r="AYF353" s="268"/>
      <c r="AYG353" s="268"/>
      <c r="AYH353" s="268"/>
      <c r="AYI353" s="268"/>
      <c r="AYJ353" s="268"/>
      <c r="AYK353" s="268"/>
      <c r="AYL353" s="268"/>
      <c r="AYM353" s="268"/>
      <c r="AYN353" s="268"/>
      <c r="AYO353" s="268"/>
      <c r="AYP353" s="268"/>
      <c r="AYQ353" s="268"/>
      <c r="AYR353" s="268"/>
      <c r="AYS353" s="268"/>
      <c r="AYT353" s="268"/>
      <c r="AYU353" s="268"/>
      <c r="AYV353" s="268"/>
      <c r="AYW353" s="268"/>
      <c r="AYX353" s="268"/>
      <c r="AYY353" s="268"/>
      <c r="AYZ353" s="268"/>
      <c r="AZA353" s="268"/>
      <c r="AZB353" s="268"/>
      <c r="AZC353" s="268"/>
      <c r="AZD353" s="268"/>
      <c r="AZE353" s="268"/>
      <c r="AZF353" s="268"/>
      <c r="AZG353" s="268"/>
      <c r="AZH353" s="268"/>
      <c r="AZI353" s="268"/>
      <c r="AZJ353" s="268"/>
      <c r="AZK353" s="268"/>
      <c r="AZL353" s="268"/>
      <c r="AZM353" s="268"/>
      <c r="AZN353" s="268"/>
      <c r="AZO353" s="268"/>
      <c r="AZP353" s="268"/>
      <c r="AZQ353" s="268"/>
      <c r="AZR353" s="268"/>
      <c r="AZS353" s="268"/>
      <c r="AZT353" s="268"/>
      <c r="AZU353" s="268"/>
      <c r="AZV353" s="268"/>
      <c r="AZW353" s="268"/>
      <c r="AZX353" s="268"/>
      <c r="AZY353" s="268"/>
      <c r="AZZ353" s="268"/>
      <c r="BAA353" s="268"/>
      <c r="BAB353" s="268"/>
      <c r="BAC353" s="268"/>
      <c r="BAD353" s="268"/>
      <c r="BAE353" s="268"/>
      <c r="BAF353" s="268"/>
      <c r="BAG353" s="268"/>
      <c r="BAH353" s="268"/>
      <c r="BAI353" s="268"/>
      <c r="BAJ353" s="268"/>
      <c r="BAK353" s="268"/>
      <c r="BAL353" s="268"/>
      <c r="BAM353" s="268"/>
      <c r="BAN353" s="268"/>
      <c r="BAO353" s="268"/>
      <c r="BAP353" s="268"/>
      <c r="BAQ353" s="268"/>
      <c r="BAR353" s="268"/>
      <c r="BAS353" s="268"/>
      <c r="BAT353" s="268"/>
      <c r="BAU353" s="268"/>
      <c r="BAV353" s="268"/>
      <c r="BAW353" s="268"/>
      <c r="BAX353" s="268"/>
      <c r="BAY353" s="268"/>
      <c r="BAZ353" s="268"/>
      <c r="BBA353" s="268"/>
      <c r="BBB353" s="268"/>
      <c r="BBC353" s="268"/>
      <c r="BBD353" s="268"/>
      <c r="BBE353" s="268"/>
      <c r="BBF353" s="268"/>
      <c r="BBG353" s="268"/>
      <c r="BBH353" s="268"/>
      <c r="BBI353" s="268"/>
      <c r="BBJ353" s="268"/>
      <c r="BBK353" s="268"/>
      <c r="BBL353" s="268"/>
      <c r="BBM353" s="268"/>
      <c r="BBN353" s="268"/>
      <c r="BBO353" s="268"/>
      <c r="BBP353" s="268"/>
      <c r="BBQ353" s="268"/>
      <c r="BBR353" s="268"/>
      <c r="BBS353" s="268"/>
      <c r="BBT353" s="268"/>
      <c r="BBU353" s="268"/>
      <c r="BBV353" s="268"/>
      <c r="BBW353" s="268"/>
      <c r="BBX353" s="268"/>
      <c r="BBY353" s="268"/>
      <c r="BBZ353" s="268"/>
      <c r="BCA353" s="268"/>
      <c r="BCB353" s="268"/>
      <c r="BCC353" s="268"/>
      <c r="BCD353" s="268"/>
      <c r="BCE353" s="268"/>
      <c r="BCF353" s="268"/>
      <c r="BCG353" s="268"/>
      <c r="BCH353" s="268"/>
      <c r="BCI353" s="268"/>
      <c r="BCJ353" s="268"/>
      <c r="BCK353" s="268"/>
      <c r="BCL353" s="268"/>
      <c r="BCM353" s="268"/>
      <c r="BCN353" s="268"/>
      <c r="BCO353" s="268"/>
      <c r="BCP353" s="268"/>
      <c r="BCQ353" s="268"/>
      <c r="BCR353" s="268"/>
      <c r="BCS353" s="268"/>
      <c r="BCT353" s="268"/>
      <c r="BCU353" s="268"/>
      <c r="BCV353" s="268"/>
      <c r="BCW353" s="268"/>
      <c r="BCX353" s="268"/>
      <c r="BCY353" s="268"/>
      <c r="BCZ353" s="268"/>
      <c r="BDA353" s="268"/>
      <c r="BDB353" s="268"/>
      <c r="BDC353" s="268"/>
      <c r="BDD353" s="268"/>
      <c r="BDE353" s="268"/>
      <c r="BDF353" s="268"/>
      <c r="BDG353" s="268"/>
      <c r="BDH353" s="268"/>
      <c r="BDI353" s="268"/>
      <c r="BDJ353" s="268"/>
      <c r="BDK353" s="268"/>
      <c r="BDL353" s="268"/>
      <c r="BDM353" s="268"/>
      <c r="BDN353" s="268"/>
      <c r="BDO353" s="268"/>
      <c r="BDP353" s="268"/>
      <c r="BDQ353" s="268"/>
      <c r="BDR353" s="268"/>
      <c r="BDS353" s="268"/>
      <c r="BDT353" s="268"/>
      <c r="BDU353" s="268"/>
      <c r="BDV353" s="268"/>
      <c r="BDW353" s="268"/>
      <c r="BDX353" s="268"/>
      <c r="BDY353" s="268"/>
      <c r="BDZ353" s="268"/>
      <c r="BEA353" s="268"/>
      <c r="BEB353" s="268"/>
      <c r="BEC353" s="268"/>
      <c r="BED353" s="268"/>
      <c r="BEE353" s="268"/>
      <c r="BEF353" s="268"/>
      <c r="BEG353" s="268"/>
      <c r="BEH353" s="268"/>
      <c r="BEI353" s="268"/>
      <c r="BEJ353" s="268"/>
      <c r="BEK353" s="268"/>
      <c r="BEL353" s="268"/>
      <c r="BEM353" s="268"/>
      <c r="BEN353" s="268"/>
      <c r="BEO353" s="268"/>
      <c r="BEP353" s="268"/>
      <c r="BEQ353" s="268"/>
      <c r="BER353" s="268"/>
      <c r="BES353" s="268"/>
      <c r="BET353" s="268"/>
      <c r="BEU353" s="268"/>
      <c r="BEV353" s="268"/>
      <c r="BEW353" s="268"/>
      <c r="BEX353" s="268"/>
      <c r="BEY353" s="268"/>
      <c r="BEZ353" s="268"/>
      <c r="BFA353" s="268"/>
      <c r="BFB353" s="268"/>
      <c r="BFC353" s="268"/>
      <c r="BFD353" s="268"/>
      <c r="BFE353" s="268"/>
      <c r="BFF353" s="268"/>
      <c r="BFG353" s="268"/>
      <c r="BFH353" s="268"/>
      <c r="BFI353" s="268"/>
      <c r="BFJ353" s="268"/>
      <c r="BFK353" s="268"/>
      <c r="BFL353" s="268"/>
      <c r="BFM353" s="268"/>
      <c r="BFN353" s="268"/>
      <c r="BFO353" s="268"/>
      <c r="BFP353" s="268"/>
      <c r="BFQ353" s="268"/>
      <c r="BFR353" s="268"/>
      <c r="BFS353" s="268"/>
      <c r="BGG353" s="268"/>
      <c r="BGH353" s="268"/>
      <c r="BGI353" s="268"/>
      <c r="BGW353" s="268"/>
      <c r="BGY353" s="268"/>
      <c r="BGZ353" s="268"/>
      <c r="BHA353" s="268"/>
      <c r="BHB353" s="268"/>
      <c r="BHC353" s="268"/>
      <c r="BHD353" s="268"/>
      <c r="BHE353" s="268"/>
      <c r="BHF353" s="268"/>
      <c r="BHG353" s="268"/>
      <c r="BHH353" s="268"/>
      <c r="BHI353" s="268"/>
      <c r="BHJ353" s="268"/>
      <c r="BHK353" s="268"/>
      <c r="BHL353" s="268"/>
      <c r="BHM353" s="268"/>
      <c r="BHN353" s="268"/>
      <c r="BHO353" s="268"/>
      <c r="BHP353" s="268"/>
      <c r="BHQ353" s="268"/>
      <c r="BHR353" s="268"/>
      <c r="BHS353" s="268"/>
      <c r="BHT353" s="268"/>
      <c r="BHU353" s="268"/>
      <c r="BHV353" s="268"/>
      <c r="BHW353" s="268"/>
      <c r="BHX353" s="268"/>
      <c r="BHY353" s="268"/>
      <c r="BHZ353" s="268"/>
      <c r="BIA353" s="268"/>
      <c r="BIB353" s="268"/>
      <c r="BIC353" s="268"/>
      <c r="BID353" s="268"/>
      <c r="BIE353" s="268"/>
      <c r="BIF353" s="268"/>
      <c r="BIG353" s="268"/>
      <c r="BIH353" s="268"/>
      <c r="BII353" s="268"/>
      <c r="BIJ353" s="268"/>
      <c r="BIK353" s="268"/>
      <c r="BIL353" s="268"/>
      <c r="BIM353" s="268"/>
      <c r="BIN353" s="268"/>
      <c r="BIO353" s="268"/>
      <c r="BIP353" s="268"/>
      <c r="BIQ353" s="268"/>
      <c r="BIR353" s="268"/>
      <c r="BIS353" s="268"/>
      <c r="BIT353" s="268"/>
      <c r="BIU353" s="268"/>
      <c r="BIV353" s="268"/>
      <c r="BIW353" s="268"/>
      <c r="BIX353" s="268"/>
      <c r="BIY353" s="268"/>
      <c r="BIZ353" s="268"/>
      <c r="BJA353" s="268"/>
      <c r="BJB353" s="268"/>
      <c r="BJC353" s="268"/>
      <c r="BJD353" s="268"/>
      <c r="BJE353" s="268"/>
      <c r="BJF353" s="268"/>
      <c r="BJG353" s="268"/>
      <c r="BJH353" s="268"/>
      <c r="BJI353" s="268"/>
      <c r="BJJ353" s="268"/>
      <c r="BJK353" s="268"/>
      <c r="BJL353" s="268"/>
      <c r="BJM353" s="268"/>
      <c r="BJN353" s="268"/>
      <c r="BJO353" s="268"/>
      <c r="BJP353" s="268"/>
      <c r="BJQ353" s="268"/>
      <c r="BJR353" s="268"/>
      <c r="BJS353" s="268"/>
      <c r="BJT353" s="268"/>
      <c r="BJU353" s="268"/>
      <c r="BJV353" s="268"/>
      <c r="BJW353" s="268"/>
      <c r="BJX353" s="268"/>
      <c r="BJY353" s="268"/>
      <c r="BJZ353" s="268"/>
      <c r="BKA353" s="268"/>
      <c r="BKB353" s="268"/>
      <c r="BKC353" s="268"/>
      <c r="BKD353" s="268"/>
      <c r="BKE353" s="268"/>
      <c r="BKF353" s="268"/>
      <c r="BKG353" s="268"/>
      <c r="BKH353" s="268"/>
      <c r="BKI353" s="268"/>
      <c r="BKJ353" s="268"/>
      <c r="BKK353" s="268"/>
      <c r="BKL353" s="268"/>
      <c r="BKM353" s="268"/>
      <c r="BKN353" s="268"/>
      <c r="BKO353" s="268"/>
      <c r="BKP353" s="268"/>
      <c r="BKQ353" s="268"/>
      <c r="BKR353" s="268"/>
      <c r="BKS353" s="268"/>
      <c r="BKT353" s="268"/>
      <c r="BKU353" s="268"/>
      <c r="BKV353" s="268"/>
      <c r="BKW353" s="268"/>
      <c r="BKX353" s="268"/>
      <c r="BKY353" s="268"/>
      <c r="BKZ353" s="268"/>
      <c r="BLA353" s="268"/>
      <c r="BLB353" s="268"/>
      <c r="BLC353" s="268"/>
      <c r="BLD353" s="268"/>
      <c r="BLE353" s="268"/>
      <c r="BLF353" s="268"/>
      <c r="BLG353" s="268"/>
      <c r="BLH353" s="268"/>
      <c r="BLI353" s="268"/>
      <c r="BLJ353" s="268"/>
      <c r="BLK353" s="268"/>
      <c r="BLL353" s="268"/>
      <c r="BLM353" s="268"/>
      <c r="BLN353" s="268"/>
      <c r="BLO353" s="268"/>
      <c r="BLP353" s="268"/>
      <c r="BLQ353" s="268"/>
      <c r="BLR353" s="268"/>
      <c r="BLS353" s="268"/>
      <c r="BLT353" s="268"/>
      <c r="BLU353" s="268"/>
      <c r="BLV353" s="268"/>
      <c r="BLW353" s="268"/>
      <c r="BLX353" s="268"/>
      <c r="BLY353" s="268"/>
      <c r="BLZ353" s="268"/>
      <c r="BMA353" s="268"/>
      <c r="BMB353" s="268"/>
      <c r="BMC353" s="268"/>
      <c r="BMD353" s="268"/>
      <c r="BME353" s="268"/>
      <c r="BMF353" s="268"/>
      <c r="BMG353" s="268"/>
      <c r="BMH353" s="268"/>
      <c r="BMI353" s="268"/>
      <c r="BMJ353" s="268"/>
      <c r="BMK353" s="268"/>
      <c r="BML353" s="268"/>
      <c r="BMM353" s="268"/>
      <c r="BMN353" s="268"/>
      <c r="BMO353" s="268"/>
      <c r="BMP353" s="268"/>
      <c r="BMQ353" s="268"/>
      <c r="BMR353" s="268"/>
      <c r="BMS353" s="268"/>
      <c r="BMT353" s="268"/>
      <c r="BMU353" s="268"/>
      <c r="BMV353" s="268"/>
      <c r="BMW353" s="268"/>
      <c r="BMX353" s="268"/>
      <c r="BMY353" s="268"/>
      <c r="BMZ353" s="268"/>
      <c r="BNA353" s="268"/>
      <c r="BNB353" s="268"/>
      <c r="BNC353" s="268"/>
      <c r="BND353" s="268"/>
      <c r="BNE353" s="268"/>
      <c r="BNF353" s="268"/>
      <c r="BNG353" s="268"/>
      <c r="BNH353" s="268"/>
      <c r="BNI353" s="268"/>
      <c r="BNJ353" s="268"/>
      <c r="BNK353" s="268"/>
      <c r="BNL353" s="268"/>
      <c r="BNM353" s="268"/>
      <c r="BNN353" s="268"/>
      <c r="BNO353" s="268"/>
      <c r="BNP353" s="268"/>
      <c r="BNQ353" s="268"/>
      <c r="BNR353" s="268"/>
      <c r="BNS353" s="268"/>
      <c r="BNT353" s="268"/>
      <c r="BNU353" s="268"/>
      <c r="BNV353" s="268"/>
      <c r="BNW353" s="268"/>
      <c r="BNX353" s="268"/>
      <c r="BNY353" s="268"/>
      <c r="BNZ353" s="268"/>
      <c r="BOA353" s="268"/>
      <c r="BOB353" s="268"/>
      <c r="BOC353" s="268"/>
      <c r="BOD353" s="268"/>
      <c r="BOE353" s="268"/>
      <c r="BOF353" s="268"/>
      <c r="BOG353" s="268"/>
      <c r="BOH353" s="268"/>
      <c r="BOI353" s="268"/>
      <c r="BOJ353" s="268"/>
      <c r="BOK353" s="268"/>
      <c r="BOL353" s="268"/>
      <c r="BOM353" s="268"/>
      <c r="BON353" s="268"/>
      <c r="BOO353" s="268"/>
      <c r="BOP353" s="268"/>
      <c r="BOQ353" s="268"/>
      <c r="BOR353" s="268"/>
      <c r="BOS353" s="268"/>
      <c r="BOT353" s="268"/>
      <c r="BOU353" s="268"/>
      <c r="BOV353" s="268"/>
      <c r="BOW353" s="268"/>
      <c r="BOX353" s="268"/>
      <c r="BOY353" s="268"/>
      <c r="BOZ353" s="268"/>
      <c r="BPA353" s="268"/>
      <c r="BPB353" s="268"/>
      <c r="BPC353" s="268"/>
      <c r="BPD353" s="268"/>
      <c r="BPE353" s="268"/>
      <c r="BPF353" s="268"/>
      <c r="BPG353" s="268"/>
      <c r="BPH353" s="268"/>
      <c r="BPI353" s="268"/>
      <c r="BPJ353" s="268"/>
      <c r="BPK353" s="268"/>
      <c r="BPL353" s="268"/>
      <c r="BPM353" s="268"/>
      <c r="BPN353" s="268"/>
      <c r="BPO353" s="268"/>
      <c r="BQC353" s="268"/>
      <c r="BQD353" s="268"/>
      <c r="BQE353" s="268"/>
      <c r="BQS353" s="268"/>
      <c r="BQU353" s="268"/>
      <c r="BQV353" s="268"/>
      <c r="BQW353" s="268"/>
      <c r="BQX353" s="268"/>
      <c r="BQY353" s="268"/>
      <c r="BQZ353" s="268"/>
      <c r="BRA353" s="268"/>
      <c r="BRB353" s="268"/>
      <c r="BRC353" s="268"/>
      <c r="BRD353" s="268"/>
      <c r="BRE353" s="268"/>
      <c r="BRF353" s="268"/>
      <c r="BRG353" s="268"/>
      <c r="BRH353" s="268"/>
      <c r="BRI353" s="268"/>
      <c r="BRJ353" s="268"/>
      <c r="BRK353" s="268"/>
      <c r="BRL353" s="268"/>
      <c r="BRM353" s="268"/>
      <c r="BRN353" s="268"/>
      <c r="BRO353" s="268"/>
      <c r="BRP353" s="268"/>
      <c r="BRQ353" s="268"/>
      <c r="BRR353" s="268"/>
      <c r="BRS353" s="268"/>
      <c r="BRT353" s="268"/>
      <c r="BRU353" s="268"/>
      <c r="BRV353" s="268"/>
      <c r="BRW353" s="268"/>
      <c r="BRX353" s="268"/>
      <c r="BRY353" s="268"/>
      <c r="BRZ353" s="268"/>
      <c r="BSA353" s="268"/>
      <c r="BSB353" s="268"/>
      <c r="BSC353" s="268"/>
      <c r="BSD353" s="268"/>
      <c r="BSE353" s="268"/>
      <c r="BSF353" s="268"/>
      <c r="BSG353" s="268"/>
      <c r="BSH353" s="268"/>
      <c r="BSI353" s="268"/>
      <c r="BSJ353" s="268"/>
      <c r="BSK353" s="268"/>
      <c r="BSL353" s="268"/>
      <c r="BSM353" s="268"/>
      <c r="BSN353" s="268"/>
      <c r="BSO353" s="268"/>
      <c r="BSP353" s="268"/>
      <c r="BSQ353" s="268"/>
      <c r="BSR353" s="268"/>
      <c r="BSS353" s="268"/>
      <c r="BST353" s="268"/>
      <c r="BSU353" s="268"/>
      <c r="BSV353" s="268"/>
      <c r="BSW353" s="268"/>
      <c r="BSX353" s="268"/>
      <c r="BSY353" s="268"/>
      <c r="BSZ353" s="268"/>
      <c r="BTA353" s="268"/>
      <c r="BTB353" s="268"/>
      <c r="BTC353" s="268"/>
      <c r="BTD353" s="268"/>
      <c r="BTE353" s="268"/>
      <c r="BTF353" s="268"/>
      <c r="BTG353" s="268"/>
      <c r="BTH353" s="268"/>
      <c r="BTI353" s="268"/>
      <c r="BTJ353" s="268"/>
      <c r="BTK353" s="268"/>
      <c r="BTL353" s="268"/>
      <c r="BTM353" s="268"/>
      <c r="BTN353" s="268"/>
      <c r="BTO353" s="268"/>
      <c r="BTP353" s="268"/>
      <c r="BTQ353" s="268"/>
      <c r="BTR353" s="268"/>
      <c r="BTS353" s="268"/>
      <c r="BTT353" s="268"/>
      <c r="BTU353" s="268"/>
      <c r="BTV353" s="268"/>
      <c r="BTW353" s="268"/>
      <c r="BTX353" s="268"/>
      <c r="BTY353" s="268"/>
      <c r="BTZ353" s="268"/>
      <c r="BUA353" s="268"/>
      <c r="BUB353" s="268"/>
      <c r="BUC353" s="268"/>
      <c r="BUD353" s="268"/>
      <c r="BUE353" s="268"/>
      <c r="BUF353" s="268"/>
      <c r="BUG353" s="268"/>
      <c r="BUH353" s="268"/>
      <c r="BUI353" s="268"/>
      <c r="BUJ353" s="268"/>
      <c r="BUK353" s="268"/>
      <c r="BUL353" s="268"/>
      <c r="BUM353" s="268"/>
      <c r="BUN353" s="268"/>
      <c r="BUO353" s="268"/>
      <c r="BUP353" s="268"/>
      <c r="BUQ353" s="268"/>
      <c r="BUR353" s="268"/>
      <c r="BUS353" s="268"/>
      <c r="BUT353" s="268"/>
      <c r="BUU353" s="268"/>
      <c r="BUV353" s="268"/>
      <c r="BUW353" s="268"/>
      <c r="BUX353" s="268"/>
      <c r="BUY353" s="268"/>
      <c r="BUZ353" s="268"/>
      <c r="BVA353" s="268"/>
      <c r="BVB353" s="268"/>
      <c r="BVC353" s="268"/>
      <c r="BVD353" s="268"/>
      <c r="BVE353" s="268"/>
      <c r="BVF353" s="268"/>
      <c r="BVG353" s="268"/>
      <c r="BVH353" s="268"/>
      <c r="BVI353" s="268"/>
      <c r="BVJ353" s="268"/>
      <c r="BVK353" s="268"/>
      <c r="BVL353" s="268"/>
      <c r="BVM353" s="268"/>
      <c r="BVN353" s="268"/>
      <c r="BVO353" s="268"/>
      <c r="BVP353" s="268"/>
      <c r="BVQ353" s="268"/>
      <c r="BVR353" s="268"/>
      <c r="BVS353" s="268"/>
      <c r="BVT353" s="268"/>
      <c r="BVU353" s="268"/>
      <c r="BVV353" s="268"/>
      <c r="BVW353" s="268"/>
      <c r="BVX353" s="268"/>
      <c r="BVY353" s="268"/>
      <c r="BVZ353" s="268"/>
      <c r="BWA353" s="268"/>
      <c r="BWB353" s="268"/>
      <c r="BWC353" s="268"/>
      <c r="BWD353" s="268"/>
      <c r="BWE353" s="268"/>
      <c r="BWF353" s="268"/>
      <c r="BWG353" s="268"/>
      <c r="BWH353" s="268"/>
      <c r="BWI353" s="268"/>
      <c r="BWJ353" s="268"/>
      <c r="BWK353" s="268"/>
      <c r="BWL353" s="268"/>
      <c r="BWM353" s="268"/>
      <c r="BWN353" s="268"/>
      <c r="BWO353" s="268"/>
      <c r="BWP353" s="268"/>
      <c r="BWQ353" s="268"/>
      <c r="BWR353" s="268"/>
      <c r="BWS353" s="268"/>
      <c r="BWT353" s="268"/>
      <c r="BWU353" s="268"/>
      <c r="BWV353" s="268"/>
      <c r="BWW353" s="268"/>
      <c r="BWX353" s="268"/>
      <c r="BWY353" s="268"/>
      <c r="BWZ353" s="268"/>
      <c r="BXA353" s="268"/>
      <c r="BXB353" s="268"/>
      <c r="BXC353" s="268"/>
      <c r="BXD353" s="268"/>
      <c r="BXE353" s="268"/>
      <c r="BXF353" s="268"/>
      <c r="BXG353" s="268"/>
      <c r="BXH353" s="268"/>
      <c r="BXI353" s="268"/>
      <c r="BXJ353" s="268"/>
      <c r="BXK353" s="268"/>
      <c r="BXL353" s="268"/>
      <c r="BXM353" s="268"/>
      <c r="BXN353" s="268"/>
      <c r="BXO353" s="268"/>
      <c r="BXP353" s="268"/>
      <c r="BXQ353" s="268"/>
      <c r="BXR353" s="268"/>
      <c r="BXS353" s="268"/>
      <c r="BXT353" s="268"/>
      <c r="BXU353" s="268"/>
      <c r="BXV353" s="268"/>
      <c r="BXW353" s="268"/>
      <c r="BXX353" s="268"/>
      <c r="BXY353" s="268"/>
      <c r="BXZ353" s="268"/>
      <c r="BYA353" s="268"/>
      <c r="BYB353" s="268"/>
      <c r="BYC353" s="268"/>
      <c r="BYD353" s="268"/>
      <c r="BYE353" s="268"/>
      <c r="BYF353" s="268"/>
      <c r="BYG353" s="268"/>
      <c r="BYH353" s="268"/>
      <c r="BYI353" s="268"/>
      <c r="BYJ353" s="268"/>
      <c r="BYK353" s="268"/>
      <c r="BYL353" s="268"/>
      <c r="BYM353" s="268"/>
      <c r="BYN353" s="268"/>
      <c r="BYO353" s="268"/>
      <c r="BYP353" s="268"/>
      <c r="BYQ353" s="268"/>
      <c r="BYR353" s="268"/>
      <c r="BYS353" s="268"/>
      <c r="BYT353" s="268"/>
      <c r="BYU353" s="268"/>
      <c r="BYV353" s="268"/>
      <c r="BYW353" s="268"/>
      <c r="BYX353" s="268"/>
      <c r="BYY353" s="268"/>
      <c r="BYZ353" s="268"/>
      <c r="BZA353" s="268"/>
      <c r="BZB353" s="268"/>
      <c r="BZC353" s="268"/>
      <c r="BZD353" s="268"/>
      <c r="BZE353" s="268"/>
      <c r="BZF353" s="268"/>
      <c r="BZG353" s="268"/>
      <c r="BZH353" s="268"/>
      <c r="BZI353" s="268"/>
      <c r="BZJ353" s="268"/>
      <c r="BZK353" s="268"/>
      <c r="BZY353" s="268"/>
      <c r="BZZ353" s="268"/>
      <c r="CAA353" s="268"/>
      <c r="CAO353" s="268"/>
      <c r="CAQ353" s="268"/>
      <c r="CAR353" s="268"/>
      <c r="CAS353" s="268"/>
      <c r="CAT353" s="268"/>
      <c r="CAU353" s="268"/>
      <c r="CAV353" s="268"/>
      <c r="CAW353" s="268"/>
      <c r="CAX353" s="268"/>
      <c r="CAY353" s="268"/>
      <c r="CAZ353" s="268"/>
      <c r="CBA353" s="268"/>
      <c r="CBB353" s="268"/>
      <c r="CBC353" s="268"/>
      <c r="CBD353" s="268"/>
      <c r="CBE353" s="268"/>
      <c r="CBF353" s="268"/>
      <c r="CBG353" s="268"/>
      <c r="CBH353" s="268"/>
      <c r="CBI353" s="268"/>
      <c r="CBJ353" s="268"/>
      <c r="CBK353" s="268"/>
      <c r="CBL353" s="268"/>
      <c r="CBM353" s="268"/>
      <c r="CBN353" s="268"/>
      <c r="CBO353" s="268"/>
      <c r="CBP353" s="268"/>
      <c r="CBQ353" s="268"/>
      <c r="CBR353" s="268"/>
      <c r="CBS353" s="268"/>
      <c r="CBT353" s="268"/>
      <c r="CBU353" s="268"/>
      <c r="CBV353" s="268"/>
      <c r="CBW353" s="268"/>
      <c r="CBX353" s="268"/>
      <c r="CBY353" s="268"/>
      <c r="CBZ353" s="268"/>
      <c r="CCA353" s="268"/>
      <c r="CCB353" s="268"/>
      <c r="CCC353" s="268"/>
      <c r="CCD353" s="268"/>
      <c r="CCE353" s="268"/>
      <c r="CCF353" s="268"/>
      <c r="CCG353" s="268"/>
      <c r="CCH353" s="268"/>
      <c r="CCI353" s="268"/>
      <c r="CCJ353" s="268"/>
      <c r="CCK353" s="268"/>
      <c r="CCL353" s="268"/>
      <c r="CCM353" s="268"/>
      <c r="CCN353" s="268"/>
      <c r="CCO353" s="268"/>
      <c r="CCP353" s="268"/>
      <c r="CCQ353" s="268"/>
      <c r="CCR353" s="268"/>
      <c r="CCS353" s="268"/>
      <c r="CCT353" s="268"/>
      <c r="CCU353" s="268"/>
      <c r="CCV353" s="268"/>
      <c r="CCW353" s="268"/>
      <c r="CCX353" s="268"/>
      <c r="CCY353" s="268"/>
      <c r="CCZ353" s="268"/>
      <c r="CDA353" s="268"/>
      <c r="CDB353" s="268"/>
      <c r="CDC353" s="268"/>
      <c r="CDD353" s="268"/>
      <c r="CDE353" s="268"/>
      <c r="CDF353" s="268"/>
      <c r="CDG353" s="268"/>
      <c r="CDH353" s="268"/>
      <c r="CDI353" s="268"/>
      <c r="CDJ353" s="268"/>
      <c r="CDK353" s="268"/>
      <c r="CDL353" s="268"/>
      <c r="CDM353" s="268"/>
      <c r="CDN353" s="268"/>
      <c r="CDO353" s="268"/>
      <c r="CDP353" s="268"/>
      <c r="CDQ353" s="268"/>
      <c r="CDR353" s="268"/>
      <c r="CDS353" s="268"/>
      <c r="CDT353" s="268"/>
      <c r="CDU353" s="268"/>
      <c r="CDV353" s="268"/>
      <c r="CDW353" s="268"/>
      <c r="CDX353" s="268"/>
      <c r="CDY353" s="268"/>
      <c r="CDZ353" s="268"/>
      <c r="CEA353" s="268"/>
      <c r="CEB353" s="268"/>
      <c r="CEC353" s="268"/>
      <c r="CED353" s="268"/>
      <c r="CEE353" s="268"/>
      <c r="CEF353" s="268"/>
      <c r="CEG353" s="268"/>
      <c r="CEH353" s="268"/>
      <c r="CEI353" s="268"/>
      <c r="CEJ353" s="268"/>
      <c r="CEK353" s="268"/>
      <c r="CEL353" s="268"/>
      <c r="CEM353" s="268"/>
      <c r="CEN353" s="268"/>
      <c r="CEO353" s="268"/>
      <c r="CEP353" s="268"/>
      <c r="CEQ353" s="268"/>
      <c r="CER353" s="268"/>
      <c r="CES353" s="268"/>
      <c r="CET353" s="268"/>
      <c r="CEU353" s="268"/>
      <c r="CEV353" s="268"/>
      <c r="CEW353" s="268"/>
      <c r="CEX353" s="268"/>
      <c r="CEY353" s="268"/>
      <c r="CEZ353" s="268"/>
      <c r="CFA353" s="268"/>
      <c r="CFB353" s="268"/>
      <c r="CFC353" s="268"/>
      <c r="CFD353" s="268"/>
      <c r="CFE353" s="268"/>
      <c r="CFF353" s="268"/>
      <c r="CFG353" s="268"/>
      <c r="CFH353" s="268"/>
      <c r="CFI353" s="268"/>
      <c r="CFJ353" s="268"/>
      <c r="CFK353" s="268"/>
      <c r="CFL353" s="268"/>
      <c r="CFM353" s="268"/>
      <c r="CFN353" s="268"/>
      <c r="CFO353" s="268"/>
      <c r="CFP353" s="268"/>
      <c r="CFQ353" s="268"/>
      <c r="CFR353" s="268"/>
      <c r="CFS353" s="268"/>
      <c r="CFT353" s="268"/>
      <c r="CFU353" s="268"/>
      <c r="CFV353" s="268"/>
      <c r="CFW353" s="268"/>
      <c r="CFX353" s="268"/>
      <c r="CFY353" s="268"/>
      <c r="CFZ353" s="268"/>
      <c r="CGA353" s="268"/>
      <c r="CGB353" s="268"/>
      <c r="CGC353" s="268"/>
      <c r="CGD353" s="268"/>
      <c r="CGE353" s="268"/>
      <c r="CGF353" s="268"/>
      <c r="CGG353" s="268"/>
      <c r="CGH353" s="268"/>
      <c r="CGI353" s="268"/>
      <c r="CGJ353" s="268"/>
      <c r="CGK353" s="268"/>
      <c r="CGL353" s="268"/>
      <c r="CGM353" s="268"/>
      <c r="CGN353" s="268"/>
      <c r="CGO353" s="268"/>
      <c r="CGP353" s="268"/>
      <c r="CGQ353" s="268"/>
      <c r="CGR353" s="268"/>
      <c r="CGS353" s="268"/>
      <c r="CGT353" s="268"/>
      <c r="CGU353" s="268"/>
      <c r="CGV353" s="268"/>
      <c r="CGW353" s="268"/>
      <c r="CGX353" s="268"/>
      <c r="CGY353" s="268"/>
      <c r="CGZ353" s="268"/>
      <c r="CHA353" s="268"/>
      <c r="CHB353" s="268"/>
      <c r="CHC353" s="268"/>
      <c r="CHD353" s="268"/>
      <c r="CHE353" s="268"/>
      <c r="CHF353" s="268"/>
      <c r="CHG353" s="268"/>
      <c r="CHH353" s="268"/>
      <c r="CHI353" s="268"/>
      <c r="CHJ353" s="268"/>
      <c r="CHK353" s="268"/>
      <c r="CHL353" s="268"/>
      <c r="CHM353" s="268"/>
      <c r="CHN353" s="268"/>
      <c r="CHO353" s="268"/>
      <c r="CHP353" s="268"/>
      <c r="CHQ353" s="268"/>
      <c r="CHR353" s="268"/>
      <c r="CHS353" s="268"/>
      <c r="CHT353" s="268"/>
      <c r="CHU353" s="268"/>
      <c r="CHV353" s="268"/>
      <c r="CHW353" s="268"/>
      <c r="CHX353" s="268"/>
      <c r="CHY353" s="268"/>
      <c r="CHZ353" s="268"/>
      <c r="CIA353" s="268"/>
      <c r="CIB353" s="268"/>
      <c r="CIC353" s="268"/>
      <c r="CID353" s="268"/>
      <c r="CIE353" s="268"/>
      <c r="CIF353" s="268"/>
      <c r="CIG353" s="268"/>
      <c r="CIH353" s="268"/>
      <c r="CII353" s="268"/>
      <c r="CIJ353" s="268"/>
      <c r="CIK353" s="268"/>
      <c r="CIL353" s="268"/>
      <c r="CIM353" s="268"/>
      <c r="CIN353" s="268"/>
      <c r="CIO353" s="268"/>
      <c r="CIP353" s="268"/>
      <c r="CIQ353" s="268"/>
      <c r="CIR353" s="268"/>
      <c r="CIS353" s="268"/>
      <c r="CIT353" s="268"/>
      <c r="CIU353" s="268"/>
      <c r="CIV353" s="268"/>
      <c r="CIW353" s="268"/>
      <c r="CIX353" s="268"/>
      <c r="CIY353" s="268"/>
      <c r="CIZ353" s="268"/>
      <c r="CJA353" s="268"/>
      <c r="CJB353" s="268"/>
      <c r="CJC353" s="268"/>
      <c r="CJD353" s="268"/>
      <c r="CJE353" s="268"/>
      <c r="CJF353" s="268"/>
      <c r="CJG353" s="268"/>
      <c r="CJU353" s="268"/>
      <c r="CJV353" s="268"/>
      <c r="CJW353" s="268"/>
      <c r="CKK353" s="268"/>
      <c r="CKM353" s="268"/>
      <c r="CKN353" s="268"/>
      <c r="CKO353" s="268"/>
      <c r="CKP353" s="268"/>
      <c r="CKQ353" s="268"/>
      <c r="CKR353" s="268"/>
      <c r="CKS353" s="268"/>
      <c r="CKT353" s="268"/>
      <c r="CKU353" s="268"/>
      <c r="CKV353" s="268"/>
      <c r="CKW353" s="268"/>
      <c r="CKX353" s="268"/>
      <c r="CKY353" s="268"/>
      <c r="CKZ353" s="268"/>
      <c r="CLA353" s="268"/>
      <c r="CLB353" s="268"/>
      <c r="CLC353" s="268"/>
      <c r="CLD353" s="268"/>
      <c r="CLE353" s="268"/>
      <c r="CLF353" s="268"/>
      <c r="CLG353" s="268"/>
      <c r="CLH353" s="268"/>
      <c r="CLI353" s="268"/>
      <c r="CLJ353" s="268"/>
      <c r="CLK353" s="268"/>
      <c r="CLL353" s="268"/>
      <c r="CLM353" s="268"/>
      <c r="CLN353" s="268"/>
      <c r="CLO353" s="268"/>
      <c r="CLP353" s="268"/>
      <c r="CLQ353" s="268"/>
      <c r="CLR353" s="268"/>
      <c r="CLS353" s="268"/>
      <c r="CLT353" s="268"/>
      <c r="CLU353" s="268"/>
      <c r="CLV353" s="268"/>
      <c r="CLW353" s="268"/>
      <c r="CLX353" s="268"/>
      <c r="CLY353" s="268"/>
      <c r="CLZ353" s="268"/>
      <c r="CMA353" s="268"/>
      <c r="CMB353" s="268"/>
      <c r="CMC353" s="268"/>
      <c r="CMD353" s="268"/>
      <c r="CME353" s="268"/>
      <c r="CMF353" s="268"/>
      <c r="CMG353" s="268"/>
      <c r="CMH353" s="268"/>
      <c r="CMI353" s="268"/>
      <c r="CMJ353" s="268"/>
      <c r="CMK353" s="268"/>
      <c r="CML353" s="268"/>
      <c r="CMM353" s="268"/>
      <c r="CMN353" s="268"/>
      <c r="CMO353" s="268"/>
      <c r="CMP353" s="268"/>
      <c r="CMQ353" s="268"/>
      <c r="CMR353" s="268"/>
      <c r="CMS353" s="268"/>
      <c r="CMT353" s="268"/>
      <c r="CMU353" s="268"/>
      <c r="CMV353" s="268"/>
      <c r="CMW353" s="268"/>
      <c r="CMX353" s="268"/>
      <c r="CMY353" s="268"/>
      <c r="CMZ353" s="268"/>
      <c r="CNA353" s="268"/>
      <c r="CNB353" s="268"/>
      <c r="CNC353" s="268"/>
      <c r="CND353" s="268"/>
      <c r="CNE353" s="268"/>
      <c r="CNF353" s="268"/>
      <c r="CNG353" s="268"/>
      <c r="CNH353" s="268"/>
      <c r="CNI353" s="268"/>
      <c r="CNJ353" s="268"/>
      <c r="CNK353" s="268"/>
      <c r="CNL353" s="268"/>
      <c r="CNM353" s="268"/>
      <c r="CNN353" s="268"/>
      <c r="CNO353" s="268"/>
      <c r="CNP353" s="268"/>
      <c r="CNQ353" s="268"/>
      <c r="CNR353" s="268"/>
      <c r="CNS353" s="268"/>
      <c r="CNT353" s="268"/>
      <c r="CNU353" s="268"/>
      <c r="CNV353" s="268"/>
      <c r="CNW353" s="268"/>
      <c r="CNX353" s="268"/>
      <c r="CNY353" s="268"/>
      <c r="CNZ353" s="268"/>
      <c r="COA353" s="268"/>
      <c r="COB353" s="268"/>
      <c r="COC353" s="268"/>
      <c r="COD353" s="268"/>
      <c r="COE353" s="268"/>
      <c r="COF353" s="268"/>
      <c r="COG353" s="268"/>
      <c r="COH353" s="268"/>
      <c r="COI353" s="268"/>
      <c r="COJ353" s="268"/>
      <c r="COK353" s="268"/>
      <c r="COL353" s="268"/>
      <c r="COM353" s="268"/>
      <c r="CON353" s="268"/>
      <c r="COO353" s="268"/>
      <c r="COP353" s="268"/>
      <c r="COQ353" s="268"/>
      <c r="COR353" s="268"/>
      <c r="COS353" s="268"/>
      <c r="COT353" s="268"/>
      <c r="COU353" s="268"/>
      <c r="COV353" s="268"/>
      <c r="COW353" s="268"/>
      <c r="COX353" s="268"/>
      <c r="COY353" s="268"/>
      <c r="COZ353" s="268"/>
      <c r="CPA353" s="268"/>
      <c r="CPB353" s="268"/>
      <c r="CPC353" s="268"/>
      <c r="CPD353" s="268"/>
      <c r="CPE353" s="268"/>
      <c r="CPF353" s="268"/>
      <c r="CPG353" s="268"/>
      <c r="CPH353" s="268"/>
      <c r="CPI353" s="268"/>
      <c r="CPJ353" s="268"/>
      <c r="CPK353" s="268"/>
      <c r="CPL353" s="268"/>
      <c r="CPM353" s="268"/>
      <c r="CPN353" s="268"/>
      <c r="CPO353" s="268"/>
      <c r="CPP353" s="268"/>
      <c r="CPQ353" s="268"/>
      <c r="CPR353" s="268"/>
      <c r="CPS353" s="268"/>
      <c r="CPT353" s="268"/>
      <c r="CPU353" s="268"/>
      <c r="CPV353" s="268"/>
      <c r="CPW353" s="268"/>
      <c r="CPX353" s="268"/>
      <c r="CPY353" s="268"/>
      <c r="CPZ353" s="268"/>
      <c r="CQA353" s="268"/>
      <c r="CQB353" s="268"/>
      <c r="CQC353" s="268"/>
      <c r="CQD353" s="268"/>
      <c r="CQE353" s="268"/>
      <c r="CQF353" s="268"/>
      <c r="CQG353" s="268"/>
      <c r="CQH353" s="268"/>
      <c r="CQI353" s="268"/>
      <c r="CQJ353" s="268"/>
      <c r="CQK353" s="268"/>
      <c r="CQL353" s="268"/>
      <c r="CQM353" s="268"/>
      <c r="CQN353" s="268"/>
      <c r="CQO353" s="268"/>
      <c r="CQP353" s="268"/>
      <c r="CQQ353" s="268"/>
      <c r="CQR353" s="268"/>
      <c r="CQS353" s="268"/>
      <c r="CQT353" s="268"/>
      <c r="CQU353" s="268"/>
      <c r="CQV353" s="268"/>
      <c r="CQW353" s="268"/>
      <c r="CQX353" s="268"/>
      <c r="CQY353" s="268"/>
      <c r="CQZ353" s="268"/>
      <c r="CRA353" s="268"/>
      <c r="CRB353" s="268"/>
      <c r="CRC353" s="268"/>
      <c r="CRD353" s="268"/>
      <c r="CRE353" s="268"/>
      <c r="CRF353" s="268"/>
      <c r="CRG353" s="268"/>
      <c r="CRH353" s="268"/>
      <c r="CRI353" s="268"/>
      <c r="CRJ353" s="268"/>
      <c r="CRK353" s="268"/>
      <c r="CRL353" s="268"/>
      <c r="CRM353" s="268"/>
      <c r="CRN353" s="268"/>
      <c r="CRO353" s="268"/>
      <c r="CRP353" s="268"/>
      <c r="CRQ353" s="268"/>
      <c r="CRR353" s="268"/>
      <c r="CRS353" s="268"/>
      <c r="CRT353" s="268"/>
      <c r="CRU353" s="268"/>
      <c r="CRV353" s="268"/>
      <c r="CRW353" s="268"/>
      <c r="CRX353" s="268"/>
      <c r="CRY353" s="268"/>
      <c r="CRZ353" s="268"/>
      <c r="CSA353" s="268"/>
      <c r="CSB353" s="268"/>
      <c r="CSC353" s="268"/>
      <c r="CSD353" s="268"/>
      <c r="CSE353" s="268"/>
      <c r="CSF353" s="268"/>
      <c r="CSG353" s="268"/>
      <c r="CSH353" s="268"/>
      <c r="CSI353" s="268"/>
      <c r="CSJ353" s="268"/>
      <c r="CSK353" s="268"/>
      <c r="CSL353" s="268"/>
      <c r="CSM353" s="268"/>
      <c r="CSN353" s="268"/>
      <c r="CSO353" s="268"/>
      <c r="CSP353" s="268"/>
      <c r="CSQ353" s="268"/>
      <c r="CSR353" s="268"/>
      <c r="CSS353" s="268"/>
      <c r="CST353" s="268"/>
      <c r="CSU353" s="268"/>
      <c r="CSV353" s="268"/>
      <c r="CSW353" s="268"/>
      <c r="CSX353" s="268"/>
      <c r="CSY353" s="268"/>
      <c r="CSZ353" s="268"/>
      <c r="CTA353" s="268"/>
      <c r="CTB353" s="268"/>
      <c r="CTC353" s="268"/>
      <c r="CTQ353" s="268"/>
      <c r="CTR353" s="268"/>
      <c r="CTS353" s="268"/>
      <c r="CUG353" s="268"/>
      <c r="CUI353" s="268"/>
      <c r="CUJ353" s="268"/>
      <c r="CUK353" s="268"/>
      <c r="CUL353" s="268"/>
      <c r="CUM353" s="268"/>
      <c r="CUN353" s="268"/>
      <c r="CUO353" s="268"/>
      <c r="CUP353" s="268"/>
      <c r="CUQ353" s="268"/>
      <c r="CUR353" s="268"/>
      <c r="CUS353" s="268"/>
      <c r="CUT353" s="268"/>
      <c r="CUU353" s="268"/>
      <c r="CUV353" s="268"/>
      <c r="CUW353" s="268"/>
      <c r="CUX353" s="268"/>
      <c r="CUY353" s="268"/>
      <c r="CUZ353" s="268"/>
      <c r="CVA353" s="268"/>
      <c r="CVB353" s="268"/>
      <c r="CVC353" s="268"/>
      <c r="CVD353" s="268"/>
      <c r="CVE353" s="268"/>
      <c r="CVF353" s="268"/>
      <c r="CVG353" s="268"/>
      <c r="CVH353" s="268"/>
      <c r="CVI353" s="268"/>
      <c r="CVJ353" s="268"/>
      <c r="CVK353" s="268"/>
      <c r="CVL353" s="268"/>
      <c r="CVM353" s="268"/>
      <c r="CVN353" s="268"/>
      <c r="CVO353" s="268"/>
      <c r="CVP353" s="268"/>
      <c r="CVQ353" s="268"/>
      <c r="CVR353" s="268"/>
      <c r="CVS353" s="268"/>
      <c r="CVT353" s="268"/>
      <c r="CVU353" s="268"/>
      <c r="CVV353" s="268"/>
      <c r="CVW353" s="268"/>
      <c r="CVX353" s="268"/>
      <c r="CVY353" s="268"/>
      <c r="CVZ353" s="268"/>
      <c r="CWA353" s="268"/>
      <c r="CWB353" s="268"/>
      <c r="CWC353" s="268"/>
      <c r="CWD353" s="268"/>
      <c r="CWE353" s="268"/>
      <c r="CWF353" s="268"/>
      <c r="CWG353" s="268"/>
      <c r="CWH353" s="268"/>
      <c r="CWI353" s="268"/>
      <c r="CWJ353" s="268"/>
      <c r="CWK353" s="268"/>
      <c r="CWL353" s="268"/>
      <c r="CWM353" s="268"/>
      <c r="CWN353" s="268"/>
      <c r="CWO353" s="268"/>
      <c r="CWP353" s="268"/>
      <c r="CWQ353" s="268"/>
      <c r="CWR353" s="268"/>
      <c r="CWS353" s="268"/>
      <c r="CWT353" s="268"/>
      <c r="CWU353" s="268"/>
      <c r="CWV353" s="268"/>
      <c r="CWW353" s="268"/>
      <c r="CWX353" s="268"/>
      <c r="CWY353" s="268"/>
      <c r="CWZ353" s="268"/>
      <c r="CXA353" s="268"/>
      <c r="CXB353" s="268"/>
      <c r="CXC353" s="268"/>
      <c r="CXD353" s="268"/>
      <c r="CXE353" s="268"/>
      <c r="CXF353" s="268"/>
      <c r="CXG353" s="268"/>
      <c r="CXH353" s="268"/>
      <c r="CXI353" s="268"/>
      <c r="CXJ353" s="268"/>
      <c r="CXK353" s="268"/>
      <c r="CXL353" s="268"/>
      <c r="CXM353" s="268"/>
      <c r="CXN353" s="268"/>
      <c r="CXO353" s="268"/>
      <c r="CXP353" s="268"/>
      <c r="CXQ353" s="268"/>
      <c r="CXR353" s="268"/>
      <c r="CXS353" s="268"/>
      <c r="CXT353" s="268"/>
      <c r="CXU353" s="268"/>
      <c r="CXV353" s="268"/>
      <c r="CXW353" s="268"/>
      <c r="CXX353" s="268"/>
      <c r="CXY353" s="268"/>
      <c r="CXZ353" s="268"/>
      <c r="CYA353" s="268"/>
      <c r="CYB353" s="268"/>
      <c r="CYC353" s="268"/>
      <c r="CYD353" s="268"/>
      <c r="CYE353" s="268"/>
      <c r="CYF353" s="268"/>
      <c r="CYG353" s="268"/>
      <c r="CYH353" s="268"/>
      <c r="CYI353" s="268"/>
      <c r="CYJ353" s="268"/>
      <c r="CYK353" s="268"/>
      <c r="CYL353" s="268"/>
      <c r="CYM353" s="268"/>
      <c r="CYN353" s="268"/>
      <c r="CYO353" s="268"/>
      <c r="CYP353" s="268"/>
      <c r="CYQ353" s="268"/>
      <c r="CYR353" s="268"/>
      <c r="CYS353" s="268"/>
      <c r="CYT353" s="268"/>
      <c r="CYU353" s="268"/>
      <c r="CYV353" s="268"/>
      <c r="CYW353" s="268"/>
      <c r="CYX353" s="268"/>
      <c r="CYY353" s="268"/>
      <c r="CYZ353" s="268"/>
      <c r="CZA353" s="268"/>
      <c r="CZB353" s="268"/>
      <c r="CZC353" s="268"/>
      <c r="CZD353" s="268"/>
      <c r="CZE353" s="268"/>
      <c r="CZF353" s="268"/>
      <c r="CZG353" s="268"/>
      <c r="CZH353" s="268"/>
      <c r="CZI353" s="268"/>
      <c r="CZJ353" s="268"/>
      <c r="CZK353" s="268"/>
      <c r="CZL353" s="268"/>
      <c r="CZM353" s="268"/>
      <c r="CZN353" s="268"/>
      <c r="CZO353" s="268"/>
      <c r="CZP353" s="268"/>
      <c r="CZQ353" s="268"/>
      <c r="CZR353" s="268"/>
      <c r="CZS353" s="268"/>
      <c r="CZT353" s="268"/>
      <c r="CZU353" s="268"/>
      <c r="CZV353" s="268"/>
      <c r="CZW353" s="268"/>
      <c r="CZX353" s="268"/>
      <c r="CZY353" s="268"/>
      <c r="CZZ353" s="268"/>
      <c r="DAA353" s="268"/>
      <c r="DAB353" s="268"/>
      <c r="DAC353" s="268"/>
      <c r="DAD353" s="268"/>
      <c r="DAE353" s="268"/>
      <c r="DAF353" s="268"/>
      <c r="DAG353" s="268"/>
      <c r="DAH353" s="268"/>
      <c r="DAI353" s="268"/>
      <c r="DAJ353" s="268"/>
      <c r="DAK353" s="268"/>
      <c r="DAL353" s="268"/>
      <c r="DAM353" s="268"/>
      <c r="DAN353" s="268"/>
      <c r="DAO353" s="268"/>
      <c r="DAP353" s="268"/>
      <c r="DAQ353" s="268"/>
      <c r="DAR353" s="268"/>
      <c r="DAS353" s="268"/>
      <c r="DAT353" s="268"/>
      <c r="DAU353" s="268"/>
      <c r="DAV353" s="268"/>
      <c r="DAW353" s="268"/>
      <c r="DAX353" s="268"/>
      <c r="DAY353" s="268"/>
      <c r="DAZ353" s="268"/>
      <c r="DBA353" s="268"/>
      <c r="DBB353" s="268"/>
      <c r="DBC353" s="268"/>
      <c r="DBD353" s="268"/>
      <c r="DBE353" s="268"/>
      <c r="DBF353" s="268"/>
      <c r="DBG353" s="268"/>
      <c r="DBH353" s="268"/>
      <c r="DBI353" s="268"/>
      <c r="DBJ353" s="268"/>
      <c r="DBK353" s="268"/>
      <c r="DBL353" s="268"/>
      <c r="DBM353" s="268"/>
      <c r="DBN353" s="268"/>
      <c r="DBO353" s="268"/>
      <c r="DBP353" s="268"/>
      <c r="DBQ353" s="268"/>
      <c r="DBR353" s="268"/>
      <c r="DBS353" s="268"/>
      <c r="DBT353" s="268"/>
      <c r="DBU353" s="268"/>
      <c r="DBV353" s="268"/>
      <c r="DBW353" s="268"/>
      <c r="DBX353" s="268"/>
      <c r="DBY353" s="268"/>
      <c r="DBZ353" s="268"/>
      <c r="DCA353" s="268"/>
      <c r="DCB353" s="268"/>
      <c r="DCC353" s="268"/>
      <c r="DCD353" s="268"/>
      <c r="DCE353" s="268"/>
      <c r="DCF353" s="268"/>
      <c r="DCG353" s="268"/>
      <c r="DCH353" s="268"/>
      <c r="DCI353" s="268"/>
      <c r="DCJ353" s="268"/>
      <c r="DCK353" s="268"/>
      <c r="DCL353" s="268"/>
      <c r="DCM353" s="268"/>
      <c r="DCN353" s="268"/>
      <c r="DCO353" s="268"/>
      <c r="DCP353" s="268"/>
      <c r="DCQ353" s="268"/>
      <c r="DCR353" s="268"/>
      <c r="DCS353" s="268"/>
      <c r="DCT353" s="268"/>
      <c r="DCU353" s="268"/>
      <c r="DCV353" s="268"/>
      <c r="DCW353" s="268"/>
      <c r="DCX353" s="268"/>
      <c r="DCY353" s="268"/>
      <c r="DDM353" s="268"/>
      <c r="DDN353" s="268"/>
      <c r="DDO353" s="268"/>
      <c r="DEC353" s="268"/>
      <c r="DEE353" s="268"/>
      <c r="DEF353" s="268"/>
      <c r="DEG353" s="268"/>
      <c r="DEH353" s="268"/>
      <c r="DEI353" s="268"/>
      <c r="DEJ353" s="268"/>
      <c r="DEK353" s="268"/>
      <c r="DEL353" s="268"/>
      <c r="DEM353" s="268"/>
      <c r="DEN353" s="268"/>
      <c r="DEO353" s="268"/>
      <c r="DEP353" s="268"/>
      <c r="DEQ353" s="268"/>
      <c r="DER353" s="268"/>
      <c r="DES353" s="268"/>
      <c r="DET353" s="268"/>
      <c r="DEU353" s="268"/>
      <c r="DEV353" s="268"/>
      <c r="DEW353" s="268"/>
      <c r="DEX353" s="268"/>
      <c r="DEY353" s="268"/>
      <c r="DEZ353" s="268"/>
      <c r="DFA353" s="268"/>
      <c r="DFB353" s="268"/>
      <c r="DFC353" s="268"/>
      <c r="DFD353" s="268"/>
      <c r="DFE353" s="268"/>
      <c r="DFF353" s="268"/>
      <c r="DFG353" s="268"/>
      <c r="DFH353" s="268"/>
      <c r="DFI353" s="268"/>
      <c r="DFJ353" s="268"/>
      <c r="DFK353" s="268"/>
      <c r="DFL353" s="268"/>
      <c r="DFM353" s="268"/>
      <c r="DFN353" s="268"/>
      <c r="DFO353" s="268"/>
      <c r="DFP353" s="268"/>
      <c r="DFQ353" s="268"/>
      <c r="DFR353" s="268"/>
      <c r="DFS353" s="268"/>
      <c r="DFT353" s="268"/>
      <c r="DFU353" s="268"/>
      <c r="DFV353" s="268"/>
      <c r="DFW353" s="268"/>
      <c r="DFX353" s="268"/>
      <c r="DFY353" s="268"/>
      <c r="DFZ353" s="268"/>
      <c r="DGA353" s="268"/>
      <c r="DGB353" s="268"/>
      <c r="DGC353" s="268"/>
      <c r="DGD353" s="268"/>
      <c r="DGE353" s="268"/>
      <c r="DGF353" s="268"/>
      <c r="DGG353" s="268"/>
      <c r="DGH353" s="268"/>
      <c r="DGI353" s="268"/>
      <c r="DGJ353" s="268"/>
      <c r="DGK353" s="268"/>
      <c r="DGL353" s="268"/>
      <c r="DGM353" s="268"/>
      <c r="DGN353" s="268"/>
      <c r="DGO353" s="268"/>
      <c r="DGP353" s="268"/>
      <c r="DGQ353" s="268"/>
      <c r="DGR353" s="268"/>
      <c r="DGS353" s="268"/>
      <c r="DGT353" s="268"/>
      <c r="DGU353" s="268"/>
      <c r="DGV353" s="268"/>
      <c r="DGW353" s="268"/>
      <c r="DGX353" s="268"/>
      <c r="DGY353" s="268"/>
      <c r="DGZ353" s="268"/>
      <c r="DHA353" s="268"/>
      <c r="DHB353" s="268"/>
      <c r="DHC353" s="268"/>
      <c r="DHD353" s="268"/>
      <c r="DHE353" s="268"/>
      <c r="DHF353" s="268"/>
      <c r="DHG353" s="268"/>
      <c r="DHH353" s="268"/>
      <c r="DHI353" s="268"/>
      <c r="DHJ353" s="268"/>
      <c r="DHK353" s="268"/>
      <c r="DHL353" s="268"/>
      <c r="DHM353" s="268"/>
      <c r="DHN353" s="268"/>
      <c r="DHO353" s="268"/>
      <c r="DHP353" s="268"/>
      <c r="DHQ353" s="268"/>
      <c r="DHR353" s="268"/>
      <c r="DHS353" s="268"/>
      <c r="DHT353" s="268"/>
      <c r="DHU353" s="268"/>
      <c r="DHV353" s="268"/>
      <c r="DHW353" s="268"/>
      <c r="DHX353" s="268"/>
      <c r="DHY353" s="268"/>
      <c r="DHZ353" s="268"/>
      <c r="DIA353" s="268"/>
      <c r="DIB353" s="268"/>
      <c r="DIC353" s="268"/>
      <c r="DID353" s="268"/>
      <c r="DIE353" s="268"/>
      <c r="DIF353" s="268"/>
      <c r="DIG353" s="268"/>
      <c r="DIH353" s="268"/>
      <c r="DII353" s="268"/>
      <c r="DIJ353" s="268"/>
      <c r="DIK353" s="268"/>
      <c r="DIL353" s="268"/>
      <c r="DIM353" s="268"/>
      <c r="DIN353" s="268"/>
      <c r="DIO353" s="268"/>
      <c r="DIP353" s="268"/>
      <c r="DIQ353" s="268"/>
      <c r="DIR353" s="268"/>
      <c r="DIS353" s="268"/>
      <c r="DIT353" s="268"/>
      <c r="DIU353" s="268"/>
      <c r="DIV353" s="268"/>
      <c r="DIW353" s="268"/>
      <c r="DIX353" s="268"/>
      <c r="DIY353" s="268"/>
      <c r="DIZ353" s="268"/>
      <c r="DJA353" s="268"/>
      <c r="DJB353" s="268"/>
      <c r="DJC353" s="268"/>
      <c r="DJD353" s="268"/>
      <c r="DJE353" s="268"/>
      <c r="DJF353" s="268"/>
      <c r="DJG353" s="268"/>
      <c r="DJH353" s="268"/>
      <c r="DJI353" s="268"/>
      <c r="DJJ353" s="268"/>
      <c r="DJK353" s="268"/>
      <c r="DJL353" s="268"/>
      <c r="DJM353" s="268"/>
      <c r="DJN353" s="268"/>
      <c r="DJO353" s="268"/>
      <c r="DJP353" s="268"/>
      <c r="DJQ353" s="268"/>
      <c r="DJR353" s="268"/>
      <c r="DJS353" s="268"/>
      <c r="DJT353" s="268"/>
      <c r="DJU353" s="268"/>
      <c r="DJV353" s="268"/>
      <c r="DJW353" s="268"/>
      <c r="DJX353" s="268"/>
      <c r="DJY353" s="268"/>
      <c r="DJZ353" s="268"/>
      <c r="DKA353" s="268"/>
      <c r="DKB353" s="268"/>
      <c r="DKC353" s="268"/>
      <c r="DKD353" s="268"/>
      <c r="DKE353" s="268"/>
      <c r="DKF353" s="268"/>
      <c r="DKG353" s="268"/>
      <c r="DKH353" s="268"/>
      <c r="DKI353" s="268"/>
      <c r="DKJ353" s="268"/>
      <c r="DKK353" s="268"/>
      <c r="DKL353" s="268"/>
      <c r="DKM353" s="268"/>
      <c r="DKN353" s="268"/>
      <c r="DKO353" s="268"/>
      <c r="DKP353" s="268"/>
      <c r="DKQ353" s="268"/>
      <c r="DKR353" s="268"/>
      <c r="DKS353" s="268"/>
      <c r="DKT353" s="268"/>
      <c r="DKU353" s="268"/>
      <c r="DKV353" s="268"/>
      <c r="DKW353" s="268"/>
      <c r="DKX353" s="268"/>
      <c r="DKY353" s="268"/>
      <c r="DKZ353" s="268"/>
      <c r="DLA353" s="268"/>
      <c r="DLB353" s="268"/>
      <c r="DLC353" s="268"/>
      <c r="DLD353" s="268"/>
      <c r="DLE353" s="268"/>
      <c r="DLF353" s="268"/>
      <c r="DLG353" s="268"/>
      <c r="DLH353" s="268"/>
      <c r="DLI353" s="268"/>
      <c r="DLJ353" s="268"/>
      <c r="DLK353" s="268"/>
      <c r="DLL353" s="268"/>
      <c r="DLM353" s="268"/>
      <c r="DLN353" s="268"/>
      <c r="DLO353" s="268"/>
      <c r="DLP353" s="268"/>
      <c r="DLQ353" s="268"/>
      <c r="DLR353" s="268"/>
      <c r="DLS353" s="268"/>
      <c r="DLT353" s="268"/>
      <c r="DLU353" s="268"/>
      <c r="DLV353" s="268"/>
      <c r="DLW353" s="268"/>
      <c r="DLX353" s="268"/>
      <c r="DLY353" s="268"/>
      <c r="DLZ353" s="268"/>
      <c r="DMA353" s="268"/>
      <c r="DMB353" s="268"/>
      <c r="DMC353" s="268"/>
      <c r="DMD353" s="268"/>
      <c r="DME353" s="268"/>
      <c r="DMF353" s="268"/>
      <c r="DMG353" s="268"/>
      <c r="DMH353" s="268"/>
      <c r="DMI353" s="268"/>
      <c r="DMJ353" s="268"/>
      <c r="DMK353" s="268"/>
      <c r="DML353" s="268"/>
      <c r="DMM353" s="268"/>
      <c r="DMN353" s="268"/>
      <c r="DMO353" s="268"/>
      <c r="DMP353" s="268"/>
      <c r="DMQ353" s="268"/>
      <c r="DMR353" s="268"/>
      <c r="DMS353" s="268"/>
      <c r="DMT353" s="268"/>
      <c r="DMU353" s="268"/>
      <c r="DNI353" s="268"/>
      <c r="DNJ353" s="268"/>
      <c r="DNK353" s="268"/>
      <c r="DNY353" s="268"/>
      <c r="DOA353" s="268"/>
      <c r="DOB353" s="268"/>
      <c r="DOC353" s="268"/>
      <c r="DOD353" s="268"/>
      <c r="DOE353" s="268"/>
      <c r="DOF353" s="268"/>
      <c r="DOG353" s="268"/>
      <c r="DOH353" s="268"/>
      <c r="DOI353" s="268"/>
      <c r="DOJ353" s="268"/>
      <c r="DOK353" s="268"/>
      <c r="DOL353" s="268"/>
      <c r="DOM353" s="268"/>
      <c r="DON353" s="268"/>
      <c r="DOO353" s="268"/>
      <c r="DOP353" s="268"/>
      <c r="DOQ353" s="268"/>
      <c r="DOR353" s="268"/>
      <c r="DOS353" s="268"/>
      <c r="DOT353" s="268"/>
      <c r="DOU353" s="268"/>
      <c r="DOV353" s="268"/>
      <c r="DOW353" s="268"/>
      <c r="DOX353" s="268"/>
      <c r="DOY353" s="268"/>
      <c r="DOZ353" s="268"/>
      <c r="DPA353" s="268"/>
      <c r="DPB353" s="268"/>
      <c r="DPC353" s="268"/>
      <c r="DPD353" s="268"/>
      <c r="DPE353" s="268"/>
      <c r="DPF353" s="268"/>
      <c r="DPG353" s="268"/>
      <c r="DPH353" s="268"/>
      <c r="DPI353" s="268"/>
      <c r="DPJ353" s="268"/>
      <c r="DPK353" s="268"/>
      <c r="DPL353" s="268"/>
      <c r="DPM353" s="268"/>
      <c r="DPN353" s="268"/>
      <c r="DPO353" s="268"/>
      <c r="DPP353" s="268"/>
      <c r="DPQ353" s="268"/>
      <c r="DPR353" s="268"/>
      <c r="DPS353" s="268"/>
      <c r="DPT353" s="268"/>
      <c r="DPU353" s="268"/>
      <c r="DPV353" s="268"/>
      <c r="DPW353" s="268"/>
      <c r="DPX353" s="268"/>
      <c r="DPY353" s="268"/>
      <c r="DPZ353" s="268"/>
      <c r="DQA353" s="268"/>
      <c r="DQB353" s="268"/>
      <c r="DQC353" s="268"/>
      <c r="DQD353" s="268"/>
      <c r="DQE353" s="268"/>
      <c r="DQF353" s="268"/>
      <c r="DQG353" s="268"/>
      <c r="DQH353" s="268"/>
      <c r="DQI353" s="268"/>
      <c r="DQJ353" s="268"/>
      <c r="DQK353" s="268"/>
      <c r="DQL353" s="268"/>
      <c r="DQM353" s="268"/>
      <c r="DQN353" s="268"/>
      <c r="DQO353" s="268"/>
      <c r="DQP353" s="268"/>
      <c r="DQQ353" s="268"/>
      <c r="DQR353" s="268"/>
      <c r="DQS353" s="268"/>
      <c r="DQT353" s="268"/>
      <c r="DQU353" s="268"/>
      <c r="DQV353" s="268"/>
      <c r="DQW353" s="268"/>
      <c r="DQX353" s="268"/>
      <c r="DQY353" s="268"/>
      <c r="DQZ353" s="268"/>
      <c r="DRA353" s="268"/>
      <c r="DRB353" s="268"/>
      <c r="DRC353" s="268"/>
      <c r="DRD353" s="268"/>
      <c r="DRE353" s="268"/>
      <c r="DRF353" s="268"/>
      <c r="DRG353" s="268"/>
      <c r="DRH353" s="268"/>
      <c r="DRI353" s="268"/>
      <c r="DRJ353" s="268"/>
      <c r="DRK353" s="268"/>
      <c r="DRL353" s="268"/>
      <c r="DRM353" s="268"/>
      <c r="DRN353" s="268"/>
      <c r="DRO353" s="268"/>
      <c r="DRP353" s="268"/>
      <c r="DRQ353" s="268"/>
      <c r="DRR353" s="268"/>
      <c r="DRS353" s="268"/>
      <c r="DRT353" s="268"/>
      <c r="DRU353" s="268"/>
      <c r="DRV353" s="268"/>
      <c r="DRW353" s="268"/>
      <c r="DRX353" s="268"/>
      <c r="DRY353" s="268"/>
      <c r="DRZ353" s="268"/>
      <c r="DSA353" s="268"/>
      <c r="DSB353" s="268"/>
      <c r="DSC353" s="268"/>
      <c r="DSD353" s="268"/>
      <c r="DSE353" s="268"/>
      <c r="DSF353" s="268"/>
      <c r="DSG353" s="268"/>
      <c r="DSH353" s="268"/>
      <c r="DSI353" s="268"/>
      <c r="DSJ353" s="268"/>
      <c r="DSK353" s="268"/>
      <c r="DSL353" s="268"/>
      <c r="DSM353" s="268"/>
      <c r="DSN353" s="268"/>
      <c r="DSO353" s="268"/>
      <c r="DSP353" s="268"/>
      <c r="DSQ353" s="268"/>
      <c r="DSR353" s="268"/>
      <c r="DSS353" s="268"/>
      <c r="DST353" s="268"/>
      <c r="DSU353" s="268"/>
      <c r="DSV353" s="268"/>
      <c r="DSW353" s="268"/>
      <c r="DSX353" s="268"/>
      <c r="DSY353" s="268"/>
      <c r="DSZ353" s="268"/>
      <c r="DTA353" s="268"/>
      <c r="DTB353" s="268"/>
      <c r="DTC353" s="268"/>
      <c r="DTD353" s="268"/>
      <c r="DTE353" s="268"/>
      <c r="DTF353" s="268"/>
      <c r="DTG353" s="268"/>
      <c r="DTH353" s="268"/>
      <c r="DTI353" s="268"/>
      <c r="DTJ353" s="268"/>
      <c r="DTK353" s="268"/>
      <c r="DTL353" s="268"/>
      <c r="DTM353" s="268"/>
      <c r="DTN353" s="268"/>
      <c r="DTO353" s="268"/>
      <c r="DTP353" s="268"/>
      <c r="DTQ353" s="268"/>
      <c r="DTR353" s="268"/>
      <c r="DTS353" s="268"/>
      <c r="DTT353" s="268"/>
      <c r="DTU353" s="268"/>
      <c r="DTV353" s="268"/>
      <c r="DTW353" s="268"/>
      <c r="DTX353" s="268"/>
      <c r="DTY353" s="268"/>
      <c r="DTZ353" s="268"/>
      <c r="DUA353" s="268"/>
      <c r="DUB353" s="268"/>
      <c r="DUC353" s="268"/>
      <c r="DUD353" s="268"/>
      <c r="DUE353" s="268"/>
      <c r="DUF353" s="268"/>
      <c r="DUG353" s="268"/>
      <c r="DUH353" s="268"/>
      <c r="DUI353" s="268"/>
      <c r="DUJ353" s="268"/>
      <c r="DUK353" s="268"/>
      <c r="DUL353" s="268"/>
      <c r="DUM353" s="268"/>
      <c r="DUN353" s="268"/>
      <c r="DUO353" s="268"/>
      <c r="DUP353" s="268"/>
      <c r="DUQ353" s="268"/>
      <c r="DUR353" s="268"/>
      <c r="DUS353" s="268"/>
      <c r="DUT353" s="268"/>
      <c r="DUU353" s="268"/>
      <c r="DUV353" s="268"/>
      <c r="DUW353" s="268"/>
      <c r="DUX353" s="268"/>
      <c r="DUY353" s="268"/>
      <c r="DUZ353" s="268"/>
      <c r="DVA353" s="268"/>
      <c r="DVB353" s="268"/>
      <c r="DVC353" s="268"/>
      <c r="DVD353" s="268"/>
      <c r="DVE353" s="268"/>
      <c r="DVF353" s="268"/>
      <c r="DVG353" s="268"/>
      <c r="DVH353" s="268"/>
      <c r="DVI353" s="268"/>
      <c r="DVJ353" s="268"/>
      <c r="DVK353" s="268"/>
      <c r="DVL353" s="268"/>
      <c r="DVM353" s="268"/>
      <c r="DVN353" s="268"/>
      <c r="DVO353" s="268"/>
      <c r="DVP353" s="268"/>
      <c r="DVQ353" s="268"/>
      <c r="DVR353" s="268"/>
      <c r="DVS353" s="268"/>
      <c r="DVT353" s="268"/>
      <c r="DVU353" s="268"/>
      <c r="DVV353" s="268"/>
      <c r="DVW353" s="268"/>
      <c r="DVX353" s="268"/>
      <c r="DVY353" s="268"/>
      <c r="DVZ353" s="268"/>
      <c r="DWA353" s="268"/>
      <c r="DWB353" s="268"/>
      <c r="DWC353" s="268"/>
      <c r="DWD353" s="268"/>
      <c r="DWE353" s="268"/>
      <c r="DWF353" s="268"/>
      <c r="DWG353" s="268"/>
      <c r="DWH353" s="268"/>
      <c r="DWI353" s="268"/>
      <c r="DWJ353" s="268"/>
      <c r="DWK353" s="268"/>
      <c r="DWL353" s="268"/>
      <c r="DWM353" s="268"/>
      <c r="DWN353" s="268"/>
      <c r="DWO353" s="268"/>
      <c r="DWP353" s="268"/>
      <c r="DWQ353" s="268"/>
      <c r="DXE353" s="268"/>
      <c r="DXF353" s="268"/>
      <c r="DXG353" s="268"/>
      <c r="DXU353" s="268"/>
      <c r="DXW353" s="268"/>
      <c r="DXX353" s="268"/>
      <c r="DXY353" s="268"/>
      <c r="DXZ353" s="268"/>
      <c r="DYA353" s="268"/>
      <c r="DYB353" s="268"/>
      <c r="DYC353" s="268"/>
      <c r="DYD353" s="268"/>
      <c r="DYE353" s="268"/>
      <c r="DYF353" s="268"/>
      <c r="DYG353" s="268"/>
      <c r="DYH353" s="268"/>
      <c r="DYI353" s="268"/>
      <c r="DYJ353" s="268"/>
      <c r="DYK353" s="268"/>
      <c r="DYL353" s="268"/>
      <c r="DYM353" s="268"/>
      <c r="DYN353" s="268"/>
      <c r="DYO353" s="268"/>
      <c r="DYP353" s="268"/>
      <c r="DYQ353" s="268"/>
      <c r="DYR353" s="268"/>
      <c r="DYS353" s="268"/>
      <c r="DYT353" s="268"/>
      <c r="DYU353" s="268"/>
      <c r="DYV353" s="268"/>
      <c r="DYW353" s="268"/>
      <c r="DYX353" s="268"/>
      <c r="DYY353" s="268"/>
      <c r="DYZ353" s="268"/>
      <c r="DZA353" s="268"/>
      <c r="DZB353" s="268"/>
      <c r="DZC353" s="268"/>
      <c r="DZD353" s="268"/>
      <c r="DZE353" s="268"/>
      <c r="DZF353" s="268"/>
      <c r="DZG353" s="268"/>
      <c r="DZH353" s="268"/>
      <c r="DZI353" s="268"/>
      <c r="DZJ353" s="268"/>
      <c r="DZK353" s="268"/>
      <c r="DZL353" s="268"/>
      <c r="DZM353" s="268"/>
      <c r="DZN353" s="268"/>
      <c r="DZO353" s="268"/>
      <c r="DZP353" s="268"/>
      <c r="DZQ353" s="268"/>
      <c r="DZR353" s="268"/>
      <c r="DZS353" s="268"/>
      <c r="DZT353" s="268"/>
      <c r="DZU353" s="268"/>
      <c r="DZV353" s="268"/>
      <c r="DZW353" s="268"/>
      <c r="DZX353" s="268"/>
      <c r="DZY353" s="268"/>
      <c r="DZZ353" s="268"/>
      <c r="EAA353" s="268"/>
      <c r="EAB353" s="268"/>
      <c r="EAC353" s="268"/>
      <c r="EAD353" s="268"/>
      <c r="EAE353" s="268"/>
      <c r="EAF353" s="268"/>
      <c r="EAG353" s="268"/>
      <c r="EAH353" s="268"/>
      <c r="EAI353" s="268"/>
      <c r="EAJ353" s="268"/>
      <c r="EAK353" s="268"/>
      <c r="EAL353" s="268"/>
      <c r="EAM353" s="268"/>
      <c r="EAN353" s="268"/>
      <c r="EAO353" s="268"/>
      <c r="EAP353" s="268"/>
      <c r="EAQ353" s="268"/>
      <c r="EAR353" s="268"/>
      <c r="EAS353" s="268"/>
      <c r="EAT353" s="268"/>
      <c r="EAU353" s="268"/>
      <c r="EAV353" s="268"/>
      <c r="EAW353" s="268"/>
      <c r="EAX353" s="268"/>
      <c r="EAY353" s="268"/>
      <c r="EAZ353" s="268"/>
      <c r="EBA353" s="268"/>
      <c r="EBB353" s="268"/>
      <c r="EBC353" s="268"/>
      <c r="EBD353" s="268"/>
      <c r="EBE353" s="268"/>
      <c r="EBF353" s="268"/>
      <c r="EBG353" s="268"/>
      <c r="EBH353" s="268"/>
      <c r="EBI353" s="268"/>
      <c r="EBJ353" s="268"/>
      <c r="EBK353" s="268"/>
      <c r="EBL353" s="268"/>
      <c r="EBM353" s="268"/>
      <c r="EBN353" s="268"/>
      <c r="EBO353" s="268"/>
      <c r="EBP353" s="268"/>
      <c r="EBQ353" s="268"/>
      <c r="EBR353" s="268"/>
      <c r="EBS353" s="268"/>
      <c r="EBT353" s="268"/>
      <c r="EBU353" s="268"/>
      <c r="EBV353" s="268"/>
      <c r="EBW353" s="268"/>
      <c r="EBX353" s="268"/>
      <c r="EBY353" s="268"/>
      <c r="EBZ353" s="268"/>
      <c r="ECA353" s="268"/>
      <c r="ECB353" s="268"/>
      <c r="ECC353" s="268"/>
      <c r="ECD353" s="268"/>
      <c r="ECE353" s="268"/>
      <c r="ECF353" s="268"/>
      <c r="ECG353" s="268"/>
      <c r="ECH353" s="268"/>
      <c r="ECI353" s="268"/>
      <c r="ECJ353" s="268"/>
      <c r="ECK353" s="268"/>
      <c r="ECL353" s="268"/>
      <c r="ECM353" s="268"/>
      <c r="ECN353" s="268"/>
      <c r="ECO353" s="268"/>
      <c r="ECP353" s="268"/>
      <c r="ECQ353" s="268"/>
      <c r="ECR353" s="268"/>
      <c r="ECS353" s="268"/>
      <c r="ECT353" s="268"/>
      <c r="ECU353" s="268"/>
      <c r="ECV353" s="268"/>
      <c r="ECW353" s="268"/>
      <c r="ECX353" s="268"/>
      <c r="ECY353" s="268"/>
      <c r="ECZ353" s="268"/>
      <c r="EDA353" s="268"/>
      <c r="EDB353" s="268"/>
      <c r="EDC353" s="268"/>
      <c r="EDD353" s="268"/>
      <c r="EDE353" s="268"/>
      <c r="EDF353" s="268"/>
      <c r="EDG353" s="268"/>
      <c r="EDH353" s="268"/>
      <c r="EDI353" s="268"/>
      <c r="EDJ353" s="268"/>
      <c r="EDK353" s="268"/>
      <c r="EDL353" s="268"/>
      <c r="EDM353" s="268"/>
      <c r="EDN353" s="268"/>
      <c r="EDO353" s="268"/>
      <c r="EDP353" s="268"/>
      <c r="EDQ353" s="268"/>
      <c r="EDR353" s="268"/>
      <c r="EDS353" s="268"/>
      <c r="EDT353" s="268"/>
      <c r="EDU353" s="268"/>
      <c r="EDV353" s="268"/>
      <c r="EDW353" s="268"/>
      <c r="EDX353" s="268"/>
      <c r="EDY353" s="268"/>
      <c r="EDZ353" s="268"/>
      <c r="EEA353" s="268"/>
      <c r="EEB353" s="268"/>
      <c r="EEC353" s="268"/>
      <c r="EED353" s="268"/>
      <c r="EEE353" s="268"/>
      <c r="EEF353" s="268"/>
      <c r="EEG353" s="268"/>
      <c r="EEH353" s="268"/>
      <c r="EEI353" s="268"/>
      <c r="EEJ353" s="268"/>
      <c r="EEK353" s="268"/>
      <c r="EEL353" s="268"/>
      <c r="EEM353" s="268"/>
      <c r="EEN353" s="268"/>
      <c r="EEO353" s="268"/>
      <c r="EEP353" s="268"/>
      <c r="EEQ353" s="268"/>
      <c r="EER353" s="268"/>
      <c r="EES353" s="268"/>
      <c r="EET353" s="268"/>
      <c r="EEU353" s="268"/>
      <c r="EEV353" s="268"/>
      <c r="EEW353" s="268"/>
      <c r="EEX353" s="268"/>
      <c r="EEY353" s="268"/>
      <c r="EEZ353" s="268"/>
      <c r="EFA353" s="268"/>
      <c r="EFB353" s="268"/>
      <c r="EFC353" s="268"/>
      <c r="EFD353" s="268"/>
      <c r="EFE353" s="268"/>
      <c r="EFF353" s="268"/>
      <c r="EFG353" s="268"/>
      <c r="EFH353" s="268"/>
      <c r="EFI353" s="268"/>
      <c r="EFJ353" s="268"/>
      <c r="EFK353" s="268"/>
      <c r="EFL353" s="268"/>
      <c r="EFM353" s="268"/>
      <c r="EFN353" s="268"/>
      <c r="EFO353" s="268"/>
      <c r="EFP353" s="268"/>
      <c r="EFQ353" s="268"/>
      <c r="EFR353" s="268"/>
      <c r="EFS353" s="268"/>
      <c r="EFT353" s="268"/>
      <c r="EFU353" s="268"/>
      <c r="EFV353" s="268"/>
      <c r="EFW353" s="268"/>
      <c r="EFX353" s="268"/>
      <c r="EFY353" s="268"/>
      <c r="EFZ353" s="268"/>
      <c r="EGA353" s="268"/>
      <c r="EGB353" s="268"/>
      <c r="EGC353" s="268"/>
      <c r="EGD353" s="268"/>
      <c r="EGE353" s="268"/>
      <c r="EGF353" s="268"/>
      <c r="EGG353" s="268"/>
      <c r="EGH353" s="268"/>
      <c r="EGI353" s="268"/>
      <c r="EGJ353" s="268"/>
      <c r="EGK353" s="268"/>
      <c r="EGL353" s="268"/>
      <c r="EGM353" s="268"/>
      <c r="EHA353" s="268"/>
      <c r="EHB353" s="268"/>
      <c r="EHC353" s="268"/>
      <c r="EHQ353" s="268"/>
      <c r="EHS353" s="268"/>
      <c r="EHT353" s="268"/>
      <c r="EHU353" s="268"/>
      <c r="EHV353" s="268"/>
      <c r="EHW353" s="268"/>
      <c r="EHX353" s="268"/>
      <c r="EHY353" s="268"/>
      <c r="EHZ353" s="268"/>
      <c r="EIA353" s="268"/>
      <c r="EIB353" s="268"/>
      <c r="EIC353" s="268"/>
      <c r="EID353" s="268"/>
      <c r="EIE353" s="268"/>
      <c r="EIF353" s="268"/>
      <c r="EIG353" s="268"/>
      <c r="EIH353" s="268"/>
      <c r="EII353" s="268"/>
      <c r="EIJ353" s="268"/>
      <c r="EIK353" s="268"/>
      <c r="EIL353" s="268"/>
      <c r="EIM353" s="268"/>
      <c r="EIN353" s="268"/>
      <c r="EIO353" s="268"/>
      <c r="EIP353" s="268"/>
      <c r="EIQ353" s="268"/>
      <c r="EIR353" s="268"/>
      <c r="EIS353" s="268"/>
      <c r="EIT353" s="268"/>
      <c r="EIU353" s="268"/>
      <c r="EIV353" s="268"/>
      <c r="EIW353" s="268"/>
      <c r="EIX353" s="268"/>
      <c r="EIY353" s="268"/>
      <c r="EIZ353" s="268"/>
      <c r="EJA353" s="268"/>
      <c r="EJB353" s="268"/>
      <c r="EJC353" s="268"/>
      <c r="EJD353" s="268"/>
      <c r="EJE353" s="268"/>
      <c r="EJF353" s="268"/>
      <c r="EJG353" s="268"/>
      <c r="EJH353" s="268"/>
      <c r="EJI353" s="268"/>
      <c r="EJJ353" s="268"/>
      <c r="EJK353" s="268"/>
      <c r="EJL353" s="268"/>
      <c r="EJM353" s="268"/>
      <c r="EJN353" s="268"/>
      <c r="EJO353" s="268"/>
      <c r="EJP353" s="268"/>
      <c r="EJQ353" s="268"/>
      <c r="EJR353" s="268"/>
      <c r="EJS353" s="268"/>
      <c r="EJT353" s="268"/>
      <c r="EJU353" s="268"/>
      <c r="EJV353" s="268"/>
      <c r="EJW353" s="268"/>
      <c r="EJX353" s="268"/>
      <c r="EJY353" s="268"/>
      <c r="EJZ353" s="268"/>
      <c r="EKA353" s="268"/>
      <c r="EKB353" s="268"/>
      <c r="EKC353" s="268"/>
      <c r="EKD353" s="268"/>
      <c r="EKE353" s="268"/>
      <c r="EKF353" s="268"/>
      <c r="EKG353" s="268"/>
      <c r="EKH353" s="268"/>
      <c r="EKI353" s="268"/>
      <c r="EKJ353" s="268"/>
      <c r="EKK353" s="268"/>
      <c r="EKL353" s="268"/>
      <c r="EKM353" s="268"/>
      <c r="EKN353" s="268"/>
      <c r="EKO353" s="268"/>
      <c r="EKP353" s="268"/>
      <c r="EKQ353" s="268"/>
      <c r="EKR353" s="268"/>
      <c r="EKS353" s="268"/>
      <c r="EKT353" s="268"/>
      <c r="EKU353" s="268"/>
      <c r="EKV353" s="268"/>
      <c r="EKW353" s="268"/>
      <c r="EKX353" s="268"/>
      <c r="EKY353" s="268"/>
      <c r="EKZ353" s="268"/>
      <c r="ELA353" s="268"/>
      <c r="ELB353" s="268"/>
      <c r="ELC353" s="268"/>
      <c r="ELD353" s="268"/>
      <c r="ELE353" s="268"/>
      <c r="ELF353" s="268"/>
      <c r="ELG353" s="268"/>
      <c r="ELH353" s="268"/>
      <c r="ELI353" s="268"/>
      <c r="ELJ353" s="268"/>
      <c r="ELK353" s="268"/>
      <c r="ELL353" s="268"/>
      <c r="ELM353" s="268"/>
      <c r="ELN353" s="268"/>
      <c r="ELO353" s="268"/>
      <c r="ELP353" s="268"/>
      <c r="ELQ353" s="268"/>
      <c r="ELR353" s="268"/>
      <c r="ELS353" s="268"/>
      <c r="ELT353" s="268"/>
      <c r="ELU353" s="268"/>
      <c r="ELV353" s="268"/>
      <c r="ELW353" s="268"/>
      <c r="ELX353" s="268"/>
      <c r="ELY353" s="268"/>
      <c r="ELZ353" s="268"/>
      <c r="EMA353" s="268"/>
      <c r="EMB353" s="268"/>
      <c r="EMC353" s="268"/>
      <c r="EMD353" s="268"/>
      <c r="EME353" s="268"/>
      <c r="EMF353" s="268"/>
      <c r="EMG353" s="268"/>
      <c r="EMH353" s="268"/>
      <c r="EMI353" s="268"/>
      <c r="EMJ353" s="268"/>
      <c r="EMK353" s="268"/>
      <c r="EML353" s="268"/>
      <c r="EMM353" s="268"/>
      <c r="EMN353" s="268"/>
      <c r="EMO353" s="268"/>
      <c r="EMP353" s="268"/>
      <c r="EMQ353" s="268"/>
      <c r="EMR353" s="268"/>
      <c r="EMS353" s="268"/>
      <c r="EMT353" s="268"/>
      <c r="EMU353" s="268"/>
      <c r="EMV353" s="268"/>
      <c r="EMW353" s="268"/>
      <c r="EMX353" s="268"/>
      <c r="EMY353" s="268"/>
      <c r="EMZ353" s="268"/>
      <c r="ENA353" s="268"/>
      <c r="ENB353" s="268"/>
      <c r="ENC353" s="268"/>
      <c r="END353" s="268"/>
      <c r="ENE353" s="268"/>
      <c r="ENF353" s="268"/>
      <c r="ENG353" s="268"/>
      <c r="ENH353" s="268"/>
      <c r="ENI353" s="268"/>
      <c r="ENJ353" s="268"/>
      <c r="ENK353" s="268"/>
      <c r="ENL353" s="268"/>
      <c r="ENM353" s="268"/>
      <c r="ENN353" s="268"/>
      <c r="ENO353" s="268"/>
      <c r="ENP353" s="268"/>
      <c r="ENQ353" s="268"/>
      <c r="ENR353" s="268"/>
      <c r="ENS353" s="268"/>
      <c r="ENT353" s="268"/>
      <c r="ENU353" s="268"/>
      <c r="ENV353" s="268"/>
      <c r="ENW353" s="268"/>
      <c r="ENX353" s="268"/>
      <c r="ENY353" s="268"/>
      <c r="ENZ353" s="268"/>
      <c r="EOA353" s="268"/>
      <c r="EOB353" s="268"/>
      <c r="EOC353" s="268"/>
      <c r="EOD353" s="268"/>
      <c r="EOE353" s="268"/>
      <c r="EOF353" s="268"/>
      <c r="EOG353" s="268"/>
      <c r="EOH353" s="268"/>
      <c r="EOI353" s="268"/>
      <c r="EOJ353" s="268"/>
      <c r="EOK353" s="268"/>
      <c r="EOL353" s="268"/>
      <c r="EOM353" s="268"/>
      <c r="EON353" s="268"/>
      <c r="EOO353" s="268"/>
      <c r="EOP353" s="268"/>
      <c r="EOQ353" s="268"/>
      <c r="EOR353" s="268"/>
      <c r="EOS353" s="268"/>
      <c r="EOT353" s="268"/>
      <c r="EOU353" s="268"/>
      <c r="EOV353" s="268"/>
      <c r="EOW353" s="268"/>
      <c r="EOX353" s="268"/>
      <c r="EOY353" s="268"/>
      <c r="EOZ353" s="268"/>
      <c r="EPA353" s="268"/>
      <c r="EPB353" s="268"/>
      <c r="EPC353" s="268"/>
      <c r="EPD353" s="268"/>
      <c r="EPE353" s="268"/>
      <c r="EPF353" s="268"/>
      <c r="EPG353" s="268"/>
      <c r="EPH353" s="268"/>
      <c r="EPI353" s="268"/>
      <c r="EPJ353" s="268"/>
      <c r="EPK353" s="268"/>
      <c r="EPL353" s="268"/>
      <c r="EPM353" s="268"/>
      <c r="EPN353" s="268"/>
      <c r="EPO353" s="268"/>
      <c r="EPP353" s="268"/>
      <c r="EPQ353" s="268"/>
      <c r="EPR353" s="268"/>
      <c r="EPS353" s="268"/>
      <c r="EPT353" s="268"/>
      <c r="EPU353" s="268"/>
      <c r="EPV353" s="268"/>
      <c r="EPW353" s="268"/>
      <c r="EPX353" s="268"/>
      <c r="EPY353" s="268"/>
      <c r="EPZ353" s="268"/>
      <c r="EQA353" s="268"/>
      <c r="EQB353" s="268"/>
      <c r="EQC353" s="268"/>
      <c r="EQD353" s="268"/>
      <c r="EQE353" s="268"/>
      <c r="EQF353" s="268"/>
      <c r="EQG353" s="268"/>
      <c r="EQH353" s="268"/>
      <c r="EQI353" s="268"/>
      <c r="EQW353" s="268"/>
      <c r="EQX353" s="268"/>
      <c r="EQY353" s="268"/>
      <c r="ERM353" s="268"/>
      <c r="ERO353" s="268"/>
      <c r="ERP353" s="268"/>
      <c r="ERQ353" s="268"/>
      <c r="ERR353" s="268"/>
      <c r="ERS353" s="268"/>
      <c r="ERT353" s="268"/>
      <c r="ERU353" s="268"/>
      <c r="ERV353" s="268"/>
      <c r="ERW353" s="268"/>
      <c r="ERX353" s="268"/>
      <c r="ERY353" s="268"/>
      <c r="ERZ353" s="268"/>
      <c r="ESA353" s="268"/>
      <c r="ESB353" s="268"/>
      <c r="ESC353" s="268"/>
      <c r="ESD353" s="268"/>
      <c r="ESE353" s="268"/>
      <c r="ESF353" s="268"/>
      <c r="ESG353" s="268"/>
      <c r="ESH353" s="268"/>
      <c r="ESI353" s="268"/>
      <c r="ESJ353" s="268"/>
      <c r="ESK353" s="268"/>
      <c r="ESL353" s="268"/>
      <c r="ESM353" s="268"/>
      <c r="ESN353" s="268"/>
      <c r="ESO353" s="268"/>
      <c r="ESP353" s="268"/>
      <c r="ESQ353" s="268"/>
      <c r="ESR353" s="268"/>
      <c r="ESS353" s="268"/>
      <c r="EST353" s="268"/>
      <c r="ESU353" s="268"/>
      <c r="ESV353" s="268"/>
      <c r="ESW353" s="268"/>
      <c r="ESX353" s="268"/>
      <c r="ESY353" s="268"/>
      <c r="ESZ353" s="268"/>
      <c r="ETA353" s="268"/>
      <c r="ETB353" s="268"/>
      <c r="ETC353" s="268"/>
      <c r="ETD353" s="268"/>
      <c r="ETE353" s="268"/>
      <c r="ETF353" s="268"/>
      <c r="ETG353" s="268"/>
      <c r="ETH353" s="268"/>
      <c r="ETI353" s="268"/>
      <c r="ETJ353" s="268"/>
      <c r="ETK353" s="268"/>
      <c r="ETL353" s="268"/>
      <c r="ETM353" s="268"/>
      <c r="ETN353" s="268"/>
      <c r="ETO353" s="268"/>
      <c r="ETP353" s="268"/>
      <c r="ETQ353" s="268"/>
      <c r="ETR353" s="268"/>
      <c r="ETS353" s="268"/>
      <c r="ETT353" s="268"/>
      <c r="ETU353" s="268"/>
      <c r="ETV353" s="268"/>
      <c r="ETW353" s="268"/>
      <c r="ETX353" s="268"/>
      <c r="ETY353" s="268"/>
      <c r="ETZ353" s="268"/>
      <c r="EUA353" s="268"/>
      <c r="EUB353" s="268"/>
      <c r="EUC353" s="268"/>
      <c r="EUD353" s="268"/>
      <c r="EUE353" s="268"/>
      <c r="EUF353" s="268"/>
      <c r="EUG353" s="268"/>
      <c r="EUH353" s="268"/>
      <c r="EUI353" s="268"/>
      <c r="EUJ353" s="268"/>
      <c r="EUK353" s="268"/>
      <c r="EUL353" s="268"/>
      <c r="EUM353" s="268"/>
      <c r="EUN353" s="268"/>
      <c r="EUO353" s="268"/>
      <c r="EUP353" s="268"/>
      <c r="EUQ353" s="268"/>
      <c r="EUR353" s="268"/>
      <c r="EUS353" s="268"/>
      <c r="EUT353" s="268"/>
      <c r="EUU353" s="268"/>
      <c r="EUV353" s="268"/>
      <c r="EUW353" s="268"/>
      <c r="EUX353" s="268"/>
      <c r="EUY353" s="268"/>
      <c r="EUZ353" s="268"/>
      <c r="EVA353" s="268"/>
      <c r="EVB353" s="268"/>
      <c r="EVC353" s="268"/>
      <c r="EVD353" s="268"/>
      <c r="EVE353" s="268"/>
      <c r="EVF353" s="268"/>
      <c r="EVG353" s="268"/>
      <c r="EVH353" s="268"/>
      <c r="EVI353" s="268"/>
      <c r="EVJ353" s="268"/>
      <c r="EVK353" s="268"/>
      <c r="EVL353" s="268"/>
      <c r="EVM353" s="268"/>
      <c r="EVN353" s="268"/>
      <c r="EVO353" s="268"/>
      <c r="EVP353" s="268"/>
      <c r="EVQ353" s="268"/>
      <c r="EVR353" s="268"/>
      <c r="EVS353" s="268"/>
      <c r="EVT353" s="268"/>
      <c r="EVU353" s="268"/>
      <c r="EVV353" s="268"/>
      <c r="EVW353" s="268"/>
      <c r="EVX353" s="268"/>
      <c r="EVY353" s="268"/>
      <c r="EVZ353" s="268"/>
      <c r="EWA353" s="268"/>
      <c r="EWB353" s="268"/>
      <c r="EWC353" s="268"/>
      <c r="EWD353" s="268"/>
      <c r="EWE353" s="268"/>
      <c r="EWF353" s="268"/>
      <c r="EWG353" s="268"/>
      <c r="EWH353" s="268"/>
      <c r="EWI353" s="268"/>
      <c r="EWJ353" s="268"/>
      <c r="EWK353" s="268"/>
      <c r="EWL353" s="268"/>
      <c r="EWM353" s="268"/>
      <c r="EWN353" s="268"/>
      <c r="EWO353" s="268"/>
      <c r="EWP353" s="268"/>
      <c r="EWQ353" s="268"/>
      <c r="EWR353" s="268"/>
      <c r="EWS353" s="268"/>
      <c r="EWT353" s="268"/>
      <c r="EWU353" s="268"/>
      <c r="EWV353" s="268"/>
      <c r="EWW353" s="268"/>
      <c r="EWX353" s="268"/>
      <c r="EWY353" s="268"/>
      <c r="EWZ353" s="268"/>
      <c r="EXA353" s="268"/>
      <c r="EXB353" s="268"/>
      <c r="EXC353" s="268"/>
      <c r="EXD353" s="268"/>
      <c r="EXE353" s="268"/>
      <c r="EXF353" s="268"/>
      <c r="EXG353" s="268"/>
      <c r="EXH353" s="268"/>
      <c r="EXI353" s="268"/>
      <c r="EXJ353" s="268"/>
      <c r="EXK353" s="268"/>
      <c r="EXL353" s="268"/>
      <c r="EXM353" s="268"/>
      <c r="EXN353" s="268"/>
      <c r="EXO353" s="268"/>
      <c r="EXP353" s="268"/>
      <c r="EXQ353" s="268"/>
      <c r="EXR353" s="268"/>
      <c r="EXS353" s="268"/>
      <c r="EXT353" s="268"/>
      <c r="EXU353" s="268"/>
      <c r="EXV353" s="268"/>
      <c r="EXW353" s="268"/>
      <c r="EXX353" s="268"/>
      <c r="EXY353" s="268"/>
      <c r="EXZ353" s="268"/>
      <c r="EYA353" s="268"/>
      <c r="EYB353" s="268"/>
      <c r="EYC353" s="268"/>
      <c r="EYD353" s="268"/>
      <c r="EYE353" s="268"/>
      <c r="EYF353" s="268"/>
      <c r="EYG353" s="268"/>
      <c r="EYH353" s="268"/>
      <c r="EYI353" s="268"/>
      <c r="EYJ353" s="268"/>
      <c r="EYK353" s="268"/>
      <c r="EYL353" s="268"/>
      <c r="EYM353" s="268"/>
      <c r="EYN353" s="268"/>
      <c r="EYO353" s="268"/>
      <c r="EYP353" s="268"/>
      <c r="EYQ353" s="268"/>
      <c r="EYR353" s="268"/>
      <c r="EYS353" s="268"/>
      <c r="EYT353" s="268"/>
      <c r="EYU353" s="268"/>
      <c r="EYV353" s="268"/>
      <c r="EYW353" s="268"/>
      <c r="EYX353" s="268"/>
      <c r="EYY353" s="268"/>
      <c r="EYZ353" s="268"/>
      <c r="EZA353" s="268"/>
      <c r="EZB353" s="268"/>
      <c r="EZC353" s="268"/>
      <c r="EZD353" s="268"/>
      <c r="EZE353" s="268"/>
      <c r="EZF353" s="268"/>
      <c r="EZG353" s="268"/>
      <c r="EZH353" s="268"/>
      <c r="EZI353" s="268"/>
      <c r="EZJ353" s="268"/>
      <c r="EZK353" s="268"/>
      <c r="EZL353" s="268"/>
      <c r="EZM353" s="268"/>
      <c r="EZN353" s="268"/>
      <c r="EZO353" s="268"/>
      <c r="EZP353" s="268"/>
      <c r="EZQ353" s="268"/>
      <c r="EZR353" s="268"/>
      <c r="EZS353" s="268"/>
      <c r="EZT353" s="268"/>
      <c r="EZU353" s="268"/>
      <c r="EZV353" s="268"/>
      <c r="EZW353" s="268"/>
      <c r="EZX353" s="268"/>
      <c r="EZY353" s="268"/>
      <c r="EZZ353" s="268"/>
      <c r="FAA353" s="268"/>
      <c r="FAB353" s="268"/>
      <c r="FAC353" s="268"/>
      <c r="FAD353" s="268"/>
      <c r="FAE353" s="268"/>
      <c r="FAS353" s="268"/>
      <c r="FAT353" s="268"/>
      <c r="FAU353" s="268"/>
      <c r="FBI353" s="268"/>
      <c r="FBK353" s="268"/>
      <c r="FBL353" s="268"/>
      <c r="FBM353" s="268"/>
      <c r="FBN353" s="268"/>
      <c r="FBO353" s="268"/>
      <c r="FBP353" s="268"/>
      <c r="FBQ353" s="268"/>
      <c r="FBR353" s="268"/>
      <c r="FBS353" s="268"/>
      <c r="FBT353" s="268"/>
      <c r="FBU353" s="268"/>
      <c r="FBV353" s="268"/>
      <c r="FBW353" s="268"/>
      <c r="FBX353" s="268"/>
      <c r="FBY353" s="268"/>
      <c r="FBZ353" s="268"/>
      <c r="FCA353" s="268"/>
      <c r="FCB353" s="268"/>
      <c r="FCC353" s="268"/>
      <c r="FCD353" s="268"/>
      <c r="FCE353" s="268"/>
      <c r="FCF353" s="268"/>
      <c r="FCG353" s="268"/>
      <c r="FCH353" s="268"/>
      <c r="FCI353" s="268"/>
      <c r="FCJ353" s="268"/>
      <c r="FCK353" s="268"/>
      <c r="FCL353" s="268"/>
      <c r="FCM353" s="268"/>
      <c r="FCN353" s="268"/>
      <c r="FCO353" s="268"/>
      <c r="FCP353" s="268"/>
      <c r="FCQ353" s="268"/>
      <c r="FCR353" s="268"/>
      <c r="FCS353" s="268"/>
      <c r="FCT353" s="268"/>
      <c r="FCU353" s="268"/>
      <c r="FCV353" s="268"/>
      <c r="FCW353" s="268"/>
      <c r="FCX353" s="268"/>
      <c r="FCY353" s="268"/>
      <c r="FCZ353" s="268"/>
      <c r="FDA353" s="268"/>
      <c r="FDB353" s="268"/>
      <c r="FDC353" s="268"/>
      <c r="FDD353" s="268"/>
      <c r="FDE353" s="268"/>
      <c r="FDF353" s="268"/>
      <c r="FDG353" s="268"/>
      <c r="FDH353" s="268"/>
      <c r="FDI353" s="268"/>
      <c r="FDJ353" s="268"/>
      <c r="FDK353" s="268"/>
      <c r="FDL353" s="268"/>
      <c r="FDM353" s="268"/>
      <c r="FDN353" s="268"/>
      <c r="FDO353" s="268"/>
      <c r="FDP353" s="268"/>
      <c r="FDQ353" s="268"/>
      <c r="FDR353" s="268"/>
      <c r="FDS353" s="268"/>
      <c r="FDT353" s="268"/>
      <c r="FDU353" s="268"/>
      <c r="FDV353" s="268"/>
      <c r="FDW353" s="268"/>
      <c r="FDX353" s="268"/>
      <c r="FDY353" s="268"/>
      <c r="FDZ353" s="268"/>
      <c r="FEA353" s="268"/>
      <c r="FEB353" s="268"/>
      <c r="FEC353" s="268"/>
      <c r="FED353" s="268"/>
      <c r="FEE353" s="268"/>
      <c r="FEF353" s="268"/>
      <c r="FEG353" s="268"/>
      <c r="FEH353" s="268"/>
      <c r="FEI353" s="268"/>
      <c r="FEJ353" s="268"/>
      <c r="FEK353" s="268"/>
      <c r="FEL353" s="268"/>
      <c r="FEM353" s="268"/>
      <c r="FEN353" s="268"/>
      <c r="FEO353" s="268"/>
      <c r="FEP353" s="268"/>
      <c r="FEQ353" s="268"/>
      <c r="FER353" s="268"/>
      <c r="FES353" s="268"/>
      <c r="FET353" s="268"/>
      <c r="FEU353" s="268"/>
      <c r="FEV353" s="268"/>
      <c r="FEW353" s="268"/>
      <c r="FEX353" s="268"/>
      <c r="FEY353" s="268"/>
      <c r="FEZ353" s="268"/>
      <c r="FFA353" s="268"/>
      <c r="FFB353" s="268"/>
      <c r="FFC353" s="268"/>
      <c r="FFD353" s="268"/>
      <c r="FFE353" s="268"/>
      <c r="FFF353" s="268"/>
      <c r="FFG353" s="268"/>
      <c r="FFH353" s="268"/>
      <c r="FFI353" s="268"/>
      <c r="FFJ353" s="268"/>
      <c r="FFK353" s="268"/>
      <c r="FFL353" s="268"/>
      <c r="FFM353" s="268"/>
      <c r="FFN353" s="268"/>
      <c r="FFO353" s="268"/>
      <c r="FFP353" s="268"/>
      <c r="FFQ353" s="268"/>
      <c r="FFR353" s="268"/>
      <c r="FFS353" s="268"/>
      <c r="FFT353" s="268"/>
      <c r="FFU353" s="268"/>
      <c r="FFV353" s="268"/>
      <c r="FFW353" s="268"/>
      <c r="FFX353" s="268"/>
      <c r="FFY353" s="268"/>
      <c r="FFZ353" s="268"/>
      <c r="FGA353" s="268"/>
      <c r="FGB353" s="268"/>
      <c r="FGC353" s="268"/>
      <c r="FGD353" s="268"/>
      <c r="FGE353" s="268"/>
      <c r="FGF353" s="268"/>
      <c r="FGG353" s="268"/>
      <c r="FGH353" s="268"/>
      <c r="FGI353" s="268"/>
      <c r="FGJ353" s="268"/>
      <c r="FGK353" s="268"/>
      <c r="FGL353" s="268"/>
      <c r="FGM353" s="268"/>
      <c r="FGN353" s="268"/>
      <c r="FGO353" s="268"/>
      <c r="FGP353" s="268"/>
      <c r="FGQ353" s="268"/>
      <c r="FGR353" s="268"/>
      <c r="FGS353" s="268"/>
      <c r="FGT353" s="268"/>
      <c r="FGU353" s="268"/>
      <c r="FGV353" s="268"/>
      <c r="FGW353" s="268"/>
      <c r="FGX353" s="268"/>
      <c r="FGY353" s="268"/>
      <c r="FGZ353" s="268"/>
      <c r="FHA353" s="268"/>
      <c r="FHB353" s="268"/>
      <c r="FHC353" s="268"/>
      <c r="FHD353" s="268"/>
      <c r="FHE353" s="268"/>
      <c r="FHF353" s="268"/>
      <c r="FHG353" s="268"/>
      <c r="FHH353" s="268"/>
      <c r="FHI353" s="268"/>
      <c r="FHJ353" s="268"/>
      <c r="FHK353" s="268"/>
      <c r="FHL353" s="268"/>
      <c r="FHM353" s="268"/>
      <c r="FHN353" s="268"/>
      <c r="FHO353" s="268"/>
      <c r="FHP353" s="268"/>
      <c r="FHQ353" s="268"/>
      <c r="FHR353" s="268"/>
      <c r="FHS353" s="268"/>
      <c r="FHT353" s="268"/>
      <c r="FHU353" s="268"/>
      <c r="FHV353" s="268"/>
      <c r="FHW353" s="268"/>
      <c r="FHX353" s="268"/>
      <c r="FHY353" s="268"/>
      <c r="FHZ353" s="268"/>
      <c r="FIA353" s="268"/>
      <c r="FIB353" s="268"/>
      <c r="FIC353" s="268"/>
      <c r="FID353" s="268"/>
      <c r="FIE353" s="268"/>
      <c r="FIF353" s="268"/>
      <c r="FIG353" s="268"/>
      <c r="FIH353" s="268"/>
      <c r="FII353" s="268"/>
      <c r="FIJ353" s="268"/>
      <c r="FIK353" s="268"/>
      <c r="FIL353" s="268"/>
      <c r="FIM353" s="268"/>
      <c r="FIN353" s="268"/>
      <c r="FIO353" s="268"/>
      <c r="FIP353" s="268"/>
      <c r="FIQ353" s="268"/>
      <c r="FIR353" s="268"/>
      <c r="FIS353" s="268"/>
      <c r="FIT353" s="268"/>
      <c r="FIU353" s="268"/>
      <c r="FIV353" s="268"/>
      <c r="FIW353" s="268"/>
      <c r="FIX353" s="268"/>
      <c r="FIY353" s="268"/>
      <c r="FIZ353" s="268"/>
      <c r="FJA353" s="268"/>
      <c r="FJB353" s="268"/>
      <c r="FJC353" s="268"/>
      <c r="FJD353" s="268"/>
      <c r="FJE353" s="268"/>
      <c r="FJF353" s="268"/>
      <c r="FJG353" s="268"/>
      <c r="FJH353" s="268"/>
      <c r="FJI353" s="268"/>
      <c r="FJJ353" s="268"/>
      <c r="FJK353" s="268"/>
      <c r="FJL353" s="268"/>
      <c r="FJM353" s="268"/>
      <c r="FJN353" s="268"/>
      <c r="FJO353" s="268"/>
      <c r="FJP353" s="268"/>
      <c r="FJQ353" s="268"/>
      <c r="FJR353" s="268"/>
      <c r="FJS353" s="268"/>
      <c r="FJT353" s="268"/>
      <c r="FJU353" s="268"/>
      <c r="FJV353" s="268"/>
      <c r="FJW353" s="268"/>
      <c r="FJX353" s="268"/>
      <c r="FJY353" s="268"/>
      <c r="FJZ353" s="268"/>
      <c r="FKA353" s="268"/>
      <c r="FKO353" s="268"/>
      <c r="FKP353" s="268"/>
      <c r="FKQ353" s="268"/>
      <c r="FLE353" s="268"/>
      <c r="FLG353" s="268"/>
      <c r="FLH353" s="268"/>
      <c r="FLI353" s="268"/>
      <c r="FLJ353" s="268"/>
      <c r="FLK353" s="268"/>
      <c r="FLL353" s="268"/>
      <c r="FLM353" s="268"/>
      <c r="FLN353" s="268"/>
      <c r="FLO353" s="268"/>
      <c r="FLP353" s="268"/>
      <c r="FLQ353" s="268"/>
      <c r="FLR353" s="268"/>
      <c r="FLS353" s="268"/>
      <c r="FLT353" s="268"/>
      <c r="FLU353" s="268"/>
      <c r="FLV353" s="268"/>
      <c r="FLW353" s="268"/>
      <c r="FLX353" s="268"/>
      <c r="FLY353" s="268"/>
      <c r="FLZ353" s="268"/>
      <c r="FMA353" s="268"/>
      <c r="FMB353" s="268"/>
      <c r="FMC353" s="268"/>
      <c r="FMD353" s="268"/>
      <c r="FME353" s="268"/>
      <c r="FMF353" s="268"/>
      <c r="FMG353" s="268"/>
      <c r="FMH353" s="268"/>
      <c r="FMI353" s="268"/>
      <c r="FMJ353" s="268"/>
      <c r="FMK353" s="268"/>
      <c r="FML353" s="268"/>
      <c r="FMM353" s="268"/>
      <c r="FMN353" s="268"/>
      <c r="FMO353" s="268"/>
      <c r="FMP353" s="268"/>
      <c r="FMQ353" s="268"/>
      <c r="FMR353" s="268"/>
      <c r="FMS353" s="268"/>
      <c r="FMT353" s="268"/>
      <c r="FMU353" s="268"/>
      <c r="FMV353" s="268"/>
      <c r="FMW353" s="268"/>
      <c r="FMX353" s="268"/>
      <c r="FMY353" s="268"/>
      <c r="FMZ353" s="268"/>
      <c r="FNA353" s="268"/>
      <c r="FNB353" s="268"/>
      <c r="FNC353" s="268"/>
      <c r="FND353" s="268"/>
      <c r="FNE353" s="268"/>
      <c r="FNF353" s="268"/>
      <c r="FNG353" s="268"/>
      <c r="FNH353" s="268"/>
      <c r="FNI353" s="268"/>
      <c r="FNJ353" s="268"/>
      <c r="FNK353" s="268"/>
      <c r="FNL353" s="268"/>
      <c r="FNM353" s="268"/>
      <c r="FNN353" s="268"/>
      <c r="FNO353" s="268"/>
      <c r="FNP353" s="268"/>
      <c r="FNQ353" s="268"/>
      <c r="FNR353" s="268"/>
      <c r="FNS353" s="268"/>
      <c r="FNT353" s="268"/>
      <c r="FNU353" s="268"/>
      <c r="FNV353" s="268"/>
      <c r="FNW353" s="268"/>
      <c r="FNX353" s="268"/>
      <c r="FNY353" s="268"/>
      <c r="FNZ353" s="268"/>
      <c r="FOA353" s="268"/>
      <c r="FOB353" s="268"/>
      <c r="FOC353" s="268"/>
      <c r="FOD353" s="268"/>
      <c r="FOE353" s="268"/>
      <c r="FOF353" s="268"/>
      <c r="FOG353" s="268"/>
      <c r="FOH353" s="268"/>
      <c r="FOI353" s="268"/>
      <c r="FOJ353" s="268"/>
      <c r="FOK353" s="268"/>
      <c r="FOL353" s="268"/>
      <c r="FOM353" s="268"/>
      <c r="FON353" s="268"/>
      <c r="FOO353" s="268"/>
      <c r="FOP353" s="268"/>
      <c r="FOQ353" s="268"/>
      <c r="FOR353" s="268"/>
      <c r="FOS353" s="268"/>
      <c r="FOT353" s="268"/>
      <c r="FOU353" s="268"/>
      <c r="FOV353" s="268"/>
      <c r="FOW353" s="268"/>
      <c r="FOX353" s="268"/>
      <c r="FOY353" s="268"/>
      <c r="FOZ353" s="268"/>
      <c r="FPA353" s="268"/>
      <c r="FPB353" s="268"/>
      <c r="FPC353" s="268"/>
      <c r="FPD353" s="268"/>
      <c r="FPE353" s="268"/>
      <c r="FPF353" s="268"/>
      <c r="FPG353" s="268"/>
      <c r="FPH353" s="268"/>
      <c r="FPI353" s="268"/>
      <c r="FPJ353" s="268"/>
      <c r="FPK353" s="268"/>
      <c r="FPL353" s="268"/>
      <c r="FPM353" s="268"/>
      <c r="FPN353" s="268"/>
      <c r="FPO353" s="268"/>
      <c r="FPP353" s="268"/>
      <c r="FPQ353" s="268"/>
      <c r="FPR353" s="268"/>
      <c r="FPS353" s="268"/>
      <c r="FPT353" s="268"/>
      <c r="FPU353" s="268"/>
      <c r="FPV353" s="268"/>
      <c r="FPW353" s="268"/>
      <c r="FPX353" s="268"/>
      <c r="FPY353" s="268"/>
      <c r="FPZ353" s="268"/>
      <c r="FQA353" s="268"/>
      <c r="FQB353" s="268"/>
      <c r="FQC353" s="268"/>
      <c r="FQD353" s="268"/>
      <c r="FQE353" s="268"/>
      <c r="FQF353" s="268"/>
      <c r="FQG353" s="268"/>
      <c r="FQH353" s="268"/>
      <c r="FQI353" s="268"/>
      <c r="FQJ353" s="268"/>
      <c r="FQK353" s="268"/>
      <c r="FQL353" s="268"/>
      <c r="FQM353" s="268"/>
      <c r="FQN353" s="268"/>
      <c r="FQO353" s="268"/>
      <c r="FQP353" s="268"/>
      <c r="FQQ353" s="268"/>
      <c r="FQR353" s="268"/>
      <c r="FQS353" s="268"/>
      <c r="FQT353" s="268"/>
      <c r="FQU353" s="268"/>
      <c r="FQV353" s="268"/>
      <c r="FQW353" s="268"/>
      <c r="FQX353" s="268"/>
      <c r="FQY353" s="268"/>
      <c r="FQZ353" s="268"/>
      <c r="FRA353" s="268"/>
      <c r="FRB353" s="268"/>
      <c r="FRC353" s="268"/>
      <c r="FRD353" s="268"/>
      <c r="FRE353" s="268"/>
      <c r="FRF353" s="268"/>
      <c r="FRG353" s="268"/>
      <c r="FRH353" s="268"/>
      <c r="FRI353" s="268"/>
      <c r="FRJ353" s="268"/>
      <c r="FRK353" s="268"/>
      <c r="FRL353" s="268"/>
      <c r="FRM353" s="268"/>
      <c r="FRN353" s="268"/>
      <c r="FRO353" s="268"/>
      <c r="FRP353" s="268"/>
      <c r="FRQ353" s="268"/>
      <c r="FRR353" s="268"/>
      <c r="FRS353" s="268"/>
      <c r="FRT353" s="268"/>
      <c r="FRU353" s="268"/>
      <c r="FRV353" s="268"/>
      <c r="FRW353" s="268"/>
      <c r="FRX353" s="268"/>
      <c r="FRY353" s="268"/>
      <c r="FRZ353" s="268"/>
      <c r="FSA353" s="268"/>
      <c r="FSB353" s="268"/>
      <c r="FSC353" s="268"/>
      <c r="FSD353" s="268"/>
      <c r="FSE353" s="268"/>
      <c r="FSF353" s="268"/>
      <c r="FSG353" s="268"/>
      <c r="FSH353" s="268"/>
      <c r="FSI353" s="268"/>
      <c r="FSJ353" s="268"/>
      <c r="FSK353" s="268"/>
      <c r="FSL353" s="268"/>
      <c r="FSM353" s="268"/>
      <c r="FSN353" s="268"/>
      <c r="FSO353" s="268"/>
      <c r="FSP353" s="268"/>
      <c r="FSQ353" s="268"/>
      <c r="FSR353" s="268"/>
      <c r="FSS353" s="268"/>
      <c r="FST353" s="268"/>
      <c r="FSU353" s="268"/>
      <c r="FSV353" s="268"/>
      <c r="FSW353" s="268"/>
      <c r="FSX353" s="268"/>
      <c r="FSY353" s="268"/>
      <c r="FSZ353" s="268"/>
      <c r="FTA353" s="268"/>
      <c r="FTB353" s="268"/>
      <c r="FTC353" s="268"/>
      <c r="FTD353" s="268"/>
      <c r="FTE353" s="268"/>
      <c r="FTF353" s="268"/>
      <c r="FTG353" s="268"/>
      <c r="FTH353" s="268"/>
      <c r="FTI353" s="268"/>
      <c r="FTJ353" s="268"/>
      <c r="FTK353" s="268"/>
      <c r="FTL353" s="268"/>
      <c r="FTM353" s="268"/>
      <c r="FTN353" s="268"/>
      <c r="FTO353" s="268"/>
      <c r="FTP353" s="268"/>
      <c r="FTQ353" s="268"/>
      <c r="FTR353" s="268"/>
      <c r="FTS353" s="268"/>
      <c r="FTT353" s="268"/>
      <c r="FTU353" s="268"/>
      <c r="FTV353" s="268"/>
      <c r="FTW353" s="268"/>
      <c r="FUK353" s="268"/>
      <c r="FUL353" s="268"/>
      <c r="FUM353" s="268"/>
      <c r="FVA353" s="268"/>
      <c r="FVC353" s="268"/>
      <c r="FVD353" s="268"/>
      <c r="FVE353" s="268"/>
      <c r="FVF353" s="268"/>
      <c r="FVG353" s="268"/>
      <c r="FVH353" s="268"/>
      <c r="FVI353" s="268"/>
      <c r="FVJ353" s="268"/>
      <c r="FVK353" s="268"/>
      <c r="FVL353" s="268"/>
      <c r="FVM353" s="268"/>
      <c r="FVN353" s="268"/>
      <c r="FVO353" s="268"/>
      <c r="FVP353" s="268"/>
      <c r="FVQ353" s="268"/>
      <c r="FVR353" s="268"/>
      <c r="FVS353" s="268"/>
      <c r="FVT353" s="268"/>
      <c r="FVU353" s="268"/>
      <c r="FVV353" s="268"/>
      <c r="FVW353" s="268"/>
      <c r="FVX353" s="268"/>
      <c r="FVY353" s="268"/>
      <c r="FVZ353" s="268"/>
      <c r="FWA353" s="268"/>
      <c r="FWB353" s="268"/>
      <c r="FWC353" s="268"/>
      <c r="FWD353" s="268"/>
      <c r="FWE353" s="268"/>
      <c r="FWF353" s="268"/>
      <c r="FWG353" s="268"/>
      <c r="FWH353" s="268"/>
      <c r="FWI353" s="268"/>
      <c r="FWJ353" s="268"/>
      <c r="FWK353" s="268"/>
      <c r="FWL353" s="268"/>
      <c r="FWM353" s="268"/>
      <c r="FWN353" s="268"/>
      <c r="FWO353" s="268"/>
      <c r="FWP353" s="268"/>
      <c r="FWQ353" s="268"/>
      <c r="FWR353" s="268"/>
      <c r="FWS353" s="268"/>
      <c r="FWT353" s="268"/>
      <c r="FWU353" s="268"/>
      <c r="FWV353" s="268"/>
      <c r="FWW353" s="268"/>
      <c r="FWX353" s="268"/>
      <c r="FWY353" s="268"/>
      <c r="FWZ353" s="268"/>
      <c r="FXA353" s="268"/>
      <c r="FXB353" s="268"/>
      <c r="FXC353" s="268"/>
      <c r="FXD353" s="268"/>
      <c r="FXE353" s="268"/>
      <c r="FXF353" s="268"/>
      <c r="FXG353" s="268"/>
      <c r="FXH353" s="268"/>
      <c r="FXI353" s="268"/>
      <c r="FXJ353" s="268"/>
      <c r="FXK353" s="268"/>
      <c r="FXL353" s="268"/>
      <c r="FXM353" s="268"/>
      <c r="FXN353" s="268"/>
      <c r="FXO353" s="268"/>
      <c r="FXP353" s="268"/>
      <c r="FXQ353" s="268"/>
      <c r="FXR353" s="268"/>
      <c r="FXS353" s="268"/>
      <c r="FXT353" s="268"/>
      <c r="FXU353" s="268"/>
      <c r="FXV353" s="268"/>
      <c r="FXW353" s="268"/>
      <c r="FXX353" s="268"/>
      <c r="FXY353" s="268"/>
      <c r="FXZ353" s="268"/>
      <c r="FYA353" s="268"/>
      <c r="FYB353" s="268"/>
      <c r="FYC353" s="268"/>
      <c r="FYD353" s="268"/>
      <c r="FYE353" s="268"/>
      <c r="FYF353" s="268"/>
      <c r="FYG353" s="268"/>
      <c r="FYH353" s="268"/>
      <c r="FYI353" s="268"/>
      <c r="FYJ353" s="268"/>
      <c r="FYK353" s="268"/>
      <c r="FYL353" s="268"/>
      <c r="FYM353" s="268"/>
      <c r="FYN353" s="268"/>
      <c r="FYO353" s="268"/>
      <c r="FYP353" s="268"/>
      <c r="FYQ353" s="268"/>
      <c r="FYR353" s="268"/>
      <c r="FYS353" s="268"/>
      <c r="FYT353" s="268"/>
      <c r="FYU353" s="268"/>
      <c r="FYV353" s="268"/>
      <c r="FYW353" s="268"/>
      <c r="FYX353" s="268"/>
      <c r="FYY353" s="268"/>
      <c r="FYZ353" s="268"/>
      <c r="FZA353" s="268"/>
      <c r="FZB353" s="268"/>
      <c r="FZC353" s="268"/>
      <c r="FZD353" s="268"/>
      <c r="FZE353" s="268"/>
      <c r="FZF353" s="268"/>
      <c r="FZG353" s="268"/>
      <c r="FZH353" s="268"/>
      <c r="FZI353" s="268"/>
      <c r="FZJ353" s="268"/>
      <c r="FZK353" s="268"/>
      <c r="FZL353" s="268"/>
      <c r="FZM353" s="268"/>
      <c r="FZN353" s="268"/>
      <c r="FZO353" s="268"/>
      <c r="FZP353" s="268"/>
      <c r="FZQ353" s="268"/>
      <c r="FZR353" s="268"/>
      <c r="FZS353" s="268"/>
      <c r="FZT353" s="268"/>
      <c r="FZU353" s="268"/>
      <c r="FZV353" s="268"/>
      <c r="FZW353" s="268"/>
      <c r="FZX353" s="268"/>
      <c r="FZY353" s="268"/>
      <c r="FZZ353" s="268"/>
      <c r="GAA353" s="268"/>
      <c r="GAB353" s="268"/>
      <c r="GAC353" s="268"/>
      <c r="GAD353" s="268"/>
      <c r="GAE353" s="268"/>
      <c r="GAF353" s="268"/>
      <c r="GAG353" s="268"/>
      <c r="GAH353" s="268"/>
      <c r="GAI353" s="268"/>
      <c r="GAJ353" s="268"/>
      <c r="GAK353" s="268"/>
      <c r="GAL353" s="268"/>
      <c r="GAM353" s="268"/>
      <c r="GAN353" s="268"/>
      <c r="GAO353" s="268"/>
      <c r="GAP353" s="268"/>
      <c r="GAQ353" s="268"/>
      <c r="GAR353" s="268"/>
      <c r="GAS353" s="268"/>
      <c r="GAT353" s="268"/>
      <c r="GAU353" s="268"/>
      <c r="GAV353" s="268"/>
      <c r="GAW353" s="268"/>
      <c r="GAX353" s="268"/>
      <c r="GAY353" s="268"/>
      <c r="GAZ353" s="268"/>
      <c r="GBA353" s="268"/>
      <c r="GBB353" s="268"/>
      <c r="GBC353" s="268"/>
      <c r="GBD353" s="268"/>
      <c r="GBE353" s="268"/>
      <c r="GBF353" s="268"/>
      <c r="GBG353" s="268"/>
      <c r="GBH353" s="268"/>
      <c r="GBI353" s="268"/>
      <c r="GBJ353" s="268"/>
      <c r="GBK353" s="268"/>
      <c r="GBL353" s="268"/>
      <c r="GBM353" s="268"/>
      <c r="GBN353" s="268"/>
      <c r="GBO353" s="268"/>
      <c r="GBP353" s="268"/>
      <c r="GBQ353" s="268"/>
      <c r="GBR353" s="268"/>
      <c r="GBS353" s="268"/>
      <c r="GBT353" s="268"/>
      <c r="GBU353" s="268"/>
      <c r="GBV353" s="268"/>
      <c r="GBW353" s="268"/>
      <c r="GBX353" s="268"/>
      <c r="GBY353" s="268"/>
      <c r="GBZ353" s="268"/>
      <c r="GCA353" s="268"/>
      <c r="GCB353" s="268"/>
      <c r="GCC353" s="268"/>
      <c r="GCD353" s="268"/>
      <c r="GCE353" s="268"/>
      <c r="GCF353" s="268"/>
      <c r="GCG353" s="268"/>
      <c r="GCH353" s="268"/>
      <c r="GCI353" s="268"/>
      <c r="GCJ353" s="268"/>
      <c r="GCK353" s="268"/>
      <c r="GCL353" s="268"/>
      <c r="GCM353" s="268"/>
      <c r="GCN353" s="268"/>
      <c r="GCO353" s="268"/>
      <c r="GCP353" s="268"/>
      <c r="GCQ353" s="268"/>
      <c r="GCR353" s="268"/>
      <c r="GCS353" s="268"/>
      <c r="GCT353" s="268"/>
      <c r="GCU353" s="268"/>
      <c r="GCV353" s="268"/>
      <c r="GCW353" s="268"/>
      <c r="GCX353" s="268"/>
      <c r="GCY353" s="268"/>
      <c r="GCZ353" s="268"/>
      <c r="GDA353" s="268"/>
      <c r="GDB353" s="268"/>
      <c r="GDC353" s="268"/>
      <c r="GDD353" s="268"/>
      <c r="GDE353" s="268"/>
      <c r="GDF353" s="268"/>
      <c r="GDG353" s="268"/>
      <c r="GDH353" s="268"/>
      <c r="GDI353" s="268"/>
      <c r="GDJ353" s="268"/>
      <c r="GDK353" s="268"/>
      <c r="GDL353" s="268"/>
      <c r="GDM353" s="268"/>
      <c r="GDN353" s="268"/>
      <c r="GDO353" s="268"/>
      <c r="GDP353" s="268"/>
      <c r="GDQ353" s="268"/>
      <c r="GDR353" s="268"/>
      <c r="GDS353" s="268"/>
      <c r="GEG353" s="268"/>
      <c r="GEH353" s="268"/>
      <c r="GEI353" s="268"/>
      <c r="GEW353" s="268"/>
      <c r="GEY353" s="268"/>
      <c r="GEZ353" s="268"/>
      <c r="GFA353" s="268"/>
      <c r="GFB353" s="268"/>
      <c r="GFC353" s="268"/>
      <c r="GFD353" s="268"/>
      <c r="GFE353" s="268"/>
      <c r="GFF353" s="268"/>
      <c r="GFG353" s="268"/>
      <c r="GFH353" s="268"/>
      <c r="GFI353" s="268"/>
      <c r="GFJ353" s="268"/>
      <c r="GFK353" s="268"/>
      <c r="GFL353" s="268"/>
      <c r="GFM353" s="268"/>
      <c r="GFN353" s="268"/>
      <c r="GFO353" s="268"/>
      <c r="GFP353" s="268"/>
      <c r="GFQ353" s="268"/>
      <c r="GFR353" s="268"/>
      <c r="GFS353" s="268"/>
      <c r="GFT353" s="268"/>
      <c r="GFU353" s="268"/>
      <c r="GFV353" s="268"/>
      <c r="GFW353" s="268"/>
      <c r="GFX353" s="268"/>
      <c r="GFY353" s="268"/>
      <c r="GFZ353" s="268"/>
      <c r="GGA353" s="268"/>
      <c r="GGB353" s="268"/>
      <c r="GGC353" s="268"/>
      <c r="GGD353" s="268"/>
      <c r="GGE353" s="268"/>
      <c r="GGF353" s="268"/>
      <c r="GGG353" s="268"/>
      <c r="GGH353" s="268"/>
      <c r="GGI353" s="268"/>
      <c r="GGJ353" s="268"/>
      <c r="GGK353" s="268"/>
      <c r="GGL353" s="268"/>
      <c r="GGM353" s="268"/>
      <c r="GGN353" s="268"/>
      <c r="GGO353" s="268"/>
      <c r="GGP353" s="268"/>
      <c r="GGQ353" s="268"/>
      <c r="GGR353" s="268"/>
      <c r="GGS353" s="268"/>
      <c r="GGT353" s="268"/>
      <c r="GGU353" s="268"/>
      <c r="GGV353" s="268"/>
      <c r="GGW353" s="268"/>
      <c r="GGX353" s="268"/>
      <c r="GGY353" s="268"/>
      <c r="GGZ353" s="268"/>
      <c r="GHA353" s="268"/>
      <c r="GHB353" s="268"/>
      <c r="GHC353" s="268"/>
      <c r="GHD353" s="268"/>
      <c r="GHE353" s="268"/>
      <c r="GHF353" s="268"/>
      <c r="GHG353" s="268"/>
      <c r="GHH353" s="268"/>
      <c r="GHI353" s="268"/>
      <c r="GHJ353" s="268"/>
      <c r="GHK353" s="268"/>
      <c r="GHL353" s="268"/>
      <c r="GHM353" s="268"/>
      <c r="GHN353" s="268"/>
      <c r="GHO353" s="268"/>
      <c r="GHP353" s="268"/>
      <c r="GHQ353" s="268"/>
      <c r="GHR353" s="268"/>
      <c r="GHS353" s="268"/>
      <c r="GHT353" s="268"/>
      <c r="GHU353" s="268"/>
      <c r="GHV353" s="268"/>
      <c r="GHW353" s="268"/>
      <c r="GHX353" s="268"/>
      <c r="GHY353" s="268"/>
      <c r="GHZ353" s="268"/>
      <c r="GIA353" s="268"/>
      <c r="GIB353" s="268"/>
      <c r="GIC353" s="268"/>
      <c r="GID353" s="268"/>
      <c r="GIE353" s="268"/>
      <c r="GIF353" s="268"/>
      <c r="GIG353" s="268"/>
      <c r="GIH353" s="268"/>
      <c r="GII353" s="268"/>
      <c r="GIJ353" s="268"/>
      <c r="GIK353" s="268"/>
      <c r="GIL353" s="268"/>
      <c r="GIM353" s="268"/>
      <c r="GIN353" s="268"/>
      <c r="GIO353" s="268"/>
      <c r="GIP353" s="268"/>
      <c r="GIQ353" s="268"/>
      <c r="GIR353" s="268"/>
      <c r="GIS353" s="268"/>
      <c r="GIT353" s="268"/>
      <c r="GIU353" s="268"/>
      <c r="GIV353" s="268"/>
      <c r="GIW353" s="268"/>
      <c r="GIX353" s="268"/>
      <c r="GIY353" s="268"/>
      <c r="GIZ353" s="268"/>
      <c r="GJA353" s="268"/>
      <c r="GJB353" s="268"/>
      <c r="GJC353" s="268"/>
      <c r="GJD353" s="268"/>
      <c r="GJE353" s="268"/>
      <c r="GJF353" s="268"/>
      <c r="GJG353" s="268"/>
      <c r="GJH353" s="268"/>
      <c r="GJI353" s="268"/>
      <c r="GJJ353" s="268"/>
      <c r="GJK353" s="268"/>
      <c r="GJL353" s="268"/>
      <c r="GJM353" s="268"/>
      <c r="GJN353" s="268"/>
      <c r="GJO353" s="268"/>
      <c r="GJP353" s="268"/>
      <c r="GJQ353" s="268"/>
      <c r="GJR353" s="268"/>
      <c r="GJS353" s="268"/>
      <c r="GJT353" s="268"/>
      <c r="GJU353" s="268"/>
      <c r="GJV353" s="268"/>
      <c r="GJW353" s="268"/>
      <c r="GJX353" s="268"/>
      <c r="GJY353" s="268"/>
      <c r="GJZ353" s="268"/>
      <c r="GKA353" s="268"/>
      <c r="GKB353" s="268"/>
      <c r="GKC353" s="268"/>
      <c r="GKD353" s="268"/>
      <c r="GKE353" s="268"/>
      <c r="GKF353" s="268"/>
      <c r="GKG353" s="268"/>
      <c r="GKH353" s="268"/>
      <c r="GKI353" s="268"/>
      <c r="GKJ353" s="268"/>
      <c r="GKK353" s="268"/>
      <c r="GKL353" s="268"/>
      <c r="GKM353" s="268"/>
      <c r="GKN353" s="268"/>
      <c r="GKO353" s="268"/>
      <c r="GKP353" s="268"/>
      <c r="GKQ353" s="268"/>
      <c r="GKR353" s="268"/>
      <c r="GKS353" s="268"/>
      <c r="GKT353" s="268"/>
      <c r="GKU353" s="268"/>
      <c r="GKV353" s="268"/>
      <c r="GKW353" s="268"/>
      <c r="GKX353" s="268"/>
      <c r="GKY353" s="268"/>
      <c r="GKZ353" s="268"/>
      <c r="GLA353" s="268"/>
      <c r="GLB353" s="268"/>
      <c r="GLC353" s="268"/>
      <c r="GLD353" s="268"/>
      <c r="GLE353" s="268"/>
      <c r="GLF353" s="268"/>
      <c r="GLG353" s="268"/>
      <c r="GLH353" s="268"/>
      <c r="GLI353" s="268"/>
      <c r="GLJ353" s="268"/>
      <c r="GLK353" s="268"/>
      <c r="GLL353" s="268"/>
      <c r="GLM353" s="268"/>
      <c r="GLN353" s="268"/>
      <c r="GLO353" s="268"/>
      <c r="GLP353" s="268"/>
      <c r="GLQ353" s="268"/>
      <c r="GLR353" s="268"/>
      <c r="GLS353" s="268"/>
      <c r="GLT353" s="268"/>
      <c r="GLU353" s="268"/>
      <c r="GLV353" s="268"/>
      <c r="GLW353" s="268"/>
      <c r="GLX353" s="268"/>
      <c r="GLY353" s="268"/>
      <c r="GLZ353" s="268"/>
      <c r="GMA353" s="268"/>
      <c r="GMB353" s="268"/>
      <c r="GMC353" s="268"/>
      <c r="GMD353" s="268"/>
      <c r="GME353" s="268"/>
      <c r="GMF353" s="268"/>
      <c r="GMG353" s="268"/>
      <c r="GMH353" s="268"/>
      <c r="GMI353" s="268"/>
      <c r="GMJ353" s="268"/>
      <c r="GMK353" s="268"/>
      <c r="GML353" s="268"/>
      <c r="GMM353" s="268"/>
      <c r="GMN353" s="268"/>
      <c r="GMO353" s="268"/>
      <c r="GMP353" s="268"/>
      <c r="GMQ353" s="268"/>
      <c r="GMR353" s="268"/>
      <c r="GMS353" s="268"/>
      <c r="GMT353" s="268"/>
      <c r="GMU353" s="268"/>
      <c r="GMV353" s="268"/>
      <c r="GMW353" s="268"/>
      <c r="GMX353" s="268"/>
      <c r="GMY353" s="268"/>
      <c r="GMZ353" s="268"/>
      <c r="GNA353" s="268"/>
      <c r="GNB353" s="268"/>
      <c r="GNC353" s="268"/>
      <c r="GND353" s="268"/>
      <c r="GNE353" s="268"/>
      <c r="GNF353" s="268"/>
      <c r="GNG353" s="268"/>
      <c r="GNH353" s="268"/>
      <c r="GNI353" s="268"/>
      <c r="GNJ353" s="268"/>
      <c r="GNK353" s="268"/>
      <c r="GNL353" s="268"/>
      <c r="GNM353" s="268"/>
      <c r="GNN353" s="268"/>
      <c r="GNO353" s="268"/>
      <c r="GOC353" s="268"/>
      <c r="GOD353" s="268"/>
      <c r="GOE353" s="268"/>
      <c r="GOS353" s="268"/>
      <c r="GOU353" s="268"/>
      <c r="GOV353" s="268"/>
      <c r="GOW353" s="268"/>
      <c r="GOX353" s="268"/>
      <c r="GOY353" s="268"/>
      <c r="GOZ353" s="268"/>
      <c r="GPA353" s="268"/>
      <c r="GPB353" s="268"/>
      <c r="GPC353" s="268"/>
      <c r="GPD353" s="268"/>
      <c r="GPE353" s="268"/>
      <c r="GPF353" s="268"/>
      <c r="GPG353" s="268"/>
      <c r="GPH353" s="268"/>
      <c r="GPI353" s="268"/>
      <c r="GPJ353" s="268"/>
      <c r="GPK353" s="268"/>
      <c r="GPL353" s="268"/>
      <c r="GPM353" s="268"/>
      <c r="GPN353" s="268"/>
      <c r="GPO353" s="268"/>
      <c r="GPP353" s="268"/>
      <c r="GPQ353" s="268"/>
      <c r="GPR353" s="268"/>
      <c r="GPS353" s="268"/>
      <c r="GPT353" s="268"/>
      <c r="GPU353" s="268"/>
      <c r="GPV353" s="268"/>
      <c r="GPW353" s="268"/>
      <c r="GPX353" s="268"/>
      <c r="GPY353" s="268"/>
      <c r="GPZ353" s="268"/>
      <c r="GQA353" s="268"/>
      <c r="GQB353" s="268"/>
      <c r="GQC353" s="268"/>
      <c r="GQD353" s="268"/>
      <c r="GQE353" s="268"/>
      <c r="GQF353" s="268"/>
      <c r="GQG353" s="268"/>
      <c r="GQH353" s="268"/>
      <c r="GQI353" s="268"/>
      <c r="GQJ353" s="268"/>
      <c r="GQK353" s="268"/>
      <c r="GQL353" s="268"/>
      <c r="GQM353" s="268"/>
      <c r="GQN353" s="268"/>
      <c r="GQO353" s="268"/>
      <c r="GQP353" s="268"/>
      <c r="GQQ353" s="268"/>
      <c r="GQR353" s="268"/>
      <c r="GQS353" s="268"/>
      <c r="GQT353" s="268"/>
      <c r="GQU353" s="268"/>
      <c r="GQV353" s="268"/>
      <c r="GQW353" s="268"/>
      <c r="GQX353" s="268"/>
      <c r="GQY353" s="268"/>
      <c r="GQZ353" s="268"/>
      <c r="GRA353" s="268"/>
      <c r="GRB353" s="268"/>
      <c r="GRC353" s="268"/>
      <c r="GRD353" s="268"/>
      <c r="GRE353" s="268"/>
      <c r="GRF353" s="268"/>
      <c r="GRG353" s="268"/>
      <c r="GRH353" s="268"/>
      <c r="GRI353" s="268"/>
      <c r="GRJ353" s="268"/>
      <c r="GRK353" s="268"/>
      <c r="GRL353" s="268"/>
      <c r="GRM353" s="268"/>
      <c r="GRN353" s="268"/>
      <c r="GRO353" s="268"/>
      <c r="GRP353" s="268"/>
      <c r="GRQ353" s="268"/>
      <c r="GRR353" s="268"/>
      <c r="GRS353" s="268"/>
      <c r="GRT353" s="268"/>
      <c r="GRU353" s="268"/>
      <c r="GRV353" s="268"/>
      <c r="GRW353" s="268"/>
      <c r="GRX353" s="268"/>
      <c r="GRY353" s="268"/>
      <c r="GRZ353" s="268"/>
      <c r="GSA353" s="268"/>
      <c r="GSB353" s="268"/>
      <c r="GSC353" s="268"/>
      <c r="GSD353" s="268"/>
      <c r="GSE353" s="268"/>
      <c r="GSF353" s="268"/>
      <c r="GSG353" s="268"/>
      <c r="GSH353" s="268"/>
      <c r="GSI353" s="268"/>
      <c r="GSJ353" s="268"/>
      <c r="GSK353" s="268"/>
      <c r="GSL353" s="268"/>
      <c r="GSM353" s="268"/>
      <c r="GSN353" s="268"/>
      <c r="GSO353" s="268"/>
      <c r="GSP353" s="268"/>
      <c r="GSQ353" s="268"/>
      <c r="GSR353" s="268"/>
      <c r="GSS353" s="268"/>
      <c r="GST353" s="268"/>
      <c r="GSU353" s="268"/>
      <c r="GSV353" s="268"/>
      <c r="GSW353" s="268"/>
      <c r="GSX353" s="268"/>
      <c r="GSY353" s="268"/>
      <c r="GSZ353" s="268"/>
      <c r="GTA353" s="268"/>
      <c r="GTB353" s="268"/>
      <c r="GTC353" s="268"/>
      <c r="GTD353" s="268"/>
      <c r="GTE353" s="268"/>
      <c r="GTF353" s="268"/>
      <c r="GTG353" s="268"/>
      <c r="GTH353" s="268"/>
      <c r="GTI353" s="268"/>
      <c r="GTJ353" s="268"/>
      <c r="GTK353" s="268"/>
      <c r="GTL353" s="268"/>
      <c r="GTM353" s="268"/>
      <c r="GTN353" s="268"/>
      <c r="GTO353" s="268"/>
      <c r="GTP353" s="268"/>
      <c r="GTQ353" s="268"/>
      <c r="GTR353" s="268"/>
      <c r="GTS353" s="268"/>
      <c r="GTT353" s="268"/>
      <c r="GTU353" s="268"/>
      <c r="GTV353" s="268"/>
      <c r="GTW353" s="268"/>
      <c r="GTX353" s="268"/>
      <c r="GTY353" s="268"/>
      <c r="GTZ353" s="268"/>
      <c r="GUA353" s="268"/>
      <c r="GUB353" s="268"/>
      <c r="GUC353" s="268"/>
      <c r="GUD353" s="268"/>
      <c r="GUE353" s="268"/>
      <c r="GUF353" s="268"/>
      <c r="GUG353" s="268"/>
      <c r="GUH353" s="268"/>
      <c r="GUI353" s="268"/>
      <c r="GUJ353" s="268"/>
      <c r="GUK353" s="268"/>
      <c r="GUL353" s="268"/>
      <c r="GUM353" s="268"/>
      <c r="GUN353" s="268"/>
      <c r="GUO353" s="268"/>
      <c r="GUP353" s="268"/>
      <c r="GUQ353" s="268"/>
      <c r="GUR353" s="268"/>
      <c r="GUS353" s="268"/>
      <c r="GUT353" s="268"/>
      <c r="GUU353" s="268"/>
      <c r="GUV353" s="268"/>
      <c r="GUW353" s="268"/>
      <c r="GUX353" s="268"/>
      <c r="GUY353" s="268"/>
      <c r="GUZ353" s="268"/>
      <c r="GVA353" s="268"/>
      <c r="GVB353" s="268"/>
      <c r="GVC353" s="268"/>
      <c r="GVD353" s="268"/>
      <c r="GVE353" s="268"/>
      <c r="GVF353" s="268"/>
      <c r="GVG353" s="268"/>
      <c r="GVH353" s="268"/>
      <c r="GVI353" s="268"/>
      <c r="GVJ353" s="268"/>
      <c r="GVK353" s="268"/>
      <c r="GVL353" s="268"/>
      <c r="GVM353" s="268"/>
      <c r="GVN353" s="268"/>
      <c r="GVO353" s="268"/>
      <c r="GVP353" s="268"/>
      <c r="GVQ353" s="268"/>
      <c r="GVR353" s="268"/>
      <c r="GVS353" s="268"/>
      <c r="GVT353" s="268"/>
      <c r="GVU353" s="268"/>
      <c r="GVV353" s="268"/>
      <c r="GVW353" s="268"/>
      <c r="GVX353" s="268"/>
      <c r="GVY353" s="268"/>
      <c r="GVZ353" s="268"/>
      <c r="GWA353" s="268"/>
      <c r="GWB353" s="268"/>
      <c r="GWC353" s="268"/>
      <c r="GWD353" s="268"/>
      <c r="GWE353" s="268"/>
      <c r="GWF353" s="268"/>
      <c r="GWG353" s="268"/>
      <c r="GWH353" s="268"/>
      <c r="GWI353" s="268"/>
      <c r="GWJ353" s="268"/>
      <c r="GWK353" s="268"/>
      <c r="GWL353" s="268"/>
      <c r="GWM353" s="268"/>
      <c r="GWN353" s="268"/>
      <c r="GWO353" s="268"/>
      <c r="GWP353" s="268"/>
      <c r="GWQ353" s="268"/>
      <c r="GWR353" s="268"/>
      <c r="GWS353" s="268"/>
      <c r="GWT353" s="268"/>
      <c r="GWU353" s="268"/>
      <c r="GWV353" s="268"/>
      <c r="GWW353" s="268"/>
      <c r="GWX353" s="268"/>
      <c r="GWY353" s="268"/>
      <c r="GWZ353" s="268"/>
      <c r="GXA353" s="268"/>
      <c r="GXB353" s="268"/>
      <c r="GXC353" s="268"/>
      <c r="GXD353" s="268"/>
      <c r="GXE353" s="268"/>
      <c r="GXF353" s="268"/>
      <c r="GXG353" s="268"/>
      <c r="GXH353" s="268"/>
      <c r="GXI353" s="268"/>
      <c r="GXJ353" s="268"/>
      <c r="GXK353" s="268"/>
      <c r="GXY353" s="268"/>
      <c r="GXZ353" s="268"/>
      <c r="GYA353" s="268"/>
      <c r="GYO353" s="268"/>
      <c r="GYQ353" s="268"/>
      <c r="GYR353" s="268"/>
      <c r="GYS353" s="268"/>
      <c r="GYT353" s="268"/>
      <c r="GYU353" s="268"/>
      <c r="GYV353" s="268"/>
      <c r="GYW353" s="268"/>
      <c r="GYX353" s="268"/>
      <c r="GYY353" s="268"/>
      <c r="GYZ353" s="268"/>
      <c r="GZA353" s="268"/>
      <c r="GZB353" s="268"/>
      <c r="GZC353" s="268"/>
      <c r="GZD353" s="268"/>
      <c r="GZE353" s="268"/>
      <c r="GZF353" s="268"/>
      <c r="GZG353" s="268"/>
      <c r="GZH353" s="268"/>
      <c r="GZI353" s="268"/>
      <c r="GZJ353" s="268"/>
      <c r="GZK353" s="268"/>
      <c r="GZL353" s="268"/>
      <c r="GZM353" s="268"/>
      <c r="GZN353" s="268"/>
      <c r="GZO353" s="268"/>
      <c r="GZP353" s="268"/>
      <c r="GZQ353" s="268"/>
      <c r="GZR353" s="268"/>
      <c r="GZS353" s="268"/>
      <c r="GZT353" s="268"/>
      <c r="GZU353" s="268"/>
      <c r="GZV353" s="268"/>
      <c r="GZW353" s="268"/>
      <c r="GZX353" s="268"/>
      <c r="GZY353" s="268"/>
      <c r="GZZ353" s="268"/>
      <c r="HAA353" s="268"/>
      <c r="HAB353" s="268"/>
      <c r="HAC353" s="268"/>
      <c r="HAD353" s="268"/>
      <c r="HAE353" s="268"/>
      <c r="HAF353" s="268"/>
      <c r="HAG353" s="268"/>
      <c r="HAH353" s="268"/>
      <c r="HAI353" s="268"/>
      <c r="HAJ353" s="268"/>
      <c r="HAK353" s="268"/>
      <c r="HAL353" s="268"/>
      <c r="HAM353" s="268"/>
      <c r="HAN353" s="268"/>
      <c r="HAO353" s="268"/>
      <c r="HAP353" s="268"/>
      <c r="HAQ353" s="268"/>
      <c r="HAR353" s="268"/>
      <c r="HAS353" s="268"/>
      <c r="HAT353" s="268"/>
      <c r="HAU353" s="268"/>
      <c r="HAV353" s="268"/>
      <c r="HAW353" s="268"/>
      <c r="HAX353" s="268"/>
      <c r="HAY353" s="268"/>
      <c r="HAZ353" s="268"/>
      <c r="HBA353" s="268"/>
      <c r="HBB353" s="268"/>
      <c r="HBC353" s="268"/>
      <c r="HBD353" s="268"/>
      <c r="HBE353" s="268"/>
      <c r="HBF353" s="268"/>
      <c r="HBG353" s="268"/>
      <c r="HBH353" s="268"/>
      <c r="HBI353" s="268"/>
      <c r="HBJ353" s="268"/>
      <c r="HBK353" s="268"/>
      <c r="HBL353" s="268"/>
      <c r="HBM353" s="268"/>
      <c r="HBN353" s="268"/>
      <c r="HBO353" s="268"/>
      <c r="HBP353" s="268"/>
      <c r="HBQ353" s="268"/>
      <c r="HBR353" s="268"/>
      <c r="HBS353" s="268"/>
      <c r="HBT353" s="268"/>
      <c r="HBU353" s="268"/>
      <c r="HBV353" s="268"/>
      <c r="HBW353" s="268"/>
      <c r="HBX353" s="268"/>
      <c r="HBY353" s="268"/>
      <c r="HBZ353" s="268"/>
      <c r="HCA353" s="268"/>
      <c r="HCB353" s="268"/>
      <c r="HCC353" s="268"/>
      <c r="HCD353" s="268"/>
      <c r="HCE353" s="268"/>
      <c r="HCF353" s="268"/>
      <c r="HCG353" s="268"/>
      <c r="HCH353" s="268"/>
      <c r="HCI353" s="268"/>
      <c r="HCJ353" s="268"/>
      <c r="HCK353" s="268"/>
      <c r="HCL353" s="268"/>
      <c r="HCM353" s="268"/>
      <c r="HCN353" s="268"/>
      <c r="HCO353" s="268"/>
      <c r="HCP353" s="268"/>
      <c r="HCQ353" s="268"/>
      <c r="HCR353" s="268"/>
      <c r="HCS353" s="268"/>
      <c r="HCT353" s="268"/>
      <c r="HCU353" s="268"/>
      <c r="HCV353" s="268"/>
      <c r="HCW353" s="268"/>
      <c r="HCX353" s="268"/>
      <c r="HCY353" s="268"/>
      <c r="HCZ353" s="268"/>
      <c r="HDA353" s="268"/>
      <c r="HDB353" s="268"/>
      <c r="HDC353" s="268"/>
      <c r="HDD353" s="268"/>
      <c r="HDE353" s="268"/>
      <c r="HDF353" s="268"/>
      <c r="HDG353" s="268"/>
      <c r="HDH353" s="268"/>
      <c r="HDI353" s="268"/>
      <c r="HDJ353" s="268"/>
      <c r="HDK353" s="268"/>
      <c r="HDL353" s="268"/>
      <c r="HDM353" s="268"/>
      <c r="HDN353" s="268"/>
      <c r="HDO353" s="268"/>
      <c r="HDP353" s="268"/>
      <c r="HDQ353" s="268"/>
      <c r="HDR353" s="268"/>
      <c r="HDS353" s="268"/>
      <c r="HDT353" s="268"/>
      <c r="HDU353" s="268"/>
      <c r="HDV353" s="268"/>
      <c r="HDW353" s="268"/>
      <c r="HDX353" s="268"/>
      <c r="HDY353" s="268"/>
      <c r="HDZ353" s="268"/>
      <c r="HEA353" s="268"/>
      <c r="HEB353" s="268"/>
      <c r="HEC353" s="268"/>
      <c r="HED353" s="268"/>
      <c r="HEE353" s="268"/>
      <c r="HEF353" s="268"/>
      <c r="HEG353" s="268"/>
      <c r="HEH353" s="268"/>
      <c r="HEI353" s="268"/>
      <c r="HEJ353" s="268"/>
      <c r="HEK353" s="268"/>
      <c r="HEL353" s="268"/>
      <c r="HEM353" s="268"/>
      <c r="HEN353" s="268"/>
      <c r="HEO353" s="268"/>
      <c r="HEP353" s="268"/>
      <c r="HEQ353" s="268"/>
      <c r="HER353" s="268"/>
      <c r="HES353" s="268"/>
      <c r="HET353" s="268"/>
      <c r="HEU353" s="268"/>
      <c r="HEV353" s="268"/>
      <c r="HEW353" s="268"/>
      <c r="HEX353" s="268"/>
      <c r="HEY353" s="268"/>
      <c r="HEZ353" s="268"/>
      <c r="HFA353" s="268"/>
      <c r="HFB353" s="268"/>
      <c r="HFC353" s="268"/>
      <c r="HFD353" s="268"/>
      <c r="HFE353" s="268"/>
      <c r="HFF353" s="268"/>
      <c r="HFG353" s="268"/>
      <c r="HFH353" s="268"/>
      <c r="HFI353" s="268"/>
      <c r="HFJ353" s="268"/>
      <c r="HFK353" s="268"/>
      <c r="HFL353" s="268"/>
      <c r="HFM353" s="268"/>
      <c r="HFN353" s="268"/>
      <c r="HFO353" s="268"/>
      <c r="HFP353" s="268"/>
      <c r="HFQ353" s="268"/>
      <c r="HFR353" s="268"/>
      <c r="HFS353" s="268"/>
      <c r="HFT353" s="268"/>
      <c r="HFU353" s="268"/>
      <c r="HFV353" s="268"/>
      <c r="HFW353" s="268"/>
      <c r="HFX353" s="268"/>
      <c r="HFY353" s="268"/>
      <c r="HFZ353" s="268"/>
      <c r="HGA353" s="268"/>
      <c r="HGB353" s="268"/>
      <c r="HGC353" s="268"/>
      <c r="HGD353" s="268"/>
      <c r="HGE353" s="268"/>
      <c r="HGF353" s="268"/>
      <c r="HGG353" s="268"/>
      <c r="HGH353" s="268"/>
      <c r="HGI353" s="268"/>
      <c r="HGJ353" s="268"/>
      <c r="HGK353" s="268"/>
      <c r="HGL353" s="268"/>
      <c r="HGM353" s="268"/>
      <c r="HGN353" s="268"/>
      <c r="HGO353" s="268"/>
      <c r="HGP353" s="268"/>
      <c r="HGQ353" s="268"/>
      <c r="HGR353" s="268"/>
      <c r="HGS353" s="268"/>
      <c r="HGT353" s="268"/>
      <c r="HGU353" s="268"/>
      <c r="HGV353" s="268"/>
      <c r="HGW353" s="268"/>
      <c r="HGX353" s="268"/>
      <c r="HGY353" s="268"/>
      <c r="HGZ353" s="268"/>
      <c r="HHA353" s="268"/>
      <c r="HHB353" s="268"/>
      <c r="HHC353" s="268"/>
      <c r="HHD353" s="268"/>
      <c r="HHE353" s="268"/>
      <c r="HHF353" s="268"/>
      <c r="HHG353" s="268"/>
      <c r="HHU353" s="268"/>
      <c r="HHV353" s="268"/>
      <c r="HHW353" s="268"/>
      <c r="HIK353" s="268"/>
      <c r="HIM353" s="268"/>
      <c r="HIN353" s="268"/>
      <c r="HIO353" s="268"/>
      <c r="HIP353" s="268"/>
      <c r="HIQ353" s="268"/>
      <c r="HIR353" s="268"/>
      <c r="HIS353" s="268"/>
      <c r="HIT353" s="268"/>
      <c r="HIU353" s="268"/>
      <c r="HIV353" s="268"/>
      <c r="HIW353" s="268"/>
      <c r="HIX353" s="268"/>
      <c r="HIY353" s="268"/>
      <c r="HIZ353" s="268"/>
      <c r="HJA353" s="268"/>
      <c r="HJB353" s="268"/>
      <c r="HJC353" s="268"/>
      <c r="HJD353" s="268"/>
      <c r="HJE353" s="268"/>
      <c r="HJF353" s="268"/>
      <c r="HJG353" s="268"/>
      <c r="HJH353" s="268"/>
      <c r="HJI353" s="268"/>
      <c r="HJJ353" s="268"/>
      <c r="HJK353" s="268"/>
      <c r="HJL353" s="268"/>
      <c r="HJM353" s="268"/>
      <c r="HJN353" s="268"/>
      <c r="HJO353" s="268"/>
      <c r="HJP353" s="268"/>
      <c r="HJQ353" s="268"/>
      <c r="HJR353" s="268"/>
      <c r="HJS353" s="268"/>
      <c r="HJT353" s="268"/>
      <c r="HJU353" s="268"/>
      <c r="HJV353" s="268"/>
      <c r="HJW353" s="268"/>
      <c r="HJX353" s="268"/>
      <c r="HJY353" s="268"/>
      <c r="HJZ353" s="268"/>
      <c r="HKA353" s="268"/>
      <c r="HKB353" s="268"/>
      <c r="HKC353" s="268"/>
      <c r="HKD353" s="268"/>
      <c r="HKE353" s="268"/>
      <c r="HKF353" s="268"/>
      <c r="HKG353" s="268"/>
      <c r="HKH353" s="268"/>
      <c r="HKI353" s="268"/>
      <c r="HKJ353" s="268"/>
      <c r="HKK353" s="268"/>
      <c r="HKL353" s="268"/>
      <c r="HKM353" s="268"/>
      <c r="HKN353" s="268"/>
      <c r="HKO353" s="268"/>
      <c r="HKP353" s="268"/>
      <c r="HKQ353" s="268"/>
      <c r="HKR353" s="268"/>
      <c r="HKS353" s="268"/>
      <c r="HKT353" s="268"/>
      <c r="HKU353" s="268"/>
      <c r="HKV353" s="268"/>
      <c r="HKW353" s="268"/>
      <c r="HKX353" s="268"/>
      <c r="HKY353" s="268"/>
      <c r="HKZ353" s="268"/>
      <c r="HLA353" s="268"/>
      <c r="HLB353" s="268"/>
      <c r="HLC353" s="268"/>
      <c r="HLD353" s="268"/>
      <c r="HLE353" s="268"/>
      <c r="HLF353" s="268"/>
      <c r="HLG353" s="268"/>
      <c r="HLH353" s="268"/>
      <c r="HLI353" s="268"/>
      <c r="HLJ353" s="268"/>
      <c r="HLK353" s="268"/>
      <c r="HLL353" s="268"/>
      <c r="HLM353" s="268"/>
      <c r="HLN353" s="268"/>
      <c r="HLO353" s="268"/>
      <c r="HLP353" s="268"/>
      <c r="HLQ353" s="268"/>
      <c r="HLR353" s="268"/>
      <c r="HLS353" s="268"/>
      <c r="HLT353" s="268"/>
      <c r="HLU353" s="268"/>
      <c r="HLV353" s="268"/>
      <c r="HLW353" s="268"/>
      <c r="HLX353" s="268"/>
      <c r="HLY353" s="268"/>
      <c r="HLZ353" s="268"/>
      <c r="HMA353" s="268"/>
      <c r="HMB353" s="268"/>
      <c r="HMC353" s="268"/>
      <c r="HMD353" s="268"/>
      <c r="HME353" s="268"/>
      <c r="HMF353" s="268"/>
      <c r="HMG353" s="268"/>
      <c r="HMH353" s="268"/>
      <c r="HMI353" s="268"/>
      <c r="HMJ353" s="268"/>
      <c r="HMK353" s="268"/>
      <c r="HML353" s="268"/>
      <c r="HMM353" s="268"/>
      <c r="HMN353" s="268"/>
      <c r="HMO353" s="268"/>
      <c r="HMP353" s="268"/>
      <c r="HMQ353" s="268"/>
      <c r="HMR353" s="268"/>
      <c r="HMS353" s="268"/>
      <c r="HMT353" s="268"/>
      <c r="HMU353" s="268"/>
      <c r="HMV353" s="268"/>
      <c r="HMW353" s="268"/>
      <c r="HMX353" s="268"/>
      <c r="HMY353" s="268"/>
      <c r="HMZ353" s="268"/>
      <c r="HNA353" s="268"/>
      <c r="HNB353" s="268"/>
      <c r="HNC353" s="268"/>
      <c r="HND353" s="268"/>
      <c r="HNE353" s="268"/>
      <c r="HNF353" s="268"/>
      <c r="HNG353" s="268"/>
      <c r="HNH353" s="268"/>
      <c r="HNI353" s="268"/>
      <c r="HNJ353" s="268"/>
      <c r="HNK353" s="268"/>
      <c r="HNL353" s="268"/>
      <c r="HNM353" s="268"/>
      <c r="HNN353" s="268"/>
      <c r="HNO353" s="268"/>
      <c r="HNP353" s="268"/>
      <c r="HNQ353" s="268"/>
      <c r="HNR353" s="268"/>
      <c r="HNS353" s="268"/>
      <c r="HNT353" s="268"/>
      <c r="HNU353" s="268"/>
      <c r="HNV353" s="268"/>
      <c r="HNW353" s="268"/>
      <c r="HNX353" s="268"/>
      <c r="HNY353" s="268"/>
      <c r="HNZ353" s="268"/>
      <c r="HOA353" s="268"/>
      <c r="HOB353" s="268"/>
      <c r="HOC353" s="268"/>
      <c r="HOD353" s="268"/>
      <c r="HOE353" s="268"/>
      <c r="HOF353" s="268"/>
      <c r="HOG353" s="268"/>
      <c r="HOH353" s="268"/>
      <c r="HOI353" s="268"/>
      <c r="HOJ353" s="268"/>
      <c r="HOK353" s="268"/>
      <c r="HOL353" s="268"/>
      <c r="HOM353" s="268"/>
      <c r="HON353" s="268"/>
      <c r="HOO353" s="268"/>
      <c r="HOP353" s="268"/>
      <c r="HOQ353" s="268"/>
      <c r="HOR353" s="268"/>
      <c r="HOS353" s="268"/>
      <c r="HOT353" s="268"/>
      <c r="HOU353" s="268"/>
      <c r="HOV353" s="268"/>
      <c r="HOW353" s="268"/>
      <c r="HOX353" s="268"/>
      <c r="HOY353" s="268"/>
      <c r="HOZ353" s="268"/>
      <c r="HPA353" s="268"/>
      <c r="HPB353" s="268"/>
      <c r="HPC353" s="268"/>
      <c r="HPD353" s="268"/>
      <c r="HPE353" s="268"/>
      <c r="HPF353" s="268"/>
      <c r="HPG353" s="268"/>
      <c r="HPH353" s="268"/>
      <c r="HPI353" s="268"/>
      <c r="HPJ353" s="268"/>
      <c r="HPK353" s="268"/>
      <c r="HPL353" s="268"/>
      <c r="HPM353" s="268"/>
      <c r="HPN353" s="268"/>
      <c r="HPO353" s="268"/>
      <c r="HPP353" s="268"/>
      <c r="HPQ353" s="268"/>
      <c r="HPR353" s="268"/>
      <c r="HPS353" s="268"/>
      <c r="HPT353" s="268"/>
      <c r="HPU353" s="268"/>
      <c r="HPV353" s="268"/>
      <c r="HPW353" s="268"/>
      <c r="HPX353" s="268"/>
      <c r="HPY353" s="268"/>
      <c r="HPZ353" s="268"/>
      <c r="HQA353" s="268"/>
      <c r="HQB353" s="268"/>
      <c r="HQC353" s="268"/>
      <c r="HQD353" s="268"/>
      <c r="HQE353" s="268"/>
      <c r="HQF353" s="268"/>
      <c r="HQG353" s="268"/>
      <c r="HQH353" s="268"/>
      <c r="HQI353" s="268"/>
      <c r="HQJ353" s="268"/>
      <c r="HQK353" s="268"/>
      <c r="HQL353" s="268"/>
      <c r="HQM353" s="268"/>
      <c r="HQN353" s="268"/>
      <c r="HQO353" s="268"/>
      <c r="HQP353" s="268"/>
      <c r="HQQ353" s="268"/>
      <c r="HQR353" s="268"/>
      <c r="HQS353" s="268"/>
      <c r="HQT353" s="268"/>
      <c r="HQU353" s="268"/>
      <c r="HQV353" s="268"/>
      <c r="HQW353" s="268"/>
      <c r="HQX353" s="268"/>
      <c r="HQY353" s="268"/>
      <c r="HQZ353" s="268"/>
      <c r="HRA353" s="268"/>
      <c r="HRB353" s="268"/>
      <c r="HRC353" s="268"/>
      <c r="HRQ353" s="268"/>
      <c r="HRR353" s="268"/>
      <c r="HRS353" s="268"/>
      <c r="HSG353" s="268"/>
      <c r="HSI353" s="268"/>
      <c r="HSJ353" s="268"/>
      <c r="HSK353" s="268"/>
      <c r="HSL353" s="268"/>
      <c r="HSM353" s="268"/>
      <c r="HSN353" s="268"/>
      <c r="HSO353" s="268"/>
      <c r="HSP353" s="268"/>
      <c r="HSQ353" s="268"/>
      <c r="HSR353" s="268"/>
      <c r="HSS353" s="268"/>
      <c r="HST353" s="268"/>
      <c r="HSU353" s="268"/>
      <c r="HSV353" s="268"/>
      <c r="HSW353" s="268"/>
      <c r="HSX353" s="268"/>
      <c r="HSY353" s="268"/>
      <c r="HSZ353" s="268"/>
      <c r="HTA353" s="268"/>
      <c r="HTB353" s="268"/>
      <c r="HTC353" s="268"/>
      <c r="HTD353" s="268"/>
      <c r="HTE353" s="268"/>
      <c r="HTF353" s="268"/>
      <c r="HTG353" s="268"/>
      <c r="HTH353" s="268"/>
      <c r="HTI353" s="268"/>
      <c r="HTJ353" s="268"/>
      <c r="HTK353" s="268"/>
      <c r="HTL353" s="268"/>
      <c r="HTM353" s="268"/>
      <c r="HTN353" s="268"/>
      <c r="HTO353" s="268"/>
      <c r="HTP353" s="268"/>
      <c r="HTQ353" s="268"/>
      <c r="HTR353" s="268"/>
      <c r="HTS353" s="268"/>
      <c r="HTT353" s="268"/>
      <c r="HTU353" s="268"/>
      <c r="HTV353" s="268"/>
      <c r="HTW353" s="268"/>
      <c r="HTX353" s="268"/>
      <c r="HTY353" s="268"/>
      <c r="HTZ353" s="268"/>
      <c r="HUA353" s="268"/>
      <c r="HUB353" s="268"/>
      <c r="HUC353" s="268"/>
      <c r="HUD353" s="268"/>
      <c r="HUE353" s="268"/>
      <c r="HUF353" s="268"/>
      <c r="HUG353" s="268"/>
      <c r="HUH353" s="268"/>
      <c r="HUI353" s="268"/>
      <c r="HUJ353" s="268"/>
      <c r="HUK353" s="268"/>
      <c r="HUL353" s="268"/>
      <c r="HUM353" s="268"/>
      <c r="HUN353" s="268"/>
      <c r="HUO353" s="268"/>
      <c r="HUP353" s="268"/>
      <c r="HUQ353" s="268"/>
      <c r="HUR353" s="268"/>
      <c r="HUS353" s="268"/>
      <c r="HUT353" s="268"/>
      <c r="HUU353" s="268"/>
      <c r="HUV353" s="268"/>
      <c r="HUW353" s="268"/>
      <c r="HUX353" s="268"/>
      <c r="HUY353" s="268"/>
      <c r="HUZ353" s="268"/>
      <c r="HVA353" s="268"/>
      <c r="HVB353" s="268"/>
      <c r="HVC353" s="268"/>
      <c r="HVD353" s="268"/>
      <c r="HVE353" s="268"/>
      <c r="HVF353" s="268"/>
      <c r="HVG353" s="268"/>
      <c r="HVH353" s="268"/>
      <c r="HVI353" s="268"/>
      <c r="HVJ353" s="268"/>
      <c r="HVK353" s="268"/>
      <c r="HVL353" s="268"/>
      <c r="HVM353" s="268"/>
      <c r="HVN353" s="268"/>
      <c r="HVO353" s="268"/>
      <c r="HVP353" s="268"/>
      <c r="HVQ353" s="268"/>
      <c r="HVR353" s="268"/>
      <c r="HVS353" s="268"/>
      <c r="HVT353" s="268"/>
      <c r="HVU353" s="268"/>
      <c r="HVV353" s="268"/>
      <c r="HVW353" s="268"/>
      <c r="HVX353" s="268"/>
      <c r="HVY353" s="268"/>
      <c r="HVZ353" s="268"/>
      <c r="HWA353" s="268"/>
      <c r="HWB353" s="268"/>
      <c r="HWC353" s="268"/>
      <c r="HWD353" s="268"/>
      <c r="HWE353" s="268"/>
      <c r="HWF353" s="268"/>
      <c r="HWG353" s="268"/>
      <c r="HWH353" s="268"/>
      <c r="HWI353" s="268"/>
      <c r="HWJ353" s="268"/>
      <c r="HWK353" s="268"/>
      <c r="HWL353" s="268"/>
      <c r="HWM353" s="268"/>
      <c r="HWN353" s="268"/>
      <c r="HWO353" s="268"/>
      <c r="HWP353" s="268"/>
      <c r="HWQ353" s="268"/>
      <c r="HWR353" s="268"/>
      <c r="HWS353" s="268"/>
      <c r="HWT353" s="268"/>
      <c r="HWU353" s="268"/>
      <c r="HWV353" s="268"/>
      <c r="HWW353" s="268"/>
      <c r="HWX353" s="268"/>
      <c r="HWY353" s="268"/>
      <c r="HWZ353" s="268"/>
      <c r="HXA353" s="268"/>
      <c r="HXB353" s="268"/>
      <c r="HXC353" s="268"/>
      <c r="HXD353" s="268"/>
      <c r="HXE353" s="268"/>
      <c r="HXF353" s="268"/>
      <c r="HXG353" s="268"/>
      <c r="HXH353" s="268"/>
      <c r="HXI353" s="268"/>
      <c r="HXJ353" s="268"/>
      <c r="HXK353" s="268"/>
      <c r="HXL353" s="268"/>
      <c r="HXM353" s="268"/>
      <c r="HXN353" s="268"/>
      <c r="HXO353" s="268"/>
      <c r="HXP353" s="268"/>
      <c r="HXQ353" s="268"/>
      <c r="HXR353" s="268"/>
      <c r="HXS353" s="268"/>
      <c r="HXT353" s="268"/>
      <c r="HXU353" s="268"/>
      <c r="HXV353" s="268"/>
      <c r="HXW353" s="268"/>
      <c r="HXX353" s="268"/>
      <c r="HXY353" s="268"/>
      <c r="HXZ353" s="268"/>
      <c r="HYA353" s="268"/>
      <c r="HYB353" s="268"/>
      <c r="HYC353" s="268"/>
      <c r="HYD353" s="268"/>
      <c r="HYE353" s="268"/>
      <c r="HYF353" s="268"/>
      <c r="HYG353" s="268"/>
      <c r="HYH353" s="268"/>
      <c r="HYI353" s="268"/>
      <c r="HYJ353" s="268"/>
      <c r="HYK353" s="268"/>
      <c r="HYL353" s="268"/>
      <c r="HYM353" s="268"/>
      <c r="HYN353" s="268"/>
      <c r="HYO353" s="268"/>
      <c r="HYP353" s="268"/>
      <c r="HYQ353" s="268"/>
      <c r="HYR353" s="268"/>
      <c r="HYS353" s="268"/>
      <c r="HYT353" s="268"/>
      <c r="HYU353" s="268"/>
      <c r="HYV353" s="268"/>
      <c r="HYW353" s="268"/>
      <c r="HYX353" s="268"/>
      <c r="HYY353" s="268"/>
      <c r="HYZ353" s="268"/>
      <c r="HZA353" s="268"/>
      <c r="HZB353" s="268"/>
      <c r="HZC353" s="268"/>
      <c r="HZD353" s="268"/>
      <c r="HZE353" s="268"/>
      <c r="HZF353" s="268"/>
      <c r="HZG353" s="268"/>
      <c r="HZH353" s="268"/>
      <c r="HZI353" s="268"/>
      <c r="HZJ353" s="268"/>
      <c r="HZK353" s="268"/>
      <c r="HZL353" s="268"/>
      <c r="HZM353" s="268"/>
      <c r="HZN353" s="268"/>
      <c r="HZO353" s="268"/>
      <c r="HZP353" s="268"/>
      <c r="HZQ353" s="268"/>
      <c r="HZR353" s="268"/>
      <c r="HZS353" s="268"/>
      <c r="HZT353" s="268"/>
      <c r="HZU353" s="268"/>
      <c r="HZV353" s="268"/>
      <c r="HZW353" s="268"/>
      <c r="HZX353" s="268"/>
      <c r="HZY353" s="268"/>
      <c r="HZZ353" s="268"/>
      <c r="IAA353" s="268"/>
      <c r="IAB353" s="268"/>
      <c r="IAC353" s="268"/>
      <c r="IAD353" s="268"/>
      <c r="IAE353" s="268"/>
      <c r="IAF353" s="268"/>
      <c r="IAG353" s="268"/>
      <c r="IAH353" s="268"/>
      <c r="IAI353" s="268"/>
      <c r="IAJ353" s="268"/>
      <c r="IAK353" s="268"/>
      <c r="IAL353" s="268"/>
      <c r="IAM353" s="268"/>
      <c r="IAN353" s="268"/>
      <c r="IAO353" s="268"/>
      <c r="IAP353" s="268"/>
      <c r="IAQ353" s="268"/>
      <c r="IAR353" s="268"/>
      <c r="IAS353" s="268"/>
      <c r="IAT353" s="268"/>
      <c r="IAU353" s="268"/>
      <c r="IAV353" s="268"/>
      <c r="IAW353" s="268"/>
      <c r="IAX353" s="268"/>
      <c r="IAY353" s="268"/>
      <c r="IBM353" s="268"/>
      <c r="IBN353" s="268"/>
      <c r="IBO353" s="268"/>
      <c r="ICC353" s="268"/>
      <c r="ICE353" s="268"/>
      <c r="ICF353" s="268"/>
      <c r="ICG353" s="268"/>
      <c r="ICH353" s="268"/>
      <c r="ICI353" s="268"/>
      <c r="ICJ353" s="268"/>
      <c r="ICK353" s="268"/>
      <c r="ICL353" s="268"/>
      <c r="ICM353" s="268"/>
      <c r="ICN353" s="268"/>
      <c r="ICO353" s="268"/>
      <c r="ICP353" s="268"/>
      <c r="ICQ353" s="268"/>
      <c r="ICR353" s="268"/>
      <c r="ICS353" s="268"/>
      <c r="ICT353" s="268"/>
      <c r="ICU353" s="268"/>
      <c r="ICV353" s="268"/>
      <c r="ICW353" s="268"/>
      <c r="ICX353" s="268"/>
      <c r="ICY353" s="268"/>
      <c r="ICZ353" s="268"/>
      <c r="IDA353" s="268"/>
      <c r="IDB353" s="268"/>
      <c r="IDC353" s="268"/>
      <c r="IDD353" s="268"/>
      <c r="IDE353" s="268"/>
      <c r="IDF353" s="268"/>
      <c r="IDG353" s="268"/>
      <c r="IDH353" s="268"/>
      <c r="IDI353" s="268"/>
      <c r="IDJ353" s="268"/>
      <c r="IDK353" s="268"/>
      <c r="IDL353" s="268"/>
      <c r="IDM353" s="268"/>
      <c r="IDN353" s="268"/>
      <c r="IDO353" s="268"/>
      <c r="IDP353" s="268"/>
      <c r="IDQ353" s="268"/>
      <c r="IDR353" s="268"/>
      <c r="IDS353" s="268"/>
      <c r="IDT353" s="268"/>
      <c r="IDU353" s="268"/>
      <c r="IDV353" s="268"/>
      <c r="IDW353" s="268"/>
      <c r="IDX353" s="268"/>
      <c r="IDY353" s="268"/>
      <c r="IDZ353" s="268"/>
      <c r="IEA353" s="268"/>
      <c r="IEB353" s="268"/>
      <c r="IEC353" s="268"/>
      <c r="IED353" s="268"/>
      <c r="IEE353" s="268"/>
      <c r="IEF353" s="268"/>
      <c r="IEG353" s="268"/>
      <c r="IEH353" s="268"/>
      <c r="IEI353" s="268"/>
      <c r="IEJ353" s="268"/>
      <c r="IEK353" s="268"/>
      <c r="IEL353" s="268"/>
      <c r="IEM353" s="268"/>
      <c r="IEN353" s="268"/>
      <c r="IEO353" s="268"/>
      <c r="IEP353" s="268"/>
      <c r="IEQ353" s="268"/>
      <c r="IER353" s="268"/>
      <c r="IES353" s="268"/>
      <c r="IET353" s="268"/>
      <c r="IEU353" s="268"/>
      <c r="IEV353" s="268"/>
      <c r="IEW353" s="268"/>
      <c r="IEX353" s="268"/>
      <c r="IEY353" s="268"/>
      <c r="IEZ353" s="268"/>
      <c r="IFA353" s="268"/>
      <c r="IFB353" s="268"/>
      <c r="IFC353" s="268"/>
      <c r="IFD353" s="268"/>
      <c r="IFE353" s="268"/>
      <c r="IFF353" s="268"/>
      <c r="IFG353" s="268"/>
      <c r="IFH353" s="268"/>
      <c r="IFI353" s="268"/>
      <c r="IFJ353" s="268"/>
      <c r="IFK353" s="268"/>
      <c r="IFL353" s="268"/>
      <c r="IFM353" s="268"/>
      <c r="IFN353" s="268"/>
      <c r="IFO353" s="268"/>
      <c r="IFP353" s="268"/>
      <c r="IFQ353" s="268"/>
      <c r="IFR353" s="268"/>
      <c r="IFS353" s="268"/>
      <c r="IFT353" s="268"/>
      <c r="IFU353" s="268"/>
      <c r="IFV353" s="268"/>
      <c r="IFW353" s="268"/>
      <c r="IFX353" s="268"/>
      <c r="IFY353" s="268"/>
      <c r="IFZ353" s="268"/>
      <c r="IGA353" s="268"/>
      <c r="IGB353" s="268"/>
      <c r="IGC353" s="268"/>
      <c r="IGD353" s="268"/>
      <c r="IGE353" s="268"/>
      <c r="IGF353" s="268"/>
      <c r="IGG353" s="268"/>
      <c r="IGH353" s="268"/>
      <c r="IGI353" s="268"/>
      <c r="IGJ353" s="268"/>
      <c r="IGK353" s="268"/>
      <c r="IGL353" s="268"/>
      <c r="IGM353" s="268"/>
      <c r="IGN353" s="268"/>
      <c r="IGO353" s="268"/>
      <c r="IGP353" s="268"/>
      <c r="IGQ353" s="268"/>
      <c r="IGR353" s="268"/>
      <c r="IGS353" s="268"/>
      <c r="IGT353" s="268"/>
      <c r="IGU353" s="268"/>
      <c r="IGV353" s="268"/>
      <c r="IGW353" s="268"/>
      <c r="IGX353" s="268"/>
      <c r="IGY353" s="268"/>
      <c r="IGZ353" s="268"/>
      <c r="IHA353" s="268"/>
      <c r="IHB353" s="268"/>
      <c r="IHC353" s="268"/>
      <c r="IHD353" s="268"/>
      <c r="IHE353" s="268"/>
      <c r="IHF353" s="268"/>
      <c r="IHG353" s="268"/>
      <c r="IHH353" s="268"/>
      <c r="IHI353" s="268"/>
      <c r="IHJ353" s="268"/>
      <c r="IHK353" s="268"/>
      <c r="IHL353" s="268"/>
      <c r="IHM353" s="268"/>
      <c r="IHN353" s="268"/>
      <c r="IHO353" s="268"/>
      <c r="IHP353" s="268"/>
      <c r="IHQ353" s="268"/>
      <c r="IHR353" s="268"/>
      <c r="IHS353" s="268"/>
      <c r="IHT353" s="268"/>
      <c r="IHU353" s="268"/>
      <c r="IHV353" s="268"/>
      <c r="IHW353" s="268"/>
      <c r="IHX353" s="268"/>
      <c r="IHY353" s="268"/>
      <c r="IHZ353" s="268"/>
      <c r="IIA353" s="268"/>
      <c r="IIB353" s="268"/>
      <c r="IIC353" s="268"/>
      <c r="IID353" s="268"/>
      <c r="IIE353" s="268"/>
      <c r="IIF353" s="268"/>
      <c r="IIG353" s="268"/>
      <c r="IIH353" s="268"/>
      <c r="III353" s="268"/>
      <c r="IIJ353" s="268"/>
      <c r="IIK353" s="268"/>
      <c r="IIL353" s="268"/>
      <c r="IIM353" s="268"/>
      <c r="IIN353" s="268"/>
      <c r="IIO353" s="268"/>
      <c r="IIP353" s="268"/>
      <c r="IIQ353" s="268"/>
      <c r="IIR353" s="268"/>
      <c r="IIS353" s="268"/>
      <c r="IIT353" s="268"/>
      <c r="IIU353" s="268"/>
      <c r="IIV353" s="268"/>
      <c r="IIW353" s="268"/>
      <c r="IIX353" s="268"/>
      <c r="IIY353" s="268"/>
      <c r="IIZ353" s="268"/>
      <c r="IJA353" s="268"/>
      <c r="IJB353" s="268"/>
      <c r="IJC353" s="268"/>
      <c r="IJD353" s="268"/>
      <c r="IJE353" s="268"/>
      <c r="IJF353" s="268"/>
      <c r="IJG353" s="268"/>
      <c r="IJH353" s="268"/>
      <c r="IJI353" s="268"/>
      <c r="IJJ353" s="268"/>
      <c r="IJK353" s="268"/>
      <c r="IJL353" s="268"/>
      <c r="IJM353" s="268"/>
      <c r="IJN353" s="268"/>
      <c r="IJO353" s="268"/>
      <c r="IJP353" s="268"/>
      <c r="IJQ353" s="268"/>
      <c r="IJR353" s="268"/>
      <c r="IJS353" s="268"/>
      <c r="IJT353" s="268"/>
      <c r="IJU353" s="268"/>
      <c r="IJV353" s="268"/>
      <c r="IJW353" s="268"/>
      <c r="IJX353" s="268"/>
      <c r="IJY353" s="268"/>
      <c r="IJZ353" s="268"/>
      <c r="IKA353" s="268"/>
      <c r="IKB353" s="268"/>
      <c r="IKC353" s="268"/>
      <c r="IKD353" s="268"/>
      <c r="IKE353" s="268"/>
      <c r="IKF353" s="268"/>
      <c r="IKG353" s="268"/>
      <c r="IKH353" s="268"/>
      <c r="IKI353" s="268"/>
      <c r="IKJ353" s="268"/>
      <c r="IKK353" s="268"/>
      <c r="IKL353" s="268"/>
      <c r="IKM353" s="268"/>
      <c r="IKN353" s="268"/>
      <c r="IKO353" s="268"/>
      <c r="IKP353" s="268"/>
      <c r="IKQ353" s="268"/>
      <c r="IKR353" s="268"/>
      <c r="IKS353" s="268"/>
      <c r="IKT353" s="268"/>
      <c r="IKU353" s="268"/>
      <c r="ILI353" s="268"/>
      <c r="ILJ353" s="268"/>
      <c r="ILK353" s="268"/>
      <c r="ILY353" s="268"/>
      <c r="IMA353" s="268"/>
      <c r="IMB353" s="268"/>
      <c r="IMC353" s="268"/>
      <c r="IMD353" s="268"/>
      <c r="IME353" s="268"/>
      <c r="IMF353" s="268"/>
      <c r="IMG353" s="268"/>
      <c r="IMH353" s="268"/>
      <c r="IMI353" s="268"/>
      <c r="IMJ353" s="268"/>
      <c r="IMK353" s="268"/>
      <c r="IML353" s="268"/>
      <c r="IMM353" s="268"/>
      <c r="IMN353" s="268"/>
      <c r="IMO353" s="268"/>
      <c r="IMP353" s="268"/>
      <c r="IMQ353" s="268"/>
      <c r="IMR353" s="268"/>
      <c r="IMS353" s="268"/>
      <c r="IMT353" s="268"/>
      <c r="IMU353" s="268"/>
      <c r="IMV353" s="268"/>
      <c r="IMW353" s="268"/>
      <c r="IMX353" s="268"/>
      <c r="IMY353" s="268"/>
      <c r="IMZ353" s="268"/>
      <c r="INA353" s="268"/>
      <c r="INB353" s="268"/>
      <c r="INC353" s="268"/>
      <c r="IND353" s="268"/>
      <c r="INE353" s="268"/>
      <c r="INF353" s="268"/>
      <c r="ING353" s="268"/>
      <c r="INH353" s="268"/>
      <c r="INI353" s="268"/>
      <c r="INJ353" s="268"/>
      <c r="INK353" s="268"/>
      <c r="INL353" s="268"/>
      <c r="INM353" s="268"/>
      <c r="INN353" s="268"/>
      <c r="INO353" s="268"/>
      <c r="INP353" s="268"/>
      <c r="INQ353" s="268"/>
      <c r="INR353" s="268"/>
      <c r="INS353" s="268"/>
      <c r="INT353" s="268"/>
      <c r="INU353" s="268"/>
      <c r="INV353" s="268"/>
      <c r="INW353" s="268"/>
      <c r="INX353" s="268"/>
      <c r="INY353" s="268"/>
      <c r="INZ353" s="268"/>
      <c r="IOA353" s="268"/>
      <c r="IOB353" s="268"/>
      <c r="IOC353" s="268"/>
      <c r="IOD353" s="268"/>
      <c r="IOE353" s="268"/>
      <c r="IOF353" s="268"/>
      <c r="IOG353" s="268"/>
      <c r="IOH353" s="268"/>
      <c r="IOI353" s="268"/>
      <c r="IOJ353" s="268"/>
      <c r="IOK353" s="268"/>
      <c r="IOL353" s="268"/>
      <c r="IOM353" s="268"/>
      <c r="ION353" s="268"/>
      <c r="IOO353" s="268"/>
      <c r="IOP353" s="268"/>
      <c r="IOQ353" s="268"/>
      <c r="IOR353" s="268"/>
      <c r="IOS353" s="268"/>
      <c r="IOT353" s="268"/>
      <c r="IOU353" s="268"/>
      <c r="IOV353" s="268"/>
      <c r="IOW353" s="268"/>
      <c r="IOX353" s="268"/>
      <c r="IOY353" s="268"/>
      <c r="IOZ353" s="268"/>
      <c r="IPA353" s="268"/>
      <c r="IPB353" s="268"/>
      <c r="IPC353" s="268"/>
      <c r="IPD353" s="268"/>
      <c r="IPE353" s="268"/>
      <c r="IPF353" s="268"/>
      <c r="IPG353" s="268"/>
      <c r="IPH353" s="268"/>
      <c r="IPI353" s="268"/>
      <c r="IPJ353" s="268"/>
      <c r="IPK353" s="268"/>
      <c r="IPL353" s="268"/>
      <c r="IPM353" s="268"/>
      <c r="IPN353" s="268"/>
      <c r="IPO353" s="268"/>
      <c r="IPP353" s="268"/>
      <c r="IPQ353" s="268"/>
      <c r="IPR353" s="268"/>
      <c r="IPS353" s="268"/>
      <c r="IPT353" s="268"/>
      <c r="IPU353" s="268"/>
      <c r="IPV353" s="268"/>
      <c r="IPW353" s="268"/>
      <c r="IPX353" s="268"/>
      <c r="IPY353" s="268"/>
      <c r="IPZ353" s="268"/>
      <c r="IQA353" s="268"/>
      <c r="IQB353" s="268"/>
      <c r="IQC353" s="268"/>
      <c r="IQD353" s="268"/>
      <c r="IQE353" s="268"/>
      <c r="IQF353" s="268"/>
      <c r="IQG353" s="268"/>
      <c r="IQH353" s="268"/>
      <c r="IQI353" s="268"/>
      <c r="IQJ353" s="268"/>
      <c r="IQK353" s="268"/>
      <c r="IQL353" s="268"/>
      <c r="IQM353" s="268"/>
      <c r="IQN353" s="268"/>
      <c r="IQO353" s="268"/>
      <c r="IQP353" s="268"/>
      <c r="IQQ353" s="268"/>
      <c r="IQR353" s="268"/>
      <c r="IQS353" s="268"/>
      <c r="IQT353" s="268"/>
      <c r="IQU353" s="268"/>
      <c r="IQV353" s="268"/>
      <c r="IQW353" s="268"/>
      <c r="IQX353" s="268"/>
      <c r="IQY353" s="268"/>
      <c r="IQZ353" s="268"/>
      <c r="IRA353" s="268"/>
      <c r="IRB353" s="268"/>
      <c r="IRC353" s="268"/>
      <c r="IRD353" s="268"/>
      <c r="IRE353" s="268"/>
      <c r="IRF353" s="268"/>
      <c r="IRG353" s="268"/>
      <c r="IRH353" s="268"/>
      <c r="IRI353" s="268"/>
      <c r="IRJ353" s="268"/>
      <c r="IRK353" s="268"/>
      <c r="IRL353" s="268"/>
      <c r="IRM353" s="268"/>
      <c r="IRN353" s="268"/>
      <c r="IRO353" s="268"/>
      <c r="IRP353" s="268"/>
      <c r="IRQ353" s="268"/>
      <c r="IRR353" s="268"/>
      <c r="IRS353" s="268"/>
      <c r="IRT353" s="268"/>
      <c r="IRU353" s="268"/>
      <c r="IRV353" s="268"/>
      <c r="IRW353" s="268"/>
      <c r="IRX353" s="268"/>
      <c r="IRY353" s="268"/>
      <c r="IRZ353" s="268"/>
      <c r="ISA353" s="268"/>
      <c r="ISB353" s="268"/>
      <c r="ISC353" s="268"/>
      <c r="ISD353" s="268"/>
      <c r="ISE353" s="268"/>
      <c r="ISF353" s="268"/>
      <c r="ISG353" s="268"/>
      <c r="ISH353" s="268"/>
      <c r="ISI353" s="268"/>
      <c r="ISJ353" s="268"/>
      <c r="ISK353" s="268"/>
      <c r="ISL353" s="268"/>
      <c r="ISM353" s="268"/>
      <c r="ISN353" s="268"/>
      <c r="ISO353" s="268"/>
      <c r="ISP353" s="268"/>
      <c r="ISQ353" s="268"/>
      <c r="ISR353" s="268"/>
      <c r="ISS353" s="268"/>
      <c r="IST353" s="268"/>
      <c r="ISU353" s="268"/>
      <c r="ISV353" s="268"/>
      <c r="ISW353" s="268"/>
      <c r="ISX353" s="268"/>
      <c r="ISY353" s="268"/>
      <c r="ISZ353" s="268"/>
      <c r="ITA353" s="268"/>
      <c r="ITB353" s="268"/>
      <c r="ITC353" s="268"/>
      <c r="ITD353" s="268"/>
      <c r="ITE353" s="268"/>
      <c r="ITF353" s="268"/>
      <c r="ITG353" s="268"/>
      <c r="ITH353" s="268"/>
      <c r="ITI353" s="268"/>
      <c r="ITJ353" s="268"/>
      <c r="ITK353" s="268"/>
      <c r="ITL353" s="268"/>
      <c r="ITM353" s="268"/>
      <c r="ITN353" s="268"/>
      <c r="ITO353" s="268"/>
      <c r="ITP353" s="268"/>
      <c r="ITQ353" s="268"/>
      <c r="ITR353" s="268"/>
      <c r="ITS353" s="268"/>
      <c r="ITT353" s="268"/>
      <c r="ITU353" s="268"/>
      <c r="ITV353" s="268"/>
      <c r="ITW353" s="268"/>
      <c r="ITX353" s="268"/>
      <c r="ITY353" s="268"/>
      <c r="ITZ353" s="268"/>
      <c r="IUA353" s="268"/>
      <c r="IUB353" s="268"/>
      <c r="IUC353" s="268"/>
      <c r="IUD353" s="268"/>
      <c r="IUE353" s="268"/>
      <c r="IUF353" s="268"/>
      <c r="IUG353" s="268"/>
      <c r="IUH353" s="268"/>
      <c r="IUI353" s="268"/>
      <c r="IUJ353" s="268"/>
      <c r="IUK353" s="268"/>
      <c r="IUL353" s="268"/>
      <c r="IUM353" s="268"/>
      <c r="IUN353" s="268"/>
      <c r="IUO353" s="268"/>
      <c r="IUP353" s="268"/>
      <c r="IUQ353" s="268"/>
      <c r="IVE353" s="268"/>
      <c r="IVF353" s="268"/>
      <c r="IVG353" s="268"/>
      <c r="IVU353" s="268"/>
      <c r="IVW353" s="268"/>
      <c r="IVX353" s="268"/>
      <c r="IVY353" s="268"/>
      <c r="IVZ353" s="268"/>
      <c r="IWA353" s="268"/>
      <c r="IWB353" s="268"/>
      <c r="IWC353" s="268"/>
      <c r="IWD353" s="268"/>
      <c r="IWE353" s="268"/>
      <c r="IWF353" s="268"/>
      <c r="IWG353" s="268"/>
      <c r="IWH353" s="268"/>
      <c r="IWI353" s="268"/>
      <c r="IWJ353" s="268"/>
      <c r="IWK353" s="268"/>
      <c r="IWL353" s="268"/>
      <c r="IWM353" s="268"/>
      <c r="IWN353" s="268"/>
      <c r="IWO353" s="268"/>
      <c r="IWP353" s="268"/>
      <c r="IWQ353" s="268"/>
      <c r="IWR353" s="268"/>
      <c r="IWS353" s="268"/>
      <c r="IWT353" s="268"/>
      <c r="IWU353" s="268"/>
      <c r="IWV353" s="268"/>
      <c r="IWW353" s="268"/>
      <c r="IWX353" s="268"/>
      <c r="IWY353" s="268"/>
      <c r="IWZ353" s="268"/>
      <c r="IXA353" s="268"/>
      <c r="IXB353" s="268"/>
      <c r="IXC353" s="268"/>
      <c r="IXD353" s="268"/>
      <c r="IXE353" s="268"/>
      <c r="IXF353" s="268"/>
      <c r="IXG353" s="268"/>
      <c r="IXH353" s="268"/>
      <c r="IXI353" s="268"/>
      <c r="IXJ353" s="268"/>
      <c r="IXK353" s="268"/>
      <c r="IXL353" s="268"/>
      <c r="IXM353" s="268"/>
      <c r="IXN353" s="268"/>
      <c r="IXO353" s="268"/>
      <c r="IXP353" s="268"/>
      <c r="IXQ353" s="268"/>
      <c r="IXR353" s="268"/>
      <c r="IXS353" s="268"/>
      <c r="IXT353" s="268"/>
      <c r="IXU353" s="268"/>
      <c r="IXV353" s="268"/>
      <c r="IXW353" s="268"/>
      <c r="IXX353" s="268"/>
      <c r="IXY353" s="268"/>
      <c r="IXZ353" s="268"/>
      <c r="IYA353" s="268"/>
      <c r="IYB353" s="268"/>
      <c r="IYC353" s="268"/>
      <c r="IYD353" s="268"/>
      <c r="IYE353" s="268"/>
      <c r="IYF353" s="268"/>
      <c r="IYG353" s="268"/>
      <c r="IYH353" s="268"/>
      <c r="IYI353" s="268"/>
      <c r="IYJ353" s="268"/>
      <c r="IYK353" s="268"/>
      <c r="IYL353" s="268"/>
      <c r="IYM353" s="268"/>
      <c r="IYN353" s="268"/>
      <c r="IYO353" s="268"/>
      <c r="IYP353" s="268"/>
      <c r="IYQ353" s="268"/>
      <c r="IYR353" s="268"/>
      <c r="IYS353" s="268"/>
      <c r="IYT353" s="268"/>
      <c r="IYU353" s="268"/>
      <c r="IYV353" s="268"/>
      <c r="IYW353" s="268"/>
      <c r="IYX353" s="268"/>
      <c r="IYY353" s="268"/>
      <c r="IYZ353" s="268"/>
      <c r="IZA353" s="268"/>
      <c r="IZB353" s="268"/>
      <c r="IZC353" s="268"/>
      <c r="IZD353" s="268"/>
      <c r="IZE353" s="268"/>
      <c r="IZF353" s="268"/>
      <c r="IZG353" s="268"/>
      <c r="IZH353" s="268"/>
      <c r="IZI353" s="268"/>
      <c r="IZJ353" s="268"/>
      <c r="IZK353" s="268"/>
      <c r="IZL353" s="268"/>
      <c r="IZM353" s="268"/>
      <c r="IZN353" s="268"/>
      <c r="IZO353" s="268"/>
      <c r="IZP353" s="268"/>
      <c r="IZQ353" s="268"/>
      <c r="IZR353" s="268"/>
      <c r="IZS353" s="268"/>
      <c r="IZT353" s="268"/>
      <c r="IZU353" s="268"/>
      <c r="IZV353" s="268"/>
      <c r="IZW353" s="268"/>
      <c r="IZX353" s="268"/>
      <c r="IZY353" s="268"/>
      <c r="IZZ353" s="268"/>
      <c r="JAA353" s="268"/>
      <c r="JAB353" s="268"/>
      <c r="JAC353" s="268"/>
      <c r="JAD353" s="268"/>
      <c r="JAE353" s="268"/>
      <c r="JAF353" s="268"/>
      <c r="JAG353" s="268"/>
      <c r="JAH353" s="268"/>
      <c r="JAI353" s="268"/>
      <c r="JAJ353" s="268"/>
      <c r="JAK353" s="268"/>
      <c r="JAL353" s="268"/>
      <c r="JAM353" s="268"/>
      <c r="JAN353" s="268"/>
      <c r="JAO353" s="268"/>
      <c r="JAP353" s="268"/>
      <c r="JAQ353" s="268"/>
      <c r="JAR353" s="268"/>
      <c r="JAS353" s="268"/>
      <c r="JAT353" s="268"/>
      <c r="JAU353" s="268"/>
      <c r="JAV353" s="268"/>
      <c r="JAW353" s="268"/>
      <c r="JAX353" s="268"/>
      <c r="JAY353" s="268"/>
      <c r="JAZ353" s="268"/>
      <c r="JBA353" s="268"/>
      <c r="JBB353" s="268"/>
      <c r="JBC353" s="268"/>
      <c r="JBD353" s="268"/>
      <c r="JBE353" s="268"/>
      <c r="JBF353" s="268"/>
      <c r="JBG353" s="268"/>
      <c r="JBH353" s="268"/>
      <c r="JBI353" s="268"/>
      <c r="JBJ353" s="268"/>
      <c r="JBK353" s="268"/>
      <c r="JBL353" s="268"/>
      <c r="JBM353" s="268"/>
      <c r="JBN353" s="268"/>
      <c r="JBO353" s="268"/>
      <c r="JBP353" s="268"/>
      <c r="JBQ353" s="268"/>
      <c r="JBR353" s="268"/>
      <c r="JBS353" s="268"/>
      <c r="JBT353" s="268"/>
      <c r="JBU353" s="268"/>
      <c r="JBV353" s="268"/>
      <c r="JBW353" s="268"/>
      <c r="JBX353" s="268"/>
      <c r="JBY353" s="268"/>
      <c r="JBZ353" s="268"/>
      <c r="JCA353" s="268"/>
      <c r="JCB353" s="268"/>
      <c r="JCC353" s="268"/>
      <c r="JCD353" s="268"/>
      <c r="JCE353" s="268"/>
      <c r="JCF353" s="268"/>
      <c r="JCG353" s="268"/>
      <c r="JCH353" s="268"/>
      <c r="JCI353" s="268"/>
      <c r="JCJ353" s="268"/>
      <c r="JCK353" s="268"/>
      <c r="JCL353" s="268"/>
      <c r="JCM353" s="268"/>
      <c r="JCN353" s="268"/>
      <c r="JCO353" s="268"/>
      <c r="JCP353" s="268"/>
      <c r="JCQ353" s="268"/>
      <c r="JCR353" s="268"/>
      <c r="JCS353" s="268"/>
      <c r="JCT353" s="268"/>
      <c r="JCU353" s="268"/>
      <c r="JCV353" s="268"/>
      <c r="JCW353" s="268"/>
      <c r="JCX353" s="268"/>
      <c r="JCY353" s="268"/>
      <c r="JCZ353" s="268"/>
      <c r="JDA353" s="268"/>
      <c r="JDB353" s="268"/>
      <c r="JDC353" s="268"/>
      <c r="JDD353" s="268"/>
      <c r="JDE353" s="268"/>
      <c r="JDF353" s="268"/>
      <c r="JDG353" s="268"/>
      <c r="JDH353" s="268"/>
      <c r="JDI353" s="268"/>
      <c r="JDJ353" s="268"/>
      <c r="JDK353" s="268"/>
      <c r="JDL353" s="268"/>
      <c r="JDM353" s="268"/>
      <c r="JDN353" s="268"/>
      <c r="JDO353" s="268"/>
      <c r="JDP353" s="268"/>
      <c r="JDQ353" s="268"/>
      <c r="JDR353" s="268"/>
      <c r="JDS353" s="268"/>
      <c r="JDT353" s="268"/>
      <c r="JDU353" s="268"/>
      <c r="JDV353" s="268"/>
      <c r="JDW353" s="268"/>
      <c r="JDX353" s="268"/>
      <c r="JDY353" s="268"/>
      <c r="JDZ353" s="268"/>
      <c r="JEA353" s="268"/>
      <c r="JEB353" s="268"/>
      <c r="JEC353" s="268"/>
      <c r="JED353" s="268"/>
      <c r="JEE353" s="268"/>
      <c r="JEF353" s="268"/>
      <c r="JEG353" s="268"/>
      <c r="JEH353" s="268"/>
      <c r="JEI353" s="268"/>
      <c r="JEJ353" s="268"/>
      <c r="JEK353" s="268"/>
      <c r="JEL353" s="268"/>
      <c r="JEM353" s="268"/>
      <c r="JFA353" s="268"/>
      <c r="JFB353" s="268"/>
      <c r="JFC353" s="268"/>
      <c r="JFQ353" s="268"/>
      <c r="JFS353" s="268"/>
      <c r="JFT353" s="268"/>
      <c r="JFU353" s="268"/>
      <c r="JFV353" s="268"/>
      <c r="JFW353" s="268"/>
      <c r="JFX353" s="268"/>
      <c r="JFY353" s="268"/>
      <c r="JFZ353" s="268"/>
      <c r="JGA353" s="268"/>
      <c r="JGB353" s="268"/>
      <c r="JGC353" s="268"/>
      <c r="JGD353" s="268"/>
      <c r="JGE353" s="268"/>
      <c r="JGF353" s="268"/>
      <c r="JGG353" s="268"/>
      <c r="JGH353" s="268"/>
      <c r="JGI353" s="268"/>
      <c r="JGJ353" s="268"/>
      <c r="JGK353" s="268"/>
      <c r="JGL353" s="268"/>
      <c r="JGM353" s="268"/>
      <c r="JGN353" s="268"/>
      <c r="JGO353" s="268"/>
      <c r="JGP353" s="268"/>
      <c r="JGQ353" s="268"/>
      <c r="JGR353" s="268"/>
      <c r="JGS353" s="268"/>
      <c r="JGT353" s="268"/>
      <c r="JGU353" s="268"/>
      <c r="JGV353" s="268"/>
      <c r="JGW353" s="268"/>
      <c r="JGX353" s="268"/>
      <c r="JGY353" s="268"/>
      <c r="JGZ353" s="268"/>
      <c r="JHA353" s="268"/>
      <c r="JHB353" s="268"/>
      <c r="JHC353" s="268"/>
      <c r="JHD353" s="268"/>
      <c r="JHE353" s="268"/>
      <c r="JHF353" s="268"/>
      <c r="JHG353" s="268"/>
      <c r="JHH353" s="268"/>
      <c r="JHI353" s="268"/>
      <c r="JHJ353" s="268"/>
      <c r="JHK353" s="268"/>
      <c r="JHL353" s="268"/>
      <c r="JHM353" s="268"/>
      <c r="JHN353" s="268"/>
      <c r="JHO353" s="268"/>
      <c r="JHP353" s="268"/>
      <c r="JHQ353" s="268"/>
      <c r="JHR353" s="268"/>
      <c r="JHS353" s="268"/>
      <c r="JHT353" s="268"/>
      <c r="JHU353" s="268"/>
      <c r="JHV353" s="268"/>
      <c r="JHW353" s="268"/>
      <c r="JHX353" s="268"/>
      <c r="JHY353" s="268"/>
      <c r="JHZ353" s="268"/>
      <c r="JIA353" s="268"/>
      <c r="JIB353" s="268"/>
      <c r="JIC353" s="268"/>
      <c r="JID353" s="268"/>
      <c r="JIE353" s="268"/>
      <c r="JIF353" s="268"/>
      <c r="JIG353" s="268"/>
      <c r="JIH353" s="268"/>
      <c r="JII353" s="268"/>
      <c r="JIJ353" s="268"/>
      <c r="JIK353" s="268"/>
      <c r="JIL353" s="268"/>
      <c r="JIM353" s="268"/>
      <c r="JIN353" s="268"/>
      <c r="JIO353" s="268"/>
      <c r="JIP353" s="268"/>
      <c r="JIQ353" s="268"/>
      <c r="JIR353" s="268"/>
      <c r="JIS353" s="268"/>
      <c r="JIT353" s="268"/>
      <c r="JIU353" s="268"/>
      <c r="JIV353" s="268"/>
      <c r="JIW353" s="268"/>
      <c r="JIX353" s="268"/>
      <c r="JIY353" s="268"/>
      <c r="JIZ353" s="268"/>
      <c r="JJA353" s="268"/>
      <c r="JJB353" s="268"/>
      <c r="JJC353" s="268"/>
      <c r="JJD353" s="268"/>
      <c r="JJE353" s="268"/>
      <c r="JJF353" s="268"/>
      <c r="JJG353" s="268"/>
      <c r="JJH353" s="268"/>
      <c r="JJI353" s="268"/>
      <c r="JJJ353" s="268"/>
      <c r="JJK353" s="268"/>
      <c r="JJL353" s="268"/>
      <c r="JJM353" s="268"/>
      <c r="JJN353" s="268"/>
      <c r="JJO353" s="268"/>
      <c r="JJP353" s="268"/>
      <c r="JJQ353" s="268"/>
      <c r="JJR353" s="268"/>
      <c r="JJS353" s="268"/>
      <c r="JJT353" s="268"/>
      <c r="JJU353" s="268"/>
      <c r="JJV353" s="268"/>
      <c r="JJW353" s="268"/>
      <c r="JJX353" s="268"/>
      <c r="JJY353" s="268"/>
      <c r="JJZ353" s="268"/>
      <c r="JKA353" s="268"/>
      <c r="JKB353" s="268"/>
      <c r="JKC353" s="268"/>
      <c r="JKD353" s="268"/>
      <c r="JKE353" s="268"/>
      <c r="JKF353" s="268"/>
      <c r="JKG353" s="268"/>
      <c r="JKH353" s="268"/>
      <c r="JKI353" s="268"/>
      <c r="JKJ353" s="268"/>
      <c r="JKK353" s="268"/>
      <c r="JKL353" s="268"/>
      <c r="JKM353" s="268"/>
      <c r="JKN353" s="268"/>
      <c r="JKO353" s="268"/>
      <c r="JKP353" s="268"/>
      <c r="JKQ353" s="268"/>
      <c r="JKR353" s="268"/>
      <c r="JKS353" s="268"/>
      <c r="JKT353" s="268"/>
      <c r="JKU353" s="268"/>
      <c r="JKV353" s="268"/>
      <c r="JKW353" s="268"/>
      <c r="JKX353" s="268"/>
      <c r="JKY353" s="268"/>
      <c r="JKZ353" s="268"/>
      <c r="JLA353" s="268"/>
      <c r="JLB353" s="268"/>
      <c r="JLC353" s="268"/>
      <c r="JLD353" s="268"/>
      <c r="JLE353" s="268"/>
      <c r="JLF353" s="268"/>
      <c r="JLG353" s="268"/>
      <c r="JLH353" s="268"/>
      <c r="JLI353" s="268"/>
      <c r="JLJ353" s="268"/>
      <c r="JLK353" s="268"/>
      <c r="JLL353" s="268"/>
      <c r="JLM353" s="268"/>
      <c r="JLN353" s="268"/>
      <c r="JLO353" s="268"/>
      <c r="JLP353" s="268"/>
      <c r="JLQ353" s="268"/>
      <c r="JLR353" s="268"/>
      <c r="JLS353" s="268"/>
      <c r="JLT353" s="268"/>
      <c r="JLU353" s="268"/>
      <c r="JLV353" s="268"/>
      <c r="JLW353" s="268"/>
      <c r="JLX353" s="268"/>
      <c r="JLY353" s="268"/>
      <c r="JLZ353" s="268"/>
      <c r="JMA353" s="268"/>
      <c r="JMB353" s="268"/>
      <c r="JMC353" s="268"/>
      <c r="JMD353" s="268"/>
      <c r="JME353" s="268"/>
      <c r="JMF353" s="268"/>
      <c r="JMG353" s="268"/>
      <c r="JMH353" s="268"/>
      <c r="JMI353" s="268"/>
      <c r="JMJ353" s="268"/>
      <c r="JMK353" s="268"/>
      <c r="JML353" s="268"/>
      <c r="JMM353" s="268"/>
      <c r="JMN353" s="268"/>
      <c r="JMO353" s="268"/>
      <c r="JMP353" s="268"/>
      <c r="JMQ353" s="268"/>
      <c r="JMR353" s="268"/>
      <c r="JMS353" s="268"/>
      <c r="JMT353" s="268"/>
      <c r="JMU353" s="268"/>
      <c r="JMV353" s="268"/>
      <c r="JMW353" s="268"/>
      <c r="JMX353" s="268"/>
      <c r="JMY353" s="268"/>
      <c r="JMZ353" s="268"/>
      <c r="JNA353" s="268"/>
      <c r="JNB353" s="268"/>
      <c r="JNC353" s="268"/>
      <c r="JND353" s="268"/>
      <c r="JNE353" s="268"/>
      <c r="JNF353" s="268"/>
      <c r="JNG353" s="268"/>
      <c r="JNH353" s="268"/>
      <c r="JNI353" s="268"/>
      <c r="JNJ353" s="268"/>
      <c r="JNK353" s="268"/>
      <c r="JNL353" s="268"/>
      <c r="JNM353" s="268"/>
      <c r="JNN353" s="268"/>
      <c r="JNO353" s="268"/>
      <c r="JNP353" s="268"/>
      <c r="JNQ353" s="268"/>
      <c r="JNR353" s="268"/>
      <c r="JNS353" s="268"/>
      <c r="JNT353" s="268"/>
      <c r="JNU353" s="268"/>
      <c r="JNV353" s="268"/>
      <c r="JNW353" s="268"/>
      <c r="JNX353" s="268"/>
      <c r="JNY353" s="268"/>
      <c r="JNZ353" s="268"/>
      <c r="JOA353" s="268"/>
      <c r="JOB353" s="268"/>
      <c r="JOC353" s="268"/>
      <c r="JOD353" s="268"/>
      <c r="JOE353" s="268"/>
      <c r="JOF353" s="268"/>
      <c r="JOG353" s="268"/>
      <c r="JOH353" s="268"/>
      <c r="JOI353" s="268"/>
      <c r="JOW353" s="268"/>
      <c r="JOX353" s="268"/>
      <c r="JOY353" s="268"/>
      <c r="JPM353" s="268"/>
      <c r="JPO353" s="268"/>
      <c r="JPP353" s="268"/>
      <c r="JPQ353" s="268"/>
      <c r="JPR353" s="268"/>
      <c r="JPS353" s="268"/>
      <c r="JPT353" s="268"/>
      <c r="JPU353" s="268"/>
      <c r="JPV353" s="268"/>
      <c r="JPW353" s="268"/>
      <c r="JPX353" s="268"/>
      <c r="JPY353" s="268"/>
      <c r="JPZ353" s="268"/>
      <c r="JQA353" s="268"/>
      <c r="JQB353" s="268"/>
      <c r="JQC353" s="268"/>
      <c r="JQD353" s="268"/>
      <c r="JQE353" s="268"/>
      <c r="JQF353" s="268"/>
      <c r="JQG353" s="268"/>
      <c r="JQH353" s="268"/>
      <c r="JQI353" s="268"/>
      <c r="JQJ353" s="268"/>
      <c r="JQK353" s="268"/>
      <c r="JQL353" s="268"/>
      <c r="JQM353" s="268"/>
      <c r="JQN353" s="268"/>
      <c r="JQO353" s="268"/>
      <c r="JQP353" s="268"/>
      <c r="JQQ353" s="268"/>
      <c r="JQR353" s="268"/>
      <c r="JQS353" s="268"/>
      <c r="JQT353" s="268"/>
      <c r="JQU353" s="268"/>
      <c r="JQV353" s="268"/>
      <c r="JQW353" s="268"/>
      <c r="JQX353" s="268"/>
      <c r="JQY353" s="268"/>
      <c r="JQZ353" s="268"/>
      <c r="JRA353" s="268"/>
      <c r="JRB353" s="268"/>
      <c r="JRC353" s="268"/>
      <c r="JRD353" s="268"/>
      <c r="JRE353" s="268"/>
      <c r="JRF353" s="268"/>
      <c r="JRG353" s="268"/>
      <c r="JRH353" s="268"/>
      <c r="JRI353" s="268"/>
      <c r="JRJ353" s="268"/>
      <c r="JRK353" s="268"/>
      <c r="JRL353" s="268"/>
      <c r="JRM353" s="268"/>
      <c r="JRN353" s="268"/>
      <c r="JRO353" s="268"/>
      <c r="JRP353" s="268"/>
      <c r="JRQ353" s="268"/>
      <c r="JRR353" s="268"/>
      <c r="JRS353" s="268"/>
      <c r="JRT353" s="268"/>
      <c r="JRU353" s="268"/>
      <c r="JRV353" s="268"/>
      <c r="JRW353" s="268"/>
      <c r="JRX353" s="268"/>
      <c r="JRY353" s="268"/>
      <c r="JRZ353" s="268"/>
      <c r="JSA353" s="268"/>
      <c r="JSB353" s="268"/>
      <c r="JSC353" s="268"/>
      <c r="JSD353" s="268"/>
      <c r="JSE353" s="268"/>
      <c r="JSF353" s="268"/>
      <c r="JSG353" s="268"/>
      <c r="JSH353" s="268"/>
      <c r="JSI353" s="268"/>
      <c r="JSJ353" s="268"/>
      <c r="JSK353" s="268"/>
      <c r="JSL353" s="268"/>
      <c r="JSM353" s="268"/>
      <c r="JSN353" s="268"/>
      <c r="JSO353" s="268"/>
      <c r="JSP353" s="268"/>
      <c r="JSQ353" s="268"/>
      <c r="JSR353" s="268"/>
      <c r="JSS353" s="268"/>
      <c r="JST353" s="268"/>
      <c r="JSU353" s="268"/>
      <c r="JSV353" s="268"/>
      <c r="JSW353" s="268"/>
      <c r="JSX353" s="268"/>
      <c r="JSY353" s="268"/>
      <c r="JSZ353" s="268"/>
      <c r="JTA353" s="268"/>
      <c r="JTB353" s="268"/>
      <c r="JTC353" s="268"/>
      <c r="JTD353" s="268"/>
      <c r="JTE353" s="268"/>
      <c r="JTF353" s="268"/>
      <c r="JTG353" s="268"/>
      <c r="JTH353" s="268"/>
      <c r="JTI353" s="268"/>
      <c r="JTJ353" s="268"/>
      <c r="JTK353" s="268"/>
      <c r="JTL353" s="268"/>
      <c r="JTM353" s="268"/>
      <c r="JTN353" s="268"/>
      <c r="JTO353" s="268"/>
      <c r="JTP353" s="268"/>
      <c r="JTQ353" s="268"/>
      <c r="JTR353" s="268"/>
      <c r="JTS353" s="268"/>
      <c r="JTT353" s="268"/>
      <c r="JTU353" s="268"/>
      <c r="JTV353" s="268"/>
      <c r="JTW353" s="268"/>
      <c r="JTX353" s="268"/>
      <c r="JTY353" s="268"/>
      <c r="JTZ353" s="268"/>
      <c r="JUA353" s="268"/>
      <c r="JUB353" s="268"/>
      <c r="JUC353" s="268"/>
      <c r="JUD353" s="268"/>
      <c r="JUE353" s="268"/>
      <c r="JUF353" s="268"/>
      <c r="JUG353" s="268"/>
      <c r="JUH353" s="268"/>
      <c r="JUI353" s="268"/>
      <c r="JUJ353" s="268"/>
      <c r="JUK353" s="268"/>
      <c r="JUL353" s="268"/>
      <c r="JUM353" s="268"/>
      <c r="JUN353" s="268"/>
      <c r="JUO353" s="268"/>
      <c r="JUP353" s="268"/>
      <c r="JUQ353" s="268"/>
      <c r="JUR353" s="268"/>
      <c r="JUS353" s="268"/>
      <c r="JUT353" s="268"/>
      <c r="JUU353" s="268"/>
      <c r="JUV353" s="268"/>
      <c r="JUW353" s="268"/>
      <c r="JUX353" s="268"/>
      <c r="JUY353" s="268"/>
      <c r="JUZ353" s="268"/>
      <c r="JVA353" s="268"/>
      <c r="JVB353" s="268"/>
      <c r="JVC353" s="268"/>
      <c r="JVD353" s="268"/>
      <c r="JVE353" s="268"/>
      <c r="JVF353" s="268"/>
      <c r="JVG353" s="268"/>
      <c r="JVH353" s="268"/>
      <c r="JVI353" s="268"/>
      <c r="JVJ353" s="268"/>
      <c r="JVK353" s="268"/>
      <c r="JVL353" s="268"/>
      <c r="JVM353" s="268"/>
      <c r="JVN353" s="268"/>
      <c r="JVO353" s="268"/>
      <c r="JVP353" s="268"/>
      <c r="JVQ353" s="268"/>
      <c r="JVR353" s="268"/>
      <c r="JVS353" s="268"/>
      <c r="JVT353" s="268"/>
      <c r="JVU353" s="268"/>
      <c r="JVV353" s="268"/>
      <c r="JVW353" s="268"/>
      <c r="JVX353" s="268"/>
      <c r="JVY353" s="268"/>
      <c r="JVZ353" s="268"/>
      <c r="JWA353" s="268"/>
      <c r="JWB353" s="268"/>
      <c r="JWC353" s="268"/>
      <c r="JWD353" s="268"/>
      <c r="JWE353" s="268"/>
      <c r="JWF353" s="268"/>
      <c r="JWG353" s="268"/>
      <c r="JWH353" s="268"/>
      <c r="JWI353" s="268"/>
      <c r="JWJ353" s="268"/>
      <c r="JWK353" s="268"/>
      <c r="JWL353" s="268"/>
      <c r="JWM353" s="268"/>
      <c r="JWN353" s="268"/>
      <c r="JWO353" s="268"/>
      <c r="JWP353" s="268"/>
      <c r="JWQ353" s="268"/>
      <c r="JWR353" s="268"/>
      <c r="JWS353" s="268"/>
      <c r="JWT353" s="268"/>
      <c r="JWU353" s="268"/>
      <c r="JWV353" s="268"/>
      <c r="JWW353" s="268"/>
      <c r="JWX353" s="268"/>
      <c r="JWY353" s="268"/>
      <c r="JWZ353" s="268"/>
      <c r="JXA353" s="268"/>
      <c r="JXB353" s="268"/>
      <c r="JXC353" s="268"/>
      <c r="JXD353" s="268"/>
      <c r="JXE353" s="268"/>
      <c r="JXF353" s="268"/>
      <c r="JXG353" s="268"/>
      <c r="JXH353" s="268"/>
      <c r="JXI353" s="268"/>
      <c r="JXJ353" s="268"/>
      <c r="JXK353" s="268"/>
      <c r="JXL353" s="268"/>
      <c r="JXM353" s="268"/>
      <c r="JXN353" s="268"/>
      <c r="JXO353" s="268"/>
      <c r="JXP353" s="268"/>
      <c r="JXQ353" s="268"/>
      <c r="JXR353" s="268"/>
      <c r="JXS353" s="268"/>
      <c r="JXT353" s="268"/>
      <c r="JXU353" s="268"/>
      <c r="JXV353" s="268"/>
      <c r="JXW353" s="268"/>
      <c r="JXX353" s="268"/>
      <c r="JXY353" s="268"/>
      <c r="JXZ353" s="268"/>
      <c r="JYA353" s="268"/>
      <c r="JYB353" s="268"/>
      <c r="JYC353" s="268"/>
      <c r="JYD353" s="268"/>
      <c r="JYE353" s="268"/>
      <c r="JYS353" s="268"/>
      <c r="JYT353" s="268"/>
      <c r="JYU353" s="268"/>
      <c r="JZI353" s="268"/>
      <c r="JZK353" s="268"/>
      <c r="JZL353" s="268"/>
      <c r="JZM353" s="268"/>
      <c r="JZN353" s="268"/>
      <c r="JZO353" s="268"/>
      <c r="JZP353" s="268"/>
      <c r="JZQ353" s="268"/>
      <c r="JZR353" s="268"/>
      <c r="JZS353" s="268"/>
      <c r="JZT353" s="268"/>
      <c r="JZU353" s="268"/>
      <c r="JZV353" s="268"/>
      <c r="JZW353" s="268"/>
      <c r="JZX353" s="268"/>
      <c r="JZY353" s="268"/>
      <c r="JZZ353" s="268"/>
      <c r="KAA353" s="268"/>
      <c r="KAB353" s="268"/>
      <c r="KAC353" s="268"/>
      <c r="KAD353" s="268"/>
      <c r="KAE353" s="268"/>
      <c r="KAF353" s="268"/>
      <c r="KAG353" s="268"/>
      <c r="KAH353" s="268"/>
      <c r="KAI353" s="268"/>
      <c r="KAJ353" s="268"/>
      <c r="KAK353" s="268"/>
      <c r="KAL353" s="268"/>
      <c r="KAM353" s="268"/>
      <c r="KAN353" s="268"/>
      <c r="KAO353" s="268"/>
      <c r="KAP353" s="268"/>
      <c r="KAQ353" s="268"/>
      <c r="KAR353" s="268"/>
      <c r="KAS353" s="268"/>
      <c r="KAT353" s="268"/>
      <c r="KAU353" s="268"/>
      <c r="KAV353" s="268"/>
      <c r="KAW353" s="268"/>
      <c r="KAX353" s="268"/>
      <c r="KAY353" s="268"/>
      <c r="KAZ353" s="268"/>
      <c r="KBA353" s="268"/>
      <c r="KBB353" s="268"/>
      <c r="KBC353" s="268"/>
      <c r="KBD353" s="268"/>
      <c r="KBE353" s="268"/>
      <c r="KBF353" s="268"/>
      <c r="KBG353" s="268"/>
      <c r="KBH353" s="268"/>
      <c r="KBI353" s="268"/>
      <c r="KBJ353" s="268"/>
      <c r="KBK353" s="268"/>
      <c r="KBL353" s="268"/>
      <c r="KBM353" s="268"/>
      <c r="KBN353" s="268"/>
      <c r="KBO353" s="268"/>
      <c r="KBP353" s="268"/>
      <c r="KBQ353" s="268"/>
      <c r="KBR353" s="268"/>
      <c r="KBS353" s="268"/>
      <c r="KBT353" s="268"/>
      <c r="KBU353" s="268"/>
      <c r="KBV353" s="268"/>
      <c r="KBW353" s="268"/>
      <c r="KBX353" s="268"/>
      <c r="KBY353" s="268"/>
      <c r="KBZ353" s="268"/>
      <c r="KCA353" s="268"/>
      <c r="KCB353" s="268"/>
      <c r="KCC353" s="268"/>
      <c r="KCD353" s="268"/>
      <c r="KCE353" s="268"/>
      <c r="KCF353" s="268"/>
      <c r="KCG353" s="268"/>
      <c r="KCH353" s="268"/>
      <c r="KCI353" s="268"/>
      <c r="KCJ353" s="268"/>
      <c r="KCK353" s="268"/>
      <c r="KCL353" s="268"/>
      <c r="KCM353" s="268"/>
      <c r="KCN353" s="268"/>
      <c r="KCO353" s="268"/>
      <c r="KCP353" s="268"/>
      <c r="KCQ353" s="268"/>
      <c r="KCR353" s="268"/>
      <c r="KCS353" s="268"/>
      <c r="KCT353" s="268"/>
      <c r="KCU353" s="268"/>
      <c r="KCV353" s="268"/>
      <c r="KCW353" s="268"/>
      <c r="KCX353" s="268"/>
      <c r="KCY353" s="268"/>
      <c r="KCZ353" s="268"/>
      <c r="KDA353" s="268"/>
      <c r="KDB353" s="268"/>
      <c r="KDC353" s="268"/>
      <c r="KDD353" s="268"/>
      <c r="KDE353" s="268"/>
      <c r="KDF353" s="268"/>
      <c r="KDG353" s="268"/>
      <c r="KDH353" s="268"/>
      <c r="KDI353" s="268"/>
      <c r="KDJ353" s="268"/>
      <c r="KDK353" s="268"/>
      <c r="KDL353" s="268"/>
      <c r="KDM353" s="268"/>
      <c r="KDN353" s="268"/>
      <c r="KDO353" s="268"/>
      <c r="KDP353" s="268"/>
      <c r="KDQ353" s="268"/>
      <c r="KDR353" s="268"/>
      <c r="KDS353" s="268"/>
      <c r="KDT353" s="268"/>
      <c r="KDU353" s="268"/>
      <c r="KDV353" s="268"/>
      <c r="KDW353" s="268"/>
      <c r="KDX353" s="268"/>
      <c r="KDY353" s="268"/>
      <c r="KDZ353" s="268"/>
      <c r="KEA353" s="268"/>
      <c r="KEB353" s="268"/>
      <c r="KEC353" s="268"/>
      <c r="KED353" s="268"/>
      <c r="KEE353" s="268"/>
      <c r="KEF353" s="268"/>
      <c r="KEG353" s="268"/>
      <c r="KEH353" s="268"/>
      <c r="KEI353" s="268"/>
      <c r="KEJ353" s="268"/>
      <c r="KEK353" s="268"/>
      <c r="KEL353" s="268"/>
      <c r="KEM353" s="268"/>
      <c r="KEN353" s="268"/>
      <c r="KEO353" s="268"/>
      <c r="KEP353" s="268"/>
      <c r="KEQ353" s="268"/>
      <c r="KER353" s="268"/>
      <c r="KES353" s="268"/>
      <c r="KET353" s="268"/>
      <c r="KEU353" s="268"/>
      <c r="KEV353" s="268"/>
      <c r="KEW353" s="268"/>
      <c r="KEX353" s="268"/>
      <c r="KEY353" s="268"/>
      <c r="KEZ353" s="268"/>
      <c r="KFA353" s="268"/>
      <c r="KFB353" s="268"/>
      <c r="KFC353" s="268"/>
      <c r="KFD353" s="268"/>
      <c r="KFE353" s="268"/>
      <c r="KFF353" s="268"/>
      <c r="KFG353" s="268"/>
      <c r="KFH353" s="268"/>
      <c r="KFI353" s="268"/>
      <c r="KFJ353" s="268"/>
      <c r="KFK353" s="268"/>
      <c r="KFL353" s="268"/>
      <c r="KFM353" s="268"/>
      <c r="KFN353" s="268"/>
      <c r="KFO353" s="268"/>
      <c r="KFP353" s="268"/>
      <c r="KFQ353" s="268"/>
      <c r="KFR353" s="268"/>
      <c r="KFS353" s="268"/>
      <c r="KFT353" s="268"/>
      <c r="KFU353" s="268"/>
      <c r="KFV353" s="268"/>
      <c r="KFW353" s="268"/>
      <c r="KFX353" s="268"/>
      <c r="KFY353" s="268"/>
      <c r="KFZ353" s="268"/>
      <c r="KGA353" s="268"/>
      <c r="KGB353" s="268"/>
      <c r="KGC353" s="268"/>
      <c r="KGD353" s="268"/>
      <c r="KGE353" s="268"/>
      <c r="KGF353" s="268"/>
      <c r="KGG353" s="268"/>
      <c r="KGH353" s="268"/>
      <c r="KGI353" s="268"/>
      <c r="KGJ353" s="268"/>
      <c r="KGK353" s="268"/>
      <c r="KGL353" s="268"/>
      <c r="KGM353" s="268"/>
      <c r="KGN353" s="268"/>
      <c r="KGO353" s="268"/>
      <c r="KGP353" s="268"/>
      <c r="KGQ353" s="268"/>
      <c r="KGR353" s="268"/>
      <c r="KGS353" s="268"/>
      <c r="KGT353" s="268"/>
      <c r="KGU353" s="268"/>
      <c r="KGV353" s="268"/>
      <c r="KGW353" s="268"/>
      <c r="KGX353" s="268"/>
      <c r="KGY353" s="268"/>
      <c r="KGZ353" s="268"/>
      <c r="KHA353" s="268"/>
      <c r="KHB353" s="268"/>
      <c r="KHC353" s="268"/>
      <c r="KHD353" s="268"/>
      <c r="KHE353" s="268"/>
      <c r="KHF353" s="268"/>
      <c r="KHG353" s="268"/>
      <c r="KHH353" s="268"/>
      <c r="KHI353" s="268"/>
      <c r="KHJ353" s="268"/>
      <c r="KHK353" s="268"/>
      <c r="KHL353" s="268"/>
      <c r="KHM353" s="268"/>
      <c r="KHN353" s="268"/>
      <c r="KHO353" s="268"/>
      <c r="KHP353" s="268"/>
      <c r="KHQ353" s="268"/>
      <c r="KHR353" s="268"/>
      <c r="KHS353" s="268"/>
      <c r="KHT353" s="268"/>
      <c r="KHU353" s="268"/>
      <c r="KHV353" s="268"/>
      <c r="KHW353" s="268"/>
      <c r="KHX353" s="268"/>
      <c r="KHY353" s="268"/>
      <c r="KHZ353" s="268"/>
      <c r="KIA353" s="268"/>
      <c r="KIO353" s="268"/>
      <c r="KIP353" s="268"/>
      <c r="KIQ353" s="268"/>
      <c r="KJE353" s="268"/>
      <c r="KJG353" s="268"/>
      <c r="KJH353" s="268"/>
      <c r="KJI353" s="268"/>
      <c r="KJJ353" s="268"/>
      <c r="KJK353" s="268"/>
      <c r="KJL353" s="268"/>
      <c r="KJM353" s="268"/>
      <c r="KJN353" s="268"/>
      <c r="KJO353" s="268"/>
      <c r="KJP353" s="268"/>
      <c r="KJQ353" s="268"/>
      <c r="KJR353" s="268"/>
      <c r="KJS353" s="268"/>
      <c r="KJT353" s="268"/>
      <c r="KJU353" s="268"/>
      <c r="KJV353" s="268"/>
      <c r="KJW353" s="268"/>
      <c r="KJX353" s="268"/>
      <c r="KJY353" s="268"/>
      <c r="KJZ353" s="268"/>
      <c r="KKA353" s="268"/>
      <c r="KKB353" s="268"/>
      <c r="KKC353" s="268"/>
      <c r="KKD353" s="268"/>
      <c r="KKE353" s="268"/>
      <c r="KKF353" s="268"/>
      <c r="KKG353" s="268"/>
      <c r="KKH353" s="268"/>
      <c r="KKI353" s="268"/>
      <c r="KKJ353" s="268"/>
      <c r="KKK353" s="268"/>
      <c r="KKL353" s="268"/>
      <c r="KKM353" s="268"/>
      <c r="KKN353" s="268"/>
      <c r="KKO353" s="268"/>
      <c r="KKP353" s="268"/>
      <c r="KKQ353" s="268"/>
      <c r="KKR353" s="268"/>
      <c r="KKS353" s="268"/>
      <c r="KKT353" s="268"/>
      <c r="KKU353" s="268"/>
      <c r="KKV353" s="268"/>
      <c r="KKW353" s="268"/>
      <c r="KKX353" s="268"/>
      <c r="KKY353" s="268"/>
      <c r="KKZ353" s="268"/>
      <c r="KLA353" s="268"/>
      <c r="KLB353" s="268"/>
      <c r="KLC353" s="268"/>
      <c r="KLD353" s="268"/>
      <c r="KLE353" s="268"/>
      <c r="KLF353" s="268"/>
      <c r="KLG353" s="268"/>
      <c r="KLH353" s="268"/>
      <c r="KLI353" s="268"/>
      <c r="KLJ353" s="268"/>
      <c r="KLK353" s="268"/>
      <c r="KLL353" s="268"/>
      <c r="KLM353" s="268"/>
      <c r="KLN353" s="268"/>
      <c r="KLO353" s="268"/>
      <c r="KLP353" s="268"/>
      <c r="KLQ353" s="268"/>
      <c r="KLR353" s="268"/>
      <c r="KLS353" s="268"/>
      <c r="KLT353" s="268"/>
      <c r="KLU353" s="268"/>
      <c r="KLV353" s="268"/>
      <c r="KLW353" s="268"/>
      <c r="KLX353" s="268"/>
      <c r="KLY353" s="268"/>
      <c r="KLZ353" s="268"/>
      <c r="KMA353" s="268"/>
      <c r="KMB353" s="268"/>
      <c r="KMC353" s="268"/>
      <c r="KMD353" s="268"/>
      <c r="KME353" s="268"/>
      <c r="KMF353" s="268"/>
      <c r="KMG353" s="268"/>
      <c r="KMH353" s="268"/>
      <c r="KMI353" s="268"/>
      <c r="KMJ353" s="268"/>
      <c r="KMK353" s="268"/>
      <c r="KML353" s="268"/>
      <c r="KMM353" s="268"/>
      <c r="KMN353" s="268"/>
      <c r="KMO353" s="268"/>
      <c r="KMP353" s="268"/>
      <c r="KMQ353" s="268"/>
      <c r="KMR353" s="268"/>
      <c r="KMS353" s="268"/>
      <c r="KMT353" s="268"/>
      <c r="KMU353" s="268"/>
      <c r="KMV353" s="268"/>
      <c r="KMW353" s="268"/>
      <c r="KMX353" s="268"/>
      <c r="KMY353" s="268"/>
      <c r="KMZ353" s="268"/>
      <c r="KNA353" s="268"/>
      <c r="KNB353" s="268"/>
      <c r="KNC353" s="268"/>
      <c r="KND353" s="268"/>
      <c r="KNE353" s="268"/>
      <c r="KNF353" s="268"/>
      <c r="KNG353" s="268"/>
      <c r="KNH353" s="268"/>
      <c r="KNI353" s="268"/>
      <c r="KNJ353" s="268"/>
      <c r="KNK353" s="268"/>
      <c r="KNL353" s="268"/>
      <c r="KNM353" s="268"/>
      <c r="KNN353" s="268"/>
      <c r="KNO353" s="268"/>
      <c r="KNP353" s="268"/>
      <c r="KNQ353" s="268"/>
      <c r="KNR353" s="268"/>
      <c r="KNS353" s="268"/>
      <c r="KNT353" s="268"/>
      <c r="KNU353" s="268"/>
      <c r="KNV353" s="268"/>
      <c r="KNW353" s="268"/>
      <c r="KNX353" s="268"/>
      <c r="KNY353" s="268"/>
      <c r="KNZ353" s="268"/>
      <c r="KOA353" s="268"/>
      <c r="KOB353" s="268"/>
      <c r="KOC353" s="268"/>
      <c r="KOD353" s="268"/>
      <c r="KOE353" s="268"/>
      <c r="KOF353" s="268"/>
      <c r="KOG353" s="268"/>
      <c r="KOH353" s="268"/>
      <c r="KOI353" s="268"/>
      <c r="KOJ353" s="268"/>
      <c r="KOK353" s="268"/>
      <c r="KOL353" s="268"/>
      <c r="KOM353" s="268"/>
      <c r="KON353" s="268"/>
      <c r="KOO353" s="268"/>
      <c r="KOP353" s="268"/>
      <c r="KOQ353" s="268"/>
      <c r="KOR353" s="268"/>
      <c r="KOS353" s="268"/>
      <c r="KOT353" s="268"/>
      <c r="KOU353" s="268"/>
      <c r="KOV353" s="268"/>
      <c r="KOW353" s="268"/>
      <c r="KOX353" s="268"/>
      <c r="KOY353" s="268"/>
      <c r="KOZ353" s="268"/>
      <c r="KPA353" s="268"/>
      <c r="KPB353" s="268"/>
      <c r="KPC353" s="268"/>
      <c r="KPD353" s="268"/>
      <c r="KPE353" s="268"/>
      <c r="KPF353" s="268"/>
      <c r="KPG353" s="268"/>
      <c r="KPH353" s="268"/>
      <c r="KPI353" s="268"/>
      <c r="KPJ353" s="268"/>
      <c r="KPK353" s="268"/>
      <c r="KPL353" s="268"/>
      <c r="KPM353" s="268"/>
      <c r="KPN353" s="268"/>
      <c r="KPO353" s="268"/>
      <c r="KPP353" s="268"/>
      <c r="KPQ353" s="268"/>
      <c r="KPR353" s="268"/>
      <c r="KPS353" s="268"/>
      <c r="KPT353" s="268"/>
      <c r="KPU353" s="268"/>
      <c r="KPV353" s="268"/>
      <c r="KPW353" s="268"/>
      <c r="KPX353" s="268"/>
      <c r="KPY353" s="268"/>
      <c r="KPZ353" s="268"/>
      <c r="KQA353" s="268"/>
      <c r="KQB353" s="268"/>
      <c r="KQC353" s="268"/>
      <c r="KQD353" s="268"/>
      <c r="KQE353" s="268"/>
      <c r="KQF353" s="268"/>
      <c r="KQG353" s="268"/>
      <c r="KQH353" s="268"/>
      <c r="KQI353" s="268"/>
      <c r="KQJ353" s="268"/>
      <c r="KQK353" s="268"/>
      <c r="KQL353" s="268"/>
      <c r="KQM353" s="268"/>
      <c r="KQN353" s="268"/>
      <c r="KQO353" s="268"/>
      <c r="KQP353" s="268"/>
      <c r="KQQ353" s="268"/>
      <c r="KQR353" s="268"/>
      <c r="KQS353" s="268"/>
      <c r="KQT353" s="268"/>
      <c r="KQU353" s="268"/>
      <c r="KQV353" s="268"/>
      <c r="KQW353" s="268"/>
      <c r="KQX353" s="268"/>
      <c r="KQY353" s="268"/>
      <c r="KQZ353" s="268"/>
      <c r="KRA353" s="268"/>
      <c r="KRB353" s="268"/>
      <c r="KRC353" s="268"/>
      <c r="KRD353" s="268"/>
      <c r="KRE353" s="268"/>
      <c r="KRF353" s="268"/>
      <c r="KRG353" s="268"/>
      <c r="KRH353" s="268"/>
      <c r="KRI353" s="268"/>
      <c r="KRJ353" s="268"/>
      <c r="KRK353" s="268"/>
      <c r="KRL353" s="268"/>
      <c r="KRM353" s="268"/>
      <c r="KRN353" s="268"/>
      <c r="KRO353" s="268"/>
      <c r="KRP353" s="268"/>
      <c r="KRQ353" s="268"/>
      <c r="KRR353" s="268"/>
      <c r="KRS353" s="268"/>
      <c r="KRT353" s="268"/>
      <c r="KRU353" s="268"/>
      <c r="KRV353" s="268"/>
      <c r="KRW353" s="268"/>
      <c r="KSK353" s="268"/>
      <c r="KSL353" s="268"/>
      <c r="KSM353" s="268"/>
      <c r="KTA353" s="268"/>
      <c r="KTC353" s="268"/>
      <c r="KTD353" s="268"/>
      <c r="KTE353" s="268"/>
      <c r="KTF353" s="268"/>
      <c r="KTG353" s="268"/>
      <c r="KTH353" s="268"/>
      <c r="KTI353" s="268"/>
      <c r="KTJ353" s="268"/>
      <c r="KTK353" s="268"/>
      <c r="KTL353" s="268"/>
      <c r="KTM353" s="268"/>
      <c r="KTN353" s="268"/>
      <c r="KTO353" s="268"/>
      <c r="KTP353" s="268"/>
      <c r="KTQ353" s="268"/>
      <c r="KTR353" s="268"/>
      <c r="KTS353" s="268"/>
      <c r="KTT353" s="268"/>
      <c r="KTU353" s="268"/>
      <c r="KTV353" s="268"/>
      <c r="KTW353" s="268"/>
      <c r="KTX353" s="268"/>
      <c r="KTY353" s="268"/>
      <c r="KTZ353" s="268"/>
      <c r="KUA353" s="268"/>
      <c r="KUB353" s="268"/>
      <c r="KUC353" s="268"/>
      <c r="KUD353" s="268"/>
      <c r="KUE353" s="268"/>
      <c r="KUF353" s="268"/>
      <c r="KUG353" s="268"/>
      <c r="KUH353" s="268"/>
      <c r="KUI353" s="268"/>
      <c r="KUJ353" s="268"/>
      <c r="KUK353" s="268"/>
      <c r="KUL353" s="268"/>
      <c r="KUM353" s="268"/>
      <c r="KUN353" s="268"/>
      <c r="KUO353" s="268"/>
      <c r="KUP353" s="268"/>
      <c r="KUQ353" s="268"/>
      <c r="KUR353" s="268"/>
      <c r="KUS353" s="268"/>
      <c r="KUT353" s="268"/>
      <c r="KUU353" s="268"/>
      <c r="KUV353" s="268"/>
      <c r="KUW353" s="268"/>
      <c r="KUX353" s="268"/>
      <c r="KUY353" s="268"/>
      <c r="KUZ353" s="268"/>
      <c r="KVA353" s="268"/>
      <c r="KVB353" s="268"/>
      <c r="KVC353" s="268"/>
      <c r="KVD353" s="268"/>
      <c r="KVE353" s="268"/>
      <c r="KVF353" s="268"/>
      <c r="KVG353" s="268"/>
      <c r="KVH353" s="268"/>
      <c r="KVI353" s="268"/>
      <c r="KVJ353" s="268"/>
      <c r="KVK353" s="268"/>
      <c r="KVL353" s="268"/>
      <c r="KVM353" s="268"/>
      <c r="KVN353" s="268"/>
      <c r="KVO353" s="268"/>
      <c r="KVP353" s="268"/>
      <c r="KVQ353" s="268"/>
      <c r="KVR353" s="268"/>
      <c r="KVS353" s="268"/>
      <c r="KVT353" s="268"/>
      <c r="KVU353" s="268"/>
      <c r="KVV353" s="268"/>
      <c r="KVW353" s="268"/>
      <c r="KVX353" s="268"/>
      <c r="KVY353" s="268"/>
      <c r="KVZ353" s="268"/>
      <c r="KWA353" s="268"/>
      <c r="KWB353" s="268"/>
      <c r="KWC353" s="268"/>
      <c r="KWD353" s="268"/>
      <c r="KWE353" s="268"/>
      <c r="KWF353" s="268"/>
      <c r="KWG353" s="268"/>
      <c r="KWH353" s="268"/>
      <c r="KWI353" s="268"/>
      <c r="KWJ353" s="268"/>
      <c r="KWK353" s="268"/>
      <c r="KWL353" s="268"/>
      <c r="KWM353" s="268"/>
      <c r="KWN353" s="268"/>
      <c r="KWO353" s="268"/>
      <c r="KWP353" s="268"/>
      <c r="KWQ353" s="268"/>
      <c r="KWR353" s="268"/>
      <c r="KWS353" s="268"/>
      <c r="KWT353" s="268"/>
      <c r="KWU353" s="268"/>
      <c r="KWV353" s="268"/>
      <c r="KWW353" s="268"/>
      <c r="KWX353" s="268"/>
      <c r="KWY353" s="268"/>
      <c r="KWZ353" s="268"/>
      <c r="KXA353" s="268"/>
      <c r="KXB353" s="268"/>
      <c r="KXC353" s="268"/>
      <c r="KXD353" s="268"/>
      <c r="KXE353" s="268"/>
      <c r="KXF353" s="268"/>
      <c r="KXG353" s="268"/>
      <c r="KXH353" s="268"/>
      <c r="KXI353" s="268"/>
      <c r="KXJ353" s="268"/>
      <c r="KXK353" s="268"/>
      <c r="KXL353" s="268"/>
      <c r="KXM353" s="268"/>
      <c r="KXN353" s="268"/>
      <c r="KXO353" s="268"/>
      <c r="KXP353" s="268"/>
      <c r="KXQ353" s="268"/>
      <c r="KXR353" s="268"/>
      <c r="KXS353" s="268"/>
      <c r="KXT353" s="268"/>
      <c r="KXU353" s="268"/>
      <c r="KXV353" s="268"/>
      <c r="KXW353" s="268"/>
      <c r="KXX353" s="268"/>
      <c r="KXY353" s="268"/>
      <c r="KXZ353" s="268"/>
      <c r="KYA353" s="268"/>
      <c r="KYB353" s="268"/>
      <c r="KYC353" s="268"/>
      <c r="KYD353" s="268"/>
      <c r="KYE353" s="268"/>
      <c r="KYF353" s="268"/>
      <c r="KYG353" s="268"/>
      <c r="KYH353" s="268"/>
      <c r="KYI353" s="268"/>
      <c r="KYJ353" s="268"/>
      <c r="KYK353" s="268"/>
      <c r="KYL353" s="268"/>
      <c r="KYM353" s="268"/>
      <c r="KYN353" s="268"/>
      <c r="KYO353" s="268"/>
      <c r="KYP353" s="268"/>
      <c r="KYQ353" s="268"/>
      <c r="KYR353" s="268"/>
      <c r="KYS353" s="268"/>
      <c r="KYT353" s="268"/>
      <c r="KYU353" s="268"/>
      <c r="KYV353" s="268"/>
      <c r="KYW353" s="268"/>
      <c r="KYX353" s="268"/>
      <c r="KYY353" s="268"/>
      <c r="KYZ353" s="268"/>
      <c r="KZA353" s="268"/>
      <c r="KZB353" s="268"/>
      <c r="KZC353" s="268"/>
      <c r="KZD353" s="268"/>
      <c r="KZE353" s="268"/>
      <c r="KZF353" s="268"/>
      <c r="KZG353" s="268"/>
      <c r="KZH353" s="268"/>
      <c r="KZI353" s="268"/>
      <c r="KZJ353" s="268"/>
      <c r="KZK353" s="268"/>
      <c r="KZL353" s="268"/>
      <c r="KZM353" s="268"/>
      <c r="KZN353" s="268"/>
      <c r="KZO353" s="268"/>
      <c r="KZP353" s="268"/>
      <c r="KZQ353" s="268"/>
      <c r="KZR353" s="268"/>
      <c r="KZS353" s="268"/>
      <c r="KZT353" s="268"/>
      <c r="KZU353" s="268"/>
      <c r="KZV353" s="268"/>
      <c r="KZW353" s="268"/>
      <c r="KZX353" s="268"/>
      <c r="KZY353" s="268"/>
      <c r="KZZ353" s="268"/>
      <c r="LAA353" s="268"/>
      <c r="LAB353" s="268"/>
      <c r="LAC353" s="268"/>
      <c r="LAD353" s="268"/>
      <c r="LAE353" s="268"/>
      <c r="LAF353" s="268"/>
      <c r="LAG353" s="268"/>
      <c r="LAH353" s="268"/>
      <c r="LAI353" s="268"/>
      <c r="LAJ353" s="268"/>
      <c r="LAK353" s="268"/>
      <c r="LAL353" s="268"/>
      <c r="LAM353" s="268"/>
      <c r="LAN353" s="268"/>
      <c r="LAO353" s="268"/>
      <c r="LAP353" s="268"/>
      <c r="LAQ353" s="268"/>
      <c r="LAR353" s="268"/>
      <c r="LAS353" s="268"/>
      <c r="LAT353" s="268"/>
      <c r="LAU353" s="268"/>
      <c r="LAV353" s="268"/>
      <c r="LAW353" s="268"/>
      <c r="LAX353" s="268"/>
      <c r="LAY353" s="268"/>
      <c r="LAZ353" s="268"/>
      <c r="LBA353" s="268"/>
      <c r="LBB353" s="268"/>
      <c r="LBC353" s="268"/>
      <c r="LBD353" s="268"/>
      <c r="LBE353" s="268"/>
      <c r="LBF353" s="268"/>
      <c r="LBG353" s="268"/>
      <c r="LBH353" s="268"/>
      <c r="LBI353" s="268"/>
      <c r="LBJ353" s="268"/>
      <c r="LBK353" s="268"/>
      <c r="LBL353" s="268"/>
      <c r="LBM353" s="268"/>
      <c r="LBN353" s="268"/>
      <c r="LBO353" s="268"/>
      <c r="LBP353" s="268"/>
      <c r="LBQ353" s="268"/>
      <c r="LBR353" s="268"/>
      <c r="LBS353" s="268"/>
      <c r="LCG353" s="268"/>
      <c r="LCH353" s="268"/>
      <c r="LCI353" s="268"/>
      <c r="LCW353" s="268"/>
      <c r="LCY353" s="268"/>
      <c r="LCZ353" s="268"/>
      <c r="LDA353" s="268"/>
      <c r="LDB353" s="268"/>
      <c r="LDC353" s="268"/>
      <c r="LDD353" s="268"/>
      <c r="LDE353" s="268"/>
      <c r="LDF353" s="268"/>
      <c r="LDG353" s="268"/>
      <c r="LDH353" s="268"/>
      <c r="LDI353" s="268"/>
      <c r="LDJ353" s="268"/>
      <c r="LDK353" s="268"/>
      <c r="LDL353" s="268"/>
      <c r="LDM353" s="268"/>
      <c r="LDN353" s="268"/>
      <c r="LDO353" s="268"/>
      <c r="LDP353" s="268"/>
      <c r="LDQ353" s="268"/>
      <c r="LDR353" s="268"/>
      <c r="LDS353" s="268"/>
      <c r="LDT353" s="268"/>
      <c r="LDU353" s="268"/>
      <c r="LDV353" s="268"/>
      <c r="LDW353" s="268"/>
      <c r="LDX353" s="268"/>
      <c r="LDY353" s="268"/>
      <c r="LDZ353" s="268"/>
      <c r="LEA353" s="268"/>
      <c r="LEB353" s="268"/>
      <c r="LEC353" s="268"/>
      <c r="LED353" s="268"/>
      <c r="LEE353" s="268"/>
      <c r="LEF353" s="268"/>
      <c r="LEG353" s="268"/>
      <c r="LEH353" s="268"/>
      <c r="LEI353" s="268"/>
      <c r="LEJ353" s="268"/>
      <c r="LEK353" s="268"/>
      <c r="LEL353" s="268"/>
      <c r="LEM353" s="268"/>
      <c r="LEN353" s="268"/>
      <c r="LEO353" s="268"/>
      <c r="LEP353" s="268"/>
      <c r="LEQ353" s="268"/>
      <c r="LER353" s="268"/>
      <c r="LES353" s="268"/>
      <c r="LET353" s="268"/>
      <c r="LEU353" s="268"/>
      <c r="LEV353" s="268"/>
      <c r="LEW353" s="268"/>
      <c r="LEX353" s="268"/>
      <c r="LEY353" s="268"/>
      <c r="LEZ353" s="268"/>
      <c r="LFA353" s="268"/>
      <c r="LFB353" s="268"/>
      <c r="LFC353" s="268"/>
      <c r="LFD353" s="268"/>
      <c r="LFE353" s="268"/>
      <c r="LFF353" s="268"/>
      <c r="LFG353" s="268"/>
      <c r="LFH353" s="268"/>
      <c r="LFI353" s="268"/>
      <c r="LFJ353" s="268"/>
      <c r="LFK353" s="268"/>
      <c r="LFL353" s="268"/>
      <c r="LFM353" s="268"/>
      <c r="LFN353" s="268"/>
      <c r="LFO353" s="268"/>
      <c r="LFP353" s="268"/>
      <c r="LFQ353" s="268"/>
      <c r="LFR353" s="268"/>
      <c r="LFS353" s="268"/>
      <c r="LFT353" s="268"/>
      <c r="LFU353" s="268"/>
      <c r="LFV353" s="268"/>
      <c r="LFW353" s="268"/>
      <c r="LFX353" s="268"/>
      <c r="LFY353" s="268"/>
      <c r="LFZ353" s="268"/>
      <c r="LGA353" s="268"/>
      <c r="LGB353" s="268"/>
      <c r="LGC353" s="268"/>
      <c r="LGD353" s="268"/>
      <c r="LGE353" s="268"/>
      <c r="LGF353" s="268"/>
      <c r="LGG353" s="268"/>
      <c r="LGH353" s="268"/>
      <c r="LGI353" s="268"/>
      <c r="LGJ353" s="268"/>
      <c r="LGK353" s="268"/>
      <c r="LGL353" s="268"/>
      <c r="LGM353" s="268"/>
      <c r="LGN353" s="268"/>
      <c r="LGO353" s="268"/>
      <c r="LGP353" s="268"/>
      <c r="LGQ353" s="268"/>
      <c r="LGR353" s="268"/>
      <c r="LGS353" s="268"/>
      <c r="LGT353" s="268"/>
      <c r="LGU353" s="268"/>
      <c r="LGV353" s="268"/>
      <c r="LGW353" s="268"/>
      <c r="LGX353" s="268"/>
      <c r="LGY353" s="268"/>
      <c r="LGZ353" s="268"/>
      <c r="LHA353" s="268"/>
      <c r="LHB353" s="268"/>
      <c r="LHC353" s="268"/>
      <c r="LHD353" s="268"/>
      <c r="LHE353" s="268"/>
      <c r="LHF353" s="268"/>
      <c r="LHG353" s="268"/>
      <c r="LHH353" s="268"/>
      <c r="LHI353" s="268"/>
      <c r="LHJ353" s="268"/>
      <c r="LHK353" s="268"/>
      <c r="LHL353" s="268"/>
      <c r="LHM353" s="268"/>
      <c r="LHN353" s="268"/>
      <c r="LHO353" s="268"/>
      <c r="LHP353" s="268"/>
      <c r="LHQ353" s="268"/>
      <c r="LHR353" s="268"/>
      <c r="LHS353" s="268"/>
      <c r="LHT353" s="268"/>
      <c r="LHU353" s="268"/>
      <c r="LHV353" s="268"/>
      <c r="LHW353" s="268"/>
      <c r="LHX353" s="268"/>
      <c r="LHY353" s="268"/>
      <c r="LHZ353" s="268"/>
      <c r="LIA353" s="268"/>
      <c r="LIB353" s="268"/>
      <c r="LIC353" s="268"/>
      <c r="LID353" s="268"/>
      <c r="LIE353" s="268"/>
      <c r="LIF353" s="268"/>
      <c r="LIG353" s="268"/>
      <c r="LIH353" s="268"/>
      <c r="LII353" s="268"/>
      <c r="LIJ353" s="268"/>
      <c r="LIK353" s="268"/>
      <c r="LIL353" s="268"/>
      <c r="LIM353" s="268"/>
      <c r="LIN353" s="268"/>
      <c r="LIO353" s="268"/>
      <c r="LIP353" s="268"/>
      <c r="LIQ353" s="268"/>
      <c r="LIR353" s="268"/>
      <c r="LIS353" s="268"/>
      <c r="LIT353" s="268"/>
      <c r="LIU353" s="268"/>
      <c r="LIV353" s="268"/>
      <c r="LIW353" s="268"/>
      <c r="LIX353" s="268"/>
      <c r="LIY353" s="268"/>
      <c r="LIZ353" s="268"/>
      <c r="LJA353" s="268"/>
      <c r="LJB353" s="268"/>
      <c r="LJC353" s="268"/>
      <c r="LJD353" s="268"/>
      <c r="LJE353" s="268"/>
      <c r="LJF353" s="268"/>
      <c r="LJG353" s="268"/>
      <c r="LJH353" s="268"/>
      <c r="LJI353" s="268"/>
      <c r="LJJ353" s="268"/>
      <c r="LJK353" s="268"/>
      <c r="LJL353" s="268"/>
      <c r="LJM353" s="268"/>
      <c r="LJN353" s="268"/>
      <c r="LJO353" s="268"/>
      <c r="LJP353" s="268"/>
      <c r="LJQ353" s="268"/>
      <c r="LJR353" s="268"/>
      <c r="LJS353" s="268"/>
      <c r="LJT353" s="268"/>
      <c r="LJU353" s="268"/>
      <c r="LJV353" s="268"/>
      <c r="LJW353" s="268"/>
      <c r="LJX353" s="268"/>
      <c r="LJY353" s="268"/>
      <c r="LJZ353" s="268"/>
      <c r="LKA353" s="268"/>
      <c r="LKB353" s="268"/>
      <c r="LKC353" s="268"/>
      <c r="LKD353" s="268"/>
      <c r="LKE353" s="268"/>
      <c r="LKF353" s="268"/>
      <c r="LKG353" s="268"/>
      <c r="LKH353" s="268"/>
      <c r="LKI353" s="268"/>
      <c r="LKJ353" s="268"/>
      <c r="LKK353" s="268"/>
      <c r="LKL353" s="268"/>
      <c r="LKM353" s="268"/>
      <c r="LKN353" s="268"/>
      <c r="LKO353" s="268"/>
      <c r="LKP353" s="268"/>
      <c r="LKQ353" s="268"/>
      <c r="LKR353" s="268"/>
      <c r="LKS353" s="268"/>
      <c r="LKT353" s="268"/>
      <c r="LKU353" s="268"/>
      <c r="LKV353" s="268"/>
      <c r="LKW353" s="268"/>
      <c r="LKX353" s="268"/>
      <c r="LKY353" s="268"/>
      <c r="LKZ353" s="268"/>
      <c r="LLA353" s="268"/>
      <c r="LLB353" s="268"/>
      <c r="LLC353" s="268"/>
      <c r="LLD353" s="268"/>
      <c r="LLE353" s="268"/>
      <c r="LLF353" s="268"/>
      <c r="LLG353" s="268"/>
      <c r="LLH353" s="268"/>
      <c r="LLI353" s="268"/>
      <c r="LLJ353" s="268"/>
      <c r="LLK353" s="268"/>
      <c r="LLL353" s="268"/>
      <c r="LLM353" s="268"/>
      <c r="LLN353" s="268"/>
      <c r="LLO353" s="268"/>
      <c r="LMC353" s="268"/>
      <c r="LMD353" s="268"/>
      <c r="LME353" s="268"/>
      <c r="LMS353" s="268"/>
      <c r="LMU353" s="268"/>
      <c r="LMV353" s="268"/>
      <c r="LMW353" s="268"/>
      <c r="LMX353" s="268"/>
      <c r="LMY353" s="268"/>
      <c r="LMZ353" s="268"/>
      <c r="LNA353" s="268"/>
      <c r="LNB353" s="268"/>
      <c r="LNC353" s="268"/>
      <c r="LND353" s="268"/>
      <c r="LNE353" s="268"/>
      <c r="LNF353" s="268"/>
      <c r="LNG353" s="268"/>
      <c r="LNH353" s="268"/>
      <c r="LNI353" s="268"/>
      <c r="LNJ353" s="268"/>
      <c r="LNK353" s="268"/>
      <c r="LNL353" s="268"/>
      <c r="LNM353" s="268"/>
      <c r="LNN353" s="268"/>
      <c r="LNO353" s="268"/>
      <c r="LNP353" s="268"/>
      <c r="LNQ353" s="268"/>
      <c r="LNR353" s="268"/>
      <c r="LNS353" s="268"/>
      <c r="LNT353" s="268"/>
      <c r="LNU353" s="268"/>
      <c r="LNV353" s="268"/>
      <c r="LNW353" s="268"/>
      <c r="LNX353" s="268"/>
      <c r="LNY353" s="268"/>
      <c r="LNZ353" s="268"/>
      <c r="LOA353" s="268"/>
      <c r="LOB353" s="268"/>
      <c r="LOC353" s="268"/>
      <c r="LOD353" s="268"/>
      <c r="LOE353" s="268"/>
      <c r="LOF353" s="268"/>
      <c r="LOG353" s="268"/>
      <c r="LOH353" s="268"/>
      <c r="LOI353" s="268"/>
      <c r="LOJ353" s="268"/>
      <c r="LOK353" s="268"/>
      <c r="LOL353" s="268"/>
      <c r="LOM353" s="268"/>
      <c r="LON353" s="268"/>
      <c r="LOO353" s="268"/>
      <c r="LOP353" s="268"/>
      <c r="LOQ353" s="268"/>
      <c r="LOR353" s="268"/>
      <c r="LOS353" s="268"/>
      <c r="LOT353" s="268"/>
      <c r="LOU353" s="268"/>
      <c r="LOV353" s="268"/>
      <c r="LOW353" s="268"/>
      <c r="LOX353" s="268"/>
      <c r="LOY353" s="268"/>
      <c r="LOZ353" s="268"/>
      <c r="LPA353" s="268"/>
      <c r="LPB353" s="268"/>
      <c r="LPC353" s="268"/>
      <c r="LPD353" s="268"/>
      <c r="LPE353" s="268"/>
      <c r="LPF353" s="268"/>
      <c r="LPG353" s="268"/>
      <c r="LPH353" s="268"/>
      <c r="LPI353" s="268"/>
      <c r="LPJ353" s="268"/>
      <c r="LPK353" s="268"/>
      <c r="LPL353" s="268"/>
      <c r="LPM353" s="268"/>
      <c r="LPN353" s="268"/>
      <c r="LPO353" s="268"/>
      <c r="LPP353" s="268"/>
      <c r="LPQ353" s="268"/>
      <c r="LPR353" s="268"/>
      <c r="LPS353" s="268"/>
      <c r="LPT353" s="268"/>
      <c r="LPU353" s="268"/>
      <c r="LPV353" s="268"/>
      <c r="LPW353" s="268"/>
      <c r="LPX353" s="268"/>
      <c r="LPY353" s="268"/>
      <c r="LPZ353" s="268"/>
      <c r="LQA353" s="268"/>
      <c r="LQB353" s="268"/>
      <c r="LQC353" s="268"/>
      <c r="LQD353" s="268"/>
      <c r="LQE353" s="268"/>
      <c r="LQF353" s="268"/>
      <c r="LQG353" s="268"/>
      <c r="LQH353" s="268"/>
      <c r="LQI353" s="268"/>
      <c r="LQJ353" s="268"/>
      <c r="LQK353" s="268"/>
      <c r="LQL353" s="268"/>
      <c r="LQM353" s="268"/>
      <c r="LQN353" s="268"/>
      <c r="LQO353" s="268"/>
      <c r="LQP353" s="268"/>
      <c r="LQQ353" s="268"/>
      <c r="LQR353" s="268"/>
      <c r="LQS353" s="268"/>
      <c r="LQT353" s="268"/>
      <c r="LQU353" s="268"/>
      <c r="LQV353" s="268"/>
      <c r="LQW353" s="268"/>
      <c r="LQX353" s="268"/>
      <c r="LQY353" s="268"/>
      <c r="LQZ353" s="268"/>
      <c r="LRA353" s="268"/>
      <c r="LRB353" s="268"/>
      <c r="LRC353" s="268"/>
      <c r="LRD353" s="268"/>
      <c r="LRE353" s="268"/>
      <c r="LRF353" s="268"/>
      <c r="LRG353" s="268"/>
      <c r="LRH353" s="268"/>
      <c r="LRI353" s="268"/>
      <c r="LRJ353" s="268"/>
      <c r="LRK353" s="268"/>
      <c r="LRL353" s="268"/>
      <c r="LRM353" s="268"/>
      <c r="LRN353" s="268"/>
      <c r="LRO353" s="268"/>
      <c r="LRP353" s="268"/>
      <c r="LRQ353" s="268"/>
      <c r="LRR353" s="268"/>
      <c r="LRS353" s="268"/>
      <c r="LRT353" s="268"/>
      <c r="LRU353" s="268"/>
      <c r="LRV353" s="268"/>
      <c r="LRW353" s="268"/>
      <c r="LRX353" s="268"/>
      <c r="LRY353" s="268"/>
      <c r="LRZ353" s="268"/>
      <c r="LSA353" s="268"/>
      <c r="LSB353" s="268"/>
      <c r="LSC353" s="268"/>
      <c r="LSD353" s="268"/>
      <c r="LSE353" s="268"/>
      <c r="LSF353" s="268"/>
      <c r="LSG353" s="268"/>
      <c r="LSH353" s="268"/>
      <c r="LSI353" s="268"/>
      <c r="LSJ353" s="268"/>
      <c r="LSK353" s="268"/>
      <c r="LSL353" s="268"/>
      <c r="LSM353" s="268"/>
      <c r="LSN353" s="268"/>
      <c r="LSO353" s="268"/>
      <c r="LSP353" s="268"/>
      <c r="LSQ353" s="268"/>
      <c r="LSR353" s="268"/>
      <c r="LSS353" s="268"/>
      <c r="LST353" s="268"/>
      <c r="LSU353" s="268"/>
      <c r="LSV353" s="268"/>
      <c r="LSW353" s="268"/>
      <c r="LSX353" s="268"/>
      <c r="LSY353" s="268"/>
      <c r="LSZ353" s="268"/>
      <c r="LTA353" s="268"/>
      <c r="LTB353" s="268"/>
      <c r="LTC353" s="268"/>
      <c r="LTD353" s="268"/>
      <c r="LTE353" s="268"/>
      <c r="LTF353" s="268"/>
      <c r="LTG353" s="268"/>
      <c r="LTH353" s="268"/>
      <c r="LTI353" s="268"/>
      <c r="LTJ353" s="268"/>
      <c r="LTK353" s="268"/>
      <c r="LTL353" s="268"/>
      <c r="LTM353" s="268"/>
      <c r="LTN353" s="268"/>
      <c r="LTO353" s="268"/>
      <c r="LTP353" s="268"/>
      <c r="LTQ353" s="268"/>
      <c r="LTR353" s="268"/>
      <c r="LTS353" s="268"/>
      <c r="LTT353" s="268"/>
      <c r="LTU353" s="268"/>
      <c r="LTV353" s="268"/>
      <c r="LTW353" s="268"/>
      <c r="LTX353" s="268"/>
      <c r="LTY353" s="268"/>
      <c r="LTZ353" s="268"/>
      <c r="LUA353" s="268"/>
      <c r="LUB353" s="268"/>
      <c r="LUC353" s="268"/>
      <c r="LUD353" s="268"/>
      <c r="LUE353" s="268"/>
      <c r="LUF353" s="268"/>
      <c r="LUG353" s="268"/>
      <c r="LUH353" s="268"/>
      <c r="LUI353" s="268"/>
      <c r="LUJ353" s="268"/>
      <c r="LUK353" s="268"/>
      <c r="LUL353" s="268"/>
      <c r="LUM353" s="268"/>
      <c r="LUN353" s="268"/>
      <c r="LUO353" s="268"/>
      <c r="LUP353" s="268"/>
      <c r="LUQ353" s="268"/>
      <c r="LUR353" s="268"/>
      <c r="LUS353" s="268"/>
      <c r="LUT353" s="268"/>
      <c r="LUU353" s="268"/>
      <c r="LUV353" s="268"/>
      <c r="LUW353" s="268"/>
      <c r="LUX353" s="268"/>
      <c r="LUY353" s="268"/>
      <c r="LUZ353" s="268"/>
      <c r="LVA353" s="268"/>
      <c r="LVB353" s="268"/>
      <c r="LVC353" s="268"/>
      <c r="LVD353" s="268"/>
      <c r="LVE353" s="268"/>
      <c r="LVF353" s="268"/>
      <c r="LVG353" s="268"/>
      <c r="LVH353" s="268"/>
      <c r="LVI353" s="268"/>
      <c r="LVJ353" s="268"/>
      <c r="LVK353" s="268"/>
      <c r="LVY353" s="268"/>
      <c r="LVZ353" s="268"/>
      <c r="LWA353" s="268"/>
      <c r="LWO353" s="268"/>
      <c r="LWQ353" s="268"/>
      <c r="LWR353" s="268"/>
      <c r="LWS353" s="268"/>
      <c r="LWT353" s="268"/>
      <c r="LWU353" s="268"/>
      <c r="LWV353" s="268"/>
      <c r="LWW353" s="268"/>
      <c r="LWX353" s="268"/>
      <c r="LWY353" s="268"/>
      <c r="LWZ353" s="268"/>
      <c r="LXA353" s="268"/>
      <c r="LXB353" s="268"/>
      <c r="LXC353" s="268"/>
      <c r="LXD353" s="268"/>
      <c r="LXE353" s="268"/>
      <c r="LXF353" s="268"/>
      <c r="LXG353" s="268"/>
      <c r="LXH353" s="268"/>
      <c r="LXI353" s="268"/>
      <c r="LXJ353" s="268"/>
      <c r="LXK353" s="268"/>
      <c r="LXL353" s="268"/>
      <c r="LXM353" s="268"/>
      <c r="LXN353" s="268"/>
      <c r="LXO353" s="268"/>
      <c r="LXP353" s="268"/>
      <c r="LXQ353" s="268"/>
      <c r="LXR353" s="268"/>
      <c r="LXS353" s="268"/>
      <c r="LXT353" s="268"/>
      <c r="LXU353" s="268"/>
      <c r="LXV353" s="268"/>
      <c r="LXW353" s="268"/>
      <c r="LXX353" s="268"/>
      <c r="LXY353" s="268"/>
      <c r="LXZ353" s="268"/>
      <c r="LYA353" s="268"/>
      <c r="LYB353" s="268"/>
      <c r="LYC353" s="268"/>
      <c r="LYD353" s="268"/>
      <c r="LYE353" s="268"/>
      <c r="LYF353" s="268"/>
      <c r="LYG353" s="268"/>
      <c r="LYH353" s="268"/>
      <c r="LYI353" s="268"/>
      <c r="LYJ353" s="268"/>
      <c r="LYK353" s="268"/>
      <c r="LYL353" s="268"/>
      <c r="LYM353" s="268"/>
      <c r="LYN353" s="268"/>
      <c r="LYO353" s="268"/>
      <c r="LYP353" s="268"/>
      <c r="LYQ353" s="268"/>
      <c r="LYR353" s="268"/>
      <c r="LYS353" s="268"/>
      <c r="LYT353" s="268"/>
      <c r="LYU353" s="268"/>
      <c r="LYV353" s="268"/>
      <c r="LYW353" s="268"/>
      <c r="LYX353" s="268"/>
      <c r="LYY353" s="268"/>
      <c r="LYZ353" s="268"/>
      <c r="LZA353" s="268"/>
      <c r="LZB353" s="268"/>
      <c r="LZC353" s="268"/>
      <c r="LZD353" s="268"/>
      <c r="LZE353" s="268"/>
      <c r="LZF353" s="268"/>
      <c r="LZG353" s="268"/>
      <c r="LZH353" s="268"/>
      <c r="LZI353" s="268"/>
      <c r="LZJ353" s="268"/>
      <c r="LZK353" s="268"/>
      <c r="LZL353" s="268"/>
      <c r="LZM353" s="268"/>
      <c r="LZN353" s="268"/>
      <c r="LZO353" s="268"/>
      <c r="LZP353" s="268"/>
      <c r="LZQ353" s="268"/>
      <c r="LZR353" s="268"/>
      <c r="LZS353" s="268"/>
      <c r="LZT353" s="268"/>
      <c r="LZU353" s="268"/>
      <c r="LZV353" s="268"/>
      <c r="LZW353" s="268"/>
      <c r="LZX353" s="268"/>
      <c r="LZY353" s="268"/>
      <c r="LZZ353" s="268"/>
      <c r="MAA353" s="268"/>
      <c r="MAB353" s="268"/>
      <c r="MAC353" s="268"/>
      <c r="MAD353" s="268"/>
      <c r="MAE353" s="268"/>
      <c r="MAF353" s="268"/>
      <c r="MAG353" s="268"/>
      <c r="MAH353" s="268"/>
      <c r="MAI353" s="268"/>
      <c r="MAJ353" s="268"/>
      <c r="MAK353" s="268"/>
      <c r="MAL353" s="268"/>
      <c r="MAM353" s="268"/>
      <c r="MAN353" s="268"/>
      <c r="MAO353" s="268"/>
      <c r="MAP353" s="268"/>
      <c r="MAQ353" s="268"/>
      <c r="MAR353" s="268"/>
      <c r="MAS353" s="268"/>
      <c r="MAT353" s="268"/>
      <c r="MAU353" s="268"/>
      <c r="MAV353" s="268"/>
      <c r="MAW353" s="268"/>
      <c r="MAX353" s="268"/>
      <c r="MAY353" s="268"/>
      <c r="MAZ353" s="268"/>
      <c r="MBA353" s="268"/>
      <c r="MBB353" s="268"/>
      <c r="MBC353" s="268"/>
      <c r="MBD353" s="268"/>
      <c r="MBE353" s="268"/>
      <c r="MBF353" s="268"/>
      <c r="MBG353" s="268"/>
      <c r="MBH353" s="268"/>
      <c r="MBI353" s="268"/>
      <c r="MBJ353" s="268"/>
      <c r="MBK353" s="268"/>
      <c r="MBL353" s="268"/>
      <c r="MBM353" s="268"/>
      <c r="MBN353" s="268"/>
      <c r="MBO353" s="268"/>
      <c r="MBP353" s="268"/>
      <c r="MBQ353" s="268"/>
      <c r="MBR353" s="268"/>
      <c r="MBS353" s="268"/>
      <c r="MBT353" s="268"/>
      <c r="MBU353" s="268"/>
      <c r="MBV353" s="268"/>
      <c r="MBW353" s="268"/>
      <c r="MBX353" s="268"/>
      <c r="MBY353" s="268"/>
      <c r="MBZ353" s="268"/>
      <c r="MCA353" s="268"/>
      <c r="MCB353" s="268"/>
      <c r="MCC353" s="268"/>
      <c r="MCD353" s="268"/>
      <c r="MCE353" s="268"/>
      <c r="MCF353" s="268"/>
      <c r="MCG353" s="268"/>
      <c r="MCH353" s="268"/>
      <c r="MCI353" s="268"/>
      <c r="MCJ353" s="268"/>
      <c r="MCK353" s="268"/>
      <c r="MCL353" s="268"/>
      <c r="MCM353" s="268"/>
      <c r="MCN353" s="268"/>
      <c r="MCO353" s="268"/>
      <c r="MCP353" s="268"/>
      <c r="MCQ353" s="268"/>
      <c r="MCR353" s="268"/>
      <c r="MCS353" s="268"/>
      <c r="MCT353" s="268"/>
      <c r="MCU353" s="268"/>
      <c r="MCV353" s="268"/>
      <c r="MCW353" s="268"/>
      <c r="MCX353" s="268"/>
      <c r="MCY353" s="268"/>
      <c r="MCZ353" s="268"/>
      <c r="MDA353" s="268"/>
      <c r="MDB353" s="268"/>
      <c r="MDC353" s="268"/>
      <c r="MDD353" s="268"/>
      <c r="MDE353" s="268"/>
      <c r="MDF353" s="268"/>
      <c r="MDG353" s="268"/>
      <c r="MDH353" s="268"/>
      <c r="MDI353" s="268"/>
      <c r="MDJ353" s="268"/>
      <c r="MDK353" s="268"/>
      <c r="MDL353" s="268"/>
      <c r="MDM353" s="268"/>
      <c r="MDN353" s="268"/>
      <c r="MDO353" s="268"/>
      <c r="MDP353" s="268"/>
      <c r="MDQ353" s="268"/>
      <c r="MDR353" s="268"/>
      <c r="MDS353" s="268"/>
      <c r="MDT353" s="268"/>
      <c r="MDU353" s="268"/>
      <c r="MDV353" s="268"/>
      <c r="MDW353" s="268"/>
      <c r="MDX353" s="268"/>
      <c r="MDY353" s="268"/>
      <c r="MDZ353" s="268"/>
      <c r="MEA353" s="268"/>
      <c r="MEB353" s="268"/>
      <c r="MEC353" s="268"/>
      <c r="MED353" s="268"/>
      <c r="MEE353" s="268"/>
      <c r="MEF353" s="268"/>
      <c r="MEG353" s="268"/>
      <c r="MEH353" s="268"/>
      <c r="MEI353" s="268"/>
      <c r="MEJ353" s="268"/>
      <c r="MEK353" s="268"/>
      <c r="MEL353" s="268"/>
      <c r="MEM353" s="268"/>
      <c r="MEN353" s="268"/>
      <c r="MEO353" s="268"/>
      <c r="MEP353" s="268"/>
      <c r="MEQ353" s="268"/>
      <c r="MER353" s="268"/>
      <c r="MES353" s="268"/>
      <c r="MET353" s="268"/>
      <c r="MEU353" s="268"/>
      <c r="MEV353" s="268"/>
      <c r="MEW353" s="268"/>
      <c r="MEX353" s="268"/>
      <c r="MEY353" s="268"/>
      <c r="MEZ353" s="268"/>
      <c r="MFA353" s="268"/>
      <c r="MFB353" s="268"/>
      <c r="MFC353" s="268"/>
      <c r="MFD353" s="268"/>
      <c r="MFE353" s="268"/>
      <c r="MFF353" s="268"/>
      <c r="MFG353" s="268"/>
      <c r="MFU353" s="268"/>
      <c r="MFV353" s="268"/>
      <c r="MFW353" s="268"/>
      <c r="MGK353" s="268"/>
      <c r="MGM353" s="268"/>
      <c r="MGN353" s="268"/>
      <c r="MGO353" s="268"/>
      <c r="MGP353" s="268"/>
      <c r="MGQ353" s="268"/>
      <c r="MGR353" s="268"/>
      <c r="MGS353" s="268"/>
      <c r="MGT353" s="268"/>
      <c r="MGU353" s="268"/>
      <c r="MGV353" s="268"/>
      <c r="MGW353" s="268"/>
      <c r="MGX353" s="268"/>
      <c r="MGY353" s="268"/>
      <c r="MGZ353" s="268"/>
      <c r="MHA353" s="268"/>
      <c r="MHB353" s="268"/>
      <c r="MHC353" s="268"/>
      <c r="MHD353" s="268"/>
      <c r="MHE353" s="268"/>
      <c r="MHF353" s="268"/>
      <c r="MHG353" s="268"/>
      <c r="MHH353" s="268"/>
      <c r="MHI353" s="268"/>
      <c r="MHJ353" s="268"/>
      <c r="MHK353" s="268"/>
      <c r="MHL353" s="268"/>
      <c r="MHM353" s="268"/>
      <c r="MHN353" s="268"/>
      <c r="MHO353" s="268"/>
      <c r="MHP353" s="268"/>
      <c r="MHQ353" s="268"/>
      <c r="MHR353" s="268"/>
      <c r="MHS353" s="268"/>
      <c r="MHT353" s="268"/>
      <c r="MHU353" s="268"/>
      <c r="MHV353" s="268"/>
      <c r="MHW353" s="268"/>
      <c r="MHX353" s="268"/>
      <c r="MHY353" s="268"/>
      <c r="MHZ353" s="268"/>
      <c r="MIA353" s="268"/>
      <c r="MIB353" s="268"/>
      <c r="MIC353" s="268"/>
      <c r="MID353" s="268"/>
      <c r="MIE353" s="268"/>
      <c r="MIF353" s="268"/>
      <c r="MIG353" s="268"/>
      <c r="MIH353" s="268"/>
      <c r="MII353" s="268"/>
      <c r="MIJ353" s="268"/>
      <c r="MIK353" s="268"/>
      <c r="MIL353" s="268"/>
      <c r="MIM353" s="268"/>
      <c r="MIN353" s="268"/>
      <c r="MIO353" s="268"/>
      <c r="MIP353" s="268"/>
      <c r="MIQ353" s="268"/>
      <c r="MIR353" s="268"/>
      <c r="MIS353" s="268"/>
      <c r="MIT353" s="268"/>
      <c r="MIU353" s="268"/>
      <c r="MIV353" s="268"/>
      <c r="MIW353" s="268"/>
      <c r="MIX353" s="268"/>
      <c r="MIY353" s="268"/>
      <c r="MIZ353" s="268"/>
      <c r="MJA353" s="268"/>
      <c r="MJB353" s="268"/>
      <c r="MJC353" s="268"/>
      <c r="MJD353" s="268"/>
      <c r="MJE353" s="268"/>
      <c r="MJF353" s="268"/>
      <c r="MJG353" s="268"/>
      <c r="MJH353" s="268"/>
      <c r="MJI353" s="268"/>
      <c r="MJJ353" s="268"/>
      <c r="MJK353" s="268"/>
      <c r="MJL353" s="268"/>
      <c r="MJM353" s="268"/>
      <c r="MJN353" s="268"/>
      <c r="MJO353" s="268"/>
      <c r="MJP353" s="268"/>
      <c r="MJQ353" s="268"/>
      <c r="MJR353" s="268"/>
      <c r="MJS353" s="268"/>
      <c r="MJT353" s="268"/>
      <c r="MJU353" s="268"/>
      <c r="MJV353" s="268"/>
      <c r="MJW353" s="268"/>
      <c r="MJX353" s="268"/>
      <c r="MJY353" s="268"/>
      <c r="MJZ353" s="268"/>
      <c r="MKA353" s="268"/>
      <c r="MKB353" s="268"/>
      <c r="MKC353" s="268"/>
      <c r="MKD353" s="268"/>
      <c r="MKE353" s="268"/>
      <c r="MKF353" s="268"/>
      <c r="MKG353" s="268"/>
      <c r="MKH353" s="268"/>
      <c r="MKI353" s="268"/>
      <c r="MKJ353" s="268"/>
      <c r="MKK353" s="268"/>
      <c r="MKL353" s="268"/>
      <c r="MKM353" s="268"/>
      <c r="MKN353" s="268"/>
      <c r="MKO353" s="268"/>
      <c r="MKP353" s="268"/>
      <c r="MKQ353" s="268"/>
      <c r="MKR353" s="268"/>
      <c r="MKS353" s="268"/>
      <c r="MKT353" s="268"/>
      <c r="MKU353" s="268"/>
      <c r="MKV353" s="268"/>
      <c r="MKW353" s="268"/>
      <c r="MKX353" s="268"/>
      <c r="MKY353" s="268"/>
      <c r="MKZ353" s="268"/>
      <c r="MLA353" s="268"/>
      <c r="MLB353" s="268"/>
      <c r="MLC353" s="268"/>
      <c r="MLD353" s="268"/>
      <c r="MLE353" s="268"/>
      <c r="MLF353" s="268"/>
      <c r="MLG353" s="268"/>
      <c r="MLH353" s="268"/>
      <c r="MLI353" s="268"/>
      <c r="MLJ353" s="268"/>
      <c r="MLK353" s="268"/>
      <c r="MLL353" s="268"/>
      <c r="MLM353" s="268"/>
      <c r="MLN353" s="268"/>
      <c r="MLO353" s="268"/>
      <c r="MLP353" s="268"/>
      <c r="MLQ353" s="268"/>
      <c r="MLR353" s="268"/>
      <c r="MLS353" s="268"/>
      <c r="MLT353" s="268"/>
      <c r="MLU353" s="268"/>
      <c r="MLV353" s="268"/>
      <c r="MLW353" s="268"/>
      <c r="MLX353" s="268"/>
      <c r="MLY353" s="268"/>
      <c r="MLZ353" s="268"/>
      <c r="MMA353" s="268"/>
      <c r="MMB353" s="268"/>
      <c r="MMC353" s="268"/>
      <c r="MMD353" s="268"/>
      <c r="MME353" s="268"/>
      <c r="MMF353" s="268"/>
      <c r="MMG353" s="268"/>
      <c r="MMH353" s="268"/>
      <c r="MMI353" s="268"/>
      <c r="MMJ353" s="268"/>
      <c r="MMK353" s="268"/>
      <c r="MML353" s="268"/>
      <c r="MMM353" s="268"/>
      <c r="MMN353" s="268"/>
      <c r="MMO353" s="268"/>
      <c r="MMP353" s="268"/>
      <c r="MMQ353" s="268"/>
      <c r="MMR353" s="268"/>
      <c r="MMS353" s="268"/>
      <c r="MMT353" s="268"/>
      <c r="MMU353" s="268"/>
      <c r="MMV353" s="268"/>
      <c r="MMW353" s="268"/>
      <c r="MMX353" s="268"/>
      <c r="MMY353" s="268"/>
      <c r="MMZ353" s="268"/>
      <c r="MNA353" s="268"/>
      <c r="MNB353" s="268"/>
      <c r="MNC353" s="268"/>
      <c r="MND353" s="268"/>
      <c r="MNE353" s="268"/>
      <c r="MNF353" s="268"/>
      <c r="MNG353" s="268"/>
      <c r="MNH353" s="268"/>
      <c r="MNI353" s="268"/>
      <c r="MNJ353" s="268"/>
      <c r="MNK353" s="268"/>
      <c r="MNL353" s="268"/>
      <c r="MNM353" s="268"/>
      <c r="MNN353" s="268"/>
      <c r="MNO353" s="268"/>
      <c r="MNP353" s="268"/>
      <c r="MNQ353" s="268"/>
      <c r="MNR353" s="268"/>
      <c r="MNS353" s="268"/>
      <c r="MNT353" s="268"/>
      <c r="MNU353" s="268"/>
      <c r="MNV353" s="268"/>
      <c r="MNW353" s="268"/>
      <c r="MNX353" s="268"/>
      <c r="MNY353" s="268"/>
      <c r="MNZ353" s="268"/>
      <c r="MOA353" s="268"/>
      <c r="MOB353" s="268"/>
      <c r="MOC353" s="268"/>
      <c r="MOD353" s="268"/>
      <c r="MOE353" s="268"/>
      <c r="MOF353" s="268"/>
      <c r="MOG353" s="268"/>
      <c r="MOH353" s="268"/>
      <c r="MOI353" s="268"/>
      <c r="MOJ353" s="268"/>
      <c r="MOK353" s="268"/>
      <c r="MOL353" s="268"/>
      <c r="MOM353" s="268"/>
      <c r="MON353" s="268"/>
      <c r="MOO353" s="268"/>
      <c r="MOP353" s="268"/>
      <c r="MOQ353" s="268"/>
      <c r="MOR353" s="268"/>
      <c r="MOS353" s="268"/>
      <c r="MOT353" s="268"/>
      <c r="MOU353" s="268"/>
      <c r="MOV353" s="268"/>
      <c r="MOW353" s="268"/>
      <c r="MOX353" s="268"/>
      <c r="MOY353" s="268"/>
      <c r="MOZ353" s="268"/>
      <c r="MPA353" s="268"/>
      <c r="MPB353" s="268"/>
      <c r="MPC353" s="268"/>
      <c r="MPQ353" s="268"/>
      <c r="MPR353" s="268"/>
      <c r="MPS353" s="268"/>
      <c r="MQG353" s="268"/>
      <c r="MQI353" s="268"/>
      <c r="MQJ353" s="268"/>
      <c r="MQK353" s="268"/>
      <c r="MQL353" s="268"/>
      <c r="MQM353" s="268"/>
      <c r="MQN353" s="268"/>
      <c r="MQO353" s="268"/>
      <c r="MQP353" s="268"/>
      <c r="MQQ353" s="268"/>
      <c r="MQR353" s="268"/>
      <c r="MQS353" s="268"/>
      <c r="MQT353" s="268"/>
      <c r="MQU353" s="268"/>
      <c r="MQV353" s="268"/>
      <c r="MQW353" s="268"/>
      <c r="MQX353" s="268"/>
      <c r="MQY353" s="268"/>
      <c r="MQZ353" s="268"/>
      <c r="MRA353" s="268"/>
      <c r="MRB353" s="268"/>
      <c r="MRC353" s="268"/>
      <c r="MRD353" s="268"/>
      <c r="MRE353" s="268"/>
      <c r="MRF353" s="268"/>
      <c r="MRG353" s="268"/>
      <c r="MRH353" s="268"/>
      <c r="MRI353" s="268"/>
      <c r="MRJ353" s="268"/>
      <c r="MRK353" s="268"/>
      <c r="MRL353" s="268"/>
      <c r="MRM353" s="268"/>
      <c r="MRN353" s="268"/>
      <c r="MRO353" s="268"/>
      <c r="MRP353" s="268"/>
      <c r="MRQ353" s="268"/>
      <c r="MRR353" s="268"/>
      <c r="MRS353" s="268"/>
      <c r="MRT353" s="268"/>
      <c r="MRU353" s="268"/>
      <c r="MRV353" s="268"/>
      <c r="MRW353" s="268"/>
      <c r="MRX353" s="268"/>
      <c r="MRY353" s="268"/>
      <c r="MRZ353" s="268"/>
      <c r="MSA353" s="268"/>
      <c r="MSB353" s="268"/>
      <c r="MSC353" s="268"/>
      <c r="MSD353" s="268"/>
      <c r="MSE353" s="268"/>
      <c r="MSF353" s="268"/>
      <c r="MSG353" s="268"/>
      <c r="MSH353" s="268"/>
      <c r="MSI353" s="268"/>
      <c r="MSJ353" s="268"/>
      <c r="MSK353" s="268"/>
      <c r="MSL353" s="268"/>
      <c r="MSM353" s="268"/>
      <c r="MSN353" s="268"/>
      <c r="MSO353" s="268"/>
      <c r="MSP353" s="268"/>
      <c r="MSQ353" s="268"/>
      <c r="MSR353" s="268"/>
      <c r="MSS353" s="268"/>
      <c r="MST353" s="268"/>
      <c r="MSU353" s="268"/>
      <c r="MSV353" s="268"/>
      <c r="MSW353" s="268"/>
      <c r="MSX353" s="268"/>
      <c r="MSY353" s="268"/>
      <c r="MSZ353" s="268"/>
      <c r="MTA353" s="268"/>
      <c r="MTB353" s="268"/>
      <c r="MTC353" s="268"/>
      <c r="MTD353" s="268"/>
      <c r="MTE353" s="268"/>
      <c r="MTF353" s="268"/>
      <c r="MTG353" s="268"/>
      <c r="MTH353" s="268"/>
      <c r="MTI353" s="268"/>
      <c r="MTJ353" s="268"/>
      <c r="MTK353" s="268"/>
      <c r="MTL353" s="268"/>
      <c r="MTM353" s="268"/>
      <c r="MTN353" s="268"/>
      <c r="MTO353" s="268"/>
      <c r="MTP353" s="268"/>
      <c r="MTQ353" s="268"/>
      <c r="MTR353" s="268"/>
      <c r="MTS353" s="268"/>
      <c r="MTT353" s="268"/>
      <c r="MTU353" s="268"/>
      <c r="MTV353" s="268"/>
      <c r="MTW353" s="268"/>
      <c r="MTX353" s="268"/>
      <c r="MTY353" s="268"/>
      <c r="MTZ353" s="268"/>
      <c r="MUA353" s="268"/>
      <c r="MUB353" s="268"/>
      <c r="MUC353" s="268"/>
      <c r="MUD353" s="268"/>
      <c r="MUE353" s="268"/>
      <c r="MUF353" s="268"/>
      <c r="MUG353" s="268"/>
      <c r="MUH353" s="268"/>
      <c r="MUI353" s="268"/>
      <c r="MUJ353" s="268"/>
      <c r="MUK353" s="268"/>
      <c r="MUL353" s="268"/>
      <c r="MUM353" s="268"/>
      <c r="MUN353" s="268"/>
      <c r="MUO353" s="268"/>
      <c r="MUP353" s="268"/>
      <c r="MUQ353" s="268"/>
      <c r="MUR353" s="268"/>
      <c r="MUS353" s="268"/>
      <c r="MUT353" s="268"/>
      <c r="MUU353" s="268"/>
      <c r="MUV353" s="268"/>
      <c r="MUW353" s="268"/>
      <c r="MUX353" s="268"/>
      <c r="MUY353" s="268"/>
      <c r="MUZ353" s="268"/>
      <c r="MVA353" s="268"/>
      <c r="MVB353" s="268"/>
      <c r="MVC353" s="268"/>
      <c r="MVD353" s="268"/>
      <c r="MVE353" s="268"/>
      <c r="MVF353" s="268"/>
      <c r="MVG353" s="268"/>
      <c r="MVH353" s="268"/>
      <c r="MVI353" s="268"/>
      <c r="MVJ353" s="268"/>
      <c r="MVK353" s="268"/>
      <c r="MVL353" s="268"/>
      <c r="MVM353" s="268"/>
      <c r="MVN353" s="268"/>
      <c r="MVO353" s="268"/>
      <c r="MVP353" s="268"/>
      <c r="MVQ353" s="268"/>
      <c r="MVR353" s="268"/>
      <c r="MVS353" s="268"/>
      <c r="MVT353" s="268"/>
      <c r="MVU353" s="268"/>
      <c r="MVV353" s="268"/>
      <c r="MVW353" s="268"/>
      <c r="MVX353" s="268"/>
      <c r="MVY353" s="268"/>
      <c r="MVZ353" s="268"/>
      <c r="MWA353" s="268"/>
      <c r="MWB353" s="268"/>
      <c r="MWC353" s="268"/>
      <c r="MWD353" s="268"/>
      <c r="MWE353" s="268"/>
      <c r="MWF353" s="268"/>
      <c r="MWG353" s="268"/>
      <c r="MWH353" s="268"/>
      <c r="MWI353" s="268"/>
      <c r="MWJ353" s="268"/>
      <c r="MWK353" s="268"/>
      <c r="MWL353" s="268"/>
      <c r="MWM353" s="268"/>
      <c r="MWN353" s="268"/>
      <c r="MWO353" s="268"/>
      <c r="MWP353" s="268"/>
      <c r="MWQ353" s="268"/>
      <c r="MWR353" s="268"/>
      <c r="MWS353" s="268"/>
      <c r="MWT353" s="268"/>
      <c r="MWU353" s="268"/>
      <c r="MWV353" s="268"/>
      <c r="MWW353" s="268"/>
      <c r="MWX353" s="268"/>
      <c r="MWY353" s="268"/>
      <c r="MWZ353" s="268"/>
      <c r="MXA353" s="268"/>
      <c r="MXB353" s="268"/>
      <c r="MXC353" s="268"/>
      <c r="MXD353" s="268"/>
      <c r="MXE353" s="268"/>
      <c r="MXF353" s="268"/>
      <c r="MXG353" s="268"/>
      <c r="MXH353" s="268"/>
      <c r="MXI353" s="268"/>
      <c r="MXJ353" s="268"/>
      <c r="MXK353" s="268"/>
      <c r="MXL353" s="268"/>
      <c r="MXM353" s="268"/>
      <c r="MXN353" s="268"/>
      <c r="MXO353" s="268"/>
      <c r="MXP353" s="268"/>
      <c r="MXQ353" s="268"/>
      <c r="MXR353" s="268"/>
      <c r="MXS353" s="268"/>
      <c r="MXT353" s="268"/>
      <c r="MXU353" s="268"/>
      <c r="MXV353" s="268"/>
      <c r="MXW353" s="268"/>
      <c r="MXX353" s="268"/>
      <c r="MXY353" s="268"/>
      <c r="MXZ353" s="268"/>
      <c r="MYA353" s="268"/>
      <c r="MYB353" s="268"/>
      <c r="MYC353" s="268"/>
      <c r="MYD353" s="268"/>
      <c r="MYE353" s="268"/>
      <c r="MYF353" s="268"/>
      <c r="MYG353" s="268"/>
      <c r="MYH353" s="268"/>
      <c r="MYI353" s="268"/>
      <c r="MYJ353" s="268"/>
      <c r="MYK353" s="268"/>
      <c r="MYL353" s="268"/>
      <c r="MYM353" s="268"/>
      <c r="MYN353" s="268"/>
      <c r="MYO353" s="268"/>
      <c r="MYP353" s="268"/>
      <c r="MYQ353" s="268"/>
      <c r="MYR353" s="268"/>
      <c r="MYS353" s="268"/>
      <c r="MYT353" s="268"/>
      <c r="MYU353" s="268"/>
      <c r="MYV353" s="268"/>
      <c r="MYW353" s="268"/>
      <c r="MYX353" s="268"/>
      <c r="MYY353" s="268"/>
      <c r="MZM353" s="268"/>
      <c r="MZN353" s="268"/>
      <c r="MZO353" s="268"/>
      <c r="NAC353" s="268"/>
      <c r="NAE353" s="268"/>
      <c r="NAF353" s="268"/>
      <c r="NAG353" s="268"/>
      <c r="NAH353" s="268"/>
      <c r="NAI353" s="268"/>
      <c r="NAJ353" s="268"/>
      <c r="NAK353" s="268"/>
      <c r="NAL353" s="268"/>
      <c r="NAM353" s="268"/>
      <c r="NAN353" s="268"/>
      <c r="NAO353" s="268"/>
      <c r="NAP353" s="268"/>
      <c r="NAQ353" s="268"/>
      <c r="NAR353" s="268"/>
      <c r="NAS353" s="268"/>
      <c r="NAT353" s="268"/>
      <c r="NAU353" s="268"/>
      <c r="NAV353" s="268"/>
      <c r="NAW353" s="268"/>
      <c r="NAX353" s="268"/>
      <c r="NAY353" s="268"/>
      <c r="NAZ353" s="268"/>
      <c r="NBA353" s="268"/>
      <c r="NBB353" s="268"/>
      <c r="NBC353" s="268"/>
      <c r="NBD353" s="268"/>
      <c r="NBE353" s="268"/>
      <c r="NBF353" s="268"/>
      <c r="NBG353" s="268"/>
      <c r="NBH353" s="268"/>
      <c r="NBI353" s="268"/>
      <c r="NBJ353" s="268"/>
      <c r="NBK353" s="268"/>
      <c r="NBL353" s="268"/>
      <c r="NBM353" s="268"/>
      <c r="NBN353" s="268"/>
      <c r="NBO353" s="268"/>
      <c r="NBP353" s="268"/>
      <c r="NBQ353" s="268"/>
      <c r="NBR353" s="268"/>
      <c r="NBS353" s="268"/>
      <c r="NBT353" s="268"/>
      <c r="NBU353" s="268"/>
      <c r="NBV353" s="268"/>
      <c r="NBW353" s="268"/>
      <c r="NBX353" s="268"/>
      <c r="NBY353" s="268"/>
      <c r="NBZ353" s="268"/>
      <c r="NCA353" s="268"/>
      <c r="NCB353" s="268"/>
      <c r="NCC353" s="268"/>
      <c r="NCD353" s="268"/>
      <c r="NCE353" s="268"/>
      <c r="NCF353" s="268"/>
      <c r="NCG353" s="268"/>
      <c r="NCH353" s="268"/>
      <c r="NCI353" s="268"/>
      <c r="NCJ353" s="268"/>
      <c r="NCK353" s="268"/>
      <c r="NCL353" s="268"/>
      <c r="NCM353" s="268"/>
      <c r="NCN353" s="268"/>
      <c r="NCO353" s="268"/>
      <c r="NCP353" s="268"/>
      <c r="NCQ353" s="268"/>
      <c r="NCR353" s="268"/>
      <c r="NCS353" s="268"/>
      <c r="NCT353" s="268"/>
      <c r="NCU353" s="268"/>
      <c r="NCV353" s="268"/>
      <c r="NCW353" s="268"/>
      <c r="NCX353" s="268"/>
      <c r="NCY353" s="268"/>
      <c r="NCZ353" s="268"/>
      <c r="NDA353" s="268"/>
      <c r="NDB353" s="268"/>
      <c r="NDC353" s="268"/>
      <c r="NDD353" s="268"/>
      <c r="NDE353" s="268"/>
      <c r="NDF353" s="268"/>
      <c r="NDG353" s="268"/>
      <c r="NDH353" s="268"/>
      <c r="NDI353" s="268"/>
      <c r="NDJ353" s="268"/>
      <c r="NDK353" s="268"/>
      <c r="NDL353" s="268"/>
      <c r="NDM353" s="268"/>
      <c r="NDN353" s="268"/>
      <c r="NDO353" s="268"/>
      <c r="NDP353" s="268"/>
      <c r="NDQ353" s="268"/>
      <c r="NDR353" s="268"/>
      <c r="NDS353" s="268"/>
      <c r="NDT353" s="268"/>
      <c r="NDU353" s="268"/>
      <c r="NDV353" s="268"/>
      <c r="NDW353" s="268"/>
      <c r="NDX353" s="268"/>
      <c r="NDY353" s="268"/>
      <c r="NDZ353" s="268"/>
      <c r="NEA353" s="268"/>
      <c r="NEB353" s="268"/>
      <c r="NEC353" s="268"/>
      <c r="NED353" s="268"/>
      <c r="NEE353" s="268"/>
      <c r="NEF353" s="268"/>
      <c r="NEG353" s="268"/>
      <c r="NEH353" s="268"/>
      <c r="NEI353" s="268"/>
      <c r="NEJ353" s="268"/>
      <c r="NEK353" s="268"/>
      <c r="NEL353" s="268"/>
      <c r="NEM353" s="268"/>
      <c r="NEN353" s="268"/>
      <c r="NEO353" s="268"/>
      <c r="NEP353" s="268"/>
      <c r="NEQ353" s="268"/>
      <c r="NER353" s="268"/>
      <c r="NES353" s="268"/>
      <c r="NET353" s="268"/>
      <c r="NEU353" s="268"/>
      <c r="NEV353" s="268"/>
      <c r="NEW353" s="268"/>
      <c r="NEX353" s="268"/>
      <c r="NEY353" s="268"/>
      <c r="NEZ353" s="268"/>
      <c r="NFA353" s="268"/>
      <c r="NFB353" s="268"/>
      <c r="NFC353" s="268"/>
      <c r="NFD353" s="268"/>
      <c r="NFE353" s="268"/>
      <c r="NFF353" s="268"/>
      <c r="NFG353" s="268"/>
      <c r="NFH353" s="268"/>
      <c r="NFI353" s="268"/>
      <c r="NFJ353" s="268"/>
      <c r="NFK353" s="268"/>
      <c r="NFL353" s="268"/>
      <c r="NFM353" s="268"/>
      <c r="NFN353" s="268"/>
      <c r="NFO353" s="268"/>
      <c r="NFP353" s="268"/>
      <c r="NFQ353" s="268"/>
      <c r="NFR353" s="268"/>
      <c r="NFS353" s="268"/>
      <c r="NFT353" s="268"/>
      <c r="NFU353" s="268"/>
      <c r="NFV353" s="268"/>
      <c r="NFW353" s="268"/>
      <c r="NFX353" s="268"/>
      <c r="NFY353" s="268"/>
      <c r="NFZ353" s="268"/>
      <c r="NGA353" s="268"/>
      <c r="NGB353" s="268"/>
      <c r="NGC353" s="268"/>
      <c r="NGD353" s="268"/>
      <c r="NGE353" s="268"/>
      <c r="NGF353" s="268"/>
      <c r="NGG353" s="268"/>
      <c r="NGH353" s="268"/>
      <c r="NGI353" s="268"/>
      <c r="NGJ353" s="268"/>
      <c r="NGK353" s="268"/>
      <c r="NGL353" s="268"/>
      <c r="NGM353" s="268"/>
      <c r="NGN353" s="268"/>
      <c r="NGO353" s="268"/>
      <c r="NGP353" s="268"/>
      <c r="NGQ353" s="268"/>
      <c r="NGR353" s="268"/>
      <c r="NGS353" s="268"/>
      <c r="NGT353" s="268"/>
      <c r="NGU353" s="268"/>
      <c r="NGV353" s="268"/>
      <c r="NGW353" s="268"/>
      <c r="NGX353" s="268"/>
      <c r="NGY353" s="268"/>
      <c r="NGZ353" s="268"/>
      <c r="NHA353" s="268"/>
      <c r="NHB353" s="268"/>
      <c r="NHC353" s="268"/>
      <c r="NHD353" s="268"/>
      <c r="NHE353" s="268"/>
      <c r="NHF353" s="268"/>
      <c r="NHG353" s="268"/>
      <c r="NHH353" s="268"/>
      <c r="NHI353" s="268"/>
      <c r="NHJ353" s="268"/>
      <c r="NHK353" s="268"/>
      <c r="NHL353" s="268"/>
      <c r="NHM353" s="268"/>
      <c r="NHN353" s="268"/>
      <c r="NHO353" s="268"/>
      <c r="NHP353" s="268"/>
      <c r="NHQ353" s="268"/>
      <c r="NHR353" s="268"/>
      <c r="NHS353" s="268"/>
      <c r="NHT353" s="268"/>
      <c r="NHU353" s="268"/>
      <c r="NHV353" s="268"/>
      <c r="NHW353" s="268"/>
      <c r="NHX353" s="268"/>
      <c r="NHY353" s="268"/>
      <c r="NHZ353" s="268"/>
      <c r="NIA353" s="268"/>
      <c r="NIB353" s="268"/>
      <c r="NIC353" s="268"/>
      <c r="NID353" s="268"/>
      <c r="NIE353" s="268"/>
      <c r="NIF353" s="268"/>
      <c r="NIG353" s="268"/>
      <c r="NIH353" s="268"/>
      <c r="NII353" s="268"/>
      <c r="NIJ353" s="268"/>
      <c r="NIK353" s="268"/>
      <c r="NIL353" s="268"/>
      <c r="NIM353" s="268"/>
      <c r="NIN353" s="268"/>
      <c r="NIO353" s="268"/>
      <c r="NIP353" s="268"/>
      <c r="NIQ353" s="268"/>
      <c r="NIR353" s="268"/>
      <c r="NIS353" s="268"/>
      <c r="NIT353" s="268"/>
      <c r="NIU353" s="268"/>
      <c r="NJI353" s="268"/>
      <c r="NJJ353" s="268"/>
      <c r="NJK353" s="268"/>
      <c r="NJY353" s="268"/>
      <c r="NKA353" s="268"/>
      <c r="NKB353" s="268"/>
      <c r="NKC353" s="268"/>
      <c r="NKD353" s="268"/>
      <c r="NKE353" s="268"/>
      <c r="NKF353" s="268"/>
      <c r="NKG353" s="268"/>
      <c r="NKH353" s="268"/>
      <c r="NKI353" s="268"/>
      <c r="NKJ353" s="268"/>
      <c r="NKK353" s="268"/>
      <c r="NKL353" s="268"/>
      <c r="NKM353" s="268"/>
      <c r="NKN353" s="268"/>
      <c r="NKO353" s="268"/>
      <c r="NKP353" s="268"/>
      <c r="NKQ353" s="268"/>
      <c r="NKR353" s="268"/>
      <c r="NKS353" s="268"/>
      <c r="NKT353" s="268"/>
      <c r="NKU353" s="268"/>
      <c r="NKV353" s="268"/>
      <c r="NKW353" s="268"/>
      <c r="NKX353" s="268"/>
      <c r="NKY353" s="268"/>
      <c r="NKZ353" s="268"/>
      <c r="NLA353" s="268"/>
      <c r="NLB353" s="268"/>
      <c r="NLC353" s="268"/>
      <c r="NLD353" s="268"/>
      <c r="NLE353" s="268"/>
      <c r="NLF353" s="268"/>
      <c r="NLG353" s="268"/>
      <c r="NLH353" s="268"/>
      <c r="NLI353" s="268"/>
      <c r="NLJ353" s="268"/>
      <c r="NLK353" s="268"/>
      <c r="NLL353" s="268"/>
      <c r="NLM353" s="268"/>
      <c r="NLN353" s="268"/>
      <c r="NLO353" s="268"/>
      <c r="NLP353" s="268"/>
      <c r="NLQ353" s="268"/>
      <c r="NLR353" s="268"/>
      <c r="NLS353" s="268"/>
      <c r="NLT353" s="268"/>
      <c r="NLU353" s="268"/>
      <c r="NLV353" s="268"/>
      <c r="NLW353" s="268"/>
      <c r="NLX353" s="268"/>
      <c r="NLY353" s="268"/>
      <c r="NLZ353" s="268"/>
      <c r="NMA353" s="268"/>
      <c r="NMB353" s="268"/>
      <c r="NMC353" s="268"/>
      <c r="NMD353" s="268"/>
      <c r="NME353" s="268"/>
      <c r="NMF353" s="268"/>
      <c r="NMG353" s="268"/>
      <c r="NMH353" s="268"/>
      <c r="NMI353" s="268"/>
      <c r="NMJ353" s="268"/>
      <c r="NMK353" s="268"/>
      <c r="NML353" s="268"/>
      <c r="NMM353" s="268"/>
      <c r="NMN353" s="268"/>
      <c r="NMO353" s="268"/>
      <c r="NMP353" s="268"/>
      <c r="NMQ353" s="268"/>
      <c r="NMR353" s="268"/>
      <c r="NMS353" s="268"/>
      <c r="NMT353" s="268"/>
      <c r="NMU353" s="268"/>
      <c r="NMV353" s="268"/>
      <c r="NMW353" s="268"/>
      <c r="NMX353" s="268"/>
      <c r="NMY353" s="268"/>
      <c r="NMZ353" s="268"/>
      <c r="NNA353" s="268"/>
      <c r="NNB353" s="268"/>
      <c r="NNC353" s="268"/>
      <c r="NND353" s="268"/>
      <c r="NNE353" s="268"/>
      <c r="NNF353" s="268"/>
      <c r="NNG353" s="268"/>
      <c r="NNH353" s="268"/>
      <c r="NNI353" s="268"/>
      <c r="NNJ353" s="268"/>
      <c r="NNK353" s="268"/>
      <c r="NNL353" s="268"/>
      <c r="NNM353" s="268"/>
      <c r="NNN353" s="268"/>
      <c r="NNO353" s="268"/>
      <c r="NNP353" s="268"/>
      <c r="NNQ353" s="268"/>
      <c r="NNR353" s="268"/>
      <c r="NNS353" s="268"/>
      <c r="NNT353" s="268"/>
      <c r="NNU353" s="268"/>
      <c r="NNV353" s="268"/>
      <c r="NNW353" s="268"/>
      <c r="NNX353" s="268"/>
      <c r="NNY353" s="268"/>
      <c r="NNZ353" s="268"/>
      <c r="NOA353" s="268"/>
      <c r="NOB353" s="268"/>
      <c r="NOC353" s="268"/>
      <c r="NOD353" s="268"/>
      <c r="NOE353" s="268"/>
      <c r="NOF353" s="268"/>
      <c r="NOG353" s="268"/>
      <c r="NOH353" s="268"/>
      <c r="NOI353" s="268"/>
      <c r="NOJ353" s="268"/>
      <c r="NOK353" s="268"/>
      <c r="NOL353" s="268"/>
      <c r="NOM353" s="268"/>
      <c r="NON353" s="268"/>
      <c r="NOO353" s="268"/>
      <c r="NOP353" s="268"/>
      <c r="NOQ353" s="268"/>
      <c r="NOR353" s="268"/>
      <c r="NOS353" s="268"/>
      <c r="NOT353" s="268"/>
      <c r="NOU353" s="268"/>
      <c r="NOV353" s="268"/>
      <c r="NOW353" s="268"/>
      <c r="NOX353" s="268"/>
      <c r="NOY353" s="268"/>
      <c r="NOZ353" s="268"/>
      <c r="NPA353" s="268"/>
      <c r="NPB353" s="268"/>
      <c r="NPC353" s="268"/>
      <c r="NPD353" s="268"/>
      <c r="NPE353" s="268"/>
      <c r="NPF353" s="268"/>
      <c r="NPG353" s="268"/>
      <c r="NPH353" s="268"/>
      <c r="NPI353" s="268"/>
      <c r="NPJ353" s="268"/>
      <c r="NPK353" s="268"/>
      <c r="NPL353" s="268"/>
      <c r="NPM353" s="268"/>
      <c r="NPN353" s="268"/>
      <c r="NPO353" s="268"/>
      <c r="NPP353" s="268"/>
      <c r="NPQ353" s="268"/>
      <c r="NPR353" s="268"/>
      <c r="NPS353" s="268"/>
      <c r="NPT353" s="268"/>
      <c r="NPU353" s="268"/>
      <c r="NPV353" s="268"/>
      <c r="NPW353" s="268"/>
      <c r="NPX353" s="268"/>
      <c r="NPY353" s="268"/>
      <c r="NPZ353" s="268"/>
      <c r="NQA353" s="268"/>
      <c r="NQB353" s="268"/>
      <c r="NQC353" s="268"/>
      <c r="NQD353" s="268"/>
      <c r="NQE353" s="268"/>
      <c r="NQF353" s="268"/>
      <c r="NQG353" s="268"/>
      <c r="NQH353" s="268"/>
      <c r="NQI353" s="268"/>
      <c r="NQJ353" s="268"/>
      <c r="NQK353" s="268"/>
      <c r="NQL353" s="268"/>
      <c r="NQM353" s="268"/>
      <c r="NQN353" s="268"/>
      <c r="NQO353" s="268"/>
      <c r="NQP353" s="268"/>
      <c r="NQQ353" s="268"/>
      <c r="NQR353" s="268"/>
      <c r="NQS353" s="268"/>
      <c r="NQT353" s="268"/>
      <c r="NQU353" s="268"/>
      <c r="NQV353" s="268"/>
      <c r="NQW353" s="268"/>
      <c r="NQX353" s="268"/>
      <c r="NQY353" s="268"/>
      <c r="NQZ353" s="268"/>
      <c r="NRA353" s="268"/>
      <c r="NRB353" s="268"/>
      <c r="NRC353" s="268"/>
      <c r="NRD353" s="268"/>
      <c r="NRE353" s="268"/>
      <c r="NRF353" s="268"/>
      <c r="NRG353" s="268"/>
      <c r="NRH353" s="268"/>
      <c r="NRI353" s="268"/>
      <c r="NRJ353" s="268"/>
      <c r="NRK353" s="268"/>
      <c r="NRL353" s="268"/>
      <c r="NRM353" s="268"/>
      <c r="NRN353" s="268"/>
      <c r="NRO353" s="268"/>
      <c r="NRP353" s="268"/>
      <c r="NRQ353" s="268"/>
      <c r="NRR353" s="268"/>
      <c r="NRS353" s="268"/>
      <c r="NRT353" s="268"/>
      <c r="NRU353" s="268"/>
      <c r="NRV353" s="268"/>
      <c r="NRW353" s="268"/>
      <c r="NRX353" s="268"/>
      <c r="NRY353" s="268"/>
      <c r="NRZ353" s="268"/>
      <c r="NSA353" s="268"/>
      <c r="NSB353" s="268"/>
      <c r="NSC353" s="268"/>
      <c r="NSD353" s="268"/>
      <c r="NSE353" s="268"/>
      <c r="NSF353" s="268"/>
      <c r="NSG353" s="268"/>
      <c r="NSH353" s="268"/>
      <c r="NSI353" s="268"/>
      <c r="NSJ353" s="268"/>
      <c r="NSK353" s="268"/>
      <c r="NSL353" s="268"/>
      <c r="NSM353" s="268"/>
      <c r="NSN353" s="268"/>
      <c r="NSO353" s="268"/>
      <c r="NSP353" s="268"/>
      <c r="NSQ353" s="268"/>
      <c r="NTE353" s="268"/>
      <c r="NTF353" s="268"/>
      <c r="NTG353" s="268"/>
      <c r="NTU353" s="268"/>
      <c r="NTW353" s="268"/>
      <c r="NTX353" s="268"/>
      <c r="NTY353" s="268"/>
      <c r="NTZ353" s="268"/>
      <c r="NUA353" s="268"/>
      <c r="NUB353" s="268"/>
      <c r="NUC353" s="268"/>
      <c r="NUD353" s="268"/>
      <c r="NUE353" s="268"/>
      <c r="NUF353" s="268"/>
      <c r="NUG353" s="268"/>
      <c r="NUH353" s="268"/>
      <c r="NUI353" s="268"/>
      <c r="NUJ353" s="268"/>
      <c r="NUK353" s="268"/>
      <c r="NUL353" s="268"/>
      <c r="NUM353" s="268"/>
      <c r="NUN353" s="268"/>
      <c r="NUO353" s="268"/>
      <c r="NUP353" s="268"/>
      <c r="NUQ353" s="268"/>
      <c r="NUR353" s="268"/>
      <c r="NUS353" s="268"/>
      <c r="NUT353" s="268"/>
      <c r="NUU353" s="268"/>
      <c r="NUV353" s="268"/>
      <c r="NUW353" s="268"/>
      <c r="NUX353" s="268"/>
      <c r="NUY353" s="268"/>
      <c r="NUZ353" s="268"/>
      <c r="NVA353" s="268"/>
      <c r="NVB353" s="268"/>
      <c r="NVC353" s="268"/>
      <c r="NVD353" s="268"/>
      <c r="NVE353" s="268"/>
      <c r="NVF353" s="268"/>
      <c r="NVG353" s="268"/>
      <c r="NVH353" s="268"/>
      <c r="NVI353" s="268"/>
      <c r="NVJ353" s="268"/>
      <c r="NVK353" s="268"/>
      <c r="NVL353" s="268"/>
      <c r="NVM353" s="268"/>
      <c r="NVN353" s="268"/>
      <c r="NVO353" s="268"/>
      <c r="NVP353" s="268"/>
      <c r="NVQ353" s="268"/>
      <c r="NVR353" s="268"/>
      <c r="NVS353" s="268"/>
      <c r="NVT353" s="268"/>
      <c r="NVU353" s="268"/>
      <c r="NVV353" s="268"/>
      <c r="NVW353" s="268"/>
      <c r="NVX353" s="268"/>
      <c r="NVY353" s="268"/>
      <c r="NVZ353" s="268"/>
      <c r="NWA353" s="268"/>
      <c r="NWB353" s="268"/>
      <c r="NWC353" s="268"/>
      <c r="NWD353" s="268"/>
      <c r="NWE353" s="268"/>
      <c r="NWF353" s="268"/>
      <c r="NWG353" s="268"/>
      <c r="NWH353" s="268"/>
      <c r="NWI353" s="268"/>
      <c r="NWJ353" s="268"/>
      <c r="NWK353" s="268"/>
      <c r="NWL353" s="268"/>
      <c r="NWM353" s="268"/>
      <c r="NWN353" s="268"/>
      <c r="NWO353" s="268"/>
      <c r="NWP353" s="268"/>
      <c r="NWQ353" s="268"/>
      <c r="NWR353" s="268"/>
      <c r="NWS353" s="268"/>
      <c r="NWT353" s="268"/>
      <c r="NWU353" s="268"/>
      <c r="NWV353" s="268"/>
      <c r="NWW353" s="268"/>
      <c r="NWX353" s="268"/>
      <c r="NWY353" s="268"/>
      <c r="NWZ353" s="268"/>
      <c r="NXA353" s="268"/>
      <c r="NXB353" s="268"/>
      <c r="NXC353" s="268"/>
      <c r="NXD353" s="268"/>
      <c r="NXE353" s="268"/>
      <c r="NXF353" s="268"/>
      <c r="NXG353" s="268"/>
      <c r="NXH353" s="268"/>
      <c r="NXI353" s="268"/>
      <c r="NXJ353" s="268"/>
      <c r="NXK353" s="268"/>
      <c r="NXL353" s="268"/>
      <c r="NXM353" s="268"/>
      <c r="NXN353" s="268"/>
      <c r="NXO353" s="268"/>
      <c r="NXP353" s="268"/>
      <c r="NXQ353" s="268"/>
      <c r="NXR353" s="268"/>
      <c r="NXS353" s="268"/>
      <c r="NXT353" s="268"/>
      <c r="NXU353" s="268"/>
      <c r="NXV353" s="268"/>
      <c r="NXW353" s="268"/>
      <c r="NXX353" s="268"/>
      <c r="NXY353" s="268"/>
      <c r="NXZ353" s="268"/>
      <c r="NYA353" s="268"/>
      <c r="NYB353" s="268"/>
      <c r="NYC353" s="268"/>
      <c r="NYD353" s="268"/>
      <c r="NYE353" s="268"/>
      <c r="NYF353" s="268"/>
      <c r="NYG353" s="268"/>
      <c r="NYH353" s="268"/>
      <c r="NYI353" s="268"/>
      <c r="NYJ353" s="268"/>
      <c r="NYK353" s="268"/>
      <c r="NYL353" s="268"/>
      <c r="NYM353" s="268"/>
      <c r="NYN353" s="268"/>
      <c r="NYO353" s="268"/>
      <c r="NYP353" s="268"/>
      <c r="NYQ353" s="268"/>
      <c r="NYR353" s="268"/>
      <c r="NYS353" s="268"/>
      <c r="NYT353" s="268"/>
      <c r="NYU353" s="268"/>
      <c r="NYV353" s="268"/>
      <c r="NYW353" s="268"/>
      <c r="NYX353" s="268"/>
      <c r="NYY353" s="268"/>
      <c r="NYZ353" s="268"/>
      <c r="NZA353" s="268"/>
      <c r="NZB353" s="268"/>
      <c r="NZC353" s="268"/>
      <c r="NZD353" s="268"/>
      <c r="NZE353" s="268"/>
      <c r="NZF353" s="268"/>
      <c r="NZG353" s="268"/>
      <c r="NZH353" s="268"/>
      <c r="NZI353" s="268"/>
      <c r="NZJ353" s="268"/>
      <c r="NZK353" s="268"/>
      <c r="NZL353" s="268"/>
      <c r="NZM353" s="268"/>
      <c r="NZN353" s="268"/>
      <c r="NZO353" s="268"/>
      <c r="NZP353" s="268"/>
      <c r="NZQ353" s="268"/>
      <c r="NZR353" s="268"/>
      <c r="NZS353" s="268"/>
      <c r="NZT353" s="268"/>
      <c r="NZU353" s="268"/>
      <c r="NZV353" s="268"/>
      <c r="NZW353" s="268"/>
      <c r="NZX353" s="268"/>
      <c r="NZY353" s="268"/>
      <c r="NZZ353" s="268"/>
      <c r="OAA353" s="268"/>
      <c r="OAB353" s="268"/>
      <c r="OAC353" s="268"/>
      <c r="OAD353" s="268"/>
      <c r="OAE353" s="268"/>
      <c r="OAF353" s="268"/>
      <c r="OAG353" s="268"/>
      <c r="OAH353" s="268"/>
      <c r="OAI353" s="268"/>
      <c r="OAJ353" s="268"/>
      <c r="OAK353" s="268"/>
      <c r="OAL353" s="268"/>
      <c r="OAM353" s="268"/>
      <c r="OAN353" s="268"/>
      <c r="OAO353" s="268"/>
      <c r="OAP353" s="268"/>
      <c r="OAQ353" s="268"/>
      <c r="OAR353" s="268"/>
      <c r="OAS353" s="268"/>
      <c r="OAT353" s="268"/>
      <c r="OAU353" s="268"/>
      <c r="OAV353" s="268"/>
      <c r="OAW353" s="268"/>
      <c r="OAX353" s="268"/>
      <c r="OAY353" s="268"/>
      <c r="OAZ353" s="268"/>
      <c r="OBA353" s="268"/>
      <c r="OBB353" s="268"/>
      <c r="OBC353" s="268"/>
      <c r="OBD353" s="268"/>
      <c r="OBE353" s="268"/>
      <c r="OBF353" s="268"/>
      <c r="OBG353" s="268"/>
      <c r="OBH353" s="268"/>
      <c r="OBI353" s="268"/>
      <c r="OBJ353" s="268"/>
      <c r="OBK353" s="268"/>
      <c r="OBL353" s="268"/>
      <c r="OBM353" s="268"/>
      <c r="OBN353" s="268"/>
      <c r="OBO353" s="268"/>
      <c r="OBP353" s="268"/>
      <c r="OBQ353" s="268"/>
      <c r="OBR353" s="268"/>
      <c r="OBS353" s="268"/>
      <c r="OBT353" s="268"/>
      <c r="OBU353" s="268"/>
      <c r="OBV353" s="268"/>
      <c r="OBW353" s="268"/>
      <c r="OBX353" s="268"/>
      <c r="OBY353" s="268"/>
      <c r="OBZ353" s="268"/>
      <c r="OCA353" s="268"/>
      <c r="OCB353" s="268"/>
      <c r="OCC353" s="268"/>
      <c r="OCD353" s="268"/>
      <c r="OCE353" s="268"/>
      <c r="OCF353" s="268"/>
      <c r="OCG353" s="268"/>
      <c r="OCH353" s="268"/>
      <c r="OCI353" s="268"/>
      <c r="OCJ353" s="268"/>
      <c r="OCK353" s="268"/>
      <c r="OCL353" s="268"/>
      <c r="OCM353" s="268"/>
      <c r="ODA353" s="268"/>
      <c r="ODB353" s="268"/>
      <c r="ODC353" s="268"/>
      <c r="ODQ353" s="268"/>
      <c r="ODS353" s="268"/>
      <c r="ODT353" s="268"/>
      <c r="ODU353" s="268"/>
      <c r="ODV353" s="268"/>
      <c r="ODW353" s="268"/>
      <c r="ODX353" s="268"/>
      <c r="ODY353" s="268"/>
      <c r="ODZ353" s="268"/>
      <c r="OEA353" s="268"/>
      <c r="OEB353" s="268"/>
      <c r="OEC353" s="268"/>
      <c r="OED353" s="268"/>
      <c r="OEE353" s="268"/>
      <c r="OEF353" s="268"/>
      <c r="OEG353" s="268"/>
      <c r="OEH353" s="268"/>
      <c r="OEI353" s="268"/>
      <c r="OEJ353" s="268"/>
      <c r="OEK353" s="268"/>
      <c r="OEL353" s="268"/>
      <c r="OEM353" s="268"/>
      <c r="OEN353" s="268"/>
      <c r="OEO353" s="268"/>
      <c r="OEP353" s="268"/>
      <c r="OEQ353" s="268"/>
      <c r="OER353" s="268"/>
      <c r="OES353" s="268"/>
      <c r="OET353" s="268"/>
      <c r="OEU353" s="268"/>
      <c r="OEV353" s="268"/>
      <c r="OEW353" s="268"/>
      <c r="OEX353" s="268"/>
      <c r="OEY353" s="268"/>
      <c r="OEZ353" s="268"/>
      <c r="OFA353" s="268"/>
      <c r="OFB353" s="268"/>
      <c r="OFC353" s="268"/>
      <c r="OFD353" s="268"/>
      <c r="OFE353" s="268"/>
      <c r="OFF353" s="268"/>
      <c r="OFG353" s="268"/>
      <c r="OFH353" s="268"/>
      <c r="OFI353" s="268"/>
      <c r="OFJ353" s="268"/>
      <c r="OFK353" s="268"/>
      <c r="OFL353" s="268"/>
      <c r="OFM353" s="268"/>
      <c r="OFN353" s="268"/>
      <c r="OFO353" s="268"/>
      <c r="OFP353" s="268"/>
      <c r="OFQ353" s="268"/>
      <c r="OFR353" s="268"/>
      <c r="OFS353" s="268"/>
      <c r="OFT353" s="268"/>
      <c r="OFU353" s="268"/>
      <c r="OFV353" s="268"/>
      <c r="OFW353" s="268"/>
      <c r="OFX353" s="268"/>
      <c r="OFY353" s="268"/>
      <c r="OFZ353" s="268"/>
      <c r="OGA353" s="268"/>
      <c r="OGB353" s="268"/>
      <c r="OGC353" s="268"/>
      <c r="OGD353" s="268"/>
      <c r="OGE353" s="268"/>
      <c r="OGF353" s="268"/>
      <c r="OGG353" s="268"/>
      <c r="OGH353" s="268"/>
      <c r="OGI353" s="268"/>
      <c r="OGJ353" s="268"/>
      <c r="OGK353" s="268"/>
      <c r="OGL353" s="268"/>
      <c r="OGM353" s="268"/>
      <c r="OGN353" s="268"/>
      <c r="OGO353" s="268"/>
      <c r="OGP353" s="268"/>
      <c r="OGQ353" s="268"/>
      <c r="OGR353" s="268"/>
      <c r="OGS353" s="268"/>
      <c r="OGT353" s="268"/>
      <c r="OGU353" s="268"/>
      <c r="OGV353" s="268"/>
      <c r="OGW353" s="268"/>
      <c r="OGX353" s="268"/>
      <c r="OGY353" s="268"/>
      <c r="OGZ353" s="268"/>
      <c r="OHA353" s="268"/>
      <c r="OHB353" s="268"/>
      <c r="OHC353" s="268"/>
      <c r="OHD353" s="268"/>
      <c r="OHE353" s="268"/>
      <c r="OHF353" s="268"/>
      <c r="OHG353" s="268"/>
      <c r="OHH353" s="268"/>
      <c r="OHI353" s="268"/>
      <c r="OHJ353" s="268"/>
      <c r="OHK353" s="268"/>
      <c r="OHL353" s="268"/>
      <c r="OHM353" s="268"/>
      <c r="OHN353" s="268"/>
      <c r="OHO353" s="268"/>
      <c r="OHP353" s="268"/>
      <c r="OHQ353" s="268"/>
      <c r="OHR353" s="268"/>
      <c r="OHS353" s="268"/>
      <c r="OHT353" s="268"/>
      <c r="OHU353" s="268"/>
      <c r="OHV353" s="268"/>
      <c r="OHW353" s="268"/>
      <c r="OHX353" s="268"/>
      <c r="OHY353" s="268"/>
      <c r="OHZ353" s="268"/>
      <c r="OIA353" s="268"/>
      <c r="OIB353" s="268"/>
      <c r="OIC353" s="268"/>
      <c r="OID353" s="268"/>
      <c r="OIE353" s="268"/>
      <c r="OIF353" s="268"/>
      <c r="OIG353" s="268"/>
      <c r="OIH353" s="268"/>
      <c r="OII353" s="268"/>
      <c r="OIJ353" s="268"/>
      <c r="OIK353" s="268"/>
      <c r="OIL353" s="268"/>
      <c r="OIM353" s="268"/>
      <c r="OIN353" s="268"/>
      <c r="OIO353" s="268"/>
      <c r="OIP353" s="268"/>
      <c r="OIQ353" s="268"/>
      <c r="OIR353" s="268"/>
      <c r="OIS353" s="268"/>
      <c r="OIT353" s="268"/>
      <c r="OIU353" s="268"/>
      <c r="OIV353" s="268"/>
      <c r="OIW353" s="268"/>
      <c r="OIX353" s="268"/>
      <c r="OIY353" s="268"/>
      <c r="OIZ353" s="268"/>
      <c r="OJA353" s="268"/>
      <c r="OJB353" s="268"/>
      <c r="OJC353" s="268"/>
      <c r="OJD353" s="268"/>
      <c r="OJE353" s="268"/>
      <c r="OJF353" s="268"/>
      <c r="OJG353" s="268"/>
      <c r="OJH353" s="268"/>
      <c r="OJI353" s="268"/>
      <c r="OJJ353" s="268"/>
      <c r="OJK353" s="268"/>
      <c r="OJL353" s="268"/>
      <c r="OJM353" s="268"/>
      <c r="OJN353" s="268"/>
      <c r="OJO353" s="268"/>
      <c r="OJP353" s="268"/>
      <c r="OJQ353" s="268"/>
      <c r="OJR353" s="268"/>
      <c r="OJS353" s="268"/>
      <c r="OJT353" s="268"/>
      <c r="OJU353" s="268"/>
      <c r="OJV353" s="268"/>
      <c r="OJW353" s="268"/>
      <c r="OJX353" s="268"/>
      <c r="OJY353" s="268"/>
      <c r="OJZ353" s="268"/>
      <c r="OKA353" s="268"/>
      <c r="OKB353" s="268"/>
      <c r="OKC353" s="268"/>
      <c r="OKD353" s="268"/>
      <c r="OKE353" s="268"/>
      <c r="OKF353" s="268"/>
      <c r="OKG353" s="268"/>
      <c r="OKH353" s="268"/>
      <c r="OKI353" s="268"/>
      <c r="OKJ353" s="268"/>
      <c r="OKK353" s="268"/>
      <c r="OKL353" s="268"/>
      <c r="OKM353" s="268"/>
      <c r="OKN353" s="268"/>
      <c r="OKO353" s="268"/>
      <c r="OKP353" s="268"/>
      <c r="OKQ353" s="268"/>
      <c r="OKR353" s="268"/>
      <c r="OKS353" s="268"/>
      <c r="OKT353" s="268"/>
      <c r="OKU353" s="268"/>
      <c r="OKV353" s="268"/>
      <c r="OKW353" s="268"/>
      <c r="OKX353" s="268"/>
      <c r="OKY353" s="268"/>
      <c r="OKZ353" s="268"/>
      <c r="OLA353" s="268"/>
      <c r="OLB353" s="268"/>
      <c r="OLC353" s="268"/>
      <c r="OLD353" s="268"/>
      <c r="OLE353" s="268"/>
      <c r="OLF353" s="268"/>
      <c r="OLG353" s="268"/>
      <c r="OLH353" s="268"/>
      <c r="OLI353" s="268"/>
      <c r="OLJ353" s="268"/>
      <c r="OLK353" s="268"/>
      <c r="OLL353" s="268"/>
      <c r="OLM353" s="268"/>
      <c r="OLN353" s="268"/>
      <c r="OLO353" s="268"/>
      <c r="OLP353" s="268"/>
      <c r="OLQ353" s="268"/>
      <c r="OLR353" s="268"/>
      <c r="OLS353" s="268"/>
      <c r="OLT353" s="268"/>
      <c r="OLU353" s="268"/>
      <c r="OLV353" s="268"/>
      <c r="OLW353" s="268"/>
      <c r="OLX353" s="268"/>
      <c r="OLY353" s="268"/>
      <c r="OLZ353" s="268"/>
      <c r="OMA353" s="268"/>
      <c r="OMB353" s="268"/>
      <c r="OMC353" s="268"/>
      <c r="OMD353" s="268"/>
      <c r="OME353" s="268"/>
      <c r="OMF353" s="268"/>
      <c r="OMG353" s="268"/>
      <c r="OMH353" s="268"/>
      <c r="OMI353" s="268"/>
      <c r="OMW353" s="268"/>
      <c r="OMX353" s="268"/>
      <c r="OMY353" s="268"/>
      <c r="ONM353" s="268"/>
      <c r="ONO353" s="268"/>
      <c r="ONP353" s="268"/>
      <c r="ONQ353" s="268"/>
      <c r="ONR353" s="268"/>
      <c r="ONS353" s="268"/>
      <c r="ONT353" s="268"/>
      <c r="ONU353" s="268"/>
      <c r="ONV353" s="268"/>
      <c r="ONW353" s="268"/>
      <c r="ONX353" s="268"/>
      <c r="ONY353" s="268"/>
      <c r="ONZ353" s="268"/>
      <c r="OOA353" s="268"/>
      <c r="OOB353" s="268"/>
      <c r="OOC353" s="268"/>
      <c r="OOD353" s="268"/>
      <c r="OOE353" s="268"/>
      <c r="OOF353" s="268"/>
      <c r="OOG353" s="268"/>
      <c r="OOH353" s="268"/>
      <c r="OOI353" s="268"/>
      <c r="OOJ353" s="268"/>
      <c r="OOK353" s="268"/>
      <c r="OOL353" s="268"/>
      <c r="OOM353" s="268"/>
      <c r="OON353" s="268"/>
      <c r="OOO353" s="268"/>
      <c r="OOP353" s="268"/>
      <c r="OOQ353" s="268"/>
      <c r="OOR353" s="268"/>
      <c r="OOS353" s="268"/>
      <c r="OOT353" s="268"/>
      <c r="OOU353" s="268"/>
      <c r="OOV353" s="268"/>
      <c r="OOW353" s="268"/>
      <c r="OOX353" s="268"/>
      <c r="OOY353" s="268"/>
      <c r="OOZ353" s="268"/>
      <c r="OPA353" s="268"/>
      <c r="OPB353" s="268"/>
      <c r="OPC353" s="268"/>
      <c r="OPD353" s="268"/>
      <c r="OPE353" s="268"/>
      <c r="OPF353" s="268"/>
      <c r="OPG353" s="268"/>
      <c r="OPH353" s="268"/>
      <c r="OPI353" s="268"/>
      <c r="OPJ353" s="268"/>
      <c r="OPK353" s="268"/>
      <c r="OPL353" s="268"/>
      <c r="OPM353" s="268"/>
      <c r="OPN353" s="268"/>
      <c r="OPO353" s="268"/>
      <c r="OPP353" s="268"/>
      <c r="OPQ353" s="268"/>
      <c r="OPR353" s="268"/>
      <c r="OPS353" s="268"/>
      <c r="OPT353" s="268"/>
      <c r="OPU353" s="268"/>
      <c r="OPV353" s="268"/>
      <c r="OPW353" s="268"/>
      <c r="OPX353" s="268"/>
      <c r="OPY353" s="268"/>
      <c r="OPZ353" s="268"/>
      <c r="OQA353" s="268"/>
      <c r="OQB353" s="268"/>
      <c r="OQC353" s="268"/>
      <c r="OQD353" s="268"/>
      <c r="OQE353" s="268"/>
      <c r="OQF353" s="268"/>
      <c r="OQG353" s="268"/>
      <c r="OQH353" s="268"/>
      <c r="OQI353" s="268"/>
      <c r="OQJ353" s="268"/>
      <c r="OQK353" s="268"/>
      <c r="OQL353" s="268"/>
      <c r="OQM353" s="268"/>
      <c r="OQN353" s="268"/>
      <c r="OQO353" s="268"/>
      <c r="OQP353" s="268"/>
      <c r="OQQ353" s="268"/>
      <c r="OQR353" s="268"/>
      <c r="OQS353" s="268"/>
      <c r="OQT353" s="268"/>
      <c r="OQU353" s="268"/>
      <c r="OQV353" s="268"/>
      <c r="OQW353" s="268"/>
      <c r="OQX353" s="268"/>
      <c r="OQY353" s="268"/>
      <c r="OQZ353" s="268"/>
      <c r="ORA353" s="268"/>
      <c r="ORB353" s="268"/>
      <c r="ORC353" s="268"/>
      <c r="ORD353" s="268"/>
      <c r="ORE353" s="268"/>
      <c r="ORF353" s="268"/>
      <c r="ORG353" s="268"/>
      <c r="ORH353" s="268"/>
      <c r="ORI353" s="268"/>
      <c r="ORJ353" s="268"/>
      <c r="ORK353" s="268"/>
      <c r="ORL353" s="268"/>
      <c r="ORM353" s="268"/>
      <c r="ORN353" s="268"/>
      <c r="ORO353" s="268"/>
      <c r="ORP353" s="268"/>
      <c r="ORQ353" s="268"/>
      <c r="ORR353" s="268"/>
      <c r="ORS353" s="268"/>
      <c r="ORT353" s="268"/>
      <c r="ORU353" s="268"/>
      <c r="ORV353" s="268"/>
      <c r="ORW353" s="268"/>
      <c r="ORX353" s="268"/>
      <c r="ORY353" s="268"/>
      <c r="ORZ353" s="268"/>
      <c r="OSA353" s="268"/>
      <c r="OSB353" s="268"/>
      <c r="OSC353" s="268"/>
      <c r="OSD353" s="268"/>
      <c r="OSE353" s="268"/>
      <c r="OSF353" s="268"/>
      <c r="OSG353" s="268"/>
      <c r="OSH353" s="268"/>
      <c r="OSI353" s="268"/>
      <c r="OSJ353" s="268"/>
      <c r="OSK353" s="268"/>
      <c r="OSL353" s="268"/>
      <c r="OSM353" s="268"/>
      <c r="OSN353" s="268"/>
      <c r="OSO353" s="268"/>
      <c r="OSP353" s="268"/>
      <c r="OSQ353" s="268"/>
      <c r="OSR353" s="268"/>
      <c r="OSS353" s="268"/>
      <c r="OST353" s="268"/>
      <c r="OSU353" s="268"/>
      <c r="OSV353" s="268"/>
      <c r="OSW353" s="268"/>
      <c r="OSX353" s="268"/>
      <c r="OSY353" s="268"/>
      <c r="OSZ353" s="268"/>
      <c r="OTA353" s="268"/>
      <c r="OTB353" s="268"/>
      <c r="OTC353" s="268"/>
      <c r="OTD353" s="268"/>
      <c r="OTE353" s="268"/>
      <c r="OTF353" s="268"/>
      <c r="OTG353" s="268"/>
      <c r="OTH353" s="268"/>
      <c r="OTI353" s="268"/>
      <c r="OTJ353" s="268"/>
      <c r="OTK353" s="268"/>
      <c r="OTL353" s="268"/>
      <c r="OTM353" s="268"/>
      <c r="OTN353" s="268"/>
      <c r="OTO353" s="268"/>
      <c r="OTP353" s="268"/>
      <c r="OTQ353" s="268"/>
      <c r="OTR353" s="268"/>
      <c r="OTS353" s="268"/>
      <c r="OTT353" s="268"/>
      <c r="OTU353" s="268"/>
      <c r="OTV353" s="268"/>
      <c r="OTW353" s="268"/>
      <c r="OTX353" s="268"/>
      <c r="OTY353" s="268"/>
      <c r="OTZ353" s="268"/>
      <c r="OUA353" s="268"/>
      <c r="OUB353" s="268"/>
      <c r="OUC353" s="268"/>
      <c r="OUD353" s="268"/>
      <c r="OUE353" s="268"/>
      <c r="OUF353" s="268"/>
      <c r="OUG353" s="268"/>
      <c r="OUH353" s="268"/>
      <c r="OUI353" s="268"/>
      <c r="OUJ353" s="268"/>
      <c r="OUK353" s="268"/>
      <c r="OUL353" s="268"/>
      <c r="OUM353" s="268"/>
      <c r="OUN353" s="268"/>
      <c r="OUO353" s="268"/>
      <c r="OUP353" s="268"/>
      <c r="OUQ353" s="268"/>
      <c r="OUR353" s="268"/>
      <c r="OUS353" s="268"/>
      <c r="OUT353" s="268"/>
      <c r="OUU353" s="268"/>
      <c r="OUV353" s="268"/>
      <c r="OUW353" s="268"/>
      <c r="OUX353" s="268"/>
      <c r="OUY353" s="268"/>
      <c r="OUZ353" s="268"/>
      <c r="OVA353" s="268"/>
      <c r="OVB353" s="268"/>
      <c r="OVC353" s="268"/>
      <c r="OVD353" s="268"/>
      <c r="OVE353" s="268"/>
      <c r="OVF353" s="268"/>
      <c r="OVG353" s="268"/>
      <c r="OVH353" s="268"/>
      <c r="OVI353" s="268"/>
      <c r="OVJ353" s="268"/>
      <c r="OVK353" s="268"/>
      <c r="OVL353" s="268"/>
      <c r="OVM353" s="268"/>
      <c r="OVN353" s="268"/>
      <c r="OVO353" s="268"/>
      <c r="OVP353" s="268"/>
      <c r="OVQ353" s="268"/>
      <c r="OVR353" s="268"/>
      <c r="OVS353" s="268"/>
      <c r="OVT353" s="268"/>
      <c r="OVU353" s="268"/>
      <c r="OVV353" s="268"/>
      <c r="OVW353" s="268"/>
      <c r="OVX353" s="268"/>
      <c r="OVY353" s="268"/>
      <c r="OVZ353" s="268"/>
      <c r="OWA353" s="268"/>
      <c r="OWB353" s="268"/>
      <c r="OWC353" s="268"/>
      <c r="OWD353" s="268"/>
      <c r="OWE353" s="268"/>
      <c r="OWS353" s="268"/>
      <c r="OWT353" s="268"/>
      <c r="OWU353" s="268"/>
      <c r="OXI353" s="268"/>
      <c r="OXK353" s="268"/>
      <c r="OXL353" s="268"/>
      <c r="OXM353" s="268"/>
      <c r="OXN353" s="268"/>
      <c r="OXO353" s="268"/>
      <c r="OXP353" s="268"/>
      <c r="OXQ353" s="268"/>
      <c r="OXR353" s="268"/>
      <c r="OXS353" s="268"/>
      <c r="OXT353" s="268"/>
      <c r="OXU353" s="268"/>
      <c r="OXV353" s="268"/>
      <c r="OXW353" s="268"/>
      <c r="OXX353" s="268"/>
      <c r="OXY353" s="268"/>
      <c r="OXZ353" s="268"/>
      <c r="OYA353" s="268"/>
      <c r="OYB353" s="268"/>
      <c r="OYC353" s="268"/>
      <c r="OYD353" s="268"/>
      <c r="OYE353" s="268"/>
      <c r="OYF353" s="268"/>
      <c r="OYG353" s="268"/>
      <c r="OYH353" s="268"/>
      <c r="OYI353" s="268"/>
      <c r="OYJ353" s="268"/>
      <c r="OYK353" s="268"/>
      <c r="OYL353" s="268"/>
      <c r="OYM353" s="268"/>
      <c r="OYN353" s="268"/>
      <c r="OYO353" s="268"/>
      <c r="OYP353" s="268"/>
      <c r="OYQ353" s="268"/>
      <c r="OYR353" s="268"/>
      <c r="OYS353" s="268"/>
      <c r="OYT353" s="268"/>
      <c r="OYU353" s="268"/>
      <c r="OYV353" s="268"/>
      <c r="OYW353" s="268"/>
      <c r="OYX353" s="268"/>
      <c r="OYY353" s="268"/>
      <c r="OYZ353" s="268"/>
      <c r="OZA353" s="268"/>
      <c r="OZB353" s="268"/>
      <c r="OZC353" s="268"/>
      <c r="OZD353" s="268"/>
      <c r="OZE353" s="268"/>
      <c r="OZF353" s="268"/>
      <c r="OZG353" s="268"/>
      <c r="OZH353" s="268"/>
      <c r="OZI353" s="268"/>
      <c r="OZJ353" s="268"/>
      <c r="OZK353" s="268"/>
      <c r="OZL353" s="268"/>
      <c r="OZM353" s="268"/>
      <c r="OZN353" s="268"/>
      <c r="OZO353" s="268"/>
      <c r="OZP353" s="268"/>
      <c r="OZQ353" s="268"/>
      <c r="OZR353" s="268"/>
      <c r="OZS353" s="268"/>
      <c r="OZT353" s="268"/>
      <c r="OZU353" s="268"/>
      <c r="OZV353" s="268"/>
      <c r="OZW353" s="268"/>
      <c r="OZX353" s="268"/>
      <c r="OZY353" s="268"/>
      <c r="OZZ353" s="268"/>
      <c r="PAA353" s="268"/>
      <c r="PAB353" s="268"/>
      <c r="PAC353" s="268"/>
      <c r="PAD353" s="268"/>
      <c r="PAE353" s="268"/>
      <c r="PAF353" s="268"/>
      <c r="PAG353" s="268"/>
      <c r="PAH353" s="268"/>
      <c r="PAI353" s="268"/>
      <c r="PAJ353" s="268"/>
      <c r="PAK353" s="268"/>
      <c r="PAL353" s="268"/>
      <c r="PAM353" s="268"/>
      <c r="PAN353" s="268"/>
      <c r="PAO353" s="268"/>
      <c r="PAP353" s="268"/>
      <c r="PAQ353" s="268"/>
      <c r="PAR353" s="268"/>
      <c r="PAS353" s="268"/>
      <c r="PAT353" s="268"/>
      <c r="PAU353" s="268"/>
      <c r="PAV353" s="268"/>
      <c r="PAW353" s="268"/>
      <c r="PAX353" s="268"/>
      <c r="PAY353" s="268"/>
      <c r="PAZ353" s="268"/>
      <c r="PBA353" s="268"/>
      <c r="PBB353" s="268"/>
      <c r="PBC353" s="268"/>
      <c r="PBD353" s="268"/>
      <c r="PBE353" s="268"/>
      <c r="PBF353" s="268"/>
      <c r="PBG353" s="268"/>
      <c r="PBH353" s="268"/>
      <c r="PBI353" s="268"/>
      <c r="PBJ353" s="268"/>
      <c r="PBK353" s="268"/>
      <c r="PBL353" s="268"/>
      <c r="PBM353" s="268"/>
      <c r="PBN353" s="268"/>
      <c r="PBO353" s="268"/>
      <c r="PBP353" s="268"/>
      <c r="PBQ353" s="268"/>
      <c r="PBR353" s="268"/>
      <c r="PBS353" s="268"/>
      <c r="PBT353" s="268"/>
      <c r="PBU353" s="268"/>
      <c r="PBV353" s="268"/>
      <c r="PBW353" s="268"/>
      <c r="PBX353" s="268"/>
      <c r="PBY353" s="268"/>
      <c r="PBZ353" s="268"/>
      <c r="PCA353" s="268"/>
      <c r="PCB353" s="268"/>
      <c r="PCC353" s="268"/>
      <c r="PCD353" s="268"/>
      <c r="PCE353" s="268"/>
      <c r="PCF353" s="268"/>
      <c r="PCG353" s="268"/>
      <c r="PCH353" s="268"/>
      <c r="PCI353" s="268"/>
      <c r="PCJ353" s="268"/>
      <c r="PCK353" s="268"/>
      <c r="PCL353" s="268"/>
      <c r="PCM353" s="268"/>
      <c r="PCN353" s="268"/>
      <c r="PCO353" s="268"/>
      <c r="PCP353" s="268"/>
      <c r="PCQ353" s="268"/>
      <c r="PCR353" s="268"/>
      <c r="PCS353" s="268"/>
      <c r="PCT353" s="268"/>
      <c r="PCU353" s="268"/>
      <c r="PCV353" s="268"/>
      <c r="PCW353" s="268"/>
      <c r="PCX353" s="268"/>
      <c r="PCY353" s="268"/>
      <c r="PCZ353" s="268"/>
      <c r="PDA353" s="268"/>
      <c r="PDB353" s="268"/>
      <c r="PDC353" s="268"/>
      <c r="PDD353" s="268"/>
      <c r="PDE353" s="268"/>
      <c r="PDF353" s="268"/>
      <c r="PDG353" s="268"/>
      <c r="PDH353" s="268"/>
      <c r="PDI353" s="268"/>
      <c r="PDJ353" s="268"/>
      <c r="PDK353" s="268"/>
      <c r="PDL353" s="268"/>
      <c r="PDM353" s="268"/>
      <c r="PDN353" s="268"/>
      <c r="PDO353" s="268"/>
      <c r="PDP353" s="268"/>
      <c r="PDQ353" s="268"/>
      <c r="PDR353" s="268"/>
      <c r="PDS353" s="268"/>
      <c r="PDT353" s="268"/>
      <c r="PDU353" s="268"/>
      <c r="PDV353" s="268"/>
      <c r="PDW353" s="268"/>
      <c r="PDX353" s="268"/>
      <c r="PDY353" s="268"/>
      <c r="PDZ353" s="268"/>
      <c r="PEA353" s="268"/>
      <c r="PEB353" s="268"/>
      <c r="PEC353" s="268"/>
      <c r="PED353" s="268"/>
      <c r="PEE353" s="268"/>
      <c r="PEF353" s="268"/>
      <c r="PEG353" s="268"/>
      <c r="PEH353" s="268"/>
      <c r="PEI353" s="268"/>
      <c r="PEJ353" s="268"/>
      <c r="PEK353" s="268"/>
      <c r="PEL353" s="268"/>
      <c r="PEM353" s="268"/>
      <c r="PEN353" s="268"/>
      <c r="PEO353" s="268"/>
      <c r="PEP353" s="268"/>
      <c r="PEQ353" s="268"/>
      <c r="PER353" s="268"/>
      <c r="PES353" s="268"/>
      <c r="PET353" s="268"/>
      <c r="PEU353" s="268"/>
      <c r="PEV353" s="268"/>
      <c r="PEW353" s="268"/>
      <c r="PEX353" s="268"/>
      <c r="PEY353" s="268"/>
      <c r="PEZ353" s="268"/>
      <c r="PFA353" s="268"/>
      <c r="PFB353" s="268"/>
      <c r="PFC353" s="268"/>
      <c r="PFD353" s="268"/>
      <c r="PFE353" s="268"/>
      <c r="PFF353" s="268"/>
      <c r="PFG353" s="268"/>
      <c r="PFH353" s="268"/>
      <c r="PFI353" s="268"/>
      <c r="PFJ353" s="268"/>
      <c r="PFK353" s="268"/>
      <c r="PFL353" s="268"/>
      <c r="PFM353" s="268"/>
      <c r="PFN353" s="268"/>
      <c r="PFO353" s="268"/>
      <c r="PFP353" s="268"/>
      <c r="PFQ353" s="268"/>
      <c r="PFR353" s="268"/>
      <c r="PFS353" s="268"/>
      <c r="PFT353" s="268"/>
      <c r="PFU353" s="268"/>
      <c r="PFV353" s="268"/>
      <c r="PFW353" s="268"/>
      <c r="PFX353" s="268"/>
      <c r="PFY353" s="268"/>
      <c r="PFZ353" s="268"/>
      <c r="PGA353" s="268"/>
      <c r="PGO353" s="268"/>
      <c r="PGP353" s="268"/>
      <c r="PGQ353" s="268"/>
      <c r="PHE353" s="268"/>
      <c r="PHG353" s="268"/>
      <c r="PHH353" s="268"/>
      <c r="PHI353" s="268"/>
      <c r="PHJ353" s="268"/>
      <c r="PHK353" s="268"/>
      <c r="PHL353" s="268"/>
      <c r="PHM353" s="268"/>
      <c r="PHN353" s="268"/>
      <c r="PHO353" s="268"/>
      <c r="PHP353" s="268"/>
      <c r="PHQ353" s="268"/>
      <c r="PHR353" s="268"/>
      <c r="PHS353" s="268"/>
      <c r="PHT353" s="268"/>
      <c r="PHU353" s="268"/>
      <c r="PHV353" s="268"/>
      <c r="PHW353" s="268"/>
      <c r="PHX353" s="268"/>
      <c r="PHY353" s="268"/>
      <c r="PHZ353" s="268"/>
      <c r="PIA353" s="268"/>
      <c r="PIB353" s="268"/>
      <c r="PIC353" s="268"/>
      <c r="PID353" s="268"/>
      <c r="PIE353" s="268"/>
      <c r="PIF353" s="268"/>
      <c r="PIG353" s="268"/>
      <c r="PIH353" s="268"/>
      <c r="PII353" s="268"/>
      <c r="PIJ353" s="268"/>
      <c r="PIK353" s="268"/>
      <c r="PIL353" s="268"/>
      <c r="PIM353" s="268"/>
      <c r="PIN353" s="268"/>
      <c r="PIO353" s="268"/>
      <c r="PIP353" s="268"/>
      <c r="PIQ353" s="268"/>
      <c r="PIR353" s="268"/>
      <c r="PIS353" s="268"/>
      <c r="PIT353" s="268"/>
      <c r="PIU353" s="268"/>
      <c r="PIV353" s="268"/>
      <c r="PIW353" s="268"/>
      <c r="PIX353" s="268"/>
      <c r="PIY353" s="268"/>
      <c r="PIZ353" s="268"/>
      <c r="PJA353" s="268"/>
      <c r="PJB353" s="268"/>
      <c r="PJC353" s="268"/>
      <c r="PJD353" s="268"/>
      <c r="PJE353" s="268"/>
      <c r="PJF353" s="268"/>
      <c r="PJG353" s="268"/>
      <c r="PJH353" s="268"/>
      <c r="PJI353" s="268"/>
      <c r="PJJ353" s="268"/>
      <c r="PJK353" s="268"/>
      <c r="PJL353" s="268"/>
      <c r="PJM353" s="268"/>
      <c r="PJN353" s="268"/>
      <c r="PJO353" s="268"/>
      <c r="PJP353" s="268"/>
      <c r="PJQ353" s="268"/>
      <c r="PJR353" s="268"/>
      <c r="PJS353" s="268"/>
      <c r="PJT353" s="268"/>
      <c r="PJU353" s="268"/>
      <c r="PJV353" s="268"/>
      <c r="PJW353" s="268"/>
      <c r="PJX353" s="268"/>
      <c r="PJY353" s="268"/>
      <c r="PJZ353" s="268"/>
      <c r="PKA353" s="268"/>
      <c r="PKB353" s="268"/>
      <c r="PKC353" s="268"/>
      <c r="PKD353" s="268"/>
      <c r="PKE353" s="268"/>
      <c r="PKF353" s="268"/>
      <c r="PKG353" s="268"/>
      <c r="PKH353" s="268"/>
      <c r="PKI353" s="268"/>
      <c r="PKJ353" s="268"/>
      <c r="PKK353" s="268"/>
      <c r="PKL353" s="268"/>
      <c r="PKM353" s="268"/>
      <c r="PKN353" s="268"/>
      <c r="PKO353" s="268"/>
      <c r="PKP353" s="268"/>
      <c r="PKQ353" s="268"/>
      <c r="PKR353" s="268"/>
      <c r="PKS353" s="268"/>
      <c r="PKT353" s="268"/>
      <c r="PKU353" s="268"/>
      <c r="PKV353" s="268"/>
      <c r="PKW353" s="268"/>
      <c r="PKX353" s="268"/>
      <c r="PKY353" s="268"/>
      <c r="PKZ353" s="268"/>
      <c r="PLA353" s="268"/>
      <c r="PLB353" s="268"/>
      <c r="PLC353" s="268"/>
      <c r="PLD353" s="268"/>
      <c r="PLE353" s="268"/>
      <c r="PLF353" s="268"/>
      <c r="PLG353" s="268"/>
      <c r="PLH353" s="268"/>
      <c r="PLI353" s="268"/>
      <c r="PLJ353" s="268"/>
      <c r="PLK353" s="268"/>
      <c r="PLL353" s="268"/>
      <c r="PLM353" s="268"/>
      <c r="PLN353" s="268"/>
      <c r="PLO353" s="268"/>
      <c r="PLP353" s="268"/>
      <c r="PLQ353" s="268"/>
      <c r="PLR353" s="268"/>
      <c r="PLS353" s="268"/>
      <c r="PLT353" s="268"/>
      <c r="PLU353" s="268"/>
      <c r="PLV353" s="268"/>
      <c r="PLW353" s="268"/>
      <c r="PLX353" s="268"/>
      <c r="PLY353" s="268"/>
      <c r="PLZ353" s="268"/>
      <c r="PMA353" s="268"/>
      <c r="PMB353" s="268"/>
      <c r="PMC353" s="268"/>
      <c r="PMD353" s="268"/>
      <c r="PME353" s="268"/>
      <c r="PMF353" s="268"/>
      <c r="PMG353" s="268"/>
      <c r="PMH353" s="268"/>
      <c r="PMI353" s="268"/>
      <c r="PMJ353" s="268"/>
      <c r="PMK353" s="268"/>
      <c r="PML353" s="268"/>
      <c r="PMM353" s="268"/>
      <c r="PMN353" s="268"/>
      <c r="PMO353" s="268"/>
      <c r="PMP353" s="268"/>
      <c r="PMQ353" s="268"/>
      <c r="PMR353" s="268"/>
      <c r="PMS353" s="268"/>
      <c r="PMT353" s="268"/>
      <c r="PMU353" s="268"/>
      <c r="PMV353" s="268"/>
      <c r="PMW353" s="268"/>
      <c r="PMX353" s="268"/>
      <c r="PMY353" s="268"/>
      <c r="PMZ353" s="268"/>
      <c r="PNA353" s="268"/>
      <c r="PNB353" s="268"/>
      <c r="PNC353" s="268"/>
      <c r="PND353" s="268"/>
      <c r="PNE353" s="268"/>
      <c r="PNF353" s="268"/>
      <c r="PNG353" s="268"/>
      <c r="PNH353" s="268"/>
      <c r="PNI353" s="268"/>
      <c r="PNJ353" s="268"/>
      <c r="PNK353" s="268"/>
      <c r="PNL353" s="268"/>
      <c r="PNM353" s="268"/>
      <c r="PNN353" s="268"/>
      <c r="PNO353" s="268"/>
      <c r="PNP353" s="268"/>
      <c r="PNQ353" s="268"/>
      <c r="PNR353" s="268"/>
      <c r="PNS353" s="268"/>
      <c r="PNT353" s="268"/>
      <c r="PNU353" s="268"/>
      <c r="PNV353" s="268"/>
      <c r="PNW353" s="268"/>
      <c r="PNX353" s="268"/>
      <c r="PNY353" s="268"/>
      <c r="PNZ353" s="268"/>
      <c r="POA353" s="268"/>
      <c r="POB353" s="268"/>
      <c r="POC353" s="268"/>
      <c r="POD353" s="268"/>
      <c r="POE353" s="268"/>
      <c r="POF353" s="268"/>
      <c r="POG353" s="268"/>
      <c r="POH353" s="268"/>
      <c r="POI353" s="268"/>
      <c r="POJ353" s="268"/>
      <c r="POK353" s="268"/>
      <c r="POL353" s="268"/>
      <c r="POM353" s="268"/>
      <c r="PON353" s="268"/>
      <c r="POO353" s="268"/>
      <c r="POP353" s="268"/>
      <c r="POQ353" s="268"/>
      <c r="POR353" s="268"/>
      <c r="POS353" s="268"/>
      <c r="POT353" s="268"/>
      <c r="POU353" s="268"/>
      <c r="POV353" s="268"/>
      <c r="POW353" s="268"/>
      <c r="POX353" s="268"/>
      <c r="POY353" s="268"/>
      <c r="POZ353" s="268"/>
      <c r="PPA353" s="268"/>
      <c r="PPB353" s="268"/>
      <c r="PPC353" s="268"/>
      <c r="PPD353" s="268"/>
      <c r="PPE353" s="268"/>
      <c r="PPF353" s="268"/>
      <c r="PPG353" s="268"/>
      <c r="PPH353" s="268"/>
      <c r="PPI353" s="268"/>
      <c r="PPJ353" s="268"/>
      <c r="PPK353" s="268"/>
      <c r="PPL353" s="268"/>
      <c r="PPM353" s="268"/>
      <c r="PPN353" s="268"/>
      <c r="PPO353" s="268"/>
      <c r="PPP353" s="268"/>
      <c r="PPQ353" s="268"/>
      <c r="PPR353" s="268"/>
      <c r="PPS353" s="268"/>
      <c r="PPT353" s="268"/>
      <c r="PPU353" s="268"/>
      <c r="PPV353" s="268"/>
      <c r="PPW353" s="268"/>
      <c r="PQK353" s="268"/>
      <c r="PQL353" s="268"/>
      <c r="PQM353" s="268"/>
      <c r="PRA353" s="268"/>
      <c r="PRC353" s="268"/>
      <c r="PRD353" s="268"/>
      <c r="PRE353" s="268"/>
      <c r="PRF353" s="268"/>
      <c r="PRG353" s="268"/>
      <c r="PRH353" s="268"/>
      <c r="PRI353" s="268"/>
      <c r="PRJ353" s="268"/>
      <c r="PRK353" s="268"/>
      <c r="PRL353" s="268"/>
      <c r="PRM353" s="268"/>
      <c r="PRN353" s="268"/>
      <c r="PRO353" s="268"/>
      <c r="PRP353" s="268"/>
      <c r="PRQ353" s="268"/>
      <c r="PRR353" s="268"/>
      <c r="PRS353" s="268"/>
      <c r="PRT353" s="268"/>
      <c r="PRU353" s="268"/>
      <c r="PRV353" s="268"/>
      <c r="PRW353" s="268"/>
      <c r="PRX353" s="268"/>
      <c r="PRY353" s="268"/>
      <c r="PRZ353" s="268"/>
      <c r="PSA353" s="268"/>
      <c r="PSB353" s="268"/>
      <c r="PSC353" s="268"/>
      <c r="PSD353" s="268"/>
      <c r="PSE353" s="268"/>
      <c r="PSF353" s="268"/>
      <c r="PSG353" s="268"/>
      <c r="PSH353" s="268"/>
      <c r="PSI353" s="268"/>
      <c r="PSJ353" s="268"/>
      <c r="PSK353" s="268"/>
      <c r="PSL353" s="268"/>
      <c r="PSM353" s="268"/>
      <c r="PSN353" s="268"/>
      <c r="PSO353" s="268"/>
      <c r="PSP353" s="268"/>
      <c r="PSQ353" s="268"/>
      <c r="PSR353" s="268"/>
      <c r="PSS353" s="268"/>
      <c r="PST353" s="268"/>
      <c r="PSU353" s="268"/>
      <c r="PSV353" s="268"/>
      <c r="PSW353" s="268"/>
      <c r="PSX353" s="268"/>
      <c r="PSY353" s="268"/>
      <c r="PSZ353" s="268"/>
      <c r="PTA353" s="268"/>
      <c r="PTB353" s="268"/>
      <c r="PTC353" s="268"/>
      <c r="PTD353" s="268"/>
      <c r="PTE353" s="268"/>
      <c r="PTF353" s="268"/>
      <c r="PTG353" s="268"/>
      <c r="PTH353" s="268"/>
      <c r="PTI353" s="268"/>
      <c r="PTJ353" s="268"/>
      <c r="PTK353" s="268"/>
      <c r="PTL353" s="268"/>
      <c r="PTM353" s="268"/>
      <c r="PTN353" s="268"/>
      <c r="PTO353" s="268"/>
      <c r="PTP353" s="268"/>
      <c r="PTQ353" s="268"/>
      <c r="PTR353" s="268"/>
      <c r="PTS353" s="268"/>
      <c r="PTT353" s="268"/>
      <c r="PTU353" s="268"/>
      <c r="PTV353" s="268"/>
      <c r="PTW353" s="268"/>
      <c r="PTX353" s="268"/>
      <c r="PTY353" s="268"/>
      <c r="PTZ353" s="268"/>
      <c r="PUA353" s="268"/>
      <c r="PUB353" s="268"/>
      <c r="PUC353" s="268"/>
      <c r="PUD353" s="268"/>
      <c r="PUE353" s="268"/>
      <c r="PUF353" s="268"/>
      <c r="PUG353" s="268"/>
      <c r="PUH353" s="268"/>
      <c r="PUI353" s="268"/>
      <c r="PUJ353" s="268"/>
      <c r="PUK353" s="268"/>
      <c r="PUL353" s="268"/>
      <c r="PUM353" s="268"/>
      <c r="PUN353" s="268"/>
      <c r="PUO353" s="268"/>
      <c r="PUP353" s="268"/>
      <c r="PUQ353" s="268"/>
      <c r="PUR353" s="268"/>
      <c r="PUS353" s="268"/>
      <c r="PUT353" s="268"/>
      <c r="PUU353" s="268"/>
      <c r="PUV353" s="268"/>
      <c r="PUW353" s="268"/>
      <c r="PUX353" s="268"/>
      <c r="PUY353" s="268"/>
      <c r="PUZ353" s="268"/>
      <c r="PVA353" s="268"/>
      <c r="PVB353" s="268"/>
      <c r="PVC353" s="268"/>
      <c r="PVD353" s="268"/>
      <c r="PVE353" s="268"/>
      <c r="PVF353" s="268"/>
      <c r="PVG353" s="268"/>
      <c r="PVH353" s="268"/>
      <c r="PVI353" s="268"/>
      <c r="PVJ353" s="268"/>
      <c r="PVK353" s="268"/>
      <c r="PVL353" s="268"/>
      <c r="PVM353" s="268"/>
      <c r="PVN353" s="268"/>
      <c r="PVO353" s="268"/>
      <c r="PVP353" s="268"/>
      <c r="PVQ353" s="268"/>
      <c r="PVR353" s="268"/>
      <c r="PVS353" s="268"/>
      <c r="PVT353" s="268"/>
      <c r="PVU353" s="268"/>
      <c r="PVV353" s="268"/>
      <c r="PVW353" s="268"/>
      <c r="PVX353" s="268"/>
      <c r="PVY353" s="268"/>
      <c r="PVZ353" s="268"/>
      <c r="PWA353" s="268"/>
      <c r="PWB353" s="268"/>
      <c r="PWC353" s="268"/>
      <c r="PWD353" s="268"/>
      <c r="PWE353" s="268"/>
      <c r="PWF353" s="268"/>
      <c r="PWG353" s="268"/>
      <c r="PWH353" s="268"/>
      <c r="PWI353" s="268"/>
      <c r="PWJ353" s="268"/>
      <c r="PWK353" s="268"/>
      <c r="PWL353" s="268"/>
      <c r="PWM353" s="268"/>
      <c r="PWN353" s="268"/>
      <c r="PWO353" s="268"/>
      <c r="PWP353" s="268"/>
      <c r="PWQ353" s="268"/>
      <c r="PWR353" s="268"/>
      <c r="PWS353" s="268"/>
      <c r="PWT353" s="268"/>
      <c r="PWU353" s="268"/>
      <c r="PWV353" s="268"/>
      <c r="PWW353" s="268"/>
      <c r="PWX353" s="268"/>
      <c r="PWY353" s="268"/>
      <c r="PWZ353" s="268"/>
      <c r="PXA353" s="268"/>
      <c r="PXB353" s="268"/>
      <c r="PXC353" s="268"/>
      <c r="PXD353" s="268"/>
      <c r="PXE353" s="268"/>
      <c r="PXF353" s="268"/>
      <c r="PXG353" s="268"/>
      <c r="PXH353" s="268"/>
      <c r="PXI353" s="268"/>
      <c r="PXJ353" s="268"/>
      <c r="PXK353" s="268"/>
      <c r="PXL353" s="268"/>
      <c r="PXM353" s="268"/>
      <c r="PXN353" s="268"/>
      <c r="PXO353" s="268"/>
      <c r="PXP353" s="268"/>
      <c r="PXQ353" s="268"/>
      <c r="PXR353" s="268"/>
      <c r="PXS353" s="268"/>
      <c r="PXT353" s="268"/>
      <c r="PXU353" s="268"/>
      <c r="PXV353" s="268"/>
      <c r="PXW353" s="268"/>
      <c r="PXX353" s="268"/>
      <c r="PXY353" s="268"/>
      <c r="PXZ353" s="268"/>
      <c r="PYA353" s="268"/>
      <c r="PYB353" s="268"/>
      <c r="PYC353" s="268"/>
      <c r="PYD353" s="268"/>
      <c r="PYE353" s="268"/>
      <c r="PYF353" s="268"/>
      <c r="PYG353" s="268"/>
      <c r="PYH353" s="268"/>
      <c r="PYI353" s="268"/>
      <c r="PYJ353" s="268"/>
      <c r="PYK353" s="268"/>
      <c r="PYL353" s="268"/>
      <c r="PYM353" s="268"/>
      <c r="PYN353" s="268"/>
      <c r="PYO353" s="268"/>
      <c r="PYP353" s="268"/>
      <c r="PYQ353" s="268"/>
      <c r="PYR353" s="268"/>
      <c r="PYS353" s="268"/>
      <c r="PYT353" s="268"/>
      <c r="PYU353" s="268"/>
      <c r="PYV353" s="268"/>
      <c r="PYW353" s="268"/>
      <c r="PYX353" s="268"/>
      <c r="PYY353" s="268"/>
      <c r="PYZ353" s="268"/>
      <c r="PZA353" s="268"/>
      <c r="PZB353" s="268"/>
      <c r="PZC353" s="268"/>
      <c r="PZD353" s="268"/>
      <c r="PZE353" s="268"/>
      <c r="PZF353" s="268"/>
      <c r="PZG353" s="268"/>
      <c r="PZH353" s="268"/>
      <c r="PZI353" s="268"/>
      <c r="PZJ353" s="268"/>
      <c r="PZK353" s="268"/>
      <c r="PZL353" s="268"/>
      <c r="PZM353" s="268"/>
      <c r="PZN353" s="268"/>
      <c r="PZO353" s="268"/>
      <c r="PZP353" s="268"/>
      <c r="PZQ353" s="268"/>
      <c r="PZR353" s="268"/>
      <c r="PZS353" s="268"/>
      <c r="QAG353" s="268"/>
      <c r="QAH353" s="268"/>
      <c r="QAI353" s="268"/>
      <c r="QAW353" s="268"/>
      <c r="QAY353" s="268"/>
      <c r="QAZ353" s="268"/>
      <c r="QBA353" s="268"/>
      <c r="QBB353" s="268"/>
      <c r="QBC353" s="268"/>
      <c r="QBD353" s="268"/>
      <c r="QBE353" s="268"/>
      <c r="QBF353" s="268"/>
      <c r="QBG353" s="268"/>
      <c r="QBH353" s="268"/>
      <c r="QBI353" s="268"/>
      <c r="QBJ353" s="268"/>
      <c r="QBK353" s="268"/>
      <c r="QBL353" s="268"/>
      <c r="QBM353" s="268"/>
      <c r="QBN353" s="268"/>
      <c r="QBO353" s="268"/>
      <c r="QBP353" s="268"/>
      <c r="QBQ353" s="268"/>
      <c r="QBR353" s="268"/>
      <c r="QBS353" s="268"/>
      <c r="QBT353" s="268"/>
      <c r="QBU353" s="268"/>
      <c r="QBV353" s="268"/>
      <c r="QBW353" s="268"/>
      <c r="QBX353" s="268"/>
      <c r="QBY353" s="268"/>
      <c r="QBZ353" s="268"/>
      <c r="QCA353" s="268"/>
      <c r="QCB353" s="268"/>
      <c r="QCC353" s="268"/>
      <c r="QCD353" s="268"/>
      <c r="QCE353" s="268"/>
      <c r="QCF353" s="268"/>
      <c r="QCG353" s="268"/>
      <c r="QCH353" s="268"/>
      <c r="QCI353" s="268"/>
      <c r="QCJ353" s="268"/>
      <c r="QCK353" s="268"/>
      <c r="QCL353" s="268"/>
      <c r="QCM353" s="268"/>
      <c r="QCN353" s="268"/>
      <c r="QCO353" s="268"/>
      <c r="QCP353" s="268"/>
      <c r="QCQ353" s="268"/>
      <c r="QCR353" s="268"/>
      <c r="QCS353" s="268"/>
      <c r="QCT353" s="268"/>
      <c r="QCU353" s="268"/>
      <c r="QCV353" s="268"/>
      <c r="QCW353" s="268"/>
      <c r="QCX353" s="268"/>
      <c r="QCY353" s="268"/>
      <c r="QCZ353" s="268"/>
      <c r="QDA353" s="268"/>
      <c r="QDB353" s="268"/>
      <c r="QDC353" s="268"/>
      <c r="QDD353" s="268"/>
      <c r="QDE353" s="268"/>
      <c r="QDF353" s="268"/>
      <c r="QDG353" s="268"/>
      <c r="QDH353" s="268"/>
      <c r="QDI353" s="268"/>
      <c r="QDJ353" s="268"/>
      <c r="QDK353" s="268"/>
      <c r="QDL353" s="268"/>
      <c r="QDM353" s="268"/>
      <c r="QDN353" s="268"/>
      <c r="QDO353" s="268"/>
      <c r="QDP353" s="268"/>
      <c r="QDQ353" s="268"/>
      <c r="QDR353" s="268"/>
      <c r="QDS353" s="268"/>
      <c r="QDT353" s="268"/>
      <c r="QDU353" s="268"/>
      <c r="QDV353" s="268"/>
      <c r="QDW353" s="268"/>
      <c r="QDX353" s="268"/>
      <c r="QDY353" s="268"/>
      <c r="QDZ353" s="268"/>
      <c r="QEA353" s="268"/>
      <c r="QEB353" s="268"/>
      <c r="QEC353" s="268"/>
      <c r="QED353" s="268"/>
      <c r="QEE353" s="268"/>
      <c r="QEF353" s="268"/>
      <c r="QEG353" s="268"/>
      <c r="QEH353" s="268"/>
      <c r="QEI353" s="268"/>
      <c r="QEJ353" s="268"/>
      <c r="QEK353" s="268"/>
      <c r="QEL353" s="268"/>
      <c r="QEM353" s="268"/>
      <c r="QEN353" s="268"/>
      <c r="QEO353" s="268"/>
      <c r="QEP353" s="268"/>
      <c r="QEQ353" s="268"/>
      <c r="QER353" s="268"/>
      <c r="QES353" s="268"/>
      <c r="QET353" s="268"/>
      <c r="QEU353" s="268"/>
      <c r="QEV353" s="268"/>
      <c r="QEW353" s="268"/>
      <c r="QEX353" s="268"/>
      <c r="QEY353" s="268"/>
      <c r="QEZ353" s="268"/>
      <c r="QFA353" s="268"/>
      <c r="QFB353" s="268"/>
      <c r="QFC353" s="268"/>
      <c r="QFD353" s="268"/>
      <c r="QFE353" s="268"/>
      <c r="QFF353" s="268"/>
      <c r="QFG353" s="268"/>
      <c r="QFH353" s="268"/>
      <c r="QFI353" s="268"/>
      <c r="QFJ353" s="268"/>
      <c r="QFK353" s="268"/>
      <c r="QFL353" s="268"/>
      <c r="QFM353" s="268"/>
      <c r="QFN353" s="268"/>
      <c r="QFO353" s="268"/>
      <c r="QFP353" s="268"/>
      <c r="QFQ353" s="268"/>
      <c r="QFR353" s="268"/>
      <c r="QFS353" s="268"/>
      <c r="QFT353" s="268"/>
      <c r="QFU353" s="268"/>
      <c r="QFV353" s="268"/>
      <c r="QFW353" s="268"/>
      <c r="QFX353" s="268"/>
      <c r="QFY353" s="268"/>
      <c r="QFZ353" s="268"/>
      <c r="QGA353" s="268"/>
      <c r="QGB353" s="268"/>
      <c r="QGC353" s="268"/>
      <c r="QGD353" s="268"/>
      <c r="QGE353" s="268"/>
      <c r="QGF353" s="268"/>
      <c r="QGG353" s="268"/>
      <c r="QGH353" s="268"/>
      <c r="QGI353" s="268"/>
      <c r="QGJ353" s="268"/>
      <c r="QGK353" s="268"/>
      <c r="QGL353" s="268"/>
      <c r="QGM353" s="268"/>
      <c r="QGN353" s="268"/>
      <c r="QGO353" s="268"/>
      <c r="QGP353" s="268"/>
      <c r="QGQ353" s="268"/>
      <c r="QGR353" s="268"/>
      <c r="QGS353" s="268"/>
      <c r="QGT353" s="268"/>
      <c r="QGU353" s="268"/>
      <c r="QGV353" s="268"/>
      <c r="QGW353" s="268"/>
      <c r="QGX353" s="268"/>
      <c r="QGY353" s="268"/>
      <c r="QGZ353" s="268"/>
      <c r="QHA353" s="268"/>
      <c r="QHB353" s="268"/>
      <c r="QHC353" s="268"/>
      <c r="QHD353" s="268"/>
      <c r="QHE353" s="268"/>
      <c r="QHF353" s="268"/>
      <c r="QHG353" s="268"/>
      <c r="QHH353" s="268"/>
      <c r="QHI353" s="268"/>
      <c r="QHJ353" s="268"/>
      <c r="QHK353" s="268"/>
      <c r="QHL353" s="268"/>
      <c r="QHM353" s="268"/>
      <c r="QHN353" s="268"/>
      <c r="QHO353" s="268"/>
      <c r="QHP353" s="268"/>
      <c r="QHQ353" s="268"/>
      <c r="QHR353" s="268"/>
      <c r="QHS353" s="268"/>
      <c r="QHT353" s="268"/>
      <c r="QHU353" s="268"/>
      <c r="QHV353" s="268"/>
      <c r="QHW353" s="268"/>
      <c r="QHX353" s="268"/>
      <c r="QHY353" s="268"/>
      <c r="QHZ353" s="268"/>
      <c r="QIA353" s="268"/>
      <c r="QIB353" s="268"/>
      <c r="QIC353" s="268"/>
      <c r="QID353" s="268"/>
      <c r="QIE353" s="268"/>
      <c r="QIF353" s="268"/>
      <c r="QIG353" s="268"/>
      <c r="QIH353" s="268"/>
      <c r="QII353" s="268"/>
      <c r="QIJ353" s="268"/>
      <c r="QIK353" s="268"/>
      <c r="QIL353" s="268"/>
      <c r="QIM353" s="268"/>
      <c r="QIN353" s="268"/>
      <c r="QIO353" s="268"/>
      <c r="QIP353" s="268"/>
      <c r="QIQ353" s="268"/>
      <c r="QIR353" s="268"/>
      <c r="QIS353" s="268"/>
      <c r="QIT353" s="268"/>
      <c r="QIU353" s="268"/>
      <c r="QIV353" s="268"/>
      <c r="QIW353" s="268"/>
      <c r="QIX353" s="268"/>
      <c r="QIY353" s="268"/>
      <c r="QIZ353" s="268"/>
      <c r="QJA353" s="268"/>
      <c r="QJB353" s="268"/>
      <c r="QJC353" s="268"/>
      <c r="QJD353" s="268"/>
      <c r="QJE353" s="268"/>
      <c r="QJF353" s="268"/>
      <c r="QJG353" s="268"/>
      <c r="QJH353" s="268"/>
      <c r="QJI353" s="268"/>
      <c r="QJJ353" s="268"/>
      <c r="QJK353" s="268"/>
      <c r="QJL353" s="268"/>
      <c r="QJM353" s="268"/>
      <c r="QJN353" s="268"/>
      <c r="QJO353" s="268"/>
      <c r="QKC353" s="268"/>
      <c r="QKD353" s="268"/>
      <c r="QKE353" s="268"/>
      <c r="QKS353" s="268"/>
      <c r="QKU353" s="268"/>
      <c r="QKV353" s="268"/>
      <c r="QKW353" s="268"/>
      <c r="QKX353" s="268"/>
      <c r="QKY353" s="268"/>
      <c r="QKZ353" s="268"/>
      <c r="QLA353" s="268"/>
      <c r="QLB353" s="268"/>
      <c r="QLC353" s="268"/>
      <c r="QLD353" s="268"/>
      <c r="QLE353" s="268"/>
      <c r="QLF353" s="268"/>
      <c r="QLG353" s="268"/>
      <c r="QLH353" s="268"/>
      <c r="QLI353" s="268"/>
      <c r="QLJ353" s="268"/>
      <c r="QLK353" s="268"/>
      <c r="QLL353" s="268"/>
      <c r="QLM353" s="268"/>
      <c r="QLN353" s="268"/>
      <c r="QLO353" s="268"/>
      <c r="QLP353" s="268"/>
      <c r="QLQ353" s="268"/>
      <c r="QLR353" s="268"/>
      <c r="QLS353" s="268"/>
      <c r="QLT353" s="268"/>
      <c r="QLU353" s="268"/>
      <c r="QLV353" s="268"/>
      <c r="QLW353" s="268"/>
      <c r="QLX353" s="268"/>
      <c r="QLY353" s="268"/>
      <c r="QLZ353" s="268"/>
      <c r="QMA353" s="268"/>
      <c r="QMB353" s="268"/>
      <c r="QMC353" s="268"/>
      <c r="QMD353" s="268"/>
      <c r="QME353" s="268"/>
      <c r="QMF353" s="268"/>
      <c r="QMG353" s="268"/>
      <c r="QMH353" s="268"/>
      <c r="QMI353" s="268"/>
      <c r="QMJ353" s="268"/>
      <c r="QMK353" s="268"/>
      <c r="QML353" s="268"/>
      <c r="QMM353" s="268"/>
      <c r="QMN353" s="268"/>
      <c r="QMO353" s="268"/>
      <c r="QMP353" s="268"/>
      <c r="QMQ353" s="268"/>
      <c r="QMR353" s="268"/>
      <c r="QMS353" s="268"/>
      <c r="QMT353" s="268"/>
      <c r="QMU353" s="268"/>
      <c r="QMV353" s="268"/>
      <c r="QMW353" s="268"/>
      <c r="QMX353" s="268"/>
      <c r="QMY353" s="268"/>
      <c r="QMZ353" s="268"/>
      <c r="QNA353" s="268"/>
      <c r="QNB353" s="268"/>
      <c r="QNC353" s="268"/>
      <c r="QND353" s="268"/>
      <c r="QNE353" s="268"/>
      <c r="QNF353" s="268"/>
      <c r="QNG353" s="268"/>
      <c r="QNH353" s="268"/>
      <c r="QNI353" s="268"/>
      <c r="QNJ353" s="268"/>
      <c r="QNK353" s="268"/>
      <c r="QNL353" s="268"/>
      <c r="QNM353" s="268"/>
      <c r="QNN353" s="268"/>
      <c r="QNO353" s="268"/>
      <c r="QNP353" s="268"/>
      <c r="QNQ353" s="268"/>
      <c r="QNR353" s="268"/>
      <c r="QNS353" s="268"/>
      <c r="QNT353" s="268"/>
      <c r="QNU353" s="268"/>
      <c r="QNV353" s="268"/>
      <c r="QNW353" s="268"/>
      <c r="QNX353" s="268"/>
      <c r="QNY353" s="268"/>
      <c r="QNZ353" s="268"/>
      <c r="QOA353" s="268"/>
      <c r="QOB353" s="268"/>
      <c r="QOC353" s="268"/>
      <c r="QOD353" s="268"/>
      <c r="QOE353" s="268"/>
      <c r="QOF353" s="268"/>
      <c r="QOG353" s="268"/>
      <c r="QOH353" s="268"/>
      <c r="QOI353" s="268"/>
      <c r="QOJ353" s="268"/>
      <c r="QOK353" s="268"/>
      <c r="QOL353" s="268"/>
      <c r="QOM353" s="268"/>
      <c r="QON353" s="268"/>
      <c r="QOO353" s="268"/>
      <c r="QOP353" s="268"/>
      <c r="QOQ353" s="268"/>
      <c r="QOR353" s="268"/>
      <c r="QOS353" s="268"/>
      <c r="QOT353" s="268"/>
      <c r="QOU353" s="268"/>
      <c r="QOV353" s="268"/>
      <c r="QOW353" s="268"/>
      <c r="QOX353" s="268"/>
      <c r="QOY353" s="268"/>
      <c r="QOZ353" s="268"/>
      <c r="QPA353" s="268"/>
      <c r="QPB353" s="268"/>
      <c r="QPC353" s="268"/>
      <c r="QPD353" s="268"/>
      <c r="QPE353" s="268"/>
      <c r="QPF353" s="268"/>
      <c r="QPG353" s="268"/>
      <c r="QPH353" s="268"/>
      <c r="QPI353" s="268"/>
      <c r="QPJ353" s="268"/>
      <c r="QPK353" s="268"/>
      <c r="QPL353" s="268"/>
      <c r="QPM353" s="268"/>
      <c r="QPN353" s="268"/>
      <c r="QPO353" s="268"/>
      <c r="QPP353" s="268"/>
      <c r="QPQ353" s="268"/>
      <c r="QPR353" s="268"/>
      <c r="QPS353" s="268"/>
      <c r="QPT353" s="268"/>
      <c r="QPU353" s="268"/>
      <c r="QPV353" s="268"/>
      <c r="QPW353" s="268"/>
      <c r="QPX353" s="268"/>
      <c r="QPY353" s="268"/>
      <c r="QPZ353" s="268"/>
      <c r="QQA353" s="268"/>
      <c r="QQB353" s="268"/>
      <c r="QQC353" s="268"/>
      <c r="QQD353" s="268"/>
      <c r="QQE353" s="268"/>
      <c r="QQF353" s="268"/>
      <c r="QQG353" s="268"/>
      <c r="QQH353" s="268"/>
      <c r="QQI353" s="268"/>
      <c r="QQJ353" s="268"/>
      <c r="QQK353" s="268"/>
      <c r="QQL353" s="268"/>
      <c r="QQM353" s="268"/>
      <c r="QQN353" s="268"/>
      <c r="QQO353" s="268"/>
      <c r="QQP353" s="268"/>
      <c r="QQQ353" s="268"/>
      <c r="QQR353" s="268"/>
      <c r="QQS353" s="268"/>
      <c r="QQT353" s="268"/>
      <c r="QQU353" s="268"/>
      <c r="QQV353" s="268"/>
      <c r="QQW353" s="268"/>
      <c r="QQX353" s="268"/>
      <c r="QQY353" s="268"/>
      <c r="QQZ353" s="268"/>
      <c r="QRA353" s="268"/>
      <c r="QRB353" s="268"/>
      <c r="QRC353" s="268"/>
      <c r="QRD353" s="268"/>
      <c r="QRE353" s="268"/>
      <c r="QRF353" s="268"/>
      <c r="QRG353" s="268"/>
      <c r="QRH353" s="268"/>
      <c r="QRI353" s="268"/>
      <c r="QRJ353" s="268"/>
      <c r="QRK353" s="268"/>
      <c r="QRL353" s="268"/>
      <c r="QRM353" s="268"/>
      <c r="QRN353" s="268"/>
      <c r="QRO353" s="268"/>
      <c r="QRP353" s="268"/>
      <c r="QRQ353" s="268"/>
      <c r="QRR353" s="268"/>
      <c r="QRS353" s="268"/>
      <c r="QRT353" s="268"/>
      <c r="QRU353" s="268"/>
      <c r="QRV353" s="268"/>
      <c r="QRW353" s="268"/>
      <c r="QRX353" s="268"/>
      <c r="QRY353" s="268"/>
      <c r="QRZ353" s="268"/>
      <c r="QSA353" s="268"/>
      <c r="QSB353" s="268"/>
      <c r="QSC353" s="268"/>
      <c r="QSD353" s="268"/>
      <c r="QSE353" s="268"/>
      <c r="QSF353" s="268"/>
      <c r="QSG353" s="268"/>
      <c r="QSH353" s="268"/>
      <c r="QSI353" s="268"/>
      <c r="QSJ353" s="268"/>
      <c r="QSK353" s="268"/>
      <c r="QSL353" s="268"/>
      <c r="QSM353" s="268"/>
      <c r="QSN353" s="268"/>
      <c r="QSO353" s="268"/>
      <c r="QSP353" s="268"/>
      <c r="QSQ353" s="268"/>
      <c r="QSR353" s="268"/>
      <c r="QSS353" s="268"/>
      <c r="QST353" s="268"/>
      <c r="QSU353" s="268"/>
      <c r="QSV353" s="268"/>
      <c r="QSW353" s="268"/>
      <c r="QSX353" s="268"/>
      <c r="QSY353" s="268"/>
      <c r="QSZ353" s="268"/>
      <c r="QTA353" s="268"/>
      <c r="QTB353" s="268"/>
      <c r="QTC353" s="268"/>
      <c r="QTD353" s="268"/>
      <c r="QTE353" s="268"/>
      <c r="QTF353" s="268"/>
      <c r="QTG353" s="268"/>
      <c r="QTH353" s="268"/>
      <c r="QTI353" s="268"/>
      <c r="QTJ353" s="268"/>
      <c r="QTK353" s="268"/>
      <c r="QTY353" s="268"/>
      <c r="QTZ353" s="268"/>
      <c r="QUA353" s="268"/>
      <c r="QUO353" s="268"/>
      <c r="QUQ353" s="268"/>
      <c r="QUR353" s="268"/>
      <c r="QUS353" s="268"/>
      <c r="QUT353" s="268"/>
      <c r="QUU353" s="268"/>
      <c r="QUV353" s="268"/>
      <c r="QUW353" s="268"/>
      <c r="QUX353" s="268"/>
      <c r="QUY353" s="268"/>
      <c r="QUZ353" s="268"/>
      <c r="QVA353" s="268"/>
      <c r="QVB353" s="268"/>
      <c r="QVC353" s="268"/>
      <c r="QVD353" s="268"/>
      <c r="QVE353" s="268"/>
      <c r="QVF353" s="268"/>
      <c r="QVG353" s="268"/>
      <c r="QVH353" s="268"/>
      <c r="QVI353" s="268"/>
      <c r="QVJ353" s="268"/>
      <c r="QVK353" s="268"/>
      <c r="QVL353" s="268"/>
      <c r="QVM353" s="268"/>
      <c r="QVN353" s="268"/>
      <c r="QVO353" s="268"/>
      <c r="QVP353" s="268"/>
      <c r="QVQ353" s="268"/>
      <c r="QVR353" s="268"/>
      <c r="QVS353" s="268"/>
      <c r="QVT353" s="268"/>
      <c r="QVU353" s="268"/>
      <c r="QVV353" s="268"/>
      <c r="QVW353" s="268"/>
      <c r="QVX353" s="268"/>
      <c r="QVY353" s="268"/>
      <c r="QVZ353" s="268"/>
      <c r="QWA353" s="268"/>
      <c r="QWB353" s="268"/>
      <c r="QWC353" s="268"/>
      <c r="QWD353" s="268"/>
      <c r="QWE353" s="268"/>
      <c r="QWF353" s="268"/>
      <c r="QWG353" s="268"/>
      <c r="QWH353" s="268"/>
      <c r="QWI353" s="268"/>
      <c r="QWJ353" s="268"/>
      <c r="QWK353" s="268"/>
      <c r="QWL353" s="268"/>
      <c r="QWM353" s="268"/>
      <c r="QWN353" s="268"/>
      <c r="QWO353" s="268"/>
      <c r="QWP353" s="268"/>
      <c r="QWQ353" s="268"/>
      <c r="QWR353" s="268"/>
      <c r="QWS353" s="268"/>
      <c r="QWT353" s="268"/>
      <c r="QWU353" s="268"/>
      <c r="QWV353" s="268"/>
      <c r="QWW353" s="268"/>
      <c r="QWX353" s="268"/>
      <c r="QWY353" s="268"/>
      <c r="QWZ353" s="268"/>
      <c r="QXA353" s="268"/>
      <c r="QXB353" s="268"/>
      <c r="QXC353" s="268"/>
      <c r="QXD353" s="268"/>
      <c r="QXE353" s="268"/>
      <c r="QXF353" s="268"/>
      <c r="QXG353" s="268"/>
      <c r="QXH353" s="268"/>
      <c r="QXI353" s="268"/>
      <c r="QXJ353" s="268"/>
      <c r="QXK353" s="268"/>
      <c r="QXL353" s="268"/>
      <c r="QXM353" s="268"/>
      <c r="QXN353" s="268"/>
      <c r="QXO353" s="268"/>
      <c r="QXP353" s="268"/>
      <c r="QXQ353" s="268"/>
      <c r="QXR353" s="268"/>
      <c r="QXS353" s="268"/>
      <c r="QXT353" s="268"/>
      <c r="QXU353" s="268"/>
      <c r="QXV353" s="268"/>
      <c r="QXW353" s="268"/>
      <c r="QXX353" s="268"/>
      <c r="QXY353" s="268"/>
      <c r="QXZ353" s="268"/>
      <c r="QYA353" s="268"/>
      <c r="QYB353" s="268"/>
      <c r="QYC353" s="268"/>
      <c r="QYD353" s="268"/>
      <c r="QYE353" s="268"/>
      <c r="QYF353" s="268"/>
      <c r="QYG353" s="268"/>
      <c r="QYH353" s="268"/>
      <c r="QYI353" s="268"/>
      <c r="QYJ353" s="268"/>
      <c r="QYK353" s="268"/>
      <c r="QYL353" s="268"/>
      <c r="QYM353" s="268"/>
      <c r="QYN353" s="268"/>
      <c r="QYO353" s="268"/>
      <c r="QYP353" s="268"/>
      <c r="QYQ353" s="268"/>
      <c r="QYR353" s="268"/>
      <c r="QYS353" s="268"/>
      <c r="QYT353" s="268"/>
      <c r="QYU353" s="268"/>
      <c r="QYV353" s="268"/>
      <c r="QYW353" s="268"/>
      <c r="QYX353" s="268"/>
      <c r="QYY353" s="268"/>
      <c r="QYZ353" s="268"/>
      <c r="QZA353" s="268"/>
      <c r="QZB353" s="268"/>
      <c r="QZC353" s="268"/>
      <c r="QZD353" s="268"/>
      <c r="QZE353" s="268"/>
      <c r="QZF353" s="268"/>
      <c r="QZG353" s="268"/>
      <c r="QZH353" s="268"/>
      <c r="QZI353" s="268"/>
      <c r="QZJ353" s="268"/>
      <c r="QZK353" s="268"/>
      <c r="QZL353" s="268"/>
      <c r="QZM353" s="268"/>
      <c r="QZN353" s="268"/>
      <c r="QZO353" s="268"/>
      <c r="QZP353" s="268"/>
      <c r="QZQ353" s="268"/>
      <c r="QZR353" s="268"/>
      <c r="QZS353" s="268"/>
      <c r="QZT353" s="268"/>
      <c r="QZU353" s="268"/>
      <c r="QZV353" s="268"/>
      <c r="QZW353" s="268"/>
      <c r="QZX353" s="268"/>
      <c r="QZY353" s="268"/>
      <c r="QZZ353" s="268"/>
      <c r="RAA353" s="268"/>
      <c r="RAB353" s="268"/>
      <c r="RAC353" s="268"/>
      <c r="RAD353" s="268"/>
      <c r="RAE353" s="268"/>
      <c r="RAF353" s="268"/>
      <c r="RAG353" s="268"/>
      <c r="RAH353" s="268"/>
      <c r="RAI353" s="268"/>
      <c r="RAJ353" s="268"/>
      <c r="RAK353" s="268"/>
      <c r="RAL353" s="268"/>
      <c r="RAM353" s="268"/>
      <c r="RAN353" s="268"/>
      <c r="RAO353" s="268"/>
      <c r="RAP353" s="268"/>
      <c r="RAQ353" s="268"/>
      <c r="RAR353" s="268"/>
      <c r="RAS353" s="268"/>
      <c r="RAT353" s="268"/>
      <c r="RAU353" s="268"/>
      <c r="RAV353" s="268"/>
      <c r="RAW353" s="268"/>
      <c r="RAX353" s="268"/>
      <c r="RAY353" s="268"/>
      <c r="RAZ353" s="268"/>
      <c r="RBA353" s="268"/>
      <c r="RBB353" s="268"/>
      <c r="RBC353" s="268"/>
      <c r="RBD353" s="268"/>
      <c r="RBE353" s="268"/>
      <c r="RBF353" s="268"/>
      <c r="RBG353" s="268"/>
      <c r="RBH353" s="268"/>
      <c r="RBI353" s="268"/>
      <c r="RBJ353" s="268"/>
      <c r="RBK353" s="268"/>
      <c r="RBL353" s="268"/>
      <c r="RBM353" s="268"/>
      <c r="RBN353" s="268"/>
      <c r="RBO353" s="268"/>
      <c r="RBP353" s="268"/>
      <c r="RBQ353" s="268"/>
      <c r="RBR353" s="268"/>
      <c r="RBS353" s="268"/>
      <c r="RBT353" s="268"/>
      <c r="RBU353" s="268"/>
      <c r="RBV353" s="268"/>
      <c r="RBW353" s="268"/>
      <c r="RBX353" s="268"/>
      <c r="RBY353" s="268"/>
      <c r="RBZ353" s="268"/>
      <c r="RCA353" s="268"/>
      <c r="RCB353" s="268"/>
      <c r="RCC353" s="268"/>
      <c r="RCD353" s="268"/>
      <c r="RCE353" s="268"/>
      <c r="RCF353" s="268"/>
      <c r="RCG353" s="268"/>
      <c r="RCH353" s="268"/>
      <c r="RCI353" s="268"/>
      <c r="RCJ353" s="268"/>
      <c r="RCK353" s="268"/>
      <c r="RCL353" s="268"/>
      <c r="RCM353" s="268"/>
      <c r="RCN353" s="268"/>
      <c r="RCO353" s="268"/>
      <c r="RCP353" s="268"/>
      <c r="RCQ353" s="268"/>
      <c r="RCR353" s="268"/>
      <c r="RCS353" s="268"/>
      <c r="RCT353" s="268"/>
      <c r="RCU353" s="268"/>
      <c r="RCV353" s="268"/>
      <c r="RCW353" s="268"/>
      <c r="RCX353" s="268"/>
      <c r="RCY353" s="268"/>
      <c r="RCZ353" s="268"/>
      <c r="RDA353" s="268"/>
      <c r="RDB353" s="268"/>
      <c r="RDC353" s="268"/>
      <c r="RDD353" s="268"/>
      <c r="RDE353" s="268"/>
      <c r="RDF353" s="268"/>
      <c r="RDG353" s="268"/>
      <c r="RDU353" s="268"/>
      <c r="RDV353" s="268"/>
      <c r="RDW353" s="268"/>
      <c r="REK353" s="268"/>
      <c r="REM353" s="268"/>
      <c r="REN353" s="268"/>
      <c r="REO353" s="268"/>
      <c r="REP353" s="268"/>
      <c r="REQ353" s="268"/>
      <c r="RER353" s="268"/>
      <c r="RES353" s="268"/>
      <c r="RET353" s="268"/>
      <c r="REU353" s="268"/>
      <c r="REV353" s="268"/>
      <c r="REW353" s="268"/>
      <c r="REX353" s="268"/>
      <c r="REY353" s="268"/>
      <c r="REZ353" s="268"/>
      <c r="RFA353" s="268"/>
      <c r="RFB353" s="268"/>
      <c r="RFC353" s="268"/>
      <c r="RFD353" s="268"/>
      <c r="RFE353" s="268"/>
      <c r="RFF353" s="268"/>
      <c r="RFG353" s="268"/>
      <c r="RFH353" s="268"/>
      <c r="RFI353" s="268"/>
      <c r="RFJ353" s="268"/>
      <c r="RFK353" s="268"/>
      <c r="RFL353" s="268"/>
      <c r="RFM353" s="268"/>
      <c r="RFN353" s="268"/>
      <c r="RFO353" s="268"/>
      <c r="RFP353" s="268"/>
      <c r="RFQ353" s="268"/>
      <c r="RFR353" s="268"/>
      <c r="RFS353" s="268"/>
      <c r="RFT353" s="268"/>
      <c r="RFU353" s="268"/>
      <c r="RFV353" s="268"/>
      <c r="RFW353" s="268"/>
      <c r="RFX353" s="268"/>
      <c r="RFY353" s="268"/>
      <c r="RFZ353" s="268"/>
      <c r="RGA353" s="268"/>
      <c r="RGB353" s="268"/>
      <c r="RGC353" s="268"/>
      <c r="RGD353" s="268"/>
      <c r="RGE353" s="268"/>
      <c r="RGF353" s="268"/>
      <c r="RGG353" s="268"/>
      <c r="RGH353" s="268"/>
      <c r="RGI353" s="268"/>
      <c r="RGJ353" s="268"/>
      <c r="RGK353" s="268"/>
      <c r="RGL353" s="268"/>
      <c r="RGM353" s="268"/>
      <c r="RGN353" s="268"/>
      <c r="RGO353" s="268"/>
      <c r="RGP353" s="268"/>
      <c r="RGQ353" s="268"/>
      <c r="RGR353" s="268"/>
      <c r="RGS353" s="268"/>
      <c r="RGT353" s="268"/>
      <c r="RGU353" s="268"/>
      <c r="RGV353" s="268"/>
      <c r="RGW353" s="268"/>
      <c r="RGX353" s="268"/>
      <c r="RGY353" s="268"/>
      <c r="RGZ353" s="268"/>
      <c r="RHA353" s="268"/>
      <c r="RHB353" s="268"/>
      <c r="RHC353" s="268"/>
      <c r="RHD353" s="268"/>
      <c r="RHE353" s="268"/>
      <c r="RHF353" s="268"/>
      <c r="RHG353" s="268"/>
      <c r="RHH353" s="268"/>
      <c r="RHI353" s="268"/>
      <c r="RHJ353" s="268"/>
      <c r="RHK353" s="268"/>
      <c r="RHL353" s="268"/>
      <c r="RHM353" s="268"/>
      <c r="RHN353" s="268"/>
      <c r="RHO353" s="268"/>
      <c r="RHP353" s="268"/>
      <c r="RHQ353" s="268"/>
      <c r="RHR353" s="268"/>
      <c r="RHS353" s="268"/>
      <c r="RHT353" s="268"/>
      <c r="RHU353" s="268"/>
      <c r="RHV353" s="268"/>
      <c r="RHW353" s="268"/>
      <c r="RHX353" s="268"/>
      <c r="RHY353" s="268"/>
      <c r="RHZ353" s="268"/>
      <c r="RIA353" s="268"/>
      <c r="RIB353" s="268"/>
      <c r="RIC353" s="268"/>
      <c r="RID353" s="268"/>
      <c r="RIE353" s="268"/>
      <c r="RIF353" s="268"/>
      <c r="RIG353" s="268"/>
      <c r="RIH353" s="268"/>
      <c r="RII353" s="268"/>
      <c r="RIJ353" s="268"/>
      <c r="RIK353" s="268"/>
      <c r="RIL353" s="268"/>
      <c r="RIM353" s="268"/>
      <c r="RIN353" s="268"/>
      <c r="RIO353" s="268"/>
      <c r="RIP353" s="268"/>
      <c r="RIQ353" s="268"/>
      <c r="RIR353" s="268"/>
      <c r="RIS353" s="268"/>
      <c r="RIT353" s="268"/>
      <c r="RIU353" s="268"/>
      <c r="RIV353" s="268"/>
      <c r="RIW353" s="268"/>
      <c r="RIX353" s="268"/>
      <c r="RIY353" s="268"/>
      <c r="RIZ353" s="268"/>
      <c r="RJA353" s="268"/>
      <c r="RJB353" s="268"/>
      <c r="RJC353" s="268"/>
      <c r="RJD353" s="268"/>
      <c r="RJE353" s="268"/>
      <c r="RJF353" s="268"/>
      <c r="RJG353" s="268"/>
      <c r="RJH353" s="268"/>
      <c r="RJI353" s="268"/>
      <c r="RJJ353" s="268"/>
      <c r="RJK353" s="268"/>
      <c r="RJL353" s="268"/>
      <c r="RJM353" s="268"/>
      <c r="RJN353" s="268"/>
      <c r="RJO353" s="268"/>
      <c r="RJP353" s="268"/>
      <c r="RJQ353" s="268"/>
      <c r="RJR353" s="268"/>
      <c r="RJS353" s="268"/>
      <c r="RJT353" s="268"/>
      <c r="RJU353" s="268"/>
      <c r="RJV353" s="268"/>
      <c r="RJW353" s="268"/>
      <c r="RJX353" s="268"/>
      <c r="RJY353" s="268"/>
      <c r="RJZ353" s="268"/>
      <c r="RKA353" s="268"/>
      <c r="RKB353" s="268"/>
      <c r="RKC353" s="268"/>
      <c r="RKD353" s="268"/>
      <c r="RKE353" s="268"/>
      <c r="RKF353" s="268"/>
      <c r="RKG353" s="268"/>
      <c r="RKH353" s="268"/>
      <c r="RKI353" s="268"/>
      <c r="RKJ353" s="268"/>
      <c r="RKK353" s="268"/>
      <c r="RKL353" s="268"/>
      <c r="RKM353" s="268"/>
      <c r="RKN353" s="268"/>
      <c r="RKO353" s="268"/>
      <c r="RKP353" s="268"/>
      <c r="RKQ353" s="268"/>
      <c r="RKR353" s="268"/>
      <c r="RKS353" s="268"/>
      <c r="RKT353" s="268"/>
      <c r="RKU353" s="268"/>
      <c r="RKV353" s="268"/>
      <c r="RKW353" s="268"/>
      <c r="RKX353" s="268"/>
      <c r="RKY353" s="268"/>
      <c r="RKZ353" s="268"/>
      <c r="RLA353" s="268"/>
      <c r="RLB353" s="268"/>
      <c r="RLC353" s="268"/>
      <c r="RLD353" s="268"/>
      <c r="RLE353" s="268"/>
      <c r="RLF353" s="268"/>
      <c r="RLG353" s="268"/>
      <c r="RLH353" s="268"/>
      <c r="RLI353" s="268"/>
      <c r="RLJ353" s="268"/>
      <c r="RLK353" s="268"/>
      <c r="RLL353" s="268"/>
      <c r="RLM353" s="268"/>
      <c r="RLN353" s="268"/>
      <c r="RLO353" s="268"/>
      <c r="RLP353" s="268"/>
      <c r="RLQ353" s="268"/>
      <c r="RLR353" s="268"/>
      <c r="RLS353" s="268"/>
      <c r="RLT353" s="268"/>
      <c r="RLU353" s="268"/>
      <c r="RLV353" s="268"/>
      <c r="RLW353" s="268"/>
      <c r="RLX353" s="268"/>
      <c r="RLY353" s="268"/>
      <c r="RLZ353" s="268"/>
      <c r="RMA353" s="268"/>
      <c r="RMB353" s="268"/>
      <c r="RMC353" s="268"/>
      <c r="RMD353" s="268"/>
      <c r="RME353" s="268"/>
      <c r="RMF353" s="268"/>
      <c r="RMG353" s="268"/>
      <c r="RMH353" s="268"/>
      <c r="RMI353" s="268"/>
      <c r="RMJ353" s="268"/>
      <c r="RMK353" s="268"/>
      <c r="RML353" s="268"/>
      <c r="RMM353" s="268"/>
      <c r="RMN353" s="268"/>
      <c r="RMO353" s="268"/>
      <c r="RMP353" s="268"/>
      <c r="RMQ353" s="268"/>
      <c r="RMR353" s="268"/>
      <c r="RMS353" s="268"/>
      <c r="RMT353" s="268"/>
      <c r="RMU353" s="268"/>
      <c r="RMV353" s="268"/>
      <c r="RMW353" s="268"/>
      <c r="RMX353" s="268"/>
      <c r="RMY353" s="268"/>
      <c r="RMZ353" s="268"/>
      <c r="RNA353" s="268"/>
      <c r="RNB353" s="268"/>
      <c r="RNC353" s="268"/>
      <c r="RNQ353" s="268"/>
      <c r="RNR353" s="268"/>
      <c r="RNS353" s="268"/>
      <c r="ROG353" s="268"/>
      <c r="ROI353" s="268"/>
      <c r="ROJ353" s="268"/>
      <c r="ROK353" s="268"/>
      <c r="ROL353" s="268"/>
      <c r="ROM353" s="268"/>
      <c r="RON353" s="268"/>
      <c r="ROO353" s="268"/>
      <c r="ROP353" s="268"/>
      <c r="ROQ353" s="268"/>
      <c r="ROR353" s="268"/>
      <c r="ROS353" s="268"/>
      <c r="ROT353" s="268"/>
      <c r="ROU353" s="268"/>
      <c r="ROV353" s="268"/>
      <c r="ROW353" s="268"/>
      <c r="ROX353" s="268"/>
      <c r="ROY353" s="268"/>
      <c r="ROZ353" s="268"/>
      <c r="RPA353" s="268"/>
      <c r="RPB353" s="268"/>
      <c r="RPC353" s="268"/>
      <c r="RPD353" s="268"/>
      <c r="RPE353" s="268"/>
      <c r="RPF353" s="268"/>
      <c r="RPG353" s="268"/>
      <c r="RPH353" s="268"/>
      <c r="RPI353" s="268"/>
      <c r="RPJ353" s="268"/>
      <c r="RPK353" s="268"/>
      <c r="RPL353" s="268"/>
      <c r="RPM353" s="268"/>
      <c r="RPN353" s="268"/>
      <c r="RPO353" s="268"/>
      <c r="RPP353" s="268"/>
      <c r="RPQ353" s="268"/>
      <c r="RPR353" s="268"/>
      <c r="RPS353" s="268"/>
      <c r="RPT353" s="268"/>
      <c r="RPU353" s="268"/>
      <c r="RPV353" s="268"/>
      <c r="RPW353" s="268"/>
      <c r="RPX353" s="268"/>
      <c r="RPY353" s="268"/>
      <c r="RPZ353" s="268"/>
      <c r="RQA353" s="268"/>
      <c r="RQB353" s="268"/>
      <c r="RQC353" s="268"/>
      <c r="RQD353" s="268"/>
      <c r="RQE353" s="268"/>
      <c r="RQF353" s="268"/>
      <c r="RQG353" s="268"/>
      <c r="RQH353" s="268"/>
      <c r="RQI353" s="268"/>
      <c r="RQJ353" s="268"/>
      <c r="RQK353" s="268"/>
      <c r="RQL353" s="268"/>
      <c r="RQM353" s="268"/>
      <c r="RQN353" s="268"/>
      <c r="RQO353" s="268"/>
      <c r="RQP353" s="268"/>
      <c r="RQQ353" s="268"/>
      <c r="RQR353" s="268"/>
      <c r="RQS353" s="268"/>
      <c r="RQT353" s="268"/>
      <c r="RQU353" s="268"/>
      <c r="RQV353" s="268"/>
      <c r="RQW353" s="268"/>
      <c r="RQX353" s="268"/>
      <c r="RQY353" s="268"/>
      <c r="RQZ353" s="268"/>
      <c r="RRA353" s="268"/>
      <c r="RRB353" s="268"/>
      <c r="RRC353" s="268"/>
      <c r="RRD353" s="268"/>
      <c r="RRE353" s="268"/>
      <c r="RRF353" s="268"/>
      <c r="RRG353" s="268"/>
      <c r="RRH353" s="268"/>
      <c r="RRI353" s="268"/>
      <c r="RRJ353" s="268"/>
      <c r="RRK353" s="268"/>
      <c r="RRL353" s="268"/>
      <c r="RRM353" s="268"/>
      <c r="RRN353" s="268"/>
      <c r="RRO353" s="268"/>
      <c r="RRP353" s="268"/>
      <c r="RRQ353" s="268"/>
      <c r="RRR353" s="268"/>
      <c r="RRS353" s="268"/>
      <c r="RRT353" s="268"/>
      <c r="RRU353" s="268"/>
      <c r="RRV353" s="268"/>
      <c r="RRW353" s="268"/>
      <c r="RRX353" s="268"/>
      <c r="RRY353" s="268"/>
      <c r="RRZ353" s="268"/>
      <c r="RSA353" s="268"/>
      <c r="RSB353" s="268"/>
      <c r="RSC353" s="268"/>
      <c r="RSD353" s="268"/>
      <c r="RSE353" s="268"/>
      <c r="RSF353" s="268"/>
      <c r="RSG353" s="268"/>
      <c r="RSH353" s="268"/>
      <c r="RSI353" s="268"/>
      <c r="RSJ353" s="268"/>
      <c r="RSK353" s="268"/>
      <c r="RSL353" s="268"/>
      <c r="RSM353" s="268"/>
      <c r="RSN353" s="268"/>
      <c r="RSO353" s="268"/>
      <c r="RSP353" s="268"/>
      <c r="RSQ353" s="268"/>
      <c r="RSR353" s="268"/>
      <c r="RSS353" s="268"/>
      <c r="RST353" s="268"/>
      <c r="RSU353" s="268"/>
      <c r="RSV353" s="268"/>
      <c r="RSW353" s="268"/>
      <c r="RSX353" s="268"/>
      <c r="RSY353" s="268"/>
      <c r="RSZ353" s="268"/>
      <c r="RTA353" s="268"/>
      <c r="RTB353" s="268"/>
      <c r="RTC353" s="268"/>
      <c r="RTD353" s="268"/>
      <c r="RTE353" s="268"/>
      <c r="RTF353" s="268"/>
      <c r="RTG353" s="268"/>
      <c r="RTH353" s="268"/>
      <c r="RTI353" s="268"/>
      <c r="RTJ353" s="268"/>
      <c r="RTK353" s="268"/>
      <c r="RTL353" s="268"/>
      <c r="RTM353" s="268"/>
      <c r="RTN353" s="268"/>
      <c r="RTO353" s="268"/>
      <c r="RTP353" s="268"/>
      <c r="RTQ353" s="268"/>
      <c r="RTR353" s="268"/>
      <c r="RTS353" s="268"/>
      <c r="RTT353" s="268"/>
      <c r="RTU353" s="268"/>
      <c r="RTV353" s="268"/>
      <c r="RTW353" s="268"/>
      <c r="RTX353" s="268"/>
      <c r="RTY353" s="268"/>
      <c r="RTZ353" s="268"/>
      <c r="RUA353" s="268"/>
      <c r="RUB353" s="268"/>
      <c r="RUC353" s="268"/>
      <c r="RUD353" s="268"/>
      <c r="RUE353" s="268"/>
      <c r="RUF353" s="268"/>
      <c r="RUG353" s="268"/>
      <c r="RUH353" s="268"/>
      <c r="RUI353" s="268"/>
      <c r="RUJ353" s="268"/>
      <c r="RUK353" s="268"/>
      <c r="RUL353" s="268"/>
      <c r="RUM353" s="268"/>
      <c r="RUN353" s="268"/>
      <c r="RUO353" s="268"/>
      <c r="RUP353" s="268"/>
      <c r="RUQ353" s="268"/>
      <c r="RUR353" s="268"/>
      <c r="RUS353" s="268"/>
      <c r="RUT353" s="268"/>
      <c r="RUU353" s="268"/>
      <c r="RUV353" s="268"/>
      <c r="RUW353" s="268"/>
      <c r="RUX353" s="268"/>
      <c r="RUY353" s="268"/>
      <c r="RUZ353" s="268"/>
      <c r="RVA353" s="268"/>
      <c r="RVB353" s="268"/>
      <c r="RVC353" s="268"/>
      <c r="RVD353" s="268"/>
      <c r="RVE353" s="268"/>
      <c r="RVF353" s="268"/>
      <c r="RVG353" s="268"/>
      <c r="RVH353" s="268"/>
      <c r="RVI353" s="268"/>
      <c r="RVJ353" s="268"/>
      <c r="RVK353" s="268"/>
      <c r="RVL353" s="268"/>
      <c r="RVM353" s="268"/>
      <c r="RVN353" s="268"/>
      <c r="RVO353" s="268"/>
      <c r="RVP353" s="268"/>
      <c r="RVQ353" s="268"/>
      <c r="RVR353" s="268"/>
      <c r="RVS353" s="268"/>
      <c r="RVT353" s="268"/>
      <c r="RVU353" s="268"/>
      <c r="RVV353" s="268"/>
      <c r="RVW353" s="268"/>
      <c r="RVX353" s="268"/>
      <c r="RVY353" s="268"/>
      <c r="RVZ353" s="268"/>
      <c r="RWA353" s="268"/>
      <c r="RWB353" s="268"/>
      <c r="RWC353" s="268"/>
      <c r="RWD353" s="268"/>
      <c r="RWE353" s="268"/>
      <c r="RWF353" s="268"/>
      <c r="RWG353" s="268"/>
      <c r="RWH353" s="268"/>
      <c r="RWI353" s="268"/>
      <c r="RWJ353" s="268"/>
      <c r="RWK353" s="268"/>
      <c r="RWL353" s="268"/>
      <c r="RWM353" s="268"/>
      <c r="RWN353" s="268"/>
      <c r="RWO353" s="268"/>
      <c r="RWP353" s="268"/>
      <c r="RWQ353" s="268"/>
      <c r="RWR353" s="268"/>
      <c r="RWS353" s="268"/>
      <c r="RWT353" s="268"/>
      <c r="RWU353" s="268"/>
      <c r="RWV353" s="268"/>
      <c r="RWW353" s="268"/>
      <c r="RWX353" s="268"/>
      <c r="RWY353" s="268"/>
      <c r="RXM353" s="268"/>
      <c r="RXN353" s="268"/>
      <c r="RXO353" s="268"/>
      <c r="RYC353" s="268"/>
      <c r="RYE353" s="268"/>
      <c r="RYF353" s="268"/>
      <c r="RYG353" s="268"/>
      <c r="RYH353" s="268"/>
      <c r="RYI353" s="268"/>
      <c r="RYJ353" s="268"/>
      <c r="RYK353" s="268"/>
      <c r="RYL353" s="268"/>
      <c r="RYM353" s="268"/>
      <c r="RYN353" s="268"/>
      <c r="RYO353" s="268"/>
      <c r="RYP353" s="268"/>
      <c r="RYQ353" s="268"/>
      <c r="RYR353" s="268"/>
      <c r="RYS353" s="268"/>
      <c r="RYT353" s="268"/>
      <c r="RYU353" s="268"/>
      <c r="RYV353" s="268"/>
      <c r="RYW353" s="268"/>
      <c r="RYX353" s="268"/>
      <c r="RYY353" s="268"/>
      <c r="RYZ353" s="268"/>
      <c r="RZA353" s="268"/>
      <c r="RZB353" s="268"/>
      <c r="RZC353" s="268"/>
      <c r="RZD353" s="268"/>
      <c r="RZE353" s="268"/>
      <c r="RZF353" s="268"/>
      <c r="RZG353" s="268"/>
      <c r="RZH353" s="268"/>
      <c r="RZI353" s="268"/>
      <c r="RZJ353" s="268"/>
      <c r="RZK353" s="268"/>
      <c r="RZL353" s="268"/>
      <c r="RZM353" s="268"/>
      <c r="RZN353" s="268"/>
      <c r="RZO353" s="268"/>
      <c r="RZP353" s="268"/>
      <c r="RZQ353" s="268"/>
      <c r="RZR353" s="268"/>
      <c r="RZS353" s="268"/>
      <c r="RZT353" s="268"/>
      <c r="RZU353" s="268"/>
      <c r="RZV353" s="268"/>
      <c r="RZW353" s="268"/>
      <c r="RZX353" s="268"/>
      <c r="RZY353" s="268"/>
      <c r="RZZ353" s="268"/>
      <c r="SAA353" s="268"/>
      <c r="SAB353" s="268"/>
      <c r="SAC353" s="268"/>
      <c r="SAD353" s="268"/>
      <c r="SAE353" s="268"/>
      <c r="SAF353" s="268"/>
      <c r="SAG353" s="268"/>
      <c r="SAH353" s="268"/>
      <c r="SAI353" s="268"/>
      <c r="SAJ353" s="268"/>
      <c r="SAK353" s="268"/>
      <c r="SAL353" s="268"/>
      <c r="SAM353" s="268"/>
      <c r="SAN353" s="268"/>
      <c r="SAO353" s="268"/>
      <c r="SAP353" s="268"/>
      <c r="SAQ353" s="268"/>
      <c r="SAR353" s="268"/>
      <c r="SAS353" s="268"/>
      <c r="SAT353" s="268"/>
      <c r="SAU353" s="268"/>
      <c r="SAV353" s="268"/>
      <c r="SAW353" s="268"/>
      <c r="SAX353" s="268"/>
      <c r="SAY353" s="268"/>
      <c r="SAZ353" s="268"/>
      <c r="SBA353" s="268"/>
      <c r="SBB353" s="268"/>
      <c r="SBC353" s="268"/>
      <c r="SBD353" s="268"/>
      <c r="SBE353" s="268"/>
      <c r="SBF353" s="268"/>
      <c r="SBG353" s="268"/>
      <c r="SBH353" s="268"/>
      <c r="SBI353" s="268"/>
      <c r="SBJ353" s="268"/>
      <c r="SBK353" s="268"/>
      <c r="SBL353" s="268"/>
      <c r="SBM353" s="268"/>
      <c r="SBN353" s="268"/>
      <c r="SBO353" s="268"/>
      <c r="SBP353" s="268"/>
      <c r="SBQ353" s="268"/>
      <c r="SBR353" s="268"/>
      <c r="SBS353" s="268"/>
      <c r="SBT353" s="268"/>
      <c r="SBU353" s="268"/>
      <c r="SBV353" s="268"/>
      <c r="SBW353" s="268"/>
      <c r="SBX353" s="268"/>
      <c r="SBY353" s="268"/>
      <c r="SBZ353" s="268"/>
      <c r="SCA353" s="268"/>
      <c r="SCB353" s="268"/>
      <c r="SCC353" s="268"/>
      <c r="SCD353" s="268"/>
      <c r="SCE353" s="268"/>
      <c r="SCF353" s="268"/>
      <c r="SCG353" s="268"/>
      <c r="SCH353" s="268"/>
      <c r="SCI353" s="268"/>
      <c r="SCJ353" s="268"/>
      <c r="SCK353" s="268"/>
      <c r="SCL353" s="268"/>
      <c r="SCM353" s="268"/>
      <c r="SCN353" s="268"/>
      <c r="SCO353" s="268"/>
      <c r="SCP353" s="268"/>
      <c r="SCQ353" s="268"/>
      <c r="SCR353" s="268"/>
      <c r="SCS353" s="268"/>
      <c r="SCT353" s="268"/>
      <c r="SCU353" s="268"/>
      <c r="SCV353" s="268"/>
      <c r="SCW353" s="268"/>
      <c r="SCX353" s="268"/>
      <c r="SCY353" s="268"/>
      <c r="SCZ353" s="268"/>
      <c r="SDA353" s="268"/>
      <c r="SDB353" s="268"/>
      <c r="SDC353" s="268"/>
      <c r="SDD353" s="268"/>
      <c r="SDE353" s="268"/>
      <c r="SDF353" s="268"/>
      <c r="SDG353" s="268"/>
      <c r="SDH353" s="268"/>
      <c r="SDI353" s="268"/>
      <c r="SDJ353" s="268"/>
      <c r="SDK353" s="268"/>
      <c r="SDL353" s="268"/>
      <c r="SDM353" s="268"/>
      <c r="SDN353" s="268"/>
      <c r="SDO353" s="268"/>
      <c r="SDP353" s="268"/>
      <c r="SDQ353" s="268"/>
      <c r="SDR353" s="268"/>
      <c r="SDS353" s="268"/>
      <c r="SDT353" s="268"/>
      <c r="SDU353" s="268"/>
      <c r="SDV353" s="268"/>
      <c r="SDW353" s="268"/>
      <c r="SDX353" s="268"/>
      <c r="SDY353" s="268"/>
      <c r="SDZ353" s="268"/>
      <c r="SEA353" s="268"/>
      <c r="SEB353" s="268"/>
      <c r="SEC353" s="268"/>
      <c r="SED353" s="268"/>
      <c r="SEE353" s="268"/>
      <c r="SEF353" s="268"/>
      <c r="SEG353" s="268"/>
      <c r="SEH353" s="268"/>
      <c r="SEI353" s="268"/>
      <c r="SEJ353" s="268"/>
      <c r="SEK353" s="268"/>
      <c r="SEL353" s="268"/>
      <c r="SEM353" s="268"/>
      <c r="SEN353" s="268"/>
      <c r="SEO353" s="268"/>
      <c r="SEP353" s="268"/>
      <c r="SEQ353" s="268"/>
      <c r="SER353" s="268"/>
      <c r="SES353" s="268"/>
      <c r="SET353" s="268"/>
      <c r="SEU353" s="268"/>
      <c r="SEV353" s="268"/>
      <c r="SEW353" s="268"/>
      <c r="SEX353" s="268"/>
      <c r="SEY353" s="268"/>
      <c r="SEZ353" s="268"/>
      <c r="SFA353" s="268"/>
      <c r="SFB353" s="268"/>
      <c r="SFC353" s="268"/>
      <c r="SFD353" s="268"/>
      <c r="SFE353" s="268"/>
      <c r="SFF353" s="268"/>
      <c r="SFG353" s="268"/>
      <c r="SFH353" s="268"/>
      <c r="SFI353" s="268"/>
      <c r="SFJ353" s="268"/>
      <c r="SFK353" s="268"/>
      <c r="SFL353" s="268"/>
      <c r="SFM353" s="268"/>
      <c r="SFN353" s="268"/>
      <c r="SFO353" s="268"/>
      <c r="SFP353" s="268"/>
      <c r="SFQ353" s="268"/>
      <c r="SFR353" s="268"/>
      <c r="SFS353" s="268"/>
      <c r="SFT353" s="268"/>
      <c r="SFU353" s="268"/>
      <c r="SFV353" s="268"/>
      <c r="SFW353" s="268"/>
      <c r="SFX353" s="268"/>
      <c r="SFY353" s="268"/>
      <c r="SFZ353" s="268"/>
      <c r="SGA353" s="268"/>
      <c r="SGB353" s="268"/>
      <c r="SGC353" s="268"/>
      <c r="SGD353" s="268"/>
      <c r="SGE353" s="268"/>
      <c r="SGF353" s="268"/>
      <c r="SGG353" s="268"/>
      <c r="SGH353" s="268"/>
      <c r="SGI353" s="268"/>
      <c r="SGJ353" s="268"/>
      <c r="SGK353" s="268"/>
      <c r="SGL353" s="268"/>
      <c r="SGM353" s="268"/>
      <c r="SGN353" s="268"/>
      <c r="SGO353" s="268"/>
      <c r="SGP353" s="268"/>
      <c r="SGQ353" s="268"/>
      <c r="SGR353" s="268"/>
      <c r="SGS353" s="268"/>
      <c r="SGT353" s="268"/>
      <c r="SGU353" s="268"/>
      <c r="SHI353" s="268"/>
      <c r="SHJ353" s="268"/>
      <c r="SHK353" s="268"/>
      <c r="SHY353" s="268"/>
      <c r="SIA353" s="268"/>
      <c r="SIB353" s="268"/>
      <c r="SIC353" s="268"/>
      <c r="SID353" s="268"/>
      <c r="SIE353" s="268"/>
      <c r="SIF353" s="268"/>
      <c r="SIG353" s="268"/>
      <c r="SIH353" s="268"/>
      <c r="SII353" s="268"/>
      <c r="SIJ353" s="268"/>
      <c r="SIK353" s="268"/>
      <c r="SIL353" s="268"/>
      <c r="SIM353" s="268"/>
      <c r="SIN353" s="268"/>
      <c r="SIO353" s="268"/>
      <c r="SIP353" s="268"/>
      <c r="SIQ353" s="268"/>
      <c r="SIR353" s="268"/>
      <c r="SIS353" s="268"/>
      <c r="SIT353" s="268"/>
      <c r="SIU353" s="268"/>
      <c r="SIV353" s="268"/>
      <c r="SIW353" s="268"/>
      <c r="SIX353" s="268"/>
      <c r="SIY353" s="268"/>
      <c r="SIZ353" s="268"/>
      <c r="SJA353" s="268"/>
      <c r="SJB353" s="268"/>
      <c r="SJC353" s="268"/>
      <c r="SJD353" s="268"/>
      <c r="SJE353" s="268"/>
      <c r="SJF353" s="268"/>
      <c r="SJG353" s="268"/>
      <c r="SJH353" s="268"/>
      <c r="SJI353" s="268"/>
      <c r="SJJ353" s="268"/>
      <c r="SJK353" s="268"/>
      <c r="SJL353" s="268"/>
      <c r="SJM353" s="268"/>
      <c r="SJN353" s="268"/>
      <c r="SJO353" s="268"/>
      <c r="SJP353" s="268"/>
      <c r="SJQ353" s="268"/>
      <c r="SJR353" s="268"/>
      <c r="SJS353" s="268"/>
      <c r="SJT353" s="268"/>
      <c r="SJU353" s="268"/>
      <c r="SJV353" s="268"/>
      <c r="SJW353" s="268"/>
      <c r="SJX353" s="268"/>
      <c r="SJY353" s="268"/>
      <c r="SJZ353" s="268"/>
      <c r="SKA353" s="268"/>
      <c r="SKB353" s="268"/>
      <c r="SKC353" s="268"/>
      <c r="SKD353" s="268"/>
      <c r="SKE353" s="268"/>
      <c r="SKF353" s="268"/>
      <c r="SKG353" s="268"/>
      <c r="SKH353" s="268"/>
      <c r="SKI353" s="268"/>
      <c r="SKJ353" s="268"/>
      <c r="SKK353" s="268"/>
      <c r="SKL353" s="268"/>
      <c r="SKM353" s="268"/>
      <c r="SKN353" s="268"/>
      <c r="SKO353" s="268"/>
      <c r="SKP353" s="268"/>
      <c r="SKQ353" s="268"/>
      <c r="SKR353" s="268"/>
      <c r="SKS353" s="268"/>
      <c r="SKT353" s="268"/>
      <c r="SKU353" s="268"/>
      <c r="SKV353" s="268"/>
      <c r="SKW353" s="268"/>
      <c r="SKX353" s="268"/>
      <c r="SKY353" s="268"/>
      <c r="SKZ353" s="268"/>
      <c r="SLA353" s="268"/>
      <c r="SLB353" s="268"/>
      <c r="SLC353" s="268"/>
      <c r="SLD353" s="268"/>
      <c r="SLE353" s="268"/>
      <c r="SLF353" s="268"/>
      <c r="SLG353" s="268"/>
      <c r="SLH353" s="268"/>
      <c r="SLI353" s="268"/>
      <c r="SLJ353" s="268"/>
      <c r="SLK353" s="268"/>
      <c r="SLL353" s="268"/>
      <c r="SLM353" s="268"/>
      <c r="SLN353" s="268"/>
      <c r="SLO353" s="268"/>
      <c r="SLP353" s="268"/>
      <c r="SLQ353" s="268"/>
      <c r="SLR353" s="268"/>
      <c r="SLS353" s="268"/>
      <c r="SLT353" s="268"/>
      <c r="SLU353" s="268"/>
      <c r="SLV353" s="268"/>
      <c r="SLW353" s="268"/>
      <c r="SLX353" s="268"/>
      <c r="SLY353" s="268"/>
      <c r="SLZ353" s="268"/>
      <c r="SMA353" s="268"/>
      <c r="SMB353" s="268"/>
      <c r="SMC353" s="268"/>
      <c r="SMD353" s="268"/>
      <c r="SME353" s="268"/>
      <c r="SMF353" s="268"/>
      <c r="SMG353" s="268"/>
      <c r="SMH353" s="268"/>
      <c r="SMI353" s="268"/>
      <c r="SMJ353" s="268"/>
      <c r="SMK353" s="268"/>
      <c r="SML353" s="268"/>
      <c r="SMM353" s="268"/>
      <c r="SMN353" s="268"/>
      <c r="SMO353" s="268"/>
      <c r="SMP353" s="268"/>
      <c r="SMQ353" s="268"/>
      <c r="SMR353" s="268"/>
      <c r="SMS353" s="268"/>
      <c r="SMT353" s="268"/>
      <c r="SMU353" s="268"/>
      <c r="SMV353" s="268"/>
      <c r="SMW353" s="268"/>
      <c r="SMX353" s="268"/>
      <c r="SMY353" s="268"/>
      <c r="SMZ353" s="268"/>
      <c r="SNA353" s="268"/>
      <c r="SNB353" s="268"/>
      <c r="SNC353" s="268"/>
      <c r="SND353" s="268"/>
      <c r="SNE353" s="268"/>
      <c r="SNF353" s="268"/>
      <c r="SNG353" s="268"/>
      <c r="SNH353" s="268"/>
      <c r="SNI353" s="268"/>
      <c r="SNJ353" s="268"/>
      <c r="SNK353" s="268"/>
      <c r="SNL353" s="268"/>
      <c r="SNM353" s="268"/>
      <c r="SNN353" s="268"/>
      <c r="SNO353" s="268"/>
      <c r="SNP353" s="268"/>
      <c r="SNQ353" s="268"/>
      <c r="SNR353" s="268"/>
      <c r="SNS353" s="268"/>
      <c r="SNT353" s="268"/>
      <c r="SNU353" s="268"/>
      <c r="SNV353" s="268"/>
      <c r="SNW353" s="268"/>
      <c r="SNX353" s="268"/>
      <c r="SNY353" s="268"/>
      <c r="SNZ353" s="268"/>
      <c r="SOA353" s="268"/>
      <c r="SOB353" s="268"/>
      <c r="SOC353" s="268"/>
      <c r="SOD353" s="268"/>
      <c r="SOE353" s="268"/>
      <c r="SOF353" s="268"/>
      <c r="SOG353" s="268"/>
      <c r="SOH353" s="268"/>
      <c r="SOI353" s="268"/>
      <c r="SOJ353" s="268"/>
      <c r="SOK353" s="268"/>
      <c r="SOL353" s="268"/>
      <c r="SOM353" s="268"/>
      <c r="SON353" s="268"/>
      <c r="SOO353" s="268"/>
      <c r="SOP353" s="268"/>
      <c r="SOQ353" s="268"/>
      <c r="SOR353" s="268"/>
      <c r="SOS353" s="268"/>
      <c r="SOT353" s="268"/>
      <c r="SOU353" s="268"/>
      <c r="SOV353" s="268"/>
      <c r="SOW353" s="268"/>
      <c r="SOX353" s="268"/>
      <c r="SOY353" s="268"/>
      <c r="SOZ353" s="268"/>
      <c r="SPA353" s="268"/>
      <c r="SPB353" s="268"/>
      <c r="SPC353" s="268"/>
      <c r="SPD353" s="268"/>
      <c r="SPE353" s="268"/>
      <c r="SPF353" s="268"/>
      <c r="SPG353" s="268"/>
      <c r="SPH353" s="268"/>
      <c r="SPI353" s="268"/>
      <c r="SPJ353" s="268"/>
      <c r="SPK353" s="268"/>
      <c r="SPL353" s="268"/>
      <c r="SPM353" s="268"/>
      <c r="SPN353" s="268"/>
      <c r="SPO353" s="268"/>
      <c r="SPP353" s="268"/>
      <c r="SPQ353" s="268"/>
      <c r="SPR353" s="268"/>
      <c r="SPS353" s="268"/>
      <c r="SPT353" s="268"/>
      <c r="SPU353" s="268"/>
      <c r="SPV353" s="268"/>
      <c r="SPW353" s="268"/>
      <c r="SPX353" s="268"/>
      <c r="SPY353" s="268"/>
      <c r="SPZ353" s="268"/>
      <c r="SQA353" s="268"/>
      <c r="SQB353" s="268"/>
      <c r="SQC353" s="268"/>
      <c r="SQD353" s="268"/>
      <c r="SQE353" s="268"/>
      <c r="SQF353" s="268"/>
      <c r="SQG353" s="268"/>
      <c r="SQH353" s="268"/>
      <c r="SQI353" s="268"/>
      <c r="SQJ353" s="268"/>
      <c r="SQK353" s="268"/>
      <c r="SQL353" s="268"/>
      <c r="SQM353" s="268"/>
      <c r="SQN353" s="268"/>
      <c r="SQO353" s="268"/>
      <c r="SQP353" s="268"/>
      <c r="SQQ353" s="268"/>
      <c r="SRE353" s="268"/>
      <c r="SRF353" s="268"/>
      <c r="SRG353" s="268"/>
      <c r="SRU353" s="268"/>
      <c r="SRW353" s="268"/>
      <c r="SRX353" s="268"/>
      <c r="SRY353" s="268"/>
      <c r="SRZ353" s="268"/>
      <c r="SSA353" s="268"/>
      <c r="SSB353" s="268"/>
      <c r="SSC353" s="268"/>
      <c r="SSD353" s="268"/>
      <c r="SSE353" s="268"/>
      <c r="SSF353" s="268"/>
      <c r="SSG353" s="268"/>
      <c r="SSH353" s="268"/>
      <c r="SSI353" s="268"/>
      <c r="SSJ353" s="268"/>
      <c r="SSK353" s="268"/>
      <c r="SSL353" s="268"/>
      <c r="SSM353" s="268"/>
      <c r="SSN353" s="268"/>
      <c r="SSO353" s="268"/>
      <c r="SSP353" s="268"/>
      <c r="SSQ353" s="268"/>
      <c r="SSR353" s="268"/>
      <c r="SSS353" s="268"/>
      <c r="SST353" s="268"/>
      <c r="SSU353" s="268"/>
      <c r="SSV353" s="268"/>
      <c r="SSW353" s="268"/>
      <c r="SSX353" s="268"/>
      <c r="SSY353" s="268"/>
      <c r="SSZ353" s="268"/>
      <c r="STA353" s="268"/>
      <c r="STB353" s="268"/>
      <c r="STC353" s="268"/>
      <c r="STD353" s="268"/>
      <c r="STE353" s="268"/>
      <c r="STF353" s="268"/>
      <c r="STG353" s="268"/>
      <c r="STH353" s="268"/>
      <c r="STI353" s="268"/>
      <c r="STJ353" s="268"/>
      <c r="STK353" s="268"/>
      <c r="STL353" s="268"/>
      <c r="STM353" s="268"/>
      <c r="STN353" s="268"/>
      <c r="STO353" s="268"/>
      <c r="STP353" s="268"/>
      <c r="STQ353" s="268"/>
      <c r="STR353" s="268"/>
      <c r="STS353" s="268"/>
      <c r="STT353" s="268"/>
      <c r="STU353" s="268"/>
      <c r="STV353" s="268"/>
      <c r="STW353" s="268"/>
      <c r="STX353" s="268"/>
      <c r="STY353" s="268"/>
      <c r="STZ353" s="268"/>
      <c r="SUA353" s="268"/>
      <c r="SUB353" s="268"/>
      <c r="SUC353" s="268"/>
      <c r="SUD353" s="268"/>
      <c r="SUE353" s="268"/>
      <c r="SUF353" s="268"/>
      <c r="SUG353" s="268"/>
      <c r="SUH353" s="268"/>
      <c r="SUI353" s="268"/>
      <c r="SUJ353" s="268"/>
      <c r="SUK353" s="268"/>
      <c r="SUL353" s="268"/>
      <c r="SUM353" s="268"/>
      <c r="SUN353" s="268"/>
      <c r="SUO353" s="268"/>
      <c r="SUP353" s="268"/>
      <c r="SUQ353" s="268"/>
      <c r="SUR353" s="268"/>
      <c r="SUS353" s="268"/>
      <c r="SUT353" s="268"/>
      <c r="SUU353" s="268"/>
      <c r="SUV353" s="268"/>
      <c r="SUW353" s="268"/>
      <c r="SUX353" s="268"/>
      <c r="SUY353" s="268"/>
      <c r="SUZ353" s="268"/>
      <c r="SVA353" s="268"/>
      <c r="SVB353" s="268"/>
      <c r="SVC353" s="268"/>
      <c r="SVD353" s="268"/>
      <c r="SVE353" s="268"/>
      <c r="SVF353" s="268"/>
      <c r="SVG353" s="268"/>
      <c r="SVH353" s="268"/>
      <c r="SVI353" s="268"/>
      <c r="SVJ353" s="268"/>
      <c r="SVK353" s="268"/>
      <c r="SVL353" s="268"/>
      <c r="SVM353" s="268"/>
      <c r="SVN353" s="268"/>
      <c r="SVO353" s="268"/>
      <c r="SVP353" s="268"/>
      <c r="SVQ353" s="268"/>
      <c r="SVR353" s="268"/>
      <c r="SVS353" s="268"/>
      <c r="SVT353" s="268"/>
      <c r="SVU353" s="268"/>
      <c r="SVV353" s="268"/>
      <c r="SVW353" s="268"/>
      <c r="SVX353" s="268"/>
      <c r="SVY353" s="268"/>
      <c r="SVZ353" s="268"/>
      <c r="SWA353" s="268"/>
      <c r="SWB353" s="268"/>
      <c r="SWC353" s="268"/>
      <c r="SWD353" s="268"/>
      <c r="SWE353" s="268"/>
      <c r="SWF353" s="268"/>
      <c r="SWG353" s="268"/>
      <c r="SWH353" s="268"/>
      <c r="SWI353" s="268"/>
      <c r="SWJ353" s="268"/>
      <c r="SWK353" s="268"/>
      <c r="SWL353" s="268"/>
      <c r="SWM353" s="268"/>
      <c r="SWN353" s="268"/>
      <c r="SWO353" s="268"/>
      <c r="SWP353" s="268"/>
      <c r="SWQ353" s="268"/>
      <c r="SWR353" s="268"/>
      <c r="SWS353" s="268"/>
      <c r="SWT353" s="268"/>
      <c r="SWU353" s="268"/>
      <c r="SWV353" s="268"/>
      <c r="SWW353" s="268"/>
      <c r="SWX353" s="268"/>
      <c r="SWY353" s="268"/>
      <c r="SWZ353" s="268"/>
      <c r="SXA353" s="268"/>
      <c r="SXB353" s="268"/>
      <c r="SXC353" s="268"/>
      <c r="SXD353" s="268"/>
      <c r="SXE353" s="268"/>
      <c r="SXF353" s="268"/>
      <c r="SXG353" s="268"/>
      <c r="SXH353" s="268"/>
      <c r="SXI353" s="268"/>
      <c r="SXJ353" s="268"/>
      <c r="SXK353" s="268"/>
      <c r="SXL353" s="268"/>
      <c r="SXM353" s="268"/>
      <c r="SXN353" s="268"/>
      <c r="SXO353" s="268"/>
      <c r="SXP353" s="268"/>
      <c r="SXQ353" s="268"/>
      <c r="SXR353" s="268"/>
      <c r="SXS353" s="268"/>
      <c r="SXT353" s="268"/>
      <c r="SXU353" s="268"/>
      <c r="SXV353" s="268"/>
      <c r="SXW353" s="268"/>
      <c r="SXX353" s="268"/>
      <c r="SXY353" s="268"/>
      <c r="SXZ353" s="268"/>
      <c r="SYA353" s="268"/>
      <c r="SYB353" s="268"/>
      <c r="SYC353" s="268"/>
      <c r="SYD353" s="268"/>
      <c r="SYE353" s="268"/>
      <c r="SYF353" s="268"/>
      <c r="SYG353" s="268"/>
      <c r="SYH353" s="268"/>
      <c r="SYI353" s="268"/>
      <c r="SYJ353" s="268"/>
      <c r="SYK353" s="268"/>
      <c r="SYL353" s="268"/>
      <c r="SYM353" s="268"/>
      <c r="SYN353" s="268"/>
      <c r="SYO353" s="268"/>
      <c r="SYP353" s="268"/>
      <c r="SYQ353" s="268"/>
      <c r="SYR353" s="268"/>
      <c r="SYS353" s="268"/>
      <c r="SYT353" s="268"/>
      <c r="SYU353" s="268"/>
      <c r="SYV353" s="268"/>
      <c r="SYW353" s="268"/>
      <c r="SYX353" s="268"/>
      <c r="SYY353" s="268"/>
      <c r="SYZ353" s="268"/>
      <c r="SZA353" s="268"/>
      <c r="SZB353" s="268"/>
      <c r="SZC353" s="268"/>
      <c r="SZD353" s="268"/>
      <c r="SZE353" s="268"/>
      <c r="SZF353" s="268"/>
      <c r="SZG353" s="268"/>
      <c r="SZH353" s="268"/>
      <c r="SZI353" s="268"/>
      <c r="SZJ353" s="268"/>
      <c r="SZK353" s="268"/>
      <c r="SZL353" s="268"/>
      <c r="SZM353" s="268"/>
      <c r="SZN353" s="268"/>
      <c r="SZO353" s="268"/>
      <c r="SZP353" s="268"/>
      <c r="SZQ353" s="268"/>
      <c r="SZR353" s="268"/>
      <c r="SZS353" s="268"/>
      <c r="SZT353" s="268"/>
      <c r="SZU353" s="268"/>
      <c r="SZV353" s="268"/>
      <c r="SZW353" s="268"/>
      <c r="SZX353" s="268"/>
      <c r="SZY353" s="268"/>
      <c r="SZZ353" s="268"/>
      <c r="TAA353" s="268"/>
      <c r="TAB353" s="268"/>
      <c r="TAC353" s="268"/>
      <c r="TAD353" s="268"/>
      <c r="TAE353" s="268"/>
      <c r="TAF353" s="268"/>
      <c r="TAG353" s="268"/>
      <c r="TAH353" s="268"/>
      <c r="TAI353" s="268"/>
      <c r="TAJ353" s="268"/>
      <c r="TAK353" s="268"/>
      <c r="TAL353" s="268"/>
      <c r="TAM353" s="268"/>
      <c r="TBA353" s="268"/>
      <c r="TBB353" s="268"/>
      <c r="TBC353" s="268"/>
      <c r="TBQ353" s="268"/>
      <c r="TBS353" s="268"/>
      <c r="TBT353" s="268"/>
      <c r="TBU353" s="268"/>
      <c r="TBV353" s="268"/>
      <c r="TBW353" s="268"/>
      <c r="TBX353" s="268"/>
      <c r="TBY353" s="268"/>
      <c r="TBZ353" s="268"/>
      <c r="TCA353" s="268"/>
      <c r="TCB353" s="268"/>
      <c r="TCC353" s="268"/>
      <c r="TCD353" s="268"/>
      <c r="TCE353" s="268"/>
      <c r="TCF353" s="268"/>
      <c r="TCG353" s="268"/>
      <c r="TCH353" s="268"/>
      <c r="TCI353" s="268"/>
      <c r="TCJ353" s="268"/>
      <c r="TCK353" s="268"/>
      <c r="TCL353" s="268"/>
      <c r="TCM353" s="268"/>
      <c r="TCN353" s="268"/>
      <c r="TCO353" s="268"/>
      <c r="TCP353" s="268"/>
      <c r="TCQ353" s="268"/>
      <c r="TCR353" s="268"/>
      <c r="TCS353" s="268"/>
      <c r="TCT353" s="268"/>
      <c r="TCU353" s="268"/>
      <c r="TCV353" s="268"/>
      <c r="TCW353" s="268"/>
      <c r="TCX353" s="268"/>
      <c r="TCY353" s="268"/>
      <c r="TCZ353" s="268"/>
      <c r="TDA353" s="268"/>
      <c r="TDB353" s="268"/>
      <c r="TDC353" s="268"/>
      <c r="TDD353" s="268"/>
      <c r="TDE353" s="268"/>
      <c r="TDF353" s="268"/>
      <c r="TDG353" s="268"/>
      <c r="TDH353" s="268"/>
      <c r="TDI353" s="268"/>
      <c r="TDJ353" s="268"/>
      <c r="TDK353" s="268"/>
      <c r="TDL353" s="268"/>
      <c r="TDM353" s="268"/>
      <c r="TDN353" s="268"/>
      <c r="TDO353" s="268"/>
      <c r="TDP353" s="268"/>
      <c r="TDQ353" s="268"/>
      <c r="TDR353" s="268"/>
      <c r="TDS353" s="268"/>
      <c r="TDT353" s="268"/>
      <c r="TDU353" s="268"/>
      <c r="TDV353" s="268"/>
      <c r="TDW353" s="268"/>
      <c r="TDX353" s="268"/>
      <c r="TDY353" s="268"/>
      <c r="TDZ353" s="268"/>
      <c r="TEA353" s="268"/>
      <c r="TEB353" s="268"/>
      <c r="TEC353" s="268"/>
      <c r="TED353" s="268"/>
      <c r="TEE353" s="268"/>
      <c r="TEF353" s="268"/>
      <c r="TEG353" s="268"/>
      <c r="TEH353" s="268"/>
      <c r="TEI353" s="268"/>
      <c r="TEJ353" s="268"/>
      <c r="TEK353" s="268"/>
      <c r="TEL353" s="268"/>
      <c r="TEM353" s="268"/>
      <c r="TEN353" s="268"/>
      <c r="TEO353" s="268"/>
      <c r="TEP353" s="268"/>
      <c r="TEQ353" s="268"/>
      <c r="TER353" s="268"/>
      <c r="TES353" s="268"/>
      <c r="TET353" s="268"/>
      <c r="TEU353" s="268"/>
      <c r="TEV353" s="268"/>
      <c r="TEW353" s="268"/>
      <c r="TEX353" s="268"/>
      <c r="TEY353" s="268"/>
      <c r="TEZ353" s="268"/>
      <c r="TFA353" s="268"/>
      <c r="TFB353" s="268"/>
      <c r="TFC353" s="268"/>
      <c r="TFD353" s="268"/>
      <c r="TFE353" s="268"/>
      <c r="TFF353" s="268"/>
      <c r="TFG353" s="268"/>
      <c r="TFH353" s="268"/>
      <c r="TFI353" s="268"/>
      <c r="TFJ353" s="268"/>
      <c r="TFK353" s="268"/>
      <c r="TFL353" s="268"/>
      <c r="TFM353" s="268"/>
      <c r="TFN353" s="268"/>
      <c r="TFO353" s="268"/>
      <c r="TFP353" s="268"/>
      <c r="TFQ353" s="268"/>
      <c r="TFR353" s="268"/>
      <c r="TFS353" s="268"/>
      <c r="TFT353" s="268"/>
      <c r="TFU353" s="268"/>
      <c r="TFV353" s="268"/>
      <c r="TFW353" s="268"/>
      <c r="TFX353" s="268"/>
      <c r="TFY353" s="268"/>
      <c r="TFZ353" s="268"/>
      <c r="TGA353" s="268"/>
      <c r="TGB353" s="268"/>
      <c r="TGC353" s="268"/>
      <c r="TGD353" s="268"/>
      <c r="TGE353" s="268"/>
      <c r="TGF353" s="268"/>
      <c r="TGG353" s="268"/>
      <c r="TGH353" s="268"/>
      <c r="TGI353" s="268"/>
      <c r="TGJ353" s="268"/>
      <c r="TGK353" s="268"/>
      <c r="TGL353" s="268"/>
      <c r="TGM353" s="268"/>
      <c r="TGN353" s="268"/>
      <c r="TGO353" s="268"/>
      <c r="TGP353" s="268"/>
      <c r="TGQ353" s="268"/>
      <c r="TGR353" s="268"/>
      <c r="TGS353" s="268"/>
      <c r="TGT353" s="268"/>
      <c r="TGU353" s="268"/>
      <c r="TGV353" s="268"/>
      <c r="TGW353" s="268"/>
      <c r="TGX353" s="268"/>
      <c r="TGY353" s="268"/>
      <c r="TGZ353" s="268"/>
      <c r="THA353" s="268"/>
      <c r="THB353" s="268"/>
      <c r="THC353" s="268"/>
      <c r="THD353" s="268"/>
      <c r="THE353" s="268"/>
      <c r="THF353" s="268"/>
      <c r="THG353" s="268"/>
      <c r="THH353" s="268"/>
      <c r="THI353" s="268"/>
      <c r="THJ353" s="268"/>
      <c r="THK353" s="268"/>
      <c r="THL353" s="268"/>
      <c r="THM353" s="268"/>
      <c r="THN353" s="268"/>
      <c r="THO353" s="268"/>
      <c r="THP353" s="268"/>
      <c r="THQ353" s="268"/>
      <c r="THR353" s="268"/>
      <c r="THS353" s="268"/>
      <c r="THT353" s="268"/>
      <c r="THU353" s="268"/>
      <c r="THV353" s="268"/>
      <c r="THW353" s="268"/>
      <c r="THX353" s="268"/>
      <c r="THY353" s="268"/>
      <c r="THZ353" s="268"/>
      <c r="TIA353" s="268"/>
      <c r="TIB353" s="268"/>
      <c r="TIC353" s="268"/>
      <c r="TID353" s="268"/>
      <c r="TIE353" s="268"/>
      <c r="TIF353" s="268"/>
      <c r="TIG353" s="268"/>
      <c r="TIH353" s="268"/>
      <c r="TII353" s="268"/>
      <c r="TIJ353" s="268"/>
      <c r="TIK353" s="268"/>
      <c r="TIL353" s="268"/>
      <c r="TIM353" s="268"/>
      <c r="TIN353" s="268"/>
      <c r="TIO353" s="268"/>
      <c r="TIP353" s="268"/>
      <c r="TIQ353" s="268"/>
      <c r="TIR353" s="268"/>
      <c r="TIS353" s="268"/>
      <c r="TIT353" s="268"/>
      <c r="TIU353" s="268"/>
      <c r="TIV353" s="268"/>
      <c r="TIW353" s="268"/>
      <c r="TIX353" s="268"/>
      <c r="TIY353" s="268"/>
      <c r="TIZ353" s="268"/>
      <c r="TJA353" s="268"/>
      <c r="TJB353" s="268"/>
      <c r="TJC353" s="268"/>
      <c r="TJD353" s="268"/>
      <c r="TJE353" s="268"/>
      <c r="TJF353" s="268"/>
      <c r="TJG353" s="268"/>
      <c r="TJH353" s="268"/>
      <c r="TJI353" s="268"/>
      <c r="TJJ353" s="268"/>
      <c r="TJK353" s="268"/>
      <c r="TJL353" s="268"/>
      <c r="TJM353" s="268"/>
      <c r="TJN353" s="268"/>
      <c r="TJO353" s="268"/>
      <c r="TJP353" s="268"/>
      <c r="TJQ353" s="268"/>
      <c r="TJR353" s="268"/>
      <c r="TJS353" s="268"/>
      <c r="TJT353" s="268"/>
      <c r="TJU353" s="268"/>
      <c r="TJV353" s="268"/>
      <c r="TJW353" s="268"/>
      <c r="TJX353" s="268"/>
      <c r="TJY353" s="268"/>
      <c r="TJZ353" s="268"/>
      <c r="TKA353" s="268"/>
      <c r="TKB353" s="268"/>
      <c r="TKC353" s="268"/>
      <c r="TKD353" s="268"/>
      <c r="TKE353" s="268"/>
      <c r="TKF353" s="268"/>
      <c r="TKG353" s="268"/>
      <c r="TKH353" s="268"/>
      <c r="TKI353" s="268"/>
      <c r="TKW353" s="268"/>
      <c r="TKX353" s="268"/>
      <c r="TKY353" s="268"/>
      <c r="TLM353" s="268"/>
      <c r="TLO353" s="268"/>
      <c r="TLP353" s="268"/>
      <c r="TLQ353" s="268"/>
      <c r="TLR353" s="268"/>
      <c r="TLS353" s="268"/>
      <c r="TLT353" s="268"/>
      <c r="TLU353" s="268"/>
      <c r="TLV353" s="268"/>
      <c r="TLW353" s="268"/>
      <c r="TLX353" s="268"/>
      <c r="TLY353" s="268"/>
      <c r="TLZ353" s="268"/>
      <c r="TMA353" s="268"/>
      <c r="TMB353" s="268"/>
      <c r="TMC353" s="268"/>
      <c r="TMD353" s="268"/>
      <c r="TME353" s="268"/>
      <c r="TMF353" s="268"/>
      <c r="TMG353" s="268"/>
      <c r="TMH353" s="268"/>
      <c r="TMI353" s="268"/>
      <c r="TMJ353" s="268"/>
      <c r="TMK353" s="268"/>
      <c r="TML353" s="268"/>
      <c r="TMM353" s="268"/>
      <c r="TMN353" s="268"/>
      <c r="TMO353" s="268"/>
      <c r="TMP353" s="268"/>
      <c r="TMQ353" s="268"/>
      <c r="TMR353" s="268"/>
      <c r="TMS353" s="268"/>
      <c r="TMT353" s="268"/>
      <c r="TMU353" s="268"/>
      <c r="TMV353" s="268"/>
      <c r="TMW353" s="268"/>
      <c r="TMX353" s="268"/>
      <c r="TMY353" s="268"/>
      <c r="TMZ353" s="268"/>
      <c r="TNA353" s="268"/>
      <c r="TNB353" s="268"/>
      <c r="TNC353" s="268"/>
      <c r="TND353" s="268"/>
      <c r="TNE353" s="268"/>
      <c r="TNF353" s="268"/>
      <c r="TNG353" s="268"/>
      <c r="TNH353" s="268"/>
      <c r="TNI353" s="268"/>
      <c r="TNJ353" s="268"/>
      <c r="TNK353" s="268"/>
      <c r="TNL353" s="268"/>
      <c r="TNM353" s="268"/>
      <c r="TNN353" s="268"/>
      <c r="TNO353" s="268"/>
      <c r="TNP353" s="268"/>
      <c r="TNQ353" s="268"/>
      <c r="TNR353" s="268"/>
      <c r="TNS353" s="268"/>
      <c r="TNT353" s="268"/>
      <c r="TNU353" s="268"/>
      <c r="TNV353" s="268"/>
      <c r="TNW353" s="268"/>
      <c r="TNX353" s="268"/>
      <c r="TNY353" s="268"/>
      <c r="TNZ353" s="268"/>
      <c r="TOA353" s="268"/>
      <c r="TOB353" s="268"/>
      <c r="TOC353" s="268"/>
      <c r="TOD353" s="268"/>
      <c r="TOE353" s="268"/>
      <c r="TOF353" s="268"/>
      <c r="TOG353" s="268"/>
      <c r="TOH353" s="268"/>
      <c r="TOI353" s="268"/>
      <c r="TOJ353" s="268"/>
      <c r="TOK353" s="268"/>
      <c r="TOL353" s="268"/>
      <c r="TOM353" s="268"/>
      <c r="TON353" s="268"/>
      <c r="TOO353" s="268"/>
      <c r="TOP353" s="268"/>
      <c r="TOQ353" s="268"/>
      <c r="TOR353" s="268"/>
      <c r="TOS353" s="268"/>
      <c r="TOT353" s="268"/>
      <c r="TOU353" s="268"/>
      <c r="TOV353" s="268"/>
      <c r="TOW353" s="268"/>
      <c r="TOX353" s="268"/>
      <c r="TOY353" s="268"/>
      <c r="TOZ353" s="268"/>
      <c r="TPA353" s="268"/>
      <c r="TPB353" s="268"/>
      <c r="TPC353" s="268"/>
      <c r="TPD353" s="268"/>
      <c r="TPE353" s="268"/>
      <c r="TPF353" s="268"/>
      <c r="TPG353" s="268"/>
      <c r="TPH353" s="268"/>
      <c r="TPI353" s="268"/>
      <c r="TPJ353" s="268"/>
      <c r="TPK353" s="268"/>
      <c r="TPL353" s="268"/>
      <c r="TPM353" s="268"/>
      <c r="TPN353" s="268"/>
      <c r="TPO353" s="268"/>
      <c r="TPP353" s="268"/>
      <c r="TPQ353" s="268"/>
      <c r="TPR353" s="268"/>
      <c r="TPS353" s="268"/>
      <c r="TPT353" s="268"/>
      <c r="TPU353" s="268"/>
      <c r="TPV353" s="268"/>
      <c r="TPW353" s="268"/>
      <c r="TPX353" s="268"/>
      <c r="TPY353" s="268"/>
      <c r="TPZ353" s="268"/>
      <c r="TQA353" s="268"/>
      <c r="TQB353" s="268"/>
      <c r="TQC353" s="268"/>
      <c r="TQD353" s="268"/>
      <c r="TQE353" s="268"/>
      <c r="TQF353" s="268"/>
      <c r="TQG353" s="268"/>
      <c r="TQH353" s="268"/>
      <c r="TQI353" s="268"/>
      <c r="TQJ353" s="268"/>
      <c r="TQK353" s="268"/>
      <c r="TQL353" s="268"/>
      <c r="TQM353" s="268"/>
      <c r="TQN353" s="268"/>
      <c r="TQO353" s="268"/>
      <c r="TQP353" s="268"/>
      <c r="TQQ353" s="268"/>
      <c r="TQR353" s="268"/>
      <c r="TQS353" s="268"/>
      <c r="TQT353" s="268"/>
      <c r="TQU353" s="268"/>
      <c r="TQV353" s="268"/>
      <c r="TQW353" s="268"/>
      <c r="TQX353" s="268"/>
      <c r="TQY353" s="268"/>
      <c r="TQZ353" s="268"/>
      <c r="TRA353" s="268"/>
      <c r="TRB353" s="268"/>
      <c r="TRC353" s="268"/>
      <c r="TRD353" s="268"/>
      <c r="TRE353" s="268"/>
      <c r="TRF353" s="268"/>
      <c r="TRG353" s="268"/>
      <c r="TRH353" s="268"/>
      <c r="TRI353" s="268"/>
      <c r="TRJ353" s="268"/>
      <c r="TRK353" s="268"/>
      <c r="TRL353" s="268"/>
      <c r="TRM353" s="268"/>
      <c r="TRN353" s="268"/>
      <c r="TRO353" s="268"/>
      <c r="TRP353" s="268"/>
      <c r="TRQ353" s="268"/>
      <c r="TRR353" s="268"/>
      <c r="TRS353" s="268"/>
      <c r="TRT353" s="268"/>
      <c r="TRU353" s="268"/>
      <c r="TRV353" s="268"/>
      <c r="TRW353" s="268"/>
      <c r="TRX353" s="268"/>
      <c r="TRY353" s="268"/>
      <c r="TRZ353" s="268"/>
      <c r="TSA353" s="268"/>
      <c r="TSB353" s="268"/>
      <c r="TSC353" s="268"/>
      <c r="TSD353" s="268"/>
      <c r="TSE353" s="268"/>
      <c r="TSF353" s="268"/>
      <c r="TSG353" s="268"/>
      <c r="TSH353" s="268"/>
      <c r="TSI353" s="268"/>
      <c r="TSJ353" s="268"/>
      <c r="TSK353" s="268"/>
      <c r="TSL353" s="268"/>
      <c r="TSM353" s="268"/>
      <c r="TSN353" s="268"/>
      <c r="TSO353" s="268"/>
      <c r="TSP353" s="268"/>
      <c r="TSQ353" s="268"/>
      <c r="TSR353" s="268"/>
      <c r="TSS353" s="268"/>
      <c r="TST353" s="268"/>
      <c r="TSU353" s="268"/>
      <c r="TSV353" s="268"/>
      <c r="TSW353" s="268"/>
      <c r="TSX353" s="268"/>
      <c r="TSY353" s="268"/>
      <c r="TSZ353" s="268"/>
      <c r="TTA353" s="268"/>
      <c r="TTB353" s="268"/>
      <c r="TTC353" s="268"/>
      <c r="TTD353" s="268"/>
      <c r="TTE353" s="268"/>
      <c r="TTF353" s="268"/>
      <c r="TTG353" s="268"/>
      <c r="TTH353" s="268"/>
      <c r="TTI353" s="268"/>
      <c r="TTJ353" s="268"/>
      <c r="TTK353" s="268"/>
      <c r="TTL353" s="268"/>
      <c r="TTM353" s="268"/>
      <c r="TTN353" s="268"/>
      <c r="TTO353" s="268"/>
      <c r="TTP353" s="268"/>
      <c r="TTQ353" s="268"/>
      <c r="TTR353" s="268"/>
      <c r="TTS353" s="268"/>
      <c r="TTT353" s="268"/>
      <c r="TTU353" s="268"/>
      <c r="TTV353" s="268"/>
      <c r="TTW353" s="268"/>
      <c r="TTX353" s="268"/>
      <c r="TTY353" s="268"/>
      <c r="TTZ353" s="268"/>
      <c r="TUA353" s="268"/>
      <c r="TUB353" s="268"/>
      <c r="TUC353" s="268"/>
      <c r="TUD353" s="268"/>
      <c r="TUE353" s="268"/>
      <c r="TUS353" s="268"/>
      <c r="TUT353" s="268"/>
      <c r="TUU353" s="268"/>
      <c r="TVI353" s="268"/>
      <c r="TVK353" s="268"/>
      <c r="TVL353" s="268"/>
      <c r="TVM353" s="268"/>
      <c r="TVN353" s="268"/>
      <c r="TVO353" s="268"/>
      <c r="TVP353" s="268"/>
      <c r="TVQ353" s="268"/>
      <c r="TVR353" s="268"/>
      <c r="TVS353" s="268"/>
      <c r="TVT353" s="268"/>
      <c r="TVU353" s="268"/>
      <c r="TVV353" s="268"/>
      <c r="TVW353" s="268"/>
      <c r="TVX353" s="268"/>
      <c r="TVY353" s="268"/>
      <c r="TVZ353" s="268"/>
      <c r="TWA353" s="268"/>
      <c r="TWB353" s="268"/>
      <c r="TWC353" s="268"/>
      <c r="TWD353" s="268"/>
      <c r="TWE353" s="268"/>
      <c r="TWF353" s="268"/>
      <c r="TWG353" s="268"/>
      <c r="TWH353" s="268"/>
      <c r="TWI353" s="268"/>
      <c r="TWJ353" s="268"/>
      <c r="TWK353" s="268"/>
      <c r="TWL353" s="268"/>
      <c r="TWM353" s="268"/>
      <c r="TWN353" s="268"/>
      <c r="TWO353" s="268"/>
      <c r="TWP353" s="268"/>
      <c r="TWQ353" s="268"/>
      <c r="TWR353" s="268"/>
      <c r="TWS353" s="268"/>
      <c r="TWT353" s="268"/>
      <c r="TWU353" s="268"/>
      <c r="TWV353" s="268"/>
      <c r="TWW353" s="268"/>
      <c r="TWX353" s="268"/>
      <c r="TWY353" s="268"/>
      <c r="TWZ353" s="268"/>
      <c r="TXA353" s="268"/>
      <c r="TXB353" s="268"/>
      <c r="TXC353" s="268"/>
      <c r="TXD353" s="268"/>
      <c r="TXE353" s="268"/>
      <c r="TXF353" s="268"/>
      <c r="TXG353" s="268"/>
      <c r="TXH353" s="268"/>
      <c r="TXI353" s="268"/>
      <c r="TXJ353" s="268"/>
      <c r="TXK353" s="268"/>
      <c r="TXL353" s="268"/>
      <c r="TXM353" s="268"/>
      <c r="TXN353" s="268"/>
      <c r="TXO353" s="268"/>
      <c r="TXP353" s="268"/>
      <c r="TXQ353" s="268"/>
      <c r="TXR353" s="268"/>
      <c r="TXS353" s="268"/>
      <c r="TXT353" s="268"/>
      <c r="TXU353" s="268"/>
      <c r="TXV353" s="268"/>
      <c r="TXW353" s="268"/>
      <c r="TXX353" s="268"/>
      <c r="TXY353" s="268"/>
      <c r="TXZ353" s="268"/>
      <c r="TYA353" s="268"/>
      <c r="TYB353" s="268"/>
      <c r="TYC353" s="268"/>
      <c r="TYD353" s="268"/>
      <c r="TYE353" s="268"/>
      <c r="TYF353" s="268"/>
      <c r="TYG353" s="268"/>
      <c r="TYH353" s="268"/>
      <c r="TYI353" s="268"/>
      <c r="TYJ353" s="268"/>
      <c r="TYK353" s="268"/>
      <c r="TYL353" s="268"/>
      <c r="TYM353" s="268"/>
      <c r="TYN353" s="268"/>
      <c r="TYO353" s="268"/>
      <c r="TYP353" s="268"/>
      <c r="TYQ353" s="268"/>
      <c r="TYR353" s="268"/>
      <c r="TYS353" s="268"/>
      <c r="TYT353" s="268"/>
      <c r="TYU353" s="268"/>
      <c r="TYV353" s="268"/>
      <c r="TYW353" s="268"/>
      <c r="TYX353" s="268"/>
      <c r="TYY353" s="268"/>
      <c r="TYZ353" s="268"/>
      <c r="TZA353" s="268"/>
      <c r="TZB353" s="268"/>
      <c r="TZC353" s="268"/>
      <c r="TZD353" s="268"/>
      <c r="TZE353" s="268"/>
      <c r="TZF353" s="268"/>
      <c r="TZG353" s="268"/>
      <c r="TZH353" s="268"/>
      <c r="TZI353" s="268"/>
      <c r="TZJ353" s="268"/>
      <c r="TZK353" s="268"/>
      <c r="TZL353" s="268"/>
      <c r="TZM353" s="268"/>
      <c r="TZN353" s="268"/>
      <c r="TZO353" s="268"/>
      <c r="TZP353" s="268"/>
      <c r="TZQ353" s="268"/>
      <c r="TZR353" s="268"/>
      <c r="TZS353" s="268"/>
      <c r="TZT353" s="268"/>
      <c r="TZU353" s="268"/>
      <c r="TZV353" s="268"/>
      <c r="TZW353" s="268"/>
      <c r="TZX353" s="268"/>
      <c r="TZY353" s="268"/>
      <c r="TZZ353" s="268"/>
      <c r="UAA353" s="268"/>
      <c r="UAB353" s="268"/>
      <c r="UAC353" s="268"/>
      <c r="UAD353" s="268"/>
      <c r="UAE353" s="268"/>
      <c r="UAF353" s="268"/>
      <c r="UAG353" s="268"/>
      <c r="UAH353" s="268"/>
      <c r="UAI353" s="268"/>
      <c r="UAJ353" s="268"/>
      <c r="UAK353" s="268"/>
      <c r="UAL353" s="268"/>
      <c r="UAM353" s="268"/>
      <c r="UAN353" s="268"/>
      <c r="UAO353" s="268"/>
      <c r="UAP353" s="268"/>
      <c r="UAQ353" s="268"/>
      <c r="UAR353" s="268"/>
      <c r="UAS353" s="268"/>
      <c r="UAT353" s="268"/>
      <c r="UAU353" s="268"/>
      <c r="UAV353" s="268"/>
      <c r="UAW353" s="268"/>
      <c r="UAX353" s="268"/>
      <c r="UAY353" s="268"/>
      <c r="UAZ353" s="268"/>
      <c r="UBA353" s="268"/>
      <c r="UBB353" s="268"/>
      <c r="UBC353" s="268"/>
      <c r="UBD353" s="268"/>
      <c r="UBE353" s="268"/>
      <c r="UBF353" s="268"/>
      <c r="UBG353" s="268"/>
      <c r="UBH353" s="268"/>
      <c r="UBI353" s="268"/>
      <c r="UBJ353" s="268"/>
      <c r="UBK353" s="268"/>
      <c r="UBL353" s="268"/>
      <c r="UBM353" s="268"/>
      <c r="UBN353" s="268"/>
      <c r="UBO353" s="268"/>
      <c r="UBP353" s="268"/>
      <c r="UBQ353" s="268"/>
      <c r="UBR353" s="268"/>
      <c r="UBS353" s="268"/>
      <c r="UBT353" s="268"/>
      <c r="UBU353" s="268"/>
      <c r="UBV353" s="268"/>
      <c r="UBW353" s="268"/>
      <c r="UBX353" s="268"/>
      <c r="UBY353" s="268"/>
      <c r="UBZ353" s="268"/>
      <c r="UCA353" s="268"/>
      <c r="UCB353" s="268"/>
      <c r="UCC353" s="268"/>
      <c r="UCD353" s="268"/>
      <c r="UCE353" s="268"/>
      <c r="UCF353" s="268"/>
      <c r="UCG353" s="268"/>
      <c r="UCH353" s="268"/>
      <c r="UCI353" s="268"/>
      <c r="UCJ353" s="268"/>
      <c r="UCK353" s="268"/>
      <c r="UCL353" s="268"/>
      <c r="UCM353" s="268"/>
      <c r="UCN353" s="268"/>
      <c r="UCO353" s="268"/>
      <c r="UCP353" s="268"/>
      <c r="UCQ353" s="268"/>
      <c r="UCR353" s="268"/>
      <c r="UCS353" s="268"/>
      <c r="UCT353" s="268"/>
      <c r="UCU353" s="268"/>
      <c r="UCV353" s="268"/>
      <c r="UCW353" s="268"/>
      <c r="UCX353" s="268"/>
      <c r="UCY353" s="268"/>
      <c r="UCZ353" s="268"/>
      <c r="UDA353" s="268"/>
      <c r="UDB353" s="268"/>
      <c r="UDC353" s="268"/>
      <c r="UDD353" s="268"/>
      <c r="UDE353" s="268"/>
      <c r="UDF353" s="268"/>
      <c r="UDG353" s="268"/>
      <c r="UDH353" s="268"/>
      <c r="UDI353" s="268"/>
      <c r="UDJ353" s="268"/>
      <c r="UDK353" s="268"/>
      <c r="UDL353" s="268"/>
      <c r="UDM353" s="268"/>
      <c r="UDN353" s="268"/>
      <c r="UDO353" s="268"/>
      <c r="UDP353" s="268"/>
      <c r="UDQ353" s="268"/>
      <c r="UDR353" s="268"/>
      <c r="UDS353" s="268"/>
      <c r="UDT353" s="268"/>
      <c r="UDU353" s="268"/>
      <c r="UDV353" s="268"/>
      <c r="UDW353" s="268"/>
      <c r="UDX353" s="268"/>
      <c r="UDY353" s="268"/>
      <c r="UDZ353" s="268"/>
      <c r="UEA353" s="268"/>
      <c r="UEO353" s="268"/>
      <c r="UEP353" s="268"/>
      <c r="UEQ353" s="268"/>
      <c r="UFE353" s="268"/>
      <c r="UFG353" s="268"/>
      <c r="UFH353" s="268"/>
      <c r="UFI353" s="268"/>
      <c r="UFJ353" s="268"/>
      <c r="UFK353" s="268"/>
      <c r="UFL353" s="268"/>
      <c r="UFM353" s="268"/>
      <c r="UFN353" s="268"/>
      <c r="UFO353" s="268"/>
      <c r="UFP353" s="268"/>
      <c r="UFQ353" s="268"/>
      <c r="UFR353" s="268"/>
      <c r="UFS353" s="268"/>
      <c r="UFT353" s="268"/>
      <c r="UFU353" s="268"/>
      <c r="UFV353" s="268"/>
      <c r="UFW353" s="268"/>
      <c r="UFX353" s="268"/>
      <c r="UFY353" s="268"/>
      <c r="UFZ353" s="268"/>
      <c r="UGA353" s="268"/>
      <c r="UGB353" s="268"/>
      <c r="UGC353" s="268"/>
      <c r="UGD353" s="268"/>
      <c r="UGE353" s="268"/>
      <c r="UGF353" s="268"/>
      <c r="UGG353" s="268"/>
      <c r="UGH353" s="268"/>
      <c r="UGI353" s="268"/>
      <c r="UGJ353" s="268"/>
      <c r="UGK353" s="268"/>
      <c r="UGL353" s="268"/>
      <c r="UGM353" s="268"/>
      <c r="UGN353" s="268"/>
      <c r="UGO353" s="268"/>
      <c r="UGP353" s="268"/>
      <c r="UGQ353" s="268"/>
      <c r="UGR353" s="268"/>
      <c r="UGS353" s="268"/>
      <c r="UGT353" s="268"/>
      <c r="UGU353" s="268"/>
      <c r="UGV353" s="268"/>
      <c r="UGW353" s="268"/>
      <c r="UGX353" s="268"/>
      <c r="UGY353" s="268"/>
      <c r="UGZ353" s="268"/>
      <c r="UHA353" s="268"/>
      <c r="UHB353" s="268"/>
      <c r="UHC353" s="268"/>
      <c r="UHD353" s="268"/>
      <c r="UHE353" s="268"/>
      <c r="UHF353" s="268"/>
      <c r="UHG353" s="268"/>
      <c r="UHH353" s="268"/>
      <c r="UHI353" s="268"/>
      <c r="UHJ353" s="268"/>
      <c r="UHK353" s="268"/>
      <c r="UHL353" s="268"/>
      <c r="UHM353" s="268"/>
      <c r="UHN353" s="268"/>
      <c r="UHO353" s="268"/>
      <c r="UHP353" s="268"/>
      <c r="UHQ353" s="268"/>
      <c r="UHR353" s="268"/>
      <c r="UHS353" s="268"/>
      <c r="UHT353" s="268"/>
      <c r="UHU353" s="268"/>
      <c r="UHV353" s="268"/>
      <c r="UHW353" s="268"/>
      <c r="UHX353" s="268"/>
      <c r="UHY353" s="268"/>
      <c r="UHZ353" s="268"/>
      <c r="UIA353" s="268"/>
      <c r="UIB353" s="268"/>
      <c r="UIC353" s="268"/>
      <c r="UID353" s="268"/>
      <c r="UIE353" s="268"/>
      <c r="UIF353" s="268"/>
      <c r="UIG353" s="268"/>
      <c r="UIH353" s="268"/>
      <c r="UII353" s="268"/>
      <c r="UIJ353" s="268"/>
      <c r="UIK353" s="268"/>
      <c r="UIL353" s="268"/>
      <c r="UIM353" s="268"/>
      <c r="UIN353" s="268"/>
      <c r="UIO353" s="268"/>
      <c r="UIP353" s="268"/>
      <c r="UIQ353" s="268"/>
      <c r="UIR353" s="268"/>
      <c r="UIS353" s="268"/>
      <c r="UIT353" s="268"/>
      <c r="UIU353" s="268"/>
      <c r="UIV353" s="268"/>
      <c r="UIW353" s="268"/>
      <c r="UIX353" s="268"/>
      <c r="UIY353" s="268"/>
      <c r="UIZ353" s="268"/>
      <c r="UJA353" s="268"/>
      <c r="UJB353" s="268"/>
      <c r="UJC353" s="268"/>
      <c r="UJD353" s="268"/>
      <c r="UJE353" s="268"/>
      <c r="UJF353" s="268"/>
      <c r="UJG353" s="268"/>
      <c r="UJH353" s="268"/>
      <c r="UJI353" s="268"/>
      <c r="UJJ353" s="268"/>
      <c r="UJK353" s="268"/>
      <c r="UJL353" s="268"/>
      <c r="UJM353" s="268"/>
      <c r="UJN353" s="268"/>
      <c r="UJO353" s="268"/>
      <c r="UJP353" s="268"/>
      <c r="UJQ353" s="268"/>
      <c r="UJR353" s="268"/>
      <c r="UJS353" s="268"/>
      <c r="UJT353" s="268"/>
      <c r="UJU353" s="268"/>
      <c r="UJV353" s="268"/>
      <c r="UJW353" s="268"/>
      <c r="UJX353" s="268"/>
      <c r="UJY353" s="268"/>
      <c r="UJZ353" s="268"/>
      <c r="UKA353" s="268"/>
      <c r="UKB353" s="268"/>
      <c r="UKC353" s="268"/>
      <c r="UKD353" s="268"/>
      <c r="UKE353" s="268"/>
      <c r="UKF353" s="268"/>
      <c r="UKG353" s="268"/>
      <c r="UKH353" s="268"/>
      <c r="UKI353" s="268"/>
      <c r="UKJ353" s="268"/>
      <c r="UKK353" s="268"/>
      <c r="UKL353" s="268"/>
      <c r="UKM353" s="268"/>
      <c r="UKN353" s="268"/>
      <c r="UKO353" s="268"/>
      <c r="UKP353" s="268"/>
      <c r="UKQ353" s="268"/>
      <c r="UKR353" s="268"/>
      <c r="UKS353" s="268"/>
      <c r="UKT353" s="268"/>
      <c r="UKU353" s="268"/>
      <c r="UKV353" s="268"/>
      <c r="UKW353" s="268"/>
      <c r="UKX353" s="268"/>
      <c r="UKY353" s="268"/>
      <c r="UKZ353" s="268"/>
      <c r="ULA353" s="268"/>
      <c r="ULB353" s="268"/>
      <c r="ULC353" s="268"/>
      <c r="ULD353" s="268"/>
      <c r="ULE353" s="268"/>
      <c r="ULF353" s="268"/>
      <c r="ULG353" s="268"/>
      <c r="ULH353" s="268"/>
      <c r="ULI353" s="268"/>
      <c r="ULJ353" s="268"/>
      <c r="ULK353" s="268"/>
      <c r="ULL353" s="268"/>
      <c r="ULM353" s="268"/>
      <c r="ULN353" s="268"/>
      <c r="ULO353" s="268"/>
      <c r="ULP353" s="268"/>
      <c r="ULQ353" s="268"/>
      <c r="ULR353" s="268"/>
      <c r="ULS353" s="268"/>
      <c r="ULT353" s="268"/>
      <c r="ULU353" s="268"/>
      <c r="ULV353" s="268"/>
      <c r="ULW353" s="268"/>
      <c r="ULX353" s="268"/>
      <c r="ULY353" s="268"/>
      <c r="ULZ353" s="268"/>
      <c r="UMA353" s="268"/>
      <c r="UMB353" s="268"/>
      <c r="UMC353" s="268"/>
      <c r="UMD353" s="268"/>
      <c r="UME353" s="268"/>
      <c r="UMF353" s="268"/>
      <c r="UMG353" s="268"/>
      <c r="UMH353" s="268"/>
      <c r="UMI353" s="268"/>
      <c r="UMJ353" s="268"/>
      <c r="UMK353" s="268"/>
      <c r="UML353" s="268"/>
      <c r="UMM353" s="268"/>
      <c r="UMN353" s="268"/>
      <c r="UMO353" s="268"/>
      <c r="UMP353" s="268"/>
      <c r="UMQ353" s="268"/>
      <c r="UMR353" s="268"/>
      <c r="UMS353" s="268"/>
      <c r="UMT353" s="268"/>
      <c r="UMU353" s="268"/>
      <c r="UMV353" s="268"/>
      <c r="UMW353" s="268"/>
      <c r="UMX353" s="268"/>
      <c r="UMY353" s="268"/>
      <c r="UMZ353" s="268"/>
      <c r="UNA353" s="268"/>
      <c r="UNB353" s="268"/>
      <c r="UNC353" s="268"/>
      <c r="UND353" s="268"/>
      <c r="UNE353" s="268"/>
      <c r="UNF353" s="268"/>
      <c r="UNG353" s="268"/>
      <c r="UNH353" s="268"/>
      <c r="UNI353" s="268"/>
      <c r="UNJ353" s="268"/>
      <c r="UNK353" s="268"/>
      <c r="UNL353" s="268"/>
      <c r="UNM353" s="268"/>
      <c r="UNN353" s="268"/>
      <c r="UNO353" s="268"/>
      <c r="UNP353" s="268"/>
      <c r="UNQ353" s="268"/>
      <c r="UNR353" s="268"/>
      <c r="UNS353" s="268"/>
      <c r="UNT353" s="268"/>
      <c r="UNU353" s="268"/>
      <c r="UNV353" s="268"/>
      <c r="UNW353" s="268"/>
      <c r="UOK353" s="268"/>
      <c r="UOL353" s="268"/>
      <c r="UOM353" s="268"/>
      <c r="UPA353" s="268"/>
      <c r="UPC353" s="268"/>
      <c r="UPD353" s="268"/>
      <c r="UPE353" s="268"/>
      <c r="UPF353" s="268"/>
      <c r="UPG353" s="268"/>
      <c r="UPH353" s="268"/>
      <c r="UPI353" s="268"/>
      <c r="UPJ353" s="268"/>
      <c r="UPK353" s="268"/>
      <c r="UPL353" s="268"/>
      <c r="UPM353" s="268"/>
      <c r="UPN353" s="268"/>
      <c r="UPO353" s="268"/>
      <c r="UPP353" s="268"/>
      <c r="UPQ353" s="268"/>
      <c r="UPR353" s="268"/>
      <c r="UPS353" s="268"/>
      <c r="UPT353" s="268"/>
      <c r="UPU353" s="268"/>
      <c r="UPV353" s="268"/>
      <c r="UPW353" s="268"/>
      <c r="UPX353" s="268"/>
      <c r="UPY353" s="268"/>
      <c r="UPZ353" s="268"/>
      <c r="UQA353" s="268"/>
      <c r="UQB353" s="268"/>
      <c r="UQC353" s="268"/>
      <c r="UQD353" s="268"/>
      <c r="UQE353" s="268"/>
      <c r="UQF353" s="268"/>
      <c r="UQG353" s="268"/>
      <c r="UQH353" s="268"/>
      <c r="UQI353" s="268"/>
      <c r="UQJ353" s="268"/>
      <c r="UQK353" s="268"/>
      <c r="UQL353" s="268"/>
      <c r="UQM353" s="268"/>
      <c r="UQN353" s="268"/>
      <c r="UQO353" s="268"/>
      <c r="UQP353" s="268"/>
      <c r="UQQ353" s="268"/>
      <c r="UQR353" s="268"/>
      <c r="UQS353" s="268"/>
      <c r="UQT353" s="268"/>
      <c r="UQU353" s="268"/>
      <c r="UQV353" s="268"/>
      <c r="UQW353" s="268"/>
      <c r="UQX353" s="268"/>
      <c r="UQY353" s="268"/>
      <c r="UQZ353" s="268"/>
      <c r="URA353" s="268"/>
      <c r="URB353" s="268"/>
      <c r="URC353" s="268"/>
      <c r="URD353" s="268"/>
      <c r="URE353" s="268"/>
      <c r="URF353" s="268"/>
      <c r="URG353" s="268"/>
      <c r="URH353" s="268"/>
      <c r="URI353" s="268"/>
      <c r="URJ353" s="268"/>
      <c r="URK353" s="268"/>
      <c r="URL353" s="268"/>
      <c r="URM353" s="268"/>
      <c r="URN353" s="268"/>
      <c r="URO353" s="268"/>
      <c r="URP353" s="268"/>
      <c r="URQ353" s="268"/>
      <c r="URR353" s="268"/>
      <c r="URS353" s="268"/>
      <c r="URT353" s="268"/>
      <c r="URU353" s="268"/>
      <c r="URV353" s="268"/>
      <c r="URW353" s="268"/>
      <c r="URX353" s="268"/>
      <c r="URY353" s="268"/>
      <c r="URZ353" s="268"/>
      <c r="USA353" s="268"/>
      <c r="USB353" s="268"/>
      <c r="USC353" s="268"/>
      <c r="USD353" s="268"/>
      <c r="USE353" s="268"/>
      <c r="USF353" s="268"/>
      <c r="USG353" s="268"/>
      <c r="USH353" s="268"/>
      <c r="USI353" s="268"/>
      <c r="USJ353" s="268"/>
      <c r="USK353" s="268"/>
      <c r="USL353" s="268"/>
      <c r="USM353" s="268"/>
      <c r="USN353" s="268"/>
      <c r="USO353" s="268"/>
      <c r="USP353" s="268"/>
      <c r="USQ353" s="268"/>
      <c r="USR353" s="268"/>
      <c r="USS353" s="268"/>
      <c r="UST353" s="268"/>
      <c r="USU353" s="268"/>
      <c r="USV353" s="268"/>
      <c r="USW353" s="268"/>
      <c r="USX353" s="268"/>
      <c r="USY353" s="268"/>
      <c r="USZ353" s="268"/>
      <c r="UTA353" s="268"/>
      <c r="UTB353" s="268"/>
      <c r="UTC353" s="268"/>
      <c r="UTD353" s="268"/>
      <c r="UTE353" s="268"/>
      <c r="UTF353" s="268"/>
      <c r="UTG353" s="268"/>
      <c r="UTH353" s="268"/>
      <c r="UTI353" s="268"/>
      <c r="UTJ353" s="268"/>
      <c r="UTK353" s="268"/>
      <c r="UTL353" s="268"/>
      <c r="UTM353" s="268"/>
      <c r="UTN353" s="268"/>
      <c r="UTO353" s="268"/>
      <c r="UTP353" s="268"/>
      <c r="UTQ353" s="268"/>
      <c r="UTR353" s="268"/>
      <c r="UTS353" s="268"/>
      <c r="UTT353" s="268"/>
      <c r="UTU353" s="268"/>
      <c r="UTV353" s="268"/>
      <c r="UTW353" s="268"/>
      <c r="UTX353" s="268"/>
      <c r="UTY353" s="268"/>
      <c r="UTZ353" s="268"/>
      <c r="UUA353" s="268"/>
      <c r="UUB353" s="268"/>
      <c r="UUC353" s="268"/>
      <c r="UUD353" s="268"/>
      <c r="UUE353" s="268"/>
      <c r="UUF353" s="268"/>
      <c r="UUG353" s="268"/>
      <c r="UUH353" s="268"/>
      <c r="UUI353" s="268"/>
      <c r="UUJ353" s="268"/>
      <c r="UUK353" s="268"/>
      <c r="UUL353" s="268"/>
      <c r="UUM353" s="268"/>
      <c r="UUN353" s="268"/>
      <c r="UUO353" s="268"/>
      <c r="UUP353" s="268"/>
      <c r="UUQ353" s="268"/>
      <c r="UUR353" s="268"/>
      <c r="UUS353" s="268"/>
      <c r="UUT353" s="268"/>
      <c r="UUU353" s="268"/>
      <c r="UUV353" s="268"/>
      <c r="UUW353" s="268"/>
      <c r="UUX353" s="268"/>
      <c r="UUY353" s="268"/>
      <c r="UUZ353" s="268"/>
      <c r="UVA353" s="268"/>
      <c r="UVB353" s="268"/>
      <c r="UVC353" s="268"/>
      <c r="UVD353" s="268"/>
      <c r="UVE353" s="268"/>
      <c r="UVF353" s="268"/>
      <c r="UVG353" s="268"/>
      <c r="UVH353" s="268"/>
      <c r="UVI353" s="268"/>
      <c r="UVJ353" s="268"/>
      <c r="UVK353" s="268"/>
      <c r="UVL353" s="268"/>
      <c r="UVM353" s="268"/>
      <c r="UVN353" s="268"/>
      <c r="UVO353" s="268"/>
      <c r="UVP353" s="268"/>
      <c r="UVQ353" s="268"/>
      <c r="UVR353" s="268"/>
      <c r="UVS353" s="268"/>
      <c r="UVT353" s="268"/>
      <c r="UVU353" s="268"/>
      <c r="UVV353" s="268"/>
      <c r="UVW353" s="268"/>
      <c r="UVX353" s="268"/>
      <c r="UVY353" s="268"/>
      <c r="UVZ353" s="268"/>
      <c r="UWA353" s="268"/>
      <c r="UWB353" s="268"/>
      <c r="UWC353" s="268"/>
      <c r="UWD353" s="268"/>
      <c r="UWE353" s="268"/>
      <c r="UWF353" s="268"/>
      <c r="UWG353" s="268"/>
      <c r="UWH353" s="268"/>
      <c r="UWI353" s="268"/>
      <c r="UWJ353" s="268"/>
      <c r="UWK353" s="268"/>
      <c r="UWL353" s="268"/>
      <c r="UWM353" s="268"/>
      <c r="UWN353" s="268"/>
      <c r="UWO353" s="268"/>
      <c r="UWP353" s="268"/>
      <c r="UWQ353" s="268"/>
      <c r="UWR353" s="268"/>
      <c r="UWS353" s="268"/>
      <c r="UWT353" s="268"/>
      <c r="UWU353" s="268"/>
      <c r="UWV353" s="268"/>
      <c r="UWW353" s="268"/>
      <c r="UWX353" s="268"/>
      <c r="UWY353" s="268"/>
      <c r="UWZ353" s="268"/>
      <c r="UXA353" s="268"/>
      <c r="UXB353" s="268"/>
      <c r="UXC353" s="268"/>
      <c r="UXD353" s="268"/>
      <c r="UXE353" s="268"/>
      <c r="UXF353" s="268"/>
      <c r="UXG353" s="268"/>
      <c r="UXH353" s="268"/>
      <c r="UXI353" s="268"/>
      <c r="UXJ353" s="268"/>
      <c r="UXK353" s="268"/>
      <c r="UXL353" s="268"/>
      <c r="UXM353" s="268"/>
      <c r="UXN353" s="268"/>
      <c r="UXO353" s="268"/>
      <c r="UXP353" s="268"/>
      <c r="UXQ353" s="268"/>
      <c r="UXR353" s="268"/>
      <c r="UXS353" s="268"/>
      <c r="UYG353" s="268"/>
      <c r="UYH353" s="268"/>
      <c r="UYI353" s="268"/>
      <c r="UYW353" s="268"/>
      <c r="UYY353" s="268"/>
      <c r="UYZ353" s="268"/>
      <c r="UZA353" s="268"/>
      <c r="UZB353" s="268"/>
      <c r="UZC353" s="268"/>
      <c r="UZD353" s="268"/>
      <c r="UZE353" s="268"/>
      <c r="UZF353" s="268"/>
      <c r="UZG353" s="268"/>
      <c r="UZH353" s="268"/>
      <c r="UZI353" s="268"/>
      <c r="UZJ353" s="268"/>
      <c r="UZK353" s="268"/>
      <c r="UZL353" s="268"/>
      <c r="UZM353" s="268"/>
      <c r="UZN353" s="268"/>
      <c r="UZO353" s="268"/>
      <c r="UZP353" s="268"/>
      <c r="UZQ353" s="268"/>
      <c r="UZR353" s="268"/>
      <c r="UZS353" s="268"/>
      <c r="UZT353" s="268"/>
      <c r="UZU353" s="268"/>
      <c r="UZV353" s="268"/>
      <c r="UZW353" s="268"/>
      <c r="UZX353" s="268"/>
      <c r="UZY353" s="268"/>
      <c r="UZZ353" s="268"/>
      <c r="VAA353" s="268"/>
      <c r="VAB353" s="268"/>
      <c r="VAC353" s="268"/>
      <c r="VAD353" s="268"/>
      <c r="VAE353" s="268"/>
      <c r="VAF353" s="268"/>
      <c r="VAG353" s="268"/>
      <c r="VAH353" s="268"/>
      <c r="VAI353" s="268"/>
      <c r="VAJ353" s="268"/>
      <c r="VAK353" s="268"/>
      <c r="VAL353" s="268"/>
      <c r="VAM353" s="268"/>
      <c r="VAN353" s="268"/>
      <c r="VAO353" s="268"/>
      <c r="VAP353" s="268"/>
      <c r="VAQ353" s="268"/>
      <c r="VAR353" s="268"/>
      <c r="VAS353" s="268"/>
      <c r="VAT353" s="268"/>
      <c r="VAU353" s="268"/>
      <c r="VAV353" s="268"/>
      <c r="VAW353" s="268"/>
      <c r="VAX353" s="268"/>
      <c r="VAY353" s="268"/>
      <c r="VAZ353" s="268"/>
      <c r="VBA353" s="268"/>
      <c r="VBB353" s="268"/>
      <c r="VBC353" s="268"/>
      <c r="VBD353" s="268"/>
      <c r="VBE353" s="268"/>
      <c r="VBF353" s="268"/>
      <c r="VBG353" s="268"/>
      <c r="VBH353" s="268"/>
      <c r="VBI353" s="268"/>
      <c r="VBJ353" s="268"/>
      <c r="VBK353" s="268"/>
      <c r="VBL353" s="268"/>
      <c r="VBM353" s="268"/>
      <c r="VBN353" s="268"/>
      <c r="VBO353" s="268"/>
      <c r="VBP353" s="268"/>
      <c r="VBQ353" s="268"/>
      <c r="VBR353" s="268"/>
      <c r="VBS353" s="268"/>
      <c r="VBT353" s="268"/>
      <c r="VBU353" s="268"/>
      <c r="VBV353" s="268"/>
      <c r="VBW353" s="268"/>
      <c r="VBX353" s="268"/>
      <c r="VBY353" s="268"/>
      <c r="VBZ353" s="268"/>
      <c r="VCA353" s="268"/>
      <c r="VCB353" s="268"/>
      <c r="VCC353" s="268"/>
      <c r="VCD353" s="268"/>
      <c r="VCE353" s="268"/>
      <c r="VCF353" s="268"/>
      <c r="VCG353" s="268"/>
      <c r="VCH353" s="268"/>
      <c r="VCI353" s="268"/>
      <c r="VCJ353" s="268"/>
      <c r="VCK353" s="268"/>
      <c r="VCL353" s="268"/>
      <c r="VCM353" s="268"/>
      <c r="VCN353" s="268"/>
      <c r="VCO353" s="268"/>
      <c r="VCP353" s="268"/>
      <c r="VCQ353" s="268"/>
      <c r="VCR353" s="268"/>
      <c r="VCS353" s="268"/>
      <c r="VCT353" s="268"/>
      <c r="VCU353" s="268"/>
      <c r="VCV353" s="268"/>
      <c r="VCW353" s="268"/>
      <c r="VCX353" s="268"/>
      <c r="VCY353" s="268"/>
      <c r="VCZ353" s="268"/>
      <c r="VDA353" s="268"/>
      <c r="VDB353" s="268"/>
      <c r="VDC353" s="268"/>
      <c r="VDD353" s="268"/>
      <c r="VDE353" s="268"/>
      <c r="VDF353" s="268"/>
      <c r="VDG353" s="268"/>
      <c r="VDH353" s="268"/>
      <c r="VDI353" s="268"/>
      <c r="VDJ353" s="268"/>
      <c r="VDK353" s="268"/>
      <c r="VDL353" s="268"/>
      <c r="VDM353" s="268"/>
      <c r="VDN353" s="268"/>
      <c r="VDO353" s="268"/>
      <c r="VDP353" s="268"/>
      <c r="VDQ353" s="268"/>
      <c r="VDR353" s="268"/>
      <c r="VDS353" s="268"/>
      <c r="VDT353" s="268"/>
      <c r="VDU353" s="268"/>
      <c r="VDV353" s="268"/>
      <c r="VDW353" s="268"/>
      <c r="VDX353" s="268"/>
      <c r="VDY353" s="268"/>
      <c r="VDZ353" s="268"/>
      <c r="VEA353" s="268"/>
      <c r="VEB353" s="268"/>
      <c r="VEC353" s="268"/>
      <c r="VED353" s="268"/>
      <c r="VEE353" s="268"/>
      <c r="VEF353" s="268"/>
      <c r="VEG353" s="268"/>
      <c r="VEH353" s="268"/>
      <c r="VEI353" s="268"/>
      <c r="VEJ353" s="268"/>
      <c r="VEK353" s="268"/>
      <c r="VEL353" s="268"/>
      <c r="VEM353" s="268"/>
      <c r="VEN353" s="268"/>
      <c r="VEO353" s="268"/>
      <c r="VEP353" s="268"/>
      <c r="VEQ353" s="268"/>
      <c r="VER353" s="268"/>
      <c r="VES353" s="268"/>
      <c r="VET353" s="268"/>
      <c r="VEU353" s="268"/>
      <c r="VEV353" s="268"/>
      <c r="VEW353" s="268"/>
      <c r="VEX353" s="268"/>
      <c r="VEY353" s="268"/>
      <c r="VEZ353" s="268"/>
      <c r="VFA353" s="268"/>
      <c r="VFB353" s="268"/>
      <c r="VFC353" s="268"/>
      <c r="VFD353" s="268"/>
      <c r="VFE353" s="268"/>
      <c r="VFF353" s="268"/>
      <c r="VFG353" s="268"/>
      <c r="VFH353" s="268"/>
      <c r="VFI353" s="268"/>
      <c r="VFJ353" s="268"/>
      <c r="VFK353" s="268"/>
      <c r="VFL353" s="268"/>
      <c r="VFM353" s="268"/>
      <c r="VFN353" s="268"/>
      <c r="VFO353" s="268"/>
      <c r="VFP353" s="268"/>
      <c r="VFQ353" s="268"/>
      <c r="VFR353" s="268"/>
      <c r="VFS353" s="268"/>
      <c r="VFT353" s="268"/>
      <c r="VFU353" s="268"/>
      <c r="VFV353" s="268"/>
      <c r="VFW353" s="268"/>
      <c r="VFX353" s="268"/>
      <c r="VFY353" s="268"/>
      <c r="VFZ353" s="268"/>
      <c r="VGA353" s="268"/>
      <c r="VGB353" s="268"/>
      <c r="VGC353" s="268"/>
      <c r="VGD353" s="268"/>
      <c r="VGE353" s="268"/>
      <c r="VGF353" s="268"/>
      <c r="VGG353" s="268"/>
      <c r="VGH353" s="268"/>
      <c r="VGI353" s="268"/>
      <c r="VGJ353" s="268"/>
      <c r="VGK353" s="268"/>
      <c r="VGL353" s="268"/>
      <c r="VGM353" s="268"/>
      <c r="VGN353" s="268"/>
      <c r="VGO353" s="268"/>
      <c r="VGP353" s="268"/>
      <c r="VGQ353" s="268"/>
      <c r="VGR353" s="268"/>
      <c r="VGS353" s="268"/>
      <c r="VGT353" s="268"/>
      <c r="VGU353" s="268"/>
      <c r="VGV353" s="268"/>
      <c r="VGW353" s="268"/>
      <c r="VGX353" s="268"/>
      <c r="VGY353" s="268"/>
      <c r="VGZ353" s="268"/>
      <c r="VHA353" s="268"/>
      <c r="VHB353" s="268"/>
      <c r="VHC353" s="268"/>
      <c r="VHD353" s="268"/>
      <c r="VHE353" s="268"/>
      <c r="VHF353" s="268"/>
      <c r="VHG353" s="268"/>
      <c r="VHH353" s="268"/>
      <c r="VHI353" s="268"/>
      <c r="VHJ353" s="268"/>
      <c r="VHK353" s="268"/>
      <c r="VHL353" s="268"/>
      <c r="VHM353" s="268"/>
      <c r="VHN353" s="268"/>
      <c r="VHO353" s="268"/>
      <c r="VIC353" s="268"/>
      <c r="VID353" s="268"/>
      <c r="VIE353" s="268"/>
      <c r="VIS353" s="268"/>
      <c r="VIU353" s="268"/>
      <c r="VIV353" s="268"/>
      <c r="VIW353" s="268"/>
      <c r="VIX353" s="268"/>
      <c r="VIY353" s="268"/>
      <c r="VIZ353" s="268"/>
      <c r="VJA353" s="268"/>
      <c r="VJB353" s="268"/>
      <c r="VJC353" s="268"/>
      <c r="VJD353" s="268"/>
      <c r="VJE353" s="268"/>
      <c r="VJF353" s="268"/>
      <c r="VJG353" s="268"/>
      <c r="VJH353" s="268"/>
      <c r="VJI353" s="268"/>
      <c r="VJJ353" s="268"/>
      <c r="VJK353" s="268"/>
      <c r="VJL353" s="268"/>
      <c r="VJM353" s="268"/>
      <c r="VJN353" s="268"/>
      <c r="VJO353" s="268"/>
      <c r="VJP353" s="268"/>
      <c r="VJQ353" s="268"/>
      <c r="VJR353" s="268"/>
      <c r="VJS353" s="268"/>
      <c r="VJT353" s="268"/>
      <c r="VJU353" s="268"/>
      <c r="VJV353" s="268"/>
      <c r="VJW353" s="268"/>
      <c r="VJX353" s="268"/>
      <c r="VJY353" s="268"/>
      <c r="VJZ353" s="268"/>
      <c r="VKA353" s="268"/>
      <c r="VKB353" s="268"/>
      <c r="VKC353" s="268"/>
      <c r="VKD353" s="268"/>
      <c r="VKE353" s="268"/>
      <c r="VKF353" s="268"/>
      <c r="VKG353" s="268"/>
      <c r="VKH353" s="268"/>
      <c r="VKI353" s="268"/>
      <c r="VKJ353" s="268"/>
      <c r="VKK353" s="268"/>
      <c r="VKL353" s="268"/>
      <c r="VKM353" s="268"/>
      <c r="VKN353" s="268"/>
      <c r="VKO353" s="268"/>
      <c r="VKP353" s="268"/>
      <c r="VKQ353" s="268"/>
      <c r="VKR353" s="268"/>
      <c r="VKS353" s="268"/>
      <c r="VKT353" s="268"/>
      <c r="VKU353" s="268"/>
      <c r="VKV353" s="268"/>
      <c r="VKW353" s="268"/>
      <c r="VKX353" s="268"/>
      <c r="VKY353" s="268"/>
      <c r="VKZ353" s="268"/>
      <c r="VLA353" s="268"/>
      <c r="VLB353" s="268"/>
      <c r="VLC353" s="268"/>
      <c r="VLD353" s="268"/>
      <c r="VLE353" s="268"/>
      <c r="VLF353" s="268"/>
      <c r="VLG353" s="268"/>
      <c r="VLH353" s="268"/>
      <c r="VLI353" s="268"/>
      <c r="VLJ353" s="268"/>
      <c r="VLK353" s="268"/>
      <c r="VLL353" s="268"/>
      <c r="VLM353" s="268"/>
      <c r="VLN353" s="268"/>
      <c r="VLO353" s="268"/>
      <c r="VLP353" s="268"/>
      <c r="VLQ353" s="268"/>
      <c r="VLR353" s="268"/>
      <c r="VLS353" s="268"/>
      <c r="VLT353" s="268"/>
      <c r="VLU353" s="268"/>
      <c r="VLV353" s="268"/>
      <c r="VLW353" s="268"/>
      <c r="VLX353" s="268"/>
      <c r="VLY353" s="268"/>
      <c r="VLZ353" s="268"/>
      <c r="VMA353" s="268"/>
      <c r="VMB353" s="268"/>
      <c r="VMC353" s="268"/>
      <c r="VMD353" s="268"/>
      <c r="VME353" s="268"/>
      <c r="VMF353" s="268"/>
      <c r="VMG353" s="268"/>
      <c r="VMH353" s="268"/>
      <c r="VMI353" s="268"/>
      <c r="VMJ353" s="268"/>
      <c r="VMK353" s="268"/>
      <c r="VML353" s="268"/>
      <c r="VMM353" s="268"/>
      <c r="VMN353" s="268"/>
      <c r="VMO353" s="268"/>
      <c r="VMP353" s="268"/>
      <c r="VMQ353" s="268"/>
      <c r="VMR353" s="268"/>
      <c r="VMS353" s="268"/>
      <c r="VMT353" s="268"/>
      <c r="VMU353" s="268"/>
      <c r="VMV353" s="268"/>
      <c r="VMW353" s="268"/>
      <c r="VMX353" s="268"/>
      <c r="VMY353" s="268"/>
      <c r="VMZ353" s="268"/>
      <c r="VNA353" s="268"/>
      <c r="VNB353" s="268"/>
      <c r="VNC353" s="268"/>
      <c r="VND353" s="268"/>
      <c r="VNE353" s="268"/>
      <c r="VNF353" s="268"/>
      <c r="VNG353" s="268"/>
      <c r="VNH353" s="268"/>
      <c r="VNI353" s="268"/>
      <c r="VNJ353" s="268"/>
      <c r="VNK353" s="268"/>
      <c r="VNL353" s="268"/>
      <c r="VNM353" s="268"/>
      <c r="VNN353" s="268"/>
      <c r="VNO353" s="268"/>
      <c r="VNP353" s="268"/>
      <c r="VNQ353" s="268"/>
      <c r="VNR353" s="268"/>
      <c r="VNS353" s="268"/>
      <c r="VNT353" s="268"/>
      <c r="VNU353" s="268"/>
      <c r="VNV353" s="268"/>
      <c r="VNW353" s="268"/>
      <c r="VNX353" s="268"/>
      <c r="VNY353" s="268"/>
      <c r="VNZ353" s="268"/>
      <c r="VOA353" s="268"/>
      <c r="VOB353" s="268"/>
      <c r="VOC353" s="268"/>
      <c r="VOD353" s="268"/>
      <c r="VOE353" s="268"/>
      <c r="VOF353" s="268"/>
      <c r="VOG353" s="268"/>
      <c r="VOH353" s="268"/>
      <c r="VOI353" s="268"/>
      <c r="VOJ353" s="268"/>
      <c r="VOK353" s="268"/>
      <c r="VOL353" s="268"/>
      <c r="VOM353" s="268"/>
      <c r="VON353" s="268"/>
      <c r="VOO353" s="268"/>
      <c r="VOP353" s="268"/>
      <c r="VOQ353" s="268"/>
      <c r="VOR353" s="268"/>
      <c r="VOS353" s="268"/>
      <c r="VOT353" s="268"/>
      <c r="VOU353" s="268"/>
      <c r="VOV353" s="268"/>
      <c r="VOW353" s="268"/>
      <c r="VOX353" s="268"/>
      <c r="VOY353" s="268"/>
      <c r="VOZ353" s="268"/>
      <c r="VPA353" s="268"/>
      <c r="VPB353" s="268"/>
      <c r="VPC353" s="268"/>
      <c r="VPD353" s="268"/>
      <c r="VPE353" s="268"/>
      <c r="VPF353" s="268"/>
      <c r="VPG353" s="268"/>
      <c r="VPH353" s="268"/>
      <c r="VPI353" s="268"/>
      <c r="VPJ353" s="268"/>
      <c r="VPK353" s="268"/>
      <c r="VPL353" s="268"/>
      <c r="VPM353" s="268"/>
      <c r="VPN353" s="268"/>
      <c r="VPO353" s="268"/>
      <c r="VPP353" s="268"/>
      <c r="VPQ353" s="268"/>
      <c r="VPR353" s="268"/>
      <c r="VPS353" s="268"/>
      <c r="VPT353" s="268"/>
      <c r="VPU353" s="268"/>
      <c r="VPV353" s="268"/>
      <c r="VPW353" s="268"/>
      <c r="VPX353" s="268"/>
      <c r="VPY353" s="268"/>
      <c r="VPZ353" s="268"/>
      <c r="VQA353" s="268"/>
      <c r="VQB353" s="268"/>
      <c r="VQC353" s="268"/>
      <c r="VQD353" s="268"/>
      <c r="VQE353" s="268"/>
      <c r="VQF353" s="268"/>
      <c r="VQG353" s="268"/>
      <c r="VQH353" s="268"/>
      <c r="VQI353" s="268"/>
      <c r="VQJ353" s="268"/>
      <c r="VQK353" s="268"/>
      <c r="VQL353" s="268"/>
      <c r="VQM353" s="268"/>
      <c r="VQN353" s="268"/>
      <c r="VQO353" s="268"/>
      <c r="VQP353" s="268"/>
      <c r="VQQ353" s="268"/>
      <c r="VQR353" s="268"/>
      <c r="VQS353" s="268"/>
      <c r="VQT353" s="268"/>
      <c r="VQU353" s="268"/>
      <c r="VQV353" s="268"/>
      <c r="VQW353" s="268"/>
      <c r="VQX353" s="268"/>
      <c r="VQY353" s="268"/>
      <c r="VQZ353" s="268"/>
      <c r="VRA353" s="268"/>
      <c r="VRB353" s="268"/>
      <c r="VRC353" s="268"/>
      <c r="VRD353" s="268"/>
      <c r="VRE353" s="268"/>
      <c r="VRF353" s="268"/>
      <c r="VRG353" s="268"/>
      <c r="VRH353" s="268"/>
      <c r="VRI353" s="268"/>
      <c r="VRJ353" s="268"/>
      <c r="VRK353" s="268"/>
      <c r="VRY353" s="268"/>
      <c r="VRZ353" s="268"/>
      <c r="VSA353" s="268"/>
      <c r="VSO353" s="268"/>
      <c r="VSQ353" s="268"/>
      <c r="VSR353" s="268"/>
      <c r="VSS353" s="268"/>
      <c r="VST353" s="268"/>
      <c r="VSU353" s="268"/>
      <c r="VSV353" s="268"/>
      <c r="VSW353" s="268"/>
      <c r="VSX353" s="268"/>
      <c r="VSY353" s="268"/>
      <c r="VSZ353" s="268"/>
      <c r="VTA353" s="268"/>
      <c r="VTB353" s="268"/>
      <c r="VTC353" s="268"/>
      <c r="VTD353" s="268"/>
      <c r="VTE353" s="268"/>
      <c r="VTF353" s="268"/>
      <c r="VTG353" s="268"/>
      <c r="VTH353" s="268"/>
      <c r="VTI353" s="268"/>
      <c r="VTJ353" s="268"/>
      <c r="VTK353" s="268"/>
      <c r="VTL353" s="268"/>
      <c r="VTM353" s="268"/>
      <c r="VTN353" s="268"/>
      <c r="VTO353" s="268"/>
      <c r="VTP353" s="268"/>
      <c r="VTQ353" s="268"/>
      <c r="VTR353" s="268"/>
      <c r="VTS353" s="268"/>
      <c r="VTT353" s="268"/>
      <c r="VTU353" s="268"/>
      <c r="VTV353" s="268"/>
      <c r="VTW353" s="268"/>
      <c r="VTX353" s="268"/>
      <c r="VTY353" s="268"/>
      <c r="VTZ353" s="268"/>
      <c r="VUA353" s="268"/>
      <c r="VUB353" s="268"/>
      <c r="VUC353" s="268"/>
      <c r="VUD353" s="268"/>
      <c r="VUE353" s="268"/>
      <c r="VUF353" s="268"/>
      <c r="VUG353" s="268"/>
      <c r="VUH353" s="268"/>
      <c r="VUI353" s="268"/>
      <c r="VUJ353" s="268"/>
      <c r="VUK353" s="268"/>
      <c r="VUL353" s="268"/>
      <c r="VUM353" s="268"/>
      <c r="VUN353" s="268"/>
      <c r="VUO353" s="268"/>
      <c r="VUP353" s="268"/>
      <c r="VUQ353" s="268"/>
      <c r="VUR353" s="268"/>
      <c r="VUS353" s="268"/>
      <c r="VUT353" s="268"/>
      <c r="VUU353" s="268"/>
      <c r="VUV353" s="268"/>
      <c r="VUW353" s="268"/>
      <c r="VUX353" s="268"/>
      <c r="VUY353" s="268"/>
      <c r="VUZ353" s="268"/>
      <c r="VVA353" s="268"/>
      <c r="VVB353" s="268"/>
      <c r="VVC353" s="268"/>
      <c r="VVD353" s="268"/>
      <c r="VVE353" s="268"/>
      <c r="VVF353" s="268"/>
      <c r="VVG353" s="268"/>
      <c r="VVH353" s="268"/>
      <c r="VVI353" s="268"/>
      <c r="VVJ353" s="268"/>
      <c r="VVK353" s="268"/>
      <c r="VVL353" s="268"/>
      <c r="VVM353" s="268"/>
      <c r="VVN353" s="268"/>
      <c r="VVO353" s="268"/>
      <c r="VVP353" s="268"/>
      <c r="VVQ353" s="268"/>
      <c r="VVR353" s="268"/>
      <c r="VVS353" s="268"/>
      <c r="VVT353" s="268"/>
      <c r="VVU353" s="268"/>
      <c r="VVV353" s="268"/>
      <c r="VVW353" s="268"/>
      <c r="VVX353" s="268"/>
      <c r="VVY353" s="268"/>
      <c r="VVZ353" s="268"/>
      <c r="VWA353" s="268"/>
      <c r="VWB353" s="268"/>
      <c r="VWC353" s="268"/>
      <c r="VWD353" s="268"/>
      <c r="VWE353" s="268"/>
      <c r="VWF353" s="268"/>
      <c r="VWG353" s="268"/>
      <c r="VWH353" s="268"/>
      <c r="VWI353" s="268"/>
      <c r="VWJ353" s="268"/>
      <c r="VWK353" s="268"/>
      <c r="VWL353" s="268"/>
      <c r="VWM353" s="268"/>
      <c r="VWN353" s="268"/>
      <c r="VWO353" s="268"/>
      <c r="VWP353" s="268"/>
      <c r="VWQ353" s="268"/>
      <c r="VWR353" s="268"/>
      <c r="VWS353" s="268"/>
      <c r="VWT353" s="268"/>
      <c r="VWU353" s="268"/>
      <c r="VWV353" s="268"/>
      <c r="VWW353" s="268"/>
      <c r="VWX353" s="268"/>
      <c r="VWY353" s="268"/>
      <c r="VWZ353" s="268"/>
      <c r="VXA353" s="268"/>
      <c r="VXB353" s="268"/>
      <c r="VXC353" s="268"/>
      <c r="VXD353" s="268"/>
      <c r="VXE353" s="268"/>
      <c r="VXF353" s="268"/>
      <c r="VXG353" s="268"/>
      <c r="VXH353" s="268"/>
      <c r="VXI353" s="268"/>
      <c r="VXJ353" s="268"/>
      <c r="VXK353" s="268"/>
      <c r="VXL353" s="268"/>
      <c r="VXM353" s="268"/>
      <c r="VXN353" s="268"/>
      <c r="VXO353" s="268"/>
      <c r="VXP353" s="268"/>
      <c r="VXQ353" s="268"/>
      <c r="VXR353" s="268"/>
      <c r="VXS353" s="268"/>
      <c r="VXT353" s="268"/>
      <c r="VXU353" s="268"/>
      <c r="VXV353" s="268"/>
      <c r="VXW353" s="268"/>
      <c r="VXX353" s="268"/>
      <c r="VXY353" s="268"/>
      <c r="VXZ353" s="268"/>
      <c r="VYA353" s="268"/>
      <c r="VYB353" s="268"/>
      <c r="VYC353" s="268"/>
      <c r="VYD353" s="268"/>
      <c r="VYE353" s="268"/>
      <c r="VYF353" s="268"/>
      <c r="VYG353" s="268"/>
      <c r="VYH353" s="268"/>
      <c r="VYI353" s="268"/>
      <c r="VYJ353" s="268"/>
      <c r="VYK353" s="268"/>
      <c r="VYL353" s="268"/>
      <c r="VYM353" s="268"/>
      <c r="VYN353" s="268"/>
      <c r="VYO353" s="268"/>
      <c r="VYP353" s="268"/>
      <c r="VYQ353" s="268"/>
      <c r="VYR353" s="268"/>
      <c r="VYS353" s="268"/>
      <c r="VYT353" s="268"/>
      <c r="VYU353" s="268"/>
      <c r="VYV353" s="268"/>
      <c r="VYW353" s="268"/>
      <c r="VYX353" s="268"/>
      <c r="VYY353" s="268"/>
      <c r="VYZ353" s="268"/>
      <c r="VZA353" s="268"/>
      <c r="VZB353" s="268"/>
      <c r="VZC353" s="268"/>
      <c r="VZD353" s="268"/>
      <c r="VZE353" s="268"/>
      <c r="VZF353" s="268"/>
      <c r="VZG353" s="268"/>
      <c r="VZH353" s="268"/>
      <c r="VZI353" s="268"/>
      <c r="VZJ353" s="268"/>
      <c r="VZK353" s="268"/>
      <c r="VZL353" s="268"/>
      <c r="VZM353" s="268"/>
      <c r="VZN353" s="268"/>
      <c r="VZO353" s="268"/>
      <c r="VZP353" s="268"/>
      <c r="VZQ353" s="268"/>
      <c r="VZR353" s="268"/>
      <c r="VZS353" s="268"/>
      <c r="VZT353" s="268"/>
      <c r="VZU353" s="268"/>
      <c r="VZV353" s="268"/>
      <c r="VZW353" s="268"/>
      <c r="VZX353" s="268"/>
      <c r="VZY353" s="268"/>
      <c r="VZZ353" s="268"/>
      <c r="WAA353" s="268"/>
      <c r="WAB353" s="268"/>
      <c r="WAC353" s="268"/>
      <c r="WAD353" s="268"/>
      <c r="WAE353" s="268"/>
      <c r="WAF353" s="268"/>
      <c r="WAG353" s="268"/>
      <c r="WAH353" s="268"/>
      <c r="WAI353" s="268"/>
      <c r="WAJ353" s="268"/>
      <c r="WAK353" s="268"/>
      <c r="WAL353" s="268"/>
      <c r="WAM353" s="268"/>
      <c r="WAN353" s="268"/>
      <c r="WAO353" s="268"/>
      <c r="WAP353" s="268"/>
      <c r="WAQ353" s="268"/>
      <c r="WAR353" s="268"/>
      <c r="WAS353" s="268"/>
      <c r="WAT353" s="268"/>
      <c r="WAU353" s="268"/>
      <c r="WAV353" s="268"/>
      <c r="WAW353" s="268"/>
      <c r="WAX353" s="268"/>
      <c r="WAY353" s="268"/>
      <c r="WAZ353" s="268"/>
      <c r="WBA353" s="268"/>
      <c r="WBB353" s="268"/>
      <c r="WBC353" s="268"/>
      <c r="WBD353" s="268"/>
      <c r="WBE353" s="268"/>
      <c r="WBF353" s="268"/>
      <c r="WBG353" s="268"/>
      <c r="WBU353" s="268"/>
      <c r="WBV353" s="268"/>
      <c r="WBW353" s="268"/>
      <c r="WCK353" s="268"/>
      <c r="WCM353" s="268"/>
      <c r="WCN353" s="268"/>
      <c r="WCO353" s="268"/>
      <c r="WCP353" s="268"/>
      <c r="WCQ353" s="268"/>
      <c r="WCR353" s="268"/>
      <c r="WCS353" s="268"/>
      <c r="WCT353" s="268"/>
      <c r="WCU353" s="268"/>
      <c r="WCV353" s="268"/>
      <c r="WCW353" s="268"/>
      <c r="WCX353" s="268"/>
      <c r="WCY353" s="268"/>
      <c r="WCZ353" s="268"/>
      <c r="WDA353" s="268"/>
      <c r="WDB353" s="268"/>
      <c r="WDC353" s="268"/>
      <c r="WDD353" s="268"/>
      <c r="WDE353" s="268"/>
      <c r="WDF353" s="268"/>
      <c r="WDG353" s="268"/>
      <c r="WDH353" s="268"/>
      <c r="WDI353" s="268"/>
      <c r="WDJ353" s="268"/>
      <c r="WDK353" s="268"/>
      <c r="WDL353" s="268"/>
      <c r="WDM353" s="268"/>
      <c r="WDN353" s="268"/>
      <c r="WDO353" s="268"/>
      <c r="WDP353" s="268"/>
      <c r="WDQ353" s="268"/>
      <c r="WDR353" s="268"/>
      <c r="WDS353" s="268"/>
      <c r="WDT353" s="268"/>
      <c r="WDU353" s="268"/>
      <c r="WDV353" s="268"/>
      <c r="WDW353" s="268"/>
      <c r="WDX353" s="268"/>
      <c r="WDY353" s="268"/>
      <c r="WDZ353" s="268"/>
      <c r="WEA353" s="268"/>
      <c r="WEB353" s="268"/>
      <c r="WEC353" s="268"/>
      <c r="WED353" s="268"/>
      <c r="WEE353" s="268"/>
      <c r="WEF353" s="268"/>
      <c r="WEG353" s="268"/>
      <c r="WEH353" s="268"/>
      <c r="WEI353" s="268"/>
      <c r="WEJ353" s="268"/>
      <c r="WEK353" s="268"/>
      <c r="WEL353" s="268"/>
      <c r="WEM353" s="268"/>
      <c r="WEN353" s="268"/>
      <c r="WEO353" s="268"/>
      <c r="WEP353" s="268"/>
      <c r="WEQ353" s="268"/>
      <c r="WER353" s="268"/>
      <c r="WES353" s="268"/>
      <c r="WET353" s="268"/>
      <c r="WEU353" s="268"/>
      <c r="WEV353" s="268"/>
      <c r="WEW353" s="268"/>
      <c r="WEX353" s="268"/>
      <c r="WEY353" s="268"/>
      <c r="WEZ353" s="268"/>
      <c r="WFA353" s="268"/>
      <c r="WFB353" s="268"/>
      <c r="WFC353" s="268"/>
      <c r="WFD353" s="268"/>
      <c r="WFE353" s="268"/>
      <c r="WFF353" s="268"/>
      <c r="WFG353" s="268"/>
      <c r="WFH353" s="268"/>
      <c r="WFI353" s="268"/>
      <c r="WFJ353" s="268"/>
      <c r="WFK353" s="268"/>
      <c r="WFL353" s="268"/>
      <c r="WFM353" s="268"/>
      <c r="WFN353" s="268"/>
      <c r="WFO353" s="268"/>
      <c r="WFP353" s="268"/>
      <c r="WFQ353" s="268"/>
      <c r="WFR353" s="268"/>
      <c r="WFS353" s="268"/>
      <c r="WFT353" s="268"/>
      <c r="WFU353" s="268"/>
      <c r="WFV353" s="268"/>
      <c r="WFW353" s="268"/>
      <c r="WFX353" s="268"/>
      <c r="WFY353" s="268"/>
      <c r="WFZ353" s="268"/>
      <c r="WGA353" s="268"/>
      <c r="WGB353" s="268"/>
      <c r="WGC353" s="268"/>
      <c r="WGD353" s="268"/>
      <c r="WGE353" s="268"/>
      <c r="WGF353" s="268"/>
      <c r="WGG353" s="268"/>
      <c r="WGH353" s="268"/>
      <c r="WGI353" s="268"/>
      <c r="WGJ353" s="268"/>
      <c r="WGK353" s="268"/>
      <c r="WGL353" s="268"/>
      <c r="WGM353" s="268"/>
      <c r="WGN353" s="268"/>
      <c r="WGO353" s="268"/>
      <c r="WGP353" s="268"/>
      <c r="WGQ353" s="268"/>
      <c r="WGR353" s="268"/>
      <c r="WGS353" s="268"/>
      <c r="WGT353" s="268"/>
      <c r="WGU353" s="268"/>
      <c r="WGV353" s="268"/>
      <c r="WGW353" s="268"/>
      <c r="WGX353" s="268"/>
      <c r="WGY353" s="268"/>
      <c r="WGZ353" s="268"/>
      <c r="WHA353" s="268"/>
      <c r="WHB353" s="268"/>
      <c r="WHC353" s="268"/>
      <c r="WHD353" s="268"/>
      <c r="WHE353" s="268"/>
      <c r="WHF353" s="268"/>
      <c r="WHG353" s="268"/>
      <c r="WHH353" s="268"/>
      <c r="WHI353" s="268"/>
      <c r="WHJ353" s="268"/>
      <c r="WHK353" s="268"/>
      <c r="WHL353" s="268"/>
      <c r="WHM353" s="268"/>
      <c r="WHN353" s="268"/>
      <c r="WHO353" s="268"/>
      <c r="WHP353" s="268"/>
      <c r="WHQ353" s="268"/>
      <c r="WHR353" s="268"/>
      <c r="WHS353" s="268"/>
      <c r="WHT353" s="268"/>
      <c r="WHU353" s="268"/>
      <c r="WHV353" s="268"/>
      <c r="WHW353" s="268"/>
      <c r="WHX353" s="268"/>
      <c r="WHY353" s="268"/>
      <c r="WHZ353" s="268"/>
      <c r="WIA353" s="268"/>
      <c r="WIB353" s="268"/>
      <c r="WIC353" s="268"/>
      <c r="WID353" s="268"/>
      <c r="WIE353" s="268"/>
      <c r="WIF353" s="268"/>
      <c r="WIG353" s="268"/>
      <c r="WIH353" s="268"/>
      <c r="WII353" s="268"/>
      <c r="WIJ353" s="268"/>
      <c r="WIK353" s="268"/>
      <c r="WIL353" s="268"/>
      <c r="WIM353" s="268"/>
      <c r="WIN353" s="268"/>
      <c r="WIO353" s="268"/>
      <c r="WIP353" s="268"/>
      <c r="WIQ353" s="268"/>
      <c r="WIR353" s="268"/>
      <c r="WIS353" s="268"/>
      <c r="WIT353" s="268"/>
      <c r="WIU353" s="268"/>
      <c r="WIV353" s="268"/>
      <c r="WIW353" s="268"/>
      <c r="WIX353" s="268"/>
      <c r="WIY353" s="268"/>
      <c r="WIZ353" s="268"/>
      <c r="WJA353" s="268"/>
      <c r="WJB353" s="268"/>
      <c r="WJC353" s="268"/>
      <c r="WJD353" s="268"/>
      <c r="WJE353" s="268"/>
      <c r="WJF353" s="268"/>
      <c r="WJG353" s="268"/>
      <c r="WJH353" s="268"/>
      <c r="WJI353" s="268"/>
      <c r="WJJ353" s="268"/>
      <c r="WJK353" s="268"/>
      <c r="WJL353" s="268"/>
      <c r="WJM353" s="268"/>
      <c r="WJN353" s="268"/>
      <c r="WJO353" s="268"/>
      <c r="WJP353" s="268"/>
      <c r="WJQ353" s="268"/>
      <c r="WJR353" s="268"/>
      <c r="WJS353" s="268"/>
      <c r="WJT353" s="268"/>
      <c r="WJU353" s="268"/>
      <c r="WJV353" s="268"/>
      <c r="WJW353" s="268"/>
      <c r="WJX353" s="268"/>
      <c r="WJY353" s="268"/>
      <c r="WJZ353" s="268"/>
      <c r="WKA353" s="268"/>
      <c r="WKB353" s="268"/>
      <c r="WKC353" s="268"/>
      <c r="WKD353" s="268"/>
      <c r="WKE353" s="268"/>
      <c r="WKF353" s="268"/>
      <c r="WKG353" s="268"/>
      <c r="WKH353" s="268"/>
      <c r="WKI353" s="268"/>
      <c r="WKJ353" s="268"/>
      <c r="WKK353" s="268"/>
      <c r="WKL353" s="268"/>
      <c r="WKM353" s="268"/>
      <c r="WKN353" s="268"/>
      <c r="WKO353" s="268"/>
      <c r="WKP353" s="268"/>
      <c r="WKQ353" s="268"/>
      <c r="WKR353" s="268"/>
      <c r="WKS353" s="268"/>
      <c r="WKT353" s="268"/>
      <c r="WKU353" s="268"/>
      <c r="WKV353" s="268"/>
      <c r="WKW353" s="268"/>
      <c r="WKX353" s="268"/>
      <c r="WKY353" s="268"/>
      <c r="WKZ353" s="268"/>
      <c r="WLA353" s="268"/>
      <c r="WLB353" s="268"/>
      <c r="WLC353" s="268"/>
      <c r="WLQ353" s="268"/>
      <c r="WLR353" s="268"/>
      <c r="WLS353" s="268"/>
      <c r="WMG353" s="268"/>
      <c r="WMI353" s="268"/>
      <c r="WMJ353" s="268"/>
      <c r="WMK353" s="268"/>
      <c r="WML353" s="268"/>
      <c r="WMM353" s="268"/>
      <c r="WMN353" s="268"/>
      <c r="WMO353" s="268"/>
      <c r="WMP353" s="268"/>
      <c r="WMQ353" s="268"/>
      <c r="WMR353" s="268"/>
      <c r="WMS353" s="268"/>
      <c r="WMT353" s="268"/>
      <c r="WMU353" s="268"/>
      <c r="WMV353" s="268"/>
      <c r="WMW353" s="268"/>
      <c r="WMX353" s="268"/>
      <c r="WMY353" s="268"/>
      <c r="WMZ353" s="268"/>
      <c r="WNA353" s="268"/>
      <c r="WNB353" s="268"/>
      <c r="WNC353" s="268"/>
      <c r="WND353" s="268"/>
      <c r="WNE353" s="268"/>
      <c r="WNF353" s="268"/>
      <c r="WNG353" s="268"/>
      <c r="WNH353" s="268"/>
      <c r="WNI353" s="268"/>
      <c r="WNJ353" s="268"/>
      <c r="WNK353" s="268"/>
      <c r="WNL353" s="268"/>
      <c r="WNM353" s="268"/>
      <c r="WNN353" s="268"/>
      <c r="WNO353" s="268"/>
      <c r="WNP353" s="268"/>
      <c r="WNQ353" s="268"/>
      <c r="WNR353" s="268"/>
      <c r="WNS353" s="268"/>
      <c r="WNT353" s="268"/>
      <c r="WNU353" s="268"/>
      <c r="WNV353" s="268"/>
      <c r="WNW353" s="268"/>
      <c r="WNX353" s="268"/>
      <c r="WNY353" s="268"/>
      <c r="WNZ353" s="268"/>
      <c r="WOA353" s="268"/>
      <c r="WOB353" s="268"/>
      <c r="WOC353" s="268"/>
      <c r="WOD353" s="268"/>
      <c r="WOE353" s="268"/>
      <c r="WOF353" s="268"/>
      <c r="WOG353" s="268"/>
      <c r="WOH353" s="268"/>
      <c r="WOI353" s="268"/>
      <c r="WOJ353" s="268"/>
      <c r="WOK353" s="268"/>
      <c r="WOL353" s="268"/>
      <c r="WOM353" s="268"/>
      <c r="WON353" s="268"/>
      <c r="WOO353" s="268"/>
      <c r="WOP353" s="268"/>
      <c r="WOQ353" s="268"/>
      <c r="WOR353" s="268"/>
      <c r="WOS353" s="268"/>
      <c r="WOT353" s="268"/>
      <c r="WOU353" s="268"/>
      <c r="WOV353" s="268"/>
      <c r="WOW353" s="268"/>
      <c r="WOX353" s="268"/>
      <c r="WOY353" s="268"/>
      <c r="WOZ353" s="268"/>
      <c r="WPA353" s="268"/>
      <c r="WPB353" s="268"/>
      <c r="WPC353" s="268"/>
      <c r="WPD353" s="268"/>
      <c r="WPE353" s="268"/>
      <c r="WPF353" s="268"/>
      <c r="WPG353" s="268"/>
      <c r="WPH353" s="268"/>
      <c r="WPI353" s="268"/>
      <c r="WPJ353" s="268"/>
      <c r="WPK353" s="268"/>
      <c r="WPL353" s="268"/>
      <c r="WPM353" s="268"/>
      <c r="WPN353" s="268"/>
      <c r="WPO353" s="268"/>
      <c r="WPP353" s="268"/>
      <c r="WPQ353" s="268"/>
      <c r="WPR353" s="268"/>
      <c r="WPS353" s="268"/>
      <c r="WPT353" s="268"/>
      <c r="WPU353" s="268"/>
      <c r="WPV353" s="268"/>
      <c r="WPW353" s="268"/>
      <c r="WPX353" s="268"/>
      <c r="WPY353" s="268"/>
      <c r="WPZ353" s="268"/>
      <c r="WQA353" s="268"/>
      <c r="WQB353" s="268"/>
      <c r="WQC353" s="268"/>
      <c r="WQD353" s="268"/>
      <c r="WQE353" s="268"/>
      <c r="WQF353" s="268"/>
      <c r="WQG353" s="268"/>
      <c r="WQH353" s="268"/>
      <c r="WQI353" s="268"/>
      <c r="WQJ353" s="268"/>
      <c r="WQK353" s="268"/>
      <c r="WQL353" s="268"/>
      <c r="WQM353" s="268"/>
      <c r="WQN353" s="268"/>
      <c r="WQO353" s="268"/>
      <c r="WQP353" s="268"/>
      <c r="WQQ353" s="268"/>
      <c r="WQR353" s="268"/>
      <c r="WQS353" s="268"/>
      <c r="WQT353" s="268"/>
      <c r="WQU353" s="268"/>
      <c r="WQV353" s="268"/>
      <c r="WQW353" s="268"/>
      <c r="WQX353" s="268"/>
      <c r="WQY353" s="268"/>
      <c r="WQZ353" s="268"/>
      <c r="WRA353" s="268"/>
      <c r="WRB353" s="268"/>
      <c r="WRC353" s="268"/>
      <c r="WRD353" s="268"/>
      <c r="WRE353" s="268"/>
      <c r="WRF353" s="268"/>
      <c r="WRG353" s="268"/>
      <c r="WRH353" s="268"/>
      <c r="WRI353" s="268"/>
      <c r="WRJ353" s="268"/>
      <c r="WRK353" s="268"/>
      <c r="WRL353" s="268"/>
      <c r="WRM353" s="268"/>
      <c r="WRN353" s="268"/>
      <c r="WRO353" s="268"/>
      <c r="WRP353" s="268"/>
      <c r="WRQ353" s="268"/>
      <c r="WRR353" s="268"/>
      <c r="WRS353" s="268"/>
      <c r="WRT353" s="268"/>
      <c r="WRU353" s="268"/>
      <c r="WRV353" s="268"/>
      <c r="WRW353" s="268"/>
      <c r="WRX353" s="268"/>
      <c r="WRY353" s="268"/>
      <c r="WRZ353" s="268"/>
      <c r="WSA353" s="268"/>
      <c r="WSB353" s="268"/>
      <c r="WSC353" s="268"/>
      <c r="WSD353" s="268"/>
      <c r="WSE353" s="268"/>
      <c r="WSF353" s="268"/>
      <c r="WSG353" s="268"/>
      <c r="WSH353" s="268"/>
      <c r="WSI353" s="268"/>
      <c r="WSJ353" s="268"/>
      <c r="WSK353" s="268"/>
      <c r="WSL353" s="268"/>
      <c r="WSM353" s="268"/>
      <c r="WSN353" s="268"/>
      <c r="WSO353" s="268"/>
      <c r="WSP353" s="268"/>
      <c r="WSQ353" s="268"/>
      <c r="WSR353" s="268"/>
      <c r="WSS353" s="268"/>
      <c r="WST353" s="268"/>
      <c r="WSU353" s="268"/>
      <c r="WSV353" s="268"/>
      <c r="WSW353" s="268"/>
      <c r="WSX353" s="268"/>
      <c r="WSY353" s="268"/>
      <c r="WSZ353" s="268"/>
      <c r="WTA353" s="268"/>
      <c r="WTB353" s="268"/>
      <c r="WTC353" s="268"/>
      <c r="WTD353" s="268"/>
      <c r="WTE353" s="268"/>
      <c r="WTF353" s="268"/>
      <c r="WTG353" s="268"/>
      <c r="WTH353" s="268"/>
      <c r="WTI353" s="268"/>
      <c r="WTJ353" s="268"/>
      <c r="WTK353" s="268"/>
      <c r="WTL353" s="268"/>
      <c r="WTM353" s="268"/>
      <c r="WTN353" s="268"/>
      <c r="WTO353" s="268"/>
      <c r="WTP353" s="268"/>
      <c r="WTQ353" s="268"/>
      <c r="WTR353" s="268"/>
      <c r="WTS353" s="268"/>
      <c r="WTT353" s="268"/>
      <c r="WTU353" s="268"/>
      <c r="WTV353" s="268"/>
      <c r="WTW353" s="268"/>
      <c r="WTX353" s="268"/>
      <c r="WTY353" s="268"/>
      <c r="WTZ353" s="268"/>
      <c r="WUA353" s="268"/>
      <c r="WUB353" s="268"/>
      <c r="WUC353" s="268"/>
      <c r="WUD353" s="268"/>
      <c r="WUE353" s="268"/>
      <c r="WUF353" s="268"/>
      <c r="WUG353" s="268"/>
      <c r="WUH353" s="268"/>
      <c r="WUI353" s="268"/>
      <c r="WUJ353" s="268"/>
      <c r="WUK353" s="268"/>
      <c r="WUL353" s="268"/>
      <c r="WUM353" s="268"/>
      <c r="WUN353" s="268"/>
      <c r="WUO353" s="268"/>
      <c r="WUP353" s="268"/>
      <c r="WUQ353" s="268"/>
      <c r="WUR353" s="268"/>
      <c r="WUS353" s="268"/>
      <c r="WUT353" s="268"/>
      <c r="WUU353" s="268"/>
      <c r="WUV353" s="268"/>
      <c r="WUW353" s="268"/>
      <c r="WUX353" s="268"/>
      <c r="WUY353" s="268"/>
      <c r="WVM353" s="268"/>
      <c r="WVN353" s="268"/>
      <c r="WVO353" s="268"/>
      <c r="WWC353" s="268"/>
      <c r="WWE353" s="268"/>
      <c r="WWF353" s="268"/>
      <c r="WWG353" s="268"/>
      <c r="WWH353" s="268"/>
      <c r="WWI353" s="268"/>
      <c r="WWJ353" s="268"/>
      <c r="WWK353" s="268"/>
      <c r="WWL353" s="268"/>
      <c r="WWM353" s="268"/>
      <c r="WWN353" s="268"/>
      <c r="WWO353" s="268"/>
      <c r="WWP353" s="268"/>
      <c r="WWQ353" s="268"/>
      <c r="WWR353" s="268"/>
      <c r="WWS353" s="268"/>
      <c r="WWT353" s="268"/>
      <c r="WWU353" s="268"/>
      <c r="WWV353" s="268"/>
      <c r="WWW353" s="268"/>
      <c r="WWX353" s="268"/>
      <c r="WWY353" s="268"/>
      <c r="WWZ353" s="268"/>
      <c r="WXA353" s="268"/>
      <c r="WXB353" s="268"/>
      <c r="WXC353" s="268"/>
      <c r="WXD353" s="268"/>
      <c r="WXE353" s="268"/>
      <c r="WXF353" s="268"/>
      <c r="WXG353" s="268"/>
      <c r="WXH353" s="268"/>
      <c r="WXI353" s="268"/>
      <c r="WXJ353" s="268"/>
      <c r="WXK353" s="268"/>
      <c r="WXL353" s="268"/>
      <c r="WXM353" s="268"/>
      <c r="WXN353" s="268"/>
      <c r="WXO353" s="268"/>
      <c r="WXP353" s="268"/>
      <c r="WXQ353" s="268"/>
      <c r="WXR353" s="268"/>
      <c r="WXS353" s="268"/>
      <c r="WXT353" s="268"/>
      <c r="WXU353" s="268"/>
      <c r="WXV353" s="268"/>
      <c r="WXW353" s="268"/>
      <c r="WXX353" s="268"/>
      <c r="WXY353" s="268"/>
      <c r="WXZ353" s="268"/>
      <c r="WYA353" s="268"/>
      <c r="WYB353" s="268"/>
      <c r="WYC353" s="268"/>
      <c r="WYD353" s="268"/>
      <c r="WYE353" s="268"/>
      <c r="WYF353" s="268"/>
      <c r="WYG353" s="268"/>
      <c r="WYH353" s="268"/>
      <c r="WYI353" s="268"/>
      <c r="WYJ353" s="268"/>
      <c r="WYK353" s="268"/>
      <c r="WYL353" s="268"/>
      <c r="WYM353" s="268"/>
      <c r="WYN353" s="268"/>
      <c r="WYO353" s="268"/>
      <c r="WYP353" s="268"/>
      <c r="WYQ353" s="268"/>
      <c r="WYR353" s="268"/>
      <c r="WYS353" s="268"/>
      <c r="WYT353" s="268"/>
      <c r="WYU353" s="268"/>
      <c r="WYV353" s="268"/>
      <c r="WYW353" s="268"/>
      <c r="WYX353" s="268"/>
      <c r="WYY353" s="268"/>
      <c r="WYZ353" s="268"/>
      <c r="WZA353" s="268"/>
      <c r="WZB353" s="268"/>
      <c r="WZC353" s="268"/>
      <c r="WZD353" s="268"/>
      <c r="WZE353" s="268"/>
      <c r="WZF353" s="268"/>
      <c r="WZG353" s="268"/>
      <c r="WZH353" s="268"/>
      <c r="WZI353" s="268"/>
      <c r="WZJ353" s="268"/>
      <c r="WZK353" s="268"/>
      <c r="WZL353" s="268"/>
      <c r="WZM353" s="268"/>
      <c r="WZN353" s="268"/>
      <c r="WZO353" s="268"/>
      <c r="WZP353" s="268"/>
      <c r="WZQ353" s="268"/>
      <c r="WZR353" s="268"/>
      <c r="WZS353" s="268"/>
      <c r="WZT353" s="268"/>
      <c r="WZU353" s="268"/>
      <c r="WZV353" s="268"/>
      <c r="WZW353" s="268"/>
      <c r="WZX353" s="268"/>
      <c r="WZY353" s="268"/>
      <c r="WZZ353" s="268"/>
      <c r="XAA353" s="268"/>
      <c r="XAB353" s="268"/>
      <c r="XAC353" s="268"/>
      <c r="XAD353" s="268"/>
      <c r="XAE353" s="268"/>
      <c r="XAF353" s="268"/>
      <c r="XAG353" s="268"/>
      <c r="XAH353" s="268"/>
      <c r="XAI353" s="268"/>
      <c r="XAJ353" s="268"/>
      <c r="XAK353" s="268"/>
      <c r="XAL353" s="268"/>
      <c r="XAM353" s="268"/>
      <c r="XAN353" s="268"/>
      <c r="XAO353" s="268"/>
      <c r="XAP353" s="268"/>
      <c r="XAQ353" s="268"/>
      <c r="XAR353" s="268"/>
      <c r="XAS353" s="268"/>
      <c r="XAT353" s="268"/>
      <c r="XAU353" s="268"/>
      <c r="XAV353" s="268"/>
      <c r="XAW353" s="268"/>
      <c r="XAX353" s="268"/>
      <c r="XAY353" s="268"/>
      <c r="XAZ353" s="268"/>
      <c r="XBA353" s="268"/>
      <c r="XBB353" s="268"/>
      <c r="XBC353" s="268"/>
      <c r="XBD353" s="268"/>
      <c r="XBE353" s="268"/>
      <c r="XBF353" s="268"/>
      <c r="XBG353" s="268"/>
      <c r="XBH353" s="268"/>
      <c r="XBI353" s="268"/>
      <c r="XBJ353" s="268"/>
      <c r="XBK353" s="268"/>
      <c r="XBL353" s="268"/>
      <c r="XBM353" s="268"/>
      <c r="XBN353" s="268"/>
      <c r="XBO353" s="268"/>
      <c r="XBP353" s="268"/>
      <c r="XBQ353" s="268"/>
      <c r="XBR353" s="268"/>
      <c r="XBS353" s="268"/>
      <c r="XBT353" s="268"/>
      <c r="XBU353" s="268"/>
      <c r="XBV353" s="268"/>
      <c r="XBW353" s="268"/>
      <c r="XBX353" s="268"/>
      <c r="XBY353" s="268"/>
      <c r="XBZ353" s="268"/>
      <c r="XCA353" s="268"/>
      <c r="XCB353" s="268"/>
      <c r="XCC353" s="268"/>
      <c r="XCD353" s="268"/>
      <c r="XCE353" s="268"/>
      <c r="XCF353" s="268"/>
      <c r="XCG353" s="268"/>
      <c r="XCH353" s="268"/>
      <c r="XCI353" s="268"/>
      <c r="XCJ353" s="268"/>
      <c r="XCK353" s="268"/>
      <c r="XCL353" s="268"/>
      <c r="XCM353" s="268"/>
      <c r="XCN353" s="268"/>
      <c r="XCO353" s="268"/>
      <c r="XCP353" s="268"/>
      <c r="XCQ353" s="268"/>
      <c r="XCR353" s="268"/>
      <c r="XCS353" s="268"/>
      <c r="XCT353" s="268"/>
      <c r="XCU353" s="268"/>
      <c r="XCV353" s="268"/>
      <c r="XCW353" s="268"/>
      <c r="XCX353" s="268"/>
      <c r="XCY353" s="268"/>
      <c r="XCZ353" s="268"/>
      <c r="XDA353" s="268"/>
      <c r="XDB353" s="268"/>
      <c r="XDC353" s="268"/>
      <c r="XDD353" s="268"/>
      <c r="XDE353" s="268"/>
      <c r="XDF353" s="268"/>
      <c r="XDG353" s="268"/>
      <c r="XDH353" s="268"/>
      <c r="XDI353" s="268"/>
      <c r="XDJ353" s="268"/>
      <c r="XDK353" s="268"/>
      <c r="XDL353" s="268"/>
      <c r="XDM353" s="268"/>
      <c r="XDN353" s="268"/>
      <c r="XDO353" s="268"/>
      <c r="XDP353" s="268"/>
      <c r="XDQ353" s="268"/>
      <c r="XDR353" s="268"/>
      <c r="XDS353" s="268"/>
      <c r="XDT353" s="268"/>
      <c r="XDU353" s="268"/>
      <c r="XDV353" s="268"/>
      <c r="XDW353" s="268"/>
      <c r="XDX353" s="268"/>
      <c r="XDY353" s="268"/>
      <c r="XDZ353" s="268"/>
      <c r="XEA353" s="268"/>
      <c r="XEB353" s="268"/>
      <c r="XEC353" s="268"/>
      <c r="XED353" s="268"/>
      <c r="XEE353" s="268"/>
      <c r="XEF353" s="268"/>
      <c r="XEG353" s="268"/>
      <c r="XEH353" s="268"/>
      <c r="XEI353" s="268"/>
      <c r="XEJ353" s="268"/>
      <c r="XEK353" s="268"/>
      <c r="XEL353" s="268"/>
      <c r="XEM353" s="268"/>
      <c r="XEN353" s="268"/>
      <c r="XEO353" s="268"/>
      <c r="XEP353" s="268"/>
      <c r="XEQ353" s="268"/>
      <c r="XER353" s="268"/>
      <c r="XES353" s="268"/>
    </row>
    <row r="354" spans="1:1015 1029:2039 2053:3063 3077:4087 4101:5111 5125:6135 6149:7159 7173:8183 8197:9207 9221:10231 10245:11255 11269:12279 12293:13303 13317:14327 14341:15351 15365:16373" s="263" customFormat="1" ht="15.75" collapsed="1" thickBot="1" x14ac:dyDescent="0.3">
      <c r="A354" s="259" t="s">
        <v>1171</v>
      </c>
      <c r="B354" s="264">
        <f>SUM(B339:B352)</f>
        <v>1130307</v>
      </c>
      <c r="C354" s="261"/>
      <c r="D354" s="264">
        <f>SUM(D339:D352)</f>
        <v>1945</v>
      </c>
      <c r="E354" s="264">
        <f>SUM(E339:E352)</f>
        <v>615328</v>
      </c>
      <c r="F354" s="264">
        <f>SUM(F339:F352)</f>
        <v>617273</v>
      </c>
      <c r="G354" s="261"/>
      <c r="H354" s="264">
        <f>SUM(H339:H352)</f>
        <v>-513034</v>
      </c>
      <c r="I354" s="261"/>
      <c r="J354" s="264">
        <f>SUM(J339:J352)</f>
        <v>12142</v>
      </c>
      <c r="K354" s="264">
        <f>SUM(K339:K352)</f>
        <v>447823</v>
      </c>
      <c r="L354" s="264">
        <f>SUM(L339:L352)</f>
        <v>459965</v>
      </c>
      <c r="M354" s="261"/>
      <c r="N354" s="264">
        <f>SUM(N339:N352)</f>
        <v>-157308</v>
      </c>
      <c r="O354" s="262"/>
      <c r="P354" s="264">
        <f>SUM(P339:P352)</f>
        <v>1089089</v>
      </c>
      <c r="Q354" s="262"/>
      <c r="R354" s="264">
        <f t="shared" ref="R354:W354" si="207">SUM(R339:R352)</f>
        <v>1201</v>
      </c>
      <c r="S354" s="264">
        <f t="shared" si="207"/>
        <v>1280404</v>
      </c>
      <c r="T354" s="264">
        <f t="shared" si="207"/>
        <v>1281605</v>
      </c>
      <c r="U354" s="264">
        <f t="shared" si="207"/>
        <v>192516</v>
      </c>
      <c r="V354" s="264">
        <f t="shared" si="207"/>
        <v>2929</v>
      </c>
      <c r="W354" s="264">
        <f t="shared" si="207"/>
        <v>1245821</v>
      </c>
      <c r="X354" s="264"/>
      <c r="Y354" s="264">
        <f>SUM(Y339:Y352)</f>
        <v>1248750</v>
      </c>
      <c r="Z354" s="264">
        <f>SUM(Z339:Z352)</f>
        <v>-32855</v>
      </c>
      <c r="AA354" s="262"/>
      <c r="AB354" s="262"/>
      <c r="AC354" s="264">
        <f>SUM(AC339:AC352)</f>
        <v>4986</v>
      </c>
      <c r="AD354" s="264">
        <f>SUM(AD339:AD352)</f>
        <v>1265069</v>
      </c>
      <c r="AE354" s="264">
        <f>SUM(AE339:AE352)</f>
        <v>1270055</v>
      </c>
      <c r="AF354" s="264">
        <f>SUM(AF339:AF352)</f>
        <v>21305</v>
      </c>
      <c r="AG354" s="32"/>
      <c r="AH354" s="4"/>
      <c r="AI354" s="44">
        <f>SUM(AI339:AI353)</f>
        <v>734552</v>
      </c>
      <c r="AJ354" s="32"/>
      <c r="AK354" s="44">
        <f>SUM(AK339:AK353)</f>
        <v>-277506</v>
      </c>
      <c r="AL354" s="3"/>
      <c r="AM354" s="44">
        <f>SUM(AM339:AM353)</f>
        <v>-599173</v>
      </c>
      <c r="AN354" s="3"/>
      <c r="AO354" s="44">
        <f>SUM(AO339:AO353)</f>
        <v>-663177</v>
      </c>
      <c r="AP354" s="32"/>
      <c r="AQ354" s="44">
        <f>SUM(AQ339:AQ353)</f>
        <v>-333965</v>
      </c>
      <c r="AR354" s="42"/>
      <c r="AS354" s="44">
        <f>SUM(AS339:AS353)</f>
        <v>-524052</v>
      </c>
      <c r="AT354" s="42"/>
      <c r="AU354" s="44">
        <f>SUM(AU339:AU353)</f>
        <v>-738908</v>
      </c>
      <c r="AV354" s="42"/>
      <c r="AW354" s="44">
        <f>SUM(AW339:AW353)</f>
        <v>-476094</v>
      </c>
      <c r="AX354" s="42"/>
      <c r="AY354" s="44">
        <f>SUM(AY339:AY353)</f>
        <v>-578487</v>
      </c>
      <c r="AZ354" s="42"/>
      <c r="BA354" s="44">
        <f>SUM(BA339:BA353)</f>
        <v>-283697</v>
      </c>
      <c r="BB354" s="42"/>
      <c r="BC354" s="44">
        <f>SUM(BC339:BC353)</f>
        <v>-283697</v>
      </c>
      <c r="BD354" s="42"/>
      <c r="BE354" s="44">
        <f>SUM(BE339:BE353)</f>
        <v>-283697</v>
      </c>
    </row>
    <row r="355" spans="1:1015 1029:2039 2053:3063 3077:4087 4101:5111 5125:6135 6149:7159 7173:8183 8197:9207 9221:10231 10245:11255 11269:12279 12293:13303 13317:14327 14341:15351 15365:16373" ht="16.5" thickTop="1" thickBot="1" x14ac:dyDescent="0.3">
      <c r="A355" s="3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32"/>
      <c r="N355" s="7"/>
      <c r="P355" s="7"/>
      <c r="R355" s="7"/>
      <c r="S355" s="7"/>
      <c r="T355" s="7"/>
      <c r="U355" s="7"/>
      <c r="V355" s="7"/>
      <c r="W355" s="7"/>
      <c r="X355" s="7"/>
      <c r="Y355" s="7"/>
      <c r="Z355" s="7"/>
      <c r="AC355" s="7"/>
      <c r="AD355" s="7"/>
      <c r="AE355" s="7"/>
      <c r="AF355" s="7"/>
      <c r="AG355" s="32"/>
      <c r="AI355" s="7"/>
      <c r="AJ355" s="32"/>
      <c r="AK355" s="7"/>
      <c r="AM355" s="7"/>
      <c r="AO355" s="7"/>
      <c r="AP355" s="32"/>
      <c r="AQ355" s="7"/>
      <c r="AS355" s="7"/>
      <c r="AU355" s="7"/>
      <c r="AW355" s="7"/>
      <c r="AY355" s="7"/>
      <c r="BA355" s="7"/>
      <c r="BC355" s="7"/>
      <c r="BE355" s="7"/>
    </row>
    <row r="356" spans="1:1015 1029:2039 2053:3063 3077:4087 4101:5111 5125:6135 6149:7159 7173:8183 8197:9207 9221:10231 10245:11255 11269:12279 12293:13303 13317:14327 14341:15351 15365:16373" s="263" customFormat="1" ht="15.75" thickBot="1" x14ac:dyDescent="0.3">
      <c r="A356" s="259" t="s">
        <v>1170</v>
      </c>
      <c r="B356" s="265">
        <f>B354+B336</f>
        <v>10968370.125</v>
      </c>
      <c r="C356" s="261"/>
      <c r="D356" s="265">
        <f>D354+D336</f>
        <v>3734560</v>
      </c>
      <c r="E356" s="265">
        <f>E354+E336</f>
        <v>7844975</v>
      </c>
      <c r="F356" s="265">
        <f>F354+F336</f>
        <v>11579538</v>
      </c>
      <c r="G356" s="261"/>
      <c r="H356" s="265">
        <f>H354+H336</f>
        <v>611165.87500000023</v>
      </c>
      <c r="I356" s="261"/>
      <c r="J356" s="265">
        <f>J354+J336</f>
        <v>5233209</v>
      </c>
      <c r="K356" s="265">
        <f>K354+K336</f>
        <v>6167590</v>
      </c>
      <c r="L356" s="265">
        <f>L354+L336</f>
        <v>11363301</v>
      </c>
      <c r="M356" s="261"/>
      <c r="N356" s="265">
        <f>N354+N336</f>
        <v>-178639</v>
      </c>
      <c r="O356" s="262"/>
      <c r="P356" s="265">
        <f>P354+P336</f>
        <v>10690938.4</v>
      </c>
      <c r="Q356" s="262"/>
      <c r="R356" s="265">
        <f t="shared" ref="R356:W356" si="208">R354+R336</f>
        <v>3453729</v>
      </c>
      <c r="S356" s="265">
        <f t="shared" si="208"/>
        <v>7561604</v>
      </c>
      <c r="T356" s="265">
        <f t="shared" si="208"/>
        <v>11015332</v>
      </c>
      <c r="U356" s="265">
        <f t="shared" si="208"/>
        <v>324394.60000000021</v>
      </c>
      <c r="V356" s="265">
        <f t="shared" si="208"/>
        <v>4392184</v>
      </c>
      <c r="W356" s="265">
        <f t="shared" si="208"/>
        <v>6859559</v>
      </c>
      <c r="X356" s="265"/>
      <c r="Y356" s="265">
        <f>Y354+Y336</f>
        <v>11251592</v>
      </c>
      <c r="Z356" s="265">
        <f>Z354+Z336</f>
        <v>236260</v>
      </c>
      <c r="AA356" s="262"/>
      <c r="AB356" s="262"/>
      <c r="AC356" s="265">
        <f>AC354+AC336</f>
        <v>5413269</v>
      </c>
      <c r="AD356" s="265">
        <f>AD354+AD336</f>
        <v>5828224</v>
      </c>
      <c r="AE356" s="265">
        <f>AE354+AE336</f>
        <v>11241492</v>
      </c>
      <c r="AF356" s="265">
        <f>AF354+AF336</f>
        <v>-10099</v>
      </c>
      <c r="AG356" s="32"/>
      <c r="AH356" s="4"/>
      <c r="AI356" s="331">
        <f>AI354+AI336</f>
        <v>11748190.974374998</v>
      </c>
      <c r="AJ356" s="32"/>
      <c r="AK356" s="319">
        <f>AK354+AK336</f>
        <v>7130407.8219218757</v>
      </c>
      <c r="AL356" s="3"/>
      <c r="AM356" s="319">
        <f>AM354+AM336</f>
        <v>7162465.0664703902</v>
      </c>
      <c r="AN356" s="3"/>
      <c r="AO356" s="319">
        <f>AO354+AO336</f>
        <v>7319896.0491275387</v>
      </c>
      <c r="AP356" s="32"/>
      <c r="AQ356" s="319">
        <f>AQ354+AQ336</f>
        <v>7880239.6208145283</v>
      </c>
      <c r="AR356" s="42"/>
      <c r="AS356" s="319">
        <f>AS354+AS336</f>
        <v>7915041.5081620291</v>
      </c>
      <c r="AT356" s="42"/>
      <c r="AU356" s="319">
        <f>AU354+AU336</f>
        <v>7881046.1753104366</v>
      </c>
      <c r="AV356" s="42"/>
      <c r="AW356" s="319">
        <f>AW354+AW336</f>
        <v>8340587.287259547</v>
      </c>
      <c r="AX356" s="42"/>
      <c r="AY356" s="319">
        <f>AY354+AY336</f>
        <v>8315441.8018546849</v>
      </c>
      <c r="AZ356" s="42"/>
      <c r="BA356" s="319">
        <f>BA354+BA336</f>
        <v>8846542.295832701</v>
      </c>
      <c r="BB356" s="42"/>
      <c r="BC356" s="319">
        <f>BC354+BC336</f>
        <v>9090377.3044993151</v>
      </c>
      <c r="BD356" s="42"/>
      <c r="BE356" s="319">
        <f>BE354+BE336</f>
        <v>9341997.6756376866</v>
      </c>
    </row>
    <row r="357" spans="1:1015 1029:2039 2053:3063 3077:4087 4101:5111 5125:6135 6149:7159 7173:8183 8197:9207 9221:10231 10245:11255 11269:12279 12293:13303 13317:14327 14341:15351 15365:16373" s="51" customFormat="1" x14ac:dyDescent="0.25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4"/>
      <c r="P357" s="32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32"/>
      <c r="AJ357" s="32"/>
      <c r="AK357" s="32"/>
      <c r="AL357" s="4"/>
      <c r="AM357" s="32"/>
      <c r="AN357" s="4"/>
      <c r="AO357" s="32"/>
      <c r="AP357" s="32"/>
      <c r="AQ357" s="32"/>
      <c r="AS357" s="32"/>
      <c r="AU357" s="32"/>
      <c r="AW357" s="32"/>
      <c r="AY357" s="32"/>
      <c r="BA357" s="32"/>
      <c r="BC357" s="32"/>
      <c r="BE357" s="32"/>
    </row>
    <row r="358" spans="1:1015 1029:2039 2053:3063 3077:4087 4101:5111 5125:6135 6149:7159 7173:8183 8197:9207 9221:10231 10245:11255 11269:12279 12293:13303 13317:14327 14341:15351 15365:16373" s="51" customFormat="1" x14ac:dyDescent="0.25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4"/>
      <c r="P358" s="32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32"/>
      <c r="AK358" s="4"/>
      <c r="AL358" s="4"/>
      <c r="AM358" s="4"/>
      <c r="AN358" s="4"/>
      <c r="AO358" s="4"/>
      <c r="AP358" s="32"/>
      <c r="AQ358" s="4"/>
      <c r="AS358" s="4"/>
      <c r="AU358" s="4"/>
      <c r="AW358" s="4"/>
      <c r="AY358" s="4"/>
      <c r="BA358" s="4"/>
      <c r="BC358" s="4"/>
      <c r="BE358" s="4"/>
    </row>
    <row r="359" spans="1:1015 1029:2039 2053:3063 3077:4087 4101:5111 5125:6135 6149:7159 7173:8183 8197:9207 9221:10231 10245:11255 11269:12279 12293:13303 13317:14327 14341:15351 15365:16373" x14ac:dyDescent="0.25">
      <c r="A359" s="266" t="s">
        <v>291</v>
      </c>
      <c r="BC359" s="3"/>
      <c r="BE359" s="3"/>
    </row>
    <row r="360" spans="1:1015 1029:2039 2053:3063 3077:4087 4101:5111 5125:6135 6149:7159 7173:8183 8197:9207 9221:10231 10245:11255 11269:12279 12293:13303 13317:14327 14341:15351 15365:16373" x14ac:dyDescent="0.25">
      <c r="A360" s="7" t="s">
        <v>58</v>
      </c>
      <c r="BC360" s="3"/>
      <c r="BE360" s="3"/>
    </row>
    <row r="361" spans="1:1015 1029:2039 2053:3063 3077:4087 4101:5111 5125:6135 6149:7159 7173:8183 8197:9207 9221:10231 10245:11255 11269:12279 12293:13303 13317:14327 14341:15351 15365:16373" hidden="1" outlineLevel="1" x14ac:dyDescent="0.25">
      <c r="A361" s="7" t="s">
        <v>292</v>
      </c>
      <c r="BC361" s="3"/>
      <c r="BE361" s="3"/>
    </row>
    <row r="362" spans="1:1015 1029:2039 2053:3063 3077:4087 4101:5111 5125:6135 6149:7159 7173:8183 8197:9207 9221:10231 10245:11255 11269:12279 12293:13303 13317:14327 14341:15351 15365:16373" hidden="1" outlineLevel="1" x14ac:dyDescent="0.25">
      <c r="A362" s="3" t="s">
        <v>293</v>
      </c>
      <c r="B362" s="3">
        <v>14900</v>
      </c>
      <c r="D362" s="3">
        <v>0</v>
      </c>
      <c r="E362" s="3">
        <f>F362-D362</f>
        <v>14900</v>
      </c>
      <c r="F362" s="3">
        <v>14900</v>
      </c>
      <c r="H362" s="3">
        <f>F362-B362</f>
        <v>0</v>
      </c>
      <c r="J362" s="3">
        <v>9648</v>
      </c>
      <c r="K362" s="4">
        <f t="shared" ref="K362:K372" si="209">L362-J362</f>
        <v>5252</v>
      </c>
      <c r="L362" s="4">
        <v>14900</v>
      </c>
      <c r="N362" s="4">
        <f t="shared" ref="N362:N372" si="210">L362-F362</f>
        <v>0</v>
      </c>
      <c r="P362" s="3">
        <f>L362*1.0281+31</f>
        <v>15349.69</v>
      </c>
      <c r="R362" s="3">
        <v>0</v>
      </c>
      <c r="S362" s="3">
        <f t="shared" ref="S362:S372" si="211">T362-R362</f>
        <v>15350</v>
      </c>
      <c r="T362" s="3">
        <v>15350</v>
      </c>
      <c r="U362" s="3">
        <f t="shared" ref="U362:U372" si="212">T362-P362</f>
        <v>0.30999999999949068</v>
      </c>
      <c r="V362" s="3">
        <v>11362</v>
      </c>
      <c r="W362" s="3">
        <f t="shared" ref="W362:W372" si="213">Y362-V362</f>
        <v>3988</v>
      </c>
      <c r="Y362" s="3">
        <v>15350</v>
      </c>
      <c r="Z362" s="3">
        <f t="shared" ref="Z362:Z372" si="214">Y362-T362</f>
        <v>0</v>
      </c>
      <c r="AC362" s="3">
        <v>11362</v>
      </c>
      <c r="AD362" s="3">
        <f t="shared" ref="AD362:AD372" si="215">AE362-AC362</f>
        <v>3988</v>
      </c>
      <c r="AE362" s="3">
        <v>15350</v>
      </c>
      <c r="AF362" s="3">
        <f t="shared" ref="AF362:AF372" si="216">AE362-Y362</f>
        <v>0</v>
      </c>
      <c r="AI362" s="3">
        <f>AE362*1.03-11</f>
        <v>15799.5</v>
      </c>
      <c r="AK362" s="3">
        <f>AI362*1.03</f>
        <v>16273.485000000001</v>
      </c>
      <c r="AM362" s="3">
        <f>AK362*1.03</f>
        <v>16761.689550000003</v>
      </c>
      <c r="AO362" s="3">
        <f>AM362*1.03</f>
        <v>17264.540236500005</v>
      </c>
      <c r="AQ362" s="3">
        <f>AO362*1.03</f>
        <v>17782.476443595006</v>
      </c>
      <c r="AR362" s="3"/>
      <c r="AS362" s="3">
        <f>AQ362*1.03</f>
        <v>18315.950736902858</v>
      </c>
      <c r="AT362" s="3"/>
      <c r="AU362" s="3">
        <f>AS362*1.03</f>
        <v>18865.429259009943</v>
      </c>
      <c r="AV362" s="3"/>
      <c r="AW362" s="3">
        <f>AU362*1.03</f>
        <v>19431.392136780243</v>
      </c>
      <c r="AX362" s="3"/>
      <c r="AY362" s="3">
        <f>AW362*1.03</f>
        <v>20014.333900883652</v>
      </c>
      <c r="BA362" s="3">
        <f>AY362*1.03</f>
        <v>20614.763917910161</v>
      </c>
      <c r="BC362" s="3">
        <f>BA362*1.03</f>
        <v>21233.206835447465</v>
      </c>
      <c r="BE362" s="3">
        <f>BC362*1.03</f>
        <v>21870.203040510889</v>
      </c>
    </row>
    <row r="363" spans="1:1015 1029:2039 2053:3063 3077:4087 4101:5111 5125:6135 6149:7159 7173:8183 8197:9207 9221:10231 10245:11255 11269:12279 12293:13303 13317:14327 14341:15351 15365:16373" hidden="1" outlineLevel="1" x14ac:dyDescent="0.25">
      <c r="A363" s="3" t="s">
        <v>294</v>
      </c>
      <c r="B363" s="3">
        <f>FLOOR([2]Sheet1!AQ258,10)</f>
        <v>0</v>
      </c>
      <c r="E363" s="3">
        <f t="shared" ref="E363:E372" si="217">F363-D363</f>
        <v>0</v>
      </c>
      <c r="H363" s="3">
        <f t="shared" ref="H363:H372" si="218">F363-B363</f>
        <v>0</v>
      </c>
      <c r="K363" s="4">
        <f t="shared" si="209"/>
        <v>0</v>
      </c>
      <c r="L363" s="4"/>
      <c r="N363" s="4">
        <f t="shared" si="210"/>
        <v>0</v>
      </c>
      <c r="P363" s="3">
        <v>33000</v>
      </c>
      <c r="R363" s="3">
        <v>2895</v>
      </c>
      <c r="S363" s="3">
        <f t="shared" si="211"/>
        <v>28105</v>
      </c>
      <c r="T363" s="3">
        <v>31000</v>
      </c>
      <c r="U363" s="3">
        <f t="shared" si="212"/>
        <v>-2000</v>
      </c>
      <c r="V363" s="3">
        <v>3160</v>
      </c>
      <c r="W363" s="3">
        <f t="shared" si="213"/>
        <v>22340</v>
      </c>
      <c r="Y363" s="3">
        <v>25500</v>
      </c>
      <c r="Z363" s="3">
        <f t="shared" si="214"/>
        <v>-5500</v>
      </c>
      <c r="AC363" s="3">
        <v>25357</v>
      </c>
      <c r="AD363" s="3">
        <f t="shared" si="215"/>
        <v>143</v>
      </c>
      <c r="AE363" s="3">
        <v>25500</v>
      </c>
      <c r="AF363" s="3">
        <f t="shared" si="216"/>
        <v>0</v>
      </c>
      <c r="AI363" s="3">
        <f>FLOOR([2]Sheet1!AU258,10)</f>
        <v>0</v>
      </c>
      <c r="AK363" s="3">
        <f>FLOOR([2]Sheet1!AW258,10)</f>
        <v>0</v>
      </c>
      <c r="AM363" s="3">
        <f>FLOOR([2]Sheet1!AY258,10)</f>
        <v>0</v>
      </c>
      <c r="AO363" s="3">
        <f>P363*1.03 *1.03 *1.03 *1.03</f>
        <v>37141.790730000001</v>
      </c>
      <c r="AQ363" s="3">
        <f>FLOOR([2]Sheet1!BC258,10)</f>
        <v>0</v>
      </c>
      <c r="AS363" s="3">
        <f>FLOOR([2]Sheet1!BE258,10)</f>
        <v>0</v>
      </c>
      <c r="AU363" s="3">
        <f>FLOOR([2]Sheet1!BG258,10)</f>
        <v>0</v>
      </c>
      <c r="AW363" s="3">
        <f>AO363*1.03 *1.03 *1.03 *1.03</f>
        <v>41803.412685791336</v>
      </c>
      <c r="BC363" s="3"/>
      <c r="BE363" s="3"/>
    </row>
    <row r="364" spans="1:1015 1029:2039 2053:3063 3077:4087 4101:5111 5125:6135 6149:7159 7173:8183 8197:9207 9221:10231 10245:11255 11269:12279 12293:13303 13317:14327 14341:15351 15365:16373" hidden="1" outlineLevel="1" x14ac:dyDescent="0.25">
      <c r="A364" s="3" t="s">
        <v>295</v>
      </c>
      <c r="E364" s="3">
        <f t="shared" si="217"/>
        <v>0</v>
      </c>
      <c r="H364" s="3">
        <f t="shared" si="218"/>
        <v>0</v>
      </c>
      <c r="J364" s="3">
        <v>192</v>
      </c>
      <c r="K364" s="4">
        <f t="shared" si="209"/>
        <v>-192</v>
      </c>
      <c r="L364" s="4">
        <v>0</v>
      </c>
      <c r="N364" s="4">
        <f t="shared" si="210"/>
        <v>0</v>
      </c>
      <c r="R364" s="3">
        <v>1417</v>
      </c>
      <c r="S364" s="3">
        <f t="shared" si="211"/>
        <v>-1417</v>
      </c>
      <c r="T364" s="3">
        <v>0</v>
      </c>
      <c r="U364" s="3">
        <f t="shared" si="212"/>
        <v>0</v>
      </c>
      <c r="W364" s="3">
        <f t="shared" si="213"/>
        <v>0</v>
      </c>
      <c r="Z364" s="3">
        <f t="shared" si="214"/>
        <v>0</v>
      </c>
      <c r="AD364" s="3">
        <f t="shared" si="215"/>
        <v>0</v>
      </c>
      <c r="AF364" s="3">
        <f t="shared" si="216"/>
        <v>0</v>
      </c>
      <c r="BC364" s="3"/>
      <c r="BE364" s="3"/>
    </row>
    <row r="365" spans="1:1015 1029:2039 2053:3063 3077:4087 4101:5111 5125:6135 6149:7159 7173:8183 8197:9207 9221:10231 10245:11255 11269:12279 12293:13303 13317:14327 14341:15351 15365:16373" hidden="1" outlineLevel="1" x14ac:dyDescent="0.25">
      <c r="A365" s="3" t="s">
        <v>296</v>
      </c>
      <c r="B365" s="3">
        <v>60400</v>
      </c>
      <c r="D365" s="3">
        <v>15043</v>
      </c>
      <c r="E365" s="3">
        <f t="shared" si="217"/>
        <v>46757</v>
      </c>
      <c r="F365" s="3">
        <v>61800</v>
      </c>
      <c r="H365" s="3">
        <f t="shared" si="218"/>
        <v>1400</v>
      </c>
      <c r="J365" s="3">
        <v>25110</v>
      </c>
      <c r="K365" s="4">
        <f t="shared" si="209"/>
        <v>36690</v>
      </c>
      <c r="L365" s="4">
        <v>61800</v>
      </c>
      <c r="N365" s="4">
        <f t="shared" si="210"/>
        <v>0</v>
      </c>
      <c r="P365" s="3">
        <v>61000</v>
      </c>
      <c r="R365" s="3">
        <v>9030</v>
      </c>
      <c r="S365" s="3">
        <f t="shared" si="211"/>
        <v>51970</v>
      </c>
      <c r="T365" s="3">
        <v>61000</v>
      </c>
      <c r="U365" s="3">
        <f t="shared" si="212"/>
        <v>0</v>
      </c>
      <c r="V365" s="3">
        <v>24615</v>
      </c>
      <c r="W365" s="3">
        <f t="shared" si="213"/>
        <v>36385</v>
      </c>
      <c r="Y365" s="3">
        <v>61000</v>
      </c>
      <c r="Z365" s="3">
        <f t="shared" si="214"/>
        <v>0</v>
      </c>
      <c r="AC365" s="3">
        <v>38805</v>
      </c>
      <c r="AD365" s="3">
        <f t="shared" si="215"/>
        <v>22195</v>
      </c>
      <c r="AE365" s="3">
        <v>61000</v>
      </c>
      <c r="AF365" s="3">
        <f t="shared" si="216"/>
        <v>0</v>
      </c>
      <c r="AI365" s="3">
        <v>63800</v>
      </c>
      <c r="AK365" s="3">
        <f>AI365*1.03</f>
        <v>65714</v>
      </c>
      <c r="AM365" s="3">
        <f>AK365*1.03</f>
        <v>67685.42</v>
      </c>
      <c r="AO365" s="3">
        <f>AM365*1.03</f>
        <v>69715.982600000003</v>
      </c>
      <c r="AQ365" s="3">
        <f>AO365*1.03</f>
        <v>71807.462078000011</v>
      </c>
      <c r="AR365" s="3"/>
      <c r="AS365" s="3">
        <f>AQ365*1.03</f>
        <v>73961.685940340016</v>
      </c>
      <c r="AT365" s="3"/>
      <c r="AU365" s="3">
        <f>AS365*1.03</f>
        <v>76180.536518550216</v>
      </c>
      <c r="AV365" s="3"/>
      <c r="AW365" s="3">
        <f>AU365*1.03</f>
        <v>78465.952614106718</v>
      </c>
      <c r="AX365" s="3"/>
      <c r="AY365" s="3">
        <f>AW365*1.03</f>
        <v>80819.931192529926</v>
      </c>
      <c r="BA365" s="3">
        <f>AY365*1.03</f>
        <v>83244.529128305832</v>
      </c>
      <c r="BC365" s="3">
        <f>BA365*1.03</f>
        <v>85741.865002155013</v>
      </c>
      <c r="BE365" s="3">
        <f>BC365*1.03</f>
        <v>88314.120952219659</v>
      </c>
    </row>
    <row r="366" spans="1:1015 1029:2039 2053:3063 3077:4087 4101:5111 5125:6135 6149:7159 7173:8183 8197:9207 9221:10231 10245:11255 11269:12279 12293:13303 13317:14327 14341:15351 15365:16373" hidden="1" outlineLevel="1" x14ac:dyDescent="0.25">
      <c r="A366" s="3" t="s">
        <v>297</v>
      </c>
      <c r="B366" s="3">
        <v>8000</v>
      </c>
      <c r="D366" s="3">
        <v>2004</v>
      </c>
      <c r="E366" s="3">
        <f t="shared" si="217"/>
        <v>6146</v>
      </c>
      <c r="F366" s="3">
        <v>8150</v>
      </c>
      <c r="H366" s="3">
        <f t="shared" si="218"/>
        <v>150</v>
      </c>
      <c r="J366" s="3">
        <v>3342</v>
      </c>
      <c r="K366" s="4">
        <f t="shared" si="209"/>
        <v>4808</v>
      </c>
      <c r="L366" s="4">
        <v>8150</v>
      </c>
      <c r="N366" s="4">
        <f t="shared" si="210"/>
        <v>0</v>
      </c>
      <c r="P366" s="3">
        <v>8250</v>
      </c>
      <c r="R366" s="3">
        <v>1370</v>
      </c>
      <c r="S366" s="3">
        <f t="shared" si="211"/>
        <v>6880</v>
      </c>
      <c r="T366" s="3">
        <v>8250</v>
      </c>
      <c r="U366" s="3">
        <f t="shared" si="212"/>
        <v>0</v>
      </c>
      <c r="V366" s="3">
        <v>3426</v>
      </c>
      <c r="W366" s="3">
        <f t="shared" si="213"/>
        <v>4824</v>
      </c>
      <c r="Y366" s="3">
        <v>8250</v>
      </c>
      <c r="Z366" s="3">
        <f t="shared" si="214"/>
        <v>0</v>
      </c>
      <c r="AC366" s="3">
        <v>5481</v>
      </c>
      <c r="AD366" s="3">
        <f t="shared" si="215"/>
        <v>2769</v>
      </c>
      <c r="AE366" s="3">
        <v>8250</v>
      </c>
      <c r="AF366" s="3">
        <f t="shared" si="216"/>
        <v>0</v>
      </c>
      <c r="AI366" s="3">
        <v>8500</v>
      </c>
      <c r="AK366" s="3">
        <f>AI366*1.03</f>
        <v>8755</v>
      </c>
      <c r="AM366" s="3">
        <f>AK366*1.03</f>
        <v>9017.65</v>
      </c>
      <c r="AO366" s="3">
        <f>AM366*1.03</f>
        <v>9288.1795000000002</v>
      </c>
      <c r="AQ366" s="3">
        <f>AO366*1.03</f>
        <v>9566.824885</v>
      </c>
      <c r="AR366" s="3"/>
      <c r="AS366" s="3">
        <f>AQ366*1.03</f>
        <v>9853.8296315500011</v>
      </c>
      <c r="AT366" s="3"/>
      <c r="AU366" s="3">
        <f>AS366*1.03</f>
        <v>10149.444520496501</v>
      </c>
      <c r="AV366" s="3"/>
      <c r="AW366" s="3">
        <f>AU366*1.03</f>
        <v>10453.927856111397</v>
      </c>
      <c r="AX366" s="3"/>
      <c r="AY366" s="3">
        <f>AW366*1.03</f>
        <v>10767.545691794739</v>
      </c>
      <c r="BA366" s="3">
        <f>AY366*1.03</f>
        <v>11090.572062548583</v>
      </c>
      <c r="BC366" s="3">
        <f>BA366*1.03</f>
        <v>11423.28922442504</v>
      </c>
      <c r="BE366" s="3">
        <f>BC366*1.03</f>
        <v>11765.98790115779</v>
      </c>
    </row>
    <row r="367" spans="1:1015 1029:2039 2053:3063 3077:4087 4101:5111 5125:6135 6149:7159 7173:8183 8197:9207 9221:10231 10245:11255 11269:12279 12293:13303 13317:14327 14341:15351 15365:16373" hidden="1" outlineLevel="1" x14ac:dyDescent="0.25">
      <c r="A367" s="320" t="s">
        <v>298</v>
      </c>
      <c r="B367" s="3">
        <v>240000</v>
      </c>
      <c r="D367" s="3">
        <v>55635</v>
      </c>
      <c r="E367" s="3">
        <f t="shared" si="217"/>
        <v>184365</v>
      </c>
      <c r="F367" s="3">
        <v>240000</v>
      </c>
      <c r="H367" s="3">
        <f t="shared" si="218"/>
        <v>0</v>
      </c>
      <c r="J367" s="3">
        <v>104120</v>
      </c>
      <c r="K367" s="4">
        <f t="shared" si="209"/>
        <v>135880</v>
      </c>
      <c r="L367" s="4">
        <v>240000</v>
      </c>
      <c r="N367" s="4">
        <f t="shared" si="210"/>
        <v>0</v>
      </c>
      <c r="P367" s="3">
        <v>250000</v>
      </c>
      <c r="R367" s="3">
        <v>62004</v>
      </c>
      <c r="S367" s="3">
        <f t="shared" si="211"/>
        <v>232996</v>
      </c>
      <c r="T367" s="3">
        <v>295000</v>
      </c>
      <c r="U367" s="3">
        <f t="shared" si="212"/>
        <v>45000</v>
      </c>
      <c r="V367" s="3">
        <v>114823</v>
      </c>
      <c r="W367" s="3">
        <f t="shared" si="213"/>
        <v>175177</v>
      </c>
      <c r="Y367" s="3">
        <v>290000</v>
      </c>
      <c r="Z367" s="3">
        <f t="shared" si="214"/>
        <v>-5000</v>
      </c>
      <c r="AC367" s="3">
        <v>201915</v>
      </c>
      <c r="AD367" s="3">
        <f t="shared" si="215"/>
        <v>88085</v>
      </c>
      <c r="AE367" s="3">
        <v>290000</v>
      </c>
      <c r="AF367" s="3">
        <f t="shared" si="216"/>
        <v>0</v>
      </c>
      <c r="AI367" s="3">
        <v>320000</v>
      </c>
      <c r="AK367" s="3">
        <f>AI367*1.0275+450</f>
        <v>329250</v>
      </c>
      <c r="AM367" s="3">
        <v>325000</v>
      </c>
      <c r="AO367" s="3">
        <f>AM367*1.0275</f>
        <v>333937.5</v>
      </c>
      <c r="AQ367" s="3">
        <f>AO367*1.0275</f>
        <v>343120.78125</v>
      </c>
      <c r="AR367" s="3"/>
      <c r="AS367" s="3">
        <f t="shared" ref="AS367:BE367" si="219">AQ367*1.0275</f>
        <v>352556.60273437505</v>
      </c>
      <c r="AT367" s="3"/>
      <c r="AU367" s="3">
        <f t="shared" si="219"/>
        <v>362251.90930957039</v>
      </c>
      <c r="AV367" s="3"/>
      <c r="AW367" s="3">
        <f t="shared" si="219"/>
        <v>372213.83681558358</v>
      </c>
      <c r="AX367" s="3"/>
      <c r="AY367" s="3">
        <f t="shared" si="219"/>
        <v>382449.71732801216</v>
      </c>
      <c r="BA367" s="3">
        <f t="shared" si="219"/>
        <v>392967.08455453254</v>
      </c>
      <c r="BC367" s="3">
        <f t="shared" si="219"/>
        <v>403773.67937978223</v>
      </c>
      <c r="BE367" s="3">
        <f t="shared" si="219"/>
        <v>414877.4555627263</v>
      </c>
    </row>
    <row r="368" spans="1:1015 1029:2039 2053:3063 3077:4087 4101:5111 5125:6135 6149:7159 7173:8183 8197:9207 9221:10231 10245:11255 11269:12279 12293:13303 13317:14327 14341:15351 15365:16373" hidden="1" outlineLevel="1" x14ac:dyDescent="0.25">
      <c r="A368" s="3" t="s">
        <v>299</v>
      </c>
      <c r="B368" s="3">
        <v>0</v>
      </c>
      <c r="D368" s="3">
        <v>2718</v>
      </c>
      <c r="E368" s="3">
        <f t="shared" si="217"/>
        <v>532</v>
      </c>
      <c r="F368" s="3">
        <v>3250</v>
      </c>
      <c r="H368" s="3">
        <f t="shared" si="218"/>
        <v>3250</v>
      </c>
      <c r="J368" s="3">
        <v>2967</v>
      </c>
      <c r="K368" s="4">
        <f t="shared" si="209"/>
        <v>1283</v>
      </c>
      <c r="L368" s="4">
        <v>4250</v>
      </c>
      <c r="N368" s="4">
        <f t="shared" si="210"/>
        <v>1000</v>
      </c>
      <c r="P368" s="3">
        <f>L368*1.0281+31</f>
        <v>4400.4250000000002</v>
      </c>
      <c r="R368" s="3">
        <v>0</v>
      </c>
      <c r="S368" s="3">
        <f t="shared" si="211"/>
        <v>4400</v>
      </c>
      <c r="T368" s="3">
        <v>4400</v>
      </c>
      <c r="U368" s="3">
        <f t="shared" si="212"/>
        <v>-0.4250000000001819</v>
      </c>
      <c r="V368" s="3">
        <v>2165</v>
      </c>
      <c r="W368" s="3">
        <f t="shared" si="213"/>
        <v>2235</v>
      </c>
      <c r="Y368" s="3">
        <v>4400</v>
      </c>
      <c r="Z368" s="3">
        <f t="shared" si="214"/>
        <v>0</v>
      </c>
      <c r="AC368" s="3">
        <v>2165</v>
      </c>
      <c r="AD368" s="3">
        <f t="shared" si="215"/>
        <v>2235</v>
      </c>
      <c r="AE368" s="3">
        <v>4400</v>
      </c>
      <c r="AF368" s="3">
        <f t="shared" si="216"/>
        <v>0</v>
      </c>
      <c r="AI368" s="3">
        <v>2000</v>
      </c>
      <c r="AK368" s="3">
        <f>AI368*1.03</f>
        <v>2060</v>
      </c>
      <c r="AM368" s="3">
        <f>AK368*1.03</f>
        <v>2121.8000000000002</v>
      </c>
      <c r="AO368" s="3">
        <f>AM368*1.03</f>
        <v>2185.4540000000002</v>
      </c>
      <c r="AQ368" s="3">
        <f>AO368*1.03</f>
        <v>2251.0176200000001</v>
      </c>
      <c r="AR368" s="3"/>
      <c r="AS368" s="3">
        <f>AQ368*1.03</f>
        <v>2318.5481486000003</v>
      </c>
      <c r="AT368" s="3"/>
      <c r="AU368" s="3">
        <f>AS368*1.03</f>
        <v>2388.1045930580003</v>
      </c>
      <c r="AV368" s="3"/>
      <c r="AW368" s="3">
        <f>AU368*1.03</f>
        <v>2459.7477308497405</v>
      </c>
      <c r="AX368" s="3"/>
      <c r="AY368" s="3">
        <f>AW368*1.03</f>
        <v>2533.5401627752326</v>
      </c>
      <c r="BA368" s="3">
        <f>AY368*1.03</f>
        <v>2609.5463676584895</v>
      </c>
      <c r="BC368" s="3">
        <f>BA368*1.03</f>
        <v>2687.8327586882442</v>
      </c>
      <c r="BE368" s="3">
        <f>BC368*1.03</f>
        <v>2768.4677414488915</v>
      </c>
    </row>
    <row r="369" spans="1:57" hidden="1" outlineLevel="1" x14ac:dyDescent="0.25">
      <c r="A369" s="3" t="s">
        <v>300</v>
      </c>
      <c r="B369" s="3">
        <v>25000</v>
      </c>
      <c r="E369" s="3">
        <f t="shared" si="217"/>
        <v>25000</v>
      </c>
      <c r="F369" s="3">
        <v>25000</v>
      </c>
      <c r="H369" s="3">
        <f t="shared" si="218"/>
        <v>0</v>
      </c>
      <c r="K369" s="4">
        <f t="shared" si="209"/>
        <v>25000</v>
      </c>
      <c r="L369" s="4">
        <v>25000</v>
      </c>
      <c r="N369" s="4">
        <f t="shared" si="210"/>
        <v>0</v>
      </c>
      <c r="P369" s="3">
        <v>2700</v>
      </c>
      <c r="R369" s="3">
        <v>0</v>
      </c>
      <c r="S369" s="3">
        <f t="shared" si="211"/>
        <v>2700</v>
      </c>
      <c r="T369" s="3">
        <v>2700</v>
      </c>
      <c r="U369" s="3">
        <f t="shared" si="212"/>
        <v>0</v>
      </c>
      <c r="W369" s="3">
        <f t="shared" si="213"/>
        <v>2700</v>
      </c>
      <c r="Y369" s="3">
        <v>2700</v>
      </c>
      <c r="Z369" s="3">
        <f t="shared" si="214"/>
        <v>0</v>
      </c>
      <c r="AC369" s="3">
        <v>0</v>
      </c>
      <c r="AD369" s="3">
        <f t="shared" si="215"/>
        <v>7500</v>
      </c>
      <c r="AE369" s="3">
        <v>7500</v>
      </c>
      <c r="AF369" s="3">
        <f t="shared" si="216"/>
        <v>4800</v>
      </c>
      <c r="AK369" s="3">
        <f>AI369*1.03</f>
        <v>0</v>
      </c>
      <c r="AM369" s="3">
        <f>AK369*1.03</f>
        <v>0</v>
      </c>
      <c r="AO369" s="3">
        <v>5000</v>
      </c>
      <c r="AR369" s="3"/>
      <c r="AT369" s="3"/>
      <c r="AV369" s="3"/>
      <c r="AW369" s="3">
        <f>AU369*1.03</f>
        <v>0</v>
      </c>
      <c r="AX369" s="3"/>
      <c r="AY369" s="3">
        <f>AW369*1.03</f>
        <v>0</v>
      </c>
      <c r="BA369" s="3">
        <f>AY369*1.03</f>
        <v>0</v>
      </c>
      <c r="BC369" s="3">
        <f>BA369*1.03</f>
        <v>0</v>
      </c>
      <c r="BE369" s="3">
        <f>BC369*1.03</f>
        <v>0</v>
      </c>
    </row>
    <row r="370" spans="1:57" hidden="1" outlineLevel="1" x14ac:dyDescent="0.25">
      <c r="A370" s="3" t="s">
        <v>301</v>
      </c>
      <c r="K370" s="4"/>
      <c r="L370" s="4"/>
      <c r="N370" s="4"/>
      <c r="S370" s="3">
        <f t="shared" si="211"/>
        <v>2700</v>
      </c>
      <c r="T370" s="3">
        <v>2700</v>
      </c>
      <c r="U370" s="3">
        <f t="shared" si="212"/>
        <v>2700</v>
      </c>
      <c r="V370" s="3">
        <v>0</v>
      </c>
      <c r="W370" s="3">
        <f t="shared" si="213"/>
        <v>2000</v>
      </c>
      <c r="Y370" s="3">
        <v>2000</v>
      </c>
      <c r="Z370" s="3">
        <f t="shared" si="214"/>
        <v>-700</v>
      </c>
      <c r="AC370" s="3">
        <v>0</v>
      </c>
      <c r="AD370" s="3">
        <f t="shared" si="215"/>
        <v>2700</v>
      </c>
      <c r="AE370" s="3">
        <v>2700</v>
      </c>
      <c r="AF370" s="3">
        <f t="shared" si="216"/>
        <v>700</v>
      </c>
      <c r="AI370" s="3">
        <f>P370*1.0281</f>
        <v>0</v>
      </c>
      <c r="AK370" s="3">
        <f>AI370*1.03</f>
        <v>0</v>
      </c>
      <c r="AM370" s="3">
        <f>AK370*1.03</f>
        <v>0</v>
      </c>
      <c r="AO370" s="3">
        <f>AM370*1.03</f>
        <v>0</v>
      </c>
      <c r="AQ370" s="3">
        <f>AO370*1.03</f>
        <v>0</v>
      </c>
      <c r="AR370" s="3"/>
      <c r="AS370" s="3">
        <f>AQ370*1.03</f>
        <v>0</v>
      </c>
      <c r="AT370" s="3"/>
      <c r="AU370" s="3">
        <f>AS370*1.03</f>
        <v>0</v>
      </c>
      <c r="AV370" s="3"/>
      <c r="AW370" s="3">
        <f>AU370*1.03</f>
        <v>0</v>
      </c>
      <c r="AX370" s="3"/>
      <c r="AY370" s="3">
        <f>AW370*1.03</f>
        <v>0</v>
      </c>
      <c r="BA370" s="3">
        <f>AY370*1.03</f>
        <v>0</v>
      </c>
      <c r="BC370" s="3">
        <f>BA370*1.03</f>
        <v>0</v>
      </c>
      <c r="BE370" s="3">
        <f>BC370*1.03</f>
        <v>0</v>
      </c>
    </row>
    <row r="371" spans="1:57" hidden="1" outlineLevel="1" x14ac:dyDescent="0.25">
      <c r="A371" s="3" t="s">
        <v>302</v>
      </c>
      <c r="B371" s="3">
        <v>13150</v>
      </c>
      <c r="D371" s="3">
        <v>13378</v>
      </c>
      <c r="E371" s="3">
        <f t="shared" si="217"/>
        <v>22</v>
      </c>
      <c r="F371" s="3">
        <v>13400</v>
      </c>
      <c r="H371" s="3">
        <f t="shared" si="218"/>
        <v>250</v>
      </c>
      <c r="J371" s="3">
        <v>13378</v>
      </c>
      <c r="K371" s="4">
        <f t="shared" si="209"/>
        <v>22</v>
      </c>
      <c r="L371" s="4">
        <v>13400</v>
      </c>
      <c r="N371" s="4">
        <f t="shared" si="210"/>
        <v>0</v>
      </c>
      <c r="P371" s="3">
        <f>L371*1.0281+23</f>
        <v>13799.54</v>
      </c>
      <c r="R371" s="3">
        <v>14446</v>
      </c>
      <c r="S371" s="3">
        <f t="shared" si="211"/>
        <v>4</v>
      </c>
      <c r="T371" s="3">
        <v>14450</v>
      </c>
      <c r="U371" s="3">
        <f t="shared" si="212"/>
        <v>650.45999999999913</v>
      </c>
      <c r="V371" s="3">
        <v>14445</v>
      </c>
      <c r="W371" s="3">
        <f t="shared" si="213"/>
        <v>5</v>
      </c>
      <c r="Y371" s="3">
        <v>14450</v>
      </c>
      <c r="Z371" s="3">
        <f t="shared" si="214"/>
        <v>0</v>
      </c>
      <c r="AC371" s="3">
        <v>14446</v>
      </c>
      <c r="AD371" s="3">
        <f t="shared" si="215"/>
        <v>4</v>
      </c>
      <c r="AE371" s="3">
        <v>14450</v>
      </c>
      <c r="AF371" s="3">
        <f t="shared" si="216"/>
        <v>0</v>
      </c>
      <c r="AI371" s="3">
        <f>AE371*1.03+16</f>
        <v>14899.5</v>
      </c>
      <c r="AK371" s="3">
        <f>AI371*1.03</f>
        <v>15346.485000000001</v>
      </c>
      <c r="AM371" s="3">
        <f>AK371*1.03</f>
        <v>15806.879550000001</v>
      </c>
      <c r="AO371" s="3">
        <f>AM371*1.03</f>
        <v>16281.085936500001</v>
      </c>
      <c r="AQ371" s="3">
        <f>AO371*1.03</f>
        <v>16769.518514595002</v>
      </c>
      <c r="AR371" s="3"/>
      <c r="AS371" s="3">
        <f>AQ371*1.03</f>
        <v>17272.604070032852</v>
      </c>
      <c r="AT371" s="3"/>
      <c r="AU371" s="3">
        <f>AS371*1.03</f>
        <v>17790.78219213384</v>
      </c>
      <c r="AV371" s="3"/>
      <c r="AW371" s="3">
        <f>AU371*1.03</f>
        <v>18324.505657897855</v>
      </c>
      <c r="AX371" s="3"/>
      <c r="AY371" s="3">
        <f>AW371*1.03</f>
        <v>18874.240827634792</v>
      </c>
      <c r="BA371" s="3">
        <f>AY371*1.03</f>
        <v>19440.468052463835</v>
      </c>
      <c r="BC371" s="3">
        <f>BA371*1.03</f>
        <v>20023.682094037751</v>
      </c>
      <c r="BE371" s="3">
        <f>BC371*1.03</f>
        <v>20624.392556858886</v>
      </c>
    </row>
    <row r="372" spans="1:57" hidden="1" outlineLevel="1" x14ac:dyDescent="0.25">
      <c r="A372" s="3" t="s">
        <v>57</v>
      </c>
      <c r="B372" s="3">
        <v>1500</v>
      </c>
      <c r="D372" s="3">
        <f>92+1628</f>
        <v>1720</v>
      </c>
      <c r="E372" s="3">
        <f t="shared" si="217"/>
        <v>280</v>
      </c>
      <c r="F372" s="3">
        <v>2000</v>
      </c>
      <c r="H372" s="3">
        <f t="shared" si="218"/>
        <v>500</v>
      </c>
      <c r="J372" s="3">
        <f>3539+5000</f>
        <v>8539</v>
      </c>
      <c r="K372" s="4">
        <f t="shared" si="209"/>
        <v>461</v>
      </c>
      <c r="L372" s="4">
        <v>9000</v>
      </c>
      <c r="N372" s="4">
        <f t="shared" si="210"/>
        <v>7000</v>
      </c>
      <c r="P372" s="3">
        <v>5000</v>
      </c>
      <c r="R372" s="3">
        <v>61</v>
      </c>
      <c r="S372" s="3">
        <f t="shared" si="211"/>
        <v>4939</v>
      </c>
      <c r="T372" s="3">
        <v>5000</v>
      </c>
      <c r="U372" s="3">
        <f t="shared" si="212"/>
        <v>0</v>
      </c>
      <c r="V372" s="3">
        <f>3600+2092</f>
        <v>5692</v>
      </c>
      <c r="W372" s="3">
        <f t="shared" si="213"/>
        <v>6308</v>
      </c>
      <c r="Y372" s="3">
        <v>12000</v>
      </c>
      <c r="Z372" s="3">
        <f t="shared" si="214"/>
        <v>7000</v>
      </c>
      <c r="AC372" s="3">
        <v>24112</v>
      </c>
      <c r="AD372" s="3">
        <f t="shared" si="215"/>
        <v>4888</v>
      </c>
      <c r="AE372" s="3">
        <v>29000</v>
      </c>
      <c r="AF372" s="3">
        <f t="shared" si="216"/>
        <v>17000</v>
      </c>
      <c r="AI372" s="3">
        <f>P372*1.03-150</f>
        <v>5000</v>
      </c>
      <c r="AK372" s="3">
        <f>AI372*1.03</f>
        <v>5150</v>
      </c>
      <c r="AL372" s="3">
        <f>AJ372*1.0281</f>
        <v>0</v>
      </c>
      <c r="AM372" s="3">
        <f>AK372*1.03</f>
        <v>5304.5</v>
      </c>
      <c r="AN372" s="3">
        <f>AL372*1.0281</f>
        <v>0</v>
      </c>
      <c r="AO372" s="3">
        <f>AM372*1.03</f>
        <v>5463.6350000000002</v>
      </c>
      <c r="AQ372" s="3">
        <f>AO372*1.03</f>
        <v>5627.5440500000004</v>
      </c>
      <c r="AR372" s="3"/>
      <c r="AS372" s="3">
        <f>AQ372*1.03</f>
        <v>5796.3703715000001</v>
      </c>
      <c r="AT372" s="3"/>
      <c r="AU372" s="3">
        <f>AS372*1.03</f>
        <v>5970.2614826449999</v>
      </c>
      <c r="AV372" s="3"/>
      <c r="AW372" s="3">
        <f>AU372*1.03</f>
        <v>6149.3693271243501</v>
      </c>
      <c r="AX372" s="3"/>
      <c r="AY372" s="3">
        <f>AW372*1.03</f>
        <v>6333.8504069380806</v>
      </c>
      <c r="BA372" s="3">
        <f>AY372*1.03</f>
        <v>6523.865919146223</v>
      </c>
      <c r="BC372" s="3">
        <f>BA372*1.03</f>
        <v>6719.5818967206096</v>
      </c>
      <c r="BE372" s="3">
        <f>BC372*1.03</f>
        <v>6921.1693536222283</v>
      </c>
    </row>
    <row r="373" spans="1:57" hidden="1" outlineLevel="1" x14ac:dyDescent="0.25">
      <c r="A373" s="3"/>
      <c r="B373" s="246">
        <f>SUM(B362:B372)</f>
        <v>362950</v>
      </c>
      <c r="C373" s="55"/>
      <c r="D373" s="246">
        <f>SUM(D362:D372)+1</f>
        <v>90499</v>
      </c>
      <c r="E373" s="246">
        <f>SUM(E362:E372)+1</f>
        <v>278003</v>
      </c>
      <c r="F373" s="246">
        <f>SUM(F362:F372)</f>
        <v>368500</v>
      </c>
      <c r="G373" s="55"/>
      <c r="H373" s="246">
        <f>SUM(H362:H372)+1</f>
        <v>5551</v>
      </c>
      <c r="I373" s="55"/>
      <c r="J373" s="246">
        <f>SUM(J362:J372)+1</f>
        <v>167297</v>
      </c>
      <c r="K373" s="246">
        <f>SUM(K362:K372)+1</f>
        <v>209205</v>
      </c>
      <c r="L373" s="246">
        <f>SUM(L362:L372)</f>
        <v>376500</v>
      </c>
      <c r="M373" s="55"/>
      <c r="N373" s="246">
        <f>SUM(N362:N372)+1</f>
        <v>8001</v>
      </c>
      <c r="P373" s="246">
        <f>SUM(P362:P372)</f>
        <v>393499.65499999997</v>
      </c>
      <c r="R373" s="246">
        <f t="shared" ref="R373:Z373" si="220">SUM(R362:R372)</f>
        <v>91223</v>
      </c>
      <c r="S373" s="246">
        <f t="shared" si="220"/>
        <v>348627</v>
      </c>
      <c r="T373" s="246">
        <f t="shared" si="220"/>
        <v>439850</v>
      </c>
      <c r="U373" s="246">
        <f t="shared" si="220"/>
        <v>46350.344999999994</v>
      </c>
      <c r="V373" s="246">
        <f t="shared" si="220"/>
        <v>179688</v>
      </c>
      <c r="W373" s="246">
        <f t="shared" si="220"/>
        <v>255962</v>
      </c>
      <c r="X373" s="246"/>
      <c r="Y373" s="246">
        <f t="shared" si="220"/>
        <v>435650</v>
      </c>
      <c r="Z373" s="246">
        <f t="shared" si="220"/>
        <v>-4200</v>
      </c>
      <c r="AC373" s="246">
        <f>SUM(AC362:AC372)</f>
        <v>323643</v>
      </c>
      <c r="AD373" s="246">
        <f>SUM(AD362:AD372)</f>
        <v>134507</v>
      </c>
      <c r="AE373" s="246">
        <f>SUM(AE362:AE372)</f>
        <v>458150</v>
      </c>
      <c r="AF373" s="246">
        <f>SUM(AF362:AF372)</f>
        <v>22500</v>
      </c>
      <c r="AG373" s="55"/>
      <c r="AI373" s="246">
        <f>SUM(AI362:AI372)</f>
        <v>429999</v>
      </c>
      <c r="AK373" s="246">
        <f>SUM(AK362:AK372)</f>
        <v>442548.97</v>
      </c>
      <c r="AM373" s="246">
        <f>SUM(AM362:AM372)</f>
        <v>441697.93909999996</v>
      </c>
      <c r="AO373" s="246">
        <f>SUM(AO362:AO372)</f>
        <v>496278.16800300003</v>
      </c>
      <c r="AP373" s="55"/>
      <c r="AQ373" s="246">
        <f>SUM(AQ362:AQ372)</f>
        <v>466925.62484119</v>
      </c>
      <c r="AS373" s="246">
        <f>SUM(AS362:AS372)</f>
        <v>480075.5916333007</v>
      </c>
      <c r="AU373" s="246">
        <f>SUM(AU362:AU372)</f>
        <v>493596.46787546389</v>
      </c>
      <c r="AW373" s="246">
        <f>SUM(AW362:AW372)</f>
        <v>549302.14482424513</v>
      </c>
      <c r="AY373" s="246">
        <f>SUM(AY362:AY372)</f>
        <v>521793.1595105686</v>
      </c>
      <c r="BA373" s="246">
        <f>SUM(BA362:BA372)</f>
        <v>536490.83000256564</v>
      </c>
      <c r="BC373" s="246">
        <f>SUM(BC362:BC372)</f>
        <v>551603.13719125628</v>
      </c>
      <c r="BE373" s="246">
        <f>SUM(BE362:BE372)</f>
        <v>567141.79710854462</v>
      </c>
    </row>
    <row r="374" spans="1:57" hidden="1" outlineLevel="1" x14ac:dyDescent="0.25">
      <c r="A374" s="3"/>
      <c r="BC374" s="3"/>
      <c r="BE374" s="3"/>
    </row>
    <row r="375" spans="1:57" hidden="1" outlineLevel="1" x14ac:dyDescent="0.25">
      <c r="A375" s="7" t="s">
        <v>59</v>
      </c>
      <c r="BC375" s="3"/>
      <c r="BE375" s="3"/>
    </row>
    <row r="376" spans="1:57" hidden="1" outlineLevel="1" x14ac:dyDescent="0.25">
      <c r="A376" s="320" t="s">
        <v>304</v>
      </c>
      <c r="B376" s="3">
        <v>340000</v>
      </c>
      <c r="D376" s="3">
        <v>86517</v>
      </c>
      <c r="E376" s="3">
        <f t="shared" ref="E376:E390" si="221">F376-D376</f>
        <v>253483</v>
      </c>
      <c r="F376" s="3">
        <v>340000</v>
      </c>
      <c r="H376" s="3">
        <f t="shared" ref="H376:H390" si="222">F376-B376</f>
        <v>0</v>
      </c>
      <c r="J376" s="3">
        <v>171706</v>
      </c>
      <c r="K376" s="4">
        <f t="shared" ref="K376:K390" si="223">L376-J376</f>
        <v>168294</v>
      </c>
      <c r="L376" s="4">
        <v>340000</v>
      </c>
      <c r="N376" s="4">
        <f t="shared" ref="N376:N390" si="224">L376-F376</f>
        <v>0</v>
      </c>
      <c r="P376" s="3">
        <f>L376*1.0275+2650-47500</f>
        <v>304500</v>
      </c>
      <c r="R376" s="3">
        <v>78191</v>
      </c>
      <c r="S376" s="3">
        <f t="shared" ref="S376:S421" si="225">T376-R376</f>
        <v>226309</v>
      </c>
      <c r="T376" s="3">
        <v>304500</v>
      </c>
      <c r="U376" s="3">
        <f t="shared" ref="U376:U421" si="226">T376-P376</f>
        <v>0</v>
      </c>
      <c r="V376" s="3">
        <v>150093</v>
      </c>
      <c r="W376" s="3">
        <f t="shared" ref="W376:W421" si="227">Y376-V376</f>
        <v>162407</v>
      </c>
      <c r="Y376" s="3">
        <v>312500</v>
      </c>
      <c r="Z376" s="3">
        <f t="shared" ref="Z376:Z421" si="228">Y376-T376</f>
        <v>8000</v>
      </c>
      <c r="AC376" s="3">
        <v>212223</v>
      </c>
      <c r="AD376" s="3">
        <f>AE376-AC376</f>
        <v>100277</v>
      </c>
      <c r="AE376" s="3">
        <v>312500</v>
      </c>
      <c r="AF376" s="3">
        <f t="shared" ref="AF376:AF421" si="229">AE376-Y376</f>
        <v>0</v>
      </c>
      <c r="AI376" s="3">
        <v>328000</v>
      </c>
      <c r="AK376" s="3">
        <f>AI376*1.03</f>
        <v>337840</v>
      </c>
      <c r="AM376" s="3">
        <f>AK376*1.03</f>
        <v>347975.2</v>
      </c>
      <c r="AO376" s="3">
        <f>AM376*1.03</f>
        <v>358414.45600000001</v>
      </c>
      <c r="AQ376" s="3">
        <f>AO376*1.03</f>
        <v>369166.88968000002</v>
      </c>
      <c r="AR376" s="3"/>
      <c r="AS376" s="3">
        <f>AQ376*1.03</f>
        <v>380241.89637040003</v>
      </c>
      <c r="AT376" s="3"/>
      <c r="AU376" s="3">
        <f>AS376*1.03</f>
        <v>391649.15326151205</v>
      </c>
      <c r="AV376" s="3"/>
      <c r="AW376" s="3">
        <f>AU376*1.03</f>
        <v>403398.6278593574</v>
      </c>
      <c r="AX376" s="3"/>
      <c r="AY376" s="3">
        <f>AW376*1.03</f>
        <v>415500.58669513813</v>
      </c>
      <c r="BA376" s="3">
        <f>AY376*1.03</f>
        <v>427965.60429599229</v>
      </c>
      <c r="BC376" s="3">
        <f>BA376*1.03</f>
        <v>440804.57242487208</v>
      </c>
      <c r="BE376" s="3">
        <f>BC376*1.03</f>
        <v>454028.70959761826</v>
      </c>
    </row>
    <row r="377" spans="1:57" hidden="1" outlineLevel="1" x14ac:dyDescent="0.25">
      <c r="A377" s="3" t="s">
        <v>305</v>
      </c>
      <c r="B377" s="3">
        <v>51000</v>
      </c>
      <c r="D377" s="3">
        <v>11949</v>
      </c>
      <c r="E377" s="3">
        <f t="shared" si="221"/>
        <v>38051</v>
      </c>
      <c r="F377" s="3">
        <v>50000</v>
      </c>
      <c r="H377" s="3">
        <f t="shared" si="222"/>
        <v>-1000</v>
      </c>
      <c r="J377" s="3">
        <v>31722</v>
      </c>
      <c r="K377" s="4">
        <f t="shared" si="223"/>
        <v>38278</v>
      </c>
      <c r="L377" s="4">
        <v>70000</v>
      </c>
      <c r="N377" s="4">
        <f t="shared" si="224"/>
        <v>20000</v>
      </c>
      <c r="P377" s="3">
        <v>62500</v>
      </c>
      <c r="R377" s="3">
        <v>4333</v>
      </c>
      <c r="S377" s="3">
        <f t="shared" si="225"/>
        <v>58167</v>
      </c>
      <c r="T377" s="3">
        <v>62500</v>
      </c>
      <c r="U377" s="3">
        <f t="shared" si="226"/>
        <v>0</v>
      </c>
      <c r="V377" s="3">
        <v>12903</v>
      </c>
      <c r="W377" s="3">
        <f t="shared" si="227"/>
        <v>49597</v>
      </c>
      <c r="Y377" s="3">
        <v>62500</v>
      </c>
      <c r="Z377" s="3">
        <f t="shared" si="228"/>
        <v>0</v>
      </c>
      <c r="AC377" s="3">
        <v>16951</v>
      </c>
      <c r="AD377" s="3">
        <f>AE377-AC377</f>
        <v>46049</v>
      </c>
      <c r="AE377" s="3">
        <v>63000</v>
      </c>
      <c r="AF377" s="3">
        <f t="shared" si="229"/>
        <v>500</v>
      </c>
      <c r="AI377" s="3">
        <v>65000</v>
      </c>
      <c r="AK377" s="3">
        <f>AI377*1.03+35000</f>
        <v>101950</v>
      </c>
      <c r="AM377" s="3">
        <f>AK377*1.03</f>
        <v>105008.5</v>
      </c>
      <c r="AO377" s="3">
        <f>AM377*1.03-50000</f>
        <v>58158.755000000005</v>
      </c>
      <c r="AQ377" s="3">
        <f>AO377*1.03</f>
        <v>59903.517650000009</v>
      </c>
      <c r="AR377" s="3"/>
      <c r="AS377" s="3">
        <f>AQ377*1.03</f>
        <v>61700.623179500013</v>
      </c>
      <c r="AT377" s="3"/>
      <c r="AU377" s="3">
        <f>AS377*1.03</f>
        <v>63551.641874885012</v>
      </c>
      <c r="AV377" s="3"/>
      <c r="AW377" s="3">
        <f>AU377*1.03</f>
        <v>65458.191131131563</v>
      </c>
      <c r="AX377" s="3"/>
      <c r="AY377" s="3">
        <f>AW377*1.03</f>
        <v>67421.936865065509</v>
      </c>
      <c r="BA377" s="3">
        <f>AY377*1.03</f>
        <v>69444.594971017475</v>
      </c>
      <c r="BC377" s="3">
        <f>BA377*1.03</f>
        <v>71527.932820147995</v>
      </c>
      <c r="BE377" s="3">
        <f>BC377*1.03</f>
        <v>73673.770804752436</v>
      </c>
    </row>
    <row r="378" spans="1:57" hidden="1" outlineLevel="1" x14ac:dyDescent="0.25">
      <c r="A378" s="3" t="s">
        <v>306</v>
      </c>
      <c r="B378" s="3">
        <v>18500</v>
      </c>
      <c r="D378" s="3">
        <v>1134</v>
      </c>
      <c r="E378" s="3">
        <f t="shared" si="221"/>
        <v>15366</v>
      </c>
      <c r="F378" s="3">
        <v>16500</v>
      </c>
      <c r="H378" s="3">
        <f t="shared" si="222"/>
        <v>-2000</v>
      </c>
      <c r="J378" s="3">
        <v>3116</v>
      </c>
      <c r="K378" s="4">
        <f t="shared" si="223"/>
        <v>13384</v>
      </c>
      <c r="L378" s="4">
        <v>16500</v>
      </c>
      <c r="N378" s="4">
        <f t="shared" si="224"/>
        <v>0</v>
      </c>
      <c r="P378" s="3">
        <v>18000</v>
      </c>
      <c r="R378" s="3">
        <v>0</v>
      </c>
      <c r="S378" s="3">
        <f t="shared" si="225"/>
        <v>18000</v>
      </c>
      <c r="T378" s="3">
        <v>18000</v>
      </c>
      <c r="U378" s="3">
        <f t="shared" si="226"/>
        <v>0</v>
      </c>
      <c r="V378" s="3">
        <v>3063</v>
      </c>
      <c r="W378" s="3">
        <f t="shared" si="227"/>
        <v>14937</v>
      </c>
      <c r="Y378" s="3">
        <v>18000</v>
      </c>
      <c r="Z378" s="3">
        <f t="shared" si="228"/>
        <v>0</v>
      </c>
      <c r="AC378" s="3">
        <v>5592</v>
      </c>
      <c r="AD378" s="3">
        <f>AE378-AC378</f>
        <v>9408</v>
      </c>
      <c r="AE378" s="3">
        <v>15000</v>
      </c>
      <c r="AF378" s="3">
        <f t="shared" si="229"/>
        <v>-3000</v>
      </c>
      <c r="AI378" s="3">
        <v>12000</v>
      </c>
      <c r="AK378" s="3">
        <f t="shared" ref="AK378:BE378" si="230">AI378*1.0325</f>
        <v>12390</v>
      </c>
      <c r="AM378" s="3">
        <f t="shared" si="230"/>
        <v>12792.674999999999</v>
      </c>
      <c r="AO378" s="3">
        <f t="shared" si="230"/>
        <v>13208.436937499999</v>
      </c>
      <c r="AQ378" s="3">
        <f>AO378*1.0325</f>
        <v>13637.711137968749</v>
      </c>
      <c r="AR378" s="3"/>
      <c r="AS378" s="3">
        <f t="shared" si="230"/>
        <v>14080.936749952732</v>
      </c>
      <c r="AT378" s="3"/>
      <c r="AU378" s="3">
        <f t="shared" si="230"/>
        <v>14538.567194326195</v>
      </c>
      <c r="AV378" s="3"/>
      <c r="AW378" s="3">
        <f t="shared" si="230"/>
        <v>15011.070628141795</v>
      </c>
      <c r="AX378" s="3"/>
      <c r="AY378" s="3">
        <f t="shared" si="230"/>
        <v>15498.930423556403</v>
      </c>
      <c r="BA378" s="3">
        <f t="shared" si="230"/>
        <v>16002.645662321986</v>
      </c>
      <c r="BC378" s="3">
        <f t="shared" si="230"/>
        <v>16522.731646347449</v>
      </c>
      <c r="BE378" s="3">
        <f t="shared" si="230"/>
        <v>17059.720424853742</v>
      </c>
    </row>
    <row r="379" spans="1:57" hidden="1" outlineLevel="1" x14ac:dyDescent="0.25">
      <c r="A379" s="3" t="s">
        <v>307</v>
      </c>
      <c r="B379" s="3">
        <v>140000</v>
      </c>
      <c r="D379" s="3">
        <v>27847</v>
      </c>
      <c r="E379" s="3">
        <f t="shared" si="221"/>
        <v>112153</v>
      </c>
      <c r="F379" s="3">
        <v>140000</v>
      </c>
      <c r="H379" s="3">
        <f t="shared" si="222"/>
        <v>0</v>
      </c>
      <c r="J379" s="3">
        <v>74568</v>
      </c>
      <c r="K379" s="4">
        <f t="shared" si="223"/>
        <v>65432</v>
      </c>
      <c r="L379" s="4">
        <v>140000</v>
      </c>
      <c r="N379" s="4">
        <f t="shared" si="224"/>
        <v>0</v>
      </c>
      <c r="P379" s="3">
        <f>L379*1.0281+16</f>
        <v>143950</v>
      </c>
      <c r="R379" s="3">
        <v>33640</v>
      </c>
      <c r="S379" s="3">
        <f t="shared" si="225"/>
        <v>107360</v>
      </c>
      <c r="T379" s="3">
        <v>141000</v>
      </c>
      <c r="U379" s="3">
        <f t="shared" si="226"/>
        <v>-2950</v>
      </c>
      <c r="V379" s="3">
        <v>63783</v>
      </c>
      <c r="W379" s="3">
        <f t="shared" si="227"/>
        <v>68717</v>
      </c>
      <c r="Y379" s="3">
        <v>132500</v>
      </c>
      <c r="Z379" s="3">
        <f t="shared" si="228"/>
        <v>-8500</v>
      </c>
      <c r="AC379" s="3">
        <v>91985</v>
      </c>
      <c r="AD379" s="3">
        <f t="shared" ref="AD379:AD442" si="231">AE379-AC379</f>
        <v>40515</v>
      </c>
      <c r="AE379" s="3">
        <v>132500</v>
      </c>
      <c r="AF379" s="3">
        <f t="shared" si="229"/>
        <v>0</v>
      </c>
      <c r="AI379" s="3">
        <f>AE379*1.03-75</f>
        <v>136400</v>
      </c>
      <c r="AK379" s="3">
        <f>AI379*1.03</f>
        <v>140492</v>
      </c>
      <c r="AM379" s="3">
        <f>AK379*1.03</f>
        <v>144706.76</v>
      </c>
      <c r="AO379" s="3">
        <f>AM379*1.03</f>
        <v>149047.96280000001</v>
      </c>
      <c r="AQ379" s="3">
        <f>AO379*1.03</f>
        <v>153519.40168400001</v>
      </c>
      <c r="AR379" s="3"/>
      <c r="AS379" s="3">
        <f>AQ379*1.03</f>
        <v>158124.98373452001</v>
      </c>
      <c r="AT379" s="3"/>
      <c r="AU379" s="3">
        <f>AS379*1.03</f>
        <v>162868.73324655561</v>
      </c>
      <c r="AV379" s="3"/>
      <c r="AW379" s="3">
        <f>AU379*1.03</f>
        <v>167754.79524395228</v>
      </c>
      <c r="AX379" s="3"/>
      <c r="AY379" s="3">
        <f>AW379*1.03</f>
        <v>172787.43910127084</v>
      </c>
      <c r="BA379" s="3">
        <f>AY379*1.03</f>
        <v>177971.06227430896</v>
      </c>
      <c r="BC379" s="3">
        <f>BA379*1.03</f>
        <v>183310.19414253824</v>
      </c>
      <c r="BE379" s="3">
        <f>BC379*1.03</f>
        <v>188809.49996681439</v>
      </c>
    </row>
    <row r="380" spans="1:57" hidden="1" outlineLevel="1" x14ac:dyDescent="0.25">
      <c r="A380" s="3" t="s">
        <v>308</v>
      </c>
      <c r="E380" s="3">
        <f t="shared" si="221"/>
        <v>0</v>
      </c>
      <c r="H380" s="3">
        <f t="shared" si="222"/>
        <v>0</v>
      </c>
      <c r="K380" s="4">
        <f t="shared" si="223"/>
        <v>0</v>
      </c>
      <c r="L380" s="4"/>
      <c r="N380" s="4">
        <f t="shared" si="224"/>
        <v>0</v>
      </c>
      <c r="S380" s="3">
        <f t="shared" si="225"/>
        <v>0</v>
      </c>
      <c r="U380" s="3">
        <f t="shared" si="226"/>
        <v>0</v>
      </c>
      <c r="W380" s="3">
        <f t="shared" si="227"/>
        <v>0</v>
      </c>
      <c r="Z380" s="3">
        <f t="shared" si="228"/>
        <v>0</v>
      </c>
      <c r="AD380" s="3">
        <f t="shared" si="231"/>
        <v>0</v>
      </c>
      <c r="AF380" s="3">
        <f t="shared" si="229"/>
        <v>0</v>
      </c>
      <c r="BC380" s="3"/>
      <c r="BE380" s="3"/>
    </row>
    <row r="381" spans="1:57" hidden="1" outlineLevel="1" x14ac:dyDescent="0.25">
      <c r="A381" s="320" t="s">
        <v>309</v>
      </c>
      <c r="B381" s="3">
        <v>205000</v>
      </c>
      <c r="D381" s="3">
        <v>44297</v>
      </c>
      <c r="E381" s="3">
        <f t="shared" si="221"/>
        <v>155703</v>
      </c>
      <c r="F381" s="3">
        <v>200000</v>
      </c>
      <c r="H381" s="3">
        <f t="shared" si="222"/>
        <v>-5000</v>
      </c>
      <c r="J381" s="3">
        <v>76262</v>
      </c>
      <c r="K381" s="4">
        <f t="shared" si="223"/>
        <v>123738</v>
      </c>
      <c r="L381" s="4">
        <v>200000</v>
      </c>
      <c r="N381" s="4">
        <f t="shared" si="224"/>
        <v>0</v>
      </c>
      <c r="P381" s="3">
        <v>210000</v>
      </c>
      <c r="R381" s="3">
        <v>44989</v>
      </c>
      <c r="S381" s="3">
        <f t="shared" si="225"/>
        <v>165011</v>
      </c>
      <c r="T381" s="3">
        <v>210000</v>
      </c>
      <c r="U381" s="3">
        <f t="shared" si="226"/>
        <v>0</v>
      </c>
      <c r="V381" s="3">
        <v>77000</v>
      </c>
      <c r="W381" s="3">
        <f t="shared" si="227"/>
        <v>133000</v>
      </c>
      <c r="Y381" s="3">
        <v>210000</v>
      </c>
      <c r="Z381" s="3">
        <f t="shared" si="228"/>
        <v>0</v>
      </c>
      <c r="AC381" s="3">
        <v>117050</v>
      </c>
      <c r="AD381" s="3">
        <f t="shared" si="231"/>
        <v>87950</v>
      </c>
      <c r="AE381" s="3">
        <v>205000</v>
      </c>
      <c r="AF381" s="3">
        <f t="shared" si="229"/>
        <v>-5000</v>
      </c>
      <c r="AI381" s="3">
        <v>211750</v>
      </c>
      <c r="AK381" s="3">
        <f>AI381*1.03</f>
        <v>218102.5</v>
      </c>
      <c r="AM381" s="3">
        <f>AK381*1.0353</f>
        <v>225801.51825000002</v>
      </c>
      <c r="AO381" s="3">
        <f>AM381*1.035</f>
        <v>233704.57138875002</v>
      </c>
      <c r="AQ381" s="3">
        <f>AO381*1.0345</f>
        <v>241767.37910166188</v>
      </c>
      <c r="AS381" s="3">
        <f>AQ381*1.0345</f>
        <v>250108.35368066921</v>
      </c>
      <c r="AU381" s="3">
        <f>AS381*1.03</f>
        <v>257611.60429108929</v>
      </c>
      <c r="AW381" s="3">
        <f>AU381*1.03</f>
        <v>265339.95241982199</v>
      </c>
      <c r="AY381" s="3">
        <f>AW381*1.03</f>
        <v>273300.15099241666</v>
      </c>
      <c r="BA381" s="3">
        <f>AY381*1.03</f>
        <v>281499.15552218916</v>
      </c>
      <c r="BC381" s="3">
        <f>BA381*1.03</f>
        <v>289944.13018785487</v>
      </c>
      <c r="BE381" s="3">
        <f>BC381*1.03</f>
        <v>298642.45409349049</v>
      </c>
    </row>
    <row r="382" spans="1:57" hidden="1" outlineLevel="1" x14ac:dyDescent="0.25">
      <c r="A382" s="320" t="s">
        <v>310</v>
      </c>
      <c r="B382" s="3">
        <v>180000</v>
      </c>
      <c r="D382" s="3">
        <v>35914</v>
      </c>
      <c r="E382" s="3">
        <f t="shared" si="221"/>
        <v>136586</v>
      </c>
      <c r="F382" s="3">
        <v>172500</v>
      </c>
      <c r="H382" s="3">
        <f t="shared" si="222"/>
        <v>-7500</v>
      </c>
      <c r="J382" s="3">
        <v>65000</v>
      </c>
      <c r="K382" s="4">
        <f t="shared" si="223"/>
        <v>105000</v>
      </c>
      <c r="L382" s="4">
        <v>170000</v>
      </c>
      <c r="N382" s="4">
        <f t="shared" si="224"/>
        <v>-2500</v>
      </c>
      <c r="P382" s="3">
        <v>150000</v>
      </c>
      <c r="R382" s="3">
        <v>32405</v>
      </c>
      <c r="S382" s="3">
        <f t="shared" si="225"/>
        <v>117595</v>
      </c>
      <c r="T382" s="3">
        <v>150000</v>
      </c>
      <c r="U382" s="3">
        <f t="shared" si="226"/>
        <v>0</v>
      </c>
      <c r="V382" s="3">
        <v>54757</v>
      </c>
      <c r="W382" s="3">
        <f t="shared" si="227"/>
        <v>95243</v>
      </c>
      <c r="Y382" s="3">
        <v>150000</v>
      </c>
      <c r="Z382" s="3">
        <f t="shared" si="228"/>
        <v>0</v>
      </c>
      <c r="AC382" s="3">
        <v>86305</v>
      </c>
      <c r="AD382" s="3">
        <f t="shared" si="231"/>
        <v>61195</v>
      </c>
      <c r="AE382" s="3">
        <v>147500</v>
      </c>
      <c r="AF382" s="3">
        <f t="shared" si="229"/>
        <v>-2500</v>
      </c>
      <c r="AI382" s="3">
        <v>120750</v>
      </c>
      <c r="AK382" s="3">
        <f>AI382*1.0327</f>
        <v>124698.52499999999</v>
      </c>
      <c r="AM382" s="3">
        <f>AK382*1.0353</f>
        <v>129100.38293250001</v>
      </c>
      <c r="AO382" s="3">
        <f>AM382*1.035</f>
        <v>133618.89633513751</v>
      </c>
      <c r="AQ382" s="3">
        <f>AO382*1.0345</f>
        <v>138228.74825869975</v>
      </c>
      <c r="AS382" s="3">
        <f>AQ382*1.0345</f>
        <v>142997.64007362488</v>
      </c>
      <c r="AU382" s="3">
        <f>AS382*1.0345</f>
        <v>147931.05865616494</v>
      </c>
      <c r="AW382" s="3">
        <f>AU382*1.0345</f>
        <v>153034.68017980261</v>
      </c>
      <c r="AY382" s="3">
        <f>AW382*1.0345</f>
        <v>158314.37664600581</v>
      </c>
      <c r="BA382" s="3">
        <f>AY382*1.0345</f>
        <v>163776.22264029301</v>
      </c>
      <c r="BC382" s="3">
        <f>BA382*1.0345</f>
        <v>169426.5023213831</v>
      </c>
      <c r="BE382" s="3">
        <f>BC382*1.0345</f>
        <v>175271.71665147081</v>
      </c>
    </row>
    <row r="383" spans="1:57" hidden="1" outlineLevel="1" x14ac:dyDescent="0.25">
      <c r="A383" s="3" t="s">
        <v>311</v>
      </c>
      <c r="B383" s="3">
        <v>2500</v>
      </c>
      <c r="E383" s="3">
        <f t="shared" si="221"/>
        <v>2500</v>
      </c>
      <c r="F383" s="3">
        <v>2500</v>
      </c>
      <c r="H383" s="3">
        <f t="shared" si="222"/>
        <v>0</v>
      </c>
      <c r="K383" s="4">
        <f t="shared" si="223"/>
        <v>2500</v>
      </c>
      <c r="L383" s="4">
        <v>2500</v>
      </c>
      <c r="N383" s="4">
        <f t="shared" si="224"/>
        <v>0</v>
      </c>
      <c r="P383" s="3">
        <v>1650</v>
      </c>
      <c r="R383" s="3">
        <v>0</v>
      </c>
      <c r="S383" s="3">
        <f t="shared" si="225"/>
        <v>1650</v>
      </c>
      <c r="T383" s="3">
        <v>1650</v>
      </c>
      <c r="U383" s="3">
        <f t="shared" si="226"/>
        <v>0</v>
      </c>
      <c r="V383" s="3">
        <v>0</v>
      </c>
      <c r="W383" s="3">
        <f t="shared" si="227"/>
        <v>1650</v>
      </c>
      <c r="Y383" s="3">
        <v>1650</v>
      </c>
      <c r="Z383" s="3">
        <f t="shared" si="228"/>
        <v>0</v>
      </c>
      <c r="AC383" s="3">
        <v>0</v>
      </c>
      <c r="AD383" s="3">
        <f t="shared" si="231"/>
        <v>1500</v>
      </c>
      <c r="AE383" s="3">
        <v>1500</v>
      </c>
      <c r="AF383" s="3">
        <f t="shared" si="229"/>
        <v>-150</v>
      </c>
      <c r="AR383" s="3"/>
      <c r="AT383" s="3"/>
      <c r="AV383" s="3"/>
      <c r="AX383" s="3"/>
      <c r="BC383" s="3"/>
      <c r="BE383" s="3"/>
    </row>
    <row r="384" spans="1:57" hidden="1" outlineLevel="1" x14ac:dyDescent="0.25">
      <c r="A384" s="3" t="s">
        <v>312</v>
      </c>
      <c r="B384" s="3">
        <v>2500</v>
      </c>
      <c r="E384" s="3">
        <f t="shared" si="221"/>
        <v>2500</v>
      </c>
      <c r="F384" s="3">
        <v>2500</v>
      </c>
      <c r="H384" s="3">
        <f t="shared" si="222"/>
        <v>0</v>
      </c>
      <c r="K384" s="4">
        <f t="shared" si="223"/>
        <v>2500</v>
      </c>
      <c r="L384" s="4">
        <v>2500</v>
      </c>
      <c r="N384" s="4">
        <f t="shared" si="224"/>
        <v>0</v>
      </c>
      <c r="P384" s="3">
        <v>1800</v>
      </c>
      <c r="R384" s="3">
        <v>0</v>
      </c>
      <c r="S384" s="3">
        <f t="shared" si="225"/>
        <v>1800</v>
      </c>
      <c r="T384" s="3">
        <v>1800</v>
      </c>
      <c r="U384" s="3">
        <f t="shared" si="226"/>
        <v>0</v>
      </c>
      <c r="V384" s="3">
        <v>0</v>
      </c>
      <c r="W384" s="3">
        <f t="shared" si="227"/>
        <v>1800</v>
      </c>
      <c r="Y384" s="3">
        <v>1800</v>
      </c>
      <c r="Z384" s="3">
        <f t="shared" si="228"/>
        <v>0</v>
      </c>
      <c r="AC384" s="3">
        <v>0</v>
      </c>
      <c r="AD384" s="3">
        <f t="shared" si="231"/>
        <v>1500</v>
      </c>
      <c r="AE384" s="3">
        <v>1500</v>
      </c>
      <c r="AF384" s="3">
        <f t="shared" si="229"/>
        <v>-300</v>
      </c>
      <c r="AI384" s="3">
        <v>2500</v>
      </c>
      <c r="AK384" s="3">
        <f>AI384*1.03</f>
        <v>2575</v>
      </c>
      <c r="AM384" s="3">
        <f>AK384*1.03</f>
        <v>2652.25</v>
      </c>
      <c r="AO384" s="3">
        <f>AM384*1.03</f>
        <v>2731.8175000000001</v>
      </c>
      <c r="AQ384" s="3">
        <f>AO384*1.03</f>
        <v>2813.7720250000002</v>
      </c>
      <c r="AR384" s="3"/>
      <c r="AS384" s="3">
        <f>AQ384*1.03</f>
        <v>2898.1851857500001</v>
      </c>
      <c r="AT384" s="3"/>
      <c r="AU384" s="3">
        <f>AS384*1.03</f>
        <v>2985.1307413224999</v>
      </c>
      <c r="AV384" s="3"/>
      <c r="AW384" s="3">
        <f>AU384*1.03</f>
        <v>3074.684663562175</v>
      </c>
      <c r="AX384" s="3"/>
      <c r="AY384" s="3">
        <f>AW384*1.03</f>
        <v>3166.9252034690403</v>
      </c>
      <c r="BA384" s="3">
        <f>AY384*1.03</f>
        <v>3261.9329595731115</v>
      </c>
      <c r="BC384" s="3">
        <f>BA384*1.03</f>
        <v>3359.7909483603048</v>
      </c>
      <c r="BE384" s="3">
        <f>BC384*1.03</f>
        <v>3460.5846768111142</v>
      </c>
    </row>
    <row r="385" spans="1:57" hidden="1" outlineLevel="1" x14ac:dyDescent="0.25">
      <c r="A385" s="3" t="s">
        <v>313</v>
      </c>
      <c r="B385" s="3">
        <v>16000</v>
      </c>
      <c r="D385" s="3">
        <v>3747</v>
      </c>
      <c r="E385" s="3">
        <f t="shared" si="221"/>
        <v>12253</v>
      </c>
      <c r="F385" s="3">
        <v>16000</v>
      </c>
      <c r="H385" s="3">
        <f t="shared" si="222"/>
        <v>0</v>
      </c>
      <c r="J385" s="3">
        <v>7154</v>
      </c>
      <c r="K385" s="4">
        <f t="shared" si="223"/>
        <v>8846</v>
      </c>
      <c r="L385" s="4">
        <v>16000</v>
      </c>
      <c r="N385" s="4">
        <f t="shared" si="224"/>
        <v>0</v>
      </c>
      <c r="P385" s="3">
        <f>L385*1.02815+50</f>
        <v>16500.399999999998</v>
      </c>
      <c r="R385" s="3">
        <v>0</v>
      </c>
      <c r="S385" s="3">
        <f t="shared" si="225"/>
        <v>19500</v>
      </c>
      <c r="T385" s="3">
        <v>19500</v>
      </c>
      <c r="U385" s="3">
        <f t="shared" si="226"/>
        <v>2999.6000000000022</v>
      </c>
      <c r="V385" s="3">
        <v>4453</v>
      </c>
      <c r="W385" s="3">
        <f t="shared" si="227"/>
        <v>15047</v>
      </c>
      <c r="Y385" s="3">
        <v>19500</v>
      </c>
      <c r="Z385" s="3">
        <f t="shared" si="228"/>
        <v>0</v>
      </c>
      <c r="AC385" s="3">
        <v>13359</v>
      </c>
      <c r="AD385" s="3">
        <f t="shared" si="231"/>
        <v>6141</v>
      </c>
      <c r="AE385" s="3">
        <v>19500</v>
      </c>
      <c r="AF385" s="3">
        <f t="shared" si="229"/>
        <v>0</v>
      </c>
      <c r="AI385" s="3">
        <v>27000</v>
      </c>
      <c r="AK385" s="3">
        <f>AI385*1.03</f>
        <v>27810</v>
      </c>
      <c r="AM385" s="3">
        <f>AK385*1.03</f>
        <v>28644.3</v>
      </c>
      <c r="AO385" s="3">
        <f>AM385*1.03</f>
        <v>29503.629000000001</v>
      </c>
      <c r="AQ385" s="3">
        <f>AO385*1.03</f>
        <v>30388.737870000001</v>
      </c>
      <c r="AR385" s="3"/>
      <c r="AS385" s="3">
        <f>AQ385*1.03</f>
        <v>31300.400006100001</v>
      </c>
      <c r="AT385" s="3"/>
      <c r="AU385" s="3">
        <f>AS385*1.03</f>
        <v>32239.412006283001</v>
      </c>
      <c r="AV385" s="3"/>
      <c r="AW385" s="3">
        <f>AU385*1.03</f>
        <v>33206.594366471494</v>
      </c>
      <c r="AX385" s="3"/>
      <c r="AY385" s="3">
        <f>AW385*1.03</f>
        <v>34202.792197465642</v>
      </c>
      <c r="BA385" s="3">
        <f>AY385*1.03</f>
        <v>35228.875963389612</v>
      </c>
      <c r="BC385" s="3">
        <f>BA385*1.03</f>
        <v>36285.7422422913</v>
      </c>
      <c r="BE385" s="3">
        <f>BC385*1.03</f>
        <v>37374.314509560041</v>
      </c>
    </row>
    <row r="386" spans="1:57" s="42" customFormat="1" hidden="1" outlineLevel="1" x14ac:dyDescent="0.25">
      <c r="A386" s="3" t="s">
        <v>299</v>
      </c>
      <c r="B386" s="3">
        <v>8500</v>
      </c>
      <c r="C386" s="3"/>
      <c r="D386" s="3">
        <v>3443</v>
      </c>
      <c r="E386" s="3">
        <f t="shared" si="221"/>
        <v>5057</v>
      </c>
      <c r="F386" s="3">
        <v>8500</v>
      </c>
      <c r="G386" s="3"/>
      <c r="H386" s="3">
        <f t="shared" si="222"/>
        <v>0</v>
      </c>
      <c r="I386" s="3"/>
      <c r="J386" s="3">
        <v>4308</v>
      </c>
      <c r="K386" s="4">
        <f t="shared" si="223"/>
        <v>4192</v>
      </c>
      <c r="L386" s="4">
        <v>8500</v>
      </c>
      <c r="M386" s="4"/>
      <c r="N386" s="4">
        <f t="shared" si="224"/>
        <v>0</v>
      </c>
      <c r="O386" s="3"/>
      <c r="P386" s="3">
        <f>B386*1.0281+261</f>
        <v>8999.85</v>
      </c>
      <c r="Q386" s="3"/>
      <c r="R386" s="3">
        <v>487</v>
      </c>
      <c r="S386" s="3">
        <f t="shared" si="225"/>
        <v>8513</v>
      </c>
      <c r="T386" s="3">
        <v>9000</v>
      </c>
      <c r="U386" s="3">
        <f t="shared" si="226"/>
        <v>0.1499999999996362</v>
      </c>
      <c r="V386" s="3">
        <v>2155</v>
      </c>
      <c r="W386" s="3">
        <f t="shared" si="227"/>
        <v>6845</v>
      </c>
      <c r="X386" s="3"/>
      <c r="Y386" s="3">
        <v>9000</v>
      </c>
      <c r="Z386" s="3">
        <f t="shared" si="228"/>
        <v>0</v>
      </c>
      <c r="AA386" s="3"/>
      <c r="AB386" s="3"/>
      <c r="AC386" s="3">
        <v>3587</v>
      </c>
      <c r="AD386" s="3">
        <f t="shared" si="231"/>
        <v>4413</v>
      </c>
      <c r="AE386" s="3">
        <v>8000</v>
      </c>
      <c r="AF386" s="3">
        <f t="shared" si="229"/>
        <v>-1000</v>
      </c>
      <c r="AG386" s="4"/>
      <c r="AH386" s="4"/>
      <c r="AI386" s="3">
        <v>9000</v>
      </c>
      <c r="AJ386" s="3"/>
      <c r="AK386" s="3">
        <f>AI386*1.03</f>
        <v>9270</v>
      </c>
      <c r="AL386" s="3">
        <f>AJ386*1.0281</f>
        <v>0</v>
      </c>
      <c r="AM386" s="3">
        <f>AK386*1.03</f>
        <v>9548.1</v>
      </c>
      <c r="AN386" s="3">
        <f>AL386*1.0281</f>
        <v>0</v>
      </c>
      <c r="AO386" s="3">
        <f>AM386*1.03</f>
        <v>9834.5430000000015</v>
      </c>
      <c r="AP386" s="4"/>
      <c r="AQ386" s="3">
        <f>AO386*1.03</f>
        <v>10129.579290000001</v>
      </c>
      <c r="AR386" s="3"/>
      <c r="AS386" s="3">
        <f>AQ386*1.03</f>
        <v>10433.466668700003</v>
      </c>
      <c r="AT386" s="3"/>
      <c r="AU386" s="3">
        <f>AS386*1.03</f>
        <v>10746.470668761003</v>
      </c>
      <c r="AV386" s="3"/>
      <c r="AW386" s="3">
        <f>AU386*1.03</f>
        <v>11068.864788823834</v>
      </c>
      <c r="AX386" s="3"/>
      <c r="AY386" s="3">
        <f>AW386*1.03</f>
        <v>11400.930732488549</v>
      </c>
      <c r="BA386" s="3">
        <f>AY386*1.03</f>
        <v>11742.958654463206</v>
      </c>
      <c r="BC386" s="3">
        <f>BA386*1.03</f>
        <v>12095.247414097103</v>
      </c>
      <c r="BE386" s="3">
        <f>BC386*1.03</f>
        <v>12458.104836520017</v>
      </c>
    </row>
    <row r="387" spans="1:57" hidden="1" outlineLevel="1" x14ac:dyDescent="0.25">
      <c r="A387" s="3" t="s">
        <v>314</v>
      </c>
      <c r="E387" s="3">
        <f t="shared" si="221"/>
        <v>0</v>
      </c>
      <c r="H387" s="3">
        <f t="shared" si="222"/>
        <v>0</v>
      </c>
      <c r="K387" s="4">
        <f t="shared" si="223"/>
        <v>0</v>
      </c>
      <c r="L387" s="4"/>
      <c r="N387" s="4">
        <f t="shared" si="224"/>
        <v>0</v>
      </c>
      <c r="S387" s="3">
        <f t="shared" si="225"/>
        <v>0</v>
      </c>
      <c r="U387" s="3">
        <f t="shared" si="226"/>
        <v>0</v>
      </c>
      <c r="W387" s="3">
        <f t="shared" si="227"/>
        <v>0</v>
      </c>
      <c r="Z387" s="3">
        <f t="shared" si="228"/>
        <v>0</v>
      </c>
      <c r="AD387" s="3">
        <f t="shared" si="231"/>
        <v>0</v>
      </c>
      <c r="AF387" s="3">
        <f t="shared" si="229"/>
        <v>0</v>
      </c>
      <c r="AI387" s="3">
        <v>7500</v>
      </c>
      <c r="AO387" s="3">
        <v>8000</v>
      </c>
      <c r="AU387" s="3">
        <v>8500</v>
      </c>
      <c r="BC387" s="3"/>
      <c r="BE387" s="3"/>
    </row>
    <row r="388" spans="1:57" hidden="1" outlineLevel="1" x14ac:dyDescent="0.25">
      <c r="A388" s="3" t="s">
        <v>315</v>
      </c>
      <c r="E388" s="3">
        <f t="shared" si="221"/>
        <v>0</v>
      </c>
      <c r="H388" s="3">
        <f t="shared" si="222"/>
        <v>0</v>
      </c>
      <c r="K388" s="4">
        <f t="shared" si="223"/>
        <v>0</v>
      </c>
      <c r="L388" s="4"/>
      <c r="N388" s="4">
        <f t="shared" si="224"/>
        <v>0</v>
      </c>
      <c r="S388" s="3">
        <f t="shared" si="225"/>
        <v>0</v>
      </c>
      <c r="U388" s="3">
        <f t="shared" si="226"/>
        <v>0</v>
      </c>
      <c r="W388" s="3">
        <f t="shared" si="227"/>
        <v>0</v>
      </c>
      <c r="Z388" s="3">
        <f t="shared" si="228"/>
        <v>0</v>
      </c>
      <c r="AD388" s="3">
        <f t="shared" si="231"/>
        <v>0</v>
      </c>
      <c r="AF388" s="3">
        <f t="shared" si="229"/>
        <v>0</v>
      </c>
      <c r="BC388" s="3"/>
      <c r="BE388" s="3"/>
    </row>
    <row r="389" spans="1:57" hidden="1" outlineLevel="1" x14ac:dyDescent="0.25">
      <c r="A389" s="3" t="s">
        <v>316</v>
      </c>
      <c r="B389" s="3">
        <v>2500</v>
      </c>
      <c r="E389" s="3">
        <f t="shared" si="221"/>
        <v>3000</v>
      </c>
      <c r="F389" s="3">
        <v>3000</v>
      </c>
      <c r="H389" s="3">
        <f t="shared" si="222"/>
        <v>500</v>
      </c>
      <c r="J389" s="3">
        <v>0</v>
      </c>
      <c r="K389" s="4">
        <f t="shared" si="223"/>
        <v>3000</v>
      </c>
      <c r="L389" s="4">
        <v>3000</v>
      </c>
      <c r="N389" s="4">
        <f t="shared" si="224"/>
        <v>0</v>
      </c>
      <c r="P389" s="3">
        <v>2500</v>
      </c>
      <c r="R389" s="3">
        <v>4917</v>
      </c>
      <c r="S389" s="3">
        <f t="shared" si="225"/>
        <v>1083</v>
      </c>
      <c r="T389" s="3">
        <v>6000</v>
      </c>
      <c r="U389" s="3">
        <f t="shared" si="226"/>
        <v>3500</v>
      </c>
      <c r="V389" s="3">
        <v>1813</v>
      </c>
      <c r="W389" s="3">
        <f t="shared" si="227"/>
        <v>4187</v>
      </c>
      <c r="Y389" s="3">
        <v>6000</v>
      </c>
      <c r="Z389" s="3">
        <f t="shared" si="228"/>
        <v>0</v>
      </c>
      <c r="AC389" s="3">
        <v>5320</v>
      </c>
      <c r="AD389" s="3">
        <f t="shared" si="231"/>
        <v>680</v>
      </c>
      <c r="AE389" s="3">
        <v>6000</v>
      </c>
      <c r="AF389" s="3">
        <f t="shared" si="229"/>
        <v>0</v>
      </c>
      <c r="AI389" s="3">
        <f>P389*1.03+25</f>
        <v>2600</v>
      </c>
      <c r="AK389" s="3">
        <f t="shared" ref="AK389:AY389" si="232">AI389*1.0281</f>
        <v>2673.06</v>
      </c>
      <c r="AL389" s="3">
        <f t="shared" si="232"/>
        <v>0</v>
      </c>
      <c r="AM389" s="3">
        <f t="shared" si="232"/>
        <v>2748.172986</v>
      </c>
      <c r="AN389" s="3">
        <f t="shared" si="232"/>
        <v>0</v>
      </c>
      <c r="AO389" s="3">
        <f t="shared" si="232"/>
        <v>2825.3966469065999</v>
      </c>
      <c r="AQ389" s="3">
        <f>AO389*1.0281</f>
        <v>2904.7902926846755</v>
      </c>
      <c r="AR389" s="3"/>
      <c r="AS389" s="3">
        <f t="shared" si="232"/>
        <v>2986.4148999091149</v>
      </c>
      <c r="AT389" s="3">
        <f t="shared" si="232"/>
        <v>0</v>
      </c>
      <c r="AU389" s="3">
        <f t="shared" si="232"/>
        <v>3070.3331585965611</v>
      </c>
      <c r="AV389" s="3"/>
      <c r="AW389" s="3">
        <f t="shared" si="232"/>
        <v>3156.6095203531245</v>
      </c>
      <c r="AX389" s="3"/>
      <c r="AY389" s="3">
        <f t="shared" si="232"/>
        <v>3245.3102478750475</v>
      </c>
      <c r="BA389" s="3">
        <f>AY389*1.0281</f>
        <v>3336.5034658403365</v>
      </c>
      <c r="BC389" s="3">
        <f>BA389*1.0281</f>
        <v>3430.2592132304499</v>
      </c>
      <c r="BE389" s="3">
        <f>BC389*1.0281</f>
        <v>3526.6494971222255</v>
      </c>
    </row>
    <row r="390" spans="1:57" hidden="1" outlineLevel="1" x14ac:dyDescent="0.25">
      <c r="A390" s="3" t="s">
        <v>317</v>
      </c>
      <c r="B390" s="3">
        <v>1000</v>
      </c>
      <c r="D390" s="3">
        <v>464</v>
      </c>
      <c r="E390" s="3">
        <f t="shared" si="221"/>
        <v>536</v>
      </c>
      <c r="F390" s="3">
        <v>1000</v>
      </c>
      <c r="H390" s="3">
        <f t="shared" si="222"/>
        <v>0</v>
      </c>
      <c r="J390" s="3">
        <v>464</v>
      </c>
      <c r="K390" s="4">
        <f t="shared" si="223"/>
        <v>536</v>
      </c>
      <c r="L390" s="4">
        <v>1000</v>
      </c>
      <c r="N390" s="4">
        <f t="shared" si="224"/>
        <v>0</v>
      </c>
      <c r="P390" s="3">
        <f>L390*1.0281+22</f>
        <v>1050.0999999999999</v>
      </c>
      <c r="R390" s="3">
        <v>0</v>
      </c>
      <c r="S390" s="3">
        <f t="shared" si="225"/>
        <v>1050</v>
      </c>
      <c r="T390" s="3">
        <v>1050</v>
      </c>
      <c r="U390" s="3">
        <f t="shared" si="226"/>
        <v>-9.9999999999909051E-2</v>
      </c>
      <c r="V390" s="3">
        <v>1813</v>
      </c>
      <c r="W390" s="3">
        <f t="shared" si="227"/>
        <v>437</v>
      </c>
      <c r="Y390" s="3">
        <v>2250</v>
      </c>
      <c r="Z390" s="3">
        <f t="shared" si="228"/>
        <v>1200</v>
      </c>
      <c r="AC390" s="3">
        <v>0</v>
      </c>
      <c r="AD390" s="3">
        <f t="shared" si="231"/>
        <v>2250</v>
      </c>
      <c r="AE390" s="3">
        <v>2250</v>
      </c>
      <c r="AF390" s="3">
        <f t="shared" si="229"/>
        <v>0</v>
      </c>
      <c r="AI390" s="3">
        <f>AE390*1.03-18+700</f>
        <v>2999.5</v>
      </c>
      <c r="AK390" s="3">
        <f>AI390*1.0281</f>
        <v>3083.78595</v>
      </c>
      <c r="AL390" s="3">
        <f>AJ390*1.0281</f>
        <v>0</v>
      </c>
      <c r="AM390" s="3">
        <f>AK390*1.0281</f>
        <v>3170.440335195</v>
      </c>
      <c r="AN390" s="3">
        <f>AL390*1.0281</f>
        <v>0</v>
      </c>
      <c r="AO390" s="3">
        <f>AM390*1.0281</f>
        <v>3259.5297086139794</v>
      </c>
      <c r="AQ390" s="3">
        <f>AO390*1.0281</f>
        <v>3351.1224934260322</v>
      </c>
      <c r="AR390" s="3"/>
      <c r="AS390" s="3">
        <f>AQ390*1.0281</f>
        <v>3445.2890354913038</v>
      </c>
      <c r="AT390" s="3">
        <f>AR390*1.0281</f>
        <v>0</v>
      </c>
      <c r="AU390" s="3">
        <f>AS390*1.0281</f>
        <v>3542.1016573886095</v>
      </c>
      <c r="AV390" s="3"/>
      <c r="AW390" s="3">
        <f>AU390*1.0281</f>
        <v>3641.6347139612294</v>
      </c>
      <c r="AX390" s="3"/>
      <c r="AY390" s="3">
        <f>AW390*1.0281</f>
        <v>3743.9646494235399</v>
      </c>
      <c r="BA390" s="3">
        <f>AY390*1.0281</f>
        <v>3849.1700560723416</v>
      </c>
      <c r="BC390" s="3">
        <f>BA390*1.0281</f>
        <v>3957.3317346479744</v>
      </c>
      <c r="BE390" s="3">
        <f>BC390*1.0281</f>
        <v>4068.5327563915826</v>
      </c>
    </row>
    <row r="391" spans="1:57" hidden="1" outlineLevel="1" x14ac:dyDescent="0.25">
      <c r="A391" s="3" t="s">
        <v>318</v>
      </c>
      <c r="S391" s="3">
        <f t="shared" si="225"/>
        <v>0</v>
      </c>
      <c r="U391" s="3">
        <f t="shared" si="226"/>
        <v>0</v>
      </c>
      <c r="W391" s="3">
        <f t="shared" si="227"/>
        <v>0</v>
      </c>
      <c r="Z391" s="3">
        <f t="shared" si="228"/>
        <v>0</v>
      </c>
      <c r="AD391" s="3">
        <f t="shared" si="231"/>
        <v>0</v>
      </c>
      <c r="AF391" s="3">
        <f t="shared" si="229"/>
        <v>0</v>
      </c>
      <c r="BC391" s="3"/>
      <c r="BE391" s="3"/>
    </row>
    <row r="392" spans="1:57" hidden="1" outlineLevel="1" x14ac:dyDescent="0.25">
      <c r="A392" s="3" t="s">
        <v>319</v>
      </c>
      <c r="B392" s="3">
        <v>34500</v>
      </c>
      <c r="D392" s="3">
        <f>30949+1156+2680</f>
        <v>34785</v>
      </c>
      <c r="E392" s="3">
        <f t="shared" ref="E392:E421" si="233">F392-D392</f>
        <v>15</v>
      </c>
      <c r="F392" s="3">
        <v>34800</v>
      </c>
      <c r="H392" s="3">
        <f t="shared" ref="H392:H421" si="234">F392-B392</f>
        <v>300</v>
      </c>
      <c r="J392" s="3">
        <v>34905</v>
      </c>
      <c r="K392" s="4">
        <f t="shared" ref="K392:K421" si="235">L392-J392</f>
        <v>0</v>
      </c>
      <c r="L392" s="4">
        <v>34905</v>
      </c>
      <c r="N392" s="4">
        <f t="shared" ref="N392:N421" si="236">L392-F392</f>
        <v>105</v>
      </c>
      <c r="P392" s="3">
        <f>L392*1.0281+14</f>
        <v>35899.830500000004</v>
      </c>
      <c r="R392" s="3">
        <v>34003</v>
      </c>
      <c r="S392" s="3">
        <f t="shared" si="225"/>
        <v>1897</v>
      </c>
      <c r="T392" s="3">
        <v>35900</v>
      </c>
      <c r="U392" s="3">
        <f t="shared" si="226"/>
        <v>0.16949999999633292</v>
      </c>
      <c r="V392" s="3">
        <f>34003+8144</f>
        <v>42147</v>
      </c>
      <c r="W392" s="3">
        <f t="shared" si="227"/>
        <v>3</v>
      </c>
      <c r="Y392" s="3">
        <v>42150</v>
      </c>
      <c r="Z392" s="3">
        <f t="shared" si="228"/>
        <v>6250</v>
      </c>
      <c r="AC392" s="3">
        <v>34003</v>
      </c>
      <c r="AD392" s="3">
        <f t="shared" si="231"/>
        <v>2997</v>
      </c>
      <c r="AE392" s="3">
        <v>37000</v>
      </c>
      <c r="AF392" s="3">
        <f t="shared" si="229"/>
        <v>-5150</v>
      </c>
      <c r="AI392" s="3">
        <f>AE392*1.03-10</f>
        <v>38100</v>
      </c>
      <c r="AK392" s="3">
        <f t="shared" ref="AK392:AK407" si="237">AI392*1.03</f>
        <v>39243</v>
      </c>
      <c r="AM392" s="3">
        <f t="shared" ref="AM392:AM407" si="238">AK392*1.03</f>
        <v>40420.29</v>
      </c>
      <c r="AO392" s="3">
        <f t="shared" ref="AO392:AO407" si="239">AM392*1.03</f>
        <v>41632.898700000005</v>
      </c>
      <c r="AQ392" s="3">
        <f t="shared" ref="AQ392:AQ407" si="240">AO392*1.03</f>
        <v>42881.885661000008</v>
      </c>
      <c r="AR392" s="3"/>
      <c r="AS392" s="3">
        <f t="shared" ref="AS392:AS407" si="241">AQ392*1.03</f>
        <v>44168.342230830007</v>
      </c>
      <c r="AT392" s="3"/>
      <c r="AU392" s="3">
        <f t="shared" ref="AU392:AU407" si="242">AS392*1.03</f>
        <v>45493.39249775491</v>
      </c>
      <c r="AV392" s="3"/>
      <c r="AW392" s="3">
        <f t="shared" ref="AW392:AW407" si="243">AU392*1.03</f>
        <v>46858.194272687557</v>
      </c>
      <c r="AX392" s="3"/>
      <c r="AY392" s="3">
        <f t="shared" ref="AY392:AY407" si="244">AW392*1.03</f>
        <v>48263.940100868182</v>
      </c>
      <c r="BA392" s="3">
        <f t="shared" ref="BA392:BE407" si="245">AY392*1.03</f>
        <v>49711.858303894231</v>
      </c>
      <c r="BC392" s="3">
        <f t="shared" si="245"/>
        <v>51203.214053011056</v>
      </c>
      <c r="BE392" s="3">
        <f t="shared" si="245"/>
        <v>52739.310474601385</v>
      </c>
    </row>
    <row r="393" spans="1:57" hidden="1" outlineLevel="1" x14ac:dyDescent="0.25">
      <c r="A393" s="3" t="s">
        <v>320</v>
      </c>
      <c r="E393" s="3">
        <f t="shared" si="233"/>
        <v>0</v>
      </c>
      <c r="H393" s="3">
        <f t="shared" si="234"/>
        <v>0</v>
      </c>
      <c r="K393" s="4">
        <f t="shared" si="235"/>
        <v>0</v>
      </c>
      <c r="L393" s="4"/>
      <c r="N393" s="4">
        <f t="shared" si="236"/>
        <v>0</v>
      </c>
      <c r="S393" s="3">
        <f t="shared" si="225"/>
        <v>0</v>
      </c>
      <c r="U393" s="3">
        <f t="shared" si="226"/>
        <v>0</v>
      </c>
      <c r="W393" s="3">
        <f t="shared" si="227"/>
        <v>0</v>
      </c>
      <c r="Z393" s="3">
        <f t="shared" si="228"/>
        <v>0</v>
      </c>
      <c r="AD393" s="3">
        <f t="shared" si="231"/>
        <v>0</v>
      </c>
      <c r="AF393" s="3">
        <f t="shared" si="229"/>
        <v>0</v>
      </c>
      <c r="AK393" s="3">
        <f t="shared" si="237"/>
        <v>0</v>
      </c>
      <c r="AM393" s="3">
        <f t="shared" si="238"/>
        <v>0</v>
      </c>
      <c r="AO393" s="3">
        <f t="shared" si="239"/>
        <v>0</v>
      </c>
      <c r="AQ393" s="3">
        <f t="shared" si="240"/>
        <v>0</v>
      </c>
      <c r="AR393" s="3"/>
      <c r="AS393" s="3">
        <f t="shared" si="241"/>
        <v>0</v>
      </c>
      <c r="AT393" s="3"/>
      <c r="AU393" s="3">
        <f t="shared" si="242"/>
        <v>0</v>
      </c>
      <c r="AV393" s="3"/>
      <c r="AW393" s="3">
        <f t="shared" si="243"/>
        <v>0</v>
      </c>
      <c r="AX393" s="3"/>
      <c r="AY393" s="3">
        <f t="shared" si="244"/>
        <v>0</v>
      </c>
      <c r="BA393" s="3">
        <f t="shared" si="245"/>
        <v>0</v>
      </c>
      <c r="BC393" s="3">
        <f t="shared" si="245"/>
        <v>0</v>
      </c>
      <c r="BE393" s="3">
        <f t="shared" si="245"/>
        <v>0</v>
      </c>
    </row>
    <row r="394" spans="1:57" hidden="1" outlineLevel="1" x14ac:dyDescent="0.25">
      <c r="A394" s="3" t="s">
        <v>321</v>
      </c>
      <c r="B394" s="3">
        <v>40545</v>
      </c>
      <c r="D394" s="3">
        <v>40565</v>
      </c>
      <c r="E394" s="3">
        <f t="shared" si="233"/>
        <v>0</v>
      </c>
      <c r="F394" s="3">
        <v>40565</v>
      </c>
      <c r="H394" s="3">
        <f t="shared" si="234"/>
        <v>20</v>
      </c>
      <c r="J394" s="3">
        <v>40565</v>
      </c>
      <c r="K394" s="4">
        <f t="shared" si="235"/>
        <v>0</v>
      </c>
      <c r="L394" s="4">
        <v>40565</v>
      </c>
      <c r="N394" s="4">
        <f t="shared" si="236"/>
        <v>0</v>
      </c>
      <c r="P394" s="3">
        <f>L394*1.035+15</f>
        <v>41999.774999999994</v>
      </c>
      <c r="R394" s="3">
        <v>41985</v>
      </c>
      <c r="S394" s="3">
        <f t="shared" si="225"/>
        <v>0</v>
      </c>
      <c r="T394" s="3">
        <v>41985</v>
      </c>
      <c r="U394" s="3">
        <f t="shared" si="226"/>
        <v>-14.774999999994179</v>
      </c>
      <c r="V394" s="3">
        <v>41985</v>
      </c>
      <c r="W394" s="3">
        <f t="shared" si="227"/>
        <v>0</v>
      </c>
      <c r="Y394" s="3">
        <v>41985</v>
      </c>
      <c r="Z394" s="3">
        <f t="shared" si="228"/>
        <v>0</v>
      </c>
      <c r="AC394" s="3">
        <v>41985</v>
      </c>
      <c r="AD394" s="3">
        <f t="shared" si="231"/>
        <v>0</v>
      </c>
      <c r="AE394" s="3">
        <v>41985</v>
      </c>
      <c r="AF394" s="3">
        <f t="shared" si="229"/>
        <v>0</v>
      </c>
      <c r="AI394" s="3">
        <f>AE394*1.03+5</f>
        <v>43249.55</v>
      </c>
      <c r="AK394" s="3">
        <f t="shared" si="237"/>
        <v>44547.036500000002</v>
      </c>
      <c r="AM394" s="3">
        <f t="shared" si="238"/>
        <v>45883.447595000005</v>
      </c>
      <c r="AO394" s="3">
        <f t="shared" si="239"/>
        <v>47259.951022850008</v>
      </c>
      <c r="AQ394" s="3">
        <f t="shared" si="240"/>
        <v>48677.749553535512</v>
      </c>
      <c r="AR394" s="3"/>
      <c r="AS394" s="3">
        <f t="shared" si="241"/>
        <v>50138.082040141577</v>
      </c>
      <c r="AT394" s="3"/>
      <c r="AU394" s="3">
        <f t="shared" si="242"/>
        <v>51642.224501345823</v>
      </c>
      <c r="AV394" s="3"/>
      <c r="AW394" s="3">
        <f t="shared" si="243"/>
        <v>53191.491236386202</v>
      </c>
      <c r="AX394" s="3"/>
      <c r="AY394" s="3">
        <f t="shared" si="244"/>
        <v>54787.235973477793</v>
      </c>
      <c r="BA394" s="3">
        <f t="shared" si="245"/>
        <v>56430.853052682127</v>
      </c>
      <c r="BC394" s="3">
        <f t="shared" si="245"/>
        <v>58123.778644262595</v>
      </c>
      <c r="BE394" s="3">
        <f t="shared" si="245"/>
        <v>59867.492003590472</v>
      </c>
    </row>
    <row r="395" spans="1:57" hidden="1" outlineLevel="1" x14ac:dyDescent="0.25">
      <c r="A395" s="3" t="s">
        <v>1094</v>
      </c>
      <c r="K395" s="4"/>
      <c r="L395" s="4"/>
      <c r="N395" s="4"/>
      <c r="AI395" s="3">
        <v>15000</v>
      </c>
      <c r="AR395" s="3"/>
      <c r="AT395" s="3"/>
      <c r="AV395" s="3"/>
      <c r="AX395" s="3"/>
      <c r="BC395" s="3"/>
      <c r="BE395" s="3"/>
    </row>
    <row r="396" spans="1:57" hidden="1" outlineLevel="1" x14ac:dyDescent="0.25">
      <c r="A396" s="3" t="s">
        <v>1097</v>
      </c>
      <c r="K396" s="4"/>
      <c r="L396" s="4"/>
      <c r="N396" s="4"/>
      <c r="AI396" s="3">
        <v>30000</v>
      </c>
      <c r="AR396" s="3"/>
      <c r="AT396" s="3"/>
      <c r="AV396" s="3"/>
      <c r="AX396" s="3"/>
      <c r="BC396" s="3"/>
      <c r="BE396" s="3"/>
    </row>
    <row r="397" spans="1:57" hidden="1" outlineLevel="1" x14ac:dyDescent="0.25">
      <c r="A397" s="3" t="s">
        <v>322</v>
      </c>
      <c r="B397" s="3">
        <v>250</v>
      </c>
      <c r="D397" s="3">
        <v>393</v>
      </c>
      <c r="E397" s="3">
        <f t="shared" si="233"/>
        <v>307</v>
      </c>
      <c r="F397" s="3">
        <v>700</v>
      </c>
      <c r="H397" s="3">
        <f t="shared" si="234"/>
        <v>450</v>
      </c>
      <c r="J397" s="3">
        <v>109</v>
      </c>
      <c r="K397" s="4">
        <f t="shared" si="235"/>
        <v>591</v>
      </c>
      <c r="L397" s="4">
        <v>700</v>
      </c>
      <c r="N397" s="4">
        <f t="shared" si="236"/>
        <v>0</v>
      </c>
      <c r="P397" s="3">
        <f>L397*1.0281+30</f>
        <v>749.67</v>
      </c>
      <c r="R397" s="3">
        <v>58</v>
      </c>
      <c r="S397" s="3">
        <f t="shared" si="225"/>
        <v>692</v>
      </c>
      <c r="T397" s="3">
        <v>750</v>
      </c>
      <c r="U397" s="3">
        <f t="shared" si="226"/>
        <v>0.33000000000004093</v>
      </c>
      <c r="V397" s="3">
        <v>299</v>
      </c>
      <c r="W397" s="3">
        <f t="shared" si="227"/>
        <v>401</v>
      </c>
      <c r="Y397" s="3">
        <v>700</v>
      </c>
      <c r="Z397" s="3">
        <f t="shared" si="228"/>
        <v>-50</v>
      </c>
      <c r="AC397" s="3">
        <v>322</v>
      </c>
      <c r="AD397" s="3">
        <f t="shared" si="231"/>
        <v>378</v>
      </c>
      <c r="AE397" s="3">
        <v>700</v>
      </c>
      <c r="AF397" s="3">
        <f t="shared" si="229"/>
        <v>0</v>
      </c>
      <c r="AI397" s="3">
        <v>744</v>
      </c>
      <c r="AK397" s="3">
        <f t="shared" si="237"/>
        <v>766.32</v>
      </c>
      <c r="AM397" s="3">
        <f t="shared" si="238"/>
        <v>789.30960000000005</v>
      </c>
      <c r="AO397" s="3">
        <f t="shared" si="239"/>
        <v>812.98888800000009</v>
      </c>
      <c r="AQ397" s="3">
        <f t="shared" si="240"/>
        <v>837.37855464000006</v>
      </c>
      <c r="AR397" s="3"/>
      <c r="AS397" s="3">
        <f t="shared" si="241"/>
        <v>862.49991127920009</v>
      </c>
      <c r="AT397" s="3"/>
      <c r="AU397" s="3">
        <f t="shared" si="242"/>
        <v>888.37490861757612</v>
      </c>
      <c r="AV397" s="3"/>
      <c r="AW397" s="3">
        <f t="shared" si="243"/>
        <v>915.02615587610342</v>
      </c>
      <c r="AX397" s="3"/>
      <c r="AY397" s="3">
        <f t="shared" si="244"/>
        <v>942.47694055238651</v>
      </c>
      <c r="BA397" s="3">
        <f t="shared" si="245"/>
        <v>970.75124876895813</v>
      </c>
      <c r="BC397" s="3">
        <f t="shared" si="245"/>
        <v>999.87378623202687</v>
      </c>
      <c r="BE397" s="3">
        <f t="shared" si="245"/>
        <v>1029.8699998189877</v>
      </c>
    </row>
    <row r="398" spans="1:57" hidden="1" outlineLevel="1" x14ac:dyDescent="0.25">
      <c r="A398" s="3" t="s">
        <v>323</v>
      </c>
      <c r="B398" s="3">
        <v>3000</v>
      </c>
      <c r="D398" s="3">
        <v>1312</v>
      </c>
      <c r="E398" s="3">
        <f t="shared" si="233"/>
        <v>1688</v>
      </c>
      <c r="F398" s="3">
        <v>3000</v>
      </c>
      <c r="H398" s="3">
        <f t="shared" si="234"/>
        <v>0</v>
      </c>
      <c r="J398" s="3">
        <v>3759</v>
      </c>
      <c r="K398" s="4">
        <f t="shared" si="235"/>
        <v>1991</v>
      </c>
      <c r="L398" s="4">
        <v>5750</v>
      </c>
      <c r="N398" s="4">
        <f t="shared" si="236"/>
        <v>2750</v>
      </c>
      <c r="P398" s="3">
        <f>L398*1.0281+38</f>
        <v>5949.5749999999998</v>
      </c>
      <c r="R398" s="3">
        <v>228</v>
      </c>
      <c r="S398" s="3">
        <f t="shared" si="225"/>
        <v>5272</v>
      </c>
      <c r="T398" s="3">
        <v>5500</v>
      </c>
      <c r="U398" s="3">
        <f t="shared" si="226"/>
        <v>-449.57499999999982</v>
      </c>
      <c r="V398" s="3">
        <v>2174</v>
      </c>
      <c r="W398" s="3">
        <f t="shared" si="227"/>
        <v>3326</v>
      </c>
      <c r="Y398" s="3">
        <v>5500</v>
      </c>
      <c r="Z398" s="3">
        <f t="shared" si="228"/>
        <v>0</v>
      </c>
      <c r="AC398" s="3">
        <v>2943</v>
      </c>
      <c r="AD398" s="3">
        <f t="shared" si="231"/>
        <v>2557</v>
      </c>
      <c r="AE398" s="3">
        <v>5500</v>
      </c>
      <c r="AF398" s="3">
        <f t="shared" si="229"/>
        <v>0</v>
      </c>
      <c r="AI398" s="3">
        <f>AE398*1.03-15</f>
        <v>5650</v>
      </c>
      <c r="AK398" s="3">
        <f t="shared" si="237"/>
        <v>5819.5</v>
      </c>
      <c r="AM398" s="3">
        <f t="shared" si="238"/>
        <v>5994.085</v>
      </c>
      <c r="AO398" s="3">
        <f t="shared" si="239"/>
        <v>6173.9075499999999</v>
      </c>
      <c r="AQ398" s="3">
        <f t="shared" si="240"/>
        <v>6359.1247764999998</v>
      </c>
      <c r="AR398" s="3"/>
      <c r="AS398" s="3">
        <f t="shared" si="241"/>
        <v>6549.8985197949996</v>
      </c>
      <c r="AT398" s="3"/>
      <c r="AU398" s="3">
        <f t="shared" si="242"/>
        <v>6746.3954753888502</v>
      </c>
      <c r="AV398" s="3"/>
      <c r="AW398" s="3">
        <f t="shared" si="243"/>
        <v>6948.7873396505156</v>
      </c>
      <c r="AX398" s="3"/>
      <c r="AY398" s="3">
        <f t="shared" si="244"/>
        <v>7157.2509598400311</v>
      </c>
      <c r="BA398" s="3">
        <f t="shared" si="245"/>
        <v>7371.9684886352325</v>
      </c>
      <c r="BC398" s="3">
        <f t="shared" si="245"/>
        <v>7593.1275432942894</v>
      </c>
      <c r="BE398" s="3">
        <f t="shared" si="245"/>
        <v>7820.9213695931185</v>
      </c>
    </row>
    <row r="399" spans="1:57" hidden="1" outlineLevel="1" x14ac:dyDescent="0.25">
      <c r="A399" s="3" t="s">
        <v>324</v>
      </c>
      <c r="B399" s="3">
        <v>8000</v>
      </c>
      <c r="D399" s="3">
        <v>2044</v>
      </c>
      <c r="E399" s="3">
        <f t="shared" si="233"/>
        <v>5956</v>
      </c>
      <c r="F399" s="3">
        <v>8000</v>
      </c>
      <c r="H399" s="3">
        <f t="shared" si="234"/>
        <v>0</v>
      </c>
      <c r="J399" s="3">
        <v>3751</v>
      </c>
      <c r="K399" s="4">
        <f t="shared" si="235"/>
        <v>4249</v>
      </c>
      <c r="L399" s="4">
        <v>8000</v>
      </c>
      <c r="N399" s="4">
        <f t="shared" si="236"/>
        <v>0</v>
      </c>
      <c r="P399" s="3">
        <f>L399*1.0281+25</f>
        <v>8249.7999999999993</v>
      </c>
      <c r="R399" s="3">
        <f>31+2038</f>
        <v>2069</v>
      </c>
      <c r="S399" s="3">
        <f t="shared" si="225"/>
        <v>6181</v>
      </c>
      <c r="T399" s="3">
        <v>8250</v>
      </c>
      <c r="U399" s="3">
        <f t="shared" si="226"/>
        <v>0.2000000000007276</v>
      </c>
      <c r="V399" s="3">
        <v>3731</v>
      </c>
      <c r="W399" s="3">
        <f t="shared" si="227"/>
        <v>4269</v>
      </c>
      <c r="Y399" s="3">
        <v>8000</v>
      </c>
      <c r="Z399" s="3">
        <f t="shared" si="228"/>
        <v>-250</v>
      </c>
      <c r="AC399" s="3">
        <v>5773</v>
      </c>
      <c r="AD399" s="3">
        <f t="shared" si="231"/>
        <v>2227</v>
      </c>
      <c r="AE399" s="3">
        <v>8000</v>
      </c>
      <c r="AF399" s="3">
        <f t="shared" si="229"/>
        <v>0</v>
      </c>
      <c r="AI399" s="3">
        <f>AE399*1.03+10</f>
        <v>8250</v>
      </c>
      <c r="AK399" s="3">
        <f t="shared" si="237"/>
        <v>8497.5</v>
      </c>
      <c r="AM399" s="3">
        <f t="shared" si="238"/>
        <v>8752.4250000000011</v>
      </c>
      <c r="AO399" s="3">
        <f t="shared" si="239"/>
        <v>9014.9977500000005</v>
      </c>
      <c r="AQ399" s="3">
        <f t="shared" si="240"/>
        <v>9285.4476825000002</v>
      </c>
      <c r="AR399" s="3"/>
      <c r="AS399" s="3">
        <f t="shared" si="241"/>
        <v>9564.0111129750003</v>
      </c>
      <c r="AT399" s="3"/>
      <c r="AU399" s="3">
        <f t="shared" si="242"/>
        <v>9850.9314463642513</v>
      </c>
      <c r="AV399" s="3"/>
      <c r="AW399" s="3">
        <f t="shared" si="243"/>
        <v>10146.459389755179</v>
      </c>
      <c r="AX399" s="3"/>
      <c r="AY399" s="3">
        <f t="shared" si="244"/>
        <v>10450.853171447834</v>
      </c>
      <c r="BA399" s="3">
        <f t="shared" si="245"/>
        <v>10764.37876659127</v>
      </c>
      <c r="BC399" s="3">
        <f t="shared" si="245"/>
        <v>11087.310129589008</v>
      </c>
      <c r="BE399" s="3">
        <f t="shared" si="245"/>
        <v>11419.929433476678</v>
      </c>
    </row>
    <row r="400" spans="1:57" hidden="1" outlineLevel="1" x14ac:dyDescent="0.25">
      <c r="A400" s="3" t="s">
        <v>325</v>
      </c>
      <c r="D400" s="3">
        <v>7707</v>
      </c>
      <c r="E400" s="3">
        <f t="shared" si="233"/>
        <v>793</v>
      </c>
      <c r="F400" s="3">
        <v>8500</v>
      </c>
      <c r="H400" s="3">
        <f t="shared" si="234"/>
        <v>8500</v>
      </c>
      <c r="J400" s="3">
        <v>9570</v>
      </c>
      <c r="K400" s="4">
        <f t="shared" si="235"/>
        <v>0</v>
      </c>
      <c r="L400" s="4">
        <v>9570</v>
      </c>
      <c r="N400" s="4">
        <f t="shared" si="236"/>
        <v>1070</v>
      </c>
      <c r="S400" s="3">
        <f t="shared" si="225"/>
        <v>0</v>
      </c>
      <c r="U400" s="3">
        <f t="shared" si="226"/>
        <v>0</v>
      </c>
      <c r="W400" s="3">
        <f t="shared" si="227"/>
        <v>0</v>
      </c>
      <c r="Z400" s="3">
        <f t="shared" si="228"/>
        <v>0</v>
      </c>
      <c r="AD400" s="3">
        <f t="shared" si="231"/>
        <v>0</v>
      </c>
      <c r="AF400" s="3">
        <f t="shared" si="229"/>
        <v>0</v>
      </c>
      <c r="AK400" s="3">
        <f t="shared" si="237"/>
        <v>0</v>
      </c>
      <c r="AM400" s="3">
        <f t="shared" si="238"/>
        <v>0</v>
      </c>
      <c r="AO400" s="3">
        <f t="shared" si="239"/>
        <v>0</v>
      </c>
      <c r="AQ400" s="3">
        <f t="shared" si="240"/>
        <v>0</v>
      </c>
      <c r="AR400" s="3"/>
      <c r="AS400" s="3">
        <f t="shared" si="241"/>
        <v>0</v>
      </c>
      <c r="AT400" s="3"/>
      <c r="AU400" s="3">
        <f t="shared" si="242"/>
        <v>0</v>
      </c>
      <c r="AV400" s="3"/>
      <c r="AW400" s="3">
        <f t="shared" si="243"/>
        <v>0</v>
      </c>
      <c r="AX400" s="3"/>
      <c r="AY400" s="3">
        <f t="shared" si="244"/>
        <v>0</v>
      </c>
      <c r="BA400" s="3">
        <f t="shared" si="245"/>
        <v>0</v>
      </c>
      <c r="BC400" s="3">
        <f t="shared" si="245"/>
        <v>0</v>
      </c>
      <c r="BE400" s="3">
        <f t="shared" si="245"/>
        <v>0</v>
      </c>
    </row>
    <row r="401" spans="1:1015 1029:2039 2053:3063 3077:4087 4101:5111 5125:6135 6149:7159 7173:8183 8197:9207 9221:10231 10245:11255 11269:12279 12293:13303 13317:14327 14341:15351 15365:16373" hidden="1" outlineLevel="1" x14ac:dyDescent="0.25">
      <c r="A401" s="3" t="s">
        <v>326</v>
      </c>
      <c r="E401" s="3">
        <f t="shared" si="233"/>
        <v>0</v>
      </c>
      <c r="H401" s="3">
        <f t="shared" si="234"/>
        <v>0</v>
      </c>
      <c r="K401" s="4">
        <f t="shared" si="235"/>
        <v>0</v>
      </c>
      <c r="L401" s="4"/>
      <c r="N401" s="4">
        <f t="shared" si="236"/>
        <v>0</v>
      </c>
      <c r="S401" s="3">
        <f t="shared" si="225"/>
        <v>0</v>
      </c>
      <c r="U401" s="3">
        <f t="shared" si="226"/>
        <v>0</v>
      </c>
      <c r="W401" s="3">
        <f t="shared" si="227"/>
        <v>0</v>
      </c>
      <c r="Z401" s="3">
        <f t="shared" si="228"/>
        <v>0</v>
      </c>
      <c r="AD401" s="3">
        <f t="shared" si="231"/>
        <v>0</v>
      </c>
      <c r="AF401" s="3">
        <f t="shared" si="229"/>
        <v>0</v>
      </c>
      <c r="AK401" s="3">
        <f t="shared" si="237"/>
        <v>0</v>
      </c>
      <c r="AM401" s="3">
        <f t="shared" si="238"/>
        <v>0</v>
      </c>
      <c r="AO401" s="3">
        <f t="shared" si="239"/>
        <v>0</v>
      </c>
      <c r="AQ401" s="3">
        <f t="shared" si="240"/>
        <v>0</v>
      </c>
      <c r="AR401" s="3"/>
      <c r="AS401" s="3">
        <f t="shared" si="241"/>
        <v>0</v>
      </c>
      <c r="AT401" s="3"/>
      <c r="AU401" s="3">
        <f t="shared" si="242"/>
        <v>0</v>
      </c>
      <c r="AV401" s="3"/>
      <c r="AW401" s="3">
        <f t="shared" si="243"/>
        <v>0</v>
      </c>
      <c r="AX401" s="3"/>
      <c r="AY401" s="3">
        <f t="shared" si="244"/>
        <v>0</v>
      </c>
      <c r="BA401" s="3">
        <f t="shared" si="245"/>
        <v>0</v>
      </c>
      <c r="BC401" s="3">
        <f t="shared" si="245"/>
        <v>0</v>
      </c>
      <c r="BE401" s="3">
        <f t="shared" si="245"/>
        <v>0</v>
      </c>
    </row>
    <row r="402" spans="1:1015 1029:2039 2053:3063 3077:4087 4101:5111 5125:6135 6149:7159 7173:8183 8197:9207 9221:10231 10245:11255 11269:12279 12293:13303 13317:14327 14341:15351 15365:16373" hidden="1" outlineLevel="1" x14ac:dyDescent="0.25">
      <c r="A402" s="3" t="s">
        <v>327</v>
      </c>
      <c r="B402" s="3">
        <v>13350</v>
      </c>
      <c r="D402" s="3">
        <v>3171</v>
      </c>
      <c r="E402" s="3">
        <f t="shared" si="233"/>
        <v>10179</v>
      </c>
      <c r="F402" s="3">
        <v>13350</v>
      </c>
      <c r="H402" s="3">
        <f t="shared" si="234"/>
        <v>0</v>
      </c>
      <c r="J402" s="3">
        <v>5331</v>
      </c>
      <c r="K402" s="4">
        <f t="shared" si="235"/>
        <v>8019</v>
      </c>
      <c r="L402" s="4">
        <v>13350</v>
      </c>
      <c r="N402" s="4">
        <f t="shared" si="236"/>
        <v>0</v>
      </c>
      <c r="P402" s="3">
        <f>L402*1.0281+25</f>
        <v>13750.135</v>
      </c>
      <c r="R402" s="3">
        <v>2145</v>
      </c>
      <c r="S402" s="3">
        <f t="shared" si="225"/>
        <v>11605</v>
      </c>
      <c r="T402" s="3">
        <v>13750</v>
      </c>
      <c r="U402" s="3">
        <f t="shared" si="226"/>
        <v>-0.13500000000021828</v>
      </c>
      <c r="V402" s="3">
        <v>5485</v>
      </c>
      <c r="W402" s="3">
        <f t="shared" si="227"/>
        <v>8265</v>
      </c>
      <c r="Y402" s="3">
        <v>13750</v>
      </c>
      <c r="Z402" s="3">
        <f t="shared" si="228"/>
        <v>0</v>
      </c>
      <c r="AC402" s="3">
        <v>8947</v>
      </c>
      <c r="AD402" s="3">
        <f t="shared" si="231"/>
        <v>4803</v>
      </c>
      <c r="AE402" s="3">
        <v>13750</v>
      </c>
      <c r="AF402" s="3">
        <f t="shared" si="229"/>
        <v>0</v>
      </c>
      <c r="AI402" s="3">
        <f>AE402*1.03+37</f>
        <v>14199.5</v>
      </c>
      <c r="AK402" s="3">
        <f t="shared" si="237"/>
        <v>14625.485000000001</v>
      </c>
      <c r="AM402" s="3">
        <f t="shared" si="238"/>
        <v>15064.24955</v>
      </c>
      <c r="AO402" s="3">
        <f t="shared" si="239"/>
        <v>15516.177036500001</v>
      </c>
      <c r="AQ402" s="3">
        <f t="shared" si="240"/>
        <v>15981.662347595002</v>
      </c>
      <c r="AR402" s="3"/>
      <c r="AS402" s="3">
        <f t="shared" si="241"/>
        <v>16461.112218022852</v>
      </c>
      <c r="AT402" s="3"/>
      <c r="AU402" s="3">
        <f t="shared" si="242"/>
        <v>16954.945584563538</v>
      </c>
      <c r="AV402" s="3"/>
      <c r="AW402" s="3">
        <f t="shared" si="243"/>
        <v>17463.593952100444</v>
      </c>
      <c r="AX402" s="3"/>
      <c r="AY402" s="3">
        <f t="shared" si="244"/>
        <v>17987.501770663457</v>
      </c>
      <c r="BA402" s="3">
        <f t="shared" si="245"/>
        <v>18527.126823783361</v>
      </c>
      <c r="BC402" s="3">
        <f t="shared" si="245"/>
        <v>19082.940628496861</v>
      </c>
      <c r="BE402" s="3">
        <f t="shared" si="245"/>
        <v>19655.428847351766</v>
      </c>
    </row>
    <row r="403" spans="1:1015 1029:2039 2053:3063 3077:4087 4101:5111 5125:6135 6149:7159 7173:8183 8197:9207 9221:10231 10245:11255 11269:12279 12293:13303 13317:14327 14341:15351 15365:16373" hidden="1" outlineLevel="1" x14ac:dyDescent="0.25">
      <c r="A403" s="3" t="s">
        <v>328</v>
      </c>
      <c r="B403" s="3">
        <v>19400</v>
      </c>
      <c r="D403" s="3">
        <v>1305</v>
      </c>
      <c r="E403" s="3">
        <f>F403-D403</f>
        <v>17695</v>
      </c>
      <c r="F403" s="3">
        <v>19000</v>
      </c>
      <c r="H403" s="3">
        <f t="shared" si="234"/>
        <v>-400</v>
      </c>
      <c r="J403" s="3">
        <v>6428</v>
      </c>
      <c r="K403" s="4">
        <f t="shared" si="235"/>
        <v>12572</v>
      </c>
      <c r="L403" s="4">
        <v>19000</v>
      </c>
      <c r="N403" s="4">
        <f t="shared" si="236"/>
        <v>0</v>
      </c>
      <c r="P403" s="3">
        <f>L403*1.17+20</f>
        <v>22250</v>
      </c>
      <c r="R403" s="3">
        <v>3999</v>
      </c>
      <c r="S403" s="3">
        <f t="shared" si="225"/>
        <v>18251</v>
      </c>
      <c r="T403" s="3">
        <v>22250</v>
      </c>
      <c r="U403" s="3">
        <f t="shared" si="226"/>
        <v>0</v>
      </c>
      <c r="V403" s="3">
        <v>5127</v>
      </c>
      <c r="W403" s="3">
        <f t="shared" si="227"/>
        <v>15873</v>
      </c>
      <c r="Y403" s="3">
        <v>21000</v>
      </c>
      <c r="Z403" s="3">
        <f t="shared" si="228"/>
        <v>-1250</v>
      </c>
      <c r="AC403" s="3">
        <v>5732</v>
      </c>
      <c r="AD403" s="3">
        <f t="shared" si="231"/>
        <v>14268</v>
      </c>
      <c r="AE403" s="3">
        <v>20000</v>
      </c>
      <c r="AF403" s="3">
        <f t="shared" si="229"/>
        <v>-1000</v>
      </c>
      <c r="AI403" s="3">
        <f>AE403*1.075</f>
        <v>21500</v>
      </c>
      <c r="AK403" s="3">
        <f>AI403*1.05</f>
        <v>22575</v>
      </c>
      <c r="AM403" s="3">
        <f t="shared" si="238"/>
        <v>23252.25</v>
      </c>
      <c r="AO403" s="3">
        <f t="shared" si="239"/>
        <v>23949.817500000001</v>
      </c>
      <c r="AQ403" s="3">
        <f t="shared" si="240"/>
        <v>24668.312025000003</v>
      </c>
      <c r="AR403" s="3"/>
      <c r="AS403" s="3">
        <f t="shared" si="241"/>
        <v>25408.361385750002</v>
      </c>
      <c r="AT403" s="3"/>
      <c r="AU403" s="3">
        <f t="shared" si="242"/>
        <v>26170.612227322505</v>
      </c>
      <c r="AV403" s="3"/>
      <c r="AW403" s="3">
        <f t="shared" si="243"/>
        <v>26955.73059414218</v>
      </c>
      <c r="AX403" s="3"/>
      <c r="AY403" s="3">
        <f t="shared" si="244"/>
        <v>27764.402511966447</v>
      </c>
      <c r="BA403" s="3">
        <f t="shared" si="245"/>
        <v>28597.33458732544</v>
      </c>
      <c r="BC403" s="3">
        <f t="shared" si="245"/>
        <v>29455.254624945203</v>
      </c>
      <c r="BE403" s="3">
        <f t="shared" si="245"/>
        <v>30338.912263693561</v>
      </c>
    </row>
    <row r="404" spans="1:1015 1029:2039 2053:3063 3077:4087 4101:5111 5125:6135 6149:7159 7173:8183 8197:9207 9221:10231 10245:11255 11269:12279 12293:13303 13317:14327 14341:15351 15365:16373" hidden="1" outlineLevel="1" x14ac:dyDescent="0.25">
      <c r="A404" s="3" t="s">
        <v>329</v>
      </c>
      <c r="B404" s="3">
        <v>6500</v>
      </c>
      <c r="D404" s="3">
        <v>1278</v>
      </c>
      <c r="E404" s="3">
        <f t="shared" si="233"/>
        <v>5222</v>
      </c>
      <c r="F404" s="3">
        <v>6500</v>
      </c>
      <c r="H404" s="3">
        <f t="shared" si="234"/>
        <v>0</v>
      </c>
      <c r="J404" s="3">
        <v>2719</v>
      </c>
      <c r="K404" s="4">
        <f t="shared" si="235"/>
        <v>3781</v>
      </c>
      <c r="L404" s="4">
        <v>6500</v>
      </c>
      <c r="N404" s="4">
        <f t="shared" si="236"/>
        <v>0</v>
      </c>
      <c r="P404" s="3">
        <f>L404*1.0281+17</f>
        <v>6699.65</v>
      </c>
      <c r="R404" s="3">
        <v>1474</v>
      </c>
      <c r="S404" s="3">
        <f t="shared" si="225"/>
        <v>5226</v>
      </c>
      <c r="T404" s="3">
        <v>6700</v>
      </c>
      <c r="U404" s="3">
        <f t="shared" si="226"/>
        <v>0.3500000000003638</v>
      </c>
      <c r="V404" s="3">
        <v>2828</v>
      </c>
      <c r="W404" s="3">
        <f t="shared" si="227"/>
        <v>3872</v>
      </c>
      <c r="Y404" s="3">
        <v>6700</v>
      </c>
      <c r="Z404" s="3">
        <f t="shared" si="228"/>
        <v>0</v>
      </c>
      <c r="AC404" s="3">
        <v>4061</v>
      </c>
      <c r="AD404" s="3">
        <f t="shared" si="231"/>
        <v>2639</v>
      </c>
      <c r="AE404" s="3">
        <v>6700</v>
      </c>
      <c r="AF404" s="3">
        <f t="shared" si="229"/>
        <v>0</v>
      </c>
      <c r="AI404" s="3">
        <f>AE404*1.03-1</f>
        <v>6900</v>
      </c>
      <c r="AK404" s="3">
        <f t="shared" si="237"/>
        <v>7107</v>
      </c>
      <c r="AM404" s="3">
        <f t="shared" si="238"/>
        <v>7320.21</v>
      </c>
      <c r="AO404" s="3">
        <f t="shared" si="239"/>
        <v>7539.8163000000004</v>
      </c>
      <c r="AQ404" s="3">
        <f t="shared" si="240"/>
        <v>7766.0107890000008</v>
      </c>
      <c r="AR404" s="3"/>
      <c r="AS404" s="3">
        <f t="shared" si="241"/>
        <v>7998.9911126700008</v>
      </c>
      <c r="AT404" s="3"/>
      <c r="AU404" s="3">
        <f t="shared" si="242"/>
        <v>8238.9608460501004</v>
      </c>
      <c r="AV404" s="3"/>
      <c r="AW404" s="3">
        <f t="shared" si="243"/>
        <v>8486.1296714316031</v>
      </c>
      <c r="AX404" s="3"/>
      <c r="AY404" s="3">
        <f t="shared" si="244"/>
        <v>8740.7135615745519</v>
      </c>
      <c r="BA404" s="3">
        <f t="shared" si="245"/>
        <v>9002.9349684217887</v>
      </c>
      <c r="BC404" s="3">
        <f t="shared" si="245"/>
        <v>9273.0230174744429</v>
      </c>
      <c r="BE404" s="3">
        <f t="shared" si="245"/>
        <v>9551.2137079986769</v>
      </c>
    </row>
    <row r="405" spans="1:1015 1029:2039 2053:3063 3077:4087 4101:5111 5125:6135 6149:7159 7173:8183 8197:9207 9221:10231 10245:11255 11269:12279 12293:13303 13317:14327 14341:15351 15365:16373" hidden="1" outlineLevel="1" x14ac:dyDescent="0.25">
      <c r="A405" s="3" t="s">
        <v>330</v>
      </c>
      <c r="B405" s="3">
        <v>17500</v>
      </c>
      <c r="D405" s="3">
        <v>6221</v>
      </c>
      <c r="E405" s="3">
        <f t="shared" si="233"/>
        <v>11279</v>
      </c>
      <c r="F405" s="3">
        <v>17500</v>
      </c>
      <c r="H405" s="3">
        <f t="shared" si="234"/>
        <v>0</v>
      </c>
      <c r="J405" s="3">
        <v>7930</v>
      </c>
      <c r="K405" s="4">
        <f t="shared" si="235"/>
        <v>9570</v>
      </c>
      <c r="L405" s="4">
        <v>17500</v>
      </c>
      <c r="N405" s="4">
        <f t="shared" si="236"/>
        <v>0</v>
      </c>
      <c r="P405" s="3">
        <f>L405*1.0281+8</f>
        <v>17999.75</v>
      </c>
      <c r="R405" s="3">
        <v>3703</v>
      </c>
      <c r="S405" s="3">
        <f t="shared" si="225"/>
        <v>14297</v>
      </c>
      <c r="T405" s="3">
        <v>18000</v>
      </c>
      <c r="U405" s="3">
        <f t="shared" si="226"/>
        <v>0.25</v>
      </c>
      <c r="V405" s="3">
        <v>8724</v>
      </c>
      <c r="W405" s="3">
        <f t="shared" si="227"/>
        <v>8776</v>
      </c>
      <c r="Y405" s="3">
        <v>17500</v>
      </c>
      <c r="Z405" s="3">
        <f t="shared" si="228"/>
        <v>-500</v>
      </c>
      <c r="AC405" s="3">
        <v>10358</v>
      </c>
      <c r="AD405" s="3">
        <f t="shared" si="231"/>
        <v>6642</v>
      </c>
      <c r="AE405" s="3">
        <v>17000</v>
      </c>
      <c r="AF405" s="3">
        <f t="shared" si="229"/>
        <v>-500</v>
      </c>
      <c r="AI405" s="3">
        <f>AE405*1.03-10</f>
        <v>17500</v>
      </c>
      <c r="AK405" s="3">
        <f t="shared" si="237"/>
        <v>18025</v>
      </c>
      <c r="AM405" s="3">
        <f t="shared" si="238"/>
        <v>18565.75</v>
      </c>
      <c r="AO405" s="3">
        <f t="shared" si="239"/>
        <v>19122.7225</v>
      </c>
      <c r="AQ405" s="3">
        <f t="shared" si="240"/>
        <v>19696.404175</v>
      </c>
      <c r="AR405" s="3"/>
      <c r="AS405" s="3">
        <f t="shared" si="241"/>
        <v>20287.29630025</v>
      </c>
      <c r="AT405" s="3"/>
      <c r="AU405" s="3">
        <f t="shared" si="242"/>
        <v>20895.915189257499</v>
      </c>
      <c r="AV405" s="3"/>
      <c r="AW405" s="3">
        <f t="shared" si="243"/>
        <v>21522.792644935224</v>
      </c>
      <c r="AX405" s="3"/>
      <c r="AY405" s="3">
        <f t="shared" si="244"/>
        <v>22168.476424283283</v>
      </c>
      <c r="BA405" s="3">
        <f t="shared" si="245"/>
        <v>22833.530717011781</v>
      </c>
      <c r="BC405" s="3">
        <f t="shared" si="245"/>
        <v>23518.536638522135</v>
      </c>
      <c r="BE405" s="3">
        <f t="shared" si="245"/>
        <v>24224.092737677798</v>
      </c>
    </row>
    <row r="406" spans="1:1015 1029:2039 2053:3063 3077:4087 4101:5111 5125:6135 6149:7159 7173:8183 8197:9207 9221:10231 10245:11255 11269:12279 12293:13303 13317:14327 14341:15351 15365:16373" hidden="1" outlineLevel="1" x14ac:dyDescent="0.25">
      <c r="A406" s="3" t="s">
        <v>331</v>
      </c>
      <c r="B406" s="3">
        <v>2500</v>
      </c>
      <c r="D406" s="3">
        <v>1335</v>
      </c>
      <c r="E406" s="3">
        <f t="shared" si="233"/>
        <v>1165</v>
      </c>
      <c r="F406" s="3">
        <v>2500</v>
      </c>
      <c r="H406" s="3">
        <f t="shared" si="234"/>
        <v>0</v>
      </c>
      <c r="J406" s="3">
        <v>1336</v>
      </c>
      <c r="K406" s="4">
        <f t="shared" si="235"/>
        <v>1164</v>
      </c>
      <c r="L406" s="4">
        <v>2500</v>
      </c>
      <c r="N406" s="4">
        <f t="shared" si="236"/>
        <v>0</v>
      </c>
      <c r="P406" s="3">
        <f>L406*1.07+25</f>
        <v>2700</v>
      </c>
      <c r="R406" s="3">
        <v>2056</v>
      </c>
      <c r="S406" s="3">
        <f t="shared" si="225"/>
        <v>644</v>
      </c>
      <c r="T406" s="3">
        <v>2700</v>
      </c>
      <c r="U406" s="3">
        <f t="shared" si="226"/>
        <v>0</v>
      </c>
      <c r="V406" s="3">
        <v>2056</v>
      </c>
      <c r="W406" s="3">
        <f t="shared" si="227"/>
        <v>644</v>
      </c>
      <c r="Y406" s="3">
        <v>2700</v>
      </c>
      <c r="Z406" s="3">
        <f t="shared" si="228"/>
        <v>0</v>
      </c>
      <c r="AC406" s="3">
        <v>3332</v>
      </c>
      <c r="AD406" s="3">
        <f t="shared" si="231"/>
        <v>668</v>
      </c>
      <c r="AE406" s="3">
        <v>4000</v>
      </c>
      <c r="AF406" s="3">
        <f t="shared" si="229"/>
        <v>1300</v>
      </c>
      <c r="AI406" s="3">
        <f>AE406*1.07+20</f>
        <v>4300</v>
      </c>
      <c r="AK406" s="3">
        <f t="shared" si="237"/>
        <v>4429</v>
      </c>
      <c r="AM406" s="3">
        <f t="shared" si="238"/>
        <v>4561.87</v>
      </c>
      <c r="AO406" s="3">
        <f t="shared" si="239"/>
        <v>4698.7260999999999</v>
      </c>
      <c r="AQ406" s="3">
        <f t="shared" si="240"/>
        <v>4839.6878829999996</v>
      </c>
      <c r="AR406" s="3"/>
      <c r="AS406" s="3">
        <f t="shared" si="241"/>
        <v>4984.8785194900001</v>
      </c>
      <c r="AT406" s="3"/>
      <c r="AU406" s="3">
        <f t="shared" si="242"/>
        <v>5134.4248750747001</v>
      </c>
      <c r="AV406" s="3"/>
      <c r="AW406" s="3">
        <f t="shared" si="243"/>
        <v>5288.4576213269411</v>
      </c>
      <c r="AX406" s="3"/>
      <c r="AY406" s="3">
        <f t="shared" si="244"/>
        <v>5447.111349966749</v>
      </c>
      <c r="BA406" s="3">
        <f t="shared" si="245"/>
        <v>5610.5246904657515</v>
      </c>
      <c r="BC406" s="3">
        <f t="shared" si="245"/>
        <v>5778.840431179724</v>
      </c>
      <c r="BE406" s="3">
        <f t="shared" si="245"/>
        <v>5952.2056441151162</v>
      </c>
    </row>
    <row r="407" spans="1:1015 1029:2039 2053:3063 3077:4087 4101:5111 5125:6135 6149:7159 7173:8183 8197:9207 9221:10231 10245:11255 11269:12279 12293:13303 13317:14327 14341:15351 15365:16373" hidden="1" outlineLevel="1" x14ac:dyDescent="0.25">
      <c r="A407" s="3" t="s">
        <v>332</v>
      </c>
      <c r="B407" s="3">
        <v>8500</v>
      </c>
      <c r="D407" s="3">
        <v>973</v>
      </c>
      <c r="E407" s="3">
        <f t="shared" si="233"/>
        <v>7527</v>
      </c>
      <c r="F407" s="3">
        <v>8500</v>
      </c>
      <c r="H407" s="3">
        <f t="shared" si="234"/>
        <v>0</v>
      </c>
      <c r="J407" s="3">
        <f>1494+2442</f>
        <v>3936</v>
      </c>
      <c r="K407" s="4">
        <f t="shared" si="235"/>
        <v>4564</v>
      </c>
      <c r="L407" s="4">
        <v>8500</v>
      </c>
      <c r="N407" s="4">
        <f t="shared" si="236"/>
        <v>0</v>
      </c>
      <c r="P407" s="3">
        <v>2500</v>
      </c>
      <c r="R407" s="3">
        <v>1027</v>
      </c>
      <c r="S407" s="3">
        <f t="shared" si="225"/>
        <v>1473</v>
      </c>
      <c r="T407" s="3">
        <v>2500</v>
      </c>
      <c r="U407" s="3">
        <f t="shared" si="226"/>
        <v>0</v>
      </c>
      <c r="V407" s="3">
        <v>1417</v>
      </c>
      <c r="W407" s="3">
        <f t="shared" si="227"/>
        <v>1583</v>
      </c>
      <c r="Y407" s="3">
        <v>3000</v>
      </c>
      <c r="Z407" s="3">
        <f t="shared" si="228"/>
        <v>500</v>
      </c>
      <c r="AC407" s="3">
        <v>3151</v>
      </c>
      <c r="AD407" s="3">
        <f t="shared" si="231"/>
        <v>849</v>
      </c>
      <c r="AE407" s="3">
        <v>4000</v>
      </c>
      <c r="AF407" s="3">
        <f t="shared" si="229"/>
        <v>1000</v>
      </c>
      <c r="AI407" s="3">
        <f>AE407*1.03+130</f>
        <v>4250</v>
      </c>
      <c r="AK407" s="3">
        <f t="shared" si="237"/>
        <v>4377.5</v>
      </c>
      <c r="AM407" s="3">
        <f t="shared" si="238"/>
        <v>4508.8249999999998</v>
      </c>
      <c r="AO407" s="3">
        <f t="shared" si="239"/>
        <v>4644.0897500000001</v>
      </c>
      <c r="AQ407" s="3">
        <f t="shared" si="240"/>
        <v>4783.4124425</v>
      </c>
      <c r="AR407" s="3"/>
      <c r="AS407" s="3">
        <f t="shared" si="241"/>
        <v>4926.9148157750005</v>
      </c>
      <c r="AT407" s="3"/>
      <c r="AU407" s="3">
        <f t="shared" si="242"/>
        <v>5074.7222602482507</v>
      </c>
      <c r="AV407" s="3"/>
      <c r="AW407" s="3">
        <f t="shared" si="243"/>
        <v>5226.9639280556985</v>
      </c>
      <c r="AX407" s="3"/>
      <c r="AY407" s="3">
        <f t="shared" si="244"/>
        <v>5383.7728458973697</v>
      </c>
      <c r="BA407" s="3">
        <f t="shared" si="245"/>
        <v>5545.2860312742914</v>
      </c>
      <c r="BC407" s="3">
        <f t="shared" si="245"/>
        <v>5711.6446122125199</v>
      </c>
      <c r="BE407" s="3">
        <f t="shared" si="245"/>
        <v>5882.9939505788952</v>
      </c>
    </row>
    <row r="408" spans="1:1015 1029:2039 2053:3063 3077:4087 4101:5111 5125:6135 6149:7159 7173:8183 8197:9207 9221:10231 10245:11255 11269:12279 12293:13303 13317:14327 14341:15351 15365:16373" hidden="1" outlineLevel="1" x14ac:dyDescent="0.25">
      <c r="A408" s="267" t="s">
        <v>333</v>
      </c>
      <c r="B408" s="3">
        <v>39000</v>
      </c>
      <c r="D408" s="3">
        <v>0</v>
      </c>
      <c r="E408" s="3">
        <f t="shared" si="233"/>
        <v>39000</v>
      </c>
      <c r="F408" s="3">
        <v>39000</v>
      </c>
      <c r="H408" s="3">
        <f t="shared" si="234"/>
        <v>0</v>
      </c>
      <c r="J408" s="3">
        <v>0</v>
      </c>
      <c r="K408" s="4">
        <f t="shared" si="235"/>
        <v>39000</v>
      </c>
      <c r="L408" s="4">
        <v>39000</v>
      </c>
      <c r="N408" s="4">
        <f t="shared" si="236"/>
        <v>0</v>
      </c>
      <c r="P408" s="3">
        <v>39000</v>
      </c>
      <c r="R408" s="3">
        <v>0</v>
      </c>
      <c r="S408" s="3">
        <f t="shared" si="225"/>
        <v>39000</v>
      </c>
      <c r="T408" s="3">
        <v>39000</v>
      </c>
      <c r="U408" s="3">
        <f t="shared" si="226"/>
        <v>0</v>
      </c>
      <c r="V408" s="3">
        <v>0</v>
      </c>
      <c r="W408" s="3">
        <f t="shared" si="227"/>
        <v>39000</v>
      </c>
      <c r="Y408" s="3">
        <v>39000</v>
      </c>
      <c r="Z408" s="3">
        <f t="shared" si="228"/>
        <v>0</v>
      </c>
      <c r="AC408" s="3">
        <v>0</v>
      </c>
      <c r="AD408" s="3">
        <f t="shared" si="231"/>
        <v>39000</v>
      </c>
      <c r="AE408" s="3">
        <v>39000</v>
      </c>
      <c r="AF408" s="3">
        <f t="shared" si="229"/>
        <v>0</v>
      </c>
      <c r="AI408" s="3">
        <v>39000</v>
      </c>
      <c r="AK408" s="3">
        <v>39000</v>
      </c>
      <c r="AL408" s="3">
        <f>AJ408*1.0281</f>
        <v>0</v>
      </c>
      <c r="AM408" s="3">
        <v>39000</v>
      </c>
      <c r="AN408" s="3">
        <f>AL408*1.0281</f>
        <v>0</v>
      </c>
      <c r="AO408" s="3">
        <v>39000</v>
      </c>
      <c r="AQ408" s="3">
        <v>39000</v>
      </c>
      <c r="AR408" s="3"/>
      <c r="AS408" s="3">
        <v>39000</v>
      </c>
      <c r="AT408" s="3"/>
      <c r="AU408" s="3">
        <v>39000</v>
      </c>
      <c r="AV408" s="3"/>
      <c r="AW408" s="3">
        <v>39000</v>
      </c>
      <c r="AX408" s="3"/>
      <c r="AY408" s="3">
        <v>39000</v>
      </c>
      <c r="BA408" s="3">
        <v>39000</v>
      </c>
      <c r="BC408" s="3">
        <v>39000</v>
      </c>
      <c r="BE408" s="3">
        <v>39000</v>
      </c>
      <c r="BI408" s="268"/>
      <c r="BJ408" s="268"/>
      <c r="BK408" s="268"/>
      <c r="BL408" s="268"/>
      <c r="BM408" s="268"/>
      <c r="BN408" s="268"/>
      <c r="BO408" s="268"/>
      <c r="BP408" s="268"/>
      <c r="BQ408" s="268"/>
      <c r="BR408" s="268"/>
      <c r="BS408" s="268"/>
      <c r="BT408" s="268"/>
      <c r="BU408" s="268"/>
      <c r="BV408" s="268"/>
      <c r="BW408" s="268"/>
      <c r="BX408" s="268"/>
      <c r="BY408" s="268"/>
      <c r="BZ408" s="268"/>
      <c r="CA408" s="268"/>
      <c r="CB408" s="268"/>
      <c r="CC408" s="268"/>
      <c r="CD408" s="268"/>
      <c r="CE408" s="268"/>
      <c r="CF408" s="268"/>
      <c r="CG408" s="268"/>
      <c r="CH408" s="268"/>
      <c r="CI408" s="268"/>
      <c r="CJ408" s="268"/>
      <c r="CK408" s="268"/>
      <c r="CL408" s="268"/>
      <c r="CM408" s="268"/>
      <c r="CN408" s="268"/>
      <c r="CO408" s="268"/>
      <c r="CP408" s="268"/>
      <c r="CQ408" s="268"/>
      <c r="CR408" s="268"/>
      <c r="CS408" s="268"/>
      <c r="CT408" s="268"/>
      <c r="CU408" s="268"/>
      <c r="CV408" s="268"/>
      <c r="CW408" s="268"/>
      <c r="CX408" s="268"/>
      <c r="CY408" s="268"/>
      <c r="CZ408" s="268"/>
      <c r="DA408" s="268"/>
      <c r="DB408" s="268"/>
      <c r="DC408" s="268"/>
      <c r="DD408" s="268"/>
      <c r="DE408" s="268"/>
      <c r="DF408" s="268"/>
      <c r="DG408" s="268"/>
      <c r="DH408" s="268"/>
      <c r="DI408" s="268"/>
      <c r="DJ408" s="268"/>
      <c r="DK408" s="268"/>
      <c r="DL408" s="268"/>
      <c r="DM408" s="268"/>
      <c r="DN408" s="268"/>
      <c r="DO408" s="268"/>
      <c r="DP408" s="268"/>
      <c r="DQ408" s="268"/>
      <c r="DR408" s="268"/>
      <c r="DS408" s="268"/>
      <c r="DT408" s="268"/>
      <c r="DU408" s="268"/>
      <c r="DV408" s="268"/>
      <c r="DW408" s="268"/>
      <c r="DX408" s="268"/>
      <c r="DY408" s="268"/>
      <c r="DZ408" s="268"/>
      <c r="EA408" s="268"/>
      <c r="EB408" s="268"/>
      <c r="EC408" s="268"/>
      <c r="ED408" s="268"/>
      <c r="EE408" s="268"/>
      <c r="EF408" s="268"/>
      <c r="EG408" s="268"/>
      <c r="EH408" s="268"/>
      <c r="EI408" s="268"/>
      <c r="EJ408" s="268"/>
      <c r="EK408" s="268"/>
      <c r="EL408" s="268"/>
      <c r="EM408" s="268"/>
      <c r="EN408" s="268"/>
      <c r="EO408" s="268"/>
      <c r="EP408" s="268"/>
      <c r="EQ408" s="268"/>
      <c r="ER408" s="268"/>
      <c r="ES408" s="268"/>
      <c r="ET408" s="268"/>
      <c r="EU408" s="268"/>
      <c r="EV408" s="268"/>
      <c r="EW408" s="268"/>
      <c r="EX408" s="268"/>
      <c r="EY408" s="268"/>
      <c r="EZ408" s="268"/>
      <c r="FA408" s="268"/>
      <c r="FB408" s="268"/>
      <c r="FC408" s="268"/>
      <c r="FD408" s="268"/>
      <c r="FE408" s="268"/>
      <c r="FF408" s="268"/>
      <c r="FG408" s="268"/>
      <c r="FH408" s="268"/>
      <c r="FI408" s="268"/>
      <c r="FJ408" s="268"/>
      <c r="FK408" s="268"/>
      <c r="FL408" s="268"/>
      <c r="FM408" s="268"/>
      <c r="FN408" s="268"/>
      <c r="FO408" s="268"/>
      <c r="FP408" s="268"/>
      <c r="FQ408" s="268"/>
      <c r="FR408" s="268"/>
      <c r="FS408" s="268"/>
      <c r="FT408" s="268"/>
      <c r="FU408" s="268"/>
      <c r="FV408" s="268"/>
      <c r="FW408" s="268"/>
      <c r="FX408" s="268"/>
      <c r="FY408" s="268"/>
      <c r="FZ408" s="268"/>
      <c r="GA408" s="268"/>
      <c r="GB408" s="268"/>
      <c r="GC408" s="268"/>
      <c r="GD408" s="268"/>
      <c r="GE408" s="268"/>
      <c r="GF408" s="268"/>
      <c r="GG408" s="268"/>
      <c r="GH408" s="268"/>
      <c r="GI408" s="268"/>
      <c r="GJ408" s="268"/>
      <c r="GK408" s="268"/>
      <c r="GL408" s="268"/>
      <c r="GM408" s="268"/>
      <c r="GN408" s="268"/>
      <c r="GO408" s="268"/>
      <c r="GP408" s="268"/>
      <c r="GQ408" s="268"/>
      <c r="GR408" s="268"/>
      <c r="GS408" s="268"/>
      <c r="GT408" s="268"/>
      <c r="GU408" s="268"/>
      <c r="GV408" s="268"/>
      <c r="GW408" s="268"/>
      <c r="GX408" s="268"/>
      <c r="GY408" s="268"/>
      <c r="GZ408" s="268"/>
      <c r="HA408" s="268"/>
      <c r="HB408" s="268"/>
      <c r="HC408" s="268"/>
      <c r="HD408" s="268"/>
      <c r="HE408" s="268"/>
      <c r="HF408" s="268"/>
      <c r="HG408" s="268"/>
      <c r="HH408" s="268"/>
      <c r="HI408" s="268"/>
      <c r="HJ408" s="268"/>
      <c r="HK408" s="268"/>
      <c r="HL408" s="268"/>
      <c r="HM408" s="268"/>
      <c r="HN408" s="268"/>
      <c r="HO408" s="268"/>
      <c r="HP408" s="268"/>
      <c r="HQ408" s="268"/>
      <c r="HR408" s="268"/>
      <c r="HS408" s="268"/>
      <c r="HT408" s="268"/>
      <c r="HU408" s="268"/>
      <c r="HV408" s="268"/>
      <c r="HW408" s="268"/>
      <c r="HX408" s="268"/>
      <c r="HY408" s="268"/>
      <c r="HZ408" s="268"/>
      <c r="IA408" s="268"/>
      <c r="IB408" s="268"/>
      <c r="IC408" s="268"/>
      <c r="ID408" s="268"/>
      <c r="IE408" s="268"/>
      <c r="IF408" s="268"/>
      <c r="IG408" s="268"/>
      <c r="IH408" s="268"/>
      <c r="II408" s="268"/>
      <c r="IJ408" s="268"/>
      <c r="IK408" s="268"/>
      <c r="IL408" s="268"/>
      <c r="IM408" s="268"/>
      <c r="JA408" s="268"/>
      <c r="JB408" s="268"/>
      <c r="JC408" s="268"/>
      <c r="JQ408" s="268"/>
      <c r="JS408" s="268"/>
      <c r="JT408" s="268"/>
      <c r="JU408" s="268"/>
      <c r="JV408" s="268"/>
      <c r="JW408" s="268"/>
      <c r="JX408" s="268"/>
      <c r="JY408" s="268"/>
      <c r="JZ408" s="268"/>
      <c r="KA408" s="268"/>
      <c r="KB408" s="268"/>
      <c r="KC408" s="268"/>
      <c r="KD408" s="268"/>
      <c r="KE408" s="268"/>
      <c r="KF408" s="268"/>
      <c r="KG408" s="268"/>
      <c r="KH408" s="268"/>
      <c r="KI408" s="268"/>
      <c r="KJ408" s="268"/>
      <c r="KK408" s="268"/>
      <c r="KL408" s="268"/>
      <c r="KM408" s="268"/>
      <c r="KN408" s="268"/>
      <c r="KO408" s="268"/>
      <c r="KP408" s="268"/>
      <c r="KQ408" s="268"/>
      <c r="KR408" s="268"/>
      <c r="KS408" s="268"/>
      <c r="KT408" s="268"/>
      <c r="KU408" s="268"/>
      <c r="KV408" s="268"/>
      <c r="KW408" s="268"/>
      <c r="KX408" s="268"/>
      <c r="KY408" s="268"/>
      <c r="KZ408" s="268"/>
      <c r="LA408" s="268"/>
      <c r="LB408" s="268"/>
      <c r="LC408" s="268"/>
      <c r="LD408" s="268"/>
      <c r="LE408" s="268"/>
      <c r="LF408" s="268"/>
      <c r="LG408" s="268"/>
      <c r="LH408" s="268"/>
      <c r="LI408" s="268"/>
      <c r="LJ408" s="268"/>
      <c r="LK408" s="268"/>
      <c r="LL408" s="268"/>
      <c r="LM408" s="268"/>
      <c r="LN408" s="268"/>
      <c r="LO408" s="268"/>
      <c r="LP408" s="268"/>
      <c r="LQ408" s="268"/>
      <c r="LR408" s="268"/>
      <c r="LS408" s="268"/>
      <c r="LT408" s="268"/>
      <c r="LU408" s="268"/>
      <c r="LV408" s="268"/>
      <c r="LW408" s="268"/>
      <c r="LX408" s="268"/>
      <c r="LY408" s="268"/>
      <c r="LZ408" s="268"/>
      <c r="MA408" s="268"/>
      <c r="MB408" s="268"/>
      <c r="MC408" s="268"/>
      <c r="MD408" s="268"/>
      <c r="ME408" s="268"/>
      <c r="MF408" s="268"/>
      <c r="MG408" s="268"/>
      <c r="MH408" s="268"/>
      <c r="MI408" s="268"/>
      <c r="MJ408" s="268"/>
      <c r="MK408" s="268"/>
      <c r="ML408" s="268"/>
      <c r="MM408" s="268"/>
      <c r="MN408" s="268"/>
      <c r="MO408" s="268"/>
      <c r="MP408" s="268"/>
      <c r="MQ408" s="268"/>
      <c r="MR408" s="268"/>
      <c r="MS408" s="268"/>
      <c r="MT408" s="268"/>
      <c r="MU408" s="268"/>
      <c r="MV408" s="268"/>
      <c r="MW408" s="268"/>
      <c r="MX408" s="268"/>
      <c r="MY408" s="268"/>
      <c r="MZ408" s="268"/>
      <c r="NA408" s="268"/>
      <c r="NB408" s="268"/>
      <c r="NC408" s="268"/>
      <c r="ND408" s="268"/>
      <c r="NE408" s="268"/>
      <c r="NF408" s="268"/>
      <c r="NG408" s="268"/>
      <c r="NH408" s="268"/>
      <c r="NI408" s="268"/>
      <c r="NJ408" s="268"/>
      <c r="NK408" s="268"/>
      <c r="NL408" s="268"/>
      <c r="NM408" s="268"/>
      <c r="NN408" s="268"/>
      <c r="NO408" s="268"/>
      <c r="NP408" s="268"/>
      <c r="NQ408" s="268"/>
      <c r="NR408" s="268"/>
      <c r="NS408" s="268"/>
      <c r="NT408" s="268"/>
      <c r="NU408" s="268"/>
      <c r="NV408" s="268"/>
      <c r="NW408" s="268"/>
      <c r="NX408" s="268"/>
      <c r="NY408" s="268"/>
      <c r="NZ408" s="268"/>
      <c r="OA408" s="268"/>
      <c r="OB408" s="268"/>
      <c r="OC408" s="268"/>
      <c r="OD408" s="268"/>
      <c r="OE408" s="268"/>
      <c r="OF408" s="268"/>
      <c r="OG408" s="268"/>
      <c r="OH408" s="268"/>
      <c r="OI408" s="268"/>
      <c r="OJ408" s="268"/>
      <c r="OK408" s="268"/>
      <c r="OL408" s="268"/>
      <c r="OM408" s="268"/>
      <c r="ON408" s="268"/>
      <c r="OO408" s="268"/>
      <c r="OP408" s="268"/>
      <c r="OQ408" s="268"/>
      <c r="OR408" s="268"/>
      <c r="OS408" s="268"/>
      <c r="OT408" s="268"/>
      <c r="OU408" s="268"/>
      <c r="OV408" s="268"/>
      <c r="OW408" s="268"/>
      <c r="OX408" s="268"/>
      <c r="OY408" s="268"/>
      <c r="OZ408" s="268"/>
      <c r="PA408" s="268"/>
      <c r="PB408" s="268"/>
      <c r="PC408" s="268"/>
      <c r="PD408" s="268"/>
      <c r="PE408" s="268"/>
      <c r="PF408" s="268"/>
      <c r="PG408" s="268"/>
      <c r="PH408" s="268"/>
      <c r="PI408" s="268"/>
      <c r="PJ408" s="268"/>
      <c r="PK408" s="268"/>
      <c r="PL408" s="268"/>
      <c r="PM408" s="268"/>
      <c r="PN408" s="268"/>
      <c r="PO408" s="268"/>
      <c r="PP408" s="268"/>
      <c r="PQ408" s="268"/>
      <c r="PR408" s="268"/>
      <c r="PS408" s="268"/>
      <c r="PT408" s="268"/>
      <c r="PU408" s="268"/>
      <c r="PV408" s="268"/>
      <c r="PW408" s="268"/>
      <c r="PX408" s="268"/>
      <c r="PY408" s="268"/>
      <c r="PZ408" s="268"/>
      <c r="QA408" s="268"/>
      <c r="QB408" s="268"/>
      <c r="QC408" s="268"/>
      <c r="QD408" s="268"/>
      <c r="QE408" s="268"/>
      <c r="QF408" s="268"/>
      <c r="QG408" s="268"/>
      <c r="QH408" s="268"/>
      <c r="QI408" s="268"/>
      <c r="QJ408" s="268"/>
      <c r="QK408" s="268"/>
      <c r="QL408" s="268"/>
      <c r="QM408" s="268"/>
      <c r="QN408" s="268"/>
      <c r="QO408" s="268"/>
      <c r="QP408" s="268"/>
      <c r="QQ408" s="268"/>
      <c r="QR408" s="268"/>
      <c r="QS408" s="268"/>
      <c r="QT408" s="268"/>
      <c r="QU408" s="268"/>
      <c r="QV408" s="268"/>
      <c r="QW408" s="268"/>
      <c r="QX408" s="268"/>
      <c r="QY408" s="268"/>
      <c r="QZ408" s="268"/>
      <c r="RA408" s="268"/>
      <c r="RB408" s="268"/>
      <c r="RC408" s="268"/>
      <c r="RD408" s="268"/>
      <c r="RE408" s="268"/>
      <c r="RF408" s="268"/>
      <c r="RG408" s="268"/>
      <c r="RH408" s="268"/>
      <c r="RI408" s="268"/>
      <c r="RJ408" s="268"/>
      <c r="RK408" s="268"/>
      <c r="RL408" s="268"/>
      <c r="RM408" s="268"/>
      <c r="RN408" s="268"/>
      <c r="RO408" s="268"/>
      <c r="RP408" s="268"/>
      <c r="RQ408" s="268"/>
      <c r="RR408" s="268"/>
      <c r="RS408" s="268"/>
      <c r="RT408" s="268"/>
      <c r="RU408" s="268"/>
      <c r="RV408" s="268"/>
      <c r="RW408" s="268"/>
      <c r="RX408" s="268"/>
      <c r="RY408" s="268"/>
      <c r="RZ408" s="268"/>
      <c r="SA408" s="268"/>
      <c r="SB408" s="268"/>
      <c r="SC408" s="268"/>
      <c r="SD408" s="268"/>
      <c r="SE408" s="268"/>
      <c r="SF408" s="268"/>
      <c r="SG408" s="268"/>
      <c r="SH408" s="268"/>
      <c r="SI408" s="268"/>
      <c r="SW408" s="268"/>
      <c r="SX408" s="268"/>
      <c r="SY408" s="268"/>
      <c r="TM408" s="268"/>
      <c r="TO408" s="268"/>
      <c r="TP408" s="268"/>
      <c r="TQ408" s="268"/>
      <c r="TR408" s="268"/>
      <c r="TS408" s="268"/>
      <c r="TT408" s="268"/>
      <c r="TU408" s="268"/>
      <c r="TV408" s="268"/>
      <c r="TW408" s="268"/>
      <c r="TX408" s="268"/>
      <c r="TY408" s="268"/>
      <c r="TZ408" s="268"/>
      <c r="UA408" s="268"/>
      <c r="UB408" s="268"/>
      <c r="UC408" s="268"/>
      <c r="UD408" s="268"/>
      <c r="UE408" s="268"/>
      <c r="UF408" s="268"/>
      <c r="UG408" s="268"/>
      <c r="UH408" s="268"/>
      <c r="UI408" s="268"/>
      <c r="UJ408" s="268"/>
      <c r="UK408" s="268"/>
      <c r="UL408" s="268"/>
      <c r="UM408" s="268"/>
      <c r="UN408" s="268"/>
      <c r="UO408" s="268"/>
      <c r="UP408" s="268"/>
      <c r="UQ408" s="268"/>
      <c r="UR408" s="268"/>
      <c r="US408" s="268"/>
      <c r="UT408" s="268"/>
      <c r="UU408" s="268"/>
      <c r="UV408" s="268"/>
      <c r="UW408" s="268"/>
      <c r="UX408" s="268"/>
      <c r="UY408" s="268"/>
      <c r="UZ408" s="268"/>
      <c r="VA408" s="268"/>
      <c r="VB408" s="268"/>
      <c r="VC408" s="268"/>
      <c r="VD408" s="268"/>
      <c r="VE408" s="268"/>
      <c r="VF408" s="268"/>
      <c r="VG408" s="268"/>
      <c r="VH408" s="268"/>
      <c r="VI408" s="268"/>
      <c r="VJ408" s="268"/>
      <c r="VK408" s="268"/>
      <c r="VL408" s="268"/>
      <c r="VM408" s="268"/>
      <c r="VN408" s="268"/>
      <c r="VO408" s="268"/>
      <c r="VP408" s="268"/>
      <c r="VQ408" s="268"/>
      <c r="VR408" s="268"/>
      <c r="VS408" s="268"/>
      <c r="VT408" s="268"/>
      <c r="VU408" s="268"/>
      <c r="VV408" s="268"/>
      <c r="VW408" s="268"/>
      <c r="VX408" s="268"/>
      <c r="VY408" s="268"/>
      <c r="VZ408" s="268"/>
      <c r="WA408" s="268"/>
      <c r="WB408" s="268"/>
      <c r="WC408" s="268"/>
      <c r="WD408" s="268"/>
      <c r="WE408" s="268"/>
      <c r="WF408" s="268"/>
      <c r="WG408" s="268"/>
      <c r="WH408" s="268"/>
      <c r="WI408" s="268"/>
      <c r="WJ408" s="268"/>
      <c r="WK408" s="268"/>
      <c r="WL408" s="268"/>
      <c r="WM408" s="268"/>
      <c r="WN408" s="268"/>
      <c r="WO408" s="268"/>
      <c r="WP408" s="268"/>
      <c r="WQ408" s="268"/>
      <c r="WR408" s="268"/>
      <c r="WS408" s="268"/>
      <c r="WT408" s="268"/>
      <c r="WU408" s="268"/>
      <c r="WV408" s="268"/>
      <c r="WW408" s="268"/>
      <c r="WX408" s="268"/>
      <c r="WY408" s="268"/>
      <c r="WZ408" s="268"/>
      <c r="XA408" s="268"/>
      <c r="XB408" s="268"/>
      <c r="XC408" s="268"/>
      <c r="XD408" s="268"/>
      <c r="XE408" s="268"/>
      <c r="XF408" s="268"/>
      <c r="XG408" s="268"/>
      <c r="XH408" s="268"/>
      <c r="XI408" s="268"/>
      <c r="XJ408" s="268"/>
      <c r="XK408" s="268"/>
      <c r="XL408" s="268"/>
      <c r="XM408" s="268"/>
      <c r="XN408" s="268"/>
      <c r="XO408" s="268"/>
      <c r="XP408" s="268"/>
      <c r="XQ408" s="268"/>
      <c r="XR408" s="268"/>
      <c r="XS408" s="268"/>
      <c r="XT408" s="268"/>
      <c r="XU408" s="268"/>
      <c r="XV408" s="268"/>
      <c r="XW408" s="268"/>
      <c r="XX408" s="268"/>
      <c r="XY408" s="268"/>
      <c r="XZ408" s="268"/>
      <c r="YA408" s="268"/>
      <c r="YB408" s="268"/>
      <c r="YC408" s="268"/>
      <c r="YD408" s="268"/>
      <c r="YE408" s="268"/>
      <c r="YF408" s="268"/>
      <c r="YG408" s="268"/>
      <c r="YH408" s="268"/>
      <c r="YI408" s="268"/>
      <c r="YJ408" s="268"/>
      <c r="YK408" s="268"/>
      <c r="YL408" s="268"/>
      <c r="YM408" s="268"/>
      <c r="YN408" s="268"/>
      <c r="YO408" s="268"/>
      <c r="YP408" s="268"/>
      <c r="YQ408" s="268"/>
      <c r="YR408" s="268"/>
      <c r="YS408" s="268"/>
      <c r="YT408" s="268"/>
      <c r="YU408" s="268"/>
      <c r="YV408" s="268"/>
      <c r="YW408" s="268"/>
      <c r="YX408" s="268"/>
      <c r="YY408" s="268"/>
      <c r="YZ408" s="268"/>
      <c r="ZA408" s="268"/>
      <c r="ZB408" s="268"/>
      <c r="ZC408" s="268"/>
      <c r="ZD408" s="268"/>
      <c r="ZE408" s="268"/>
      <c r="ZF408" s="268"/>
      <c r="ZG408" s="268"/>
      <c r="ZH408" s="268"/>
      <c r="ZI408" s="268"/>
      <c r="ZJ408" s="268"/>
      <c r="ZK408" s="268"/>
      <c r="ZL408" s="268"/>
      <c r="ZM408" s="268"/>
      <c r="ZN408" s="268"/>
      <c r="ZO408" s="268"/>
      <c r="ZP408" s="268"/>
      <c r="ZQ408" s="268"/>
      <c r="ZR408" s="268"/>
      <c r="ZS408" s="268"/>
      <c r="ZT408" s="268"/>
      <c r="ZU408" s="268"/>
      <c r="ZV408" s="268"/>
      <c r="ZW408" s="268"/>
      <c r="ZX408" s="268"/>
      <c r="ZY408" s="268"/>
      <c r="ZZ408" s="268"/>
      <c r="AAA408" s="268"/>
      <c r="AAB408" s="268"/>
      <c r="AAC408" s="268"/>
      <c r="AAD408" s="268"/>
      <c r="AAE408" s="268"/>
      <c r="AAF408" s="268"/>
      <c r="AAG408" s="268"/>
      <c r="AAH408" s="268"/>
      <c r="AAI408" s="268"/>
      <c r="AAJ408" s="268"/>
      <c r="AAK408" s="268"/>
      <c r="AAL408" s="268"/>
      <c r="AAM408" s="268"/>
      <c r="AAN408" s="268"/>
      <c r="AAO408" s="268"/>
      <c r="AAP408" s="268"/>
      <c r="AAQ408" s="268"/>
      <c r="AAR408" s="268"/>
      <c r="AAS408" s="268"/>
      <c r="AAT408" s="268"/>
      <c r="AAU408" s="268"/>
      <c r="AAV408" s="268"/>
      <c r="AAW408" s="268"/>
      <c r="AAX408" s="268"/>
      <c r="AAY408" s="268"/>
      <c r="AAZ408" s="268"/>
      <c r="ABA408" s="268"/>
      <c r="ABB408" s="268"/>
      <c r="ABC408" s="268"/>
      <c r="ABD408" s="268"/>
      <c r="ABE408" s="268"/>
      <c r="ABF408" s="268"/>
      <c r="ABG408" s="268"/>
      <c r="ABH408" s="268"/>
      <c r="ABI408" s="268"/>
      <c r="ABJ408" s="268"/>
      <c r="ABK408" s="268"/>
      <c r="ABL408" s="268"/>
      <c r="ABM408" s="268"/>
      <c r="ABN408" s="268"/>
      <c r="ABO408" s="268"/>
      <c r="ABP408" s="268"/>
      <c r="ABQ408" s="268"/>
      <c r="ABR408" s="268"/>
      <c r="ABS408" s="268"/>
      <c r="ABT408" s="268"/>
      <c r="ABU408" s="268"/>
      <c r="ABV408" s="268"/>
      <c r="ABW408" s="268"/>
      <c r="ABX408" s="268"/>
      <c r="ABY408" s="268"/>
      <c r="ABZ408" s="268"/>
      <c r="ACA408" s="268"/>
      <c r="ACB408" s="268"/>
      <c r="ACC408" s="268"/>
      <c r="ACD408" s="268"/>
      <c r="ACE408" s="268"/>
      <c r="ACS408" s="268"/>
      <c r="ACT408" s="268"/>
      <c r="ACU408" s="268"/>
      <c r="ADI408" s="268"/>
      <c r="ADK408" s="268"/>
      <c r="ADL408" s="268"/>
      <c r="ADM408" s="268"/>
      <c r="ADN408" s="268"/>
      <c r="ADO408" s="268"/>
      <c r="ADP408" s="268"/>
      <c r="ADQ408" s="268"/>
      <c r="ADR408" s="268"/>
      <c r="ADS408" s="268"/>
      <c r="ADT408" s="268"/>
      <c r="ADU408" s="268"/>
      <c r="ADV408" s="268"/>
      <c r="ADW408" s="268"/>
      <c r="ADX408" s="268"/>
      <c r="ADY408" s="268"/>
      <c r="ADZ408" s="268"/>
      <c r="AEA408" s="268"/>
      <c r="AEB408" s="268"/>
      <c r="AEC408" s="268"/>
      <c r="AED408" s="268"/>
      <c r="AEE408" s="268"/>
      <c r="AEF408" s="268"/>
      <c r="AEG408" s="268"/>
      <c r="AEH408" s="268"/>
      <c r="AEI408" s="268"/>
      <c r="AEJ408" s="268"/>
      <c r="AEK408" s="268"/>
      <c r="AEL408" s="268"/>
      <c r="AEM408" s="268"/>
      <c r="AEN408" s="268"/>
      <c r="AEO408" s="268"/>
      <c r="AEP408" s="268"/>
      <c r="AEQ408" s="268"/>
      <c r="AER408" s="268"/>
      <c r="AES408" s="268"/>
      <c r="AET408" s="268"/>
      <c r="AEU408" s="268"/>
      <c r="AEV408" s="268"/>
      <c r="AEW408" s="268"/>
      <c r="AEX408" s="268"/>
      <c r="AEY408" s="268"/>
      <c r="AEZ408" s="268"/>
      <c r="AFA408" s="268"/>
      <c r="AFB408" s="268"/>
      <c r="AFC408" s="268"/>
      <c r="AFD408" s="268"/>
      <c r="AFE408" s="268"/>
      <c r="AFF408" s="268"/>
      <c r="AFG408" s="268"/>
      <c r="AFH408" s="268"/>
      <c r="AFI408" s="268"/>
      <c r="AFJ408" s="268"/>
      <c r="AFK408" s="268"/>
      <c r="AFL408" s="268"/>
      <c r="AFM408" s="268"/>
      <c r="AFN408" s="268"/>
      <c r="AFO408" s="268"/>
      <c r="AFP408" s="268"/>
      <c r="AFQ408" s="268"/>
      <c r="AFR408" s="268"/>
      <c r="AFS408" s="268"/>
      <c r="AFT408" s="268"/>
      <c r="AFU408" s="268"/>
      <c r="AFV408" s="268"/>
      <c r="AFW408" s="268"/>
      <c r="AFX408" s="268"/>
      <c r="AFY408" s="268"/>
      <c r="AFZ408" s="268"/>
      <c r="AGA408" s="268"/>
      <c r="AGB408" s="268"/>
      <c r="AGC408" s="268"/>
      <c r="AGD408" s="268"/>
      <c r="AGE408" s="268"/>
      <c r="AGF408" s="268"/>
      <c r="AGG408" s="268"/>
      <c r="AGH408" s="268"/>
      <c r="AGI408" s="268"/>
      <c r="AGJ408" s="268"/>
      <c r="AGK408" s="268"/>
      <c r="AGL408" s="268"/>
      <c r="AGM408" s="268"/>
      <c r="AGN408" s="268"/>
      <c r="AGO408" s="268"/>
      <c r="AGP408" s="268"/>
      <c r="AGQ408" s="268"/>
      <c r="AGR408" s="268"/>
      <c r="AGS408" s="268"/>
      <c r="AGT408" s="268"/>
      <c r="AGU408" s="268"/>
      <c r="AGV408" s="268"/>
      <c r="AGW408" s="268"/>
      <c r="AGX408" s="268"/>
      <c r="AGY408" s="268"/>
      <c r="AGZ408" s="268"/>
      <c r="AHA408" s="268"/>
      <c r="AHB408" s="268"/>
      <c r="AHC408" s="268"/>
      <c r="AHD408" s="268"/>
      <c r="AHE408" s="268"/>
      <c r="AHF408" s="268"/>
      <c r="AHG408" s="268"/>
      <c r="AHH408" s="268"/>
      <c r="AHI408" s="268"/>
      <c r="AHJ408" s="268"/>
      <c r="AHK408" s="268"/>
      <c r="AHL408" s="268"/>
      <c r="AHM408" s="268"/>
      <c r="AHN408" s="268"/>
      <c r="AHO408" s="268"/>
      <c r="AHP408" s="268"/>
      <c r="AHQ408" s="268"/>
      <c r="AHR408" s="268"/>
      <c r="AHS408" s="268"/>
      <c r="AHT408" s="268"/>
      <c r="AHU408" s="268"/>
      <c r="AHV408" s="268"/>
      <c r="AHW408" s="268"/>
      <c r="AHX408" s="268"/>
      <c r="AHY408" s="268"/>
      <c r="AHZ408" s="268"/>
      <c r="AIA408" s="268"/>
      <c r="AIB408" s="268"/>
      <c r="AIC408" s="268"/>
      <c r="AID408" s="268"/>
      <c r="AIE408" s="268"/>
      <c r="AIF408" s="268"/>
      <c r="AIG408" s="268"/>
      <c r="AIH408" s="268"/>
      <c r="AII408" s="268"/>
      <c r="AIJ408" s="268"/>
      <c r="AIK408" s="268"/>
      <c r="AIL408" s="268"/>
      <c r="AIM408" s="268"/>
      <c r="AIN408" s="268"/>
      <c r="AIO408" s="268"/>
      <c r="AIP408" s="268"/>
      <c r="AIQ408" s="268"/>
      <c r="AIR408" s="268"/>
      <c r="AIS408" s="268"/>
      <c r="AIT408" s="268"/>
      <c r="AIU408" s="268"/>
      <c r="AIV408" s="268"/>
      <c r="AIW408" s="268"/>
      <c r="AIX408" s="268"/>
      <c r="AIY408" s="268"/>
      <c r="AIZ408" s="268"/>
      <c r="AJA408" s="268"/>
      <c r="AJB408" s="268"/>
      <c r="AJC408" s="268"/>
      <c r="AJD408" s="268"/>
      <c r="AJE408" s="268"/>
      <c r="AJF408" s="268"/>
      <c r="AJG408" s="268"/>
      <c r="AJH408" s="268"/>
      <c r="AJI408" s="268"/>
      <c r="AJJ408" s="268"/>
      <c r="AJK408" s="268"/>
      <c r="AJL408" s="268"/>
      <c r="AJM408" s="268"/>
      <c r="AJN408" s="268"/>
      <c r="AJO408" s="268"/>
      <c r="AJP408" s="268"/>
      <c r="AJQ408" s="268"/>
      <c r="AJR408" s="268"/>
      <c r="AJS408" s="268"/>
      <c r="AJT408" s="268"/>
      <c r="AJU408" s="268"/>
      <c r="AJV408" s="268"/>
      <c r="AJW408" s="268"/>
      <c r="AJX408" s="268"/>
      <c r="AJY408" s="268"/>
      <c r="AJZ408" s="268"/>
      <c r="AKA408" s="268"/>
      <c r="AKB408" s="268"/>
      <c r="AKC408" s="268"/>
      <c r="AKD408" s="268"/>
      <c r="AKE408" s="268"/>
      <c r="AKF408" s="268"/>
      <c r="AKG408" s="268"/>
      <c r="AKH408" s="268"/>
      <c r="AKI408" s="268"/>
      <c r="AKJ408" s="268"/>
      <c r="AKK408" s="268"/>
      <c r="AKL408" s="268"/>
      <c r="AKM408" s="268"/>
      <c r="AKN408" s="268"/>
      <c r="AKO408" s="268"/>
      <c r="AKP408" s="268"/>
      <c r="AKQ408" s="268"/>
      <c r="AKR408" s="268"/>
      <c r="AKS408" s="268"/>
      <c r="AKT408" s="268"/>
      <c r="AKU408" s="268"/>
      <c r="AKV408" s="268"/>
      <c r="AKW408" s="268"/>
      <c r="AKX408" s="268"/>
      <c r="AKY408" s="268"/>
      <c r="AKZ408" s="268"/>
      <c r="ALA408" s="268"/>
      <c r="ALB408" s="268"/>
      <c r="ALC408" s="268"/>
      <c r="ALD408" s="268"/>
      <c r="ALE408" s="268"/>
      <c r="ALF408" s="268"/>
      <c r="ALG408" s="268"/>
      <c r="ALH408" s="268"/>
      <c r="ALI408" s="268"/>
      <c r="ALJ408" s="268"/>
      <c r="ALK408" s="268"/>
      <c r="ALL408" s="268"/>
      <c r="ALM408" s="268"/>
      <c r="ALN408" s="268"/>
      <c r="ALO408" s="268"/>
      <c r="ALP408" s="268"/>
      <c r="ALQ408" s="268"/>
      <c r="ALR408" s="268"/>
      <c r="ALS408" s="268"/>
      <c r="ALT408" s="268"/>
      <c r="ALU408" s="268"/>
      <c r="ALV408" s="268"/>
      <c r="ALW408" s="268"/>
      <c r="ALX408" s="268"/>
      <c r="ALY408" s="268"/>
      <c r="ALZ408" s="268"/>
      <c r="AMA408" s="268"/>
      <c r="AMO408" s="268"/>
      <c r="AMP408" s="268"/>
      <c r="AMQ408" s="268"/>
      <c r="ANE408" s="268"/>
      <c r="ANG408" s="268"/>
      <c r="ANH408" s="268"/>
      <c r="ANI408" s="268"/>
      <c r="ANJ408" s="268"/>
      <c r="ANK408" s="268"/>
      <c r="ANL408" s="268"/>
      <c r="ANM408" s="268"/>
      <c r="ANN408" s="268"/>
      <c r="ANO408" s="268"/>
      <c r="ANP408" s="268"/>
      <c r="ANQ408" s="268"/>
      <c r="ANR408" s="268"/>
      <c r="ANS408" s="268"/>
      <c r="ANT408" s="268"/>
      <c r="ANU408" s="268"/>
      <c r="ANV408" s="268"/>
      <c r="ANW408" s="268"/>
      <c r="ANX408" s="268"/>
      <c r="ANY408" s="268"/>
      <c r="ANZ408" s="268"/>
      <c r="AOA408" s="268"/>
      <c r="AOB408" s="268"/>
      <c r="AOC408" s="268"/>
      <c r="AOD408" s="268"/>
      <c r="AOE408" s="268"/>
      <c r="AOF408" s="268"/>
      <c r="AOG408" s="268"/>
      <c r="AOH408" s="268"/>
      <c r="AOI408" s="268"/>
      <c r="AOJ408" s="268"/>
      <c r="AOK408" s="268"/>
      <c r="AOL408" s="268"/>
      <c r="AOM408" s="268"/>
      <c r="AON408" s="268"/>
      <c r="AOO408" s="268"/>
      <c r="AOP408" s="268"/>
      <c r="AOQ408" s="268"/>
      <c r="AOR408" s="268"/>
      <c r="AOS408" s="268"/>
      <c r="AOT408" s="268"/>
      <c r="AOU408" s="268"/>
      <c r="AOV408" s="268"/>
      <c r="AOW408" s="268"/>
      <c r="AOX408" s="268"/>
      <c r="AOY408" s="268"/>
      <c r="AOZ408" s="268"/>
      <c r="APA408" s="268"/>
      <c r="APB408" s="268"/>
      <c r="APC408" s="268"/>
      <c r="APD408" s="268"/>
      <c r="APE408" s="268"/>
      <c r="APF408" s="268"/>
      <c r="APG408" s="268"/>
      <c r="APH408" s="268"/>
      <c r="API408" s="268"/>
      <c r="APJ408" s="268"/>
      <c r="APK408" s="268"/>
      <c r="APL408" s="268"/>
      <c r="APM408" s="268"/>
      <c r="APN408" s="268"/>
      <c r="APO408" s="268"/>
      <c r="APP408" s="268"/>
      <c r="APQ408" s="268"/>
      <c r="APR408" s="268"/>
      <c r="APS408" s="268"/>
      <c r="APT408" s="268"/>
      <c r="APU408" s="268"/>
      <c r="APV408" s="268"/>
      <c r="APW408" s="268"/>
      <c r="APX408" s="268"/>
      <c r="APY408" s="268"/>
      <c r="APZ408" s="268"/>
      <c r="AQA408" s="268"/>
      <c r="AQB408" s="268"/>
      <c r="AQC408" s="268"/>
      <c r="AQD408" s="268"/>
      <c r="AQE408" s="268"/>
      <c r="AQF408" s="268"/>
      <c r="AQG408" s="268"/>
      <c r="AQH408" s="268"/>
      <c r="AQI408" s="268"/>
      <c r="AQJ408" s="268"/>
      <c r="AQK408" s="268"/>
      <c r="AQL408" s="268"/>
      <c r="AQM408" s="268"/>
      <c r="AQN408" s="268"/>
      <c r="AQO408" s="268"/>
      <c r="AQP408" s="268"/>
      <c r="AQQ408" s="268"/>
      <c r="AQR408" s="268"/>
      <c r="AQS408" s="268"/>
      <c r="AQT408" s="268"/>
      <c r="AQU408" s="268"/>
      <c r="AQV408" s="268"/>
      <c r="AQW408" s="268"/>
      <c r="AQX408" s="268"/>
      <c r="AQY408" s="268"/>
      <c r="AQZ408" s="268"/>
      <c r="ARA408" s="268"/>
      <c r="ARB408" s="268"/>
      <c r="ARC408" s="268"/>
      <c r="ARD408" s="268"/>
      <c r="ARE408" s="268"/>
      <c r="ARF408" s="268"/>
      <c r="ARG408" s="268"/>
      <c r="ARH408" s="268"/>
      <c r="ARI408" s="268"/>
      <c r="ARJ408" s="268"/>
      <c r="ARK408" s="268"/>
      <c r="ARL408" s="268"/>
      <c r="ARM408" s="268"/>
      <c r="ARN408" s="268"/>
      <c r="ARO408" s="268"/>
      <c r="ARP408" s="268"/>
      <c r="ARQ408" s="268"/>
      <c r="ARR408" s="268"/>
      <c r="ARS408" s="268"/>
      <c r="ART408" s="268"/>
      <c r="ARU408" s="268"/>
      <c r="ARV408" s="268"/>
      <c r="ARW408" s="268"/>
      <c r="ARX408" s="268"/>
      <c r="ARY408" s="268"/>
      <c r="ARZ408" s="268"/>
      <c r="ASA408" s="268"/>
      <c r="ASB408" s="268"/>
      <c r="ASC408" s="268"/>
      <c r="ASD408" s="268"/>
      <c r="ASE408" s="268"/>
      <c r="ASF408" s="268"/>
      <c r="ASG408" s="268"/>
      <c r="ASH408" s="268"/>
      <c r="ASI408" s="268"/>
      <c r="ASJ408" s="268"/>
      <c r="ASK408" s="268"/>
      <c r="ASL408" s="268"/>
      <c r="ASM408" s="268"/>
      <c r="ASN408" s="268"/>
      <c r="ASO408" s="268"/>
      <c r="ASP408" s="268"/>
      <c r="ASQ408" s="268"/>
      <c r="ASR408" s="268"/>
      <c r="ASS408" s="268"/>
      <c r="AST408" s="268"/>
      <c r="ASU408" s="268"/>
      <c r="ASV408" s="268"/>
      <c r="ASW408" s="268"/>
      <c r="ASX408" s="268"/>
      <c r="ASY408" s="268"/>
      <c r="ASZ408" s="268"/>
      <c r="ATA408" s="268"/>
      <c r="ATB408" s="268"/>
      <c r="ATC408" s="268"/>
      <c r="ATD408" s="268"/>
      <c r="ATE408" s="268"/>
      <c r="ATF408" s="268"/>
      <c r="ATG408" s="268"/>
      <c r="ATH408" s="268"/>
      <c r="ATI408" s="268"/>
      <c r="ATJ408" s="268"/>
      <c r="ATK408" s="268"/>
      <c r="ATL408" s="268"/>
      <c r="ATM408" s="268"/>
      <c r="ATN408" s="268"/>
      <c r="ATO408" s="268"/>
      <c r="ATP408" s="268"/>
      <c r="ATQ408" s="268"/>
      <c r="ATR408" s="268"/>
      <c r="ATS408" s="268"/>
      <c r="ATT408" s="268"/>
      <c r="ATU408" s="268"/>
      <c r="ATV408" s="268"/>
      <c r="ATW408" s="268"/>
      <c r="ATX408" s="268"/>
      <c r="ATY408" s="268"/>
      <c r="ATZ408" s="268"/>
      <c r="AUA408" s="268"/>
      <c r="AUB408" s="268"/>
      <c r="AUC408" s="268"/>
      <c r="AUD408" s="268"/>
      <c r="AUE408" s="268"/>
      <c r="AUF408" s="268"/>
      <c r="AUG408" s="268"/>
      <c r="AUH408" s="268"/>
      <c r="AUI408" s="268"/>
      <c r="AUJ408" s="268"/>
      <c r="AUK408" s="268"/>
      <c r="AUL408" s="268"/>
      <c r="AUM408" s="268"/>
      <c r="AUN408" s="268"/>
      <c r="AUO408" s="268"/>
      <c r="AUP408" s="268"/>
      <c r="AUQ408" s="268"/>
      <c r="AUR408" s="268"/>
      <c r="AUS408" s="268"/>
      <c r="AUT408" s="268"/>
      <c r="AUU408" s="268"/>
      <c r="AUV408" s="268"/>
      <c r="AUW408" s="268"/>
      <c r="AUX408" s="268"/>
      <c r="AUY408" s="268"/>
      <c r="AUZ408" s="268"/>
      <c r="AVA408" s="268"/>
      <c r="AVB408" s="268"/>
      <c r="AVC408" s="268"/>
      <c r="AVD408" s="268"/>
      <c r="AVE408" s="268"/>
      <c r="AVF408" s="268"/>
      <c r="AVG408" s="268"/>
      <c r="AVH408" s="268"/>
      <c r="AVI408" s="268"/>
      <c r="AVJ408" s="268"/>
      <c r="AVK408" s="268"/>
      <c r="AVL408" s="268"/>
      <c r="AVM408" s="268"/>
      <c r="AVN408" s="268"/>
      <c r="AVO408" s="268"/>
      <c r="AVP408" s="268"/>
      <c r="AVQ408" s="268"/>
      <c r="AVR408" s="268"/>
      <c r="AVS408" s="268"/>
      <c r="AVT408" s="268"/>
      <c r="AVU408" s="268"/>
      <c r="AVV408" s="268"/>
      <c r="AVW408" s="268"/>
      <c r="AWK408" s="268"/>
      <c r="AWL408" s="268"/>
      <c r="AWM408" s="268"/>
      <c r="AXA408" s="268"/>
      <c r="AXC408" s="268"/>
      <c r="AXD408" s="268"/>
      <c r="AXE408" s="268"/>
      <c r="AXF408" s="268"/>
      <c r="AXG408" s="268"/>
      <c r="AXH408" s="268"/>
      <c r="AXI408" s="268"/>
      <c r="AXJ408" s="268"/>
      <c r="AXK408" s="268"/>
      <c r="AXL408" s="268"/>
      <c r="AXM408" s="268"/>
      <c r="AXN408" s="268"/>
      <c r="AXO408" s="268"/>
      <c r="AXP408" s="268"/>
      <c r="AXQ408" s="268"/>
      <c r="AXR408" s="268"/>
      <c r="AXS408" s="268"/>
      <c r="AXT408" s="268"/>
      <c r="AXU408" s="268"/>
      <c r="AXV408" s="268"/>
      <c r="AXW408" s="268"/>
      <c r="AXX408" s="268"/>
      <c r="AXY408" s="268"/>
      <c r="AXZ408" s="268"/>
      <c r="AYA408" s="268"/>
      <c r="AYB408" s="268"/>
      <c r="AYC408" s="268"/>
      <c r="AYD408" s="268"/>
      <c r="AYE408" s="268"/>
      <c r="AYF408" s="268"/>
      <c r="AYG408" s="268"/>
      <c r="AYH408" s="268"/>
      <c r="AYI408" s="268"/>
      <c r="AYJ408" s="268"/>
      <c r="AYK408" s="268"/>
      <c r="AYL408" s="268"/>
      <c r="AYM408" s="268"/>
      <c r="AYN408" s="268"/>
      <c r="AYO408" s="268"/>
      <c r="AYP408" s="268"/>
      <c r="AYQ408" s="268"/>
      <c r="AYR408" s="268"/>
      <c r="AYS408" s="268"/>
      <c r="AYT408" s="268"/>
      <c r="AYU408" s="268"/>
      <c r="AYV408" s="268"/>
      <c r="AYW408" s="268"/>
      <c r="AYX408" s="268"/>
      <c r="AYY408" s="268"/>
      <c r="AYZ408" s="268"/>
      <c r="AZA408" s="268"/>
      <c r="AZB408" s="268"/>
      <c r="AZC408" s="268"/>
      <c r="AZD408" s="268"/>
      <c r="AZE408" s="268"/>
      <c r="AZF408" s="268"/>
      <c r="AZG408" s="268"/>
      <c r="AZH408" s="268"/>
      <c r="AZI408" s="268"/>
      <c r="AZJ408" s="268"/>
      <c r="AZK408" s="268"/>
      <c r="AZL408" s="268"/>
      <c r="AZM408" s="268"/>
      <c r="AZN408" s="268"/>
      <c r="AZO408" s="268"/>
      <c r="AZP408" s="268"/>
      <c r="AZQ408" s="268"/>
      <c r="AZR408" s="268"/>
      <c r="AZS408" s="268"/>
      <c r="AZT408" s="268"/>
      <c r="AZU408" s="268"/>
      <c r="AZV408" s="268"/>
      <c r="AZW408" s="268"/>
      <c r="AZX408" s="268"/>
      <c r="AZY408" s="268"/>
      <c r="AZZ408" s="268"/>
      <c r="BAA408" s="268"/>
      <c r="BAB408" s="268"/>
      <c r="BAC408" s="268"/>
      <c r="BAD408" s="268"/>
      <c r="BAE408" s="268"/>
      <c r="BAF408" s="268"/>
      <c r="BAG408" s="268"/>
      <c r="BAH408" s="268"/>
      <c r="BAI408" s="268"/>
      <c r="BAJ408" s="268"/>
      <c r="BAK408" s="268"/>
      <c r="BAL408" s="268"/>
      <c r="BAM408" s="268"/>
      <c r="BAN408" s="268"/>
      <c r="BAO408" s="268"/>
      <c r="BAP408" s="268"/>
      <c r="BAQ408" s="268"/>
      <c r="BAR408" s="268"/>
      <c r="BAS408" s="268"/>
      <c r="BAT408" s="268"/>
      <c r="BAU408" s="268"/>
      <c r="BAV408" s="268"/>
      <c r="BAW408" s="268"/>
      <c r="BAX408" s="268"/>
      <c r="BAY408" s="268"/>
      <c r="BAZ408" s="268"/>
      <c r="BBA408" s="268"/>
      <c r="BBB408" s="268"/>
      <c r="BBC408" s="268"/>
      <c r="BBD408" s="268"/>
      <c r="BBE408" s="268"/>
      <c r="BBF408" s="268"/>
      <c r="BBG408" s="268"/>
      <c r="BBH408" s="268"/>
      <c r="BBI408" s="268"/>
      <c r="BBJ408" s="268"/>
      <c r="BBK408" s="268"/>
      <c r="BBL408" s="268"/>
      <c r="BBM408" s="268"/>
      <c r="BBN408" s="268"/>
      <c r="BBO408" s="268"/>
      <c r="BBP408" s="268"/>
      <c r="BBQ408" s="268"/>
      <c r="BBR408" s="268"/>
      <c r="BBS408" s="268"/>
      <c r="BBT408" s="268"/>
      <c r="BBU408" s="268"/>
      <c r="BBV408" s="268"/>
      <c r="BBW408" s="268"/>
      <c r="BBX408" s="268"/>
      <c r="BBY408" s="268"/>
      <c r="BBZ408" s="268"/>
      <c r="BCA408" s="268"/>
      <c r="BCB408" s="268"/>
      <c r="BCC408" s="268"/>
      <c r="BCD408" s="268"/>
      <c r="BCE408" s="268"/>
      <c r="BCF408" s="268"/>
      <c r="BCG408" s="268"/>
      <c r="BCH408" s="268"/>
      <c r="BCI408" s="268"/>
      <c r="BCJ408" s="268"/>
      <c r="BCK408" s="268"/>
      <c r="BCL408" s="268"/>
      <c r="BCM408" s="268"/>
      <c r="BCN408" s="268"/>
      <c r="BCO408" s="268"/>
      <c r="BCP408" s="268"/>
      <c r="BCQ408" s="268"/>
      <c r="BCR408" s="268"/>
      <c r="BCS408" s="268"/>
      <c r="BCT408" s="268"/>
      <c r="BCU408" s="268"/>
      <c r="BCV408" s="268"/>
      <c r="BCW408" s="268"/>
      <c r="BCX408" s="268"/>
      <c r="BCY408" s="268"/>
      <c r="BCZ408" s="268"/>
      <c r="BDA408" s="268"/>
      <c r="BDB408" s="268"/>
      <c r="BDC408" s="268"/>
      <c r="BDD408" s="268"/>
      <c r="BDE408" s="268"/>
      <c r="BDF408" s="268"/>
      <c r="BDG408" s="268"/>
      <c r="BDH408" s="268"/>
      <c r="BDI408" s="268"/>
      <c r="BDJ408" s="268"/>
      <c r="BDK408" s="268"/>
      <c r="BDL408" s="268"/>
      <c r="BDM408" s="268"/>
      <c r="BDN408" s="268"/>
      <c r="BDO408" s="268"/>
      <c r="BDP408" s="268"/>
      <c r="BDQ408" s="268"/>
      <c r="BDR408" s="268"/>
      <c r="BDS408" s="268"/>
      <c r="BDT408" s="268"/>
      <c r="BDU408" s="268"/>
      <c r="BDV408" s="268"/>
      <c r="BDW408" s="268"/>
      <c r="BDX408" s="268"/>
      <c r="BDY408" s="268"/>
      <c r="BDZ408" s="268"/>
      <c r="BEA408" s="268"/>
      <c r="BEB408" s="268"/>
      <c r="BEC408" s="268"/>
      <c r="BED408" s="268"/>
      <c r="BEE408" s="268"/>
      <c r="BEF408" s="268"/>
      <c r="BEG408" s="268"/>
      <c r="BEH408" s="268"/>
      <c r="BEI408" s="268"/>
      <c r="BEJ408" s="268"/>
      <c r="BEK408" s="268"/>
      <c r="BEL408" s="268"/>
      <c r="BEM408" s="268"/>
      <c r="BEN408" s="268"/>
      <c r="BEO408" s="268"/>
      <c r="BEP408" s="268"/>
      <c r="BEQ408" s="268"/>
      <c r="BER408" s="268"/>
      <c r="BES408" s="268"/>
      <c r="BET408" s="268"/>
      <c r="BEU408" s="268"/>
      <c r="BEV408" s="268"/>
      <c r="BEW408" s="268"/>
      <c r="BEX408" s="268"/>
      <c r="BEY408" s="268"/>
      <c r="BEZ408" s="268"/>
      <c r="BFA408" s="268"/>
      <c r="BFB408" s="268"/>
      <c r="BFC408" s="268"/>
      <c r="BFD408" s="268"/>
      <c r="BFE408" s="268"/>
      <c r="BFF408" s="268"/>
      <c r="BFG408" s="268"/>
      <c r="BFH408" s="268"/>
      <c r="BFI408" s="268"/>
      <c r="BFJ408" s="268"/>
      <c r="BFK408" s="268"/>
      <c r="BFL408" s="268"/>
      <c r="BFM408" s="268"/>
      <c r="BFN408" s="268"/>
      <c r="BFO408" s="268"/>
      <c r="BFP408" s="268"/>
      <c r="BFQ408" s="268"/>
      <c r="BFR408" s="268"/>
      <c r="BFS408" s="268"/>
      <c r="BGG408" s="268"/>
      <c r="BGH408" s="268"/>
      <c r="BGI408" s="268"/>
      <c r="BGW408" s="268"/>
      <c r="BGY408" s="268"/>
      <c r="BGZ408" s="268"/>
      <c r="BHA408" s="268"/>
      <c r="BHB408" s="268"/>
      <c r="BHC408" s="268"/>
      <c r="BHD408" s="268"/>
      <c r="BHE408" s="268"/>
      <c r="BHF408" s="268"/>
      <c r="BHG408" s="268"/>
      <c r="BHH408" s="268"/>
      <c r="BHI408" s="268"/>
      <c r="BHJ408" s="268"/>
      <c r="BHK408" s="268"/>
      <c r="BHL408" s="268"/>
      <c r="BHM408" s="268"/>
      <c r="BHN408" s="268"/>
      <c r="BHO408" s="268"/>
      <c r="BHP408" s="268"/>
      <c r="BHQ408" s="268"/>
      <c r="BHR408" s="268"/>
      <c r="BHS408" s="268"/>
      <c r="BHT408" s="268"/>
      <c r="BHU408" s="268"/>
      <c r="BHV408" s="268"/>
      <c r="BHW408" s="268"/>
      <c r="BHX408" s="268"/>
      <c r="BHY408" s="268"/>
      <c r="BHZ408" s="268"/>
      <c r="BIA408" s="268"/>
      <c r="BIB408" s="268"/>
      <c r="BIC408" s="268"/>
      <c r="BID408" s="268"/>
      <c r="BIE408" s="268"/>
      <c r="BIF408" s="268"/>
      <c r="BIG408" s="268"/>
      <c r="BIH408" s="268"/>
      <c r="BII408" s="268"/>
      <c r="BIJ408" s="268"/>
      <c r="BIK408" s="268"/>
      <c r="BIL408" s="268"/>
      <c r="BIM408" s="268"/>
      <c r="BIN408" s="268"/>
      <c r="BIO408" s="268"/>
      <c r="BIP408" s="268"/>
      <c r="BIQ408" s="268"/>
      <c r="BIR408" s="268"/>
      <c r="BIS408" s="268"/>
      <c r="BIT408" s="268"/>
      <c r="BIU408" s="268"/>
      <c r="BIV408" s="268"/>
      <c r="BIW408" s="268"/>
      <c r="BIX408" s="268"/>
      <c r="BIY408" s="268"/>
      <c r="BIZ408" s="268"/>
      <c r="BJA408" s="268"/>
      <c r="BJB408" s="268"/>
      <c r="BJC408" s="268"/>
      <c r="BJD408" s="268"/>
      <c r="BJE408" s="268"/>
      <c r="BJF408" s="268"/>
      <c r="BJG408" s="268"/>
      <c r="BJH408" s="268"/>
      <c r="BJI408" s="268"/>
      <c r="BJJ408" s="268"/>
      <c r="BJK408" s="268"/>
      <c r="BJL408" s="268"/>
      <c r="BJM408" s="268"/>
      <c r="BJN408" s="268"/>
      <c r="BJO408" s="268"/>
      <c r="BJP408" s="268"/>
      <c r="BJQ408" s="268"/>
      <c r="BJR408" s="268"/>
      <c r="BJS408" s="268"/>
      <c r="BJT408" s="268"/>
      <c r="BJU408" s="268"/>
      <c r="BJV408" s="268"/>
      <c r="BJW408" s="268"/>
      <c r="BJX408" s="268"/>
      <c r="BJY408" s="268"/>
      <c r="BJZ408" s="268"/>
      <c r="BKA408" s="268"/>
      <c r="BKB408" s="268"/>
      <c r="BKC408" s="268"/>
      <c r="BKD408" s="268"/>
      <c r="BKE408" s="268"/>
      <c r="BKF408" s="268"/>
      <c r="BKG408" s="268"/>
      <c r="BKH408" s="268"/>
      <c r="BKI408" s="268"/>
      <c r="BKJ408" s="268"/>
      <c r="BKK408" s="268"/>
      <c r="BKL408" s="268"/>
      <c r="BKM408" s="268"/>
      <c r="BKN408" s="268"/>
      <c r="BKO408" s="268"/>
      <c r="BKP408" s="268"/>
      <c r="BKQ408" s="268"/>
      <c r="BKR408" s="268"/>
      <c r="BKS408" s="268"/>
      <c r="BKT408" s="268"/>
      <c r="BKU408" s="268"/>
      <c r="BKV408" s="268"/>
      <c r="BKW408" s="268"/>
      <c r="BKX408" s="268"/>
      <c r="BKY408" s="268"/>
      <c r="BKZ408" s="268"/>
      <c r="BLA408" s="268"/>
      <c r="BLB408" s="268"/>
      <c r="BLC408" s="268"/>
      <c r="BLD408" s="268"/>
      <c r="BLE408" s="268"/>
      <c r="BLF408" s="268"/>
      <c r="BLG408" s="268"/>
      <c r="BLH408" s="268"/>
      <c r="BLI408" s="268"/>
      <c r="BLJ408" s="268"/>
      <c r="BLK408" s="268"/>
      <c r="BLL408" s="268"/>
      <c r="BLM408" s="268"/>
      <c r="BLN408" s="268"/>
      <c r="BLO408" s="268"/>
      <c r="BLP408" s="268"/>
      <c r="BLQ408" s="268"/>
      <c r="BLR408" s="268"/>
      <c r="BLS408" s="268"/>
      <c r="BLT408" s="268"/>
      <c r="BLU408" s="268"/>
      <c r="BLV408" s="268"/>
      <c r="BLW408" s="268"/>
      <c r="BLX408" s="268"/>
      <c r="BLY408" s="268"/>
      <c r="BLZ408" s="268"/>
      <c r="BMA408" s="268"/>
      <c r="BMB408" s="268"/>
      <c r="BMC408" s="268"/>
      <c r="BMD408" s="268"/>
      <c r="BME408" s="268"/>
      <c r="BMF408" s="268"/>
      <c r="BMG408" s="268"/>
      <c r="BMH408" s="268"/>
      <c r="BMI408" s="268"/>
      <c r="BMJ408" s="268"/>
      <c r="BMK408" s="268"/>
      <c r="BML408" s="268"/>
      <c r="BMM408" s="268"/>
      <c r="BMN408" s="268"/>
      <c r="BMO408" s="268"/>
      <c r="BMP408" s="268"/>
      <c r="BMQ408" s="268"/>
      <c r="BMR408" s="268"/>
      <c r="BMS408" s="268"/>
      <c r="BMT408" s="268"/>
      <c r="BMU408" s="268"/>
      <c r="BMV408" s="268"/>
      <c r="BMW408" s="268"/>
      <c r="BMX408" s="268"/>
      <c r="BMY408" s="268"/>
      <c r="BMZ408" s="268"/>
      <c r="BNA408" s="268"/>
      <c r="BNB408" s="268"/>
      <c r="BNC408" s="268"/>
      <c r="BND408" s="268"/>
      <c r="BNE408" s="268"/>
      <c r="BNF408" s="268"/>
      <c r="BNG408" s="268"/>
      <c r="BNH408" s="268"/>
      <c r="BNI408" s="268"/>
      <c r="BNJ408" s="268"/>
      <c r="BNK408" s="268"/>
      <c r="BNL408" s="268"/>
      <c r="BNM408" s="268"/>
      <c r="BNN408" s="268"/>
      <c r="BNO408" s="268"/>
      <c r="BNP408" s="268"/>
      <c r="BNQ408" s="268"/>
      <c r="BNR408" s="268"/>
      <c r="BNS408" s="268"/>
      <c r="BNT408" s="268"/>
      <c r="BNU408" s="268"/>
      <c r="BNV408" s="268"/>
      <c r="BNW408" s="268"/>
      <c r="BNX408" s="268"/>
      <c r="BNY408" s="268"/>
      <c r="BNZ408" s="268"/>
      <c r="BOA408" s="268"/>
      <c r="BOB408" s="268"/>
      <c r="BOC408" s="268"/>
      <c r="BOD408" s="268"/>
      <c r="BOE408" s="268"/>
      <c r="BOF408" s="268"/>
      <c r="BOG408" s="268"/>
      <c r="BOH408" s="268"/>
      <c r="BOI408" s="268"/>
      <c r="BOJ408" s="268"/>
      <c r="BOK408" s="268"/>
      <c r="BOL408" s="268"/>
      <c r="BOM408" s="268"/>
      <c r="BON408" s="268"/>
      <c r="BOO408" s="268"/>
      <c r="BOP408" s="268"/>
      <c r="BOQ408" s="268"/>
      <c r="BOR408" s="268"/>
      <c r="BOS408" s="268"/>
      <c r="BOT408" s="268"/>
      <c r="BOU408" s="268"/>
      <c r="BOV408" s="268"/>
      <c r="BOW408" s="268"/>
      <c r="BOX408" s="268"/>
      <c r="BOY408" s="268"/>
      <c r="BOZ408" s="268"/>
      <c r="BPA408" s="268"/>
      <c r="BPB408" s="268"/>
      <c r="BPC408" s="268"/>
      <c r="BPD408" s="268"/>
      <c r="BPE408" s="268"/>
      <c r="BPF408" s="268"/>
      <c r="BPG408" s="268"/>
      <c r="BPH408" s="268"/>
      <c r="BPI408" s="268"/>
      <c r="BPJ408" s="268"/>
      <c r="BPK408" s="268"/>
      <c r="BPL408" s="268"/>
      <c r="BPM408" s="268"/>
      <c r="BPN408" s="268"/>
      <c r="BPO408" s="268"/>
      <c r="BQC408" s="268"/>
      <c r="BQD408" s="268"/>
      <c r="BQE408" s="268"/>
      <c r="BQS408" s="268"/>
      <c r="BQU408" s="268"/>
      <c r="BQV408" s="268"/>
      <c r="BQW408" s="268"/>
      <c r="BQX408" s="268"/>
      <c r="BQY408" s="268"/>
      <c r="BQZ408" s="268"/>
      <c r="BRA408" s="268"/>
      <c r="BRB408" s="268"/>
      <c r="BRC408" s="268"/>
      <c r="BRD408" s="268"/>
      <c r="BRE408" s="268"/>
      <c r="BRF408" s="268"/>
      <c r="BRG408" s="268"/>
      <c r="BRH408" s="268"/>
      <c r="BRI408" s="268"/>
      <c r="BRJ408" s="268"/>
      <c r="BRK408" s="268"/>
      <c r="BRL408" s="268"/>
      <c r="BRM408" s="268"/>
      <c r="BRN408" s="268"/>
      <c r="BRO408" s="268"/>
      <c r="BRP408" s="268"/>
      <c r="BRQ408" s="268"/>
      <c r="BRR408" s="268"/>
      <c r="BRS408" s="268"/>
      <c r="BRT408" s="268"/>
      <c r="BRU408" s="268"/>
      <c r="BRV408" s="268"/>
      <c r="BRW408" s="268"/>
      <c r="BRX408" s="268"/>
      <c r="BRY408" s="268"/>
      <c r="BRZ408" s="268"/>
      <c r="BSA408" s="268"/>
      <c r="BSB408" s="268"/>
      <c r="BSC408" s="268"/>
      <c r="BSD408" s="268"/>
      <c r="BSE408" s="268"/>
      <c r="BSF408" s="268"/>
      <c r="BSG408" s="268"/>
      <c r="BSH408" s="268"/>
      <c r="BSI408" s="268"/>
      <c r="BSJ408" s="268"/>
      <c r="BSK408" s="268"/>
      <c r="BSL408" s="268"/>
      <c r="BSM408" s="268"/>
      <c r="BSN408" s="268"/>
      <c r="BSO408" s="268"/>
      <c r="BSP408" s="268"/>
      <c r="BSQ408" s="268"/>
      <c r="BSR408" s="268"/>
      <c r="BSS408" s="268"/>
      <c r="BST408" s="268"/>
      <c r="BSU408" s="268"/>
      <c r="BSV408" s="268"/>
      <c r="BSW408" s="268"/>
      <c r="BSX408" s="268"/>
      <c r="BSY408" s="268"/>
      <c r="BSZ408" s="268"/>
      <c r="BTA408" s="268"/>
      <c r="BTB408" s="268"/>
      <c r="BTC408" s="268"/>
      <c r="BTD408" s="268"/>
      <c r="BTE408" s="268"/>
      <c r="BTF408" s="268"/>
      <c r="BTG408" s="268"/>
      <c r="BTH408" s="268"/>
      <c r="BTI408" s="268"/>
      <c r="BTJ408" s="268"/>
      <c r="BTK408" s="268"/>
      <c r="BTL408" s="268"/>
      <c r="BTM408" s="268"/>
      <c r="BTN408" s="268"/>
      <c r="BTO408" s="268"/>
      <c r="BTP408" s="268"/>
      <c r="BTQ408" s="268"/>
      <c r="BTR408" s="268"/>
      <c r="BTS408" s="268"/>
      <c r="BTT408" s="268"/>
      <c r="BTU408" s="268"/>
      <c r="BTV408" s="268"/>
      <c r="BTW408" s="268"/>
      <c r="BTX408" s="268"/>
      <c r="BTY408" s="268"/>
      <c r="BTZ408" s="268"/>
      <c r="BUA408" s="268"/>
      <c r="BUB408" s="268"/>
      <c r="BUC408" s="268"/>
      <c r="BUD408" s="268"/>
      <c r="BUE408" s="268"/>
      <c r="BUF408" s="268"/>
      <c r="BUG408" s="268"/>
      <c r="BUH408" s="268"/>
      <c r="BUI408" s="268"/>
      <c r="BUJ408" s="268"/>
      <c r="BUK408" s="268"/>
      <c r="BUL408" s="268"/>
      <c r="BUM408" s="268"/>
      <c r="BUN408" s="268"/>
      <c r="BUO408" s="268"/>
      <c r="BUP408" s="268"/>
      <c r="BUQ408" s="268"/>
      <c r="BUR408" s="268"/>
      <c r="BUS408" s="268"/>
      <c r="BUT408" s="268"/>
      <c r="BUU408" s="268"/>
      <c r="BUV408" s="268"/>
      <c r="BUW408" s="268"/>
      <c r="BUX408" s="268"/>
      <c r="BUY408" s="268"/>
      <c r="BUZ408" s="268"/>
      <c r="BVA408" s="268"/>
      <c r="BVB408" s="268"/>
      <c r="BVC408" s="268"/>
      <c r="BVD408" s="268"/>
      <c r="BVE408" s="268"/>
      <c r="BVF408" s="268"/>
      <c r="BVG408" s="268"/>
      <c r="BVH408" s="268"/>
      <c r="BVI408" s="268"/>
      <c r="BVJ408" s="268"/>
      <c r="BVK408" s="268"/>
      <c r="BVL408" s="268"/>
      <c r="BVM408" s="268"/>
      <c r="BVN408" s="268"/>
      <c r="BVO408" s="268"/>
      <c r="BVP408" s="268"/>
      <c r="BVQ408" s="268"/>
      <c r="BVR408" s="268"/>
      <c r="BVS408" s="268"/>
      <c r="BVT408" s="268"/>
      <c r="BVU408" s="268"/>
      <c r="BVV408" s="268"/>
      <c r="BVW408" s="268"/>
      <c r="BVX408" s="268"/>
      <c r="BVY408" s="268"/>
      <c r="BVZ408" s="268"/>
      <c r="BWA408" s="268"/>
      <c r="BWB408" s="268"/>
      <c r="BWC408" s="268"/>
      <c r="BWD408" s="268"/>
      <c r="BWE408" s="268"/>
      <c r="BWF408" s="268"/>
      <c r="BWG408" s="268"/>
      <c r="BWH408" s="268"/>
      <c r="BWI408" s="268"/>
      <c r="BWJ408" s="268"/>
      <c r="BWK408" s="268"/>
      <c r="BWL408" s="268"/>
      <c r="BWM408" s="268"/>
      <c r="BWN408" s="268"/>
      <c r="BWO408" s="268"/>
      <c r="BWP408" s="268"/>
      <c r="BWQ408" s="268"/>
      <c r="BWR408" s="268"/>
      <c r="BWS408" s="268"/>
      <c r="BWT408" s="268"/>
      <c r="BWU408" s="268"/>
      <c r="BWV408" s="268"/>
      <c r="BWW408" s="268"/>
      <c r="BWX408" s="268"/>
      <c r="BWY408" s="268"/>
      <c r="BWZ408" s="268"/>
      <c r="BXA408" s="268"/>
      <c r="BXB408" s="268"/>
      <c r="BXC408" s="268"/>
      <c r="BXD408" s="268"/>
      <c r="BXE408" s="268"/>
      <c r="BXF408" s="268"/>
      <c r="BXG408" s="268"/>
      <c r="BXH408" s="268"/>
      <c r="BXI408" s="268"/>
      <c r="BXJ408" s="268"/>
      <c r="BXK408" s="268"/>
      <c r="BXL408" s="268"/>
      <c r="BXM408" s="268"/>
      <c r="BXN408" s="268"/>
      <c r="BXO408" s="268"/>
      <c r="BXP408" s="268"/>
      <c r="BXQ408" s="268"/>
      <c r="BXR408" s="268"/>
      <c r="BXS408" s="268"/>
      <c r="BXT408" s="268"/>
      <c r="BXU408" s="268"/>
      <c r="BXV408" s="268"/>
      <c r="BXW408" s="268"/>
      <c r="BXX408" s="268"/>
      <c r="BXY408" s="268"/>
      <c r="BXZ408" s="268"/>
      <c r="BYA408" s="268"/>
      <c r="BYB408" s="268"/>
      <c r="BYC408" s="268"/>
      <c r="BYD408" s="268"/>
      <c r="BYE408" s="268"/>
      <c r="BYF408" s="268"/>
      <c r="BYG408" s="268"/>
      <c r="BYH408" s="268"/>
      <c r="BYI408" s="268"/>
      <c r="BYJ408" s="268"/>
      <c r="BYK408" s="268"/>
      <c r="BYL408" s="268"/>
      <c r="BYM408" s="268"/>
      <c r="BYN408" s="268"/>
      <c r="BYO408" s="268"/>
      <c r="BYP408" s="268"/>
      <c r="BYQ408" s="268"/>
      <c r="BYR408" s="268"/>
      <c r="BYS408" s="268"/>
      <c r="BYT408" s="268"/>
      <c r="BYU408" s="268"/>
      <c r="BYV408" s="268"/>
      <c r="BYW408" s="268"/>
      <c r="BYX408" s="268"/>
      <c r="BYY408" s="268"/>
      <c r="BYZ408" s="268"/>
      <c r="BZA408" s="268"/>
      <c r="BZB408" s="268"/>
      <c r="BZC408" s="268"/>
      <c r="BZD408" s="268"/>
      <c r="BZE408" s="268"/>
      <c r="BZF408" s="268"/>
      <c r="BZG408" s="268"/>
      <c r="BZH408" s="268"/>
      <c r="BZI408" s="268"/>
      <c r="BZJ408" s="268"/>
      <c r="BZK408" s="268"/>
      <c r="BZY408" s="268"/>
      <c r="BZZ408" s="268"/>
      <c r="CAA408" s="268"/>
      <c r="CAO408" s="268"/>
      <c r="CAQ408" s="268"/>
      <c r="CAR408" s="268"/>
      <c r="CAS408" s="268"/>
      <c r="CAT408" s="268"/>
      <c r="CAU408" s="268"/>
      <c r="CAV408" s="268"/>
      <c r="CAW408" s="268"/>
      <c r="CAX408" s="268"/>
      <c r="CAY408" s="268"/>
      <c r="CAZ408" s="268"/>
      <c r="CBA408" s="268"/>
      <c r="CBB408" s="268"/>
      <c r="CBC408" s="268"/>
      <c r="CBD408" s="268"/>
      <c r="CBE408" s="268"/>
      <c r="CBF408" s="268"/>
      <c r="CBG408" s="268"/>
      <c r="CBH408" s="268"/>
      <c r="CBI408" s="268"/>
      <c r="CBJ408" s="268"/>
      <c r="CBK408" s="268"/>
      <c r="CBL408" s="268"/>
      <c r="CBM408" s="268"/>
      <c r="CBN408" s="268"/>
      <c r="CBO408" s="268"/>
      <c r="CBP408" s="268"/>
      <c r="CBQ408" s="268"/>
      <c r="CBR408" s="268"/>
      <c r="CBS408" s="268"/>
      <c r="CBT408" s="268"/>
      <c r="CBU408" s="268"/>
      <c r="CBV408" s="268"/>
      <c r="CBW408" s="268"/>
      <c r="CBX408" s="268"/>
      <c r="CBY408" s="268"/>
      <c r="CBZ408" s="268"/>
      <c r="CCA408" s="268"/>
      <c r="CCB408" s="268"/>
      <c r="CCC408" s="268"/>
      <c r="CCD408" s="268"/>
      <c r="CCE408" s="268"/>
      <c r="CCF408" s="268"/>
      <c r="CCG408" s="268"/>
      <c r="CCH408" s="268"/>
      <c r="CCI408" s="268"/>
      <c r="CCJ408" s="268"/>
      <c r="CCK408" s="268"/>
      <c r="CCL408" s="268"/>
      <c r="CCM408" s="268"/>
      <c r="CCN408" s="268"/>
      <c r="CCO408" s="268"/>
      <c r="CCP408" s="268"/>
      <c r="CCQ408" s="268"/>
      <c r="CCR408" s="268"/>
      <c r="CCS408" s="268"/>
      <c r="CCT408" s="268"/>
      <c r="CCU408" s="268"/>
      <c r="CCV408" s="268"/>
      <c r="CCW408" s="268"/>
      <c r="CCX408" s="268"/>
      <c r="CCY408" s="268"/>
      <c r="CCZ408" s="268"/>
      <c r="CDA408" s="268"/>
      <c r="CDB408" s="268"/>
      <c r="CDC408" s="268"/>
      <c r="CDD408" s="268"/>
      <c r="CDE408" s="268"/>
      <c r="CDF408" s="268"/>
      <c r="CDG408" s="268"/>
      <c r="CDH408" s="268"/>
      <c r="CDI408" s="268"/>
      <c r="CDJ408" s="268"/>
      <c r="CDK408" s="268"/>
      <c r="CDL408" s="268"/>
      <c r="CDM408" s="268"/>
      <c r="CDN408" s="268"/>
      <c r="CDO408" s="268"/>
      <c r="CDP408" s="268"/>
      <c r="CDQ408" s="268"/>
      <c r="CDR408" s="268"/>
      <c r="CDS408" s="268"/>
      <c r="CDT408" s="268"/>
      <c r="CDU408" s="268"/>
      <c r="CDV408" s="268"/>
      <c r="CDW408" s="268"/>
      <c r="CDX408" s="268"/>
      <c r="CDY408" s="268"/>
      <c r="CDZ408" s="268"/>
      <c r="CEA408" s="268"/>
      <c r="CEB408" s="268"/>
      <c r="CEC408" s="268"/>
      <c r="CED408" s="268"/>
      <c r="CEE408" s="268"/>
      <c r="CEF408" s="268"/>
      <c r="CEG408" s="268"/>
      <c r="CEH408" s="268"/>
      <c r="CEI408" s="268"/>
      <c r="CEJ408" s="268"/>
      <c r="CEK408" s="268"/>
      <c r="CEL408" s="268"/>
      <c r="CEM408" s="268"/>
      <c r="CEN408" s="268"/>
      <c r="CEO408" s="268"/>
      <c r="CEP408" s="268"/>
      <c r="CEQ408" s="268"/>
      <c r="CER408" s="268"/>
      <c r="CES408" s="268"/>
      <c r="CET408" s="268"/>
      <c r="CEU408" s="268"/>
      <c r="CEV408" s="268"/>
      <c r="CEW408" s="268"/>
      <c r="CEX408" s="268"/>
      <c r="CEY408" s="268"/>
      <c r="CEZ408" s="268"/>
      <c r="CFA408" s="268"/>
      <c r="CFB408" s="268"/>
      <c r="CFC408" s="268"/>
      <c r="CFD408" s="268"/>
      <c r="CFE408" s="268"/>
      <c r="CFF408" s="268"/>
      <c r="CFG408" s="268"/>
      <c r="CFH408" s="268"/>
      <c r="CFI408" s="268"/>
      <c r="CFJ408" s="268"/>
      <c r="CFK408" s="268"/>
      <c r="CFL408" s="268"/>
      <c r="CFM408" s="268"/>
      <c r="CFN408" s="268"/>
      <c r="CFO408" s="268"/>
      <c r="CFP408" s="268"/>
      <c r="CFQ408" s="268"/>
      <c r="CFR408" s="268"/>
      <c r="CFS408" s="268"/>
      <c r="CFT408" s="268"/>
      <c r="CFU408" s="268"/>
      <c r="CFV408" s="268"/>
      <c r="CFW408" s="268"/>
      <c r="CFX408" s="268"/>
      <c r="CFY408" s="268"/>
      <c r="CFZ408" s="268"/>
      <c r="CGA408" s="268"/>
      <c r="CGB408" s="268"/>
      <c r="CGC408" s="268"/>
      <c r="CGD408" s="268"/>
      <c r="CGE408" s="268"/>
      <c r="CGF408" s="268"/>
      <c r="CGG408" s="268"/>
      <c r="CGH408" s="268"/>
      <c r="CGI408" s="268"/>
      <c r="CGJ408" s="268"/>
      <c r="CGK408" s="268"/>
      <c r="CGL408" s="268"/>
      <c r="CGM408" s="268"/>
      <c r="CGN408" s="268"/>
      <c r="CGO408" s="268"/>
      <c r="CGP408" s="268"/>
      <c r="CGQ408" s="268"/>
      <c r="CGR408" s="268"/>
      <c r="CGS408" s="268"/>
      <c r="CGT408" s="268"/>
      <c r="CGU408" s="268"/>
      <c r="CGV408" s="268"/>
      <c r="CGW408" s="268"/>
      <c r="CGX408" s="268"/>
      <c r="CGY408" s="268"/>
      <c r="CGZ408" s="268"/>
      <c r="CHA408" s="268"/>
      <c r="CHB408" s="268"/>
      <c r="CHC408" s="268"/>
      <c r="CHD408" s="268"/>
      <c r="CHE408" s="268"/>
      <c r="CHF408" s="268"/>
      <c r="CHG408" s="268"/>
      <c r="CHH408" s="268"/>
      <c r="CHI408" s="268"/>
      <c r="CHJ408" s="268"/>
      <c r="CHK408" s="268"/>
      <c r="CHL408" s="268"/>
      <c r="CHM408" s="268"/>
      <c r="CHN408" s="268"/>
      <c r="CHO408" s="268"/>
      <c r="CHP408" s="268"/>
      <c r="CHQ408" s="268"/>
      <c r="CHR408" s="268"/>
      <c r="CHS408" s="268"/>
      <c r="CHT408" s="268"/>
      <c r="CHU408" s="268"/>
      <c r="CHV408" s="268"/>
      <c r="CHW408" s="268"/>
      <c r="CHX408" s="268"/>
      <c r="CHY408" s="268"/>
      <c r="CHZ408" s="268"/>
      <c r="CIA408" s="268"/>
      <c r="CIB408" s="268"/>
      <c r="CIC408" s="268"/>
      <c r="CID408" s="268"/>
      <c r="CIE408" s="268"/>
      <c r="CIF408" s="268"/>
      <c r="CIG408" s="268"/>
      <c r="CIH408" s="268"/>
      <c r="CII408" s="268"/>
      <c r="CIJ408" s="268"/>
      <c r="CIK408" s="268"/>
      <c r="CIL408" s="268"/>
      <c r="CIM408" s="268"/>
      <c r="CIN408" s="268"/>
      <c r="CIO408" s="268"/>
      <c r="CIP408" s="268"/>
      <c r="CIQ408" s="268"/>
      <c r="CIR408" s="268"/>
      <c r="CIS408" s="268"/>
      <c r="CIT408" s="268"/>
      <c r="CIU408" s="268"/>
      <c r="CIV408" s="268"/>
      <c r="CIW408" s="268"/>
      <c r="CIX408" s="268"/>
      <c r="CIY408" s="268"/>
      <c r="CIZ408" s="268"/>
      <c r="CJA408" s="268"/>
      <c r="CJB408" s="268"/>
      <c r="CJC408" s="268"/>
      <c r="CJD408" s="268"/>
      <c r="CJE408" s="268"/>
      <c r="CJF408" s="268"/>
      <c r="CJG408" s="268"/>
      <c r="CJU408" s="268"/>
      <c r="CJV408" s="268"/>
      <c r="CJW408" s="268"/>
      <c r="CKK408" s="268"/>
      <c r="CKM408" s="268"/>
      <c r="CKN408" s="268"/>
      <c r="CKO408" s="268"/>
      <c r="CKP408" s="268"/>
      <c r="CKQ408" s="268"/>
      <c r="CKR408" s="268"/>
      <c r="CKS408" s="268"/>
      <c r="CKT408" s="268"/>
      <c r="CKU408" s="268"/>
      <c r="CKV408" s="268"/>
      <c r="CKW408" s="268"/>
      <c r="CKX408" s="268"/>
      <c r="CKY408" s="268"/>
      <c r="CKZ408" s="268"/>
      <c r="CLA408" s="268"/>
      <c r="CLB408" s="268"/>
      <c r="CLC408" s="268"/>
      <c r="CLD408" s="268"/>
      <c r="CLE408" s="268"/>
      <c r="CLF408" s="268"/>
      <c r="CLG408" s="268"/>
      <c r="CLH408" s="268"/>
      <c r="CLI408" s="268"/>
      <c r="CLJ408" s="268"/>
      <c r="CLK408" s="268"/>
      <c r="CLL408" s="268"/>
      <c r="CLM408" s="268"/>
      <c r="CLN408" s="268"/>
      <c r="CLO408" s="268"/>
      <c r="CLP408" s="268"/>
      <c r="CLQ408" s="268"/>
      <c r="CLR408" s="268"/>
      <c r="CLS408" s="268"/>
      <c r="CLT408" s="268"/>
      <c r="CLU408" s="268"/>
      <c r="CLV408" s="268"/>
      <c r="CLW408" s="268"/>
      <c r="CLX408" s="268"/>
      <c r="CLY408" s="268"/>
      <c r="CLZ408" s="268"/>
      <c r="CMA408" s="268"/>
      <c r="CMB408" s="268"/>
      <c r="CMC408" s="268"/>
      <c r="CMD408" s="268"/>
      <c r="CME408" s="268"/>
      <c r="CMF408" s="268"/>
      <c r="CMG408" s="268"/>
      <c r="CMH408" s="268"/>
      <c r="CMI408" s="268"/>
      <c r="CMJ408" s="268"/>
      <c r="CMK408" s="268"/>
      <c r="CML408" s="268"/>
      <c r="CMM408" s="268"/>
      <c r="CMN408" s="268"/>
      <c r="CMO408" s="268"/>
      <c r="CMP408" s="268"/>
      <c r="CMQ408" s="268"/>
      <c r="CMR408" s="268"/>
      <c r="CMS408" s="268"/>
      <c r="CMT408" s="268"/>
      <c r="CMU408" s="268"/>
      <c r="CMV408" s="268"/>
      <c r="CMW408" s="268"/>
      <c r="CMX408" s="268"/>
      <c r="CMY408" s="268"/>
      <c r="CMZ408" s="268"/>
      <c r="CNA408" s="268"/>
      <c r="CNB408" s="268"/>
      <c r="CNC408" s="268"/>
      <c r="CND408" s="268"/>
      <c r="CNE408" s="268"/>
      <c r="CNF408" s="268"/>
      <c r="CNG408" s="268"/>
      <c r="CNH408" s="268"/>
      <c r="CNI408" s="268"/>
      <c r="CNJ408" s="268"/>
      <c r="CNK408" s="268"/>
      <c r="CNL408" s="268"/>
      <c r="CNM408" s="268"/>
      <c r="CNN408" s="268"/>
      <c r="CNO408" s="268"/>
      <c r="CNP408" s="268"/>
      <c r="CNQ408" s="268"/>
      <c r="CNR408" s="268"/>
      <c r="CNS408" s="268"/>
      <c r="CNT408" s="268"/>
      <c r="CNU408" s="268"/>
      <c r="CNV408" s="268"/>
      <c r="CNW408" s="268"/>
      <c r="CNX408" s="268"/>
      <c r="CNY408" s="268"/>
      <c r="CNZ408" s="268"/>
      <c r="COA408" s="268"/>
      <c r="COB408" s="268"/>
      <c r="COC408" s="268"/>
      <c r="COD408" s="268"/>
      <c r="COE408" s="268"/>
      <c r="COF408" s="268"/>
      <c r="COG408" s="268"/>
      <c r="COH408" s="268"/>
      <c r="COI408" s="268"/>
      <c r="COJ408" s="268"/>
      <c r="COK408" s="268"/>
      <c r="COL408" s="268"/>
      <c r="COM408" s="268"/>
      <c r="CON408" s="268"/>
      <c r="COO408" s="268"/>
      <c r="COP408" s="268"/>
      <c r="COQ408" s="268"/>
      <c r="COR408" s="268"/>
      <c r="COS408" s="268"/>
      <c r="COT408" s="268"/>
      <c r="COU408" s="268"/>
      <c r="COV408" s="268"/>
      <c r="COW408" s="268"/>
      <c r="COX408" s="268"/>
      <c r="COY408" s="268"/>
      <c r="COZ408" s="268"/>
      <c r="CPA408" s="268"/>
      <c r="CPB408" s="268"/>
      <c r="CPC408" s="268"/>
      <c r="CPD408" s="268"/>
      <c r="CPE408" s="268"/>
      <c r="CPF408" s="268"/>
      <c r="CPG408" s="268"/>
      <c r="CPH408" s="268"/>
      <c r="CPI408" s="268"/>
      <c r="CPJ408" s="268"/>
      <c r="CPK408" s="268"/>
      <c r="CPL408" s="268"/>
      <c r="CPM408" s="268"/>
      <c r="CPN408" s="268"/>
      <c r="CPO408" s="268"/>
      <c r="CPP408" s="268"/>
      <c r="CPQ408" s="268"/>
      <c r="CPR408" s="268"/>
      <c r="CPS408" s="268"/>
      <c r="CPT408" s="268"/>
      <c r="CPU408" s="268"/>
      <c r="CPV408" s="268"/>
      <c r="CPW408" s="268"/>
      <c r="CPX408" s="268"/>
      <c r="CPY408" s="268"/>
      <c r="CPZ408" s="268"/>
      <c r="CQA408" s="268"/>
      <c r="CQB408" s="268"/>
      <c r="CQC408" s="268"/>
      <c r="CQD408" s="268"/>
      <c r="CQE408" s="268"/>
      <c r="CQF408" s="268"/>
      <c r="CQG408" s="268"/>
      <c r="CQH408" s="268"/>
      <c r="CQI408" s="268"/>
      <c r="CQJ408" s="268"/>
      <c r="CQK408" s="268"/>
      <c r="CQL408" s="268"/>
      <c r="CQM408" s="268"/>
      <c r="CQN408" s="268"/>
      <c r="CQO408" s="268"/>
      <c r="CQP408" s="268"/>
      <c r="CQQ408" s="268"/>
      <c r="CQR408" s="268"/>
      <c r="CQS408" s="268"/>
      <c r="CQT408" s="268"/>
      <c r="CQU408" s="268"/>
      <c r="CQV408" s="268"/>
      <c r="CQW408" s="268"/>
      <c r="CQX408" s="268"/>
      <c r="CQY408" s="268"/>
      <c r="CQZ408" s="268"/>
      <c r="CRA408" s="268"/>
      <c r="CRB408" s="268"/>
      <c r="CRC408" s="268"/>
      <c r="CRD408" s="268"/>
      <c r="CRE408" s="268"/>
      <c r="CRF408" s="268"/>
      <c r="CRG408" s="268"/>
      <c r="CRH408" s="268"/>
      <c r="CRI408" s="268"/>
      <c r="CRJ408" s="268"/>
      <c r="CRK408" s="268"/>
      <c r="CRL408" s="268"/>
      <c r="CRM408" s="268"/>
      <c r="CRN408" s="268"/>
      <c r="CRO408" s="268"/>
      <c r="CRP408" s="268"/>
      <c r="CRQ408" s="268"/>
      <c r="CRR408" s="268"/>
      <c r="CRS408" s="268"/>
      <c r="CRT408" s="268"/>
      <c r="CRU408" s="268"/>
      <c r="CRV408" s="268"/>
      <c r="CRW408" s="268"/>
      <c r="CRX408" s="268"/>
      <c r="CRY408" s="268"/>
      <c r="CRZ408" s="268"/>
      <c r="CSA408" s="268"/>
      <c r="CSB408" s="268"/>
      <c r="CSC408" s="268"/>
      <c r="CSD408" s="268"/>
      <c r="CSE408" s="268"/>
      <c r="CSF408" s="268"/>
      <c r="CSG408" s="268"/>
      <c r="CSH408" s="268"/>
      <c r="CSI408" s="268"/>
      <c r="CSJ408" s="268"/>
      <c r="CSK408" s="268"/>
      <c r="CSL408" s="268"/>
      <c r="CSM408" s="268"/>
      <c r="CSN408" s="268"/>
      <c r="CSO408" s="268"/>
      <c r="CSP408" s="268"/>
      <c r="CSQ408" s="268"/>
      <c r="CSR408" s="268"/>
      <c r="CSS408" s="268"/>
      <c r="CST408" s="268"/>
      <c r="CSU408" s="268"/>
      <c r="CSV408" s="268"/>
      <c r="CSW408" s="268"/>
      <c r="CSX408" s="268"/>
      <c r="CSY408" s="268"/>
      <c r="CSZ408" s="268"/>
      <c r="CTA408" s="268"/>
      <c r="CTB408" s="268"/>
      <c r="CTC408" s="268"/>
      <c r="CTQ408" s="268"/>
      <c r="CTR408" s="268"/>
      <c r="CTS408" s="268"/>
      <c r="CUG408" s="268"/>
      <c r="CUI408" s="268"/>
      <c r="CUJ408" s="268"/>
      <c r="CUK408" s="268"/>
      <c r="CUL408" s="268"/>
      <c r="CUM408" s="268"/>
      <c r="CUN408" s="268"/>
      <c r="CUO408" s="268"/>
      <c r="CUP408" s="268"/>
      <c r="CUQ408" s="268"/>
      <c r="CUR408" s="268"/>
      <c r="CUS408" s="268"/>
      <c r="CUT408" s="268"/>
      <c r="CUU408" s="268"/>
      <c r="CUV408" s="268"/>
      <c r="CUW408" s="268"/>
      <c r="CUX408" s="268"/>
      <c r="CUY408" s="268"/>
      <c r="CUZ408" s="268"/>
      <c r="CVA408" s="268"/>
      <c r="CVB408" s="268"/>
      <c r="CVC408" s="268"/>
      <c r="CVD408" s="268"/>
      <c r="CVE408" s="268"/>
      <c r="CVF408" s="268"/>
      <c r="CVG408" s="268"/>
      <c r="CVH408" s="268"/>
      <c r="CVI408" s="268"/>
      <c r="CVJ408" s="268"/>
      <c r="CVK408" s="268"/>
      <c r="CVL408" s="268"/>
      <c r="CVM408" s="268"/>
      <c r="CVN408" s="268"/>
      <c r="CVO408" s="268"/>
      <c r="CVP408" s="268"/>
      <c r="CVQ408" s="268"/>
      <c r="CVR408" s="268"/>
      <c r="CVS408" s="268"/>
      <c r="CVT408" s="268"/>
      <c r="CVU408" s="268"/>
      <c r="CVV408" s="268"/>
      <c r="CVW408" s="268"/>
      <c r="CVX408" s="268"/>
      <c r="CVY408" s="268"/>
      <c r="CVZ408" s="268"/>
      <c r="CWA408" s="268"/>
      <c r="CWB408" s="268"/>
      <c r="CWC408" s="268"/>
      <c r="CWD408" s="268"/>
      <c r="CWE408" s="268"/>
      <c r="CWF408" s="268"/>
      <c r="CWG408" s="268"/>
      <c r="CWH408" s="268"/>
      <c r="CWI408" s="268"/>
      <c r="CWJ408" s="268"/>
      <c r="CWK408" s="268"/>
      <c r="CWL408" s="268"/>
      <c r="CWM408" s="268"/>
      <c r="CWN408" s="268"/>
      <c r="CWO408" s="268"/>
      <c r="CWP408" s="268"/>
      <c r="CWQ408" s="268"/>
      <c r="CWR408" s="268"/>
      <c r="CWS408" s="268"/>
      <c r="CWT408" s="268"/>
      <c r="CWU408" s="268"/>
      <c r="CWV408" s="268"/>
      <c r="CWW408" s="268"/>
      <c r="CWX408" s="268"/>
      <c r="CWY408" s="268"/>
      <c r="CWZ408" s="268"/>
      <c r="CXA408" s="268"/>
      <c r="CXB408" s="268"/>
      <c r="CXC408" s="268"/>
      <c r="CXD408" s="268"/>
      <c r="CXE408" s="268"/>
      <c r="CXF408" s="268"/>
      <c r="CXG408" s="268"/>
      <c r="CXH408" s="268"/>
      <c r="CXI408" s="268"/>
      <c r="CXJ408" s="268"/>
      <c r="CXK408" s="268"/>
      <c r="CXL408" s="268"/>
      <c r="CXM408" s="268"/>
      <c r="CXN408" s="268"/>
      <c r="CXO408" s="268"/>
      <c r="CXP408" s="268"/>
      <c r="CXQ408" s="268"/>
      <c r="CXR408" s="268"/>
      <c r="CXS408" s="268"/>
      <c r="CXT408" s="268"/>
      <c r="CXU408" s="268"/>
      <c r="CXV408" s="268"/>
      <c r="CXW408" s="268"/>
      <c r="CXX408" s="268"/>
      <c r="CXY408" s="268"/>
      <c r="CXZ408" s="268"/>
      <c r="CYA408" s="268"/>
      <c r="CYB408" s="268"/>
      <c r="CYC408" s="268"/>
      <c r="CYD408" s="268"/>
      <c r="CYE408" s="268"/>
      <c r="CYF408" s="268"/>
      <c r="CYG408" s="268"/>
      <c r="CYH408" s="268"/>
      <c r="CYI408" s="268"/>
      <c r="CYJ408" s="268"/>
      <c r="CYK408" s="268"/>
      <c r="CYL408" s="268"/>
      <c r="CYM408" s="268"/>
      <c r="CYN408" s="268"/>
      <c r="CYO408" s="268"/>
      <c r="CYP408" s="268"/>
      <c r="CYQ408" s="268"/>
      <c r="CYR408" s="268"/>
      <c r="CYS408" s="268"/>
      <c r="CYT408" s="268"/>
      <c r="CYU408" s="268"/>
      <c r="CYV408" s="268"/>
      <c r="CYW408" s="268"/>
      <c r="CYX408" s="268"/>
      <c r="CYY408" s="268"/>
      <c r="CYZ408" s="268"/>
      <c r="CZA408" s="268"/>
      <c r="CZB408" s="268"/>
      <c r="CZC408" s="268"/>
      <c r="CZD408" s="268"/>
      <c r="CZE408" s="268"/>
      <c r="CZF408" s="268"/>
      <c r="CZG408" s="268"/>
      <c r="CZH408" s="268"/>
      <c r="CZI408" s="268"/>
      <c r="CZJ408" s="268"/>
      <c r="CZK408" s="268"/>
      <c r="CZL408" s="268"/>
      <c r="CZM408" s="268"/>
      <c r="CZN408" s="268"/>
      <c r="CZO408" s="268"/>
      <c r="CZP408" s="268"/>
      <c r="CZQ408" s="268"/>
      <c r="CZR408" s="268"/>
      <c r="CZS408" s="268"/>
      <c r="CZT408" s="268"/>
      <c r="CZU408" s="268"/>
      <c r="CZV408" s="268"/>
      <c r="CZW408" s="268"/>
      <c r="CZX408" s="268"/>
      <c r="CZY408" s="268"/>
      <c r="CZZ408" s="268"/>
      <c r="DAA408" s="268"/>
      <c r="DAB408" s="268"/>
      <c r="DAC408" s="268"/>
      <c r="DAD408" s="268"/>
      <c r="DAE408" s="268"/>
      <c r="DAF408" s="268"/>
      <c r="DAG408" s="268"/>
      <c r="DAH408" s="268"/>
      <c r="DAI408" s="268"/>
      <c r="DAJ408" s="268"/>
      <c r="DAK408" s="268"/>
      <c r="DAL408" s="268"/>
      <c r="DAM408" s="268"/>
      <c r="DAN408" s="268"/>
      <c r="DAO408" s="268"/>
      <c r="DAP408" s="268"/>
      <c r="DAQ408" s="268"/>
      <c r="DAR408" s="268"/>
      <c r="DAS408" s="268"/>
      <c r="DAT408" s="268"/>
      <c r="DAU408" s="268"/>
      <c r="DAV408" s="268"/>
      <c r="DAW408" s="268"/>
      <c r="DAX408" s="268"/>
      <c r="DAY408" s="268"/>
      <c r="DAZ408" s="268"/>
      <c r="DBA408" s="268"/>
      <c r="DBB408" s="268"/>
      <c r="DBC408" s="268"/>
      <c r="DBD408" s="268"/>
      <c r="DBE408" s="268"/>
      <c r="DBF408" s="268"/>
      <c r="DBG408" s="268"/>
      <c r="DBH408" s="268"/>
      <c r="DBI408" s="268"/>
      <c r="DBJ408" s="268"/>
      <c r="DBK408" s="268"/>
      <c r="DBL408" s="268"/>
      <c r="DBM408" s="268"/>
      <c r="DBN408" s="268"/>
      <c r="DBO408" s="268"/>
      <c r="DBP408" s="268"/>
      <c r="DBQ408" s="268"/>
      <c r="DBR408" s="268"/>
      <c r="DBS408" s="268"/>
      <c r="DBT408" s="268"/>
      <c r="DBU408" s="268"/>
      <c r="DBV408" s="268"/>
      <c r="DBW408" s="268"/>
      <c r="DBX408" s="268"/>
      <c r="DBY408" s="268"/>
      <c r="DBZ408" s="268"/>
      <c r="DCA408" s="268"/>
      <c r="DCB408" s="268"/>
      <c r="DCC408" s="268"/>
      <c r="DCD408" s="268"/>
      <c r="DCE408" s="268"/>
      <c r="DCF408" s="268"/>
      <c r="DCG408" s="268"/>
      <c r="DCH408" s="268"/>
      <c r="DCI408" s="268"/>
      <c r="DCJ408" s="268"/>
      <c r="DCK408" s="268"/>
      <c r="DCL408" s="268"/>
      <c r="DCM408" s="268"/>
      <c r="DCN408" s="268"/>
      <c r="DCO408" s="268"/>
      <c r="DCP408" s="268"/>
      <c r="DCQ408" s="268"/>
      <c r="DCR408" s="268"/>
      <c r="DCS408" s="268"/>
      <c r="DCT408" s="268"/>
      <c r="DCU408" s="268"/>
      <c r="DCV408" s="268"/>
      <c r="DCW408" s="268"/>
      <c r="DCX408" s="268"/>
      <c r="DCY408" s="268"/>
      <c r="DDM408" s="268"/>
      <c r="DDN408" s="268"/>
      <c r="DDO408" s="268"/>
      <c r="DEC408" s="268"/>
      <c r="DEE408" s="268"/>
      <c r="DEF408" s="268"/>
      <c r="DEG408" s="268"/>
      <c r="DEH408" s="268"/>
      <c r="DEI408" s="268"/>
      <c r="DEJ408" s="268"/>
      <c r="DEK408" s="268"/>
      <c r="DEL408" s="268"/>
      <c r="DEM408" s="268"/>
      <c r="DEN408" s="268"/>
      <c r="DEO408" s="268"/>
      <c r="DEP408" s="268"/>
      <c r="DEQ408" s="268"/>
      <c r="DER408" s="268"/>
      <c r="DES408" s="268"/>
      <c r="DET408" s="268"/>
      <c r="DEU408" s="268"/>
      <c r="DEV408" s="268"/>
      <c r="DEW408" s="268"/>
      <c r="DEX408" s="268"/>
      <c r="DEY408" s="268"/>
      <c r="DEZ408" s="268"/>
      <c r="DFA408" s="268"/>
      <c r="DFB408" s="268"/>
      <c r="DFC408" s="268"/>
      <c r="DFD408" s="268"/>
      <c r="DFE408" s="268"/>
      <c r="DFF408" s="268"/>
      <c r="DFG408" s="268"/>
      <c r="DFH408" s="268"/>
      <c r="DFI408" s="268"/>
      <c r="DFJ408" s="268"/>
      <c r="DFK408" s="268"/>
      <c r="DFL408" s="268"/>
      <c r="DFM408" s="268"/>
      <c r="DFN408" s="268"/>
      <c r="DFO408" s="268"/>
      <c r="DFP408" s="268"/>
      <c r="DFQ408" s="268"/>
      <c r="DFR408" s="268"/>
      <c r="DFS408" s="268"/>
      <c r="DFT408" s="268"/>
      <c r="DFU408" s="268"/>
      <c r="DFV408" s="268"/>
      <c r="DFW408" s="268"/>
      <c r="DFX408" s="268"/>
      <c r="DFY408" s="268"/>
      <c r="DFZ408" s="268"/>
      <c r="DGA408" s="268"/>
      <c r="DGB408" s="268"/>
      <c r="DGC408" s="268"/>
      <c r="DGD408" s="268"/>
      <c r="DGE408" s="268"/>
      <c r="DGF408" s="268"/>
      <c r="DGG408" s="268"/>
      <c r="DGH408" s="268"/>
      <c r="DGI408" s="268"/>
      <c r="DGJ408" s="268"/>
      <c r="DGK408" s="268"/>
      <c r="DGL408" s="268"/>
      <c r="DGM408" s="268"/>
      <c r="DGN408" s="268"/>
      <c r="DGO408" s="268"/>
      <c r="DGP408" s="268"/>
      <c r="DGQ408" s="268"/>
      <c r="DGR408" s="268"/>
      <c r="DGS408" s="268"/>
      <c r="DGT408" s="268"/>
      <c r="DGU408" s="268"/>
      <c r="DGV408" s="268"/>
      <c r="DGW408" s="268"/>
      <c r="DGX408" s="268"/>
      <c r="DGY408" s="268"/>
      <c r="DGZ408" s="268"/>
      <c r="DHA408" s="268"/>
      <c r="DHB408" s="268"/>
      <c r="DHC408" s="268"/>
      <c r="DHD408" s="268"/>
      <c r="DHE408" s="268"/>
      <c r="DHF408" s="268"/>
      <c r="DHG408" s="268"/>
      <c r="DHH408" s="268"/>
      <c r="DHI408" s="268"/>
      <c r="DHJ408" s="268"/>
      <c r="DHK408" s="268"/>
      <c r="DHL408" s="268"/>
      <c r="DHM408" s="268"/>
      <c r="DHN408" s="268"/>
      <c r="DHO408" s="268"/>
      <c r="DHP408" s="268"/>
      <c r="DHQ408" s="268"/>
      <c r="DHR408" s="268"/>
      <c r="DHS408" s="268"/>
      <c r="DHT408" s="268"/>
      <c r="DHU408" s="268"/>
      <c r="DHV408" s="268"/>
      <c r="DHW408" s="268"/>
      <c r="DHX408" s="268"/>
      <c r="DHY408" s="268"/>
      <c r="DHZ408" s="268"/>
      <c r="DIA408" s="268"/>
      <c r="DIB408" s="268"/>
      <c r="DIC408" s="268"/>
      <c r="DID408" s="268"/>
      <c r="DIE408" s="268"/>
      <c r="DIF408" s="268"/>
      <c r="DIG408" s="268"/>
      <c r="DIH408" s="268"/>
      <c r="DII408" s="268"/>
      <c r="DIJ408" s="268"/>
      <c r="DIK408" s="268"/>
      <c r="DIL408" s="268"/>
      <c r="DIM408" s="268"/>
      <c r="DIN408" s="268"/>
      <c r="DIO408" s="268"/>
      <c r="DIP408" s="268"/>
      <c r="DIQ408" s="268"/>
      <c r="DIR408" s="268"/>
      <c r="DIS408" s="268"/>
      <c r="DIT408" s="268"/>
      <c r="DIU408" s="268"/>
      <c r="DIV408" s="268"/>
      <c r="DIW408" s="268"/>
      <c r="DIX408" s="268"/>
      <c r="DIY408" s="268"/>
      <c r="DIZ408" s="268"/>
      <c r="DJA408" s="268"/>
      <c r="DJB408" s="268"/>
      <c r="DJC408" s="268"/>
      <c r="DJD408" s="268"/>
      <c r="DJE408" s="268"/>
      <c r="DJF408" s="268"/>
      <c r="DJG408" s="268"/>
      <c r="DJH408" s="268"/>
      <c r="DJI408" s="268"/>
      <c r="DJJ408" s="268"/>
      <c r="DJK408" s="268"/>
      <c r="DJL408" s="268"/>
      <c r="DJM408" s="268"/>
      <c r="DJN408" s="268"/>
      <c r="DJO408" s="268"/>
      <c r="DJP408" s="268"/>
      <c r="DJQ408" s="268"/>
      <c r="DJR408" s="268"/>
      <c r="DJS408" s="268"/>
      <c r="DJT408" s="268"/>
      <c r="DJU408" s="268"/>
      <c r="DJV408" s="268"/>
      <c r="DJW408" s="268"/>
      <c r="DJX408" s="268"/>
      <c r="DJY408" s="268"/>
      <c r="DJZ408" s="268"/>
      <c r="DKA408" s="268"/>
      <c r="DKB408" s="268"/>
      <c r="DKC408" s="268"/>
      <c r="DKD408" s="268"/>
      <c r="DKE408" s="268"/>
      <c r="DKF408" s="268"/>
      <c r="DKG408" s="268"/>
      <c r="DKH408" s="268"/>
      <c r="DKI408" s="268"/>
      <c r="DKJ408" s="268"/>
      <c r="DKK408" s="268"/>
      <c r="DKL408" s="268"/>
      <c r="DKM408" s="268"/>
      <c r="DKN408" s="268"/>
      <c r="DKO408" s="268"/>
      <c r="DKP408" s="268"/>
      <c r="DKQ408" s="268"/>
      <c r="DKR408" s="268"/>
      <c r="DKS408" s="268"/>
      <c r="DKT408" s="268"/>
      <c r="DKU408" s="268"/>
      <c r="DKV408" s="268"/>
      <c r="DKW408" s="268"/>
      <c r="DKX408" s="268"/>
      <c r="DKY408" s="268"/>
      <c r="DKZ408" s="268"/>
      <c r="DLA408" s="268"/>
      <c r="DLB408" s="268"/>
      <c r="DLC408" s="268"/>
      <c r="DLD408" s="268"/>
      <c r="DLE408" s="268"/>
      <c r="DLF408" s="268"/>
      <c r="DLG408" s="268"/>
      <c r="DLH408" s="268"/>
      <c r="DLI408" s="268"/>
      <c r="DLJ408" s="268"/>
      <c r="DLK408" s="268"/>
      <c r="DLL408" s="268"/>
      <c r="DLM408" s="268"/>
      <c r="DLN408" s="268"/>
      <c r="DLO408" s="268"/>
      <c r="DLP408" s="268"/>
      <c r="DLQ408" s="268"/>
      <c r="DLR408" s="268"/>
      <c r="DLS408" s="268"/>
      <c r="DLT408" s="268"/>
      <c r="DLU408" s="268"/>
      <c r="DLV408" s="268"/>
      <c r="DLW408" s="268"/>
      <c r="DLX408" s="268"/>
      <c r="DLY408" s="268"/>
      <c r="DLZ408" s="268"/>
      <c r="DMA408" s="268"/>
      <c r="DMB408" s="268"/>
      <c r="DMC408" s="268"/>
      <c r="DMD408" s="268"/>
      <c r="DME408" s="268"/>
      <c r="DMF408" s="268"/>
      <c r="DMG408" s="268"/>
      <c r="DMH408" s="268"/>
      <c r="DMI408" s="268"/>
      <c r="DMJ408" s="268"/>
      <c r="DMK408" s="268"/>
      <c r="DML408" s="268"/>
      <c r="DMM408" s="268"/>
      <c r="DMN408" s="268"/>
      <c r="DMO408" s="268"/>
      <c r="DMP408" s="268"/>
      <c r="DMQ408" s="268"/>
      <c r="DMR408" s="268"/>
      <c r="DMS408" s="268"/>
      <c r="DMT408" s="268"/>
      <c r="DMU408" s="268"/>
      <c r="DNI408" s="268"/>
      <c r="DNJ408" s="268"/>
      <c r="DNK408" s="268"/>
      <c r="DNY408" s="268"/>
      <c r="DOA408" s="268"/>
      <c r="DOB408" s="268"/>
      <c r="DOC408" s="268"/>
      <c r="DOD408" s="268"/>
      <c r="DOE408" s="268"/>
      <c r="DOF408" s="268"/>
      <c r="DOG408" s="268"/>
      <c r="DOH408" s="268"/>
      <c r="DOI408" s="268"/>
      <c r="DOJ408" s="268"/>
      <c r="DOK408" s="268"/>
      <c r="DOL408" s="268"/>
      <c r="DOM408" s="268"/>
      <c r="DON408" s="268"/>
      <c r="DOO408" s="268"/>
      <c r="DOP408" s="268"/>
      <c r="DOQ408" s="268"/>
      <c r="DOR408" s="268"/>
      <c r="DOS408" s="268"/>
      <c r="DOT408" s="268"/>
      <c r="DOU408" s="268"/>
      <c r="DOV408" s="268"/>
      <c r="DOW408" s="268"/>
      <c r="DOX408" s="268"/>
      <c r="DOY408" s="268"/>
      <c r="DOZ408" s="268"/>
      <c r="DPA408" s="268"/>
      <c r="DPB408" s="268"/>
      <c r="DPC408" s="268"/>
      <c r="DPD408" s="268"/>
      <c r="DPE408" s="268"/>
      <c r="DPF408" s="268"/>
      <c r="DPG408" s="268"/>
      <c r="DPH408" s="268"/>
      <c r="DPI408" s="268"/>
      <c r="DPJ408" s="268"/>
      <c r="DPK408" s="268"/>
      <c r="DPL408" s="268"/>
      <c r="DPM408" s="268"/>
      <c r="DPN408" s="268"/>
      <c r="DPO408" s="268"/>
      <c r="DPP408" s="268"/>
      <c r="DPQ408" s="268"/>
      <c r="DPR408" s="268"/>
      <c r="DPS408" s="268"/>
      <c r="DPT408" s="268"/>
      <c r="DPU408" s="268"/>
      <c r="DPV408" s="268"/>
      <c r="DPW408" s="268"/>
      <c r="DPX408" s="268"/>
      <c r="DPY408" s="268"/>
      <c r="DPZ408" s="268"/>
      <c r="DQA408" s="268"/>
      <c r="DQB408" s="268"/>
      <c r="DQC408" s="268"/>
      <c r="DQD408" s="268"/>
      <c r="DQE408" s="268"/>
      <c r="DQF408" s="268"/>
      <c r="DQG408" s="268"/>
      <c r="DQH408" s="268"/>
      <c r="DQI408" s="268"/>
      <c r="DQJ408" s="268"/>
      <c r="DQK408" s="268"/>
      <c r="DQL408" s="268"/>
      <c r="DQM408" s="268"/>
      <c r="DQN408" s="268"/>
      <c r="DQO408" s="268"/>
      <c r="DQP408" s="268"/>
      <c r="DQQ408" s="268"/>
      <c r="DQR408" s="268"/>
      <c r="DQS408" s="268"/>
      <c r="DQT408" s="268"/>
      <c r="DQU408" s="268"/>
      <c r="DQV408" s="268"/>
      <c r="DQW408" s="268"/>
      <c r="DQX408" s="268"/>
      <c r="DQY408" s="268"/>
      <c r="DQZ408" s="268"/>
      <c r="DRA408" s="268"/>
      <c r="DRB408" s="268"/>
      <c r="DRC408" s="268"/>
      <c r="DRD408" s="268"/>
      <c r="DRE408" s="268"/>
      <c r="DRF408" s="268"/>
      <c r="DRG408" s="268"/>
      <c r="DRH408" s="268"/>
      <c r="DRI408" s="268"/>
      <c r="DRJ408" s="268"/>
      <c r="DRK408" s="268"/>
      <c r="DRL408" s="268"/>
      <c r="DRM408" s="268"/>
      <c r="DRN408" s="268"/>
      <c r="DRO408" s="268"/>
      <c r="DRP408" s="268"/>
      <c r="DRQ408" s="268"/>
      <c r="DRR408" s="268"/>
      <c r="DRS408" s="268"/>
      <c r="DRT408" s="268"/>
      <c r="DRU408" s="268"/>
      <c r="DRV408" s="268"/>
      <c r="DRW408" s="268"/>
      <c r="DRX408" s="268"/>
      <c r="DRY408" s="268"/>
      <c r="DRZ408" s="268"/>
      <c r="DSA408" s="268"/>
      <c r="DSB408" s="268"/>
      <c r="DSC408" s="268"/>
      <c r="DSD408" s="268"/>
      <c r="DSE408" s="268"/>
      <c r="DSF408" s="268"/>
      <c r="DSG408" s="268"/>
      <c r="DSH408" s="268"/>
      <c r="DSI408" s="268"/>
      <c r="DSJ408" s="268"/>
      <c r="DSK408" s="268"/>
      <c r="DSL408" s="268"/>
      <c r="DSM408" s="268"/>
      <c r="DSN408" s="268"/>
      <c r="DSO408" s="268"/>
      <c r="DSP408" s="268"/>
      <c r="DSQ408" s="268"/>
      <c r="DSR408" s="268"/>
      <c r="DSS408" s="268"/>
      <c r="DST408" s="268"/>
      <c r="DSU408" s="268"/>
      <c r="DSV408" s="268"/>
      <c r="DSW408" s="268"/>
      <c r="DSX408" s="268"/>
      <c r="DSY408" s="268"/>
      <c r="DSZ408" s="268"/>
      <c r="DTA408" s="268"/>
      <c r="DTB408" s="268"/>
      <c r="DTC408" s="268"/>
      <c r="DTD408" s="268"/>
      <c r="DTE408" s="268"/>
      <c r="DTF408" s="268"/>
      <c r="DTG408" s="268"/>
      <c r="DTH408" s="268"/>
      <c r="DTI408" s="268"/>
      <c r="DTJ408" s="268"/>
      <c r="DTK408" s="268"/>
      <c r="DTL408" s="268"/>
      <c r="DTM408" s="268"/>
      <c r="DTN408" s="268"/>
      <c r="DTO408" s="268"/>
      <c r="DTP408" s="268"/>
      <c r="DTQ408" s="268"/>
      <c r="DTR408" s="268"/>
      <c r="DTS408" s="268"/>
      <c r="DTT408" s="268"/>
      <c r="DTU408" s="268"/>
      <c r="DTV408" s="268"/>
      <c r="DTW408" s="268"/>
      <c r="DTX408" s="268"/>
      <c r="DTY408" s="268"/>
      <c r="DTZ408" s="268"/>
      <c r="DUA408" s="268"/>
      <c r="DUB408" s="268"/>
      <c r="DUC408" s="268"/>
      <c r="DUD408" s="268"/>
      <c r="DUE408" s="268"/>
      <c r="DUF408" s="268"/>
      <c r="DUG408" s="268"/>
      <c r="DUH408" s="268"/>
      <c r="DUI408" s="268"/>
      <c r="DUJ408" s="268"/>
      <c r="DUK408" s="268"/>
      <c r="DUL408" s="268"/>
      <c r="DUM408" s="268"/>
      <c r="DUN408" s="268"/>
      <c r="DUO408" s="268"/>
      <c r="DUP408" s="268"/>
      <c r="DUQ408" s="268"/>
      <c r="DUR408" s="268"/>
      <c r="DUS408" s="268"/>
      <c r="DUT408" s="268"/>
      <c r="DUU408" s="268"/>
      <c r="DUV408" s="268"/>
      <c r="DUW408" s="268"/>
      <c r="DUX408" s="268"/>
      <c r="DUY408" s="268"/>
      <c r="DUZ408" s="268"/>
      <c r="DVA408" s="268"/>
      <c r="DVB408" s="268"/>
      <c r="DVC408" s="268"/>
      <c r="DVD408" s="268"/>
      <c r="DVE408" s="268"/>
      <c r="DVF408" s="268"/>
      <c r="DVG408" s="268"/>
      <c r="DVH408" s="268"/>
      <c r="DVI408" s="268"/>
      <c r="DVJ408" s="268"/>
      <c r="DVK408" s="268"/>
      <c r="DVL408" s="268"/>
      <c r="DVM408" s="268"/>
      <c r="DVN408" s="268"/>
      <c r="DVO408" s="268"/>
      <c r="DVP408" s="268"/>
      <c r="DVQ408" s="268"/>
      <c r="DVR408" s="268"/>
      <c r="DVS408" s="268"/>
      <c r="DVT408" s="268"/>
      <c r="DVU408" s="268"/>
      <c r="DVV408" s="268"/>
      <c r="DVW408" s="268"/>
      <c r="DVX408" s="268"/>
      <c r="DVY408" s="268"/>
      <c r="DVZ408" s="268"/>
      <c r="DWA408" s="268"/>
      <c r="DWB408" s="268"/>
      <c r="DWC408" s="268"/>
      <c r="DWD408" s="268"/>
      <c r="DWE408" s="268"/>
      <c r="DWF408" s="268"/>
      <c r="DWG408" s="268"/>
      <c r="DWH408" s="268"/>
      <c r="DWI408" s="268"/>
      <c r="DWJ408" s="268"/>
      <c r="DWK408" s="268"/>
      <c r="DWL408" s="268"/>
      <c r="DWM408" s="268"/>
      <c r="DWN408" s="268"/>
      <c r="DWO408" s="268"/>
      <c r="DWP408" s="268"/>
      <c r="DWQ408" s="268"/>
      <c r="DXE408" s="268"/>
      <c r="DXF408" s="268"/>
      <c r="DXG408" s="268"/>
      <c r="DXU408" s="268"/>
      <c r="DXW408" s="268"/>
      <c r="DXX408" s="268"/>
      <c r="DXY408" s="268"/>
      <c r="DXZ408" s="268"/>
      <c r="DYA408" s="268"/>
      <c r="DYB408" s="268"/>
      <c r="DYC408" s="268"/>
      <c r="DYD408" s="268"/>
      <c r="DYE408" s="268"/>
      <c r="DYF408" s="268"/>
      <c r="DYG408" s="268"/>
      <c r="DYH408" s="268"/>
      <c r="DYI408" s="268"/>
      <c r="DYJ408" s="268"/>
      <c r="DYK408" s="268"/>
      <c r="DYL408" s="268"/>
      <c r="DYM408" s="268"/>
      <c r="DYN408" s="268"/>
      <c r="DYO408" s="268"/>
      <c r="DYP408" s="268"/>
      <c r="DYQ408" s="268"/>
      <c r="DYR408" s="268"/>
      <c r="DYS408" s="268"/>
      <c r="DYT408" s="268"/>
      <c r="DYU408" s="268"/>
      <c r="DYV408" s="268"/>
      <c r="DYW408" s="268"/>
      <c r="DYX408" s="268"/>
      <c r="DYY408" s="268"/>
      <c r="DYZ408" s="268"/>
      <c r="DZA408" s="268"/>
      <c r="DZB408" s="268"/>
      <c r="DZC408" s="268"/>
      <c r="DZD408" s="268"/>
      <c r="DZE408" s="268"/>
      <c r="DZF408" s="268"/>
      <c r="DZG408" s="268"/>
      <c r="DZH408" s="268"/>
      <c r="DZI408" s="268"/>
      <c r="DZJ408" s="268"/>
      <c r="DZK408" s="268"/>
      <c r="DZL408" s="268"/>
      <c r="DZM408" s="268"/>
      <c r="DZN408" s="268"/>
      <c r="DZO408" s="268"/>
      <c r="DZP408" s="268"/>
      <c r="DZQ408" s="268"/>
      <c r="DZR408" s="268"/>
      <c r="DZS408" s="268"/>
      <c r="DZT408" s="268"/>
      <c r="DZU408" s="268"/>
      <c r="DZV408" s="268"/>
      <c r="DZW408" s="268"/>
      <c r="DZX408" s="268"/>
      <c r="DZY408" s="268"/>
      <c r="DZZ408" s="268"/>
      <c r="EAA408" s="268"/>
      <c r="EAB408" s="268"/>
      <c r="EAC408" s="268"/>
      <c r="EAD408" s="268"/>
      <c r="EAE408" s="268"/>
      <c r="EAF408" s="268"/>
      <c r="EAG408" s="268"/>
      <c r="EAH408" s="268"/>
      <c r="EAI408" s="268"/>
      <c r="EAJ408" s="268"/>
      <c r="EAK408" s="268"/>
      <c r="EAL408" s="268"/>
      <c r="EAM408" s="268"/>
      <c r="EAN408" s="268"/>
      <c r="EAO408" s="268"/>
      <c r="EAP408" s="268"/>
      <c r="EAQ408" s="268"/>
      <c r="EAR408" s="268"/>
      <c r="EAS408" s="268"/>
      <c r="EAT408" s="268"/>
      <c r="EAU408" s="268"/>
      <c r="EAV408" s="268"/>
      <c r="EAW408" s="268"/>
      <c r="EAX408" s="268"/>
      <c r="EAY408" s="268"/>
      <c r="EAZ408" s="268"/>
      <c r="EBA408" s="268"/>
      <c r="EBB408" s="268"/>
      <c r="EBC408" s="268"/>
      <c r="EBD408" s="268"/>
      <c r="EBE408" s="268"/>
      <c r="EBF408" s="268"/>
      <c r="EBG408" s="268"/>
      <c r="EBH408" s="268"/>
      <c r="EBI408" s="268"/>
      <c r="EBJ408" s="268"/>
      <c r="EBK408" s="268"/>
      <c r="EBL408" s="268"/>
      <c r="EBM408" s="268"/>
      <c r="EBN408" s="268"/>
      <c r="EBO408" s="268"/>
      <c r="EBP408" s="268"/>
      <c r="EBQ408" s="268"/>
      <c r="EBR408" s="268"/>
      <c r="EBS408" s="268"/>
      <c r="EBT408" s="268"/>
      <c r="EBU408" s="268"/>
      <c r="EBV408" s="268"/>
      <c r="EBW408" s="268"/>
      <c r="EBX408" s="268"/>
      <c r="EBY408" s="268"/>
      <c r="EBZ408" s="268"/>
      <c r="ECA408" s="268"/>
      <c r="ECB408" s="268"/>
      <c r="ECC408" s="268"/>
      <c r="ECD408" s="268"/>
      <c r="ECE408" s="268"/>
      <c r="ECF408" s="268"/>
      <c r="ECG408" s="268"/>
      <c r="ECH408" s="268"/>
      <c r="ECI408" s="268"/>
      <c r="ECJ408" s="268"/>
      <c r="ECK408" s="268"/>
      <c r="ECL408" s="268"/>
      <c r="ECM408" s="268"/>
      <c r="ECN408" s="268"/>
      <c r="ECO408" s="268"/>
      <c r="ECP408" s="268"/>
      <c r="ECQ408" s="268"/>
      <c r="ECR408" s="268"/>
      <c r="ECS408" s="268"/>
      <c r="ECT408" s="268"/>
      <c r="ECU408" s="268"/>
      <c r="ECV408" s="268"/>
      <c r="ECW408" s="268"/>
      <c r="ECX408" s="268"/>
      <c r="ECY408" s="268"/>
      <c r="ECZ408" s="268"/>
      <c r="EDA408" s="268"/>
      <c r="EDB408" s="268"/>
      <c r="EDC408" s="268"/>
      <c r="EDD408" s="268"/>
      <c r="EDE408" s="268"/>
      <c r="EDF408" s="268"/>
      <c r="EDG408" s="268"/>
      <c r="EDH408" s="268"/>
      <c r="EDI408" s="268"/>
      <c r="EDJ408" s="268"/>
      <c r="EDK408" s="268"/>
      <c r="EDL408" s="268"/>
      <c r="EDM408" s="268"/>
      <c r="EDN408" s="268"/>
      <c r="EDO408" s="268"/>
      <c r="EDP408" s="268"/>
      <c r="EDQ408" s="268"/>
      <c r="EDR408" s="268"/>
      <c r="EDS408" s="268"/>
      <c r="EDT408" s="268"/>
      <c r="EDU408" s="268"/>
      <c r="EDV408" s="268"/>
      <c r="EDW408" s="268"/>
      <c r="EDX408" s="268"/>
      <c r="EDY408" s="268"/>
      <c r="EDZ408" s="268"/>
      <c r="EEA408" s="268"/>
      <c r="EEB408" s="268"/>
      <c r="EEC408" s="268"/>
      <c r="EED408" s="268"/>
      <c r="EEE408" s="268"/>
      <c r="EEF408" s="268"/>
      <c r="EEG408" s="268"/>
      <c r="EEH408" s="268"/>
      <c r="EEI408" s="268"/>
      <c r="EEJ408" s="268"/>
      <c r="EEK408" s="268"/>
      <c r="EEL408" s="268"/>
      <c r="EEM408" s="268"/>
      <c r="EEN408" s="268"/>
      <c r="EEO408" s="268"/>
      <c r="EEP408" s="268"/>
      <c r="EEQ408" s="268"/>
      <c r="EER408" s="268"/>
      <c r="EES408" s="268"/>
      <c r="EET408" s="268"/>
      <c r="EEU408" s="268"/>
      <c r="EEV408" s="268"/>
      <c r="EEW408" s="268"/>
      <c r="EEX408" s="268"/>
      <c r="EEY408" s="268"/>
      <c r="EEZ408" s="268"/>
      <c r="EFA408" s="268"/>
      <c r="EFB408" s="268"/>
      <c r="EFC408" s="268"/>
      <c r="EFD408" s="268"/>
      <c r="EFE408" s="268"/>
      <c r="EFF408" s="268"/>
      <c r="EFG408" s="268"/>
      <c r="EFH408" s="268"/>
      <c r="EFI408" s="268"/>
      <c r="EFJ408" s="268"/>
      <c r="EFK408" s="268"/>
      <c r="EFL408" s="268"/>
      <c r="EFM408" s="268"/>
      <c r="EFN408" s="268"/>
      <c r="EFO408" s="268"/>
      <c r="EFP408" s="268"/>
      <c r="EFQ408" s="268"/>
      <c r="EFR408" s="268"/>
      <c r="EFS408" s="268"/>
      <c r="EFT408" s="268"/>
      <c r="EFU408" s="268"/>
      <c r="EFV408" s="268"/>
      <c r="EFW408" s="268"/>
      <c r="EFX408" s="268"/>
      <c r="EFY408" s="268"/>
      <c r="EFZ408" s="268"/>
      <c r="EGA408" s="268"/>
      <c r="EGB408" s="268"/>
      <c r="EGC408" s="268"/>
      <c r="EGD408" s="268"/>
      <c r="EGE408" s="268"/>
      <c r="EGF408" s="268"/>
      <c r="EGG408" s="268"/>
      <c r="EGH408" s="268"/>
      <c r="EGI408" s="268"/>
      <c r="EGJ408" s="268"/>
      <c r="EGK408" s="268"/>
      <c r="EGL408" s="268"/>
      <c r="EGM408" s="268"/>
      <c r="EHA408" s="268"/>
      <c r="EHB408" s="268"/>
      <c r="EHC408" s="268"/>
      <c r="EHQ408" s="268"/>
      <c r="EHS408" s="268"/>
      <c r="EHT408" s="268"/>
      <c r="EHU408" s="268"/>
      <c r="EHV408" s="268"/>
      <c r="EHW408" s="268"/>
      <c r="EHX408" s="268"/>
      <c r="EHY408" s="268"/>
      <c r="EHZ408" s="268"/>
      <c r="EIA408" s="268"/>
      <c r="EIB408" s="268"/>
      <c r="EIC408" s="268"/>
      <c r="EID408" s="268"/>
      <c r="EIE408" s="268"/>
      <c r="EIF408" s="268"/>
      <c r="EIG408" s="268"/>
      <c r="EIH408" s="268"/>
      <c r="EII408" s="268"/>
      <c r="EIJ408" s="268"/>
      <c r="EIK408" s="268"/>
      <c r="EIL408" s="268"/>
      <c r="EIM408" s="268"/>
      <c r="EIN408" s="268"/>
      <c r="EIO408" s="268"/>
      <c r="EIP408" s="268"/>
      <c r="EIQ408" s="268"/>
      <c r="EIR408" s="268"/>
      <c r="EIS408" s="268"/>
      <c r="EIT408" s="268"/>
      <c r="EIU408" s="268"/>
      <c r="EIV408" s="268"/>
      <c r="EIW408" s="268"/>
      <c r="EIX408" s="268"/>
      <c r="EIY408" s="268"/>
      <c r="EIZ408" s="268"/>
      <c r="EJA408" s="268"/>
      <c r="EJB408" s="268"/>
      <c r="EJC408" s="268"/>
      <c r="EJD408" s="268"/>
      <c r="EJE408" s="268"/>
      <c r="EJF408" s="268"/>
      <c r="EJG408" s="268"/>
      <c r="EJH408" s="268"/>
      <c r="EJI408" s="268"/>
      <c r="EJJ408" s="268"/>
      <c r="EJK408" s="268"/>
      <c r="EJL408" s="268"/>
      <c r="EJM408" s="268"/>
      <c r="EJN408" s="268"/>
      <c r="EJO408" s="268"/>
      <c r="EJP408" s="268"/>
      <c r="EJQ408" s="268"/>
      <c r="EJR408" s="268"/>
      <c r="EJS408" s="268"/>
      <c r="EJT408" s="268"/>
      <c r="EJU408" s="268"/>
      <c r="EJV408" s="268"/>
      <c r="EJW408" s="268"/>
      <c r="EJX408" s="268"/>
      <c r="EJY408" s="268"/>
      <c r="EJZ408" s="268"/>
      <c r="EKA408" s="268"/>
      <c r="EKB408" s="268"/>
      <c r="EKC408" s="268"/>
      <c r="EKD408" s="268"/>
      <c r="EKE408" s="268"/>
      <c r="EKF408" s="268"/>
      <c r="EKG408" s="268"/>
      <c r="EKH408" s="268"/>
      <c r="EKI408" s="268"/>
      <c r="EKJ408" s="268"/>
      <c r="EKK408" s="268"/>
      <c r="EKL408" s="268"/>
      <c r="EKM408" s="268"/>
      <c r="EKN408" s="268"/>
      <c r="EKO408" s="268"/>
      <c r="EKP408" s="268"/>
      <c r="EKQ408" s="268"/>
      <c r="EKR408" s="268"/>
      <c r="EKS408" s="268"/>
      <c r="EKT408" s="268"/>
      <c r="EKU408" s="268"/>
      <c r="EKV408" s="268"/>
      <c r="EKW408" s="268"/>
      <c r="EKX408" s="268"/>
      <c r="EKY408" s="268"/>
      <c r="EKZ408" s="268"/>
      <c r="ELA408" s="268"/>
      <c r="ELB408" s="268"/>
      <c r="ELC408" s="268"/>
      <c r="ELD408" s="268"/>
      <c r="ELE408" s="268"/>
      <c r="ELF408" s="268"/>
      <c r="ELG408" s="268"/>
      <c r="ELH408" s="268"/>
      <c r="ELI408" s="268"/>
      <c r="ELJ408" s="268"/>
      <c r="ELK408" s="268"/>
      <c r="ELL408" s="268"/>
      <c r="ELM408" s="268"/>
      <c r="ELN408" s="268"/>
      <c r="ELO408" s="268"/>
      <c r="ELP408" s="268"/>
      <c r="ELQ408" s="268"/>
      <c r="ELR408" s="268"/>
      <c r="ELS408" s="268"/>
      <c r="ELT408" s="268"/>
      <c r="ELU408" s="268"/>
      <c r="ELV408" s="268"/>
      <c r="ELW408" s="268"/>
      <c r="ELX408" s="268"/>
      <c r="ELY408" s="268"/>
      <c r="ELZ408" s="268"/>
      <c r="EMA408" s="268"/>
      <c r="EMB408" s="268"/>
      <c r="EMC408" s="268"/>
      <c r="EMD408" s="268"/>
      <c r="EME408" s="268"/>
      <c r="EMF408" s="268"/>
      <c r="EMG408" s="268"/>
      <c r="EMH408" s="268"/>
      <c r="EMI408" s="268"/>
      <c r="EMJ408" s="268"/>
      <c r="EMK408" s="268"/>
      <c r="EML408" s="268"/>
      <c r="EMM408" s="268"/>
      <c r="EMN408" s="268"/>
      <c r="EMO408" s="268"/>
      <c r="EMP408" s="268"/>
      <c r="EMQ408" s="268"/>
      <c r="EMR408" s="268"/>
      <c r="EMS408" s="268"/>
      <c r="EMT408" s="268"/>
      <c r="EMU408" s="268"/>
      <c r="EMV408" s="268"/>
      <c r="EMW408" s="268"/>
      <c r="EMX408" s="268"/>
      <c r="EMY408" s="268"/>
      <c r="EMZ408" s="268"/>
      <c r="ENA408" s="268"/>
      <c r="ENB408" s="268"/>
      <c r="ENC408" s="268"/>
      <c r="END408" s="268"/>
      <c r="ENE408" s="268"/>
      <c r="ENF408" s="268"/>
      <c r="ENG408" s="268"/>
      <c r="ENH408" s="268"/>
      <c r="ENI408" s="268"/>
      <c r="ENJ408" s="268"/>
      <c r="ENK408" s="268"/>
      <c r="ENL408" s="268"/>
      <c r="ENM408" s="268"/>
      <c r="ENN408" s="268"/>
      <c r="ENO408" s="268"/>
      <c r="ENP408" s="268"/>
      <c r="ENQ408" s="268"/>
      <c r="ENR408" s="268"/>
      <c r="ENS408" s="268"/>
      <c r="ENT408" s="268"/>
      <c r="ENU408" s="268"/>
      <c r="ENV408" s="268"/>
      <c r="ENW408" s="268"/>
      <c r="ENX408" s="268"/>
      <c r="ENY408" s="268"/>
      <c r="ENZ408" s="268"/>
      <c r="EOA408" s="268"/>
      <c r="EOB408" s="268"/>
      <c r="EOC408" s="268"/>
      <c r="EOD408" s="268"/>
      <c r="EOE408" s="268"/>
      <c r="EOF408" s="268"/>
      <c r="EOG408" s="268"/>
      <c r="EOH408" s="268"/>
      <c r="EOI408" s="268"/>
      <c r="EOJ408" s="268"/>
      <c r="EOK408" s="268"/>
      <c r="EOL408" s="268"/>
      <c r="EOM408" s="268"/>
      <c r="EON408" s="268"/>
      <c r="EOO408" s="268"/>
      <c r="EOP408" s="268"/>
      <c r="EOQ408" s="268"/>
      <c r="EOR408" s="268"/>
      <c r="EOS408" s="268"/>
      <c r="EOT408" s="268"/>
      <c r="EOU408" s="268"/>
      <c r="EOV408" s="268"/>
      <c r="EOW408" s="268"/>
      <c r="EOX408" s="268"/>
      <c r="EOY408" s="268"/>
      <c r="EOZ408" s="268"/>
      <c r="EPA408" s="268"/>
      <c r="EPB408" s="268"/>
      <c r="EPC408" s="268"/>
      <c r="EPD408" s="268"/>
      <c r="EPE408" s="268"/>
      <c r="EPF408" s="268"/>
      <c r="EPG408" s="268"/>
      <c r="EPH408" s="268"/>
      <c r="EPI408" s="268"/>
      <c r="EPJ408" s="268"/>
      <c r="EPK408" s="268"/>
      <c r="EPL408" s="268"/>
      <c r="EPM408" s="268"/>
      <c r="EPN408" s="268"/>
      <c r="EPO408" s="268"/>
      <c r="EPP408" s="268"/>
      <c r="EPQ408" s="268"/>
      <c r="EPR408" s="268"/>
      <c r="EPS408" s="268"/>
      <c r="EPT408" s="268"/>
      <c r="EPU408" s="268"/>
      <c r="EPV408" s="268"/>
      <c r="EPW408" s="268"/>
      <c r="EPX408" s="268"/>
      <c r="EPY408" s="268"/>
      <c r="EPZ408" s="268"/>
      <c r="EQA408" s="268"/>
      <c r="EQB408" s="268"/>
      <c r="EQC408" s="268"/>
      <c r="EQD408" s="268"/>
      <c r="EQE408" s="268"/>
      <c r="EQF408" s="268"/>
      <c r="EQG408" s="268"/>
      <c r="EQH408" s="268"/>
      <c r="EQI408" s="268"/>
      <c r="EQW408" s="268"/>
      <c r="EQX408" s="268"/>
      <c r="EQY408" s="268"/>
      <c r="ERM408" s="268"/>
      <c r="ERO408" s="268"/>
      <c r="ERP408" s="268"/>
      <c r="ERQ408" s="268"/>
      <c r="ERR408" s="268"/>
      <c r="ERS408" s="268"/>
      <c r="ERT408" s="268"/>
      <c r="ERU408" s="268"/>
      <c r="ERV408" s="268"/>
      <c r="ERW408" s="268"/>
      <c r="ERX408" s="268"/>
      <c r="ERY408" s="268"/>
      <c r="ERZ408" s="268"/>
      <c r="ESA408" s="268"/>
      <c r="ESB408" s="268"/>
      <c r="ESC408" s="268"/>
      <c r="ESD408" s="268"/>
      <c r="ESE408" s="268"/>
      <c r="ESF408" s="268"/>
      <c r="ESG408" s="268"/>
      <c r="ESH408" s="268"/>
      <c r="ESI408" s="268"/>
      <c r="ESJ408" s="268"/>
      <c r="ESK408" s="268"/>
      <c r="ESL408" s="268"/>
      <c r="ESM408" s="268"/>
      <c r="ESN408" s="268"/>
      <c r="ESO408" s="268"/>
      <c r="ESP408" s="268"/>
      <c r="ESQ408" s="268"/>
      <c r="ESR408" s="268"/>
      <c r="ESS408" s="268"/>
      <c r="EST408" s="268"/>
      <c r="ESU408" s="268"/>
      <c r="ESV408" s="268"/>
      <c r="ESW408" s="268"/>
      <c r="ESX408" s="268"/>
      <c r="ESY408" s="268"/>
      <c r="ESZ408" s="268"/>
      <c r="ETA408" s="268"/>
      <c r="ETB408" s="268"/>
      <c r="ETC408" s="268"/>
      <c r="ETD408" s="268"/>
      <c r="ETE408" s="268"/>
      <c r="ETF408" s="268"/>
      <c r="ETG408" s="268"/>
      <c r="ETH408" s="268"/>
      <c r="ETI408" s="268"/>
      <c r="ETJ408" s="268"/>
      <c r="ETK408" s="268"/>
      <c r="ETL408" s="268"/>
      <c r="ETM408" s="268"/>
      <c r="ETN408" s="268"/>
      <c r="ETO408" s="268"/>
      <c r="ETP408" s="268"/>
      <c r="ETQ408" s="268"/>
      <c r="ETR408" s="268"/>
      <c r="ETS408" s="268"/>
      <c r="ETT408" s="268"/>
      <c r="ETU408" s="268"/>
      <c r="ETV408" s="268"/>
      <c r="ETW408" s="268"/>
      <c r="ETX408" s="268"/>
      <c r="ETY408" s="268"/>
      <c r="ETZ408" s="268"/>
      <c r="EUA408" s="268"/>
      <c r="EUB408" s="268"/>
      <c r="EUC408" s="268"/>
      <c r="EUD408" s="268"/>
      <c r="EUE408" s="268"/>
      <c r="EUF408" s="268"/>
      <c r="EUG408" s="268"/>
      <c r="EUH408" s="268"/>
      <c r="EUI408" s="268"/>
      <c r="EUJ408" s="268"/>
      <c r="EUK408" s="268"/>
      <c r="EUL408" s="268"/>
      <c r="EUM408" s="268"/>
      <c r="EUN408" s="268"/>
      <c r="EUO408" s="268"/>
      <c r="EUP408" s="268"/>
      <c r="EUQ408" s="268"/>
      <c r="EUR408" s="268"/>
      <c r="EUS408" s="268"/>
      <c r="EUT408" s="268"/>
      <c r="EUU408" s="268"/>
      <c r="EUV408" s="268"/>
      <c r="EUW408" s="268"/>
      <c r="EUX408" s="268"/>
      <c r="EUY408" s="268"/>
      <c r="EUZ408" s="268"/>
      <c r="EVA408" s="268"/>
      <c r="EVB408" s="268"/>
      <c r="EVC408" s="268"/>
      <c r="EVD408" s="268"/>
      <c r="EVE408" s="268"/>
      <c r="EVF408" s="268"/>
      <c r="EVG408" s="268"/>
      <c r="EVH408" s="268"/>
      <c r="EVI408" s="268"/>
      <c r="EVJ408" s="268"/>
      <c r="EVK408" s="268"/>
      <c r="EVL408" s="268"/>
      <c r="EVM408" s="268"/>
      <c r="EVN408" s="268"/>
      <c r="EVO408" s="268"/>
      <c r="EVP408" s="268"/>
      <c r="EVQ408" s="268"/>
      <c r="EVR408" s="268"/>
      <c r="EVS408" s="268"/>
      <c r="EVT408" s="268"/>
      <c r="EVU408" s="268"/>
      <c r="EVV408" s="268"/>
      <c r="EVW408" s="268"/>
      <c r="EVX408" s="268"/>
      <c r="EVY408" s="268"/>
      <c r="EVZ408" s="268"/>
      <c r="EWA408" s="268"/>
      <c r="EWB408" s="268"/>
      <c r="EWC408" s="268"/>
      <c r="EWD408" s="268"/>
      <c r="EWE408" s="268"/>
      <c r="EWF408" s="268"/>
      <c r="EWG408" s="268"/>
      <c r="EWH408" s="268"/>
      <c r="EWI408" s="268"/>
      <c r="EWJ408" s="268"/>
      <c r="EWK408" s="268"/>
      <c r="EWL408" s="268"/>
      <c r="EWM408" s="268"/>
      <c r="EWN408" s="268"/>
      <c r="EWO408" s="268"/>
      <c r="EWP408" s="268"/>
      <c r="EWQ408" s="268"/>
      <c r="EWR408" s="268"/>
      <c r="EWS408" s="268"/>
      <c r="EWT408" s="268"/>
      <c r="EWU408" s="268"/>
      <c r="EWV408" s="268"/>
      <c r="EWW408" s="268"/>
      <c r="EWX408" s="268"/>
      <c r="EWY408" s="268"/>
      <c r="EWZ408" s="268"/>
      <c r="EXA408" s="268"/>
      <c r="EXB408" s="268"/>
      <c r="EXC408" s="268"/>
      <c r="EXD408" s="268"/>
      <c r="EXE408" s="268"/>
      <c r="EXF408" s="268"/>
      <c r="EXG408" s="268"/>
      <c r="EXH408" s="268"/>
      <c r="EXI408" s="268"/>
      <c r="EXJ408" s="268"/>
      <c r="EXK408" s="268"/>
      <c r="EXL408" s="268"/>
      <c r="EXM408" s="268"/>
      <c r="EXN408" s="268"/>
      <c r="EXO408" s="268"/>
      <c r="EXP408" s="268"/>
      <c r="EXQ408" s="268"/>
      <c r="EXR408" s="268"/>
      <c r="EXS408" s="268"/>
      <c r="EXT408" s="268"/>
      <c r="EXU408" s="268"/>
      <c r="EXV408" s="268"/>
      <c r="EXW408" s="268"/>
      <c r="EXX408" s="268"/>
      <c r="EXY408" s="268"/>
      <c r="EXZ408" s="268"/>
      <c r="EYA408" s="268"/>
      <c r="EYB408" s="268"/>
      <c r="EYC408" s="268"/>
      <c r="EYD408" s="268"/>
      <c r="EYE408" s="268"/>
      <c r="EYF408" s="268"/>
      <c r="EYG408" s="268"/>
      <c r="EYH408" s="268"/>
      <c r="EYI408" s="268"/>
      <c r="EYJ408" s="268"/>
      <c r="EYK408" s="268"/>
      <c r="EYL408" s="268"/>
      <c r="EYM408" s="268"/>
      <c r="EYN408" s="268"/>
      <c r="EYO408" s="268"/>
      <c r="EYP408" s="268"/>
      <c r="EYQ408" s="268"/>
      <c r="EYR408" s="268"/>
      <c r="EYS408" s="268"/>
      <c r="EYT408" s="268"/>
      <c r="EYU408" s="268"/>
      <c r="EYV408" s="268"/>
      <c r="EYW408" s="268"/>
      <c r="EYX408" s="268"/>
      <c r="EYY408" s="268"/>
      <c r="EYZ408" s="268"/>
      <c r="EZA408" s="268"/>
      <c r="EZB408" s="268"/>
      <c r="EZC408" s="268"/>
      <c r="EZD408" s="268"/>
      <c r="EZE408" s="268"/>
      <c r="EZF408" s="268"/>
      <c r="EZG408" s="268"/>
      <c r="EZH408" s="268"/>
      <c r="EZI408" s="268"/>
      <c r="EZJ408" s="268"/>
      <c r="EZK408" s="268"/>
      <c r="EZL408" s="268"/>
      <c r="EZM408" s="268"/>
      <c r="EZN408" s="268"/>
      <c r="EZO408" s="268"/>
      <c r="EZP408" s="268"/>
      <c r="EZQ408" s="268"/>
      <c r="EZR408" s="268"/>
      <c r="EZS408" s="268"/>
      <c r="EZT408" s="268"/>
      <c r="EZU408" s="268"/>
      <c r="EZV408" s="268"/>
      <c r="EZW408" s="268"/>
      <c r="EZX408" s="268"/>
      <c r="EZY408" s="268"/>
      <c r="EZZ408" s="268"/>
      <c r="FAA408" s="268"/>
      <c r="FAB408" s="268"/>
      <c r="FAC408" s="268"/>
      <c r="FAD408" s="268"/>
      <c r="FAE408" s="268"/>
      <c r="FAS408" s="268"/>
      <c r="FAT408" s="268"/>
      <c r="FAU408" s="268"/>
      <c r="FBI408" s="268"/>
      <c r="FBK408" s="268"/>
      <c r="FBL408" s="268"/>
      <c r="FBM408" s="268"/>
      <c r="FBN408" s="268"/>
      <c r="FBO408" s="268"/>
      <c r="FBP408" s="268"/>
      <c r="FBQ408" s="268"/>
      <c r="FBR408" s="268"/>
      <c r="FBS408" s="268"/>
      <c r="FBT408" s="268"/>
      <c r="FBU408" s="268"/>
      <c r="FBV408" s="268"/>
      <c r="FBW408" s="268"/>
      <c r="FBX408" s="268"/>
      <c r="FBY408" s="268"/>
      <c r="FBZ408" s="268"/>
      <c r="FCA408" s="268"/>
      <c r="FCB408" s="268"/>
      <c r="FCC408" s="268"/>
      <c r="FCD408" s="268"/>
      <c r="FCE408" s="268"/>
      <c r="FCF408" s="268"/>
      <c r="FCG408" s="268"/>
      <c r="FCH408" s="268"/>
      <c r="FCI408" s="268"/>
      <c r="FCJ408" s="268"/>
      <c r="FCK408" s="268"/>
      <c r="FCL408" s="268"/>
      <c r="FCM408" s="268"/>
      <c r="FCN408" s="268"/>
      <c r="FCO408" s="268"/>
      <c r="FCP408" s="268"/>
      <c r="FCQ408" s="268"/>
      <c r="FCR408" s="268"/>
      <c r="FCS408" s="268"/>
      <c r="FCT408" s="268"/>
      <c r="FCU408" s="268"/>
      <c r="FCV408" s="268"/>
      <c r="FCW408" s="268"/>
      <c r="FCX408" s="268"/>
      <c r="FCY408" s="268"/>
      <c r="FCZ408" s="268"/>
      <c r="FDA408" s="268"/>
      <c r="FDB408" s="268"/>
      <c r="FDC408" s="268"/>
      <c r="FDD408" s="268"/>
      <c r="FDE408" s="268"/>
      <c r="FDF408" s="268"/>
      <c r="FDG408" s="268"/>
      <c r="FDH408" s="268"/>
      <c r="FDI408" s="268"/>
      <c r="FDJ408" s="268"/>
      <c r="FDK408" s="268"/>
      <c r="FDL408" s="268"/>
      <c r="FDM408" s="268"/>
      <c r="FDN408" s="268"/>
      <c r="FDO408" s="268"/>
      <c r="FDP408" s="268"/>
      <c r="FDQ408" s="268"/>
      <c r="FDR408" s="268"/>
      <c r="FDS408" s="268"/>
      <c r="FDT408" s="268"/>
      <c r="FDU408" s="268"/>
      <c r="FDV408" s="268"/>
      <c r="FDW408" s="268"/>
      <c r="FDX408" s="268"/>
      <c r="FDY408" s="268"/>
      <c r="FDZ408" s="268"/>
      <c r="FEA408" s="268"/>
      <c r="FEB408" s="268"/>
      <c r="FEC408" s="268"/>
      <c r="FED408" s="268"/>
      <c r="FEE408" s="268"/>
      <c r="FEF408" s="268"/>
      <c r="FEG408" s="268"/>
      <c r="FEH408" s="268"/>
      <c r="FEI408" s="268"/>
      <c r="FEJ408" s="268"/>
      <c r="FEK408" s="268"/>
      <c r="FEL408" s="268"/>
      <c r="FEM408" s="268"/>
      <c r="FEN408" s="268"/>
      <c r="FEO408" s="268"/>
      <c r="FEP408" s="268"/>
      <c r="FEQ408" s="268"/>
      <c r="FER408" s="268"/>
      <c r="FES408" s="268"/>
      <c r="FET408" s="268"/>
      <c r="FEU408" s="268"/>
      <c r="FEV408" s="268"/>
      <c r="FEW408" s="268"/>
      <c r="FEX408" s="268"/>
      <c r="FEY408" s="268"/>
      <c r="FEZ408" s="268"/>
      <c r="FFA408" s="268"/>
      <c r="FFB408" s="268"/>
      <c r="FFC408" s="268"/>
      <c r="FFD408" s="268"/>
      <c r="FFE408" s="268"/>
      <c r="FFF408" s="268"/>
      <c r="FFG408" s="268"/>
      <c r="FFH408" s="268"/>
      <c r="FFI408" s="268"/>
      <c r="FFJ408" s="268"/>
      <c r="FFK408" s="268"/>
      <c r="FFL408" s="268"/>
      <c r="FFM408" s="268"/>
      <c r="FFN408" s="268"/>
      <c r="FFO408" s="268"/>
      <c r="FFP408" s="268"/>
      <c r="FFQ408" s="268"/>
      <c r="FFR408" s="268"/>
      <c r="FFS408" s="268"/>
      <c r="FFT408" s="268"/>
      <c r="FFU408" s="268"/>
      <c r="FFV408" s="268"/>
      <c r="FFW408" s="268"/>
      <c r="FFX408" s="268"/>
      <c r="FFY408" s="268"/>
      <c r="FFZ408" s="268"/>
      <c r="FGA408" s="268"/>
      <c r="FGB408" s="268"/>
      <c r="FGC408" s="268"/>
      <c r="FGD408" s="268"/>
      <c r="FGE408" s="268"/>
      <c r="FGF408" s="268"/>
      <c r="FGG408" s="268"/>
      <c r="FGH408" s="268"/>
      <c r="FGI408" s="268"/>
      <c r="FGJ408" s="268"/>
      <c r="FGK408" s="268"/>
      <c r="FGL408" s="268"/>
      <c r="FGM408" s="268"/>
      <c r="FGN408" s="268"/>
      <c r="FGO408" s="268"/>
      <c r="FGP408" s="268"/>
      <c r="FGQ408" s="268"/>
      <c r="FGR408" s="268"/>
      <c r="FGS408" s="268"/>
      <c r="FGT408" s="268"/>
      <c r="FGU408" s="268"/>
      <c r="FGV408" s="268"/>
      <c r="FGW408" s="268"/>
      <c r="FGX408" s="268"/>
      <c r="FGY408" s="268"/>
      <c r="FGZ408" s="268"/>
      <c r="FHA408" s="268"/>
      <c r="FHB408" s="268"/>
      <c r="FHC408" s="268"/>
      <c r="FHD408" s="268"/>
      <c r="FHE408" s="268"/>
      <c r="FHF408" s="268"/>
      <c r="FHG408" s="268"/>
      <c r="FHH408" s="268"/>
      <c r="FHI408" s="268"/>
      <c r="FHJ408" s="268"/>
      <c r="FHK408" s="268"/>
      <c r="FHL408" s="268"/>
      <c r="FHM408" s="268"/>
      <c r="FHN408" s="268"/>
      <c r="FHO408" s="268"/>
      <c r="FHP408" s="268"/>
      <c r="FHQ408" s="268"/>
      <c r="FHR408" s="268"/>
      <c r="FHS408" s="268"/>
      <c r="FHT408" s="268"/>
      <c r="FHU408" s="268"/>
      <c r="FHV408" s="268"/>
      <c r="FHW408" s="268"/>
      <c r="FHX408" s="268"/>
      <c r="FHY408" s="268"/>
      <c r="FHZ408" s="268"/>
      <c r="FIA408" s="268"/>
      <c r="FIB408" s="268"/>
      <c r="FIC408" s="268"/>
      <c r="FID408" s="268"/>
      <c r="FIE408" s="268"/>
      <c r="FIF408" s="268"/>
      <c r="FIG408" s="268"/>
      <c r="FIH408" s="268"/>
      <c r="FII408" s="268"/>
      <c r="FIJ408" s="268"/>
      <c r="FIK408" s="268"/>
      <c r="FIL408" s="268"/>
      <c r="FIM408" s="268"/>
      <c r="FIN408" s="268"/>
      <c r="FIO408" s="268"/>
      <c r="FIP408" s="268"/>
      <c r="FIQ408" s="268"/>
      <c r="FIR408" s="268"/>
      <c r="FIS408" s="268"/>
      <c r="FIT408" s="268"/>
      <c r="FIU408" s="268"/>
      <c r="FIV408" s="268"/>
      <c r="FIW408" s="268"/>
      <c r="FIX408" s="268"/>
      <c r="FIY408" s="268"/>
      <c r="FIZ408" s="268"/>
      <c r="FJA408" s="268"/>
      <c r="FJB408" s="268"/>
      <c r="FJC408" s="268"/>
      <c r="FJD408" s="268"/>
      <c r="FJE408" s="268"/>
      <c r="FJF408" s="268"/>
      <c r="FJG408" s="268"/>
      <c r="FJH408" s="268"/>
      <c r="FJI408" s="268"/>
      <c r="FJJ408" s="268"/>
      <c r="FJK408" s="268"/>
      <c r="FJL408" s="268"/>
      <c r="FJM408" s="268"/>
      <c r="FJN408" s="268"/>
      <c r="FJO408" s="268"/>
      <c r="FJP408" s="268"/>
      <c r="FJQ408" s="268"/>
      <c r="FJR408" s="268"/>
      <c r="FJS408" s="268"/>
      <c r="FJT408" s="268"/>
      <c r="FJU408" s="268"/>
      <c r="FJV408" s="268"/>
      <c r="FJW408" s="268"/>
      <c r="FJX408" s="268"/>
      <c r="FJY408" s="268"/>
      <c r="FJZ408" s="268"/>
      <c r="FKA408" s="268"/>
      <c r="FKO408" s="268"/>
      <c r="FKP408" s="268"/>
      <c r="FKQ408" s="268"/>
      <c r="FLE408" s="268"/>
      <c r="FLG408" s="268"/>
      <c r="FLH408" s="268"/>
      <c r="FLI408" s="268"/>
      <c r="FLJ408" s="268"/>
      <c r="FLK408" s="268"/>
      <c r="FLL408" s="268"/>
      <c r="FLM408" s="268"/>
      <c r="FLN408" s="268"/>
      <c r="FLO408" s="268"/>
      <c r="FLP408" s="268"/>
      <c r="FLQ408" s="268"/>
      <c r="FLR408" s="268"/>
      <c r="FLS408" s="268"/>
      <c r="FLT408" s="268"/>
      <c r="FLU408" s="268"/>
      <c r="FLV408" s="268"/>
      <c r="FLW408" s="268"/>
      <c r="FLX408" s="268"/>
      <c r="FLY408" s="268"/>
      <c r="FLZ408" s="268"/>
      <c r="FMA408" s="268"/>
      <c r="FMB408" s="268"/>
      <c r="FMC408" s="268"/>
      <c r="FMD408" s="268"/>
      <c r="FME408" s="268"/>
      <c r="FMF408" s="268"/>
      <c r="FMG408" s="268"/>
      <c r="FMH408" s="268"/>
      <c r="FMI408" s="268"/>
      <c r="FMJ408" s="268"/>
      <c r="FMK408" s="268"/>
      <c r="FML408" s="268"/>
      <c r="FMM408" s="268"/>
      <c r="FMN408" s="268"/>
      <c r="FMO408" s="268"/>
      <c r="FMP408" s="268"/>
      <c r="FMQ408" s="268"/>
      <c r="FMR408" s="268"/>
      <c r="FMS408" s="268"/>
      <c r="FMT408" s="268"/>
      <c r="FMU408" s="268"/>
      <c r="FMV408" s="268"/>
      <c r="FMW408" s="268"/>
      <c r="FMX408" s="268"/>
      <c r="FMY408" s="268"/>
      <c r="FMZ408" s="268"/>
      <c r="FNA408" s="268"/>
      <c r="FNB408" s="268"/>
      <c r="FNC408" s="268"/>
      <c r="FND408" s="268"/>
      <c r="FNE408" s="268"/>
      <c r="FNF408" s="268"/>
      <c r="FNG408" s="268"/>
      <c r="FNH408" s="268"/>
      <c r="FNI408" s="268"/>
      <c r="FNJ408" s="268"/>
      <c r="FNK408" s="268"/>
      <c r="FNL408" s="268"/>
      <c r="FNM408" s="268"/>
      <c r="FNN408" s="268"/>
      <c r="FNO408" s="268"/>
      <c r="FNP408" s="268"/>
      <c r="FNQ408" s="268"/>
      <c r="FNR408" s="268"/>
      <c r="FNS408" s="268"/>
      <c r="FNT408" s="268"/>
      <c r="FNU408" s="268"/>
      <c r="FNV408" s="268"/>
      <c r="FNW408" s="268"/>
      <c r="FNX408" s="268"/>
      <c r="FNY408" s="268"/>
      <c r="FNZ408" s="268"/>
      <c r="FOA408" s="268"/>
      <c r="FOB408" s="268"/>
      <c r="FOC408" s="268"/>
      <c r="FOD408" s="268"/>
      <c r="FOE408" s="268"/>
      <c r="FOF408" s="268"/>
      <c r="FOG408" s="268"/>
      <c r="FOH408" s="268"/>
      <c r="FOI408" s="268"/>
      <c r="FOJ408" s="268"/>
      <c r="FOK408" s="268"/>
      <c r="FOL408" s="268"/>
      <c r="FOM408" s="268"/>
      <c r="FON408" s="268"/>
      <c r="FOO408" s="268"/>
      <c r="FOP408" s="268"/>
      <c r="FOQ408" s="268"/>
      <c r="FOR408" s="268"/>
      <c r="FOS408" s="268"/>
      <c r="FOT408" s="268"/>
      <c r="FOU408" s="268"/>
      <c r="FOV408" s="268"/>
      <c r="FOW408" s="268"/>
      <c r="FOX408" s="268"/>
      <c r="FOY408" s="268"/>
      <c r="FOZ408" s="268"/>
      <c r="FPA408" s="268"/>
      <c r="FPB408" s="268"/>
      <c r="FPC408" s="268"/>
      <c r="FPD408" s="268"/>
      <c r="FPE408" s="268"/>
      <c r="FPF408" s="268"/>
      <c r="FPG408" s="268"/>
      <c r="FPH408" s="268"/>
      <c r="FPI408" s="268"/>
      <c r="FPJ408" s="268"/>
      <c r="FPK408" s="268"/>
      <c r="FPL408" s="268"/>
      <c r="FPM408" s="268"/>
      <c r="FPN408" s="268"/>
      <c r="FPO408" s="268"/>
      <c r="FPP408" s="268"/>
      <c r="FPQ408" s="268"/>
      <c r="FPR408" s="268"/>
      <c r="FPS408" s="268"/>
      <c r="FPT408" s="268"/>
      <c r="FPU408" s="268"/>
      <c r="FPV408" s="268"/>
      <c r="FPW408" s="268"/>
      <c r="FPX408" s="268"/>
      <c r="FPY408" s="268"/>
      <c r="FPZ408" s="268"/>
      <c r="FQA408" s="268"/>
      <c r="FQB408" s="268"/>
      <c r="FQC408" s="268"/>
      <c r="FQD408" s="268"/>
      <c r="FQE408" s="268"/>
      <c r="FQF408" s="268"/>
      <c r="FQG408" s="268"/>
      <c r="FQH408" s="268"/>
      <c r="FQI408" s="268"/>
      <c r="FQJ408" s="268"/>
      <c r="FQK408" s="268"/>
      <c r="FQL408" s="268"/>
      <c r="FQM408" s="268"/>
      <c r="FQN408" s="268"/>
      <c r="FQO408" s="268"/>
      <c r="FQP408" s="268"/>
      <c r="FQQ408" s="268"/>
      <c r="FQR408" s="268"/>
      <c r="FQS408" s="268"/>
      <c r="FQT408" s="268"/>
      <c r="FQU408" s="268"/>
      <c r="FQV408" s="268"/>
      <c r="FQW408" s="268"/>
      <c r="FQX408" s="268"/>
      <c r="FQY408" s="268"/>
      <c r="FQZ408" s="268"/>
      <c r="FRA408" s="268"/>
      <c r="FRB408" s="268"/>
      <c r="FRC408" s="268"/>
      <c r="FRD408" s="268"/>
      <c r="FRE408" s="268"/>
      <c r="FRF408" s="268"/>
      <c r="FRG408" s="268"/>
      <c r="FRH408" s="268"/>
      <c r="FRI408" s="268"/>
      <c r="FRJ408" s="268"/>
      <c r="FRK408" s="268"/>
      <c r="FRL408" s="268"/>
      <c r="FRM408" s="268"/>
      <c r="FRN408" s="268"/>
      <c r="FRO408" s="268"/>
      <c r="FRP408" s="268"/>
      <c r="FRQ408" s="268"/>
      <c r="FRR408" s="268"/>
      <c r="FRS408" s="268"/>
      <c r="FRT408" s="268"/>
      <c r="FRU408" s="268"/>
      <c r="FRV408" s="268"/>
      <c r="FRW408" s="268"/>
      <c r="FRX408" s="268"/>
      <c r="FRY408" s="268"/>
      <c r="FRZ408" s="268"/>
      <c r="FSA408" s="268"/>
      <c r="FSB408" s="268"/>
      <c r="FSC408" s="268"/>
      <c r="FSD408" s="268"/>
      <c r="FSE408" s="268"/>
      <c r="FSF408" s="268"/>
      <c r="FSG408" s="268"/>
      <c r="FSH408" s="268"/>
      <c r="FSI408" s="268"/>
      <c r="FSJ408" s="268"/>
      <c r="FSK408" s="268"/>
      <c r="FSL408" s="268"/>
      <c r="FSM408" s="268"/>
      <c r="FSN408" s="268"/>
      <c r="FSO408" s="268"/>
      <c r="FSP408" s="268"/>
      <c r="FSQ408" s="268"/>
      <c r="FSR408" s="268"/>
      <c r="FSS408" s="268"/>
      <c r="FST408" s="268"/>
      <c r="FSU408" s="268"/>
      <c r="FSV408" s="268"/>
      <c r="FSW408" s="268"/>
      <c r="FSX408" s="268"/>
      <c r="FSY408" s="268"/>
      <c r="FSZ408" s="268"/>
      <c r="FTA408" s="268"/>
      <c r="FTB408" s="268"/>
      <c r="FTC408" s="268"/>
      <c r="FTD408" s="268"/>
      <c r="FTE408" s="268"/>
      <c r="FTF408" s="268"/>
      <c r="FTG408" s="268"/>
      <c r="FTH408" s="268"/>
      <c r="FTI408" s="268"/>
      <c r="FTJ408" s="268"/>
      <c r="FTK408" s="268"/>
      <c r="FTL408" s="268"/>
      <c r="FTM408" s="268"/>
      <c r="FTN408" s="268"/>
      <c r="FTO408" s="268"/>
      <c r="FTP408" s="268"/>
      <c r="FTQ408" s="268"/>
      <c r="FTR408" s="268"/>
      <c r="FTS408" s="268"/>
      <c r="FTT408" s="268"/>
      <c r="FTU408" s="268"/>
      <c r="FTV408" s="268"/>
      <c r="FTW408" s="268"/>
      <c r="FUK408" s="268"/>
      <c r="FUL408" s="268"/>
      <c r="FUM408" s="268"/>
      <c r="FVA408" s="268"/>
      <c r="FVC408" s="268"/>
      <c r="FVD408" s="268"/>
      <c r="FVE408" s="268"/>
      <c r="FVF408" s="268"/>
      <c r="FVG408" s="268"/>
      <c r="FVH408" s="268"/>
      <c r="FVI408" s="268"/>
      <c r="FVJ408" s="268"/>
      <c r="FVK408" s="268"/>
      <c r="FVL408" s="268"/>
      <c r="FVM408" s="268"/>
      <c r="FVN408" s="268"/>
      <c r="FVO408" s="268"/>
      <c r="FVP408" s="268"/>
      <c r="FVQ408" s="268"/>
      <c r="FVR408" s="268"/>
      <c r="FVS408" s="268"/>
      <c r="FVT408" s="268"/>
      <c r="FVU408" s="268"/>
      <c r="FVV408" s="268"/>
      <c r="FVW408" s="268"/>
      <c r="FVX408" s="268"/>
      <c r="FVY408" s="268"/>
      <c r="FVZ408" s="268"/>
      <c r="FWA408" s="268"/>
      <c r="FWB408" s="268"/>
      <c r="FWC408" s="268"/>
      <c r="FWD408" s="268"/>
      <c r="FWE408" s="268"/>
      <c r="FWF408" s="268"/>
      <c r="FWG408" s="268"/>
      <c r="FWH408" s="268"/>
      <c r="FWI408" s="268"/>
      <c r="FWJ408" s="268"/>
      <c r="FWK408" s="268"/>
      <c r="FWL408" s="268"/>
      <c r="FWM408" s="268"/>
      <c r="FWN408" s="268"/>
      <c r="FWO408" s="268"/>
      <c r="FWP408" s="268"/>
      <c r="FWQ408" s="268"/>
      <c r="FWR408" s="268"/>
      <c r="FWS408" s="268"/>
      <c r="FWT408" s="268"/>
      <c r="FWU408" s="268"/>
      <c r="FWV408" s="268"/>
      <c r="FWW408" s="268"/>
      <c r="FWX408" s="268"/>
      <c r="FWY408" s="268"/>
      <c r="FWZ408" s="268"/>
      <c r="FXA408" s="268"/>
      <c r="FXB408" s="268"/>
      <c r="FXC408" s="268"/>
      <c r="FXD408" s="268"/>
      <c r="FXE408" s="268"/>
      <c r="FXF408" s="268"/>
      <c r="FXG408" s="268"/>
      <c r="FXH408" s="268"/>
      <c r="FXI408" s="268"/>
      <c r="FXJ408" s="268"/>
      <c r="FXK408" s="268"/>
      <c r="FXL408" s="268"/>
      <c r="FXM408" s="268"/>
      <c r="FXN408" s="268"/>
      <c r="FXO408" s="268"/>
      <c r="FXP408" s="268"/>
      <c r="FXQ408" s="268"/>
      <c r="FXR408" s="268"/>
      <c r="FXS408" s="268"/>
      <c r="FXT408" s="268"/>
      <c r="FXU408" s="268"/>
      <c r="FXV408" s="268"/>
      <c r="FXW408" s="268"/>
      <c r="FXX408" s="268"/>
      <c r="FXY408" s="268"/>
      <c r="FXZ408" s="268"/>
      <c r="FYA408" s="268"/>
      <c r="FYB408" s="268"/>
      <c r="FYC408" s="268"/>
      <c r="FYD408" s="268"/>
      <c r="FYE408" s="268"/>
      <c r="FYF408" s="268"/>
      <c r="FYG408" s="268"/>
      <c r="FYH408" s="268"/>
      <c r="FYI408" s="268"/>
      <c r="FYJ408" s="268"/>
      <c r="FYK408" s="268"/>
      <c r="FYL408" s="268"/>
      <c r="FYM408" s="268"/>
      <c r="FYN408" s="268"/>
      <c r="FYO408" s="268"/>
      <c r="FYP408" s="268"/>
      <c r="FYQ408" s="268"/>
      <c r="FYR408" s="268"/>
      <c r="FYS408" s="268"/>
      <c r="FYT408" s="268"/>
      <c r="FYU408" s="268"/>
      <c r="FYV408" s="268"/>
      <c r="FYW408" s="268"/>
      <c r="FYX408" s="268"/>
      <c r="FYY408" s="268"/>
      <c r="FYZ408" s="268"/>
      <c r="FZA408" s="268"/>
      <c r="FZB408" s="268"/>
      <c r="FZC408" s="268"/>
      <c r="FZD408" s="268"/>
      <c r="FZE408" s="268"/>
      <c r="FZF408" s="268"/>
      <c r="FZG408" s="268"/>
      <c r="FZH408" s="268"/>
      <c r="FZI408" s="268"/>
      <c r="FZJ408" s="268"/>
      <c r="FZK408" s="268"/>
      <c r="FZL408" s="268"/>
      <c r="FZM408" s="268"/>
      <c r="FZN408" s="268"/>
      <c r="FZO408" s="268"/>
      <c r="FZP408" s="268"/>
      <c r="FZQ408" s="268"/>
      <c r="FZR408" s="268"/>
      <c r="FZS408" s="268"/>
      <c r="FZT408" s="268"/>
      <c r="FZU408" s="268"/>
      <c r="FZV408" s="268"/>
      <c r="FZW408" s="268"/>
      <c r="FZX408" s="268"/>
      <c r="FZY408" s="268"/>
      <c r="FZZ408" s="268"/>
      <c r="GAA408" s="268"/>
      <c r="GAB408" s="268"/>
      <c r="GAC408" s="268"/>
      <c r="GAD408" s="268"/>
      <c r="GAE408" s="268"/>
      <c r="GAF408" s="268"/>
      <c r="GAG408" s="268"/>
      <c r="GAH408" s="268"/>
      <c r="GAI408" s="268"/>
      <c r="GAJ408" s="268"/>
      <c r="GAK408" s="268"/>
      <c r="GAL408" s="268"/>
      <c r="GAM408" s="268"/>
      <c r="GAN408" s="268"/>
      <c r="GAO408" s="268"/>
      <c r="GAP408" s="268"/>
      <c r="GAQ408" s="268"/>
      <c r="GAR408" s="268"/>
      <c r="GAS408" s="268"/>
      <c r="GAT408" s="268"/>
      <c r="GAU408" s="268"/>
      <c r="GAV408" s="268"/>
      <c r="GAW408" s="268"/>
      <c r="GAX408" s="268"/>
      <c r="GAY408" s="268"/>
      <c r="GAZ408" s="268"/>
      <c r="GBA408" s="268"/>
      <c r="GBB408" s="268"/>
      <c r="GBC408" s="268"/>
      <c r="GBD408" s="268"/>
      <c r="GBE408" s="268"/>
      <c r="GBF408" s="268"/>
      <c r="GBG408" s="268"/>
      <c r="GBH408" s="268"/>
      <c r="GBI408" s="268"/>
      <c r="GBJ408" s="268"/>
      <c r="GBK408" s="268"/>
      <c r="GBL408" s="268"/>
      <c r="GBM408" s="268"/>
      <c r="GBN408" s="268"/>
      <c r="GBO408" s="268"/>
      <c r="GBP408" s="268"/>
      <c r="GBQ408" s="268"/>
      <c r="GBR408" s="268"/>
      <c r="GBS408" s="268"/>
      <c r="GBT408" s="268"/>
      <c r="GBU408" s="268"/>
      <c r="GBV408" s="268"/>
      <c r="GBW408" s="268"/>
      <c r="GBX408" s="268"/>
      <c r="GBY408" s="268"/>
      <c r="GBZ408" s="268"/>
      <c r="GCA408" s="268"/>
      <c r="GCB408" s="268"/>
      <c r="GCC408" s="268"/>
      <c r="GCD408" s="268"/>
      <c r="GCE408" s="268"/>
      <c r="GCF408" s="268"/>
      <c r="GCG408" s="268"/>
      <c r="GCH408" s="268"/>
      <c r="GCI408" s="268"/>
      <c r="GCJ408" s="268"/>
      <c r="GCK408" s="268"/>
      <c r="GCL408" s="268"/>
      <c r="GCM408" s="268"/>
      <c r="GCN408" s="268"/>
      <c r="GCO408" s="268"/>
      <c r="GCP408" s="268"/>
      <c r="GCQ408" s="268"/>
      <c r="GCR408" s="268"/>
      <c r="GCS408" s="268"/>
      <c r="GCT408" s="268"/>
      <c r="GCU408" s="268"/>
      <c r="GCV408" s="268"/>
      <c r="GCW408" s="268"/>
      <c r="GCX408" s="268"/>
      <c r="GCY408" s="268"/>
      <c r="GCZ408" s="268"/>
      <c r="GDA408" s="268"/>
      <c r="GDB408" s="268"/>
      <c r="GDC408" s="268"/>
      <c r="GDD408" s="268"/>
      <c r="GDE408" s="268"/>
      <c r="GDF408" s="268"/>
      <c r="GDG408" s="268"/>
      <c r="GDH408" s="268"/>
      <c r="GDI408" s="268"/>
      <c r="GDJ408" s="268"/>
      <c r="GDK408" s="268"/>
      <c r="GDL408" s="268"/>
      <c r="GDM408" s="268"/>
      <c r="GDN408" s="268"/>
      <c r="GDO408" s="268"/>
      <c r="GDP408" s="268"/>
      <c r="GDQ408" s="268"/>
      <c r="GDR408" s="268"/>
      <c r="GDS408" s="268"/>
      <c r="GEG408" s="268"/>
      <c r="GEH408" s="268"/>
      <c r="GEI408" s="268"/>
      <c r="GEW408" s="268"/>
      <c r="GEY408" s="268"/>
      <c r="GEZ408" s="268"/>
      <c r="GFA408" s="268"/>
      <c r="GFB408" s="268"/>
      <c r="GFC408" s="268"/>
      <c r="GFD408" s="268"/>
      <c r="GFE408" s="268"/>
      <c r="GFF408" s="268"/>
      <c r="GFG408" s="268"/>
      <c r="GFH408" s="268"/>
      <c r="GFI408" s="268"/>
      <c r="GFJ408" s="268"/>
      <c r="GFK408" s="268"/>
      <c r="GFL408" s="268"/>
      <c r="GFM408" s="268"/>
      <c r="GFN408" s="268"/>
      <c r="GFO408" s="268"/>
      <c r="GFP408" s="268"/>
      <c r="GFQ408" s="268"/>
      <c r="GFR408" s="268"/>
      <c r="GFS408" s="268"/>
      <c r="GFT408" s="268"/>
      <c r="GFU408" s="268"/>
      <c r="GFV408" s="268"/>
      <c r="GFW408" s="268"/>
      <c r="GFX408" s="268"/>
      <c r="GFY408" s="268"/>
      <c r="GFZ408" s="268"/>
      <c r="GGA408" s="268"/>
      <c r="GGB408" s="268"/>
      <c r="GGC408" s="268"/>
      <c r="GGD408" s="268"/>
      <c r="GGE408" s="268"/>
      <c r="GGF408" s="268"/>
      <c r="GGG408" s="268"/>
      <c r="GGH408" s="268"/>
      <c r="GGI408" s="268"/>
      <c r="GGJ408" s="268"/>
      <c r="GGK408" s="268"/>
      <c r="GGL408" s="268"/>
      <c r="GGM408" s="268"/>
      <c r="GGN408" s="268"/>
      <c r="GGO408" s="268"/>
      <c r="GGP408" s="268"/>
      <c r="GGQ408" s="268"/>
      <c r="GGR408" s="268"/>
      <c r="GGS408" s="268"/>
      <c r="GGT408" s="268"/>
      <c r="GGU408" s="268"/>
      <c r="GGV408" s="268"/>
      <c r="GGW408" s="268"/>
      <c r="GGX408" s="268"/>
      <c r="GGY408" s="268"/>
      <c r="GGZ408" s="268"/>
      <c r="GHA408" s="268"/>
      <c r="GHB408" s="268"/>
      <c r="GHC408" s="268"/>
      <c r="GHD408" s="268"/>
      <c r="GHE408" s="268"/>
      <c r="GHF408" s="268"/>
      <c r="GHG408" s="268"/>
      <c r="GHH408" s="268"/>
      <c r="GHI408" s="268"/>
      <c r="GHJ408" s="268"/>
      <c r="GHK408" s="268"/>
      <c r="GHL408" s="268"/>
      <c r="GHM408" s="268"/>
      <c r="GHN408" s="268"/>
      <c r="GHO408" s="268"/>
      <c r="GHP408" s="268"/>
      <c r="GHQ408" s="268"/>
      <c r="GHR408" s="268"/>
      <c r="GHS408" s="268"/>
      <c r="GHT408" s="268"/>
      <c r="GHU408" s="268"/>
      <c r="GHV408" s="268"/>
      <c r="GHW408" s="268"/>
      <c r="GHX408" s="268"/>
      <c r="GHY408" s="268"/>
      <c r="GHZ408" s="268"/>
      <c r="GIA408" s="268"/>
      <c r="GIB408" s="268"/>
      <c r="GIC408" s="268"/>
      <c r="GID408" s="268"/>
      <c r="GIE408" s="268"/>
      <c r="GIF408" s="268"/>
      <c r="GIG408" s="268"/>
      <c r="GIH408" s="268"/>
      <c r="GII408" s="268"/>
      <c r="GIJ408" s="268"/>
      <c r="GIK408" s="268"/>
      <c r="GIL408" s="268"/>
      <c r="GIM408" s="268"/>
      <c r="GIN408" s="268"/>
      <c r="GIO408" s="268"/>
      <c r="GIP408" s="268"/>
      <c r="GIQ408" s="268"/>
      <c r="GIR408" s="268"/>
      <c r="GIS408" s="268"/>
      <c r="GIT408" s="268"/>
      <c r="GIU408" s="268"/>
      <c r="GIV408" s="268"/>
      <c r="GIW408" s="268"/>
      <c r="GIX408" s="268"/>
      <c r="GIY408" s="268"/>
      <c r="GIZ408" s="268"/>
      <c r="GJA408" s="268"/>
      <c r="GJB408" s="268"/>
      <c r="GJC408" s="268"/>
      <c r="GJD408" s="268"/>
      <c r="GJE408" s="268"/>
      <c r="GJF408" s="268"/>
      <c r="GJG408" s="268"/>
      <c r="GJH408" s="268"/>
      <c r="GJI408" s="268"/>
      <c r="GJJ408" s="268"/>
      <c r="GJK408" s="268"/>
      <c r="GJL408" s="268"/>
      <c r="GJM408" s="268"/>
      <c r="GJN408" s="268"/>
      <c r="GJO408" s="268"/>
      <c r="GJP408" s="268"/>
      <c r="GJQ408" s="268"/>
      <c r="GJR408" s="268"/>
      <c r="GJS408" s="268"/>
      <c r="GJT408" s="268"/>
      <c r="GJU408" s="268"/>
      <c r="GJV408" s="268"/>
      <c r="GJW408" s="268"/>
      <c r="GJX408" s="268"/>
      <c r="GJY408" s="268"/>
      <c r="GJZ408" s="268"/>
      <c r="GKA408" s="268"/>
      <c r="GKB408" s="268"/>
      <c r="GKC408" s="268"/>
      <c r="GKD408" s="268"/>
      <c r="GKE408" s="268"/>
      <c r="GKF408" s="268"/>
      <c r="GKG408" s="268"/>
      <c r="GKH408" s="268"/>
      <c r="GKI408" s="268"/>
      <c r="GKJ408" s="268"/>
      <c r="GKK408" s="268"/>
      <c r="GKL408" s="268"/>
      <c r="GKM408" s="268"/>
      <c r="GKN408" s="268"/>
      <c r="GKO408" s="268"/>
      <c r="GKP408" s="268"/>
      <c r="GKQ408" s="268"/>
      <c r="GKR408" s="268"/>
      <c r="GKS408" s="268"/>
      <c r="GKT408" s="268"/>
      <c r="GKU408" s="268"/>
      <c r="GKV408" s="268"/>
      <c r="GKW408" s="268"/>
      <c r="GKX408" s="268"/>
      <c r="GKY408" s="268"/>
      <c r="GKZ408" s="268"/>
      <c r="GLA408" s="268"/>
      <c r="GLB408" s="268"/>
      <c r="GLC408" s="268"/>
      <c r="GLD408" s="268"/>
      <c r="GLE408" s="268"/>
      <c r="GLF408" s="268"/>
      <c r="GLG408" s="268"/>
      <c r="GLH408" s="268"/>
      <c r="GLI408" s="268"/>
      <c r="GLJ408" s="268"/>
      <c r="GLK408" s="268"/>
      <c r="GLL408" s="268"/>
      <c r="GLM408" s="268"/>
      <c r="GLN408" s="268"/>
      <c r="GLO408" s="268"/>
      <c r="GLP408" s="268"/>
      <c r="GLQ408" s="268"/>
      <c r="GLR408" s="268"/>
      <c r="GLS408" s="268"/>
      <c r="GLT408" s="268"/>
      <c r="GLU408" s="268"/>
      <c r="GLV408" s="268"/>
      <c r="GLW408" s="268"/>
      <c r="GLX408" s="268"/>
      <c r="GLY408" s="268"/>
      <c r="GLZ408" s="268"/>
      <c r="GMA408" s="268"/>
      <c r="GMB408" s="268"/>
      <c r="GMC408" s="268"/>
      <c r="GMD408" s="268"/>
      <c r="GME408" s="268"/>
      <c r="GMF408" s="268"/>
      <c r="GMG408" s="268"/>
      <c r="GMH408" s="268"/>
      <c r="GMI408" s="268"/>
      <c r="GMJ408" s="268"/>
      <c r="GMK408" s="268"/>
      <c r="GML408" s="268"/>
      <c r="GMM408" s="268"/>
      <c r="GMN408" s="268"/>
      <c r="GMO408" s="268"/>
      <c r="GMP408" s="268"/>
      <c r="GMQ408" s="268"/>
      <c r="GMR408" s="268"/>
      <c r="GMS408" s="268"/>
      <c r="GMT408" s="268"/>
      <c r="GMU408" s="268"/>
      <c r="GMV408" s="268"/>
      <c r="GMW408" s="268"/>
      <c r="GMX408" s="268"/>
      <c r="GMY408" s="268"/>
      <c r="GMZ408" s="268"/>
      <c r="GNA408" s="268"/>
      <c r="GNB408" s="268"/>
      <c r="GNC408" s="268"/>
      <c r="GND408" s="268"/>
      <c r="GNE408" s="268"/>
      <c r="GNF408" s="268"/>
      <c r="GNG408" s="268"/>
      <c r="GNH408" s="268"/>
      <c r="GNI408" s="268"/>
      <c r="GNJ408" s="268"/>
      <c r="GNK408" s="268"/>
      <c r="GNL408" s="268"/>
      <c r="GNM408" s="268"/>
      <c r="GNN408" s="268"/>
      <c r="GNO408" s="268"/>
      <c r="GOC408" s="268"/>
      <c r="GOD408" s="268"/>
      <c r="GOE408" s="268"/>
      <c r="GOS408" s="268"/>
      <c r="GOU408" s="268"/>
      <c r="GOV408" s="268"/>
      <c r="GOW408" s="268"/>
      <c r="GOX408" s="268"/>
      <c r="GOY408" s="268"/>
      <c r="GOZ408" s="268"/>
      <c r="GPA408" s="268"/>
      <c r="GPB408" s="268"/>
      <c r="GPC408" s="268"/>
      <c r="GPD408" s="268"/>
      <c r="GPE408" s="268"/>
      <c r="GPF408" s="268"/>
      <c r="GPG408" s="268"/>
      <c r="GPH408" s="268"/>
      <c r="GPI408" s="268"/>
      <c r="GPJ408" s="268"/>
      <c r="GPK408" s="268"/>
      <c r="GPL408" s="268"/>
      <c r="GPM408" s="268"/>
      <c r="GPN408" s="268"/>
      <c r="GPO408" s="268"/>
      <c r="GPP408" s="268"/>
      <c r="GPQ408" s="268"/>
      <c r="GPR408" s="268"/>
      <c r="GPS408" s="268"/>
      <c r="GPT408" s="268"/>
      <c r="GPU408" s="268"/>
      <c r="GPV408" s="268"/>
      <c r="GPW408" s="268"/>
      <c r="GPX408" s="268"/>
      <c r="GPY408" s="268"/>
      <c r="GPZ408" s="268"/>
      <c r="GQA408" s="268"/>
      <c r="GQB408" s="268"/>
      <c r="GQC408" s="268"/>
      <c r="GQD408" s="268"/>
      <c r="GQE408" s="268"/>
      <c r="GQF408" s="268"/>
      <c r="GQG408" s="268"/>
      <c r="GQH408" s="268"/>
      <c r="GQI408" s="268"/>
      <c r="GQJ408" s="268"/>
      <c r="GQK408" s="268"/>
      <c r="GQL408" s="268"/>
      <c r="GQM408" s="268"/>
      <c r="GQN408" s="268"/>
      <c r="GQO408" s="268"/>
      <c r="GQP408" s="268"/>
      <c r="GQQ408" s="268"/>
      <c r="GQR408" s="268"/>
      <c r="GQS408" s="268"/>
      <c r="GQT408" s="268"/>
      <c r="GQU408" s="268"/>
      <c r="GQV408" s="268"/>
      <c r="GQW408" s="268"/>
      <c r="GQX408" s="268"/>
      <c r="GQY408" s="268"/>
      <c r="GQZ408" s="268"/>
      <c r="GRA408" s="268"/>
      <c r="GRB408" s="268"/>
      <c r="GRC408" s="268"/>
      <c r="GRD408" s="268"/>
      <c r="GRE408" s="268"/>
      <c r="GRF408" s="268"/>
      <c r="GRG408" s="268"/>
      <c r="GRH408" s="268"/>
      <c r="GRI408" s="268"/>
      <c r="GRJ408" s="268"/>
      <c r="GRK408" s="268"/>
      <c r="GRL408" s="268"/>
      <c r="GRM408" s="268"/>
      <c r="GRN408" s="268"/>
      <c r="GRO408" s="268"/>
      <c r="GRP408" s="268"/>
      <c r="GRQ408" s="268"/>
      <c r="GRR408" s="268"/>
      <c r="GRS408" s="268"/>
      <c r="GRT408" s="268"/>
      <c r="GRU408" s="268"/>
      <c r="GRV408" s="268"/>
      <c r="GRW408" s="268"/>
      <c r="GRX408" s="268"/>
      <c r="GRY408" s="268"/>
      <c r="GRZ408" s="268"/>
      <c r="GSA408" s="268"/>
      <c r="GSB408" s="268"/>
      <c r="GSC408" s="268"/>
      <c r="GSD408" s="268"/>
      <c r="GSE408" s="268"/>
      <c r="GSF408" s="268"/>
      <c r="GSG408" s="268"/>
      <c r="GSH408" s="268"/>
      <c r="GSI408" s="268"/>
      <c r="GSJ408" s="268"/>
      <c r="GSK408" s="268"/>
      <c r="GSL408" s="268"/>
      <c r="GSM408" s="268"/>
      <c r="GSN408" s="268"/>
      <c r="GSO408" s="268"/>
      <c r="GSP408" s="268"/>
      <c r="GSQ408" s="268"/>
      <c r="GSR408" s="268"/>
      <c r="GSS408" s="268"/>
      <c r="GST408" s="268"/>
      <c r="GSU408" s="268"/>
      <c r="GSV408" s="268"/>
      <c r="GSW408" s="268"/>
      <c r="GSX408" s="268"/>
      <c r="GSY408" s="268"/>
      <c r="GSZ408" s="268"/>
      <c r="GTA408" s="268"/>
      <c r="GTB408" s="268"/>
      <c r="GTC408" s="268"/>
      <c r="GTD408" s="268"/>
      <c r="GTE408" s="268"/>
      <c r="GTF408" s="268"/>
      <c r="GTG408" s="268"/>
      <c r="GTH408" s="268"/>
      <c r="GTI408" s="268"/>
      <c r="GTJ408" s="268"/>
      <c r="GTK408" s="268"/>
      <c r="GTL408" s="268"/>
      <c r="GTM408" s="268"/>
      <c r="GTN408" s="268"/>
      <c r="GTO408" s="268"/>
      <c r="GTP408" s="268"/>
      <c r="GTQ408" s="268"/>
      <c r="GTR408" s="268"/>
      <c r="GTS408" s="268"/>
      <c r="GTT408" s="268"/>
      <c r="GTU408" s="268"/>
      <c r="GTV408" s="268"/>
      <c r="GTW408" s="268"/>
      <c r="GTX408" s="268"/>
      <c r="GTY408" s="268"/>
      <c r="GTZ408" s="268"/>
      <c r="GUA408" s="268"/>
      <c r="GUB408" s="268"/>
      <c r="GUC408" s="268"/>
      <c r="GUD408" s="268"/>
      <c r="GUE408" s="268"/>
      <c r="GUF408" s="268"/>
      <c r="GUG408" s="268"/>
      <c r="GUH408" s="268"/>
      <c r="GUI408" s="268"/>
      <c r="GUJ408" s="268"/>
      <c r="GUK408" s="268"/>
      <c r="GUL408" s="268"/>
      <c r="GUM408" s="268"/>
      <c r="GUN408" s="268"/>
      <c r="GUO408" s="268"/>
      <c r="GUP408" s="268"/>
      <c r="GUQ408" s="268"/>
      <c r="GUR408" s="268"/>
      <c r="GUS408" s="268"/>
      <c r="GUT408" s="268"/>
      <c r="GUU408" s="268"/>
      <c r="GUV408" s="268"/>
      <c r="GUW408" s="268"/>
      <c r="GUX408" s="268"/>
      <c r="GUY408" s="268"/>
      <c r="GUZ408" s="268"/>
      <c r="GVA408" s="268"/>
      <c r="GVB408" s="268"/>
      <c r="GVC408" s="268"/>
      <c r="GVD408" s="268"/>
      <c r="GVE408" s="268"/>
      <c r="GVF408" s="268"/>
      <c r="GVG408" s="268"/>
      <c r="GVH408" s="268"/>
      <c r="GVI408" s="268"/>
      <c r="GVJ408" s="268"/>
      <c r="GVK408" s="268"/>
      <c r="GVL408" s="268"/>
      <c r="GVM408" s="268"/>
      <c r="GVN408" s="268"/>
      <c r="GVO408" s="268"/>
      <c r="GVP408" s="268"/>
      <c r="GVQ408" s="268"/>
      <c r="GVR408" s="268"/>
      <c r="GVS408" s="268"/>
      <c r="GVT408" s="268"/>
      <c r="GVU408" s="268"/>
      <c r="GVV408" s="268"/>
      <c r="GVW408" s="268"/>
      <c r="GVX408" s="268"/>
      <c r="GVY408" s="268"/>
      <c r="GVZ408" s="268"/>
      <c r="GWA408" s="268"/>
      <c r="GWB408" s="268"/>
      <c r="GWC408" s="268"/>
      <c r="GWD408" s="268"/>
      <c r="GWE408" s="268"/>
      <c r="GWF408" s="268"/>
      <c r="GWG408" s="268"/>
      <c r="GWH408" s="268"/>
      <c r="GWI408" s="268"/>
      <c r="GWJ408" s="268"/>
      <c r="GWK408" s="268"/>
      <c r="GWL408" s="268"/>
      <c r="GWM408" s="268"/>
      <c r="GWN408" s="268"/>
      <c r="GWO408" s="268"/>
      <c r="GWP408" s="268"/>
      <c r="GWQ408" s="268"/>
      <c r="GWR408" s="268"/>
      <c r="GWS408" s="268"/>
      <c r="GWT408" s="268"/>
      <c r="GWU408" s="268"/>
      <c r="GWV408" s="268"/>
      <c r="GWW408" s="268"/>
      <c r="GWX408" s="268"/>
      <c r="GWY408" s="268"/>
      <c r="GWZ408" s="268"/>
      <c r="GXA408" s="268"/>
      <c r="GXB408" s="268"/>
      <c r="GXC408" s="268"/>
      <c r="GXD408" s="268"/>
      <c r="GXE408" s="268"/>
      <c r="GXF408" s="268"/>
      <c r="GXG408" s="268"/>
      <c r="GXH408" s="268"/>
      <c r="GXI408" s="268"/>
      <c r="GXJ408" s="268"/>
      <c r="GXK408" s="268"/>
      <c r="GXY408" s="268"/>
      <c r="GXZ408" s="268"/>
      <c r="GYA408" s="268"/>
      <c r="GYO408" s="268"/>
      <c r="GYQ408" s="268"/>
      <c r="GYR408" s="268"/>
      <c r="GYS408" s="268"/>
      <c r="GYT408" s="268"/>
      <c r="GYU408" s="268"/>
      <c r="GYV408" s="268"/>
      <c r="GYW408" s="268"/>
      <c r="GYX408" s="268"/>
      <c r="GYY408" s="268"/>
      <c r="GYZ408" s="268"/>
      <c r="GZA408" s="268"/>
      <c r="GZB408" s="268"/>
      <c r="GZC408" s="268"/>
      <c r="GZD408" s="268"/>
      <c r="GZE408" s="268"/>
      <c r="GZF408" s="268"/>
      <c r="GZG408" s="268"/>
      <c r="GZH408" s="268"/>
      <c r="GZI408" s="268"/>
      <c r="GZJ408" s="268"/>
      <c r="GZK408" s="268"/>
      <c r="GZL408" s="268"/>
      <c r="GZM408" s="268"/>
      <c r="GZN408" s="268"/>
      <c r="GZO408" s="268"/>
      <c r="GZP408" s="268"/>
      <c r="GZQ408" s="268"/>
      <c r="GZR408" s="268"/>
      <c r="GZS408" s="268"/>
      <c r="GZT408" s="268"/>
      <c r="GZU408" s="268"/>
      <c r="GZV408" s="268"/>
      <c r="GZW408" s="268"/>
      <c r="GZX408" s="268"/>
      <c r="GZY408" s="268"/>
      <c r="GZZ408" s="268"/>
      <c r="HAA408" s="268"/>
      <c r="HAB408" s="268"/>
      <c r="HAC408" s="268"/>
      <c r="HAD408" s="268"/>
      <c r="HAE408" s="268"/>
      <c r="HAF408" s="268"/>
      <c r="HAG408" s="268"/>
      <c r="HAH408" s="268"/>
      <c r="HAI408" s="268"/>
      <c r="HAJ408" s="268"/>
      <c r="HAK408" s="268"/>
      <c r="HAL408" s="268"/>
      <c r="HAM408" s="268"/>
      <c r="HAN408" s="268"/>
      <c r="HAO408" s="268"/>
      <c r="HAP408" s="268"/>
      <c r="HAQ408" s="268"/>
      <c r="HAR408" s="268"/>
      <c r="HAS408" s="268"/>
      <c r="HAT408" s="268"/>
      <c r="HAU408" s="268"/>
      <c r="HAV408" s="268"/>
      <c r="HAW408" s="268"/>
      <c r="HAX408" s="268"/>
      <c r="HAY408" s="268"/>
      <c r="HAZ408" s="268"/>
      <c r="HBA408" s="268"/>
      <c r="HBB408" s="268"/>
      <c r="HBC408" s="268"/>
      <c r="HBD408" s="268"/>
      <c r="HBE408" s="268"/>
      <c r="HBF408" s="268"/>
      <c r="HBG408" s="268"/>
      <c r="HBH408" s="268"/>
      <c r="HBI408" s="268"/>
      <c r="HBJ408" s="268"/>
      <c r="HBK408" s="268"/>
      <c r="HBL408" s="268"/>
      <c r="HBM408" s="268"/>
      <c r="HBN408" s="268"/>
      <c r="HBO408" s="268"/>
      <c r="HBP408" s="268"/>
      <c r="HBQ408" s="268"/>
      <c r="HBR408" s="268"/>
      <c r="HBS408" s="268"/>
      <c r="HBT408" s="268"/>
      <c r="HBU408" s="268"/>
      <c r="HBV408" s="268"/>
      <c r="HBW408" s="268"/>
      <c r="HBX408" s="268"/>
      <c r="HBY408" s="268"/>
      <c r="HBZ408" s="268"/>
      <c r="HCA408" s="268"/>
      <c r="HCB408" s="268"/>
      <c r="HCC408" s="268"/>
      <c r="HCD408" s="268"/>
      <c r="HCE408" s="268"/>
      <c r="HCF408" s="268"/>
      <c r="HCG408" s="268"/>
      <c r="HCH408" s="268"/>
      <c r="HCI408" s="268"/>
      <c r="HCJ408" s="268"/>
      <c r="HCK408" s="268"/>
      <c r="HCL408" s="268"/>
      <c r="HCM408" s="268"/>
      <c r="HCN408" s="268"/>
      <c r="HCO408" s="268"/>
      <c r="HCP408" s="268"/>
      <c r="HCQ408" s="268"/>
      <c r="HCR408" s="268"/>
      <c r="HCS408" s="268"/>
      <c r="HCT408" s="268"/>
      <c r="HCU408" s="268"/>
      <c r="HCV408" s="268"/>
      <c r="HCW408" s="268"/>
      <c r="HCX408" s="268"/>
      <c r="HCY408" s="268"/>
      <c r="HCZ408" s="268"/>
      <c r="HDA408" s="268"/>
      <c r="HDB408" s="268"/>
      <c r="HDC408" s="268"/>
      <c r="HDD408" s="268"/>
      <c r="HDE408" s="268"/>
      <c r="HDF408" s="268"/>
      <c r="HDG408" s="268"/>
      <c r="HDH408" s="268"/>
      <c r="HDI408" s="268"/>
      <c r="HDJ408" s="268"/>
      <c r="HDK408" s="268"/>
      <c r="HDL408" s="268"/>
      <c r="HDM408" s="268"/>
      <c r="HDN408" s="268"/>
      <c r="HDO408" s="268"/>
      <c r="HDP408" s="268"/>
      <c r="HDQ408" s="268"/>
      <c r="HDR408" s="268"/>
      <c r="HDS408" s="268"/>
      <c r="HDT408" s="268"/>
      <c r="HDU408" s="268"/>
      <c r="HDV408" s="268"/>
      <c r="HDW408" s="268"/>
      <c r="HDX408" s="268"/>
      <c r="HDY408" s="268"/>
      <c r="HDZ408" s="268"/>
      <c r="HEA408" s="268"/>
      <c r="HEB408" s="268"/>
      <c r="HEC408" s="268"/>
      <c r="HED408" s="268"/>
      <c r="HEE408" s="268"/>
      <c r="HEF408" s="268"/>
      <c r="HEG408" s="268"/>
      <c r="HEH408" s="268"/>
      <c r="HEI408" s="268"/>
      <c r="HEJ408" s="268"/>
      <c r="HEK408" s="268"/>
      <c r="HEL408" s="268"/>
      <c r="HEM408" s="268"/>
      <c r="HEN408" s="268"/>
      <c r="HEO408" s="268"/>
      <c r="HEP408" s="268"/>
      <c r="HEQ408" s="268"/>
      <c r="HER408" s="268"/>
      <c r="HES408" s="268"/>
      <c r="HET408" s="268"/>
      <c r="HEU408" s="268"/>
      <c r="HEV408" s="268"/>
      <c r="HEW408" s="268"/>
      <c r="HEX408" s="268"/>
      <c r="HEY408" s="268"/>
      <c r="HEZ408" s="268"/>
      <c r="HFA408" s="268"/>
      <c r="HFB408" s="268"/>
      <c r="HFC408" s="268"/>
      <c r="HFD408" s="268"/>
      <c r="HFE408" s="268"/>
      <c r="HFF408" s="268"/>
      <c r="HFG408" s="268"/>
      <c r="HFH408" s="268"/>
      <c r="HFI408" s="268"/>
      <c r="HFJ408" s="268"/>
      <c r="HFK408" s="268"/>
      <c r="HFL408" s="268"/>
      <c r="HFM408" s="268"/>
      <c r="HFN408" s="268"/>
      <c r="HFO408" s="268"/>
      <c r="HFP408" s="268"/>
      <c r="HFQ408" s="268"/>
      <c r="HFR408" s="268"/>
      <c r="HFS408" s="268"/>
      <c r="HFT408" s="268"/>
      <c r="HFU408" s="268"/>
      <c r="HFV408" s="268"/>
      <c r="HFW408" s="268"/>
      <c r="HFX408" s="268"/>
      <c r="HFY408" s="268"/>
      <c r="HFZ408" s="268"/>
      <c r="HGA408" s="268"/>
      <c r="HGB408" s="268"/>
      <c r="HGC408" s="268"/>
      <c r="HGD408" s="268"/>
      <c r="HGE408" s="268"/>
      <c r="HGF408" s="268"/>
      <c r="HGG408" s="268"/>
      <c r="HGH408" s="268"/>
      <c r="HGI408" s="268"/>
      <c r="HGJ408" s="268"/>
      <c r="HGK408" s="268"/>
      <c r="HGL408" s="268"/>
      <c r="HGM408" s="268"/>
      <c r="HGN408" s="268"/>
      <c r="HGO408" s="268"/>
      <c r="HGP408" s="268"/>
      <c r="HGQ408" s="268"/>
      <c r="HGR408" s="268"/>
      <c r="HGS408" s="268"/>
      <c r="HGT408" s="268"/>
      <c r="HGU408" s="268"/>
      <c r="HGV408" s="268"/>
      <c r="HGW408" s="268"/>
      <c r="HGX408" s="268"/>
      <c r="HGY408" s="268"/>
      <c r="HGZ408" s="268"/>
      <c r="HHA408" s="268"/>
      <c r="HHB408" s="268"/>
      <c r="HHC408" s="268"/>
      <c r="HHD408" s="268"/>
      <c r="HHE408" s="268"/>
      <c r="HHF408" s="268"/>
      <c r="HHG408" s="268"/>
      <c r="HHU408" s="268"/>
      <c r="HHV408" s="268"/>
      <c r="HHW408" s="268"/>
      <c r="HIK408" s="268"/>
      <c r="HIM408" s="268"/>
      <c r="HIN408" s="268"/>
      <c r="HIO408" s="268"/>
      <c r="HIP408" s="268"/>
      <c r="HIQ408" s="268"/>
      <c r="HIR408" s="268"/>
      <c r="HIS408" s="268"/>
      <c r="HIT408" s="268"/>
      <c r="HIU408" s="268"/>
      <c r="HIV408" s="268"/>
      <c r="HIW408" s="268"/>
      <c r="HIX408" s="268"/>
      <c r="HIY408" s="268"/>
      <c r="HIZ408" s="268"/>
      <c r="HJA408" s="268"/>
      <c r="HJB408" s="268"/>
      <c r="HJC408" s="268"/>
      <c r="HJD408" s="268"/>
      <c r="HJE408" s="268"/>
      <c r="HJF408" s="268"/>
      <c r="HJG408" s="268"/>
      <c r="HJH408" s="268"/>
      <c r="HJI408" s="268"/>
      <c r="HJJ408" s="268"/>
      <c r="HJK408" s="268"/>
      <c r="HJL408" s="268"/>
      <c r="HJM408" s="268"/>
      <c r="HJN408" s="268"/>
      <c r="HJO408" s="268"/>
      <c r="HJP408" s="268"/>
      <c r="HJQ408" s="268"/>
      <c r="HJR408" s="268"/>
      <c r="HJS408" s="268"/>
      <c r="HJT408" s="268"/>
      <c r="HJU408" s="268"/>
      <c r="HJV408" s="268"/>
      <c r="HJW408" s="268"/>
      <c r="HJX408" s="268"/>
      <c r="HJY408" s="268"/>
      <c r="HJZ408" s="268"/>
      <c r="HKA408" s="268"/>
      <c r="HKB408" s="268"/>
      <c r="HKC408" s="268"/>
      <c r="HKD408" s="268"/>
      <c r="HKE408" s="268"/>
      <c r="HKF408" s="268"/>
      <c r="HKG408" s="268"/>
      <c r="HKH408" s="268"/>
      <c r="HKI408" s="268"/>
      <c r="HKJ408" s="268"/>
      <c r="HKK408" s="268"/>
      <c r="HKL408" s="268"/>
      <c r="HKM408" s="268"/>
      <c r="HKN408" s="268"/>
      <c r="HKO408" s="268"/>
      <c r="HKP408" s="268"/>
      <c r="HKQ408" s="268"/>
      <c r="HKR408" s="268"/>
      <c r="HKS408" s="268"/>
      <c r="HKT408" s="268"/>
      <c r="HKU408" s="268"/>
      <c r="HKV408" s="268"/>
      <c r="HKW408" s="268"/>
      <c r="HKX408" s="268"/>
      <c r="HKY408" s="268"/>
      <c r="HKZ408" s="268"/>
      <c r="HLA408" s="268"/>
      <c r="HLB408" s="268"/>
      <c r="HLC408" s="268"/>
      <c r="HLD408" s="268"/>
      <c r="HLE408" s="268"/>
      <c r="HLF408" s="268"/>
      <c r="HLG408" s="268"/>
      <c r="HLH408" s="268"/>
      <c r="HLI408" s="268"/>
      <c r="HLJ408" s="268"/>
      <c r="HLK408" s="268"/>
      <c r="HLL408" s="268"/>
      <c r="HLM408" s="268"/>
      <c r="HLN408" s="268"/>
      <c r="HLO408" s="268"/>
      <c r="HLP408" s="268"/>
      <c r="HLQ408" s="268"/>
      <c r="HLR408" s="268"/>
      <c r="HLS408" s="268"/>
      <c r="HLT408" s="268"/>
      <c r="HLU408" s="268"/>
      <c r="HLV408" s="268"/>
      <c r="HLW408" s="268"/>
      <c r="HLX408" s="268"/>
      <c r="HLY408" s="268"/>
      <c r="HLZ408" s="268"/>
      <c r="HMA408" s="268"/>
      <c r="HMB408" s="268"/>
      <c r="HMC408" s="268"/>
      <c r="HMD408" s="268"/>
      <c r="HME408" s="268"/>
      <c r="HMF408" s="268"/>
      <c r="HMG408" s="268"/>
      <c r="HMH408" s="268"/>
      <c r="HMI408" s="268"/>
      <c r="HMJ408" s="268"/>
      <c r="HMK408" s="268"/>
      <c r="HML408" s="268"/>
      <c r="HMM408" s="268"/>
      <c r="HMN408" s="268"/>
      <c r="HMO408" s="268"/>
      <c r="HMP408" s="268"/>
      <c r="HMQ408" s="268"/>
      <c r="HMR408" s="268"/>
      <c r="HMS408" s="268"/>
      <c r="HMT408" s="268"/>
      <c r="HMU408" s="268"/>
      <c r="HMV408" s="268"/>
      <c r="HMW408" s="268"/>
      <c r="HMX408" s="268"/>
      <c r="HMY408" s="268"/>
      <c r="HMZ408" s="268"/>
      <c r="HNA408" s="268"/>
      <c r="HNB408" s="268"/>
      <c r="HNC408" s="268"/>
      <c r="HND408" s="268"/>
      <c r="HNE408" s="268"/>
      <c r="HNF408" s="268"/>
      <c r="HNG408" s="268"/>
      <c r="HNH408" s="268"/>
      <c r="HNI408" s="268"/>
      <c r="HNJ408" s="268"/>
      <c r="HNK408" s="268"/>
      <c r="HNL408" s="268"/>
      <c r="HNM408" s="268"/>
      <c r="HNN408" s="268"/>
      <c r="HNO408" s="268"/>
      <c r="HNP408" s="268"/>
      <c r="HNQ408" s="268"/>
      <c r="HNR408" s="268"/>
      <c r="HNS408" s="268"/>
      <c r="HNT408" s="268"/>
      <c r="HNU408" s="268"/>
      <c r="HNV408" s="268"/>
      <c r="HNW408" s="268"/>
      <c r="HNX408" s="268"/>
      <c r="HNY408" s="268"/>
      <c r="HNZ408" s="268"/>
      <c r="HOA408" s="268"/>
      <c r="HOB408" s="268"/>
      <c r="HOC408" s="268"/>
      <c r="HOD408" s="268"/>
      <c r="HOE408" s="268"/>
      <c r="HOF408" s="268"/>
      <c r="HOG408" s="268"/>
      <c r="HOH408" s="268"/>
      <c r="HOI408" s="268"/>
      <c r="HOJ408" s="268"/>
      <c r="HOK408" s="268"/>
      <c r="HOL408" s="268"/>
      <c r="HOM408" s="268"/>
      <c r="HON408" s="268"/>
      <c r="HOO408" s="268"/>
      <c r="HOP408" s="268"/>
      <c r="HOQ408" s="268"/>
      <c r="HOR408" s="268"/>
      <c r="HOS408" s="268"/>
      <c r="HOT408" s="268"/>
      <c r="HOU408" s="268"/>
      <c r="HOV408" s="268"/>
      <c r="HOW408" s="268"/>
      <c r="HOX408" s="268"/>
      <c r="HOY408" s="268"/>
      <c r="HOZ408" s="268"/>
      <c r="HPA408" s="268"/>
      <c r="HPB408" s="268"/>
      <c r="HPC408" s="268"/>
      <c r="HPD408" s="268"/>
      <c r="HPE408" s="268"/>
      <c r="HPF408" s="268"/>
      <c r="HPG408" s="268"/>
      <c r="HPH408" s="268"/>
      <c r="HPI408" s="268"/>
      <c r="HPJ408" s="268"/>
      <c r="HPK408" s="268"/>
      <c r="HPL408" s="268"/>
      <c r="HPM408" s="268"/>
      <c r="HPN408" s="268"/>
      <c r="HPO408" s="268"/>
      <c r="HPP408" s="268"/>
      <c r="HPQ408" s="268"/>
      <c r="HPR408" s="268"/>
      <c r="HPS408" s="268"/>
      <c r="HPT408" s="268"/>
      <c r="HPU408" s="268"/>
      <c r="HPV408" s="268"/>
      <c r="HPW408" s="268"/>
      <c r="HPX408" s="268"/>
      <c r="HPY408" s="268"/>
      <c r="HPZ408" s="268"/>
      <c r="HQA408" s="268"/>
      <c r="HQB408" s="268"/>
      <c r="HQC408" s="268"/>
      <c r="HQD408" s="268"/>
      <c r="HQE408" s="268"/>
      <c r="HQF408" s="268"/>
      <c r="HQG408" s="268"/>
      <c r="HQH408" s="268"/>
      <c r="HQI408" s="268"/>
      <c r="HQJ408" s="268"/>
      <c r="HQK408" s="268"/>
      <c r="HQL408" s="268"/>
      <c r="HQM408" s="268"/>
      <c r="HQN408" s="268"/>
      <c r="HQO408" s="268"/>
      <c r="HQP408" s="268"/>
      <c r="HQQ408" s="268"/>
      <c r="HQR408" s="268"/>
      <c r="HQS408" s="268"/>
      <c r="HQT408" s="268"/>
      <c r="HQU408" s="268"/>
      <c r="HQV408" s="268"/>
      <c r="HQW408" s="268"/>
      <c r="HQX408" s="268"/>
      <c r="HQY408" s="268"/>
      <c r="HQZ408" s="268"/>
      <c r="HRA408" s="268"/>
      <c r="HRB408" s="268"/>
      <c r="HRC408" s="268"/>
      <c r="HRQ408" s="268"/>
      <c r="HRR408" s="268"/>
      <c r="HRS408" s="268"/>
      <c r="HSG408" s="268"/>
      <c r="HSI408" s="268"/>
      <c r="HSJ408" s="268"/>
      <c r="HSK408" s="268"/>
      <c r="HSL408" s="268"/>
      <c r="HSM408" s="268"/>
      <c r="HSN408" s="268"/>
      <c r="HSO408" s="268"/>
      <c r="HSP408" s="268"/>
      <c r="HSQ408" s="268"/>
      <c r="HSR408" s="268"/>
      <c r="HSS408" s="268"/>
      <c r="HST408" s="268"/>
      <c r="HSU408" s="268"/>
      <c r="HSV408" s="268"/>
      <c r="HSW408" s="268"/>
      <c r="HSX408" s="268"/>
      <c r="HSY408" s="268"/>
      <c r="HSZ408" s="268"/>
      <c r="HTA408" s="268"/>
      <c r="HTB408" s="268"/>
      <c r="HTC408" s="268"/>
      <c r="HTD408" s="268"/>
      <c r="HTE408" s="268"/>
      <c r="HTF408" s="268"/>
      <c r="HTG408" s="268"/>
      <c r="HTH408" s="268"/>
      <c r="HTI408" s="268"/>
      <c r="HTJ408" s="268"/>
      <c r="HTK408" s="268"/>
      <c r="HTL408" s="268"/>
      <c r="HTM408" s="268"/>
      <c r="HTN408" s="268"/>
      <c r="HTO408" s="268"/>
      <c r="HTP408" s="268"/>
      <c r="HTQ408" s="268"/>
      <c r="HTR408" s="268"/>
      <c r="HTS408" s="268"/>
      <c r="HTT408" s="268"/>
      <c r="HTU408" s="268"/>
      <c r="HTV408" s="268"/>
      <c r="HTW408" s="268"/>
      <c r="HTX408" s="268"/>
      <c r="HTY408" s="268"/>
      <c r="HTZ408" s="268"/>
      <c r="HUA408" s="268"/>
      <c r="HUB408" s="268"/>
      <c r="HUC408" s="268"/>
      <c r="HUD408" s="268"/>
      <c r="HUE408" s="268"/>
      <c r="HUF408" s="268"/>
      <c r="HUG408" s="268"/>
      <c r="HUH408" s="268"/>
      <c r="HUI408" s="268"/>
      <c r="HUJ408" s="268"/>
      <c r="HUK408" s="268"/>
      <c r="HUL408" s="268"/>
      <c r="HUM408" s="268"/>
      <c r="HUN408" s="268"/>
      <c r="HUO408" s="268"/>
      <c r="HUP408" s="268"/>
      <c r="HUQ408" s="268"/>
      <c r="HUR408" s="268"/>
      <c r="HUS408" s="268"/>
      <c r="HUT408" s="268"/>
      <c r="HUU408" s="268"/>
      <c r="HUV408" s="268"/>
      <c r="HUW408" s="268"/>
      <c r="HUX408" s="268"/>
      <c r="HUY408" s="268"/>
      <c r="HUZ408" s="268"/>
      <c r="HVA408" s="268"/>
      <c r="HVB408" s="268"/>
      <c r="HVC408" s="268"/>
      <c r="HVD408" s="268"/>
      <c r="HVE408" s="268"/>
      <c r="HVF408" s="268"/>
      <c r="HVG408" s="268"/>
      <c r="HVH408" s="268"/>
      <c r="HVI408" s="268"/>
      <c r="HVJ408" s="268"/>
      <c r="HVK408" s="268"/>
      <c r="HVL408" s="268"/>
      <c r="HVM408" s="268"/>
      <c r="HVN408" s="268"/>
      <c r="HVO408" s="268"/>
      <c r="HVP408" s="268"/>
      <c r="HVQ408" s="268"/>
      <c r="HVR408" s="268"/>
      <c r="HVS408" s="268"/>
      <c r="HVT408" s="268"/>
      <c r="HVU408" s="268"/>
      <c r="HVV408" s="268"/>
      <c r="HVW408" s="268"/>
      <c r="HVX408" s="268"/>
      <c r="HVY408" s="268"/>
      <c r="HVZ408" s="268"/>
      <c r="HWA408" s="268"/>
      <c r="HWB408" s="268"/>
      <c r="HWC408" s="268"/>
      <c r="HWD408" s="268"/>
      <c r="HWE408" s="268"/>
      <c r="HWF408" s="268"/>
      <c r="HWG408" s="268"/>
      <c r="HWH408" s="268"/>
      <c r="HWI408" s="268"/>
      <c r="HWJ408" s="268"/>
      <c r="HWK408" s="268"/>
      <c r="HWL408" s="268"/>
      <c r="HWM408" s="268"/>
      <c r="HWN408" s="268"/>
      <c r="HWO408" s="268"/>
      <c r="HWP408" s="268"/>
      <c r="HWQ408" s="268"/>
      <c r="HWR408" s="268"/>
      <c r="HWS408" s="268"/>
      <c r="HWT408" s="268"/>
      <c r="HWU408" s="268"/>
      <c r="HWV408" s="268"/>
      <c r="HWW408" s="268"/>
      <c r="HWX408" s="268"/>
      <c r="HWY408" s="268"/>
      <c r="HWZ408" s="268"/>
      <c r="HXA408" s="268"/>
      <c r="HXB408" s="268"/>
      <c r="HXC408" s="268"/>
      <c r="HXD408" s="268"/>
      <c r="HXE408" s="268"/>
      <c r="HXF408" s="268"/>
      <c r="HXG408" s="268"/>
      <c r="HXH408" s="268"/>
      <c r="HXI408" s="268"/>
      <c r="HXJ408" s="268"/>
      <c r="HXK408" s="268"/>
      <c r="HXL408" s="268"/>
      <c r="HXM408" s="268"/>
      <c r="HXN408" s="268"/>
      <c r="HXO408" s="268"/>
      <c r="HXP408" s="268"/>
      <c r="HXQ408" s="268"/>
      <c r="HXR408" s="268"/>
      <c r="HXS408" s="268"/>
      <c r="HXT408" s="268"/>
      <c r="HXU408" s="268"/>
      <c r="HXV408" s="268"/>
      <c r="HXW408" s="268"/>
      <c r="HXX408" s="268"/>
      <c r="HXY408" s="268"/>
      <c r="HXZ408" s="268"/>
      <c r="HYA408" s="268"/>
      <c r="HYB408" s="268"/>
      <c r="HYC408" s="268"/>
      <c r="HYD408" s="268"/>
      <c r="HYE408" s="268"/>
      <c r="HYF408" s="268"/>
      <c r="HYG408" s="268"/>
      <c r="HYH408" s="268"/>
      <c r="HYI408" s="268"/>
      <c r="HYJ408" s="268"/>
      <c r="HYK408" s="268"/>
      <c r="HYL408" s="268"/>
      <c r="HYM408" s="268"/>
      <c r="HYN408" s="268"/>
      <c r="HYO408" s="268"/>
      <c r="HYP408" s="268"/>
      <c r="HYQ408" s="268"/>
      <c r="HYR408" s="268"/>
      <c r="HYS408" s="268"/>
      <c r="HYT408" s="268"/>
      <c r="HYU408" s="268"/>
      <c r="HYV408" s="268"/>
      <c r="HYW408" s="268"/>
      <c r="HYX408" s="268"/>
      <c r="HYY408" s="268"/>
      <c r="HYZ408" s="268"/>
      <c r="HZA408" s="268"/>
      <c r="HZB408" s="268"/>
      <c r="HZC408" s="268"/>
      <c r="HZD408" s="268"/>
      <c r="HZE408" s="268"/>
      <c r="HZF408" s="268"/>
      <c r="HZG408" s="268"/>
      <c r="HZH408" s="268"/>
      <c r="HZI408" s="268"/>
      <c r="HZJ408" s="268"/>
      <c r="HZK408" s="268"/>
      <c r="HZL408" s="268"/>
      <c r="HZM408" s="268"/>
      <c r="HZN408" s="268"/>
      <c r="HZO408" s="268"/>
      <c r="HZP408" s="268"/>
      <c r="HZQ408" s="268"/>
      <c r="HZR408" s="268"/>
      <c r="HZS408" s="268"/>
      <c r="HZT408" s="268"/>
      <c r="HZU408" s="268"/>
      <c r="HZV408" s="268"/>
      <c r="HZW408" s="268"/>
      <c r="HZX408" s="268"/>
      <c r="HZY408" s="268"/>
      <c r="HZZ408" s="268"/>
      <c r="IAA408" s="268"/>
      <c r="IAB408" s="268"/>
      <c r="IAC408" s="268"/>
      <c r="IAD408" s="268"/>
      <c r="IAE408" s="268"/>
      <c r="IAF408" s="268"/>
      <c r="IAG408" s="268"/>
      <c r="IAH408" s="268"/>
      <c r="IAI408" s="268"/>
      <c r="IAJ408" s="268"/>
      <c r="IAK408" s="268"/>
      <c r="IAL408" s="268"/>
      <c r="IAM408" s="268"/>
      <c r="IAN408" s="268"/>
      <c r="IAO408" s="268"/>
      <c r="IAP408" s="268"/>
      <c r="IAQ408" s="268"/>
      <c r="IAR408" s="268"/>
      <c r="IAS408" s="268"/>
      <c r="IAT408" s="268"/>
      <c r="IAU408" s="268"/>
      <c r="IAV408" s="268"/>
      <c r="IAW408" s="268"/>
      <c r="IAX408" s="268"/>
      <c r="IAY408" s="268"/>
      <c r="IBM408" s="268"/>
      <c r="IBN408" s="268"/>
      <c r="IBO408" s="268"/>
      <c r="ICC408" s="268"/>
      <c r="ICE408" s="268"/>
      <c r="ICF408" s="268"/>
      <c r="ICG408" s="268"/>
      <c r="ICH408" s="268"/>
      <c r="ICI408" s="268"/>
      <c r="ICJ408" s="268"/>
      <c r="ICK408" s="268"/>
      <c r="ICL408" s="268"/>
      <c r="ICM408" s="268"/>
      <c r="ICN408" s="268"/>
      <c r="ICO408" s="268"/>
      <c r="ICP408" s="268"/>
      <c r="ICQ408" s="268"/>
      <c r="ICR408" s="268"/>
      <c r="ICS408" s="268"/>
      <c r="ICT408" s="268"/>
      <c r="ICU408" s="268"/>
      <c r="ICV408" s="268"/>
      <c r="ICW408" s="268"/>
      <c r="ICX408" s="268"/>
      <c r="ICY408" s="268"/>
      <c r="ICZ408" s="268"/>
      <c r="IDA408" s="268"/>
      <c r="IDB408" s="268"/>
      <c r="IDC408" s="268"/>
      <c r="IDD408" s="268"/>
      <c r="IDE408" s="268"/>
      <c r="IDF408" s="268"/>
      <c r="IDG408" s="268"/>
      <c r="IDH408" s="268"/>
      <c r="IDI408" s="268"/>
      <c r="IDJ408" s="268"/>
      <c r="IDK408" s="268"/>
      <c r="IDL408" s="268"/>
      <c r="IDM408" s="268"/>
      <c r="IDN408" s="268"/>
      <c r="IDO408" s="268"/>
      <c r="IDP408" s="268"/>
      <c r="IDQ408" s="268"/>
      <c r="IDR408" s="268"/>
      <c r="IDS408" s="268"/>
      <c r="IDT408" s="268"/>
      <c r="IDU408" s="268"/>
      <c r="IDV408" s="268"/>
      <c r="IDW408" s="268"/>
      <c r="IDX408" s="268"/>
      <c r="IDY408" s="268"/>
      <c r="IDZ408" s="268"/>
      <c r="IEA408" s="268"/>
      <c r="IEB408" s="268"/>
      <c r="IEC408" s="268"/>
      <c r="IED408" s="268"/>
      <c r="IEE408" s="268"/>
      <c r="IEF408" s="268"/>
      <c r="IEG408" s="268"/>
      <c r="IEH408" s="268"/>
      <c r="IEI408" s="268"/>
      <c r="IEJ408" s="268"/>
      <c r="IEK408" s="268"/>
      <c r="IEL408" s="268"/>
      <c r="IEM408" s="268"/>
      <c r="IEN408" s="268"/>
      <c r="IEO408" s="268"/>
      <c r="IEP408" s="268"/>
      <c r="IEQ408" s="268"/>
      <c r="IER408" s="268"/>
      <c r="IES408" s="268"/>
      <c r="IET408" s="268"/>
      <c r="IEU408" s="268"/>
      <c r="IEV408" s="268"/>
      <c r="IEW408" s="268"/>
      <c r="IEX408" s="268"/>
      <c r="IEY408" s="268"/>
      <c r="IEZ408" s="268"/>
      <c r="IFA408" s="268"/>
      <c r="IFB408" s="268"/>
      <c r="IFC408" s="268"/>
      <c r="IFD408" s="268"/>
      <c r="IFE408" s="268"/>
      <c r="IFF408" s="268"/>
      <c r="IFG408" s="268"/>
      <c r="IFH408" s="268"/>
      <c r="IFI408" s="268"/>
      <c r="IFJ408" s="268"/>
      <c r="IFK408" s="268"/>
      <c r="IFL408" s="268"/>
      <c r="IFM408" s="268"/>
      <c r="IFN408" s="268"/>
      <c r="IFO408" s="268"/>
      <c r="IFP408" s="268"/>
      <c r="IFQ408" s="268"/>
      <c r="IFR408" s="268"/>
      <c r="IFS408" s="268"/>
      <c r="IFT408" s="268"/>
      <c r="IFU408" s="268"/>
      <c r="IFV408" s="268"/>
      <c r="IFW408" s="268"/>
      <c r="IFX408" s="268"/>
      <c r="IFY408" s="268"/>
      <c r="IFZ408" s="268"/>
      <c r="IGA408" s="268"/>
      <c r="IGB408" s="268"/>
      <c r="IGC408" s="268"/>
      <c r="IGD408" s="268"/>
      <c r="IGE408" s="268"/>
      <c r="IGF408" s="268"/>
      <c r="IGG408" s="268"/>
      <c r="IGH408" s="268"/>
      <c r="IGI408" s="268"/>
      <c r="IGJ408" s="268"/>
      <c r="IGK408" s="268"/>
      <c r="IGL408" s="268"/>
      <c r="IGM408" s="268"/>
      <c r="IGN408" s="268"/>
      <c r="IGO408" s="268"/>
      <c r="IGP408" s="268"/>
      <c r="IGQ408" s="268"/>
      <c r="IGR408" s="268"/>
      <c r="IGS408" s="268"/>
      <c r="IGT408" s="268"/>
      <c r="IGU408" s="268"/>
      <c r="IGV408" s="268"/>
      <c r="IGW408" s="268"/>
      <c r="IGX408" s="268"/>
      <c r="IGY408" s="268"/>
      <c r="IGZ408" s="268"/>
      <c r="IHA408" s="268"/>
      <c r="IHB408" s="268"/>
      <c r="IHC408" s="268"/>
      <c r="IHD408" s="268"/>
      <c r="IHE408" s="268"/>
      <c r="IHF408" s="268"/>
      <c r="IHG408" s="268"/>
      <c r="IHH408" s="268"/>
      <c r="IHI408" s="268"/>
      <c r="IHJ408" s="268"/>
      <c r="IHK408" s="268"/>
      <c r="IHL408" s="268"/>
      <c r="IHM408" s="268"/>
      <c r="IHN408" s="268"/>
      <c r="IHO408" s="268"/>
      <c r="IHP408" s="268"/>
      <c r="IHQ408" s="268"/>
      <c r="IHR408" s="268"/>
      <c r="IHS408" s="268"/>
      <c r="IHT408" s="268"/>
      <c r="IHU408" s="268"/>
      <c r="IHV408" s="268"/>
      <c r="IHW408" s="268"/>
      <c r="IHX408" s="268"/>
      <c r="IHY408" s="268"/>
      <c r="IHZ408" s="268"/>
      <c r="IIA408" s="268"/>
      <c r="IIB408" s="268"/>
      <c r="IIC408" s="268"/>
      <c r="IID408" s="268"/>
      <c r="IIE408" s="268"/>
      <c r="IIF408" s="268"/>
      <c r="IIG408" s="268"/>
      <c r="IIH408" s="268"/>
      <c r="III408" s="268"/>
      <c r="IIJ408" s="268"/>
      <c r="IIK408" s="268"/>
      <c r="IIL408" s="268"/>
      <c r="IIM408" s="268"/>
      <c r="IIN408" s="268"/>
      <c r="IIO408" s="268"/>
      <c r="IIP408" s="268"/>
      <c r="IIQ408" s="268"/>
      <c r="IIR408" s="268"/>
      <c r="IIS408" s="268"/>
      <c r="IIT408" s="268"/>
      <c r="IIU408" s="268"/>
      <c r="IIV408" s="268"/>
      <c r="IIW408" s="268"/>
      <c r="IIX408" s="268"/>
      <c r="IIY408" s="268"/>
      <c r="IIZ408" s="268"/>
      <c r="IJA408" s="268"/>
      <c r="IJB408" s="268"/>
      <c r="IJC408" s="268"/>
      <c r="IJD408" s="268"/>
      <c r="IJE408" s="268"/>
      <c r="IJF408" s="268"/>
      <c r="IJG408" s="268"/>
      <c r="IJH408" s="268"/>
      <c r="IJI408" s="268"/>
      <c r="IJJ408" s="268"/>
      <c r="IJK408" s="268"/>
      <c r="IJL408" s="268"/>
      <c r="IJM408" s="268"/>
      <c r="IJN408" s="268"/>
      <c r="IJO408" s="268"/>
      <c r="IJP408" s="268"/>
      <c r="IJQ408" s="268"/>
      <c r="IJR408" s="268"/>
      <c r="IJS408" s="268"/>
      <c r="IJT408" s="268"/>
      <c r="IJU408" s="268"/>
      <c r="IJV408" s="268"/>
      <c r="IJW408" s="268"/>
      <c r="IJX408" s="268"/>
      <c r="IJY408" s="268"/>
      <c r="IJZ408" s="268"/>
      <c r="IKA408" s="268"/>
      <c r="IKB408" s="268"/>
      <c r="IKC408" s="268"/>
      <c r="IKD408" s="268"/>
      <c r="IKE408" s="268"/>
      <c r="IKF408" s="268"/>
      <c r="IKG408" s="268"/>
      <c r="IKH408" s="268"/>
      <c r="IKI408" s="268"/>
      <c r="IKJ408" s="268"/>
      <c r="IKK408" s="268"/>
      <c r="IKL408" s="268"/>
      <c r="IKM408" s="268"/>
      <c r="IKN408" s="268"/>
      <c r="IKO408" s="268"/>
      <c r="IKP408" s="268"/>
      <c r="IKQ408" s="268"/>
      <c r="IKR408" s="268"/>
      <c r="IKS408" s="268"/>
      <c r="IKT408" s="268"/>
      <c r="IKU408" s="268"/>
      <c r="ILI408" s="268"/>
      <c r="ILJ408" s="268"/>
      <c r="ILK408" s="268"/>
      <c r="ILY408" s="268"/>
      <c r="IMA408" s="268"/>
      <c r="IMB408" s="268"/>
      <c r="IMC408" s="268"/>
      <c r="IMD408" s="268"/>
      <c r="IME408" s="268"/>
      <c r="IMF408" s="268"/>
      <c r="IMG408" s="268"/>
      <c r="IMH408" s="268"/>
      <c r="IMI408" s="268"/>
      <c r="IMJ408" s="268"/>
      <c r="IMK408" s="268"/>
      <c r="IML408" s="268"/>
      <c r="IMM408" s="268"/>
      <c r="IMN408" s="268"/>
      <c r="IMO408" s="268"/>
      <c r="IMP408" s="268"/>
      <c r="IMQ408" s="268"/>
      <c r="IMR408" s="268"/>
      <c r="IMS408" s="268"/>
      <c r="IMT408" s="268"/>
      <c r="IMU408" s="268"/>
      <c r="IMV408" s="268"/>
      <c r="IMW408" s="268"/>
      <c r="IMX408" s="268"/>
      <c r="IMY408" s="268"/>
      <c r="IMZ408" s="268"/>
      <c r="INA408" s="268"/>
      <c r="INB408" s="268"/>
      <c r="INC408" s="268"/>
      <c r="IND408" s="268"/>
      <c r="INE408" s="268"/>
      <c r="INF408" s="268"/>
      <c r="ING408" s="268"/>
      <c r="INH408" s="268"/>
      <c r="INI408" s="268"/>
      <c r="INJ408" s="268"/>
      <c r="INK408" s="268"/>
      <c r="INL408" s="268"/>
      <c r="INM408" s="268"/>
      <c r="INN408" s="268"/>
      <c r="INO408" s="268"/>
      <c r="INP408" s="268"/>
      <c r="INQ408" s="268"/>
      <c r="INR408" s="268"/>
      <c r="INS408" s="268"/>
      <c r="INT408" s="268"/>
      <c r="INU408" s="268"/>
      <c r="INV408" s="268"/>
      <c r="INW408" s="268"/>
      <c r="INX408" s="268"/>
      <c r="INY408" s="268"/>
      <c r="INZ408" s="268"/>
      <c r="IOA408" s="268"/>
      <c r="IOB408" s="268"/>
      <c r="IOC408" s="268"/>
      <c r="IOD408" s="268"/>
      <c r="IOE408" s="268"/>
      <c r="IOF408" s="268"/>
      <c r="IOG408" s="268"/>
      <c r="IOH408" s="268"/>
      <c r="IOI408" s="268"/>
      <c r="IOJ408" s="268"/>
      <c r="IOK408" s="268"/>
      <c r="IOL408" s="268"/>
      <c r="IOM408" s="268"/>
      <c r="ION408" s="268"/>
      <c r="IOO408" s="268"/>
      <c r="IOP408" s="268"/>
      <c r="IOQ408" s="268"/>
      <c r="IOR408" s="268"/>
      <c r="IOS408" s="268"/>
      <c r="IOT408" s="268"/>
      <c r="IOU408" s="268"/>
      <c r="IOV408" s="268"/>
      <c r="IOW408" s="268"/>
      <c r="IOX408" s="268"/>
      <c r="IOY408" s="268"/>
      <c r="IOZ408" s="268"/>
      <c r="IPA408" s="268"/>
      <c r="IPB408" s="268"/>
      <c r="IPC408" s="268"/>
      <c r="IPD408" s="268"/>
      <c r="IPE408" s="268"/>
      <c r="IPF408" s="268"/>
      <c r="IPG408" s="268"/>
      <c r="IPH408" s="268"/>
      <c r="IPI408" s="268"/>
      <c r="IPJ408" s="268"/>
      <c r="IPK408" s="268"/>
      <c r="IPL408" s="268"/>
      <c r="IPM408" s="268"/>
      <c r="IPN408" s="268"/>
      <c r="IPO408" s="268"/>
      <c r="IPP408" s="268"/>
      <c r="IPQ408" s="268"/>
      <c r="IPR408" s="268"/>
      <c r="IPS408" s="268"/>
      <c r="IPT408" s="268"/>
      <c r="IPU408" s="268"/>
      <c r="IPV408" s="268"/>
      <c r="IPW408" s="268"/>
      <c r="IPX408" s="268"/>
      <c r="IPY408" s="268"/>
      <c r="IPZ408" s="268"/>
      <c r="IQA408" s="268"/>
      <c r="IQB408" s="268"/>
      <c r="IQC408" s="268"/>
      <c r="IQD408" s="268"/>
      <c r="IQE408" s="268"/>
      <c r="IQF408" s="268"/>
      <c r="IQG408" s="268"/>
      <c r="IQH408" s="268"/>
      <c r="IQI408" s="268"/>
      <c r="IQJ408" s="268"/>
      <c r="IQK408" s="268"/>
      <c r="IQL408" s="268"/>
      <c r="IQM408" s="268"/>
      <c r="IQN408" s="268"/>
      <c r="IQO408" s="268"/>
      <c r="IQP408" s="268"/>
      <c r="IQQ408" s="268"/>
      <c r="IQR408" s="268"/>
      <c r="IQS408" s="268"/>
      <c r="IQT408" s="268"/>
      <c r="IQU408" s="268"/>
      <c r="IQV408" s="268"/>
      <c r="IQW408" s="268"/>
      <c r="IQX408" s="268"/>
      <c r="IQY408" s="268"/>
      <c r="IQZ408" s="268"/>
      <c r="IRA408" s="268"/>
      <c r="IRB408" s="268"/>
      <c r="IRC408" s="268"/>
      <c r="IRD408" s="268"/>
      <c r="IRE408" s="268"/>
      <c r="IRF408" s="268"/>
      <c r="IRG408" s="268"/>
      <c r="IRH408" s="268"/>
      <c r="IRI408" s="268"/>
      <c r="IRJ408" s="268"/>
      <c r="IRK408" s="268"/>
      <c r="IRL408" s="268"/>
      <c r="IRM408" s="268"/>
      <c r="IRN408" s="268"/>
      <c r="IRO408" s="268"/>
      <c r="IRP408" s="268"/>
      <c r="IRQ408" s="268"/>
      <c r="IRR408" s="268"/>
      <c r="IRS408" s="268"/>
      <c r="IRT408" s="268"/>
      <c r="IRU408" s="268"/>
      <c r="IRV408" s="268"/>
      <c r="IRW408" s="268"/>
      <c r="IRX408" s="268"/>
      <c r="IRY408" s="268"/>
      <c r="IRZ408" s="268"/>
      <c r="ISA408" s="268"/>
      <c r="ISB408" s="268"/>
      <c r="ISC408" s="268"/>
      <c r="ISD408" s="268"/>
      <c r="ISE408" s="268"/>
      <c r="ISF408" s="268"/>
      <c r="ISG408" s="268"/>
      <c r="ISH408" s="268"/>
      <c r="ISI408" s="268"/>
      <c r="ISJ408" s="268"/>
      <c r="ISK408" s="268"/>
      <c r="ISL408" s="268"/>
      <c r="ISM408" s="268"/>
      <c r="ISN408" s="268"/>
      <c r="ISO408" s="268"/>
      <c r="ISP408" s="268"/>
      <c r="ISQ408" s="268"/>
      <c r="ISR408" s="268"/>
      <c r="ISS408" s="268"/>
      <c r="IST408" s="268"/>
      <c r="ISU408" s="268"/>
      <c r="ISV408" s="268"/>
      <c r="ISW408" s="268"/>
      <c r="ISX408" s="268"/>
      <c r="ISY408" s="268"/>
      <c r="ISZ408" s="268"/>
      <c r="ITA408" s="268"/>
      <c r="ITB408" s="268"/>
      <c r="ITC408" s="268"/>
      <c r="ITD408" s="268"/>
      <c r="ITE408" s="268"/>
      <c r="ITF408" s="268"/>
      <c r="ITG408" s="268"/>
      <c r="ITH408" s="268"/>
      <c r="ITI408" s="268"/>
      <c r="ITJ408" s="268"/>
      <c r="ITK408" s="268"/>
      <c r="ITL408" s="268"/>
      <c r="ITM408" s="268"/>
      <c r="ITN408" s="268"/>
      <c r="ITO408" s="268"/>
      <c r="ITP408" s="268"/>
      <c r="ITQ408" s="268"/>
      <c r="ITR408" s="268"/>
      <c r="ITS408" s="268"/>
      <c r="ITT408" s="268"/>
      <c r="ITU408" s="268"/>
      <c r="ITV408" s="268"/>
      <c r="ITW408" s="268"/>
      <c r="ITX408" s="268"/>
      <c r="ITY408" s="268"/>
      <c r="ITZ408" s="268"/>
      <c r="IUA408" s="268"/>
      <c r="IUB408" s="268"/>
      <c r="IUC408" s="268"/>
      <c r="IUD408" s="268"/>
      <c r="IUE408" s="268"/>
      <c r="IUF408" s="268"/>
      <c r="IUG408" s="268"/>
      <c r="IUH408" s="268"/>
      <c r="IUI408" s="268"/>
      <c r="IUJ408" s="268"/>
      <c r="IUK408" s="268"/>
      <c r="IUL408" s="268"/>
      <c r="IUM408" s="268"/>
      <c r="IUN408" s="268"/>
      <c r="IUO408" s="268"/>
      <c r="IUP408" s="268"/>
      <c r="IUQ408" s="268"/>
      <c r="IVE408" s="268"/>
      <c r="IVF408" s="268"/>
      <c r="IVG408" s="268"/>
      <c r="IVU408" s="268"/>
      <c r="IVW408" s="268"/>
      <c r="IVX408" s="268"/>
      <c r="IVY408" s="268"/>
      <c r="IVZ408" s="268"/>
      <c r="IWA408" s="268"/>
      <c r="IWB408" s="268"/>
      <c r="IWC408" s="268"/>
      <c r="IWD408" s="268"/>
      <c r="IWE408" s="268"/>
      <c r="IWF408" s="268"/>
      <c r="IWG408" s="268"/>
      <c r="IWH408" s="268"/>
      <c r="IWI408" s="268"/>
      <c r="IWJ408" s="268"/>
      <c r="IWK408" s="268"/>
      <c r="IWL408" s="268"/>
      <c r="IWM408" s="268"/>
      <c r="IWN408" s="268"/>
      <c r="IWO408" s="268"/>
      <c r="IWP408" s="268"/>
      <c r="IWQ408" s="268"/>
      <c r="IWR408" s="268"/>
      <c r="IWS408" s="268"/>
      <c r="IWT408" s="268"/>
      <c r="IWU408" s="268"/>
      <c r="IWV408" s="268"/>
      <c r="IWW408" s="268"/>
      <c r="IWX408" s="268"/>
      <c r="IWY408" s="268"/>
      <c r="IWZ408" s="268"/>
      <c r="IXA408" s="268"/>
      <c r="IXB408" s="268"/>
      <c r="IXC408" s="268"/>
      <c r="IXD408" s="268"/>
      <c r="IXE408" s="268"/>
      <c r="IXF408" s="268"/>
      <c r="IXG408" s="268"/>
      <c r="IXH408" s="268"/>
      <c r="IXI408" s="268"/>
      <c r="IXJ408" s="268"/>
      <c r="IXK408" s="268"/>
      <c r="IXL408" s="268"/>
      <c r="IXM408" s="268"/>
      <c r="IXN408" s="268"/>
      <c r="IXO408" s="268"/>
      <c r="IXP408" s="268"/>
      <c r="IXQ408" s="268"/>
      <c r="IXR408" s="268"/>
      <c r="IXS408" s="268"/>
      <c r="IXT408" s="268"/>
      <c r="IXU408" s="268"/>
      <c r="IXV408" s="268"/>
      <c r="IXW408" s="268"/>
      <c r="IXX408" s="268"/>
      <c r="IXY408" s="268"/>
      <c r="IXZ408" s="268"/>
      <c r="IYA408" s="268"/>
      <c r="IYB408" s="268"/>
      <c r="IYC408" s="268"/>
      <c r="IYD408" s="268"/>
      <c r="IYE408" s="268"/>
      <c r="IYF408" s="268"/>
      <c r="IYG408" s="268"/>
      <c r="IYH408" s="268"/>
      <c r="IYI408" s="268"/>
      <c r="IYJ408" s="268"/>
      <c r="IYK408" s="268"/>
      <c r="IYL408" s="268"/>
      <c r="IYM408" s="268"/>
      <c r="IYN408" s="268"/>
      <c r="IYO408" s="268"/>
      <c r="IYP408" s="268"/>
      <c r="IYQ408" s="268"/>
      <c r="IYR408" s="268"/>
      <c r="IYS408" s="268"/>
      <c r="IYT408" s="268"/>
      <c r="IYU408" s="268"/>
      <c r="IYV408" s="268"/>
      <c r="IYW408" s="268"/>
      <c r="IYX408" s="268"/>
      <c r="IYY408" s="268"/>
      <c r="IYZ408" s="268"/>
      <c r="IZA408" s="268"/>
      <c r="IZB408" s="268"/>
      <c r="IZC408" s="268"/>
      <c r="IZD408" s="268"/>
      <c r="IZE408" s="268"/>
      <c r="IZF408" s="268"/>
      <c r="IZG408" s="268"/>
      <c r="IZH408" s="268"/>
      <c r="IZI408" s="268"/>
      <c r="IZJ408" s="268"/>
      <c r="IZK408" s="268"/>
      <c r="IZL408" s="268"/>
      <c r="IZM408" s="268"/>
      <c r="IZN408" s="268"/>
      <c r="IZO408" s="268"/>
      <c r="IZP408" s="268"/>
      <c r="IZQ408" s="268"/>
      <c r="IZR408" s="268"/>
      <c r="IZS408" s="268"/>
      <c r="IZT408" s="268"/>
      <c r="IZU408" s="268"/>
      <c r="IZV408" s="268"/>
      <c r="IZW408" s="268"/>
      <c r="IZX408" s="268"/>
      <c r="IZY408" s="268"/>
      <c r="IZZ408" s="268"/>
      <c r="JAA408" s="268"/>
      <c r="JAB408" s="268"/>
      <c r="JAC408" s="268"/>
      <c r="JAD408" s="268"/>
      <c r="JAE408" s="268"/>
      <c r="JAF408" s="268"/>
      <c r="JAG408" s="268"/>
      <c r="JAH408" s="268"/>
      <c r="JAI408" s="268"/>
      <c r="JAJ408" s="268"/>
      <c r="JAK408" s="268"/>
      <c r="JAL408" s="268"/>
      <c r="JAM408" s="268"/>
      <c r="JAN408" s="268"/>
      <c r="JAO408" s="268"/>
      <c r="JAP408" s="268"/>
      <c r="JAQ408" s="268"/>
      <c r="JAR408" s="268"/>
      <c r="JAS408" s="268"/>
      <c r="JAT408" s="268"/>
      <c r="JAU408" s="268"/>
      <c r="JAV408" s="268"/>
      <c r="JAW408" s="268"/>
      <c r="JAX408" s="268"/>
      <c r="JAY408" s="268"/>
      <c r="JAZ408" s="268"/>
      <c r="JBA408" s="268"/>
      <c r="JBB408" s="268"/>
      <c r="JBC408" s="268"/>
      <c r="JBD408" s="268"/>
      <c r="JBE408" s="268"/>
      <c r="JBF408" s="268"/>
      <c r="JBG408" s="268"/>
      <c r="JBH408" s="268"/>
      <c r="JBI408" s="268"/>
      <c r="JBJ408" s="268"/>
      <c r="JBK408" s="268"/>
      <c r="JBL408" s="268"/>
      <c r="JBM408" s="268"/>
      <c r="JBN408" s="268"/>
      <c r="JBO408" s="268"/>
      <c r="JBP408" s="268"/>
      <c r="JBQ408" s="268"/>
      <c r="JBR408" s="268"/>
      <c r="JBS408" s="268"/>
      <c r="JBT408" s="268"/>
      <c r="JBU408" s="268"/>
      <c r="JBV408" s="268"/>
      <c r="JBW408" s="268"/>
      <c r="JBX408" s="268"/>
      <c r="JBY408" s="268"/>
      <c r="JBZ408" s="268"/>
      <c r="JCA408" s="268"/>
      <c r="JCB408" s="268"/>
      <c r="JCC408" s="268"/>
      <c r="JCD408" s="268"/>
      <c r="JCE408" s="268"/>
      <c r="JCF408" s="268"/>
      <c r="JCG408" s="268"/>
      <c r="JCH408" s="268"/>
      <c r="JCI408" s="268"/>
      <c r="JCJ408" s="268"/>
      <c r="JCK408" s="268"/>
      <c r="JCL408" s="268"/>
      <c r="JCM408" s="268"/>
      <c r="JCN408" s="268"/>
      <c r="JCO408" s="268"/>
      <c r="JCP408" s="268"/>
      <c r="JCQ408" s="268"/>
      <c r="JCR408" s="268"/>
      <c r="JCS408" s="268"/>
      <c r="JCT408" s="268"/>
      <c r="JCU408" s="268"/>
      <c r="JCV408" s="268"/>
      <c r="JCW408" s="268"/>
      <c r="JCX408" s="268"/>
      <c r="JCY408" s="268"/>
      <c r="JCZ408" s="268"/>
      <c r="JDA408" s="268"/>
      <c r="JDB408" s="268"/>
      <c r="JDC408" s="268"/>
      <c r="JDD408" s="268"/>
      <c r="JDE408" s="268"/>
      <c r="JDF408" s="268"/>
      <c r="JDG408" s="268"/>
      <c r="JDH408" s="268"/>
      <c r="JDI408" s="268"/>
      <c r="JDJ408" s="268"/>
      <c r="JDK408" s="268"/>
      <c r="JDL408" s="268"/>
      <c r="JDM408" s="268"/>
      <c r="JDN408" s="268"/>
      <c r="JDO408" s="268"/>
      <c r="JDP408" s="268"/>
      <c r="JDQ408" s="268"/>
      <c r="JDR408" s="268"/>
      <c r="JDS408" s="268"/>
      <c r="JDT408" s="268"/>
      <c r="JDU408" s="268"/>
      <c r="JDV408" s="268"/>
      <c r="JDW408" s="268"/>
      <c r="JDX408" s="268"/>
      <c r="JDY408" s="268"/>
      <c r="JDZ408" s="268"/>
      <c r="JEA408" s="268"/>
      <c r="JEB408" s="268"/>
      <c r="JEC408" s="268"/>
      <c r="JED408" s="268"/>
      <c r="JEE408" s="268"/>
      <c r="JEF408" s="268"/>
      <c r="JEG408" s="268"/>
      <c r="JEH408" s="268"/>
      <c r="JEI408" s="268"/>
      <c r="JEJ408" s="268"/>
      <c r="JEK408" s="268"/>
      <c r="JEL408" s="268"/>
      <c r="JEM408" s="268"/>
      <c r="JFA408" s="268"/>
      <c r="JFB408" s="268"/>
      <c r="JFC408" s="268"/>
      <c r="JFQ408" s="268"/>
      <c r="JFS408" s="268"/>
      <c r="JFT408" s="268"/>
      <c r="JFU408" s="268"/>
      <c r="JFV408" s="268"/>
      <c r="JFW408" s="268"/>
      <c r="JFX408" s="268"/>
      <c r="JFY408" s="268"/>
      <c r="JFZ408" s="268"/>
      <c r="JGA408" s="268"/>
      <c r="JGB408" s="268"/>
      <c r="JGC408" s="268"/>
      <c r="JGD408" s="268"/>
      <c r="JGE408" s="268"/>
      <c r="JGF408" s="268"/>
      <c r="JGG408" s="268"/>
      <c r="JGH408" s="268"/>
      <c r="JGI408" s="268"/>
      <c r="JGJ408" s="268"/>
      <c r="JGK408" s="268"/>
      <c r="JGL408" s="268"/>
      <c r="JGM408" s="268"/>
      <c r="JGN408" s="268"/>
      <c r="JGO408" s="268"/>
      <c r="JGP408" s="268"/>
      <c r="JGQ408" s="268"/>
      <c r="JGR408" s="268"/>
      <c r="JGS408" s="268"/>
      <c r="JGT408" s="268"/>
      <c r="JGU408" s="268"/>
      <c r="JGV408" s="268"/>
      <c r="JGW408" s="268"/>
      <c r="JGX408" s="268"/>
      <c r="JGY408" s="268"/>
      <c r="JGZ408" s="268"/>
      <c r="JHA408" s="268"/>
      <c r="JHB408" s="268"/>
      <c r="JHC408" s="268"/>
      <c r="JHD408" s="268"/>
      <c r="JHE408" s="268"/>
      <c r="JHF408" s="268"/>
      <c r="JHG408" s="268"/>
      <c r="JHH408" s="268"/>
      <c r="JHI408" s="268"/>
      <c r="JHJ408" s="268"/>
      <c r="JHK408" s="268"/>
      <c r="JHL408" s="268"/>
      <c r="JHM408" s="268"/>
      <c r="JHN408" s="268"/>
      <c r="JHO408" s="268"/>
      <c r="JHP408" s="268"/>
      <c r="JHQ408" s="268"/>
      <c r="JHR408" s="268"/>
      <c r="JHS408" s="268"/>
      <c r="JHT408" s="268"/>
      <c r="JHU408" s="268"/>
      <c r="JHV408" s="268"/>
      <c r="JHW408" s="268"/>
      <c r="JHX408" s="268"/>
      <c r="JHY408" s="268"/>
      <c r="JHZ408" s="268"/>
      <c r="JIA408" s="268"/>
      <c r="JIB408" s="268"/>
      <c r="JIC408" s="268"/>
      <c r="JID408" s="268"/>
      <c r="JIE408" s="268"/>
      <c r="JIF408" s="268"/>
      <c r="JIG408" s="268"/>
      <c r="JIH408" s="268"/>
      <c r="JII408" s="268"/>
      <c r="JIJ408" s="268"/>
      <c r="JIK408" s="268"/>
      <c r="JIL408" s="268"/>
      <c r="JIM408" s="268"/>
      <c r="JIN408" s="268"/>
      <c r="JIO408" s="268"/>
      <c r="JIP408" s="268"/>
      <c r="JIQ408" s="268"/>
      <c r="JIR408" s="268"/>
      <c r="JIS408" s="268"/>
      <c r="JIT408" s="268"/>
      <c r="JIU408" s="268"/>
      <c r="JIV408" s="268"/>
      <c r="JIW408" s="268"/>
      <c r="JIX408" s="268"/>
      <c r="JIY408" s="268"/>
      <c r="JIZ408" s="268"/>
      <c r="JJA408" s="268"/>
      <c r="JJB408" s="268"/>
      <c r="JJC408" s="268"/>
      <c r="JJD408" s="268"/>
      <c r="JJE408" s="268"/>
      <c r="JJF408" s="268"/>
      <c r="JJG408" s="268"/>
      <c r="JJH408" s="268"/>
      <c r="JJI408" s="268"/>
      <c r="JJJ408" s="268"/>
      <c r="JJK408" s="268"/>
      <c r="JJL408" s="268"/>
      <c r="JJM408" s="268"/>
      <c r="JJN408" s="268"/>
      <c r="JJO408" s="268"/>
      <c r="JJP408" s="268"/>
      <c r="JJQ408" s="268"/>
      <c r="JJR408" s="268"/>
      <c r="JJS408" s="268"/>
      <c r="JJT408" s="268"/>
      <c r="JJU408" s="268"/>
      <c r="JJV408" s="268"/>
      <c r="JJW408" s="268"/>
      <c r="JJX408" s="268"/>
      <c r="JJY408" s="268"/>
      <c r="JJZ408" s="268"/>
      <c r="JKA408" s="268"/>
      <c r="JKB408" s="268"/>
      <c r="JKC408" s="268"/>
      <c r="JKD408" s="268"/>
      <c r="JKE408" s="268"/>
      <c r="JKF408" s="268"/>
      <c r="JKG408" s="268"/>
      <c r="JKH408" s="268"/>
      <c r="JKI408" s="268"/>
      <c r="JKJ408" s="268"/>
      <c r="JKK408" s="268"/>
      <c r="JKL408" s="268"/>
      <c r="JKM408" s="268"/>
      <c r="JKN408" s="268"/>
      <c r="JKO408" s="268"/>
      <c r="JKP408" s="268"/>
      <c r="JKQ408" s="268"/>
      <c r="JKR408" s="268"/>
      <c r="JKS408" s="268"/>
      <c r="JKT408" s="268"/>
      <c r="JKU408" s="268"/>
      <c r="JKV408" s="268"/>
      <c r="JKW408" s="268"/>
      <c r="JKX408" s="268"/>
      <c r="JKY408" s="268"/>
      <c r="JKZ408" s="268"/>
      <c r="JLA408" s="268"/>
      <c r="JLB408" s="268"/>
      <c r="JLC408" s="268"/>
      <c r="JLD408" s="268"/>
      <c r="JLE408" s="268"/>
      <c r="JLF408" s="268"/>
      <c r="JLG408" s="268"/>
      <c r="JLH408" s="268"/>
      <c r="JLI408" s="268"/>
      <c r="JLJ408" s="268"/>
      <c r="JLK408" s="268"/>
      <c r="JLL408" s="268"/>
      <c r="JLM408" s="268"/>
      <c r="JLN408" s="268"/>
      <c r="JLO408" s="268"/>
      <c r="JLP408" s="268"/>
      <c r="JLQ408" s="268"/>
      <c r="JLR408" s="268"/>
      <c r="JLS408" s="268"/>
      <c r="JLT408" s="268"/>
      <c r="JLU408" s="268"/>
      <c r="JLV408" s="268"/>
      <c r="JLW408" s="268"/>
      <c r="JLX408" s="268"/>
      <c r="JLY408" s="268"/>
      <c r="JLZ408" s="268"/>
      <c r="JMA408" s="268"/>
      <c r="JMB408" s="268"/>
      <c r="JMC408" s="268"/>
      <c r="JMD408" s="268"/>
      <c r="JME408" s="268"/>
      <c r="JMF408" s="268"/>
      <c r="JMG408" s="268"/>
      <c r="JMH408" s="268"/>
      <c r="JMI408" s="268"/>
      <c r="JMJ408" s="268"/>
      <c r="JMK408" s="268"/>
      <c r="JML408" s="268"/>
      <c r="JMM408" s="268"/>
      <c r="JMN408" s="268"/>
      <c r="JMO408" s="268"/>
      <c r="JMP408" s="268"/>
      <c r="JMQ408" s="268"/>
      <c r="JMR408" s="268"/>
      <c r="JMS408" s="268"/>
      <c r="JMT408" s="268"/>
      <c r="JMU408" s="268"/>
      <c r="JMV408" s="268"/>
      <c r="JMW408" s="268"/>
      <c r="JMX408" s="268"/>
      <c r="JMY408" s="268"/>
      <c r="JMZ408" s="268"/>
      <c r="JNA408" s="268"/>
      <c r="JNB408" s="268"/>
      <c r="JNC408" s="268"/>
      <c r="JND408" s="268"/>
      <c r="JNE408" s="268"/>
      <c r="JNF408" s="268"/>
      <c r="JNG408" s="268"/>
      <c r="JNH408" s="268"/>
      <c r="JNI408" s="268"/>
      <c r="JNJ408" s="268"/>
      <c r="JNK408" s="268"/>
      <c r="JNL408" s="268"/>
      <c r="JNM408" s="268"/>
      <c r="JNN408" s="268"/>
      <c r="JNO408" s="268"/>
      <c r="JNP408" s="268"/>
      <c r="JNQ408" s="268"/>
      <c r="JNR408" s="268"/>
      <c r="JNS408" s="268"/>
      <c r="JNT408" s="268"/>
      <c r="JNU408" s="268"/>
      <c r="JNV408" s="268"/>
      <c r="JNW408" s="268"/>
      <c r="JNX408" s="268"/>
      <c r="JNY408" s="268"/>
      <c r="JNZ408" s="268"/>
      <c r="JOA408" s="268"/>
      <c r="JOB408" s="268"/>
      <c r="JOC408" s="268"/>
      <c r="JOD408" s="268"/>
      <c r="JOE408" s="268"/>
      <c r="JOF408" s="268"/>
      <c r="JOG408" s="268"/>
      <c r="JOH408" s="268"/>
      <c r="JOI408" s="268"/>
      <c r="JOW408" s="268"/>
      <c r="JOX408" s="268"/>
      <c r="JOY408" s="268"/>
      <c r="JPM408" s="268"/>
      <c r="JPO408" s="268"/>
      <c r="JPP408" s="268"/>
      <c r="JPQ408" s="268"/>
      <c r="JPR408" s="268"/>
      <c r="JPS408" s="268"/>
      <c r="JPT408" s="268"/>
      <c r="JPU408" s="268"/>
      <c r="JPV408" s="268"/>
      <c r="JPW408" s="268"/>
      <c r="JPX408" s="268"/>
      <c r="JPY408" s="268"/>
      <c r="JPZ408" s="268"/>
      <c r="JQA408" s="268"/>
      <c r="JQB408" s="268"/>
      <c r="JQC408" s="268"/>
      <c r="JQD408" s="268"/>
      <c r="JQE408" s="268"/>
      <c r="JQF408" s="268"/>
      <c r="JQG408" s="268"/>
      <c r="JQH408" s="268"/>
      <c r="JQI408" s="268"/>
      <c r="JQJ408" s="268"/>
      <c r="JQK408" s="268"/>
      <c r="JQL408" s="268"/>
      <c r="JQM408" s="268"/>
      <c r="JQN408" s="268"/>
      <c r="JQO408" s="268"/>
      <c r="JQP408" s="268"/>
      <c r="JQQ408" s="268"/>
      <c r="JQR408" s="268"/>
      <c r="JQS408" s="268"/>
      <c r="JQT408" s="268"/>
      <c r="JQU408" s="268"/>
      <c r="JQV408" s="268"/>
      <c r="JQW408" s="268"/>
      <c r="JQX408" s="268"/>
      <c r="JQY408" s="268"/>
      <c r="JQZ408" s="268"/>
      <c r="JRA408" s="268"/>
      <c r="JRB408" s="268"/>
      <c r="JRC408" s="268"/>
      <c r="JRD408" s="268"/>
      <c r="JRE408" s="268"/>
      <c r="JRF408" s="268"/>
      <c r="JRG408" s="268"/>
      <c r="JRH408" s="268"/>
      <c r="JRI408" s="268"/>
      <c r="JRJ408" s="268"/>
      <c r="JRK408" s="268"/>
      <c r="JRL408" s="268"/>
      <c r="JRM408" s="268"/>
      <c r="JRN408" s="268"/>
      <c r="JRO408" s="268"/>
      <c r="JRP408" s="268"/>
      <c r="JRQ408" s="268"/>
      <c r="JRR408" s="268"/>
      <c r="JRS408" s="268"/>
      <c r="JRT408" s="268"/>
      <c r="JRU408" s="268"/>
      <c r="JRV408" s="268"/>
      <c r="JRW408" s="268"/>
      <c r="JRX408" s="268"/>
      <c r="JRY408" s="268"/>
      <c r="JRZ408" s="268"/>
      <c r="JSA408" s="268"/>
      <c r="JSB408" s="268"/>
      <c r="JSC408" s="268"/>
      <c r="JSD408" s="268"/>
      <c r="JSE408" s="268"/>
      <c r="JSF408" s="268"/>
      <c r="JSG408" s="268"/>
      <c r="JSH408" s="268"/>
      <c r="JSI408" s="268"/>
      <c r="JSJ408" s="268"/>
      <c r="JSK408" s="268"/>
      <c r="JSL408" s="268"/>
      <c r="JSM408" s="268"/>
      <c r="JSN408" s="268"/>
      <c r="JSO408" s="268"/>
      <c r="JSP408" s="268"/>
      <c r="JSQ408" s="268"/>
      <c r="JSR408" s="268"/>
      <c r="JSS408" s="268"/>
      <c r="JST408" s="268"/>
      <c r="JSU408" s="268"/>
      <c r="JSV408" s="268"/>
      <c r="JSW408" s="268"/>
      <c r="JSX408" s="268"/>
      <c r="JSY408" s="268"/>
      <c r="JSZ408" s="268"/>
      <c r="JTA408" s="268"/>
      <c r="JTB408" s="268"/>
      <c r="JTC408" s="268"/>
      <c r="JTD408" s="268"/>
      <c r="JTE408" s="268"/>
      <c r="JTF408" s="268"/>
      <c r="JTG408" s="268"/>
      <c r="JTH408" s="268"/>
      <c r="JTI408" s="268"/>
      <c r="JTJ408" s="268"/>
      <c r="JTK408" s="268"/>
      <c r="JTL408" s="268"/>
      <c r="JTM408" s="268"/>
      <c r="JTN408" s="268"/>
      <c r="JTO408" s="268"/>
      <c r="JTP408" s="268"/>
      <c r="JTQ408" s="268"/>
      <c r="JTR408" s="268"/>
      <c r="JTS408" s="268"/>
      <c r="JTT408" s="268"/>
      <c r="JTU408" s="268"/>
      <c r="JTV408" s="268"/>
      <c r="JTW408" s="268"/>
      <c r="JTX408" s="268"/>
      <c r="JTY408" s="268"/>
      <c r="JTZ408" s="268"/>
      <c r="JUA408" s="268"/>
      <c r="JUB408" s="268"/>
      <c r="JUC408" s="268"/>
      <c r="JUD408" s="268"/>
      <c r="JUE408" s="268"/>
      <c r="JUF408" s="268"/>
      <c r="JUG408" s="268"/>
      <c r="JUH408" s="268"/>
      <c r="JUI408" s="268"/>
      <c r="JUJ408" s="268"/>
      <c r="JUK408" s="268"/>
      <c r="JUL408" s="268"/>
      <c r="JUM408" s="268"/>
      <c r="JUN408" s="268"/>
      <c r="JUO408" s="268"/>
      <c r="JUP408" s="268"/>
      <c r="JUQ408" s="268"/>
      <c r="JUR408" s="268"/>
      <c r="JUS408" s="268"/>
      <c r="JUT408" s="268"/>
      <c r="JUU408" s="268"/>
      <c r="JUV408" s="268"/>
      <c r="JUW408" s="268"/>
      <c r="JUX408" s="268"/>
      <c r="JUY408" s="268"/>
      <c r="JUZ408" s="268"/>
      <c r="JVA408" s="268"/>
      <c r="JVB408" s="268"/>
      <c r="JVC408" s="268"/>
      <c r="JVD408" s="268"/>
      <c r="JVE408" s="268"/>
      <c r="JVF408" s="268"/>
      <c r="JVG408" s="268"/>
      <c r="JVH408" s="268"/>
      <c r="JVI408" s="268"/>
      <c r="JVJ408" s="268"/>
      <c r="JVK408" s="268"/>
      <c r="JVL408" s="268"/>
      <c r="JVM408" s="268"/>
      <c r="JVN408" s="268"/>
      <c r="JVO408" s="268"/>
      <c r="JVP408" s="268"/>
      <c r="JVQ408" s="268"/>
      <c r="JVR408" s="268"/>
      <c r="JVS408" s="268"/>
      <c r="JVT408" s="268"/>
      <c r="JVU408" s="268"/>
      <c r="JVV408" s="268"/>
      <c r="JVW408" s="268"/>
      <c r="JVX408" s="268"/>
      <c r="JVY408" s="268"/>
      <c r="JVZ408" s="268"/>
      <c r="JWA408" s="268"/>
      <c r="JWB408" s="268"/>
      <c r="JWC408" s="268"/>
      <c r="JWD408" s="268"/>
      <c r="JWE408" s="268"/>
      <c r="JWF408" s="268"/>
      <c r="JWG408" s="268"/>
      <c r="JWH408" s="268"/>
      <c r="JWI408" s="268"/>
      <c r="JWJ408" s="268"/>
      <c r="JWK408" s="268"/>
      <c r="JWL408" s="268"/>
      <c r="JWM408" s="268"/>
      <c r="JWN408" s="268"/>
      <c r="JWO408" s="268"/>
      <c r="JWP408" s="268"/>
      <c r="JWQ408" s="268"/>
      <c r="JWR408" s="268"/>
      <c r="JWS408" s="268"/>
      <c r="JWT408" s="268"/>
      <c r="JWU408" s="268"/>
      <c r="JWV408" s="268"/>
      <c r="JWW408" s="268"/>
      <c r="JWX408" s="268"/>
      <c r="JWY408" s="268"/>
      <c r="JWZ408" s="268"/>
      <c r="JXA408" s="268"/>
      <c r="JXB408" s="268"/>
      <c r="JXC408" s="268"/>
      <c r="JXD408" s="268"/>
      <c r="JXE408" s="268"/>
      <c r="JXF408" s="268"/>
      <c r="JXG408" s="268"/>
      <c r="JXH408" s="268"/>
      <c r="JXI408" s="268"/>
      <c r="JXJ408" s="268"/>
      <c r="JXK408" s="268"/>
      <c r="JXL408" s="268"/>
      <c r="JXM408" s="268"/>
      <c r="JXN408" s="268"/>
      <c r="JXO408" s="268"/>
      <c r="JXP408" s="268"/>
      <c r="JXQ408" s="268"/>
      <c r="JXR408" s="268"/>
      <c r="JXS408" s="268"/>
      <c r="JXT408" s="268"/>
      <c r="JXU408" s="268"/>
      <c r="JXV408" s="268"/>
      <c r="JXW408" s="268"/>
      <c r="JXX408" s="268"/>
      <c r="JXY408" s="268"/>
      <c r="JXZ408" s="268"/>
      <c r="JYA408" s="268"/>
      <c r="JYB408" s="268"/>
      <c r="JYC408" s="268"/>
      <c r="JYD408" s="268"/>
      <c r="JYE408" s="268"/>
      <c r="JYS408" s="268"/>
      <c r="JYT408" s="268"/>
      <c r="JYU408" s="268"/>
      <c r="JZI408" s="268"/>
      <c r="JZK408" s="268"/>
      <c r="JZL408" s="268"/>
      <c r="JZM408" s="268"/>
      <c r="JZN408" s="268"/>
      <c r="JZO408" s="268"/>
      <c r="JZP408" s="268"/>
      <c r="JZQ408" s="268"/>
      <c r="JZR408" s="268"/>
      <c r="JZS408" s="268"/>
      <c r="JZT408" s="268"/>
      <c r="JZU408" s="268"/>
      <c r="JZV408" s="268"/>
      <c r="JZW408" s="268"/>
      <c r="JZX408" s="268"/>
      <c r="JZY408" s="268"/>
      <c r="JZZ408" s="268"/>
      <c r="KAA408" s="268"/>
      <c r="KAB408" s="268"/>
      <c r="KAC408" s="268"/>
      <c r="KAD408" s="268"/>
      <c r="KAE408" s="268"/>
      <c r="KAF408" s="268"/>
      <c r="KAG408" s="268"/>
      <c r="KAH408" s="268"/>
      <c r="KAI408" s="268"/>
      <c r="KAJ408" s="268"/>
      <c r="KAK408" s="268"/>
      <c r="KAL408" s="268"/>
      <c r="KAM408" s="268"/>
      <c r="KAN408" s="268"/>
      <c r="KAO408" s="268"/>
      <c r="KAP408" s="268"/>
      <c r="KAQ408" s="268"/>
      <c r="KAR408" s="268"/>
      <c r="KAS408" s="268"/>
      <c r="KAT408" s="268"/>
      <c r="KAU408" s="268"/>
      <c r="KAV408" s="268"/>
      <c r="KAW408" s="268"/>
      <c r="KAX408" s="268"/>
      <c r="KAY408" s="268"/>
      <c r="KAZ408" s="268"/>
      <c r="KBA408" s="268"/>
      <c r="KBB408" s="268"/>
      <c r="KBC408" s="268"/>
      <c r="KBD408" s="268"/>
      <c r="KBE408" s="268"/>
      <c r="KBF408" s="268"/>
      <c r="KBG408" s="268"/>
      <c r="KBH408" s="268"/>
      <c r="KBI408" s="268"/>
      <c r="KBJ408" s="268"/>
      <c r="KBK408" s="268"/>
      <c r="KBL408" s="268"/>
      <c r="KBM408" s="268"/>
      <c r="KBN408" s="268"/>
      <c r="KBO408" s="268"/>
      <c r="KBP408" s="268"/>
      <c r="KBQ408" s="268"/>
      <c r="KBR408" s="268"/>
      <c r="KBS408" s="268"/>
      <c r="KBT408" s="268"/>
      <c r="KBU408" s="268"/>
      <c r="KBV408" s="268"/>
      <c r="KBW408" s="268"/>
      <c r="KBX408" s="268"/>
      <c r="KBY408" s="268"/>
      <c r="KBZ408" s="268"/>
      <c r="KCA408" s="268"/>
      <c r="KCB408" s="268"/>
      <c r="KCC408" s="268"/>
      <c r="KCD408" s="268"/>
      <c r="KCE408" s="268"/>
      <c r="KCF408" s="268"/>
      <c r="KCG408" s="268"/>
      <c r="KCH408" s="268"/>
      <c r="KCI408" s="268"/>
      <c r="KCJ408" s="268"/>
      <c r="KCK408" s="268"/>
      <c r="KCL408" s="268"/>
      <c r="KCM408" s="268"/>
      <c r="KCN408" s="268"/>
      <c r="KCO408" s="268"/>
      <c r="KCP408" s="268"/>
      <c r="KCQ408" s="268"/>
      <c r="KCR408" s="268"/>
      <c r="KCS408" s="268"/>
      <c r="KCT408" s="268"/>
      <c r="KCU408" s="268"/>
      <c r="KCV408" s="268"/>
      <c r="KCW408" s="268"/>
      <c r="KCX408" s="268"/>
      <c r="KCY408" s="268"/>
      <c r="KCZ408" s="268"/>
      <c r="KDA408" s="268"/>
      <c r="KDB408" s="268"/>
      <c r="KDC408" s="268"/>
      <c r="KDD408" s="268"/>
      <c r="KDE408" s="268"/>
      <c r="KDF408" s="268"/>
      <c r="KDG408" s="268"/>
      <c r="KDH408" s="268"/>
      <c r="KDI408" s="268"/>
      <c r="KDJ408" s="268"/>
      <c r="KDK408" s="268"/>
      <c r="KDL408" s="268"/>
      <c r="KDM408" s="268"/>
      <c r="KDN408" s="268"/>
      <c r="KDO408" s="268"/>
      <c r="KDP408" s="268"/>
      <c r="KDQ408" s="268"/>
      <c r="KDR408" s="268"/>
      <c r="KDS408" s="268"/>
      <c r="KDT408" s="268"/>
      <c r="KDU408" s="268"/>
      <c r="KDV408" s="268"/>
      <c r="KDW408" s="268"/>
      <c r="KDX408" s="268"/>
      <c r="KDY408" s="268"/>
      <c r="KDZ408" s="268"/>
      <c r="KEA408" s="268"/>
      <c r="KEB408" s="268"/>
      <c r="KEC408" s="268"/>
      <c r="KED408" s="268"/>
      <c r="KEE408" s="268"/>
      <c r="KEF408" s="268"/>
      <c r="KEG408" s="268"/>
      <c r="KEH408" s="268"/>
      <c r="KEI408" s="268"/>
      <c r="KEJ408" s="268"/>
      <c r="KEK408" s="268"/>
      <c r="KEL408" s="268"/>
      <c r="KEM408" s="268"/>
      <c r="KEN408" s="268"/>
      <c r="KEO408" s="268"/>
      <c r="KEP408" s="268"/>
      <c r="KEQ408" s="268"/>
      <c r="KER408" s="268"/>
      <c r="KES408" s="268"/>
      <c r="KET408" s="268"/>
      <c r="KEU408" s="268"/>
      <c r="KEV408" s="268"/>
      <c r="KEW408" s="268"/>
      <c r="KEX408" s="268"/>
      <c r="KEY408" s="268"/>
      <c r="KEZ408" s="268"/>
      <c r="KFA408" s="268"/>
      <c r="KFB408" s="268"/>
      <c r="KFC408" s="268"/>
      <c r="KFD408" s="268"/>
      <c r="KFE408" s="268"/>
      <c r="KFF408" s="268"/>
      <c r="KFG408" s="268"/>
      <c r="KFH408" s="268"/>
      <c r="KFI408" s="268"/>
      <c r="KFJ408" s="268"/>
      <c r="KFK408" s="268"/>
      <c r="KFL408" s="268"/>
      <c r="KFM408" s="268"/>
      <c r="KFN408" s="268"/>
      <c r="KFO408" s="268"/>
      <c r="KFP408" s="268"/>
      <c r="KFQ408" s="268"/>
      <c r="KFR408" s="268"/>
      <c r="KFS408" s="268"/>
      <c r="KFT408" s="268"/>
      <c r="KFU408" s="268"/>
      <c r="KFV408" s="268"/>
      <c r="KFW408" s="268"/>
      <c r="KFX408" s="268"/>
      <c r="KFY408" s="268"/>
      <c r="KFZ408" s="268"/>
      <c r="KGA408" s="268"/>
      <c r="KGB408" s="268"/>
      <c r="KGC408" s="268"/>
      <c r="KGD408" s="268"/>
      <c r="KGE408" s="268"/>
      <c r="KGF408" s="268"/>
      <c r="KGG408" s="268"/>
      <c r="KGH408" s="268"/>
      <c r="KGI408" s="268"/>
      <c r="KGJ408" s="268"/>
      <c r="KGK408" s="268"/>
      <c r="KGL408" s="268"/>
      <c r="KGM408" s="268"/>
      <c r="KGN408" s="268"/>
      <c r="KGO408" s="268"/>
      <c r="KGP408" s="268"/>
      <c r="KGQ408" s="268"/>
      <c r="KGR408" s="268"/>
      <c r="KGS408" s="268"/>
      <c r="KGT408" s="268"/>
      <c r="KGU408" s="268"/>
      <c r="KGV408" s="268"/>
      <c r="KGW408" s="268"/>
      <c r="KGX408" s="268"/>
      <c r="KGY408" s="268"/>
      <c r="KGZ408" s="268"/>
      <c r="KHA408" s="268"/>
      <c r="KHB408" s="268"/>
      <c r="KHC408" s="268"/>
      <c r="KHD408" s="268"/>
      <c r="KHE408" s="268"/>
      <c r="KHF408" s="268"/>
      <c r="KHG408" s="268"/>
      <c r="KHH408" s="268"/>
      <c r="KHI408" s="268"/>
      <c r="KHJ408" s="268"/>
      <c r="KHK408" s="268"/>
      <c r="KHL408" s="268"/>
      <c r="KHM408" s="268"/>
      <c r="KHN408" s="268"/>
      <c r="KHO408" s="268"/>
      <c r="KHP408" s="268"/>
      <c r="KHQ408" s="268"/>
      <c r="KHR408" s="268"/>
      <c r="KHS408" s="268"/>
      <c r="KHT408" s="268"/>
      <c r="KHU408" s="268"/>
      <c r="KHV408" s="268"/>
      <c r="KHW408" s="268"/>
      <c r="KHX408" s="268"/>
      <c r="KHY408" s="268"/>
      <c r="KHZ408" s="268"/>
      <c r="KIA408" s="268"/>
      <c r="KIO408" s="268"/>
      <c r="KIP408" s="268"/>
      <c r="KIQ408" s="268"/>
      <c r="KJE408" s="268"/>
      <c r="KJG408" s="268"/>
      <c r="KJH408" s="268"/>
      <c r="KJI408" s="268"/>
      <c r="KJJ408" s="268"/>
      <c r="KJK408" s="268"/>
      <c r="KJL408" s="268"/>
      <c r="KJM408" s="268"/>
      <c r="KJN408" s="268"/>
      <c r="KJO408" s="268"/>
      <c r="KJP408" s="268"/>
      <c r="KJQ408" s="268"/>
      <c r="KJR408" s="268"/>
      <c r="KJS408" s="268"/>
      <c r="KJT408" s="268"/>
      <c r="KJU408" s="268"/>
      <c r="KJV408" s="268"/>
      <c r="KJW408" s="268"/>
      <c r="KJX408" s="268"/>
      <c r="KJY408" s="268"/>
      <c r="KJZ408" s="268"/>
      <c r="KKA408" s="268"/>
      <c r="KKB408" s="268"/>
      <c r="KKC408" s="268"/>
      <c r="KKD408" s="268"/>
      <c r="KKE408" s="268"/>
      <c r="KKF408" s="268"/>
      <c r="KKG408" s="268"/>
      <c r="KKH408" s="268"/>
      <c r="KKI408" s="268"/>
      <c r="KKJ408" s="268"/>
      <c r="KKK408" s="268"/>
      <c r="KKL408" s="268"/>
      <c r="KKM408" s="268"/>
      <c r="KKN408" s="268"/>
      <c r="KKO408" s="268"/>
      <c r="KKP408" s="268"/>
      <c r="KKQ408" s="268"/>
      <c r="KKR408" s="268"/>
      <c r="KKS408" s="268"/>
      <c r="KKT408" s="268"/>
      <c r="KKU408" s="268"/>
      <c r="KKV408" s="268"/>
      <c r="KKW408" s="268"/>
      <c r="KKX408" s="268"/>
      <c r="KKY408" s="268"/>
      <c r="KKZ408" s="268"/>
      <c r="KLA408" s="268"/>
      <c r="KLB408" s="268"/>
      <c r="KLC408" s="268"/>
      <c r="KLD408" s="268"/>
      <c r="KLE408" s="268"/>
      <c r="KLF408" s="268"/>
      <c r="KLG408" s="268"/>
      <c r="KLH408" s="268"/>
      <c r="KLI408" s="268"/>
      <c r="KLJ408" s="268"/>
      <c r="KLK408" s="268"/>
      <c r="KLL408" s="268"/>
      <c r="KLM408" s="268"/>
      <c r="KLN408" s="268"/>
      <c r="KLO408" s="268"/>
      <c r="KLP408" s="268"/>
      <c r="KLQ408" s="268"/>
      <c r="KLR408" s="268"/>
      <c r="KLS408" s="268"/>
      <c r="KLT408" s="268"/>
      <c r="KLU408" s="268"/>
      <c r="KLV408" s="268"/>
      <c r="KLW408" s="268"/>
      <c r="KLX408" s="268"/>
      <c r="KLY408" s="268"/>
      <c r="KLZ408" s="268"/>
      <c r="KMA408" s="268"/>
      <c r="KMB408" s="268"/>
      <c r="KMC408" s="268"/>
      <c r="KMD408" s="268"/>
      <c r="KME408" s="268"/>
      <c r="KMF408" s="268"/>
      <c r="KMG408" s="268"/>
      <c r="KMH408" s="268"/>
      <c r="KMI408" s="268"/>
      <c r="KMJ408" s="268"/>
      <c r="KMK408" s="268"/>
      <c r="KML408" s="268"/>
      <c r="KMM408" s="268"/>
      <c r="KMN408" s="268"/>
      <c r="KMO408" s="268"/>
      <c r="KMP408" s="268"/>
      <c r="KMQ408" s="268"/>
      <c r="KMR408" s="268"/>
      <c r="KMS408" s="268"/>
      <c r="KMT408" s="268"/>
      <c r="KMU408" s="268"/>
      <c r="KMV408" s="268"/>
      <c r="KMW408" s="268"/>
      <c r="KMX408" s="268"/>
      <c r="KMY408" s="268"/>
      <c r="KMZ408" s="268"/>
      <c r="KNA408" s="268"/>
      <c r="KNB408" s="268"/>
      <c r="KNC408" s="268"/>
      <c r="KND408" s="268"/>
      <c r="KNE408" s="268"/>
      <c r="KNF408" s="268"/>
      <c r="KNG408" s="268"/>
      <c r="KNH408" s="268"/>
      <c r="KNI408" s="268"/>
      <c r="KNJ408" s="268"/>
      <c r="KNK408" s="268"/>
      <c r="KNL408" s="268"/>
      <c r="KNM408" s="268"/>
      <c r="KNN408" s="268"/>
      <c r="KNO408" s="268"/>
      <c r="KNP408" s="268"/>
      <c r="KNQ408" s="268"/>
      <c r="KNR408" s="268"/>
      <c r="KNS408" s="268"/>
      <c r="KNT408" s="268"/>
      <c r="KNU408" s="268"/>
      <c r="KNV408" s="268"/>
      <c r="KNW408" s="268"/>
      <c r="KNX408" s="268"/>
      <c r="KNY408" s="268"/>
      <c r="KNZ408" s="268"/>
      <c r="KOA408" s="268"/>
      <c r="KOB408" s="268"/>
      <c r="KOC408" s="268"/>
      <c r="KOD408" s="268"/>
      <c r="KOE408" s="268"/>
      <c r="KOF408" s="268"/>
      <c r="KOG408" s="268"/>
      <c r="KOH408" s="268"/>
      <c r="KOI408" s="268"/>
      <c r="KOJ408" s="268"/>
      <c r="KOK408" s="268"/>
      <c r="KOL408" s="268"/>
      <c r="KOM408" s="268"/>
      <c r="KON408" s="268"/>
      <c r="KOO408" s="268"/>
      <c r="KOP408" s="268"/>
      <c r="KOQ408" s="268"/>
      <c r="KOR408" s="268"/>
      <c r="KOS408" s="268"/>
      <c r="KOT408" s="268"/>
      <c r="KOU408" s="268"/>
      <c r="KOV408" s="268"/>
      <c r="KOW408" s="268"/>
      <c r="KOX408" s="268"/>
      <c r="KOY408" s="268"/>
      <c r="KOZ408" s="268"/>
      <c r="KPA408" s="268"/>
      <c r="KPB408" s="268"/>
      <c r="KPC408" s="268"/>
      <c r="KPD408" s="268"/>
      <c r="KPE408" s="268"/>
      <c r="KPF408" s="268"/>
      <c r="KPG408" s="268"/>
      <c r="KPH408" s="268"/>
      <c r="KPI408" s="268"/>
      <c r="KPJ408" s="268"/>
      <c r="KPK408" s="268"/>
      <c r="KPL408" s="268"/>
      <c r="KPM408" s="268"/>
      <c r="KPN408" s="268"/>
      <c r="KPO408" s="268"/>
      <c r="KPP408" s="268"/>
      <c r="KPQ408" s="268"/>
      <c r="KPR408" s="268"/>
      <c r="KPS408" s="268"/>
      <c r="KPT408" s="268"/>
      <c r="KPU408" s="268"/>
      <c r="KPV408" s="268"/>
      <c r="KPW408" s="268"/>
      <c r="KPX408" s="268"/>
      <c r="KPY408" s="268"/>
      <c r="KPZ408" s="268"/>
      <c r="KQA408" s="268"/>
      <c r="KQB408" s="268"/>
      <c r="KQC408" s="268"/>
      <c r="KQD408" s="268"/>
      <c r="KQE408" s="268"/>
      <c r="KQF408" s="268"/>
      <c r="KQG408" s="268"/>
      <c r="KQH408" s="268"/>
      <c r="KQI408" s="268"/>
      <c r="KQJ408" s="268"/>
      <c r="KQK408" s="268"/>
      <c r="KQL408" s="268"/>
      <c r="KQM408" s="268"/>
      <c r="KQN408" s="268"/>
      <c r="KQO408" s="268"/>
      <c r="KQP408" s="268"/>
      <c r="KQQ408" s="268"/>
      <c r="KQR408" s="268"/>
      <c r="KQS408" s="268"/>
      <c r="KQT408" s="268"/>
      <c r="KQU408" s="268"/>
      <c r="KQV408" s="268"/>
      <c r="KQW408" s="268"/>
      <c r="KQX408" s="268"/>
      <c r="KQY408" s="268"/>
      <c r="KQZ408" s="268"/>
      <c r="KRA408" s="268"/>
      <c r="KRB408" s="268"/>
      <c r="KRC408" s="268"/>
      <c r="KRD408" s="268"/>
      <c r="KRE408" s="268"/>
      <c r="KRF408" s="268"/>
      <c r="KRG408" s="268"/>
      <c r="KRH408" s="268"/>
      <c r="KRI408" s="268"/>
      <c r="KRJ408" s="268"/>
      <c r="KRK408" s="268"/>
      <c r="KRL408" s="268"/>
      <c r="KRM408" s="268"/>
      <c r="KRN408" s="268"/>
      <c r="KRO408" s="268"/>
      <c r="KRP408" s="268"/>
      <c r="KRQ408" s="268"/>
      <c r="KRR408" s="268"/>
      <c r="KRS408" s="268"/>
      <c r="KRT408" s="268"/>
      <c r="KRU408" s="268"/>
      <c r="KRV408" s="268"/>
      <c r="KRW408" s="268"/>
      <c r="KSK408" s="268"/>
      <c r="KSL408" s="268"/>
      <c r="KSM408" s="268"/>
      <c r="KTA408" s="268"/>
      <c r="KTC408" s="268"/>
      <c r="KTD408" s="268"/>
      <c r="KTE408" s="268"/>
      <c r="KTF408" s="268"/>
      <c r="KTG408" s="268"/>
      <c r="KTH408" s="268"/>
      <c r="KTI408" s="268"/>
      <c r="KTJ408" s="268"/>
      <c r="KTK408" s="268"/>
      <c r="KTL408" s="268"/>
      <c r="KTM408" s="268"/>
      <c r="KTN408" s="268"/>
      <c r="KTO408" s="268"/>
      <c r="KTP408" s="268"/>
      <c r="KTQ408" s="268"/>
      <c r="KTR408" s="268"/>
      <c r="KTS408" s="268"/>
      <c r="KTT408" s="268"/>
      <c r="KTU408" s="268"/>
      <c r="KTV408" s="268"/>
      <c r="KTW408" s="268"/>
      <c r="KTX408" s="268"/>
      <c r="KTY408" s="268"/>
      <c r="KTZ408" s="268"/>
      <c r="KUA408" s="268"/>
      <c r="KUB408" s="268"/>
      <c r="KUC408" s="268"/>
      <c r="KUD408" s="268"/>
      <c r="KUE408" s="268"/>
      <c r="KUF408" s="268"/>
      <c r="KUG408" s="268"/>
      <c r="KUH408" s="268"/>
      <c r="KUI408" s="268"/>
      <c r="KUJ408" s="268"/>
      <c r="KUK408" s="268"/>
      <c r="KUL408" s="268"/>
      <c r="KUM408" s="268"/>
      <c r="KUN408" s="268"/>
      <c r="KUO408" s="268"/>
      <c r="KUP408" s="268"/>
      <c r="KUQ408" s="268"/>
      <c r="KUR408" s="268"/>
      <c r="KUS408" s="268"/>
      <c r="KUT408" s="268"/>
      <c r="KUU408" s="268"/>
      <c r="KUV408" s="268"/>
      <c r="KUW408" s="268"/>
      <c r="KUX408" s="268"/>
      <c r="KUY408" s="268"/>
      <c r="KUZ408" s="268"/>
      <c r="KVA408" s="268"/>
      <c r="KVB408" s="268"/>
      <c r="KVC408" s="268"/>
      <c r="KVD408" s="268"/>
      <c r="KVE408" s="268"/>
      <c r="KVF408" s="268"/>
      <c r="KVG408" s="268"/>
      <c r="KVH408" s="268"/>
      <c r="KVI408" s="268"/>
      <c r="KVJ408" s="268"/>
      <c r="KVK408" s="268"/>
      <c r="KVL408" s="268"/>
      <c r="KVM408" s="268"/>
      <c r="KVN408" s="268"/>
      <c r="KVO408" s="268"/>
      <c r="KVP408" s="268"/>
      <c r="KVQ408" s="268"/>
      <c r="KVR408" s="268"/>
      <c r="KVS408" s="268"/>
      <c r="KVT408" s="268"/>
      <c r="KVU408" s="268"/>
      <c r="KVV408" s="268"/>
      <c r="KVW408" s="268"/>
      <c r="KVX408" s="268"/>
      <c r="KVY408" s="268"/>
      <c r="KVZ408" s="268"/>
      <c r="KWA408" s="268"/>
      <c r="KWB408" s="268"/>
      <c r="KWC408" s="268"/>
      <c r="KWD408" s="268"/>
      <c r="KWE408" s="268"/>
      <c r="KWF408" s="268"/>
      <c r="KWG408" s="268"/>
      <c r="KWH408" s="268"/>
      <c r="KWI408" s="268"/>
      <c r="KWJ408" s="268"/>
      <c r="KWK408" s="268"/>
      <c r="KWL408" s="268"/>
      <c r="KWM408" s="268"/>
      <c r="KWN408" s="268"/>
      <c r="KWO408" s="268"/>
      <c r="KWP408" s="268"/>
      <c r="KWQ408" s="268"/>
      <c r="KWR408" s="268"/>
      <c r="KWS408" s="268"/>
      <c r="KWT408" s="268"/>
      <c r="KWU408" s="268"/>
      <c r="KWV408" s="268"/>
      <c r="KWW408" s="268"/>
      <c r="KWX408" s="268"/>
      <c r="KWY408" s="268"/>
      <c r="KWZ408" s="268"/>
      <c r="KXA408" s="268"/>
      <c r="KXB408" s="268"/>
      <c r="KXC408" s="268"/>
      <c r="KXD408" s="268"/>
      <c r="KXE408" s="268"/>
      <c r="KXF408" s="268"/>
      <c r="KXG408" s="268"/>
      <c r="KXH408" s="268"/>
      <c r="KXI408" s="268"/>
      <c r="KXJ408" s="268"/>
      <c r="KXK408" s="268"/>
      <c r="KXL408" s="268"/>
      <c r="KXM408" s="268"/>
      <c r="KXN408" s="268"/>
      <c r="KXO408" s="268"/>
      <c r="KXP408" s="268"/>
      <c r="KXQ408" s="268"/>
      <c r="KXR408" s="268"/>
      <c r="KXS408" s="268"/>
      <c r="KXT408" s="268"/>
      <c r="KXU408" s="268"/>
      <c r="KXV408" s="268"/>
      <c r="KXW408" s="268"/>
      <c r="KXX408" s="268"/>
      <c r="KXY408" s="268"/>
      <c r="KXZ408" s="268"/>
      <c r="KYA408" s="268"/>
      <c r="KYB408" s="268"/>
      <c r="KYC408" s="268"/>
      <c r="KYD408" s="268"/>
      <c r="KYE408" s="268"/>
      <c r="KYF408" s="268"/>
      <c r="KYG408" s="268"/>
      <c r="KYH408" s="268"/>
      <c r="KYI408" s="268"/>
      <c r="KYJ408" s="268"/>
      <c r="KYK408" s="268"/>
      <c r="KYL408" s="268"/>
      <c r="KYM408" s="268"/>
      <c r="KYN408" s="268"/>
      <c r="KYO408" s="268"/>
      <c r="KYP408" s="268"/>
      <c r="KYQ408" s="268"/>
      <c r="KYR408" s="268"/>
      <c r="KYS408" s="268"/>
      <c r="KYT408" s="268"/>
      <c r="KYU408" s="268"/>
      <c r="KYV408" s="268"/>
      <c r="KYW408" s="268"/>
      <c r="KYX408" s="268"/>
      <c r="KYY408" s="268"/>
      <c r="KYZ408" s="268"/>
      <c r="KZA408" s="268"/>
      <c r="KZB408" s="268"/>
      <c r="KZC408" s="268"/>
      <c r="KZD408" s="268"/>
      <c r="KZE408" s="268"/>
      <c r="KZF408" s="268"/>
      <c r="KZG408" s="268"/>
      <c r="KZH408" s="268"/>
      <c r="KZI408" s="268"/>
      <c r="KZJ408" s="268"/>
      <c r="KZK408" s="268"/>
      <c r="KZL408" s="268"/>
      <c r="KZM408" s="268"/>
      <c r="KZN408" s="268"/>
      <c r="KZO408" s="268"/>
      <c r="KZP408" s="268"/>
      <c r="KZQ408" s="268"/>
      <c r="KZR408" s="268"/>
      <c r="KZS408" s="268"/>
      <c r="KZT408" s="268"/>
      <c r="KZU408" s="268"/>
      <c r="KZV408" s="268"/>
      <c r="KZW408" s="268"/>
      <c r="KZX408" s="268"/>
      <c r="KZY408" s="268"/>
      <c r="KZZ408" s="268"/>
      <c r="LAA408" s="268"/>
      <c r="LAB408" s="268"/>
      <c r="LAC408" s="268"/>
      <c r="LAD408" s="268"/>
      <c r="LAE408" s="268"/>
      <c r="LAF408" s="268"/>
      <c r="LAG408" s="268"/>
      <c r="LAH408" s="268"/>
      <c r="LAI408" s="268"/>
      <c r="LAJ408" s="268"/>
      <c r="LAK408" s="268"/>
      <c r="LAL408" s="268"/>
      <c r="LAM408" s="268"/>
      <c r="LAN408" s="268"/>
      <c r="LAO408" s="268"/>
      <c r="LAP408" s="268"/>
      <c r="LAQ408" s="268"/>
      <c r="LAR408" s="268"/>
      <c r="LAS408" s="268"/>
      <c r="LAT408" s="268"/>
      <c r="LAU408" s="268"/>
      <c r="LAV408" s="268"/>
      <c r="LAW408" s="268"/>
      <c r="LAX408" s="268"/>
      <c r="LAY408" s="268"/>
      <c r="LAZ408" s="268"/>
      <c r="LBA408" s="268"/>
      <c r="LBB408" s="268"/>
      <c r="LBC408" s="268"/>
      <c r="LBD408" s="268"/>
      <c r="LBE408" s="268"/>
      <c r="LBF408" s="268"/>
      <c r="LBG408" s="268"/>
      <c r="LBH408" s="268"/>
      <c r="LBI408" s="268"/>
      <c r="LBJ408" s="268"/>
      <c r="LBK408" s="268"/>
      <c r="LBL408" s="268"/>
      <c r="LBM408" s="268"/>
      <c r="LBN408" s="268"/>
      <c r="LBO408" s="268"/>
      <c r="LBP408" s="268"/>
      <c r="LBQ408" s="268"/>
      <c r="LBR408" s="268"/>
      <c r="LBS408" s="268"/>
      <c r="LCG408" s="268"/>
      <c r="LCH408" s="268"/>
      <c r="LCI408" s="268"/>
      <c r="LCW408" s="268"/>
      <c r="LCY408" s="268"/>
      <c r="LCZ408" s="268"/>
      <c r="LDA408" s="268"/>
      <c r="LDB408" s="268"/>
      <c r="LDC408" s="268"/>
      <c r="LDD408" s="268"/>
      <c r="LDE408" s="268"/>
      <c r="LDF408" s="268"/>
      <c r="LDG408" s="268"/>
      <c r="LDH408" s="268"/>
      <c r="LDI408" s="268"/>
      <c r="LDJ408" s="268"/>
      <c r="LDK408" s="268"/>
      <c r="LDL408" s="268"/>
      <c r="LDM408" s="268"/>
      <c r="LDN408" s="268"/>
      <c r="LDO408" s="268"/>
      <c r="LDP408" s="268"/>
      <c r="LDQ408" s="268"/>
      <c r="LDR408" s="268"/>
      <c r="LDS408" s="268"/>
      <c r="LDT408" s="268"/>
      <c r="LDU408" s="268"/>
      <c r="LDV408" s="268"/>
      <c r="LDW408" s="268"/>
      <c r="LDX408" s="268"/>
      <c r="LDY408" s="268"/>
      <c r="LDZ408" s="268"/>
      <c r="LEA408" s="268"/>
      <c r="LEB408" s="268"/>
      <c r="LEC408" s="268"/>
      <c r="LED408" s="268"/>
      <c r="LEE408" s="268"/>
      <c r="LEF408" s="268"/>
      <c r="LEG408" s="268"/>
      <c r="LEH408" s="268"/>
      <c r="LEI408" s="268"/>
      <c r="LEJ408" s="268"/>
      <c r="LEK408" s="268"/>
      <c r="LEL408" s="268"/>
      <c r="LEM408" s="268"/>
      <c r="LEN408" s="268"/>
      <c r="LEO408" s="268"/>
      <c r="LEP408" s="268"/>
      <c r="LEQ408" s="268"/>
      <c r="LER408" s="268"/>
      <c r="LES408" s="268"/>
      <c r="LET408" s="268"/>
      <c r="LEU408" s="268"/>
      <c r="LEV408" s="268"/>
      <c r="LEW408" s="268"/>
      <c r="LEX408" s="268"/>
      <c r="LEY408" s="268"/>
      <c r="LEZ408" s="268"/>
      <c r="LFA408" s="268"/>
      <c r="LFB408" s="268"/>
      <c r="LFC408" s="268"/>
      <c r="LFD408" s="268"/>
      <c r="LFE408" s="268"/>
      <c r="LFF408" s="268"/>
      <c r="LFG408" s="268"/>
      <c r="LFH408" s="268"/>
      <c r="LFI408" s="268"/>
      <c r="LFJ408" s="268"/>
      <c r="LFK408" s="268"/>
      <c r="LFL408" s="268"/>
      <c r="LFM408" s="268"/>
      <c r="LFN408" s="268"/>
      <c r="LFO408" s="268"/>
      <c r="LFP408" s="268"/>
      <c r="LFQ408" s="268"/>
      <c r="LFR408" s="268"/>
      <c r="LFS408" s="268"/>
      <c r="LFT408" s="268"/>
      <c r="LFU408" s="268"/>
      <c r="LFV408" s="268"/>
      <c r="LFW408" s="268"/>
      <c r="LFX408" s="268"/>
      <c r="LFY408" s="268"/>
      <c r="LFZ408" s="268"/>
      <c r="LGA408" s="268"/>
      <c r="LGB408" s="268"/>
      <c r="LGC408" s="268"/>
      <c r="LGD408" s="268"/>
      <c r="LGE408" s="268"/>
      <c r="LGF408" s="268"/>
      <c r="LGG408" s="268"/>
      <c r="LGH408" s="268"/>
      <c r="LGI408" s="268"/>
      <c r="LGJ408" s="268"/>
      <c r="LGK408" s="268"/>
      <c r="LGL408" s="268"/>
      <c r="LGM408" s="268"/>
      <c r="LGN408" s="268"/>
      <c r="LGO408" s="268"/>
      <c r="LGP408" s="268"/>
      <c r="LGQ408" s="268"/>
      <c r="LGR408" s="268"/>
      <c r="LGS408" s="268"/>
      <c r="LGT408" s="268"/>
      <c r="LGU408" s="268"/>
      <c r="LGV408" s="268"/>
      <c r="LGW408" s="268"/>
      <c r="LGX408" s="268"/>
      <c r="LGY408" s="268"/>
      <c r="LGZ408" s="268"/>
      <c r="LHA408" s="268"/>
      <c r="LHB408" s="268"/>
      <c r="LHC408" s="268"/>
      <c r="LHD408" s="268"/>
      <c r="LHE408" s="268"/>
      <c r="LHF408" s="268"/>
      <c r="LHG408" s="268"/>
      <c r="LHH408" s="268"/>
      <c r="LHI408" s="268"/>
      <c r="LHJ408" s="268"/>
      <c r="LHK408" s="268"/>
      <c r="LHL408" s="268"/>
      <c r="LHM408" s="268"/>
      <c r="LHN408" s="268"/>
      <c r="LHO408" s="268"/>
      <c r="LHP408" s="268"/>
      <c r="LHQ408" s="268"/>
      <c r="LHR408" s="268"/>
      <c r="LHS408" s="268"/>
      <c r="LHT408" s="268"/>
      <c r="LHU408" s="268"/>
      <c r="LHV408" s="268"/>
      <c r="LHW408" s="268"/>
      <c r="LHX408" s="268"/>
      <c r="LHY408" s="268"/>
      <c r="LHZ408" s="268"/>
      <c r="LIA408" s="268"/>
      <c r="LIB408" s="268"/>
      <c r="LIC408" s="268"/>
      <c r="LID408" s="268"/>
      <c r="LIE408" s="268"/>
      <c r="LIF408" s="268"/>
      <c r="LIG408" s="268"/>
      <c r="LIH408" s="268"/>
      <c r="LII408" s="268"/>
      <c r="LIJ408" s="268"/>
      <c r="LIK408" s="268"/>
      <c r="LIL408" s="268"/>
      <c r="LIM408" s="268"/>
      <c r="LIN408" s="268"/>
      <c r="LIO408" s="268"/>
      <c r="LIP408" s="268"/>
      <c r="LIQ408" s="268"/>
      <c r="LIR408" s="268"/>
      <c r="LIS408" s="268"/>
      <c r="LIT408" s="268"/>
      <c r="LIU408" s="268"/>
      <c r="LIV408" s="268"/>
      <c r="LIW408" s="268"/>
      <c r="LIX408" s="268"/>
      <c r="LIY408" s="268"/>
      <c r="LIZ408" s="268"/>
      <c r="LJA408" s="268"/>
      <c r="LJB408" s="268"/>
      <c r="LJC408" s="268"/>
      <c r="LJD408" s="268"/>
      <c r="LJE408" s="268"/>
      <c r="LJF408" s="268"/>
      <c r="LJG408" s="268"/>
      <c r="LJH408" s="268"/>
      <c r="LJI408" s="268"/>
      <c r="LJJ408" s="268"/>
      <c r="LJK408" s="268"/>
      <c r="LJL408" s="268"/>
      <c r="LJM408" s="268"/>
      <c r="LJN408" s="268"/>
      <c r="LJO408" s="268"/>
      <c r="LJP408" s="268"/>
      <c r="LJQ408" s="268"/>
      <c r="LJR408" s="268"/>
      <c r="LJS408" s="268"/>
      <c r="LJT408" s="268"/>
      <c r="LJU408" s="268"/>
      <c r="LJV408" s="268"/>
      <c r="LJW408" s="268"/>
      <c r="LJX408" s="268"/>
      <c r="LJY408" s="268"/>
      <c r="LJZ408" s="268"/>
      <c r="LKA408" s="268"/>
      <c r="LKB408" s="268"/>
      <c r="LKC408" s="268"/>
      <c r="LKD408" s="268"/>
      <c r="LKE408" s="268"/>
      <c r="LKF408" s="268"/>
      <c r="LKG408" s="268"/>
      <c r="LKH408" s="268"/>
      <c r="LKI408" s="268"/>
      <c r="LKJ408" s="268"/>
      <c r="LKK408" s="268"/>
      <c r="LKL408" s="268"/>
      <c r="LKM408" s="268"/>
      <c r="LKN408" s="268"/>
      <c r="LKO408" s="268"/>
      <c r="LKP408" s="268"/>
      <c r="LKQ408" s="268"/>
      <c r="LKR408" s="268"/>
      <c r="LKS408" s="268"/>
      <c r="LKT408" s="268"/>
      <c r="LKU408" s="268"/>
      <c r="LKV408" s="268"/>
      <c r="LKW408" s="268"/>
      <c r="LKX408" s="268"/>
      <c r="LKY408" s="268"/>
      <c r="LKZ408" s="268"/>
      <c r="LLA408" s="268"/>
      <c r="LLB408" s="268"/>
      <c r="LLC408" s="268"/>
      <c r="LLD408" s="268"/>
      <c r="LLE408" s="268"/>
      <c r="LLF408" s="268"/>
      <c r="LLG408" s="268"/>
      <c r="LLH408" s="268"/>
      <c r="LLI408" s="268"/>
      <c r="LLJ408" s="268"/>
      <c r="LLK408" s="268"/>
      <c r="LLL408" s="268"/>
      <c r="LLM408" s="268"/>
      <c r="LLN408" s="268"/>
      <c r="LLO408" s="268"/>
      <c r="LMC408" s="268"/>
      <c r="LMD408" s="268"/>
      <c r="LME408" s="268"/>
      <c r="LMS408" s="268"/>
      <c r="LMU408" s="268"/>
      <c r="LMV408" s="268"/>
      <c r="LMW408" s="268"/>
      <c r="LMX408" s="268"/>
      <c r="LMY408" s="268"/>
      <c r="LMZ408" s="268"/>
      <c r="LNA408" s="268"/>
      <c r="LNB408" s="268"/>
      <c r="LNC408" s="268"/>
      <c r="LND408" s="268"/>
      <c r="LNE408" s="268"/>
      <c r="LNF408" s="268"/>
      <c r="LNG408" s="268"/>
      <c r="LNH408" s="268"/>
      <c r="LNI408" s="268"/>
      <c r="LNJ408" s="268"/>
      <c r="LNK408" s="268"/>
      <c r="LNL408" s="268"/>
      <c r="LNM408" s="268"/>
      <c r="LNN408" s="268"/>
      <c r="LNO408" s="268"/>
      <c r="LNP408" s="268"/>
      <c r="LNQ408" s="268"/>
      <c r="LNR408" s="268"/>
      <c r="LNS408" s="268"/>
      <c r="LNT408" s="268"/>
      <c r="LNU408" s="268"/>
      <c r="LNV408" s="268"/>
      <c r="LNW408" s="268"/>
      <c r="LNX408" s="268"/>
      <c r="LNY408" s="268"/>
      <c r="LNZ408" s="268"/>
      <c r="LOA408" s="268"/>
      <c r="LOB408" s="268"/>
      <c r="LOC408" s="268"/>
      <c r="LOD408" s="268"/>
      <c r="LOE408" s="268"/>
      <c r="LOF408" s="268"/>
      <c r="LOG408" s="268"/>
      <c r="LOH408" s="268"/>
      <c r="LOI408" s="268"/>
      <c r="LOJ408" s="268"/>
      <c r="LOK408" s="268"/>
      <c r="LOL408" s="268"/>
      <c r="LOM408" s="268"/>
      <c r="LON408" s="268"/>
      <c r="LOO408" s="268"/>
      <c r="LOP408" s="268"/>
      <c r="LOQ408" s="268"/>
      <c r="LOR408" s="268"/>
      <c r="LOS408" s="268"/>
      <c r="LOT408" s="268"/>
      <c r="LOU408" s="268"/>
      <c r="LOV408" s="268"/>
      <c r="LOW408" s="268"/>
      <c r="LOX408" s="268"/>
      <c r="LOY408" s="268"/>
      <c r="LOZ408" s="268"/>
      <c r="LPA408" s="268"/>
      <c r="LPB408" s="268"/>
      <c r="LPC408" s="268"/>
      <c r="LPD408" s="268"/>
      <c r="LPE408" s="268"/>
      <c r="LPF408" s="268"/>
      <c r="LPG408" s="268"/>
      <c r="LPH408" s="268"/>
      <c r="LPI408" s="268"/>
      <c r="LPJ408" s="268"/>
      <c r="LPK408" s="268"/>
      <c r="LPL408" s="268"/>
      <c r="LPM408" s="268"/>
      <c r="LPN408" s="268"/>
      <c r="LPO408" s="268"/>
      <c r="LPP408" s="268"/>
      <c r="LPQ408" s="268"/>
      <c r="LPR408" s="268"/>
      <c r="LPS408" s="268"/>
      <c r="LPT408" s="268"/>
      <c r="LPU408" s="268"/>
      <c r="LPV408" s="268"/>
      <c r="LPW408" s="268"/>
      <c r="LPX408" s="268"/>
      <c r="LPY408" s="268"/>
      <c r="LPZ408" s="268"/>
      <c r="LQA408" s="268"/>
      <c r="LQB408" s="268"/>
      <c r="LQC408" s="268"/>
      <c r="LQD408" s="268"/>
      <c r="LQE408" s="268"/>
      <c r="LQF408" s="268"/>
      <c r="LQG408" s="268"/>
      <c r="LQH408" s="268"/>
      <c r="LQI408" s="268"/>
      <c r="LQJ408" s="268"/>
      <c r="LQK408" s="268"/>
      <c r="LQL408" s="268"/>
      <c r="LQM408" s="268"/>
      <c r="LQN408" s="268"/>
      <c r="LQO408" s="268"/>
      <c r="LQP408" s="268"/>
      <c r="LQQ408" s="268"/>
      <c r="LQR408" s="268"/>
      <c r="LQS408" s="268"/>
      <c r="LQT408" s="268"/>
      <c r="LQU408" s="268"/>
      <c r="LQV408" s="268"/>
      <c r="LQW408" s="268"/>
      <c r="LQX408" s="268"/>
      <c r="LQY408" s="268"/>
      <c r="LQZ408" s="268"/>
      <c r="LRA408" s="268"/>
      <c r="LRB408" s="268"/>
      <c r="LRC408" s="268"/>
      <c r="LRD408" s="268"/>
      <c r="LRE408" s="268"/>
      <c r="LRF408" s="268"/>
      <c r="LRG408" s="268"/>
      <c r="LRH408" s="268"/>
      <c r="LRI408" s="268"/>
      <c r="LRJ408" s="268"/>
      <c r="LRK408" s="268"/>
      <c r="LRL408" s="268"/>
      <c r="LRM408" s="268"/>
      <c r="LRN408" s="268"/>
      <c r="LRO408" s="268"/>
      <c r="LRP408" s="268"/>
      <c r="LRQ408" s="268"/>
      <c r="LRR408" s="268"/>
      <c r="LRS408" s="268"/>
      <c r="LRT408" s="268"/>
      <c r="LRU408" s="268"/>
      <c r="LRV408" s="268"/>
      <c r="LRW408" s="268"/>
      <c r="LRX408" s="268"/>
      <c r="LRY408" s="268"/>
      <c r="LRZ408" s="268"/>
      <c r="LSA408" s="268"/>
      <c r="LSB408" s="268"/>
      <c r="LSC408" s="268"/>
      <c r="LSD408" s="268"/>
      <c r="LSE408" s="268"/>
      <c r="LSF408" s="268"/>
      <c r="LSG408" s="268"/>
      <c r="LSH408" s="268"/>
      <c r="LSI408" s="268"/>
      <c r="LSJ408" s="268"/>
      <c r="LSK408" s="268"/>
      <c r="LSL408" s="268"/>
      <c r="LSM408" s="268"/>
      <c r="LSN408" s="268"/>
      <c r="LSO408" s="268"/>
      <c r="LSP408" s="268"/>
      <c r="LSQ408" s="268"/>
      <c r="LSR408" s="268"/>
      <c r="LSS408" s="268"/>
      <c r="LST408" s="268"/>
      <c r="LSU408" s="268"/>
      <c r="LSV408" s="268"/>
      <c r="LSW408" s="268"/>
      <c r="LSX408" s="268"/>
      <c r="LSY408" s="268"/>
      <c r="LSZ408" s="268"/>
      <c r="LTA408" s="268"/>
      <c r="LTB408" s="268"/>
      <c r="LTC408" s="268"/>
      <c r="LTD408" s="268"/>
      <c r="LTE408" s="268"/>
      <c r="LTF408" s="268"/>
      <c r="LTG408" s="268"/>
      <c r="LTH408" s="268"/>
      <c r="LTI408" s="268"/>
      <c r="LTJ408" s="268"/>
      <c r="LTK408" s="268"/>
      <c r="LTL408" s="268"/>
      <c r="LTM408" s="268"/>
      <c r="LTN408" s="268"/>
      <c r="LTO408" s="268"/>
      <c r="LTP408" s="268"/>
      <c r="LTQ408" s="268"/>
      <c r="LTR408" s="268"/>
      <c r="LTS408" s="268"/>
      <c r="LTT408" s="268"/>
      <c r="LTU408" s="268"/>
      <c r="LTV408" s="268"/>
      <c r="LTW408" s="268"/>
      <c r="LTX408" s="268"/>
      <c r="LTY408" s="268"/>
      <c r="LTZ408" s="268"/>
      <c r="LUA408" s="268"/>
      <c r="LUB408" s="268"/>
      <c r="LUC408" s="268"/>
      <c r="LUD408" s="268"/>
      <c r="LUE408" s="268"/>
      <c r="LUF408" s="268"/>
      <c r="LUG408" s="268"/>
      <c r="LUH408" s="268"/>
      <c r="LUI408" s="268"/>
      <c r="LUJ408" s="268"/>
      <c r="LUK408" s="268"/>
      <c r="LUL408" s="268"/>
      <c r="LUM408" s="268"/>
      <c r="LUN408" s="268"/>
      <c r="LUO408" s="268"/>
      <c r="LUP408" s="268"/>
      <c r="LUQ408" s="268"/>
      <c r="LUR408" s="268"/>
      <c r="LUS408" s="268"/>
      <c r="LUT408" s="268"/>
      <c r="LUU408" s="268"/>
      <c r="LUV408" s="268"/>
      <c r="LUW408" s="268"/>
      <c r="LUX408" s="268"/>
      <c r="LUY408" s="268"/>
      <c r="LUZ408" s="268"/>
      <c r="LVA408" s="268"/>
      <c r="LVB408" s="268"/>
      <c r="LVC408" s="268"/>
      <c r="LVD408" s="268"/>
      <c r="LVE408" s="268"/>
      <c r="LVF408" s="268"/>
      <c r="LVG408" s="268"/>
      <c r="LVH408" s="268"/>
      <c r="LVI408" s="268"/>
      <c r="LVJ408" s="268"/>
      <c r="LVK408" s="268"/>
      <c r="LVY408" s="268"/>
      <c r="LVZ408" s="268"/>
      <c r="LWA408" s="268"/>
      <c r="LWO408" s="268"/>
      <c r="LWQ408" s="268"/>
      <c r="LWR408" s="268"/>
      <c r="LWS408" s="268"/>
      <c r="LWT408" s="268"/>
      <c r="LWU408" s="268"/>
      <c r="LWV408" s="268"/>
      <c r="LWW408" s="268"/>
      <c r="LWX408" s="268"/>
      <c r="LWY408" s="268"/>
      <c r="LWZ408" s="268"/>
      <c r="LXA408" s="268"/>
      <c r="LXB408" s="268"/>
      <c r="LXC408" s="268"/>
      <c r="LXD408" s="268"/>
      <c r="LXE408" s="268"/>
      <c r="LXF408" s="268"/>
      <c r="LXG408" s="268"/>
      <c r="LXH408" s="268"/>
      <c r="LXI408" s="268"/>
      <c r="LXJ408" s="268"/>
      <c r="LXK408" s="268"/>
      <c r="LXL408" s="268"/>
      <c r="LXM408" s="268"/>
      <c r="LXN408" s="268"/>
      <c r="LXO408" s="268"/>
      <c r="LXP408" s="268"/>
      <c r="LXQ408" s="268"/>
      <c r="LXR408" s="268"/>
      <c r="LXS408" s="268"/>
      <c r="LXT408" s="268"/>
      <c r="LXU408" s="268"/>
      <c r="LXV408" s="268"/>
      <c r="LXW408" s="268"/>
      <c r="LXX408" s="268"/>
      <c r="LXY408" s="268"/>
      <c r="LXZ408" s="268"/>
      <c r="LYA408" s="268"/>
      <c r="LYB408" s="268"/>
      <c r="LYC408" s="268"/>
      <c r="LYD408" s="268"/>
      <c r="LYE408" s="268"/>
      <c r="LYF408" s="268"/>
      <c r="LYG408" s="268"/>
      <c r="LYH408" s="268"/>
      <c r="LYI408" s="268"/>
      <c r="LYJ408" s="268"/>
      <c r="LYK408" s="268"/>
      <c r="LYL408" s="268"/>
      <c r="LYM408" s="268"/>
      <c r="LYN408" s="268"/>
      <c r="LYO408" s="268"/>
      <c r="LYP408" s="268"/>
      <c r="LYQ408" s="268"/>
      <c r="LYR408" s="268"/>
      <c r="LYS408" s="268"/>
      <c r="LYT408" s="268"/>
      <c r="LYU408" s="268"/>
      <c r="LYV408" s="268"/>
      <c r="LYW408" s="268"/>
      <c r="LYX408" s="268"/>
      <c r="LYY408" s="268"/>
      <c r="LYZ408" s="268"/>
      <c r="LZA408" s="268"/>
      <c r="LZB408" s="268"/>
      <c r="LZC408" s="268"/>
      <c r="LZD408" s="268"/>
      <c r="LZE408" s="268"/>
      <c r="LZF408" s="268"/>
      <c r="LZG408" s="268"/>
      <c r="LZH408" s="268"/>
      <c r="LZI408" s="268"/>
      <c r="LZJ408" s="268"/>
      <c r="LZK408" s="268"/>
      <c r="LZL408" s="268"/>
      <c r="LZM408" s="268"/>
      <c r="LZN408" s="268"/>
      <c r="LZO408" s="268"/>
      <c r="LZP408" s="268"/>
      <c r="LZQ408" s="268"/>
      <c r="LZR408" s="268"/>
      <c r="LZS408" s="268"/>
      <c r="LZT408" s="268"/>
      <c r="LZU408" s="268"/>
      <c r="LZV408" s="268"/>
      <c r="LZW408" s="268"/>
      <c r="LZX408" s="268"/>
      <c r="LZY408" s="268"/>
      <c r="LZZ408" s="268"/>
      <c r="MAA408" s="268"/>
      <c r="MAB408" s="268"/>
      <c r="MAC408" s="268"/>
      <c r="MAD408" s="268"/>
      <c r="MAE408" s="268"/>
      <c r="MAF408" s="268"/>
      <c r="MAG408" s="268"/>
      <c r="MAH408" s="268"/>
      <c r="MAI408" s="268"/>
      <c r="MAJ408" s="268"/>
      <c r="MAK408" s="268"/>
      <c r="MAL408" s="268"/>
      <c r="MAM408" s="268"/>
      <c r="MAN408" s="268"/>
      <c r="MAO408" s="268"/>
      <c r="MAP408" s="268"/>
      <c r="MAQ408" s="268"/>
      <c r="MAR408" s="268"/>
      <c r="MAS408" s="268"/>
      <c r="MAT408" s="268"/>
      <c r="MAU408" s="268"/>
      <c r="MAV408" s="268"/>
      <c r="MAW408" s="268"/>
      <c r="MAX408" s="268"/>
      <c r="MAY408" s="268"/>
      <c r="MAZ408" s="268"/>
      <c r="MBA408" s="268"/>
      <c r="MBB408" s="268"/>
      <c r="MBC408" s="268"/>
      <c r="MBD408" s="268"/>
      <c r="MBE408" s="268"/>
      <c r="MBF408" s="268"/>
      <c r="MBG408" s="268"/>
      <c r="MBH408" s="268"/>
      <c r="MBI408" s="268"/>
      <c r="MBJ408" s="268"/>
      <c r="MBK408" s="268"/>
      <c r="MBL408" s="268"/>
      <c r="MBM408" s="268"/>
      <c r="MBN408" s="268"/>
      <c r="MBO408" s="268"/>
      <c r="MBP408" s="268"/>
      <c r="MBQ408" s="268"/>
      <c r="MBR408" s="268"/>
      <c r="MBS408" s="268"/>
      <c r="MBT408" s="268"/>
      <c r="MBU408" s="268"/>
      <c r="MBV408" s="268"/>
      <c r="MBW408" s="268"/>
      <c r="MBX408" s="268"/>
      <c r="MBY408" s="268"/>
      <c r="MBZ408" s="268"/>
      <c r="MCA408" s="268"/>
      <c r="MCB408" s="268"/>
      <c r="MCC408" s="268"/>
      <c r="MCD408" s="268"/>
      <c r="MCE408" s="268"/>
      <c r="MCF408" s="268"/>
      <c r="MCG408" s="268"/>
      <c r="MCH408" s="268"/>
      <c r="MCI408" s="268"/>
      <c r="MCJ408" s="268"/>
      <c r="MCK408" s="268"/>
      <c r="MCL408" s="268"/>
      <c r="MCM408" s="268"/>
      <c r="MCN408" s="268"/>
      <c r="MCO408" s="268"/>
      <c r="MCP408" s="268"/>
      <c r="MCQ408" s="268"/>
      <c r="MCR408" s="268"/>
      <c r="MCS408" s="268"/>
      <c r="MCT408" s="268"/>
      <c r="MCU408" s="268"/>
      <c r="MCV408" s="268"/>
      <c r="MCW408" s="268"/>
      <c r="MCX408" s="268"/>
      <c r="MCY408" s="268"/>
      <c r="MCZ408" s="268"/>
      <c r="MDA408" s="268"/>
      <c r="MDB408" s="268"/>
      <c r="MDC408" s="268"/>
      <c r="MDD408" s="268"/>
      <c r="MDE408" s="268"/>
      <c r="MDF408" s="268"/>
      <c r="MDG408" s="268"/>
      <c r="MDH408" s="268"/>
      <c r="MDI408" s="268"/>
      <c r="MDJ408" s="268"/>
      <c r="MDK408" s="268"/>
      <c r="MDL408" s="268"/>
      <c r="MDM408" s="268"/>
      <c r="MDN408" s="268"/>
      <c r="MDO408" s="268"/>
      <c r="MDP408" s="268"/>
      <c r="MDQ408" s="268"/>
      <c r="MDR408" s="268"/>
      <c r="MDS408" s="268"/>
      <c r="MDT408" s="268"/>
      <c r="MDU408" s="268"/>
      <c r="MDV408" s="268"/>
      <c r="MDW408" s="268"/>
      <c r="MDX408" s="268"/>
      <c r="MDY408" s="268"/>
      <c r="MDZ408" s="268"/>
      <c r="MEA408" s="268"/>
      <c r="MEB408" s="268"/>
      <c r="MEC408" s="268"/>
      <c r="MED408" s="268"/>
      <c r="MEE408" s="268"/>
      <c r="MEF408" s="268"/>
      <c r="MEG408" s="268"/>
      <c r="MEH408" s="268"/>
      <c r="MEI408" s="268"/>
      <c r="MEJ408" s="268"/>
      <c r="MEK408" s="268"/>
      <c r="MEL408" s="268"/>
      <c r="MEM408" s="268"/>
      <c r="MEN408" s="268"/>
      <c r="MEO408" s="268"/>
      <c r="MEP408" s="268"/>
      <c r="MEQ408" s="268"/>
      <c r="MER408" s="268"/>
      <c r="MES408" s="268"/>
      <c r="MET408" s="268"/>
      <c r="MEU408" s="268"/>
      <c r="MEV408" s="268"/>
      <c r="MEW408" s="268"/>
      <c r="MEX408" s="268"/>
      <c r="MEY408" s="268"/>
      <c r="MEZ408" s="268"/>
      <c r="MFA408" s="268"/>
      <c r="MFB408" s="268"/>
      <c r="MFC408" s="268"/>
      <c r="MFD408" s="268"/>
      <c r="MFE408" s="268"/>
      <c r="MFF408" s="268"/>
      <c r="MFG408" s="268"/>
      <c r="MFU408" s="268"/>
      <c r="MFV408" s="268"/>
      <c r="MFW408" s="268"/>
      <c r="MGK408" s="268"/>
      <c r="MGM408" s="268"/>
      <c r="MGN408" s="268"/>
      <c r="MGO408" s="268"/>
      <c r="MGP408" s="268"/>
      <c r="MGQ408" s="268"/>
      <c r="MGR408" s="268"/>
      <c r="MGS408" s="268"/>
      <c r="MGT408" s="268"/>
      <c r="MGU408" s="268"/>
      <c r="MGV408" s="268"/>
      <c r="MGW408" s="268"/>
      <c r="MGX408" s="268"/>
      <c r="MGY408" s="268"/>
      <c r="MGZ408" s="268"/>
      <c r="MHA408" s="268"/>
      <c r="MHB408" s="268"/>
      <c r="MHC408" s="268"/>
      <c r="MHD408" s="268"/>
      <c r="MHE408" s="268"/>
      <c r="MHF408" s="268"/>
      <c r="MHG408" s="268"/>
      <c r="MHH408" s="268"/>
      <c r="MHI408" s="268"/>
      <c r="MHJ408" s="268"/>
      <c r="MHK408" s="268"/>
      <c r="MHL408" s="268"/>
      <c r="MHM408" s="268"/>
      <c r="MHN408" s="268"/>
      <c r="MHO408" s="268"/>
      <c r="MHP408" s="268"/>
      <c r="MHQ408" s="268"/>
      <c r="MHR408" s="268"/>
      <c r="MHS408" s="268"/>
      <c r="MHT408" s="268"/>
      <c r="MHU408" s="268"/>
      <c r="MHV408" s="268"/>
      <c r="MHW408" s="268"/>
      <c r="MHX408" s="268"/>
      <c r="MHY408" s="268"/>
      <c r="MHZ408" s="268"/>
      <c r="MIA408" s="268"/>
      <c r="MIB408" s="268"/>
      <c r="MIC408" s="268"/>
      <c r="MID408" s="268"/>
      <c r="MIE408" s="268"/>
      <c r="MIF408" s="268"/>
      <c r="MIG408" s="268"/>
      <c r="MIH408" s="268"/>
      <c r="MII408" s="268"/>
      <c r="MIJ408" s="268"/>
      <c r="MIK408" s="268"/>
      <c r="MIL408" s="268"/>
      <c r="MIM408" s="268"/>
      <c r="MIN408" s="268"/>
      <c r="MIO408" s="268"/>
      <c r="MIP408" s="268"/>
      <c r="MIQ408" s="268"/>
      <c r="MIR408" s="268"/>
      <c r="MIS408" s="268"/>
      <c r="MIT408" s="268"/>
      <c r="MIU408" s="268"/>
      <c r="MIV408" s="268"/>
      <c r="MIW408" s="268"/>
      <c r="MIX408" s="268"/>
      <c r="MIY408" s="268"/>
      <c r="MIZ408" s="268"/>
      <c r="MJA408" s="268"/>
      <c r="MJB408" s="268"/>
      <c r="MJC408" s="268"/>
      <c r="MJD408" s="268"/>
      <c r="MJE408" s="268"/>
      <c r="MJF408" s="268"/>
      <c r="MJG408" s="268"/>
      <c r="MJH408" s="268"/>
      <c r="MJI408" s="268"/>
      <c r="MJJ408" s="268"/>
      <c r="MJK408" s="268"/>
      <c r="MJL408" s="268"/>
      <c r="MJM408" s="268"/>
      <c r="MJN408" s="268"/>
      <c r="MJO408" s="268"/>
      <c r="MJP408" s="268"/>
      <c r="MJQ408" s="268"/>
      <c r="MJR408" s="268"/>
      <c r="MJS408" s="268"/>
      <c r="MJT408" s="268"/>
      <c r="MJU408" s="268"/>
      <c r="MJV408" s="268"/>
      <c r="MJW408" s="268"/>
      <c r="MJX408" s="268"/>
      <c r="MJY408" s="268"/>
      <c r="MJZ408" s="268"/>
      <c r="MKA408" s="268"/>
      <c r="MKB408" s="268"/>
      <c r="MKC408" s="268"/>
      <c r="MKD408" s="268"/>
      <c r="MKE408" s="268"/>
      <c r="MKF408" s="268"/>
      <c r="MKG408" s="268"/>
      <c r="MKH408" s="268"/>
      <c r="MKI408" s="268"/>
      <c r="MKJ408" s="268"/>
      <c r="MKK408" s="268"/>
      <c r="MKL408" s="268"/>
      <c r="MKM408" s="268"/>
      <c r="MKN408" s="268"/>
      <c r="MKO408" s="268"/>
      <c r="MKP408" s="268"/>
      <c r="MKQ408" s="268"/>
      <c r="MKR408" s="268"/>
      <c r="MKS408" s="268"/>
      <c r="MKT408" s="268"/>
      <c r="MKU408" s="268"/>
      <c r="MKV408" s="268"/>
      <c r="MKW408" s="268"/>
      <c r="MKX408" s="268"/>
      <c r="MKY408" s="268"/>
      <c r="MKZ408" s="268"/>
      <c r="MLA408" s="268"/>
      <c r="MLB408" s="268"/>
      <c r="MLC408" s="268"/>
      <c r="MLD408" s="268"/>
      <c r="MLE408" s="268"/>
      <c r="MLF408" s="268"/>
      <c r="MLG408" s="268"/>
      <c r="MLH408" s="268"/>
      <c r="MLI408" s="268"/>
      <c r="MLJ408" s="268"/>
      <c r="MLK408" s="268"/>
      <c r="MLL408" s="268"/>
      <c r="MLM408" s="268"/>
      <c r="MLN408" s="268"/>
      <c r="MLO408" s="268"/>
      <c r="MLP408" s="268"/>
      <c r="MLQ408" s="268"/>
      <c r="MLR408" s="268"/>
      <c r="MLS408" s="268"/>
      <c r="MLT408" s="268"/>
      <c r="MLU408" s="268"/>
      <c r="MLV408" s="268"/>
      <c r="MLW408" s="268"/>
      <c r="MLX408" s="268"/>
      <c r="MLY408" s="268"/>
      <c r="MLZ408" s="268"/>
      <c r="MMA408" s="268"/>
      <c r="MMB408" s="268"/>
      <c r="MMC408" s="268"/>
      <c r="MMD408" s="268"/>
      <c r="MME408" s="268"/>
      <c r="MMF408" s="268"/>
      <c r="MMG408" s="268"/>
      <c r="MMH408" s="268"/>
      <c r="MMI408" s="268"/>
      <c r="MMJ408" s="268"/>
      <c r="MMK408" s="268"/>
      <c r="MML408" s="268"/>
      <c r="MMM408" s="268"/>
      <c r="MMN408" s="268"/>
      <c r="MMO408" s="268"/>
      <c r="MMP408" s="268"/>
      <c r="MMQ408" s="268"/>
      <c r="MMR408" s="268"/>
      <c r="MMS408" s="268"/>
      <c r="MMT408" s="268"/>
      <c r="MMU408" s="268"/>
      <c r="MMV408" s="268"/>
      <c r="MMW408" s="268"/>
      <c r="MMX408" s="268"/>
      <c r="MMY408" s="268"/>
      <c r="MMZ408" s="268"/>
      <c r="MNA408" s="268"/>
      <c r="MNB408" s="268"/>
      <c r="MNC408" s="268"/>
      <c r="MND408" s="268"/>
      <c r="MNE408" s="268"/>
      <c r="MNF408" s="268"/>
      <c r="MNG408" s="268"/>
      <c r="MNH408" s="268"/>
      <c r="MNI408" s="268"/>
      <c r="MNJ408" s="268"/>
      <c r="MNK408" s="268"/>
      <c r="MNL408" s="268"/>
      <c r="MNM408" s="268"/>
      <c r="MNN408" s="268"/>
      <c r="MNO408" s="268"/>
      <c r="MNP408" s="268"/>
      <c r="MNQ408" s="268"/>
      <c r="MNR408" s="268"/>
      <c r="MNS408" s="268"/>
      <c r="MNT408" s="268"/>
      <c r="MNU408" s="268"/>
      <c r="MNV408" s="268"/>
      <c r="MNW408" s="268"/>
      <c r="MNX408" s="268"/>
      <c r="MNY408" s="268"/>
      <c r="MNZ408" s="268"/>
      <c r="MOA408" s="268"/>
      <c r="MOB408" s="268"/>
      <c r="MOC408" s="268"/>
      <c r="MOD408" s="268"/>
      <c r="MOE408" s="268"/>
      <c r="MOF408" s="268"/>
      <c r="MOG408" s="268"/>
      <c r="MOH408" s="268"/>
      <c r="MOI408" s="268"/>
      <c r="MOJ408" s="268"/>
      <c r="MOK408" s="268"/>
      <c r="MOL408" s="268"/>
      <c r="MOM408" s="268"/>
      <c r="MON408" s="268"/>
      <c r="MOO408" s="268"/>
      <c r="MOP408" s="268"/>
      <c r="MOQ408" s="268"/>
      <c r="MOR408" s="268"/>
      <c r="MOS408" s="268"/>
      <c r="MOT408" s="268"/>
      <c r="MOU408" s="268"/>
      <c r="MOV408" s="268"/>
      <c r="MOW408" s="268"/>
      <c r="MOX408" s="268"/>
      <c r="MOY408" s="268"/>
      <c r="MOZ408" s="268"/>
      <c r="MPA408" s="268"/>
      <c r="MPB408" s="268"/>
      <c r="MPC408" s="268"/>
      <c r="MPQ408" s="268"/>
      <c r="MPR408" s="268"/>
      <c r="MPS408" s="268"/>
      <c r="MQG408" s="268"/>
      <c r="MQI408" s="268"/>
      <c r="MQJ408" s="268"/>
      <c r="MQK408" s="268"/>
      <c r="MQL408" s="268"/>
      <c r="MQM408" s="268"/>
      <c r="MQN408" s="268"/>
      <c r="MQO408" s="268"/>
      <c r="MQP408" s="268"/>
      <c r="MQQ408" s="268"/>
      <c r="MQR408" s="268"/>
      <c r="MQS408" s="268"/>
      <c r="MQT408" s="268"/>
      <c r="MQU408" s="268"/>
      <c r="MQV408" s="268"/>
      <c r="MQW408" s="268"/>
      <c r="MQX408" s="268"/>
      <c r="MQY408" s="268"/>
      <c r="MQZ408" s="268"/>
      <c r="MRA408" s="268"/>
      <c r="MRB408" s="268"/>
      <c r="MRC408" s="268"/>
      <c r="MRD408" s="268"/>
      <c r="MRE408" s="268"/>
      <c r="MRF408" s="268"/>
      <c r="MRG408" s="268"/>
      <c r="MRH408" s="268"/>
      <c r="MRI408" s="268"/>
      <c r="MRJ408" s="268"/>
      <c r="MRK408" s="268"/>
      <c r="MRL408" s="268"/>
      <c r="MRM408" s="268"/>
      <c r="MRN408" s="268"/>
      <c r="MRO408" s="268"/>
      <c r="MRP408" s="268"/>
      <c r="MRQ408" s="268"/>
      <c r="MRR408" s="268"/>
      <c r="MRS408" s="268"/>
      <c r="MRT408" s="268"/>
      <c r="MRU408" s="268"/>
      <c r="MRV408" s="268"/>
      <c r="MRW408" s="268"/>
      <c r="MRX408" s="268"/>
      <c r="MRY408" s="268"/>
      <c r="MRZ408" s="268"/>
      <c r="MSA408" s="268"/>
      <c r="MSB408" s="268"/>
      <c r="MSC408" s="268"/>
      <c r="MSD408" s="268"/>
      <c r="MSE408" s="268"/>
      <c r="MSF408" s="268"/>
      <c r="MSG408" s="268"/>
      <c r="MSH408" s="268"/>
      <c r="MSI408" s="268"/>
      <c r="MSJ408" s="268"/>
      <c r="MSK408" s="268"/>
      <c r="MSL408" s="268"/>
      <c r="MSM408" s="268"/>
      <c r="MSN408" s="268"/>
      <c r="MSO408" s="268"/>
      <c r="MSP408" s="268"/>
      <c r="MSQ408" s="268"/>
      <c r="MSR408" s="268"/>
      <c r="MSS408" s="268"/>
      <c r="MST408" s="268"/>
      <c r="MSU408" s="268"/>
      <c r="MSV408" s="268"/>
      <c r="MSW408" s="268"/>
      <c r="MSX408" s="268"/>
      <c r="MSY408" s="268"/>
      <c r="MSZ408" s="268"/>
      <c r="MTA408" s="268"/>
      <c r="MTB408" s="268"/>
      <c r="MTC408" s="268"/>
      <c r="MTD408" s="268"/>
      <c r="MTE408" s="268"/>
      <c r="MTF408" s="268"/>
      <c r="MTG408" s="268"/>
      <c r="MTH408" s="268"/>
      <c r="MTI408" s="268"/>
      <c r="MTJ408" s="268"/>
      <c r="MTK408" s="268"/>
      <c r="MTL408" s="268"/>
      <c r="MTM408" s="268"/>
      <c r="MTN408" s="268"/>
      <c r="MTO408" s="268"/>
      <c r="MTP408" s="268"/>
      <c r="MTQ408" s="268"/>
      <c r="MTR408" s="268"/>
      <c r="MTS408" s="268"/>
      <c r="MTT408" s="268"/>
      <c r="MTU408" s="268"/>
      <c r="MTV408" s="268"/>
      <c r="MTW408" s="268"/>
      <c r="MTX408" s="268"/>
      <c r="MTY408" s="268"/>
      <c r="MTZ408" s="268"/>
      <c r="MUA408" s="268"/>
      <c r="MUB408" s="268"/>
      <c r="MUC408" s="268"/>
      <c r="MUD408" s="268"/>
      <c r="MUE408" s="268"/>
      <c r="MUF408" s="268"/>
      <c r="MUG408" s="268"/>
      <c r="MUH408" s="268"/>
      <c r="MUI408" s="268"/>
      <c r="MUJ408" s="268"/>
      <c r="MUK408" s="268"/>
      <c r="MUL408" s="268"/>
      <c r="MUM408" s="268"/>
      <c r="MUN408" s="268"/>
      <c r="MUO408" s="268"/>
      <c r="MUP408" s="268"/>
      <c r="MUQ408" s="268"/>
      <c r="MUR408" s="268"/>
      <c r="MUS408" s="268"/>
      <c r="MUT408" s="268"/>
      <c r="MUU408" s="268"/>
      <c r="MUV408" s="268"/>
      <c r="MUW408" s="268"/>
      <c r="MUX408" s="268"/>
      <c r="MUY408" s="268"/>
      <c r="MUZ408" s="268"/>
      <c r="MVA408" s="268"/>
      <c r="MVB408" s="268"/>
      <c r="MVC408" s="268"/>
      <c r="MVD408" s="268"/>
      <c r="MVE408" s="268"/>
      <c r="MVF408" s="268"/>
      <c r="MVG408" s="268"/>
      <c r="MVH408" s="268"/>
      <c r="MVI408" s="268"/>
      <c r="MVJ408" s="268"/>
      <c r="MVK408" s="268"/>
      <c r="MVL408" s="268"/>
      <c r="MVM408" s="268"/>
      <c r="MVN408" s="268"/>
      <c r="MVO408" s="268"/>
      <c r="MVP408" s="268"/>
      <c r="MVQ408" s="268"/>
      <c r="MVR408" s="268"/>
      <c r="MVS408" s="268"/>
      <c r="MVT408" s="268"/>
      <c r="MVU408" s="268"/>
      <c r="MVV408" s="268"/>
      <c r="MVW408" s="268"/>
      <c r="MVX408" s="268"/>
      <c r="MVY408" s="268"/>
      <c r="MVZ408" s="268"/>
      <c r="MWA408" s="268"/>
      <c r="MWB408" s="268"/>
      <c r="MWC408" s="268"/>
      <c r="MWD408" s="268"/>
      <c r="MWE408" s="268"/>
      <c r="MWF408" s="268"/>
      <c r="MWG408" s="268"/>
      <c r="MWH408" s="268"/>
      <c r="MWI408" s="268"/>
      <c r="MWJ408" s="268"/>
      <c r="MWK408" s="268"/>
      <c r="MWL408" s="268"/>
      <c r="MWM408" s="268"/>
      <c r="MWN408" s="268"/>
      <c r="MWO408" s="268"/>
      <c r="MWP408" s="268"/>
      <c r="MWQ408" s="268"/>
      <c r="MWR408" s="268"/>
      <c r="MWS408" s="268"/>
      <c r="MWT408" s="268"/>
      <c r="MWU408" s="268"/>
      <c r="MWV408" s="268"/>
      <c r="MWW408" s="268"/>
      <c r="MWX408" s="268"/>
      <c r="MWY408" s="268"/>
      <c r="MWZ408" s="268"/>
      <c r="MXA408" s="268"/>
      <c r="MXB408" s="268"/>
      <c r="MXC408" s="268"/>
      <c r="MXD408" s="268"/>
      <c r="MXE408" s="268"/>
      <c r="MXF408" s="268"/>
      <c r="MXG408" s="268"/>
      <c r="MXH408" s="268"/>
      <c r="MXI408" s="268"/>
      <c r="MXJ408" s="268"/>
      <c r="MXK408" s="268"/>
      <c r="MXL408" s="268"/>
      <c r="MXM408" s="268"/>
      <c r="MXN408" s="268"/>
      <c r="MXO408" s="268"/>
      <c r="MXP408" s="268"/>
      <c r="MXQ408" s="268"/>
      <c r="MXR408" s="268"/>
      <c r="MXS408" s="268"/>
      <c r="MXT408" s="268"/>
      <c r="MXU408" s="268"/>
      <c r="MXV408" s="268"/>
      <c r="MXW408" s="268"/>
      <c r="MXX408" s="268"/>
      <c r="MXY408" s="268"/>
      <c r="MXZ408" s="268"/>
      <c r="MYA408" s="268"/>
      <c r="MYB408" s="268"/>
      <c r="MYC408" s="268"/>
      <c r="MYD408" s="268"/>
      <c r="MYE408" s="268"/>
      <c r="MYF408" s="268"/>
      <c r="MYG408" s="268"/>
      <c r="MYH408" s="268"/>
      <c r="MYI408" s="268"/>
      <c r="MYJ408" s="268"/>
      <c r="MYK408" s="268"/>
      <c r="MYL408" s="268"/>
      <c r="MYM408" s="268"/>
      <c r="MYN408" s="268"/>
      <c r="MYO408" s="268"/>
      <c r="MYP408" s="268"/>
      <c r="MYQ408" s="268"/>
      <c r="MYR408" s="268"/>
      <c r="MYS408" s="268"/>
      <c r="MYT408" s="268"/>
      <c r="MYU408" s="268"/>
      <c r="MYV408" s="268"/>
      <c r="MYW408" s="268"/>
      <c r="MYX408" s="268"/>
      <c r="MYY408" s="268"/>
      <c r="MZM408" s="268"/>
      <c r="MZN408" s="268"/>
      <c r="MZO408" s="268"/>
      <c r="NAC408" s="268"/>
      <c r="NAE408" s="268"/>
      <c r="NAF408" s="268"/>
      <c r="NAG408" s="268"/>
      <c r="NAH408" s="268"/>
      <c r="NAI408" s="268"/>
      <c r="NAJ408" s="268"/>
      <c r="NAK408" s="268"/>
      <c r="NAL408" s="268"/>
      <c r="NAM408" s="268"/>
      <c r="NAN408" s="268"/>
      <c r="NAO408" s="268"/>
      <c r="NAP408" s="268"/>
      <c r="NAQ408" s="268"/>
      <c r="NAR408" s="268"/>
      <c r="NAS408" s="268"/>
      <c r="NAT408" s="268"/>
      <c r="NAU408" s="268"/>
      <c r="NAV408" s="268"/>
      <c r="NAW408" s="268"/>
      <c r="NAX408" s="268"/>
      <c r="NAY408" s="268"/>
      <c r="NAZ408" s="268"/>
      <c r="NBA408" s="268"/>
      <c r="NBB408" s="268"/>
      <c r="NBC408" s="268"/>
      <c r="NBD408" s="268"/>
      <c r="NBE408" s="268"/>
      <c r="NBF408" s="268"/>
      <c r="NBG408" s="268"/>
      <c r="NBH408" s="268"/>
      <c r="NBI408" s="268"/>
      <c r="NBJ408" s="268"/>
      <c r="NBK408" s="268"/>
      <c r="NBL408" s="268"/>
      <c r="NBM408" s="268"/>
      <c r="NBN408" s="268"/>
      <c r="NBO408" s="268"/>
      <c r="NBP408" s="268"/>
      <c r="NBQ408" s="268"/>
      <c r="NBR408" s="268"/>
      <c r="NBS408" s="268"/>
      <c r="NBT408" s="268"/>
      <c r="NBU408" s="268"/>
      <c r="NBV408" s="268"/>
      <c r="NBW408" s="268"/>
      <c r="NBX408" s="268"/>
      <c r="NBY408" s="268"/>
      <c r="NBZ408" s="268"/>
      <c r="NCA408" s="268"/>
      <c r="NCB408" s="268"/>
      <c r="NCC408" s="268"/>
      <c r="NCD408" s="268"/>
      <c r="NCE408" s="268"/>
      <c r="NCF408" s="268"/>
      <c r="NCG408" s="268"/>
      <c r="NCH408" s="268"/>
      <c r="NCI408" s="268"/>
      <c r="NCJ408" s="268"/>
      <c r="NCK408" s="268"/>
      <c r="NCL408" s="268"/>
      <c r="NCM408" s="268"/>
      <c r="NCN408" s="268"/>
      <c r="NCO408" s="268"/>
      <c r="NCP408" s="268"/>
      <c r="NCQ408" s="268"/>
      <c r="NCR408" s="268"/>
      <c r="NCS408" s="268"/>
      <c r="NCT408" s="268"/>
      <c r="NCU408" s="268"/>
      <c r="NCV408" s="268"/>
      <c r="NCW408" s="268"/>
      <c r="NCX408" s="268"/>
      <c r="NCY408" s="268"/>
      <c r="NCZ408" s="268"/>
      <c r="NDA408" s="268"/>
      <c r="NDB408" s="268"/>
      <c r="NDC408" s="268"/>
      <c r="NDD408" s="268"/>
      <c r="NDE408" s="268"/>
      <c r="NDF408" s="268"/>
      <c r="NDG408" s="268"/>
      <c r="NDH408" s="268"/>
      <c r="NDI408" s="268"/>
      <c r="NDJ408" s="268"/>
      <c r="NDK408" s="268"/>
      <c r="NDL408" s="268"/>
      <c r="NDM408" s="268"/>
      <c r="NDN408" s="268"/>
      <c r="NDO408" s="268"/>
      <c r="NDP408" s="268"/>
      <c r="NDQ408" s="268"/>
      <c r="NDR408" s="268"/>
      <c r="NDS408" s="268"/>
      <c r="NDT408" s="268"/>
      <c r="NDU408" s="268"/>
      <c r="NDV408" s="268"/>
      <c r="NDW408" s="268"/>
      <c r="NDX408" s="268"/>
      <c r="NDY408" s="268"/>
      <c r="NDZ408" s="268"/>
      <c r="NEA408" s="268"/>
      <c r="NEB408" s="268"/>
      <c r="NEC408" s="268"/>
      <c r="NED408" s="268"/>
      <c r="NEE408" s="268"/>
      <c r="NEF408" s="268"/>
      <c r="NEG408" s="268"/>
      <c r="NEH408" s="268"/>
      <c r="NEI408" s="268"/>
      <c r="NEJ408" s="268"/>
      <c r="NEK408" s="268"/>
      <c r="NEL408" s="268"/>
      <c r="NEM408" s="268"/>
      <c r="NEN408" s="268"/>
      <c r="NEO408" s="268"/>
      <c r="NEP408" s="268"/>
      <c r="NEQ408" s="268"/>
      <c r="NER408" s="268"/>
      <c r="NES408" s="268"/>
      <c r="NET408" s="268"/>
      <c r="NEU408" s="268"/>
      <c r="NEV408" s="268"/>
      <c r="NEW408" s="268"/>
      <c r="NEX408" s="268"/>
      <c r="NEY408" s="268"/>
      <c r="NEZ408" s="268"/>
      <c r="NFA408" s="268"/>
      <c r="NFB408" s="268"/>
      <c r="NFC408" s="268"/>
      <c r="NFD408" s="268"/>
      <c r="NFE408" s="268"/>
      <c r="NFF408" s="268"/>
      <c r="NFG408" s="268"/>
      <c r="NFH408" s="268"/>
      <c r="NFI408" s="268"/>
      <c r="NFJ408" s="268"/>
      <c r="NFK408" s="268"/>
      <c r="NFL408" s="268"/>
      <c r="NFM408" s="268"/>
      <c r="NFN408" s="268"/>
      <c r="NFO408" s="268"/>
      <c r="NFP408" s="268"/>
      <c r="NFQ408" s="268"/>
      <c r="NFR408" s="268"/>
      <c r="NFS408" s="268"/>
      <c r="NFT408" s="268"/>
      <c r="NFU408" s="268"/>
      <c r="NFV408" s="268"/>
      <c r="NFW408" s="268"/>
      <c r="NFX408" s="268"/>
      <c r="NFY408" s="268"/>
      <c r="NFZ408" s="268"/>
      <c r="NGA408" s="268"/>
      <c r="NGB408" s="268"/>
      <c r="NGC408" s="268"/>
      <c r="NGD408" s="268"/>
      <c r="NGE408" s="268"/>
      <c r="NGF408" s="268"/>
      <c r="NGG408" s="268"/>
      <c r="NGH408" s="268"/>
      <c r="NGI408" s="268"/>
      <c r="NGJ408" s="268"/>
      <c r="NGK408" s="268"/>
      <c r="NGL408" s="268"/>
      <c r="NGM408" s="268"/>
      <c r="NGN408" s="268"/>
      <c r="NGO408" s="268"/>
      <c r="NGP408" s="268"/>
      <c r="NGQ408" s="268"/>
      <c r="NGR408" s="268"/>
      <c r="NGS408" s="268"/>
      <c r="NGT408" s="268"/>
      <c r="NGU408" s="268"/>
      <c r="NGV408" s="268"/>
      <c r="NGW408" s="268"/>
      <c r="NGX408" s="268"/>
      <c r="NGY408" s="268"/>
      <c r="NGZ408" s="268"/>
      <c r="NHA408" s="268"/>
      <c r="NHB408" s="268"/>
      <c r="NHC408" s="268"/>
      <c r="NHD408" s="268"/>
      <c r="NHE408" s="268"/>
      <c r="NHF408" s="268"/>
      <c r="NHG408" s="268"/>
      <c r="NHH408" s="268"/>
      <c r="NHI408" s="268"/>
      <c r="NHJ408" s="268"/>
      <c r="NHK408" s="268"/>
      <c r="NHL408" s="268"/>
      <c r="NHM408" s="268"/>
      <c r="NHN408" s="268"/>
      <c r="NHO408" s="268"/>
      <c r="NHP408" s="268"/>
      <c r="NHQ408" s="268"/>
      <c r="NHR408" s="268"/>
      <c r="NHS408" s="268"/>
      <c r="NHT408" s="268"/>
      <c r="NHU408" s="268"/>
      <c r="NHV408" s="268"/>
      <c r="NHW408" s="268"/>
      <c r="NHX408" s="268"/>
      <c r="NHY408" s="268"/>
      <c r="NHZ408" s="268"/>
      <c r="NIA408" s="268"/>
      <c r="NIB408" s="268"/>
      <c r="NIC408" s="268"/>
      <c r="NID408" s="268"/>
      <c r="NIE408" s="268"/>
      <c r="NIF408" s="268"/>
      <c r="NIG408" s="268"/>
      <c r="NIH408" s="268"/>
      <c r="NII408" s="268"/>
      <c r="NIJ408" s="268"/>
      <c r="NIK408" s="268"/>
      <c r="NIL408" s="268"/>
      <c r="NIM408" s="268"/>
      <c r="NIN408" s="268"/>
      <c r="NIO408" s="268"/>
      <c r="NIP408" s="268"/>
      <c r="NIQ408" s="268"/>
      <c r="NIR408" s="268"/>
      <c r="NIS408" s="268"/>
      <c r="NIT408" s="268"/>
      <c r="NIU408" s="268"/>
      <c r="NJI408" s="268"/>
      <c r="NJJ408" s="268"/>
      <c r="NJK408" s="268"/>
      <c r="NJY408" s="268"/>
      <c r="NKA408" s="268"/>
      <c r="NKB408" s="268"/>
      <c r="NKC408" s="268"/>
      <c r="NKD408" s="268"/>
      <c r="NKE408" s="268"/>
      <c r="NKF408" s="268"/>
      <c r="NKG408" s="268"/>
      <c r="NKH408" s="268"/>
      <c r="NKI408" s="268"/>
      <c r="NKJ408" s="268"/>
      <c r="NKK408" s="268"/>
      <c r="NKL408" s="268"/>
      <c r="NKM408" s="268"/>
      <c r="NKN408" s="268"/>
      <c r="NKO408" s="268"/>
      <c r="NKP408" s="268"/>
      <c r="NKQ408" s="268"/>
      <c r="NKR408" s="268"/>
      <c r="NKS408" s="268"/>
      <c r="NKT408" s="268"/>
      <c r="NKU408" s="268"/>
      <c r="NKV408" s="268"/>
      <c r="NKW408" s="268"/>
      <c r="NKX408" s="268"/>
      <c r="NKY408" s="268"/>
      <c r="NKZ408" s="268"/>
      <c r="NLA408" s="268"/>
      <c r="NLB408" s="268"/>
      <c r="NLC408" s="268"/>
      <c r="NLD408" s="268"/>
      <c r="NLE408" s="268"/>
      <c r="NLF408" s="268"/>
      <c r="NLG408" s="268"/>
      <c r="NLH408" s="268"/>
      <c r="NLI408" s="268"/>
      <c r="NLJ408" s="268"/>
      <c r="NLK408" s="268"/>
      <c r="NLL408" s="268"/>
      <c r="NLM408" s="268"/>
      <c r="NLN408" s="268"/>
      <c r="NLO408" s="268"/>
      <c r="NLP408" s="268"/>
      <c r="NLQ408" s="268"/>
      <c r="NLR408" s="268"/>
      <c r="NLS408" s="268"/>
      <c r="NLT408" s="268"/>
      <c r="NLU408" s="268"/>
      <c r="NLV408" s="268"/>
      <c r="NLW408" s="268"/>
      <c r="NLX408" s="268"/>
      <c r="NLY408" s="268"/>
      <c r="NLZ408" s="268"/>
      <c r="NMA408" s="268"/>
      <c r="NMB408" s="268"/>
      <c r="NMC408" s="268"/>
      <c r="NMD408" s="268"/>
      <c r="NME408" s="268"/>
      <c r="NMF408" s="268"/>
      <c r="NMG408" s="268"/>
      <c r="NMH408" s="268"/>
      <c r="NMI408" s="268"/>
      <c r="NMJ408" s="268"/>
      <c r="NMK408" s="268"/>
      <c r="NML408" s="268"/>
      <c r="NMM408" s="268"/>
      <c r="NMN408" s="268"/>
      <c r="NMO408" s="268"/>
      <c r="NMP408" s="268"/>
      <c r="NMQ408" s="268"/>
      <c r="NMR408" s="268"/>
      <c r="NMS408" s="268"/>
      <c r="NMT408" s="268"/>
      <c r="NMU408" s="268"/>
      <c r="NMV408" s="268"/>
      <c r="NMW408" s="268"/>
      <c r="NMX408" s="268"/>
      <c r="NMY408" s="268"/>
      <c r="NMZ408" s="268"/>
      <c r="NNA408" s="268"/>
      <c r="NNB408" s="268"/>
      <c r="NNC408" s="268"/>
      <c r="NND408" s="268"/>
      <c r="NNE408" s="268"/>
      <c r="NNF408" s="268"/>
      <c r="NNG408" s="268"/>
      <c r="NNH408" s="268"/>
      <c r="NNI408" s="268"/>
      <c r="NNJ408" s="268"/>
      <c r="NNK408" s="268"/>
      <c r="NNL408" s="268"/>
      <c r="NNM408" s="268"/>
      <c r="NNN408" s="268"/>
      <c r="NNO408" s="268"/>
      <c r="NNP408" s="268"/>
      <c r="NNQ408" s="268"/>
      <c r="NNR408" s="268"/>
      <c r="NNS408" s="268"/>
      <c r="NNT408" s="268"/>
      <c r="NNU408" s="268"/>
      <c r="NNV408" s="268"/>
      <c r="NNW408" s="268"/>
      <c r="NNX408" s="268"/>
      <c r="NNY408" s="268"/>
      <c r="NNZ408" s="268"/>
      <c r="NOA408" s="268"/>
      <c r="NOB408" s="268"/>
      <c r="NOC408" s="268"/>
      <c r="NOD408" s="268"/>
      <c r="NOE408" s="268"/>
      <c r="NOF408" s="268"/>
      <c r="NOG408" s="268"/>
      <c r="NOH408" s="268"/>
      <c r="NOI408" s="268"/>
      <c r="NOJ408" s="268"/>
      <c r="NOK408" s="268"/>
      <c r="NOL408" s="268"/>
      <c r="NOM408" s="268"/>
      <c r="NON408" s="268"/>
      <c r="NOO408" s="268"/>
      <c r="NOP408" s="268"/>
      <c r="NOQ408" s="268"/>
      <c r="NOR408" s="268"/>
      <c r="NOS408" s="268"/>
      <c r="NOT408" s="268"/>
      <c r="NOU408" s="268"/>
      <c r="NOV408" s="268"/>
      <c r="NOW408" s="268"/>
      <c r="NOX408" s="268"/>
      <c r="NOY408" s="268"/>
      <c r="NOZ408" s="268"/>
      <c r="NPA408" s="268"/>
      <c r="NPB408" s="268"/>
      <c r="NPC408" s="268"/>
      <c r="NPD408" s="268"/>
      <c r="NPE408" s="268"/>
      <c r="NPF408" s="268"/>
      <c r="NPG408" s="268"/>
      <c r="NPH408" s="268"/>
      <c r="NPI408" s="268"/>
      <c r="NPJ408" s="268"/>
      <c r="NPK408" s="268"/>
      <c r="NPL408" s="268"/>
      <c r="NPM408" s="268"/>
      <c r="NPN408" s="268"/>
      <c r="NPO408" s="268"/>
      <c r="NPP408" s="268"/>
      <c r="NPQ408" s="268"/>
      <c r="NPR408" s="268"/>
      <c r="NPS408" s="268"/>
      <c r="NPT408" s="268"/>
      <c r="NPU408" s="268"/>
      <c r="NPV408" s="268"/>
      <c r="NPW408" s="268"/>
      <c r="NPX408" s="268"/>
      <c r="NPY408" s="268"/>
      <c r="NPZ408" s="268"/>
      <c r="NQA408" s="268"/>
      <c r="NQB408" s="268"/>
      <c r="NQC408" s="268"/>
      <c r="NQD408" s="268"/>
      <c r="NQE408" s="268"/>
      <c r="NQF408" s="268"/>
      <c r="NQG408" s="268"/>
      <c r="NQH408" s="268"/>
      <c r="NQI408" s="268"/>
      <c r="NQJ408" s="268"/>
      <c r="NQK408" s="268"/>
      <c r="NQL408" s="268"/>
      <c r="NQM408" s="268"/>
      <c r="NQN408" s="268"/>
      <c r="NQO408" s="268"/>
      <c r="NQP408" s="268"/>
      <c r="NQQ408" s="268"/>
      <c r="NQR408" s="268"/>
      <c r="NQS408" s="268"/>
      <c r="NQT408" s="268"/>
      <c r="NQU408" s="268"/>
      <c r="NQV408" s="268"/>
      <c r="NQW408" s="268"/>
      <c r="NQX408" s="268"/>
      <c r="NQY408" s="268"/>
      <c r="NQZ408" s="268"/>
      <c r="NRA408" s="268"/>
      <c r="NRB408" s="268"/>
      <c r="NRC408" s="268"/>
      <c r="NRD408" s="268"/>
      <c r="NRE408" s="268"/>
      <c r="NRF408" s="268"/>
      <c r="NRG408" s="268"/>
      <c r="NRH408" s="268"/>
      <c r="NRI408" s="268"/>
      <c r="NRJ408" s="268"/>
      <c r="NRK408" s="268"/>
      <c r="NRL408" s="268"/>
      <c r="NRM408" s="268"/>
      <c r="NRN408" s="268"/>
      <c r="NRO408" s="268"/>
      <c r="NRP408" s="268"/>
      <c r="NRQ408" s="268"/>
      <c r="NRR408" s="268"/>
      <c r="NRS408" s="268"/>
      <c r="NRT408" s="268"/>
      <c r="NRU408" s="268"/>
      <c r="NRV408" s="268"/>
      <c r="NRW408" s="268"/>
      <c r="NRX408" s="268"/>
      <c r="NRY408" s="268"/>
      <c r="NRZ408" s="268"/>
      <c r="NSA408" s="268"/>
      <c r="NSB408" s="268"/>
      <c r="NSC408" s="268"/>
      <c r="NSD408" s="268"/>
      <c r="NSE408" s="268"/>
      <c r="NSF408" s="268"/>
      <c r="NSG408" s="268"/>
      <c r="NSH408" s="268"/>
      <c r="NSI408" s="268"/>
      <c r="NSJ408" s="268"/>
      <c r="NSK408" s="268"/>
      <c r="NSL408" s="268"/>
      <c r="NSM408" s="268"/>
      <c r="NSN408" s="268"/>
      <c r="NSO408" s="268"/>
      <c r="NSP408" s="268"/>
      <c r="NSQ408" s="268"/>
      <c r="NTE408" s="268"/>
      <c r="NTF408" s="268"/>
      <c r="NTG408" s="268"/>
      <c r="NTU408" s="268"/>
      <c r="NTW408" s="268"/>
      <c r="NTX408" s="268"/>
      <c r="NTY408" s="268"/>
      <c r="NTZ408" s="268"/>
      <c r="NUA408" s="268"/>
      <c r="NUB408" s="268"/>
      <c r="NUC408" s="268"/>
      <c r="NUD408" s="268"/>
      <c r="NUE408" s="268"/>
      <c r="NUF408" s="268"/>
      <c r="NUG408" s="268"/>
      <c r="NUH408" s="268"/>
      <c r="NUI408" s="268"/>
      <c r="NUJ408" s="268"/>
      <c r="NUK408" s="268"/>
      <c r="NUL408" s="268"/>
      <c r="NUM408" s="268"/>
      <c r="NUN408" s="268"/>
      <c r="NUO408" s="268"/>
      <c r="NUP408" s="268"/>
      <c r="NUQ408" s="268"/>
      <c r="NUR408" s="268"/>
      <c r="NUS408" s="268"/>
      <c r="NUT408" s="268"/>
      <c r="NUU408" s="268"/>
      <c r="NUV408" s="268"/>
      <c r="NUW408" s="268"/>
      <c r="NUX408" s="268"/>
      <c r="NUY408" s="268"/>
      <c r="NUZ408" s="268"/>
      <c r="NVA408" s="268"/>
      <c r="NVB408" s="268"/>
      <c r="NVC408" s="268"/>
      <c r="NVD408" s="268"/>
      <c r="NVE408" s="268"/>
      <c r="NVF408" s="268"/>
      <c r="NVG408" s="268"/>
      <c r="NVH408" s="268"/>
      <c r="NVI408" s="268"/>
      <c r="NVJ408" s="268"/>
      <c r="NVK408" s="268"/>
      <c r="NVL408" s="268"/>
      <c r="NVM408" s="268"/>
      <c r="NVN408" s="268"/>
      <c r="NVO408" s="268"/>
      <c r="NVP408" s="268"/>
      <c r="NVQ408" s="268"/>
      <c r="NVR408" s="268"/>
      <c r="NVS408" s="268"/>
      <c r="NVT408" s="268"/>
      <c r="NVU408" s="268"/>
      <c r="NVV408" s="268"/>
      <c r="NVW408" s="268"/>
      <c r="NVX408" s="268"/>
      <c r="NVY408" s="268"/>
      <c r="NVZ408" s="268"/>
      <c r="NWA408" s="268"/>
      <c r="NWB408" s="268"/>
      <c r="NWC408" s="268"/>
      <c r="NWD408" s="268"/>
      <c r="NWE408" s="268"/>
      <c r="NWF408" s="268"/>
      <c r="NWG408" s="268"/>
      <c r="NWH408" s="268"/>
      <c r="NWI408" s="268"/>
      <c r="NWJ408" s="268"/>
      <c r="NWK408" s="268"/>
      <c r="NWL408" s="268"/>
      <c r="NWM408" s="268"/>
      <c r="NWN408" s="268"/>
      <c r="NWO408" s="268"/>
      <c r="NWP408" s="268"/>
      <c r="NWQ408" s="268"/>
      <c r="NWR408" s="268"/>
      <c r="NWS408" s="268"/>
      <c r="NWT408" s="268"/>
      <c r="NWU408" s="268"/>
      <c r="NWV408" s="268"/>
      <c r="NWW408" s="268"/>
      <c r="NWX408" s="268"/>
      <c r="NWY408" s="268"/>
      <c r="NWZ408" s="268"/>
      <c r="NXA408" s="268"/>
      <c r="NXB408" s="268"/>
      <c r="NXC408" s="268"/>
      <c r="NXD408" s="268"/>
      <c r="NXE408" s="268"/>
      <c r="NXF408" s="268"/>
      <c r="NXG408" s="268"/>
      <c r="NXH408" s="268"/>
      <c r="NXI408" s="268"/>
      <c r="NXJ408" s="268"/>
      <c r="NXK408" s="268"/>
      <c r="NXL408" s="268"/>
      <c r="NXM408" s="268"/>
      <c r="NXN408" s="268"/>
      <c r="NXO408" s="268"/>
      <c r="NXP408" s="268"/>
      <c r="NXQ408" s="268"/>
      <c r="NXR408" s="268"/>
      <c r="NXS408" s="268"/>
      <c r="NXT408" s="268"/>
      <c r="NXU408" s="268"/>
      <c r="NXV408" s="268"/>
      <c r="NXW408" s="268"/>
      <c r="NXX408" s="268"/>
      <c r="NXY408" s="268"/>
      <c r="NXZ408" s="268"/>
      <c r="NYA408" s="268"/>
      <c r="NYB408" s="268"/>
      <c r="NYC408" s="268"/>
      <c r="NYD408" s="268"/>
      <c r="NYE408" s="268"/>
      <c r="NYF408" s="268"/>
      <c r="NYG408" s="268"/>
      <c r="NYH408" s="268"/>
      <c r="NYI408" s="268"/>
      <c r="NYJ408" s="268"/>
      <c r="NYK408" s="268"/>
      <c r="NYL408" s="268"/>
      <c r="NYM408" s="268"/>
      <c r="NYN408" s="268"/>
      <c r="NYO408" s="268"/>
      <c r="NYP408" s="268"/>
      <c r="NYQ408" s="268"/>
      <c r="NYR408" s="268"/>
      <c r="NYS408" s="268"/>
      <c r="NYT408" s="268"/>
      <c r="NYU408" s="268"/>
      <c r="NYV408" s="268"/>
      <c r="NYW408" s="268"/>
      <c r="NYX408" s="268"/>
      <c r="NYY408" s="268"/>
      <c r="NYZ408" s="268"/>
      <c r="NZA408" s="268"/>
      <c r="NZB408" s="268"/>
      <c r="NZC408" s="268"/>
      <c r="NZD408" s="268"/>
      <c r="NZE408" s="268"/>
      <c r="NZF408" s="268"/>
      <c r="NZG408" s="268"/>
      <c r="NZH408" s="268"/>
      <c r="NZI408" s="268"/>
      <c r="NZJ408" s="268"/>
      <c r="NZK408" s="268"/>
      <c r="NZL408" s="268"/>
      <c r="NZM408" s="268"/>
      <c r="NZN408" s="268"/>
      <c r="NZO408" s="268"/>
      <c r="NZP408" s="268"/>
      <c r="NZQ408" s="268"/>
      <c r="NZR408" s="268"/>
      <c r="NZS408" s="268"/>
      <c r="NZT408" s="268"/>
      <c r="NZU408" s="268"/>
      <c r="NZV408" s="268"/>
      <c r="NZW408" s="268"/>
      <c r="NZX408" s="268"/>
      <c r="NZY408" s="268"/>
      <c r="NZZ408" s="268"/>
      <c r="OAA408" s="268"/>
      <c r="OAB408" s="268"/>
      <c r="OAC408" s="268"/>
      <c r="OAD408" s="268"/>
      <c r="OAE408" s="268"/>
      <c r="OAF408" s="268"/>
      <c r="OAG408" s="268"/>
      <c r="OAH408" s="268"/>
      <c r="OAI408" s="268"/>
      <c r="OAJ408" s="268"/>
      <c r="OAK408" s="268"/>
      <c r="OAL408" s="268"/>
      <c r="OAM408" s="268"/>
      <c r="OAN408" s="268"/>
      <c r="OAO408" s="268"/>
      <c r="OAP408" s="268"/>
      <c r="OAQ408" s="268"/>
      <c r="OAR408" s="268"/>
      <c r="OAS408" s="268"/>
      <c r="OAT408" s="268"/>
      <c r="OAU408" s="268"/>
      <c r="OAV408" s="268"/>
      <c r="OAW408" s="268"/>
      <c r="OAX408" s="268"/>
      <c r="OAY408" s="268"/>
      <c r="OAZ408" s="268"/>
      <c r="OBA408" s="268"/>
      <c r="OBB408" s="268"/>
      <c r="OBC408" s="268"/>
      <c r="OBD408" s="268"/>
      <c r="OBE408" s="268"/>
      <c r="OBF408" s="268"/>
      <c r="OBG408" s="268"/>
      <c r="OBH408" s="268"/>
      <c r="OBI408" s="268"/>
      <c r="OBJ408" s="268"/>
      <c r="OBK408" s="268"/>
      <c r="OBL408" s="268"/>
      <c r="OBM408" s="268"/>
      <c r="OBN408" s="268"/>
      <c r="OBO408" s="268"/>
      <c r="OBP408" s="268"/>
      <c r="OBQ408" s="268"/>
      <c r="OBR408" s="268"/>
      <c r="OBS408" s="268"/>
      <c r="OBT408" s="268"/>
      <c r="OBU408" s="268"/>
      <c r="OBV408" s="268"/>
      <c r="OBW408" s="268"/>
      <c r="OBX408" s="268"/>
      <c r="OBY408" s="268"/>
      <c r="OBZ408" s="268"/>
      <c r="OCA408" s="268"/>
      <c r="OCB408" s="268"/>
      <c r="OCC408" s="268"/>
      <c r="OCD408" s="268"/>
      <c r="OCE408" s="268"/>
      <c r="OCF408" s="268"/>
      <c r="OCG408" s="268"/>
      <c r="OCH408" s="268"/>
      <c r="OCI408" s="268"/>
      <c r="OCJ408" s="268"/>
      <c r="OCK408" s="268"/>
      <c r="OCL408" s="268"/>
      <c r="OCM408" s="268"/>
      <c r="ODA408" s="268"/>
      <c r="ODB408" s="268"/>
      <c r="ODC408" s="268"/>
      <c r="ODQ408" s="268"/>
      <c r="ODS408" s="268"/>
      <c r="ODT408" s="268"/>
      <c r="ODU408" s="268"/>
      <c r="ODV408" s="268"/>
      <c r="ODW408" s="268"/>
      <c r="ODX408" s="268"/>
      <c r="ODY408" s="268"/>
      <c r="ODZ408" s="268"/>
      <c r="OEA408" s="268"/>
      <c r="OEB408" s="268"/>
      <c r="OEC408" s="268"/>
      <c r="OED408" s="268"/>
      <c r="OEE408" s="268"/>
      <c r="OEF408" s="268"/>
      <c r="OEG408" s="268"/>
      <c r="OEH408" s="268"/>
      <c r="OEI408" s="268"/>
      <c r="OEJ408" s="268"/>
      <c r="OEK408" s="268"/>
      <c r="OEL408" s="268"/>
      <c r="OEM408" s="268"/>
      <c r="OEN408" s="268"/>
      <c r="OEO408" s="268"/>
      <c r="OEP408" s="268"/>
      <c r="OEQ408" s="268"/>
      <c r="OER408" s="268"/>
      <c r="OES408" s="268"/>
      <c r="OET408" s="268"/>
      <c r="OEU408" s="268"/>
      <c r="OEV408" s="268"/>
      <c r="OEW408" s="268"/>
      <c r="OEX408" s="268"/>
      <c r="OEY408" s="268"/>
      <c r="OEZ408" s="268"/>
      <c r="OFA408" s="268"/>
      <c r="OFB408" s="268"/>
      <c r="OFC408" s="268"/>
      <c r="OFD408" s="268"/>
      <c r="OFE408" s="268"/>
      <c r="OFF408" s="268"/>
      <c r="OFG408" s="268"/>
      <c r="OFH408" s="268"/>
      <c r="OFI408" s="268"/>
      <c r="OFJ408" s="268"/>
      <c r="OFK408" s="268"/>
      <c r="OFL408" s="268"/>
      <c r="OFM408" s="268"/>
      <c r="OFN408" s="268"/>
      <c r="OFO408" s="268"/>
      <c r="OFP408" s="268"/>
      <c r="OFQ408" s="268"/>
      <c r="OFR408" s="268"/>
      <c r="OFS408" s="268"/>
      <c r="OFT408" s="268"/>
      <c r="OFU408" s="268"/>
      <c r="OFV408" s="268"/>
      <c r="OFW408" s="268"/>
      <c r="OFX408" s="268"/>
      <c r="OFY408" s="268"/>
      <c r="OFZ408" s="268"/>
      <c r="OGA408" s="268"/>
      <c r="OGB408" s="268"/>
      <c r="OGC408" s="268"/>
      <c r="OGD408" s="268"/>
      <c r="OGE408" s="268"/>
      <c r="OGF408" s="268"/>
      <c r="OGG408" s="268"/>
      <c r="OGH408" s="268"/>
      <c r="OGI408" s="268"/>
      <c r="OGJ408" s="268"/>
      <c r="OGK408" s="268"/>
      <c r="OGL408" s="268"/>
      <c r="OGM408" s="268"/>
      <c r="OGN408" s="268"/>
      <c r="OGO408" s="268"/>
      <c r="OGP408" s="268"/>
      <c r="OGQ408" s="268"/>
      <c r="OGR408" s="268"/>
      <c r="OGS408" s="268"/>
      <c r="OGT408" s="268"/>
      <c r="OGU408" s="268"/>
      <c r="OGV408" s="268"/>
      <c r="OGW408" s="268"/>
      <c r="OGX408" s="268"/>
      <c r="OGY408" s="268"/>
      <c r="OGZ408" s="268"/>
      <c r="OHA408" s="268"/>
      <c r="OHB408" s="268"/>
      <c r="OHC408" s="268"/>
      <c r="OHD408" s="268"/>
      <c r="OHE408" s="268"/>
      <c r="OHF408" s="268"/>
      <c r="OHG408" s="268"/>
      <c r="OHH408" s="268"/>
      <c r="OHI408" s="268"/>
      <c r="OHJ408" s="268"/>
      <c r="OHK408" s="268"/>
      <c r="OHL408" s="268"/>
      <c r="OHM408" s="268"/>
      <c r="OHN408" s="268"/>
      <c r="OHO408" s="268"/>
      <c r="OHP408" s="268"/>
      <c r="OHQ408" s="268"/>
      <c r="OHR408" s="268"/>
      <c r="OHS408" s="268"/>
      <c r="OHT408" s="268"/>
      <c r="OHU408" s="268"/>
      <c r="OHV408" s="268"/>
      <c r="OHW408" s="268"/>
      <c r="OHX408" s="268"/>
      <c r="OHY408" s="268"/>
      <c r="OHZ408" s="268"/>
      <c r="OIA408" s="268"/>
      <c r="OIB408" s="268"/>
      <c r="OIC408" s="268"/>
      <c r="OID408" s="268"/>
      <c r="OIE408" s="268"/>
      <c r="OIF408" s="268"/>
      <c r="OIG408" s="268"/>
      <c r="OIH408" s="268"/>
      <c r="OII408" s="268"/>
      <c r="OIJ408" s="268"/>
      <c r="OIK408" s="268"/>
      <c r="OIL408" s="268"/>
      <c r="OIM408" s="268"/>
      <c r="OIN408" s="268"/>
      <c r="OIO408" s="268"/>
      <c r="OIP408" s="268"/>
      <c r="OIQ408" s="268"/>
      <c r="OIR408" s="268"/>
      <c r="OIS408" s="268"/>
      <c r="OIT408" s="268"/>
      <c r="OIU408" s="268"/>
      <c r="OIV408" s="268"/>
      <c r="OIW408" s="268"/>
      <c r="OIX408" s="268"/>
      <c r="OIY408" s="268"/>
      <c r="OIZ408" s="268"/>
      <c r="OJA408" s="268"/>
      <c r="OJB408" s="268"/>
      <c r="OJC408" s="268"/>
      <c r="OJD408" s="268"/>
      <c r="OJE408" s="268"/>
      <c r="OJF408" s="268"/>
      <c r="OJG408" s="268"/>
      <c r="OJH408" s="268"/>
      <c r="OJI408" s="268"/>
      <c r="OJJ408" s="268"/>
      <c r="OJK408" s="268"/>
      <c r="OJL408" s="268"/>
      <c r="OJM408" s="268"/>
      <c r="OJN408" s="268"/>
      <c r="OJO408" s="268"/>
      <c r="OJP408" s="268"/>
      <c r="OJQ408" s="268"/>
      <c r="OJR408" s="268"/>
      <c r="OJS408" s="268"/>
      <c r="OJT408" s="268"/>
      <c r="OJU408" s="268"/>
      <c r="OJV408" s="268"/>
      <c r="OJW408" s="268"/>
      <c r="OJX408" s="268"/>
      <c r="OJY408" s="268"/>
      <c r="OJZ408" s="268"/>
      <c r="OKA408" s="268"/>
      <c r="OKB408" s="268"/>
      <c r="OKC408" s="268"/>
      <c r="OKD408" s="268"/>
      <c r="OKE408" s="268"/>
      <c r="OKF408" s="268"/>
      <c r="OKG408" s="268"/>
      <c r="OKH408" s="268"/>
      <c r="OKI408" s="268"/>
      <c r="OKJ408" s="268"/>
      <c r="OKK408" s="268"/>
      <c r="OKL408" s="268"/>
      <c r="OKM408" s="268"/>
      <c r="OKN408" s="268"/>
      <c r="OKO408" s="268"/>
      <c r="OKP408" s="268"/>
      <c r="OKQ408" s="268"/>
      <c r="OKR408" s="268"/>
      <c r="OKS408" s="268"/>
      <c r="OKT408" s="268"/>
      <c r="OKU408" s="268"/>
      <c r="OKV408" s="268"/>
      <c r="OKW408" s="268"/>
      <c r="OKX408" s="268"/>
      <c r="OKY408" s="268"/>
      <c r="OKZ408" s="268"/>
      <c r="OLA408" s="268"/>
      <c r="OLB408" s="268"/>
      <c r="OLC408" s="268"/>
      <c r="OLD408" s="268"/>
      <c r="OLE408" s="268"/>
      <c r="OLF408" s="268"/>
      <c r="OLG408" s="268"/>
      <c r="OLH408" s="268"/>
      <c r="OLI408" s="268"/>
      <c r="OLJ408" s="268"/>
      <c r="OLK408" s="268"/>
      <c r="OLL408" s="268"/>
      <c r="OLM408" s="268"/>
      <c r="OLN408" s="268"/>
      <c r="OLO408" s="268"/>
      <c r="OLP408" s="268"/>
      <c r="OLQ408" s="268"/>
      <c r="OLR408" s="268"/>
      <c r="OLS408" s="268"/>
      <c r="OLT408" s="268"/>
      <c r="OLU408" s="268"/>
      <c r="OLV408" s="268"/>
      <c r="OLW408" s="268"/>
      <c r="OLX408" s="268"/>
      <c r="OLY408" s="268"/>
      <c r="OLZ408" s="268"/>
      <c r="OMA408" s="268"/>
      <c r="OMB408" s="268"/>
      <c r="OMC408" s="268"/>
      <c r="OMD408" s="268"/>
      <c r="OME408" s="268"/>
      <c r="OMF408" s="268"/>
      <c r="OMG408" s="268"/>
      <c r="OMH408" s="268"/>
      <c r="OMI408" s="268"/>
      <c r="OMW408" s="268"/>
      <c r="OMX408" s="268"/>
      <c r="OMY408" s="268"/>
      <c r="ONM408" s="268"/>
      <c r="ONO408" s="268"/>
      <c r="ONP408" s="268"/>
      <c r="ONQ408" s="268"/>
      <c r="ONR408" s="268"/>
      <c r="ONS408" s="268"/>
      <c r="ONT408" s="268"/>
      <c r="ONU408" s="268"/>
      <c r="ONV408" s="268"/>
      <c r="ONW408" s="268"/>
      <c r="ONX408" s="268"/>
      <c r="ONY408" s="268"/>
      <c r="ONZ408" s="268"/>
      <c r="OOA408" s="268"/>
      <c r="OOB408" s="268"/>
      <c r="OOC408" s="268"/>
      <c r="OOD408" s="268"/>
      <c r="OOE408" s="268"/>
      <c r="OOF408" s="268"/>
      <c r="OOG408" s="268"/>
      <c r="OOH408" s="268"/>
      <c r="OOI408" s="268"/>
      <c r="OOJ408" s="268"/>
      <c r="OOK408" s="268"/>
      <c r="OOL408" s="268"/>
      <c r="OOM408" s="268"/>
      <c r="OON408" s="268"/>
      <c r="OOO408" s="268"/>
      <c r="OOP408" s="268"/>
      <c r="OOQ408" s="268"/>
      <c r="OOR408" s="268"/>
      <c r="OOS408" s="268"/>
      <c r="OOT408" s="268"/>
      <c r="OOU408" s="268"/>
      <c r="OOV408" s="268"/>
      <c r="OOW408" s="268"/>
      <c r="OOX408" s="268"/>
      <c r="OOY408" s="268"/>
      <c r="OOZ408" s="268"/>
      <c r="OPA408" s="268"/>
      <c r="OPB408" s="268"/>
      <c r="OPC408" s="268"/>
      <c r="OPD408" s="268"/>
      <c r="OPE408" s="268"/>
      <c r="OPF408" s="268"/>
      <c r="OPG408" s="268"/>
      <c r="OPH408" s="268"/>
      <c r="OPI408" s="268"/>
      <c r="OPJ408" s="268"/>
      <c r="OPK408" s="268"/>
      <c r="OPL408" s="268"/>
      <c r="OPM408" s="268"/>
      <c r="OPN408" s="268"/>
      <c r="OPO408" s="268"/>
      <c r="OPP408" s="268"/>
      <c r="OPQ408" s="268"/>
      <c r="OPR408" s="268"/>
      <c r="OPS408" s="268"/>
      <c r="OPT408" s="268"/>
      <c r="OPU408" s="268"/>
      <c r="OPV408" s="268"/>
      <c r="OPW408" s="268"/>
      <c r="OPX408" s="268"/>
      <c r="OPY408" s="268"/>
      <c r="OPZ408" s="268"/>
      <c r="OQA408" s="268"/>
      <c r="OQB408" s="268"/>
      <c r="OQC408" s="268"/>
      <c r="OQD408" s="268"/>
      <c r="OQE408" s="268"/>
      <c r="OQF408" s="268"/>
      <c r="OQG408" s="268"/>
      <c r="OQH408" s="268"/>
      <c r="OQI408" s="268"/>
      <c r="OQJ408" s="268"/>
      <c r="OQK408" s="268"/>
      <c r="OQL408" s="268"/>
      <c r="OQM408" s="268"/>
      <c r="OQN408" s="268"/>
      <c r="OQO408" s="268"/>
      <c r="OQP408" s="268"/>
      <c r="OQQ408" s="268"/>
      <c r="OQR408" s="268"/>
      <c r="OQS408" s="268"/>
      <c r="OQT408" s="268"/>
      <c r="OQU408" s="268"/>
      <c r="OQV408" s="268"/>
      <c r="OQW408" s="268"/>
      <c r="OQX408" s="268"/>
      <c r="OQY408" s="268"/>
      <c r="OQZ408" s="268"/>
      <c r="ORA408" s="268"/>
      <c r="ORB408" s="268"/>
      <c r="ORC408" s="268"/>
      <c r="ORD408" s="268"/>
      <c r="ORE408" s="268"/>
      <c r="ORF408" s="268"/>
      <c r="ORG408" s="268"/>
      <c r="ORH408" s="268"/>
      <c r="ORI408" s="268"/>
      <c r="ORJ408" s="268"/>
      <c r="ORK408" s="268"/>
      <c r="ORL408" s="268"/>
      <c r="ORM408" s="268"/>
      <c r="ORN408" s="268"/>
      <c r="ORO408" s="268"/>
      <c r="ORP408" s="268"/>
      <c r="ORQ408" s="268"/>
      <c r="ORR408" s="268"/>
      <c r="ORS408" s="268"/>
      <c r="ORT408" s="268"/>
      <c r="ORU408" s="268"/>
      <c r="ORV408" s="268"/>
      <c r="ORW408" s="268"/>
      <c r="ORX408" s="268"/>
      <c r="ORY408" s="268"/>
      <c r="ORZ408" s="268"/>
      <c r="OSA408" s="268"/>
      <c r="OSB408" s="268"/>
      <c r="OSC408" s="268"/>
      <c r="OSD408" s="268"/>
      <c r="OSE408" s="268"/>
      <c r="OSF408" s="268"/>
      <c r="OSG408" s="268"/>
      <c r="OSH408" s="268"/>
      <c r="OSI408" s="268"/>
      <c r="OSJ408" s="268"/>
      <c r="OSK408" s="268"/>
      <c r="OSL408" s="268"/>
      <c r="OSM408" s="268"/>
      <c r="OSN408" s="268"/>
      <c r="OSO408" s="268"/>
      <c r="OSP408" s="268"/>
      <c r="OSQ408" s="268"/>
      <c r="OSR408" s="268"/>
      <c r="OSS408" s="268"/>
      <c r="OST408" s="268"/>
      <c r="OSU408" s="268"/>
      <c r="OSV408" s="268"/>
      <c r="OSW408" s="268"/>
      <c r="OSX408" s="268"/>
      <c r="OSY408" s="268"/>
      <c r="OSZ408" s="268"/>
      <c r="OTA408" s="268"/>
      <c r="OTB408" s="268"/>
      <c r="OTC408" s="268"/>
      <c r="OTD408" s="268"/>
      <c r="OTE408" s="268"/>
      <c r="OTF408" s="268"/>
      <c r="OTG408" s="268"/>
      <c r="OTH408" s="268"/>
      <c r="OTI408" s="268"/>
      <c r="OTJ408" s="268"/>
      <c r="OTK408" s="268"/>
      <c r="OTL408" s="268"/>
      <c r="OTM408" s="268"/>
      <c r="OTN408" s="268"/>
      <c r="OTO408" s="268"/>
      <c r="OTP408" s="268"/>
      <c r="OTQ408" s="268"/>
      <c r="OTR408" s="268"/>
      <c r="OTS408" s="268"/>
      <c r="OTT408" s="268"/>
      <c r="OTU408" s="268"/>
      <c r="OTV408" s="268"/>
      <c r="OTW408" s="268"/>
      <c r="OTX408" s="268"/>
      <c r="OTY408" s="268"/>
      <c r="OTZ408" s="268"/>
      <c r="OUA408" s="268"/>
      <c r="OUB408" s="268"/>
      <c r="OUC408" s="268"/>
      <c r="OUD408" s="268"/>
      <c r="OUE408" s="268"/>
      <c r="OUF408" s="268"/>
      <c r="OUG408" s="268"/>
      <c r="OUH408" s="268"/>
      <c r="OUI408" s="268"/>
      <c r="OUJ408" s="268"/>
      <c r="OUK408" s="268"/>
      <c r="OUL408" s="268"/>
      <c r="OUM408" s="268"/>
      <c r="OUN408" s="268"/>
      <c r="OUO408" s="268"/>
      <c r="OUP408" s="268"/>
      <c r="OUQ408" s="268"/>
      <c r="OUR408" s="268"/>
      <c r="OUS408" s="268"/>
      <c r="OUT408" s="268"/>
      <c r="OUU408" s="268"/>
      <c r="OUV408" s="268"/>
      <c r="OUW408" s="268"/>
      <c r="OUX408" s="268"/>
      <c r="OUY408" s="268"/>
      <c r="OUZ408" s="268"/>
      <c r="OVA408" s="268"/>
      <c r="OVB408" s="268"/>
      <c r="OVC408" s="268"/>
      <c r="OVD408" s="268"/>
      <c r="OVE408" s="268"/>
      <c r="OVF408" s="268"/>
      <c r="OVG408" s="268"/>
      <c r="OVH408" s="268"/>
      <c r="OVI408" s="268"/>
      <c r="OVJ408" s="268"/>
      <c r="OVK408" s="268"/>
      <c r="OVL408" s="268"/>
      <c r="OVM408" s="268"/>
      <c r="OVN408" s="268"/>
      <c r="OVO408" s="268"/>
      <c r="OVP408" s="268"/>
      <c r="OVQ408" s="268"/>
      <c r="OVR408" s="268"/>
      <c r="OVS408" s="268"/>
      <c r="OVT408" s="268"/>
      <c r="OVU408" s="268"/>
      <c r="OVV408" s="268"/>
      <c r="OVW408" s="268"/>
      <c r="OVX408" s="268"/>
      <c r="OVY408" s="268"/>
      <c r="OVZ408" s="268"/>
      <c r="OWA408" s="268"/>
      <c r="OWB408" s="268"/>
      <c r="OWC408" s="268"/>
      <c r="OWD408" s="268"/>
      <c r="OWE408" s="268"/>
      <c r="OWS408" s="268"/>
      <c r="OWT408" s="268"/>
      <c r="OWU408" s="268"/>
      <c r="OXI408" s="268"/>
      <c r="OXK408" s="268"/>
      <c r="OXL408" s="268"/>
      <c r="OXM408" s="268"/>
      <c r="OXN408" s="268"/>
      <c r="OXO408" s="268"/>
      <c r="OXP408" s="268"/>
      <c r="OXQ408" s="268"/>
      <c r="OXR408" s="268"/>
      <c r="OXS408" s="268"/>
      <c r="OXT408" s="268"/>
      <c r="OXU408" s="268"/>
      <c r="OXV408" s="268"/>
      <c r="OXW408" s="268"/>
      <c r="OXX408" s="268"/>
      <c r="OXY408" s="268"/>
      <c r="OXZ408" s="268"/>
      <c r="OYA408" s="268"/>
      <c r="OYB408" s="268"/>
      <c r="OYC408" s="268"/>
      <c r="OYD408" s="268"/>
      <c r="OYE408" s="268"/>
      <c r="OYF408" s="268"/>
      <c r="OYG408" s="268"/>
      <c r="OYH408" s="268"/>
      <c r="OYI408" s="268"/>
      <c r="OYJ408" s="268"/>
      <c r="OYK408" s="268"/>
      <c r="OYL408" s="268"/>
      <c r="OYM408" s="268"/>
      <c r="OYN408" s="268"/>
      <c r="OYO408" s="268"/>
      <c r="OYP408" s="268"/>
      <c r="OYQ408" s="268"/>
      <c r="OYR408" s="268"/>
      <c r="OYS408" s="268"/>
      <c r="OYT408" s="268"/>
      <c r="OYU408" s="268"/>
      <c r="OYV408" s="268"/>
      <c r="OYW408" s="268"/>
      <c r="OYX408" s="268"/>
      <c r="OYY408" s="268"/>
      <c r="OYZ408" s="268"/>
      <c r="OZA408" s="268"/>
      <c r="OZB408" s="268"/>
      <c r="OZC408" s="268"/>
      <c r="OZD408" s="268"/>
      <c r="OZE408" s="268"/>
      <c r="OZF408" s="268"/>
      <c r="OZG408" s="268"/>
      <c r="OZH408" s="268"/>
      <c r="OZI408" s="268"/>
      <c r="OZJ408" s="268"/>
      <c r="OZK408" s="268"/>
      <c r="OZL408" s="268"/>
      <c r="OZM408" s="268"/>
      <c r="OZN408" s="268"/>
      <c r="OZO408" s="268"/>
      <c r="OZP408" s="268"/>
      <c r="OZQ408" s="268"/>
      <c r="OZR408" s="268"/>
      <c r="OZS408" s="268"/>
      <c r="OZT408" s="268"/>
      <c r="OZU408" s="268"/>
      <c r="OZV408" s="268"/>
      <c r="OZW408" s="268"/>
      <c r="OZX408" s="268"/>
      <c r="OZY408" s="268"/>
      <c r="OZZ408" s="268"/>
      <c r="PAA408" s="268"/>
      <c r="PAB408" s="268"/>
      <c r="PAC408" s="268"/>
      <c r="PAD408" s="268"/>
      <c r="PAE408" s="268"/>
      <c r="PAF408" s="268"/>
      <c r="PAG408" s="268"/>
      <c r="PAH408" s="268"/>
      <c r="PAI408" s="268"/>
      <c r="PAJ408" s="268"/>
      <c r="PAK408" s="268"/>
      <c r="PAL408" s="268"/>
      <c r="PAM408" s="268"/>
      <c r="PAN408" s="268"/>
      <c r="PAO408" s="268"/>
      <c r="PAP408" s="268"/>
      <c r="PAQ408" s="268"/>
      <c r="PAR408" s="268"/>
      <c r="PAS408" s="268"/>
      <c r="PAT408" s="268"/>
      <c r="PAU408" s="268"/>
      <c r="PAV408" s="268"/>
      <c r="PAW408" s="268"/>
      <c r="PAX408" s="268"/>
      <c r="PAY408" s="268"/>
      <c r="PAZ408" s="268"/>
      <c r="PBA408" s="268"/>
      <c r="PBB408" s="268"/>
      <c r="PBC408" s="268"/>
      <c r="PBD408" s="268"/>
      <c r="PBE408" s="268"/>
      <c r="PBF408" s="268"/>
      <c r="PBG408" s="268"/>
      <c r="PBH408" s="268"/>
      <c r="PBI408" s="268"/>
      <c r="PBJ408" s="268"/>
      <c r="PBK408" s="268"/>
      <c r="PBL408" s="268"/>
      <c r="PBM408" s="268"/>
      <c r="PBN408" s="268"/>
      <c r="PBO408" s="268"/>
      <c r="PBP408" s="268"/>
      <c r="PBQ408" s="268"/>
      <c r="PBR408" s="268"/>
      <c r="PBS408" s="268"/>
      <c r="PBT408" s="268"/>
      <c r="PBU408" s="268"/>
      <c r="PBV408" s="268"/>
      <c r="PBW408" s="268"/>
      <c r="PBX408" s="268"/>
      <c r="PBY408" s="268"/>
      <c r="PBZ408" s="268"/>
      <c r="PCA408" s="268"/>
      <c r="PCB408" s="268"/>
      <c r="PCC408" s="268"/>
      <c r="PCD408" s="268"/>
      <c r="PCE408" s="268"/>
      <c r="PCF408" s="268"/>
      <c r="PCG408" s="268"/>
      <c r="PCH408" s="268"/>
      <c r="PCI408" s="268"/>
      <c r="PCJ408" s="268"/>
      <c r="PCK408" s="268"/>
      <c r="PCL408" s="268"/>
      <c r="PCM408" s="268"/>
      <c r="PCN408" s="268"/>
      <c r="PCO408" s="268"/>
      <c r="PCP408" s="268"/>
      <c r="PCQ408" s="268"/>
      <c r="PCR408" s="268"/>
      <c r="PCS408" s="268"/>
      <c r="PCT408" s="268"/>
      <c r="PCU408" s="268"/>
      <c r="PCV408" s="268"/>
      <c r="PCW408" s="268"/>
      <c r="PCX408" s="268"/>
      <c r="PCY408" s="268"/>
      <c r="PCZ408" s="268"/>
      <c r="PDA408" s="268"/>
      <c r="PDB408" s="268"/>
      <c r="PDC408" s="268"/>
      <c r="PDD408" s="268"/>
      <c r="PDE408" s="268"/>
      <c r="PDF408" s="268"/>
      <c r="PDG408" s="268"/>
      <c r="PDH408" s="268"/>
      <c r="PDI408" s="268"/>
      <c r="PDJ408" s="268"/>
      <c r="PDK408" s="268"/>
      <c r="PDL408" s="268"/>
      <c r="PDM408" s="268"/>
      <c r="PDN408" s="268"/>
      <c r="PDO408" s="268"/>
      <c r="PDP408" s="268"/>
      <c r="PDQ408" s="268"/>
      <c r="PDR408" s="268"/>
      <c r="PDS408" s="268"/>
      <c r="PDT408" s="268"/>
      <c r="PDU408" s="268"/>
      <c r="PDV408" s="268"/>
      <c r="PDW408" s="268"/>
      <c r="PDX408" s="268"/>
      <c r="PDY408" s="268"/>
      <c r="PDZ408" s="268"/>
      <c r="PEA408" s="268"/>
      <c r="PEB408" s="268"/>
      <c r="PEC408" s="268"/>
      <c r="PED408" s="268"/>
      <c r="PEE408" s="268"/>
      <c r="PEF408" s="268"/>
      <c r="PEG408" s="268"/>
      <c r="PEH408" s="268"/>
      <c r="PEI408" s="268"/>
      <c r="PEJ408" s="268"/>
      <c r="PEK408" s="268"/>
      <c r="PEL408" s="268"/>
      <c r="PEM408" s="268"/>
      <c r="PEN408" s="268"/>
      <c r="PEO408" s="268"/>
      <c r="PEP408" s="268"/>
      <c r="PEQ408" s="268"/>
      <c r="PER408" s="268"/>
      <c r="PES408" s="268"/>
      <c r="PET408" s="268"/>
      <c r="PEU408" s="268"/>
      <c r="PEV408" s="268"/>
      <c r="PEW408" s="268"/>
      <c r="PEX408" s="268"/>
      <c r="PEY408" s="268"/>
      <c r="PEZ408" s="268"/>
      <c r="PFA408" s="268"/>
      <c r="PFB408" s="268"/>
      <c r="PFC408" s="268"/>
      <c r="PFD408" s="268"/>
      <c r="PFE408" s="268"/>
      <c r="PFF408" s="268"/>
      <c r="PFG408" s="268"/>
      <c r="PFH408" s="268"/>
      <c r="PFI408" s="268"/>
      <c r="PFJ408" s="268"/>
      <c r="PFK408" s="268"/>
      <c r="PFL408" s="268"/>
      <c r="PFM408" s="268"/>
      <c r="PFN408" s="268"/>
      <c r="PFO408" s="268"/>
      <c r="PFP408" s="268"/>
      <c r="PFQ408" s="268"/>
      <c r="PFR408" s="268"/>
      <c r="PFS408" s="268"/>
      <c r="PFT408" s="268"/>
      <c r="PFU408" s="268"/>
      <c r="PFV408" s="268"/>
      <c r="PFW408" s="268"/>
      <c r="PFX408" s="268"/>
      <c r="PFY408" s="268"/>
      <c r="PFZ408" s="268"/>
      <c r="PGA408" s="268"/>
      <c r="PGO408" s="268"/>
      <c r="PGP408" s="268"/>
      <c r="PGQ408" s="268"/>
      <c r="PHE408" s="268"/>
      <c r="PHG408" s="268"/>
      <c r="PHH408" s="268"/>
      <c r="PHI408" s="268"/>
      <c r="PHJ408" s="268"/>
      <c r="PHK408" s="268"/>
      <c r="PHL408" s="268"/>
      <c r="PHM408" s="268"/>
      <c r="PHN408" s="268"/>
      <c r="PHO408" s="268"/>
      <c r="PHP408" s="268"/>
      <c r="PHQ408" s="268"/>
      <c r="PHR408" s="268"/>
      <c r="PHS408" s="268"/>
      <c r="PHT408" s="268"/>
      <c r="PHU408" s="268"/>
      <c r="PHV408" s="268"/>
      <c r="PHW408" s="268"/>
      <c r="PHX408" s="268"/>
      <c r="PHY408" s="268"/>
      <c r="PHZ408" s="268"/>
      <c r="PIA408" s="268"/>
      <c r="PIB408" s="268"/>
      <c r="PIC408" s="268"/>
      <c r="PID408" s="268"/>
      <c r="PIE408" s="268"/>
      <c r="PIF408" s="268"/>
      <c r="PIG408" s="268"/>
      <c r="PIH408" s="268"/>
      <c r="PII408" s="268"/>
      <c r="PIJ408" s="268"/>
      <c r="PIK408" s="268"/>
      <c r="PIL408" s="268"/>
      <c r="PIM408" s="268"/>
      <c r="PIN408" s="268"/>
      <c r="PIO408" s="268"/>
      <c r="PIP408" s="268"/>
      <c r="PIQ408" s="268"/>
      <c r="PIR408" s="268"/>
      <c r="PIS408" s="268"/>
      <c r="PIT408" s="268"/>
      <c r="PIU408" s="268"/>
      <c r="PIV408" s="268"/>
      <c r="PIW408" s="268"/>
      <c r="PIX408" s="268"/>
      <c r="PIY408" s="268"/>
      <c r="PIZ408" s="268"/>
      <c r="PJA408" s="268"/>
      <c r="PJB408" s="268"/>
      <c r="PJC408" s="268"/>
      <c r="PJD408" s="268"/>
      <c r="PJE408" s="268"/>
      <c r="PJF408" s="268"/>
      <c r="PJG408" s="268"/>
      <c r="PJH408" s="268"/>
      <c r="PJI408" s="268"/>
      <c r="PJJ408" s="268"/>
      <c r="PJK408" s="268"/>
      <c r="PJL408" s="268"/>
      <c r="PJM408" s="268"/>
      <c r="PJN408" s="268"/>
      <c r="PJO408" s="268"/>
      <c r="PJP408" s="268"/>
      <c r="PJQ408" s="268"/>
      <c r="PJR408" s="268"/>
      <c r="PJS408" s="268"/>
      <c r="PJT408" s="268"/>
      <c r="PJU408" s="268"/>
      <c r="PJV408" s="268"/>
      <c r="PJW408" s="268"/>
      <c r="PJX408" s="268"/>
      <c r="PJY408" s="268"/>
      <c r="PJZ408" s="268"/>
      <c r="PKA408" s="268"/>
      <c r="PKB408" s="268"/>
      <c r="PKC408" s="268"/>
      <c r="PKD408" s="268"/>
      <c r="PKE408" s="268"/>
      <c r="PKF408" s="268"/>
      <c r="PKG408" s="268"/>
      <c r="PKH408" s="268"/>
      <c r="PKI408" s="268"/>
      <c r="PKJ408" s="268"/>
      <c r="PKK408" s="268"/>
      <c r="PKL408" s="268"/>
      <c r="PKM408" s="268"/>
      <c r="PKN408" s="268"/>
      <c r="PKO408" s="268"/>
      <c r="PKP408" s="268"/>
      <c r="PKQ408" s="268"/>
      <c r="PKR408" s="268"/>
      <c r="PKS408" s="268"/>
      <c r="PKT408" s="268"/>
      <c r="PKU408" s="268"/>
      <c r="PKV408" s="268"/>
      <c r="PKW408" s="268"/>
      <c r="PKX408" s="268"/>
      <c r="PKY408" s="268"/>
      <c r="PKZ408" s="268"/>
      <c r="PLA408" s="268"/>
      <c r="PLB408" s="268"/>
      <c r="PLC408" s="268"/>
      <c r="PLD408" s="268"/>
      <c r="PLE408" s="268"/>
      <c r="PLF408" s="268"/>
      <c r="PLG408" s="268"/>
      <c r="PLH408" s="268"/>
      <c r="PLI408" s="268"/>
      <c r="PLJ408" s="268"/>
      <c r="PLK408" s="268"/>
      <c r="PLL408" s="268"/>
      <c r="PLM408" s="268"/>
      <c r="PLN408" s="268"/>
      <c r="PLO408" s="268"/>
      <c r="PLP408" s="268"/>
      <c r="PLQ408" s="268"/>
      <c r="PLR408" s="268"/>
      <c r="PLS408" s="268"/>
      <c r="PLT408" s="268"/>
      <c r="PLU408" s="268"/>
      <c r="PLV408" s="268"/>
      <c r="PLW408" s="268"/>
      <c r="PLX408" s="268"/>
      <c r="PLY408" s="268"/>
      <c r="PLZ408" s="268"/>
      <c r="PMA408" s="268"/>
      <c r="PMB408" s="268"/>
      <c r="PMC408" s="268"/>
      <c r="PMD408" s="268"/>
      <c r="PME408" s="268"/>
      <c r="PMF408" s="268"/>
      <c r="PMG408" s="268"/>
      <c r="PMH408" s="268"/>
      <c r="PMI408" s="268"/>
      <c r="PMJ408" s="268"/>
      <c r="PMK408" s="268"/>
      <c r="PML408" s="268"/>
      <c r="PMM408" s="268"/>
      <c r="PMN408" s="268"/>
      <c r="PMO408" s="268"/>
      <c r="PMP408" s="268"/>
      <c r="PMQ408" s="268"/>
      <c r="PMR408" s="268"/>
      <c r="PMS408" s="268"/>
      <c r="PMT408" s="268"/>
      <c r="PMU408" s="268"/>
      <c r="PMV408" s="268"/>
      <c r="PMW408" s="268"/>
      <c r="PMX408" s="268"/>
      <c r="PMY408" s="268"/>
      <c r="PMZ408" s="268"/>
      <c r="PNA408" s="268"/>
      <c r="PNB408" s="268"/>
      <c r="PNC408" s="268"/>
      <c r="PND408" s="268"/>
      <c r="PNE408" s="268"/>
      <c r="PNF408" s="268"/>
      <c r="PNG408" s="268"/>
      <c r="PNH408" s="268"/>
      <c r="PNI408" s="268"/>
      <c r="PNJ408" s="268"/>
      <c r="PNK408" s="268"/>
      <c r="PNL408" s="268"/>
      <c r="PNM408" s="268"/>
      <c r="PNN408" s="268"/>
      <c r="PNO408" s="268"/>
      <c r="PNP408" s="268"/>
      <c r="PNQ408" s="268"/>
      <c r="PNR408" s="268"/>
      <c r="PNS408" s="268"/>
      <c r="PNT408" s="268"/>
      <c r="PNU408" s="268"/>
      <c r="PNV408" s="268"/>
      <c r="PNW408" s="268"/>
      <c r="PNX408" s="268"/>
      <c r="PNY408" s="268"/>
      <c r="PNZ408" s="268"/>
      <c r="POA408" s="268"/>
      <c r="POB408" s="268"/>
      <c r="POC408" s="268"/>
      <c r="POD408" s="268"/>
      <c r="POE408" s="268"/>
      <c r="POF408" s="268"/>
      <c r="POG408" s="268"/>
      <c r="POH408" s="268"/>
      <c r="POI408" s="268"/>
      <c r="POJ408" s="268"/>
      <c r="POK408" s="268"/>
      <c r="POL408" s="268"/>
      <c r="POM408" s="268"/>
      <c r="PON408" s="268"/>
      <c r="POO408" s="268"/>
      <c r="POP408" s="268"/>
      <c r="POQ408" s="268"/>
      <c r="POR408" s="268"/>
      <c r="POS408" s="268"/>
      <c r="POT408" s="268"/>
      <c r="POU408" s="268"/>
      <c r="POV408" s="268"/>
      <c r="POW408" s="268"/>
      <c r="POX408" s="268"/>
      <c r="POY408" s="268"/>
      <c r="POZ408" s="268"/>
      <c r="PPA408" s="268"/>
      <c r="PPB408" s="268"/>
      <c r="PPC408" s="268"/>
      <c r="PPD408" s="268"/>
      <c r="PPE408" s="268"/>
      <c r="PPF408" s="268"/>
      <c r="PPG408" s="268"/>
      <c r="PPH408" s="268"/>
      <c r="PPI408" s="268"/>
      <c r="PPJ408" s="268"/>
      <c r="PPK408" s="268"/>
      <c r="PPL408" s="268"/>
      <c r="PPM408" s="268"/>
      <c r="PPN408" s="268"/>
      <c r="PPO408" s="268"/>
      <c r="PPP408" s="268"/>
      <c r="PPQ408" s="268"/>
      <c r="PPR408" s="268"/>
      <c r="PPS408" s="268"/>
      <c r="PPT408" s="268"/>
      <c r="PPU408" s="268"/>
      <c r="PPV408" s="268"/>
      <c r="PPW408" s="268"/>
      <c r="PQK408" s="268"/>
      <c r="PQL408" s="268"/>
      <c r="PQM408" s="268"/>
      <c r="PRA408" s="268"/>
      <c r="PRC408" s="268"/>
      <c r="PRD408" s="268"/>
      <c r="PRE408" s="268"/>
      <c r="PRF408" s="268"/>
      <c r="PRG408" s="268"/>
      <c r="PRH408" s="268"/>
      <c r="PRI408" s="268"/>
      <c r="PRJ408" s="268"/>
      <c r="PRK408" s="268"/>
      <c r="PRL408" s="268"/>
      <c r="PRM408" s="268"/>
      <c r="PRN408" s="268"/>
      <c r="PRO408" s="268"/>
      <c r="PRP408" s="268"/>
      <c r="PRQ408" s="268"/>
      <c r="PRR408" s="268"/>
      <c r="PRS408" s="268"/>
      <c r="PRT408" s="268"/>
      <c r="PRU408" s="268"/>
      <c r="PRV408" s="268"/>
      <c r="PRW408" s="268"/>
      <c r="PRX408" s="268"/>
      <c r="PRY408" s="268"/>
      <c r="PRZ408" s="268"/>
      <c r="PSA408" s="268"/>
      <c r="PSB408" s="268"/>
      <c r="PSC408" s="268"/>
      <c r="PSD408" s="268"/>
      <c r="PSE408" s="268"/>
      <c r="PSF408" s="268"/>
      <c r="PSG408" s="268"/>
      <c r="PSH408" s="268"/>
      <c r="PSI408" s="268"/>
      <c r="PSJ408" s="268"/>
      <c r="PSK408" s="268"/>
      <c r="PSL408" s="268"/>
      <c r="PSM408" s="268"/>
      <c r="PSN408" s="268"/>
      <c r="PSO408" s="268"/>
      <c r="PSP408" s="268"/>
      <c r="PSQ408" s="268"/>
      <c r="PSR408" s="268"/>
      <c r="PSS408" s="268"/>
      <c r="PST408" s="268"/>
      <c r="PSU408" s="268"/>
      <c r="PSV408" s="268"/>
      <c r="PSW408" s="268"/>
      <c r="PSX408" s="268"/>
      <c r="PSY408" s="268"/>
      <c r="PSZ408" s="268"/>
      <c r="PTA408" s="268"/>
      <c r="PTB408" s="268"/>
      <c r="PTC408" s="268"/>
      <c r="PTD408" s="268"/>
      <c r="PTE408" s="268"/>
      <c r="PTF408" s="268"/>
      <c r="PTG408" s="268"/>
      <c r="PTH408" s="268"/>
      <c r="PTI408" s="268"/>
      <c r="PTJ408" s="268"/>
      <c r="PTK408" s="268"/>
      <c r="PTL408" s="268"/>
      <c r="PTM408" s="268"/>
      <c r="PTN408" s="268"/>
      <c r="PTO408" s="268"/>
      <c r="PTP408" s="268"/>
      <c r="PTQ408" s="268"/>
      <c r="PTR408" s="268"/>
      <c r="PTS408" s="268"/>
      <c r="PTT408" s="268"/>
      <c r="PTU408" s="268"/>
      <c r="PTV408" s="268"/>
      <c r="PTW408" s="268"/>
      <c r="PTX408" s="268"/>
      <c r="PTY408" s="268"/>
      <c r="PTZ408" s="268"/>
      <c r="PUA408" s="268"/>
      <c r="PUB408" s="268"/>
      <c r="PUC408" s="268"/>
      <c r="PUD408" s="268"/>
      <c r="PUE408" s="268"/>
      <c r="PUF408" s="268"/>
      <c r="PUG408" s="268"/>
      <c r="PUH408" s="268"/>
      <c r="PUI408" s="268"/>
      <c r="PUJ408" s="268"/>
      <c r="PUK408" s="268"/>
      <c r="PUL408" s="268"/>
      <c r="PUM408" s="268"/>
      <c r="PUN408" s="268"/>
      <c r="PUO408" s="268"/>
      <c r="PUP408" s="268"/>
      <c r="PUQ408" s="268"/>
      <c r="PUR408" s="268"/>
      <c r="PUS408" s="268"/>
      <c r="PUT408" s="268"/>
      <c r="PUU408" s="268"/>
      <c r="PUV408" s="268"/>
      <c r="PUW408" s="268"/>
      <c r="PUX408" s="268"/>
      <c r="PUY408" s="268"/>
      <c r="PUZ408" s="268"/>
      <c r="PVA408" s="268"/>
      <c r="PVB408" s="268"/>
      <c r="PVC408" s="268"/>
      <c r="PVD408" s="268"/>
      <c r="PVE408" s="268"/>
      <c r="PVF408" s="268"/>
      <c r="PVG408" s="268"/>
      <c r="PVH408" s="268"/>
      <c r="PVI408" s="268"/>
      <c r="PVJ408" s="268"/>
      <c r="PVK408" s="268"/>
      <c r="PVL408" s="268"/>
      <c r="PVM408" s="268"/>
      <c r="PVN408" s="268"/>
      <c r="PVO408" s="268"/>
      <c r="PVP408" s="268"/>
      <c r="PVQ408" s="268"/>
      <c r="PVR408" s="268"/>
      <c r="PVS408" s="268"/>
      <c r="PVT408" s="268"/>
      <c r="PVU408" s="268"/>
      <c r="PVV408" s="268"/>
      <c r="PVW408" s="268"/>
      <c r="PVX408" s="268"/>
      <c r="PVY408" s="268"/>
      <c r="PVZ408" s="268"/>
      <c r="PWA408" s="268"/>
      <c r="PWB408" s="268"/>
      <c r="PWC408" s="268"/>
      <c r="PWD408" s="268"/>
      <c r="PWE408" s="268"/>
      <c r="PWF408" s="268"/>
      <c r="PWG408" s="268"/>
      <c r="PWH408" s="268"/>
      <c r="PWI408" s="268"/>
      <c r="PWJ408" s="268"/>
      <c r="PWK408" s="268"/>
      <c r="PWL408" s="268"/>
      <c r="PWM408" s="268"/>
      <c r="PWN408" s="268"/>
      <c r="PWO408" s="268"/>
      <c r="PWP408" s="268"/>
      <c r="PWQ408" s="268"/>
      <c r="PWR408" s="268"/>
      <c r="PWS408" s="268"/>
      <c r="PWT408" s="268"/>
      <c r="PWU408" s="268"/>
      <c r="PWV408" s="268"/>
      <c r="PWW408" s="268"/>
      <c r="PWX408" s="268"/>
      <c r="PWY408" s="268"/>
      <c r="PWZ408" s="268"/>
      <c r="PXA408" s="268"/>
      <c r="PXB408" s="268"/>
      <c r="PXC408" s="268"/>
      <c r="PXD408" s="268"/>
      <c r="PXE408" s="268"/>
      <c r="PXF408" s="268"/>
      <c r="PXG408" s="268"/>
      <c r="PXH408" s="268"/>
      <c r="PXI408" s="268"/>
      <c r="PXJ408" s="268"/>
      <c r="PXK408" s="268"/>
      <c r="PXL408" s="268"/>
      <c r="PXM408" s="268"/>
      <c r="PXN408" s="268"/>
      <c r="PXO408" s="268"/>
      <c r="PXP408" s="268"/>
      <c r="PXQ408" s="268"/>
      <c r="PXR408" s="268"/>
      <c r="PXS408" s="268"/>
      <c r="PXT408" s="268"/>
      <c r="PXU408" s="268"/>
      <c r="PXV408" s="268"/>
      <c r="PXW408" s="268"/>
      <c r="PXX408" s="268"/>
      <c r="PXY408" s="268"/>
      <c r="PXZ408" s="268"/>
      <c r="PYA408" s="268"/>
      <c r="PYB408" s="268"/>
      <c r="PYC408" s="268"/>
      <c r="PYD408" s="268"/>
      <c r="PYE408" s="268"/>
      <c r="PYF408" s="268"/>
      <c r="PYG408" s="268"/>
      <c r="PYH408" s="268"/>
      <c r="PYI408" s="268"/>
      <c r="PYJ408" s="268"/>
      <c r="PYK408" s="268"/>
      <c r="PYL408" s="268"/>
      <c r="PYM408" s="268"/>
      <c r="PYN408" s="268"/>
      <c r="PYO408" s="268"/>
      <c r="PYP408" s="268"/>
      <c r="PYQ408" s="268"/>
      <c r="PYR408" s="268"/>
      <c r="PYS408" s="268"/>
      <c r="PYT408" s="268"/>
      <c r="PYU408" s="268"/>
      <c r="PYV408" s="268"/>
      <c r="PYW408" s="268"/>
      <c r="PYX408" s="268"/>
      <c r="PYY408" s="268"/>
      <c r="PYZ408" s="268"/>
      <c r="PZA408" s="268"/>
      <c r="PZB408" s="268"/>
      <c r="PZC408" s="268"/>
      <c r="PZD408" s="268"/>
      <c r="PZE408" s="268"/>
      <c r="PZF408" s="268"/>
      <c r="PZG408" s="268"/>
      <c r="PZH408" s="268"/>
      <c r="PZI408" s="268"/>
      <c r="PZJ408" s="268"/>
      <c r="PZK408" s="268"/>
      <c r="PZL408" s="268"/>
      <c r="PZM408" s="268"/>
      <c r="PZN408" s="268"/>
      <c r="PZO408" s="268"/>
      <c r="PZP408" s="268"/>
      <c r="PZQ408" s="268"/>
      <c r="PZR408" s="268"/>
      <c r="PZS408" s="268"/>
      <c r="QAG408" s="268"/>
      <c r="QAH408" s="268"/>
      <c r="QAI408" s="268"/>
      <c r="QAW408" s="268"/>
      <c r="QAY408" s="268"/>
      <c r="QAZ408" s="268"/>
      <c r="QBA408" s="268"/>
      <c r="QBB408" s="268"/>
      <c r="QBC408" s="268"/>
      <c r="QBD408" s="268"/>
      <c r="QBE408" s="268"/>
      <c r="QBF408" s="268"/>
      <c r="QBG408" s="268"/>
      <c r="QBH408" s="268"/>
      <c r="QBI408" s="268"/>
      <c r="QBJ408" s="268"/>
      <c r="QBK408" s="268"/>
      <c r="QBL408" s="268"/>
      <c r="QBM408" s="268"/>
      <c r="QBN408" s="268"/>
      <c r="QBO408" s="268"/>
      <c r="QBP408" s="268"/>
      <c r="QBQ408" s="268"/>
      <c r="QBR408" s="268"/>
      <c r="QBS408" s="268"/>
      <c r="QBT408" s="268"/>
      <c r="QBU408" s="268"/>
      <c r="QBV408" s="268"/>
      <c r="QBW408" s="268"/>
      <c r="QBX408" s="268"/>
      <c r="QBY408" s="268"/>
      <c r="QBZ408" s="268"/>
      <c r="QCA408" s="268"/>
      <c r="QCB408" s="268"/>
      <c r="QCC408" s="268"/>
      <c r="QCD408" s="268"/>
      <c r="QCE408" s="268"/>
      <c r="QCF408" s="268"/>
      <c r="QCG408" s="268"/>
      <c r="QCH408" s="268"/>
      <c r="QCI408" s="268"/>
      <c r="QCJ408" s="268"/>
      <c r="QCK408" s="268"/>
      <c r="QCL408" s="268"/>
      <c r="QCM408" s="268"/>
      <c r="QCN408" s="268"/>
      <c r="QCO408" s="268"/>
      <c r="QCP408" s="268"/>
      <c r="QCQ408" s="268"/>
      <c r="QCR408" s="268"/>
      <c r="QCS408" s="268"/>
      <c r="QCT408" s="268"/>
      <c r="QCU408" s="268"/>
      <c r="QCV408" s="268"/>
      <c r="QCW408" s="268"/>
      <c r="QCX408" s="268"/>
      <c r="QCY408" s="268"/>
      <c r="QCZ408" s="268"/>
      <c r="QDA408" s="268"/>
      <c r="QDB408" s="268"/>
      <c r="QDC408" s="268"/>
      <c r="QDD408" s="268"/>
      <c r="QDE408" s="268"/>
      <c r="QDF408" s="268"/>
      <c r="QDG408" s="268"/>
      <c r="QDH408" s="268"/>
      <c r="QDI408" s="268"/>
      <c r="QDJ408" s="268"/>
      <c r="QDK408" s="268"/>
      <c r="QDL408" s="268"/>
      <c r="QDM408" s="268"/>
      <c r="QDN408" s="268"/>
      <c r="QDO408" s="268"/>
      <c r="QDP408" s="268"/>
      <c r="QDQ408" s="268"/>
      <c r="QDR408" s="268"/>
      <c r="QDS408" s="268"/>
      <c r="QDT408" s="268"/>
      <c r="QDU408" s="268"/>
      <c r="QDV408" s="268"/>
      <c r="QDW408" s="268"/>
      <c r="QDX408" s="268"/>
      <c r="QDY408" s="268"/>
      <c r="QDZ408" s="268"/>
      <c r="QEA408" s="268"/>
      <c r="QEB408" s="268"/>
      <c r="QEC408" s="268"/>
      <c r="QED408" s="268"/>
      <c r="QEE408" s="268"/>
      <c r="QEF408" s="268"/>
      <c r="QEG408" s="268"/>
      <c r="QEH408" s="268"/>
      <c r="QEI408" s="268"/>
      <c r="QEJ408" s="268"/>
      <c r="QEK408" s="268"/>
      <c r="QEL408" s="268"/>
      <c r="QEM408" s="268"/>
      <c r="QEN408" s="268"/>
      <c r="QEO408" s="268"/>
      <c r="QEP408" s="268"/>
      <c r="QEQ408" s="268"/>
      <c r="QER408" s="268"/>
      <c r="QES408" s="268"/>
      <c r="QET408" s="268"/>
      <c r="QEU408" s="268"/>
      <c r="QEV408" s="268"/>
      <c r="QEW408" s="268"/>
      <c r="QEX408" s="268"/>
      <c r="QEY408" s="268"/>
      <c r="QEZ408" s="268"/>
      <c r="QFA408" s="268"/>
      <c r="QFB408" s="268"/>
      <c r="QFC408" s="268"/>
      <c r="QFD408" s="268"/>
      <c r="QFE408" s="268"/>
      <c r="QFF408" s="268"/>
      <c r="QFG408" s="268"/>
      <c r="QFH408" s="268"/>
      <c r="QFI408" s="268"/>
      <c r="QFJ408" s="268"/>
      <c r="QFK408" s="268"/>
      <c r="QFL408" s="268"/>
      <c r="QFM408" s="268"/>
      <c r="QFN408" s="268"/>
      <c r="QFO408" s="268"/>
      <c r="QFP408" s="268"/>
      <c r="QFQ408" s="268"/>
      <c r="QFR408" s="268"/>
      <c r="QFS408" s="268"/>
      <c r="QFT408" s="268"/>
      <c r="QFU408" s="268"/>
      <c r="QFV408" s="268"/>
      <c r="QFW408" s="268"/>
      <c r="QFX408" s="268"/>
      <c r="QFY408" s="268"/>
      <c r="QFZ408" s="268"/>
      <c r="QGA408" s="268"/>
      <c r="QGB408" s="268"/>
      <c r="QGC408" s="268"/>
      <c r="QGD408" s="268"/>
      <c r="QGE408" s="268"/>
      <c r="QGF408" s="268"/>
      <c r="QGG408" s="268"/>
      <c r="QGH408" s="268"/>
      <c r="QGI408" s="268"/>
      <c r="QGJ408" s="268"/>
      <c r="QGK408" s="268"/>
      <c r="QGL408" s="268"/>
      <c r="QGM408" s="268"/>
      <c r="QGN408" s="268"/>
      <c r="QGO408" s="268"/>
      <c r="QGP408" s="268"/>
      <c r="QGQ408" s="268"/>
      <c r="QGR408" s="268"/>
      <c r="QGS408" s="268"/>
      <c r="QGT408" s="268"/>
      <c r="QGU408" s="268"/>
      <c r="QGV408" s="268"/>
      <c r="QGW408" s="268"/>
      <c r="QGX408" s="268"/>
      <c r="QGY408" s="268"/>
      <c r="QGZ408" s="268"/>
      <c r="QHA408" s="268"/>
      <c r="QHB408" s="268"/>
      <c r="QHC408" s="268"/>
      <c r="QHD408" s="268"/>
      <c r="QHE408" s="268"/>
      <c r="QHF408" s="268"/>
      <c r="QHG408" s="268"/>
      <c r="QHH408" s="268"/>
      <c r="QHI408" s="268"/>
      <c r="QHJ408" s="268"/>
      <c r="QHK408" s="268"/>
      <c r="QHL408" s="268"/>
      <c r="QHM408" s="268"/>
      <c r="QHN408" s="268"/>
      <c r="QHO408" s="268"/>
      <c r="QHP408" s="268"/>
      <c r="QHQ408" s="268"/>
      <c r="QHR408" s="268"/>
      <c r="QHS408" s="268"/>
      <c r="QHT408" s="268"/>
      <c r="QHU408" s="268"/>
      <c r="QHV408" s="268"/>
      <c r="QHW408" s="268"/>
      <c r="QHX408" s="268"/>
      <c r="QHY408" s="268"/>
      <c r="QHZ408" s="268"/>
      <c r="QIA408" s="268"/>
      <c r="QIB408" s="268"/>
      <c r="QIC408" s="268"/>
      <c r="QID408" s="268"/>
      <c r="QIE408" s="268"/>
      <c r="QIF408" s="268"/>
      <c r="QIG408" s="268"/>
      <c r="QIH408" s="268"/>
      <c r="QII408" s="268"/>
      <c r="QIJ408" s="268"/>
      <c r="QIK408" s="268"/>
      <c r="QIL408" s="268"/>
      <c r="QIM408" s="268"/>
      <c r="QIN408" s="268"/>
      <c r="QIO408" s="268"/>
      <c r="QIP408" s="268"/>
      <c r="QIQ408" s="268"/>
      <c r="QIR408" s="268"/>
      <c r="QIS408" s="268"/>
      <c r="QIT408" s="268"/>
      <c r="QIU408" s="268"/>
      <c r="QIV408" s="268"/>
      <c r="QIW408" s="268"/>
      <c r="QIX408" s="268"/>
      <c r="QIY408" s="268"/>
      <c r="QIZ408" s="268"/>
      <c r="QJA408" s="268"/>
      <c r="QJB408" s="268"/>
      <c r="QJC408" s="268"/>
      <c r="QJD408" s="268"/>
      <c r="QJE408" s="268"/>
      <c r="QJF408" s="268"/>
      <c r="QJG408" s="268"/>
      <c r="QJH408" s="268"/>
      <c r="QJI408" s="268"/>
      <c r="QJJ408" s="268"/>
      <c r="QJK408" s="268"/>
      <c r="QJL408" s="268"/>
      <c r="QJM408" s="268"/>
      <c r="QJN408" s="268"/>
      <c r="QJO408" s="268"/>
      <c r="QKC408" s="268"/>
      <c r="QKD408" s="268"/>
      <c r="QKE408" s="268"/>
      <c r="QKS408" s="268"/>
      <c r="QKU408" s="268"/>
      <c r="QKV408" s="268"/>
      <c r="QKW408" s="268"/>
      <c r="QKX408" s="268"/>
      <c r="QKY408" s="268"/>
      <c r="QKZ408" s="268"/>
      <c r="QLA408" s="268"/>
      <c r="QLB408" s="268"/>
      <c r="QLC408" s="268"/>
      <c r="QLD408" s="268"/>
      <c r="QLE408" s="268"/>
      <c r="QLF408" s="268"/>
      <c r="QLG408" s="268"/>
      <c r="QLH408" s="268"/>
      <c r="QLI408" s="268"/>
      <c r="QLJ408" s="268"/>
      <c r="QLK408" s="268"/>
      <c r="QLL408" s="268"/>
      <c r="QLM408" s="268"/>
      <c r="QLN408" s="268"/>
      <c r="QLO408" s="268"/>
      <c r="QLP408" s="268"/>
      <c r="QLQ408" s="268"/>
      <c r="QLR408" s="268"/>
      <c r="QLS408" s="268"/>
      <c r="QLT408" s="268"/>
      <c r="QLU408" s="268"/>
      <c r="QLV408" s="268"/>
      <c r="QLW408" s="268"/>
      <c r="QLX408" s="268"/>
      <c r="QLY408" s="268"/>
      <c r="QLZ408" s="268"/>
      <c r="QMA408" s="268"/>
      <c r="QMB408" s="268"/>
      <c r="QMC408" s="268"/>
      <c r="QMD408" s="268"/>
      <c r="QME408" s="268"/>
      <c r="QMF408" s="268"/>
      <c r="QMG408" s="268"/>
      <c r="QMH408" s="268"/>
      <c r="QMI408" s="268"/>
      <c r="QMJ408" s="268"/>
      <c r="QMK408" s="268"/>
      <c r="QML408" s="268"/>
      <c r="QMM408" s="268"/>
      <c r="QMN408" s="268"/>
      <c r="QMO408" s="268"/>
      <c r="QMP408" s="268"/>
      <c r="QMQ408" s="268"/>
      <c r="QMR408" s="268"/>
      <c r="QMS408" s="268"/>
      <c r="QMT408" s="268"/>
      <c r="QMU408" s="268"/>
      <c r="QMV408" s="268"/>
      <c r="QMW408" s="268"/>
      <c r="QMX408" s="268"/>
      <c r="QMY408" s="268"/>
      <c r="QMZ408" s="268"/>
      <c r="QNA408" s="268"/>
      <c r="QNB408" s="268"/>
      <c r="QNC408" s="268"/>
      <c r="QND408" s="268"/>
      <c r="QNE408" s="268"/>
      <c r="QNF408" s="268"/>
      <c r="QNG408" s="268"/>
      <c r="QNH408" s="268"/>
      <c r="QNI408" s="268"/>
      <c r="QNJ408" s="268"/>
      <c r="QNK408" s="268"/>
      <c r="QNL408" s="268"/>
      <c r="QNM408" s="268"/>
      <c r="QNN408" s="268"/>
      <c r="QNO408" s="268"/>
      <c r="QNP408" s="268"/>
      <c r="QNQ408" s="268"/>
      <c r="QNR408" s="268"/>
      <c r="QNS408" s="268"/>
      <c r="QNT408" s="268"/>
      <c r="QNU408" s="268"/>
      <c r="QNV408" s="268"/>
      <c r="QNW408" s="268"/>
      <c r="QNX408" s="268"/>
      <c r="QNY408" s="268"/>
      <c r="QNZ408" s="268"/>
      <c r="QOA408" s="268"/>
      <c r="QOB408" s="268"/>
      <c r="QOC408" s="268"/>
      <c r="QOD408" s="268"/>
      <c r="QOE408" s="268"/>
      <c r="QOF408" s="268"/>
      <c r="QOG408" s="268"/>
      <c r="QOH408" s="268"/>
      <c r="QOI408" s="268"/>
      <c r="QOJ408" s="268"/>
      <c r="QOK408" s="268"/>
      <c r="QOL408" s="268"/>
      <c r="QOM408" s="268"/>
      <c r="QON408" s="268"/>
      <c r="QOO408" s="268"/>
      <c r="QOP408" s="268"/>
      <c r="QOQ408" s="268"/>
      <c r="QOR408" s="268"/>
      <c r="QOS408" s="268"/>
      <c r="QOT408" s="268"/>
      <c r="QOU408" s="268"/>
      <c r="QOV408" s="268"/>
      <c r="QOW408" s="268"/>
      <c r="QOX408" s="268"/>
      <c r="QOY408" s="268"/>
      <c r="QOZ408" s="268"/>
      <c r="QPA408" s="268"/>
      <c r="QPB408" s="268"/>
      <c r="QPC408" s="268"/>
      <c r="QPD408" s="268"/>
      <c r="QPE408" s="268"/>
      <c r="QPF408" s="268"/>
      <c r="QPG408" s="268"/>
      <c r="QPH408" s="268"/>
      <c r="QPI408" s="268"/>
      <c r="QPJ408" s="268"/>
      <c r="QPK408" s="268"/>
      <c r="QPL408" s="268"/>
      <c r="QPM408" s="268"/>
      <c r="QPN408" s="268"/>
      <c r="QPO408" s="268"/>
      <c r="QPP408" s="268"/>
      <c r="QPQ408" s="268"/>
      <c r="QPR408" s="268"/>
      <c r="QPS408" s="268"/>
      <c r="QPT408" s="268"/>
      <c r="QPU408" s="268"/>
      <c r="QPV408" s="268"/>
      <c r="QPW408" s="268"/>
      <c r="QPX408" s="268"/>
      <c r="QPY408" s="268"/>
      <c r="QPZ408" s="268"/>
      <c r="QQA408" s="268"/>
      <c r="QQB408" s="268"/>
      <c r="QQC408" s="268"/>
      <c r="QQD408" s="268"/>
      <c r="QQE408" s="268"/>
      <c r="QQF408" s="268"/>
      <c r="QQG408" s="268"/>
      <c r="QQH408" s="268"/>
      <c r="QQI408" s="268"/>
      <c r="QQJ408" s="268"/>
      <c r="QQK408" s="268"/>
      <c r="QQL408" s="268"/>
      <c r="QQM408" s="268"/>
      <c r="QQN408" s="268"/>
      <c r="QQO408" s="268"/>
      <c r="QQP408" s="268"/>
      <c r="QQQ408" s="268"/>
      <c r="QQR408" s="268"/>
      <c r="QQS408" s="268"/>
      <c r="QQT408" s="268"/>
      <c r="QQU408" s="268"/>
      <c r="QQV408" s="268"/>
      <c r="QQW408" s="268"/>
      <c r="QQX408" s="268"/>
      <c r="QQY408" s="268"/>
      <c r="QQZ408" s="268"/>
      <c r="QRA408" s="268"/>
      <c r="QRB408" s="268"/>
      <c r="QRC408" s="268"/>
      <c r="QRD408" s="268"/>
      <c r="QRE408" s="268"/>
      <c r="QRF408" s="268"/>
      <c r="QRG408" s="268"/>
      <c r="QRH408" s="268"/>
      <c r="QRI408" s="268"/>
      <c r="QRJ408" s="268"/>
      <c r="QRK408" s="268"/>
      <c r="QRL408" s="268"/>
      <c r="QRM408" s="268"/>
      <c r="QRN408" s="268"/>
      <c r="QRO408" s="268"/>
      <c r="QRP408" s="268"/>
      <c r="QRQ408" s="268"/>
      <c r="QRR408" s="268"/>
      <c r="QRS408" s="268"/>
      <c r="QRT408" s="268"/>
      <c r="QRU408" s="268"/>
      <c r="QRV408" s="268"/>
      <c r="QRW408" s="268"/>
      <c r="QRX408" s="268"/>
      <c r="QRY408" s="268"/>
      <c r="QRZ408" s="268"/>
      <c r="QSA408" s="268"/>
      <c r="QSB408" s="268"/>
      <c r="QSC408" s="268"/>
      <c r="QSD408" s="268"/>
      <c r="QSE408" s="268"/>
      <c r="QSF408" s="268"/>
      <c r="QSG408" s="268"/>
      <c r="QSH408" s="268"/>
      <c r="QSI408" s="268"/>
      <c r="QSJ408" s="268"/>
      <c r="QSK408" s="268"/>
      <c r="QSL408" s="268"/>
      <c r="QSM408" s="268"/>
      <c r="QSN408" s="268"/>
      <c r="QSO408" s="268"/>
      <c r="QSP408" s="268"/>
      <c r="QSQ408" s="268"/>
      <c r="QSR408" s="268"/>
      <c r="QSS408" s="268"/>
      <c r="QST408" s="268"/>
      <c r="QSU408" s="268"/>
      <c r="QSV408" s="268"/>
      <c r="QSW408" s="268"/>
      <c r="QSX408" s="268"/>
      <c r="QSY408" s="268"/>
      <c r="QSZ408" s="268"/>
      <c r="QTA408" s="268"/>
      <c r="QTB408" s="268"/>
      <c r="QTC408" s="268"/>
      <c r="QTD408" s="268"/>
      <c r="QTE408" s="268"/>
      <c r="QTF408" s="268"/>
      <c r="QTG408" s="268"/>
      <c r="QTH408" s="268"/>
      <c r="QTI408" s="268"/>
      <c r="QTJ408" s="268"/>
      <c r="QTK408" s="268"/>
      <c r="QTY408" s="268"/>
      <c r="QTZ408" s="268"/>
      <c r="QUA408" s="268"/>
      <c r="QUO408" s="268"/>
      <c r="QUQ408" s="268"/>
      <c r="QUR408" s="268"/>
      <c r="QUS408" s="268"/>
      <c r="QUT408" s="268"/>
      <c r="QUU408" s="268"/>
      <c r="QUV408" s="268"/>
      <c r="QUW408" s="268"/>
      <c r="QUX408" s="268"/>
      <c r="QUY408" s="268"/>
      <c r="QUZ408" s="268"/>
      <c r="QVA408" s="268"/>
      <c r="QVB408" s="268"/>
      <c r="QVC408" s="268"/>
      <c r="QVD408" s="268"/>
      <c r="QVE408" s="268"/>
      <c r="QVF408" s="268"/>
      <c r="QVG408" s="268"/>
      <c r="QVH408" s="268"/>
      <c r="QVI408" s="268"/>
      <c r="QVJ408" s="268"/>
      <c r="QVK408" s="268"/>
      <c r="QVL408" s="268"/>
      <c r="QVM408" s="268"/>
      <c r="QVN408" s="268"/>
      <c r="QVO408" s="268"/>
      <c r="QVP408" s="268"/>
      <c r="QVQ408" s="268"/>
      <c r="QVR408" s="268"/>
      <c r="QVS408" s="268"/>
      <c r="QVT408" s="268"/>
      <c r="QVU408" s="268"/>
      <c r="QVV408" s="268"/>
      <c r="QVW408" s="268"/>
      <c r="QVX408" s="268"/>
      <c r="QVY408" s="268"/>
      <c r="QVZ408" s="268"/>
      <c r="QWA408" s="268"/>
      <c r="QWB408" s="268"/>
      <c r="QWC408" s="268"/>
      <c r="QWD408" s="268"/>
      <c r="QWE408" s="268"/>
      <c r="QWF408" s="268"/>
      <c r="QWG408" s="268"/>
      <c r="QWH408" s="268"/>
      <c r="QWI408" s="268"/>
      <c r="QWJ408" s="268"/>
      <c r="QWK408" s="268"/>
      <c r="QWL408" s="268"/>
      <c r="QWM408" s="268"/>
      <c r="QWN408" s="268"/>
      <c r="QWO408" s="268"/>
      <c r="QWP408" s="268"/>
      <c r="QWQ408" s="268"/>
      <c r="QWR408" s="268"/>
      <c r="QWS408" s="268"/>
      <c r="QWT408" s="268"/>
      <c r="QWU408" s="268"/>
      <c r="QWV408" s="268"/>
      <c r="QWW408" s="268"/>
      <c r="QWX408" s="268"/>
      <c r="QWY408" s="268"/>
      <c r="QWZ408" s="268"/>
      <c r="QXA408" s="268"/>
      <c r="QXB408" s="268"/>
      <c r="QXC408" s="268"/>
      <c r="QXD408" s="268"/>
      <c r="QXE408" s="268"/>
      <c r="QXF408" s="268"/>
      <c r="QXG408" s="268"/>
      <c r="QXH408" s="268"/>
      <c r="QXI408" s="268"/>
      <c r="QXJ408" s="268"/>
      <c r="QXK408" s="268"/>
      <c r="QXL408" s="268"/>
      <c r="QXM408" s="268"/>
      <c r="QXN408" s="268"/>
      <c r="QXO408" s="268"/>
      <c r="QXP408" s="268"/>
      <c r="QXQ408" s="268"/>
      <c r="QXR408" s="268"/>
      <c r="QXS408" s="268"/>
      <c r="QXT408" s="268"/>
      <c r="QXU408" s="268"/>
      <c r="QXV408" s="268"/>
      <c r="QXW408" s="268"/>
      <c r="QXX408" s="268"/>
      <c r="QXY408" s="268"/>
      <c r="QXZ408" s="268"/>
      <c r="QYA408" s="268"/>
      <c r="QYB408" s="268"/>
      <c r="QYC408" s="268"/>
      <c r="QYD408" s="268"/>
      <c r="QYE408" s="268"/>
      <c r="QYF408" s="268"/>
      <c r="QYG408" s="268"/>
      <c r="QYH408" s="268"/>
      <c r="QYI408" s="268"/>
      <c r="QYJ408" s="268"/>
      <c r="QYK408" s="268"/>
      <c r="QYL408" s="268"/>
      <c r="QYM408" s="268"/>
      <c r="QYN408" s="268"/>
      <c r="QYO408" s="268"/>
      <c r="QYP408" s="268"/>
      <c r="QYQ408" s="268"/>
      <c r="QYR408" s="268"/>
      <c r="QYS408" s="268"/>
      <c r="QYT408" s="268"/>
      <c r="QYU408" s="268"/>
      <c r="QYV408" s="268"/>
      <c r="QYW408" s="268"/>
      <c r="QYX408" s="268"/>
      <c r="QYY408" s="268"/>
      <c r="QYZ408" s="268"/>
      <c r="QZA408" s="268"/>
      <c r="QZB408" s="268"/>
      <c r="QZC408" s="268"/>
      <c r="QZD408" s="268"/>
      <c r="QZE408" s="268"/>
      <c r="QZF408" s="268"/>
      <c r="QZG408" s="268"/>
      <c r="QZH408" s="268"/>
      <c r="QZI408" s="268"/>
      <c r="QZJ408" s="268"/>
      <c r="QZK408" s="268"/>
      <c r="QZL408" s="268"/>
      <c r="QZM408" s="268"/>
      <c r="QZN408" s="268"/>
      <c r="QZO408" s="268"/>
      <c r="QZP408" s="268"/>
      <c r="QZQ408" s="268"/>
      <c r="QZR408" s="268"/>
      <c r="QZS408" s="268"/>
      <c r="QZT408" s="268"/>
      <c r="QZU408" s="268"/>
      <c r="QZV408" s="268"/>
      <c r="QZW408" s="268"/>
      <c r="QZX408" s="268"/>
      <c r="QZY408" s="268"/>
      <c r="QZZ408" s="268"/>
      <c r="RAA408" s="268"/>
      <c r="RAB408" s="268"/>
      <c r="RAC408" s="268"/>
      <c r="RAD408" s="268"/>
      <c r="RAE408" s="268"/>
      <c r="RAF408" s="268"/>
      <c r="RAG408" s="268"/>
      <c r="RAH408" s="268"/>
      <c r="RAI408" s="268"/>
      <c r="RAJ408" s="268"/>
      <c r="RAK408" s="268"/>
      <c r="RAL408" s="268"/>
      <c r="RAM408" s="268"/>
      <c r="RAN408" s="268"/>
      <c r="RAO408" s="268"/>
      <c r="RAP408" s="268"/>
      <c r="RAQ408" s="268"/>
      <c r="RAR408" s="268"/>
      <c r="RAS408" s="268"/>
      <c r="RAT408" s="268"/>
      <c r="RAU408" s="268"/>
      <c r="RAV408" s="268"/>
      <c r="RAW408" s="268"/>
      <c r="RAX408" s="268"/>
      <c r="RAY408" s="268"/>
      <c r="RAZ408" s="268"/>
      <c r="RBA408" s="268"/>
      <c r="RBB408" s="268"/>
      <c r="RBC408" s="268"/>
      <c r="RBD408" s="268"/>
      <c r="RBE408" s="268"/>
      <c r="RBF408" s="268"/>
      <c r="RBG408" s="268"/>
      <c r="RBH408" s="268"/>
      <c r="RBI408" s="268"/>
      <c r="RBJ408" s="268"/>
      <c r="RBK408" s="268"/>
      <c r="RBL408" s="268"/>
      <c r="RBM408" s="268"/>
      <c r="RBN408" s="268"/>
      <c r="RBO408" s="268"/>
      <c r="RBP408" s="268"/>
      <c r="RBQ408" s="268"/>
      <c r="RBR408" s="268"/>
      <c r="RBS408" s="268"/>
      <c r="RBT408" s="268"/>
      <c r="RBU408" s="268"/>
      <c r="RBV408" s="268"/>
      <c r="RBW408" s="268"/>
      <c r="RBX408" s="268"/>
      <c r="RBY408" s="268"/>
      <c r="RBZ408" s="268"/>
      <c r="RCA408" s="268"/>
      <c r="RCB408" s="268"/>
      <c r="RCC408" s="268"/>
      <c r="RCD408" s="268"/>
      <c r="RCE408" s="268"/>
      <c r="RCF408" s="268"/>
      <c r="RCG408" s="268"/>
      <c r="RCH408" s="268"/>
      <c r="RCI408" s="268"/>
      <c r="RCJ408" s="268"/>
      <c r="RCK408" s="268"/>
      <c r="RCL408" s="268"/>
      <c r="RCM408" s="268"/>
      <c r="RCN408" s="268"/>
      <c r="RCO408" s="268"/>
      <c r="RCP408" s="268"/>
      <c r="RCQ408" s="268"/>
      <c r="RCR408" s="268"/>
      <c r="RCS408" s="268"/>
      <c r="RCT408" s="268"/>
      <c r="RCU408" s="268"/>
      <c r="RCV408" s="268"/>
      <c r="RCW408" s="268"/>
      <c r="RCX408" s="268"/>
      <c r="RCY408" s="268"/>
      <c r="RCZ408" s="268"/>
      <c r="RDA408" s="268"/>
      <c r="RDB408" s="268"/>
      <c r="RDC408" s="268"/>
      <c r="RDD408" s="268"/>
      <c r="RDE408" s="268"/>
      <c r="RDF408" s="268"/>
      <c r="RDG408" s="268"/>
      <c r="RDU408" s="268"/>
      <c r="RDV408" s="268"/>
      <c r="RDW408" s="268"/>
      <c r="REK408" s="268"/>
      <c r="REM408" s="268"/>
      <c r="REN408" s="268"/>
      <c r="REO408" s="268"/>
      <c r="REP408" s="268"/>
      <c r="REQ408" s="268"/>
      <c r="RER408" s="268"/>
      <c r="RES408" s="268"/>
      <c r="RET408" s="268"/>
      <c r="REU408" s="268"/>
      <c r="REV408" s="268"/>
      <c r="REW408" s="268"/>
      <c r="REX408" s="268"/>
      <c r="REY408" s="268"/>
      <c r="REZ408" s="268"/>
      <c r="RFA408" s="268"/>
      <c r="RFB408" s="268"/>
      <c r="RFC408" s="268"/>
      <c r="RFD408" s="268"/>
      <c r="RFE408" s="268"/>
      <c r="RFF408" s="268"/>
      <c r="RFG408" s="268"/>
      <c r="RFH408" s="268"/>
      <c r="RFI408" s="268"/>
      <c r="RFJ408" s="268"/>
      <c r="RFK408" s="268"/>
      <c r="RFL408" s="268"/>
      <c r="RFM408" s="268"/>
      <c r="RFN408" s="268"/>
      <c r="RFO408" s="268"/>
      <c r="RFP408" s="268"/>
      <c r="RFQ408" s="268"/>
      <c r="RFR408" s="268"/>
      <c r="RFS408" s="268"/>
      <c r="RFT408" s="268"/>
      <c r="RFU408" s="268"/>
      <c r="RFV408" s="268"/>
      <c r="RFW408" s="268"/>
      <c r="RFX408" s="268"/>
      <c r="RFY408" s="268"/>
      <c r="RFZ408" s="268"/>
      <c r="RGA408" s="268"/>
      <c r="RGB408" s="268"/>
      <c r="RGC408" s="268"/>
      <c r="RGD408" s="268"/>
      <c r="RGE408" s="268"/>
      <c r="RGF408" s="268"/>
      <c r="RGG408" s="268"/>
      <c r="RGH408" s="268"/>
      <c r="RGI408" s="268"/>
      <c r="RGJ408" s="268"/>
      <c r="RGK408" s="268"/>
      <c r="RGL408" s="268"/>
      <c r="RGM408" s="268"/>
      <c r="RGN408" s="268"/>
      <c r="RGO408" s="268"/>
      <c r="RGP408" s="268"/>
      <c r="RGQ408" s="268"/>
      <c r="RGR408" s="268"/>
      <c r="RGS408" s="268"/>
      <c r="RGT408" s="268"/>
      <c r="RGU408" s="268"/>
      <c r="RGV408" s="268"/>
      <c r="RGW408" s="268"/>
      <c r="RGX408" s="268"/>
      <c r="RGY408" s="268"/>
      <c r="RGZ408" s="268"/>
      <c r="RHA408" s="268"/>
      <c r="RHB408" s="268"/>
      <c r="RHC408" s="268"/>
      <c r="RHD408" s="268"/>
      <c r="RHE408" s="268"/>
      <c r="RHF408" s="268"/>
      <c r="RHG408" s="268"/>
      <c r="RHH408" s="268"/>
      <c r="RHI408" s="268"/>
      <c r="RHJ408" s="268"/>
      <c r="RHK408" s="268"/>
      <c r="RHL408" s="268"/>
      <c r="RHM408" s="268"/>
      <c r="RHN408" s="268"/>
      <c r="RHO408" s="268"/>
      <c r="RHP408" s="268"/>
      <c r="RHQ408" s="268"/>
      <c r="RHR408" s="268"/>
      <c r="RHS408" s="268"/>
      <c r="RHT408" s="268"/>
      <c r="RHU408" s="268"/>
      <c r="RHV408" s="268"/>
      <c r="RHW408" s="268"/>
      <c r="RHX408" s="268"/>
      <c r="RHY408" s="268"/>
      <c r="RHZ408" s="268"/>
      <c r="RIA408" s="268"/>
      <c r="RIB408" s="268"/>
      <c r="RIC408" s="268"/>
      <c r="RID408" s="268"/>
      <c r="RIE408" s="268"/>
      <c r="RIF408" s="268"/>
      <c r="RIG408" s="268"/>
      <c r="RIH408" s="268"/>
      <c r="RII408" s="268"/>
      <c r="RIJ408" s="268"/>
      <c r="RIK408" s="268"/>
      <c r="RIL408" s="268"/>
      <c r="RIM408" s="268"/>
      <c r="RIN408" s="268"/>
      <c r="RIO408" s="268"/>
      <c r="RIP408" s="268"/>
      <c r="RIQ408" s="268"/>
      <c r="RIR408" s="268"/>
      <c r="RIS408" s="268"/>
      <c r="RIT408" s="268"/>
      <c r="RIU408" s="268"/>
      <c r="RIV408" s="268"/>
      <c r="RIW408" s="268"/>
      <c r="RIX408" s="268"/>
      <c r="RIY408" s="268"/>
      <c r="RIZ408" s="268"/>
      <c r="RJA408" s="268"/>
      <c r="RJB408" s="268"/>
      <c r="RJC408" s="268"/>
      <c r="RJD408" s="268"/>
      <c r="RJE408" s="268"/>
      <c r="RJF408" s="268"/>
      <c r="RJG408" s="268"/>
      <c r="RJH408" s="268"/>
      <c r="RJI408" s="268"/>
      <c r="RJJ408" s="268"/>
      <c r="RJK408" s="268"/>
      <c r="RJL408" s="268"/>
      <c r="RJM408" s="268"/>
      <c r="RJN408" s="268"/>
      <c r="RJO408" s="268"/>
      <c r="RJP408" s="268"/>
      <c r="RJQ408" s="268"/>
      <c r="RJR408" s="268"/>
      <c r="RJS408" s="268"/>
      <c r="RJT408" s="268"/>
      <c r="RJU408" s="268"/>
      <c r="RJV408" s="268"/>
      <c r="RJW408" s="268"/>
      <c r="RJX408" s="268"/>
      <c r="RJY408" s="268"/>
      <c r="RJZ408" s="268"/>
      <c r="RKA408" s="268"/>
      <c r="RKB408" s="268"/>
      <c r="RKC408" s="268"/>
      <c r="RKD408" s="268"/>
      <c r="RKE408" s="268"/>
      <c r="RKF408" s="268"/>
      <c r="RKG408" s="268"/>
      <c r="RKH408" s="268"/>
      <c r="RKI408" s="268"/>
      <c r="RKJ408" s="268"/>
      <c r="RKK408" s="268"/>
      <c r="RKL408" s="268"/>
      <c r="RKM408" s="268"/>
      <c r="RKN408" s="268"/>
      <c r="RKO408" s="268"/>
      <c r="RKP408" s="268"/>
      <c r="RKQ408" s="268"/>
      <c r="RKR408" s="268"/>
      <c r="RKS408" s="268"/>
      <c r="RKT408" s="268"/>
      <c r="RKU408" s="268"/>
      <c r="RKV408" s="268"/>
      <c r="RKW408" s="268"/>
      <c r="RKX408" s="268"/>
      <c r="RKY408" s="268"/>
      <c r="RKZ408" s="268"/>
      <c r="RLA408" s="268"/>
      <c r="RLB408" s="268"/>
      <c r="RLC408" s="268"/>
      <c r="RLD408" s="268"/>
      <c r="RLE408" s="268"/>
      <c r="RLF408" s="268"/>
      <c r="RLG408" s="268"/>
      <c r="RLH408" s="268"/>
      <c r="RLI408" s="268"/>
      <c r="RLJ408" s="268"/>
      <c r="RLK408" s="268"/>
      <c r="RLL408" s="268"/>
      <c r="RLM408" s="268"/>
      <c r="RLN408" s="268"/>
      <c r="RLO408" s="268"/>
      <c r="RLP408" s="268"/>
      <c r="RLQ408" s="268"/>
      <c r="RLR408" s="268"/>
      <c r="RLS408" s="268"/>
      <c r="RLT408" s="268"/>
      <c r="RLU408" s="268"/>
      <c r="RLV408" s="268"/>
      <c r="RLW408" s="268"/>
      <c r="RLX408" s="268"/>
      <c r="RLY408" s="268"/>
      <c r="RLZ408" s="268"/>
      <c r="RMA408" s="268"/>
      <c r="RMB408" s="268"/>
      <c r="RMC408" s="268"/>
      <c r="RMD408" s="268"/>
      <c r="RME408" s="268"/>
      <c r="RMF408" s="268"/>
      <c r="RMG408" s="268"/>
      <c r="RMH408" s="268"/>
      <c r="RMI408" s="268"/>
      <c r="RMJ408" s="268"/>
      <c r="RMK408" s="268"/>
      <c r="RML408" s="268"/>
      <c r="RMM408" s="268"/>
      <c r="RMN408" s="268"/>
      <c r="RMO408" s="268"/>
      <c r="RMP408" s="268"/>
      <c r="RMQ408" s="268"/>
      <c r="RMR408" s="268"/>
      <c r="RMS408" s="268"/>
      <c r="RMT408" s="268"/>
      <c r="RMU408" s="268"/>
      <c r="RMV408" s="268"/>
      <c r="RMW408" s="268"/>
      <c r="RMX408" s="268"/>
      <c r="RMY408" s="268"/>
      <c r="RMZ408" s="268"/>
      <c r="RNA408" s="268"/>
      <c r="RNB408" s="268"/>
      <c r="RNC408" s="268"/>
      <c r="RNQ408" s="268"/>
      <c r="RNR408" s="268"/>
      <c r="RNS408" s="268"/>
      <c r="ROG408" s="268"/>
      <c r="ROI408" s="268"/>
      <c r="ROJ408" s="268"/>
      <c r="ROK408" s="268"/>
      <c r="ROL408" s="268"/>
      <c r="ROM408" s="268"/>
      <c r="RON408" s="268"/>
      <c r="ROO408" s="268"/>
      <c r="ROP408" s="268"/>
      <c r="ROQ408" s="268"/>
      <c r="ROR408" s="268"/>
      <c r="ROS408" s="268"/>
      <c r="ROT408" s="268"/>
      <c r="ROU408" s="268"/>
      <c r="ROV408" s="268"/>
      <c r="ROW408" s="268"/>
      <c r="ROX408" s="268"/>
      <c r="ROY408" s="268"/>
      <c r="ROZ408" s="268"/>
      <c r="RPA408" s="268"/>
      <c r="RPB408" s="268"/>
      <c r="RPC408" s="268"/>
      <c r="RPD408" s="268"/>
      <c r="RPE408" s="268"/>
      <c r="RPF408" s="268"/>
      <c r="RPG408" s="268"/>
      <c r="RPH408" s="268"/>
      <c r="RPI408" s="268"/>
      <c r="RPJ408" s="268"/>
      <c r="RPK408" s="268"/>
      <c r="RPL408" s="268"/>
      <c r="RPM408" s="268"/>
      <c r="RPN408" s="268"/>
      <c r="RPO408" s="268"/>
      <c r="RPP408" s="268"/>
      <c r="RPQ408" s="268"/>
      <c r="RPR408" s="268"/>
      <c r="RPS408" s="268"/>
      <c r="RPT408" s="268"/>
      <c r="RPU408" s="268"/>
      <c r="RPV408" s="268"/>
      <c r="RPW408" s="268"/>
      <c r="RPX408" s="268"/>
      <c r="RPY408" s="268"/>
      <c r="RPZ408" s="268"/>
      <c r="RQA408" s="268"/>
      <c r="RQB408" s="268"/>
      <c r="RQC408" s="268"/>
      <c r="RQD408" s="268"/>
      <c r="RQE408" s="268"/>
      <c r="RQF408" s="268"/>
      <c r="RQG408" s="268"/>
      <c r="RQH408" s="268"/>
      <c r="RQI408" s="268"/>
      <c r="RQJ408" s="268"/>
      <c r="RQK408" s="268"/>
      <c r="RQL408" s="268"/>
      <c r="RQM408" s="268"/>
      <c r="RQN408" s="268"/>
      <c r="RQO408" s="268"/>
      <c r="RQP408" s="268"/>
      <c r="RQQ408" s="268"/>
      <c r="RQR408" s="268"/>
      <c r="RQS408" s="268"/>
      <c r="RQT408" s="268"/>
      <c r="RQU408" s="268"/>
      <c r="RQV408" s="268"/>
      <c r="RQW408" s="268"/>
      <c r="RQX408" s="268"/>
      <c r="RQY408" s="268"/>
      <c r="RQZ408" s="268"/>
      <c r="RRA408" s="268"/>
      <c r="RRB408" s="268"/>
      <c r="RRC408" s="268"/>
      <c r="RRD408" s="268"/>
      <c r="RRE408" s="268"/>
      <c r="RRF408" s="268"/>
      <c r="RRG408" s="268"/>
      <c r="RRH408" s="268"/>
      <c r="RRI408" s="268"/>
      <c r="RRJ408" s="268"/>
      <c r="RRK408" s="268"/>
      <c r="RRL408" s="268"/>
      <c r="RRM408" s="268"/>
      <c r="RRN408" s="268"/>
      <c r="RRO408" s="268"/>
      <c r="RRP408" s="268"/>
      <c r="RRQ408" s="268"/>
      <c r="RRR408" s="268"/>
      <c r="RRS408" s="268"/>
      <c r="RRT408" s="268"/>
      <c r="RRU408" s="268"/>
      <c r="RRV408" s="268"/>
      <c r="RRW408" s="268"/>
      <c r="RRX408" s="268"/>
      <c r="RRY408" s="268"/>
      <c r="RRZ408" s="268"/>
      <c r="RSA408" s="268"/>
      <c r="RSB408" s="268"/>
      <c r="RSC408" s="268"/>
      <c r="RSD408" s="268"/>
      <c r="RSE408" s="268"/>
      <c r="RSF408" s="268"/>
      <c r="RSG408" s="268"/>
      <c r="RSH408" s="268"/>
      <c r="RSI408" s="268"/>
      <c r="RSJ408" s="268"/>
      <c r="RSK408" s="268"/>
      <c r="RSL408" s="268"/>
      <c r="RSM408" s="268"/>
      <c r="RSN408" s="268"/>
      <c r="RSO408" s="268"/>
      <c r="RSP408" s="268"/>
      <c r="RSQ408" s="268"/>
      <c r="RSR408" s="268"/>
      <c r="RSS408" s="268"/>
      <c r="RST408" s="268"/>
      <c r="RSU408" s="268"/>
      <c r="RSV408" s="268"/>
      <c r="RSW408" s="268"/>
      <c r="RSX408" s="268"/>
      <c r="RSY408" s="268"/>
      <c r="RSZ408" s="268"/>
      <c r="RTA408" s="268"/>
      <c r="RTB408" s="268"/>
      <c r="RTC408" s="268"/>
      <c r="RTD408" s="268"/>
      <c r="RTE408" s="268"/>
      <c r="RTF408" s="268"/>
      <c r="RTG408" s="268"/>
      <c r="RTH408" s="268"/>
      <c r="RTI408" s="268"/>
      <c r="RTJ408" s="268"/>
      <c r="RTK408" s="268"/>
      <c r="RTL408" s="268"/>
      <c r="RTM408" s="268"/>
      <c r="RTN408" s="268"/>
      <c r="RTO408" s="268"/>
      <c r="RTP408" s="268"/>
      <c r="RTQ408" s="268"/>
      <c r="RTR408" s="268"/>
      <c r="RTS408" s="268"/>
      <c r="RTT408" s="268"/>
      <c r="RTU408" s="268"/>
      <c r="RTV408" s="268"/>
      <c r="RTW408" s="268"/>
      <c r="RTX408" s="268"/>
      <c r="RTY408" s="268"/>
      <c r="RTZ408" s="268"/>
      <c r="RUA408" s="268"/>
      <c r="RUB408" s="268"/>
      <c r="RUC408" s="268"/>
      <c r="RUD408" s="268"/>
      <c r="RUE408" s="268"/>
      <c r="RUF408" s="268"/>
      <c r="RUG408" s="268"/>
      <c r="RUH408" s="268"/>
      <c r="RUI408" s="268"/>
      <c r="RUJ408" s="268"/>
      <c r="RUK408" s="268"/>
      <c r="RUL408" s="268"/>
      <c r="RUM408" s="268"/>
      <c r="RUN408" s="268"/>
      <c r="RUO408" s="268"/>
      <c r="RUP408" s="268"/>
      <c r="RUQ408" s="268"/>
      <c r="RUR408" s="268"/>
      <c r="RUS408" s="268"/>
      <c r="RUT408" s="268"/>
      <c r="RUU408" s="268"/>
      <c r="RUV408" s="268"/>
      <c r="RUW408" s="268"/>
      <c r="RUX408" s="268"/>
      <c r="RUY408" s="268"/>
      <c r="RUZ408" s="268"/>
      <c r="RVA408" s="268"/>
      <c r="RVB408" s="268"/>
      <c r="RVC408" s="268"/>
      <c r="RVD408" s="268"/>
      <c r="RVE408" s="268"/>
      <c r="RVF408" s="268"/>
      <c r="RVG408" s="268"/>
      <c r="RVH408" s="268"/>
      <c r="RVI408" s="268"/>
      <c r="RVJ408" s="268"/>
      <c r="RVK408" s="268"/>
      <c r="RVL408" s="268"/>
      <c r="RVM408" s="268"/>
      <c r="RVN408" s="268"/>
      <c r="RVO408" s="268"/>
      <c r="RVP408" s="268"/>
      <c r="RVQ408" s="268"/>
      <c r="RVR408" s="268"/>
      <c r="RVS408" s="268"/>
      <c r="RVT408" s="268"/>
      <c r="RVU408" s="268"/>
      <c r="RVV408" s="268"/>
      <c r="RVW408" s="268"/>
      <c r="RVX408" s="268"/>
      <c r="RVY408" s="268"/>
      <c r="RVZ408" s="268"/>
      <c r="RWA408" s="268"/>
      <c r="RWB408" s="268"/>
      <c r="RWC408" s="268"/>
      <c r="RWD408" s="268"/>
      <c r="RWE408" s="268"/>
      <c r="RWF408" s="268"/>
      <c r="RWG408" s="268"/>
      <c r="RWH408" s="268"/>
      <c r="RWI408" s="268"/>
      <c r="RWJ408" s="268"/>
      <c r="RWK408" s="268"/>
      <c r="RWL408" s="268"/>
      <c r="RWM408" s="268"/>
      <c r="RWN408" s="268"/>
      <c r="RWO408" s="268"/>
      <c r="RWP408" s="268"/>
      <c r="RWQ408" s="268"/>
      <c r="RWR408" s="268"/>
      <c r="RWS408" s="268"/>
      <c r="RWT408" s="268"/>
      <c r="RWU408" s="268"/>
      <c r="RWV408" s="268"/>
      <c r="RWW408" s="268"/>
      <c r="RWX408" s="268"/>
      <c r="RWY408" s="268"/>
      <c r="RXM408" s="268"/>
      <c r="RXN408" s="268"/>
      <c r="RXO408" s="268"/>
      <c r="RYC408" s="268"/>
      <c r="RYE408" s="268"/>
      <c r="RYF408" s="268"/>
      <c r="RYG408" s="268"/>
      <c r="RYH408" s="268"/>
      <c r="RYI408" s="268"/>
      <c r="RYJ408" s="268"/>
      <c r="RYK408" s="268"/>
      <c r="RYL408" s="268"/>
      <c r="RYM408" s="268"/>
      <c r="RYN408" s="268"/>
      <c r="RYO408" s="268"/>
      <c r="RYP408" s="268"/>
      <c r="RYQ408" s="268"/>
      <c r="RYR408" s="268"/>
      <c r="RYS408" s="268"/>
      <c r="RYT408" s="268"/>
      <c r="RYU408" s="268"/>
      <c r="RYV408" s="268"/>
      <c r="RYW408" s="268"/>
      <c r="RYX408" s="268"/>
      <c r="RYY408" s="268"/>
      <c r="RYZ408" s="268"/>
      <c r="RZA408" s="268"/>
      <c r="RZB408" s="268"/>
      <c r="RZC408" s="268"/>
      <c r="RZD408" s="268"/>
      <c r="RZE408" s="268"/>
      <c r="RZF408" s="268"/>
      <c r="RZG408" s="268"/>
      <c r="RZH408" s="268"/>
      <c r="RZI408" s="268"/>
      <c r="RZJ408" s="268"/>
      <c r="RZK408" s="268"/>
      <c r="RZL408" s="268"/>
      <c r="RZM408" s="268"/>
      <c r="RZN408" s="268"/>
      <c r="RZO408" s="268"/>
      <c r="RZP408" s="268"/>
      <c r="RZQ408" s="268"/>
      <c r="RZR408" s="268"/>
      <c r="RZS408" s="268"/>
      <c r="RZT408" s="268"/>
      <c r="RZU408" s="268"/>
      <c r="RZV408" s="268"/>
      <c r="RZW408" s="268"/>
      <c r="RZX408" s="268"/>
      <c r="RZY408" s="268"/>
      <c r="RZZ408" s="268"/>
      <c r="SAA408" s="268"/>
      <c r="SAB408" s="268"/>
      <c r="SAC408" s="268"/>
      <c r="SAD408" s="268"/>
      <c r="SAE408" s="268"/>
      <c r="SAF408" s="268"/>
      <c r="SAG408" s="268"/>
      <c r="SAH408" s="268"/>
      <c r="SAI408" s="268"/>
      <c r="SAJ408" s="268"/>
      <c r="SAK408" s="268"/>
      <c r="SAL408" s="268"/>
      <c r="SAM408" s="268"/>
      <c r="SAN408" s="268"/>
      <c r="SAO408" s="268"/>
      <c r="SAP408" s="268"/>
      <c r="SAQ408" s="268"/>
      <c r="SAR408" s="268"/>
      <c r="SAS408" s="268"/>
      <c r="SAT408" s="268"/>
      <c r="SAU408" s="268"/>
      <c r="SAV408" s="268"/>
      <c r="SAW408" s="268"/>
      <c r="SAX408" s="268"/>
      <c r="SAY408" s="268"/>
      <c r="SAZ408" s="268"/>
      <c r="SBA408" s="268"/>
      <c r="SBB408" s="268"/>
      <c r="SBC408" s="268"/>
      <c r="SBD408" s="268"/>
      <c r="SBE408" s="268"/>
      <c r="SBF408" s="268"/>
      <c r="SBG408" s="268"/>
      <c r="SBH408" s="268"/>
      <c r="SBI408" s="268"/>
      <c r="SBJ408" s="268"/>
      <c r="SBK408" s="268"/>
      <c r="SBL408" s="268"/>
      <c r="SBM408" s="268"/>
      <c r="SBN408" s="268"/>
      <c r="SBO408" s="268"/>
      <c r="SBP408" s="268"/>
      <c r="SBQ408" s="268"/>
      <c r="SBR408" s="268"/>
      <c r="SBS408" s="268"/>
      <c r="SBT408" s="268"/>
      <c r="SBU408" s="268"/>
      <c r="SBV408" s="268"/>
      <c r="SBW408" s="268"/>
      <c r="SBX408" s="268"/>
      <c r="SBY408" s="268"/>
      <c r="SBZ408" s="268"/>
      <c r="SCA408" s="268"/>
      <c r="SCB408" s="268"/>
      <c r="SCC408" s="268"/>
      <c r="SCD408" s="268"/>
      <c r="SCE408" s="268"/>
      <c r="SCF408" s="268"/>
      <c r="SCG408" s="268"/>
      <c r="SCH408" s="268"/>
      <c r="SCI408" s="268"/>
      <c r="SCJ408" s="268"/>
      <c r="SCK408" s="268"/>
      <c r="SCL408" s="268"/>
      <c r="SCM408" s="268"/>
      <c r="SCN408" s="268"/>
      <c r="SCO408" s="268"/>
      <c r="SCP408" s="268"/>
      <c r="SCQ408" s="268"/>
      <c r="SCR408" s="268"/>
      <c r="SCS408" s="268"/>
      <c r="SCT408" s="268"/>
      <c r="SCU408" s="268"/>
      <c r="SCV408" s="268"/>
      <c r="SCW408" s="268"/>
      <c r="SCX408" s="268"/>
      <c r="SCY408" s="268"/>
      <c r="SCZ408" s="268"/>
      <c r="SDA408" s="268"/>
      <c r="SDB408" s="268"/>
      <c r="SDC408" s="268"/>
      <c r="SDD408" s="268"/>
      <c r="SDE408" s="268"/>
      <c r="SDF408" s="268"/>
      <c r="SDG408" s="268"/>
      <c r="SDH408" s="268"/>
      <c r="SDI408" s="268"/>
      <c r="SDJ408" s="268"/>
      <c r="SDK408" s="268"/>
      <c r="SDL408" s="268"/>
      <c r="SDM408" s="268"/>
      <c r="SDN408" s="268"/>
      <c r="SDO408" s="268"/>
      <c r="SDP408" s="268"/>
      <c r="SDQ408" s="268"/>
      <c r="SDR408" s="268"/>
      <c r="SDS408" s="268"/>
      <c r="SDT408" s="268"/>
      <c r="SDU408" s="268"/>
      <c r="SDV408" s="268"/>
      <c r="SDW408" s="268"/>
      <c r="SDX408" s="268"/>
      <c r="SDY408" s="268"/>
      <c r="SDZ408" s="268"/>
      <c r="SEA408" s="268"/>
      <c r="SEB408" s="268"/>
      <c r="SEC408" s="268"/>
      <c r="SED408" s="268"/>
      <c r="SEE408" s="268"/>
      <c r="SEF408" s="268"/>
      <c r="SEG408" s="268"/>
      <c r="SEH408" s="268"/>
      <c r="SEI408" s="268"/>
      <c r="SEJ408" s="268"/>
      <c r="SEK408" s="268"/>
      <c r="SEL408" s="268"/>
      <c r="SEM408" s="268"/>
      <c r="SEN408" s="268"/>
      <c r="SEO408" s="268"/>
      <c r="SEP408" s="268"/>
      <c r="SEQ408" s="268"/>
      <c r="SER408" s="268"/>
      <c r="SES408" s="268"/>
      <c r="SET408" s="268"/>
      <c r="SEU408" s="268"/>
      <c r="SEV408" s="268"/>
      <c r="SEW408" s="268"/>
      <c r="SEX408" s="268"/>
      <c r="SEY408" s="268"/>
      <c r="SEZ408" s="268"/>
      <c r="SFA408" s="268"/>
      <c r="SFB408" s="268"/>
      <c r="SFC408" s="268"/>
      <c r="SFD408" s="268"/>
      <c r="SFE408" s="268"/>
      <c r="SFF408" s="268"/>
      <c r="SFG408" s="268"/>
      <c r="SFH408" s="268"/>
      <c r="SFI408" s="268"/>
      <c r="SFJ408" s="268"/>
      <c r="SFK408" s="268"/>
      <c r="SFL408" s="268"/>
      <c r="SFM408" s="268"/>
      <c r="SFN408" s="268"/>
      <c r="SFO408" s="268"/>
      <c r="SFP408" s="268"/>
      <c r="SFQ408" s="268"/>
      <c r="SFR408" s="268"/>
      <c r="SFS408" s="268"/>
      <c r="SFT408" s="268"/>
      <c r="SFU408" s="268"/>
      <c r="SFV408" s="268"/>
      <c r="SFW408" s="268"/>
      <c r="SFX408" s="268"/>
      <c r="SFY408" s="268"/>
      <c r="SFZ408" s="268"/>
      <c r="SGA408" s="268"/>
      <c r="SGB408" s="268"/>
      <c r="SGC408" s="268"/>
      <c r="SGD408" s="268"/>
      <c r="SGE408" s="268"/>
      <c r="SGF408" s="268"/>
      <c r="SGG408" s="268"/>
      <c r="SGH408" s="268"/>
      <c r="SGI408" s="268"/>
      <c r="SGJ408" s="268"/>
      <c r="SGK408" s="268"/>
      <c r="SGL408" s="268"/>
      <c r="SGM408" s="268"/>
      <c r="SGN408" s="268"/>
      <c r="SGO408" s="268"/>
      <c r="SGP408" s="268"/>
      <c r="SGQ408" s="268"/>
      <c r="SGR408" s="268"/>
      <c r="SGS408" s="268"/>
      <c r="SGT408" s="268"/>
      <c r="SGU408" s="268"/>
      <c r="SHI408" s="268"/>
      <c r="SHJ408" s="268"/>
      <c r="SHK408" s="268"/>
      <c r="SHY408" s="268"/>
      <c r="SIA408" s="268"/>
      <c r="SIB408" s="268"/>
      <c r="SIC408" s="268"/>
      <c r="SID408" s="268"/>
      <c r="SIE408" s="268"/>
      <c r="SIF408" s="268"/>
      <c r="SIG408" s="268"/>
      <c r="SIH408" s="268"/>
      <c r="SII408" s="268"/>
      <c r="SIJ408" s="268"/>
      <c r="SIK408" s="268"/>
      <c r="SIL408" s="268"/>
      <c r="SIM408" s="268"/>
      <c r="SIN408" s="268"/>
      <c r="SIO408" s="268"/>
      <c r="SIP408" s="268"/>
      <c r="SIQ408" s="268"/>
      <c r="SIR408" s="268"/>
      <c r="SIS408" s="268"/>
      <c r="SIT408" s="268"/>
      <c r="SIU408" s="268"/>
      <c r="SIV408" s="268"/>
      <c r="SIW408" s="268"/>
      <c r="SIX408" s="268"/>
      <c r="SIY408" s="268"/>
      <c r="SIZ408" s="268"/>
      <c r="SJA408" s="268"/>
      <c r="SJB408" s="268"/>
      <c r="SJC408" s="268"/>
      <c r="SJD408" s="268"/>
      <c r="SJE408" s="268"/>
      <c r="SJF408" s="268"/>
      <c r="SJG408" s="268"/>
      <c r="SJH408" s="268"/>
      <c r="SJI408" s="268"/>
      <c r="SJJ408" s="268"/>
      <c r="SJK408" s="268"/>
      <c r="SJL408" s="268"/>
      <c r="SJM408" s="268"/>
      <c r="SJN408" s="268"/>
      <c r="SJO408" s="268"/>
      <c r="SJP408" s="268"/>
      <c r="SJQ408" s="268"/>
      <c r="SJR408" s="268"/>
      <c r="SJS408" s="268"/>
      <c r="SJT408" s="268"/>
      <c r="SJU408" s="268"/>
      <c r="SJV408" s="268"/>
      <c r="SJW408" s="268"/>
      <c r="SJX408" s="268"/>
      <c r="SJY408" s="268"/>
      <c r="SJZ408" s="268"/>
      <c r="SKA408" s="268"/>
      <c r="SKB408" s="268"/>
      <c r="SKC408" s="268"/>
      <c r="SKD408" s="268"/>
      <c r="SKE408" s="268"/>
      <c r="SKF408" s="268"/>
      <c r="SKG408" s="268"/>
      <c r="SKH408" s="268"/>
      <c r="SKI408" s="268"/>
      <c r="SKJ408" s="268"/>
      <c r="SKK408" s="268"/>
      <c r="SKL408" s="268"/>
      <c r="SKM408" s="268"/>
      <c r="SKN408" s="268"/>
      <c r="SKO408" s="268"/>
      <c r="SKP408" s="268"/>
      <c r="SKQ408" s="268"/>
      <c r="SKR408" s="268"/>
      <c r="SKS408" s="268"/>
      <c r="SKT408" s="268"/>
      <c r="SKU408" s="268"/>
      <c r="SKV408" s="268"/>
      <c r="SKW408" s="268"/>
      <c r="SKX408" s="268"/>
      <c r="SKY408" s="268"/>
      <c r="SKZ408" s="268"/>
      <c r="SLA408" s="268"/>
      <c r="SLB408" s="268"/>
      <c r="SLC408" s="268"/>
      <c r="SLD408" s="268"/>
      <c r="SLE408" s="268"/>
      <c r="SLF408" s="268"/>
      <c r="SLG408" s="268"/>
      <c r="SLH408" s="268"/>
      <c r="SLI408" s="268"/>
      <c r="SLJ408" s="268"/>
      <c r="SLK408" s="268"/>
      <c r="SLL408" s="268"/>
      <c r="SLM408" s="268"/>
      <c r="SLN408" s="268"/>
      <c r="SLO408" s="268"/>
      <c r="SLP408" s="268"/>
      <c r="SLQ408" s="268"/>
      <c r="SLR408" s="268"/>
      <c r="SLS408" s="268"/>
      <c r="SLT408" s="268"/>
      <c r="SLU408" s="268"/>
      <c r="SLV408" s="268"/>
      <c r="SLW408" s="268"/>
      <c r="SLX408" s="268"/>
      <c r="SLY408" s="268"/>
      <c r="SLZ408" s="268"/>
      <c r="SMA408" s="268"/>
      <c r="SMB408" s="268"/>
      <c r="SMC408" s="268"/>
      <c r="SMD408" s="268"/>
      <c r="SME408" s="268"/>
      <c r="SMF408" s="268"/>
      <c r="SMG408" s="268"/>
      <c r="SMH408" s="268"/>
      <c r="SMI408" s="268"/>
      <c r="SMJ408" s="268"/>
      <c r="SMK408" s="268"/>
      <c r="SML408" s="268"/>
      <c r="SMM408" s="268"/>
      <c r="SMN408" s="268"/>
      <c r="SMO408" s="268"/>
      <c r="SMP408" s="268"/>
      <c r="SMQ408" s="268"/>
      <c r="SMR408" s="268"/>
      <c r="SMS408" s="268"/>
      <c r="SMT408" s="268"/>
      <c r="SMU408" s="268"/>
      <c r="SMV408" s="268"/>
      <c r="SMW408" s="268"/>
      <c r="SMX408" s="268"/>
      <c r="SMY408" s="268"/>
      <c r="SMZ408" s="268"/>
      <c r="SNA408" s="268"/>
      <c r="SNB408" s="268"/>
      <c r="SNC408" s="268"/>
      <c r="SND408" s="268"/>
      <c r="SNE408" s="268"/>
      <c r="SNF408" s="268"/>
      <c r="SNG408" s="268"/>
      <c r="SNH408" s="268"/>
      <c r="SNI408" s="268"/>
      <c r="SNJ408" s="268"/>
      <c r="SNK408" s="268"/>
      <c r="SNL408" s="268"/>
      <c r="SNM408" s="268"/>
      <c r="SNN408" s="268"/>
      <c r="SNO408" s="268"/>
      <c r="SNP408" s="268"/>
      <c r="SNQ408" s="268"/>
      <c r="SNR408" s="268"/>
      <c r="SNS408" s="268"/>
      <c r="SNT408" s="268"/>
      <c r="SNU408" s="268"/>
      <c r="SNV408" s="268"/>
      <c r="SNW408" s="268"/>
      <c r="SNX408" s="268"/>
      <c r="SNY408" s="268"/>
      <c r="SNZ408" s="268"/>
      <c r="SOA408" s="268"/>
      <c r="SOB408" s="268"/>
      <c r="SOC408" s="268"/>
      <c r="SOD408" s="268"/>
      <c r="SOE408" s="268"/>
      <c r="SOF408" s="268"/>
      <c r="SOG408" s="268"/>
      <c r="SOH408" s="268"/>
      <c r="SOI408" s="268"/>
      <c r="SOJ408" s="268"/>
      <c r="SOK408" s="268"/>
      <c r="SOL408" s="268"/>
      <c r="SOM408" s="268"/>
      <c r="SON408" s="268"/>
      <c r="SOO408" s="268"/>
      <c r="SOP408" s="268"/>
      <c r="SOQ408" s="268"/>
      <c r="SOR408" s="268"/>
      <c r="SOS408" s="268"/>
      <c r="SOT408" s="268"/>
      <c r="SOU408" s="268"/>
      <c r="SOV408" s="268"/>
      <c r="SOW408" s="268"/>
      <c r="SOX408" s="268"/>
      <c r="SOY408" s="268"/>
      <c r="SOZ408" s="268"/>
      <c r="SPA408" s="268"/>
      <c r="SPB408" s="268"/>
      <c r="SPC408" s="268"/>
      <c r="SPD408" s="268"/>
      <c r="SPE408" s="268"/>
      <c r="SPF408" s="268"/>
      <c r="SPG408" s="268"/>
      <c r="SPH408" s="268"/>
      <c r="SPI408" s="268"/>
      <c r="SPJ408" s="268"/>
      <c r="SPK408" s="268"/>
      <c r="SPL408" s="268"/>
      <c r="SPM408" s="268"/>
      <c r="SPN408" s="268"/>
      <c r="SPO408" s="268"/>
      <c r="SPP408" s="268"/>
      <c r="SPQ408" s="268"/>
      <c r="SPR408" s="268"/>
      <c r="SPS408" s="268"/>
      <c r="SPT408" s="268"/>
      <c r="SPU408" s="268"/>
      <c r="SPV408" s="268"/>
      <c r="SPW408" s="268"/>
      <c r="SPX408" s="268"/>
      <c r="SPY408" s="268"/>
      <c r="SPZ408" s="268"/>
      <c r="SQA408" s="268"/>
      <c r="SQB408" s="268"/>
      <c r="SQC408" s="268"/>
      <c r="SQD408" s="268"/>
      <c r="SQE408" s="268"/>
      <c r="SQF408" s="268"/>
      <c r="SQG408" s="268"/>
      <c r="SQH408" s="268"/>
      <c r="SQI408" s="268"/>
      <c r="SQJ408" s="268"/>
      <c r="SQK408" s="268"/>
      <c r="SQL408" s="268"/>
      <c r="SQM408" s="268"/>
      <c r="SQN408" s="268"/>
      <c r="SQO408" s="268"/>
      <c r="SQP408" s="268"/>
      <c r="SQQ408" s="268"/>
      <c r="SRE408" s="268"/>
      <c r="SRF408" s="268"/>
      <c r="SRG408" s="268"/>
      <c r="SRU408" s="268"/>
      <c r="SRW408" s="268"/>
      <c r="SRX408" s="268"/>
      <c r="SRY408" s="268"/>
      <c r="SRZ408" s="268"/>
      <c r="SSA408" s="268"/>
      <c r="SSB408" s="268"/>
      <c r="SSC408" s="268"/>
      <c r="SSD408" s="268"/>
      <c r="SSE408" s="268"/>
      <c r="SSF408" s="268"/>
      <c r="SSG408" s="268"/>
      <c r="SSH408" s="268"/>
      <c r="SSI408" s="268"/>
      <c r="SSJ408" s="268"/>
      <c r="SSK408" s="268"/>
      <c r="SSL408" s="268"/>
      <c r="SSM408" s="268"/>
      <c r="SSN408" s="268"/>
      <c r="SSO408" s="268"/>
      <c r="SSP408" s="268"/>
      <c r="SSQ408" s="268"/>
      <c r="SSR408" s="268"/>
      <c r="SSS408" s="268"/>
      <c r="SST408" s="268"/>
      <c r="SSU408" s="268"/>
      <c r="SSV408" s="268"/>
      <c r="SSW408" s="268"/>
      <c r="SSX408" s="268"/>
      <c r="SSY408" s="268"/>
      <c r="SSZ408" s="268"/>
      <c r="STA408" s="268"/>
      <c r="STB408" s="268"/>
      <c r="STC408" s="268"/>
      <c r="STD408" s="268"/>
      <c r="STE408" s="268"/>
      <c r="STF408" s="268"/>
      <c r="STG408" s="268"/>
      <c r="STH408" s="268"/>
      <c r="STI408" s="268"/>
      <c r="STJ408" s="268"/>
      <c r="STK408" s="268"/>
      <c r="STL408" s="268"/>
      <c r="STM408" s="268"/>
      <c r="STN408" s="268"/>
      <c r="STO408" s="268"/>
      <c r="STP408" s="268"/>
      <c r="STQ408" s="268"/>
      <c r="STR408" s="268"/>
      <c r="STS408" s="268"/>
      <c r="STT408" s="268"/>
      <c r="STU408" s="268"/>
      <c r="STV408" s="268"/>
      <c r="STW408" s="268"/>
      <c r="STX408" s="268"/>
      <c r="STY408" s="268"/>
      <c r="STZ408" s="268"/>
      <c r="SUA408" s="268"/>
      <c r="SUB408" s="268"/>
      <c r="SUC408" s="268"/>
      <c r="SUD408" s="268"/>
      <c r="SUE408" s="268"/>
      <c r="SUF408" s="268"/>
      <c r="SUG408" s="268"/>
      <c r="SUH408" s="268"/>
      <c r="SUI408" s="268"/>
      <c r="SUJ408" s="268"/>
      <c r="SUK408" s="268"/>
      <c r="SUL408" s="268"/>
      <c r="SUM408" s="268"/>
      <c r="SUN408" s="268"/>
      <c r="SUO408" s="268"/>
      <c r="SUP408" s="268"/>
      <c r="SUQ408" s="268"/>
      <c r="SUR408" s="268"/>
      <c r="SUS408" s="268"/>
      <c r="SUT408" s="268"/>
      <c r="SUU408" s="268"/>
      <c r="SUV408" s="268"/>
      <c r="SUW408" s="268"/>
      <c r="SUX408" s="268"/>
      <c r="SUY408" s="268"/>
      <c r="SUZ408" s="268"/>
      <c r="SVA408" s="268"/>
      <c r="SVB408" s="268"/>
      <c r="SVC408" s="268"/>
      <c r="SVD408" s="268"/>
      <c r="SVE408" s="268"/>
      <c r="SVF408" s="268"/>
      <c r="SVG408" s="268"/>
      <c r="SVH408" s="268"/>
      <c r="SVI408" s="268"/>
      <c r="SVJ408" s="268"/>
      <c r="SVK408" s="268"/>
      <c r="SVL408" s="268"/>
      <c r="SVM408" s="268"/>
      <c r="SVN408" s="268"/>
      <c r="SVO408" s="268"/>
      <c r="SVP408" s="268"/>
      <c r="SVQ408" s="268"/>
      <c r="SVR408" s="268"/>
      <c r="SVS408" s="268"/>
      <c r="SVT408" s="268"/>
      <c r="SVU408" s="268"/>
      <c r="SVV408" s="268"/>
      <c r="SVW408" s="268"/>
      <c r="SVX408" s="268"/>
      <c r="SVY408" s="268"/>
      <c r="SVZ408" s="268"/>
      <c r="SWA408" s="268"/>
      <c r="SWB408" s="268"/>
      <c r="SWC408" s="268"/>
      <c r="SWD408" s="268"/>
      <c r="SWE408" s="268"/>
      <c r="SWF408" s="268"/>
      <c r="SWG408" s="268"/>
      <c r="SWH408" s="268"/>
      <c r="SWI408" s="268"/>
      <c r="SWJ408" s="268"/>
      <c r="SWK408" s="268"/>
      <c r="SWL408" s="268"/>
      <c r="SWM408" s="268"/>
      <c r="SWN408" s="268"/>
      <c r="SWO408" s="268"/>
      <c r="SWP408" s="268"/>
      <c r="SWQ408" s="268"/>
      <c r="SWR408" s="268"/>
      <c r="SWS408" s="268"/>
      <c r="SWT408" s="268"/>
      <c r="SWU408" s="268"/>
      <c r="SWV408" s="268"/>
      <c r="SWW408" s="268"/>
      <c r="SWX408" s="268"/>
      <c r="SWY408" s="268"/>
      <c r="SWZ408" s="268"/>
      <c r="SXA408" s="268"/>
      <c r="SXB408" s="268"/>
      <c r="SXC408" s="268"/>
      <c r="SXD408" s="268"/>
      <c r="SXE408" s="268"/>
      <c r="SXF408" s="268"/>
      <c r="SXG408" s="268"/>
      <c r="SXH408" s="268"/>
      <c r="SXI408" s="268"/>
      <c r="SXJ408" s="268"/>
      <c r="SXK408" s="268"/>
      <c r="SXL408" s="268"/>
      <c r="SXM408" s="268"/>
      <c r="SXN408" s="268"/>
      <c r="SXO408" s="268"/>
      <c r="SXP408" s="268"/>
      <c r="SXQ408" s="268"/>
      <c r="SXR408" s="268"/>
      <c r="SXS408" s="268"/>
      <c r="SXT408" s="268"/>
      <c r="SXU408" s="268"/>
      <c r="SXV408" s="268"/>
      <c r="SXW408" s="268"/>
      <c r="SXX408" s="268"/>
      <c r="SXY408" s="268"/>
      <c r="SXZ408" s="268"/>
      <c r="SYA408" s="268"/>
      <c r="SYB408" s="268"/>
      <c r="SYC408" s="268"/>
      <c r="SYD408" s="268"/>
      <c r="SYE408" s="268"/>
      <c r="SYF408" s="268"/>
      <c r="SYG408" s="268"/>
      <c r="SYH408" s="268"/>
      <c r="SYI408" s="268"/>
      <c r="SYJ408" s="268"/>
      <c r="SYK408" s="268"/>
      <c r="SYL408" s="268"/>
      <c r="SYM408" s="268"/>
      <c r="SYN408" s="268"/>
      <c r="SYO408" s="268"/>
      <c r="SYP408" s="268"/>
      <c r="SYQ408" s="268"/>
      <c r="SYR408" s="268"/>
      <c r="SYS408" s="268"/>
      <c r="SYT408" s="268"/>
      <c r="SYU408" s="268"/>
      <c r="SYV408" s="268"/>
      <c r="SYW408" s="268"/>
      <c r="SYX408" s="268"/>
      <c r="SYY408" s="268"/>
      <c r="SYZ408" s="268"/>
      <c r="SZA408" s="268"/>
      <c r="SZB408" s="268"/>
      <c r="SZC408" s="268"/>
      <c r="SZD408" s="268"/>
      <c r="SZE408" s="268"/>
      <c r="SZF408" s="268"/>
      <c r="SZG408" s="268"/>
      <c r="SZH408" s="268"/>
      <c r="SZI408" s="268"/>
      <c r="SZJ408" s="268"/>
      <c r="SZK408" s="268"/>
      <c r="SZL408" s="268"/>
      <c r="SZM408" s="268"/>
      <c r="SZN408" s="268"/>
      <c r="SZO408" s="268"/>
      <c r="SZP408" s="268"/>
      <c r="SZQ408" s="268"/>
      <c r="SZR408" s="268"/>
      <c r="SZS408" s="268"/>
      <c r="SZT408" s="268"/>
      <c r="SZU408" s="268"/>
      <c r="SZV408" s="268"/>
      <c r="SZW408" s="268"/>
      <c r="SZX408" s="268"/>
      <c r="SZY408" s="268"/>
      <c r="SZZ408" s="268"/>
      <c r="TAA408" s="268"/>
      <c r="TAB408" s="268"/>
      <c r="TAC408" s="268"/>
      <c r="TAD408" s="268"/>
      <c r="TAE408" s="268"/>
      <c r="TAF408" s="268"/>
      <c r="TAG408" s="268"/>
      <c r="TAH408" s="268"/>
      <c r="TAI408" s="268"/>
      <c r="TAJ408" s="268"/>
      <c r="TAK408" s="268"/>
      <c r="TAL408" s="268"/>
      <c r="TAM408" s="268"/>
      <c r="TBA408" s="268"/>
      <c r="TBB408" s="268"/>
      <c r="TBC408" s="268"/>
      <c r="TBQ408" s="268"/>
      <c r="TBS408" s="268"/>
      <c r="TBT408" s="268"/>
      <c r="TBU408" s="268"/>
      <c r="TBV408" s="268"/>
      <c r="TBW408" s="268"/>
      <c r="TBX408" s="268"/>
      <c r="TBY408" s="268"/>
      <c r="TBZ408" s="268"/>
      <c r="TCA408" s="268"/>
      <c r="TCB408" s="268"/>
      <c r="TCC408" s="268"/>
      <c r="TCD408" s="268"/>
      <c r="TCE408" s="268"/>
      <c r="TCF408" s="268"/>
      <c r="TCG408" s="268"/>
      <c r="TCH408" s="268"/>
      <c r="TCI408" s="268"/>
      <c r="TCJ408" s="268"/>
      <c r="TCK408" s="268"/>
      <c r="TCL408" s="268"/>
      <c r="TCM408" s="268"/>
      <c r="TCN408" s="268"/>
      <c r="TCO408" s="268"/>
      <c r="TCP408" s="268"/>
      <c r="TCQ408" s="268"/>
      <c r="TCR408" s="268"/>
      <c r="TCS408" s="268"/>
      <c r="TCT408" s="268"/>
      <c r="TCU408" s="268"/>
      <c r="TCV408" s="268"/>
      <c r="TCW408" s="268"/>
      <c r="TCX408" s="268"/>
      <c r="TCY408" s="268"/>
      <c r="TCZ408" s="268"/>
      <c r="TDA408" s="268"/>
      <c r="TDB408" s="268"/>
      <c r="TDC408" s="268"/>
      <c r="TDD408" s="268"/>
      <c r="TDE408" s="268"/>
      <c r="TDF408" s="268"/>
      <c r="TDG408" s="268"/>
      <c r="TDH408" s="268"/>
      <c r="TDI408" s="268"/>
      <c r="TDJ408" s="268"/>
      <c r="TDK408" s="268"/>
      <c r="TDL408" s="268"/>
      <c r="TDM408" s="268"/>
      <c r="TDN408" s="268"/>
      <c r="TDO408" s="268"/>
      <c r="TDP408" s="268"/>
      <c r="TDQ408" s="268"/>
      <c r="TDR408" s="268"/>
      <c r="TDS408" s="268"/>
      <c r="TDT408" s="268"/>
      <c r="TDU408" s="268"/>
      <c r="TDV408" s="268"/>
      <c r="TDW408" s="268"/>
      <c r="TDX408" s="268"/>
      <c r="TDY408" s="268"/>
      <c r="TDZ408" s="268"/>
      <c r="TEA408" s="268"/>
      <c r="TEB408" s="268"/>
      <c r="TEC408" s="268"/>
      <c r="TED408" s="268"/>
      <c r="TEE408" s="268"/>
      <c r="TEF408" s="268"/>
      <c r="TEG408" s="268"/>
      <c r="TEH408" s="268"/>
      <c r="TEI408" s="268"/>
      <c r="TEJ408" s="268"/>
      <c r="TEK408" s="268"/>
      <c r="TEL408" s="268"/>
      <c r="TEM408" s="268"/>
      <c r="TEN408" s="268"/>
      <c r="TEO408" s="268"/>
      <c r="TEP408" s="268"/>
      <c r="TEQ408" s="268"/>
      <c r="TER408" s="268"/>
      <c r="TES408" s="268"/>
      <c r="TET408" s="268"/>
      <c r="TEU408" s="268"/>
      <c r="TEV408" s="268"/>
      <c r="TEW408" s="268"/>
      <c r="TEX408" s="268"/>
      <c r="TEY408" s="268"/>
      <c r="TEZ408" s="268"/>
      <c r="TFA408" s="268"/>
      <c r="TFB408" s="268"/>
      <c r="TFC408" s="268"/>
      <c r="TFD408" s="268"/>
      <c r="TFE408" s="268"/>
      <c r="TFF408" s="268"/>
      <c r="TFG408" s="268"/>
      <c r="TFH408" s="268"/>
      <c r="TFI408" s="268"/>
      <c r="TFJ408" s="268"/>
      <c r="TFK408" s="268"/>
      <c r="TFL408" s="268"/>
      <c r="TFM408" s="268"/>
      <c r="TFN408" s="268"/>
      <c r="TFO408" s="268"/>
      <c r="TFP408" s="268"/>
      <c r="TFQ408" s="268"/>
      <c r="TFR408" s="268"/>
      <c r="TFS408" s="268"/>
      <c r="TFT408" s="268"/>
      <c r="TFU408" s="268"/>
      <c r="TFV408" s="268"/>
      <c r="TFW408" s="268"/>
      <c r="TFX408" s="268"/>
      <c r="TFY408" s="268"/>
      <c r="TFZ408" s="268"/>
      <c r="TGA408" s="268"/>
      <c r="TGB408" s="268"/>
      <c r="TGC408" s="268"/>
      <c r="TGD408" s="268"/>
      <c r="TGE408" s="268"/>
      <c r="TGF408" s="268"/>
      <c r="TGG408" s="268"/>
      <c r="TGH408" s="268"/>
      <c r="TGI408" s="268"/>
      <c r="TGJ408" s="268"/>
      <c r="TGK408" s="268"/>
      <c r="TGL408" s="268"/>
      <c r="TGM408" s="268"/>
      <c r="TGN408" s="268"/>
      <c r="TGO408" s="268"/>
      <c r="TGP408" s="268"/>
      <c r="TGQ408" s="268"/>
      <c r="TGR408" s="268"/>
      <c r="TGS408" s="268"/>
      <c r="TGT408" s="268"/>
      <c r="TGU408" s="268"/>
      <c r="TGV408" s="268"/>
      <c r="TGW408" s="268"/>
      <c r="TGX408" s="268"/>
      <c r="TGY408" s="268"/>
      <c r="TGZ408" s="268"/>
      <c r="THA408" s="268"/>
      <c r="THB408" s="268"/>
      <c r="THC408" s="268"/>
      <c r="THD408" s="268"/>
      <c r="THE408" s="268"/>
      <c r="THF408" s="268"/>
      <c r="THG408" s="268"/>
      <c r="THH408" s="268"/>
      <c r="THI408" s="268"/>
      <c r="THJ408" s="268"/>
      <c r="THK408" s="268"/>
      <c r="THL408" s="268"/>
      <c r="THM408" s="268"/>
      <c r="THN408" s="268"/>
      <c r="THO408" s="268"/>
      <c r="THP408" s="268"/>
      <c r="THQ408" s="268"/>
      <c r="THR408" s="268"/>
      <c r="THS408" s="268"/>
      <c r="THT408" s="268"/>
      <c r="THU408" s="268"/>
      <c r="THV408" s="268"/>
      <c r="THW408" s="268"/>
      <c r="THX408" s="268"/>
      <c r="THY408" s="268"/>
      <c r="THZ408" s="268"/>
      <c r="TIA408" s="268"/>
      <c r="TIB408" s="268"/>
      <c r="TIC408" s="268"/>
      <c r="TID408" s="268"/>
      <c r="TIE408" s="268"/>
      <c r="TIF408" s="268"/>
      <c r="TIG408" s="268"/>
      <c r="TIH408" s="268"/>
      <c r="TII408" s="268"/>
      <c r="TIJ408" s="268"/>
      <c r="TIK408" s="268"/>
      <c r="TIL408" s="268"/>
      <c r="TIM408" s="268"/>
      <c r="TIN408" s="268"/>
      <c r="TIO408" s="268"/>
      <c r="TIP408" s="268"/>
      <c r="TIQ408" s="268"/>
      <c r="TIR408" s="268"/>
      <c r="TIS408" s="268"/>
      <c r="TIT408" s="268"/>
      <c r="TIU408" s="268"/>
      <c r="TIV408" s="268"/>
      <c r="TIW408" s="268"/>
      <c r="TIX408" s="268"/>
      <c r="TIY408" s="268"/>
      <c r="TIZ408" s="268"/>
      <c r="TJA408" s="268"/>
      <c r="TJB408" s="268"/>
      <c r="TJC408" s="268"/>
      <c r="TJD408" s="268"/>
      <c r="TJE408" s="268"/>
      <c r="TJF408" s="268"/>
      <c r="TJG408" s="268"/>
      <c r="TJH408" s="268"/>
      <c r="TJI408" s="268"/>
      <c r="TJJ408" s="268"/>
      <c r="TJK408" s="268"/>
      <c r="TJL408" s="268"/>
      <c r="TJM408" s="268"/>
      <c r="TJN408" s="268"/>
      <c r="TJO408" s="268"/>
      <c r="TJP408" s="268"/>
      <c r="TJQ408" s="268"/>
      <c r="TJR408" s="268"/>
      <c r="TJS408" s="268"/>
      <c r="TJT408" s="268"/>
      <c r="TJU408" s="268"/>
      <c r="TJV408" s="268"/>
      <c r="TJW408" s="268"/>
      <c r="TJX408" s="268"/>
      <c r="TJY408" s="268"/>
      <c r="TJZ408" s="268"/>
      <c r="TKA408" s="268"/>
      <c r="TKB408" s="268"/>
      <c r="TKC408" s="268"/>
      <c r="TKD408" s="268"/>
      <c r="TKE408" s="268"/>
      <c r="TKF408" s="268"/>
      <c r="TKG408" s="268"/>
      <c r="TKH408" s="268"/>
      <c r="TKI408" s="268"/>
      <c r="TKW408" s="268"/>
      <c r="TKX408" s="268"/>
      <c r="TKY408" s="268"/>
      <c r="TLM408" s="268"/>
      <c r="TLO408" s="268"/>
      <c r="TLP408" s="268"/>
      <c r="TLQ408" s="268"/>
      <c r="TLR408" s="268"/>
      <c r="TLS408" s="268"/>
      <c r="TLT408" s="268"/>
      <c r="TLU408" s="268"/>
      <c r="TLV408" s="268"/>
      <c r="TLW408" s="268"/>
      <c r="TLX408" s="268"/>
      <c r="TLY408" s="268"/>
      <c r="TLZ408" s="268"/>
      <c r="TMA408" s="268"/>
      <c r="TMB408" s="268"/>
      <c r="TMC408" s="268"/>
      <c r="TMD408" s="268"/>
      <c r="TME408" s="268"/>
      <c r="TMF408" s="268"/>
      <c r="TMG408" s="268"/>
      <c r="TMH408" s="268"/>
      <c r="TMI408" s="268"/>
      <c r="TMJ408" s="268"/>
      <c r="TMK408" s="268"/>
      <c r="TML408" s="268"/>
      <c r="TMM408" s="268"/>
      <c r="TMN408" s="268"/>
      <c r="TMO408" s="268"/>
      <c r="TMP408" s="268"/>
      <c r="TMQ408" s="268"/>
      <c r="TMR408" s="268"/>
      <c r="TMS408" s="268"/>
      <c r="TMT408" s="268"/>
      <c r="TMU408" s="268"/>
      <c r="TMV408" s="268"/>
      <c r="TMW408" s="268"/>
      <c r="TMX408" s="268"/>
      <c r="TMY408" s="268"/>
      <c r="TMZ408" s="268"/>
      <c r="TNA408" s="268"/>
      <c r="TNB408" s="268"/>
      <c r="TNC408" s="268"/>
      <c r="TND408" s="268"/>
      <c r="TNE408" s="268"/>
      <c r="TNF408" s="268"/>
      <c r="TNG408" s="268"/>
      <c r="TNH408" s="268"/>
      <c r="TNI408" s="268"/>
      <c r="TNJ408" s="268"/>
      <c r="TNK408" s="268"/>
      <c r="TNL408" s="268"/>
      <c r="TNM408" s="268"/>
      <c r="TNN408" s="268"/>
      <c r="TNO408" s="268"/>
      <c r="TNP408" s="268"/>
      <c r="TNQ408" s="268"/>
      <c r="TNR408" s="268"/>
      <c r="TNS408" s="268"/>
      <c r="TNT408" s="268"/>
      <c r="TNU408" s="268"/>
      <c r="TNV408" s="268"/>
      <c r="TNW408" s="268"/>
      <c r="TNX408" s="268"/>
      <c r="TNY408" s="268"/>
      <c r="TNZ408" s="268"/>
      <c r="TOA408" s="268"/>
      <c r="TOB408" s="268"/>
      <c r="TOC408" s="268"/>
      <c r="TOD408" s="268"/>
      <c r="TOE408" s="268"/>
      <c r="TOF408" s="268"/>
      <c r="TOG408" s="268"/>
      <c r="TOH408" s="268"/>
      <c r="TOI408" s="268"/>
      <c r="TOJ408" s="268"/>
      <c r="TOK408" s="268"/>
      <c r="TOL408" s="268"/>
      <c r="TOM408" s="268"/>
      <c r="TON408" s="268"/>
      <c r="TOO408" s="268"/>
      <c r="TOP408" s="268"/>
      <c r="TOQ408" s="268"/>
      <c r="TOR408" s="268"/>
      <c r="TOS408" s="268"/>
      <c r="TOT408" s="268"/>
      <c r="TOU408" s="268"/>
      <c r="TOV408" s="268"/>
      <c r="TOW408" s="268"/>
      <c r="TOX408" s="268"/>
      <c r="TOY408" s="268"/>
      <c r="TOZ408" s="268"/>
      <c r="TPA408" s="268"/>
      <c r="TPB408" s="268"/>
      <c r="TPC408" s="268"/>
      <c r="TPD408" s="268"/>
      <c r="TPE408" s="268"/>
      <c r="TPF408" s="268"/>
      <c r="TPG408" s="268"/>
      <c r="TPH408" s="268"/>
      <c r="TPI408" s="268"/>
      <c r="TPJ408" s="268"/>
      <c r="TPK408" s="268"/>
      <c r="TPL408" s="268"/>
      <c r="TPM408" s="268"/>
      <c r="TPN408" s="268"/>
      <c r="TPO408" s="268"/>
      <c r="TPP408" s="268"/>
      <c r="TPQ408" s="268"/>
      <c r="TPR408" s="268"/>
      <c r="TPS408" s="268"/>
      <c r="TPT408" s="268"/>
      <c r="TPU408" s="268"/>
      <c r="TPV408" s="268"/>
      <c r="TPW408" s="268"/>
      <c r="TPX408" s="268"/>
      <c r="TPY408" s="268"/>
      <c r="TPZ408" s="268"/>
      <c r="TQA408" s="268"/>
      <c r="TQB408" s="268"/>
      <c r="TQC408" s="268"/>
      <c r="TQD408" s="268"/>
      <c r="TQE408" s="268"/>
      <c r="TQF408" s="268"/>
      <c r="TQG408" s="268"/>
      <c r="TQH408" s="268"/>
      <c r="TQI408" s="268"/>
      <c r="TQJ408" s="268"/>
      <c r="TQK408" s="268"/>
      <c r="TQL408" s="268"/>
      <c r="TQM408" s="268"/>
      <c r="TQN408" s="268"/>
      <c r="TQO408" s="268"/>
      <c r="TQP408" s="268"/>
      <c r="TQQ408" s="268"/>
      <c r="TQR408" s="268"/>
      <c r="TQS408" s="268"/>
      <c r="TQT408" s="268"/>
      <c r="TQU408" s="268"/>
      <c r="TQV408" s="268"/>
      <c r="TQW408" s="268"/>
      <c r="TQX408" s="268"/>
      <c r="TQY408" s="268"/>
      <c r="TQZ408" s="268"/>
      <c r="TRA408" s="268"/>
      <c r="TRB408" s="268"/>
      <c r="TRC408" s="268"/>
      <c r="TRD408" s="268"/>
      <c r="TRE408" s="268"/>
      <c r="TRF408" s="268"/>
      <c r="TRG408" s="268"/>
      <c r="TRH408" s="268"/>
      <c r="TRI408" s="268"/>
      <c r="TRJ408" s="268"/>
      <c r="TRK408" s="268"/>
      <c r="TRL408" s="268"/>
      <c r="TRM408" s="268"/>
      <c r="TRN408" s="268"/>
      <c r="TRO408" s="268"/>
      <c r="TRP408" s="268"/>
      <c r="TRQ408" s="268"/>
      <c r="TRR408" s="268"/>
      <c r="TRS408" s="268"/>
      <c r="TRT408" s="268"/>
      <c r="TRU408" s="268"/>
      <c r="TRV408" s="268"/>
      <c r="TRW408" s="268"/>
      <c r="TRX408" s="268"/>
      <c r="TRY408" s="268"/>
      <c r="TRZ408" s="268"/>
      <c r="TSA408" s="268"/>
      <c r="TSB408" s="268"/>
      <c r="TSC408" s="268"/>
      <c r="TSD408" s="268"/>
      <c r="TSE408" s="268"/>
      <c r="TSF408" s="268"/>
      <c r="TSG408" s="268"/>
      <c r="TSH408" s="268"/>
      <c r="TSI408" s="268"/>
      <c r="TSJ408" s="268"/>
      <c r="TSK408" s="268"/>
      <c r="TSL408" s="268"/>
      <c r="TSM408" s="268"/>
      <c r="TSN408" s="268"/>
      <c r="TSO408" s="268"/>
      <c r="TSP408" s="268"/>
      <c r="TSQ408" s="268"/>
      <c r="TSR408" s="268"/>
      <c r="TSS408" s="268"/>
      <c r="TST408" s="268"/>
      <c r="TSU408" s="268"/>
      <c r="TSV408" s="268"/>
      <c r="TSW408" s="268"/>
      <c r="TSX408" s="268"/>
      <c r="TSY408" s="268"/>
      <c r="TSZ408" s="268"/>
      <c r="TTA408" s="268"/>
      <c r="TTB408" s="268"/>
      <c r="TTC408" s="268"/>
      <c r="TTD408" s="268"/>
      <c r="TTE408" s="268"/>
      <c r="TTF408" s="268"/>
      <c r="TTG408" s="268"/>
      <c r="TTH408" s="268"/>
      <c r="TTI408" s="268"/>
      <c r="TTJ408" s="268"/>
      <c r="TTK408" s="268"/>
      <c r="TTL408" s="268"/>
      <c r="TTM408" s="268"/>
      <c r="TTN408" s="268"/>
      <c r="TTO408" s="268"/>
      <c r="TTP408" s="268"/>
      <c r="TTQ408" s="268"/>
      <c r="TTR408" s="268"/>
      <c r="TTS408" s="268"/>
      <c r="TTT408" s="268"/>
      <c r="TTU408" s="268"/>
      <c r="TTV408" s="268"/>
      <c r="TTW408" s="268"/>
      <c r="TTX408" s="268"/>
      <c r="TTY408" s="268"/>
      <c r="TTZ408" s="268"/>
      <c r="TUA408" s="268"/>
      <c r="TUB408" s="268"/>
      <c r="TUC408" s="268"/>
      <c r="TUD408" s="268"/>
      <c r="TUE408" s="268"/>
      <c r="TUS408" s="268"/>
      <c r="TUT408" s="268"/>
      <c r="TUU408" s="268"/>
      <c r="TVI408" s="268"/>
      <c r="TVK408" s="268"/>
      <c r="TVL408" s="268"/>
      <c r="TVM408" s="268"/>
      <c r="TVN408" s="268"/>
      <c r="TVO408" s="268"/>
      <c r="TVP408" s="268"/>
      <c r="TVQ408" s="268"/>
      <c r="TVR408" s="268"/>
      <c r="TVS408" s="268"/>
      <c r="TVT408" s="268"/>
      <c r="TVU408" s="268"/>
      <c r="TVV408" s="268"/>
      <c r="TVW408" s="268"/>
      <c r="TVX408" s="268"/>
      <c r="TVY408" s="268"/>
      <c r="TVZ408" s="268"/>
      <c r="TWA408" s="268"/>
      <c r="TWB408" s="268"/>
      <c r="TWC408" s="268"/>
      <c r="TWD408" s="268"/>
      <c r="TWE408" s="268"/>
      <c r="TWF408" s="268"/>
      <c r="TWG408" s="268"/>
      <c r="TWH408" s="268"/>
      <c r="TWI408" s="268"/>
      <c r="TWJ408" s="268"/>
      <c r="TWK408" s="268"/>
      <c r="TWL408" s="268"/>
      <c r="TWM408" s="268"/>
      <c r="TWN408" s="268"/>
      <c r="TWO408" s="268"/>
      <c r="TWP408" s="268"/>
      <c r="TWQ408" s="268"/>
      <c r="TWR408" s="268"/>
      <c r="TWS408" s="268"/>
      <c r="TWT408" s="268"/>
      <c r="TWU408" s="268"/>
      <c r="TWV408" s="268"/>
      <c r="TWW408" s="268"/>
      <c r="TWX408" s="268"/>
      <c r="TWY408" s="268"/>
      <c r="TWZ408" s="268"/>
      <c r="TXA408" s="268"/>
      <c r="TXB408" s="268"/>
      <c r="TXC408" s="268"/>
      <c r="TXD408" s="268"/>
      <c r="TXE408" s="268"/>
      <c r="TXF408" s="268"/>
      <c r="TXG408" s="268"/>
      <c r="TXH408" s="268"/>
      <c r="TXI408" s="268"/>
      <c r="TXJ408" s="268"/>
      <c r="TXK408" s="268"/>
      <c r="TXL408" s="268"/>
      <c r="TXM408" s="268"/>
      <c r="TXN408" s="268"/>
      <c r="TXO408" s="268"/>
      <c r="TXP408" s="268"/>
      <c r="TXQ408" s="268"/>
      <c r="TXR408" s="268"/>
      <c r="TXS408" s="268"/>
      <c r="TXT408" s="268"/>
      <c r="TXU408" s="268"/>
      <c r="TXV408" s="268"/>
      <c r="TXW408" s="268"/>
      <c r="TXX408" s="268"/>
      <c r="TXY408" s="268"/>
      <c r="TXZ408" s="268"/>
      <c r="TYA408" s="268"/>
      <c r="TYB408" s="268"/>
      <c r="TYC408" s="268"/>
      <c r="TYD408" s="268"/>
      <c r="TYE408" s="268"/>
      <c r="TYF408" s="268"/>
      <c r="TYG408" s="268"/>
      <c r="TYH408" s="268"/>
      <c r="TYI408" s="268"/>
      <c r="TYJ408" s="268"/>
      <c r="TYK408" s="268"/>
      <c r="TYL408" s="268"/>
      <c r="TYM408" s="268"/>
      <c r="TYN408" s="268"/>
      <c r="TYO408" s="268"/>
      <c r="TYP408" s="268"/>
      <c r="TYQ408" s="268"/>
      <c r="TYR408" s="268"/>
      <c r="TYS408" s="268"/>
      <c r="TYT408" s="268"/>
      <c r="TYU408" s="268"/>
      <c r="TYV408" s="268"/>
      <c r="TYW408" s="268"/>
      <c r="TYX408" s="268"/>
      <c r="TYY408" s="268"/>
      <c r="TYZ408" s="268"/>
      <c r="TZA408" s="268"/>
      <c r="TZB408" s="268"/>
      <c r="TZC408" s="268"/>
      <c r="TZD408" s="268"/>
      <c r="TZE408" s="268"/>
      <c r="TZF408" s="268"/>
      <c r="TZG408" s="268"/>
      <c r="TZH408" s="268"/>
      <c r="TZI408" s="268"/>
      <c r="TZJ408" s="268"/>
      <c r="TZK408" s="268"/>
      <c r="TZL408" s="268"/>
      <c r="TZM408" s="268"/>
      <c r="TZN408" s="268"/>
      <c r="TZO408" s="268"/>
      <c r="TZP408" s="268"/>
      <c r="TZQ408" s="268"/>
      <c r="TZR408" s="268"/>
      <c r="TZS408" s="268"/>
      <c r="TZT408" s="268"/>
      <c r="TZU408" s="268"/>
      <c r="TZV408" s="268"/>
      <c r="TZW408" s="268"/>
      <c r="TZX408" s="268"/>
      <c r="TZY408" s="268"/>
      <c r="TZZ408" s="268"/>
      <c r="UAA408" s="268"/>
      <c r="UAB408" s="268"/>
      <c r="UAC408" s="268"/>
      <c r="UAD408" s="268"/>
      <c r="UAE408" s="268"/>
      <c r="UAF408" s="268"/>
      <c r="UAG408" s="268"/>
      <c r="UAH408" s="268"/>
      <c r="UAI408" s="268"/>
      <c r="UAJ408" s="268"/>
      <c r="UAK408" s="268"/>
      <c r="UAL408" s="268"/>
      <c r="UAM408" s="268"/>
      <c r="UAN408" s="268"/>
      <c r="UAO408" s="268"/>
      <c r="UAP408" s="268"/>
      <c r="UAQ408" s="268"/>
      <c r="UAR408" s="268"/>
      <c r="UAS408" s="268"/>
      <c r="UAT408" s="268"/>
      <c r="UAU408" s="268"/>
      <c r="UAV408" s="268"/>
      <c r="UAW408" s="268"/>
      <c r="UAX408" s="268"/>
      <c r="UAY408" s="268"/>
      <c r="UAZ408" s="268"/>
      <c r="UBA408" s="268"/>
      <c r="UBB408" s="268"/>
      <c r="UBC408" s="268"/>
      <c r="UBD408" s="268"/>
      <c r="UBE408" s="268"/>
      <c r="UBF408" s="268"/>
      <c r="UBG408" s="268"/>
      <c r="UBH408" s="268"/>
      <c r="UBI408" s="268"/>
      <c r="UBJ408" s="268"/>
      <c r="UBK408" s="268"/>
      <c r="UBL408" s="268"/>
      <c r="UBM408" s="268"/>
      <c r="UBN408" s="268"/>
      <c r="UBO408" s="268"/>
      <c r="UBP408" s="268"/>
      <c r="UBQ408" s="268"/>
      <c r="UBR408" s="268"/>
      <c r="UBS408" s="268"/>
      <c r="UBT408" s="268"/>
      <c r="UBU408" s="268"/>
      <c r="UBV408" s="268"/>
      <c r="UBW408" s="268"/>
      <c r="UBX408" s="268"/>
      <c r="UBY408" s="268"/>
      <c r="UBZ408" s="268"/>
      <c r="UCA408" s="268"/>
      <c r="UCB408" s="268"/>
      <c r="UCC408" s="268"/>
      <c r="UCD408" s="268"/>
      <c r="UCE408" s="268"/>
      <c r="UCF408" s="268"/>
      <c r="UCG408" s="268"/>
      <c r="UCH408" s="268"/>
      <c r="UCI408" s="268"/>
      <c r="UCJ408" s="268"/>
      <c r="UCK408" s="268"/>
      <c r="UCL408" s="268"/>
      <c r="UCM408" s="268"/>
      <c r="UCN408" s="268"/>
      <c r="UCO408" s="268"/>
      <c r="UCP408" s="268"/>
      <c r="UCQ408" s="268"/>
      <c r="UCR408" s="268"/>
      <c r="UCS408" s="268"/>
      <c r="UCT408" s="268"/>
      <c r="UCU408" s="268"/>
      <c r="UCV408" s="268"/>
      <c r="UCW408" s="268"/>
      <c r="UCX408" s="268"/>
      <c r="UCY408" s="268"/>
      <c r="UCZ408" s="268"/>
      <c r="UDA408" s="268"/>
      <c r="UDB408" s="268"/>
      <c r="UDC408" s="268"/>
      <c r="UDD408" s="268"/>
      <c r="UDE408" s="268"/>
      <c r="UDF408" s="268"/>
      <c r="UDG408" s="268"/>
      <c r="UDH408" s="268"/>
      <c r="UDI408" s="268"/>
      <c r="UDJ408" s="268"/>
      <c r="UDK408" s="268"/>
      <c r="UDL408" s="268"/>
      <c r="UDM408" s="268"/>
      <c r="UDN408" s="268"/>
      <c r="UDO408" s="268"/>
      <c r="UDP408" s="268"/>
      <c r="UDQ408" s="268"/>
      <c r="UDR408" s="268"/>
      <c r="UDS408" s="268"/>
      <c r="UDT408" s="268"/>
      <c r="UDU408" s="268"/>
      <c r="UDV408" s="268"/>
      <c r="UDW408" s="268"/>
      <c r="UDX408" s="268"/>
      <c r="UDY408" s="268"/>
      <c r="UDZ408" s="268"/>
      <c r="UEA408" s="268"/>
      <c r="UEO408" s="268"/>
      <c r="UEP408" s="268"/>
      <c r="UEQ408" s="268"/>
      <c r="UFE408" s="268"/>
      <c r="UFG408" s="268"/>
      <c r="UFH408" s="268"/>
      <c r="UFI408" s="268"/>
      <c r="UFJ408" s="268"/>
      <c r="UFK408" s="268"/>
      <c r="UFL408" s="268"/>
      <c r="UFM408" s="268"/>
      <c r="UFN408" s="268"/>
      <c r="UFO408" s="268"/>
      <c r="UFP408" s="268"/>
      <c r="UFQ408" s="268"/>
      <c r="UFR408" s="268"/>
      <c r="UFS408" s="268"/>
      <c r="UFT408" s="268"/>
      <c r="UFU408" s="268"/>
      <c r="UFV408" s="268"/>
      <c r="UFW408" s="268"/>
      <c r="UFX408" s="268"/>
      <c r="UFY408" s="268"/>
      <c r="UFZ408" s="268"/>
      <c r="UGA408" s="268"/>
      <c r="UGB408" s="268"/>
      <c r="UGC408" s="268"/>
      <c r="UGD408" s="268"/>
      <c r="UGE408" s="268"/>
      <c r="UGF408" s="268"/>
      <c r="UGG408" s="268"/>
      <c r="UGH408" s="268"/>
      <c r="UGI408" s="268"/>
      <c r="UGJ408" s="268"/>
      <c r="UGK408" s="268"/>
      <c r="UGL408" s="268"/>
      <c r="UGM408" s="268"/>
      <c r="UGN408" s="268"/>
      <c r="UGO408" s="268"/>
      <c r="UGP408" s="268"/>
      <c r="UGQ408" s="268"/>
      <c r="UGR408" s="268"/>
      <c r="UGS408" s="268"/>
      <c r="UGT408" s="268"/>
      <c r="UGU408" s="268"/>
      <c r="UGV408" s="268"/>
      <c r="UGW408" s="268"/>
      <c r="UGX408" s="268"/>
      <c r="UGY408" s="268"/>
      <c r="UGZ408" s="268"/>
      <c r="UHA408" s="268"/>
      <c r="UHB408" s="268"/>
      <c r="UHC408" s="268"/>
      <c r="UHD408" s="268"/>
      <c r="UHE408" s="268"/>
      <c r="UHF408" s="268"/>
      <c r="UHG408" s="268"/>
      <c r="UHH408" s="268"/>
      <c r="UHI408" s="268"/>
      <c r="UHJ408" s="268"/>
      <c r="UHK408" s="268"/>
      <c r="UHL408" s="268"/>
      <c r="UHM408" s="268"/>
      <c r="UHN408" s="268"/>
      <c r="UHO408" s="268"/>
      <c r="UHP408" s="268"/>
      <c r="UHQ408" s="268"/>
      <c r="UHR408" s="268"/>
      <c r="UHS408" s="268"/>
      <c r="UHT408" s="268"/>
      <c r="UHU408" s="268"/>
      <c r="UHV408" s="268"/>
      <c r="UHW408" s="268"/>
      <c r="UHX408" s="268"/>
      <c r="UHY408" s="268"/>
      <c r="UHZ408" s="268"/>
      <c r="UIA408" s="268"/>
      <c r="UIB408" s="268"/>
      <c r="UIC408" s="268"/>
      <c r="UID408" s="268"/>
      <c r="UIE408" s="268"/>
      <c r="UIF408" s="268"/>
      <c r="UIG408" s="268"/>
      <c r="UIH408" s="268"/>
      <c r="UII408" s="268"/>
      <c r="UIJ408" s="268"/>
      <c r="UIK408" s="268"/>
      <c r="UIL408" s="268"/>
      <c r="UIM408" s="268"/>
      <c r="UIN408" s="268"/>
      <c r="UIO408" s="268"/>
      <c r="UIP408" s="268"/>
      <c r="UIQ408" s="268"/>
      <c r="UIR408" s="268"/>
      <c r="UIS408" s="268"/>
      <c r="UIT408" s="268"/>
      <c r="UIU408" s="268"/>
      <c r="UIV408" s="268"/>
      <c r="UIW408" s="268"/>
      <c r="UIX408" s="268"/>
      <c r="UIY408" s="268"/>
      <c r="UIZ408" s="268"/>
      <c r="UJA408" s="268"/>
      <c r="UJB408" s="268"/>
      <c r="UJC408" s="268"/>
      <c r="UJD408" s="268"/>
      <c r="UJE408" s="268"/>
      <c r="UJF408" s="268"/>
      <c r="UJG408" s="268"/>
      <c r="UJH408" s="268"/>
      <c r="UJI408" s="268"/>
      <c r="UJJ408" s="268"/>
      <c r="UJK408" s="268"/>
      <c r="UJL408" s="268"/>
      <c r="UJM408" s="268"/>
      <c r="UJN408" s="268"/>
      <c r="UJO408" s="268"/>
      <c r="UJP408" s="268"/>
      <c r="UJQ408" s="268"/>
      <c r="UJR408" s="268"/>
      <c r="UJS408" s="268"/>
      <c r="UJT408" s="268"/>
      <c r="UJU408" s="268"/>
      <c r="UJV408" s="268"/>
      <c r="UJW408" s="268"/>
      <c r="UJX408" s="268"/>
      <c r="UJY408" s="268"/>
      <c r="UJZ408" s="268"/>
      <c r="UKA408" s="268"/>
      <c r="UKB408" s="268"/>
      <c r="UKC408" s="268"/>
      <c r="UKD408" s="268"/>
      <c r="UKE408" s="268"/>
      <c r="UKF408" s="268"/>
      <c r="UKG408" s="268"/>
      <c r="UKH408" s="268"/>
      <c r="UKI408" s="268"/>
      <c r="UKJ408" s="268"/>
      <c r="UKK408" s="268"/>
      <c r="UKL408" s="268"/>
      <c r="UKM408" s="268"/>
      <c r="UKN408" s="268"/>
      <c r="UKO408" s="268"/>
      <c r="UKP408" s="268"/>
      <c r="UKQ408" s="268"/>
      <c r="UKR408" s="268"/>
      <c r="UKS408" s="268"/>
      <c r="UKT408" s="268"/>
      <c r="UKU408" s="268"/>
      <c r="UKV408" s="268"/>
      <c r="UKW408" s="268"/>
      <c r="UKX408" s="268"/>
      <c r="UKY408" s="268"/>
      <c r="UKZ408" s="268"/>
      <c r="ULA408" s="268"/>
      <c r="ULB408" s="268"/>
      <c r="ULC408" s="268"/>
      <c r="ULD408" s="268"/>
      <c r="ULE408" s="268"/>
      <c r="ULF408" s="268"/>
      <c r="ULG408" s="268"/>
      <c r="ULH408" s="268"/>
      <c r="ULI408" s="268"/>
      <c r="ULJ408" s="268"/>
      <c r="ULK408" s="268"/>
      <c r="ULL408" s="268"/>
      <c r="ULM408" s="268"/>
      <c r="ULN408" s="268"/>
      <c r="ULO408" s="268"/>
      <c r="ULP408" s="268"/>
      <c r="ULQ408" s="268"/>
      <c r="ULR408" s="268"/>
      <c r="ULS408" s="268"/>
      <c r="ULT408" s="268"/>
      <c r="ULU408" s="268"/>
      <c r="ULV408" s="268"/>
      <c r="ULW408" s="268"/>
      <c r="ULX408" s="268"/>
      <c r="ULY408" s="268"/>
      <c r="ULZ408" s="268"/>
      <c r="UMA408" s="268"/>
      <c r="UMB408" s="268"/>
      <c r="UMC408" s="268"/>
      <c r="UMD408" s="268"/>
      <c r="UME408" s="268"/>
      <c r="UMF408" s="268"/>
      <c r="UMG408" s="268"/>
      <c r="UMH408" s="268"/>
      <c r="UMI408" s="268"/>
      <c r="UMJ408" s="268"/>
      <c r="UMK408" s="268"/>
      <c r="UML408" s="268"/>
      <c r="UMM408" s="268"/>
      <c r="UMN408" s="268"/>
      <c r="UMO408" s="268"/>
      <c r="UMP408" s="268"/>
      <c r="UMQ408" s="268"/>
      <c r="UMR408" s="268"/>
      <c r="UMS408" s="268"/>
      <c r="UMT408" s="268"/>
      <c r="UMU408" s="268"/>
      <c r="UMV408" s="268"/>
      <c r="UMW408" s="268"/>
      <c r="UMX408" s="268"/>
      <c r="UMY408" s="268"/>
      <c r="UMZ408" s="268"/>
      <c r="UNA408" s="268"/>
      <c r="UNB408" s="268"/>
      <c r="UNC408" s="268"/>
      <c r="UND408" s="268"/>
      <c r="UNE408" s="268"/>
      <c r="UNF408" s="268"/>
      <c r="UNG408" s="268"/>
      <c r="UNH408" s="268"/>
      <c r="UNI408" s="268"/>
      <c r="UNJ408" s="268"/>
      <c r="UNK408" s="268"/>
      <c r="UNL408" s="268"/>
      <c r="UNM408" s="268"/>
      <c r="UNN408" s="268"/>
      <c r="UNO408" s="268"/>
      <c r="UNP408" s="268"/>
      <c r="UNQ408" s="268"/>
      <c r="UNR408" s="268"/>
      <c r="UNS408" s="268"/>
      <c r="UNT408" s="268"/>
      <c r="UNU408" s="268"/>
      <c r="UNV408" s="268"/>
      <c r="UNW408" s="268"/>
      <c r="UOK408" s="268"/>
      <c r="UOL408" s="268"/>
      <c r="UOM408" s="268"/>
      <c r="UPA408" s="268"/>
      <c r="UPC408" s="268"/>
      <c r="UPD408" s="268"/>
      <c r="UPE408" s="268"/>
      <c r="UPF408" s="268"/>
      <c r="UPG408" s="268"/>
      <c r="UPH408" s="268"/>
      <c r="UPI408" s="268"/>
      <c r="UPJ408" s="268"/>
      <c r="UPK408" s="268"/>
      <c r="UPL408" s="268"/>
      <c r="UPM408" s="268"/>
      <c r="UPN408" s="268"/>
      <c r="UPO408" s="268"/>
      <c r="UPP408" s="268"/>
      <c r="UPQ408" s="268"/>
      <c r="UPR408" s="268"/>
      <c r="UPS408" s="268"/>
      <c r="UPT408" s="268"/>
      <c r="UPU408" s="268"/>
      <c r="UPV408" s="268"/>
      <c r="UPW408" s="268"/>
      <c r="UPX408" s="268"/>
      <c r="UPY408" s="268"/>
      <c r="UPZ408" s="268"/>
      <c r="UQA408" s="268"/>
      <c r="UQB408" s="268"/>
      <c r="UQC408" s="268"/>
      <c r="UQD408" s="268"/>
      <c r="UQE408" s="268"/>
      <c r="UQF408" s="268"/>
      <c r="UQG408" s="268"/>
      <c r="UQH408" s="268"/>
      <c r="UQI408" s="268"/>
      <c r="UQJ408" s="268"/>
      <c r="UQK408" s="268"/>
      <c r="UQL408" s="268"/>
      <c r="UQM408" s="268"/>
      <c r="UQN408" s="268"/>
      <c r="UQO408" s="268"/>
      <c r="UQP408" s="268"/>
      <c r="UQQ408" s="268"/>
      <c r="UQR408" s="268"/>
      <c r="UQS408" s="268"/>
      <c r="UQT408" s="268"/>
      <c r="UQU408" s="268"/>
      <c r="UQV408" s="268"/>
      <c r="UQW408" s="268"/>
      <c r="UQX408" s="268"/>
      <c r="UQY408" s="268"/>
      <c r="UQZ408" s="268"/>
      <c r="URA408" s="268"/>
      <c r="URB408" s="268"/>
      <c r="URC408" s="268"/>
      <c r="URD408" s="268"/>
      <c r="URE408" s="268"/>
      <c r="URF408" s="268"/>
      <c r="URG408" s="268"/>
      <c r="URH408" s="268"/>
      <c r="URI408" s="268"/>
      <c r="URJ408" s="268"/>
      <c r="URK408" s="268"/>
      <c r="URL408" s="268"/>
      <c r="URM408" s="268"/>
      <c r="URN408" s="268"/>
      <c r="URO408" s="268"/>
      <c r="URP408" s="268"/>
      <c r="URQ408" s="268"/>
      <c r="URR408" s="268"/>
      <c r="URS408" s="268"/>
      <c r="URT408" s="268"/>
      <c r="URU408" s="268"/>
      <c r="URV408" s="268"/>
      <c r="URW408" s="268"/>
      <c r="URX408" s="268"/>
      <c r="URY408" s="268"/>
      <c r="URZ408" s="268"/>
      <c r="USA408" s="268"/>
      <c r="USB408" s="268"/>
      <c r="USC408" s="268"/>
      <c r="USD408" s="268"/>
      <c r="USE408" s="268"/>
      <c r="USF408" s="268"/>
      <c r="USG408" s="268"/>
      <c r="USH408" s="268"/>
      <c r="USI408" s="268"/>
      <c r="USJ408" s="268"/>
      <c r="USK408" s="268"/>
      <c r="USL408" s="268"/>
      <c r="USM408" s="268"/>
      <c r="USN408" s="268"/>
      <c r="USO408" s="268"/>
      <c r="USP408" s="268"/>
      <c r="USQ408" s="268"/>
      <c r="USR408" s="268"/>
      <c r="USS408" s="268"/>
      <c r="UST408" s="268"/>
      <c r="USU408" s="268"/>
      <c r="USV408" s="268"/>
      <c r="USW408" s="268"/>
      <c r="USX408" s="268"/>
      <c r="USY408" s="268"/>
      <c r="USZ408" s="268"/>
      <c r="UTA408" s="268"/>
      <c r="UTB408" s="268"/>
      <c r="UTC408" s="268"/>
      <c r="UTD408" s="268"/>
      <c r="UTE408" s="268"/>
      <c r="UTF408" s="268"/>
      <c r="UTG408" s="268"/>
      <c r="UTH408" s="268"/>
      <c r="UTI408" s="268"/>
      <c r="UTJ408" s="268"/>
      <c r="UTK408" s="268"/>
      <c r="UTL408" s="268"/>
      <c r="UTM408" s="268"/>
      <c r="UTN408" s="268"/>
      <c r="UTO408" s="268"/>
      <c r="UTP408" s="268"/>
      <c r="UTQ408" s="268"/>
      <c r="UTR408" s="268"/>
      <c r="UTS408" s="268"/>
      <c r="UTT408" s="268"/>
      <c r="UTU408" s="268"/>
      <c r="UTV408" s="268"/>
      <c r="UTW408" s="268"/>
      <c r="UTX408" s="268"/>
      <c r="UTY408" s="268"/>
      <c r="UTZ408" s="268"/>
      <c r="UUA408" s="268"/>
      <c r="UUB408" s="268"/>
      <c r="UUC408" s="268"/>
      <c r="UUD408" s="268"/>
      <c r="UUE408" s="268"/>
      <c r="UUF408" s="268"/>
      <c r="UUG408" s="268"/>
      <c r="UUH408" s="268"/>
      <c r="UUI408" s="268"/>
      <c r="UUJ408" s="268"/>
      <c r="UUK408" s="268"/>
      <c r="UUL408" s="268"/>
      <c r="UUM408" s="268"/>
      <c r="UUN408" s="268"/>
      <c r="UUO408" s="268"/>
      <c r="UUP408" s="268"/>
      <c r="UUQ408" s="268"/>
      <c r="UUR408" s="268"/>
      <c r="UUS408" s="268"/>
      <c r="UUT408" s="268"/>
      <c r="UUU408" s="268"/>
      <c r="UUV408" s="268"/>
      <c r="UUW408" s="268"/>
      <c r="UUX408" s="268"/>
      <c r="UUY408" s="268"/>
      <c r="UUZ408" s="268"/>
      <c r="UVA408" s="268"/>
      <c r="UVB408" s="268"/>
      <c r="UVC408" s="268"/>
      <c r="UVD408" s="268"/>
      <c r="UVE408" s="268"/>
      <c r="UVF408" s="268"/>
      <c r="UVG408" s="268"/>
      <c r="UVH408" s="268"/>
      <c r="UVI408" s="268"/>
      <c r="UVJ408" s="268"/>
      <c r="UVK408" s="268"/>
      <c r="UVL408" s="268"/>
      <c r="UVM408" s="268"/>
      <c r="UVN408" s="268"/>
      <c r="UVO408" s="268"/>
      <c r="UVP408" s="268"/>
      <c r="UVQ408" s="268"/>
      <c r="UVR408" s="268"/>
      <c r="UVS408" s="268"/>
      <c r="UVT408" s="268"/>
      <c r="UVU408" s="268"/>
      <c r="UVV408" s="268"/>
      <c r="UVW408" s="268"/>
      <c r="UVX408" s="268"/>
      <c r="UVY408" s="268"/>
      <c r="UVZ408" s="268"/>
      <c r="UWA408" s="268"/>
      <c r="UWB408" s="268"/>
      <c r="UWC408" s="268"/>
      <c r="UWD408" s="268"/>
      <c r="UWE408" s="268"/>
      <c r="UWF408" s="268"/>
      <c r="UWG408" s="268"/>
      <c r="UWH408" s="268"/>
      <c r="UWI408" s="268"/>
      <c r="UWJ408" s="268"/>
      <c r="UWK408" s="268"/>
      <c r="UWL408" s="268"/>
      <c r="UWM408" s="268"/>
      <c r="UWN408" s="268"/>
      <c r="UWO408" s="268"/>
      <c r="UWP408" s="268"/>
      <c r="UWQ408" s="268"/>
      <c r="UWR408" s="268"/>
      <c r="UWS408" s="268"/>
      <c r="UWT408" s="268"/>
      <c r="UWU408" s="268"/>
      <c r="UWV408" s="268"/>
      <c r="UWW408" s="268"/>
      <c r="UWX408" s="268"/>
      <c r="UWY408" s="268"/>
      <c r="UWZ408" s="268"/>
      <c r="UXA408" s="268"/>
      <c r="UXB408" s="268"/>
      <c r="UXC408" s="268"/>
      <c r="UXD408" s="268"/>
      <c r="UXE408" s="268"/>
      <c r="UXF408" s="268"/>
      <c r="UXG408" s="268"/>
      <c r="UXH408" s="268"/>
      <c r="UXI408" s="268"/>
      <c r="UXJ408" s="268"/>
      <c r="UXK408" s="268"/>
      <c r="UXL408" s="268"/>
      <c r="UXM408" s="268"/>
      <c r="UXN408" s="268"/>
      <c r="UXO408" s="268"/>
      <c r="UXP408" s="268"/>
      <c r="UXQ408" s="268"/>
      <c r="UXR408" s="268"/>
      <c r="UXS408" s="268"/>
      <c r="UYG408" s="268"/>
      <c r="UYH408" s="268"/>
      <c r="UYI408" s="268"/>
      <c r="UYW408" s="268"/>
      <c r="UYY408" s="268"/>
      <c r="UYZ408" s="268"/>
      <c r="UZA408" s="268"/>
      <c r="UZB408" s="268"/>
      <c r="UZC408" s="268"/>
      <c r="UZD408" s="268"/>
      <c r="UZE408" s="268"/>
      <c r="UZF408" s="268"/>
      <c r="UZG408" s="268"/>
      <c r="UZH408" s="268"/>
      <c r="UZI408" s="268"/>
      <c r="UZJ408" s="268"/>
      <c r="UZK408" s="268"/>
      <c r="UZL408" s="268"/>
      <c r="UZM408" s="268"/>
      <c r="UZN408" s="268"/>
      <c r="UZO408" s="268"/>
      <c r="UZP408" s="268"/>
      <c r="UZQ408" s="268"/>
      <c r="UZR408" s="268"/>
      <c r="UZS408" s="268"/>
      <c r="UZT408" s="268"/>
      <c r="UZU408" s="268"/>
      <c r="UZV408" s="268"/>
      <c r="UZW408" s="268"/>
      <c r="UZX408" s="268"/>
      <c r="UZY408" s="268"/>
      <c r="UZZ408" s="268"/>
      <c r="VAA408" s="268"/>
      <c r="VAB408" s="268"/>
      <c r="VAC408" s="268"/>
      <c r="VAD408" s="268"/>
      <c r="VAE408" s="268"/>
      <c r="VAF408" s="268"/>
      <c r="VAG408" s="268"/>
      <c r="VAH408" s="268"/>
      <c r="VAI408" s="268"/>
      <c r="VAJ408" s="268"/>
      <c r="VAK408" s="268"/>
      <c r="VAL408" s="268"/>
      <c r="VAM408" s="268"/>
      <c r="VAN408" s="268"/>
      <c r="VAO408" s="268"/>
      <c r="VAP408" s="268"/>
      <c r="VAQ408" s="268"/>
      <c r="VAR408" s="268"/>
      <c r="VAS408" s="268"/>
      <c r="VAT408" s="268"/>
      <c r="VAU408" s="268"/>
      <c r="VAV408" s="268"/>
      <c r="VAW408" s="268"/>
      <c r="VAX408" s="268"/>
      <c r="VAY408" s="268"/>
      <c r="VAZ408" s="268"/>
      <c r="VBA408" s="268"/>
      <c r="VBB408" s="268"/>
      <c r="VBC408" s="268"/>
      <c r="VBD408" s="268"/>
      <c r="VBE408" s="268"/>
      <c r="VBF408" s="268"/>
      <c r="VBG408" s="268"/>
      <c r="VBH408" s="268"/>
      <c r="VBI408" s="268"/>
      <c r="VBJ408" s="268"/>
      <c r="VBK408" s="268"/>
      <c r="VBL408" s="268"/>
      <c r="VBM408" s="268"/>
      <c r="VBN408" s="268"/>
      <c r="VBO408" s="268"/>
      <c r="VBP408" s="268"/>
      <c r="VBQ408" s="268"/>
      <c r="VBR408" s="268"/>
      <c r="VBS408" s="268"/>
      <c r="VBT408" s="268"/>
      <c r="VBU408" s="268"/>
      <c r="VBV408" s="268"/>
      <c r="VBW408" s="268"/>
      <c r="VBX408" s="268"/>
      <c r="VBY408" s="268"/>
      <c r="VBZ408" s="268"/>
      <c r="VCA408" s="268"/>
      <c r="VCB408" s="268"/>
      <c r="VCC408" s="268"/>
      <c r="VCD408" s="268"/>
      <c r="VCE408" s="268"/>
      <c r="VCF408" s="268"/>
      <c r="VCG408" s="268"/>
      <c r="VCH408" s="268"/>
      <c r="VCI408" s="268"/>
      <c r="VCJ408" s="268"/>
      <c r="VCK408" s="268"/>
      <c r="VCL408" s="268"/>
      <c r="VCM408" s="268"/>
      <c r="VCN408" s="268"/>
      <c r="VCO408" s="268"/>
      <c r="VCP408" s="268"/>
      <c r="VCQ408" s="268"/>
      <c r="VCR408" s="268"/>
      <c r="VCS408" s="268"/>
      <c r="VCT408" s="268"/>
      <c r="VCU408" s="268"/>
      <c r="VCV408" s="268"/>
      <c r="VCW408" s="268"/>
      <c r="VCX408" s="268"/>
      <c r="VCY408" s="268"/>
      <c r="VCZ408" s="268"/>
      <c r="VDA408" s="268"/>
      <c r="VDB408" s="268"/>
      <c r="VDC408" s="268"/>
      <c r="VDD408" s="268"/>
      <c r="VDE408" s="268"/>
      <c r="VDF408" s="268"/>
      <c r="VDG408" s="268"/>
      <c r="VDH408" s="268"/>
      <c r="VDI408" s="268"/>
      <c r="VDJ408" s="268"/>
      <c r="VDK408" s="268"/>
      <c r="VDL408" s="268"/>
      <c r="VDM408" s="268"/>
      <c r="VDN408" s="268"/>
      <c r="VDO408" s="268"/>
      <c r="VDP408" s="268"/>
      <c r="VDQ408" s="268"/>
      <c r="VDR408" s="268"/>
      <c r="VDS408" s="268"/>
      <c r="VDT408" s="268"/>
      <c r="VDU408" s="268"/>
      <c r="VDV408" s="268"/>
      <c r="VDW408" s="268"/>
      <c r="VDX408" s="268"/>
      <c r="VDY408" s="268"/>
      <c r="VDZ408" s="268"/>
      <c r="VEA408" s="268"/>
      <c r="VEB408" s="268"/>
      <c r="VEC408" s="268"/>
      <c r="VED408" s="268"/>
      <c r="VEE408" s="268"/>
      <c r="VEF408" s="268"/>
      <c r="VEG408" s="268"/>
      <c r="VEH408" s="268"/>
      <c r="VEI408" s="268"/>
      <c r="VEJ408" s="268"/>
      <c r="VEK408" s="268"/>
      <c r="VEL408" s="268"/>
      <c r="VEM408" s="268"/>
      <c r="VEN408" s="268"/>
      <c r="VEO408" s="268"/>
      <c r="VEP408" s="268"/>
      <c r="VEQ408" s="268"/>
      <c r="VER408" s="268"/>
      <c r="VES408" s="268"/>
      <c r="VET408" s="268"/>
      <c r="VEU408" s="268"/>
      <c r="VEV408" s="268"/>
      <c r="VEW408" s="268"/>
      <c r="VEX408" s="268"/>
      <c r="VEY408" s="268"/>
      <c r="VEZ408" s="268"/>
      <c r="VFA408" s="268"/>
      <c r="VFB408" s="268"/>
      <c r="VFC408" s="268"/>
      <c r="VFD408" s="268"/>
      <c r="VFE408" s="268"/>
      <c r="VFF408" s="268"/>
      <c r="VFG408" s="268"/>
      <c r="VFH408" s="268"/>
      <c r="VFI408" s="268"/>
      <c r="VFJ408" s="268"/>
      <c r="VFK408" s="268"/>
      <c r="VFL408" s="268"/>
      <c r="VFM408" s="268"/>
      <c r="VFN408" s="268"/>
      <c r="VFO408" s="268"/>
      <c r="VFP408" s="268"/>
      <c r="VFQ408" s="268"/>
      <c r="VFR408" s="268"/>
      <c r="VFS408" s="268"/>
      <c r="VFT408" s="268"/>
      <c r="VFU408" s="268"/>
      <c r="VFV408" s="268"/>
      <c r="VFW408" s="268"/>
      <c r="VFX408" s="268"/>
      <c r="VFY408" s="268"/>
      <c r="VFZ408" s="268"/>
      <c r="VGA408" s="268"/>
      <c r="VGB408" s="268"/>
      <c r="VGC408" s="268"/>
      <c r="VGD408" s="268"/>
      <c r="VGE408" s="268"/>
      <c r="VGF408" s="268"/>
      <c r="VGG408" s="268"/>
      <c r="VGH408" s="268"/>
      <c r="VGI408" s="268"/>
      <c r="VGJ408" s="268"/>
      <c r="VGK408" s="268"/>
      <c r="VGL408" s="268"/>
      <c r="VGM408" s="268"/>
      <c r="VGN408" s="268"/>
      <c r="VGO408" s="268"/>
      <c r="VGP408" s="268"/>
      <c r="VGQ408" s="268"/>
      <c r="VGR408" s="268"/>
      <c r="VGS408" s="268"/>
      <c r="VGT408" s="268"/>
      <c r="VGU408" s="268"/>
      <c r="VGV408" s="268"/>
      <c r="VGW408" s="268"/>
      <c r="VGX408" s="268"/>
      <c r="VGY408" s="268"/>
      <c r="VGZ408" s="268"/>
      <c r="VHA408" s="268"/>
      <c r="VHB408" s="268"/>
      <c r="VHC408" s="268"/>
      <c r="VHD408" s="268"/>
      <c r="VHE408" s="268"/>
      <c r="VHF408" s="268"/>
      <c r="VHG408" s="268"/>
      <c r="VHH408" s="268"/>
      <c r="VHI408" s="268"/>
      <c r="VHJ408" s="268"/>
      <c r="VHK408" s="268"/>
      <c r="VHL408" s="268"/>
      <c r="VHM408" s="268"/>
      <c r="VHN408" s="268"/>
      <c r="VHO408" s="268"/>
      <c r="VIC408" s="268"/>
      <c r="VID408" s="268"/>
      <c r="VIE408" s="268"/>
      <c r="VIS408" s="268"/>
      <c r="VIU408" s="268"/>
      <c r="VIV408" s="268"/>
      <c r="VIW408" s="268"/>
      <c r="VIX408" s="268"/>
      <c r="VIY408" s="268"/>
      <c r="VIZ408" s="268"/>
      <c r="VJA408" s="268"/>
      <c r="VJB408" s="268"/>
      <c r="VJC408" s="268"/>
      <c r="VJD408" s="268"/>
      <c r="VJE408" s="268"/>
      <c r="VJF408" s="268"/>
      <c r="VJG408" s="268"/>
      <c r="VJH408" s="268"/>
      <c r="VJI408" s="268"/>
      <c r="VJJ408" s="268"/>
      <c r="VJK408" s="268"/>
      <c r="VJL408" s="268"/>
      <c r="VJM408" s="268"/>
      <c r="VJN408" s="268"/>
      <c r="VJO408" s="268"/>
      <c r="VJP408" s="268"/>
      <c r="VJQ408" s="268"/>
      <c r="VJR408" s="268"/>
      <c r="VJS408" s="268"/>
      <c r="VJT408" s="268"/>
      <c r="VJU408" s="268"/>
      <c r="VJV408" s="268"/>
      <c r="VJW408" s="268"/>
      <c r="VJX408" s="268"/>
      <c r="VJY408" s="268"/>
      <c r="VJZ408" s="268"/>
      <c r="VKA408" s="268"/>
      <c r="VKB408" s="268"/>
      <c r="VKC408" s="268"/>
      <c r="VKD408" s="268"/>
      <c r="VKE408" s="268"/>
      <c r="VKF408" s="268"/>
      <c r="VKG408" s="268"/>
      <c r="VKH408" s="268"/>
      <c r="VKI408" s="268"/>
      <c r="VKJ408" s="268"/>
      <c r="VKK408" s="268"/>
      <c r="VKL408" s="268"/>
      <c r="VKM408" s="268"/>
      <c r="VKN408" s="268"/>
      <c r="VKO408" s="268"/>
      <c r="VKP408" s="268"/>
      <c r="VKQ408" s="268"/>
      <c r="VKR408" s="268"/>
      <c r="VKS408" s="268"/>
      <c r="VKT408" s="268"/>
      <c r="VKU408" s="268"/>
      <c r="VKV408" s="268"/>
      <c r="VKW408" s="268"/>
      <c r="VKX408" s="268"/>
      <c r="VKY408" s="268"/>
      <c r="VKZ408" s="268"/>
      <c r="VLA408" s="268"/>
      <c r="VLB408" s="268"/>
      <c r="VLC408" s="268"/>
      <c r="VLD408" s="268"/>
      <c r="VLE408" s="268"/>
      <c r="VLF408" s="268"/>
      <c r="VLG408" s="268"/>
      <c r="VLH408" s="268"/>
      <c r="VLI408" s="268"/>
      <c r="VLJ408" s="268"/>
      <c r="VLK408" s="268"/>
      <c r="VLL408" s="268"/>
      <c r="VLM408" s="268"/>
      <c r="VLN408" s="268"/>
      <c r="VLO408" s="268"/>
      <c r="VLP408" s="268"/>
      <c r="VLQ408" s="268"/>
      <c r="VLR408" s="268"/>
      <c r="VLS408" s="268"/>
      <c r="VLT408" s="268"/>
      <c r="VLU408" s="268"/>
      <c r="VLV408" s="268"/>
      <c r="VLW408" s="268"/>
      <c r="VLX408" s="268"/>
      <c r="VLY408" s="268"/>
      <c r="VLZ408" s="268"/>
      <c r="VMA408" s="268"/>
      <c r="VMB408" s="268"/>
      <c r="VMC408" s="268"/>
      <c r="VMD408" s="268"/>
      <c r="VME408" s="268"/>
      <c r="VMF408" s="268"/>
      <c r="VMG408" s="268"/>
      <c r="VMH408" s="268"/>
      <c r="VMI408" s="268"/>
      <c r="VMJ408" s="268"/>
      <c r="VMK408" s="268"/>
      <c r="VML408" s="268"/>
      <c r="VMM408" s="268"/>
      <c r="VMN408" s="268"/>
      <c r="VMO408" s="268"/>
      <c r="VMP408" s="268"/>
      <c r="VMQ408" s="268"/>
      <c r="VMR408" s="268"/>
      <c r="VMS408" s="268"/>
      <c r="VMT408" s="268"/>
      <c r="VMU408" s="268"/>
      <c r="VMV408" s="268"/>
      <c r="VMW408" s="268"/>
      <c r="VMX408" s="268"/>
      <c r="VMY408" s="268"/>
      <c r="VMZ408" s="268"/>
      <c r="VNA408" s="268"/>
      <c r="VNB408" s="268"/>
      <c r="VNC408" s="268"/>
      <c r="VND408" s="268"/>
      <c r="VNE408" s="268"/>
      <c r="VNF408" s="268"/>
      <c r="VNG408" s="268"/>
      <c r="VNH408" s="268"/>
      <c r="VNI408" s="268"/>
      <c r="VNJ408" s="268"/>
      <c r="VNK408" s="268"/>
      <c r="VNL408" s="268"/>
      <c r="VNM408" s="268"/>
      <c r="VNN408" s="268"/>
      <c r="VNO408" s="268"/>
      <c r="VNP408" s="268"/>
      <c r="VNQ408" s="268"/>
      <c r="VNR408" s="268"/>
      <c r="VNS408" s="268"/>
      <c r="VNT408" s="268"/>
      <c r="VNU408" s="268"/>
      <c r="VNV408" s="268"/>
      <c r="VNW408" s="268"/>
      <c r="VNX408" s="268"/>
      <c r="VNY408" s="268"/>
      <c r="VNZ408" s="268"/>
      <c r="VOA408" s="268"/>
      <c r="VOB408" s="268"/>
      <c r="VOC408" s="268"/>
      <c r="VOD408" s="268"/>
      <c r="VOE408" s="268"/>
      <c r="VOF408" s="268"/>
      <c r="VOG408" s="268"/>
      <c r="VOH408" s="268"/>
      <c r="VOI408" s="268"/>
      <c r="VOJ408" s="268"/>
      <c r="VOK408" s="268"/>
      <c r="VOL408" s="268"/>
      <c r="VOM408" s="268"/>
      <c r="VON408" s="268"/>
      <c r="VOO408" s="268"/>
      <c r="VOP408" s="268"/>
      <c r="VOQ408" s="268"/>
      <c r="VOR408" s="268"/>
      <c r="VOS408" s="268"/>
      <c r="VOT408" s="268"/>
      <c r="VOU408" s="268"/>
      <c r="VOV408" s="268"/>
      <c r="VOW408" s="268"/>
      <c r="VOX408" s="268"/>
      <c r="VOY408" s="268"/>
      <c r="VOZ408" s="268"/>
      <c r="VPA408" s="268"/>
      <c r="VPB408" s="268"/>
      <c r="VPC408" s="268"/>
      <c r="VPD408" s="268"/>
      <c r="VPE408" s="268"/>
      <c r="VPF408" s="268"/>
      <c r="VPG408" s="268"/>
      <c r="VPH408" s="268"/>
      <c r="VPI408" s="268"/>
      <c r="VPJ408" s="268"/>
      <c r="VPK408" s="268"/>
      <c r="VPL408" s="268"/>
      <c r="VPM408" s="268"/>
      <c r="VPN408" s="268"/>
      <c r="VPO408" s="268"/>
      <c r="VPP408" s="268"/>
      <c r="VPQ408" s="268"/>
      <c r="VPR408" s="268"/>
      <c r="VPS408" s="268"/>
      <c r="VPT408" s="268"/>
      <c r="VPU408" s="268"/>
      <c r="VPV408" s="268"/>
      <c r="VPW408" s="268"/>
      <c r="VPX408" s="268"/>
      <c r="VPY408" s="268"/>
      <c r="VPZ408" s="268"/>
      <c r="VQA408" s="268"/>
      <c r="VQB408" s="268"/>
      <c r="VQC408" s="268"/>
      <c r="VQD408" s="268"/>
      <c r="VQE408" s="268"/>
      <c r="VQF408" s="268"/>
      <c r="VQG408" s="268"/>
      <c r="VQH408" s="268"/>
      <c r="VQI408" s="268"/>
      <c r="VQJ408" s="268"/>
      <c r="VQK408" s="268"/>
      <c r="VQL408" s="268"/>
      <c r="VQM408" s="268"/>
      <c r="VQN408" s="268"/>
      <c r="VQO408" s="268"/>
      <c r="VQP408" s="268"/>
      <c r="VQQ408" s="268"/>
      <c r="VQR408" s="268"/>
      <c r="VQS408" s="268"/>
      <c r="VQT408" s="268"/>
      <c r="VQU408" s="268"/>
      <c r="VQV408" s="268"/>
      <c r="VQW408" s="268"/>
      <c r="VQX408" s="268"/>
      <c r="VQY408" s="268"/>
      <c r="VQZ408" s="268"/>
      <c r="VRA408" s="268"/>
      <c r="VRB408" s="268"/>
      <c r="VRC408" s="268"/>
      <c r="VRD408" s="268"/>
      <c r="VRE408" s="268"/>
      <c r="VRF408" s="268"/>
      <c r="VRG408" s="268"/>
      <c r="VRH408" s="268"/>
      <c r="VRI408" s="268"/>
      <c r="VRJ408" s="268"/>
      <c r="VRK408" s="268"/>
      <c r="VRY408" s="268"/>
      <c r="VRZ408" s="268"/>
      <c r="VSA408" s="268"/>
      <c r="VSO408" s="268"/>
      <c r="VSQ408" s="268"/>
      <c r="VSR408" s="268"/>
      <c r="VSS408" s="268"/>
      <c r="VST408" s="268"/>
      <c r="VSU408" s="268"/>
      <c r="VSV408" s="268"/>
      <c r="VSW408" s="268"/>
      <c r="VSX408" s="268"/>
      <c r="VSY408" s="268"/>
      <c r="VSZ408" s="268"/>
      <c r="VTA408" s="268"/>
      <c r="VTB408" s="268"/>
      <c r="VTC408" s="268"/>
      <c r="VTD408" s="268"/>
      <c r="VTE408" s="268"/>
      <c r="VTF408" s="268"/>
      <c r="VTG408" s="268"/>
      <c r="VTH408" s="268"/>
      <c r="VTI408" s="268"/>
      <c r="VTJ408" s="268"/>
      <c r="VTK408" s="268"/>
      <c r="VTL408" s="268"/>
      <c r="VTM408" s="268"/>
      <c r="VTN408" s="268"/>
      <c r="VTO408" s="268"/>
      <c r="VTP408" s="268"/>
      <c r="VTQ408" s="268"/>
      <c r="VTR408" s="268"/>
      <c r="VTS408" s="268"/>
      <c r="VTT408" s="268"/>
      <c r="VTU408" s="268"/>
      <c r="VTV408" s="268"/>
      <c r="VTW408" s="268"/>
      <c r="VTX408" s="268"/>
      <c r="VTY408" s="268"/>
      <c r="VTZ408" s="268"/>
      <c r="VUA408" s="268"/>
      <c r="VUB408" s="268"/>
      <c r="VUC408" s="268"/>
      <c r="VUD408" s="268"/>
      <c r="VUE408" s="268"/>
      <c r="VUF408" s="268"/>
      <c r="VUG408" s="268"/>
      <c r="VUH408" s="268"/>
      <c r="VUI408" s="268"/>
      <c r="VUJ408" s="268"/>
      <c r="VUK408" s="268"/>
      <c r="VUL408" s="268"/>
      <c r="VUM408" s="268"/>
      <c r="VUN408" s="268"/>
      <c r="VUO408" s="268"/>
      <c r="VUP408" s="268"/>
      <c r="VUQ408" s="268"/>
      <c r="VUR408" s="268"/>
      <c r="VUS408" s="268"/>
      <c r="VUT408" s="268"/>
      <c r="VUU408" s="268"/>
      <c r="VUV408" s="268"/>
      <c r="VUW408" s="268"/>
      <c r="VUX408" s="268"/>
      <c r="VUY408" s="268"/>
      <c r="VUZ408" s="268"/>
      <c r="VVA408" s="268"/>
      <c r="VVB408" s="268"/>
      <c r="VVC408" s="268"/>
      <c r="VVD408" s="268"/>
      <c r="VVE408" s="268"/>
      <c r="VVF408" s="268"/>
      <c r="VVG408" s="268"/>
      <c r="VVH408" s="268"/>
      <c r="VVI408" s="268"/>
      <c r="VVJ408" s="268"/>
      <c r="VVK408" s="268"/>
      <c r="VVL408" s="268"/>
      <c r="VVM408" s="268"/>
      <c r="VVN408" s="268"/>
      <c r="VVO408" s="268"/>
      <c r="VVP408" s="268"/>
      <c r="VVQ408" s="268"/>
      <c r="VVR408" s="268"/>
      <c r="VVS408" s="268"/>
      <c r="VVT408" s="268"/>
      <c r="VVU408" s="268"/>
      <c r="VVV408" s="268"/>
      <c r="VVW408" s="268"/>
      <c r="VVX408" s="268"/>
      <c r="VVY408" s="268"/>
      <c r="VVZ408" s="268"/>
      <c r="VWA408" s="268"/>
      <c r="VWB408" s="268"/>
      <c r="VWC408" s="268"/>
      <c r="VWD408" s="268"/>
      <c r="VWE408" s="268"/>
      <c r="VWF408" s="268"/>
      <c r="VWG408" s="268"/>
      <c r="VWH408" s="268"/>
      <c r="VWI408" s="268"/>
      <c r="VWJ408" s="268"/>
      <c r="VWK408" s="268"/>
      <c r="VWL408" s="268"/>
      <c r="VWM408" s="268"/>
      <c r="VWN408" s="268"/>
      <c r="VWO408" s="268"/>
      <c r="VWP408" s="268"/>
      <c r="VWQ408" s="268"/>
      <c r="VWR408" s="268"/>
      <c r="VWS408" s="268"/>
      <c r="VWT408" s="268"/>
      <c r="VWU408" s="268"/>
      <c r="VWV408" s="268"/>
      <c r="VWW408" s="268"/>
      <c r="VWX408" s="268"/>
      <c r="VWY408" s="268"/>
      <c r="VWZ408" s="268"/>
      <c r="VXA408" s="268"/>
      <c r="VXB408" s="268"/>
      <c r="VXC408" s="268"/>
      <c r="VXD408" s="268"/>
      <c r="VXE408" s="268"/>
      <c r="VXF408" s="268"/>
      <c r="VXG408" s="268"/>
      <c r="VXH408" s="268"/>
      <c r="VXI408" s="268"/>
      <c r="VXJ408" s="268"/>
      <c r="VXK408" s="268"/>
      <c r="VXL408" s="268"/>
      <c r="VXM408" s="268"/>
      <c r="VXN408" s="268"/>
      <c r="VXO408" s="268"/>
      <c r="VXP408" s="268"/>
      <c r="VXQ408" s="268"/>
      <c r="VXR408" s="268"/>
      <c r="VXS408" s="268"/>
      <c r="VXT408" s="268"/>
      <c r="VXU408" s="268"/>
      <c r="VXV408" s="268"/>
      <c r="VXW408" s="268"/>
      <c r="VXX408" s="268"/>
      <c r="VXY408" s="268"/>
      <c r="VXZ408" s="268"/>
      <c r="VYA408" s="268"/>
      <c r="VYB408" s="268"/>
      <c r="VYC408" s="268"/>
      <c r="VYD408" s="268"/>
      <c r="VYE408" s="268"/>
      <c r="VYF408" s="268"/>
      <c r="VYG408" s="268"/>
      <c r="VYH408" s="268"/>
      <c r="VYI408" s="268"/>
      <c r="VYJ408" s="268"/>
      <c r="VYK408" s="268"/>
      <c r="VYL408" s="268"/>
      <c r="VYM408" s="268"/>
      <c r="VYN408" s="268"/>
      <c r="VYO408" s="268"/>
      <c r="VYP408" s="268"/>
      <c r="VYQ408" s="268"/>
      <c r="VYR408" s="268"/>
      <c r="VYS408" s="268"/>
      <c r="VYT408" s="268"/>
      <c r="VYU408" s="268"/>
      <c r="VYV408" s="268"/>
      <c r="VYW408" s="268"/>
      <c r="VYX408" s="268"/>
      <c r="VYY408" s="268"/>
      <c r="VYZ408" s="268"/>
      <c r="VZA408" s="268"/>
      <c r="VZB408" s="268"/>
      <c r="VZC408" s="268"/>
      <c r="VZD408" s="268"/>
      <c r="VZE408" s="268"/>
      <c r="VZF408" s="268"/>
      <c r="VZG408" s="268"/>
      <c r="VZH408" s="268"/>
      <c r="VZI408" s="268"/>
      <c r="VZJ408" s="268"/>
      <c r="VZK408" s="268"/>
      <c r="VZL408" s="268"/>
      <c r="VZM408" s="268"/>
      <c r="VZN408" s="268"/>
      <c r="VZO408" s="268"/>
      <c r="VZP408" s="268"/>
      <c r="VZQ408" s="268"/>
      <c r="VZR408" s="268"/>
      <c r="VZS408" s="268"/>
      <c r="VZT408" s="268"/>
      <c r="VZU408" s="268"/>
      <c r="VZV408" s="268"/>
      <c r="VZW408" s="268"/>
      <c r="VZX408" s="268"/>
      <c r="VZY408" s="268"/>
      <c r="VZZ408" s="268"/>
      <c r="WAA408" s="268"/>
      <c r="WAB408" s="268"/>
      <c r="WAC408" s="268"/>
      <c r="WAD408" s="268"/>
      <c r="WAE408" s="268"/>
      <c r="WAF408" s="268"/>
      <c r="WAG408" s="268"/>
      <c r="WAH408" s="268"/>
      <c r="WAI408" s="268"/>
      <c r="WAJ408" s="268"/>
      <c r="WAK408" s="268"/>
      <c r="WAL408" s="268"/>
      <c r="WAM408" s="268"/>
      <c r="WAN408" s="268"/>
      <c r="WAO408" s="268"/>
      <c r="WAP408" s="268"/>
      <c r="WAQ408" s="268"/>
      <c r="WAR408" s="268"/>
      <c r="WAS408" s="268"/>
      <c r="WAT408" s="268"/>
      <c r="WAU408" s="268"/>
      <c r="WAV408" s="268"/>
      <c r="WAW408" s="268"/>
      <c r="WAX408" s="268"/>
      <c r="WAY408" s="268"/>
      <c r="WAZ408" s="268"/>
      <c r="WBA408" s="268"/>
      <c r="WBB408" s="268"/>
      <c r="WBC408" s="268"/>
      <c r="WBD408" s="268"/>
      <c r="WBE408" s="268"/>
      <c r="WBF408" s="268"/>
      <c r="WBG408" s="268"/>
      <c r="WBU408" s="268"/>
      <c r="WBV408" s="268"/>
      <c r="WBW408" s="268"/>
      <c r="WCK408" s="268"/>
      <c r="WCM408" s="268"/>
      <c r="WCN408" s="268"/>
      <c r="WCO408" s="268"/>
      <c r="WCP408" s="268"/>
      <c r="WCQ408" s="268"/>
      <c r="WCR408" s="268"/>
      <c r="WCS408" s="268"/>
      <c r="WCT408" s="268"/>
      <c r="WCU408" s="268"/>
      <c r="WCV408" s="268"/>
      <c r="WCW408" s="268"/>
      <c r="WCX408" s="268"/>
      <c r="WCY408" s="268"/>
      <c r="WCZ408" s="268"/>
      <c r="WDA408" s="268"/>
      <c r="WDB408" s="268"/>
      <c r="WDC408" s="268"/>
      <c r="WDD408" s="268"/>
      <c r="WDE408" s="268"/>
      <c r="WDF408" s="268"/>
      <c r="WDG408" s="268"/>
      <c r="WDH408" s="268"/>
      <c r="WDI408" s="268"/>
      <c r="WDJ408" s="268"/>
      <c r="WDK408" s="268"/>
      <c r="WDL408" s="268"/>
      <c r="WDM408" s="268"/>
      <c r="WDN408" s="268"/>
      <c r="WDO408" s="268"/>
      <c r="WDP408" s="268"/>
      <c r="WDQ408" s="268"/>
      <c r="WDR408" s="268"/>
      <c r="WDS408" s="268"/>
      <c r="WDT408" s="268"/>
      <c r="WDU408" s="268"/>
      <c r="WDV408" s="268"/>
      <c r="WDW408" s="268"/>
      <c r="WDX408" s="268"/>
      <c r="WDY408" s="268"/>
      <c r="WDZ408" s="268"/>
      <c r="WEA408" s="268"/>
      <c r="WEB408" s="268"/>
      <c r="WEC408" s="268"/>
      <c r="WED408" s="268"/>
      <c r="WEE408" s="268"/>
      <c r="WEF408" s="268"/>
      <c r="WEG408" s="268"/>
      <c r="WEH408" s="268"/>
      <c r="WEI408" s="268"/>
      <c r="WEJ408" s="268"/>
      <c r="WEK408" s="268"/>
      <c r="WEL408" s="268"/>
      <c r="WEM408" s="268"/>
      <c r="WEN408" s="268"/>
      <c r="WEO408" s="268"/>
      <c r="WEP408" s="268"/>
      <c r="WEQ408" s="268"/>
      <c r="WER408" s="268"/>
      <c r="WES408" s="268"/>
      <c r="WET408" s="268"/>
      <c r="WEU408" s="268"/>
      <c r="WEV408" s="268"/>
      <c r="WEW408" s="268"/>
      <c r="WEX408" s="268"/>
      <c r="WEY408" s="268"/>
      <c r="WEZ408" s="268"/>
      <c r="WFA408" s="268"/>
      <c r="WFB408" s="268"/>
      <c r="WFC408" s="268"/>
      <c r="WFD408" s="268"/>
      <c r="WFE408" s="268"/>
      <c r="WFF408" s="268"/>
      <c r="WFG408" s="268"/>
      <c r="WFH408" s="268"/>
      <c r="WFI408" s="268"/>
      <c r="WFJ408" s="268"/>
      <c r="WFK408" s="268"/>
      <c r="WFL408" s="268"/>
      <c r="WFM408" s="268"/>
      <c r="WFN408" s="268"/>
      <c r="WFO408" s="268"/>
      <c r="WFP408" s="268"/>
      <c r="WFQ408" s="268"/>
      <c r="WFR408" s="268"/>
      <c r="WFS408" s="268"/>
      <c r="WFT408" s="268"/>
      <c r="WFU408" s="268"/>
      <c r="WFV408" s="268"/>
      <c r="WFW408" s="268"/>
      <c r="WFX408" s="268"/>
      <c r="WFY408" s="268"/>
      <c r="WFZ408" s="268"/>
      <c r="WGA408" s="268"/>
      <c r="WGB408" s="268"/>
      <c r="WGC408" s="268"/>
      <c r="WGD408" s="268"/>
      <c r="WGE408" s="268"/>
      <c r="WGF408" s="268"/>
      <c r="WGG408" s="268"/>
      <c r="WGH408" s="268"/>
      <c r="WGI408" s="268"/>
      <c r="WGJ408" s="268"/>
      <c r="WGK408" s="268"/>
      <c r="WGL408" s="268"/>
      <c r="WGM408" s="268"/>
      <c r="WGN408" s="268"/>
      <c r="WGO408" s="268"/>
      <c r="WGP408" s="268"/>
      <c r="WGQ408" s="268"/>
      <c r="WGR408" s="268"/>
      <c r="WGS408" s="268"/>
      <c r="WGT408" s="268"/>
      <c r="WGU408" s="268"/>
      <c r="WGV408" s="268"/>
      <c r="WGW408" s="268"/>
      <c r="WGX408" s="268"/>
      <c r="WGY408" s="268"/>
      <c r="WGZ408" s="268"/>
      <c r="WHA408" s="268"/>
      <c r="WHB408" s="268"/>
      <c r="WHC408" s="268"/>
      <c r="WHD408" s="268"/>
      <c r="WHE408" s="268"/>
      <c r="WHF408" s="268"/>
      <c r="WHG408" s="268"/>
      <c r="WHH408" s="268"/>
      <c r="WHI408" s="268"/>
      <c r="WHJ408" s="268"/>
      <c r="WHK408" s="268"/>
      <c r="WHL408" s="268"/>
      <c r="WHM408" s="268"/>
      <c r="WHN408" s="268"/>
      <c r="WHO408" s="268"/>
      <c r="WHP408" s="268"/>
      <c r="WHQ408" s="268"/>
      <c r="WHR408" s="268"/>
      <c r="WHS408" s="268"/>
      <c r="WHT408" s="268"/>
      <c r="WHU408" s="268"/>
      <c r="WHV408" s="268"/>
      <c r="WHW408" s="268"/>
      <c r="WHX408" s="268"/>
      <c r="WHY408" s="268"/>
      <c r="WHZ408" s="268"/>
      <c r="WIA408" s="268"/>
      <c r="WIB408" s="268"/>
      <c r="WIC408" s="268"/>
      <c r="WID408" s="268"/>
      <c r="WIE408" s="268"/>
      <c r="WIF408" s="268"/>
      <c r="WIG408" s="268"/>
      <c r="WIH408" s="268"/>
      <c r="WII408" s="268"/>
      <c r="WIJ408" s="268"/>
      <c r="WIK408" s="268"/>
      <c r="WIL408" s="268"/>
      <c r="WIM408" s="268"/>
      <c r="WIN408" s="268"/>
      <c r="WIO408" s="268"/>
      <c r="WIP408" s="268"/>
      <c r="WIQ408" s="268"/>
      <c r="WIR408" s="268"/>
      <c r="WIS408" s="268"/>
      <c r="WIT408" s="268"/>
      <c r="WIU408" s="268"/>
      <c r="WIV408" s="268"/>
      <c r="WIW408" s="268"/>
      <c r="WIX408" s="268"/>
      <c r="WIY408" s="268"/>
      <c r="WIZ408" s="268"/>
      <c r="WJA408" s="268"/>
      <c r="WJB408" s="268"/>
      <c r="WJC408" s="268"/>
      <c r="WJD408" s="268"/>
      <c r="WJE408" s="268"/>
      <c r="WJF408" s="268"/>
      <c r="WJG408" s="268"/>
      <c r="WJH408" s="268"/>
      <c r="WJI408" s="268"/>
      <c r="WJJ408" s="268"/>
      <c r="WJK408" s="268"/>
      <c r="WJL408" s="268"/>
      <c r="WJM408" s="268"/>
      <c r="WJN408" s="268"/>
      <c r="WJO408" s="268"/>
      <c r="WJP408" s="268"/>
      <c r="WJQ408" s="268"/>
      <c r="WJR408" s="268"/>
      <c r="WJS408" s="268"/>
      <c r="WJT408" s="268"/>
      <c r="WJU408" s="268"/>
      <c r="WJV408" s="268"/>
      <c r="WJW408" s="268"/>
      <c r="WJX408" s="268"/>
      <c r="WJY408" s="268"/>
      <c r="WJZ408" s="268"/>
      <c r="WKA408" s="268"/>
      <c r="WKB408" s="268"/>
      <c r="WKC408" s="268"/>
      <c r="WKD408" s="268"/>
      <c r="WKE408" s="268"/>
      <c r="WKF408" s="268"/>
      <c r="WKG408" s="268"/>
      <c r="WKH408" s="268"/>
      <c r="WKI408" s="268"/>
      <c r="WKJ408" s="268"/>
      <c r="WKK408" s="268"/>
      <c r="WKL408" s="268"/>
      <c r="WKM408" s="268"/>
      <c r="WKN408" s="268"/>
      <c r="WKO408" s="268"/>
      <c r="WKP408" s="268"/>
      <c r="WKQ408" s="268"/>
      <c r="WKR408" s="268"/>
      <c r="WKS408" s="268"/>
      <c r="WKT408" s="268"/>
      <c r="WKU408" s="268"/>
      <c r="WKV408" s="268"/>
      <c r="WKW408" s="268"/>
      <c r="WKX408" s="268"/>
      <c r="WKY408" s="268"/>
      <c r="WKZ408" s="268"/>
      <c r="WLA408" s="268"/>
      <c r="WLB408" s="268"/>
      <c r="WLC408" s="268"/>
      <c r="WLQ408" s="268"/>
      <c r="WLR408" s="268"/>
      <c r="WLS408" s="268"/>
      <c r="WMG408" s="268"/>
      <c r="WMI408" s="268"/>
      <c r="WMJ408" s="268"/>
      <c r="WMK408" s="268"/>
      <c r="WML408" s="268"/>
      <c r="WMM408" s="268"/>
      <c r="WMN408" s="268"/>
      <c r="WMO408" s="268"/>
      <c r="WMP408" s="268"/>
      <c r="WMQ408" s="268"/>
      <c r="WMR408" s="268"/>
      <c r="WMS408" s="268"/>
      <c r="WMT408" s="268"/>
      <c r="WMU408" s="268"/>
      <c r="WMV408" s="268"/>
      <c r="WMW408" s="268"/>
      <c r="WMX408" s="268"/>
      <c r="WMY408" s="268"/>
      <c r="WMZ408" s="268"/>
      <c r="WNA408" s="268"/>
      <c r="WNB408" s="268"/>
      <c r="WNC408" s="268"/>
      <c r="WND408" s="268"/>
      <c r="WNE408" s="268"/>
      <c r="WNF408" s="268"/>
      <c r="WNG408" s="268"/>
      <c r="WNH408" s="268"/>
      <c r="WNI408" s="268"/>
      <c r="WNJ408" s="268"/>
      <c r="WNK408" s="268"/>
      <c r="WNL408" s="268"/>
      <c r="WNM408" s="268"/>
      <c r="WNN408" s="268"/>
      <c r="WNO408" s="268"/>
      <c r="WNP408" s="268"/>
      <c r="WNQ408" s="268"/>
      <c r="WNR408" s="268"/>
      <c r="WNS408" s="268"/>
      <c r="WNT408" s="268"/>
      <c r="WNU408" s="268"/>
      <c r="WNV408" s="268"/>
      <c r="WNW408" s="268"/>
      <c r="WNX408" s="268"/>
      <c r="WNY408" s="268"/>
      <c r="WNZ408" s="268"/>
      <c r="WOA408" s="268"/>
      <c r="WOB408" s="268"/>
      <c r="WOC408" s="268"/>
      <c r="WOD408" s="268"/>
      <c r="WOE408" s="268"/>
      <c r="WOF408" s="268"/>
      <c r="WOG408" s="268"/>
      <c r="WOH408" s="268"/>
      <c r="WOI408" s="268"/>
      <c r="WOJ408" s="268"/>
      <c r="WOK408" s="268"/>
      <c r="WOL408" s="268"/>
      <c r="WOM408" s="268"/>
      <c r="WON408" s="268"/>
      <c r="WOO408" s="268"/>
      <c r="WOP408" s="268"/>
      <c r="WOQ408" s="268"/>
      <c r="WOR408" s="268"/>
      <c r="WOS408" s="268"/>
      <c r="WOT408" s="268"/>
      <c r="WOU408" s="268"/>
      <c r="WOV408" s="268"/>
      <c r="WOW408" s="268"/>
      <c r="WOX408" s="268"/>
      <c r="WOY408" s="268"/>
      <c r="WOZ408" s="268"/>
      <c r="WPA408" s="268"/>
      <c r="WPB408" s="268"/>
      <c r="WPC408" s="268"/>
      <c r="WPD408" s="268"/>
      <c r="WPE408" s="268"/>
      <c r="WPF408" s="268"/>
      <c r="WPG408" s="268"/>
      <c r="WPH408" s="268"/>
      <c r="WPI408" s="268"/>
      <c r="WPJ408" s="268"/>
      <c r="WPK408" s="268"/>
      <c r="WPL408" s="268"/>
      <c r="WPM408" s="268"/>
      <c r="WPN408" s="268"/>
      <c r="WPO408" s="268"/>
      <c r="WPP408" s="268"/>
      <c r="WPQ408" s="268"/>
      <c r="WPR408" s="268"/>
      <c r="WPS408" s="268"/>
      <c r="WPT408" s="268"/>
      <c r="WPU408" s="268"/>
      <c r="WPV408" s="268"/>
      <c r="WPW408" s="268"/>
      <c r="WPX408" s="268"/>
      <c r="WPY408" s="268"/>
      <c r="WPZ408" s="268"/>
      <c r="WQA408" s="268"/>
      <c r="WQB408" s="268"/>
      <c r="WQC408" s="268"/>
      <c r="WQD408" s="268"/>
      <c r="WQE408" s="268"/>
      <c r="WQF408" s="268"/>
      <c r="WQG408" s="268"/>
      <c r="WQH408" s="268"/>
      <c r="WQI408" s="268"/>
      <c r="WQJ408" s="268"/>
      <c r="WQK408" s="268"/>
      <c r="WQL408" s="268"/>
      <c r="WQM408" s="268"/>
      <c r="WQN408" s="268"/>
      <c r="WQO408" s="268"/>
      <c r="WQP408" s="268"/>
      <c r="WQQ408" s="268"/>
      <c r="WQR408" s="268"/>
      <c r="WQS408" s="268"/>
      <c r="WQT408" s="268"/>
      <c r="WQU408" s="268"/>
      <c r="WQV408" s="268"/>
      <c r="WQW408" s="268"/>
      <c r="WQX408" s="268"/>
      <c r="WQY408" s="268"/>
      <c r="WQZ408" s="268"/>
      <c r="WRA408" s="268"/>
      <c r="WRB408" s="268"/>
      <c r="WRC408" s="268"/>
      <c r="WRD408" s="268"/>
      <c r="WRE408" s="268"/>
      <c r="WRF408" s="268"/>
      <c r="WRG408" s="268"/>
      <c r="WRH408" s="268"/>
      <c r="WRI408" s="268"/>
      <c r="WRJ408" s="268"/>
      <c r="WRK408" s="268"/>
      <c r="WRL408" s="268"/>
      <c r="WRM408" s="268"/>
      <c r="WRN408" s="268"/>
      <c r="WRO408" s="268"/>
      <c r="WRP408" s="268"/>
      <c r="WRQ408" s="268"/>
      <c r="WRR408" s="268"/>
      <c r="WRS408" s="268"/>
      <c r="WRT408" s="268"/>
      <c r="WRU408" s="268"/>
      <c r="WRV408" s="268"/>
      <c r="WRW408" s="268"/>
      <c r="WRX408" s="268"/>
      <c r="WRY408" s="268"/>
      <c r="WRZ408" s="268"/>
      <c r="WSA408" s="268"/>
      <c r="WSB408" s="268"/>
      <c r="WSC408" s="268"/>
      <c r="WSD408" s="268"/>
      <c r="WSE408" s="268"/>
      <c r="WSF408" s="268"/>
      <c r="WSG408" s="268"/>
      <c r="WSH408" s="268"/>
      <c r="WSI408" s="268"/>
      <c r="WSJ408" s="268"/>
      <c r="WSK408" s="268"/>
      <c r="WSL408" s="268"/>
      <c r="WSM408" s="268"/>
      <c r="WSN408" s="268"/>
      <c r="WSO408" s="268"/>
      <c r="WSP408" s="268"/>
      <c r="WSQ408" s="268"/>
      <c r="WSR408" s="268"/>
      <c r="WSS408" s="268"/>
      <c r="WST408" s="268"/>
      <c r="WSU408" s="268"/>
      <c r="WSV408" s="268"/>
      <c r="WSW408" s="268"/>
      <c r="WSX408" s="268"/>
      <c r="WSY408" s="268"/>
      <c r="WSZ408" s="268"/>
      <c r="WTA408" s="268"/>
      <c r="WTB408" s="268"/>
      <c r="WTC408" s="268"/>
      <c r="WTD408" s="268"/>
      <c r="WTE408" s="268"/>
      <c r="WTF408" s="268"/>
      <c r="WTG408" s="268"/>
      <c r="WTH408" s="268"/>
      <c r="WTI408" s="268"/>
      <c r="WTJ408" s="268"/>
      <c r="WTK408" s="268"/>
      <c r="WTL408" s="268"/>
      <c r="WTM408" s="268"/>
      <c r="WTN408" s="268"/>
      <c r="WTO408" s="268"/>
      <c r="WTP408" s="268"/>
      <c r="WTQ408" s="268"/>
      <c r="WTR408" s="268"/>
      <c r="WTS408" s="268"/>
      <c r="WTT408" s="268"/>
      <c r="WTU408" s="268"/>
      <c r="WTV408" s="268"/>
      <c r="WTW408" s="268"/>
      <c r="WTX408" s="268"/>
      <c r="WTY408" s="268"/>
      <c r="WTZ408" s="268"/>
      <c r="WUA408" s="268"/>
      <c r="WUB408" s="268"/>
      <c r="WUC408" s="268"/>
      <c r="WUD408" s="268"/>
      <c r="WUE408" s="268"/>
      <c r="WUF408" s="268"/>
      <c r="WUG408" s="268"/>
      <c r="WUH408" s="268"/>
      <c r="WUI408" s="268"/>
      <c r="WUJ408" s="268"/>
      <c r="WUK408" s="268"/>
      <c r="WUL408" s="268"/>
      <c r="WUM408" s="268"/>
      <c r="WUN408" s="268"/>
      <c r="WUO408" s="268"/>
      <c r="WUP408" s="268"/>
      <c r="WUQ408" s="268"/>
      <c r="WUR408" s="268"/>
      <c r="WUS408" s="268"/>
      <c r="WUT408" s="268"/>
      <c r="WUU408" s="268"/>
      <c r="WUV408" s="268"/>
      <c r="WUW408" s="268"/>
      <c r="WUX408" s="268"/>
      <c r="WUY408" s="268"/>
      <c r="WVM408" s="268"/>
      <c r="WVN408" s="268"/>
      <c r="WVO408" s="268"/>
      <c r="WWC408" s="268"/>
      <c r="WWE408" s="268"/>
      <c r="WWF408" s="268"/>
      <c r="WWG408" s="268"/>
      <c r="WWH408" s="268"/>
      <c r="WWI408" s="268"/>
      <c r="WWJ408" s="268"/>
      <c r="WWK408" s="268"/>
      <c r="WWL408" s="268"/>
      <c r="WWM408" s="268"/>
      <c r="WWN408" s="268"/>
      <c r="WWO408" s="268"/>
      <c r="WWP408" s="268"/>
      <c r="WWQ408" s="268"/>
      <c r="WWR408" s="268"/>
      <c r="WWS408" s="268"/>
      <c r="WWT408" s="268"/>
      <c r="WWU408" s="268"/>
      <c r="WWV408" s="268"/>
      <c r="WWW408" s="268"/>
      <c r="WWX408" s="268"/>
      <c r="WWY408" s="268"/>
      <c r="WWZ408" s="268"/>
      <c r="WXA408" s="268"/>
      <c r="WXB408" s="268"/>
      <c r="WXC408" s="268"/>
      <c r="WXD408" s="268"/>
      <c r="WXE408" s="268"/>
      <c r="WXF408" s="268"/>
      <c r="WXG408" s="268"/>
      <c r="WXH408" s="268"/>
      <c r="WXI408" s="268"/>
      <c r="WXJ408" s="268"/>
      <c r="WXK408" s="268"/>
      <c r="WXL408" s="268"/>
      <c r="WXM408" s="268"/>
      <c r="WXN408" s="268"/>
      <c r="WXO408" s="268"/>
      <c r="WXP408" s="268"/>
      <c r="WXQ408" s="268"/>
      <c r="WXR408" s="268"/>
      <c r="WXS408" s="268"/>
      <c r="WXT408" s="268"/>
      <c r="WXU408" s="268"/>
      <c r="WXV408" s="268"/>
      <c r="WXW408" s="268"/>
      <c r="WXX408" s="268"/>
      <c r="WXY408" s="268"/>
      <c r="WXZ408" s="268"/>
      <c r="WYA408" s="268"/>
      <c r="WYB408" s="268"/>
      <c r="WYC408" s="268"/>
      <c r="WYD408" s="268"/>
      <c r="WYE408" s="268"/>
      <c r="WYF408" s="268"/>
      <c r="WYG408" s="268"/>
      <c r="WYH408" s="268"/>
      <c r="WYI408" s="268"/>
      <c r="WYJ408" s="268"/>
      <c r="WYK408" s="268"/>
      <c r="WYL408" s="268"/>
      <c r="WYM408" s="268"/>
      <c r="WYN408" s="268"/>
      <c r="WYO408" s="268"/>
      <c r="WYP408" s="268"/>
      <c r="WYQ408" s="268"/>
      <c r="WYR408" s="268"/>
      <c r="WYS408" s="268"/>
      <c r="WYT408" s="268"/>
      <c r="WYU408" s="268"/>
      <c r="WYV408" s="268"/>
      <c r="WYW408" s="268"/>
      <c r="WYX408" s="268"/>
      <c r="WYY408" s="268"/>
      <c r="WYZ408" s="268"/>
      <c r="WZA408" s="268"/>
      <c r="WZB408" s="268"/>
      <c r="WZC408" s="268"/>
      <c r="WZD408" s="268"/>
      <c r="WZE408" s="268"/>
      <c r="WZF408" s="268"/>
      <c r="WZG408" s="268"/>
      <c r="WZH408" s="268"/>
      <c r="WZI408" s="268"/>
      <c r="WZJ408" s="268"/>
      <c r="WZK408" s="268"/>
      <c r="WZL408" s="268"/>
      <c r="WZM408" s="268"/>
      <c r="WZN408" s="268"/>
      <c r="WZO408" s="268"/>
      <c r="WZP408" s="268"/>
      <c r="WZQ408" s="268"/>
      <c r="WZR408" s="268"/>
      <c r="WZS408" s="268"/>
      <c r="WZT408" s="268"/>
      <c r="WZU408" s="268"/>
      <c r="WZV408" s="268"/>
      <c r="WZW408" s="268"/>
      <c r="WZX408" s="268"/>
      <c r="WZY408" s="268"/>
      <c r="WZZ408" s="268"/>
      <c r="XAA408" s="268"/>
      <c r="XAB408" s="268"/>
      <c r="XAC408" s="268"/>
      <c r="XAD408" s="268"/>
      <c r="XAE408" s="268"/>
      <c r="XAF408" s="268"/>
      <c r="XAG408" s="268"/>
      <c r="XAH408" s="268"/>
      <c r="XAI408" s="268"/>
      <c r="XAJ408" s="268"/>
      <c r="XAK408" s="268"/>
      <c r="XAL408" s="268"/>
      <c r="XAM408" s="268"/>
      <c r="XAN408" s="268"/>
      <c r="XAO408" s="268"/>
      <c r="XAP408" s="268"/>
      <c r="XAQ408" s="268"/>
      <c r="XAR408" s="268"/>
      <c r="XAS408" s="268"/>
      <c r="XAT408" s="268"/>
      <c r="XAU408" s="268"/>
      <c r="XAV408" s="268"/>
      <c r="XAW408" s="268"/>
      <c r="XAX408" s="268"/>
      <c r="XAY408" s="268"/>
      <c r="XAZ408" s="268"/>
      <c r="XBA408" s="268"/>
      <c r="XBB408" s="268"/>
      <c r="XBC408" s="268"/>
      <c r="XBD408" s="268"/>
      <c r="XBE408" s="268"/>
      <c r="XBF408" s="268"/>
      <c r="XBG408" s="268"/>
      <c r="XBH408" s="268"/>
      <c r="XBI408" s="268"/>
      <c r="XBJ408" s="268"/>
      <c r="XBK408" s="268"/>
      <c r="XBL408" s="268"/>
      <c r="XBM408" s="268"/>
      <c r="XBN408" s="268"/>
      <c r="XBO408" s="268"/>
      <c r="XBP408" s="268"/>
      <c r="XBQ408" s="268"/>
      <c r="XBR408" s="268"/>
      <c r="XBS408" s="268"/>
      <c r="XBT408" s="268"/>
      <c r="XBU408" s="268"/>
      <c r="XBV408" s="268"/>
      <c r="XBW408" s="268"/>
      <c r="XBX408" s="268"/>
      <c r="XBY408" s="268"/>
      <c r="XBZ408" s="268"/>
      <c r="XCA408" s="268"/>
      <c r="XCB408" s="268"/>
      <c r="XCC408" s="268"/>
      <c r="XCD408" s="268"/>
      <c r="XCE408" s="268"/>
      <c r="XCF408" s="268"/>
      <c r="XCG408" s="268"/>
      <c r="XCH408" s="268"/>
      <c r="XCI408" s="268"/>
      <c r="XCJ408" s="268"/>
      <c r="XCK408" s="268"/>
      <c r="XCL408" s="268"/>
      <c r="XCM408" s="268"/>
      <c r="XCN408" s="268"/>
      <c r="XCO408" s="268"/>
      <c r="XCP408" s="268"/>
      <c r="XCQ408" s="268"/>
      <c r="XCR408" s="268"/>
      <c r="XCS408" s="268"/>
      <c r="XCT408" s="268"/>
      <c r="XCU408" s="268"/>
      <c r="XCV408" s="268"/>
      <c r="XCW408" s="268"/>
      <c r="XCX408" s="268"/>
      <c r="XCY408" s="268"/>
      <c r="XCZ408" s="268"/>
      <c r="XDA408" s="268"/>
      <c r="XDB408" s="268"/>
      <c r="XDC408" s="268"/>
      <c r="XDD408" s="268"/>
      <c r="XDE408" s="268"/>
      <c r="XDF408" s="268"/>
      <c r="XDG408" s="268"/>
      <c r="XDH408" s="268"/>
      <c r="XDI408" s="268"/>
      <c r="XDJ408" s="268"/>
      <c r="XDK408" s="268"/>
      <c r="XDL408" s="268"/>
      <c r="XDM408" s="268"/>
      <c r="XDN408" s="268"/>
      <c r="XDO408" s="268"/>
      <c r="XDP408" s="268"/>
      <c r="XDQ408" s="268"/>
      <c r="XDR408" s="268"/>
      <c r="XDS408" s="268"/>
      <c r="XDT408" s="268"/>
      <c r="XDU408" s="268"/>
      <c r="XDV408" s="268"/>
      <c r="XDW408" s="268"/>
      <c r="XDX408" s="268"/>
      <c r="XDY408" s="268"/>
      <c r="XDZ408" s="268"/>
      <c r="XEA408" s="268"/>
      <c r="XEB408" s="268"/>
      <c r="XEC408" s="268"/>
      <c r="XED408" s="268"/>
      <c r="XEE408" s="268"/>
      <c r="XEF408" s="268"/>
      <c r="XEG408" s="268"/>
      <c r="XEH408" s="268"/>
      <c r="XEI408" s="268"/>
      <c r="XEJ408" s="268"/>
      <c r="XEK408" s="268"/>
      <c r="XEL408" s="268"/>
      <c r="XEM408" s="268"/>
      <c r="XEN408" s="268"/>
      <c r="XEO408" s="268"/>
      <c r="XEP408" s="268"/>
      <c r="XEQ408" s="268"/>
      <c r="XER408" s="268"/>
      <c r="XES408" s="268"/>
    </row>
    <row r="409" spans="1:1015 1029:2039 2053:3063 3077:4087 4101:5111 5125:6135 6149:7159 7173:8183 8197:9207 9221:10231 10245:11255 11269:12279 12293:13303 13317:14327 14341:15351 15365:16373" hidden="1" outlineLevel="1" x14ac:dyDescent="0.25">
      <c r="A409" s="3" t="s">
        <v>334</v>
      </c>
      <c r="B409" s="3">
        <v>16500</v>
      </c>
      <c r="D409" s="3">
        <v>142</v>
      </c>
      <c r="E409" s="3">
        <f t="shared" si="233"/>
        <v>16358</v>
      </c>
      <c r="F409" s="3">
        <v>16500</v>
      </c>
      <c r="H409" s="3">
        <f t="shared" si="234"/>
        <v>0</v>
      </c>
      <c r="J409" s="3">
        <f>142</f>
        <v>142</v>
      </c>
      <c r="K409" s="4">
        <f t="shared" si="235"/>
        <v>8858</v>
      </c>
      <c r="L409" s="4">
        <v>9000</v>
      </c>
      <c r="N409" s="4">
        <f t="shared" si="236"/>
        <v>-7500</v>
      </c>
      <c r="P409" s="3">
        <f>L409*1.0281+47</f>
        <v>9299.9</v>
      </c>
      <c r="R409" s="3">
        <v>2117</v>
      </c>
      <c r="S409" s="3">
        <f t="shared" si="225"/>
        <v>6883</v>
      </c>
      <c r="T409" s="3">
        <v>9000</v>
      </c>
      <c r="U409" s="3">
        <f t="shared" si="226"/>
        <v>-299.89999999999964</v>
      </c>
      <c r="V409" s="3">
        <v>3551</v>
      </c>
      <c r="W409" s="3">
        <f t="shared" si="227"/>
        <v>4449</v>
      </c>
      <c r="Y409" s="3">
        <v>8000</v>
      </c>
      <c r="Z409" s="3">
        <f t="shared" si="228"/>
        <v>-1000</v>
      </c>
      <c r="AC409" s="3">
        <f>3427+1522</f>
        <v>4949</v>
      </c>
      <c r="AD409" s="3">
        <f t="shared" si="231"/>
        <v>3051</v>
      </c>
      <c r="AE409" s="3">
        <v>8000</v>
      </c>
      <c r="AF409" s="3">
        <f t="shared" si="229"/>
        <v>0</v>
      </c>
      <c r="AI409" s="3">
        <f>AE409*1.03+260</f>
        <v>8500</v>
      </c>
      <c r="AK409" s="3">
        <f>AI409*1.03</f>
        <v>8755</v>
      </c>
      <c r="AM409" s="3">
        <f>AK409*1.03</f>
        <v>9017.65</v>
      </c>
      <c r="AO409" s="3">
        <f>AM409*1.03</f>
        <v>9288.1795000000002</v>
      </c>
      <c r="AQ409" s="3">
        <f>AO409*1.03</f>
        <v>9566.824885</v>
      </c>
      <c r="AR409" s="3"/>
      <c r="AS409" s="3">
        <f>AQ409*1.03</f>
        <v>9853.8296315500011</v>
      </c>
      <c r="AT409" s="3"/>
      <c r="AU409" s="3">
        <f>AS409*1.03</f>
        <v>10149.444520496501</v>
      </c>
      <c r="AV409" s="3"/>
      <c r="AW409" s="3">
        <f>AU409*1.03</f>
        <v>10453.927856111397</v>
      </c>
      <c r="AX409" s="3"/>
      <c r="AY409" s="3">
        <f>AW409*1.03</f>
        <v>10767.545691794739</v>
      </c>
      <c r="BA409" s="3">
        <f>AY409*1.03</f>
        <v>11090.572062548583</v>
      </c>
      <c r="BC409" s="3">
        <f>BA409*1.03</f>
        <v>11423.28922442504</v>
      </c>
      <c r="BE409" s="3">
        <f>BC409*1.03</f>
        <v>11765.98790115779</v>
      </c>
    </row>
    <row r="410" spans="1:1015 1029:2039 2053:3063 3077:4087 4101:5111 5125:6135 6149:7159 7173:8183 8197:9207 9221:10231 10245:11255 11269:12279 12293:13303 13317:14327 14341:15351 15365:16373" hidden="1" outlineLevel="1" x14ac:dyDescent="0.25">
      <c r="A410" s="3" t="s">
        <v>335</v>
      </c>
      <c r="B410" s="3">
        <v>45000</v>
      </c>
      <c r="D410" s="3">
        <f>21066+7757</f>
        <v>28823</v>
      </c>
      <c r="E410" s="3">
        <f t="shared" si="233"/>
        <v>16177</v>
      </c>
      <c r="F410" s="3">
        <v>45000</v>
      </c>
      <c r="H410" s="3">
        <f t="shared" si="234"/>
        <v>0</v>
      </c>
      <c r="J410" s="3">
        <f>45089+7756</f>
        <v>52845</v>
      </c>
      <c r="K410" s="4">
        <f t="shared" si="235"/>
        <v>1155</v>
      </c>
      <c r="L410" s="4">
        <v>54000</v>
      </c>
      <c r="N410" s="4">
        <f t="shared" si="236"/>
        <v>9000</v>
      </c>
      <c r="P410" s="3">
        <v>90000</v>
      </c>
      <c r="R410" s="3">
        <v>26274</v>
      </c>
      <c r="S410" s="3">
        <f t="shared" si="225"/>
        <v>63726</v>
      </c>
      <c r="T410" s="3">
        <v>90000</v>
      </c>
      <c r="U410" s="3">
        <f t="shared" si="226"/>
        <v>0</v>
      </c>
      <c r="V410" s="3">
        <v>38517</v>
      </c>
      <c r="W410" s="3">
        <f t="shared" si="227"/>
        <v>51483</v>
      </c>
      <c r="Y410" s="3">
        <v>90000</v>
      </c>
      <c r="Z410" s="3">
        <f t="shared" si="228"/>
        <v>0</v>
      </c>
      <c r="AC410" s="3">
        <f>56751+817</f>
        <v>57568</v>
      </c>
      <c r="AD410" s="3">
        <f t="shared" si="231"/>
        <v>32432</v>
      </c>
      <c r="AE410" s="3">
        <v>90000</v>
      </c>
      <c r="AF410" s="3">
        <f t="shared" si="229"/>
        <v>0</v>
      </c>
      <c r="AI410" s="3">
        <f>100000-5000</f>
        <v>95000</v>
      </c>
      <c r="AK410" s="3">
        <f>AI410*1.03</f>
        <v>97850</v>
      </c>
      <c r="AM410" s="3">
        <f>AK410*1.03</f>
        <v>100785.5</v>
      </c>
      <c r="AO410" s="3">
        <f>AM410*1.03</f>
        <v>103809.065</v>
      </c>
      <c r="AQ410" s="3">
        <f>AO410*1.03</f>
        <v>106923.33695000001</v>
      </c>
      <c r="AR410" s="3"/>
      <c r="AS410" s="3">
        <f>AQ410*1.03</f>
        <v>110131.03705850002</v>
      </c>
      <c r="AT410" s="3"/>
      <c r="AU410" s="3">
        <f>AS410*1.03</f>
        <v>113434.96817025503</v>
      </c>
      <c r="AV410" s="3"/>
      <c r="AW410" s="3">
        <f>AU410*1.03</f>
        <v>116838.01721536268</v>
      </c>
      <c r="AX410" s="3"/>
      <c r="AY410" s="3">
        <f>AW410*1.03</f>
        <v>120343.15773182356</v>
      </c>
      <c r="BA410" s="3">
        <f>AY410*1.03</f>
        <v>123953.45246377827</v>
      </c>
      <c r="BC410" s="3">
        <f>BA410*1.03</f>
        <v>127672.05603769163</v>
      </c>
      <c r="BE410" s="3">
        <f>BC410*1.03</f>
        <v>131502.21771882239</v>
      </c>
    </row>
    <row r="411" spans="1:1015 1029:2039 2053:3063 3077:4087 4101:5111 5125:6135 6149:7159 7173:8183 8197:9207 9221:10231 10245:11255 11269:12279 12293:13303 13317:14327 14341:15351 15365:16373" hidden="1" outlineLevel="1" x14ac:dyDescent="0.25">
      <c r="A411" s="267" t="s">
        <v>336</v>
      </c>
      <c r="B411" s="3">
        <v>17500</v>
      </c>
      <c r="D411" s="3">
        <v>0</v>
      </c>
      <c r="E411" s="3">
        <f t="shared" si="233"/>
        <v>17500</v>
      </c>
      <c r="F411" s="3">
        <v>17500</v>
      </c>
      <c r="H411" s="3">
        <f t="shared" si="234"/>
        <v>0</v>
      </c>
      <c r="J411" s="3">
        <v>0</v>
      </c>
      <c r="K411" s="4">
        <f t="shared" si="235"/>
        <v>17500</v>
      </c>
      <c r="L411" s="4">
        <v>17500</v>
      </c>
      <c r="N411" s="4">
        <f t="shared" si="236"/>
        <v>0</v>
      </c>
      <c r="P411" s="3">
        <v>17500</v>
      </c>
      <c r="R411" s="3">
        <v>0</v>
      </c>
      <c r="S411" s="3">
        <f t="shared" si="225"/>
        <v>17500</v>
      </c>
      <c r="T411" s="3">
        <v>17500</v>
      </c>
      <c r="U411" s="3">
        <f t="shared" si="226"/>
        <v>0</v>
      </c>
      <c r="V411" s="3">
        <v>0</v>
      </c>
      <c r="W411" s="3">
        <f t="shared" si="227"/>
        <v>17500</v>
      </c>
      <c r="Y411" s="3">
        <v>17500</v>
      </c>
      <c r="Z411" s="3">
        <f t="shared" si="228"/>
        <v>0</v>
      </c>
      <c r="AC411" s="3">
        <v>0</v>
      </c>
      <c r="AD411" s="3">
        <f t="shared" si="231"/>
        <v>17500</v>
      </c>
      <c r="AE411" s="3">
        <v>17500</v>
      </c>
      <c r="AF411" s="3">
        <f t="shared" si="229"/>
        <v>0</v>
      </c>
      <c r="AI411" s="3">
        <v>17500</v>
      </c>
      <c r="AK411" s="3">
        <v>17500</v>
      </c>
      <c r="AM411" s="3">
        <v>17500</v>
      </c>
      <c r="AO411" s="3">
        <v>17500</v>
      </c>
      <c r="AQ411" s="3">
        <v>17500</v>
      </c>
      <c r="AS411" s="3">
        <v>17500</v>
      </c>
      <c r="AU411" s="3">
        <v>17500</v>
      </c>
      <c r="AW411" s="3">
        <v>17500</v>
      </c>
      <c r="AY411" s="3">
        <v>17500</v>
      </c>
      <c r="BA411" s="3">
        <v>17500</v>
      </c>
      <c r="BC411" s="3">
        <v>17500</v>
      </c>
      <c r="BE411" s="3">
        <v>17500</v>
      </c>
      <c r="BI411" s="268"/>
      <c r="BJ411" s="268"/>
      <c r="BK411" s="268"/>
      <c r="BL411" s="268"/>
      <c r="BM411" s="268"/>
      <c r="BN411" s="268"/>
      <c r="BO411" s="268"/>
      <c r="BP411" s="268"/>
      <c r="BQ411" s="268"/>
      <c r="BR411" s="268"/>
      <c r="BS411" s="268"/>
      <c r="BT411" s="268"/>
      <c r="BU411" s="268"/>
      <c r="BV411" s="268"/>
      <c r="BW411" s="268"/>
      <c r="BX411" s="268"/>
      <c r="BY411" s="268"/>
      <c r="BZ411" s="268"/>
      <c r="CA411" s="268"/>
      <c r="CB411" s="268"/>
      <c r="CC411" s="268"/>
      <c r="CD411" s="268"/>
      <c r="CE411" s="268"/>
      <c r="CF411" s="268"/>
      <c r="CG411" s="268"/>
      <c r="CH411" s="268"/>
      <c r="CI411" s="268"/>
      <c r="CJ411" s="268"/>
      <c r="CK411" s="268"/>
      <c r="CL411" s="268"/>
      <c r="CM411" s="268"/>
      <c r="CN411" s="268"/>
      <c r="CO411" s="268"/>
      <c r="CP411" s="268"/>
      <c r="CQ411" s="268"/>
      <c r="CR411" s="268"/>
      <c r="CS411" s="268"/>
      <c r="CT411" s="268"/>
      <c r="CU411" s="268"/>
      <c r="CV411" s="268"/>
      <c r="CW411" s="268"/>
      <c r="CX411" s="268"/>
      <c r="CY411" s="268"/>
      <c r="CZ411" s="268"/>
      <c r="DA411" s="268"/>
      <c r="DB411" s="268"/>
      <c r="DC411" s="268"/>
      <c r="DD411" s="268"/>
      <c r="DE411" s="268"/>
      <c r="DF411" s="268"/>
      <c r="DG411" s="268"/>
      <c r="DH411" s="268"/>
      <c r="DI411" s="268"/>
      <c r="DJ411" s="268"/>
      <c r="DK411" s="268"/>
      <c r="DL411" s="268"/>
      <c r="DM411" s="268"/>
      <c r="DN411" s="268"/>
      <c r="DO411" s="268"/>
      <c r="DP411" s="268"/>
      <c r="DQ411" s="268"/>
      <c r="DR411" s="268"/>
      <c r="DS411" s="268"/>
      <c r="DT411" s="268"/>
      <c r="DU411" s="268"/>
      <c r="DV411" s="268"/>
      <c r="DW411" s="268"/>
      <c r="DX411" s="268"/>
      <c r="DY411" s="268"/>
      <c r="DZ411" s="268"/>
      <c r="EA411" s="268"/>
      <c r="EB411" s="268"/>
      <c r="EC411" s="268"/>
      <c r="ED411" s="268"/>
      <c r="EE411" s="268"/>
      <c r="EF411" s="268"/>
      <c r="EG411" s="268"/>
      <c r="EH411" s="268"/>
      <c r="EI411" s="268"/>
      <c r="EJ411" s="268"/>
      <c r="EK411" s="268"/>
      <c r="EL411" s="268"/>
      <c r="EM411" s="268"/>
      <c r="EN411" s="268"/>
      <c r="EO411" s="268"/>
      <c r="EP411" s="268"/>
      <c r="EQ411" s="268"/>
      <c r="ER411" s="268"/>
      <c r="ES411" s="268"/>
      <c r="ET411" s="268"/>
      <c r="EU411" s="268"/>
      <c r="EV411" s="268"/>
      <c r="EW411" s="268"/>
      <c r="EX411" s="268"/>
      <c r="EY411" s="268"/>
      <c r="EZ411" s="268"/>
      <c r="FA411" s="268"/>
      <c r="FB411" s="268"/>
      <c r="FC411" s="268"/>
      <c r="FD411" s="268"/>
      <c r="FE411" s="268"/>
      <c r="FF411" s="268"/>
      <c r="FG411" s="268"/>
      <c r="FH411" s="268"/>
      <c r="FI411" s="268"/>
      <c r="FJ411" s="268"/>
      <c r="FK411" s="268"/>
      <c r="FL411" s="268"/>
      <c r="FM411" s="268"/>
      <c r="FN411" s="268"/>
      <c r="FO411" s="268"/>
      <c r="FP411" s="268"/>
      <c r="FQ411" s="268"/>
      <c r="FR411" s="268"/>
      <c r="FS411" s="268"/>
      <c r="FT411" s="268"/>
      <c r="FU411" s="268"/>
      <c r="FV411" s="268"/>
      <c r="FW411" s="268"/>
      <c r="FX411" s="268"/>
      <c r="FY411" s="268"/>
      <c r="FZ411" s="268"/>
      <c r="GA411" s="268"/>
      <c r="GB411" s="268"/>
      <c r="GC411" s="268"/>
      <c r="GD411" s="268"/>
      <c r="GE411" s="268"/>
      <c r="GF411" s="268"/>
      <c r="GG411" s="268"/>
      <c r="GH411" s="268"/>
      <c r="GI411" s="268"/>
      <c r="GJ411" s="268"/>
      <c r="GK411" s="268"/>
      <c r="GL411" s="268"/>
      <c r="GM411" s="268"/>
      <c r="GN411" s="268"/>
      <c r="GO411" s="268"/>
      <c r="GP411" s="268"/>
      <c r="GQ411" s="268"/>
      <c r="GR411" s="268"/>
      <c r="GS411" s="268"/>
      <c r="GT411" s="268"/>
      <c r="GU411" s="268"/>
      <c r="GV411" s="268"/>
      <c r="GW411" s="268"/>
      <c r="GX411" s="268"/>
      <c r="GY411" s="268"/>
      <c r="GZ411" s="268"/>
      <c r="HA411" s="268"/>
      <c r="HB411" s="268"/>
      <c r="HC411" s="268"/>
      <c r="HD411" s="268"/>
      <c r="HE411" s="268"/>
      <c r="HF411" s="268"/>
      <c r="HG411" s="268"/>
      <c r="HH411" s="268"/>
      <c r="HI411" s="268"/>
      <c r="HJ411" s="268"/>
      <c r="HK411" s="268"/>
      <c r="HL411" s="268"/>
      <c r="HM411" s="268"/>
      <c r="HN411" s="268"/>
      <c r="HO411" s="268"/>
      <c r="HP411" s="268"/>
      <c r="HQ411" s="268"/>
      <c r="HR411" s="268"/>
      <c r="HS411" s="268"/>
      <c r="HT411" s="268"/>
      <c r="HU411" s="268"/>
      <c r="HV411" s="268"/>
      <c r="HW411" s="268"/>
      <c r="HX411" s="268"/>
      <c r="HY411" s="268"/>
      <c r="HZ411" s="268"/>
      <c r="IA411" s="268"/>
      <c r="IB411" s="268"/>
      <c r="IC411" s="268"/>
      <c r="ID411" s="268"/>
      <c r="IE411" s="268"/>
      <c r="IF411" s="268"/>
      <c r="IG411" s="268"/>
      <c r="IH411" s="268"/>
      <c r="II411" s="268"/>
      <c r="IJ411" s="268"/>
      <c r="IK411" s="268"/>
      <c r="IL411" s="268"/>
      <c r="IM411" s="268"/>
      <c r="JA411" s="268"/>
      <c r="JB411" s="268"/>
      <c r="JC411" s="268"/>
      <c r="JQ411" s="268"/>
      <c r="JS411" s="268"/>
      <c r="JT411" s="268"/>
      <c r="JU411" s="268"/>
      <c r="JV411" s="268"/>
      <c r="JW411" s="268"/>
      <c r="JX411" s="268"/>
      <c r="JY411" s="268"/>
      <c r="JZ411" s="268"/>
      <c r="KA411" s="268"/>
      <c r="KB411" s="268"/>
      <c r="KC411" s="268"/>
      <c r="KD411" s="268"/>
      <c r="KE411" s="268"/>
      <c r="KF411" s="268"/>
      <c r="KG411" s="268"/>
      <c r="KH411" s="268"/>
      <c r="KI411" s="268"/>
      <c r="KJ411" s="268"/>
      <c r="KK411" s="268"/>
      <c r="KL411" s="268"/>
      <c r="KM411" s="268"/>
      <c r="KN411" s="268"/>
      <c r="KO411" s="268"/>
      <c r="KP411" s="268"/>
      <c r="KQ411" s="268"/>
      <c r="KR411" s="268"/>
      <c r="KS411" s="268"/>
      <c r="KT411" s="268"/>
      <c r="KU411" s="268"/>
      <c r="KV411" s="268"/>
      <c r="KW411" s="268"/>
      <c r="KX411" s="268"/>
      <c r="KY411" s="268"/>
      <c r="KZ411" s="268"/>
      <c r="LA411" s="268"/>
      <c r="LB411" s="268"/>
      <c r="LC411" s="268"/>
      <c r="LD411" s="268"/>
      <c r="LE411" s="268"/>
      <c r="LF411" s="268"/>
      <c r="LG411" s="268"/>
      <c r="LH411" s="268"/>
      <c r="LI411" s="268"/>
      <c r="LJ411" s="268"/>
      <c r="LK411" s="268"/>
      <c r="LL411" s="268"/>
      <c r="LM411" s="268"/>
      <c r="LN411" s="268"/>
      <c r="LO411" s="268"/>
      <c r="LP411" s="268"/>
      <c r="LQ411" s="268"/>
      <c r="LR411" s="268"/>
      <c r="LS411" s="268"/>
      <c r="LT411" s="268"/>
      <c r="LU411" s="268"/>
      <c r="LV411" s="268"/>
      <c r="LW411" s="268"/>
      <c r="LX411" s="268"/>
      <c r="LY411" s="268"/>
      <c r="LZ411" s="268"/>
      <c r="MA411" s="268"/>
      <c r="MB411" s="268"/>
      <c r="MC411" s="268"/>
      <c r="MD411" s="268"/>
      <c r="ME411" s="268"/>
      <c r="MF411" s="268"/>
      <c r="MG411" s="268"/>
      <c r="MH411" s="268"/>
      <c r="MI411" s="268"/>
      <c r="MJ411" s="268"/>
      <c r="MK411" s="268"/>
      <c r="ML411" s="268"/>
      <c r="MM411" s="268"/>
      <c r="MN411" s="268"/>
      <c r="MO411" s="268"/>
      <c r="MP411" s="268"/>
      <c r="MQ411" s="268"/>
      <c r="MR411" s="268"/>
      <c r="MS411" s="268"/>
      <c r="MT411" s="268"/>
      <c r="MU411" s="268"/>
      <c r="MV411" s="268"/>
      <c r="MW411" s="268"/>
      <c r="MX411" s="268"/>
      <c r="MY411" s="268"/>
      <c r="MZ411" s="268"/>
      <c r="NA411" s="268"/>
      <c r="NB411" s="268"/>
      <c r="NC411" s="268"/>
      <c r="ND411" s="268"/>
      <c r="NE411" s="268"/>
      <c r="NF411" s="268"/>
      <c r="NG411" s="268"/>
      <c r="NH411" s="268"/>
      <c r="NI411" s="268"/>
      <c r="NJ411" s="268"/>
      <c r="NK411" s="268"/>
      <c r="NL411" s="268"/>
      <c r="NM411" s="268"/>
      <c r="NN411" s="268"/>
      <c r="NO411" s="268"/>
      <c r="NP411" s="268"/>
      <c r="NQ411" s="268"/>
      <c r="NR411" s="268"/>
      <c r="NS411" s="268"/>
      <c r="NT411" s="268"/>
      <c r="NU411" s="268"/>
      <c r="NV411" s="268"/>
      <c r="NW411" s="268"/>
      <c r="NX411" s="268"/>
      <c r="NY411" s="268"/>
      <c r="NZ411" s="268"/>
      <c r="OA411" s="268"/>
      <c r="OB411" s="268"/>
      <c r="OC411" s="268"/>
      <c r="OD411" s="268"/>
      <c r="OE411" s="268"/>
      <c r="OF411" s="268"/>
      <c r="OG411" s="268"/>
      <c r="OH411" s="268"/>
      <c r="OI411" s="268"/>
      <c r="OJ411" s="268"/>
      <c r="OK411" s="268"/>
      <c r="OL411" s="268"/>
      <c r="OM411" s="268"/>
      <c r="ON411" s="268"/>
      <c r="OO411" s="268"/>
      <c r="OP411" s="268"/>
      <c r="OQ411" s="268"/>
      <c r="OR411" s="268"/>
      <c r="OS411" s="268"/>
      <c r="OT411" s="268"/>
      <c r="OU411" s="268"/>
      <c r="OV411" s="268"/>
      <c r="OW411" s="268"/>
      <c r="OX411" s="268"/>
      <c r="OY411" s="268"/>
      <c r="OZ411" s="268"/>
      <c r="PA411" s="268"/>
      <c r="PB411" s="268"/>
      <c r="PC411" s="268"/>
      <c r="PD411" s="268"/>
      <c r="PE411" s="268"/>
      <c r="PF411" s="268"/>
      <c r="PG411" s="268"/>
      <c r="PH411" s="268"/>
      <c r="PI411" s="268"/>
      <c r="PJ411" s="268"/>
      <c r="PK411" s="268"/>
      <c r="PL411" s="268"/>
      <c r="PM411" s="268"/>
      <c r="PN411" s="268"/>
      <c r="PO411" s="268"/>
      <c r="PP411" s="268"/>
      <c r="PQ411" s="268"/>
      <c r="PR411" s="268"/>
      <c r="PS411" s="268"/>
      <c r="PT411" s="268"/>
      <c r="PU411" s="268"/>
      <c r="PV411" s="268"/>
      <c r="PW411" s="268"/>
      <c r="PX411" s="268"/>
      <c r="PY411" s="268"/>
      <c r="PZ411" s="268"/>
      <c r="QA411" s="268"/>
      <c r="QB411" s="268"/>
      <c r="QC411" s="268"/>
      <c r="QD411" s="268"/>
      <c r="QE411" s="268"/>
      <c r="QF411" s="268"/>
      <c r="QG411" s="268"/>
      <c r="QH411" s="268"/>
      <c r="QI411" s="268"/>
      <c r="QJ411" s="268"/>
      <c r="QK411" s="268"/>
      <c r="QL411" s="268"/>
      <c r="QM411" s="268"/>
      <c r="QN411" s="268"/>
      <c r="QO411" s="268"/>
      <c r="QP411" s="268"/>
      <c r="QQ411" s="268"/>
      <c r="QR411" s="268"/>
      <c r="QS411" s="268"/>
      <c r="QT411" s="268"/>
      <c r="QU411" s="268"/>
      <c r="QV411" s="268"/>
      <c r="QW411" s="268"/>
      <c r="QX411" s="268"/>
      <c r="QY411" s="268"/>
      <c r="QZ411" s="268"/>
      <c r="RA411" s="268"/>
      <c r="RB411" s="268"/>
      <c r="RC411" s="268"/>
      <c r="RD411" s="268"/>
      <c r="RE411" s="268"/>
      <c r="RF411" s="268"/>
      <c r="RG411" s="268"/>
      <c r="RH411" s="268"/>
      <c r="RI411" s="268"/>
      <c r="RJ411" s="268"/>
      <c r="RK411" s="268"/>
      <c r="RL411" s="268"/>
      <c r="RM411" s="268"/>
      <c r="RN411" s="268"/>
      <c r="RO411" s="268"/>
      <c r="RP411" s="268"/>
      <c r="RQ411" s="268"/>
      <c r="RR411" s="268"/>
      <c r="RS411" s="268"/>
      <c r="RT411" s="268"/>
      <c r="RU411" s="268"/>
      <c r="RV411" s="268"/>
      <c r="RW411" s="268"/>
      <c r="RX411" s="268"/>
      <c r="RY411" s="268"/>
      <c r="RZ411" s="268"/>
      <c r="SA411" s="268"/>
      <c r="SB411" s="268"/>
      <c r="SC411" s="268"/>
      <c r="SD411" s="268"/>
      <c r="SE411" s="268"/>
      <c r="SF411" s="268"/>
      <c r="SG411" s="268"/>
      <c r="SH411" s="268"/>
      <c r="SI411" s="268"/>
      <c r="SW411" s="268"/>
      <c r="SX411" s="268"/>
      <c r="SY411" s="268"/>
      <c r="TM411" s="268"/>
      <c r="TO411" s="268"/>
      <c r="TP411" s="268"/>
      <c r="TQ411" s="268"/>
      <c r="TR411" s="268"/>
      <c r="TS411" s="268"/>
      <c r="TT411" s="268"/>
      <c r="TU411" s="268"/>
      <c r="TV411" s="268"/>
      <c r="TW411" s="268"/>
      <c r="TX411" s="268"/>
      <c r="TY411" s="268"/>
      <c r="TZ411" s="268"/>
      <c r="UA411" s="268"/>
      <c r="UB411" s="268"/>
      <c r="UC411" s="268"/>
      <c r="UD411" s="268"/>
      <c r="UE411" s="268"/>
      <c r="UF411" s="268"/>
      <c r="UG411" s="268"/>
      <c r="UH411" s="268"/>
      <c r="UI411" s="268"/>
      <c r="UJ411" s="268"/>
      <c r="UK411" s="268"/>
      <c r="UL411" s="268"/>
      <c r="UM411" s="268"/>
      <c r="UN411" s="268"/>
      <c r="UO411" s="268"/>
      <c r="UP411" s="268"/>
      <c r="UQ411" s="268"/>
      <c r="UR411" s="268"/>
      <c r="US411" s="268"/>
      <c r="UT411" s="268"/>
      <c r="UU411" s="268"/>
      <c r="UV411" s="268"/>
      <c r="UW411" s="268"/>
      <c r="UX411" s="268"/>
      <c r="UY411" s="268"/>
      <c r="UZ411" s="268"/>
      <c r="VA411" s="268"/>
      <c r="VB411" s="268"/>
      <c r="VC411" s="268"/>
      <c r="VD411" s="268"/>
      <c r="VE411" s="268"/>
      <c r="VF411" s="268"/>
      <c r="VG411" s="268"/>
      <c r="VH411" s="268"/>
      <c r="VI411" s="268"/>
      <c r="VJ411" s="268"/>
      <c r="VK411" s="268"/>
      <c r="VL411" s="268"/>
      <c r="VM411" s="268"/>
      <c r="VN411" s="268"/>
      <c r="VO411" s="268"/>
      <c r="VP411" s="268"/>
      <c r="VQ411" s="268"/>
      <c r="VR411" s="268"/>
      <c r="VS411" s="268"/>
      <c r="VT411" s="268"/>
      <c r="VU411" s="268"/>
      <c r="VV411" s="268"/>
      <c r="VW411" s="268"/>
      <c r="VX411" s="268"/>
      <c r="VY411" s="268"/>
      <c r="VZ411" s="268"/>
      <c r="WA411" s="268"/>
      <c r="WB411" s="268"/>
      <c r="WC411" s="268"/>
      <c r="WD411" s="268"/>
      <c r="WE411" s="268"/>
      <c r="WF411" s="268"/>
      <c r="WG411" s="268"/>
      <c r="WH411" s="268"/>
      <c r="WI411" s="268"/>
      <c r="WJ411" s="268"/>
      <c r="WK411" s="268"/>
      <c r="WL411" s="268"/>
      <c r="WM411" s="268"/>
      <c r="WN411" s="268"/>
      <c r="WO411" s="268"/>
      <c r="WP411" s="268"/>
      <c r="WQ411" s="268"/>
      <c r="WR411" s="268"/>
      <c r="WS411" s="268"/>
      <c r="WT411" s="268"/>
      <c r="WU411" s="268"/>
      <c r="WV411" s="268"/>
      <c r="WW411" s="268"/>
      <c r="WX411" s="268"/>
      <c r="WY411" s="268"/>
      <c r="WZ411" s="268"/>
      <c r="XA411" s="268"/>
      <c r="XB411" s="268"/>
      <c r="XC411" s="268"/>
      <c r="XD411" s="268"/>
      <c r="XE411" s="268"/>
      <c r="XF411" s="268"/>
      <c r="XG411" s="268"/>
      <c r="XH411" s="268"/>
      <c r="XI411" s="268"/>
      <c r="XJ411" s="268"/>
      <c r="XK411" s="268"/>
      <c r="XL411" s="268"/>
      <c r="XM411" s="268"/>
      <c r="XN411" s="268"/>
      <c r="XO411" s="268"/>
      <c r="XP411" s="268"/>
      <c r="XQ411" s="268"/>
      <c r="XR411" s="268"/>
      <c r="XS411" s="268"/>
      <c r="XT411" s="268"/>
      <c r="XU411" s="268"/>
      <c r="XV411" s="268"/>
      <c r="XW411" s="268"/>
      <c r="XX411" s="268"/>
      <c r="XY411" s="268"/>
      <c r="XZ411" s="268"/>
      <c r="YA411" s="268"/>
      <c r="YB411" s="268"/>
      <c r="YC411" s="268"/>
      <c r="YD411" s="268"/>
      <c r="YE411" s="268"/>
      <c r="YF411" s="268"/>
      <c r="YG411" s="268"/>
      <c r="YH411" s="268"/>
      <c r="YI411" s="268"/>
      <c r="YJ411" s="268"/>
      <c r="YK411" s="268"/>
      <c r="YL411" s="268"/>
      <c r="YM411" s="268"/>
      <c r="YN411" s="268"/>
      <c r="YO411" s="268"/>
      <c r="YP411" s="268"/>
      <c r="YQ411" s="268"/>
      <c r="YR411" s="268"/>
      <c r="YS411" s="268"/>
      <c r="YT411" s="268"/>
      <c r="YU411" s="268"/>
      <c r="YV411" s="268"/>
      <c r="YW411" s="268"/>
      <c r="YX411" s="268"/>
      <c r="YY411" s="268"/>
      <c r="YZ411" s="268"/>
      <c r="ZA411" s="268"/>
      <c r="ZB411" s="268"/>
      <c r="ZC411" s="268"/>
      <c r="ZD411" s="268"/>
      <c r="ZE411" s="268"/>
      <c r="ZF411" s="268"/>
      <c r="ZG411" s="268"/>
      <c r="ZH411" s="268"/>
      <c r="ZI411" s="268"/>
      <c r="ZJ411" s="268"/>
      <c r="ZK411" s="268"/>
      <c r="ZL411" s="268"/>
      <c r="ZM411" s="268"/>
      <c r="ZN411" s="268"/>
      <c r="ZO411" s="268"/>
      <c r="ZP411" s="268"/>
      <c r="ZQ411" s="268"/>
      <c r="ZR411" s="268"/>
      <c r="ZS411" s="268"/>
      <c r="ZT411" s="268"/>
      <c r="ZU411" s="268"/>
      <c r="ZV411" s="268"/>
      <c r="ZW411" s="268"/>
      <c r="ZX411" s="268"/>
      <c r="ZY411" s="268"/>
      <c r="ZZ411" s="268"/>
      <c r="AAA411" s="268"/>
      <c r="AAB411" s="268"/>
      <c r="AAC411" s="268"/>
      <c r="AAD411" s="268"/>
      <c r="AAE411" s="268"/>
      <c r="AAF411" s="268"/>
      <c r="AAG411" s="268"/>
      <c r="AAH411" s="268"/>
      <c r="AAI411" s="268"/>
      <c r="AAJ411" s="268"/>
      <c r="AAK411" s="268"/>
      <c r="AAL411" s="268"/>
      <c r="AAM411" s="268"/>
      <c r="AAN411" s="268"/>
      <c r="AAO411" s="268"/>
      <c r="AAP411" s="268"/>
      <c r="AAQ411" s="268"/>
      <c r="AAR411" s="268"/>
      <c r="AAS411" s="268"/>
      <c r="AAT411" s="268"/>
      <c r="AAU411" s="268"/>
      <c r="AAV411" s="268"/>
      <c r="AAW411" s="268"/>
      <c r="AAX411" s="268"/>
      <c r="AAY411" s="268"/>
      <c r="AAZ411" s="268"/>
      <c r="ABA411" s="268"/>
      <c r="ABB411" s="268"/>
      <c r="ABC411" s="268"/>
      <c r="ABD411" s="268"/>
      <c r="ABE411" s="268"/>
      <c r="ABF411" s="268"/>
      <c r="ABG411" s="268"/>
      <c r="ABH411" s="268"/>
      <c r="ABI411" s="268"/>
      <c r="ABJ411" s="268"/>
      <c r="ABK411" s="268"/>
      <c r="ABL411" s="268"/>
      <c r="ABM411" s="268"/>
      <c r="ABN411" s="268"/>
      <c r="ABO411" s="268"/>
      <c r="ABP411" s="268"/>
      <c r="ABQ411" s="268"/>
      <c r="ABR411" s="268"/>
      <c r="ABS411" s="268"/>
      <c r="ABT411" s="268"/>
      <c r="ABU411" s="268"/>
      <c r="ABV411" s="268"/>
      <c r="ABW411" s="268"/>
      <c r="ABX411" s="268"/>
      <c r="ABY411" s="268"/>
      <c r="ABZ411" s="268"/>
      <c r="ACA411" s="268"/>
      <c r="ACB411" s="268"/>
      <c r="ACC411" s="268"/>
      <c r="ACD411" s="268"/>
      <c r="ACE411" s="268"/>
      <c r="ACS411" s="268"/>
      <c r="ACT411" s="268"/>
      <c r="ACU411" s="268"/>
      <c r="ADI411" s="268"/>
      <c r="ADK411" s="268"/>
      <c r="ADL411" s="268"/>
      <c r="ADM411" s="268"/>
      <c r="ADN411" s="268"/>
      <c r="ADO411" s="268"/>
      <c r="ADP411" s="268"/>
      <c r="ADQ411" s="268"/>
      <c r="ADR411" s="268"/>
      <c r="ADS411" s="268"/>
      <c r="ADT411" s="268"/>
      <c r="ADU411" s="268"/>
      <c r="ADV411" s="268"/>
      <c r="ADW411" s="268"/>
      <c r="ADX411" s="268"/>
      <c r="ADY411" s="268"/>
      <c r="ADZ411" s="268"/>
      <c r="AEA411" s="268"/>
      <c r="AEB411" s="268"/>
      <c r="AEC411" s="268"/>
      <c r="AED411" s="268"/>
      <c r="AEE411" s="268"/>
      <c r="AEF411" s="268"/>
      <c r="AEG411" s="268"/>
      <c r="AEH411" s="268"/>
      <c r="AEI411" s="268"/>
      <c r="AEJ411" s="268"/>
      <c r="AEK411" s="268"/>
      <c r="AEL411" s="268"/>
      <c r="AEM411" s="268"/>
      <c r="AEN411" s="268"/>
      <c r="AEO411" s="268"/>
      <c r="AEP411" s="268"/>
      <c r="AEQ411" s="268"/>
      <c r="AER411" s="268"/>
      <c r="AES411" s="268"/>
      <c r="AET411" s="268"/>
      <c r="AEU411" s="268"/>
      <c r="AEV411" s="268"/>
      <c r="AEW411" s="268"/>
      <c r="AEX411" s="268"/>
      <c r="AEY411" s="268"/>
      <c r="AEZ411" s="268"/>
      <c r="AFA411" s="268"/>
      <c r="AFB411" s="268"/>
      <c r="AFC411" s="268"/>
      <c r="AFD411" s="268"/>
      <c r="AFE411" s="268"/>
      <c r="AFF411" s="268"/>
      <c r="AFG411" s="268"/>
      <c r="AFH411" s="268"/>
      <c r="AFI411" s="268"/>
      <c r="AFJ411" s="268"/>
      <c r="AFK411" s="268"/>
      <c r="AFL411" s="268"/>
      <c r="AFM411" s="268"/>
      <c r="AFN411" s="268"/>
      <c r="AFO411" s="268"/>
      <c r="AFP411" s="268"/>
      <c r="AFQ411" s="268"/>
      <c r="AFR411" s="268"/>
      <c r="AFS411" s="268"/>
      <c r="AFT411" s="268"/>
      <c r="AFU411" s="268"/>
      <c r="AFV411" s="268"/>
      <c r="AFW411" s="268"/>
      <c r="AFX411" s="268"/>
      <c r="AFY411" s="268"/>
      <c r="AFZ411" s="268"/>
      <c r="AGA411" s="268"/>
      <c r="AGB411" s="268"/>
      <c r="AGC411" s="268"/>
      <c r="AGD411" s="268"/>
      <c r="AGE411" s="268"/>
      <c r="AGF411" s="268"/>
      <c r="AGG411" s="268"/>
      <c r="AGH411" s="268"/>
      <c r="AGI411" s="268"/>
      <c r="AGJ411" s="268"/>
      <c r="AGK411" s="268"/>
      <c r="AGL411" s="268"/>
      <c r="AGM411" s="268"/>
      <c r="AGN411" s="268"/>
      <c r="AGO411" s="268"/>
      <c r="AGP411" s="268"/>
      <c r="AGQ411" s="268"/>
      <c r="AGR411" s="268"/>
      <c r="AGS411" s="268"/>
      <c r="AGT411" s="268"/>
      <c r="AGU411" s="268"/>
      <c r="AGV411" s="268"/>
      <c r="AGW411" s="268"/>
      <c r="AGX411" s="268"/>
      <c r="AGY411" s="268"/>
      <c r="AGZ411" s="268"/>
      <c r="AHA411" s="268"/>
      <c r="AHB411" s="268"/>
      <c r="AHC411" s="268"/>
      <c r="AHD411" s="268"/>
      <c r="AHE411" s="268"/>
      <c r="AHF411" s="268"/>
      <c r="AHG411" s="268"/>
      <c r="AHH411" s="268"/>
      <c r="AHI411" s="268"/>
      <c r="AHJ411" s="268"/>
      <c r="AHK411" s="268"/>
      <c r="AHL411" s="268"/>
      <c r="AHM411" s="268"/>
      <c r="AHN411" s="268"/>
      <c r="AHO411" s="268"/>
      <c r="AHP411" s="268"/>
      <c r="AHQ411" s="268"/>
      <c r="AHR411" s="268"/>
      <c r="AHS411" s="268"/>
      <c r="AHT411" s="268"/>
      <c r="AHU411" s="268"/>
      <c r="AHV411" s="268"/>
      <c r="AHW411" s="268"/>
      <c r="AHX411" s="268"/>
      <c r="AHY411" s="268"/>
      <c r="AHZ411" s="268"/>
      <c r="AIA411" s="268"/>
      <c r="AIB411" s="268"/>
      <c r="AIC411" s="268"/>
      <c r="AID411" s="268"/>
      <c r="AIE411" s="268"/>
      <c r="AIF411" s="268"/>
      <c r="AIG411" s="268"/>
      <c r="AIH411" s="268"/>
      <c r="AII411" s="268"/>
      <c r="AIJ411" s="268"/>
      <c r="AIK411" s="268"/>
      <c r="AIL411" s="268"/>
      <c r="AIM411" s="268"/>
      <c r="AIN411" s="268"/>
      <c r="AIO411" s="268"/>
      <c r="AIP411" s="268"/>
      <c r="AIQ411" s="268"/>
      <c r="AIR411" s="268"/>
      <c r="AIS411" s="268"/>
      <c r="AIT411" s="268"/>
      <c r="AIU411" s="268"/>
      <c r="AIV411" s="268"/>
      <c r="AIW411" s="268"/>
      <c r="AIX411" s="268"/>
      <c r="AIY411" s="268"/>
      <c r="AIZ411" s="268"/>
      <c r="AJA411" s="268"/>
      <c r="AJB411" s="268"/>
      <c r="AJC411" s="268"/>
      <c r="AJD411" s="268"/>
      <c r="AJE411" s="268"/>
      <c r="AJF411" s="268"/>
      <c r="AJG411" s="268"/>
      <c r="AJH411" s="268"/>
      <c r="AJI411" s="268"/>
      <c r="AJJ411" s="268"/>
      <c r="AJK411" s="268"/>
      <c r="AJL411" s="268"/>
      <c r="AJM411" s="268"/>
      <c r="AJN411" s="268"/>
      <c r="AJO411" s="268"/>
      <c r="AJP411" s="268"/>
      <c r="AJQ411" s="268"/>
      <c r="AJR411" s="268"/>
      <c r="AJS411" s="268"/>
      <c r="AJT411" s="268"/>
      <c r="AJU411" s="268"/>
      <c r="AJV411" s="268"/>
      <c r="AJW411" s="268"/>
      <c r="AJX411" s="268"/>
      <c r="AJY411" s="268"/>
      <c r="AJZ411" s="268"/>
      <c r="AKA411" s="268"/>
      <c r="AKB411" s="268"/>
      <c r="AKC411" s="268"/>
      <c r="AKD411" s="268"/>
      <c r="AKE411" s="268"/>
      <c r="AKF411" s="268"/>
      <c r="AKG411" s="268"/>
      <c r="AKH411" s="268"/>
      <c r="AKI411" s="268"/>
      <c r="AKJ411" s="268"/>
      <c r="AKK411" s="268"/>
      <c r="AKL411" s="268"/>
      <c r="AKM411" s="268"/>
      <c r="AKN411" s="268"/>
      <c r="AKO411" s="268"/>
      <c r="AKP411" s="268"/>
      <c r="AKQ411" s="268"/>
      <c r="AKR411" s="268"/>
      <c r="AKS411" s="268"/>
      <c r="AKT411" s="268"/>
      <c r="AKU411" s="268"/>
      <c r="AKV411" s="268"/>
      <c r="AKW411" s="268"/>
      <c r="AKX411" s="268"/>
      <c r="AKY411" s="268"/>
      <c r="AKZ411" s="268"/>
      <c r="ALA411" s="268"/>
      <c r="ALB411" s="268"/>
      <c r="ALC411" s="268"/>
      <c r="ALD411" s="268"/>
      <c r="ALE411" s="268"/>
      <c r="ALF411" s="268"/>
      <c r="ALG411" s="268"/>
      <c r="ALH411" s="268"/>
      <c r="ALI411" s="268"/>
      <c r="ALJ411" s="268"/>
      <c r="ALK411" s="268"/>
      <c r="ALL411" s="268"/>
      <c r="ALM411" s="268"/>
      <c r="ALN411" s="268"/>
      <c r="ALO411" s="268"/>
      <c r="ALP411" s="268"/>
      <c r="ALQ411" s="268"/>
      <c r="ALR411" s="268"/>
      <c r="ALS411" s="268"/>
      <c r="ALT411" s="268"/>
      <c r="ALU411" s="268"/>
      <c r="ALV411" s="268"/>
      <c r="ALW411" s="268"/>
      <c r="ALX411" s="268"/>
      <c r="ALY411" s="268"/>
      <c r="ALZ411" s="268"/>
      <c r="AMA411" s="268"/>
      <c r="AMO411" s="268"/>
      <c r="AMP411" s="268"/>
      <c r="AMQ411" s="268"/>
      <c r="ANE411" s="268"/>
      <c r="ANG411" s="268"/>
      <c r="ANH411" s="268"/>
      <c r="ANI411" s="268"/>
      <c r="ANJ411" s="268"/>
      <c r="ANK411" s="268"/>
      <c r="ANL411" s="268"/>
      <c r="ANM411" s="268"/>
      <c r="ANN411" s="268"/>
      <c r="ANO411" s="268"/>
      <c r="ANP411" s="268"/>
      <c r="ANQ411" s="268"/>
      <c r="ANR411" s="268"/>
      <c r="ANS411" s="268"/>
      <c r="ANT411" s="268"/>
      <c r="ANU411" s="268"/>
      <c r="ANV411" s="268"/>
      <c r="ANW411" s="268"/>
      <c r="ANX411" s="268"/>
      <c r="ANY411" s="268"/>
      <c r="ANZ411" s="268"/>
      <c r="AOA411" s="268"/>
      <c r="AOB411" s="268"/>
      <c r="AOC411" s="268"/>
      <c r="AOD411" s="268"/>
      <c r="AOE411" s="268"/>
      <c r="AOF411" s="268"/>
      <c r="AOG411" s="268"/>
      <c r="AOH411" s="268"/>
      <c r="AOI411" s="268"/>
      <c r="AOJ411" s="268"/>
      <c r="AOK411" s="268"/>
      <c r="AOL411" s="268"/>
      <c r="AOM411" s="268"/>
      <c r="AON411" s="268"/>
      <c r="AOO411" s="268"/>
      <c r="AOP411" s="268"/>
      <c r="AOQ411" s="268"/>
      <c r="AOR411" s="268"/>
      <c r="AOS411" s="268"/>
      <c r="AOT411" s="268"/>
      <c r="AOU411" s="268"/>
      <c r="AOV411" s="268"/>
      <c r="AOW411" s="268"/>
      <c r="AOX411" s="268"/>
      <c r="AOY411" s="268"/>
      <c r="AOZ411" s="268"/>
      <c r="APA411" s="268"/>
      <c r="APB411" s="268"/>
      <c r="APC411" s="268"/>
      <c r="APD411" s="268"/>
      <c r="APE411" s="268"/>
      <c r="APF411" s="268"/>
      <c r="APG411" s="268"/>
      <c r="APH411" s="268"/>
      <c r="API411" s="268"/>
      <c r="APJ411" s="268"/>
      <c r="APK411" s="268"/>
      <c r="APL411" s="268"/>
      <c r="APM411" s="268"/>
      <c r="APN411" s="268"/>
      <c r="APO411" s="268"/>
      <c r="APP411" s="268"/>
      <c r="APQ411" s="268"/>
      <c r="APR411" s="268"/>
      <c r="APS411" s="268"/>
      <c r="APT411" s="268"/>
      <c r="APU411" s="268"/>
      <c r="APV411" s="268"/>
      <c r="APW411" s="268"/>
      <c r="APX411" s="268"/>
      <c r="APY411" s="268"/>
      <c r="APZ411" s="268"/>
      <c r="AQA411" s="268"/>
      <c r="AQB411" s="268"/>
      <c r="AQC411" s="268"/>
      <c r="AQD411" s="268"/>
      <c r="AQE411" s="268"/>
      <c r="AQF411" s="268"/>
      <c r="AQG411" s="268"/>
      <c r="AQH411" s="268"/>
      <c r="AQI411" s="268"/>
      <c r="AQJ411" s="268"/>
      <c r="AQK411" s="268"/>
      <c r="AQL411" s="268"/>
      <c r="AQM411" s="268"/>
      <c r="AQN411" s="268"/>
      <c r="AQO411" s="268"/>
      <c r="AQP411" s="268"/>
      <c r="AQQ411" s="268"/>
      <c r="AQR411" s="268"/>
      <c r="AQS411" s="268"/>
      <c r="AQT411" s="268"/>
      <c r="AQU411" s="268"/>
      <c r="AQV411" s="268"/>
      <c r="AQW411" s="268"/>
      <c r="AQX411" s="268"/>
      <c r="AQY411" s="268"/>
      <c r="AQZ411" s="268"/>
      <c r="ARA411" s="268"/>
      <c r="ARB411" s="268"/>
      <c r="ARC411" s="268"/>
      <c r="ARD411" s="268"/>
      <c r="ARE411" s="268"/>
      <c r="ARF411" s="268"/>
      <c r="ARG411" s="268"/>
      <c r="ARH411" s="268"/>
      <c r="ARI411" s="268"/>
      <c r="ARJ411" s="268"/>
      <c r="ARK411" s="268"/>
      <c r="ARL411" s="268"/>
      <c r="ARM411" s="268"/>
      <c r="ARN411" s="268"/>
      <c r="ARO411" s="268"/>
      <c r="ARP411" s="268"/>
      <c r="ARQ411" s="268"/>
      <c r="ARR411" s="268"/>
      <c r="ARS411" s="268"/>
      <c r="ART411" s="268"/>
      <c r="ARU411" s="268"/>
      <c r="ARV411" s="268"/>
      <c r="ARW411" s="268"/>
      <c r="ARX411" s="268"/>
      <c r="ARY411" s="268"/>
      <c r="ARZ411" s="268"/>
      <c r="ASA411" s="268"/>
      <c r="ASB411" s="268"/>
      <c r="ASC411" s="268"/>
      <c r="ASD411" s="268"/>
      <c r="ASE411" s="268"/>
      <c r="ASF411" s="268"/>
      <c r="ASG411" s="268"/>
      <c r="ASH411" s="268"/>
      <c r="ASI411" s="268"/>
      <c r="ASJ411" s="268"/>
      <c r="ASK411" s="268"/>
      <c r="ASL411" s="268"/>
      <c r="ASM411" s="268"/>
      <c r="ASN411" s="268"/>
      <c r="ASO411" s="268"/>
      <c r="ASP411" s="268"/>
      <c r="ASQ411" s="268"/>
      <c r="ASR411" s="268"/>
      <c r="ASS411" s="268"/>
      <c r="AST411" s="268"/>
      <c r="ASU411" s="268"/>
      <c r="ASV411" s="268"/>
      <c r="ASW411" s="268"/>
      <c r="ASX411" s="268"/>
      <c r="ASY411" s="268"/>
      <c r="ASZ411" s="268"/>
      <c r="ATA411" s="268"/>
      <c r="ATB411" s="268"/>
      <c r="ATC411" s="268"/>
      <c r="ATD411" s="268"/>
      <c r="ATE411" s="268"/>
      <c r="ATF411" s="268"/>
      <c r="ATG411" s="268"/>
      <c r="ATH411" s="268"/>
      <c r="ATI411" s="268"/>
      <c r="ATJ411" s="268"/>
      <c r="ATK411" s="268"/>
      <c r="ATL411" s="268"/>
      <c r="ATM411" s="268"/>
      <c r="ATN411" s="268"/>
      <c r="ATO411" s="268"/>
      <c r="ATP411" s="268"/>
      <c r="ATQ411" s="268"/>
      <c r="ATR411" s="268"/>
      <c r="ATS411" s="268"/>
      <c r="ATT411" s="268"/>
      <c r="ATU411" s="268"/>
      <c r="ATV411" s="268"/>
      <c r="ATW411" s="268"/>
      <c r="ATX411" s="268"/>
      <c r="ATY411" s="268"/>
      <c r="ATZ411" s="268"/>
      <c r="AUA411" s="268"/>
      <c r="AUB411" s="268"/>
      <c r="AUC411" s="268"/>
      <c r="AUD411" s="268"/>
      <c r="AUE411" s="268"/>
      <c r="AUF411" s="268"/>
      <c r="AUG411" s="268"/>
      <c r="AUH411" s="268"/>
      <c r="AUI411" s="268"/>
      <c r="AUJ411" s="268"/>
      <c r="AUK411" s="268"/>
      <c r="AUL411" s="268"/>
      <c r="AUM411" s="268"/>
      <c r="AUN411" s="268"/>
      <c r="AUO411" s="268"/>
      <c r="AUP411" s="268"/>
      <c r="AUQ411" s="268"/>
      <c r="AUR411" s="268"/>
      <c r="AUS411" s="268"/>
      <c r="AUT411" s="268"/>
      <c r="AUU411" s="268"/>
      <c r="AUV411" s="268"/>
      <c r="AUW411" s="268"/>
      <c r="AUX411" s="268"/>
      <c r="AUY411" s="268"/>
      <c r="AUZ411" s="268"/>
      <c r="AVA411" s="268"/>
      <c r="AVB411" s="268"/>
      <c r="AVC411" s="268"/>
      <c r="AVD411" s="268"/>
      <c r="AVE411" s="268"/>
      <c r="AVF411" s="268"/>
      <c r="AVG411" s="268"/>
      <c r="AVH411" s="268"/>
      <c r="AVI411" s="268"/>
      <c r="AVJ411" s="268"/>
      <c r="AVK411" s="268"/>
      <c r="AVL411" s="268"/>
      <c r="AVM411" s="268"/>
      <c r="AVN411" s="268"/>
      <c r="AVO411" s="268"/>
      <c r="AVP411" s="268"/>
      <c r="AVQ411" s="268"/>
      <c r="AVR411" s="268"/>
      <c r="AVS411" s="268"/>
      <c r="AVT411" s="268"/>
      <c r="AVU411" s="268"/>
      <c r="AVV411" s="268"/>
      <c r="AVW411" s="268"/>
      <c r="AWK411" s="268"/>
      <c r="AWL411" s="268"/>
      <c r="AWM411" s="268"/>
      <c r="AXA411" s="268"/>
      <c r="AXC411" s="268"/>
      <c r="AXD411" s="268"/>
      <c r="AXE411" s="268"/>
      <c r="AXF411" s="268"/>
      <c r="AXG411" s="268"/>
      <c r="AXH411" s="268"/>
      <c r="AXI411" s="268"/>
      <c r="AXJ411" s="268"/>
      <c r="AXK411" s="268"/>
      <c r="AXL411" s="268"/>
      <c r="AXM411" s="268"/>
      <c r="AXN411" s="268"/>
      <c r="AXO411" s="268"/>
      <c r="AXP411" s="268"/>
      <c r="AXQ411" s="268"/>
      <c r="AXR411" s="268"/>
      <c r="AXS411" s="268"/>
      <c r="AXT411" s="268"/>
      <c r="AXU411" s="268"/>
      <c r="AXV411" s="268"/>
      <c r="AXW411" s="268"/>
      <c r="AXX411" s="268"/>
      <c r="AXY411" s="268"/>
      <c r="AXZ411" s="268"/>
      <c r="AYA411" s="268"/>
      <c r="AYB411" s="268"/>
      <c r="AYC411" s="268"/>
      <c r="AYD411" s="268"/>
      <c r="AYE411" s="268"/>
      <c r="AYF411" s="268"/>
      <c r="AYG411" s="268"/>
      <c r="AYH411" s="268"/>
      <c r="AYI411" s="268"/>
      <c r="AYJ411" s="268"/>
      <c r="AYK411" s="268"/>
      <c r="AYL411" s="268"/>
      <c r="AYM411" s="268"/>
      <c r="AYN411" s="268"/>
      <c r="AYO411" s="268"/>
      <c r="AYP411" s="268"/>
      <c r="AYQ411" s="268"/>
      <c r="AYR411" s="268"/>
      <c r="AYS411" s="268"/>
      <c r="AYT411" s="268"/>
      <c r="AYU411" s="268"/>
      <c r="AYV411" s="268"/>
      <c r="AYW411" s="268"/>
      <c r="AYX411" s="268"/>
      <c r="AYY411" s="268"/>
      <c r="AYZ411" s="268"/>
      <c r="AZA411" s="268"/>
      <c r="AZB411" s="268"/>
      <c r="AZC411" s="268"/>
      <c r="AZD411" s="268"/>
      <c r="AZE411" s="268"/>
      <c r="AZF411" s="268"/>
      <c r="AZG411" s="268"/>
      <c r="AZH411" s="268"/>
      <c r="AZI411" s="268"/>
      <c r="AZJ411" s="268"/>
      <c r="AZK411" s="268"/>
      <c r="AZL411" s="268"/>
      <c r="AZM411" s="268"/>
      <c r="AZN411" s="268"/>
      <c r="AZO411" s="268"/>
      <c r="AZP411" s="268"/>
      <c r="AZQ411" s="268"/>
      <c r="AZR411" s="268"/>
      <c r="AZS411" s="268"/>
      <c r="AZT411" s="268"/>
      <c r="AZU411" s="268"/>
      <c r="AZV411" s="268"/>
      <c r="AZW411" s="268"/>
      <c r="AZX411" s="268"/>
      <c r="AZY411" s="268"/>
      <c r="AZZ411" s="268"/>
      <c r="BAA411" s="268"/>
      <c r="BAB411" s="268"/>
      <c r="BAC411" s="268"/>
      <c r="BAD411" s="268"/>
      <c r="BAE411" s="268"/>
      <c r="BAF411" s="268"/>
      <c r="BAG411" s="268"/>
      <c r="BAH411" s="268"/>
      <c r="BAI411" s="268"/>
      <c r="BAJ411" s="268"/>
      <c r="BAK411" s="268"/>
      <c r="BAL411" s="268"/>
      <c r="BAM411" s="268"/>
      <c r="BAN411" s="268"/>
      <c r="BAO411" s="268"/>
      <c r="BAP411" s="268"/>
      <c r="BAQ411" s="268"/>
      <c r="BAR411" s="268"/>
      <c r="BAS411" s="268"/>
      <c r="BAT411" s="268"/>
      <c r="BAU411" s="268"/>
      <c r="BAV411" s="268"/>
      <c r="BAW411" s="268"/>
      <c r="BAX411" s="268"/>
      <c r="BAY411" s="268"/>
      <c r="BAZ411" s="268"/>
      <c r="BBA411" s="268"/>
      <c r="BBB411" s="268"/>
      <c r="BBC411" s="268"/>
      <c r="BBD411" s="268"/>
      <c r="BBE411" s="268"/>
      <c r="BBF411" s="268"/>
      <c r="BBG411" s="268"/>
      <c r="BBH411" s="268"/>
      <c r="BBI411" s="268"/>
      <c r="BBJ411" s="268"/>
      <c r="BBK411" s="268"/>
      <c r="BBL411" s="268"/>
      <c r="BBM411" s="268"/>
      <c r="BBN411" s="268"/>
      <c r="BBO411" s="268"/>
      <c r="BBP411" s="268"/>
      <c r="BBQ411" s="268"/>
      <c r="BBR411" s="268"/>
      <c r="BBS411" s="268"/>
      <c r="BBT411" s="268"/>
      <c r="BBU411" s="268"/>
      <c r="BBV411" s="268"/>
      <c r="BBW411" s="268"/>
      <c r="BBX411" s="268"/>
      <c r="BBY411" s="268"/>
      <c r="BBZ411" s="268"/>
      <c r="BCA411" s="268"/>
      <c r="BCB411" s="268"/>
      <c r="BCC411" s="268"/>
      <c r="BCD411" s="268"/>
      <c r="BCE411" s="268"/>
      <c r="BCF411" s="268"/>
      <c r="BCG411" s="268"/>
      <c r="BCH411" s="268"/>
      <c r="BCI411" s="268"/>
      <c r="BCJ411" s="268"/>
      <c r="BCK411" s="268"/>
      <c r="BCL411" s="268"/>
      <c r="BCM411" s="268"/>
      <c r="BCN411" s="268"/>
      <c r="BCO411" s="268"/>
      <c r="BCP411" s="268"/>
      <c r="BCQ411" s="268"/>
      <c r="BCR411" s="268"/>
      <c r="BCS411" s="268"/>
      <c r="BCT411" s="268"/>
      <c r="BCU411" s="268"/>
      <c r="BCV411" s="268"/>
      <c r="BCW411" s="268"/>
      <c r="BCX411" s="268"/>
      <c r="BCY411" s="268"/>
      <c r="BCZ411" s="268"/>
      <c r="BDA411" s="268"/>
      <c r="BDB411" s="268"/>
      <c r="BDC411" s="268"/>
      <c r="BDD411" s="268"/>
      <c r="BDE411" s="268"/>
      <c r="BDF411" s="268"/>
      <c r="BDG411" s="268"/>
      <c r="BDH411" s="268"/>
      <c r="BDI411" s="268"/>
      <c r="BDJ411" s="268"/>
      <c r="BDK411" s="268"/>
      <c r="BDL411" s="268"/>
      <c r="BDM411" s="268"/>
      <c r="BDN411" s="268"/>
      <c r="BDO411" s="268"/>
      <c r="BDP411" s="268"/>
      <c r="BDQ411" s="268"/>
      <c r="BDR411" s="268"/>
      <c r="BDS411" s="268"/>
      <c r="BDT411" s="268"/>
      <c r="BDU411" s="268"/>
      <c r="BDV411" s="268"/>
      <c r="BDW411" s="268"/>
      <c r="BDX411" s="268"/>
      <c r="BDY411" s="268"/>
      <c r="BDZ411" s="268"/>
      <c r="BEA411" s="268"/>
      <c r="BEB411" s="268"/>
      <c r="BEC411" s="268"/>
      <c r="BED411" s="268"/>
      <c r="BEE411" s="268"/>
      <c r="BEF411" s="268"/>
      <c r="BEG411" s="268"/>
      <c r="BEH411" s="268"/>
      <c r="BEI411" s="268"/>
      <c r="BEJ411" s="268"/>
      <c r="BEK411" s="268"/>
      <c r="BEL411" s="268"/>
      <c r="BEM411" s="268"/>
      <c r="BEN411" s="268"/>
      <c r="BEO411" s="268"/>
      <c r="BEP411" s="268"/>
      <c r="BEQ411" s="268"/>
      <c r="BER411" s="268"/>
      <c r="BES411" s="268"/>
      <c r="BET411" s="268"/>
      <c r="BEU411" s="268"/>
      <c r="BEV411" s="268"/>
      <c r="BEW411" s="268"/>
      <c r="BEX411" s="268"/>
      <c r="BEY411" s="268"/>
      <c r="BEZ411" s="268"/>
      <c r="BFA411" s="268"/>
      <c r="BFB411" s="268"/>
      <c r="BFC411" s="268"/>
      <c r="BFD411" s="268"/>
      <c r="BFE411" s="268"/>
      <c r="BFF411" s="268"/>
      <c r="BFG411" s="268"/>
      <c r="BFH411" s="268"/>
      <c r="BFI411" s="268"/>
      <c r="BFJ411" s="268"/>
      <c r="BFK411" s="268"/>
      <c r="BFL411" s="268"/>
      <c r="BFM411" s="268"/>
      <c r="BFN411" s="268"/>
      <c r="BFO411" s="268"/>
      <c r="BFP411" s="268"/>
      <c r="BFQ411" s="268"/>
      <c r="BFR411" s="268"/>
      <c r="BFS411" s="268"/>
      <c r="BGG411" s="268"/>
      <c r="BGH411" s="268"/>
      <c r="BGI411" s="268"/>
      <c r="BGW411" s="268"/>
      <c r="BGY411" s="268"/>
      <c r="BGZ411" s="268"/>
      <c r="BHA411" s="268"/>
      <c r="BHB411" s="268"/>
      <c r="BHC411" s="268"/>
      <c r="BHD411" s="268"/>
      <c r="BHE411" s="268"/>
      <c r="BHF411" s="268"/>
      <c r="BHG411" s="268"/>
      <c r="BHH411" s="268"/>
      <c r="BHI411" s="268"/>
      <c r="BHJ411" s="268"/>
      <c r="BHK411" s="268"/>
      <c r="BHL411" s="268"/>
      <c r="BHM411" s="268"/>
      <c r="BHN411" s="268"/>
      <c r="BHO411" s="268"/>
      <c r="BHP411" s="268"/>
      <c r="BHQ411" s="268"/>
      <c r="BHR411" s="268"/>
      <c r="BHS411" s="268"/>
      <c r="BHT411" s="268"/>
      <c r="BHU411" s="268"/>
      <c r="BHV411" s="268"/>
      <c r="BHW411" s="268"/>
      <c r="BHX411" s="268"/>
      <c r="BHY411" s="268"/>
      <c r="BHZ411" s="268"/>
      <c r="BIA411" s="268"/>
      <c r="BIB411" s="268"/>
      <c r="BIC411" s="268"/>
      <c r="BID411" s="268"/>
      <c r="BIE411" s="268"/>
      <c r="BIF411" s="268"/>
      <c r="BIG411" s="268"/>
      <c r="BIH411" s="268"/>
      <c r="BII411" s="268"/>
      <c r="BIJ411" s="268"/>
      <c r="BIK411" s="268"/>
      <c r="BIL411" s="268"/>
      <c r="BIM411" s="268"/>
      <c r="BIN411" s="268"/>
      <c r="BIO411" s="268"/>
      <c r="BIP411" s="268"/>
      <c r="BIQ411" s="268"/>
      <c r="BIR411" s="268"/>
      <c r="BIS411" s="268"/>
      <c r="BIT411" s="268"/>
      <c r="BIU411" s="268"/>
      <c r="BIV411" s="268"/>
      <c r="BIW411" s="268"/>
      <c r="BIX411" s="268"/>
      <c r="BIY411" s="268"/>
      <c r="BIZ411" s="268"/>
      <c r="BJA411" s="268"/>
      <c r="BJB411" s="268"/>
      <c r="BJC411" s="268"/>
      <c r="BJD411" s="268"/>
      <c r="BJE411" s="268"/>
      <c r="BJF411" s="268"/>
      <c r="BJG411" s="268"/>
      <c r="BJH411" s="268"/>
      <c r="BJI411" s="268"/>
      <c r="BJJ411" s="268"/>
      <c r="BJK411" s="268"/>
      <c r="BJL411" s="268"/>
      <c r="BJM411" s="268"/>
      <c r="BJN411" s="268"/>
      <c r="BJO411" s="268"/>
      <c r="BJP411" s="268"/>
      <c r="BJQ411" s="268"/>
      <c r="BJR411" s="268"/>
      <c r="BJS411" s="268"/>
      <c r="BJT411" s="268"/>
      <c r="BJU411" s="268"/>
      <c r="BJV411" s="268"/>
      <c r="BJW411" s="268"/>
      <c r="BJX411" s="268"/>
      <c r="BJY411" s="268"/>
      <c r="BJZ411" s="268"/>
      <c r="BKA411" s="268"/>
      <c r="BKB411" s="268"/>
      <c r="BKC411" s="268"/>
      <c r="BKD411" s="268"/>
      <c r="BKE411" s="268"/>
      <c r="BKF411" s="268"/>
      <c r="BKG411" s="268"/>
      <c r="BKH411" s="268"/>
      <c r="BKI411" s="268"/>
      <c r="BKJ411" s="268"/>
      <c r="BKK411" s="268"/>
      <c r="BKL411" s="268"/>
      <c r="BKM411" s="268"/>
      <c r="BKN411" s="268"/>
      <c r="BKO411" s="268"/>
      <c r="BKP411" s="268"/>
      <c r="BKQ411" s="268"/>
      <c r="BKR411" s="268"/>
      <c r="BKS411" s="268"/>
      <c r="BKT411" s="268"/>
      <c r="BKU411" s="268"/>
      <c r="BKV411" s="268"/>
      <c r="BKW411" s="268"/>
      <c r="BKX411" s="268"/>
      <c r="BKY411" s="268"/>
      <c r="BKZ411" s="268"/>
      <c r="BLA411" s="268"/>
      <c r="BLB411" s="268"/>
      <c r="BLC411" s="268"/>
      <c r="BLD411" s="268"/>
      <c r="BLE411" s="268"/>
      <c r="BLF411" s="268"/>
      <c r="BLG411" s="268"/>
      <c r="BLH411" s="268"/>
      <c r="BLI411" s="268"/>
      <c r="BLJ411" s="268"/>
      <c r="BLK411" s="268"/>
      <c r="BLL411" s="268"/>
      <c r="BLM411" s="268"/>
      <c r="BLN411" s="268"/>
      <c r="BLO411" s="268"/>
      <c r="BLP411" s="268"/>
      <c r="BLQ411" s="268"/>
      <c r="BLR411" s="268"/>
      <c r="BLS411" s="268"/>
      <c r="BLT411" s="268"/>
      <c r="BLU411" s="268"/>
      <c r="BLV411" s="268"/>
      <c r="BLW411" s="268"/>
      <c r="BLX411" s="268"/>
      <c r="BLY411" s="268"/>
      <c r="BLZ411" s="268"/>
      <c r="BMA411" s="268"/>
      <c r="BMB411" s="268"/>
      <c r="BMC411" s="268"/>
      <c r="BMD411" s="268"/>
      <c r="BME411" s="268"/>
      <c r="BMF411" s="268"/>
      <c r="BMG411" s="268"/>
      <c r="BMH411" s="268"/>
      <c r="BMI411" s="268"/>
      <c r="BMJ411" s="268"/>
      <c r="BMK411" s="268"/>
      <c r="BML411" s="268"/>
      <c r="BMM411" s="268"/>
      <c r="BMN411" s="268"/>
      <c r="BMO411" s="268"/>
      <c r="BMP411" s="268"/>
      <c r="BMQ411" s="268"/>
      <c r="BMR411" s="268"/>
      <c r="BMS411" s="268"/>
      <c r="BMT411" s="268"/>
      <c r="BMU411" s="268"/>
      <c r="BMV411" s="268"/>
      <c r="BMW411" s="268"/>
      <c r="BMX411" s="268"/>
      <c r="BMY411" s="268"/>
      <c r="BMZ411" s="268"/>
      <c r="BNA411" s="268"/>
      <c r="BNB411" s="268"/>
      <c r="BNC411" s="268"/>
      <c r="BND411" s="268"/>
      <c r="BNE411" s="268"/>
      <c r="BNF411" s="268"/>
      <c r="BNG411" s="268"/>
      <c r="BNH411" s="268"/>
      <c r="BNI411" s="268"/>
      <c r="BNJ411" s="268"/>
      <c r="BNK411" s="268"/>
      <c r="BNL411" s="268"/>
      <c r="BNM411" s="268"/>
      <c r="BNN411" s="268"/>
      <c r="BNO411" s="268"/>
      <c r="BNP411" s="268"/>
      <c r="BNQ411" s="268"/>
      <c r="BNR411" s="268"/>
      <c r="BNS411" s="268"/>
      <c r="BNT411" s="268"/>
      <c r="BNU411" s="268"/>
      <c r="BNV411" s="268"/>
      <c r="BNW411" s="268"/>
      <c r="BNX411" s="268"/>
      <c r="BNY411" s="268"/>
      <c r="BNZ411" s="268"/>
      <c r="BOA411" s="268"/>
      <c r="BOB411" s="268"/>
      <c r="BOC411" s="268"/>
      <c r="BOD411" s="268"/>
      <c r="BOE411" s="268"/>
      <c r="BOF411" s="268"/>
      <c r="BOG411" s="268"/>
      <c r="BOH411" s="268"/>
      <c r="BOI411" s="268"/>
      <c r="BOJ411" s="268"/>
      <c r="BOK411" s="268"/>
      <c r="BOL411" s="268"/>
      <c r="BOM411" s="268"/>
      <c r="BON411" s="268"/>
      <c r="BOO411" s="268"/>
      <c r="BOP411" s="268"/>
      <c r="BOQ411" s="268"/>
      <c r="BOR411" s="268"/>
      <c r="BOS411" s="268"/>
      <c r="BOT411" s="268"/>
      <c r="BOU411" s="268"/>
      <c r="BOV411" s="268"/>
      <c r="BOW411" s="268"/>
      <c r="BOX411" s="268"/>
      <c r="BOY411" s="268"/>
      <c r="BOZ411" s="268"/>
      <c r="BPA411" s="268"/>
      <c r="BPB411" s="268"/>
      <c r="BPC411" s="268"/>
      <c r="BPD411" s="268"/>
      <c r="BPE411" s="268"/>
      <c r="BPF411" s="268"/>
      <c r="BPG411" s="268"/>
      <c r="BPH411" s="268"/>
      <c r="BPI411" s="268"/>
      <c r="BPJ411" s="268"/>
      <c r="BPK411" s="268"/>
      <c r="BPL411" s="268"/>
      <c r="BPM411" s="268"/>
      <c r="BPN411" s="268"/>
      <c r="BPO411" s="268"/>
      <c r="BQC411" s="268"/>
      <c r="BQD411" s="268"/>
      <c r="BQE411" s="268"/>
      <c r="BQS411" s="268"/>
      <c r="BQU411" s="268"/>
      <c r="BQV411" s="268"/>
      <c r="BQW411" s="268"/>
      <c r="BQX411" s="268"/>
      <c r="BQY411" s="268"/>
      <c r="BQZ411" s="268"/>
      <c r="BRA411" s="268"/>
      <c r="BRB411" s="268"/>
      <c r="BRC411" s="268"/>
      <c r="BRD411" s="268"/>
      <c r="BRE411" s="268"/>
      <c r="BRF411" s="268"/>
      <c r="BRG411" s="268"/>
      <c r="BRH411" s="268"/>
      <c r="BRI411" s="268"/>
      <c r="BRJ411" s="268"/>
      <c r="BRK411" s="268"/>
      <c r="BRL411" s="268"/>
      <c r="BRM411" s="268"/>
      <c r="BRN411" s="268"/>
      <c r="BRO411" s="268"/>
      <c r="BRP411" s="268"/>
      <c r="BRQ411" s="268"/>
      <c r="BRR411" s="268"/>
      <c r="BRS411" s="268"/>
      <c r="BRT411" s="268"/>
      <c r="BRU411" s="268"/>
      <c r="BRV411" s="268"/>
      <c r="BRW411" s="268"/>
      <c r="BRX411" s="268"/>
      <c r="BRY411" s="268"/>
      <c r="BRZ411" s="268"/>
      <c r="BSA411" s="268"/>
      <c r="BSB411" s="268"/>
      <c r="BSC411" s="268"/>
      <c r="BSD411" s="268"/>
      <c r="BSE411" s="268"/>
      <c r="BSF411" s="268"/>
      <c r="BSG411" s="268"/>
      <c r="BSH411" s="268"/>
      <c r="BSI411" s="268"/>
      <c r="BSJ411" s="268"/>
      <c r="BSK411" s="268"/>
      <c r="BSL411" s="268"/>
      <c r="BSM411" s="268"/>
      <c r="BSN411" s="268"/>
      <c r="BSO411" s="268"/>
      <c r="BSP411" s="268"/>
      <c r="BSQ411" s="268"/>
      <c r="BSR411" s="268"/>
      <c r="BSS411" s="268"/>
      <c r="BST411" s="268"/>
      <c r="BSU411" s="268"/>
      <c r="BSV411" s="268"/>
      <c r="BSW411" s="268"/>
      <c r="BSX411" s="268"/>
      <c r="BSY411" s="268"/>
      <c r="BSZ411" s="268"/>
      <c r="BTA411" s="268"/>
      <c r="BTB411" s="268"/>
      <c r="BTC411" s="268"/>
      <c r="BTD411" s="268"/>
      <c r="BTE411" s="268"/>
      <c r="BTF411" s="268"/>
      <c r="BTG411" s="268"/>
      <c r="BTH411" s="268"/>
      <c r="BTI411" s="268"/>
      <c r="BTJ411" s="268"/>
      <c r="BTK411" s="268"/>
      <c r="BTL411" s="268"/>
      <c r="BTM411" s="268"/>
      <c r="BTN411" s="268"/>
      <c r="BTO411" s="268"/>
      <c r="BTP411" s="268"/>
      <c r="BTQ411" s="268"/>
      <c r="BTR411" s="268"/>
      <c r="BTS411" s="268"/>
      <c r="BTT411" s="268"/>
      <c r="BTU411" s="268"/>
      <c r="BTV411" s="268"/>
      <c r="BTW411" s="268"/>
      <c r="BTX411" s="268"/>
      <c r="BTY411" s="268"/>
      <c r="BTZ411" s="268"/>
      <c r="BUA411" s="268"/>
      <c r="BUB411" s="268"/>
      <c r="BUC411" s="268"/>
      <c r="BUD411" s="268"/>
      <c r="BUE411" s="268"/>
      <c r="BUF411" s="268"/>
      <c r="BUG411" s="268"/>
      <c r="BUH411" s="268"/>
      <c r="BUI411" s="268"/>
      <c r="BUJ411" s="268"/>
      <c r="BUK411" s="268"/>
      <c r="BUL411" s="268"/>
      <c r="BUM411" s="268"/>
      <c r="BUN411" s="268"/>
      <c r="BUO411" s="268"/>
      <c r="BUP411" s="268"/>
      <c r="BUQ411" s="268"/>
      <c r="BUR411" s="268"/>
      <c r="BUS411" s="268"/>
      <c r="BUT411" s="268"/>
      <c r="BUU411" s="268"/>
      <c r="BUV411" s="268"/>
      <c r="BUW411" s="268"/>
      <c r="BUX411" s="268"/>
      <c r="BUY411" s="268"/>
      <c r="BUZ411" s="268"/>
      <c r="BVA411" s="268"/>
      <c r="BVB411" s="268"/>
      <c r="BVC411" s="268"/>
      <c r="BVD411" s="268"/>
      <c r="BVE411" s="268"/>
      <c r="BVF411" s="268"/>
      <c r="BVG411" s="268"/>
      <c r="BVH411" s="268"/>
      <c r="BVI411" s="268"/>
      <c r="BVJ411" s="268"/>
      <c r="BVK411" s="268"/>
      <c r="BVL411" s="268"/>
      <c r="BVM411" s="268"/>
      <c r="BVN411" s="268"/>
      <c r="BVO411" s="268"/>
      <c r="BVP411" s="268"/>
      <c r="BVQ411" s="268"/>
      <c r="BVR411" s="268"/>
      <c r="BVS411" s="268"/>
      <c r="BVT411" s="268"/>
      <c r="BVU411" s="268"/>
      <c r="BVV411" s="268"/>
      <c r="BVW411" s="268"/>
      <c r="BVX411" s="268"/>
      <c r="BVY411" s="268"/>
      <c r="BVZ411" s="268"/>
      <c r="BWA411" s="268"/>
      <c r="BWB411" s="268"/>
      <c r="BWC411" s="268"/>
      <c r="BWD411" s="268"/>
      <c r="BWE411" s="268"/>
      <c r="BWF411" s="268"/>
      <c r="BWG411" s="268"/>
      <c r="BWH411" s="268"/>
      <c r="BWI411" s="268"/>
      <c r="BWJ411" s="268"/>
      <c r="BWK411" s="268"/>
      <c r="BWL411" s="268"/>
      <c r="BWM411" s="268"/>
      <c r="BWN411" s="268"/>
      <c r="BWO411" s="268"/>
      <c r="BWP411" s="268"/>
      <c r="BWQ411" s="268"/>
      <c r="BWR411" s="268"/>
      <c r="BWS411" s="268"/>
      <c r="BWT411" s="268"/>
      <c r="BWU411" s="268"/>
      <c r="BWV411" s="268"/>
      <c r="BWW411" s="268"/>
      <c r="BWX411" s="268"/>
      <c r="BWY411" s="268"/>
      <c r="BWZ411" s="268"/>
      <c r="BXA411" s="268"/>
      <c r="BXB411" s="268"/>
      <c r="BXC411" s="268"/>
      <c r="BXD411" s="268"/>
      <c r="BXE411" s="268"/>
      <c r="BXF411" s="268"/>
      <c r="BXG411" s="268"/>
      <c r="BXH411" s="268"/>
      <c r="BXI411" s="268"/>
      <c r="BXJ411" s="268"/>
      <c r="BXK411" s="268"/>
      <c r="BXL411" s="268"/>
      <c r="BXM411" s="268"/>
      <c r="BXN411" s="268"/>
      <c r="BXO411" s="268"/>
      <c r="BXP411" s="268"/>
      <c r="BXQ411" s="268"/>
      <c r="BXR411" s="268"/>
      <c r="BXS411" s="268"/>
      <c r="BXT411" s="268"/>
      <c r="BXU411" s="268"/>
      <c r="BXV411" s="268"/>
      <c r="BXW411" s="268"/>
      <c r="BXX411" s="268"/>
      <c r="BXY411" s="268"/>
      <c r="BXZ411" s="268"/>
      <c r="BYA411" s="268"/>
      <c r="BYB411" s="268"/>
      <c r="BYC411" s="268"/>
      <c r="BYD411" s="268"/>
      <c r="BYE411" s="268"/>
      <c r="BYF411" s="268"/>
      <c r="BYG411" s="268"/>
      <c r="BYH411" s="268"/>
      <c r="BYI411" s="268"/>
      <c r="BYJ411" s="268"/>
      <c r="BYK411" s="268"/>
      <c r="BYL411" s="268"/>
      <c r="BYM411" s="268"/>
      <c r="BYN411" s="268"/>
      <c r="BYO411" s="268"/>
      <c r="BYP411" s="268"/>
      <c r="BYQ411" s="268"/>
      <c r="BYR411" s="268"/>
      <c r="BYS411" s="268"/>
      <c r="BYT411" s="268"/>
      <c r="BYU411" s="268"/>
      <c r="BYV411" s="268"/>
      <c r="BYW411" s="268"/>
      <c r="BYX411" s="268"/>
      <c r="BYY411" s="268"/>
      <c r="BYZ411" s="268"/>
      <c r="BZA411" s="268"/>
      <c r="BZB411" s="268"/>
      <c r="BZC411" s="268"/>
      <c r="BZD411" s="268"/>
      <c r="BZE411" s="268"/>
      <c r="BZF411" s="268"/>
      <c r="BZG411" s="268"/>
      <c r="BZH411" s="268"/>
      <c r="BZI411" s="268"/>
      <c r="BZJ411" s="268"/>
      <c r="BZK411" s="268"/>
      <c r="BZY411" s="268"/>
      <c r="BZZ411" s="268"/>
      <c r="CAA411" s="268"/>
      <c r="CAO411" s="268"/>
      <c r="CAQ411" s="268"/>
      <c r="CAR411" s="268"/>
      <c r="CAS411" s="268"/>
      <c r="CAT411" s="268"/>
      <c r="CAU411" s="268"/>
      <c r="CAV411" s="268"/>
      <c r="CAW411" s="268"/>
      <c r="CAX411" s="268"/>
      <c r="CAY411" s="268"/>
      <c r="CAZ411" s="268"/>
      <c r="CBA411" s="268"/>
      <c r="CBB411" s="268"/>
      <c r="CBC411" s="268"/>
      <c r="CBD411" s="268"/>
      <c r="CBE411" s="268"/>
      <c r="CBF411" s="268"/>
      <c r="CBG411" s="268"/>
      <c r="CBH411" s="268"/>
      <c r="CBI411" s="268"/>
      <c r="CBJ411" s="268"/>
      <c r="CBK411" s="268"/>
      <c r="CBL411" s="268"/>
      <c r="CBM411" s="268"/>
      <c r="CBN411" s="268"/>
      <c r="CBO411" s="268"/>
      <c r="CBP411" s="268"/>
      <c r="CBQ411" s="268"/>
      <c r="CBR411" s="268"/>
      <c r="CBS411" s="268"/>
      <c r="CBT411" s="268"/>
      <c r="CBU411" s="268"/>
      <c r="CBV411" s="268"/>
      <c r="CBW411" s="268"/>
      <c r="CBX411" s="268"/>
      <c r="CBY411" s="268"/>
      <c r="CBZ411" s="268"/>
      <c r="CCA411" s="268"/>
      <c r="CCB411" s="268"/>
      <c r="CCC411" s="268"/>
      <c r="CCD411" s="268"/>
      <c r="CCE411" s="268"/>
      <c r="CCF411" s="268"/>
      <c r="CCG411" s="268"/>
      <c r="CCH411" s="268"/>
      <c r="CCI411" s="268"/>
      <c r="CCJ411" s="268"/>
      <c r="CCK411" s="268"/>
      <c r="CCL411" s="268"/>
      <c r="CCM411" s="268"/>
      <c r="CCN411" s="268"/>
      <c r="CCO411" s="268"/>
      <c r="CCP411" s="268"/>
      <c r="CCQ411" s="268"/>
      <c r="CCR411" s="268"/>
      <c r="CCS411" s="268"/>
      <c r="CCT411" s="268"/>
      <c r="CCU411" s="268"/>
      <c r="CCV411" s="268"/>
      <c r="CCW411" s="268"/>
      <c r="CCX411" s="268"/>
      <c r="CCY411" s="268"/>
      <c r="CCZ411" s="268"/>
      <c r="CDA411" s="268"/>
      <c r="CDB411" s="268"/>
      <c r="CDC411" s="268"/>
      <c r="CDD411" s="268"/>
      <c r="CDE411" s="268"/>
      <c r="CDF411" s="268"/>
      <c r="CDG411" s="268"/>
      <c r="CDH411" s="268"/>
      <c r="CDI411" s="268"/>
      <c r="CDJ411" s="268"/>
      <c r="CDK411" s="268"/>
      <c r="CDL411" s="268"/>
      <c r="CDM411" s="268"/>
      <c r="CDN411" s="268"/>
      <c r="CDO411" s="268"/>
      <c r="CDP411" s="268"/>
      <c r="CDQ411" s="268"/>
      <c r="CDR411" s="268"/>
      <c r="CDS411" s="268"/>
      <c r="CDT411" s="268"/>
      <c r="CDU411" s="268"/>
      <c r="CDV411" s="268"/>
      <c r="CDW411" s="268"/>
      <c r="CDX411" s="268"/>
      <c r="CDY411" s="268"/>
      <c r="CDZ411" s="268"/>
      <c r="CEA411" s="268"/>
      <c r="CEB411" s="268"/>
      <c r="CEC411" s="268"/>
      <c r="CED411" s="268"/>
      <c r="CEE411" s="268"/>
      <c r="CEF411" s="268"/>
      <c r="CEG411" s="268"/>
      <c r="CEH411" s="268"/>
      <c r="CEI411" s="268"/>
      <c r="CEJ411" s="268"/>
      <c r="CEK411" s="268"/>
      <c r="CEL411" s="268"/>
      <c r="CEM411" s="268"/>
      <c r="CEN411" s="268"/>
      <c r="CEO411" s="268"/>
      <c r="CEP411" s="268"/>
      <c r="CEQ411" s="268"/>
      <c r="CER411" s="268"/>
      <c r="CES411" s="268"/>
      <c r="CET411" s="268"/>
      <c r="CEU411" s="268"/>
      <c r="CEV411" s="268"/>
      <c r="CEW411" s="268"/>
      <c r="CEX411" s="268"/>
      <c r="CEY411" s="268"/>
      <c r="CEZ411" s="268"/>
      <c r="CFA411" s="268"/>
      <c r="CFB411" s="268"/>
      <c r="CFC411" s="268"/>
      <c r="CFD411" s="268"/>
      <c r="CFE411" s="268"/>
      <c r="CFF411" s="268"/>
      <c r="CFG411" s="268"/>
      <c r="CFH411" s="268"/>
      <c r="CFI411" s="268"/>
      <c r="CFJ411" s="268"/>
      <c r="CFK411" s="268"/>
      <c r="CFL411" s="268"/>
      <c r="CFM411" s="268"/>
      <c r="CFN411" s="268"/>
      <c r="CFO411" s="268"/>
      <c r="CFP411" s="268"/>
      <c r="CFQ411" s="268"/>
      <c r="CFR411" s="268"/>
      <c r="CFS411" s="268"/>
      <c r="CFT411" s="268"/>
      <c r="CFU411" s="268"/>
      <c r="CFV411" s="268"/>
      <c r="CFW411" s="268"/>
      <c r="CFX411" s="268"/>
      <c r="CFY411" s="268"/>
      <c r="CFZ411" s="268"/>
      <c r="CGA411" s="268"/>
      <c r="CGB411" s="268"/>
      <c r="CGC411" s="268"/>
      <c r="CGD411" s="268"/>
      <c r="CGE411" s="268"/>
      <c r="CGF411" s="268"/>
      <c r="CGG411" s="268"/>
      <c r="CGH411" s="268"/>
      <c r="CGI411" s="268"/>
      <c r="CGJ411" s="268"/>
      <c r="CGK411" s="268"/>
      <c r="CGL411" s="268"/>
      <c r="CGM411" s="268"/>
      <c r="CGN411" s="268"/>
      <c r="CGO411" s="268"/>
      <c r="CGP411" s="268"/>
      <c r="CGQ411" s="268"/>
      <c r="CGR411" s="268"/>
      <c r="CGS411" s="268"/>
      <c r="CGT411" s="268"/>
      <c r="CGU411" s="268"/>
      <c r="CGV411" s="268"/>
      <c r="CGW411" s="268"/>
      <c r="CGX411" s="268"/>
      <c r="CGY411" s="268"/>
      <c r="CGZ411" s="268"/>
      <c r="CHA411" s="268"/>
      <c r="CHB411" s="268"/>
      <c r="CHC411" s="268"/>
      <c r="CHD411" s="268"/>
      <c r="CHE411" s="268"/>
      <c r="CHF411" s="268"/>
      <c r="CHG411" s="268"/>
      <c r="CHH411" s="268"/>
      <c r="CHI411" s="268"/>
      <c r="CHJ411" s="268"/>
      <c r="CHK411" s="268"/>
      <c r="CHL411" s="268"/>
      <c r="CHM411" s="268"/>
      <c r="CHN411" s="268"/>
      <c r="CHO411" s="268"/>
      <c r="CHP411" s="268"/>
      <c r="CHQ411" s="268"/>
      <c r="CHR411" s="268"/>
      <c r="CHS411" s="268"/>
      <c r="CHT411" s="268"/>
      <c r="CHU411" s="268"/>
      <c r="CHV411" s="268"/>
      <c r="CHW411" s="268"/>
      <c r="CHX411" s="268"/>
      <c r="CHY411" s="268"/>
      <c r="CHZ411" s="268"/>
      <c r="CIA411" s="268"/>
      <c r="CIB411" s="268"/>
      <c r="CIC411" s="268"/>
      <c r="CID411" s="268"/>
      <c r="CIE411" s="268"/>
      <c r="CIF411" s="268"/>
      <c r="CIG411" s="268"/>
      <c r="CIH411" s="268"/>
      <c r="CII411" s="268"/>
      <c r="CIJ411" s="268"/>
      <c r="CIK411" s="268"/>
      <c r="CIL411" s="268"/>
      <c r="CIM411" s="268"/>
      <c r="CIN411" s="268"/>
      <c r="CIO411" s="268"/>
      <c r="CIP411" s="268"/>
      <c r="CIQ411" s="268"/>
      <c r="CIR411" s="268"/>
      <c r="CIS411" s="268"/>
      <c r="CIT411" s="268"/>
      <c r="CIU411" s="268"/>
      <c r="CIV411" s="268"/>
      <c r="CIW411" s="268"/>
      <c r="CIX411" s="268"/>
      <c r="CIY411" s="268"/>
      <c r="CIZ411" s="268"/>
      <c r="CJA411" s="268"/>
      <c r="CJB411" s="268"/>
      <c r="CJC411" s="268"/>
      <c r="CJD411" s="268"/>
      <c r="CJE411" s="268"/>
      <c r="CJF411" s="268"/>
      <c r="CJG411" s="268"/>
      <c r="CJU411" s="268"/>
      <c r="CJV411" s="268"/>
      <c r="CJW411" s="268"/>
      <c r="CKK411" s="268"/>
      <c r="CKM411" s="268"/>
      <c r="CKN411" s="268"/>
      <c r="CKO411" s="268"/>
      <c r="CKP411" s="268"/>
      <c r="CKQ411" s="268"/>
      <c r="CKR411" s="268"/>
      <c r="CKS411" s="268"/>
      <c r="CKT411" s="268"/>
      <c r="CKU411" s="268"/>
      <c r="CKV411" s="268"/>
      <c r="CKW411" s="268"/>
      <c r="CKX411" s="268"/>
      <c r="CKY411" s="268"/>
      <c r="CKZ411" s="268"/>
      <c r="CLA411" s="268"/>
      <c r="CLB411" s="268"/>
      <c r="CLC411" s="268"/>
      <c r="CLD411" s="268"/>
      <c r="CLE411" s="268"/>
      <c r="CLF411" s="268"/>
      <c r="CLG411" s="268"/>
      <c r="CLH411" s="268"/>
      <c r="CLI411" s="268"/>
      <c r="CLJ411" s="268"/>
      <c r="CLK411" s="268"/>
      <c r="CLL411" s="268"/>
      <c r="CLM411" s="268"/>
      <c r="CLN411" s="268"/>
      <c r="CLO411" s="268"/>
      <c r="CLP411" s="268"/>
      <c r="CLQ411" s="268"/>
      <c r="CLR411" s="268"/>
      <c r="CLS411" s="268"/>
      <c r="CLT411" s="268"/>
      <c r="CLU411" s="268"/>
      <c r="CLV411" s="268"/>
      <c r="CLW411" s="268"/>
      <c r="CLX411" s="268"/>
      <c r="CLY411" s="268"/>
      <c r="CLZ411" s="268"/>
      <c r="CMA411" s="268"/>
      <c r="CMB411" s="268"/>
      <c r="CMC411" s="268"/>
      <c r="CMD411" s="268"/>
      <c r="CME411" s="268"/>
      <c r="CMF411" s="268"/>
      <c r="CMG411" s="268"/>
      <c r="CMH411" s="268"/>
      <c r="CMI411" s="268"/>
      <c r="CMJ411" s="268"/>
      <c r="CMK411" s="268"/>
      <c r="CML411" s="268"/>
      <c r="CMM411" s="268"/>
      <c r="CMN411" s="268"/>
      <c r="CMO411" s="268"/>
      <c r="CMP411" s="268"/>
      <c r="CMQ411" s="268"/>
      <c r="CMR411" s="268"/>
      <c r="CMS411" s="268"/>
      <c r="CMT411" s="268"/>
      <c r="CMU411" s="268"/>
      <c r="CMV411" s="268"/>
      <c r="CMW411" s="268"/>
      <c r="CMX411" s="268"/>
      <c r="CMY411" s="268"/>
      <c r="CMZ411" s="268"/>
      <c r="CNA411" s="268"/>
      <c r="CNB411" s="268"/>
      <c r="CNC411" s="268"/>
      <c r="CND411" s="268"/>
      <c r="CNE411" s="268"/>
      <c r="CNF411" s="268"/>
      <c r="CNG411" s="268"/>
      <c r="CNH411" s="268"/>
      <c r="CNI411" s="268"/>
      <c r="CNJ411" s="268"/>
      <c r="CNK411" s="268"/>
      <c r="CNL411" s="268"/>
      <c r="CNM411" s="268"/>
      <c r="CNN411" s="268"/>
      <c r="CNO411" s="268"/>
      <c r="CNP411" s="268"/>
      <c r="CNQ411" s="268"/>
      <c r="CNR411" s="268"/>
      <c r="CNS411" s="268"/>
      <c r="CNT411" s="268"/>
      <c r="CNU411" s="268"/>
      <c r="CNV411" s="268"/>
      <c r="CNW411" s="268"/>
      <c r="CNX411" s="268"/>
      <c r="CNY411" s="268"/>
      <c r="CNZ411" s="268"/>
      <c r="COA411" s="268"/>
      <c r="COB411" s="268"/>
      <c r="COC411" s="268"/>
      <c r="COD411" s="268"/>
      <c r="COE411" s="268"/>
      <c r="COF411" s="268"/>
      <c r="COG411" s="268"/>
      <c r="COH411" s="268"/>
      <c r="COI411" s="268"/>
      <c r="COJ411" s="268"/>
      <c r="COK411" s="268"/>
      <c r="COL411" s="268"/>
      <c r="COM411" s="268"/>
      <c r="CON411" s="268"/>
      <c r="COO411" s="268"/>
      <c r="COP411" s="268"/>
      <c r="COQ411" s="268"/>
      <c r="COR411" s="268"/>
      <c r="COS411" s="268"/>
      <c r="COT411" s="268"/>
      <c r="COU411" s="268"/>
      <c r="COV411" s="268"/>
      <c r="COW411" s="268"/>
      <c r="COX411" s="268"/>
      <c r="COY411" s="268"/>
      <c r="COZ411" s="268"/>
      <c r="CPA411" s="268"/>
      <c r="CPB411" s="268"/>
      <c r="CPC411" s="268"/>
      <c r="CPD411" s="268"/>
      <c r="CPE411" s="268"/>
      <c r="CPF411" s="268"/>
      <c r="CPG411" s="268"/>
      <c r="CPH411" s="268"/>
      <c r="CPI411" s="268"/>
      <c r="CPJ411" s="268"/>
      <c r="CPK411" s="268"/>
      <c r="CPL411" s="268"/>
      <c r="CPM411" s="268"/>
      <c r="CPN411" s="268"/>
      <c r="CPO411" s="268"/>
      <c r="CPP411" s="268"/>
      <c r="CPQ411" s="268"/>
      <c r="CPR411" s="268"/>
      <c r="CPS411" s="268"/>
      <c r="CPT411" s="268"/>
      <c r="CPU411" s="268"/>
      <c r="CPV411" s="268"/>
      <c r="CPW411" s="268"/>
      <c r="CPX411" s="268"/>
      <c r="CPY411" s="268"/>
      <c r="CPZ411" s="268"/>
      <c r="CQA411" s="268"/>
      <c r="CQB411" s="268"/>
      <c r="CQC411" s="268"/>
      <c r="CQD411" s="268"/>
      <c r="CQE411" s="268"/>
      <c r="CQF411" s="268"/>
      <c r="CQG411" s="268"/>
      <c r="CQH411" s="268"/>
      <c r="CQI411" s="268"/>
      <c r="CQJ411" s="268"/>
      <c r="CQK411" s="268"/>
      <c r="CQL411" s="268"/>
      <c r="CQM411" s="268"/>
      <c r="CQN411" s="268"/>
      <c r="CQO411" s="268"/>
      <c r="CQP411" s="268"/>
      <c r="CQQ411" s="268"/>
      <c r="CQR411" s="268"/>
      <c r="CQS411" s="268"/>
      <c r="CQT411" s="268"/>
      <c r="CQU411" s="268"/>
      <c r="CQV411" s="268"/>
      <c r="CQW411" s="268"/>
      <c r="CQX411" s="268"/>
      <c r="CQY411" s="268"/>
      <c r="CQZ411" s="268"/>
      <c r="CRA411" s="268"/>
      <c r="CRB411" s="268"/>
      <c r="CRC411" s="268"/>
      <c r="CRD411" s="268"/>
      <c r="CRE411" s="268"/>
      <c r="CRF411" s="268"/>
      <c r="CRG411" s="268"/>
      <c r="CRH411" s="268"/>
      <c r="CRI411" s="268"/>
      <c r="CRJ411" s="268"/>
      <c r="CRK411" s="268"/>
      <c r="CRL411" s="268"/>
      <c r="CRM411" s="268"/>
      <c r="CRN411" s="268"/>
      <c r="CRO411" s="268"/>
      <c r="CRP411" s="268"/>
      <c r="CRQ411" s="268"/>
      <c r="CRR411" s="268"/>
      <c r="CRS411" s="268"/>
      <c r="CRT411" s="268"/>
      <c r="CRU411" s="268"/>
      <c r="CRV411" s="268"/>
      <c r="CRW411" s="268"/>
      <c r="CRX411" s="268"/>
      <c r="CRY411" s="268"/>
      <c r="CRZ411" s="268"/>
      <c r="CSA411" s="268"/>
      <c r="CSB411" s="268"/>
      <c r="CSC411" s="268"/>
      <c r="CSD411" s="268"/>
      <c r="CSE411" s="268"/>
      <c r="CSF411" s="268"/>
      <c r="CSG411" s="268"/>
      <c r="CSH411" s="268"/>
      <c r="CSI411" s="268"/>
      <c r="CSJ411" s="268"/>
      <c r="CSK411" s="268"/>
      <c r="CSL411" s="268"/>
      <c r="CSM411" s="268"/>
      <c r="CSN411" s="268"/>
      <c r="CSO411" s="268"/>
      <c r="CSP411" s="268"/>
      <c r="CSQ411" s="268"/>
      <c r="CSR411" s="268"/>
      <c r="CSS411" s="268"/>
      <c r="CST411" s="268"/>
      <c r="CSU411" s="268"/>
      <c r="CSV411" s="268"/>
      <c r="CSW411" s="268"/>
      <c r="CSX411" s="268"/>
      <c r="CSY411" s="268"/>
      <c r="CSZ411" s="268"/>
      <c r="CTA411" s="268"/>
      <c r="CTB411" s="268"/>
      <c r="CTC411" s="268"/>
      <c r="CTQ411" s="268"/>
      <c r="CTR411" s="268"/>
      <c r="CTS411" s="268"/>
      <c r="CUG411" s="268"/>
      <c r="CUI411" s="268"/>
      <c r="CUJ411" s="268"/>
      <c r="CUK411" s="268"/>
      <c r="CUL411" s="268"/>
      <c r="CUM411" s="268"/>
      <c r="CUN411" s="268"/>
      <c r="CUO411" s="268"/>
      <c r="CUP411" s="268"/>
      <c r="CUQ411" s="268"/>
      <c r="CUR411" s="268"/>
      <c r="CUS411" s="268"/>
      <c r="CUT411" s="268"/>
      <c r="CUU411" s="268"/>
      <c r="CUV411" s="268"/>
      <c r="CUW411" s="268"/>
      <c r="CUX411" s="268"/>
      <c r="CUY411" s="268"/>
      <c r="CUZ411" s="268"/>
      <c r="CVA411" s="268"/>
      <c r="CVB411" s="268"/>
      <c r="CVC411" s="268"/>
      <c r="CVD411" s="268"/>
      <c r="CVE411" s="268"/>
      <c r="CVF411" s="268"/>
      <c r="CVG411" s="268"/>
      <c r="CVH411" s="268"/>
      <c r="CVI411" s="268"/>
      <c r="CVJ411" s="268"/>
      <c r="CVK411" s="268"/>
      <c r="CVL411" s="268"/>
      <c r="CVM411" s="268"/>
      <c r="CVN411" s="268"/>
      <c r="CVO411" s="268"/>
      <c r="CVP411" s="268"/>
      <c r="CVQ411" s="268"/>
      <c r="CVR411" s="268"/>
      <c r="CVS411" s="268"/>
      <c r="CVT411" s="268"/>
      <c r="CVU411" s="268"/>
      <c r="CVV411" s="268"/>
      <c r="CVW411" s="268"/>
      <c r="CVX411" s="268"/>
      <c r="CVY411" s="268"/>
      <c r="CVZ411" s="268"/>
      <c r="CWA411" s="268"/>
      <c r="CWB411" s="268"/>
      <c r="CWC411" s="268"/>
      <c r="CWD411" s="268"/>
      <c r="CWE411" s="268"/>
      <c r="CWF411" s="268"/>
      <c r="CWG411" s="268"/>
      <c r="CWH411" s="268"/>
      <c r="CWI411" s="268"/>
      <c r="CWJ411" s="268"/>
      <c r="CWK411" s="268"/>
      <c r="CWL411" s="268"/>
      <c r="CWM411" s="268"/>
      <c r="CWN411" s="268"/>
      <c r="CWO411" s="268"/>
      <c r="CWP411" s="268"/>
      <c r="CWQ411" s="268"/>
      <c r="CWR411" s="268"/>
      <c r="CWS411" s="268"/>
      <c r="CWT411" s="268"/>
      <c r="CWU411" s="268"/>
      <c r="CWV411" s="268"/>
      <c r="CWW411" s="268"/>
      <c r="CWX411" s="268"/>
      <c r="CWY411" s="268"/>
      <c r="CWZ411" s="268"/>
      <c r="CXA411" s="268"/>
      <c r="CXB411" s="268"/>
      <c r="CXC411" s="268"/>
      <c r="CXD411" s="268"/>
      <c r="CXE411" s="268"/>
      <c r="CXF411" s="268"/>
      <c r="CXG411" s="268"/>
      <c r="CXH411" s="268"/>
      <c r="CXI411" s="268"/>
      <c r="CXJ411" s="268"/>
      <c r="CXK411" s="268"/>
      <c r="CXL411" s="268"/>
      <c r="CXM411" s="268"/>
      <c r="CXN411" s="268"/>
      <c r="CXO411" s="268"/>
      <c r="CXP411" s="268"/>
      <c r="CXQ411" s="268"/>
      <c r="CXR411" s="268"/>
      <c r="CXS411" s="268"/>
      <c r="CXT411" s="268"/>
      <c r="CXU411" s="268"/>
      <c r="CXV411" s="268"/>
      <c r="CXW411" s="268"/>
      <c r="CXX411" s="268"/>
      <c r="CXY411" s="268"/>
      <c r="CXZ411" s="268"/>
      <c r="CYA411" s="268"/>
      <c r="CYB411" s="268"/>
      <c r="CYC411" s="268"/>
      <c r="CYD411" s="268"/>
      <c r="CYE411" s="268"/>
      <c r="CYF411" s="268"/>
      <c r="CYG411" s="268"/>
      <c r="CYH411" s="268"/>
      <c r="CYI411" s="268"/>
      <c r="CYJ411" s="268"/>
      <c r="CYK411" s="268"/>
      <c r="CYL411" s="268"/>
      <c r="CYM411" s="268"/>
      <c r="CYN411" s="268"/>
      <c r="CYO411" s="268"/>
      <c r="CYP411" s="268"/>
      <c r="CYQ411" s="268"/>
      <c r="CYR411" s="268"/>
      <c r="CYS411" s="268"/>
      <c r="CYT411" s="268"/>
      <c r="CYU411" s="268"/>
      <c r="CYV411" s="268"/>
      <c r="CYW411" s="268"/>
      <c r="CYX411" s="268"/>
      <c r="CYY411" s="268"/>
      <c r="CYZ411" s="268"/>
      <c r="CZA411" s="268"/>
      <c r="CZB411" s="268"/>
      <c r="CZC411" s="268"/>
      <c r="CZD411" s="268"/>
      <c r="CZE411" s="268"/>
      <c r="CZF411" s="268"/>
      <c r="CZG411" s="268"/>
      <c r="CZH411" s="268"/>
      <c r="CZI411" s="268"/>
      <c r="CZJ411" s="268"/>
      <c r="CZK411" s="268"/>
      <c r="CZL411" s="268"/>
      <c r="CZM411" s="268"/>
      <c r="CZN411" s="268"/>
      <c r="CZO411" s="268"/>
      <c r="CZP411" s="268"/>
      <c r="CZQ411" s="268"/>
      <c r="CZR411" s="268"/>
      <c r="CZS411" s="268"/>
      <c r="CZT411" s="268"/>
      <c r="CZU411" s="268"/>
      <c r="CZV411" s="268"/>
      <c r="CZW411" s="268"/>
      <c r="CZX411" s="268"/>
      <c r="CZY411" s="268"/>
      <c r="CZZ411" s="268"/>
      <c r="DAA411" s="268"/>
      <c r="DAB411" s="268"/>
      <c r="DAC411" s="268"/>
      <c r="DAD411" s="268"/>
      <c r="DAE411" s="268"/>
      <c r="DAF411" s="268"/>
      <c r="DAG411" s="268"/>
      <c r="DAH411" s="268"/>
      <c r="DAI411" s="268"/>
      <c r="DAJ411" s="268"/>
      <c r="DAK411" s="268"/>
      <c r="DAL411" s="268"/>
      <c r="DAM411" s="268"/>
      <c r="DAN411" s="268"/>
      <c r="DAO411" s="268"/>
      <c r="DAP411" s="268"/>
      <c r="DAQ411" s="268"/>
      <c r="DAR411" s="268"/>
      <c r="DAS411" s="268"/>
      <c r="DAT411" s="268"/>
      <c r="DAU411" s="268"/>
      <c r="DAV411" s="268"/>
      <c r="DAW411" s="268"/>
      <c r="DAX411" s="268"/>
      <c r="DAY411" s="268"/>
      <c r="DAZ411" s="268"/>
      <c r="DBA411" s="268"/>
      <c r="DBB411" s="268"/>
      <c r="DBC411" s="268"/>
      <c r="DBD411" s="268"/>
      <c r="DBE411" s="268"/>
      <c r="DBF411" s="268"/>
      <c r="DBG411" s="268"/>
      <c r="DBH411" s="268"/>
      <c r="DBI411" s="268"/>
      <c r="DBJ411" s="268"/>
      <c r="DBK411" s="268"/>
      <c r="DBL411" s="268"/>
      <c r="DBM411" s="268"/>
      <c r="DBN411" s="268"/>
      <c r="DBO411" s="268"/>
      <c r="DBP411" s="268"/>
      <c r="DBQ411" s="268"/>
      <c r="DBR411" s="268"/>
      <c r="DBS411" s="268"/>
      <c r="DBT411" s="268"/>
      <c r="DBU411" s="268"/>
      <c r="DBV411" s="268"/>
      <c r="DBW411" s="268"/>
      <c r="DBX411" s="268"/>
      <c r="DBY411" s="268"/>
      <c r="DBZ411" s="268"/>
      <c r="DCA411" s="268"/>
      <c r="DCB411" s="268"/>
      <c r="DCC411" s="268"/>
      <c r="DCD411" s="268"/>
      <c r="DCE411" s="268"/>
      <c r="DCF411" s="268"/>
      <c r="DCG411" s="268"/>
      <c r="DCH411" s="268"/>
      <c r="DCI411" s="268"/>
      <c r="DCJ411" s="268"/>
      <c r="DCK411" s="268"/>
      <c r="DCL411" s="268"/>
      <c r="DCM411" s="268"/>
      <c r="DCN411" s="268"/>
      <c r="DCO411" s="268"/>
      <c r="DCP411" s="268"/>
      <c r="DCQ411" s="268"/>
      <c r="DCR411" s="268"/>
      <c r="DCS411" s="268"/>
      <c r="DCT411" s="268"/>
      <c r="DCU411" s="268"/>
      <c r="DCV411" s="268"/>
      <c r="DCW411" s="268"/>
      <c r="DCX411" s="268"/>
      <c r="DCY411" s="268"/>
      <c r="DDM411" s="268"/>
      <c r="DDN411" s="268"/>
      <c r="DDO411" s="268"/>
      <c r="DEC411" s="268"/>
      <c r="DEE411" s="268"/>
      <c r="DEF411" s="268"/>
      <c r="DEG411" s="268"/>
      <c r="DEH411" s="268"/>
      <c r="DEI411" s="268"/>
      <c r="DEJ411" s="268"/>
      <c r="DEK411" s="268"/>
      <c r="DEL411" s="268"/>
      <c r="DEM411" s="268"/>
      <c r="DEN411" s="268"/>
      <c r="DEO411" s="268"/>
      <c r="DEP411" s="268"/>
      <c r="DEQ411" s="268"/>
      <c r="DER411" s="268"/>
      <c r="DES411" s="268"/>
      <c r="DET411" s="268"/>
      <c r="DEU411" s="268"/>
      <c r="DEV411" s="268"/>
      <c r="DEW411" s="268"/>
      <c r="DEX411" s="268"/>
      <c r="DEY411" s="268"/>
      <c r="DEZ411" s="268"/>
      <c r="DFA411" s="268"/>
      <c r="DFB411" s="268"/>
      <c r="DFC411" s="268"/>
      <c r="DFD411" s="268"/>
      <c r="DFE411" s="268"/>
      <c r="DFF411" s="268"/>
      <c r="DFG411" s="268"/>
      <c r="DFH411" s="268"/>
      <c r="DFI411" s="268"/>
      <c r="DFJ411" s="268"/>
      <c r="DFK411" s="268"/>
      <c r="DFL411" s="268"/>
      <c r="DFM411" s="268"/>
      <c r="DFN411" s="268"/>
      <c r="DFO411" s="268"/>
      <c r="DFP411" s="268"/>
      <c r="DFQ411" s="268"/>
      <c r="DFR411" s="268"/>
      <c r="DFS411" s="268"/>
      <c r="DFT411" s="268"/>
      <c r="DFU411" s="268"/>
      <c r="DFV411" s="268"/>
      <c r="DFW411" s="268"/>
      <c r="DFX411" s="268"/>
      <c r="DFY411" s="268"/>
      <c r="DFZ411" s="268"/>
      <c r="DGA411" s="268"/>
      <c r="DGB411" s="268"/>
      <c r="DGC411" s="268"/>
      <c r="DGD411" s="268"/>
      <c r="DGE411" s="268"/>
      <c r="DGF411" s="268"/>
      <c r="DGG411" s="268"/>
      <c r="DGH411" s="268"/>
      <c r="DGI411" s="268"/>
      <c r="DGJ411" s="268"/>
      <c r="DGK411" s="268"/>
      <c r="DGL411" s="268"/>
      <c r="DGM411" s="268"/>
      <c r="DGN411" s="268"/>
      <c r="DGO411" s="268"/>
      <c r="DGP411" s="268"/>
      <c r="DGQ411" s="268"/>
      <c r="DGR411" s="268"/>
      <c r="DGS411" s="268"/>
      <c r="DGT411" s="268"/>
      <c r="DGU411" s="268"/>
      <c r="DGV411" s="268"/>
      <c r="DGW411" s="268"/>
      <c r="DGX411" s="268"/>
      <c r="DGY411" s="268"/>
      <c r="DGZ411" s="268"/>
      <c r="DHA411" s="268"/>
      <c r="DHB411" s="268"/>
      <c r="DHC411" s="268"/>
      <c r="DHD411" s="268"/>
      <c r="DHE411" s="268"/>
      <c r="DHF411" s="268"/>
      <c r="DHG411" s="268"/>
      <c r="DHH411" s="268"/>
      <c r="DHI411" s="268"/>
      <c r="DHJ411" s="268"/>
      <c r="DHK411" s="268"/>
      <c r="DHL411" s="268"/>
      <c r="DHM411" s="268"/>
      <c r="DHN411" s="268"/>
      <c r="DHO411" s="268"/>
      <c r="DHP411" s="268"/>
      <c r="DHQ411" s="268"/>
      <c r="DHR411" s="268"/>
      <c r="DHS411" s="268"/>
      <c r="DHT411" s="268"/>
      <c r="DHU411" s="268"/>
      <c r="DHV411" s="268"/>
      <c r="DHW411" s="268"/>
      <c r="DHX411" s="268"/>
      <c r="DHY411" s="268"/>
      <c r="DHZ411" s="268"/>
      <c r="DIA411" s="268"/>
      <c r="DIB411" s="268"/>
      <c r="DIC411" s="268"/>
      <c r="DID411" s="268"/>
      <c r="DIE411" s="268"/>
      <c r="DIF411" s="268"/>
      <c r="DIG411" s="268"/>
      <c r="DIH411" s="268"/>
      <c r="DII411" s="268"/>
      <c r="DIJ411" s="268"/>
      <c r="DIK411" s="268"/>
      <c r="DIL411" s="268"/>
      <c r="DIM411" s="268"/>
      <c r="DIN411" s="268"/>
      <c r="DIO411" s="268"/>
      <c r="DIP411" s="268"/>
      <c r="DIQ411" s="268"/>
      <c r="DIR411" s="268"/>
      <c r="DIS411" s="268"/>
      <c r="DIT411" s="268"/>
      <c r="DIU411" s="268"/>
      <c r="DIV411" s="268"/>
      <c r="DIW411" s="268"/>
      <c r="DIX411" s="268"/>
      <c r="DIY411" s="268"/>
      <c r="DIZ411" s="268"/>
      <c r="DJA411" s="268"/>
      <c r="DJB411" s="268"/>
      <c r="DJC411" s="268"/>
      <c r="DJD411" s="268"/>
      <c r="DJE411" s="268"/>
      <c r="DJF411" s="268"/>
      <c r="DJG411" s="268"/>
      <c r="DJH411" s="268"/>
      <c r="DJI411" s="268"/>
      <c r="DJJ411" s="268"/>
      <c r="DJK411" s="268"/>
      <c r="DJL411" s="268"/>
      <c r="DJM411" s="268"/>
      <c r="DJN411" s="268"/>
      <c r="DJO411" s="268"/>
      <c r="DJP411" s="268"/>
      <c r="DJQ411" s="268"/>
      <c r="DJR411" s="268"/>
      <c r="DJS411" s="268"/>
      <c r="DJT411" s="268"/>
      <c r="DJU411" s="268"/>
      <c r="DJV411" s="268"/>
      <c r="DJW411" s="268"/>
      <c r="DJX411" s="268"/>
      <c r="DJY411" s="268"/>
      <c r="DJZ411" s="268"/>
      <c r="DKA411" s="268"/>
      <c r="DKB411" s="268"/>
      <c r="DKC411" s="268"/>
      <c r="DKD411" s="268"/>
      <c r="DKE411" s="268"/>
      <c r="DKF411" s="268"/>
      <c r="DKG411" s="268"/>
      <c r="DKH411" s="268"/>
      <c r="DKI411" s="268"/>
      <c r="DKJ411" s="268"/>
      <c r="DKK411" s="268"/>
      <c r="DKL411" s="268"/>
      <c r="DKM411" s="268"/>
      <c r="DKN411" s="268"/>
      <c r="DKO411" s="268"/>
      <c r="DKP411" s="268"/>
      <c r="DKQ411" s="268"/>
      <c r="DKR411" s="268"/>
      <c r="DKS411" s="268"/>
      <c r="DKT411" s="268"/>
      <c r="DKU411" s="268"/>
      <c r="DKV411" s="268"/>
      <c r="DKW411" s="268"/>
      <c r="DKX411" s="268"/>
      <c r="DKY411" s="268"/>
      <c r="DKZ411" s="268"/>
      <c r="DLA411" s="268"/>
      <c r="DLB411" s="268"/>
      <c r="DLC411" s="268"/>
      <c r="DLD411" s="268"/>
      <c r="DLE411" s="268"/>
      <c r="DLF411" s="268"/>
      <c r="DLG411" s="268"/>
      <c r="DLH411" s="268"/>
      <c r="DLI411" s="268"/>
      <c r="DLJ411" s="268"/>
      <c r="DLK411" s="268"/>
      <c r="DLL411" s="268"/>
      <c r="DLM411" s="268"/>
      <c r="DLN411" s="268"/>
      <c r="DLO411" s="268"/>
      <c r="DLP411" s="268"/>
      <c r="DLQ411" s="268"/>
      <c r="DLR411" s="268"/>
      <c r="DLS411" s="268"/>
      <c r="DLT411" s="268"/>
      <c r="DLU411" s="268"/>
      <c r="DLV411" s="268"/>
      <c r="DLW411" s="268"/>
      <c r="DLX411" s="268"/>
      <c r="DLY411" s="268"/>
      <c r="DLZ411" s="268"/>
      <c r="DMA411" s="268"/>
      <c r="DMB411" s="268"/>
      <c r="DMC411" s="268"/>
      <c r="DMD411" s="268"/>
      <c r="DME411" s="268"/>
      <c r="DMF411" s="268"/>
      <c r="DMG411" s="268"/>
      <c r="DMH411" s="268"/>
      <c r="DMI411" s="268"/>
      <c r="DMJ411" s="268"/>
      <c r="DMK411" s="268"/>
      <c r="DML411" s="268"/>
      <c r="DMM411" s="268"/>
      <c r="DMN411" s="268"/>
      <c r="DMO411" s="268"/>
      <c r="DMP411" s="268"/>
      <c r="DMQ411" s="268"/>
      <c r="DMR411" s="268"/>
      <c r="DMS411" s="268"/>
      <c r="DMT411" s="268"/>
      <c r="DMU411" s="268"/>
      <c r="DNI411" s="268"/>
      <c r="DNJ411" s="268"/>
      <c r="DNK411" s="268"/>
      <c r="DNY411" s="268"/>
      <c r="DOA411" s="268"/>
      <c r="DOB411" s="268"/>
      <c r="DOC411" s="268"/>
      <c r="DOD411" s="268"/>
      <c r="DOE411" s="268"/>
      <c r="DOF411" s="268"/>
      <c r="DOG411" s="268"/>
      <c r="DOH411" s="268"/>
      <c r="DOI411" s="268"/>
      <c r="DOJ411" s="268"/>
      <c r="DOK411" s="268"/>
      <c r="DOL411" s="268"/>
      <c r="DOM411" s="268"/>
      <c r="DON411" s="268"/>
      <c r="DOO411" s="268"/>
      <c r="DOP411" s="268"/>
      <c r="DOQ411" s="268"/>
      <c r="DOR411" s="268"/>
      <c r="DOS411" s="268"/>
      <c r="DOT411" s="268"/>
      <c r="DOU411" s="268"/>
      <c r="DOV411" s="268"/>
      <c r="DOW411" s="268"/>
      <c r="DOX411" s="268"/>
      <c r="DOY411" s="268"/>
      <c r="DOZ411" s="268"/>
      <c r="DPA411" s="268"/>
      <c r="DPB411" s="268"/>
      <c r="DPC411" s="268"/>
      <c r="DPD411" s="268"/>
      <c r="DPE411" s="268"/>
      <c r="DPF411" s="268"/>
      <c r="DPG411" s="268"/>
      <c r="DPH411" s="268"/>
      <c r="DPI411" s="268"/>
      <c r="DPJ411" s="268"/>
      <c r="DPK411" s="268"/>
      <c r="DPL411" s="268"/>
      <c r="DPM411" s="268"/>
      <c r="DPN411" s="268"/>
      <c r="DPO411" s="268"/>
      <c r="DPP411" s="268"/>
      <c r="DPQ411" s="268"/>
      <c r="DPR411" s="268"/>
      <c r="DPS411" s="268"/>
      <c r="DPT411" s="268"/>
      <c r="DPU411" s="268"/>
      <c r="DPV411" s="268"/>
      <c r="DPW411" s="268"/>
      <c r="DPX411" s="268"/>
      <c r="DPY411" s="268"/>
      <c r="DPZ411" s="268"/>
      <c r="DQA411" s="268"/>
      <c r="DQB411" s="268"/>
      <c r="DQC411" s="268"/>
      <c r="DQD411" s="268"/>
      <c r="DQE411" s="268"/>
      <c r="DQF411" s="268"/>
      <c r="DQG411" s="268"/>
      <c r="DQH411" s="268"/>
      <c r="DQI411" s="268"/>
      <c r="DQJ411" s="268"/>
      <c r="DQK411" s="268"/>
      <c r="DQL411" s="268"/>
      <c r="DQM411" s="268"/>
      <c r="DQN411" s="268"/>
      <c r="DQO411" s="268"/>
      <c r="DQP411" s="268"/>
      <c r="DQQ411" s="268"/>
      <c r="DQR411" s="268"/>
      <c r="DQS411" s="268"/>
      <c r="DQT411" s="268"/>
      <c r="DQU411" s="268"/>
      <c r="DQV411" s="268"/>
      <c r="DQW411" s="268"/>
      <c r="DQX411" s="268"/>
      <c r="DQY411" s="268"/>
      <c r="DQZ411" s="268"/>
      <c r="DRA411" s="268"/>
      <c r="DRB411" s="268"/>
      <c r="DRC411" s="268"/>
      <c r="DRD411" s="268"/>
      <c r="DRE411" s="268"/>
      <c r="DRF411" s="268"/>
      <c r="DRG411" s="268"/>
      <c r="DRH411" s="268"/>
      <c r="DRI411" s="268"/>
      <c r="DRJ411" s="268"/>
      <c r="DRK411" s="268"/>
      <c r="DRL411" s="268"/>
      <c r="DRM411" s="268"/>
      <c r="DRN411" s="268"/>
      <c r="DRO411" s="268"/>
      <c r="DRP411" s="268"/>
      <c r="DRQ411" s="268"/>
      <c r="DRR411" s="268"/>
      <c r="DRS411" s="268"/>
      <c r="DRT411" s="268"/>
      <c r="DRU411" s="268"/>
      <c r="DRV411" s="268"/>
      <c r="DRW411" s="268"/>
      <c r="DRX411" s="268"/>
      <c r="DRY411" s="268"/>
      <c r="DRZ411" s="268"/>
      <c r="DSA411" s="268"/>
      <c r="DSB411" s="268"/>
      <c r="DSC411" s="268"/>
      <c r="DSD411" s="268"/>
      <c r="DSE411" s="268"/>
      <c r="DSF411" s="268"/>
      <c r="DSG411" s="268"/>
      <c r="DSH411" s="268"/>
      <c r="DSI411" s="268"/>
      <c r="DSJ411" s="268"/>
      <c r="DSK411" s="268"/>
      <c r="DSL411" s="268"/>
      <c r="DSM411" s="268"/>
      <c r="DSN411" s="268"/>
      <c r="DSO411" s="268"/>
      <c r="DSP411" s="268"/>
      <c r="DSQ411" s="268"/>
      <c r="DSR411" s="268"/>
      <c r="DSS411" s="268"/>
      <c r="DST411" s="268"/>
      <c r="DSU411" s="268"/>
      <c r="DSV411" s="268"/>
      <c r="DSW411" s="268"/>
      <c r="DSX411" s="268"/>
      <c r="DSY411" s="268"/>
      <c r="DSZ411" s="268"/>
      <c r="DTA411" s="268"/>
      <c r="DTB411" s="268"/>
      <c r="DTC411" s="268"/>
      <c r="DTD411" s="268"/>
      <c r="DTE411" s="268"/>
      <c r="DTF411" s="268"/>
      <c r="DTG411" s="268"/>
      <c r="DTH411" s="268"/>
      <c r="DTI411" s="268"/>
      <c r="DTJ411" s="268"/>
      <c r="DTK411" s="268"/>
      <c r="DTL411" s="268"/>
      <c r="DTM411" s="268"/>
      <c r="DTN411" s="268"/>
      <c r="DTO411" s="268"/>
      <c r="DTP411" s="268"/>
      <c r="DTQ411" s="268"/>
      <c r="DTR411" s="268"/>
      <c r="DTS411" s="268"/>
      <c r="DTT411" s="268"/>
      <c r="DTU411" s="268"/>
      <c r="DTV411" s="268"/>
      <c r="DTW411" s="268"/>
      <c r="DTX411" s="268"/>
      <c r="DTY411" s="268"/>
      <c r="DTZ411" s="268"/>
      <c r="DUA411" s="268"/>
      <c r="DUB411" s="268"/>
      <c r="DUC411" s="268"/>
      <c r="DUD411" s="268"/>
      <c r="DUE411" s="268"/>
      <c r="DUF411" s="268"/>
      <c r="DUG411" s="268"/>
      <c r="DUH411" s="268"/>
      <c r="DUI411" s="268"/>
      <c r="DUJ411" s="268"/>
      <c r="DUK411" s="268"/>
      <c r="DUL411" s="268"/>
      <c r="DUM411" s="268"/>
      <c r="DUN411" s="268"/>
      <c r="DUO411" s="268"/>
      <c r="DUP411" s="268"/>
      <c r="DUQ411" s="268"/>
      <c r="DUR411" s="268"/>
      <c r="DUS411" s="268"/>
      <c r="DUT411" s="268"/>
      <c r="DUU411" s="268"/>
      <c r="DUV411" s="268"/>
      <c r="DUW411" s="268"/>
      <c r="DUX411" s="268"/>
      <c r="DUY411" s="268"/>
      <c r="DUZ411" s="268"/>
      <c r="DVA411" s="268"/>
      <c r="DVB411" s="268"/>
      <c r="DVC411" s="268"/>
      <c r="DVD411" s="268"/>
      <c r="DVE411" s="268"/>
      <c r="DVF411" s="268"/>
      <c r="DVG411" s="268"/>
      <c r="DVH411" s="268"/>
      <c r="DVI411" s="268"/>
      <c r="DVJ411" s="268"/>
      <c r="DVK411" s="268"/>
      <c r="DVL411" s="268"/>
      <c r="DVM411" s="268"/>
      <c r="DVN411" s="268"/>
      <c r="DVO411" s="268"/>
      <c r="DVP411" s="268"/>
      <c r="DVQ411" s="268"/>
      <c r="DVR411" s="268"/>
      <c r="DVS411" s="268"/>
      <c r="DVT411" s="268"/>
      <c r="DVU411" s="268"/>
      <c r="DVV411" s="268"/>
      <c r="DVW411" s="268"/>
      <c r="DVX411" s="268"/>
      <c r="DVY411" s="268"/>
      <c r="DVZ411" s="268"/>
      <c r="DWA411" s="268"/>
      <c r="DWB411" s="268"/>
      <c r="DWC411" s="268"/>
      <c r="DWD411" s="268"/>
      <c r="DWE411" s="268"/>
      <c r="DWF411" s="268"/>
      <c r="DWG411" s="268"/>
      <c r="DWH411" s="268"/>
      <c r="DWI411" s="268"/>
      <c r="DWJ411" s="268"/>
      <c r="DWK411" s="268"/>
      <c r="DWL411" s="268"/>
      <c r="DWM411" s="268"/>
      <c r="DWN411" s="268"/>
      <c r="DWO411" s="268"/>
      <c r="DWP411" s="268"/>
      <c r="DWQ411" s="268"/>
      <c r="DXE411" s="268"/>
      <c r="DXF411" s="268"/>
      <c r="DXG411" s="268"/>
      <c r="DXU411" s="268"/>
      <c r="DXW411" s="268"/>
      <c r="DXX411" s="268"/>
      <c r="DXY411" s="268"/>
      <c r="DXZ411" s="268"/>
      <c r="DYA411" s="268"/>
      <c r="DYB411" s="268"/>
      <c r="DYC411" s="268"/>
      <c r="DYD411" s="268"/>
      <c r="DYE411" s="268"/>
      <c r="DYF411" s="268"/>
      <c r="DYG411" s="268"/>
      <c r="DYH411" s="268"/>
      <c r="DYI411" s="268"/>
      <c r="DYJ411" s="268"/>
      <c r="DYK411" s="268"/>
      <c r="DYL411" s="268"/>
      <c r="DYM411" s="268"/>
      <c r="DYN411" s="268"/>
      <c r="DYO411" s="268"/>
      <c r="DYP411" s="268"/>
      <c r="DYQ411" s="268"/>
      <c r="DYR411" s="268"/>
      <c r="DYS411" s="268"/>
      <c r="DYT411" s="268"/>
      <c r="DYU411" s="268"/>
      <c r="DYV411" s="268"/>
      <c r="DYW411" s="268"/>
      <c r="DYX411" s="268"/>
      <c r="DYY411" s="268"/>
      <c r="DYZ411" s="268"/>
      <c r="DZA411" s="268"/>
      <c r="DZB411" s="268"/>
      <c r="DZC411" s="268"/>
      <c r="DZD411" s="268"/>
      <c r="DZE411" s="268"/>
      <c r="DZF411" s="268"/>
      <c r="DZG411" s="268"/>
      <c r="DZH411" s="268"/>
      <c r="DZI411" s="268"/>
      <c r="DZJ411" s="268"/>
      <c r="DZK411" s="268"/>
      <c r="DZL411" s="268"/>
      <c r="DZM411" s="268"/>
      <c r="DZN411" s="268"/>
      <c r="DZO411" s="268"/>
      <c r="DZP411" s="268"/>
      <c r="DZQ411" s="268"/>
      <c r="DZR411" s="268"/>
      <c r="DZS411" s="268"/>
      <c r="DZT411" s="268"/>
      <c r="DZU411" s="268"/>
      <c r="DZV411" s="268"/>
      <c r="DZW411" s="268"/>
      <c r="DZX411" s="268"/>
      <c r="DZY411" s="268"/>
      <c r="DZZ411" s="268"/>
      <c r="EAA411" s="268"/>
      <c r="EAB411" s="268"/>
      <c r="EAC411" s="268"/>
      <c r="EAD411" s="268"/>
      <c r="EAE411" s="268"/>
      <c r="EAF411" s="268"/>
      <c r="EAG411" s="268"/>
      <c r="EAH411" s="268"/>
      <c r="EAI411" s="268"/>
      <c r="EAJ411" s="268"/>
      <c r="EAK411" s="268"/>
      <c r="EAL411" s="268"/>
      <c r="EAM411" s="268"/>
      <c r="EAN411" s="268"/>
      <c r="EAO411" s="268"/>
      <c r="EAP411" s="268"/>
      <c r="EAQ411" s="268"/>
      <c r="EAR411" s="268"/>
      <c r="EAS411" s="268"/>
      <c r="EAT411" s="268"/>
      <c r="EAU411" s="268"/>
      <c r="EAV411" s="268"/>
      <c r="EAW411" s="268"/>
      <c r="EAX411" s="268"/>
      <c r="EAY411" s="268"/>
      <c r="EAZ411" s="268"/>
      <c r="EBA411" s="268"/>
      <c r="EBB411" s="268"/>
      <c r="EBC411" s="268"/>
      <c r="EBD411" s="268"/>
      <c r="EBE411" s="268"/>
      <c r="EBF411" s="268"/>
      <c r="EBG411" s="268"/>
      <c r="EBH411" s="268"/>
      <c r="EBI411" s="268"/>
      <c r="EBJ411" s="268"/>
      <c r="EBK411" s="268"/>
      <c r="EBL411" s="268"/>
      <c r="EBM411" s="268"/>
      <c r="EBN411" s="268"/>
      <c r="EBO411" s="268"/>
      <c r="EBP411" s="268"/>
      <c r="EBQ411" s="268"/>
      <c r="EBR411" s="268"/>
      <c r="EBS411" s="268"/>
      <c r="EBT411" s="268"/>
      <c r="EBU411" s="268"/>
      <c r="EBV411" s="268"/>
      <c r="EBW411" s="268"/>
      <c r="EBX411" s="268"/>
      <c r="EBY411" s="268"/>
      <c r="EBZ411" s="268"/>
      <c r="ECA411" s="268"/>
      <c r="ECB411" s="268"/>
      <c r="ECC411" s="268"/>
      <c r="ECD411" s="268"/>
      <c r="ECE411" s="268"/>
      <c r="ECF411" s="268"/>
      <c r="ECG411" s="268"/>
      <c r="ECH411" s="268"/>
      <c r="ECI411" s="268"/>
      <c r="ECJ411" s="268"/>
      <c r="ECK411" s="268"/>
      <c r="ECL411" s="268"/>
      <c r="ECM411" s="268"/>
      <c r="ECN411" s="268"/>
      <c r="ECO411" s="268"/>
      <c r="ECP411" s="268"/>
      <c r="ECQ411" s="268"/>
      <c r="ECR411" s="268"/>
      <c r="ECS411" s="268"/>
      <c r="ECT411" s="268"/>
      <c r="ECU411" s="268"/>
      <c r="ECV411" s="268"/>
      <c r="ECW411" s="268"/>
      <c r="ECX411" s="268"/>
      <c r="ECY411" s="268"/>
      <c r="ECZ411" s="268"/>
      <c r="EDA411" s="268"/>
      <c r="EDB411" s="268"/>
      <c r="EDC411" s="268"/>
      <c r="EDD411" s="268"/>
      <c r="EDE411" s="268"/>
      <c r="EDF411" s="268"/>
      <c r="EDG411" s="268"/>
      <c r="EDH411" s="268"/>
      <c r="EDI411" s="268"/>
      <c r="EDJ411" s="268"/>
      <c r="EDK411" s="268"/>
      <c r="EDL411" s="268"/>
      <c r="EDM411" s="268"/>
      <c r="EDN411" s="268"/>
      <c r="EDO411" s="268"/>
      <c r="EDP411" s="268"/>
      <c r="EDQ411" s="268"/>
      <c r="EDR411" s="268"/>
      <c r="EDS411" s="268"/>
      <c r="EDT411" s="268"/>
      <c r="EDU411" s="268"/>
      <c r="EDV411" s="268"/>
      <c r="EDW411" s="268"/>
      <c r="EDX411" s="268"/>
      <c r="EDY411" s="268"/>
      <c r="EDZ411" s="268"/>
      <c r="EEA411" s="268"/>
      <c r="EEB411" s="268"/>
      <c r="EEC411" s="268"/>
      <c r="EED411" s="268"/>
      <c r="EEE411" s="268"/>
      <c r="EEF411" s="268"/>
      <c r="EEG411" s="268"/>
      <c r="EEH411" s="268"/>
      <c r="EEI411" s="268"/>
      <c r="EEJ411" s="268"/>
      <c r="EEK411" s="268"/>
      <c r="EEL411" s="268"/>
      <c r="EEM411" s="268"/>
      <c r="EEN411" s="268"/>
      <c r="EEO411" s="268"/>
      <c r="EEP411" s="268"/>
      <c r="EEQ411" s="268"/>
      <c r="EER411" s="268"/>
      <c r="EES411" s="268"/>
      <c r="EET411" s="268"/>
      <c r="EEU411" s="268"/>
      <c r="EEV411" s="268"/>
      <c r="EEW411" s="268"/>
      <c r="EEX411" s="268"/>
      <c r="EEY411" s="268"/>
      <c r="EEZ411" s="268"/>
      <c r="EFA411" s="268"/>
      <c r="EFB411" s="268"/>
      <c r="EFC411" s="268"/>
      <c r="EFD411" s="268"/>
      <c r="EFE411" s="268"/>
      <c r="EFF411" s="268"/>
      <c r="EFG411" s="268"/>
      <c r="EFH411" s="268"/>
      <c r="EFI411" s="268"/>
      <c r="EFJ411" s="268"/>
      <c r="EFK411" s="268"/>
      <c r="EFL411" s="268"/>
      <c r="EFM411" s="268"/>
      <c r="EFN411" s="268"/>
      <c r="EFO411" s="268"/>
      <c r="EFP411" s="268"/>
      <c r="EFQ411" s="268"/>
      <c r="EFR411" s="268"/>
      <c r="EFS411" s="268"/>
      <c r="EFT411" s="268"/>
      <c r="EFU411" s="268"/>
      <c r="EFV411" s="268"/>
      <c r="EFW411" s="268"/>
      <c r="EFX411" s="268"/>
      <c r="EFY411" s="268"/>
      <c r="EFZ411" s="268"/>
      <c r="EGA411" s="268"/>
      <c r="EGB411" s="268"/>
      <c r="EGC411" s="268"/>
      <c r="EGD411" s="268"/>
      <c r="EGE411" s="268"/>
      <c r="EGF411" s="268"/>
      <c r="EGG411" s="268"/>
      <c r="EGH411" s="268"/>
      <c r="EGI411" s="268"/>
      <c r="EGJ411" s="268"/>
      <c r="EGK411" s="268"/>
      <c r="EGL411" s="268"/>
      <c r="EGM411" s="268"/>
      <c r="EHA411" s="268"/>
      <c r="EHB411" s="268"/>
      <c r="EHC411" s="268"/>
      <c r="EHQ411" s="268"/>
      <c r="EHS411" s="268"/>
      <c r="EHT411" s="268"/>
      <c r="EHU411" s="268"/>
      <c r="EHV411" s="268"/>
      <c r="EHW411" s="268"/>
      <c r="EHX411" s="268"/>
      <c r="EHY411" s="268"/>
      <c r="EHZ411" s="268"/>
      <c r="EIA411" s="268"/>
      <c r="EIB411" s="268"/>
      <c r="EIC411" s="268"/>
      <c r="EID411" s="268"/>
      <c r="EIE411" s="268"/>
      <c r="EIF411" s="268"/>
      <c r="EIG411" s="268"/>
      <c r="EIH411" s="268"/>
      <c r="EII411" s="268"/>
      <c r="EIJ411" s="268"/>
      <c r="EIK411" s="268"/>
      <c r="EIL411" s="268"/>
      <c r="EIM411" s="268"/>
      <c r="EIN411" s="268"/>
      <c r="EIO411" s="268"/>
      <c r="EIP411" s="268"/>
      <c r="EIQ411" s="268"/>
      <c r="EIR411" s="268"/>
      <c r="EIS411" s="268"/>
      <c r="EIT411" s="268"/>
      <c r="EIU411" s="268"/>
      <c r="EIV411" s="268"/>
      <c r="EIW411" s="268"/>
      <c r="EIX411" s="268"/>
      <c r="EIY411" s="268"/>
      <c r="EIZ411" s="268"/>
      <c r="EJA411" s="268"/>
      <c r="EJB411" s="268"/>
      <c r="EJC411" s="268"/>
      <c r="EJD411" s="268"/>
      <c r="EJE411" s="268"/>
      <c r="EJF411" s="268"/>
      <c r="EJG411" s="268"/>
      <c r="EJH411" s="268"/>
      <c r="EJI411" s="268"/>
      <c r="EJJ411" s="268"/>
      <c r="EJK411" s="268"/>
      <c r="EJL411" s="268"/>
      <c r="EJM411" s="268"/>
      <c r="EJN411" s="268"/>
      <c r="EJO411" s="268"/>
      <c r="EJP411" s="268"/>
      <c r="EJQ411" s="268"/>
      <c r="EJR411" s="268"/>
      <c r="EJS411" s="268"/>
      <c r="EJT411" s="268"/>
      <c r="EJU411" s="268"/>
      <c r="EJV411" s="268"/>
      <c r="EJW411" s="268"/>
      <c r="EJX411" s="268"/>
      <c r="EJY411" s="268"/>
      <c r="EJZ411" s="268"/>
      <c r="EKA411" s="268"/>
      <c r="EKB411" s="268"/>
      <c r="EKC411" s="268"/>
      <c r="EKD411" s="268"/>
      <c r="EKE411" s="268"/>
      <c r="EKF411" s="268"/>
      <c r="EKG411" s="268"/>
      <c r="EKH411" s="268"/>
      <c r="EKI411" s="268"/>
      <c r="EKJ411" s="268"/>
      <c r="EKK411" s="268"/>
      <c r="EKL411" s="268"/>
      <c r="EKM411" s="268"/>
      <c r="EKN411" s="268"/>
      <c r="EKO411" s="268"/>
      <c r="EKP411" s="268"/>
      <c r="EKQ411" s="268"/>
      <c r="EKR411" s="268"/>
      <c r="EKS411" s="268"/>
      <c r="EKT411" s="268"/>
      <c r="EKU411" s="268"/>
      <c r="EKV411" s="268"/>
      <c r="EKW411" s="268"/>
      <c r="EKX411" s="268"/>
      <c r="EKY411" s="268"/>
      <c r="EKZ411" s="268"/>
      <c r="ELA411" s="268"/>
      <c r="ELB411" s="268"/>
      <c r="ELC411" s="268"/>
      <c r="ELD411" s="268"/>
      <c r="ELE411" s="268"/>
      <c r="ELF411" s="268"/>
      <c r="ELG411" s="268"/>
      <c r="ELH411" s="268"/>
      <c r="ELI411" s="268"/>
      <c r="ELJ411" s="268"/>
      <c r="ELK411" s="268"/>
      <c r="ELL411" s="268"/>
      <c r="ELM411" s="268"/>
      <c r="ELN411" s="268"/>
      <c r="ELO411" s="268"/>
      <c r="ELP411" s="268"/>
      <c r="ELQ411" s="268"/>
      <c r="ELR411" s="268"/>
      <c r="ELS411" s="268"/>
      <c r="ELT411" s="268"/>
      <c r="ELU411" s="268"/>
      <c r="ELV411" s="268"/>
      <c r="ELW411" s="268"/>
      <c r="ELX411" s="268"/>
      <c r="ELY411" s="268"/>
      <c r="ELZ411" s="268"/>
      <c r="EMA411" s="268"/>
      <c r="EMB411" s="268"/>
      <c r="EMC411" s="268"/>
      <c r="EMD411" s="268"/>
      <c r="EME411" s="268"/>
      <c r="EMF411" s="268"/>
      <c r="EMG411" s="268"/>
      <c r="EMH411" s="268"/>
      <c r="EMI411" s="268"/>
      <c r="EMJ411" s="268"/>
      <c r="EMK411" s="268"/>
      <c r="EML411" s="268"/>
      <c r="EMM411" s="268"/>
      <c r="EMN411" s="268"/>
      <c r="EMO411" s="268"/>
      <c r="EMP411" s="268"/>
      <c r="EMQ411" s="268"/>
      <c r="EMR411" s="268"/>
      <c r="EMS411" s="268"/>
      <c r="EMT411" s="268"/>
      <c r="EMU411" s="268"/>
      <c r="EMV411" s="268"/>
      <c r="EMW411" s="268"/>
      <c r="EMX411" s="268"/>
      <c r="EMY411" s="268"/>
      <c r="EMZ411" s="268"/>
      <c r="ENA411" s="268"/>
      <c r="ENB411" s="268"/>
      <c r="ENC411" s="268"/>
      <c r="END411" s="268"/>
      <c r="ENE411" s="268"/>
      <c r="ENF411" s="268"/>
      <c r="ENG411" s="268"/>
      <c r="ENH411" s="268"/>
      <c r="ENI411" s="268"/>
      <c r="ENJ411" s="268"/>
      <c r="ENK411" s="268"/>
      <c r="ENL411" s="268"/>
      <c r="ENM411" s="268"/>
      <c r="ENN411" s="268"/>
      <c r="ENO411" s="268"/>
      <c r="ENP411" s="268"/>
      <c r="ENQ411" s="268"/>
      <c r="ENR411" s="268"/>
      <c r="ENS411" s="268"/>
      <c r="ENT411" s="268"/>
      <c r="ENU411" s="268"/>
      <c r="ENV411" s="268"/>
      <c r="ENW411" s="268"/>
      <c r="ENX411" s="268"/>
      <c r="ENY411" s="268"/>
      <c r="ENZ411" s="268"/>
      <c r="EOA411" s="268"/>
      <c r="EOB411" s="268"/>
      <c r="EOC411" s="268"/>
      <c r="EOD411" s="268"/>
      <c r="EOE411" s="268"/>
      <c r="EOF411" s="268"/>
      <c r="EOG411" s="268"/>
      <c r="EOH411" s="268"/>
      <c r="EOI411" s="268"/>
      <c r="EOJ411" s="268"/>
      <c r="EOK411" s="268"/>
      <c r="EOL411" s="268"/>
      <c r="EOM411" s="268"/>
      <c r="EON411" s="268"/>
      <c r="EOO411" s="268"/>
      <c r="EOP411" s="268"/>
      <c r="EOQ411" s="268"/>
      <c r="EOR411" s="268"/>
      <c r="EOS411" s="268"/>
      <c r="EOT411" s="268"/>
      <c r="EOU411" s="268"/>
      <c r="EOV411" s="268"/>
      <c r="EOW411" s="268"/>
      <c r="EOX411" s="268"/>
      <c r="EOY411" s="268"/>
      <c r="EOZ411" s="268"/>
      <c r="EPA411" s="268"/>
      <c r="EPB411" s="268"/>
      <c r="EPC411" s="268"/>
      <c r="EPD411" s="268"/>
      <c r="EPE411" s="268"/>
      <c r="EPF411" s="268"/>
      <c r="EPG411" s="268"/>
      <c r="EPH411" s="268"/>
      <c r="EPI411" s="268"/>
      <c r="EPJ411" s="268"/>
      <c r="EPK411" s="268"/>
      <c r="EPL411" s="268"/>
      <c r="EPM411" s="268"/>
      <c r="EPN411" s="268"/>
      <c r="EPO411" s="268"/>
      <c r="EPP411" s="268"/>
      <c r="EPQ411" s="268"/>
      <c r="EPR411" s="268"/>
      <c r="EPS411" s="268"/>
      <c r="EPT411" s="268"/>
      <c r="EPU411" s="268"/>
      <c r="EPV411" s="268"/>
      <c r="EPW411" s="268"/>
      <c r="EPX411" s="268"/>
      <c r="EPY411" s="268"/>
      <c r="EPZ411" s="268"/>
      <c r="EQA411" s="268"/>
      <c r="EQB411" s="268"/>
      <c r="EQC411" s="268"/>
      <c r="EQD411" s="268"/>
      <c r="EQE411" s="268"/>
      <c r="EQF411" s="268"/>
      <c r="EQG411" s="268"/>
      <c r="EQH411" s="268"/>
      <c r="EQI411" s="268"/>
      <c r="EQW411" s="268"/>
      <c r="EQX411" s="268"/>
      <c r="EQY411" s="268"/>
      <c r="ERM411" s="268"/>
      <c r="ERO411" s="268"/>
      <c r="ERP411" s="268"/>
      <c r="ERQ411" s="268"/>
      <c r="ERR411" s="268"/>
      <c r="ERS411" s="268"/>
      <c r="ERT411" s="268"/>
      <c r="ERU411" s="268"/>
      <c r="ERV411" s="268"/>
      <c r="ERW411" s="268"/>
      <c r="ERX411" s="268"/>
      <c r="ERY411" s="268"/>
      <c r="ERZ411" s="268"/>
      <c r="ESA411" s="268"/>
      <c r="ESB411" s="268"/>
      <c r="ESC411" s="268"/>
      <c r="ESD411" s="268"/>
      <c r="ESE411" s="268"/>
      <c r="ESF411" s="268"/>
      <c r="ESG411" s="268"/>
      <c r="ESH411" s="268"/>
      <c r="ESI411" s="268"/>
      <c r="ESJ411" s="268"/>
      <c r="ESK411" s="268"/>
      <c r="ESL411" s="268"/>
      <c r="ESM411" s="268"/>
      <c r="ESN411" s="268"/>
      <c r="ESO411" s="268"/>
      <c r="ESP411" s="268"/>
      <c r="ESQ411" s="268"/>
      <c r="ESR411" s="268"/>
      <c r="ESS411" s="268"/>
      <c r="EST411" s="268"/>
      <c r="ESU411" s="268"/>
      <c r="ESV411" s="268"/>
      <c r="ESW411" s="268"/>
      <c r="ESX411" s="268"/>
      <c r="ESY411" s="268"/>
      <c r="ESZ411" s="268"/>
      <c r="ETA411" s="268"/>
      <c r="ETB411" s="268"/>
      <c r="ETC411" s="268"/>
      <c r="ETD411" s="268"/>
      <c r="ETE411" s="268"/>
      <c r="ETF411" s="268"/>
      <c r="ETG411" s="268"/>
      <c r="ETH411" s="268"/>
      <c r="ETI411" s="268"/>
      <c r="ETJ411" s="268"/>
      <c r="ETK411" s="268"/>
      <c r="ETL411" s="268"/>
      <c r="ETM411" s="268"/>
      <c r="ETN411" s="268"/>
      <c r="ETO411" s="268"/>
      <c r="ETP411" s="268"/>
      <c r="ETQ411" s="268"/>
      <c r="ETR411" s="268"/>
      <c r="ETS411" s="268"/>
      <c r="ETT411" s="268"/>
      <c r="ETU411" s="268"/>
      <c r="ETV411" s="268"/>
      <c r="ETW411" s="268"/>
      <c r="ETX411" s="268"/>
      <c r="ETY411" s="268"/>
      <c r="ETZ411" s="268"/>
      <c r="EUA411" s="268"/>
      <c r="EUB411" s="268"/>
      <c r="EUC411" s="268"/>
      <c r="EUD411" s="268"/>
      <c r="EUE411" s="268"/>
      <c r="EUF411" s="268"/>
      <c r="EUG411" s="268"/>
      <c r="EUH411" s="268"/>
      <c r="EUI411" s="268"/>
      <c r="EUJ411" s="268"/>
      <c r="EUK411" s="268"/>
      <c r="EUL411" s="268"/>
      <c r="EUM411" s="268"/>
      <c r="EUN411" s="268"/>
      <c r="EUO411" s="268"/>
      <c r="EUP411" s="268"/>
      <c r="EUQ411" s="268"/>
      <c r="EUR411" s="268"/>
      <c r="EUS411" s="268"/>
      <c r="EUT411" s="268"/>
      <c r="EUU411" s="268"/>
      <c r="EUV411" s="268"/>
      <c r="EUW411" s="268"/>
      <c r="EUX411" s="268"/>
      <c r="EUY411" s="268"/>
      <c r="EUZ411" s="268"/>
      <c r="EVA411" s="268"/>
      <c r="EVB411" s="268"/>
      <c r="EVC411" s="268"/>
      <c r="EVD411" s="268"/>
      <c r="EVE411" s="268"/>
      <c r="EVF411" s="268"/>
      <c r="EVG411" s="268"/>
      <c r="EVH411" s="268"/>
      <c r="EVI411" s="268"/>
      <c r="EVJ411" s="268"/>
      <c r="EVK411" s="268"/>
      <c r="EVL411" s="268"/>
      <c r="EVM411" s="268"/>
      <c r="EVN411" s="268"/>
      <c r="EVO411" s="268"/>
      <c r="EVP411" s="268"/>
      <c r="EVQ411" s="268"/>
      <c r="EVR411" s="268"/>
      <c r="EVS411" s="268"/>
      <c r="EVT411" s="268"/>
      <c r="EVU411" s="268"/>
      <c r="EVV411" s="268"/>
      <c r="EVW411" s="268"/>
      <c r="EVX411" s="268"/>
      <c r="EVY411" s="268"/>
      <c r="EVZ411" s="268"/>
      <c r="EWA411" s="268"/>
      <c r="EWB411" s="268"/>
      <c r="EWC411" s="268"/>
      <c r="EWD411" s="268"/>
      <c r="EWE411" s="268"/>
      <c r="EWF411" s="268"/>
      <c r="EWG411" s="268"/>
      <c r="EWH411" s="268"/>
      <c r="EWI411" s="268"/>
      <c r="EWJ411" s="268"/>
      <c r="EWK411" s="268"/>
      <c r="EWL411" s="268"/>
      <c r="EWM411" s="268"/>
      <c r="EWN411" s="268"/>
      <c r="EWO411" s="268"/>
      <c r="EWP411" s="268"/>
      <c r="EWQ411" s="268"/>
      <c r="EWR411" s="268"/>
      <c r="EWS411" s="268"/>
      <c r="EWT411" s="268"/>
      <c r="EWU411" s="268"/>
      <c r="EWV411" s="268"/>
      <c r="EWW411" s="268"/>
      <c r="EWX411" s="268"/>
      <c r="EWY411" s="268"/>
      <c r="EWZ411" s="268"/>
      <c r="EXA411" s="268"/>
      <c r="EXB411" s="268"/>
      <c r="EXC411" s="268"/>
      <c r="EXD411" s="268"/>
      <c r="EXE411" s="268"/>
      <c r="EXF411" s="268"/>
      <c r="EXG411" s="268"/>
      <c r="EXH411" s="268"/>
      <c r="EXI411" s="268"/>
      <c r="EXJ411" s="268"/>
      <c r="EXK411" s="268"/>
      <c r="EXL411" s="268"/>
      <c r="EXM411" s="268"/>
      <c r="EXN411" s="268"/>
      <c r="EXO411" s="268"/>
      <c r="EXP411" s="268"/>
      <c r="EXQ411" s="268"/>
      <c r="EXR411" s="268"/>
      <c r="EXS411" s="268"/>
      <c r="EXT411" s="268"/>
      <c r="EXU411" s="268"/>
      <c r="EXV411" s="268"/>
      <c r="EXW411" s="268"/>
      <c r="EXX411" s="268"/>
      <c r="EXY411" s="268"/>
      <c r="EXZ411" s="268"/>
      <c r="EYA411" s="268"/>
      <c r="EYB411" s="268"/>
      <c r="EYC411" s="268"/>
      <c r="EYD411" s="268"/>
      <c r="EYE411" s="268"/>
      <c r="EYF411" s="268"/>
      <c r="EYG411" s="268"/>
      <c r="EYH411" s="268"/>
      <c r="EYI411" s="268"/>
      <c r="EYJ411" s="268"/>
      <c r="EYK411" s="268"/>
      <c r="EYL411" s="268"/>
      <c r="EYM411" s="268"/>
      <c r="EYN411" s="268"/>
      <c r="EYO411" s="268"/>
      <c r="EYP411" s="268"/>
      <c r="EYQ411" s="268"/>
      <c r="EYR411" s="268"/>
      <c r="EYS411" s="268"/>
      <c r="EYT411" s="268"/>
      <c r="EYU411" s="268"/>
      <c r="EYV411" s="268"/>
      <c r="EYW411" s="268"/>
      <c r="EYX411" s="268"/>
      <c r="EYY411" s="268"/>
      <c r="EYZ411" s="268"/>
      <c r="EZA411" s="268"/>
      <c r="EZB411" s="268"/>
      <c r="EZC411" s="268"/>
      <c r="EZD411" s="268"/>
      <c r="EZE411" s="268"/>
      <c r="EZF411" s="268"/>
      <c r="EZG411" s="268"/>
      <c r="EZH411" s="268"/>
      <c r="EZI411" s="268"/>
      <c r="EZJ411" s="268"/>
      <c r="EZK411" s="268"/>
      <c r="EZL411" s="268"/>
      <c r="EZM411" s="268"/>
      <c r="EZN411" s="268"/>
      <c r="EZO411" s="268"/>
      <c r="EZP411" s="268"/>
      <c r="EZQ411" s="268"/>
      <c r="EZR411" s="268"/>
      <c r="EZS411" s="268"/>
      <c r="EZT411" s="268"/>
      <c r="EZU411" s="268"/>
      <c r="EZV411" s="268"/>
      <c r="EZW411" s="268"/>
      <c r="EZX411" s="268"/>
      <c r="EZY411" s="268"/>
      <c r="EZZ411" s="268"/>
      <c r="FAA411" s="268"/>
      <c r="FAB411" s="268"/>
      <c r="FAC411" s="268"/>
      <c r="FAD411" s="268"/>
      <c r="FAE411" s="268"/>
      <c r="FAS411" s="268"/>
      <c r="FAT411" s="268"/>
      <c r="FAU411" s="268"/>
      <c r="FBI411" s="268"/>
      <c r="FBK411" s="268"/>
      <c r="FBL411" s="268"/>
      <c r="FBM411" s="268"/>
      <c r="FBN411" s="268"/>
      <c r="FBO411" s="268"/>
      <c r="FBP411" s="268"/>
      <c r="FBQ411" s="268"/>
      <c r="FBR411" s="268"/>
      <c r="FBS411" s="268"/>
      <c r="FBT411" s="268"/>
      <c r="FBU411" s="268"/>
      <c r="FBV411" s="268"/>
      <c r="FBW411" s="268"/>
      <c r="FBX411" s="268"/>
      <c r="FBY411" s="268"/>
      <c r="FBZ411" s="268"/>
      <c r="FCA411" s="268"/>
      <c r="FCB411" s="268"/>
      <c r="FCC411" s="268"/>
      <c r="FCD411" s="268"/>
      <c r="FCE411" s="268"/>
      <c r="FCF411" s="268"/>
      <c r="FCG411" s="268"/>
      <c r="FCH411" s="268"/>
      <c r="FCI411" s="268"/>
      <c r="FCJ411" s="268"/>
      <c r="FCK411" s="268"/>
      <c r="FCL411" s="268"/>
      <c r="FCM411" s="268"/>
      <c r="FCN411" s="268"/>
      <c r="FCO411" s="268"/>
      <c r="FCP411" s="268"/>
      <c r="FCQ411" s="268"/>
      <c r="FCR411" s="268"/>
      <c r="FCS411" s="268"/>
      <c r="FCT411" s="268"/>
      <c r="FCU411" s="268"/>
      <c r="FCV411" s="268"/>
      <c r="FCW411" s="268"/>
      <c r="FCX411" s="268"/>
      <c r="FCY411" s="268"/>
      <c r="FCZ411" s="268"/>
      <c r="FDA411" s="268"/>
      <c r="FDB411" s="268"/>
      <c r="FDC411" s="268"/>
      <c r="FDD411" s="268"/>
      <c r="FDE411" s="268"/>
      <c r="FDF411" s="268"/>
      <c r="FDG411" s="268"/>
      <c r="FDH411" s="268"/>
      <c r="FDI411" s="268"/>
      <c r="FDJ411" s="268"/>
      <c r="FDK411" s="268"/>
      <c r="FDL411" s="268"/>
      <c r="FDM411" s="268"/>
      <c r="FDN411" s="268"/>
      <c r="FDO411" s="268"/>
      <c r="FDP411" s="268"/>
      <c r="FDQ411" s="268"/>
      <c r="FDR411" s="268"/>
      <c r="FDS411" s="268"/>
      <c r="FDT411" s="268"/>
      <c r="FDU411" s="268"/>
      <c r="FDV411" s="268"/>
      <c r="FDW411" s="268"/>
      <c r="FDX411" s="268"/>
      <c r="FDY411" s="268"/>
      <c r="FDZ411" s="268"/>
      <c r="FEA411" s="268"/>
      <c r="FEB411" s="268"/>
      <c r="FEC411" s="268"/>
      <c r="FED411" s="268"/>
      <c r="FEE411" s="268"/>
      <c r="FEF411" s="268"/>
      <c r="FEG411" s="268"/>
      <c r="FEH411" s="268"/>
      <c r="FEI411" s="268"/>
      <c r="FEJ411" s="268"/>
      <c r="FEK411" s="268"/>
      <c r="FEL411" s="268"/>
      <c r="FEM411" s="268"/>
      <c r="FEN411" s="268"/>
      <c r="FEO411" s="268"/>
      <c r="FEP411" s="268"/>
      <c r="FEQ411" s="268"/>
      <c r="FER411" s="268"/>
      <c r="FES411" s="268"/>
      <c r="FET411" s="268"/>
      <c r="FEU411" s="268"/>
      <c r="FEV411" s="268"/>
      <c r="FEW411" s="268"/>
      <c r="FEX411" s="268"/>
      <c r="FEY411" s="268"/>
      <c r="FEZ411" s="268"/>
      <c r="FFA411" s="268"/>
      <c r="FFB411" s="268"/>
      <c r="FFC411" s="268"/>
      <c r="FFD411" s="268"/>
      <c r="FFE411" s="268"/>
      <c r="FFF411" s="268"/>
      <c r="FFG411" s="268"/>
      <c r="FFH411" s="268"/>
      <c r="FFI411" s="268"/>
      <c r="FFJ411" s="268"/>
      <c r="FFK411" s="268"/>
      <c r="FFL411" s="268"/>
      <c r="FFM411" s="268"/>
      <c r="FFN411" s="268"/>
      <c r="FFO411" s="268"/>
      <c r="FFP411" s="268"/>
      <c r="FFQ411" s="268"/>
      <c r="FFR411" s="268"/>
      <c r="FFS411" s="268"/>
      <c r="FFT411" s="268"/>
      <c r="FFU411" s="268"/>
      <c r="FFV411" s="268"/>
      <c r="FFW411" s="268"/>
      <c r="FFX411" s="268"/>
      <c r="FFY411" s="268"/>
      <c r="FFZ411" s="268"/>
      <c r="FGA411" s="268"/>
      <c r="FGB411" s="268"/>
      <c r="FGC411" s="268"/>
      <c r="FGD411" s="268"/>
      <c r="FGE411" s="268"/>
      <c r="FGF411" s="268"/>
      <c r="FGG411" s="268"/>
      <c r="FGH411" s="268"/>
      <c r="FGI411" s="268"/>
      <c r="FGJ411" s="268"/>
      <c r="FGK411" s="268"/>
      <c r="FGL411" s="268"/>
      <c r="FGM411" s="268"/>
      <c r="FGN411" s="268"/>
      <c r="FGO411" s="268"/>
      <c r="FGP411" s="268"/>
      <c r="FGQ411" s="268"/>
      <c r="FGR411" s="268"/>
      <c r="FGS411" s="268"/>
      <c r="FGT411" s="268"/>
      <c r="FGU411" s="268"/>
      <c r="FGV411" s="268"/>
      <c r="FGW411" s="268"/>
      <c r="FGX411" s="268"/>
      <c r="FGY411" s="268"/>
      <c r="FGZ411" s="268"/>
      <c r="FHA411" s="268"/>
      <c r="FHB411" s="268"/>
      <c r="FHC411" s="268"/>
      <c r="FHD411" s="268"/>
      <c r="FHE411" s="268"/>
      <c r="FHF411" s="268"/>
      <c r="FHG411" s="268"/>
      <c r="FHH411" s="268"/>
      <c r="FHI411" s="268"/>
      <c r="FHJ411" s="268"/>
      <c r="FHK411" s="268"/>
      <c r="FHL411" s="268"/>
      <c r="FHM411" s="268"/>
      <c r="FHN411" s="268"/>
      <c r="FHO411" s="268"/>
      <c r="FHP411" s="268"/>
      <c r="FHQ411" s="268"/>
      <c r="FHR411" s="268"/>
      <c r="FHS411" s="268"/>
      <c r="FHT411" s="268"/>
      <c r="FHU411" s="268"/>
      <c r="FHV411" s="268"/>
      <c r="FHW411" s="268"/>
      <c r="FHX411" s="268"/>
      <c r="FHY411" s="268"/>
      <c r="FHZ411" s="268"/>
      <c r="FIA411" s="268"/>
      <c r="FIB411" s="268"/>
      <c r="FIC411" s="268"/>
      <c r="FID411" s="268"/>
      <c r="FIE411" s="268"/>
      <c r="FIF411" s="268"/>
      <c r="FIG411" s="268"/>
      <c r="FIH411" s="268"/>
      <c r="FII411" s="268"/>
      <c r="FIJ411" s="268"/>
      <c r="FIK411" s="268"/>
      <c r="FIL411" s="268"/>
      <c r="FIM411" s="268"/>
      <c r="FIN411" s="268"/>
      <c r="FIO411" s="268"/>
      <c r="FIP411" s="268"/>
      <c r="FIQ411" s="268"/>
      <c r="FIR411" s="268"/>
      <c r="FIS411" s="268"/>
      <c r="FIT411" s="268"/>
      <c r="FIU411" s="268"/>
      <c r="FIV411" s="268"/>
      <c r="FIW411" s="268"/>
      <c r="FIX411" s="268"/>
      <c r="FIY411" s="268"/>
      <c r="FIZ411" s="268"/>
      <c r="FJA411" s="268"/>
      <c r="FJB411" s="268"/>
      <c r="FJC411" s="268"/>
      <c r="FJD411" s="268"/>
      <c r="FJE411" s="268"/>
      <c r="FJF411" s="268"/>
      <c r="FJG411" s="268"/>
      <c r="FJH411" s="268"/>
      <c r="FJI411" s="268"/>
      <c r="FJJ411" s="268"/>
      <c r="FJK411" s="268"/>
      <c r="FJL411" s="268"/>
      <c r="FJM411" s="268"/>
      <c r="FJN411" s="268"/>
      <c r="FJO411" s="268"/>
      <c r="FJP411" s="268"/>
      <c r="FJQ411" s="268"/>
      <c r="FJR411" s="268"/>
      <c r="FJS411" s="268"/>
      <c r="FJT411" s="268"/>
      <c r="FJU411" s="268"/>
      <c r="FJV411" s="268"/>
      <c r="FJW411" s="268"/>
      <c r="FJX411" s="268"/>
      <c r="FJY411" s="268"/>
      <c r="FJZ411" s="268"/>
      <c r="FKA411" s="268"/>
      <c r="FKO411" s="268"/>
      <c r="FKP411" s="268"/>
      <c r="FKQ411" s="268"/>
      <c r="FLE411" s="268"/>
      <c r="FLG411" s="268"/>
      <c r="FLH411" s="268"/>
      <c r="FLI411" s="268"/>
      <c r="FLJ411" s="268"/>
      <c r="FLK411" s="268"/>
      <c r="FLL411" s="268"/>
      <c r="FLM411" s="268"/>
      <c r="FLN411" s="268"/>
      <c r="FLO411" s="268"/>
      <c r="FLP411" s="268"/>
      <c r="FLQ411" s="268"/>
      <c r="FLR411" s="268"/>
      <c r="FLS411" s="268"/>
      <c r="FLT411" s="268"/>
      <c r="FLU411" s="268"/>
      <c r="FLV411" s="268"/>
      <c r="FLW411" s="268"/>
      <c r="FLX411" s="268"/>
      <c r="FLY411" s="268"/>
      <c r="FLZ411" s="268"/>
      <c r="FMA411" s="268"/>
      <c r="FMB411" s="268"/>
      <c r="FMC411" s="268"/>
      <c r="FMD411" s="268"/>
      <c r="FME411" s="268"/>
      <c r="FMF411" s="268"/>
      <c r="FMG411" s="268"/>
      <c r="FMH411" s="268"/>
      <c r="FMI411" s="268"/>
      <c r="FMJ411" s="268"/>
      <c r="FMK411" s="268"/>
      <c r="FML411" s="268"/>
      <c r="FMM411" s="268"/>
      <c r="FMN411" s="268"/>
      <c r="FMO411" s="268"/>
      <c r="FMP411" s="268"/>
      <c r="FMQ411" s="268"/>
      <c r="FMR411" s="268"/>
      <c r="FMS411" s="268"/>
      <c r="FMT411" s="268"/>
      <c r="FMU411" s="268"/>
      <c r="FMV411" s="268"/>
      <c r="FMW411" s="268"/>
      <c r="FMX411" s="268"/>
      <c r="FMY411" s="268"/>
      <c r="FMZ411" s="268"/>
      <c r="FNA411" s="268"/>
      <c r="FNB411" s="268"/>
      <c r="FNC411" s="268"/>
      <c r="FND411" s="268"/>
      <c r="FNE411" s="268"/>
      <c r="FNF411" s="268"/>
      <c r="FNG411" s="268"/>
      <c r="FNH411" s="268"/>
      <c r="FNI411" s="268"/>
      <c r="FNJ411" s="268"/>
      <c r="FNK411" s="268"/>
      <c r="FNL411" s="268"/>
      <c r="FNM411" s="268"/>
      <c r="FNN411" s="268"/>
      <c r="FNO411" s="268"/>
      <c r="FNP411" s="268"/>
      <c r="FNQ411" s="268"/>
      <c r="FNR411" s="268"/>
      <c r="FNS411" s="268"/>
      <c r="FNT411" s="268"/>
      <c r="FNU411" s="268"/>
      <c r="FNV411" s="268"/>
      <c r="FNW411" s="268"/>
      <c r="FNX411" s="268"/>
      <c r="FNY411" s="268"/>
      <c r="FNZ411" s="268"/>
      <c r="FOA411" s="268"/>
      <c r="FOB411" s="268"/>
      <c r="FOC411" s="268"/>
      <c r="FOD411" s="268"/>
      <c r="FOE411" s="268"/>
      <c r="FOF411" s="268"/>
      <c r="FOG411" s="268"/>
      <c r="FOH411" s="268"/>
      <c r="FOI411" s="268"/>
      <c r="FOJ411" s="268"/>
      <c r="FOK411" s="268"/>
      <c r="FOL411" s="268"/>
      <c r="FOM411" s="268"/>
      <c r="FON411" s="268"/>
      <c r="FOO411" s="268"/>
      <c r="FOP411" s="268"/>
      <c r="FOQ411" s="268"/>
      <c r="FOR411" s="268"/>
      <c r="FOS411" s="268"/>
      <c r="FOT411" s="268"/>
      <c r="FOU411" s="268"/>
      <c r="FOV411" s="268"/>
      <c r="FOW411" s="268"/>
      <c r="FOX411" s="268"/>
      <c r="FOY411" s="268"/>
      <c r="FOZ411" s="268"/>
      <c r="FPA411" s="268"/>
      <c r="FPB411" s="268"/>
      <c r="FPC411" s="268"/>
      <c r="FPD411" s="268"/>
      <c r="FPE411" s="268"/>
      <c r="FPF411" s="268"/>
      <c r="FPG411" s="268"/>
      <c r="FPH411" s="268"/>
      <c r="FPI411" s="268"/>
      <c r="FPJ411" s="268"/>
      <c r="FPK411" s="268"/>
      <c r="FPL411" s="268"/>
      <c r="FPM411" s="268"/>
      <c r="FPN411" s="268"/>
      <c r="FPO411" s="268"/>
      <c r="FPP411" s="268"/>
      <c r="FPQ411" s="268"/>
      <c r="FPR411" s="268"/>
      <c r="FPS411" s="268"/>
      <c r="FPT411" s="268"/>
      <c r="FPU411" s="268"/>
      <c r="FPV411" s="268"/>
      <c r="FPW411" s="268"/>
      <c r="FPX411" s="268"/>
      <c r="FPY411" s="268"/>
      <c r="FPZ411" s="268"/>
      <c r="FQA411" s="268"/>
      <c r="FQB411" s="268"/>
      <c r="FQC411" s="268"/>
      <c r="FQD411" s="268"/>
      <c r="FQE411" s="268"/>
      <c r="FQF411" s="268"/>
      <c r="FQG411" s="268"/>
      <c r="FQH411" s="268"/>
      <c r="FQI411" s="268"/>
      <c r="FQJ411" s="268"/>
      <c r="FQK411" s="268"/>
      <c r="FQL411" s="268"/>
      <c r="FQM411" s="268"/>
      <c r="FQN411" s="268"/>
      <c r="FQO411" s="268"/>
      <c r="FQP411" s="268"/>
      <c r="FQQ411" s="268"/>
      <c r="FQR411" s="268"/>
      <c r="FQS411" s="268"/>
      <c r="FQT411" s="268"/>
      <c r="FQU411" s="268"/>
      <c r="FQV411" s="268"/>
      <c r="FQW411" s="268"/>
      <c r="FQX411" s="268"/>
      <c r="FQY411" s="268"/>
      <c r="FQZ411" s="268"/>
      <c r="FRA411" s="268"/>
      <c r="FRB411" s="268"/>
      <c r="FRC411" s="268"/>
      <c r="FRD411" s="268"/>
      <c r="FRE411" s="268"/>
      <c r="FRF411" s="268"/>
      <c r="FRG411" s="268"/>
      <c r="FRH411" s="268"/>
      <c r="FRI411" s="268"/>
      <c r="FRJ411" s="268"/>
      <c r="FRK411" s="268"/>
      <c r="FRL411" s="268"/>
      <c r="FRM411" s="268"/>
      <c r="FRN411" s="268"/>
      <c r="FRO411" s="268"/>
      <c r="FRP411" s="268"/>
      <c r="FRQ411" s="268"/>
      <c r="FRR411" s="268"/>
      <c r="FRS411" s="268"/>
      <c r="FRT411" s="268"/>
      <c r="FRU411" s="268"/>
      <c r="FRV411" s="268"/>
      <c r="FRW411" s="268"/>
      <c r="FRX411" s="268"/>
      <c r="FRY411" s="268"/>
      <c r="FRZ411" s="268"/>
      <c r="FSA411" s="268"/>
      <c r="FSB411" s="268"/>
      <c r="FSC411" s="268"/>
      <c r="FSD411" s="268"/>
      <c r="FSE411" s="268"/>
      <c r="FSF411" s="268"/>
      <c r="FSG411" s="268"/>
      <c r="FSH411" s="268"/>
      <c r="FSI411" s="268"/>
      <c r="FSJ411" s="268"/>
      <c r="FSK411" s="268"/>
      <c r="FSL411" s="268"/>
      <c r="FSM411" s="268"/>
      <c r="FSN411" s="268"/>
      <c r="FSO411" s="268"/>
      <c r="FSP411" s="268"/>
      <c r="FSQ411" s="268"/>
      <c r="FSR411" s="268"/>
      <c r="FSS411" s="268"/>
      <c r="FST411" s="268"/>
      <c r="FSU411" s="268"/>
      <c r="FSV411" s="268"/>
      <c r="FSW411" s="268"/>
      <c r="FSX411" s="268"/>
      <c r="FSY411" s="268"/>
      <c r="FSZ411" s="268"/>
      <c r="FTA411" s="268"/>
      <c r="FTB411" s="268"/>
      <c r="FTC411" s="268"/>
      <c r="FTD411" s="268"/>
      <c r="FTE411" s="268"/>
      <c r="FTF411" s="268"/>
      <c r="FTG411" s="268"/>
      <c r="FTH411" s="268"/>
      <c r="FTI411" s="268"/>
      <c r="FTJ411" s="268"/>
      <c r="FTK411" s="268"/>
      <c r="FTL411" s="268"/>
      <c r="FTM411" s="268"/>
      <c r="FTN411" s="268"/>
      <c r="FTO411" s="268"/>
      <c r="FTP411" s="268"/>
      <c r="FTQ411" s="268"/>
      <c r="FTR411" s="268"/>
      <c r="FTS411" s="268"/>
      <c r="FTT411" s="268"/>
      <c r="FTU411" s="268"/>
      <c r="FTV411" s="268"/>
      <c r="FTW411" s="268"/>
      <c r="FUK411" s="268"/>
      <c r="FUL411" s="268"/>
      <c r="FUM411" s="268"/>
      <c r="FVA411" s="268"/>
      <c r="FVC411" s="268"/>
      <c r="FVD411" s="268"/>
      <c r="FVE411" s="268"/>
      <c r="FVF411" s="268"/>
      <c r="FVG411" s="268"/>
      <c r="FVH411" s="268"/>
      <c r="FVI411" s="268"/>
      <c r="FVJ411" s="268"/>
      <c r="FVK411" s="268"/>
      <c r="FVL411" s="268"/>
      <c r="FVM411" s="268"/>
      <c r="FVN411" s="268"/>
      <c r="FVO411" s="268"/>
      <c r="FVP411" s="268"/>
      <c r="FVQ411" s="268"/>
      <c r="FVR411" s="268"/>
      <c r="FVS411" s="268"/>
      <c r="FVT411" s="268"/>
      <c r="FVU411" s="268"/>
      <c r="FVV411" s="268"/>
      <c r="FVW411" s="268"/>
      <c r="FVX411" s="268"/>
      <c r="FVY411" s="268"/>
      <c r="FVZ411" s="268"/>
      <c r="FWA411" s="268"/>
      <c r="FWB411" s="268"/>
      <c r="FWC411" s="268"/>
      <c r="FWD411" s="268"/>
      <c r="FWE411" s="268"/>
      <c r="FWF411" s="268"/>
      <c r="FWG411" s="268"/>
      <c r="FWH411" s="268"/>
      <c r="FWI411" s="268"/>
      <c r="FWJ411" s="268"/>
      <c r="FWK411" s="268"/>
      <c r="FWL411" s="268"/>
      <c r="FWM411" s="268"/>
      <c r="FWN411" s="268"/>
      <c r="FWO411" s="268"/>
      <c r="FWP411" s="268"/>
      <c r="FWQ411" s="268"/>
      <c r="FWR411" s="268"/>
      <c r="FWS411" s="268"/>
      <c r="FWT411" s="268"/>
      <c r="FWU411" s="268"/>
      <c r="FWV411" s="268"/>
      <c r="FWW411" s="268"/>
      <c r="FWX411" s="268"/>
      <c r="FWY411" s="268"/>
      <c r="FWZ411" s="268"/>
      <c r="FXA411" s="268"/>
      <c r="FXB411" s="268"/>
      <c r="FXC411" s="268"/>
      <c r="FXD411" s="268"/>
      <c r="FXE411" s="268"/>
      <c r="FXF411" s="268"/>
      <c r="FXG411" s="268"/>
      <c r="FXH411" s="268"/>
      <c r="FXI411" s="268"/>
      <c r="FXJ411" s="268"/>
      <c r="FXK411" s="268"/>
      <c r="FXL411" s="268"/>
      <c r="FXM411" s="268"/>
      <c r="FXN411" s="268"/>
      <c r="FXO411" s="268"/>
      <c r="FXP411" s="268"/>
      <c r="FXQ411" s="268"/>
      <c r="FXR411" s="268"/>
      <c r="FXS411" s="268"/>
      <c r="FXT411" s="268"/>
      <c r="FXU411" s="268"/>
      <c r="FXV411" s="268"/>
      <c r="FXW411" s="268"/>
      <c r="FXX411" s="268"/>
      <c r="FXY411" s="268"/>
      <c r="FXZ411" s="268"/>
      <c r="FYA411" s="268"/>
      <c r="FYB411" s="268"/>
      <c r="FYC411" s="268"/>
      <c r="FYD411" s="268"/>
      <c r="FYE411" s="268"/>
      <c r="FYF411" s="268"/>
      <c r="FYG411" s="268"/>
      <c r="FYH411" s="268"/>
      <c r="FYI411" s="268"/>
      <c r="FYJ411" s="268"/>
      <c r="FYK411" s="268"/>
      <c r="FYL411" s="268"/>
      <c r="FYM411" s="268"/>
      <c r="FYN411" s="268"/>
      <c r="FYO411" s="268"/>
      <c r="FYP411" s="268"/>
      <c r="FYQ411" s="268"/>
      <c r="FYR411" s="268"/>
      <c r="FYS411" s="268"/>
      <c r="FYT411" s="268"/>
      <c r="FYU411" s="268"/>
      <c r="FYV411" s="268"/>
      <c r="FYW411" s="268"/>
      <c r="FYX411" s="268"/>
      <c r="FYY411" s="268"/>
      <c r="FYZ411" s="268"/>
      <c r="FZA411" s="268"/>
      <c r="FZB411" s="268"/>
      <c r="FZC411" s="268"/>
      <c r="FZD411" s="268"/>
      <c r="FZE411" s="268"/>
      <c r="FZF411" s="268"/>
      <c r="FZG411" s="268"/>
      <c r="FZH411" s="268"/>
      <c r="FZI411" s="268"/>
      <c r="FZJ411" s="268"/>
      <c r="FZK411" s="268"/>
      <c r="FZL411" s="268"/>
      <c r="FZM411" s="268"/>
      <c r="FZN411" s="268"/>
      <c r="FZO411" s="268"/>
      <c r="FZP411" s="268"/>
      <c r="FZQ411" s="268"/>
      <c r="FZR411" s="268"/>
      <c r="FZS411" s="268"/>
      <c r="FZT411" s="268"/>
      <c r="FZU411" s="268"/>
      <c r="FZV411" s="268"/>
      <c r="FZW411" s="268"/>
      <c r="FZX411" s="268"/>
      <c r="FZY411" s="268"/>
      <c r="FZZ411" s="268"/>
      <c r="GAA411" s="268"/>
      <c r="GAB411" s="268"/>
      <c r="GAC411" s="268"/>
      <c r="GAD411" s="268"/>
      <c r="GAE411" s="268"/>
      <c r="GAF411" s="268"/>
      <c r="GAG411" s="268"/>
      <c r="GAH411" s="268"/>
      <c r="GAI411" s="268"/>
      <c r="GAJ411" s="268"/>
      <c r="GAK411" s="268"/>
      <c r="GAL411" s="268"/>
      <c r="GAM411" s="268"/>
      <c r="GAN411" s="268"/>
      <c r="GAO411" s="268"/>
      <c r="GAP411" s="268"/>
      <c r="GAQ411" s="268"/>
      <c r="GAR411" s="268"/>
      <c r="GAS411" s="268"/>
      <c r="GAT411" s="268"/>
      <c r="GAU411" s="268"/>
      <c r="GAV411" s="268"/>
      <c r="GAW411" s="268"/>
      <c r="GAX411" s="268"/>
      <c r="GAY411" s="268"/>
      <c r="GAZ411" s="268"/>
      <c r="GBA411" s="268"/>
      <c r="GBB411" s="268"/>
      <c r="GBC411" s="268"/>
      <c r="GBD411" s="268"/>
      <c r="GBE411" s="268"/>
      <c r="GBF411" s="268"/>
      <c r="GBG411" s="268"/>
      <c r="GBH411" s="268"/>
      <c r="GBI411" s="268"/>
      <c r="GBJ411" s="268"/>
      <c r="GBK411" s="268"/>
      <c r="GBL411" s="268"/>
      <c r="GBM411" s="268"/>
      <c r="GBN411" s="268"/>
      <c r="GBO411" s="268"/>
      <c r="GBP411" s="268"/>
      <c r="GBQ411" s="268"/>
      <c r="GBR411" s="268"/>
      <c r="GBS411" s="268"/>
      <c r="GBT411" s="268"/>
      <c r="GBU411" s="268"/>
      <c r="GBV411" s="268"/>
      <c r="GBW411" s="268"/>
      <c r="GBX411" s="268"/>
      <c r="GBY411" s="268"/>
      <c r="GBZ411" s="268"/>
      <c r="GCA411" s="268"/>
      <c r="GCB411" s="268"/>
      <c r="GCC411" s="268"/>
      <c r="GCD411" s="268"/>
      <c r="GCE411" s="268"/>
      <c r="GCF411" s="268"/>
      <c r="GCG411" s="268"/>
      <c r="GCH411" s="268"/>
      <c r="GCI411" s="268"/>
      <c r="GCJ411" s="268"/>
      <c r="GCK411" s="268"/>
      <c r="GCL411" s="268"/>
      <c r="GCM411" s="268"/>
      <c r="GCN411" s="268"/>
      <c r="GCO411" s="268"/>
      <c r="GCP411" s="268"/>
      <c r="GCQ411" s="268"/>
      <c r="GCR411" s="268"/>
      <c r="GCS411" s="268"/>
      <c r="GCT411" s="268"/>
      <c r="GCU411" s="268"/>
      <c r="GCV411" s="268"/>
      <c r="GCW411" s="268"/>
      <c r="GCX411" s="268"/>
      <c r="GCY411" s="268"/>
      <c r="GCZ411" s="268"/>
      <c r="GDA411" s="268"/>
      <c r="GDB411" s="268"/>
      <c r="GDC411" s="268"/>
      <c r="GDD411" s="268"/>
      <c r="GDE411" s="268"/>
      <c r="GDF411" s="268"/>
      <c r="GDG411" s="268"/>
      <c r="GDH411" s="268"/>
      <c r="GDI411" s="268"/>
      <c r="GDJ411" s="268"/>
      <c r="GDK411" s="268"/>
      <c r="GDL411" s="268"/>
      <c r="GDM411" s="268"/>
      <c r="GDN411" s="268"/>
      <c r="GDO411" s="268"/>
      <c r="GDP411" s="268"/>
      <c r="GDQ411" s="268"/>
      <c r="GDR411" s="268"/>
      <c r="GDS411" s="268"/>
      <c r="GEG411" s="268"/>
      <c r="GEH411" s="268"/>
      <c r="GEI411" s="268"/>
      <c r="GEW411" s="268"/>
      <c r="GEY411" s="268"/>
      <c r="GEZ411" s="268"/>
      <c r="GFA411" s="268"/>
      <c r="GFB411" s="268"/>
      <c r="GFC411" s="268"/>
      <c r="GFD411" s="268"/>
      <c r="GFE411" s="268"/>
      <c r="GFF411" s="268"/>
      <c r="GFG411" s="268"/>
      <c r="GFH411" s="268"/>
      <c r="GFI411" s="268"/>
      <c r="GFJ411" s="268"/>
      <c r="GFK411" s="268"/>
      <c r="GFL411" s="268"/>
      <c r="GFM411" s="268"/>
      <c r="GFN411" s="268"/>
      <c r="GFO411" s="268"/>
      <c r="GFP411" s="268"/>
      <c r="GFQ411" s="268"/>
      <c r="GFR411" s="268"/>
      <c r="GFS411" s="268"/>
      <c r="GFT411" s="268"/>
      <c r="GFU411" s="268"/>
      <c r="GFV411" s="268"/>
      <c r="GFW411" s="268"/>
      <c r="GFX411" s="268"/>
      <c r="GFY411" s="268"/>
      <c r="GFZ411" s="268"/>
      <c r="GGA411" s="268"/>
      <c r="GGB411" s="268"/>
      <c r="GGC411" s="268"/>
      <c r="GGD411" s="268"/>
      <c r="GGE411" s="268"/>
      <c r="GGF411" s="268"/>
      <c r="GGG411" s="268"/>
      <c r="GGH411" s="268"/>
      <c r="GGI411" s="268"/>
      <c r="GGJ411" s="268"/>
      <c r="GGK411" s="268"/>
      <c r="GGL411" s="268"/>
      <c r="GGM411" s="268"/>
      <c r="GGN411" s="268"/>
      <c r="GGO411" s="268"/>
      <c r="GGP411" s="268"/>
      <c r="GGQ411" s="268"/>
      <c r="GGR411" s="268"/>
      <c r="GGS411" s="268"/>
      <c r="GGT411" s="268"/>
      <c r="GGU411" s="268"/>
      <c r="GGV411" s="268"/>
      <c r="GGW411" s="268"/>
      <c r="GGX411" s="268"/>
      <c r="GGY411" s="268"/>
      <c r="GGZ411" s="268"/>
      <c r="GHA411" s="268"/>
      <c r="GHB411" s="268"/>
      <c r="GHC411" s="268"/>
      <c r="GHD411" s="268"/>
      <c r="GHE411" s="268"/>
      <c r="GHF411" s="268"/>
      <c r="GHG411" s="268"/>
      <c r="GHH411" s="268"/>
      <c r="GHI411" s="268"/>
      <c r="GHJ411" s="268"/>
      <c r="GHK411" s="268"/>
      <c r="GHL411" s="268"/>
      <c r="GHM411" s="268"/>
      <c r="GHN411" s="268"/>
      <c r="GHO411" s="268"/>
      <c r="GHP411" s="268"/>
      <c r="GHQ411" s="268"/>
      <c r="GHR411" s="268"/>
      <c r="GHS411" s="268"/>
      <c r="GHT411" s="268"/>
      <c r="GHU411" s="268"/>
      <c r="GHV411" s="268"/>
      <c r="GHW411" s="268"/>
      <c r="GHX411" s="268"/>
      <c r="GHY411" s="268"/>
      <c r="GHZ411" s="268"/>
      <c r="GIA411" s="268"/>
      <c r="GIB411" s="268"/>
      <c r="GIC411" s="268"/>
      <c r="GID411" s="268"/>
      <c r="GIE411" s="268"/>
      <c r="GIF411" s="268"/>
      <c r="GIG411" s="268"/>
      <c r="GIH411" s="268"/>
      <c r="GII411" s="268"/>
      <c r="GIJ411" s="268"/>
      <c r="GIK411" s="268"/>
      <c r="GIL411" s="268"/>
      <c r="GIM411" s="268"/>
      <c r="GIN411" s="268"/>
      <c r="GIO411" s="268"/>
      <c r="GIP411" s="268"/>
      <c r="GIQ411" s="268"/>
      <c r="GIR411" s="268"/>
      <c r="GIS411" s="268"/>
      <c r="GIT411" s="268"/>
      <c r="GIU411" s="268"/>
      <c r="GIV411" s="268"/>
      <c r="GIW411" s="268"/>
      <c r="GIX411" s="268"/>
      <c r="GIY411" s="268"/>
      <c r="GIZ411" s="268"/>
      <c r="GJA411" s="268"/>
      <c r="GJB411" s="268"/>
      <c r="GJC411" s="268"/>
      <c r="GJD411" s="268"/>
      <c r="GJE411" s="268"/>
      <c r="GJF411" s="268"/>
      <c r="GJG411" s="268"/>
      <c r="GJH411" s="268"/>
      <c r="GJI411" s="268"/>
      <c r="GJJ411" s="268"/>
      <c r="GJK411" s="268"/>
      <c r="GJL411" s="268"/>
      <c r="GJM411" s="268"/>
      <c r="GJN411" s="268"/>
      <c r="GJO411" s="268"/>
      <c r="GJP411" s="268"/>
      <c r="GJQ411" s="268"/>
      <c r="GJR411" s="268"/>
      <c r="GJS411" s="268"/>
      <c r="GJT411" s="268"/>
      <c r="GJU411" s="268"/>
      <c r="GJV411" s="268"/>
      <c r="GJW411" s="268"/>
      <c r="GJX411" s="268"/>
      <c r="GJY411" s="268"/>
      <c r="GJZ411" s="268"/>
      <c r="GKA411" s="268"/>
      <c r="GKB411" s="268"/>
      <c r="GKC411" s="268"/>
      <c r="GKD411" s="268"/>
      <c r="GKE411" s="268"/>
      <c r="GKF411" s="268"/>
      <c r="GKG411" s="268"/>
      <c r="GKH411" s="268"/>
      <c r="GKI411" s="268"/>
      <c r="GKJ411" s="268"/>
      <c r="GKK411" s="268"/>
      <c r="GKL411" s="268"/>
      <c r="GKM411" s="268"/>
      <c r="GKN411" s="268"/>
      <c r="GKO411" s="268"/>
      <c r="GKP411" s="268"/>
      <c r="GKQ411" s="268"/>
      <c r="GKR411" s="268"/>
      <c r="GKS411" s="268"/>
      <c r="GKT411" s="268"/>
      <c r="GKU411" s="268"/>
      <c r="GKV411" s="268"/>
      <c r="GKW411" s="268"/>
      <c r="GKX411" s="268"/>
      <c r="GKY411" s="268"/>
      <c r="GKZ411" s="268"/>
      <c r="GLA411" s="268"/>
      <c r="GLB411" s="268"/>
      <c r="GLC411" s="268"/>
      <c r="GLD411" s="268"/>
      <c r="GLE411" s="268"/>
      <c r="GLF411" s="268"/>
      <c r="GLG411" s="268"/>
      <c r="GLH411" s="268"/>
      <c r="GLI411" s="268"/>
      <c r="GLJ411" s="268"/>
      <c r="GLK411" s="268"/>
      <c r="GLL411" s="268"/>
      <c r="GLM411" s="268"/>
      <c r="GLN411" s="268"/>
      <c r="GLO411" s="268"/>
      <c r="GLP411" s="268"/>
      <c r="GLQ411" s="268"/>
      <c r="GLR411" s="268"/>
      <c r="GLS411" s="268"/>
      <c r="GLT411" s="268"/>
      <c r="GLU411" s="268"/>
      <c r="GLV411" s="268"/>
      <c r="GLW411" s="268"/>
      <c r="GLX411" s="268"/>
      <c r="GLY411" s="268"/>
      <c r="GLZ411" s="268"/>
      <c r="GMA411" s="268"/>
      <c r="GMB411" s="268"/>
      <c r="GMC411" s="268"/>
      <c r="GMD411" s="268"/>
      <c r="GME411" s="268"/>
      <c r="GMF411" s="268"/>
      <c r="GMG411" s="268"/>
      <c r="GMH411" s="268"/>
      <c r="GMI411" s="268"/>
      <c r="GMJ411" s="268"/>
      <c r="GMK411" s="268"/>
      <c r="GML411" s="268"/>
      <c r="GMM411" s="268"/>
      <c r="GMN411" s="268"/>
      <c r="GMO411" s="268"/>
      <c r="GMP411" s="268"/>
      <c r="GMQ411" s="268"/>
      <c r="GMR411" s="268"/>
      <c r="GMS411" s="268"/>
      <c r="GMT411" s="268"/>
      <c r="GMU411" s="268"/>
      <c r="GMV411" s="268"/>
      <c r="GMW411" s="268"/>
      <c r="GMX411" s="268"/>
      <c r="GMY411" s="268"/>
      <c r="GMZ411" s="268"/>
      <c r="GNA411" s="268"/>
      <c r="GNB411" s="268"/>
      <c r="GNC411" s="268"/>
      <c r="GND411" s="268"/>
      <c r="GNE411" s="268"/>
      <c r="GNF411" s="268"/>
      <c r="GNG411" s="268"/>
      <c r="GNH411" s="268"/>
      <c r="GNI411" s="268"/>
      <c r="GNJ411" s="268"/>
      <c r="GNK411" s="268"/>
      <c r="GNL411" s="268"/>
      <c r="GNM411" s="268"/>
      <c r="GNN411" s="268"/>
      <c r="GNO411" s="268"/>
      <c r="GOC411" s="268"/>
      <c r="GOD411" s="268"/>
      <c r="GOE411" s="268"/>
      <c r="GOS411" s="268"/>
      <c r="GOU411" s="268"/>
      <c r="GOV411" s="268"/>
      <c r="GOW411" s="268"/>
      <c r="GOX411" s="268"/>
      <c r="GOY411" s="268"/>
      <c r="GOZ411" s="268"/>
      <c r="GPA411" s="268"/>
      <c r="GPB411" s="268"/>
      <c r="GPC411" s="268"/>
      <c r="GPD411" s="268"/>
      <c r="GPE411" s="268"/>
      <c r="GPF411" s="268"/>
      <c r="GPG411" s="268"/>
      <c r="GPH411" s="268"/>
      <c r="GPI411" s="268"/>
      <c r="GPJ411" s="268"/>
      <c r="GPK411" s="268"/>
      <c r="GPL411" s="268"/>
      <c r="GPM411" s="268"/>
      <c r="GPN411" s="268"/>
      <c r="GPO411" s="268"/>
      <c r="GPP411" s="268"/>
      <c r="GPQ411" s="268"/>
      <c r="GPR411" s="268"/>
      <c r="GPS411" s="268"/>
      <c r="GPT411" s="268"/>
      <c r="GPU411" s="268"/>
      <c r="GPV411" s="268"/>
      <c r="GPW411" s="268"/>
      <c r="GPX411" s="268"/>
      <c r="GPY411" s="268"/>
      <c r="GPZ411" s="268"/>
      <c r="GQA411" s="268"/>
      <c r="GQB411" s="268"/>
      <c r="GQC411" s="268"/>
      <c r="GQD411" s="268"/>
      <c r="GQE411" s="268"/>
      <c r="GQF411" s="268"/>
      <c r="GQG411" s="268"/>
      <c r="GQH411" s="268"/>
      <c r="GQI411" s="268"/>
      <c r="GQJ411" s="268"/>
      <c r="GQK411" s="268"/>
      <c r="GQL411" s="268"/>
      <c r="GQM411" s="268"/>
      <c r="GQN411" s="268"/>
      <c r="GQO411" s="268"/>
      <c r="GQP411" s="268"/>
      <c r="GQQ411" s="268"/>
      <c r="GQR411" s="268"/>
      <c r="GQS411" s="268"/>
      <c r="GQT411" s="268"/>
      <c r="GQU411" s="268"/>
      <c r="GQV411" s="268"/>
      <c r="GQW411" s="268"/>
      <c r="GQX411" s="268"/>
      <c r="GQY411" s="268"/>
      <c r="GQZ411" s="268"/>
      <c r="GRA411" s="268"/>
      <c r="GRB411" s="268"/>
      <c r="GRC411" s="268"/>
      <c r="GRD411" s="268"/>
      <c r="GRE411" s="268"/>
      <c r="GRF411" s="268"/>
      <c r="GRG411" s="268"/>
      <c r="GRH411" s="268"/>
      <c r="GRI411" s="268"/>
      <c r="GRJ411" s="268"/>
      <c r="GRK411" s="268"/>
      <c r="GRL411" s="268"/>
      <c r="GRM411" s="268"/>
      <c r="GRN411" s="268"/>
      <c r="GRO411" s="268"/>
      <c r="GRP411" s="268"/>
      <c r="GRQ411" s="268"/>
      <c r="GRR411" s="268"/>
      <c r="GRS411" s="268"/>
      <c r="GRT411" s="268"/>
      <c r="GRU411" s="268"/>
      <c r="GRV411" s="268"/>
      <c r="GRW411" s="268"/>
      <c r="GRX411" s="268"/>
      <c r="GRY411" s="268"/>
      <c r="GRZ411" s="268"/>
      <c r="GSA411" s="268"/>
      <c r="GSB411" s="268"/>
      <c r="GSC411" s="268"/>
      <c r="GSD411" s="268"/>
      <c r="GSE411" s="268"/>
      <c r="GSF411" s="268"/>
      <c r="GSG411" s="268"/>
      <c r="GSH411" s="268"/>
      <c r="GSI411" s="268"/>
      <c r="GSJ411" s="268"/>
      <c r="GSK411" s="268"/>
      <c r="GSL411" s="268"/>
      <c r="GSM411" s="268"/>
      <c r="GSN411" s="268"/>
      <c r="GSO411" s="268"/>
      <c r="GSP411" s="268"/>
      <c r="GSQ411" s="268"/>
      <c r="GSR411" s="268"/>
      <c r="GSS411" s="268"/>
      <c r="GST411" s="268"/>
      <c r="GSU411" s="268"/>
      <c r="GSV411" s="268"/>
      <c r="GSW411" s="268"/>
      <c r="GSX411" s="268"/>
      <c r="GSY411" s="268"/>
      <c r="GSZ411" s="268"/>
      <c r="GTA411" s="268"/>
      <c r="GTB411" s="268"/>
      <c r="GTC411" s="268"/>
      <c r="GTD411" s="268"/>
      <c r="GTE411" s="268"/>
      <c r="GTF411" s="268"/>
      <c r="GTG411" s="268"/>
      <c r="GTH411" s="268"/>
      <c r="GTI411" s="268"/>
      <c r="GTJ411" s="268"/>
      <c r="GTK411" s="268"/>
      <c r="GTL411" s="268"/>
      <c r="GTM411" s="268"/>
      <c r="GTN411" s="268"/>
      <c r="GTO411" s="268"/>
      <c r="GTP411" s="268"/>
      <c r="GTQ411" s="268"/>
      <c r="GTR411" s="268"/>
      <c r="GTS411" s="268"/>
      <c r="GTT411" s="268"/>
      <c r="GTU411" s="268"/>
      <c r="GTV411" s="268"/>
      <c r="GTW411" s="268"/>
      <c r="GTX411" s="268"/>
      <c r="GTY411" s="268"/>
      <c r="GTZ411" s="268"/>
      <c r="GUA411" s="268"/>
      <c r="GUB411" s="268"/>
      <c r="GUC411" s="268"/>
      <c r="GUD411" s="268"/>
      <c r="GUE411" s="268"/>
      <c r="GUF411" s="268"/>
      <c r="GUG411" s="268"/>
      <c r="GUH411" s="268"/>
      <c r="GUI411" s="268"/>
      <c r="GUJ411" s="268"/>
      <c r="GUK411" s="268"/>
      <c r="GUL411" s="268"/>
      <c r="GUM411" s="268"/>
      <c r="GUN411" s="268"/>
      <c r="GUO411" s="268"/>
      <c r="GUP411" s="268"/>
      <c r="GUQ411" s="268"/>
      <c r="GUR411" s="268"/>
      <c r="GUS411" s="268"/>
      <c r="GUT411" s="268"/>
      <c r="GUU411" s="268"/>
      <c r="GUV411" s="268"/>
      <c r="GUW411" s="268"/>
      <c r="GUX411" s="268"/>
      <c r="GUY411" s="268"/>
      <c r="GUZ411" s="268"/>
      <c r="GVA411" s="268"/>
      <c r="GVB411" s="268"/>
      <c r="GVC411" s="268"/>
      <c r="GVD411" s="268"/>
      <c r="GVE411" s="268"/>
      <c r="GVF411" s="268"/>
      <c r="GVG411" s="268"/>
      <c r="GVH411" s="268"/>
      <c r="GVI411" s="268"/>
      <c r="GVJ411" s="268"/>
      <c r="GVK411" s="268"/>
      <c r="GVL411" s="268"/>
      <c r="GVM411" s="268"/>
      <c r="GVN411" s="268"/>
      <c r="GVO411" s="268"/>
      <c r="GVP411" s="268"/>
      <c r="GVQ411" s="268"/>
      <c r="GVR411" s="268"/>
      <c r="GVS411" s="268"/>
      <c r="GVT411" s="268"/>
      <c r="GVU411" s="268"/>
      <c r="GVV411" s="268"/>
      <c r="GVW411" s="268"/>
      <c r="GVX411" s="268"/>
      <c r="GVY411" s="268"/>
      <c r="GVZ411" s="268"/>
      <c r="GWA411" s="268"/>
      <c r="GWB411" s="268"/>
      <c r="GWC411" s="268"/>
      <c r="GWD411" s="268"/>
      <c r="GWE411" s="268"/>
      <c r="GWF411" s="268"/>
      <c r="GWG411" s="268"/>
      <c r="GWH411" s="268"/>
      <c r="GWI411" s="268"/>
      <c r="GWJ411" s="268"/>
      <c r="GWK411" s="268"/>
      <c r="GWL411" s="268"/>
      <c r="GWM411" s="268"/>
      <c r="GWN411" s="268"/>
      <c r="GWO411" s="268"/>
      <c r="GWP411" s="268"/>
      <c r="GWQ411" s="268"/>
      <c r="GWR411" s="268"/>
      <c r="GWS411" s="268"/>
      <c r="GWT411" s="268"/>
      <c r="GWU411" s="268"/>
      <c r="GWV411" s="268"/>
      <c r="GWW411" s="268"/>
      <c r="GWX411" s="268"/>
      <c r="GWY411" s="268"/>
      <c r="GWZ411" s="268"/>
      <c r="GXA411" s="268"/>
      <c r="GXB411" s="268"/>
      <c r="GXC411" s="268"/>
      <c r="GXD411" s="268"/>
      <c r="GXE411" s="268"/>
      <c r="GXF411" s="268"/>
      <c r="GXG411" s="268"/>
      <c r="GXH411" s="268"/>
      <c r="GXI411" s="268"/>
      <c r="GXJ411" s="268"/>
      <c r="GXK411" s="268"/>
      <c r="GXY411" s="268"/>
      <c r="GXZ411" s="268"/>
      <c r="GYA411" s="268"/>
      <c r="GYO411" s="268"/>
      <c r="GYQ411" s="268"/>
      <c r="GYR411" s="268"/>
      <c r="GYS411" s="268"/>
      <c r="GYT411" s="268"/>
      <c r="GYU411" s="268"/>
      <c r="GYV411" s="268"/>
      <c r="GYW411" s="268"/>
      <c r="GYX411" s="268"/>
      <c r="GYY411" s="268"/>
      <c r="GYZ411" s="268"/>
      <c r="GZA411" s="268"/>
      <c r="GZB411" s="268"/>
      <c r="GZC411" s="268"/>
      <c r="GZD411" s="268"/>
      <c r="GZE411" s="268"/>
      <c r="GZF411" s="268"/>
      <c r="GZG411" s="268"/>
      <c r="GZH411" s="268"/>
      <c r="GZI411" s="268"/>
      <c r="GZJ411" s="268"/>
      <c r="GZK411" s="268"/>
      <c r="GZL411" s="268"/>
      <c r="GZM411" s="268"/>
      <c r="GZN411" s="268"/>
      <c r="GZO411" s="268"/>
      <c r="GZP411" s="268"/>
      <c r="GZQ411" s="268"/>
      <c r="GZR411" s="268"/>
      <c r="GZS411" s="268"/>
      <c r="GZT411" s="268"/>
      <c r="GZU411" s="268"/>
      <c r="GZV411" s="268"/>
      <c r="GZW411" s="268"/>
      <c r="GZX411" s="268"/>
      <c r="GZY411" s="268"/>
      <c r="GZZ411" s="268"/>
      <c r="HAA411" s="268"/>
      <c r="HAB411" s="268"/>
      <c r="HAC411" s="268"/>
      <c r="HAD411" s="268"/>
      <c r="HAE411" s="268"/>
      <c r="HAF411" s="268"/>
      <c r="HAG411" s="268"/>
      <c r="HAH411" s="268"/>
      <c r="HAI411" s="268"/>
      <c r="HAJ411" s="268"/>
      <c r="HAK411" s="268"/>
      <c r="HAL411" s="268"/>
      <c r="HAM411" s="268"/>
      <c r="HAN411" s="268"/>
      <c r="HAO411" s="268"/>
      <c r="HAP411" s="268"/>
      <c r="HAQ411" s="268"/>
      <c r="HAR411" s="268"/>
      <c r="HAS411" s="268"/>
      <c r="HAT411" s="268"/>
      <c r="HAU411" s="268"/>
      <c r="HAV411" s="268"/>
      <c r="HAW411" s="268"/>
      <c r="HAX411" s="268"/>
      <c r="HAY411" s="268"/>
      <c r="HAZ411" s="268"/>
      <c r="HBA411" s="268"/>
      <c r="HBB411" s="268"/>
      <c r="HBC411" s="268"/>
      <c r="HBD411" s="268"/>
      <c r="HBE411" s="268"/>
      <c r="HBF411" s="268"/>
      <c r="HBG411" s="268"/>
      <c r="HBH411" s="268"/>
      <c r="HBI411" s="268"/>
      <c r="HBJ411" s="268"/>
      <c r="HBK411" s="268"/>
      <c r="HBL411" s="268"/>
      <c r="HBM411" s="268"/>
      <c r="HBN411" s="268"/>
      <c r="HBO411" s="268"/>
      <c r="HBP411" s="268"/>
      <c r="HBQ411" s="268"/>
      <c r="HBR411" s="268"/>
      <c r="HBS411" s="268"/>
      <c r="HBT411" s="268"/>
      <c r="HBU411" s="268"/>
      <c r="HBV411" s="268"/>
      <c r="HBW411" s="268"/>
      <c r="HBX411" s="268"/>
      <c r="HBY411" s="268"/>
      <c r="HBZ411" s="268"/>
      <c r="HCA411" s="268"/>
      <c r="HCB411" s="268"/>
      <c r="HCC411" s="268"/>
      <c r="HCD411" s="268"/>
      <c r="HCE411" s="268"/>
      <c r="HCF411" s="268"/>
      <c r="HCG411" s="268"/>
      <c r="HCH411" s="268"/>
      <c r="HCI411" s="268"/>
      <c r="HCJ411" s="268"/>
      <c r="HCK411" s="268"/>
      <c r="HCL411" s="268"/>
      <c r="HCM411" s="268"/>
      <c r="HCN411" s="268"/>
      <c r="HCO411" s="268"/>
      <c r="HCP411" s="268"/>
      <c r="HCQ411" s="268"/>
      <c r="HCR411" s="268"/>
      <c r="HCS411" s="268"/>
      <c r="HCT411" s="268"/>
      <c r="HCU411" s="268"/>
      <c r="HCV411" s="268"/>
      <c r="HCW411" s="268"/>
      <c r="HCX411" s="268"/>
      <c r="HCY411" s="268"/>
      <c r="HCZ411" s="268"/>
      <c r="HDA411" s="268"/>
      <c r="HDB411" s="268"/>
      <c r="HDC411" s="268"/>
      <c r="HDD411" s="268"/>
      <c r="HDE411" s="268"/>
      <c r="HDF411" s="268"/>
      <c r="HDG411" s="268"/>
      <c r="HDH411" s="268"/>
      <c r="HDI411" s="268"/>
      <c r="HDJ411" s="268"/>
      <c r="HDK411" s="268"/>
      <c r="HDL411" s="268"/>
      <c r="HDM411" s="268"/>
      <c r="HDN411" s="268"/>
      <c r="HDO411" s="268"/>
      <c r="HDP411" s="268"/>
      <c r="HDQ411" s="268"/>
      <c r="HDR411" s="268"/>
      <c r="HDS411" s="268"/>
      <c r="HDT411" s="268"/>
      <c r="HDU411" s="268"/>
      <c r="HDV411" s="268"/>
      <c r="HDW411" s="268"/>
      <c r="HDX411" s="268"/>
      <c r="HDY411" s="268"/>
      <c r="HDZ411" s="268"/>
      <c r="HEA411" s="268"/>
      <c r="HEB411" s="268"/>
      <c r="HEC411" s="268"/>
      <c r="HED411" s="268"/>
      <c r="HEE411" s="268"/>
      <c r="HEF411" s="268"/>
      <c r="HEG411" s="268"/>
      <c r="HEH411" s="268"/>
      <c r="HEI411" s="268"/>
      <c r="HEJ411" s="268"/>
      <c r="HEK411" s="268"/>
      <c r="HEL411" s="268"/>
      <c r="HEM411" s="268"/>
      <c r="HEN411" s="268"/>
      <c r="HEO411" s="268"/>
      <c r="HEP411" s="268"/>
      <c r="HEQ411" s="268"/>
      <c r="HER411" s="268"/>
      <c r="HES411" s="268"/>
      <c r="HET411" s="268"/>
      <c r="HEU411" s="268"/>
      <c r="HEV411" s="268"/>
      <c r="HEW411" s="268"/>
      <c r="HEX411" s="268"/>
      <c r="HEY411" s="268"/>
      <c r="HEZ411" s="268"/>
      <c r="HFA411" s="268"/>
      <c r="HFB411" s="268"/>
      <c r="HFC411" s="268"/>
      <c r="HFD411" s="268"/>
      <c r="HFE411" s="268"/>
      <c r="HFF411" s="268"/>
      <c r="HFG411" s="268"/>
      <c r="HFH411" s="268"/>
      <c r="HFI411" s="268"/>
      <c r="HFJ411" s="268"/>
      <c r="HFK411" s="268"/>
      <c r="HFL411" s="268"/>
      <c r="HFM411" s="268"/>
      <c r="HFN411" s="268"/>
      <c r="HFO411" s="268"/>
      <c r="HFP411" s="268"/>
      <c r="HFQ411" s="268"/>
      <c r="HFR411" s="268"/>
      <c r="HFS411" s="268"/>
      <c r="HFT411" s="268"/>
      <c r="HFU411" s="268"/>
      <c r="HFV411" s="268"/>
      <c r="HFW411" s="268"/>
      <c r="HFX411" s="268"/>
      <c r="HFY411" s="268"/>
      <c r="HFZ411" s="268"/>
      <c r="HGA411" s="268"/>
      <c r="HGB411" s="268"/>
      <c r="HGC411" s="268"/>
      <c r="HGD411" s="268"/>
      <c r="HGE411" s="268"/>
      <c r="HGF411" s="268"/>
      <c r="HGG411" s="268"/>
      <c r="HGH411" s="268"/>
      <c r="HGI411" s="268"/>
      <c r="HGJ411" s="268"/>
      <c r="HGK411" s="268"/>
      <c r="HGL411" s="268"/>
      <c r="HGM411" s="268"/>
      <c r="HGN411" s="268"/>
      <c r="HGO411" s="268"/>
      <c r="HGP411" s="268"/>
      <c r="HGQ411" s="268"/>
      <c r="HGR411" s="268"/>
      <c r="HGS411" s="268"/>
      <c r="HGT411" s="268"/>
      <c r="HGU411" s="268"/>
      <c r="HGV411" s="268"/>
      <c r="HGW411" s="268"/>
      <c r="HGX411" s="268"/>
      <c r="HGY411" s="268"/>
      <c r="HGZ411" s="268"/>
      <c r="HHA411" s="268"/>
      <c r="HHB411" s="268"/>
      <c r="HHC411" s="268"/>
      <c r="HHD411" s="268"/>
      <c r="HHE411" s="268"/>
      <c r="HHF411" s="268"/>
      <c r="HHG411" s="268"/>
      <c r="HHU411" s="268"/>
      <c r="HHV411" s="268"/>
      <c r="HHW411" s="268"/>
      <c r="HIK411" s="268"/>
      <c r="HIM411" s="268"/>
      <c r="HIN411" s="268"/>
      <c r="HIO411" s="268"/>
      <c r="HIP411" s="268"/>
      <c r="HIQ411" s="268"/>
      <c r="HIR411" s="268"/>
      <c r="HIS411" s="268"/>
      <c r="HIT411" s="268"/>
      <c r="HIU411" s="268"/>
      <c r="HIV411" s="268"/>
      <c r="HIW411" s="268"/>
      <c r="HIX411" s="268"/>
      <c r="HIY411" s="268"/>
      <c r="HIZ411" s="268"/>
      <c r="HJA411" s="268"/>
      <c r="HJB411" s="268"/>
      <c r="HJC411" s="268"/>
      <c r="HJD411" s="268"/>
      <c r="HJE411" s="268"/>
      <c r="HJF411" s="268"/>
      <c r="HJG411" s="268"/>
      <c r="HJH411" s="268"/>
      <c r="HJI411" s="268"/>
      <c r="HJJ411" s="268"/>
      <c r="HJK411" s="268"/>
      <c r="HJL411" s="268"/>
      <c r="HJM411" s="268"/>
      <c r="HJN411" s="268"/>
      <c r="HJO411" s="268"/>
      <c r="HJP411" s="268"/>
      <c r="HJQ411" s="268"/>
      <c r="HJR411" s="268"/>
      <c r="HJS411" s="268"/>
      <c r="HJT411" s="268"/>
      <c r="HJU411" s="268"/>
      <c r="HJV411" s="268"/>
      <c r="HJW411" s="268"/>
      <c r="HJX411" s="268"/>
      <c r="HJY411" s="268"/>
      <c r="HJZ411" s="268"/>
      <c r="HKA411" s="268"/>
      <c r="HKB411" s="268"/>
      <c r="HKC411" s="268"/>
      <c r="HKD411" s="268"/>
      <c r="HKE411" s="268"/>
      <c r="HKF411" s="268"/>
      <c r="HKG411" s="268"/>
      <c r="HKH411" s="268"/>
      <c r="HKI411" s="268"/>
      <c r="HKJ411" s="268"/>
      <c r="HKK411" s="268"/>
      <c r="HKL411" s="268"/>
      <c r="HKM411" s="268"/>
      <c r="HKN411" s="268"/>
      <c r="HKO411" s="268"/>
      <c r="HKP411" s="268"/>
      <c r="HKQ411" s="268"/>
      <c r="HKR411" s="268"/>
      <c r="HKS411" s="268"/>
      <c r="HKT411" s="268"/>
      <c r="HKU411" s="268"/>
      <c r="HKV411" s="268"/>
      <c r="HKW411" s="268"/>
      <c r="HKX411" s="268"/>
      <c r="HKY411" s="268"/>
      <c r="HKZ411" s="268"/>
      <c r="HLA411" s="268"/>
      <c r="HLB411" s="268"/>
      <c r="HLC411" s="268"/>
      <c r="HLD411" s="268"/>
      <c r="HLE411" s="268"/>
      <c r="HLF411" s="268"/>
      <c r="HLG411" s="268"/>
      <c r="HLH411" s="268"/>
      <c r="HLI411" s="268"/>
      <c r="HLJ411" s="268"/>
      <c r="HLK411" s="268"/>
      <c r="HLL411" s="268"/>
      <c r="HLM411" s="268"/>
      <c r="HLN411" s="268"/>
      <c r="HLO411" s="268"/>
      <c r="HLP411" s="268"/>
      <c r="HLQ411" s="268"/>
      <c r="HLR411" s="268"/>
      <c r="HLS411" s="268"/>
      <c r="HLT411" s="268"/>
      <c r="HLU411" s="268"/>
      <c r="HLV411" s="268"/>
      <c r="HLW411" s="268"/>
      <c r="HLX411" s="268"/>
      <c r="HLY411" s="268"/>
      <c r="HLZ411" s="268"/>
      <c r="HMA411" s="268"/>
      <c r="HMB411" s="268"/>
      <c r="HMC411" s="268"/>
      <c r="HMD411" s="268"/>
      <c r="HME411" s="268"/>
      <c r="HMF411" s="268"/>
      <c r="HMG411" s="268"/>
      <c r="HMH411" s="268"/>
      <c r="HMI411" s="268"/>
      <c r="HMJ411" s="268"/>
      <c r="HMK411" s="268"/>
      <c r="HML411" s="268"/>
      <c r="HMM411" s="268"/>
      <c r="HMN411" s="268"/>
      <c r="HMO411" s="268"/>
      <c r="HMP411" s="268"/>
      <c r="HMQ411" s="268"/>
      <c r="HMR411" s="268"/>
      <c r="HMS411" s="268"/>
      <c r="HMT411" s="268"/>
      <c r="HMU411" s="268"/>
      <c r="HMV411" s="268"/>
      <c r="HMW411" s="268"/>
      <c r="HMX411" s="268"/>
      <c r="HMY411" s="268"/>
      <c r="HMZ411" s="268"/>
      <c r="HNA411" s="268"/>
      <c r="HNB411" s="268"/>
      <c r="HNC411" s="268"/>
      <c r="HND411" s="268"/>
      <c r="HNE411" s="268"/>
      <c r="HNF411" s="268"/>
      <c r="HNG411" s="268"/>
      <c r="HNH411" s="268"/>
      <c r="HNI411" s="268"/>
      <c r="HNJ411" s="268"/>
      <c r="HNK411" s="268"/>
      <c r="HNL411" s="268"/>
      <c r="HNM411" s="268"/>
      <c r="HNN411" s="268"/>
      <c r="HNO411" s="268"/>
      <c r="HNP411" s="268"/>
      <c r="HNQ411" s="268"/>
      <c r="HNR411" s="268"/>
      <c r="HNS411" s="268"/>
      <c r="HNT411" s="268"/>
      <c r="HNU411" s="268"/>
      <c r="HNV411" s="268"/>
      <c r="HNW411" s="268"/>
      <c r="HNX411" s="268"/>
      <c r="HNY411" s="268"/>
      <c r="HNZ411" s="268"/>
      <c r="HOA411" s="268"/>
      <c r="HOB411" s="268"/>
      <c r="HOC411" s="268"/>
      <c r="HOD411" s="268"/>
      <c r="HOE411" s="268"/>
      <c r="HOF411" s="268"/>
      <c r="HOG411" s="268"/>
      <c r="HOH411" s="268"/>
      <c r="HOI411" s="268"/>
      <c r="HOJ411" s="268"/>
      <c r="HOK411" s="268"/>
      <c r="HOL411" s="268"/>
      <c r="HOM411" s="268"/>
      <c r="HON411" s="268"/>
      <c r="HOO411" s="268"/>
      <c r="HOP411" s="268"/>
      <c r="HOQ411" s="268"/>
      <c r="HOR411" s="268"/>
      <c r="HOS411" s="268"/>
      <c r="HOT411" s="268"/>
      <c r="HOU411" s="268"/>
      <c r="HOV411" s="268"/>
      <c r="HOW411" s="268"/>
      <c r="HOX411" s="268"/>
      <c r="HOY411" s="268"/>
      <c r="HOZ411" s="268"/>
      <c r="HPA411" s="268"/>
      <c r="HPB411" s="268"/>
      <c r="HPC411" s="268"/>
      <c r="HPD411" s="268"/>
      <c r="HPE411" s="268"/>
      <c r="HPF411" s="268"/>
      <c r="HPG411" s="268"/>
      <c r="HPH411" s="268"/>
      <c r="HPI411" s="268"/>
      <c r="HPJ411" s="268"/>
      <c r="HPK411" s="268"/>
      <c r="HPL411" s="268"/>
      <c r="HPM411" s="268"/>
      <c r="HPN411" s="268"/>
      <c r="HPO411" s="268"/>
      <c r="HPP411" s="268"/>
      <c r="HPQ411" s="268"/>
      <c r="HPR411" s="268"/>
      <c r="HPS411" s="268"/>
      <c r="HPT411" s="268"/>
      <c r="HPU411" s="268"/>
      <c r="HPV411" s="268"/>
      <c r="HPW411" s="268"/>
      <c r="HPX411" s="268"/>
      <c r="HPY411" s="268"/>
      <c r="HPZ411" s="268"/>
      <c r="HQA411" s="268"/>
      <c r="HQB411" s="268"/>
      <c r="HQC411" s="268"/>
      <c r="HQD411" s="268"/>
      <c r="HQE411" s="268"/>
      <c r="HQF411" s="268"/>
      <c r="HQG411" s="268"/>
      <c r="HQH411" s="268"/>
      <c r="HQI411" s="268"/>
      <c r="HQJ411" s="268"/>
      <c r="HQK411" s="268"/>
      <c r="HQL411" s="268"/>
      <c r="HQM411" s="268"/>
      <c r="HQN411" s="268"/>
      <c r="HQO411" s="268"/>
      <c r="HQP411" s="268"/>
      <c r="HQQ411" s="268"/>
      <c r="HQR411" s="268"/>
      <c r="HQS411" s="268"/>
      <c r="HQT411" s="268"/>
      <c r="HQU411" s="268"/>
      <c r="HQV411" s="268"/>
      <c r="HQW411" s="268"/>
      <c r="HQX411" s="268"/>
      <c r="HQY411" s="268"/>
      <c r="HQZ411" s="268"/>
      <c r="HRA411" s="268"/>
      <c r="HRB411" s="268"/>
      <c r="HRC411" s="268"/>
      <c r="HRQ411" s="268"/>
      <c r="HRR411" s="268"/>
      <c r="HRS411" s="268"/>
      <c r="HSG411" s="268"/>
      <c r="HSI411" s="268"/>
      <c r="HSJ411" s="268"/>
      <c r="HSK411" s="268"/>
      <c r="HSL411" s="268"/>
      <c r="HSM411" s="268"/>
      <c r="HSN411" s="268"/>
      <c r="HSO411" s="268"/>
      <c r="HSP411" s="268"/>
      <c r="HSQ411" s="268"/>
      <c r="HSR411" s="268"/>
      <c r="HSS411" s="268"/>
      <c r="HST411" s="268"/>
      <c r="HSU411" s="268"/>
      <c r="HSV411" s="268"/>
      <c r="HSW411" s="268"/>
      <c r="HSX411" s="268"/>
      <c r="HSY411" s="268"/>
      <c r="HSZ411" s="268"/>
      <c r="HTA411" s="268"/>
      <c r="HTB411" s="268"/>
      <c r="HTC411" s="268"/>
      <c r="HTD411" s="268"/>
      <c r="HTE411" s="268"/>
      <c r="HTF411" s="268"/>
      <c r="HTG411" s="268"/>
      <c r="HTH411" s="268"/>
      <c r="HTI411" s="268"/>
      <c r="HTJ411" s="268"/>
      <c r="HTK411" s="268"/>
      <c r="HTL411" s="268"/>
      <c r="HTM411" s="268"/>
      <c r="HTN411" s="268"/>
      <c r="HTO411" s="268"/>
      <c r="HTP411" s="268"/>
      <c r="HTQ411" s="268"/>
      <c r="HTR411" s="268"/>
      <c r="HTS411" s="268"/>
      <c r="HTT411" s="268"/>
      <c r="HTU411" s="268"/>
      <c r="HTV411" s="268"/>
      <c r="HTW411" s="268"/>
      <c r="HTX411" s="268"/>
      <c r="HTY411" s="268"/>
      <c r="HTZ411" s="268"/>
      <c r="HUA411" s="268"/>
      <c r="HUB411" s="268"/>
      <c r="HUC411" s="268"/>
      <c r="HUD411" s="268"/>
      <c r="HUE411" s="268"/>
      <c r="HUF411" s="268"/>
      <c r="HUG411" s="268"/>
      <c r="HUH411" s="268"/>
      <c r="HUI411" s="268"/>
      <c r="HUJ411" s="268"/>
      <c r="HUK411" s="268"/>
      <c r="HUL411" s="268"/>
      <c r="HUM411" s="268"/>
      <c r="HUN411" s="268"/>
      <c r="HUO411" s="268"/>
      <c r="HUP411" s="268"/>
      <c r="HUQ411" s="268"/>
      <c r="HUR411" s="268"/>
      <c r="HUS411" s="268"/>
      <c r="HUT411" s="268"/>
      <c r="HUU411" s="268"/>
      <c r="HUV411" s="268"/>
      <c r="HUW411" s="268"/>
      <c r="HUX411" s="268"/>
      <c r="HUY411" s="268"/>
      <c r="HUZ411" s="268"/>
      <c r="HVA411" s="268"/>
      <c r="HVB411" s="268"/>
      <c r="HVC411" s="268"/>
      <c r="HVD411" s="268"/>
      <c r="HVE411" s="268"/>
      <c r="HVF411" s="268"/>
      <c r="HVG411" s="268"/>
      <c r="HVH411" s="268"/>
      <c r="HVI411" s="268"/>
      <c r="HVJ411" s="268"/>
      <c r="HVK411" s="268"/>
      <c r="HVL411" s="268"/>
      <c r="HVM411" s="268"/>
      <c r="HVN411" s="268"/>
      <c r="HVO411" s="268"/>
      <c r="HVP411" s="268"/>
      <c r="HVQ411" s="268"/>
      <c r="HVR411" s="268"/>
      <c r="HVS411" s="268"/>
      <c r="HVT411" s="268"/>
      <c r="HVU411" s="268"/>
      <c r="HVV411" s="268"/>
      <c r="HVW411" s="268"/>
      <c r="HVX411" s="268"/>
      <c r="HVY411" s="268"/>
      <c r="HVZ411" s="268"/>
      <c r="HWA411" s="268"/>
      <c r="HWB411" s="268"/>
      <c r="HWC411" s="268"/>
      <c r="HWD411" s="268"/>
      <c r="HWE411" s="268"/>
      <c r="HWF411" s="268"/>
      <c r="HWG411" s="268"/>
      <c r="HWH411" s="268"/>
      <c r="HWI411" s="268"/>
      <c r="HWJ411" s="268"/>
      <c r="HWK411" s="268"/>
      <c r="HWL411" s="268"/>
      <c r="HWM411" s="268"/>
      <c r="HWN411" s="268"/>
      <c r="HWO411" s="268"/>
      <c r="HWP411" s="268"/>
      <c r="HWQ411" s="268"/>
      <c r="HWR411" s="268"/>
      <c r="HWS411" s="268"/>
      <c r="HWT411" s="268"/>
      <c r="HWU411" s="268"/>
      <c r="HWV411" s="268"/>
      <c r="HWW411" s="268"/>
      <c r="HWX411" s="268"/>
      <c r="HWY411" s="268"/>
      <c r="HWZ411" s="268"/>
      <c r="HXA411" s="268"/>
      <c r="HXB411" s="268"/>
      <c r="HXC411" s="268"/>
      <c r="HXD411" s="268"/>
      <c r="HXE411" s="268"/>
      <c r="HXF411" s="268"/>
      <c r="HXG411" s="268"/>
      <c r="HXH411" s="268"/>
      <c r="HXI411" s="268"/>
      <c r="HXJ411" s="268"/>
      <c r="HXK411" s="268"/>
      <c r="HXL411" s="268"/>
      <c r="HXM411" s="268"/>
      <c r="HXN411" s="268"/>
      <c r="HXO411" s="268"/>
      <c r="HXP411" s="268"/>
      <c r="HXQ411" s="268"/>
      <c r="HXR411" s="268"/>
      <c r="HXS411" s="268"/>
      <c r="HXT411" s="268"/>
      <c r="HXU411" s="268"/>
      <c r="HXV411" s="268"/>
      <c r="HXW411" s="268"/>
      <c r="HXX411" s="268"/>
      <c r="HXY411" s="268"/>
      <c r="HXZ411" s="268"/>
      <c r="HYA411" s="268"/>
      <c r="HYB411" s="268"/>
      <c r="HYC411" s="268"/>
      <c r="HYD411" s="268"/>
      <c r="HYE411" s="268"/>
      <c r="HYF411" s="268"/>
      <c r="HYG411" s="268"/>
      <c r="HYH411" s="268"/>
      <c r="HYI411" s="268"/>
      <c r="HYJ411" s="268"/>
      <c r="HYK411" s="268"/>
      <c r="HYL411" s="268"/>
      <c r="HYM411" s="268"/>
      <c r="HYN411" s="268"/>
      <c r="HYO411" s="268"/>
      <c r="HYP411" s="268"/>
      <c r="HYQ411" s="268"/>
      <c r="HYR411" s="268"/>
      <c r="HYS411" s="268"/>
      <c r="HYT411" s="268"/>
      <c r="HYU411" s="268"/>
      <c r="HYV411" s="268"/>
      <c r="HYW411" s="268"/>
      <c r="HYX411" s="268"/>
      <c r="HYY411" s="268"/>
      <c r="HYZ411" s="268"/>
      <c r="HZA411" s="268"/>
      <c r="HZB411" s="268"/>
      <c r="HZC411" s="268"/>
      <c r="HZD411" s="268"/>
      <c r="HZE411" s="268"/>
      <c r="HZF411" s="268"/>
      <c r="HZG411" s="268"/>
      <c r="HZH411" s="268"/>
      <c r="HZI411" s="268"/>
      <c r="HZJ411" s="268"/>
      <c r="HZK411" s="268"/>
      <c r="HZL411" s="268"/>
      <c r="HZM411" s="268"/>
      <c r="HZN411" s="268"/>
      <c r="HZO411" s="268"/>
      <c r="HZP411" s="268"/>
      <c r="HZQ411" s="268"/>
      <c r="HZR411" s="268"/>
      <c r="HZS411" s="268"/>
      <c r="HZT411" s="268"/>
      <c r="HZU411" s="268"/>
      <c r="HZV411" s="268"/>
      <c r="HZW411" s="268"/>
      <c r="HZX411" s="268"/>
      <c r="HZY411" s="268"/>
      <c r="HZZ411" s="268"/>
      <c r="IAA411" s="268"/>
      <c r="IAB411" s="268"/>
      <c r="IAC411" s="268"/>
      <c r="IAD411" s="268"/>
      <c r="IAE411" s="268"/>
      <c r="IAF411" s="268"/>
      <c r="IAG411" s="268"/>
      <c r="IAH411" s="268"/>
      <c r="IAI411" s="268"/>
      <c r="IAJ411" s="268"/>
      <c r="IAK411" s="268"/>
      <c r="IAL411" s="268"/>
      <c r="IAM411" s="268"/>
      <c r="IAN411" s="268"/>
      <c r="IAO411" s="268"/>
      <c r="IAP411" s="268"/>
      <c r="IAQ411" s="268"/>
      <c r="IAR411" s="268"/>
      <c r="IAS411" s="268"/>
      <c r="IAT411" s="268"/>
      <c r="IAU411" s="268"/>
      <c r="IAV411" s="268"/>
      <c r="IAW411" s="268"/>
      <c r="IAX411" s="268"/>
      <c r="IAY411" s="268"/>
      <c r="IBM411" s="268"/>
      <c r="IBN411" s="268"/>
      <c r="IBO411" s="268"/>
      <c r="ICC411" s="268"/>
      <c r="ICE411" s="268"/>
      <c r="ICF411" s="268"/>
      <c r="ICG411" s="268"/>
      <c r="ICH411" s="268"/>
      <c r="ICI411" s="268"/>
      <c r="ICJ411" s="268"/>
      <c r="ICK411" s="268"/>
      <c r="ICL411" s="268"/>
      <c r="ICM411" s="268"/>
      <c r="ICN411" s="268"/>
      <c r="ICO411" s="268"/>
      <c r="ICP411" s="268"/>
      <c r="ICQ411" s="268"/>
      <c r="ICR411" s="268"/>
      <c r="ICS411" s="268"/>
      <c r="ICT411" s="268"/>
      <c r="ICU411" s="268"/>
      <c r="ICV411" s="268"/>
      <c r="ICW411" s="268"/>
      <c r="ICX411" s="268"/>
      <c r="ICY411" s="268"/>
      <c r="ICZ411" s="268"/>
      <c r="IDA411" s="268"/>
      <c r="IDB411" s="268"/>
      <c r="IDC411" s="268"/>
      <c r="IDD411" s="268"/>
      <c r="IDE411" s="268"/>
      <c r="IDF411" s="268"/>
      <c r="IDG411" s="268"/>
      <c r="IDH411" s="268"/>
      <c r="IDI411" s="268"/>
      <c r="IDJ411" s="268"/>
      <c r="IDK411" s="268"/>
      <c r="IDL411" s="268"/>
      <c r="IDM411" s="268"/>
      <c r="IDN411" s="268"/>
      <c r="IDO411" s="268"/>
      <c r="IDP411" s="268"/>
      <c r="IDQ411" s="268"/>
      <c r="IDR411" s="268"/>
      <c r="IDS411" s="268"/>
      <c r="IDT411" s="268"/>
      <c r="IDU411" s="268"/>
      <c r="IDV411" s="268"/>
      <c r="IDW411" s="268"/>
      <c r="IDX411" s="268"/>
      <c r="IDY411" s="268"/>
      <c r="IDZ411" s="268"/>
      <c r="IEA411" s="268"/>
      <c r="IEB411" s="268"/>
      <c r="IEC411" s="268"/>
      <c r="IED411" s="268"/>
      <c r="IEE411" s="268"/>
      <c r="IEF411" s="268"/>
      <c r="IEG411" s="268"/>
      <c r="IEH411" s="268"/>
      <c r="IEI411" s="268"/>
      <c r="IEJ411" s="268"/>
      <c r="IEK411" s="268"/>
      <c r="IEL411" s="268"/>
      <c r="IEM411" s="268"/>
      <c r="IEN411" s="268"/>
      <c r="IEO411" s="268"/>
      <c r="IEP411" s="268"/>
      <c r="IEQ411" s="268"/>
      <c r="IER411" s="268"/>
      <c r="IES411" s="268"/>
      <c r="IET411" s="268"/>
      <c r="IEU411" s="268"/>
      <c r="IEV411" s="268"/>
      <c r="IEW411" s="268"/>
      <c r="IEX411" s="268"/>
      <c r="IEY411" s="268"/>
      <c r="IEZ411" s="268"/>
      <c r="IFA411" s="268"/>
      <c r="IFB411" s="268"/>
      <c r="IFC411" s="268"/>
      <c r="IFD411" s="268"/>
      <c r="IFE411" s="268"/>
      <c r="IFF411" s="268"/>
      <c r="IFG411" s="268"/>
      <c r="IFH411" s="268"/>
      <c r="IFI411" s="268"/>
      <c r="IFJ411" s="268"/>
      <c r="IFK411" s="268"/>
      <c r="IFL411" s="268"/>
      <c r="IFM411" s="268"/>
      <c r="IFN411" s="268"/>
      <c r="IFO411" s="268"/>
      <c r="IFP411" s="268"/>
      <c r="IFQ411" s="268"/>
      <c r="IFR411" s="268"/>
      <c r="IFS411" s="268"/>
      <c r="IFT411" s="268"/>
      <c r="IFU411" s="268"/>
      <c r="IFV411" s="268"/>
      <c r="IFW411" s="268"/>
      <c r="IFX411" s="268"/>
      <c r="IFY411" s="268"/>
      <c r="IFZ411" s="268"/>
      <c r="IGA411" s="268"/>
      <c r="IGB411" s="268"/>
      <c r="IGC411" s="268"/>
      <c r="IGD411" s="268"/>
      <c r="IGE411" s="268"/>
      <c r="IGF411" s="268"/>
      <c r="IGG411" s="268"/>
      <c r="IGH411" s="268"/>
      <c r="IGI411" s="268"/>
      <c r="IGJ411" s="268"/>
      <c r="IGK411" s="268"/>
      <c r="IGL411" s="268"/>
      <c r="IGM411" s="268"/>
      <c r="IGN411" s="268"/>
      <c r="IGO411" s="268"/>
      <c r="IGP411" s="268"/>
      <c r="IGQ411" s="268"/>
      <c r="IGR411" s="268"/>
      <c r="IGS411" s="268"/>
      <c r="IGT411" s="268"/>
      <c r="IGU411" s="268"/>
      <c r="IGV411" s="268"/>
      <c r="IGW411" s="268"/>
      <c r="IGX411" s="268"/>
      <c r="IGY411" s="268"/>
      <c r="IGZ411" s="268"/>
      <c r="IHA411" s="268"/>
      <c r="IHB411" s="268"/>
      <c r="IHC411" s="268"/>
      <c r="IHD411" s="268"/>
      <c r="IHE411" s="268"/>
      <c r="IHF411" s="268"/>
      <c r="IHG411" s="268"/>
      <c r="IHH411" s="268"/>
      <c r="IHI411" s="268"/>
      <c r="IHJ411" s="268"/>
      <c r="IHK411" s="268"/>
      <c r="IHL411" s="268"/>
      <c r="IHM411" s="268"/>
      <c r="IHN411" s="268"/>
      <c r="IHO411" s="268"/>
      <c r="IHP411" s="268"/>
      <c r="IHQ411" s="268"/>
      <c r="IHR411" s="268"/>
      <c r="IHS411" s="268"/>
      <c r="IHT411" s="268"/>
      <c r="IHU411" s="268"/>
      <c r="IHV411" s="268"/>
      <c r="IHW411" s="268"/>
      <c r="IHX411" s="268"/>
      <c r="IHY411" s="268"/>
      <c r="IHZ411" s="268"/>
      <c r="IIA411" s="268"/>
      <c r="IIB411" s="268"/>
      <c r="IIC411" s="268"/>
      <c r="IID411" s="268"/>
      <c r="IIE411" s="268"/>
      <c r="IIF411" s="268"/>
      <c r="IIG411" s="268"/>
      <c r="IIH411" s="268"/>
      <c r="III411" s="268"/>
      <c r="IIJ411" s="268"/>
      <c r="IIK411" s="268"/>
      <c r="IIL411" s="268"/>
      <c r="IIM411" s="268"/>
      <c r="IIN411" s="268"/>
      <c r="IIO411" s="268"/>
      <c r="IIP411" s="268"/>
      <c r="IIQ411" s="268"/>
      <c r="IIR411" s="268"/>
      <c r="IIS411" s="268"/>
      <c r="IIT411" s="268"/>
      <c r="IIU411" s="268"/>
      <c r="IIV411" s="268"/>
      <c r="IIW411" s="268"/>
      <c r="IIX411" s="268"/>
      <c r="IIY411" s="268"/>
      <c r="IIZ411" s="268"/>
      <c r="IJA411" s="268"/>
      <c r="IJB411" s="268"/>
      <c r="IJC411" s="268"/>
      <c r="IJD411" s="268"/>
      <c r="IJE411" s="268"/>
      <c r="IJF411" s="268"/>
      <c r="IJG411" s="268"/>
      <c r="IJH411" s="268"/>
      <c r="IJI411" s="268"/>
      <c r="IJJ411" s="268"/>
      <c r="IJK411" s="268"/>
      <c r="IJL411" s="268"/>
      <c r="IJM411" s="268"/>
      <c r="IJN411" s="268"/>
      <c r="IJO411" s="268"/>
      <c r="IJP411" s="268"/>
      <c r="IJQ411" s="268"/>
      <c r="IJR411" s="268"/>
      <c r="IJS411" s="268"/>
      <c r="IJT411" s="268"/>
      <c r="IJU411" s="268"/>
      <c r="IJV411" s="268"/>
      <c r="IJW411" s="268"/>
      <c r="IJX411" s="268"/>
      <c r="IJY411" s="268"/>
      <c r="IJZ411" s="268"/>
      <c r="IKA411" s="268"/>
      <c r="IKB411" s="268"/>
      <c r="IKC411" s="268"/>
      <c r="IKD411" s="268"/>
      <c r="IKE411" s="268"/>
      <c r="IKF411" s="268"/>
      <c r="IKG411" s="268"/>
      <c r="IKH411" s="268"/>
      <c r="IKI411" s="268"/>
      <c r="IKJ411" s="268"/>
      <c r="IKK411" s="268"/>
      <c r="IKL411" s="268"/>
      <c r="IKM411" s="268"/>
      <c r="IKN411" s="268"/>
      <c r="IKO411" s="268"/>
      <c r="IKP411" s="268"/>
      <c r="IKQ411" s="268"/>
      <c r="IKR411" s="268"/>
      <c r="IKS411" s="268"/>
      <c r="IKT411" s="268"/>
      <c r="IKU411" s="268"/>
      <c r="ILI411" s="268"/>
      <c r="ILJ411" s="268"/>
      <c r="ILK411" s="268"/>
      <c r="ILY411" s="268"/>
      <c r="IMA411" s="268"/>
      <c r="IMB411" s="268"/>
      <c r="IMC411" s="268"/>
      <c r="IMD411" s="268"/>
      <c r="IME411" s="268"/>
      <c r="IMF411" s="268"/>
      <c r="IMG411" s="268"/>
      <c r="IMH411" s="268"/>
      <c r="IMI411" s="268"/>
      <c r="IMJ411" s="268"/>
      <c r="IMK411" s="268"/>
      <c r="IML411" s="268"/>
      <c r="IMM411" s="268"/>
      <c r="IMN411" s="268"/>
      <c r="IMO411" s="268"/>
      <c r="IMP411" s="268"/>
      <c r="IMQ411" s="268"/>
      <c r="IMR411" s="268"/>
      <c r="IMS411" s="268"/>
      <c r="IMT411" s="268"/>
      <c r="IMU411" s="268"/>
      <c r="IMV411" s="268"/>
      <c r="IMW411" s="268"/>
      <c r="IMX411" s="268"/>
      <c r="IMY411" s="268"/>
      <c r="IMZ411" s="268"/>
      <c r="INA411" s="268"/>
      <c r="INB411" s="268"/>
      <c r="INC411" s="268"/>
      <c r="IND411" s="268"/>
      <c r="INE411" s="268"/>
      <c r="INF411" s="268"/>
      <c r="ING411" s="268"/>
      <c r="INH411" s="268"/>
      <c r="INI411" s="268"/>
      <c r="INJ411" s="268"/>
      <c r="INK411" s="268"/>
      <c r="INL411" s="268"/>
      <c r="INM411" s="268"/>
      <c r="INN411" s="268"/>
      <c r="INO411" s="268"/>
      <c r="INP411" s="268"/>
      <c r="INQ411" s="268"/>
      <c r="INR411" s="268"/>
      <c r="INS411" s="268"/>
      <c r="INT411" s="268"/>
      <c r="INU411" s="268"/>
      <c r="INV411" s="268"/>
      <c r="INW411" s="268"/>
      <c r="INX411" s="268"/>
      <c r="INY411" s="268"/>
      <c r="INZ411" s="268"/>
      <c r="IOA411" s="268"/>
      <c r="IOB411" s="268"/>
      <c r="IOC411" s="268"/>
      <c r="IOD411" s="268"/>
      <c r="IOE411" s="268"/>
      <c r="IOF411" s="268"/>
      <c r="IOG411" s="268"/>
      <c r="IOH411" s="268"/>
      <c r="IOI411" s="268"/>
      <c r="IOJ411" s="268"/>
      <c r="IOK411" s="268"/>
      <c r="IOL411" s="268"/>
      <c r="IOM411" s="268"/>
      <c r="ION411" s="268"/>
      <c r="IOO411" s="268"/>
      <c r="IOP411" s="268"/>
      <c r="IOQ411" s="268"/>
      <c r="IOR411" s="268"/>
      <c r="IOS411" s="268"/>
      <c r="IOT411" s="268"/>
      <c r="IOU411" s="268"/>
      <c r="IOV411" s="268"/>
      <c r="IOW411" s="268"/>
      <c r="IOX411" s="268"/>
      <c r="IOY411" s="268"/>
      <c r="IOZ411" s="268"/>
      <c r="IPA411" s="268"/>
      <c r="IPB411" s="268"/>
      <c r="IPC411" s="268"/>
      <c r="IPD411" s="268"/>
      <c r="IPE411" s="268"/>
      <c r="IPF411" s="268"/>
      <c r="IPG411" s="268"/>
      <c r="IPH411" s="268"/>
      <c r="IPI411" s="268"/>
      <c r="IPJ411" s="268"/>
      <c r="IPK411" s="268"/>
      <c r="IPL411" s="268"/>
      <c r="IPM411" s="268"/>
      <c r="IPN411" s="268"/>
      <c r="IPO411" s="268"/>
      <c r="IPP411" s="268"/>
      <c r="IPQ411" s="268"/>
      <c r="IPR411" s="268"/>
      <c r="IPS411" s="268"/>
      <c r="IPT411" s="268"/>
      <c r="IPU411" s="268"/>
      <c r="IPV411" s="268"/>
      <c r="IPW411" s="268"/>
      <c r="IPX411" s="268"/>
      <c r="IPY411" s="268"/>
      <c r="IPZ411" s="268"/>
      <c r="IQA411" s="268"/>
      <c r="IQB411" s="268"/>
      <c r="IQC411" s="268"/>
      <c r="IQD411" s="268"/>
      <c r="IQE411" s="268"/>
      <c r="IQF411" s="268"/>
      <c r="IQG411" s="268"/>
      <c r="IQH411" s="268"/>
      <c r="IQI411" s="268"/>
      <c r="IQJ411" s="268"/>
      <c r="IQK411" s="268"/>
      <c r="IQL411" s="268"/>
      <c r="IQM411" s="268"/>
      <c r="IQN411" s="268"/>
      <c r="IQO411" s="268"/>
      <c r="IQP411" s="268"/>
      <c r="IQQ411" s="268"/>
      <c r="IQR411" s="268"/>
      <c r="IQS411" s="268"/>
      <c r="IQT411" s="268"/>
      <c r="IQU411" s="268"/>
      <c r="IQV411" s="268"/>
      <c r="IQW411" s="268"/>
      <c r="IQX411" s="268"/>
      <c r="IQY411" s="268"/>
      <c r="IQZ411" s="268"/>
      <c r="IRA411" s="268"/>
      <c r="IRB411" s="268"/>
      <c r="IRC411" s="268"/>
      <c r="IRD411" s="268"/>
      <c r="IRE411" s="268"/>
      <c r="IRF411" s="268"/>
      <c r="IRG411" s="268"/>
      <c r="IRH411" s="268"/>
      <c r="IRI411" s="268"/>
      <c r="IRJ411" s="268"/>
      <c r="IRK411" s="268"/>
      <c r="IRL411" s="268"/>
      <c r="IRM411" s="268"/>
      <c r="IRN411" s="268"/>
      <c r="IRO411" s="268"/>
      <c r="IRP411" s="268"/>
      <c r="IRQ411" s="268"/>
      <c r="IRR411" s="268"/>
      <c r="IRS411" s="268"/>
      <c r="IRT411" s="268"/>
      <c r="IRU411" s="268"/>
      <c r="IRV411" s="268"/>
      <c r="IRW411" s="268"/>
      <c r="IRX411" s="268"/>
      <c r="IRY411" s="268"/>
      <c r="IRZ411" s="268"/>
      <c r="ISA411" s="268"/>
      <c r="ISB411" s="268"/>
      <c r="ISC411" s="268"/>
      <c r="ISD411" s="268"/>
      <c r="ISE411" s="268"/>
      <c r="ISF411" s="268"/>
      <c r="ISG411" s="268"/>
      <c r="ISH411" s="268"/>
      <c r="ISI411" s="268"/>
      <c r="ISJ411" s="268"/>
      <c r="ISK411" s="268"/>
      <c r="ISL411" s="268"/>
      <c r="ISM411" s="268"/>
      <c r="ISN411" s="268"/>
      <c r="ISO411" s="268"/>
      <c r="ISP411" s="268"/>
      <c r="ISQ411" s="268"/>
      <c r="ISR411" s="268"/>
      <c r="ISS411" s="268"/>
      <c r="IST411" s="268"/>
      <c r="ISU411" s="268"/>
      <c r="ISV411" s="268"/>
      <c r="ISW411" s="268"/>
      <c r="ISX411" s="268"/>
      <c r="ISY411" s="268"/>
      <c r="ISZ411" s="268"/>
      <c r="ITA411" s="268"/>
      <c r="ITB411" s="268"/>
      <c r="ITC411" s="268"/>
      <c r="ITD411" s="268"/>
      <c r="ITE411" s="268"/>
      <c r="ITF411" s="268"/>
      <c r="ITG411" s="268"/>
      <c r="ITH411" s="268"/>
      <c r="ITI411" s="268"/>
      <c r="ITJ411" s="268"/>
      <c r="ITK411" s="268"/>
      <c r="ITL411" s="268"/>
      <c r="ITM411" s="268"/>
      <c r="ITN411" s="268"/>
      <c r="ITO411" s="268"/>
      <c r="ITP411" s="268"/>
      <c r="ITQ411" s="268"/>
      <c r="ITR411" s="268"/>
      <c r="ITS411" s="268"/>
      <c r="ITT411" s="268"/>
      <c r="ITU411" s="268"/>
      <c r="ITV411" s="268"/>
      <c r="ITW411" s="268"/>
      <c r="ITX411" s="268"/>
      <c r="ITY411" s="268"/>
      <c r="ITZ411" s="268"/>
      <c r="IUA411" s="268"/>
      <c r="IUB411" s="268"/>
      <c r="IUC411" s="268"/>
      <c r="IUD411" s="268"/>
      <c r="IUE411" s="268"/>
      <c r="IUF411" s="268"/>
      <c r="IUG411" s="268"/>
      <c r="IUH411" s="268"/>
      <c r="IUI411" s="268"/>
      <c r="IUJ411" s="268"/>
      <c r="IUK411" s="268"/>
      <c r="IUL411" s="268"/>
      <c r="IUM411" s="268"/>
      <c r="IUN411" s="268"/>
      <c r="IUO411" s="268"/>
      <c r="IUP411" s="268"/>
      <c r="IUQ411" s="268"/>
      <c r="IVE411" s="268"/>
      <c r="IVF411" s="268"/>
      <c r="IVG411" s="268"/>
      <c r="IVU411" s="268"/>
      <c r="IVW411" s="268"/>
      <c r="IVX411" s="268"/>
      <c r="IVY411" s="268"/>
      <c r="IVZ411" s="268"/>
      <c r="IWA411" s="268"/>
      <c r="IWB411" s="268"/>
      <c r="IWC411" s="268"/>
      <c r="IWD411" s="268"/>
      <c r="IWE411" s="268"/>
      <c r="IWF411" s="268"/>
      <c r="IWG411" s="268"/>
      <c r="IWH411" s="268"/>
      <c r="IWI411" s="268"/>
      <c r="IWJ411" s="268"/>
      <c r="IWK411" s="268"/>
      <c r="IWL411" s="268"/>
      <c r="IWM411" s="268"/>
      <c r="IWN411" s="268"/>
      <c r="IWO411" s="268"/>
      <c r="IWP411" s="268"/>
      <c r="IWQ411" s="268"/>
      <c r="IWR411" s="268"/>
      <c r="IWS411" s="268"/>
      <c r="IWT411" s="268"/>
      <c r="IWU411" s="268"/>
      <c r="IWV411" s="268"/>
      <c r="IWW411" s="268"/>
      <c r="IWX411" s="268"/>
      <c r="IWY411" s="268"/>
      <c r="IWZ411" s="268"/>
      <c r="IXA411" s="268"/>
      <c r="IXB411" s="268"/>
      <c r="IXC411" s="268"/>
      <c r="IXD411" s="268"/>
      <c r="IXE411" s="268"/>
      <c r="IXF411" s="268"/>
      <c r="IXG411" s="268"/>
      <c r="IXH411" s="268"/>
      <c r="IXI411" s="268"/>
      <c r="IXJ411" s="268"/>
      <c r="IXK411" s="268"/>
      <c r="IXL411" s="268"/>
      <c r="IXM411" s="268"/>
      <c r="IXN411" s="268"/>
      <c r="IXO411" s="268"/>
      <c r="IXP411" s="268"/>
      <c r="IXQ411" s="268"/>
      <c r="IXR411" s="268"/>
      <c r="IXS411" s="268"/>
      <c r="IXT411" s="268"/>
      <c r="IXU411" s="268"/>
      <c r="IXV411" s="268"/>
      <c r="IXW411" s="268"/>
      <c r="IXX411" s="268"/>
      <c r="IXY411" s="268"/>
      <c r="IXZ411" s="268"/>
      <c r="IYA411" s="268"/>
      <c r="IYB411" s="268"/>
      <c r="IYC411" s="268"/>
      <c r="IYD411" s="268"/>
      <c r="IYE411" s="268"/>
      <c r="IYF411" s="268"/>
      <c r="IYG411" s="268"/>
      <c r="IYH411" s="268"/>
      <c r="IYI411" s="268"/>
      <c r="IYJ411" s="268"/>
      <c r="IYK411" s="268"/>
      <c r="IYL411" s="268"/>
      <c r="IYM411" s="268"/>
      <c r="IYN411" s="268"/>
      <c r="IYO411" s="268"/>
      <c r="IYP411" s="268"/>
      <c r="IYQ411" s="268"/>
      <c r="IYR411" s="268"/>
      <c r="IYS411" s="268"/>
      <c r="IYT411" s="268"/>
      <c r="IYU411" s="268"/>
      <c r="IYV411" s="268"/>
      <c r="IYW411" s="268"/>
      <c r="IYX411" s="268"/>
      <c r="IYY411" s="268"/>
      <c r="IYZ411" s="268"/>
      <c r="IZA411" s="268"/>
      <c r="IZB411" s="268"/>
      <c r="IZC411" s="268"/>
      <c r="IZD411" s="268"/>
      <c r="IZE411" s="268"/>
      <c r="IZF411" s="268"/>
      <c r="IZG411" s="268"/>
      <c r="IZH411" s="268"/>
      <c r="IZI411" s="268"/>
      <c r="IZJ411" s="268"/>
      <c r="IZK411" s="268"/>
      <c r="IZL411" s="268"/>
      <c r="IZM411" s="268"/>
      <c r="IZN411" s="268"/>
      <c r="IZO411" s="268"/>
      <c r="IZP411" s="268"/>
      <c r="IZQ411" s="268"/>
      <c r="IZR411" s="268"/>
      <c r="IZS411" s="268"/>
      <c r="IZT411" s="268"/>
      <c r="IZU411" s="268"/>
      <c r="IZV411" s="268"/>
      <c r="IZW411" s="268"/>
      <c r="IZX411" s="268"/>
      <c r="IZY411" s="268"/>
      <c r="IZZ411" s="268"/>
      <c r="JAA411" s="268"/>
      <c r="JAB411" s="268"/>
      <c r="JAC411" s="268"/>
      <c r="JAD411" s="268"/>
      <c r="JAE411" s="268"/>
      <c r="JAF411" s="268"/>
      <c r="JAG411" s="268"/>
      <c r="JAH411" s="268"/>
      <c r="JAI411" s="268"/>
      <c r="JAJ411" s="268"/>
      <c r="JAK411" s="268"/>
      <c r="JAL411" s="268"/>
      <c r="JAM411" s="268"/>
      <c r="JAN411" s="268"/>
      <c r="JAO411" s="268"/>
      <c r="JAP411" s="268"/>
      <c r="JAQ411" s="268"/>
      <c r="JAR411" s="268"/>
      <c r="JAS411" s="268"/>
      <c r="JAT411" s="268"/>
      <c r="JAU411" s="268"/>
      <c r="JAV411" s="268"/>
      <c r="JAW411" s="268"/>
      <c r="JAX411" s="268"/>
      <c r="JAY411" s="268"/>
      <c r="JAZ411" s="268"/>
      <c r="JBA411" s="268"/>
      <c r="JBB411" s="268"/>
      <c r="JBC411" s="268"/>
      <c r="JBD411" s="268"/>
      <c r="JBE411" s="268"/>
      <c r="JBF411" s="268"/>
      <c r="JBG411" s="268"/>
      <c r="JBH411" s="268"/>
      <c r="JBI411" s="268"/>
      <c r="JBJ411" s="268"/>
      <c r="JBK411" s="268"/>
      <c r="JBL411" s="268"/>
      <c r="JBM411" s="268"/>
      <c r="JBN411" s="268"/>
      <c r="JBO411" s="268"/>
      <c r="JBP411" s="268"/>
      <c r="JBQ411" s="268"/>
      <c r="JBR411" s="268"/>
      <c r="JBS411" s="268"/>
      <c r="JBT411" s="268"/>
      <c r="JBU411" s="268"/>
      <c r="JBV411" s="268"/>
      <c r="JBW411" s="268"/>
      <c r="JBX411" s="268"/>
      <c r="JBY411" s="268"/>
      <c r="JBZ411" s="268"/>
      <c r="JCA411" s="268"/>
      <c r="JCB411" s="268"/>
      <c r="JCC411" s="268"/>
      <c r="JCD411" s="268"/>
      <c r="JCE411" s="268"/>
      <c r="JCF411" s="268"/>
      <c r="JCG411" s="268"/>
      <c r="JCH411" s="268"/>
      <c r="JCI411" s="268"/>
      <c r="JCJ411" s="268"/>
      <c r="JCK411" s="268"/>
      <c r="JCL411" s="268"/>
      <c r="JCM411" s="268"/>
      <c r="JCN411" s="268"/>
      <c r="JCO411" s="268"/>
      <c r="JCP411" s="268"/>
      <c r="JCQ411" s="268"/>
      <c r="JCR411" s="268"/>
      <c r="JCS411" s="268"/>
      <c r="JCT411" s="268"/>
      <c r="JCU411" s="268"/>
      <c r="JCV411" s="268"/>
      <c r="JCW411" s="268"/>
      <c r="JCX411" s="268"/>
      <c r="JCY411" s="268"/>
      <c r="JCZ411" s="268"/>
      <c r="JDA411" s="268"/>
      <c r="JDB411" s="268"/>
      <c r="JDC411" s="268"/>
      <c r="JDD411" s="268"/>
      <c r="JDE411" s="268"/>
      <c r="JDF411" s="268"/>
      <c r="JDG411" s="268"/>
      <c r="JDH411" s="268"/>
      <c r="JDI411" s="268"/>
      <c r="JDJ411" s="268"/>
      <c r="JDK411" s="268"/>
      <c r="JDL411" s="268"/>
      <c r="JDM411" s="268"/>
      <c r="JDN411" s="268"/>
      <c r="JDO411" s="268"/>
      <c r="JDP411" s="268"/>
      <c r="JDQ411" s="268"/>
      <c r="JDR411" s="268"/>
      <c r="JDS411" s="268"/>
      <c r="JDT411" s="268"/>
      <c r="JDU411" s="268"/>
      <c r="JDV411" s="268"/>
      <c r="JDW411" s="268"/>
      <c r="JDX411" s="268"/>
      <c r="JDY411" s="268"/>
      <c r="JDZ411" s="268"/>
      <c r="JEA411" s="268"/>
      <c r="JEB411" s="268"/>
      <c r="JEC411" s="268"/>
      <c r="JED411" s="268"/>
      <c r="JEE411" s="268"/>
      <c r="JEF411" s="268"/>
      <c r="JEG411" s="268"/>
      <c r="JEH411" s="268"/>
      <c r="JEI411" s="268"/>
      <c r="JEJ411" s="268"/>
      <c r="JEK411" s="268"/>
      <c r="JEL411" s="268"/>
      <c r="JEM411" s="268"/>
      <c r="JFA411" s="268"/>
      <c r="JFB411" s="268"/>
      <c r="JFC411" s="268"/>
      <c r="JFQ411" s="268"/>
      <c r="JFS411" s="268"/>
      <c r="JFT411" s="268"/>
      <c r="JFU411" s="268"/>
      <c r="JFV411" s="268"/>
      <c r="JFW411" s="268"/>
      <c r="JFX411" s="268"/>
      <c r="JFY411" s="268"/>
      <c r="JFZ411" s="268"/>
      <c r="JGA411" s="268"/>
      <c r="JGB411" s="268"/>
      <c r="JGC411" s="268"/>
      <c r="JGD411" s="268"/>
      <c r="JGE411" s="268"/>
      <c r="JGF411" s="268"/>
      <c r="JGG411" s="268"/>
      <c r="JGH411" s="268"/>
      <c r="JGI411" s="268"/>
      <c r="JGJ411" s="268"/>
      <c r="JGK411" s="268"/>
      <c r="JGL411" s="268"/>
      <c r="JGM411" s="268"/>
      <c r="JGN411" s="268"/>
      <c r="JGO411" s="268"/>
      <c r="JGP411" s="268"/>
      <c r="JGQ411" s="268"/>
      <c r="JGR411" s="268"/>
      <c r="JGS411" s="268"/>
      <c r="JGT411" s="268"/>
      <c r="JGU411" s="268"/>
      <c r="JGV411" s="268"/>
      <c r="JGW411" s="268"/>
      <c r="JGX411" s="268"/>
      <c r="JGY411" s="268"/>
      <c r="JGZ411" s="268"/>
      <c r="JHA411" s="268"/>
      <c r="JHB411" s="268"/>
      <c r="JHC411" s="268"/>
      <c r="JHD411" s="268"/>
      <c r="JHE411" s="268"/>
      <c r="JHF411" s="268"/>
      <c r="JHG411" s="268"/>
      <c r="JHH411" s="268"/>
      <c r="JHI411" s="268"/>
      <c r="JHJ411" s="268"/>
      <c r="JHK411" s="268"/>
      <c r="JHL411" s="268"/>
      <c r="JHM411" s="268"/>
      <c r="JHN411" s="268"/>
      <c r="JHO411" s="268"/>
      <c r="JHP411" s="268"/>
      <c r="JHQ411" s="268"/>
      <c r="JHR411" s="268"/>
      <c r="JHS411" s="268"/>
      <c r="JHT411" s="268"/>
      <c r="JHU411" s="268"/>
      <c r="JHV411" s="268"/>
      <c r="JHW411" s="268"/>
      <c r="JHX411" s="268"/>
      <c r="JHY411" s="268"/>
      <c r="JHZ411" s="268"/>
      <c r="JIA411" s="268"/>
      <c r="JIB411" s="268"/>
      <c r="JIC411" s="268"/>
      <c r="JID411" s="268"/>
      <c r="JIE411" s="268"/>
      <c r="JIF411" s="268"/>
      <c r="JIG411" s="268"/>
      <c r="JIH411" s="268"/>
      <c r="JII411" s="268"/>
      <c r="JIJ411" s="268"/>
      <c r="JIK411" s="268"/>
      <c r="JIL411" s="268"/>
      <c r="JIM411" s="268"/>
      <c r="JIN411" s="268"/>
      <c r="JIO411" s="268"/>
      <c r="JIP411" s="268"/>
      <c r="JIQ411" s="268"/>
      <c r="JIR411" s="268"/>
      <c r="JIS411" s="268"/>
      <c r="JIT411" s="268"/>
      <c r="JIU411" s="268"/>
      <c r="JIV411" s="268"/>
      <c r="JIW411" s="268"/>
      <c r="JIX411" s="268"/>
      <c r="JIY411" s="268"/>
      <c r="JIZ411" s="268"/>
      <c r="JJA411" s="268"/>
      <c r="JJB411" s="268"/>
      <c r="JJC411" s="268"/>
      <c r="JJD411" s="268"/>
      <c r="JJE411" s="268"/>
      <c r="JJF411" s="268"/>
      <c r="JJG411" s="268"/>
      <c r="JJH411" s="268"/>
      <c r="JJI411" s="268"/>
      <c r="JJJ411" s="268"/>
      <c r="JJK411" s="268"/>
      <c r="JJL411" s="268"/>
      <c r="JJM411" s="268"/>
      <c r="JJN411" s="268"/>
      <c r="JJO411" s="268"/>
      <c r="JJP411" s="268"/>
      <c r="JJQ411" s="268"/>
      <c r="JJR411" s="268"/>
      <c r="JJS411" s="268"/>
      <c r="JJT411" s="268"/>
      <c r="JJU411" s="268"/>
      <c r="JJV411" s="268"/>
      <c r="JJW411" s="268"/>
      <c r="JJX411" s="268"/>
      <c r="JJY411" s="268"/>
      <c r="JJZ411" s="268"/>
      <c r="JKA411" s="268"/>
      <c r="JKB411" s="268"/>
      <c r="JKC411" s="268"/>
      <c r="JKD411" s="268"/>
      <c r="JKE411" s="268"/>
      <c r="JKF411" s="268"/>
      <c r="JKG411" s="268"/>
      <c r="JKH411" s="268"/>
      <c r="JKI411" s="268"/>
      <c r="JKJ411" s="268"/>
      <c r="JKK411" s="268"/>
      <c r="JKL411" s="268"/>
      <c r="JKM411" s="268"/>
      <c r="JKN411" s="268"/>
      <c r="JKO411" s="268"/>
      <c r="JKP411" s="268"/>
      <c r="JKQ411" s="268"/>
      <c r="JKR411" s="268"/>
      <c r="JKS411" s="268"/>
      <c r="JKT411" s="268"/>
      <c r="JKU411" s="268"/>
      <c r="JKV411" s="268"/>
      <c r="JKW411" s="268"/>
      <c r="JKX411" s="268"/>
      <c r="JKY411" s="268"/>
      <c r="JKZ411" s="268"/>
      <c r="JLA411" s="268"/>
      <c r="JLB411" s="268"/>
      <c r="JLC411" s="268"/>
      <c r="JLD411" s="268"/>
      <c r="JLE411" s="268"/>
      <c r="JLF411" s="268"/>
      <c r="JLG411" s="268"/>
      <c r="JLH411" s="268"/>
      <c r="JLI411" s="268"/>
      <c r="JLJ411" s="268"/>
      <c r="JLK411" s="268"/>
      <c r="JLL411" s="268"/>
      <c r="JLM411" s="268"/>
      <c r="JLN411" s="268"/>
      <c r="JLO411" s="268"/>
      <c r="JLP411" s="268"/>
      <c r="JLQ411" s="268"/>
      <c r="JLR411" s="268"/>
      <c r="JLS411" s="268"/>
      <c r="JLT411" s="268"/>
      <c r="JLU411" s="268"/>
      <c r="JLV411" s="268"/>
      <c r="JLW411" s="268"/>
      <c r="JLX411" s="268"/>
      <c r="JLY411" s="268"/>
      <c r="JLZ411" s="268"/>
      <c r="JMA411" s="268"/>
      <c r="JMB411" s="268"/>
      <c r="JMC411" s="268"/>
      <c r="JMD411" s="268"/>
      <c r="JME411" s="268"/>
      <c r="JMF411" s="268"/>
      <c r="JMG411" s="268"/>
      <c r="JMH411" s="268"/>
      <c r="JMI411" s="268"/>
      <c r="JMJ411" s="268"/>
      <c r="JMK411" s="268"/>
      <c r="JML411" s="268"/>
      <c r="JMM411" s="268"/>
      <c r="JMN411" s="268"/>
      <c r="JMO411" s="268"/>
      <c r="JMP411" s="268"/>
      <c r="JMQ411" s="268"/>
      <c r="JMR411" s="268"/>
      <c r="JMS411" s="268"/>
      <c r="JMT411" s="268"/>
      <c r="JMU411" s="268"/>
      <c r="JMV411" s="268"/>
      <c r="JMW411" s="268"/>
      <c r="JMX411" s="268"/>
      <c r="JMY411" s="268"/>
      <c r="JMZ411" s="268"/>
      <c r="JNA411" s="268"/>
      <c r="JNB411" s="268"/>
      <c r="JNC411" s="268"/>
      <c r="JND411" s="268"/>
      <c r="JNE411" s="268"/>
      <c r="JNF411" s="268"/>
      <c r="JNG411" s="268"/>
      <c r="JNH411" s="268"/>
      <c r="JNI411" s="268"/>
      <c r="JNJ411" s="268"/>
      <c r="JNK411" s="268"/>
      <c r="JNL411" s="268"/>
      <c r="JNM411" s="268"/>
      <c r="JNN411" s="268"/>
      <c r="JNO411" s="268"/>
      <c r="JNP411" s="268"/>
      <c r="JNQ411" s="268"/>
      <c r="JNR411" s="268"/>
      <c r="JNS411" s="268"/>
      <c r="JNT411" s="268"/>
      <c r="JNU411" s="268"/>
      <c r="JNV411" s="268"/>
      <c r="JNW411" s="268"/>
      <c r="JNX411" s="268"/>
      <c r="JNY411" s="268"/>
      <c r="JNZ411" s="268"/>
      <c r="JOA411" s="268"/>
      <c r="JOB411" s="268"/>
      <c r="JOC411" s="268"/>
      <c r="JOD411" s="268"/>
      <c r="JOE411" s="268"/>
      <c r="JOF411" s="268"/>
      <c r="JOG411" s="268"/>
      <c r="JOH411" s="268"/>
      <c r="JOI411" s="268"/>
      <c r="JOW411" s="268"/>
      <c r="JOX411" s="268"/>
      <c r="JOY411" s="268"/>
      <c r="JPM411" s="268"/>
      <c r="JPO411" s="268"/>
      <c r="JPP411" s="268"/>
      <c r="JPQ411" s="268"/>
      <c r="JPR411" s="268"/>
      <c r="JPS411" s="268"/>
      <c r="JPT411" s="268"/>
      <c r="JPU411" s="268"/>
      <c r="JPV411" s="268"/>
      <c r="JPW411" s="268"/>
      <c r="JPX411" s="268"/>
      <c r="JPY411" s="268"/>
      <c r="JPZ411" s="268"/>
      <c r="JQA411" s="268"/>
      <c r="JQB411" s="268"/>
      <c r="JQC411" s="268"/>
      <c r="JQD411" s="268"/>
      <c r="JQE411" s="268"/>
      <c r="JQF411" s="268"/>
      <c r="JQG411" s="268"/>
      <c r="JQH411" s="268"/>
      <c r="JQI411" s="268"/>
      <c r="JQJ411" s="268"/>
      <c r="JQK411" s="268"/>
      <c r="JQL411" s="268"/>
      <c r="JQM411" s="268"/>
      <c r="JQN411" s="268"/>
      <c r="JQO411" s="268"/>
      <c r="JQP411" s="268"/>
      <c r="JQQ411" s="268"/>
      <c r="JQR411" s="268"/>
      <c r="JQS411" s="268"/>
      <c r="JQT411" s="268"/>
      <c r="JQU411" s="268"/>
      <c r="JQV411" s="268"/>
      <c r="JQW411" s="268"/>
      <c r="JQX411" s="268"/>
      <c r="JQY411" s="268"/>
      <c r="JQZ411" s="268"/>
      <c r="JRA411" s="268"/>
      <c r="JRB411" s="268"/>
      <c r="JRC411" s="268"/>
      <c r="JRD411" s="268"/>
      <c r="JRE411" s="268"/>
      <c r="JRF411" s="268"/>
      <c r="JRG411" s="268"/>
      <c r="JRH411" s="268"/>
      <c r="JRI411" s="268"/>
      <c r="JRJ411" s="268"/>
      <c r="JRK411" s="268"/>
      <c r="JRL411" s="268"/>
      <c r="JRM411" s="268"/>
      <c r="JRN411" s="268"/>
      <c r="JRO411" s="268"/>
      <c r="JRP411" s="268"/>
      <c r="JRQ411" s="268"/>
      <c r="JRR411" s="268"/>
      <c r="JRS411" s="268"/>
      <c r="JRT411" s="268"/>
      <c r="JRU411" s="268"/>
      <c r="JRV411" s="268"/>
      <c r="JRW411" s="268"/>
      <c r="JRX411" s="268"/>
      <c r="JRY411" s="268"/>
      <c r="JRZ411" s="268"/>
      <c r="JSA411" s="268"/>
      <c r="JSB411" s="268"/>
      <c r="JSC411" s="268"/>
      <c r="JSD411" s="268"/>
      <c r="JSE411" s="268"/>
      <c r="JSF411" s="268"/>
      <c r="JSG411" s="268"/>
      <c r="JSH411" s="268"/>
      <c r="JSI411" s="268"/>
      <c r="JSJ411" s="268"/>
      <c r="JSK411" s="268"/>
      <c r="JSL411" s="268"/>
      <c r="JSM411" s="268"/>
      <c r="JSN411" s="268"/>
      <c r="JSO411" s="268"/>
      <c r="JSP411" s="268"/>
      <c r="JSQ411" s="268"/>
      <c r="JSR411" s="268"/>
      <c r="JSS411" s="268"/>
      <c r="JST411" s="268"/>
      <c r="JSU411" s="268"/>
      <c r="JSV411" s="268"/>
      <c r="JSW411" s="268"/>
      <c r="JSX411" s="268"/>
      <c r="JSY411" s="268"/>
      <c r="JSZ411" s="268"/>
      <c r="JTA411" s="268"/>
      <c r="JTB411" s="268"/>
      <c r="JTC411" s="268"/>
      <c r="JTD411" s="268"/>
      <c r="JTE411" s="268"/>
      <c r="JTF411" s="268"/>
      <c r="JTG411" s="268"/>
      <c r="JTH411" s="268"/>
      <c r="JTI411" s="268"/>
      <c r="JTJ411" s="268"/>
      <c r="JTK411" s="268"/>
      <c r="JTL411" s="268"/>
      <c r="JTM411" s="268"/>
      <c r="JTN411" s="268"/>
      <c r="JTO411" s="268"/>
      <c r="JTP411" s="268"/>
      <c r="JTQ411" s="268"/>
      <c r="JTR411" s="268"/>
      <c r="JTS411" s="268"/>
      <c r="JTT411" s="268"/>
      <c r="JTU411" s="268"/>
      <c r="JTV411" s="268"/>
      <c r="JTW411" s="268"/>
      <c r="JTX411" s="268"/>
      <c r="JTY411" s="268"/>
      <c r="JTZ411" s="268"/>
      <c r="JUA411" s="268"/>
      <c r="JUB411" s="268"/>
      <c r="JUC411" s="268"/>
      <c r="JUD411" s="268"/>
      <c r="JUE411" s="268"/>
      <c r="JUF411" s="268"/>
      <c r="JUG411" s="268"/>
      <c r="JUH411" s="268"/>
      <c r="JUI411" s="268"/>
      <c r="JUJ411" s="268"/>
      <c r="JUK411" s="268"/>
      <c r="JUL411" s="268"/>
      <c r="JUM411" s="268"/>
      <c r="JUN411" s="268"/>
      <c r="JUO411" s="268"/>
      <c r="JUP411" s="268"/>
      <c r="JUQ411" s="268"/>
      <c r="JUR411" s="268"/>
      <c r="JUS411" s="268"/>
      <c r="JUT411" s="268"/>
      <c r="JUU411" s="268"/>
      <c r="JUV411" s="268"/>
      <c r="JUW411" s="268"/>
      <c r="JUX411" s="268"/>
      <c r="JUY411" s="268"/>
      <c r="JUZ411" s="268"/>
      <c r="JVA411" s="268"/>
      <c r="JVB411" s="268"/>
      <c r="JVC411" s="268"/>
      <c r="JVD411" s="268"/>
      <c r="JVE411" s="268"/>
      <c r="JVF411" s="268"/>
      <c r="JVG411" s="268"/>
      <c r="JVH411" s="268"/>
      <c r="JVI411" s="268"/>
      <c r="JVJ411" s="268"/>
      <c r="JVK411" s="268"/>
      <c r="JVL411" s="268"/>
      <c r="JVM411" s="268"/>
      <c r="JVN411" s="268"/>
      <c r="JVO411" s="268"/>
      <c r="JVP411" s="268"/>
      <c r="JVQ411" s="268"/>
      <c r="JVR411" s="268"/>
      <c r="JVS411" s="268"/>
      <c r="JVT411" s="268"/>
      <c r="JVU411" s="268"/>
      <c r="JVV411" s="268"/>
      <c r="JVW411" s="268"/>
      <c r="JVX411" s="268"/>
      <c r="JVY411" s="268"/>
      <c r="JVZ411" s="268"/>
      <c r="JWA411" s="268"/>
      <c r="JWB411" s="268"/>
      <c r="JWC411" s="268"/>
      <c r="JWD411" s="268"/>
      <c r="JWE411" s="268"/>
      <c r="JWF411" s="268"/>
      <c r="JWG411" s="268"/>
      <c r="JWH411" s="268"/>
      <c r="JWI411" s="268"/>
      <c r="JWJ411" s="268"/>
      <c r="JWK411" s="268"/>
      <c r="JWL411" s="268"/>
      <c r="JWM411" s="268"/>
      <c r="JWN411" s="268"/>
      <c r="JWO411" s="268"/>
      <c r="JWP411" s="268"/>
      <c r="JWQ411" s="268"/>
      <c r="JWR411" s="268"/>
      <c r="JWS411" s="268"/>
      <c r="JWT411" s="268"/>
      <c r="JWU411" s="268"/>
      <c r="JWV411" s="268"/>
      <c r="JWW411" s="268"/>
      <c r="JWX411" s="268"/>
      <c r="JWY411" s="268"/>
      <c r="JWZ411" s="268"/>
      <c r="JXA411" s="268"/>
      <c r="JXB411" s="268"/>
      <c r="JXC411" s="268"/>
      <c r="JXD411" s="268"/>
      <c r="JXE411" s="268"/>
      <c r="JXF411" s="268"/>
      <c r="JXG411" s="268"/>
      <c r="JXH411" s="268"/>
      <c r="JXI411" s="268"/>
      <c r="JXJ411" s="268"/>
      <c r="JXK411" s="268"/>
      <c r="JXL411" s="268"/>
      <c r="JXM411" s="268"/>
      <c r="JXN411" s="268"/>
      <c r="JXO411" s="268"/>
      <c r="JXP411" s="268"/>
      <c r="JXQ411" s="268"/>
      <c r="JXR411" s="268"/>
      <c r="JXS411" s="268"/>
      <c r="JXT411" s="268"/>
      <c r="JXU411" s="268"/>
      <c r="JXV411" s="268"/>
      <c r="JXW411" s="268"/>
      <c r="JXX411" s="268"/>
      <c r="JXY411" s="268"/>
      <c r="JXZ411" s="268"/>
      <c r="JYA411" s="268"/>
      <c r="JYB411" s="268"/>
      <c r="JYC411" s="268"/>
      <c r="JYD411" s="268"/>
      <c r="JYE411" s="268"/>
      <c r="JYS411" s="268"/>
      <c r="JYT411" s="268"/>
      <c r="JYU411" s="268"/>
      <c r="JZI411" s="268"/>
      <c r="JZK411" s="268"/>
      <c r="JZL411" s="268"/>
      <c r="JZM411" s="268"/>
      <c r="JZN411" s="268"/>
      <c r="JZO411" s="268"/>
      <c r="JZP411" s="268"/>
      <c r="JZQ411" s="268"/>
      <c r="JZR411" s="268"/>
      <c r="JZS411" s="268"/>
      <c r="JZT411" s="268"/>
      <c r="JZU411" s="268"/>
      <c r="JZV411" s="268"/>
      <c r="JZW411" s="268"/>
      <c r="JZX411" s="268"/>
      <c r="JZY411" s="268"/>
      <c r="JZZ411" s="268"/>
      <c r="KAA411" s="268"/>
      <c r="KAB411" s="268"/>
      <c r="KAC411" s="268"/>
      <c r="KAD411" s="268"/>
      <c r="KAE411" s="268"/>
      <c r="KAF411" s="268"/>
      <c r="KAG411" s="268"/>
      <c r="KAH411" s="268"/>
      <c r="KAI411" s="268"/>
      <c r="KAJ411" s="268"/>
      <c r="KAK411" s="268"/>
      <c r="KAL411" s="268"/>
      <c r="KAM411" s="268"/>
      <c r="KAN411" s="268"/>
      <c r="KAO411" s="268"/>
      <c r="KAP411" s="268"/>
      <c r="KAQ411" s="268"/>
      <c r="KAR411" s="268"/>
      <c r="KAS411" s="268"/>
      <c r="KAT411" s="268"/>
      <c r="KAU411" s="268"/>
      <c r="KAV411" s="268"/>
      <c r="KAW411" s="268"/>
      <c r="KAX411" s="268"/>
      <c r="KAY411" s="268"/>
      <c r="KAZ411" s="268"/>
      <c r="KBA411" s="268"/>
      <c r="KBB411" s="268"/>
      <c r="KBC411" s="268"/>
      <c r="KBD411" s="268"/>
      <c r="KBE411" s="268"/>
      <c r="KBF411" s="268"/>
      <c r="KBG411" s="268"/>
      <c r="KBH411" s="268"/>
      <c r="KBI411" s="268"/>
      <c r="KBJ411" s="268"/>
      <c r="KBK411" s="268"/>
      <c r="KBL411" s="268"/>
      <c r="KBM411" s="268"/>
      <c r="KBN411" s="268"/>
      <c r="KBO411" s="268"/>
      <c r="KBP411" s="268"/>
      <c r="KBQ411" s="268"/>
      <c r="KBR411" s="268"/>
      <c r="KBS411" s="268"/>
      <c r="KBT411" s="268"/>
      <c r="KBU411" s="268"/>
      <c r="KBV411" s="268"/>
      <c r="KBW411" s="268"/>
      <c r="KBX411" s="268"/>
      <c r="KBY411" s="268"/>
      <c r="KBZ411" s="268"/>
      <c r="KCA411" s="268"/>
      <c r="KCB411" s="268"/>
      <c r="KCC411" s="268"/>
      <c r="KCD411" s="268"/>
      <c r="KCE411" s="268"/>
      <c r="KCF411" s="268"/>
      <c r="KCG411" s="268"/>
      <c r="KCH411" s="268"/>
      <c r="KCI411" s="268"/>
      <c r="KCJ411" s="268"/>
      <c r="KCK411" s="268"/>
      <c r="KCL411" s="268"/>
      <c r="KCM411" s="268"/>
      <c r="KCN411" s="268"/>
      <c r="KCO411" s="268"/>
      <c r="KCP411" s="268"/>
      <c r="KCQ411" s="268"/>
      <c r="KCR411" s="268"/>
      <c r="KCS411" s="268"/>
      <c r="KCT411" s="268"/>
      <c r="KCU411" s="268"/>
      <c r="KCV411" s="268"/>
      <c r="KCW411" s="268"/>
      <c r="KCX411" s="268"/>
      <c r="KCY411" s="268"/>
      <c r="KCZ411" s="268"/>
      <c r="KDA411" s="268"/>
      <c r="KDB411" s="268"/>
      <c r="KDC411" s="268"/>
      <c r="KDD411" s="268"/>
      <c r="KDE411" s="268"/>
      <c r="KDF411" s="268"/>
      <c r="KDG411" s="268"/>
      <c r="KDH411" s="268"/>
      <c r="KDI411" s="268"/>
      <c r="KDJ411" s="268"/>
      <c r="KDK411" s="268"/>
      <c r="KDL411" s="268"/>
      <c r="KDM411" s="268"/>
      <c r="KDN411" s="268"/>
      <c r="KDO411" s="268"/>
      <c r="KDP411" s="268"/>
      <c r="KDQ411" s="268"/>
      <c r="KDR411" s="268"/>
      <c r="KDS411" s="268"/>
      <c r="KDT411" s="268"/>
      <c r="KDU411" s="268"/>
      <c r="KDV411" s="268"/>
      <c r="KDW411" s="268"/>
      <c r="KDX411" s="268"/>
      <c r="KDY411" s="268"/>
      <c r="KDZ411" s="268"/>
      <c r="KEA411" s="268"/>
      <c r="KEB411" s="268"/>
      <c r="KEC411" s="268"/>
      <c r="KED411" s="268"/>
      <c r="KEE411" s="268"/>
      <c r="KEF411" s="268"/>
      <c r="KEG411" s="268"/>
      <c r="KEH411" s="268"/>
      <c r="KEI411" s="268"/>
      <c r="KEJ411" s="268"/>
      <c r="KEK411" s="268"/>
      <c r="KEL411" s="268"/>
      <c r="KEM411" s="268"/>
      <c r="KEN411" s="268"/>
      <c r="KEO411" s="268"/>
      <c r="KEP411" s="268"/>
      <c r="KEQ411" s="268"/>
      <c r="KER411" s="268"/>
      <c r="KES411" s="268"/>
      <c r="KET411" s="268"/>
      <c r="KEU411" s="268"/>
      <c r="KEV411" s="268"/>
      <c r="KEW411" s="268"/>
      <c r="KEX411" s="268"/>
      <c r="KEY411" s="268"/>
      <c r="KEZ411" s="268"/>
      <c r="KFA411" s="268"/>
      <c r="KFB411" s="268"/>
      <c r="KFC411" s="268"/>
      <c r="KFD411" s="268"/>
      <c r="KFE411" s="268"/>
      <c r="KFF411" s="268"/>
      <c r="KFG411" s="268"/>
      <c r="KFH411" s="268"/>
      <c r="KFI411" s="268"/>
      <c r="KFJ411" s="268"/>
      <c r="KFK411" s="268"/>
      <c r="KFL411" s="268"/>
      <c r="KFM411" s="268"/>
      <c r="KFN411" s="268"/>
      <c r="KFO411" s="268"/>
      <c r="KFP411" s="268"/>
      <c r="KFQ411" s="268"/>
      <c r="KFR411" s="268"/>
      <c r="KFS411" s="268"/>
      <c r="KFT411" s="268"/>
      <c r="KFU411" s="268"/>
      <c r="KFV411" s="268"/>
      <c r="KFW411" s="268"/>
      <c r="KFX411" s="268"/>
      <c r="KFY411" s="268"/>
      <c r="KFZ411" s="268"/>
      <c r="KGA411" s="268"/>
      <c r="KGB411" s="268"/>
      <c r="KGC411" s="268"/>
      <c r="KGD411" s="268"/>
      <c r="KGE411" s="268"/>
      <c r="KGF411" s="268"/>
      <c r="KGG411" s="268"/>
      <c r="KGH411" s="268"/>
      <c r="KGI411" s="268"/>
      <c r="KGJ411" s="268"/>
      <c r="KGK411" s="268"/>
      <c r="KGL411" s="268"/>
      <c r="KGM411" s="268"/>
      <c r="KGN411" s="268"/>
      <c r="KGO411" s="268"/>
      <c r="KGP411" s="268"/>
      <c r="KGQ411" s="268"/>
      <c r="KGR411" s="268"/>
      <c r="KGS411" s="268"/>
      <c r="KGT411" s="268"/>
      <c r="KGU411" s="268"/>
      <c r="KGV411" s="268"/>
      <c r="KGW411" s="268"/>
      <c r="KGX411" s="268"/>
      <c r="KGY411" s="268"/>
      <c r="KGZ411" s="268"/>
      <c r="KHA411" s="268"/>
      <c r="KHB411" s="268"/>
      <c r="KHC411" s="268"/>
      <c r="KHD411" s="268"/>
      <c r="KHE411" s="268"/>
      <c r="KHF411" s="268"/>
      <c r="KHG411" s="268"/>
      <c r="KHH411" s="268"/>
      <c r="KHI411" s="268"/>
      <c r="KHJ411" s="268"/>
      <c r="KHK411" s="268"/>
      <c r="KHL411" s="268"/>
      <c r="KHM411" s="268"/>
      <c r="KHN411" s="268"/>
      <c r="KHO411" s="268"/>
      <c r="KHP411" s="268"/>
      <c r="KHQ411" s="268"/>
      <c r="KHR411" s="268"/>
      <c r="KHS411" s="268"/>
      <c r="KHT411" s="268"/>
      <c r="KHU411" s="268"/>
      <c r="KHV411" s="268"/>
      <c r="KHW411" s="268"/>
      <c r="KHX411" s="268"/>
      <c r="KHY411" s="268"/>
      <c r="KHZ411" s="268"/>
      <c r="KIA411" s="268"/>
      <c r="KIO411" s="268"/>
      <c r="KIP411" s="268"/>
      <c r="KIQ411" s="268"/>
      <c r="KJE411" s="268"/>
      <c r="KJG411" s="268"/>
      <c r="KJH411" s="268"/>
      <c r="KJI411" s="268"/>
      <c r="KJJ411" s="268"/>
      <c r="KJK411" s="268"/>
      <c r="KJL411" s="268"/>
      <c r="KJM411" s="268"/>
      <c r="KJN411" s="268"/>
      <c r="KJO411" s="268"/>
      <c r="KJP411" s="268"/>
      <c r="KJQ411" s="268"/>
      <c r="KJR411" s="268"/>
      <c r="KJS411" s="268"/>
      <c r="KJT411" s="268"/>
      <c r="KJU411" s="268"/>
      <c r="KJV411" s="268"/>
      <c r="KJW411" s="268"/>
      <c r="KJX411" s="268"/>
      <c r="KJY411" s="268"/>
      <c r="KJZ411" s="268"/>
      <c r="KKA411" s="268"/>
      <c r="KKB411" s="268"/>
      <c r="KKC411" s="268"/>
      <c r="KKD411" s="268"/>
      <c r="KKE411" s="268"/>
      <c r="KKF411" s="268"/>
      <c r="KKG411" s="268"/>
      <c r="KKH411" s="268"/>
      <c r="KKI411" s="268"/>
      <c r="KKJ411" s="268"/>
      <c r="KKK411" s="268"/>
      <c r="KKL411" s="268"/>
      <c r="KKM411" s="268"/>
      <c r="KKN411" s="268"/>
      <c r="KKO411" s="268"/>
      <c r="KKP411" s="268"/>
      <c r="KKQ411" s="268"/>
      <c r="KKR411" s="268"/>
      <c r="KKS411" s="268"/>
      <c r="KKT411" s="268"/>
      <c r="KKU411" s="268"/>
      <c r="KKV411" s="268"/>
      <c r="KKW411" s="268"/>
      <c r="KKX411" s="268"/>
      <c r="KKY411" s="268"/>
      <c r="KKZ411" s="268"/>
      <c r="KLA411" s="268"/>
      <c r="KLB411" s="268"/>
      <c r="KLC411" s="268"/>
      <c r="KLD411" s="268"/>
      <c r="KLE411" s="268"/>
      <c r="KLF411" s="268"/>
      <c r="KLG411" s="268"/>
      <c r="KLH411" s="268"/>
      <c r="KLI411" s="268"/>
      <c r="KLJ411" s="268"/>
      <c r="KLK411" s="268"/>
      <c r="KLL411" s="268"/>
      <c r="KLM411" s="268"/>
      <c r="KLN411" s="268"/>
      <c r="KLO411" s="268"/>
      <c r="KLP411" s="268"/>
      <c r="KLQ411" s="268"/>
      <c r="KLR411" s="268"/>
      <c r="KLS411" s="268"/>
      <c r="KLT411" s="268"/>
      <c r="KLU411" s="268"/>
      <c r="KLV411" s="268"/>
      <c r="KLW411" s="268"/>
      <c r="KLX411" s="268"/>
      <c r="KLY411" s="268"/>
      <c r="KLZ411" s="268"/>
      <c r="KMA411" s="268"/>
      <c r="KMB411" s="268"/>
      <c r="KMC411" s="268"/>
      <c r="KMD411" s="268"/>
      <c r="KME411" s="268"/>
      <c r="KMF411" s="268"/>
      <c r="KMG411" s="268"/>
      <c r="KMH411" s="268"/>
      <c r="KMI411" s="268"/>
      <c r="KMJ411" s="268"/>
      <c r="KMK411" s="268"/>
      <c r="KML411" s="268"/>
      <c r="KMM411" s="268"/>
      <c r="KMN411" s="268"/>
      <c r="KMO411" s="268"/>
      <c r="KMP411" s="268"/>
      <c r="KMQ411" s="268"/>
      <c r="KMR411" s="268"/>
      <c r="KMS411" s="268"/>
      <c r="KMT411" s="268"/>
      <c r="KMU411" s="268"/>
      <c r="KMV411" s="268"/>
      <c r="KMW411" s="268"/>
      <c r="KMX411" s="268"/>
      <c r="KMY411" s="268"/>
      <c r="KMZ411" s="268"/>
      <c r="KNA411" s="268"/>
      <c r="KNB411" s="268"/>
      <c r="KNC411" s="268"/>
      <c r="KND411" s="268"/>
      <c r="KNE411" s="268"/>
      <c r="KNF411" s="268"/>
      <c r="KNG411" s="268"/>
      <c r="KNH411" s="268"/>
      <c r="KNI411" s="268"/>
      <c r="KNJ411" s="268"/>
      <c r="KNK411" s="268"/>
      <c r="KNL411" s="268"/>
      <c r="KNM411" s="268"/>
      <c r="KNN411" s="268"/>
      <c r="KNO411" s="268"/>
      <c r="KNP411" s="268"/>
      <c r="KNQ411" s="268"/>
      <c r="KNR411" s="268"/>
      <c r="KNS411" s="268"/>
      <c r="KNT411" s="268"/>
      <c r="KNU411" s="268"/>
      <c r="KNV411" s="268"/>
      <c r="KNW411" s="268"/>
      <c r="KNX411" s="268"/>
      <c r="KNY411" s="268"/>
      <c r="KNZ411" s="268"/>
      <c r="KOA411" s="268"/>
      <c r="KOB411" s="268"/>
      <c r="KOC411" s="268"/>
      <c r="KOD411" s="268"/>
      <c r="KOE411" s="268"/>
      <c r="KOF411" s="268"/>
      <c r="KOG411" s="268"/>
      <c r="KOH411" s="268"/>
      <c r="KOI411" s="268"/>
      <c r="KOJ411" s="268"/>
      <c r="KOK411" s="268"/>
      <c r="KOL411" s="268"/>
      <c r="KOM411" s="268"/>
      <c r="KON411" s="268"/>
      <c r="KOO411" s="268"/>
      <c r="KOP411" s="268"/>
      <c r="KOQ411" s="268"/>
      <c r="KOR411" s="268"/>
      <c r="KOS411" s="268"/>
      <c r="KOT411" s="268"/>
      <c r="KOU411" s="268"/>
      <c r="KOV411" s="268"/>
      <c r="KOW411" s="268"/>
      <c r="KOX411" s="268"/>
      <c r="KOY411" s="268"/>
      <c r="KOZ411" s="268"/>
      <c r="KPA411" s="268"/>
      <c r="KPB411" s="268"/>
      <c r="KPC411" s="268"/>
      <c r="KPD411" s="268"/>
      <c r="KPE411" s="268"/>
      <c r="KPF411" s="268"/>
      <c r="KPG411" s="268"/>
      <c r="KPH411" s="268"/>
      <c r="KPI411" s="268"/>
      <c r="KPJ411" s="268"/>
      <c r="KPK411" s="268"/>
      <c r="KPL411" s="268"/>
      <c r="KPM411" s="268"/>
      <c r="KPN411" s="268"/>
      <c r="KPO411" s="268"/>
      <c r="KPP411" s="268"/>
      <c r="KPQ411" s="268"/>
      <c r="KPR411" s="268"/>
      <c r="KPS411" s="268"/>
      <c r="KPT411" s="268"/>
      <c r="KPU411" s="268"/>
      <c r="KPV411" s="268"/>
      <c r="KPW411" s="268"/>
      <c r="KPX411" s="268"/>
      <c r="KPY411" s="268"/>
      <c r="KPZ411" s="268"/>
      <c r="KQA411" s="268"/>
      <c r="KQB411" s="268"/>
      <c r="KQC411" s="268"/>
      <c r="KQD411" s="268"/>
      <c r="KQE411" s="268"/>
      <c r="KQF411" s="268"/>
      <c r="KQG411" s="268"/>
      <c r="KQH411" s="268"/>
      <c r="KQI411" s="268"/>
      <c r="KQJ411" s="268"/>
      <c r="KQK411" s="268"/>
      <c r="KQL411" s="268"/>
      <c r="KQM411" s="268"/>
      <c r="KQN411" s="268"/>
      <c r="KQO411" s="268"/>
      <c r="KQP411" s="268"/>
      <c r="KQQ411" s="268"/>
      <c r="KQR411" s="268"/>
      <c r="KQS411" s="268"/>
      <c r="KQT411" s="268"/>
      <c r="KQU411" s="268"/>
      <c r="KQV411" s="268"/>
      <c r="KQW411" s="268"/>
      <c r="KQX411" s="268"/>
      <c r="KQY411" s="268"/>
      <c r="KQZ411" s="268"/>
      <c r="KRA411" s="268"/>
      <c r="KRB411" s="268"/>
      <c r="KRC411" s="268"/>
      <c r="KRD411" s="268"/>
      <c r="KRE411" s="268"/>
      <c r="KRF411" s="268"/>
      <c r="KRG411" s="268"/>
      <c r="KRH411" s="268"/>
      <c r="KRI411" s="268"/>
      <c r="KRJ411" s="268"/>
      <c r="KRK411" s="268"/>
      <c r="KRL411" s="268"/>
      <c r="KRM411" s="268"/>
      <c r="KRN411" s="268"/>
      <c r="KRO411" s="268"/>
      <c r="KRP411" s="268"/>
      <c r="KRQ411" s="268"/>
      <c r="KRR411" s="268"/>
      <c r="KRS411" s="268"/>
      <c r="KRT411" s="268"/>
      <c r="KRU411" s="268"/>
      <c r="KRV411" s="268"/>
      <c r="KRW411" s="268"/>
      <c r="KSK411" s="268"/>
      <c r="KSL411" s="268"/>
      <c r="KSM411" s="268"/>
      <c r="KTA411" s="268"/>
      <c r="KTC411" s="268"/>
      <c r="KTD411" s="268"/>
      <c r="KTE411" s="268"/>
      <c r="KTF411" s="268"/>
      <c r="KTG411" s="268"/>
      <c r="KTH411" s="268"/>
      <c r="KTI411" s="268"/>
      <c r="KTJ411" s="268"/>
      <c r="KTK411" s="268"/>
      <c r="KTL411" s="268"/>
      <c r="KTM411" s="268"/>
      <c r="KTN411" s="268"/>
      <c r="KTO411" s="268"/>
      <c r="KTP411" s="268"/>
      <c r="KTQ411" s="268"/>
      <c r="KTR411" s="268"/>
      <c r="KTS411" s="268"/>
      <c r="KTT411" s="268"/>
      <c r="KTU411" s="268"/>
      <c r="KTV411" s="268"/>
      <c r="KTW411" s="268"/>
      <c r="KTX411" s="268"/>
      <c r="KTY411" s="268"/>
      <c r="KTZ411" s="268"/>
      <c r="KUA411" s="268"/>
      <c r="KUB411" s="268"/>
      <c r="KUC411" s="268"/>
      <c r="KUD411" s="268"/>
      <c r="KUE411" s="268"/>
      <c r="KUF411" s="268"/>
      <c r="KUG411" s="268"/>
      <c r="KUH411" s="268"/>
      <c r="KUI411" s="268"/>
      <c r="KUJ411" s="268"/>
      <c r="KUK411" s="268"/>
      <c r="KUL411" s="268"/>
      <c r="KUM411" s="268"/>
      <c r="KUN411" s="268"/>
      <c r="KUO411" s="268"/>
      <c r="KUP411" s="268"/>
      <c r="KUQ411" s="268"/>
      <c r="KUR411" s="268"/>
      <c r="KUS411" s="268"/>
      <c r="KUT411" s="268"/>
      <c r="KUU411" s="268"/>
      <c r="KUV411" s="268"/>
      <c r="KUW411" s="268"/>
      <c r="KUX411" s="268"/>
      <c r="KUY411" s="268"/>
      <c r="KUZ411" s="268"/>
      <c r="KVA411" s="268"/>
      <c r="KVB411" s="268"/>
      <c r="KVC411" s="268"/>
      <c r="KVD411" s="268"/>
      <c r="KVE411" s="268"/>
      <c r="KVF411" s="268"/>
      <c r="KVG411" s="268"/>
      <c r="KVH411" s="268"/>
      <c r="KVI411" s="268"/>
      <c r="KVJ411" s="268"/>
      <c r="KVK411" s="268"/>
      <c r="KVL411" s="268"/>
      <c r="KVM411" s="268"/>
      <c r="KVN411" s="268"/>
      <c r="KVO411" s="268"/>
      <c r="KVP411" s="268"/>
      <c r="KVQ411" s="268"/>
      <c r="KVR411" s="268"/>
      <c r="KVS411" s="268"/>
      <c r="KVT411" s="268"/>
      <c r="KVU411" s="268"/>
      <c r="KVV411" s="268"/>
      <c r="KVW411" s="268"/>
      <c r="KVX411" s="268"/>
      <c r="KVY411" s="268"/>
      <c r="KVZ411" s="268"/>
      <c r="KWA411" s="268"/>
      <c r="KWB411" s="268"/>
      <c r="KWC411" s="268"/>
      <c r="KWD411" s="268"/>
      <c r="KWE411" s="268"/>
      <c r="KWF411" s="268"/>
      <c r="KWG411" s="268"/>
      <c r="KWH411" s="268"/>
      <c r="KWI411" s="268"/>
      <c r="KWJ411" s="268"/>
      <c r="KWK411" s="268"/>
      <c r="KWL411" s="268"/>
      <c r="KWM411" s="268"/>
      <c r="KWN411" s="268"/>
      <c r="KWO411" s="268"/>
      <c r="KWP411" s="268"/>
      <c r="KWQ411" s="268"/>
      <c r="KWR411" s="268"/>
      <c r="KWS411" s="268"/>
      <c r="KWT411" s="268"/>
      <c r="KWU411" s="268"/>
      <c r="KWV411" s="268"/>
      <c r="KWW411" s="268"/>
      <c r="KWX411" s="268"/>
      <c r="KWY411" s="268"/>
      <c r="KWZ411" s="268"/>
      <c r="KXA411" s="268"/>
      <c r="KXB411" s="268"/>
      <c r="KXC411" s="268"/>
      <c r="KXD411" s="268"/>
      <c r="KXE411" s="268"/>
      <c r="KXF411" s="268"/>
      <c r="KXG411" s="268"/>
      <c r="KXH411" s="268"/>
      <c r="KXI411" s="268"/>
      <c r="KXJ411" s="268"/>
      <c r="KXK411" s="268"/>
      <c r="KXL411" s="268"/>
      <c r="KXM411" s="268"/>
      <c r="KXN411" s="268"/>
      <c r="KXO411" s="268"/>
      <c r="KXP411" s="268"/>
      <c r="KXQ411" s="268"/>
      <c r="KXR411" s="268"/>
      <c r="KXS411" s="268"/>
      <c r="KXT411" s="268"/>
      <c r="KXU411" s="268"/>
      <c r="KXV411" s="268"/>
      <c r="KXW411" s="268"/>
      <c r="KXX411" s="268"/>
      <c r="KXY411" s="268"/>
      <c r="KXZ411" s="268"/>
      <c r="KYA411" s="268"/>
      <c r="KYB411" s="268"/>
      <c r="KYC411" s="268"/>
      <c r="KYD411" s="268"/>
      <c r="KYE411" s="268"/>
      <c r="KYF411" s="268"/>
      <c r="KYG411" s="268"/>
      <c r="KYH411" s="268"/>
      <c r="KYI411" s="268"/>
      <c r="KYJ411" s="268"/>
      <c r="KYK411" s="268"/>
      <c r="KYL411" s="268"/>
      <c r="KYM411" s="268"/>
      <c r="KYN411" s="268"/>
      <c r="KYO411" s="268"/>
      <c r="KYP411" s="268"/>
      <c r="KYQ411" s="268"/>
      <c r="KYR411" s="268"/>
      <c r="KYS411" s="268"/>
      <c r="KYT411" s="268"/>
      <c r="KYU411" s="268"/>
      <c r="KYV411" s="268"/>
      <c r="KYW411" s="268"/>
      <c r="KYX411" s="268"/>
      <c r="KYY411" s="268"/>
      <c r="KYZ411" s="268"/>
      <c r="KZA411" s="268"/>
      <c r="KZB411" s="268"/>
      <c r="KZC411" s="268"/>
      <c r="KZD411" s="268"/>
      <c r="KZE411" s="268"/>
      <c r="KZF411" s="268"/>
      <c r="KZG411" s="268"/>
      <c r="KZH411" s="268"/>
      <c r="KZI411" s="268"/>
      <c r="KZJ411" s="268"/>
      <c r="KZK411" s="268"/>
      <c r="KZL411" s="268"/>
      <c r="KZM411" s="268"/>
      <c r="KZN411" s="268"/>
      <c r="KZO411" s="268"/>
      <c r="KZP411" s="268"/>
      <c r="KZQ411" s="268"/>
      <c r="KZR411" s="268"/>
      <c r="KZS411" s="268"/>
      <c r="KZT411" s="268"/>
      <c r="KZU411" s="268"/>
      <c r="KZV411" s="268"/>
      <c r="KZW411" s="268"/>
      <c r="KZX411" s="268"/>
      <c r="KZY411" s="268"/>
      <c r="KZZ411" s="268"/>
      <c r="LAA411" s="268"/>
      <c r="LAB411" s="268"/>
      <c r="LAC411" s="268"/>
      <c r="LAD411" s="268"/>
      <c r="LAE411" s="268"/>
      <c r="LAF411" s="268"/>
      <c r="LAG411" s="268"/>
      <c r="LAH411" s="268"/>
      <c r="LAI411" s="268"/>
      <c r="LAJ411" s="268"/>
      <c r="LAK411" s="268"/>
      <c r="LAL411" s="268"/>
      <c r="LAM411" s="268"/>
      <c r="LAN411" s="268"/>
      <c r="LAO411" s="268"/>
      <c r="LAP411" s="268"/>
      <c r="LAQ411" s="268"/>
      <c r="LAR411" s="268"/>
      <c r="LAS411" s="268"/>
      <c r="LAT411" s="268"/>
      <c r="LAU411" s="268"/>
      <c r="LAV411" s="268"/>
      <c r="LAW411" s="268"/>
      <c r="LAX411" s="268"/>
      <c r="LAY411" s="268"/>
      <c r="LAZ411" s="268"/>
      <c r="LBA411" s="268"/>
      <c r="LBB411" s="268"/>
      <c r="LBC411" s="268"/>
      <c r="LBD411" s="268"/>
      <c r="LBE411" s="268"/>
      <c r="LBF411" s="268"/>
      <c r="LBG411" s="268"/>
      <c r="LBH411" s="268"/>
      <c r="LBI411" s="268"/>
      <c r="LBJ411" s="268"/>
      <c r="LBK411" s="268"/>
      <c r="LBL411" s="268"/>
      <c r="LBM411" s="268"/>
      <c r="LBN411" s="268"/>
      <c r="LBO411" s="268"/>
      <c r="LBP411" s="268"/>
      <c r="LBQ411" s="268"/>
      <c r="LBR411" s="268"/>
      <c r="LBS411" s="268"/>
      <c r="LCG411" s="268"/>
      <c r="LCH411" s="268"/>
      <c r="LCI411" s="268"/>
      <c r="LCW411" s="268"/>
      <c r="LCY411" s="268"/>
      <c r="LCZ411" s="268"/>
      <c r="LDA411" s="268"/>
      <c r="LDB411" s="268"/>
      <c r="LDC411" s="268"/>
      <c r="LDD411" s="268"/>
      <c r="LDE411" s="268"/>
      <c r="LDF411" s="268"/>
      <c r="LDG411" s="268"/>
      <c r="LDH411" s="268"/>
      <c r="LDI411" s="268"/>
      <c r="LDJ411" s="268"/>
      <c r="LDK411" s="268"/>
      <c r="LDL411" s="268"/>
      <c r="LDM411" s="268"/>
      <c r="LDN411" s="268"/>
      <c r="LDO411" s="268"/>
      <c r="LDP411" s="268"/>
      <c r="LDQ411" s="268"/>
      <c r="LDR411" s="268"/>
      <c r="LDS411" s="268"/>
      <c r="LDT411" s="268"/>
      <c r="LDU411" s="268"/>
      <c r="LDV411" s="268"/>
      <c r="LDW411" s="268"/>
      <c r="LDX411" s="268"/>
      <c r="LDY411" s="268"/>
      <c r="LDZ411" s="268"/>
      <c r="LEA411" s="268"/>
      <c r="LEB411" s="268"/>
      <c r="LEC411" s="268"/>
      <c r="LED411" s="268"/>
      <c r="LEE411" s="268"/>
      <c r="LEF411" s="268"/>
      <c r="LEG411" s="268"/>
      <c r="LEH411" s="268"/>
      <c r="LEI411" s="268"/>
      <c r="LEJ411" s="268"/>
      <c r="LEK411" s="268"/>
      <c r="LEL411" s="268"/>
      <c r="LEM411" s="268"/>
      <c r="LEN411" s="268"/>
      <c r="LEO411" s="268"/>
      <c r="LEP411" s="268"/>
      <c r="LEQ411" s="268"/>
      <c r="LER411" s="268"/>
      <c r="LES411" s="268"/>
      <c r="LET411" s="268"/>
      <c r="LEU411" s="268"/>
      <c r="LEV411" s="268"/>
      <c r="LEW411" s="268"/>
      <c r="LEX411" s="268"/>
      <c r="LEY411" s="268"/>
      <c r="LEZ411" s="268"/>
      <c r="LFA411" s="268"/>
      <c r="LFB411" s="268"/>
      <c r="LFC411" s="268"/>
      <c r="LFD411" s="268"/>
      <c r="LFE411" s="268"/>
      <c r="LFF411" s="268"/>
      <c r="LFG411" s="268"/>
      <c r="LFH411" s="268"/>
      <c r="LFI411" s="268"/>
      <c r="LFJ411" s="268"/>
      <c r="LFK411" s="268"/>
      <c r="LFL411" s="268"/>
      <c r="LFM411" s="268"/>
      <c r="LFN411" s="268"/>
      <c r="LFO411" s="268"/>
      <c r="LFP411" s="268"/>
      <c r="LFQ411" s="268"/>
      <c r="LFR411" s="268"/>
      <c r="LFS411" s="268"/>
      <c r="LFT411" s="268"/>
      <c r="LFU411" s="268"/>
      <c r="LFV411" s="268"/>
      <c r="LFW411" s="268"/>
      <c r="LFX411" s="268"/>
      <c r="LFY411" s="268"/>
      <c r="LFZ411" s="268"/>
      <c r="LGA411" s="268"/>
      <c r="LGB411" s="268"/>
      <c r="LGC411" s="268"/>
      <c r="LGD411" s="268"/>
      <c r="LGE411" s="268"/>
      <c r="LGF411" s="268"/>
      <c r="LGG411" s="268"/>
      <c r="LGH411" s="268"/>
      <c r="LGI411" s="268"/>
      <c r="LGJ411" s="268"/>
      <c r="LGK411" s="268"/>
      <c r="LGL411" s="268"/>
      <c r="LGM411" s="268"/>
      <c r="LGN411" s="268"/>
      <c r="LGO411" s="268"/>
      <c r="LGP411" s="268"/>
      <c r="LGQ411" s="268"/>
      <c r="LGR411" s="268"/>
      <c r="LGS411" s="268"/>
      <c r="LGT411" s="268"/>
      <c r="LGU411" s="268"/>
      <c r="LGV411" s="268"/>
      <c r="LGW411" s="268"/>
      <c r="LGX411" s="268"/>
      <c r="LGY411" s="268"/>
      <c r="LGZ411" s="268"/>
      <c r="LHA411" s="268"/>
      <c r="LHB411" s="268"/>
      <c r="LHC411" s="268"/>
      <c r="LHD411" s="268"/>
      <c r="LHE411" s="268"/>
      <c r="LHF411" s="268"/>
      <c r="LHG411" s="268"/>
      <c r="LHH411" s="268"/>
      <c r="LHI411" s="268"/>
      <c r="LHJ411" s="268"/>
      <c r="LHK411" s="268"/>
      <c r="LHL411" s="268"/>
      <c r="LHM411" s="268"/>
      <c r="LHN411" s="268"/>
      <c r="LHO411" s="268"/>
      <c r="LHP411" s="268"/>
      <c r="LHQ411" s="268"/>
      <c r="LHR411" s="268"/>
      <c r="LHS411" s="268"/>
      <c r="LHT411" s="268"/>
      <c r="LHU411" s="268"/>
      <c r="LHV411" s="268"/>
      <c r="LHW411" s="268"/>
      <c r="LHX411" s="268"/>
      <c r="LHY411" s="268"/>
      <c r="LHZ411" s="268"/>
      <c r="LIA411" s="268"/>
      <c r="LIB411" s="268"/>
      <c r="LIC411" s="268"/>
      <c r="LID411" s="268"/>
      <c r="LIE411" s="268"/>
      <c r="LIF411" s="268"/>
      <c r="LIG411" s="268"/>
      <c r="LIH411" s="268"/>
      <c r="LII411" s="268"/>
      <c r="LIJ411" s="268"/>
      <c r="LIK411" s="268"/>
      <c r="LIL411" s="268"/>
      <c r="LIM411" s="268"/>
      <c r="LIN411" s="268"/>
      <c r="LIO411" s="268"/>
      <c r="LIP411" s="268"/>
      <c r="LIQ411" s="268"/>
      <c r="LIR411" s="268"/>
      <c r="LIS411" s="268"/>
      <c r="LIT411" s="268"/>
      <c r="LIU411" s="268"/>
      <c r="LIV411" s="268"/>
      <c r="LIW411" s="268"/>
      <c r="LIX411" s="268"/>
      <c r="LIY411" s="268"/>
      <c r="LIZ411" s="268"/>
      <c r="LJA411" s="268"/>
      <c r="LJB411" s="268"/>
      <c r="LJC411" s="268"/>
      <c r="LJD411" s="268"/>
      <c r="LJE411" s="268"/>
      <c r="LJF411" s="268"/>
      <c r="LJG411" s="268"/>
      <c r="LJH411" s="268"/>
      <c r="LJI411" s="268"/>
      <c r="LJJ411" s="268"/>
      <c r="LJK411" s="268"/>
      <c r="LJL411" s="268"/>
      <c r="LJM411" s="268"/>
      <c r="LJN411" s="268"/>
      <c r="LJO411" s="268"/>
      <c r="LJP411" s="268"/>
      <c r="LJQ411" s="268"/>
      <c r="LJR411" s="268"/>
      <c r="LJS411" s="268"/>
      <c r="LJT411" s="268"/>
      <c r="LJU411" s="268"/>
      <c r="LJV411" s="268"/>
      <c r="LJW411" s="268"/>
      <c r="LJX411" s="268"/>
      <c r="LJY411" s="268"/>
      <c r="LJZ411" s="268"/>
      <c r="LKA411" s="268"/>
      <c r="LKB411" s="268"/>
      <c r="LKC411" s="268"/>
      <c r="LKD411" s="268"/>
      <c r="LKE411" s="268"/>
      <c r="LKF411" s="268"/>
      <c r="LKG411" s="268"/>
      <c r="LKH411" s="268"/>
      <c r="LKI411" s="268"/>
      <c r="LKJ411" s="268"/>
      <c r="LKK411" s="268"/>
      <c r="LKL411" s="268"/>
      <c r="LKM411" s="268"/>
      <c r="LKN411" s="268"/>
      <c r="LKO411" s="268"/>
      <c r="LKP411" s="268"/>
      <c r="LKQ411" s="268"/>
      <c r="LKR411" s="268"/>
      <c r="LKS411" s="268"/>
      <c r="LKT411" s="268"/>
      <c r="LKU411" s="268"/>
      <c r="LKV411" s="268"/>
      <c r="LKW411" s="268"/>
      <c r="LKX411" s="268"/>
      <c r="LKY411" s="268"/>
      <c r="LKZ411" s="268"/>
      <c r="LLA411" s="268"/>
      <c r="LLB411" s="268"/>
      <c r="LLC411" s="268"/>
      <c r="LLD411" s="268"/>
      <c r="LLE411" s="268"/>
      <c r="LLF411" s="268"/>
      <c r="LLG411" s="268"/>
      <c r="LLH411" s="268"/>
      <c r="LLI411" s="268"/>
      <c r="LLJ411" s="268"/>
      <c r="LLK411" s="268"/>
      <c r="LLL411" s="268"/>
      <c r="LLM411" s="268"/>
      <c r="LLN411" s="268"/>
      <c r="LLO411" s="268"/>
      <c r="LMC411" s="268"/>
      <c r="LMD411" s="268"/>
      <c r="LME411" s="268"/>
      <c r="LMS411" s="268"/>
      <c r="LMU411" s="268"/>
      <c r="LMV411" s="268"/>
      <c r="LMW411" s="268"/>
      <c r="LMX411" s="268"/>
      <c r="LMY411" s="268"/>
      <c r="LMZ411" s="268"/>
      <c r="LNA411" s="268"/>
      <c r="LNB411" s="268"/>
      <c r="LNC411" s="268"/>
      <c r="LND411" s="268"/>
      <c r="LNE411" s="268"/>
      <c r="LNF411" s="268"/>
      <c r="LNG411" s="268"/>
      <c r="LNH411" s="268"/>
      <c r="LNI411" s="268"/>
      <c r="LNJ411" s="268"/>
      <c r="LNK411" s="268"/>
      <c r="LNL411" s="268"/>
      <c r="LNM411" s="268"/>
      <c r="LNN411" s="268"/>
      <c r="LNO411" s="268"/>
      <c r="LNP411" s="268"/>
      <c r="LNQ411" s="268"/>
      <c r="LNR411" s="268"/>
      <c r="LNS411" s="268"/>
      <c r="LNT411" s="268"/>
      <c r="LNU411" s="268"/>
      <c r="LNV411" s="268"/>
      <c r="LNW411" s="268"/>
      <c r="LNX411" s="268"/>
      <c r="LNY411" s="268"/>
      <c r="LNZ411" s="268"/>
      <c r="LOA411" s="268"/>
      <c r="LOB411" s="268"/>
      <c r="LOC411" s="268"/>
      <c r="LOD411" s="268"/>
      <c r="LOE411" s="268"/>
      <c r="LOF411" s="268"/>
      <c r="LOG411" s="268"/>
      <c r="LOH411" s="268"/>
      <c r="LOI411" s="268"/>
      <c r="LOJ411" s="268"/>
      <c r="LOK411" s="268"/>
      <c r="LOL411" s="268"/>
      <c r="LOM411" s="268"/>
      <c r="LON411" s="268"/>
      <c r="LOO411" s="268"/>
      <c r="LOP411" s="268"/>
      <c r="LOQ411" s="268"/>
      <c r="LOR411" s="268"/>
      <c r="LOS411" s="268"/>
      <c r="LOT411" s="268"/>
      <c r="LOU411" s="268"/>
      <c r="LOV411" s="268"/>
      <c r="LOW411" s="268"/>
      <c r="LOX411" s="268"/>
      <c r="LOY411" s="268"/>
      <c r="LOZ411" s="268"/>
      <c r="LPA411" s="268"/>
      <c r="LPB411" s="268"/>
      <c r="LPC411" s="268"/>
      <c r="LPD411" s="268"/>
      <c r="LPE411" s="268"/>
      <c r="LPF411" s="268"/>
      <c r="LPG411" s="268"/>
      <c r="LPH411" s="268"/>
      <c r="LPI411" s="268"/>
      <c r="LPJ411" s="268"/>
      <c r="LPK411" s="268"/>
      <c r="LPL411" s="268"/>
      <c r="LPM411" s="268"/>
      <c r="LPN411" s="268"/>
      <c r="LPO411" s="268"/>
      <c r="LPP411" s="268"/>
      <c r="LPQ411" s="268"/>
      <c r="LPR411" s="268"/>
      <c r="LPS411" s="268"/>
      <c r="LPT411" s="268"/>
      <c r="LPU411" s="268"/>
      <c r="LPV411" s="268"/>
      <c r="LPW411" s="268"/>
      <c r="LPX411" s="268"/>
      <c r="LPY411" s="268"/>
      <c r="LPZ411" s="268"/>
      <c r="LQA411" s="268"/>
      <c r="LQB411" s="268"/>
      <c r="LQC411" s="268"/>
      <c r="LQD411" s="268"/>
      <c r="LQE411" s="268"/>
      <c r="LQF411" s="268"/>
      <c r="LQG411" s="268"/>
      <c r="LQH411" s="268"/>
      <c r="LQI411" s="268"/>
      <c r="LQJ411" s="268"/>
      <c r="LQK411" s="268"/>
      <c r="LQL411" s="268"/>
      <c r="LQM411" s="268"/>
      <c r="LQN411" s="268"/>
      <c r="LQO411" s="268"/>
      <c r="LQP411" s="268"/>
      <c r="LQQ411" s="268"/>
      <c r="LQR411" s="268"/>
      <c r="LQS411" s="268"/>
      <c r="LQT411" s="268"/>
      <c r="LQU411" s="268"/>
      <c r="LQV411" s="268"/>
      <c r="LQW411" s="268"/>
      <c r="LQX411" s="268"/>
      <c r="LQY411" s="268"/>
      <c r="LQZ411" s="268"/>
      <c r="LRA411" s="268"/>
      <c r="LRB411" s="268"/>
      <c r="LRC411" s="268"/>
      <c r="LRD411" s="268"/>
      <c r="LRE411" s="268"/>
      <c r="LRF411" s="268"/>
      <c r="LRG411" s="268"/>
      <c r="LRH411" s="268"/>
      <c r="LRI411" s="268"/>
      <c r="LRJ411" s="268"/>
      <c r="LRK411" s="268"/>
      <c r="LRL411" s="268"/>
      <c r="LRM411" s="268"/>
      <c r="LRN411" s="268"/>
      <c r="LRO411" s="268"/>
      <c r="LRP411" s="268"/>
      <c r="LRQ411" s="268"/>
      <c r="LRR411" s="268"/>
      <c r="LRS411" s="268"/>
      <c r="LRT411" s="268"/>
      <c r="LRU411" s="268"/>
      <c r="LRV411" s="268"/>
      <c r="LRW411" s="268"/>
      <c r="LRX411" s="268"/>
      <c r="LRY411" s="268"/>
      <c r="LRZ411" s="268"/>
      <c r="LSA411" s="268"/>
      <c r="LSB411" s="268"/>
      <c r="LSC411" s="268"/>
      <c r="LSD411" s="268"/>
      <c r="LSE411" s="268"/>
      <c r="LSF411" s="268"/>
      <c r="LSG411" s="268"/>
      <c r="LSH411" s="268"/>
      <c r="LSI411" s="268"/>
      <c r="LSJ411" s="268"/>
      <c r="LSK411" s="268"/>
      <c r="LSL411" s="268"/>
      <c r="LSM411" s="268"/>
      <c r="LSN411" s="268"/>
      <c r="LSO411" s="268"/>
      <c r="LSP411" s="268"/>
      <c r="LSQ411" s="268"/>
      <c r="LSR411" s="268"/>
      <c r="LSS411" s="268"/>
      <c r="LST411" s="268"/>
      <c r="LSU411" s="268"/>
      <c r="LSV411" s="268"/>
      <c r="LSW411" s="268"/>
      <c r="LSX411" s="268"/>
      <c r="LSY411" s="268"/>
      <c r="LSZ411" s="268"/>
      <c r="LTA411" s="268"/>
      <c r="LTB411" s="268"/>
      <c r="LTC411" s="268"/>
      <c r="LTD411" s="268"/>
      <c r="LTE411" s="268"/>
      <c r="LTF411" s="268"/>
      <c r="LTG411" s="268"/>
      <c r="LTH411" s="268"/>
      <c r="LTI411" s="268"/>
      <c r="LTJ411" s="268"/>
      <c r="LTK411" s="268"/>
      <c r="LTL411" s="268"/>
      <c r="LTM411" s="268"/>
      <c r="LTN411" s="268"/>
      <c r="LTO411" s="268"/>
      <c r="LTP411" s="268"/>
      <c r="LTQ411" s="268"/>
      <c r="LTR411" s="268"/>
      <c r="LTS411" s="268"/>
      <c r="LTT411" s="268"/>
      <c r="LTU411" s="268"/>
      <c r="LTV411" s="268"/>
      <c r="LTW411" s="268"/>
      <c r="LTX411" s="268"/>
      <c r="LTY411" s="268"/>
      <c r="LTZ411" s="268"/>
      <c r="LUA411" s="268"/>
      <c r="LUB411" s="268"/>
      <c r="LUC411" s="268"/>
      <c r="LUD411" s="268"/>
      <c r="LUE411" s="268"/>
      <c r="LUF411" s="268"/>
      <c r="LUG411" s="268"/>
      <c r="LUH411" s="268"/>
      <c r="LUI411" s="268"/>
      <c r="LUJ411" s="268"/>
      <c r="LUK411" s="268"/>
      <c r="LUL411" s="268"/>
      <c r="LUM411" s="268"/>
      <c r="LUN411" s="268"/>
      <c r="LUO411" s="268"/>
      <c r="LUP411" s="268"/>
      <c r="LUQ411" s="268"/>
      <c r="LUR411" s="268"/>
      <c r="LUS411" s="268"/>
      <c r="LUT411" s="268"/>
      <c r="LUU411" s="268"/>
      <c r="LUV411" s="268"/>
      <c r="LUW411" s="268"/>
      <c r="LUX411" s="268"/>
      <c r="LUY411" s="268"/>
      <c r="LUZ411" s="268"/>
      <c r="LVA411" s="268"/>
      <c r="LVB411" s="268"/>
      <c r="LVC411" s="268"/>
      <c r="LVD411" s="268"/>
      <c r="LVE411" s="268"/>
      <c r="LVF411" s="268"/>
      <c r="LVG411" s="268"/>
      <c r="LVH411" s="268"/>
      <c r="LVI411" s="268"/>
      <c r="LVJ411" s="268"/>
      <c r="LVK411" s="268"/>
      <c r="LVY411" s="268"/>
      <c r="LVZ411" s="268"/>
      <c r="LWA411" s="268"/>
      <c r="LWO411" s="268"/>
      <c r="LWQ411" s="268"/>
      <c r="LWR411" s="268"/>
      <c r="LWS411" s="268"/>
      <c r="LWT411" s="268"/>
      <c r="LWU411" s="268"/>
      <c r="LWV411" s="268"/>
      <c r="LWW411" s="268"/>
      <c r="LWX411" s="268"/>
      <c r="LWY411" s="268"/>
      <c r="LWZ411" s="268"/>
      <c r="LXA411" s="268"/>
      <c r="LXB411" s="268"/>
      <c r="LXC411" s="268"/>
      <c r="LXD411" s="268"/>
      <c r="LXE411" s="268"/>
      <c r="LXF411" s="268"/>
      <c r="LXG411" s="268"/>
      <c r="LXH411" s="268"/>
      <c r="LXI411" s="268"/>
      <c r="LXJ411" s="268"/>
      <c r="LXK411" s="268"/>
      <c r="LXL411" s="268"/>
      <c r="LXM411" s="268"/>
      <c r="LXN411" s="268"/>
      <c r="LXO411" s="268"/>
      <c r="LXP411" s="268"/>
      <c r="LXQ411" s="268"/>
      <c r="LXR411" s="268"/>
      <c r="LXS411" s="268"/>
      <c r="LXT411" s="268"/>
      <c r="LXU411" s="268"/>
      <c r="LXV411" s="268"/>
      <c r="LXW411" s="268"/>
      <c r="LXX411" s="268"/>
      <c r="LXY411" s="268"/>
      <c r="LXZ411" s="268"/>
      <c r="LYA411" s="268"/>
      <c r="LYB411" s="268"/>
      <c r="LYC411" s="268"/>
      <c r="LYD411" s="268"/>
      <c r="LYE411" s="268"/>
      <c r="LYF411" s="268"/>
      <c r="LYG411" s="268"/>
      <c r="LYH411" s="268"/>
      <c r="LYI411" s="268"/>
      <c r="LYJ411" s="268"/>
      <c r="LYK411" s="268"/>
      <c r="LYL411" s="268"/>
      <c r="LYM411" s="268"/>
      <c r="LYN411" s="268"/>
      <c r="LYO411" s="268"/>
      <c r="LYP411" s="268"/>
      <c r="LYQ411" s="268"/>
      <c r="LYR411" s="268"/>
      <c r="LYS411" s="268"/>
      <c r="LYT411" s="268"/>
      <c r="LYU411" s="268"/>
      <c r="LYV411" s="268"/>
      <c r="LYW411" s="268"/>
      <c r="LYX411" s="268"/>
      <c r="LYY411" s="268"/>
      <c r="LYZ411" s="268"/>
      <c r="LZA411" s="268"/>
      <c r="LZB411" s="268"/>
      <c r="LZC411" s="268"/>
      <c r="LZD411" s="268"/>
      <c r="LZE411" s="268"/>
      <c r="LZF411" s="268"/>
      <c r="LZG411" s="268"/>
      <c r="LZH411" s="268"/>
      <c r="LZI411" s="268"/>
      <c r="LZJ411" s="268"/>
      <c r="LZK411" s="268"/>
      <c r="LZL411" s="268"/>
      <c r="LZM411" s="268"/>
      <c r="LZN411" s="268"/>
      <c r="LZO411" s="268"/>
      <c r="LZP411" s="268"/>
      <c r="LZQ411" s="268"/>
      <c r="LZR411" s="268"/>
      <c r="LZS411" s="268"/>
      <c r="LZT411" s="268"/>
      <c r="LZU411" s="268"/>
      <c r="LZV411" s="268"/>
      <c r="LZW411" s="268"/>
      <c r="LZX411" s="268"/>
      <c r="LZY411" s="268"/>
      <c r="LZZ411" s="268"/>
      <c r="MAA411" s="268"/>
      <c r="MAB411" s="268"/>
      <c r="MAC411" s="268"/>
      <c r="MAD411" s="268"/>
      <c r="MAE411" s="268"/>
      <c r="MAF411" s="268"/>
      <c r="MAG411" s="268"/>
      <c r="MAH411" s="268"/>
      <c r="MAI411" s="268"/>
      <c r="MAJ411" s="268"/>
      <c r="MAK411" s="268"/>
      <c r="MAL411" s="268"/>
      <c r="MAM411" s="268"/>
      <c r="MAN411" s="268"/>
      <c r="MAO411" s="268"/>
      <c r="MAP411" s="268"/>
      <c r="MAQ411" s="268"/>
      <c r="MAR411" s="268"/>
      <c r="MAS411" s="268"/>
      <c r="MAT411" s="268"/>
      <c r="MAU411" s="268"/>
      <c r="MAV411" s="268"/>
      <c r="MAW411" s="268"/>
      <c r="MAX411" s="268"/>
      <c r="MAY411" s="268"/>
      <c r="MAZ411" s="268"/>
      <c r="MBA411" s="268"/>
      <c r="MBB411" s="268"/>
      <c r="MBC411" s="268"/>
      <c r="MBD411" s="268"/>
      <c r="MBE411" s="268"/>
      <c r="MBF411" s="268"/>
      <c r="MBG411" s="268"/>
      <c r="MBH411" s="268"/>
      <c r="MBI411" s="268"/>
      <c r="MBJ411" s="268"/>
      <c r="MBK411" s="268"/>
      <c r="MBL411" s="268"/>
      <c r="MBM411" s="268"/>
      <c r="MBN411" s="268"/>
      <c r="MBO411" s="268"/>
      <c r="MBP411" s="268"/>
      <c r="MBQ411" s="268"/>
      <c r="MBR411" s="268"/>
      <c r="MBS411" s="268"/>
      <c r="MBT411" s="268"/>
      <c r="MBU411" s="268"/>
      <c r="MBV411" s="268"/>
      <c r="MBW411" s="268"/>
      <c r="MBX411" s="268"/>
      <c r="MBY411" s="268"/>
      <c r="MBZ411" s="268"/>
      <c r="MCA411" s="268"/>
      <c r="MCB411" s="268"/>
      <c r="MCC411" s="268"/>
      <c r="MCD411" s="268"/>
      <c r="MCE411" s="268"/>
      <c r="MCF411" s="268"/>
      <c r="MCG411" s="268"/>
      <c r="MCH411" s="268"/>
      <c r="MCI411" s="268"/>
      <c r="MCJ411" s="268"/>
      <c r="MCK411" s="268"/>
      <c r="MCL411" s="268"/>
      <c r="MCM411" s="268"/>
      <c r="MCN411" s="268"/>
      <c r="MCO411" s="268"/>
      <c r="MCP411" s="268"/>
      <c r="MCQ411" s="268"/>
      <c r="MCR411" s="268"/>
      <c r="MCS411" s="268"/>
      <c r="MCT411" s="268"/>
      <c r="MCU411" s="268"/>
      <c r="MCV411" s="268"/>
      <c r="MCW411" s="268"/>
      <c r="MCX411" s="268"/>
      <c r="MCY411" s="268"/>
      <c r="MCZ411" s="268"/>
      <c r="MDA411" s="268"/>
      <c r="MDB411" s="268"/>
      <c r="MDC411" s="268"/>
      <c r="MDD411" s="268"/>
      <c r="MDE411" s="268"/>
      <c r="MDF411" s="268"/>
      <c r="MDG411" s="268"/>
      <c r="MDH411" s="268"/>
      <c r="MDI411" s="268"/>
      <c r="MDJ411" s="268"/>
      <c r="MDK411" s="268"/>
      <c r="MDL411" s="268"/>
      <c r="MDM411" s="268"/>
      <c r="MDN411" s="268"/>
      <c r="MDO411" s="268"/>
      <c r="MDP411" s="268"/>
      <c r="MDQ411" s="268"/>
      <c r="MDR411" s="268"/>
      <c r="MDS411" s="268"/>
      <c r="MDT411" s="268"/>
      <c r="MDU411" s="268"/>
      <c r="MDV411" s="268"/>
      <c r="MDW411" s="268"/>
      <c r="MDX411" s="268"/>
      <c r="MDY411" s="268"/>
      <c r="MDZ411" s="268"/>
      <c r="MEA411" s="268"/>
      <c r="MEB411" s="268"/>
      <c r="MEC411" s="268"/>
      <c r="MED411" s="268"/>
      <c r="MEE411" s="268"/>
      <c r="MEF411" s="268"/>
      <c r="MEG411" s="268"/>
      <c r="MEH411" s="268"/>
      <c r="MEI411" s="268"/>
      <c r="MEJ411" s="268"/>
      <c r="MEK411" s="268"/>
      <c r="MEL411" s="268"/>
      <c r="MEM411" s="268"/>
      <c r="MEN411" s="268"/>
      <c r="MEO411" s="268"/>
      <c r="MEP411" s="268"/>
      <c r="MEQ411" s="268"/>
      <c r="MER411" s="268"/>
      <c r="MES411" s="268"/>
      <c r="MET411" s="268"/>
      <c r="MEU411" s="268"/>
      <c r="MEV411" s="268"/>
      <c r="MEW411" s="268"/>
      <c r="MEX411" s="268"/>
      <c r="MEY411" s="268"/>
      <c r="MEZ411" s="268"/>
      <c r="MFA411" s="268"/>
      <c r="MFB411" s="268"/>
      <c r="MFC411" s="268"/>
      <c r="MFD411" s="268"/>
      <c r="MFE411" s="268"/>
      <c r="MFF411" s="268"/>
      <c r="MFG411" s="268"/>
      <c r="MFU411" s="268"/>
      <c r="MFV411" s="268"/>
      <c r="MFW411" s="268"/>
      <c r="MGK411" s="268"/>
      <c r="MGM411" s="268"/>
      <c r="MGN411" s="268"/>
      <c r="MGO411" s="268"/>
      <c r="MGP411" s="268"/>
      <c r="MGQ411" s="268"/>
      <c r="MGR411" s="268"/>
      <c r="MGS411" s="268"/>
      <c r="MGT411" s="268"/>
      <c r="MGU411" s="268"/>
      <c r="MGV411" s="268"/>
      <c r="MGW411" s="268"/>
      <c r="MGX411" s="268"/>
      <c r="MGY411" s="268"/>
      <c r="MGZ411" s="268"/>
      <c r="MHA411" s="268"/>
      <c r="MHB411" s="268"/>
      <c r="MHC411" s="268"/>
      <c r="MHD411" s="268"/>
      <c r="MHE411" s="268"/>
      <c r="MHF411" s="268"/>
      <c r="MHG411" s="268"/>
      <c r="MHH411" s="268"/>
      <c r="MHI411" s="268"/>
      <c r="MHJ411" s="268"/>
      <c r="MHK411" s="268"/>
      <c r="MHL411" s="268"/>
      <c r="MHM411" s="268"/>
      <c r="MHN411" s="268"/>
      <c r="MHO411" s="268"/>
      <c r="MHP411" s="268"/>
      <c r="MHQ411" s="268"/>
      <c r="MHR411" s="268"/>
      <c r="MHS411" s="268"/>
      <c r="MHT411" s="268"/>
      <c r="MHU411" s="268"/>
      <c r="MHV411" s="268"/>
      <c r="MHW411" s="268"/>
      <c r="MHX411" s="268"/>
      <c r="MHY411" s="268"/>
      <c r="MHZ411" s="268"/>
      <c r="MIA411" s="268"/>
      <c r="MIB411" s="268"/>
      <c r="MIC411" s="268"/>
      <c r="MID411" s="268"/>
      <c r="MIE411" s="268"/>
      <c r="MIF411" s="268"/>
      <c r="MIG411" s="268"/>
      <c r="MIH411" s="268"/>
      <c r="MII411" s="268"/>
      <c r="MIJ411" s="268"/>
      <c r="MIK411" s="268"/>
      <c r="MIL411" s="268"/>
      <c r="MIM411" s="268"/>
      <c r="MIN411" s="268"/>
      <c r="MIO411" s="268"/>
      <c r="MIP411" s="268"/>
      <c r="MIQ411" s="268"/>
      <c r="MIR411" s="268"/>
      <c r="MIS411" s="268"/>
      <c r="MIT411" s="268"/>
      <c r="MIU411" s="268"/>
      <c r="MIV411" s="268"/>
      <c r="MIW411" s="268"/>
      <c r="MIX411" s="268"/>
      <c r="MIY411" s="268"/>
      <c r="MIZ411" s="268"/>
      <c r="MJA411" s="268"/>
      <c r="MJB411" s="268"/>
      <c r="MJC411" s="268"/>
      <c r="MJD411" s="268"/>
      <c r="MJE411" s="268"/>
      <c r="MJF411" s="268"/>
      <c r="MJG411" s="268"/>
      <c r="MJH411" s="268"/>
      <c r="MJI411" s="268"/>
      <c r="MJJ411" s="268"/>
      <c r="MJK411" s="268"/>
      <c r="MJL411" s="268"/>
      <c r="MJM411" s="268"/>
      <c r="MJN411" s="268"/>
      <c r="MJO411" s="268"/>
      <c r="MJP411" s="268"/>
      <c r="MJQ411" s="268"/>
      <c r="MJR411" s="268"/>
      <c r="MJS411" s="268"/>
      <c r="MJT411" s="268"/>
      <c r="MJU411" s="268"/>
      <c r="MJV411" s="268"/>
      <c r="MJW411" s="268"/>
      <c r="MJX411" s="268"/>
      <c r="MJY411" s="268"/>
      <c r="MJZ411" s="268"/>
      <c r="MKA411" s="268"/>
      <c r="MKB411" s="268"/>
      <c r="MKC411" s="268"/>
      <c r="MKD411" s="268"/>
      <c r="MKE411" s="268"/>
      <c r="MKF411" s="268"/>
      <c r="MKG411" s="268"/>
      <c r="MKH411" s="268"/>
      <c r="MKI411" s="268"/>
      <c r="MKJ411" s="268"/>
      <c r="MKK411" s="268"/>
      <c r="MKL411" s="268"/>
      <c r="MKM411" s="268"/>
      <c r="MKN411" s="268"/>
      <c r="MKO411" s="268"/>
      <c r="MKP411" s="268"/>
      <c r="MKQ411" s="268"/>
      <c r="MKR411" s="268"/>
      <c r="MKS411" s="268"/>
      <c r="MKT411" s="268"/>
      <c r="MKU411" s="268"/>
      <c r="MKV411" s="268"/>
      <c r="MKW411" s="268"/>
      <c r="MKX411" s="268"/>
      <c r="MKY411" s="268"/>
      <c r="MKZ411" s="268"/>
      <c r="MLA411" s="268"/>
      <c r="MLB411" s="268"/>
      <c r="MLC411" s="268"/>
      <c r="MLD411" s="268"/>
      <c r="MLE411" s="268"/>
      <c r="MLF411" s="268"/>
      <c r="MLG411" s="268"/>
      <c r="MLH411" s="268"/>
      <c r="MLI411" s="268"/>
      <c r="MLJ411" s="268"/>
      <c r="MLK411" s="268"/>
      <c r="MLL411" s="268"/>
      <c r="MLM411" s="268"/>
      <c r="MLN411" s="268"/>
      <c r="MLO411" s="268"/>
      <c r="MLP411" s="268"/>
      <c r="MLQ411" s="268"/>
      <c r="MLR411" s="268"/>
      <c r="MLS411" s="268"/>
      <c r="MLT411" s="268"/>
      <c r="MLU411" s="268"/>
      <c r="MLV411" s="268"/>
      <c r="MLW411" s="268"/>
      <c r="MLX411" s="268"/>
      <c r="MLY411" s="268"/>
      <c r="MLZ411" s="268"/>
      <c r="MMA411" s="268"/>
      <c r="MMB411" s="268"/>
      <c r="MMC411" s="268"/>
      <c r="MMD411" s="268"/>
      <c r="MME411" s="268"/>
      <c r="MMF411" s="268"/>
      <c r="MMG411" s="268"/>
      <c r="MMH411" s="268"/>
      <c r="MMI411" s="268"/>
      <c r="MMJ411" s="268"/>
      <c r="MMK411" s="268"/>
      <c r="MML411" s="268"/>
      <c r="MMM411" s="268"/>
      <c r="MMN411" s="268"/>
      <c r="MMO411" s="268"/>
      <c r="MMP411" s="268"/>
      <c r="MMQ411" s="268"/>
      <c r="MMR411" s="268"/>
      <c r="MMS411" s="268"/>
      <c r="MMT411" s="268"/>
      <c r="MMU411" s="268"/>
      <c r="MMV411" s="268"/>
      <c r="MMW411" s="268"/>
      <c r="MMX411" s="268"/>
      <c r="MMY411" s="268"/>
      <c r="MMZ411" s="268"/>
      <c r="MNA411" s="268"/>
      <c r="MNB411" s="268"/>
      <c r="MNC411" s="268"/>
      <c r="MND411" s="268"/>
      <c r="MNE411" s="268"/>
      <c r="MNF411" s="268"/>
      <c r="MNG411" s="268"/>
      <c r="MNH411" s="268"/>
      <c r="MNI411" s="268"/>
      <c r="MNJ411" s="268"/>
      <c r="MNK411" s="268"/>
      <c r="MNL411" s="268"/>
      <c r="MNM411" s="268"/>
      <c r="MNN411" s="268"/>
      <c r="MNO411" s="268"/>
      <c r="MNP411" s="268"/>
      <c r="MNQ411" s="268"/>
      <c r="MNR411" s="268"/>
      <c r="MNS411" s="268"/>
      <c r="MNT411" s="268"/>
      <c r="MNU411" s="268"/>
      <c r="MNV411" s="268"/>
      <c r="MNW411" s="268"/>
      <c r="MNX411" s="268"/>
      <c r="MNY411" s="268"/>
      <c r="MNZ411" s="268"/>
      <c r="MOA411" s="268"/>
      <c r="MOB411" s="268"/>
      <c r="MOC411" s="268"/>
      <c r="MOD411" s="268"/>
      <c r="MOE411" s="268"/>
      <c r="MOF411" s="268"/>
      <c r="MOG411" s="268"/>
      <c r="MOH411" s="268"/>
      <c r="MOI411" s="268"/>
      <c r="MOJ411" s="268"/>
      <c r="MOK411" s="268"/>
      <c r="MOL411" s="268"/>
      <c r="MOM411" s="268"/>
      <c r="MON411" s="268"/>
      <c r="MOO411" s="268"/>
      <c r="MOP411" s="268"/>
      <c r="MOQ411" s="268"/>
      <c r="MOR411" s="268"/>
      <c r="MOS411" s="268"/>
      <c r="MOT411" s="268"/>
      <c r="MOU411" s="268"/>
      <c r="MOV411" s="268"/>
      <c r="MOW411" s="268"/>
      <c r="MOX411" s="268"/>
      <c r="MOY411" s="268"/>
      <c r="MOZ411" s="268"/>
      <c r="MPA411" s="268"/>
      <c r="MPB411" s="268"/>
      <c r="MPC411" s="268"/>
      <c r="MPQ411" s="268"/>
      <c r="MPR411" s="268"/>
      <c r="MPS411" s="268"/>
      <c r="MQG411" s="268"/>
      <c r="MQI411" s="268"/>
      <c r="MQJ411" s="268"/>
      <c r="MQK411" s="268"/>
      <c r="MQL411" s="268"/>
      <c r="MQM411" s="268"/>
      <c r="MQN411" s="268"/>
      <c r="MQO411" s="268"/>
      <c r="MQP411" s="268"/>
      <c r="MQQ411" s="268"/>
      <c r="MQR411" s="268"/>
      <c r="MQS411" s="268"/>
      <c r="MQT411" s="268"/>
      <c r="MQU411" s="268"/>
      <c r="MQV411" s="268"/>
      <c r="MQW411" s="268"/>
      <c r="MQX411" s="268"/>
      <c r="MQY411" s="268"/>
      <c r="MQZ411" s="268"/>
      <c r="MRA411" s="268"/>
      <c r="MRB411" s="268"/>
      <c r="MRC411" s="268"/>
      <c r="MRD411" s="268"/>
      <c r="MRE411" s="268"/>
      <c r="MRF411" s="268"/>
      <c r="MRG411" s="268"/>
      <c r="MRH411" s="268"/>
      <c r="MRI411" s="268"/>
      <c r="MRJ411" s="268"/>
      <c r="MRK411" s="268"/>
      <c r="MRL411" s="268"/>
      <c r="MRM411" s="268"/>
      <c r="MRN411" s="268"/>
      <c r="MRO411" s="268"/>
      <c r="MRP411" s="268"/>
      <c r="MRQ411" s="268"/>
      <c r="MRR411" s="268"/>
      <c r="MRS411" s="268"/>
      <c r="MRT411" s="268"/>
      <c r="MRU411" s="268"/>
      <c r="MRV411" s="268"/>
      <c r="MRW411" s="268"/>
      <c r="MRX411" s="268"/>
      <c r="MRY411" s="268"/>
      <c r="MRZ411" s="268"/>
      <c r="MSA411" s="268"/>
      <c r="MSB411" s="268"/>
      <c r="MSC411" s="268"/>
      <c r="MSD411" s="268"/>
      <c r="MSE411" s="268"/>
      <c r="MSF411" s="268"/>
      <c r="MSG411" s="268"/>
      <c r="MSH411" s="268"/>
      <c r="MSI411" s="268"/>
      <c r="MSJ411" s="268"/>
      <c r="MSK411" s="268"/>
      <c r="MSL411" s="268"/>
      <c r="MSM411" s="268"/>
      <c r="MSN411" s="268"/>
      <c r="MSO411" s="268"/>
      <c r="MSP411" s="268"/>
      <c r="MSQ411" s="268"/>
      <c r="MSR411" s="268"/>
      <c r="MSS411" s="268"/>
      <c r="MST411" s="268"/>
      <c r="MSU411" s="268"/>
      <c r="MSV411" s="268"/>
      <c r="MSW411" s="268"/>
      <c r="MSX411" s="268"/>
      <c r="MSY411" s="268"/>
      <c r="MSZ411" s="268"/>
      <c r="MTA411" s="268"/>
      <c r="MTB411" s="268"/>
      <c r="MTC411" s="268"/>
      <c r="MTD411" s="268"/>
      <c r="MTE411" s="268"/>
      <c r="MTF411" s="268"/>
      <c r="MTG411" s="268"/>
      <c r="MTH411" s="268"/>
      <c r="MTI411" s="268"/>
      <c r="MTJ411" s="268"/>
      <c r="MTK411" s="268"/>
      <c r="MTL411" s="268"/>
      <c r="MTM411" s="268"/>
      <c r="MTN411" s="268"/>
      <c r="MTO411" s="268"/>
      <c r="MTP411" s="268"/>
      <c r="MTQ411" s="268"/>
      <c r="MTR411" s="268"/>
      <c r="MTS411" s="268"/>
      <c r="MTT411" s="268"/>
      <c r="MTU411" s="268"/>
      <c r="MTV411" s="268"/>
      <c r="MTW411" s="268"/>
      <c r="MTX411" s="268"/>
      <c r="MTY411" s="268"/>
      <c r="MTZ411" s="268"/>
      <c r="MUA411" s="268"/>
      <c r="MUB411" s="268"/>
      <c r="MUC411" s="268"/>
      <c r="MUD411" s="268"/>
      <c r="MUE411" s="268"/>
      <c r="MUF411" s="268"/>
      <c r="MUG411" s="268"/>
      <c r="MUH411" s="268"/>
      <c r="MUI411" s="268"/>
      <c r="MUJ411" s="268"/>
      <c r="MUK411" s="268"/>
      <c r="MUL411" s="268"/>
      <c r="MUM411" s="268"/>
      <c r="MUN411" s="268"/>
      <c r="MUO411" s="268"/>
      <c r="MUP411" s="268"/>
      <c r="MUQ411" s="268"/>
      <c r="MUR411" s="268"/>
      <c r="MUS411" s="268"/>
      <c r="MUT411" s="268"/>
      <c r="MUU411" s="268"/>
      <c r="MUV411" s="268"/>
      <c r="MUW411" s="268"/>
      <c r="MUX411" s="268"/>
      <c r="MUY411" s="268"/>
      <c r="MUZ411" s="268"/>
      <c r="MVA411" s="268"/>
      <c r="MVB411" s="268"/>
      <c r="MVC411" s="268"/>
      <c r="MVD411" s="268"/>
      <c r="MVE411" s="268"/>
      <c r="MVF411" s="268"/>
      <c r="MVG411" s="268"/>
      <c r="MVH411" s="268"/>
      <c r="MVI411" s="268"/>
      <c r="MVJ411" s="268"/>
      <c r="MVK411" s="268"/>
      <c r="MVL411" s="268"/>
      <c r="MVM411" s="268"/>
      <c r="MVN411" s="268"/>
      <c r="MVO411" s="268"/>
      <c r="MVP411" s="268"/>
      <c r="MVQ411" s="268"/>
      <c r="MVR411" s="268"/>
      <c r="MVS411" s="268"/>
      <c r="MVT411" s="268"/>
      <c r="MVU411" s="268"/>
      <c r="MVV411" s="268"/>
      <c r="MVW411" s="268"/>
      <c r="MVX411" s="268"/>
      <c r="MVY411" s="268"/>
      <c r="MVZ411" s="268"/>
      <c r="MWA411" s="268"/>
      <c r="MWB411" s="268"/>
      <c r="MWC411" s="268"/>
      <c r="MWD411" s="268"/>
      <c r="MWE411" s="268"/>
      <c r="MWF411" s="268"/>
      <c r="MWG411" s="268"/>
      <c r="MWH411" s="268"/>
      <c r="MWI411" s="268"/>
      <c r="MWJ411" s="268"/>
      <c r="MWK411" s="268"/>
      <c r="MWL411" s="268"/>
      <c r="MWM411" s="268"/>
      <c r="MWN411" s="268"/>
      <c r="MWO411" s="268"/>
      <c r="MWP411" s="268"/>
      <c r="MWQ411" s="268"/>
      <c r="MWR411" s="268"/>
      <c r="MWS411" s="268"/>
      <c r="MWT411" s="268"/>
      <c r="MWU411" s="268"/>
      <c r="MWV411" s="268"/>
      <c r="MWW411" s="268"/>
      <c r="MWX411" s="268"/>
      <c r="MWY411" s="268"/>
      <c r="MWZ411" s="268"/>
      <c r="MXA411" s="268"/>
      <c r="MXB411" s="268"/>
      <c r="MXC411" s="268"/>
      <c r="MXD411" s="268"/>
      <c r="MXE411" s="268"/>
      <c r="MXF411" s="268"/>
      <c r="MXG411" s="268"/>
      <c r="MXH411" s="268"/>
      <c r="MXI411" s="268"/>
      <c r="MXJ411" s="268"/>
      <c r="MXK411" s="268"/>
      <c r="MXL411" s="268"/>
      <c r="MXM411" s="268"/>
      <c r="MXN411" s="268"/>
      <c r="MXO411" s="268"/>
      <c r="MXP411" s="268"/>
      <c r="MXQ411" s="268"/>
      <c r="MXR411" s="268"/>
      <c r="MXS411" s="268"/>
      <c r="MXT411" s="268"/>
      <c r="MXU411" s="268"/>
      <c r="MXV411" s="268"/>
      <c r="MXW411" s="268"/>
      <c r="MXX411" s="268"/>
      <c r="MXY411" s="268"/>
      <c r="MXZ411" s="268"/>
      <c r="MYA411" s="268"/>
      <c r="MYB411" s="268"/>
      <c r="MYC411" s="268"/>
      <c r="MYD411" s="268"/>
      <c r="MYE411" s="268"/>
      <c r="MYF411" s="268"/>
      <c r="MYG411" s="268"/>
      <c r="MYH411" s="268"/>
      <c r="MYI411" s="268"/>
      <c r="MYJ411" s="268"/>
      <c r="MYK411" s="268"/>
      <c r="MYL411" s="268"/>
      <c r="MYM411" s="268"/>
      <c r="MYN411" s="268"/>
      <c r="MYO411" s="268"/>
      <c r="MYP411" s="268"/>
      <c r="MYQ411" s="268"/>
      <c r="MYR411" s="268"/>
      <c r="MYS411" s="268"/>
      <c r="MYT411" s="268"/>
      <c r="MYU411" s="268"/>
      <c r="MYV411" s="268"/>
      <c r="MYW411" s="268"/>
      <c r="MYX411" s="268"/>
      <c r="MYY411" s="268"/>
      <c r="MZM411" s="268"/>
      <c r="MZN411" s="268"/>
      <c r="MZO411" s="268"/>
      <c r="NAC411" s="268"/>
      <c r="NAE411" s="268"/>
      <c r="NAF411" s="268"/>
      <c r="NAG411" s="268"/>
      <c r="NAH411" s="268"/>
      <c r="NAI411" s="268"/>
      <c r="NAJ411" s="268"/>
      <c r="NAK411" s="268"/>
      <c r="NAL411" s="268"/>
      <c r="NAM411" s="268"/>
      <c r="NAN411" s="268"/>
      <c r="NAO411" s="268"/>
      <c r="NAP411" s="268"/>
      <c r="NAQ411" s="268"/>
      <c r="NAR411" s="268"/>
      <c r="NAS411" s="268"/>
      <c r="NAT411" s="268"/>
      <c r="NAU411" s="268"/>
      <c r="NAV411" s="268"/>
      <c r="NAW411" s="268"/>
      <c r="NAX411" s="268"/>
      <c r="NAY411" s="268"/>
      <c r="NAZ411" s="268"/>
      <c r="NBA411" s="268"/>
      <c r="NBB411" s="268"/>
      <c r="NBC411" s="268"/>
      <c r="NBD411" s="268"/>
      <c r="NBE411" s="268"/>
      <c r="NBF411" s="268"/>
      <c r="NBG411" s="268"/>
      <c r="NBH411" s="268"/>
      <c r="NBI411" s="268"/>
      <c r="NBJ411" s="268"/>
      <c r="NBK411" s="268"/>
      <c r="NBL411" s="268"/>
      <c r="NBM411" s="268"/>
      <c r="NBN411" s="268"/>
      <c r="NBO411" s="268"/>
      <c r="NBP411" s="268"/>
      <c r="NBQ411" s="268"/>
      <c r="NBR411" s="268"/>
      <c r="NBS411" s="268"/>
      <c r="NBT411" s="268"/>
      <c r="NBU411" s="268"/>
      <c r="NBV411" s="268"/>
      <c r="NBW411" s="268"/>
      <c r="NBX411" s="268"/>
      <c r="NBY411" s="268"/>
      <c r="NBZ411" s="268"/>
      <c r="NCA411" s="268"/>
      <c r="NCB411" s="268"/>
      <c r="NCC411" s="268"/>
      <c r="NCD411" s="268"/>
      <c r="NCE411" s="268"/>
      <c r="NCF411" s="268"/>
      <c r="NCG411" s="268"/>
      <c r="NCH411" s="268"/>
      <c r="NCI411" s="268"/>
      <c r="NCJ411" s="268"/>
      <c r="NCK411" s="268"/>
      <c r="NCL411" s="268"/>
      <c r="NCM411" s="268"/>
      <c r="NCN411" s="268"/>
      <c r="NCO411" s="268"/>
      <c r="NCP411" s="268"/>
      <c r="NCQ411" s="268"/>
      <c r="NCR411" s="268"/>
      <c r="NCS411" s="268"/>
      <c r="NCT411" s="268"/>
      <c r="NCU411" s="268"/>
      <c r="NCV411" s="268"/>
      <c r="NCW411" s="268"/>
      <c r="NCX411" s="268"/>
      <c r="NCY411" s="268"/>
      <c r="NCZ411" s="268"/>
      <c r="NDA411" s="268"/>
      <c r="NDB411" s="268"/>
      <c r="NDC411" s="268"/>
      <c r="NDD411" s="268"/>
      <c r="NDE411" s="268"/>
      <c r="NDF411" s="268"/>
      <c r="NDG411" s="268"/>
      <c r="NDH411" s="268"/>
      <c r="NDI411" s="268"/>
      <c r="NDJ411" s="268"/>
      <c r="NDK411" s="268"/>
      <c r="NDL411" s="268"/>
      <c r="NDM411" s="268"/>
      <c r="NDN411" s="268"/>
      <c r="NDO411" s="268"/>
      <c r="NDP411" s="268"/>
      <c r="NDQ411" s="268"/>
      <c r="NDR411" s="268"/>
      <c r="NDS411" s="268"/>
      <c r="NDT411" s="268"/>
      <c r="NDU411" s="268"/>
      <c r="NDV411" s="268"/>
      <c r="NDW411" s="268"/>
      <c r="NDX411" s="268"/>
      <c r="NDY411" s="268"/>
      <c r="NDZ411" s="268"/>
      <c r="NEA411" s="268"/>
      <c r="NEB411" s="268"/>
      <c r="NEC411" s="268"/>
      <c r="NED411" s="268"/>
      <c r="NEE411" s="268"/>
      <c r="NEF411" s="268"/>
      <c r="NEG411" s="268"/>
      <c r="NEH411" s="268"/>
      <c r="NEI411" s="268"/>
      <c r="NEJ411" s="268"/>
      <c r="NEK411" s="268"/>
      <c r="NEL411" s="268"/>
      <c r="NEM411" s="268"/>
      <c r="NEN411" s="268"/>
      <c r="NEO411" s="268"/>
      <c r="NEP411" s="268"/>
      <c r="NEQ411" s="268"/>
      <c r="NER411" s="268"/>
      <c r="NES411" s="268"/>
      <c r="NET411" s="268"/>
      <c r="NEU411" s="268"/>
      <c r="NEV411" s="268"/>
      <c r="NEW411" s="268"/>
      <c r="NEX411" s="268"/>
      <c r="NEY411" s="268"/>
      <c r="NEZ411" s="268"/>
      <c r="NFA411" s="268"/>
      <c r="NFB411" s="268"/>
      <c r="NFC411" s="268"/>
      <c r="NFD411" s="268"/>
      <c r="NFE411" s="268"/>
      <c r="NFF411" s="268"/>
      <c r="NFG411" s="268"/>
      <c r="NFH411" s="268"/>
      <c r="NFI411" s="268"/>
      <c r="NFJ411" s="268"/>
      <c r="NFK411" s="268"/>
      <c r="NFL411" s="268"/>
      <c r="NFM411" s="268"/>
      <c r="NFN411" s="268"/>
      <c r="NFO411" s="268"/>
      <c r="NFP411" s="268"/>
      <c r="NFQ411" s="268"/>
      <c r="NFR411" s="268"/>
      <c r="NFS411" s="268"/>
      <c r="NFT411" s="268"/>
      <c r="NFU411" s="268"/>
      <c r="NFV411" s="268"/>
      <c r="NFW411" s="268"/>
      <c r="NFX411" s="268"/>
      <c r="NFY411" s="268"/>
      <c r="NFZ411" s="268"/>
      <c r="NGA411" s="268"/>
      <c r="NGB411" s="268"/>
      <c r="NGC411" s="268"/>
      <c r="NGD411" s="268"/>
      <c r="NGE411" s="268"/>
      <c r="NGF411" s="268"/>
      <c r="NGG411" s="268"/>
      <c r="NGH411" s="268"/>
      <c r="NGI411" s="268"/>
      <c r="NGJ411" s="268"/>
      <c r="NGK411" s="268"/>
      <c r="NGL411" s="268"/>
      <c r="NGM411" s="268"/>
      <c r="NGN411" s="268"/>
      <c r="NGO411" s="268"/>
      <c r="NGP411" s="268"/>
      <c r="NGQ411" s="268"/>
      <c r="NGR411" s="268"/>
      <c r="NGS411" s="268"/>
      <c r="NGT411" s="268"/>
      <c r="NGU411" s="268"/>
      <c r="NGV411" s="268"/>
      <c r="NGW411" s="268"/>
      <c r="NGX411" s="268"/>
      <c r="NGY411" s="268"/>
      <c r="NGZ411" s="268"/>
      <c r="NHA411" s="268"/>
      <c r="NHB411" s="268"/>
      <c r="NHC411" s="268"/>
      <c r="NHD411" s="268"/>
      <c r="NHE411" s="268"/>
      <c r="NHF411" s="268"/>
      <c r="NHG411" s="268"/>
      <c r="NHH411" s="268"/>
      <c r="NHI411" s="268"/>
      <c r="NHJ411" s="268"/>
      <c r="NHK411" s="268"/>
      <c r="NHL411" s="268"/>
      <c r="NHM411" s="268"/>
      <c r="NHN411" s="268"/>
      <c r="NHO411" s="268"/>
      <c r="NHP411" s="268"/>
      <c r="NHQ411" s="268"/>
      <c r="NHR411" s="268"/>
      <c r="NHS411" s="268"/>
      <c r="NHT411" s="268"/>
      <c r="NHU411" s="268"/>
      <c r="NHV411" s="268"/>
      <c r="NHW411" s="268"/>
      <c r="NHX411" s="268"/>
      <c r="NHY411" s="268"/>
      <c r="NHZ411" s="268"/>
      <c r="NIA411" s="268"/>
      <c r="NIB411" s="268"/>
      <c r="NIC411" s="268"/>
      <c r="NID411" s="268"/>
      <c r="NIE411" s="268"/>
      <c r="NIF411" s="268"/>
      <c r="NIG411" s="268"/>
      <c r="NIH411" s="268"/>
      <c r="NII411" s="268"/>
      <c r="NIJ411" s="268"/>
      <c r="NIK411" s="268"/>
      <c r="NIL411" s="268"/>
      <c r="NIM411" s="268"/>
      <c r="NIN411" s="268"/>
      <c r="NIO411" s="268"/>
      <c r="NIP411" s="268"/>
      <c r="NIQ411" s="268"/>
      <c r="NIR411" s="268"/>
      <c r="NIS411" s="268"/>
      <c r="NIT411" s="268"/>
      <c r="NIU411" s="268"/>
      <c r="NJI411" s="268"/>
      <c r="NJJ411" s="268"/>
      <c r="NJK411" s="268"/>
      <c r="NJY411" s="268"/>
      <c r="NKA411" s="268"/>
      <c r="NKB411" s="268"/>
      <c r="NKC411" s="268"/>
      <c r="NKD411" s="268"/>
      <c r="NKE411" s="268"/>
      <c r="NKF411" s="268"/>
      <c r="NKG411" s="268"/>
      <c r="NKH411" s="268"/>
      <c r="NKI411" s="268"/>
      <c r="NKJ411" s="268"/>
      <c r="NKK411" s="268"/>
      <c r="NKL411" s="268"/>
      <c r="NKM411" s="268"/>
      <c r="NKN411" s="268"/>
      <c r="NKO411" s="268"/>
      <c r="NKP411" s="268"/>
      <c r="NKQ411" s="268"/>
      <c r="NKR411" s="268"/>
      <c r="NKS411" s="268"/>
      <c r="NKT411" s="268"/>
      <c r="NKU411" s="268"/>
      <c r="NKV411" s="268"/>
      <c r="NKW411" s="268"/>
      <c r="NKX411" s="268"/>
      <c r="NKY411" s="268"/>
      <c r="NKZ411" s="268"/>
      <c r="NLA411" s="268"/>
      <c r="NLB411" s="268"/>
      <c r="NLC411" s="268"/>
      <c r="NLD411" s="268"/>
      <c r="NLE411" s="268"/>
      <c r="NLF411" s="268"/>
      <c r="NLG411" s="268"/>
      <c r="NLH411" s="268"/>
      <c r="NLI411" s="268"/>
      <c r="NLJ411" s="268"/>
      <c r="NLK411" s="268"/>
      <c r="NLL411" s="268"/>
      <c r="NLM411" s="268"/>
      <c r="NLN411" s="268"/>
      <c r="NLO411" s="268"/>
      <c r="NLP411" s="268"/>
      <c r="NLQ411" s="268"/>
      <c r="NLR411" s="268"/>
      <c r="NLS411" s="268"/>
      <c r="NLT411" s="268"/>
      <c r="NLU411" s="268"/>
      <c r="NLV411" s="268"/>
      <c r="NLW411" s="268"/>
      <c r="NLX411" s="268"/>
      <c r="NLY411" s="268"/>
      <c r="NLZ411" s="268"/>
      <c r="NMA411" s="268"/>
      <c r="NMB411" s="268"/>
      <c r="NMC411" s="268"/>
      <c r="NMD411" s="268"/>
      <c r="NME411" s="268"/>
      <c r="NMF411" s="268"/>
      <c r="NMG411" s="268"/>
      <c r="NMH411" s="268"/>
      <c r="NMI411" s="268"/>
      <c r="NMJ411" s="268"/>
      <c r="NMK411" s="268"/>
      <c r="NML411" s="268"/>
      <c r="NMM411" s="268"/>
      <c r="NMN411" s="268"/>
      <c r="NMO411" s="268"/>
      <c r="NMP411" s="268"/>
      <c r="NMQ411" s="268"/>
      <c r="NMR411" s="268"/>
      <c r="NMS411" s="268"/>
      <c r="NMT411" s="268"/>
      <c r="NMU411" s="268"/>
      <c r="NMV411" s="268"/>
      <c r="NMW411" s="268"/>
      <c r="NMX411" s="268"/>
      <c r="NMY411" s="268"/>
      <c r="NMZ411" s="268"/>
      <c r="NNA411" s="268"/>
      <c r="NNB411" s="268"/>
      <c r="NNC411" s="268"/>
      <c r="NND411" s="268"/>
      <c r="NNE411" s="268"/>
      <c r="NNF411" s="268"/>
      <c r="NNG411" s="268"/>
      <c r="NNH411" s="268"/>
      <c r="NNI411" s="268"/>
      <c r="NNJ411" s="268"/>
      <c r="NNK411" s="268"/>
      <c r="NNL411" s="268"/>
      <c r="NNM411" s="268"/>
      <c r="NNN411" s="268"/>
      <c r="NNO411" s="268"/>
      <c r="NNP411" s="268"/>
      <c r="NNQ411" s="268"/>
      <c r="NNR411" s="268"/>
      <c r="NNS411" s="268"/>
      <c r="NNT411" s="268"/>
      <c r="NNU411" s="268"/>
      <c r="NNV411" s="268"/>
      <c r="NNW411" s="268"/>
      <c r="NNX411" s="268"/>
      <c r="NNY411" s="268"/>
      <c r="NNZ411" s="268"/>
      <c r="NOA411" s="268"/>
      <c r="NOB411" s="268"/>
      <c r="NOC411" s="268"/>
      <c r="NOD411" s="268"/>
      <c r="NOE411" s="268"/>
      <c r="NOF411" s="268"/>
      <c r="NOG411" s="268"/>
      <c r="NOH411" s="268"/>
      <c r="NOI411" s="268"/>
      <c r="NOJ411" s="268"/>
      <c r="NOK411" s="268"/>
      <c r="NOL411" s="268"/>
      <c r="NOM411" s="268"/>
      <c r="NON411" s="268"/>
      <c r="NOO411" s="268"/>
      <c r="NOP411" s="268"/>
      <c r="NOQ411" s="268"/>
      <c r="NOR411" s="268"/>
      <c r="NOS411" s="268"/>
      <c r="NOT411" s="268"/>
      <c r="NOU411" s="268"/>
      <c r="NOV411" s="268"/>
      <c r="NOW411" s="268"/>
      <c r="NOX411" s="268"/>
      <c r="NOY411" s="268"/>
      <c r="NOZ411" s="268"/>
      <c r="NPA411" s="268"/>
      <c r="NPB411" s="268"/>
      <c r="NPC411" s="268"/>
      <c r="NPD411" s="268"/>
      <c r="NPE411" s="268"/>
      <c r="NPF411" s="268"/>
      <c r="NPG411" s="268"/>
      <c r="NPH411" s="268"/>
      <c r="NPI411" s="268"/>
      <c r="NPJ411" s="268"/>
      <c r="NPK411" s="268"/>
      <c r="NPL411" s="268"/>
      <c r="NPM411" s="268"/>
      <c r="NPN411" s="268"/>
      <c r="NPO411" s="268"/>
      <c r="NPP411" s="268"/>
      <c r="NPQ411" s="268"/>
      <c r="NPR411" s="268"/>
      <c r="NPS411" s="268"/>
      <c r="NPT411" s="268"/>
      <c r="NPU411" s="268"/>
      <c r="NPV411" s="268"/>
      <c r="NPW411" s="268"/>
      <c r="NPX411" s="268"/>
      <c r="NPY411" s="268"/>
      <c r="NPZ411" s="268"/>
      <c r="NQA411" s="268"/>
      <c r="NQB411" s="268"/>
      <c r="NQC411" s="268"/>
      <c r="NQD411" s="268"/>
      <c r="NQE411" s="268"/>
      <c r="NQF411" s="268"/>
      <c r="NQG411" s="268"/>
      <c r="NQH411" s="268"/>
      <c r="NQI411" s="268"/>
      <c r="NQJ411" s="268"/>
      <c r="NQK411" s="268"/>
      <c r="NQL411" s="268"/>
      <c r="NQM411" s="268"/>
      <c r="NQN411" s="268"/>
      <c r="NQO411" s="268"/>
      <c r="NQP411" s="268"/>
      <c r="NQQ411" s="268"/>
      <c r="NQR411" s="268"/>
      <c r="NQS411" s="268"/>
      <c r="NQT411" s="268"/>
      <c r="NQU411" s="268"/>
      <c r="NQV411" s="268"/>
      <c r="NQW411" s="268"/>
      <c r="NQX411" s="268"/>
      <c r="NQY411" s="268"/>
      <c r="NQZ411" s="268"/>
      <c r="NRA411" s="268"/>
      <c r="NRB411" s="268"/>
      <c r="NRC411" s="268"/>
      <c r="NRD411" s="268"/>
      <c r="NRE411" s="268"/>
      <c r="NRF411" s="268"/>
      <c r="NRG411" s="268"/>
      <c r="NRH411" s="268"/>
      <c r="NRI411" s="268"/>
      <c r="NRJ411" s="268"/>
      <c r="NRK411" s="268"/>
      <c r="NRL411" s="268"/>
      <c r="NRM411" s="268"/>
      <c r="NRN411" s="268"/>
      <c r="NRO411" s="268"/>
      <c r="NRP411" s="268"/>
      <c r="NRQ411" s="268"/>
      <c r="NRR411" s="268"/>
      <c r="NRS411" s="268"/>
      <c r="NRT411" s="268"/>
      <c r="NRU411" s="268"/>
      <c r="NRV411" s="268"/>
      <c r="NRW411" s="268"/>
      <c r="NRX411" s="268"/>
      <c r="NRY411" s="268"/>
      <c r="NRZ411" s="268"/>
      <c r="NSA411" s="268"/>
      <c r="NSB411" s="268"/>
      <c r="NSC411" s="268"/>
      <c r="NSD411" s="268"/>
      <c r="NSE411" s="268"/>
      <c r="NSF411" s="268"/>
      <c r="NSG411" s="268"/>
      <c r="NSH411" s="268"/>
      <c r="NSI411" s="268"/>
      <c r="NSJ411" s="268"/>
      <c r="NSK411" s="268"/>
      <c r="NSL411" s="268"/>
      <c r="NSM411" s="268"/>
      <c r="NSN411" s="268"/>
      <c r="NSO411" s="268"/>
      <c r="NSP411" s="268"/>
      <c r="NSQ411" s="268"/>
      <c r="NTE411" s="268"/>
      <c r="NTF411" s="268"/>
      <c r="NTG411" s="268"/>
      <c r="NTU411" s="268"/>
      <c r="NTW411" s="268"/>
      <c r="NTX411" s="268"/>
      <c r="NTY411" s="268"/>
      <c r="NTZ411" s="268"/>
      <c r="NUA411" s="268"/>
      <c r="NUB411" s="268"/>
      <c r="NUC411" s="268"/>
      <c r="NUD411" s="268"/>
      <c r="NUE411" s="268"/>
      <c r="NUF411" s="268"/>
      <c r="NUG411" s="268"/>
      <c r="NUH411" s="268"/>
      <c r="NUI411" s="268"/>
      <c r="NUJ411" s="268"/>
      <c r="NUK411" s="268"/>
      <c r="NUL411" s="268"/>
      <c r="NUM411" s="268"/>
      <c r="NUN411" s="268"/>
      <c r="NUO411" s="268"/>
      <c r="NUP411" s="268"/>
      <c r="NUQ411" s="268"/>
      <c r="NUR411" s="268"/>
      <c r="NUS411" s="268"/>
      <c r="NUT411" s="268"/>
      <c r="NUU411" s="268"/>
      <c r="NUV411" s="268"/>
      <c r="NUW411" s="268"/>
      <c r="NUX411" s="268"/>
      <c r="NUY411" s="268"/>
      <c r="NUZ411" s="268"/>
      <c r="NVA411" s="268"/>
      <c r="NVB411" s="268"/>
      <c r="NVC411" s="268"/>
      <c r="NVD411" s="268"/>
      <c r="NVE411" s="268"/>
      <c r="NVF411" s="268"/>
      <c r="NVG411" s="268"/>
      <c r="NVH411" s="268"/>
      <c r="NVI411" s="268"/>
      <c r="NVJ411" s="268"/>
      <c r="NVK411" s="268"/>
      <c r="NVL411" s="268"/>
      <c r="NVM411" s="268"/>
      <c r="NVN411" s="268"/>
      <c r="NVO411" s="268"/>
      <c r="NVP411" s="268"/>
      <c r="NVQ411" s="268"/>
      <c r="NVR411" s="268"/>
      <c r="NVS411" s="268"/>
      <c r="NVT411" s="268"/>
      <c r="NVU411" s="268"/>
      <c r="NVV411" s="268"/>
      <c r="NVW411" s="268"/>
      <c r="NVX411" s="268"/>
      <c r="NVY411" s="268"/>
      <c r="NVZ411" s="268"/>
      <c r="NWA411" s="268"/>
      <c r="NWB411" s="268"/>
      <c r="NWC411" s="268"/>
      <c r="NWD411" s="268"/>
      <c r="NWE411" s="268"/>
      <c r="NWF411" s="268"/>
      <c r="NWG411" s="268"/>
      <c r="NWH411" s="268"/>
      <c r="NWI411" s="268"/>
      <c r="NWJ411" s="268"/>
      <c r="NWK411" s="268"/>
      <c r="NWL411" s="268"/>
      <c r="NWM411" s="268"/>
      <c r="NWN411" s="268"/>
      <c r="NWO411" s="268"/>
      <c r="NWP411" s="268"/>
      <c r="NWQ411" s="268"/>
      <c r="NWR411" s="268"/>
      <c r="NWS411" s="268"/>
      <c r="NWT411" s="268"/>
      <c r="NWU411" s="268"/>
      <c r="NWV411" s="268"/>
      <c r="NWW411" s="268"/>
      <c r="NWX411" s="268"/>
      <c r="NWY411" s="268"/>
      <c r="NWZ411" s="268"/>
      <c r="NXA411" s="268"/>
      <c r="NXB411" s="268"/>
      <c r="NXC411" s="268"/>
      <c r="NXD411" s="268"/>
      <c r="NXE411" s="268"/>
      <c r="NXF411" s="268"/>
      <c r="NXG411" s="268"/>
      <c r="NXH411" s="268"/>
      <c r="NXI411" s="268"/>
      <c r="NXJ411" s="268"/>
      <c r="NXK411" s="268"/>
      <c r="NXL411" s="268"/>
      <c r="NXM411" s="268"/>
      <c r="NXN411" s="268"/>
      <c r="NXO411" s="268"/>
      <c r="NXP411" s="268"/>
      <c r="NXQ411" s="268"/>
      <c r="NXR411" s="268"/>
      <c r="NXS411" s="268"/>
      <c r="NXT411" s="268"/>
      <c r="NXU411" s="268"/>
      <c r="NXV411" s="268"/>
      <c r="NXW411" s="268"/>
      <c r="NXX411" s="268"/>
      <c r="NXY411" s="268"/>
      <c r="NXZ411" s="268"/>
      <c r="NYA411" s="268"/>
      <c r="NYB411" s="268"/>
      <c r="NYC411" s="268"/>
      <c r="NYD411" s="268"/>
      <c r="NYE411" s="268"/>
      <c r="NYF411" s="268"/>
      <c r="NYG411" s="268"/>
      <c r="NYH411" s="268"/>
      <c r="NYI411" s="268"/>
      <c r="NYJ411" s="268"/>
      <c r="NYK411" s="268"/>
      <c r="NYL411" s="268"/>
      <c r="NYM411" s="268"/>
      <c r="NYN411" s="268"/>
      <c r="NYO411" s="268"/>
      <c r="NYP411" s="268"/>
      <c r="NYQ411" s="268"/>
      <c r="NYR411" s="268"/>
      <c r="NYS411" s="268"/>
      <c r="NYT411" s="268"/>
      <c r="NYU411" s="268"/>
      <c r="NYV411" s="268"/>
      <c r="NYW411" s="268"/>
      <c r="NYX411" s="268"/>
      <c r="NYY411" s="268"/>
      <c r="NYZ411" s="268"/>
      <c r="NZA411" s="268"/>
      <c r="NZB411" s="268"/>
      <c r="NZC411" s="268"/>
      <c r="NZD411" s="268"/>
      <c r="NZE411" s="268"/>
      <c r="NZF411" s="268"/>
      <c r="NZG411" s="268"/>
      <c r="NZH411" s="268"/>
      <c r="NZI411" s="268"/>
      <c r="NZJ411" s="268"/>
      <c r="NZK411" s="268"/>
      <c r="NZL411" s="268"/>
      <c r="NZM411" s="268"/>
      <c r="NZN411" s="268"/>
      <c r="NZO411" s="268"/>
      <c r="NZP411" s="268"/>
      <c r="NZQ411" s="268"/>
      <c r="NZR411" s="268"/>
      <c r="NZS411" s="268"/>
      <c r="NZT411" s="268"/>
      <c r="NZU411" s="268"/>
      <c r="NZV411" s="268"/>
      <c r="NZW411" s="268"/>
      <c r="NZX411" s="268"/>
      <c r="NZY411" s="268"/>
      <c r="NZZ411" s="268"/>
      <c r="OAA411" s="268"/>
      <c r="OAB411" s="268"/>
      <c r="OAC411" s="268"/>
      <c r="OAD411" s="268"/>
      <c r="OAE411" s="268"/>
      <c r="OAF411" s="268"/>
      <c r="OAG411" s="268"/>
      <c r="OAH411" s="268"/>
      <c r="OAI411" s="268"/>
      <c r="OAJ411" s="268"/>
      <c r="OAK411" s="268"/>
      <c r="OAL411" s="268"/>
      <c r="OAM411" s="268"/>
      <c r="OAN411" s="268"/>
      <c r="OAO411" s="268"/>
      <c r="OAP411" s="268"/>
      <c r="OAQ411" s="268"/>
      <c r="OAR411" s="268"/>
      <c r="OAS411" s="268"/>
      <c r="OAT411" s="268"/>
      <c r="OAU411" s="268"/>
      <c r="OAV411" s="268"/>
      <c r="OAW411" s="268"/>
      <c r="OAX411" s="268"/>
      <c r="OAY411" s="268"/>
      <c r="OAZ411" s="268"/>
      <c r="OBA411" s="268"/>
      <c r="OBB411" s="268"/>
      <c r="OBC411" s="268"/>
      <c r="OBD411" s="268"/>
      <c r="OBE411" s="268"/>
      <c r="OBF411" s="268"/>
      <c r="OBG411" s="268"/>
      <c r="OBH411" s="268"/>
      <c r="OBI411" s="268"/>
      <c r="OBJ411" s="268"/>
      <c r="OBK411" s="268"/>
      <c r="OBL411" s="268"/>
      <c r="OBM411" s="268"/>
      <c r="OBN411" s="268"/>
      <c r="OBO411" s="268"/>
      <c r="OBP411" s="268"/>
      <c r="OBQ411" s="268"/>
      <c r="OBR411" s="268"/>
      <c r="OBS411" s="268"/>
      <c r="OBT411" s="268"/>
      <c r="OBU411" s="268"/>
      <c r="OBV411" s="268"/>
      <c r="OBW411" s="268"/>
      <c r="OBX411" s="268"/>
      <c r="OBY411" s="268"/>
      <c r="OBZ411" s="268"/>
      <c r="OCA411" s="268"/>
      <c r="OCB411" s="268"/>
      <c r="OCC411" s="268"/>
      <c r="OCD411" s="268"/>
      <c r="OCE411" s="268"/>
      <c r="OCF411" s="268"/>
      <c r="OCG411" s="268"/>
      <c r="OCH411" s="268"/>
      <c r="OCI411" s="268"/>
      <c r="OCJ411" s="268"/>
      <c r="OCK411" s="268"/>
      <c r="OCL411" s="268"/>
      <c r="OCM411" s="268"/>
      <c r="ODA411" s="268"/>
      <c r="ODB411" s="268"/>
      <c r="ODC411" s="268"/>
      <c r="ODQ411" s="268"/>
      <c r="ODS411" s="268"/>
      <c r="ODT411" s="268"/>
      <c r="ODU411" s="268"/>
      <c r="ODV411" s="268"/>
      <c r="ODW411" s="268"/>
      <c r="ODX411" s="268"/>
      <c r="ODY411" s="268"/>
      <c r="ODZ411" s="268"/>
      <c r="OEA411" s="268"/>
      <c r="OEB411" s="268"/>
      <c r="OEC411" s="268"/>
      <c r="OED411" s="268"/>
      <c r="OEE411" s="268"/>
      <c r="OEF411" s="268"/>
      <c r="OEG411" s="268"/>
      <c r="OEH411" s="268"/>
      <c r="OEI411" s="268"/>
      <c r="OEJ411" s="268"/>
      <c r="OEK411" s="268"/>
      <c r="OEL411" s="268"/>
      <c r="OEM411" s="268"/>
      <c r="OEN411" s="268"/>
      <c r="OEO411" s="268"/>
      <c r="OEP411" s="268"/>
      <c r="OEQ411" s="268"/>
      <c r="OER411" s="268"/>
      <c r="OES411" s="268"/>
      <c r="OET411" s="268"/>
      <c r="OEU411" s="268"/>
      <c r="OEV411" s="268"/>
      <c r="OEW411" s="268"/>
      <c r="OEX411" s="268"/>
      <c r="OEY411" s="268"/>
      <c r="OEZ411" s="268"/>
      <c r="OFA411" s="268"/>
      <c r="OFB411" s="268"/>
      <c r="OFC411" s="268"/>
      <c r="OFD411" s="268"/>
      <c r="OFE411" s="268"/>
      <c r="OFF411" s="268"/>
      <c r="OFG411" s="268"/>
      <c r="OFH411" s="268"/>
      <c r="OFI411" s="268"/>
      <c r="OFJ411" s="268"/>
      <c r="OFK411" s="268"/>
      <c r="OFL411" s="268"/>
      <c r="OFM411" s="268"/>
      <c r="OFN411" s="268"/>
      <c r="OFO411" s="268"/>
      <c r="OFP411" s="268"/>
      <c r="OFQ411" s="268"/>
      <c r="OFR411" s="268"/>
      <c r="OFS411" s="268"/>
      <c r="OFT411" s="268"/>
      <c r="OFU411" s="268"/>
      <c r="OFV411" s="268"/>
      <c r="OFW411" s="268"/>
      <c r="OFX411" s="268"/>
      <c r="OFY411" s="268"/>
      <c r="OFZ411" s="268"/>
      <c r="OGA411" s="268"/>
      <c r="OGB411" s="268"/>
      <c r="OGC411" s="268"/>
      <c r="OGD411" s="268"/>
      <c r="OGE411" s="268"/>
      <c r="OGF411" s="268"/>
      <c r="OGG411" s="268"/>
      <c r="OGH411" s="268"/>
      <c r="OGI411" s="268"/>
      <c r="OGJ411" s="268"/>
      <c r="OGK411" s="268"/>
      <c r="OGL411" s="268"/>
      <c r="OGM411" s="268"/>
      <c r="OGN411" s="268"/>
      <c r="OGO411" s="268"/>
      <c r="OGP411" s="268"/>
      <c r="OGQ411" s="268"/>
      <c r="OGR411" s="268"/>
      <c r="OGS411" s="268"/>
      <c r="OGT411" s="268"/>
      <c r="OGU411" s="268"/>
      <c r="OGV411" s="268"/>
      <c r="OGW411" s="268"/>
      <c r="OGX411" s="268"/>
      <c r="OGY411" s="268"/>
      <c r="OGZ411" s="268"/>
      <c r="OHA411" s="268"/>
      <c r="OHB411" s="268"/>
      <c r="OHC411" s="268"/>
      <c r="OHD411" s="268"/>
      <c r="OHE411" s="268"/>
      <c r="OHF411" s="268"/>
      <c r="OHG411" s="268"/>
      <c r="OHH411" s="268"/>
      <c r="OHI411" s="268"/>
      <c r="OHJ411" s="268"/>
      <c r="OHK411" s="268"/>
      <c r="OHL411" s="268"/>
      <c r="OHM411" s="268"/>
      <c r="OHN411" s="268"/>
      <c r="OHO411" s="268"/>
      <c r="OHP411" s="268"/>
      <c r="OHQ411" s="268"/>
      <c r="OHR411" s="268"/>
      <c r="OHS411" s="268"/>
      <c r="OHT411" s="268"/>
      <c r="OHU411" s="268"/>
      <c r="OHV411" s="268"/>
      <c r="OHW411" s="268"/>
      <c r="OHX411" s="268"/>
      <c r="OHY411" s="268"/>
      <c r="OHZ411" s="268"/>
      <c r="OIA411" s="268"/>
      <c r="OIB411" s="268"/>
      <c r="OIC411" s="268"/>
      <c r="OID411" s="268"/>
      <c r="OIE411" s="268"/>
      <c r="OIF411" s="268"/>
      <c r="OIG411" s="268"/>
      <c r="OIH411" s="268"/>
      <c r="OII411" s="268"/>
      <c r="OIJ411" s="268"/>
      <c r="OIK411" s="268"/>
      <c r="OIL411" s="268"/>
      <c r="OIM411" s="268"/>
      <c r="OIN411" s="268"/>
      <c r="OIO411" s="268"/>
      <c r="OIP411" s="268"/>
      <c r="OIQ411" s="268"/>
      <c r="OIR411" s="268"/>
      <c r="OIS411" s="268"/>
      <c r="OIT411" s="268"/>
      <c r="OIU411" s="268"/>
      <c r="OIV411" s="268"/>
      <c r="OIW411" s="268"/>
      <c r="OIX411" s="268"/>
      <c r="OIY411" s="268"/>
      <c r="OIZ411" s="268"/>
      <c r="OJA411" s="268"/>
      <c r="OJB411" s="268"/>
      <c r="OJC411" s="268"/>
      <c r="OJD411" s="268"/>
      <c r="OJE411" s="268"/>
      <c r="OJF411" s="268"/>
      <c r="OJG411" s="268"/>
      <c r="OJH411" s="268"/>
      <c r="OJI411" s="268"/>
      <c r="OJJ411" s="268"/>
      <c r="OJK411" s="268"/>
      <c r="OJL411" s="268"/>
      <c r="OJM411" s="268"/>
      <c r="OJN411" s="268"/>
      <c r="OJO411" s="268"/>
      <c r="OJP411" s="268"/>
      <c r="OJQ411" s="268"/>
      <c r="OJR411" s="268"/>
      <c r="OJS411" s="268"/>
      <c r="OJT411" s="268"/>
      <c r="OJU411" s="268"/>
      <c r="OJV411" s="268"/>
      <c r="OJW411" s="268"/>
      <c r="OJX411" s="268"/>
      <c r="OJY411" s="268"/>
      <c r="OJZ411" s="268"/>
      <c r="OKA411" s="268"/>
      <c r="OKB411" s="268"/>
      <c r="OKC411" s="268"/>
      <c r="OKD411" s="268"/>
      <c r="OKE411" s="268"/>
      <c r="OKF411" s="268"/>
      <c r="OKG411" s="268"/>
      <c r="OKH411" s="268"/>
      <c r="OKI411" s="268"/>
      <c r="OKJ411" s="268"/>
      <c r="OKK411" s="268"/>
      <c r="OKL411" s="268"/>
      <c r="OKM411" s="268"/>
      <c r="OKN411" s="268"/>
      <c r="OKO411" s="268"/>
      <c r="OKP411" s="268"/>
      <c r="OKQ411" s="268"/>
      <c r="OKR411" s="268"/>
      <c r="OKS411" s="268"/>
      <c r="OKT411" s="268"/>
      <c r="OKU411" s="268"/>
      <c r="OKV411" s="268"/>
      <c r="OKW411" s="268"/>
      <c r="OKX411" s="268"/>
      <c r="OKY411" s="268"/>
      <c r="OKZ411" s="268"/>
      <c r="OLA411" s="268"/>
      <c r="OLB411" s="268"/>
      <c r="OLC411" s="268"/>
      <c r="OLD411" s="268"/>
      <c r="OLE411" s="268"/>
      <c r="OLF411" s="268"/>
      <c r="OLG411" s="268"/>
      <c r="OLH411" s="268"/>
      <c r="OLI411" s="268"/>
      <c r="OLJ411" s="268"/>
      <c r="OLK411" s="268"/>
      <c r="OLL411" s="268"/>
      <c r="OLM411" s="268"/>
      <c r="OLN411" s="268"/>
      <c r="OLO411" s="268"/>
      <c r="OLP411" s="268"/>
      <c r="OLQ411" s="268"/>
      <c r="OLR411" s="268"/>
      <c r="OLS411" s="268"/>
      <c r="OLT411" s="268"/>
      <c r="OLU411" s="268"/>
      <c r="OLV411" s="268"/>
      <c r="OLW411" s="268"/>
      <c r="OLX411" s="268"/>
      <c r="OLY411" s="268"/>
      <c r="OLZ411" s="268"/>
      <c r="OMA411" s="268"/>
      <c r="OMB411" s="268"/>
      <c r="OMC411" s="268"/>
      <c r="OMD411" s="268"/>
      <c r="OME411" s="268"/>
      <c r="OMF411" s="268"/>
      <c r="OMG411" s="268"/>
      <c r="OMH411" s="268"/>
      <c r="OMI411" s="268"/>
      <c r="OMW411" s="268"/>
      <c r="OMX411" s="268"/>
      <c r="OMY411" s="268"/>
      <c r="ONM411" s="268"/>
      <c r="ONO411" s="268"/>
      <c r="ONP411" s="268"/>
      <c r="ONQ411" s="268"/>
      <c r="ONR411" s="268"/>
      <c r="ONS411" s="268"/>
      <c r="ONT411" s="268"/>
      <c r="ONU411" s="268"/>
      <c r="ONV411" s="268"/>
      <c r="ONW411" s="268"/>
      <c r="ONX411" s="268"/>
      <c r="ONY411" s="268"/>
      <c r="ONZ411" s="268"/>
      <c r="OOA411" s="268"/>
      <c r="OOB411" s="268"/>
      <c r="OOC411" s="268"/>
      <c r="OOD411" s="268"/>
      <c r="OOE411" s="268"/>
      <c r="OOF411" s="268"/>
      <c r="OOG411" s="268"/>
      <c r="OOH411" s="268"/>
      <c r="OOI411" s="268"/>
      <c r="OOJ411" s="268"/>
      <c r="OOK411" s="268"/>
      <c r="OOL411" s="268"/>
      <c r="OOM411" s="268"/>
      <c r="OON411" s="268"/>
      <c r="OOO411" s="268"/>
      <c r="OOP411" s="268"/>
      <c r="OOQ411" s="268"/>
      <c r="OOR411" s="268"/>
      <c r="OOS411" s="268"/>
      <c r="OOT411" s="268"/>
      <c r="OOU411" s="268"/>
      <c r="OOV411" s="268"/>
      <c r="OOW411" s="268"/>
      <c r="OOX411" s="268"/>
      <c r="OOY411" s="268"/>
      <c r="OOZ411" s="268"/>
      <c r="OPA411" s="268"/>
      <c r="OPB411" s="268"/>
      <c r="OPC411" s="268"/>
      <c r="OPD411" s="268"/>
      <c r="OPE411" s="268"/>
      <c r="OPF411" s="268"/>
      <c r="OPG411" s="268"/>
      <c r="OPH411" s="268"/>
      <c r="OPI411" s="268"/>
      <c r="OPJ411" s="268"/>
      <c r="OPK411" s="268"/>
      <c r="OPL411" s="268"/>
      <c r="OPM411" s="268"/>
      <c r="OPN411" s="268"/>
      <c r="OPO411" s="268"/>
      <c r="OPP411" s="268"/>
      <c r="OPQ411" s="268"/>
      <c r="OPR411" s="268"/>
      <c r="OPS411" s="268"/>
      <c r="OPT411" s="268"/>
      <c r="OPU411" s="268"/>
      <c r="OPV411" s="268"/>
      <c r="OPW411" s="268"/>
      <c r="OPX411" s="268"/>
      <c r="OPY411" s="268"/>
      <c r="OPZ411" s="268"/>
      <c r="OQA411" s="268"/>
      <c r="OQB411" s="268"/>
      <c r="OQC411" s="268"/>
      <c r="OQD411" s="268"/>
      <c r="OQE411" s="268"/>
      <c r="OQF411" s="268"/>
      <c r="OQG411" s="268"/>
      <c r="OQH411" s="268"/>
      <c r="OQI411" s="268"/>
      <c r="OQJ411" s="268"/>
      <c r="OQK411" s="268"/>
      <c r="OQL411" s="268"/>
      <c r="OQM411" s="268"/>
      <c r="OQN411" s="268"/>
      <c r="OQO411" s="268"/>
      <c r="OQP411" s="268"/>
      <c r="OQQ411" s="268"/>
      <c r="OQR411" s="268"/>
      <c r="OQS411" s="268"/>
      <c r="OQT411" s="268"/>
      <c r="OQU411" s="268"/>
      <c r="OQV411" s="268"/>
      <c r="OQW411" s="268"/>
      <c r="OQX411" s="268"/>
      <c r="OQY411" s="268"/>
      <c r="OQZ411" s="268"/>
      <c r="ORA411" s="268"/>
      <c r="ORB411" s="268"/>
      <c r="ORC411" s="268"/>
      <c r="ORD411" s="268"/>
      <c r="ORE411" s="268"/>
      <c r="ORF411" s="268"/>
      <c r="ORG411" s="268"/>
      <c r="ORH411" s="268"/>
      <c r="ORI411" s="268"/>
      <c r="ORJ411" s="268"/>
      <c r="ORK411" s="268"/>
      <c r="ORL411" s="268"/>
      <c r="ORM411" s="268"/>
      <c r="ORN411" s="268"/>
      <c r="ORO411" s="268"/>
      <c r="ORP411" s="268"/>
      <c r="ORQ411" s="268"/>
      <c r="ORR411" s="268"/>
      <c r="ORS411" s="268"/>
      <c r="ORT411" s="268"/>
      <c r="ORU411" s="268"/>
      <c r="ORV411" s="268"/>
      <c r="ORW411" s="268"/>
      <c r="ORX411" s="268"/>
      <c r="ORY411" s="268"/>
      <c r="ORZ411" s="268"/>
      <c r="OSA411" s="268"/>
      <c r="OSB411" s="268"/>
      <c r="OSC411" s="268"/>
      <c r="OSD411" s="268"/>
      <c r="OSE411" s="268"/>
      <c r="OSF411" s="268"/>
      <c r="OSG411" s="268"/>
      <c r="OSH411" s="268"/>
      <c r="OSI411" s="268"/>
      <c r="OSJ411" s="268"/>
      <c r="OSK411" s="268"/>
      <c r="OSL411" s="268"/>
      <c r="OSM411" s="268"/>
      <c r="OSN411" s="268"/>
      <c r="OSO411" s="268"/>
      <c r="OSP411" s="268"/>
      <c r="OSQ411" s="268"/>
      <c r="OSR411" s="268"/>
      <c r="OSS411" s="268"/>
      <c r="OST411" s="268"/>
      <c r="OSU411" s="268"/>
      <c r="OSV411" s="268"/>
      <c r="OSW411" s="268"/>
      <c r="OSX411" s="268"/>
      <c r="OSY411" s="268"/>
      <c r="OSZ411" s="268"/>
      <c r="OTA411" s="268"/>
      <c r="OTB411" s="268"/>
      <c r="OTC411" s="268"/>
      <c r="OTD411" s="268"/>
      <c r="OTE411" s="268"/>
      <c r="OTF411" s="268"/>
      <c r="OTG411" s="268"/>
      <c r="OTH411" s="268"/>
      <c r="OTI411" s="268"/>
      <c r="OTJ411" s="268"/>
      <c r="OTK411" s="268"/>
      <c r="OTL411" s="268"/>
      <c r="OTM411" s="268"/>
      <c r="OTN411" s="268"/>
      <c r="OTO411" s="268"/>
      <c r="OTP411" s="268"/>
      <c r="OTQ411" s="268"/>
      <c r="OTR411" s="268"/>
      <c r="OTS411" s="268"/>
      <c r="OTT411" s="268"/>
      <c r="OTU411" s="268"/>
      <c r="OTV411" s="268"/>
      <c r="OTW411" s="268"/>
      <c r="OTX411" s="268"/>
      <c r="OTY411" s="268"/>
      <c r="OTZ411" s="268"/>
      <c r="OUA411" s="268"/>
      <c r="OUB411" s="268"/>
      <c r="OUC411" s="268"/>
      <c r="OUD411" s="268"/>
      <c r="OUE411" s="268"/>
      <c r="OUF411" s="268"/>
      <c r="OUG411" s="268"/>
      <c r="OUH411" s="268"/>
      <c r="OUI411" s="268"/>
      <c r="OUJ411" s="268"/>
      <c r="OUK411" s="268"/>
      <c r="OUL411" s="268"/>
      <c r="OUM411" s="268"/>
      <c r="OUN411" s="268"/>
      <c r="OUO411" s="268"/>
      <c r="OUP411" s="268"/>
      <c r="OUQ411" s="268"/>
      <c r="OUR411" s="268"/>
      <c r="OUS411" s="268"/>
      <c r="OUT411" s="268"/>
      <c r="OUU411" s="268"/>
      <c r="OUV411" s="268"/>
      <c r="OUW411" s="268"/>
      <c r="OUX411" s="268"/>
      <c r="OUY411" s="268"/>
      <c r="OUZ411" s="268"/>
      <c r="OVA411" s="268"/>
      <c r="OVB411" s="268"/>
      <c r="OVC411" s="268"/>
      <c r="OVD411" s="268"/>
      <c r="OVE411" s="268"/>
      <c r="OVF411" s="268"/>
      <c r="OVG411" s="268"/>
      <c r="OVH411" s="268"/>
      <c r="OVI411" s="268"/>
      <c r="OVJ411" s="268"/>
      <c r="OVK411" s="268"/>
      <c r="OVL411" s="268"/>
      <c r="OVM411" s="268"/>
      <c r="OVN411" s="268"/>
      <c r="OVO411" s="268"/>
      <c r="OVP411" s="268"/>
      <c r="OVQ411" s="268"/>
      <c r="OVR411" s="268"/>
      <c r="OVS411" s="268"/>
      <c r="OVT411" s="268"/>
      <c r="OVU411" s="268"/>
      <c r="OVV411" s="268"/>
      <c r="OVW411" s="268"/>
      <c r="OVX411" s="268"/>
      <c r="OVY411" s="268"/>
      <c r="OVZ411" s="268"/>
      <c r="OWA411" s="268"/>
      <c r="OWB411" s="268"/>
      <c r="OWC411" s="268"/>
      <c r="OWD411" s="268"/>
      <c r="OWE411" s="268"/>
      <c r="OWS411" s="268"/>
      <c r="OWT411" s="268"/>
      <c r="OWU411" s="268"/>
      <c r="OXI411" s="268"/>
      <c r="OXK411" s="268"/>
      <c r="OXL411" s="268"/>
      <c r="OXM411" s="268"/>
      <c r="OXN411" s="268"/>
      <c r="OXO411" s="268"/>
      <c r="OXP411" s="268"/>
      <c r="OXQ411" s="268"/>
      <c r="OXR411" s="268"/>
      <c r="OXS411" s="268"/>
      <c r="OXT411" s="268"/>
      <c r="OXU411" s="268"/>
      <c r="OXV411" s="268"/>
      <c r="OXW411" s="268"/>
      <c r="OXX411" s="268"/>
      <c r="OXY411" s="268"/>
      <c r="OXZ411" s="268"/>
      <c r="OYA411" s="268"/>
      <c r="OYB411" s="268"/>
      <c r="OYC411" s="268"/>
      <c r="OYD411" s="268"/>
      <c r="OYE411" s="268"/>
      <c r="OYF411" s="268"/>
      <c r="OYG411" s="268"/>
      <c r="OYH411" s="268"/>
      <c r="OYI411" s="268"/>
      <c r="OYJ411" s="268"/>
      <c r="OYK411" s="268"/>
      <c r="OYL411" s="268"/>
      <c r="OYM411" s="268"/>
      <c r="OYN411" s="268"/>
      <c r="OYO411" s="268"/>
      <c r="OYP411" s="268"/>
      <c r="OYQ411" s="268"/>
      <c r="OYR411" s="268"/>
      <c r="OYS411" s="268"/>
      <c r="OYT411" s="268"/>
      <c r="OYU411" s="268"/>
      <c r="OYV411" s="268"/>
      <c r="OYW411" s="268"/>
      <c r="OYX411" s="268"/>
      <c r="OYY411" s="268"/>
      <c r="OYZ411" s="268"/>
      <c r="OZA411" s="268"/>
      <c r="OZB411" s="268"/>
      <c r="OZC411" s="268"/>
      <c r="OZD411" s="268"/>
      <c r="OZE411" s="268"/>
      <c r="OZF411" s="268"/>
      <c r="OZG411" s="268"/>
      <c r="OZH411" s="268"/>
      <c r="OZI411" s="268"/>
      <c r="OZJ411" s="268"/>
      <c r="OZK411" s="268"/>
      <c r="OZL411" s="268"/>
      <c r="OZM411" s="268"/>
      <c r="OZN411" s="268"/>
      <c r="OZO411" s="268"/>
      <c r="OZP411" s="268"/>
      <c r="OZQ411" s="268"/>
      <c r="OZR411" s="268"/>
      <c r="OZS411" s="268"/>
      <c r="OZT411" s="268"/>
      <c r="OZU411" s="268"/>
      <c r="OZV411" s="268"/>
      <c r="OZW411" s="268"/>
      <c r="OZX411" s="268"/>
      <c r="OZY411" s="268"/>
      <c r="OZZ411" s="268"/>
      <c r="PAA411" s="268"/>
      <c r="PAB411" s="268"/>
      <c r="PAC411" s="268"/>
      <c r="PAD411" s="268"/>
      <c r="PAE411" s="268"/>
      <c r="PAF411" s="268"/>
      <c r="PAG411" s="268"/>
      <c r="PAH411" s="268"/>
      <c r="PAI411" s="268"/>
      <c r="PAJ411" s="268"/>
      <c r="PAK411" s="268"/>
      <c r="PAL411" s="268"/>
      <c r="PAM411" s="268"/>
      <c r="PAN411" s="268"/>
      <c r="PAO411" s="268"/>
      <c r="PAP411" s="268"/>
      <c r="PAQ411" s="268"/>
      <c r="PAR411" s="268"/>
      <c r="PAS411" s="268"/>
      <c r="PAT411" s="268"/>
      <c r="PAU411" s="268"/>
      <c r="PAV411" s="268"/>
      <c r="PAW411" s="268"/>
      <c r="PAX411" s="268"/>
      <c r="PAY411" s="268"/>
      <c r="PAZ411" s="268"/>
      <c r="PBA411" s="268"/>
      <c r="PBB411" s="268"/>
      <c r="PBC411" s="268"/>
      <c r="PBD411" s="268"/>
      <c r="PBE411" s="268"/>
      <c r="PBF411" s="268"/>
      <c r="PBG411" s="268"/>
      <c r="PBH411" s="268"/>
      <c r="PBI411" s="268"/>
      <c r="PBJ411" s="268"/>
      <c r="PBK411" s="268"/>
      <c r="PBL411" s="268"/>
      <c r="PBM411" s="268"/>
      <c r="PBN411" s="268"/>
      <c r="PBO411" s="268"/>
      <c r="PBP411" s="268"/>
      <c r="PBQ411" s="268"/>
      <c r="PBR411" s="268"/>
      <c r="PBS411" s="268"/>
      <c r="PBT411" s="268"/>
      <c r="PBU411" s="268"/>
      <c r="PBV411" s="268"/>
      <c r="PBW411" s="268"/>
      <c r="PBX411" s="268"/>
      <c r="PBY411" s="268"/>
      <c r="PBZ411" s="268"/>
      <c r="PCA411" s="268"/>
      <c r="PCB411" s="268"/>
      <c r="PCC411" s="268"/>
      <c r="PCD411" s="268"/>
      <c r="PCE411" s="268"/>
      <c r="PCF411" s="268"/>
      <c r="PCG411" s="268"/>
      <c r="PCH411" s="268"/>
      <c r="PCI411" s="268"/>
      <c r="PCJ411" s="268"/>
      <c r="PCK411" s="268"/>
      <c r="PCL411" s="268"/>
      <c r="PCM411" s="268"/>
      <c r="PCN411" s="268"/>
      <c r="PCO411" s="268"/>
      <c r="PCP411" s="268"/>
      <c r="PCQ411" s="268"/>
      <c r="PCR411" s="268"/>
      <c r="PCS411" s="268"/>
      <c r="PCT411" s="268"/>
      <c r="PCU411" s="268"/>
      <c r="PCV411" s="268"/>
      <c r="PCW411" s="268"/>
      <c r="PCX411" s="268"/>
      <c r="PCY411" s="268"/>
      <c r="PCZ411" s="268"/>
      <c r="PDA411" s="268"/>
      <c r="PDB411" s="268"/>
      <c r="PDC411" s="268"/>
      <c r="PDD411" s="268"/>
      <c r="PDE411" s="268"/>
      <c r="PDF411" s="268"/>
      <c r="PDG411" s="268"/>
      <c r="PDH411" s="268"/>
      <c r="PDI411" s="268"/>
      <c r="PDJ411" s="268"/>
      <c r="PDK411" s="268"/>
      <c r="PDL411" s="268"/>
      <c r="PDM411" s="268"/>
      <c r="PDN411" s="268"/>
      <c r="PDO411" s="268"/>
      <c r="PDP411" s="268"/>
      <c r="PDQ411" s="268"/>
      <c r="PDR411" s="268"/>
      <c r="PDS411" s="268"/>
      <c r="PDT411" s="268"/>
      <c r="PDU411" s="268"/>
      <c r="PDV411" s="268"/>
      <c r="PDW411" s="268"/>
      <c r="PDX411" s="268"/>
      <c r="PDY411" s="268"/>
      <c r="PDZ411" s="268"/>
      <c r="PEA411" s="268"/>
      <c r="PEB411" s="268"/>
      <c r="PEC411" s="268"/>
      <c r="PED411" s="268"/>
      <c r="PEE411" s="268"/>
      <c r="PEF411" s="268"/>
      <c r="PEG411" s="268"/>
      <c r="PEH411" s="268"/>
      <c r="PEI411" s="268"/>
      <c r="PEJ411" s="268"/>
      <c r="PEK411" s="268"/>
      <c r="PEL411" s="268"/>
      <c r="PEM411" s="268"/>
      <c r="PEN411" s="268"/>
      <c r="PEO411" s="268"/>
      <c r="PEP411" s="268"/>
      <c r="PEQ411" s="268"/>
      <c r="PER411" s="268"/>
      <c r="PES411" s="268"/>
      <c r="PET411" s="268"/>
      <c r="PEU411" s="268"/>
      <c r="PEV411" s="268"/>
      <c r="PEW411" s="268"/>
      <c r="PEX411" s="268"/>
      <c r="PEY411" s="268"/>
      <c r="PEZ411" s="268"/>
      <c r="PFA411" s="268"/>
      <c r="PFB411" s="268"/>
      <c r="PFC411" s="268"/>
      <c r="PFD411" s="268"/>
      <c r="PFE411" s="268"/>
      <c r="PFF411" s="268"/>
      <c r="PFG411" s="268"/>
      <c r="PFH411" s="268"/>
      <c r="PFI411" s="268"/>
      <c r="PFJ411" s="268"/>
      <c r="PFK411" s="268"/>
      <c r="PFL411" s="268"/>
      <c r="PFM411" s="268"/>
      <c r="PFN411" s="268"/>
      <c r="PFO411" s="268"/>
      <c r="PFP411" s="268"/>
      <c r="PFQ411" s="268"/>
      <c r="PFR411" s="268"/>
      <c r="PFS411" s="268"/>
      <c r="PFT411" s="268"/>
      <c r="PFU411" s="268"/>
      <c r="PFV411" s="268"/>
      <c r="PFW411" s="268"/>
      <c r="PFX411" s="268"/>
      <c r="PFY411" s="268"/>
      <c r="PFZ411" s="268"/>
      <c r="PGA411" s="268"/>
      <c r="PGO411" s="268"/>
      <c r="PGP411" s="268"/>
      <c r="PGQ411" s="268"/>
      <c r="PHE411" s="268"/>
      <c r="PHG411" s="268"/>
      <c r="PHH411" s="268"/>
      <c r="PHI411" s="268"/>
      <c r="PHJ411" s="268"/>
      <c r="PHK411" s="268"/>
      <c r="PHL411" s="268"/>
      <c r="PHM411" s="268"/>
      <c r="PHN411" s="268"/>
      <c r="PHO411" s="268"/>
      <c r="PHP411" s="268"/>
      <c r="PHQ411" s="268"/>
      <c r="PHR411" s="268"/>
      <c r="PHS411" s="268"/>
      <c r="PHT411" s="268"/>
      <c r="PHU411" s="268"/>
      <c r="PHV411" s="268"/>
      <c r="PHW411" s="268"/>
      <c r="PHX411" s="268"/>
      <c r="PHY411" s="268"/>
      <c r="PHZ411" s="268"/>
      <c r="PIA411" s="268"/>
      <c r="PIB411" s="268"/>
      <c r="PIC411" s="268"/>
      <c r="PID411" s="268"/>
      <c r="PIE411" s="268"/>
      <c r="PIF411" s="268"/>
      <c r="PIG411" s="268"/>
      <c r="PIH411" s="268"/>
      <c r="PII411" s="268"/>
      <c r="PIJ411" s="268"/>
      <c r="PIK411" s="268"/>
      <c r="PIL411" s="268"/>
      <c r="PIM411" s="268"/>
      <c r="PIN411" s="268"/>
      <c r="PIO411" s="268"/>
      <c r="PIP411" s="268"/>
      <c r="PIQ411" s="268"/>
      <c r="PIR411" s="268"/>
      <c r="PIS411" s="268"/>
      <c r="PIT411" s="268"/>
      <c r="PIU411" s="268"/>
      <c r="PIV411" s="268"/>
      <c r="PIW411" s="268"/>
      <c r="PIX411" s="268"/>
      <c r="PIY411" s="268"/>
      <c r="PIZ411" s="268"/>
      <c r="PJA411" s="268"/>
      <c r="PJB411" s="268"/>
      <c r="PJC411" s="268"/>
      <c r="PJD411" s="268"/>
      <c r="PJE411" s="268"/>
      <c r="PJF411" s="268"/>
      <c r="PJG411" s="268"/>
      <c r="PJH411" s="268"/>
      <c r="PJI411" s="268"/>
      <c r="PJJ411" s="268"/>
      <c r="PJK411" s="268"/>
      <c r="PJL411" s="268"/>
      <c r="PJM411" s="268"/>
      <c r="PJN411" s="268"/>
      <c r="PJO411" s="268"/>
      <c r="PJP411" s="268"/>
      <c r="PJQ411" s="268"/>
      <c r="PJR411" s="268"/>
      <c r="PJS411" s="268"/>
      <c r="PJT411" s="268"/>
      <c r="PJU411" s="268"/>
      <c r="PJV411" s="268"/>
      <c r="PJW411" s="268"/>
      <c r="PJX411" s="268"/>
      <c r="PJY411" s="268"/>
      <c r="PJZ411" s="268"/>
      <c r="PKA411" s="268"/>
      <c r="PKB411" s="268"/>
      <c r="PKC411" s="268"/>
      <c r="PKD411" s="268"/>
      <c r="PKE411" s="268"/>
      <c r="PKF411" s="268"/>
      <c r="PKG411" s="268"/>
      <c r="PKH411" s="268"/>
      <c r="PKI411" s="268"/>
      <c r="PKJ411" s="268"/>
      <c r="PKK411" s="268"/>
      <c r="PKL411" s="268"/>
      <c r="PKM411" s="268"/>
      <c r="PKN411" s="268"/>
      <c r="PKO411" s="268"/>
      <c r="PKP411" s="268"/>
      <c r="PKQ411" s="268"/>
      <c r="PKR411" s="268"/>
      <c r="PKS411" s="268"/>
      <c r="PKT411" s="268"/>
      <c r="PKU411" s="268"/>
      <c r="PKV411" s="268"/>
      <c r="PKW411" s="268"/>
      <c r="PKX411" s="268"/>
      <c r="PKY411" s="268"/>
      <c r="PKZ411" s="268"/>
      <c r="PLA411" s="268"/>
      <c r="PLB411" s="268"/>
      <c r="PLC411" s="268"/>
      <c r="PLD411" s="268"/>
      <c r="PLE411" s="268"/>
      <c r="PLF411" s="268"/>
      <c r="PLG411" s="268"/>
      <c r="PLH411" s="268"/>
      <c r="PLI411" s="268"/>
      <c r="PLJ411" s="268"/>
      <c r="PLK411" s="268"/>
      <c r="PLL411" s="268"/>
      <c r="PLM411" s="268"/>
      <c r="PLN411" s="268"/>
      <c r="PLO411" s="268"/>
      <c r="PLP411" s="268"/>
      <c r="PLQ411" s="268"/>
      <c r="PLR411" s="268"/>
      <c r="PLS411" s="268"/>
      <c r="PLT411" s="268"/>
      <c r="PLU411" s="268"/>
      <c r="PLV411" s="268"/>
      <c r="PLW411" s="268"/>
      <c r="PLX411" s="268"/>
      <c r="PLY411" s="268"/>
      <c r="PLZ411" s="268"/>
      <c r="PMA411" s="268"/>
      <c r="PMB411" s="268"/>
      <c r="PMC411" s="268"/>
      <c r="PMD411" s="268"/>
      <c r="PME411" s="268"/>
      <c r="PMF411" s="268"/>
      <c r="PMG411" s="268"/>
      <c r="PMH411" s="268"/>
      <c r="PMI411" s="268"/>
      <c r="PMJ411" s="268"/>
      <c r="PMK411" s="268"/>
      <c r="PML411" s="268"/>
      <c r="PMM411" s="268"/>
      <c r="PMN411" s="268"/>
      <c r="PMO411" s="268"/>
      <c r="PMP411" s="268"/>
      <c r="PMQ411" s="268"/>
      <c r="PMR411" s="268"/>
      <c r="PMS411" s="268"/>
      <c r="PMT411" s="268"/>
      <c r="PMU411" s="268"/>
      <c r="PMV411" s="268"/>
      <c r="PMW411" s="268"/>
      <c r="PMX411" s="268"/>
      <c r="PMY411" s="268"/>
      <c r="PMZ411" s="268"/>
      <c r="PNA411" s="268"/>
      <c r="PNB411" s="268"/>
      <c r="PNC411" s="268"/>
      <c r="PND411" s="268"/>
      <c r="PNE411" s="268"/>
      <c r="PNF411" s="268"/>
      <c r="PNG411" s="268"/>
      <c r="PNH411" s="268"/>
      <c r="PNI411" s="268"/>
      <c r="PNJ411" s="268"/>
      <c r="PNK411" s="268"/>
      <c r="PNL411" s="268"/>
      <c r="PNM411" s="268"/>
      <c r="PNN411" s="268"/>
      <c r="PNO411" s="268"/>
      <c r="PNP411" s="268"/>
      <c r="PNQ411" s="268"/>
      <c r="PNR411" s="268"/>
      <c r="PNS411" s="268"/>
      <c r="PNT411" s="268"/>
      <c r="PNU411" s="268"/>
      <c r="PNV411" s="268"/>
      <c r="PNW411" s="268"/>
      <c r="PNX411" s="268"/>
      <c r="PNY411" s="268"/>
      <c r="PNZ411" s="268"/>
      <c r="POA411" s="268"/>
      <c r="POB411" s="268"/>
      <c r="POC411" s="268"/>
      <c r="POD411" s="268"/>
      <c r="POE411" s="268"/>
      <c r="POF411" s="268"/>
      <c r="POG411" s="268"/>
      <c r="POH411" s="268"/>
      <c r="POI411" s="268"/>
      <c r="POJ411" s="268"/>
      <c r="POK411" s="268"/>
      <c r="POL411" s="268"/>
      <c r="POM411" s="268"/>
      <c r="PON411" s="268"/>
      <c r="POO411" s="268"/>
      <c r="POP411" s="268"/>
      <c r="POQ411" s="268"/>
      <c r="POR411" s="268"/>
      <c r="POS411" s="268"/>
      <c r="POT411" s="268"/>
      <c r="POU411" s="268"/>
      <c r="POV411" s="268"/>
      <c r="POW411" s="268"/>
      <c r="POX411" s="268"/>
      <c r="POY411" s="268"/>
      <c r="POZ411" s="268"/>
      <c r="PPA411" s="268"/>
      <c r="PPB411" s="268"/>
      <c r="PPC411" s="268"/>
      <c r="PPD411" s="268"/>
      <c r="PPE411" s="268"/>
      <c r="PPF411" s="268"/>
      <c r="PPG411" s="268"/>
      <c r="PPH411" s="268"/>
      <c r="PPI411" s="268"/>
      <c r="PPJ411" s="268"/>
      <c r="PPK411" s="268"/>
      <c r="PPL411" s="268"/>
      <c r="PPM411" s="268"/>
      <c r="PPN411" s="268"/>
      <c r="PPO411" s="268"/>
      <c r="PPP411" s="268"/>
      <c r="PPQ411" s="268"/>
      <c r="PPR411" s="268"/>
      <c r="PPS411" s="268"/>
      <c r="PPT411" s="268"/>
      <c r="PPU411" s="268"/>
      <c r="PPV411" s="268"/>
      <c r="PPW411" s="268"/>
      <c r="PQK411" s="268"/>
      <c r="PQL411" s="268"/>
      <c r="PQM411" s="268"/>
      <c r="PRA411" s="268"/>
      <c r="PRC411" s="268"/>
      <c r="PRD411" s="268"/>
      <c r="PRE411" s="268"/>
      <c r="PRF411" s="268"/>
      <c r="PRG411" s="268"/>
      <c r="PRH411" s="268"/>
      <c r="PRI411" s="268"/>
      <c r="PRJ411" s="268"/>
      <c r="PRK411" s="268"/>
      <c r="PRL411" s="268"/>
      <c r="PRM411" s="268"/>
      <c r="PRN411" s="268"/>
      <c r="PRO411" s="268"/>
      <c r="PRP411" s="268"/>
      <c r="PRQ411" s="268"/>
      <c r="PRR411" s="268"/>
      <c r="PRS411" s="268"/>
      <c r="PRT411" s="268"/>
      <c r="PRU411" s="268"/>
      <c r="PRV411" s="268"/>
      <c r="PRW411" s="268"/>
      <c r="PRX411" s="268"/>
      <c r="PRY411" s="268"/>
      <c r="PRZ411" s="268"/>
      <c r="PSA411" s="268"/>
      <c r="PSB411" s="268"/>
      <c r="PSC411" s="268"/>
      <c r="PSD411" s="268"/>
      <c r="PSE411" s="268"/>
      <c r="PSF411" s="268"/>
      <c r="PSG411" s="268"/>
      <c r="PSH411" s="268"/>
      <c r="PSI411" s="268"/>
      <c r="PSJ411" s="268"/>
      <c r="PSK411" s="268"/>
      <c r="PSL411" s="268"/>
      <c r="PSM411" s="268"/>
      <c r="PSN411" s="268"/>
      <c r="PSO411" s="268"/>
      <c r="PSP411" s="268"/>
      <c r="PSQ411" s="268"/>
      <c r="PSR411" s="268"/>
      <c r="PSS411" s="268"/>
      <c r="PST411" s="268"/>
      <c r="PSU411" s="268"/>
      <c r="PSV411" s="268"/>
      <c r="PSW411" s="268"/>
      <c r="PSX411" s="268"/>
      <c r="PSY411" s="268"/>
      <c r="PSZ411" s="268"/>
      <c r="PTA411" s="268"/>
      <c r="PTB411" s="268"/>
      <c r="PTC411" s="268"/>
      <c r="PTD411" s="268"/>
      <c r="PTE411" s="268"/>
      <c r="PTF411" s="268"/>
      <c r="PTG411" s="268"/>
      <c r="PTH411" s="268"/>
      <c r="PTI411" s="268"/>
      <c r="PTJ411" s="268"/>
      <c r="PTK411" s="268"/>
      <c r="PTL411" s="268"/>
      <c r="PTM411" s="268"/>
      <c r="PTN411" s="268"/>
      <c r="PTO411" s="268"/>
      <c r="PTP411" s="268"/>
      <c r="PTQ411" s="268"/>
      <c r="PTR411" s="268"/>
      <c r="PTS411" s="268"/>
      <c r="PTT411" s="268"/>
      <c r="PTU411" s="268"/>
      <c r="PTV411" s="268"/>
      <c r="PTW411" s="268"/>
      <c r="PTX411" s="268"/>
      <c r="PTY411" s="268"/>
      <c r="PTZ411" s="268"/>
      <c r="PUA411" s="268"/>
      <c r="PUB411" s="268"/>
      <c r="PUC411" s="268"/>
      <c r="PUD411" s="268"/>
      <c r="PUE411" s="268"/>
      <c r="PUF411" s="268"/>
      <c r="PUG411" s="268"/>
      <c r="PUH411" s="268"/>
      <c r="PUI411" s="268"/>
      <c r="PUJ411" s="268"/>
      <c r="PUK411" s="268"/>
      <c r="PUL411" s="268"/>
      <c r="PUM411" s="268"/>
      <c r="PUN411" s="268"/>
      <c r="PUO411" s="268"/>
      <c r="PUP411" s="268"/>
      <c r="PUQ411" s="268"/>
      <c r="PUR411" s="268"/>
      <c r="PUS411" s="268"/>
      <c r="PUT411" s="268"/>
      <c r="PUU411" s="268"/>
      <c r="PUV411" s="268"/>
      <c r="PUW411" s="268"/>
      <c r="PUX411" s="268"/>
      <c r="PUY411" s="268"/>
      <c r="PUZ411" s="268"/>
      <c r="PVA411" s="268"/>
      <c r="PVB411" s="268"/>
      <c r="PVC411" s="268"/>
      <c r="PVD411" s="268"/>
      <c r="PVE411" s="268"/>
      <c r="PVF411" s="268"/>
      <c r="PVG411" s="268"/>
      <c r="PVH411" s="268"/>
      <c r="PVI411" s="268"/>
      <c r="PVJ411" s="268"/>
      <c r="PVK411" s="268"/>
      <c r="PVL411" s="268"/>
      <c r="PVM411" s="268"/>
      <c r="PVN411" s="268"/>
      <c r="PVO411" s="268"/>
      <c r="PVP411" s="268"/>
      <c r="PVQ411" s="268"/>
      <c r="PVR411" s="268"/>
      <c r="PVS411" s="268"/>
      <c r="PVT411" s="268"/>
      <c r="PVU411" s="268"/>
      <c r="PVV411" s="268"/>
      <c r="PVW411" s="268"/>
      <c r="PVX411" s="268"/>
      <c r="PVY411" s="268"/>
      <c r="PVZ411" s="268"/>
      <c r="PWA411" s="268"/>
      <c r="PWB411" s="268"/>
      <c r="PWC411" s="268"/>
      <c r="PWD411" s="268"/>
      <c r="PWE411" s="268"/>
      <c r="PWF411" s="268"/>
      <c r="PWG411" s="268"/>
      <c r="PWH411" s="268"/>
      <c r="PWI411" s="268"/>
      <c r="PWJ411" s="268"/>
      <c r="PWK411" s="268"/>
      <c r="PWL411" s="268"/>
      <c r="PWM411" s="268"/>
      <c r="PWN411" s="268"/>
      <c r="PWO411" s="268"/>
      <c r="PWP411" s="268"/>
      <c r="PWQ411" s="268"/>
      <c r="PWR411" s="268"/>
      <c r="PWS411" s="268"/>
      <c r="PWT411" s="268"/>
      <c r="PWU411" s="268"/>
      <c r="PWV411" s="268"/>
      <c r="PWW411" s="268"/>
      <c r="PWX411" s="268"/>
      <c r="PWY411" s="268"/>
      <c r="PWZ411" s="268"/>
      <c r="PXA411" s="268"/>
      <c r="PXB411" s="268"/>
      <c r="PXC411" s="268"/>
      <c r="PXD411" s="268"/>
      <c r="PXE411" s="268"/>
      <c r="PXF411" s="268"/>
      <c r="PXG411" s="268"/>
      <c r="PXH411" s="268"/>
      <c r="PXI411" s="268"/>
      <c r="PXJ411" s="268"/>
      <c r="PXK411" s="268"/>
      <c r="PXL411" s="268"/>
      <c r="PXM411" s="268"/>
      <c r="PXN411" s="268"/>
      <c r="PXO411" s="268"/>
      <c r="PXP411" s="268"/>
      <c r="PXQ411" s="268"/>
      <c r="PXR411" s="268"/>
      <c r="PXS411" s="268"/>
      <c r="PXT411" s="268"/>
      <c r="PXU411" s="268"/>
      <c r="PXV411" s="268"/>
      <c r="PXW411" s="268"/>
      <c r="PXX411" s="268"/>
      <c r="PXY411" s="268"/>
      <c r="PXZ411" s="268"/>
      <c r="PYA411" s="268"/>
      <c r="PYB411" s="268"/>
      <c r="PYC411" s="268"/>
      <c r="PYD411" s="268"/>
      <c r="PYE411" s="268"/>
      <c r="PYF411" s="268"/>
      <c r="PYG411" s="268"/>
      <c r="PYH411" s="268"/>
      <c r="PYI411" s="268"/>
      <c r="PYJ411" s="268"/>
      <c r="PYK411" s="268"/>
      <c r="PYL411" s="268"/>
      <c r="PYM411" s="268"/>
      <c r="PYN411" s="268"/>
      <c r="PYO411" s="268"/>
      <c r="PYP411" s="268"/>
      <c r="PYQ411" s="268"/>
      <c r="PYR411" s="268"/>
      <c r="PYS411" s="268"/>
      <c r="PYT411" s="268"/>
      <c r="PYU411" s="268"/>
      <c r="PYV411" s="268"/>
      <c r="PYW411" s="268"/>
      <c r="PYX411" s="268"/>
      <c r="PYY411" s="268"/>
      <c r="PYZ411" s="268"/>
      <c r="PZA411" s="268"/>
      <c r="PZB411" s="268"/>
      <c r="PZC411" s="268"/>
      <c r="PZD411" s="268"/>
      <c r="PZE411" s="268"/>
      <c r="PZF411" s="268"/>
      <c r="PZG411" s="268"/>
      <c r="PZH411" s="268"/>
      <c r="PZI411" s="268"/>
      <c r="PZJ411" s="268"/>
      <c r="PZK411" s="268"/>
      <c r="PZL411" s="268"/>
      <c r="PZM411" s="268"/>
      <c r="PZN411" s="268"/>
      <c r="PZO411" s="268"/>
      <c r="PZP411" s="268"/>
      <c r="PZQ411" s="268"/>
      <c r="PZR411" s="268"/>
      <c r="PZS411" s="268"/>
      <c r="QAG411" s="268"/>
      <c r="QAH411" s="268"/>
      <c r="QAI411" s="268"/>
      <c r="QAW411" s="268"/>
      <c r="QAY411" s="268"/>
      <c r="QAZ411" s="268"/>
      <c r="QBA411" s="268"/>
      <c r="QBB411" s="268"/>
      <c r="QBC411" s="268"/>
      <c r="QBD411" s="268"/>
      <c r="QBE411" s="268"/>
      <c r="QBF411" s="268"/>
      <c r="QBG411" s="268"/>
      <c r="QBH411" s="268"/>
      <c r="QBI411" s="268"/>
      <c r="QBJ411" s="268"/>
      <c r="QBK411" s="268"/>
      <c r="QBL411" s="268"/>
      <c r="QBM411" s="268"/>
      <c r="QBN411" s="268"/>
      <c r="QBO411" s="268"/>
      <c r="QBP411" s="268"/>
      <c r="QBQ411" s="268"/>
      <c r="QBR411" s="268"/>
      <c r="QBS411" s="268"/>
      <c r="QBT411" s="268"/>
      <c r="QBU411" s="268"/>
      <c r="QBV411" s="268"/>
      <c r="QBW411" s="268"/>
      <c r="QBX411" s="268"/>
      <c r="QBY411" s="268"/>
      <c r="QBZ411" s="268"/>
      <c r="QCA411" s="268"/>
      <c r="QCB411" s="268"/>
      <c r="QCC411" s="268"/>
      <c r="QCD411" s="268"/>
      <c r="QCE411" s="268"/>
      <c r="QCF411" s="268"/>
      <c r="QCG411" s="268"/>
      <c r="QCH411" s="268"/>
      <c r="QCI411" s="268"/>
      <c r="QCJ411" s="268"/>
      <c r="QCK411" s="268"/>
      <c r="QCL411" s="268"/>
      <c r="QCM411" s="268"/>
      <c r="QCN411" s="268"/>
      <c r="QCO411" s="268"/>
      <c r="QCP411" s="268"/>
      <c r="QCQ411" s="268"/>
      <c r="QCR411" s="268"/>
      <c r="QCS411" s="268"/>
      <c r="QCT411" s="268"/>
      <c r="QCU411" s="268"/>
      <c r="QCV411" s="268"/>
      <c r="QCW411" s="268"/>
      <c r="QCX411" s="268"/>
      <c r="QCY411" s="268"/>
      <c r="QCZ411" s="268"/>
      <c r="QDA411" s="268"/>
      <c r="QDB411" s="268"/>
      <c r="QDC411" s="268"/>
      <c r="QDD411" s="268"/>
      <c r="QDE411" s="268"/>
      <c r="QDF411" s="268"/>
      <c r="QDG411" s="268"/>
      <c r="QDH411" s="268"/>
      <c r="QDI411" s="268"/>
      <c r="QDJ411" s="268"/>
      <c r="QDK411" s="268"/>
      <c r="QDL411" s="268"/>
      <c r="QDM411" s="268"/>
      <c r="QDN411" s="268"/>
      <c r="QDO411" s="268"/>
      <c r="QDP411" s="268"/>
      <c r="QDQ411" s="268"/>
      <c r="QDR411" s="268"/>
      <c r="QDS411" s="268"/>
      <c r="QDT411" s="268"/>
      <c r="QDU411" s="268"/>
      <c r="QDV411" s="268"/>
      <c r="QDW411" s="268"/>
      <c r="QDX411" s="268"/>
      <c r="QDY411" s="268"/>
      <c r="QDZ411" s="268"/>
      <c r="QEA411" s="268"/>
      <c r="QEB411" s="268"/>
      <c r="QEC411" s="268"/>
      <c r="QED411" s="268"/>
      <c r="QEE411" s="268"/>
      <c r="QEF411" s="268"/>
      <c r="QEG411" s="268"/>
      <c r="QEH411" s="268"/>
      <c r="QEI411" s="268"/>
      <c r="QEJ411" s="268"/>
      <c r="QEK411" s="268"/>
      <c r="QEL411" s="268"/>
      <c r="QEM411" s="268"/>
      <c r="QEN411" s="268"/>
      <c r="QEO411" s="268"/>
      <c r="QEP411" s="268"/>
      <c r="QEQ411" s="268"/>
      <c r="QER411" s="268"/>
      <c r="QES411" s="268"/>
      <c r="QET411" s="268"/>
      <c r="QEU411" s="268"/>
      <c r="QEV411" s="268"/>
      <c r="QEW411" s="268"/>
      <c r="QEX411" s="268"/>
      <c r="QEY411" s="268"/>
      <c r="QEZ411" s="268"/>
      <c r="QFA411" s="268"/>
      <c r="QFB411" s="268"/>
      <c r="QFC411" s="268"/>
      <c r="QFD411" s="268"/>
      <c r="QFE411" s="268"/>
      <c r="QFF411" s="268"/>
      <c r="QFG411" s="268"/>
      <c r="QFH411" s="268"/>
      <c r="QFI411" s="268"/>
      <c r="QFJ411" s="268"/>
      <c r="QFK411" s="268"/>
      <c r="QFL411" s="268"/>
      <c r="QFM411" s="268"/>
      <c r="QFN411" s="268"/>
      <c r="QFO411" s="268"/>
      <c r="QFP411" s="268"/>
      <c r="QFQ411" s="268"/>
      <c r="QFR411" s="268"/>
      <c r="QFS411" s="268"/>
      <c r="QFT411" s="268"/>
      <c r="QFU411" s="268"/>
      <c r="QFV411" s="268"/>
      <c r="QFW411" s="268"/>
      <c r="QFX411" s="268"/>
      <c r="QFY411" s="268"/>
      <c r="QFZ411" s="268"/>
      <c r="QGA411" s="268"/>
      <c r="QGB411" s="268"/>
      <c r="QGC411" s="268"/>
      <c r="QGD411" s="268"/>
      <c r="QGE411" s="268"/>
      <c r="QGF411" s="268"/>
      <c r="QGG411" s="268"/>
      <c r="QGH411" s="268"/>
      <c r="QGI411" s="268"/>
      <c r="QGJ411" s="268"/>
      <c r="QGK411" s="268"/>
      <c r="QGL411" s="268"/>
      <c r="QGM411" s="268"/>
      <c r="QGN411" s="268"/>
      <c r="QGO411" s="268"/>
      <c r="QGP411" s="268"/>
      <c r="QGQ411" s="268"/>
      <c r="QGR411" s="268"/>
      <c r="QGS411" s="268"/>
      <c r="QGT411" s="268"/>
      <c r="QGU411" s="268"/>
      <c r="QGV411" s="268"/>
      <c r="QGW411" s="268"/>
      <c r="QGX411" s="268"/>
      <c r="QGY411" s="268"/>
      <c r="QGZ411" s="268"/>
      <c r="QHA411" s="268"/>
      <c r="QHB411" s="268"/>
      <c r="QHC411" s="268"/>
      <c r="QHD411" s="268"/>
      <c r="QHE411" s="268"/>
      <c r="QHF411" s="268"/>
      <c r="QHG411" s="268"/>
      <c r="QHH411" s="268"/>
      <c r="QHI411" s="268"/>
      <c r="QHJ411" s="268"/>
      <c r="QHK411" s="268"/>
      <c r="QHL411" s="268"/>
      <c r="QHM411" s="268"/>
      <c r="QHN411" s="268"/>
      <c r="QHO411" s="268"/>
      <c r="QHP411" s="268"/>
      <c r="QHQ411" s="268"/>
      <c r="QHR411" s="268"/>
      <c r="QHS411" s="268"/>
      <c r="QHT411" s="268"/>
      <c r="QHU411" s="268"/>
      <c r="QHV411" s="268"/>
      <c r="QHW411" s="268"/>
      <c r="QHX411" s="268"/>
      <c r="QHY411" s="268"/>
      <c r="QHZ411" s="268"/>
      <c r="QIA411" s="268"/>
      <c r="QIB411" s="268"/>
      <c r="QIC411" s="268"/>
      <c r="QID411" s="268"/>
      <c r="QIE411" s="268"/>
      <c r="QIF411" s="268"/>
      <c r="QIG411" s="268"/>
      <c r="QIH411" s="268"/>
      <c r="QII411" s="268"/>
      <c r="QIJ411" s="268"/>
      <c r="QIK411" s="268"/>
      <c r="QIL411" s="268"/>
      <c r="QIM411" s="268"/>
      <c r="QIN411" s="268"/>
      <c r="QIO411" s="268"/>
      <c r="QIP411" s="268"/>
      <c r="QIQ411" s="268"/>
      <c r="QIR411" s="268"/>
      <c r="QIS411" s="268"/>
      <c r="QIT411" s="268"/>
      <c r="QIU411" s="268"/>
      <c r="QIV411" s="268"/>
      <c r="QIW411" s="268"/>
      <c r="QIX411" s="268"/>
      <c r="QIY411" s="268"/>
      <c r="QIZ411" s="268"/>
      <c r="QJA411" s="268"/>
      <c r="QJB411" s="268"/>
      <c r="QJC411" s="268"/>
      <c r="QJD411" s="268"/>
      <c r="QJE411" s="268"/>
      <c r="QJF411" s="268"/>
      <c r="QJG411" s="268"/>
      <c r="QJH411" s="268"/>
      <c r="QJI411" s="268"/>
      <c r="QJJ411" s="268"/>
      <c r="QJK411" s="268"/>
      <c r="QJL411" s="268"/>
      <c r="QJM411" s="268"/>
      <c r="QJN411" s="268"/>
      <c r="QJO411" s="268"/>
      <c r="QKC411" s="268"/>
      <c r="QKD411" s="268"/>
      <c r="QKE411" s="268"/>
      <c r="QKS411" s="268"/>
      <c r="QKU411" s="268"/>
      <c r="QKV411" s="268"/>
      <c r="QKW411" s="268"/>
      <c r="QKX411" s="268"/>
      <c r="QKY411" s="268"/>
      <c r="QKZ411" s="268"/>
      <c r="QLA411" s="268"/>
      <c r="QLB411" s="268"/>
      <c r="QLC411" s="268"/>
      <c r="QLD411" s="268"/>
      <c r="QLE411" s="268"/>
      <c r="QLF411" s="268"/>
      <c r="QLG411" s="268"/>
      <c r="QLH411" s="268"/>
      <c r="QLI411" s="268"/>
      <c r="QLJ411" s="268"/>
      <c r="QLK411" s="268"/>
      <c r="QLL411" s="268"/>
      <c r="QLM411" s="268"/>
      <c r="QLN411" s="268"/>
      <c r="QLO411" s="268"/>
      <c r="QLP411" s="268"/>
      <c r="QLQ411" s="268"/>
      <c r="QLR411" s="268"/>
      <c r="QLS411" s="268"/>
      <c r="QLT411" s="268"/>
      <c r="QLU411" s="268"/>
      <c r="QLV411" s="268"/>
      <c r="QLW411" s="268"/>
      <c r="QLX411" s="268"/>
      <c r="QLY411" s="268"/>
      <c r="QLZ411" s="268"/>
      <c r="QMA411" s="268"/>
      <c r="QMB411" s="268"/>
      <c r="QMC411" s="268"/>
      <c r="QMD411" s="268"/>
      <c r="QME411" s="268"/>
      <c r="QMF411" s="268"/>
      <c r="QMG411" s="268"/>
      <c r="QMH411" s="268"/>
      <c r="QMI411" s="268"/>
      <c r="QMJ411" s="268"/>
      <c r="QMK411" s="268"/>
      <c r="QML411" s="268"/>
      <c r="QMM411" s="268"/>
      <c r="QMN411" s="268"/>
      <c r="QMO411" s="268"/>
      <c r="QMP411" s="268"/>
      <c r="QMQ411" s="268"/>
      <c r="QMR411" s="268"/>
      <c r="QMS411" s="268"/>
      <c r="QMT411" s="268"/>
      <c r="QMU411" s="268"/>
      <c r="QMV411" s="268"/>
      <c r="QMW411" s="268"/>
      <c r="QMX411" s="268"/>
      <c r="QMY411" s="268"/>
      <c r="QMZ411" s="268"/>
      <c r="QNA411" s="268"/>
      <c r="QNB411" s="268"/>
      <c r="QNC411" s="268"/>
      <c r="QND411" s="268"/>
      <c r="QNE411" s="268"/>
      <c r="QNF411" s="268"/>
      <c r="QNG411" s="268"/>
      <c r="QNH411" s="268"/>
      <c r="QNI411" s="268"/>
      <c r="QNJ411" s="268"/>
      <c r="QNK411" s="268"/>
      <c r="QNL411" s="268"/>
      <c r="QNM411" s="268"/>
      <c r="QNN411" s="268"/>
      <c r="QNO411" s="268"/>
      <c r="QNP411" s="268"/>
      <c r="QNQ411" s="268"/>
      <c r="QNR411" s="268"/>
      <c r="QNS411" s="268"/>
      <c r="QNT411" s="268"/>
      <c r="QNU411" s="268"/>
      <c r="QNV411" s="268"/>
      <c r="QNW411" s="268"/>
      <c r="QNX411" s="268"/>
      <c r="QNY411" s="268"/>
      <c r="QNZ411" s="268"/>
      <c r="QOA411" s="268"/>
      <c r="QOB411" s="268"/>
      <c r="QOC411" s="268"/>
      <c r="QOD411" s="268"/>
      <c r="QOE411" s="268"/>
      <c r="QOF411" s="268"/>
      <c r="QOG411" s="268"/>
      <c r="QOH411" s="268"/>
      <c r="QOI411" s="268"/>
      <c r="QOJ411" s="268"/>
      <c r="QOK411" s="268"/>
      <c r="QOL411" s="268"/>
      <c r="QOM411" s="268"/>
      <c r="QON411" s="268"/>
      <c r="QOO411" s="268"/>
      <c r="QOP411" s="268"/>
      <c r="QOQ411" s="268"/>
      <c r="QOR411" s="268"/>
      <c r="QOS411" s="268"/>
      <c r="QOT411" s="268"/>
      <c r="QOU411" s="268"/>
      <c r="QOV411" s="268"/>
      <c r="QOW411" s="268"/>
      <c r="QOX411" s="268"/>
      <c r="QOY411" s="268"/>
      <c r="QOZ411" s="268"/>
      <c r="QPA411" s="268"/>
      <c r="QPB411" s="268"/>
      <c r="QPC411" s="268"/>
      <c r="QPD411" s="268"/>
      <c r="QPE411" s="268"/>
      <c r="QPF411" s="268"/>
      <c r="QPG411" s="268"/>
      <c r="QPH411" s="268"/>
      <c r="QPI411" s="268"/>
      <c r="QPJ411" s="268"/>
      <c r="QPK411" s="268"/>
      <c r="QPL411" s="268"/>
      <c r="QPM411" s="268"/>
      <c r="QPN411" s="268"/>
      <c r="QPO411" s="268"/>
      <c r="QPP411" s="268"/>
      <c r="QPQ411" s="268"/>
      <c r="QPR411" s="268"/>
      <c r="QPS411" s="268"/>
      <c r="QPT411" s="268"/>
      <c r="QPU411" s="268"/>
      <c r="QPV411" s="268"/>
      <c r="QPW411" s="268"/>
      <c r="QPX411" s="268"/>
      <c r="QPY411" s="268"/>
      <c r="QPZ411" s="268"/>
      <c r="QQA411" s="268"/>
      <c r="QQB411" s="268"/>
      <c r="QQC411" s="268"/>
      <c r="QQD411" s="268"/>
      <c r="QQE411" s="268"/>
      <c r="QQF411" s="268"/>
      <c r="QQG411" s="268"/>
      <c r="QQH411" s="268"/>
      <c r="QQI411" s="268"/>
      <c r="QQJ411" s="268"/>
      <c r="QQK411" s="268"/>
      <c r="QQL411" s="268"/>
      <c r="QQM411" s="268"/>
      <c r="QQN411" s="268"/>
      <c r="QQO411" s="268"/>
      <c r="QQP411" s="268"/>
      <c r="QQQ411" s="268"/>
      <c r="QQR411" s="268"/>
      <c r="QQS411" s="268"/>
      <c r="QQT411" s="268"/>
      <c r="QQU411" s="268"/>
      <c r="QQV411" s="268"/>
      <c r="QQW411" s="268"/>
      <c r="QQX411" s="268"/>
      <c r="QQY411" s="268"/>
      <c r="QQZ411" s="268"/>
      <c r="QRA411" s="268"/>
      <c r="QRB411" s="268"/>
      <c r="QRC411" s="268"/>
      <c r="QRD411" s="268"/>
      <c r="QRE411" s="268"/>
      <c r="QRF411" s="268"/>
      <c r="QRG411" s="268"/>
      <c r="QRH411" s="268"/>
      <c r="QRI411" s="268"/>
      <c r="QRJ411" s="268"/>
      <c r="QRK411" s="268"/>
      <c r="QRL411" s="268"/>
      <c r="QRM411" s="268"/>
      <c r="QRN411" s="268"/>
      <c r="QRO411" s="268"/>
      <c r="QRP411" s="268"/>
      <c r="QRQ411" s="268"/>
      <c r="QRR411" s="268"/>
      <c r="QRS411" s="268"/>
      <c r="QRT411" s="268"/>
      <c r="QRU411" s="268"/>
      <c r="QRV411" s="268"/>
      <c r="QRW411" s="268"/>
      <c r="QRX411" s="268"/>
      <c r="QRY411" s="268"/>
      <c r="QRZ411" s="268"/>
      <c r="QSA411" s="268"/>
      <c r="QSB411" s="268"/>
      <c r="QSC411" s="268"/>
      <c r="QSD411" s="268"/>
      <c r="QSE411" s="268"/>
      <c r="QSF411" s="268"/>
      <c r="QSG411" s="268"/>
      <c r="QSH411" s="268"/>
      <c r="QSI411" s="268"/>
      <c r="QSJ411" s="268"/>
      <c r="QSK411" s="268"/>
      <c r="QSL411" s="268"/>
      <c r="QSM411" s="268"/>
      <c r="QSN411" s="268"/>
      <c r="QSO411" s="268"/>
      <c r="QSP411" s="268"/>
      <c r="QSQ411" s="268"/>
      <c r="QSR411" s="268"/>
      <c r="QSS411" s="268"/>
      <c r="QST411" s="268"/>
      <c r="QSU411" s="268"/>
      <c r="QSV411" s="268"/>
      <c r="QSW411" s="268"/>
      <c r="QSX411" s="268"/>
      <c r="QSY411" s="268"/>
      <c r="QSZ411" s="268"/>
      <c r="QTA411" s="268"/>
      <c r="QTB411" s="268"/>
      <c r="QTC411" s="268"/>
      <c r="QTD411" s="268"/>
      <c r="QTE411" s="268"/>
      <c r="QTF411" s="268"/>
      <c r="QTG411" s="268"/>
      <c r="QTH411" s="268"/>
      <c r="QTI411" s="268"/>
      <c r="QTJ411" s="268"/>
      <c r="QTK411" s="268"/>
      <c r="QTY411" s="268"/>
      <c r="QTZ411" s="268"/>
      <c r="QUA411" s="268"/>
      <c r="QUO411" s="268"/>
      <c r="QUQ411" s="268"/>
      <c r="QUR411" s="268"/>
      <c r="QUS411" s="268"/>
      <c r="QUT411" s="268"/>
      <c r="QUU411" s="268"/>
      <c r="QUV411" s="268"/>
      <c r="QUW411" s="268"/>
      <c r="QUX411" s="268"/>
      <c r="QUY411" s="268"/>
      <c r="QUZ411" s="268"/>
      <c r="QVA411" s="268"/>
      <c r="QVB411" s="268"/>
      <c r="QVC411" s="268"/>
      <c r="QVD411" s="268"/>
      <c r="QVE411" s="268"/>
      <c r="QVF411" s="268"/>
      <c r="QVG411" s="268"/>
      <c r="QVH411" s="268"/>
      <c r="QVI411" s="268"/>
      <c r="QVJ411" s="268"/>
      <c r="QVK411" s="268"/>
      <c r="QVL411" s="268"/>
      <c r="QVM411" s="268"/>
      <c r="QVN411" s="268"/>
      <c r="QVO411" s="268"/>
      <c r="QVP411" s="268"/>
      <c r="QVQ411" s="268"/>
      <c r="QVR411" s="268"/>
      <c r="QVS411" s="268"/>
      <c r="QVT411" s="268"/>
      <c r="QVU411" s="268"/>
      <c r="QVV411" s="268"/>
      <c r="QVW411" s="268"/>
      <c r="QVX411" s="268"/>
      <c r="QVY411" s="268"/>
      <c r="QVZ411" s="268"/>
      <c r="QWA411" s="268"/>
      <c r="QWB411" s="268"/>
      <c r="QWC411" s="268"/>
      <c r="QWD411" s="268"/>
      <c r="QWE411" s="268"/>
      <c r="QWF411" s="268"/>
      <c r="QWG411" s="268"/>
      <c r="QWH411" s="268"/>
      <c r="QWI411" s="268"/>
      <c r="QWJ411" s="268"/>
      <c r="QWK411" s="268"/>
      <c r="QWL411" s="268"/>
      <c r="QWM411" s="268"/>
      <c r="QWN411" s="268"/>
      <c r="QWO411" s="268"/>
      <c r="QWP411" s="268"/>
      <c r="QWQ411" s="268"/>
      <c r="QWR411" s="268"/>
      <c r="QWS411" s="268"/>
      <c r="QWT411" s="268"/>
      <c r="QWU411" s="268"/>
      <c r="QWV411" s="268"/>
      <c r="QWW411" s="268"/>
      <c r="QWX411" s="268"/>
      <c r="QWY411" s="268"/>
      <c r="QWZ411" s="268"/>
      <c r="QXA411" s="268"/>
      <c r="QXB411" s="268"/>
      <c r="QXC411" s="268"/>
      <c r="QXD411" s="268"/>
      <c r="QXE411" s="268"/>
      <c r="QXF411" s="268"/>
      <c r="QXG411" s="268"/>
      <c r="QXH411" s="268"/>
      <c r="QXI411" s="268"/>
      <c r="QXJ411" s="268"/>
      <c r="QXK411" s="268"/>
      <c r="QXL411" s="268"/>
      <c r="QXM411" s="268"/>
      <c r="QXN411" s="268"/>
      <c r="QXO411" s="268"/>
      <c r="QXP411" s="268"/>
      <c r="QXQ411" s="268"/>
      <c r="QXR411" s="268"/>
      <c r="QXS411" s="268"/>
      <c r="QXT411" s="268"/>
      <c r="QXU411" s="268"/>
      <c r="QXV411" s="268"/>
      <c r="QXW411" s="268"/>
      <c r="QXX411" s="268"/>
      <c r="QXY411" s="268"/>
      <c r="QXZ411" s="268"/>
      <c r="QYA411" s="268"/>
      <c r="QYB411" s="268"/>
      <c r="QYC411" s="268"/>
      <c r="QYD411" s="268"/>
      <c r="QYE411" s="268"/>
      <c r="QYF411" s="268"/>
      <c r="QYG411" s="268"/>
      <c r="QYH411" s="268"/>
      <c r="QYI411" s="268"/>
      <c r="QYJ411" s="268"/>
      <c r="QYK411" s="268"/>
      <c r="QYL411" s="268"/>
      <c r="QYM411" s="268"/>
      <c r="QYN411" s="268"/>
      <c r="QYO411" s="268"/>
      <c r="QYP411" s="268"/>
      <c r="QYQ411" s="268"/>
      <c r="QYR411" s="268"/>
      <c r="QYS411" s="268"/>
      <c r="QYT411" s="268"/>
      <c r="QYU411" s="268"/>
      <c r="QYV411" s="268"/>
      <c r="QYW411" s="268"/>
      <c r="QYX411" s="268"/>
      <c r="QYY411" s="268"/>
      <c r="QYZ411" s="268"/>
      <c r="QZA411" s="268"/>
      <c r="QZB411" s="268"/>
      <c r="QZC411" s="268"/>
      <c r="QZD411" s="268"/>
      <c r="QZE411" s="268"/>
      <c r="QZF411" s="268"/>
      <c r="QZG411" s="268"/>
      <c r="QZH411" s="268"/>
      <c r="QZI411" s="268"/>
      <c r="QZJ411" s="268"/>
      <c r="QZK411" s="268"/>
      <c r="QZL411" s="268"/>
      <c r="QZM411" s="268"/>
      <c r="QZN411" s="268"/>
      <c r="QZO411" s="268"/>
      <c r="QZP411" s="268"/>
      <c r="QZQ411" s="268"/>
      <c r="QZR411" s="268"/>
      <c r="QZS411" s="268"/>
      <c r="QZT411" s="268"/>
      <c r="QZU411" s="268"/>
      <c r="QZV411" s="268"/>
      <c r="QZW411" s="268"/>
      <c r="QZX411" s="268"/>
      <c r="QZY411" s="268"/>
      <c r="QZZ411" s="268"/>
      <c r="RAA411" s="268"/>
      <c r="RAB411" s="268"/>
      <c r="RAC411" s="268"/>
      <c r="RAD411" s="268"/>
      <c r="RAE411" s="268"/>
      <c r="RAF411" s="268"/>
      <c r="RAG411" s="268"/>
      <c r="RAH411" s="268"/>
      <c r="RAI411" s="268"/>
      <c r="RAJ411" s="268"/>
      <c r="RAK411" s="268"/>
      <c r="RAL411" s="268"/>
      <c r="RAM411" s="268"/>
      <c r="RAN411" s="268"/>
      <c r="RAO411" s="268"/>
      <c r="RAP411" s="268"/>
      <c r="RAQ411" s="268"/>
      <c r="RAR411" s="268"/>
      <c r="RAS411" s="268"/>
      <c r="RAT411" s="268"/>
      <c r="RAU411" s="268"/>
      <c r="RAV411" s="268"/>
      <c r="RAW411" s="268"/>
      <c r="RAX411" s="268"/>
      <c r="RAY411" s="268"/>
      <c r="RAZ411" s="268"/>
      <c r="RBA411" s="268"/>
      <c r="RBB411" s="268"/>
      <c r="RBC411" s="268"/>
      <c r="RBD411" s="268"/>
      <c r="RBE411" s="268"/>
      <c r="RBF411" s="268"/>
      <c r="RBG411" s="268"/>
      <c r="RBH411" s="268"/>
      <c r="RBI411" s="268"/>
      <c r="RBJ411" s="268"/>
      <c r="RBK411" s="268"/>
      <c r="RBL411" s="268"/>
      <c r="RBM411" s="268"/>
      <c r="RBN411" s="268"/>
      <c r="RBO411" s="268"/>
      <c r="RBP411" s="268"/>
      <c r="RBQ411" s="268"/>
      <c r="RBR411" s="268"/>
      <c r="RBS411" s="268"/>
      <c r="RBT411" s="268"/>
      <c r="RBU411" s="268"/>
      <c r="RBV411" s="268"/>
      <c r="RBW411" s="268"/>
      <c r="RBX411" s="268"/>
      <c r="RBY411" s="268"/>
      <c r="RBZ411" s="268"/>
      <c r="RCA411" s="268"/>
      <c r="RCB411" s="268"/>
      <c r="RCC411" s="268"/>
      <c r="RCD411" s="268"/>
      <c r="RCE411" s="268"/>
      <c r="RCF411" s="268"/>
      <c r="RCG411" s="268"/>
      <c r="RCH411" s="268"/>
      <c r="RCI411" s="268"/>
      <c r="RCJ411" s="268"/>
      <c r="RCK411" s="268"/>
      <c r="RCL411" s="268"/>
      <c r="RCM411" s="268"/>
      <c r="RCN411" s="268"/>
      <c r="RCO411" s="268"/>
      <c r="RCP411" s="268"/>
      <c r="RCQ411" s="268"/>
      <c r="RCR411" s="268"/>
      <c r="RCS411" s="268"/>
      <c r="RCT411" s="268"/>
      <c r="RCU411" s="268"/>
      <c r="RCV411" s="268"/>
      <c r="RCW411" s="268"/>
      <c r="RCX411" s="268"/>
      <c r="RCY411" s="268"/>
      <c r="RCZ411" s="268"/>
      <c r="RDA411" s="268"/>
      <c r="RDB411" s="268"/>
      <c r="RDC411" s="268"/>
      <c r="RDD411" s="268"/>
      <c r="RDE411" s="268"/>
      <c r="RDF411" s="268"/>
      <c r="RDG411" s="268"/>
      <c r="RDU411" s="268"/>
      <c r="RDV411" s="268"/>
      <c r="RDW411" s="268"/>
      <c r="REK411" s="268"/>
      <c r="REM411" s="268"/>
      <c r="REN411" s="268"/>
      <c r="REO411" s="268"/>
      <c r="REP411" s="268"/>
      <c r="REQ411" s="268"/>
      <c r="RER411" s="268"/>
      <c r="RES411" s="268"/>
      <c r="RET411" s="268"/>
      <c r="REU411" s="268"/>
      <c r="REV411" s="268"/>
      <c r="REW411" s="268"/>
      <c r="REX411" s="268"/>
      <c r="REY411" s="268"/>
      <c r="REZ411" s="268"/>
      <c r="RFA411" s="268"/>
      <c r="RFB411" s="268"/>
      <c r="RFC411" s="268"/>
      <c r="RFD411" s="268"/>
      <c r="RFE411" s="268"/>
      <c r="RFF411" s="268"/>
      <c r="RFG411" s="268"/>
      <c r="RFH411" s="268"/>
      <c r="RFI411" s="268"/>
      <c r="RFJ411" s="268"/>
      <c r="RFK411" s="268"/>
      <c r="RFL411" s="268"/>
      <c r="RFM411" s="268"/>
      <c r="RFN411" s="268"/>
      <c r="RFO411" s="268"/>
      <c r="RFP411" s="268"/>
      <c r="RFQ411" s="268"/>
      <c r="RFR411" s="268"/>
      <c r="RFS411" s="268"/>
      <c r="RFT411" s="268"/>
      <c r="RFU411" s="268"/>
      <c r="RFV411" s="268"/>
      <c r="RFW411" s="268"/>
      <c r="RFX411" s="268"/>
      <c r="RFY411" s="268"/>
      <c r="RFZ411" s="268"/>
      <c r="RGA411" s="268"/>
      <c r="RGB411" s="268"/>
      <c r="RGC411" s="268"/>
      <c r="RGD411" s="268"/>
      <c r="RGE411" s="268"/>
      <c r="RGF411" s="268"/>
      <c r="RGG411" s="268"/>
      <c r="RGH411" s="268"/>
      <c r="RGI411" s="268"/>
      <c r="RGJ411" s="268"/>
      <c r="RGK411" s="268"/>
      <c r="RGL411" s="268"/>
      <c r="RGM411" s="268"/>
      <c r="RGN411" s="268"/>
      <c r="RGO411" s="268"/>
      <c r="RGP411" s="268"/>
      <c r="RGQ411" s="268"/>
      <c r="RGR411" s="268"/>
      <c r="RGS411" s="268"/>
      <c r="RGT411" s="268"/>
      <c r="RGU411" s="268"/>
      <c r="RGV411" s="268"/>
      <c r="RGW411" s="268"/>
      <c r="RGX411" s="268"/>
      <c r="RGY411" s="268"/>
      <c r="RGZ411" s="268"/>
      <c r="RHA411" s="268"/>
      <c r="RHB411" s="268"/>
      <c r="RHC411" s="268"/>
      <c r="RHD411" s="268"/>
      <c r="RHE411" s="268"/>
      <c r="RHF411" s="268"/>
      <c r="RHG411" s="268"/>
      <c r="RHH411" s="268"/>
      <c r="RHI411" s="268"/>
      <c r="RHJ411" s="268"/>
      <c r="RHK411" s="268"/>
      <c r="RHL411" s="268"/>
      <c r="RHM411" s="268"/>
      <c r="RHN411" s="268"/>
      <c r="RHO411" s="268"/>
      <c r="RHP411" s="268"/>
      <c r="RHQ411" s="268"/>
      <c r="RHR411" s="268"/>
      <c r="RHS411" s="268"/>
      <c r="RHT411" s="268"/>
      <c r="RHU411" s="268"/>
      <c r="RHV411" s="268"/>
      <c r="RHW411" s="268"/>
      <c r="RHX411" s="268"/>
      <c r="RHY411" s="268"/>
      <c r="RHZ411" s="268"/>
      <c r="RIA411" s="268"/>
      <c r="RIB411" s="268"/>
      <c r="RIC411" s="268"/>
      <c r="RID411" s="268"/>
      <c r="RIE411" s="268"/>
      <c r="RIF411" s="268"/>
      <c r="RIG411" s="268"/>
      <c r="RIH411" s="268"/>
      <c r="RII411" s="268"/>
      <c r="RIJ411" s="268"/>
      <c r="RIK411" s="268"/>
      <c r="RIL411" s="268"/>
      <c r="RIM411" s="268"/>
      <c r="RIN411" s="268"/>
      <c r="RIO411" s="268"/>
      <c r="RIP411" s="268"/>
      <c r="RIQ411" s="268"/>
      <c r="RIR411" s="268"/>
      <c r="RIS411" s="268"/>
      <c r="RIT411" s="268"/>
      <c r="RIU411" s="268"/>
      <c r="RIV411" s="268"/>
      <c r="RIW411" s="268"/>
      <c r="RIX411" s="268"/>
      <c r="RIY411" s="268"/>
      <c r="RIZ411" s="268"/>
      <c r="RJA411" s="268"/>
      <c r="RJB411" s="268"/>
      <c r="RJC411" s="268"/>
      <c r="RJD411" s="268"/>
      <c r="RJE411" s="268"/>
      <c r="RJF411" s="268"/>
      <c r="RJG411" s="268"/>
      <c r="RJH411" s="268"/>
      <c r="RJI411" s="268"/>
      <c r="RJJ411" s="268"/>
      <c r="RJK411" s="268"/>
      <c r="RJL411" s="268"/>
      <c r="RJM411" s="268"/>
      <c r="RJN411" s="268"/>
      <c r="RJO411" s="268"/>
      <c r="RJP411" s="268"/>
      <c r="RJQ411" s="268"/>
      <c r="RJR411" s="268"/>
      <c r="RJS411" s="268"/>
      <c r="RJT411" s="268"/>
      <c r="RJU411" s="268"/>
      <c r="RJV411" s="268"/>
      <c r="RJW411" s="268"/>
      <c r="RJX411" s="268"/>
      <c r="RJY411" s="268"/>
      <c r="RJZ411" s="268"/>
      <c r="RKA411" s="268"/>
      <c r="RKB411" s="268"/>
      <c r="RKC411" s="268"/>
      <c r="RKD411" s="268"/>
      <c r="RKE411" s="268"/>
      <c r="RKF411" s="268"/>
      <c r="RKG411" s="268"/>
      <c r="RKH411" s="268"/>
      <c r="RKI411" s="268"/>
      <c r="RKJ411" s="268"/>
      <c r="RKK411" s="268"/>
      <c r="RKL411" s="268"/>
      <c r="RKM411" s="268"/>
      <c r="RKN411" s="268"/>
      <c r="RKO411" s="268"/>
      <c r="RKP411" s="268"/>
      <c r="RKQ411" s="268"/>
      <c r="RKR411" s="268"/>
      <c r="RKS411" s="268"/>
      <c r="RKT411" s="268"/>
      <c r="RKU411" s="268"/>
      <c r="RKV411" s="268"/>
      <c r="RKW411" s="268"/>
      <c r="RKX411" s="268"/>
      <c r="RKY411" s="268"/>
      <c r="RKZ411" s="268"/>
      <c r="RLA411" s="268"/>
      <c r="RLB411" s="268"/>
      <c r="RLC411" s="268"/>
      <c r="RLD411" s="268"/>
      <c r="RLE411" s="268"/>
      <c r="RLF411" s="268"/>
      <c r="RLG411" s="268"/>
      <c r="RLH411" s="268"/>
      <c r="RLI411" s="268"/>
      <c r="RLJ411" s="268"/>
      <c r="RLK411" s="268"/>
      <c r="RLL411" s="268"/>
      <c r="RLM411" s="268"/>
      <c r="RLN411" s="268"/>
      <c r="RLO411" s="268"/>
      <c r="RLP411" s="268"/>
      <c r="RLQ411" s="268"/>
      <c r="RLR411" s="268"/>
      <c r="RLS411" s="268"/>
      <c r="RLT411" s="268"/>
      <c r="RLU411" s="268"/>
      <c r="RLV411" s="268"/>
      <c r="RLW411" s="268"/>
      <c r="RLX411" s="268"/>
      <c r="RLY411" s="268"/>
      <c r="RLZ411" s="268"/>
      <c r="RMA411" s="268"/>
      <c r="RMB411" s="268"/>
      <c r="RMC411" s="268"/>
      <c r="RMD411" s="268"/>
      <c r="RME411" s="268"/>
      <c r="RMF411" s="268"/>
      <c r="RMG411" s="268"/>
      <c r="RMH411" s="268"/>
      <c r="RMI411" s="268"/>
      <c r="RMJ411" s="268"/>
      <c r="RMK411" s="268"/>
      <c r="RML411" s="268"/>
      <c r="RMM411" s="268"/>
      <c r="RMN411" s="268"/>
      <c r="RMO411" s="268"/>
      <c r="RMP411" s="268"/>
      <c r="RMQ411" s="268"/>
      <c r="RMR411" s="268"/>
      <c r="RMS411" s="268"/>
      <c r="RMT411" s="268"/>
      <c r="RMU411" s="268"/>
      <c r="RMV411" s="268"/>
      <c r="RMW411" s="268"/>
      <c r="RMX411" s="268"/>
      <c r="RMY411" s="268"/>
      <c r="RMZ411" s="268"/>
      <c r="RNA411" s="268"/>
      <c r="RNB411" s="268"/>
      <c r="RNC411" s="268"/>
      <c r="RNQ411" s="268"/>
      <c r="RNR411" s="268"/>
      <c r="RNS411" s="268"/>
      <c r="ROG411" s="268"/>
      <c r="ROI411" s="268"/>
      <c r="ROJ411" s="268"/>
      <c r="ROK411" s="268"/>
      <c r="ROL411" s="268"/>
      <c r="ROM411" s="268"/>
      <c r="RON411" s="268"/>
      <c r="ROO411" s="268"/>
      <c r="ROP411" s="268"/>
      <c r="ROQ411" s="268"/>
      <c r="ROR411" s="268"/>
      <c r="ROS411" s="268"/>
      <c r="ROT411" s="268"/>
      <c r="ROU411" s="268"/>
      <c r="ROV411" s="268"/>
      <c r="ROW411" s="268"/>
      <c r="ROX411" s="268"/>
      <c r="ROY411" s="268"/>
      <c r="ROZ411" s="268"/>
      <c r="RPA411" s="268"/>
      <c r="RPB411" s="268"/>
      <c r="RPC411" s="268"/>
      <c r="RPD411" s="268"/>
      <c r="RPE411" s="268"/>
      <c r="RPF411" s="268"/>
      <c r="RPG411" s="268"/>
      <c r="RPH411" s="268"/>
      <c r="RPI411" s="268"/>
      <c r="RPJ411" s="268"/>
      <c r="RPK411" s="268"/>
      <c r="RPL411" s="268"/>
      <c r="RPM411" s="268"/>
      <c r="RPN411" s="268"/>
      <c r="RPO411" s="268"/>
      <c r="RPP411" s="268"/>
      <c r="RPQ411" s="268"/>
      <c r="RPR411" s="268"/>
      <c r="RPS411" s="268"/>
      <c r="RPT411" s="268"/>
      <c r="RPU411" s="268"/>
      <c r="RPV411" s="268"/>
      <c r="RPW411" s="268"/>
      <c r="RPX411" s="268"/>
      <c r="RPY411" s="268"/>
      <c r="RPZ411" s="268"/>
      <c r="RQA411" s="268"/>
      <c r="RQB411" s="268"/>
      <c r="RQC411" s="268"/>
      <c r="RQD411" s="268"/>
      <c r="RQE411" s="268"/>
      <c r="RQF411" s="268"/>
      <c r="RQG411" s="268"/>
      <c r="RQH411" s="268"/>
      <c r="RQI411" s="268"/>
      <c r="RQJ411" s="268"/>
      <c r="RQK411" s="268"/>
      <c r="RQL411" s="268"/>
      <c r="RQM411" s="268"/>
      <c r="RQN411" s="268"/>
      <c r="RQO411" s="268"/>
      <c r="RQP411" s="268"/>
      <c r="RQQ411" s="268"/>
      <c r="RQR411" s="268"/>
      <c r="RQS411" s="268"/>
      <c r="RQT411" s="268"/>
      <c r="RQU411" s="268"/>
      <c r="RQV411" s="268"/>
      <c r="RQW411" s="268"/>
      <c r="RQX411" s="268"/>
      <c r="RQY411" s="268"/>
      <c r="RQZ411" s="268"/>
      <c r="RRA411" s="268"/>
      <c r="RRB411" s="268"/>
      <c r="RRC411" s="268"/>
      <c r="RRD411" s="268"/>
      <c r="RRE411" s="268"/>
      <c r="RRF411" s="268"/>
      <c r="RRG411" s="268"/>
      <c r="RRH411" s="268"/>
      <c r="RRI411" s="268"/>
      <c r="RRJ411" s="268"/>
      <c r="RRK411" s="268"/>
      <c r="RRL411" s="268"/>
      <c r="RRM411" s="268"/>
      <c r="RRN411" s="268"/>
      <c r="RRO411" s="268"/>
      <c r="RRP411" s="268"/>
      <c r="RRQ411" s="268"/>
      <c r="RRR411" s="268"/>
      <c r="RRS411" s="268"/>
      <c r="RRT411" s="268"/>
      <c r="RRU411" s="268"/>
      <c r="RRV411" s="268"/>
      <c r="RRW411" s="268"/>
      <c r="RRX411" s="268"/>
      <c r="RRY411" s="268"/>
      <c r="RRZ411" s="268"/>
      <c r="RSA411" s="268"/>
      <c r="RSB411" s="268"/>
      <c r="RSC411" s="268"/>
      <c r="RSD411" s="268"/>
      <c r="RSE411" s="268"/>
      <c r="RSF411" s="268"/>
      <c r="RSG411" s="268"/>
      <c r="RSH411" s="268"/>
      <c r="RSI411" s="268"/>
      <c r="RSJ411" s="268"/>
      <c r="RSK411" s="268"/>
      <c r="RSL411" s="268"/>
      <c r="RSM411" s="268"/>
      <c r="RSN411" s="268"/>
      <c r="RSO411" s="268"/>
      <c r="RSP411" s="268"/>
      <c r="RSQ411" s="268"/>
      <c r="RSR411" s="268"/>
      <c r="RSS411" s="268"/>
      <c r="RST411" s="268"/>
      <c r="RSU411" s="268"/>
      <c r="RSV411" s="268"/>
      <c r="RSW411" s="268"/>
      <c r="RSX411" s="268"/>
      <c r="RSY411" s="268"/>
      <c r="RSZ411" s="268"/>
      <c r="RTA411" s="268"/>
      <c r="RTB411" s="268"/>
      <c r="RTC411" s="268"/>
      <c r="RTD411" s="268"/>
      <c r="RTE411" s="268"/>
      <c r="RTF411" s="268"/>
      <c r="RTG411" s="268"/>
      <c r="RTH411" s="268"/>
      <c r="RTI411" s="268"/>
      <c r="RTJ411" s="268"/>
      <c r="RTK411" s="268"/>
      <c r="RTL411" s="268"/>
      <c r="RTM411" s="268"/>
      <c r="RTN411" s="268"/>
      <c r="RTO411" s="268"/>
      <c r="RTP411" s="268"/>
      <c r="RTQ411" s="268"/>
      <c r="RTR411" s="268"/>
      <c r="RTS411" s="268"/>
      <c r="RTT411" s="268"/>
      <c r="RTU411" s="268"/>
      <c r="RTV411" s="268"/>
      <c r="RTW411" s="268"/>
      <c r="RTX411" s="268"/>
      <c r="RTY411" s="268"/>
      <c r="RTZ411" s="268"/>
      <c r="RUA411" s="268"/>
      <c r="RUB411" s="268"/>
      <c r="RUC411" s="268"/>
      <c r="RUD411" s="268"/>
      <c r="RUE411" s="268"/>
      <c r="RUF411" s="268"/>
      <c r="RUG411" s="268"/>
      <c r="RUH411" s="268"/>
      <c r="RUI411" s="268"/>
      <c r="RUJ411" s="268"/>
      <c r="RUK411" s="268"/>
      <c r="RUL411" s="268"/>
      <c r="RUM411" s="268"/>
      <c r="RUN411" s="268"/>
      <c r="RUO411" s="268"/>
      <c r="RUP411" s="268"/>
      <c r="RUQ411" s="268"/>
      <c r="RUR411" s="268"/>
      <c r="RUS411" s="268"/>
      <c r="RUT411" s="268"/>
      <c r="RUU411" s="268"/>
      <c r="RUV411" s="268"/>
      <c r="RUW411" s="268"/>
      <c r="RUX411" s="268"/>
      <c r="RUY411" s="268"/>
      <c r="RUZ411" s="268"/>
      <c r="RVA411" s="268"/>
      <c r="RVB411" s="268"/>
      <c r="RVC411" s="268"/>
      <c r="RVD411" s="268"/>
      <c r="RVE411" s="268"/>
      <c r="RVF411" s="268"/>
      <c r="RVG411" s="268"/>
      <c r="RVH411" s="268"/>
      <c r="RVI411" s="268"/>
      <c r="RVJ411" s="268"/>
      <c r="RVK411" s="268"/>
      <c r="RVL411" s="268"/>
      <c r="RVM411" s="268"/>
      <c r="RVN411" s="268"/>
      <c r="RVO411" s="268"/>
      <c r="RVP411" s="268"/>
      <c r="RVQ411" s="268"/>
      <c r="RVR411" s="268"/>
      <c r="RVS411" s="268"/>
      <c r="RVT411" s="268"/>
      <c r="RVU411" s="268"/>
      <c r="RVV411" s="268"/>
      <c r="RVW411" s="268"/>
      <c r="RVX411" s="268"/>
      <c r="RVY411" s="268"/>
      <c r="RVZ411" s="268"/>
      <c r="RWA411" s="268"/>
      <c r="RWB411" s="268"/>
      <c r="RWC411" s="268"/>
      <c r="RWD411" s="268"/>
      <c r="RWE411" s="268"/>
      <c r="RWF411" s="268"/>
      <c r="RWG411" s="268"/>
      <c r="RWH411" s="268"/>
      <c r="RWI411" s="268"/>
      <c r="RWJ411" s="268"/>
      <c r="RWK411" s="268"/>
      <c r="RWL411" s="268"/>
      <c r="RWM411" s="268"/>
      <c r="RWN411" s="268"/>
      <c r="RWO411" s="268"/>
      <c r="RWP411" s="268"/>
      <c r="RWQ411" s="268"/>
      <c r="RWR411" s="268"/>
      <c r="RWS411" s="268"/>
      <c r="RWT411" s="268"/>
      <c r="RWU411" s="268"/>
      <c r="RWV411" s="268"/>
      <c r="RWW411" s="268"/>
      <c r="RWX411" s="268"/>
      <c r="RWY411" s="268"/>
      <c r="RXM411" s="268"/>
      <c r="RXN411" s="268"/>
      <c r="RXO411" s="268"/>
      <c r="RYC411" s="268"/>
      <c r="RYE411" s="268"/>
      <c r="RYF411" s="268"/>
      <c r="RYG411" s="268"/>
      <c r="RYH411" s="268"/>
      <c r="RYI411" s="268"/>
      <c r="RYJ411" s="268"/>
      <c r="RYK411" s="268"/>
      <c r="RYL411" s="268"/>
      <c r="RYM411" s="268"/>
      <c r="RYN411" s="268"/>
      <c r="RYO411" s="268"/>
      <c r="RYP411" s="268"/>
      <c r="RYQ411" s="268"/>
      <c r="RYR411" s="268"/>
      <c r="RYS411" s="268"/>
      <c r="RYT411" s="268"/>
      <c r="RYU411" s="268"/>
      <c r="RYV411" s="268"/>
      <c r="RYW411" s="268"/>
      <c r="RYX411" s="268"/>
      <c r="RYY411" s="268"/>
      <c r="RYZ411" s="268"/>
      <c r="RZA411" s="268"/>
      <c r="RZB411" s="268"/>
      <c r="RZC411" s="268"/>
      <c r="RZD411" s="268"/>
      <c r="RZE411" s="268"/>
      <c r="RZF411" s="268"/>
      <c r="RZG411" s="268"/>
      <c r="RZH411" s="268"/>
      <c r="RZI411" s="268"/>
      <c r="RZJ411" s="268"/>
      <c r="RZK411" s="268"/>
      <c r="RZL411" s="268"/>
      <c r="RZM411" s="268"/>
      <c r="RZN411" s="268"/>
      <c r="RZO411" s="268"/>
      <c r="RZP411" s="268"/>
      <c r="RZQ411" s="268"/>
      <c r="RZR411" s="268"/>
      <c r="RZS411" s="268"/>
      <c r="RZT411" s="268"/>
      <c r="RZU411" s="268"/>
      <c r="RZV411" s="268"/>
      <c r="RZW411" s="268"/>
      <c r="RZX411" s="268"/>
      <c r="RZY411" s="268"/>
      <c r="RZZ411" s="268"/>
      <c r="SAA411" s="268"/>
      <c r="SAB411" s="268"/>
      <c r="SAC411" s="268"/>
      <c r="SAD411" s="268"/>
      <c r="SAE411" s="268"/>
      <c r="SAF411" s="268"/>
      <c r="SAG411" s="268"/>
      <c r="SAH411" s="268"/>
      <c r="SAI411" s="268"/>
      <c r="SAJ411" s="268"/>
      <c r="SAK411" s="268"/>
      <c r="SAL411" s="268"/>
      <c r="SAM411" s="268"/>
      <c r="SAN411" s="268"/>
      <c r="SAO411" s="268"/>
      <c r="SAP411" s="268"/>
      <c r="SAQ411" s="268"/>
      <c r="SAR411" s="268"/>
      <c r="SAS411" s="268"/>
      <c r="SAT411" s="268"/>
      <c r="SAU411" s="268"/>
      <c r="SAV411" s="268"/>
      <c r="SAW411" s="268"/>
      <c r="SAX411" s="268"/>
      <c r="SAY411" s="268"/>
      <c r="SAZ411" s="268"/>
      <c r="SBA411" s="268"/>
      <c r="SBB411" s="268"/>
      <c r="SBC411" s="268"/>
      <c r="SBD411" s="268"/>
      <c r="SBE411" s="268"/>
      <c r="SBF411" s="268"/>
      <c r="SBG411" s="268"/>
      <c r="SBH411" s="268"/>
      <c r="SBI411" s="268"/>
      <c r="SBJ411" s="268"/>
      <c r="SBK411" s="268"/>
      <c r="SBL411" s="268"/>
      <c r="SBM411" s="268"/>
      <c r="SBN411" s="268"/>
      <c r="SBO411" s="268"/>
      <c r="SBP411" s="268"/>
      <c r="SBQ411" s="268"/>
      <c r="SBR411" s="268"/>
      <c r="SBS411" s="268"/>
      <c r="SBT411" s="268"/>
      <c r="SBU411" s="268"/>
      <c r="SBV411" s="268"/>
      <c r="SBW411" s="268"/>
      <c r="SBX411" s="268"/>
      <c r="SBY411" s="268"/>
      <c r="SBZ411" s="268"/>
      <c r="SCA411" s="268"/>
      <c r="SCB411" s="268"/>
      <c r="SCC411" s="268"/>
      <c r="SCD411" s="268"/>
      <c r="SCE411" s="268"/>
      <c r="SCF411" s="268"/>
      <c r="SCG411" s="268"/>
      <c r="SCH411" s="268"/>
      <c r="SCI411" s="268"/>
      <c r="SCJ411" s="268"/>
      <c r="SCK411" s="268"/>
      <c r="SCL411" s="268"/>
      <c r="SCM411" s="268"/>
      <c r="SCN411" s="268"/>
      <c r="SCO411" s="268"/>
      <c r="SCP411" s="268"/>
      <c r="SCQ411" s="268"/>
      <c r="SCR411" s="268"/>
      <c r="SCS411" s="268"/>
      <c r="SCT411" s="268"/>
      <c r="SCU411" s="268"/>
      <c r="SCV411" s="268"/>
      <c r="SCW411" s="268"/>
      <c r="SCX411" s="268"/>
      <c r="SCY411" s="268"/>
      <c r="SCZ411" s="268"/>
      <c r="SDA411" s="268"/>
      <c r="SDB411" s="268"/>
      <c r="SDC411" s="268"/>
      <c r="SDD411" s="268"/>
      <c r="SDE411" s="268"/>
      <c r="SDF411" s="268"/>
      <c r="SDG411" s="268"/>
      <c r="SDH411" s="268"/>
      <c r="SDI411" s="268"/>
      <c r="SDJ411" s="268"/>
      <c r="SDK411" s="268"/>
      <c r="SDL411" s="268"/>
      <c r="SDM411" s="268"/>
      <c r="SDN411" s="268"/>
      <c r="SDO411" s="268"/>
      <c r="SDP411" s="268"/>
      <c r="SDQ411" s="268"/>
      <c r="SDR411" s="268"/>
      <c r="SDS411" s="268"/>
      <c r="SDT411" s="268"/>
      <c r="SDU411" s="268"/>
      <c r="SDV411" s="268"/>
      <c r="SDW411" s="268"/>
      <c r="SDX411" s="268"/>
      <c r="SDY411" s="268"/>
      <c r="SDZ411" s="268"/>
      <c r="SEA411" s="268"/>
      <c r="SEB411" s="268"/>
      <c r="SEC411" s="268"/>
      <c r="SED411" s="268"/>
      <c r="SEE411" s="268"/>
      <c r="SEF411" s="268"/>
      <c r="SEG411" s="268"/>
      <c r="SEH411" s="268"/>
      <c r="SEI411" s="268"/>
      <c r="SEJ411" s="268"/>
      <c r="SEK411" s="268"/>
      <c r="SEL411" s="268"/>
      <c r="SEM411" s="268"/>
      <c r="SEN411" s="268"/>
      <c r="SEO411" s="268"/>
      <c r="SEP411" s="268"/>
      <c r="SEQ411" s="268"/>
      <c r="SER411" s="268"/>
      <c r="SES411" s="268"/>
      <c r="SET411" s="268"/>
      <c r="SEU411" s="268"/>
      <c r="SEV411" s="268"/>
      <c r="SEW411" s="268"/>
      <c r="SEX411" s="268"/>
      <c r="SEY411" s="268"/>
      <c r="SEZ411" s="268"/>
      <c r="SFA411" s="268"/>
      <c r="SFB411" s="268"/>
      <c r="SFC411" s="268"/>
      <c r="SFD411" s="268"/>
      <c r="SFE411" s="268"/>
      <c r="SFF411" s="268"/>
      <c r="SFG411" s="268"/>
      <c r="SFH411" s="268"/>
      <c r="SFI411" s="268"/>
      <c r="SFJ411" s="268"/>
      <c r="SFK411" s="268"/>
      <c r="SFL411" s="268"/>
      <c r="SFM411" s="268"/>
      <c r="SFN411" s="268"/>
      <c r="SFO411" s="268"/>
      <c r="SFP411" s="268"/>
      <c r="SFQ411" s="268"/>
      <c r="SFR411" s="268"/>
      <c r="SFS411" s="268"/>
      <c r="SFT411" s="268"/>
      <c r="SFU411" s="268"/>
      <c r="SFV411" s="268"/>
      <c r="SFW411" s="268"/>
      <c r="SFX411" s="268"/>
      <c r="SFY411" s="268"/>
      <c r="SFZ411" s="268"/>
      <c r="SGA411" s="268"/>
      <c r="SGB411" s="268"/>
      <c r="SGC411" s="268"/>
      <c r="SGD411" s="268"/>
      <c r="SGE411" s="268"/>
      <c r="SGF411" s="268"/>
      <c r="SGG411" s="268"/>
      <c r="SGH411" s="268"/>
      <c r="SGI411" s="268"/>
      <c r="SGJ411" s="268"/>
      <c r="SGK411" s="268"/>
      <c r="SGL411" s="268"/>
      <c r="SGM411" s="268"/>
      <c r="SGN411" s="268"/>
      <c r="SGO411" s="268"/>
      <c r="SGP411" s="268"/>
      <c r="SGQ411" s="268"/>
      <c r="SGR411" s="268"/>
      <c r="SGS411" s="268"/>
      <c r="SGT411" s="268"/>
      <c r="SGU411" s="268"/>
      <c r="SHI411" s="268"/>
      <c r="SHJ411" s="268"/>
      <c r="SHK411" s="268"/>
      <c r="SHY411" s="268"/>
      <c r="SIA411" s="268"/>
      <c r="SIB411" s="268"/>
      <c r="SIC411" s="268"/>
      <c r="SID411" s="268"/>
      <c r="SIE411" s="268"/>
      <c r="SIF411" s="268"/>
      <c r="SIG411" s="268"/>
      <c r="SIH411" s="268"/>
      <c r="SII411" s="268"/>
      <c r="SIJ411" s="268"/>
      <c r="SIK411" s="268"/>
      <c r="SIL411" s="268"/>
      <c r="SIM411" s="268"/>
      <c r="SIN411" s="268"/>
      <c r="SIO411" s="268"/>
      <c r="SIP411" s="268"/>
      <c r="SIQ411" s="268"/>
      <c r="SIR411" s="268"/>
      <c r="SIS411" s="268"/>
      <c r="SIT411" s="268"/>
      <c r="SIU411" s="268"/>
      <c r="SIV411" s="268"/>
      <c r="SIW411" s="268"/>
      <c r="SIX411" s="268"/>
      <c r="SIY411" s="268"/>
      <c r="SIZ411" s="268"/>
      <c r="SJA411" s="268"/>
      <c r="SJB411" s="268"/>
      <c r="SJC411" s="268"/>
      <c r="SJD411" s="268"/>
      <c r="SJE411" s="268"/>
      <c r="SJF411" s="268"/>
      <c r="SJG411" s="268"/>
      <c r="SJH411" s="268"/>
      <c r="SJI411" s="268"/>
      <c r="SJJ411" s="268"/>
      <c r="SJK411" s="268"/>
      <c r="SJL411" s="268"/>
      <c r="SJM411" s="268"/>
      <c r="SJN411" s="268"/>
      <c r="SJO411" s="268"/>
      <c r="SJP411" s="268"/>
      <c r="SJQ411" s="268"/>
      <c r="SJR411" s="268"/>
      <c r="SJS411" s="268"/>
      <c r="SJT411" s="268"/>
      <c r="SJU411" s="268"/>
      <c r="SJV411" s="268"/>
      <c r="SJW411" s="268"/>
      <c r="SJX411" s="268"/>
      <c r="SJY411" s="268"/>
      <c r="SJZ411" s="268"/>
      <c r="SKA411" s="268"/>
      <c r="SKB411" s="268"/>
      <c r="SKC411" s="268"/>
      <c r="SKD411" s="268"/>
      <c r="SKE411" s="268"/>
      <c r="SKF411" s="268"/>
      <c r="SKG411" s="268"/>
      <c r="SKH411" s="268"/>
      <c r="SKI411" s="268"/>
      <c r="SKJ411" s="268"/>
      <c r="SKK411" s="268"/>
      <c r="SKL411" s="268"/>
      <c r="SKM411" s="268"/>
      <c r="SKN411" s="268"/>
      <c r="SKO411" s="268"/>
      <c r="SKP411" s="268"/>
      <c r="SKQ411" s="268"/>
      <c r="SKR411" s="268"/>
      <c r="SKS411" s="268"/>
      <c r="SKT411" s="268"/>
      <c r="SKU411" s="268"/>
      <c r="SKV411" s="268"/>
      <c r="SKW411" s="268"/>
      <c r="SKX411" s="268"/>
      <c r="SKY411" s="268"/>
      <c r="SKZ411" s="268"/>
      <c r="SLA411" s="268"/>
      <c r="SLB411" s="268"/>
      <c r="SLC411" s="268"/>
      <c r="SLD411" s="268"/>
      <c r="SLE411" s="268"/>
      <c r="SLF411" s="268"/>
      <c r="SLG411" s="268"/>
      <c r="SLH411" s="268"/>
      <c r="SLI411" s="268"/>
      <c r="SLJ411" s="268"/>
      <c r="SLK411" s="268"/>
      <c r="SLL411" s="268"/>
      <c r="SLM411" s="268"/>
      <c r="SLN411" s="268"/>
      <c r="SLO411" s="268"/>
      <c r="SLP411" s="268"/>
      <c r="SLQ411" s="268"/>
      <c r="SLR411" s="268"/>
      <c r="SLS411" s="268"/>
      <c r="SLT411" s="268"/>
      <c r="SLU411" s="268"/>
      <c r="SLV411" s="268"/>
      <c r="SLW411" s="268"/>
      <c r="SLX411" s="268"/>
      <c r="SLY411" s="268"/>
      <c r="SLZ411" s="268"/>
      <c r="SMA411" s="268"/>
      <c r="SMB411" s="268"/>
      <c r="SMC411" s="268"/>
      <c r="SMD411" s="268"/>
      <c r="SME411" s="268"/>
      <c r="SMF411" s="268"/>
      <c r="SMG411" s="268"/>
      <c r="SMH411" s="268"/>
      <c r="SMI411" s="268"/>
      <c r="SMJ411" s="268"/>
      <c r="SMK411" s="268"/>
      <c r="SML411" s="268"/>
      <c r="SMM411" s="268"/>
      <c r="SMN411" s="268"/>
      <c r="SMO411" s="268"/>
      <c r="SMP411" s="268"/>
      <c r="SMQ411" s="268"/>
      <c r="SMR411" s="268"/>
      <c r="SMS411" s="268"/>
      <c r="SMT411" s="268"/>
      <c r="SMU411" s="268"/>
      <c r="SMV411" s="268"/>
      <c r="SMW411" s="268"/>
      <c r="SMX411" s="268"/>
      <c r="SMY411" s="268"/>
      <c r="SMZ411" s="268"/>
      <c r="SNA411" s="268"/>
      <c r="SNB411" s="268"/>
      <c r="SNC411" s="268"/>
      <c r="SND411" s="268"/>
      <c r="SNE411" s="268"/>
      <c r="SNF411" s="268"/>
      <c r="SNG411" s="268"/>
      <c r="SNH411" s="268"/>
      <c r="SNI411" s="268"/>
      <c r="SNJ411" s="268"/>
      <c r="SNK411" s="268"/>
      <c r="SNL411" s="268"/>
      <c r="SNM411" s="268"/>
      <c r="SNN411" s="268"/>
      <c r="SNO411" s="268"/>
      <c r="SNP411" s="268"/>
      <c r="SNQ411" s="268"/>
      <c r="SNR411" s="268"/>
      <c r="SNS411" s="268"/>
      <c r="SNT411" s="268"/>
      <c r="SNU411" s="268"/>
      <c r="SNV411" s="268"/>
      <c r="SNW411" s="268"/>
      <c r="SNX411" s="268"/>
      <c r="SNY411" s="268"/>
      <c r="SNZ411" s="268"/>
      <c r="SOA411" s="268"/>
      <c r="SOB411" s="268"/>
      <c r="SOC411" s="268"/>
      <c r="SOD411" s="268"/>
      <c r="SOE411" s="268"/>
      <c r="SOF411" s="268"/>
      <c r="SOG411" s="268"/>
      <c r="SOH411" s="268"/>
      <c r="SOI411" s="268"/>
      <c r="SOJ411" s="268"/>
      <c r="SOK411" s="268"/>
      <c r="SOL411" s="268"/>
      <c r="SOM411" s="268"/>
      <c r="SON411" s="268"/>
      <c r="SOO411" s="268"/>
      <c r="SOP411" s="268"/>
      <c r="SOQ411" s="268"/>
      <c r="SOR411" s="268"/>
      <c r="SOS411" s="268"/>
      <c r="SOT411" s="268"/>
      <c r="SOU411" s="268"/>
      <c r="SOV411" s="268"/>
      <c r="SOW411" s="268"/>
      <c r="SOX411" s="268"/>
      <c r="SOY411" s="268"/>
      <c r="SOZ411" s="268"/>
      <c r="SPA411" s="268"/>
      <c r="SPB411" s="268"/>
      <c r="SPC411" s="268"/>
      <c r="SPD411" s="268"/>
      <c r="SPE411" s="268"/>
      <c r="SPF411" s="268"/>
      <c r="SPG411" s="268"/>
      <c r="SPH411" s="268"/>
      <c r="SPI411" s="268"/>
      <c r="SPJ411" s="268"/>
      <c r="SPK411" s="268"/>
      <c r="SPL411" s="268"/>
      <c r="SPM411" s="268"/>
      <c r="SPN411" s="268"/>
      <c r="SPO411" s="268"/>
      <c r="SPP411" s="268"/>
      <c r="SPQ411" s="268"/>
      <c r="SPR411" s="268"/>
      <c r="SPS411" s="268"/>
      <c r="SPT411" s="268"/>
      <c r="SPU411" s="268"/>
      <c r="SPV411" s="268"/>
      <c r="SPW411" s="268"/>
      <c r="SPX411" s="268"/>
      <c r="SPY411" s="268"/>
      <c r="SPZ411" s="268"/>
      <c r="SQA411" s="268"/>
      <c r="SQB411" s="268"/>
      <c r="SQC411" s="268"/>
      <c r="SQD411" s="268"/>
      <c r="SQE411" s="268"/>
      <c r="SQF411" s="268"/>
      <c r="SQG411" s="268"/>
      <c r="SQH411" s="268"/>
      <c r="SQI411" s="268"/>
      <c r="SQJ411" s="268"/>
      <c r="SQK411" s="268"/>
      <c r="SQL411" s="268"/>
      <c r="SQM411" s="268"/>
      <c r="SQN411" s="268"/>
      <c r="SQO411" s="268"/>
      <c r="SQP411" s="268"/>
      <c r="SQQ411" s="268"/>
      <c r="SRE411" s="268"/>
      <c r="SRF411" s="268"/>
      <c r="SRG411" s="268"/>
      <c r="SRU411" s="268"/>
      <c r="SRW411" s="268"/>
      <c r="SRX411" s="268"/>
      <c r="SRY411" s="268"/>
      <c r="SRZ411" s="268"/>
      <c r="SSA411" s="268"/>
      <c r="SSB411" s="268"/>
      <c r="SSC411" s="268"/>
      <c r="SSD411" s="268"/>
      <c r="SSE411" s="268"/>
      <c r="SSF411" s="268"/>
      <c r="SSG411" s="268"/>
      <c r="SSH411" s="268"/>
      <c r="SSI411" s="268"/>
      <c r="SSJ411" s="268"/>
      <c r="SSK411" s="268"/>
      <c r="SSL411" s="268"/>
      <c r="SSM411" s="268"/>
      <c r="SSN411" s="268"/>
      <c r="SSO411" s="268"/>
      <c r="SSP411" s="268"/>
      <c r="SSQ411" s="268"/>
      <c r="SSR411" s="268"/>
      <c r="SSS411" s="268"/>
      <c r="SST411" s="268"/>
      <c r="SSU411" s="268"/>
      <c r="SSV411" s="268"/>
      <c r="SSW411" s="268"/>
      <c r="SSX411" s="268"/>
      <c r="SSY411" s="268"/>
      <c r="SSZ411" s="268"/>
      <c r="STA411" s="268"/>
      <c r="STB411" s="268"/>
      <c r="STC411" s="268"/>
      <c r="STD411" s="268"/>
      <c r="STE411" s="268"/>
      <c r="STF411" s="268"/>
      <c r="STG411" s="268"/>
      <c r="STH411" s="268"/>
      <c r="STI411" s="268"/>
      <c r="STJ411" s="268"/>
      <c r="STK411" s="268"/>
      <c r="STL411" s="268"/>
      <c r="STM411" s="268"/>
      <c r="STN411" s="268"/>
      <c r="STO411" s="268"/>
      <c r="STP411" s="268"/>
      <c r="STQ411" s="268"/>
      <c r="STR411" s="268"/>
      <c r="STS411" s="268"/>
      <c r="STT411" s="268"/>
      <c r="STU411" s="268"/>
      <c r="STV411" s="268"/>
      <c r="STW411" s="268"/>
      <c r="STX411" s="268"/>
      <c r="STY411" s="268"/>
      <c r="STZ411" s="268"/>
      <c r="SUA411" s="268"/>
      <c r="SUB411" s="268"/>
      <c r="SUC411" s="268"/>
      <c r="SUD411" s="268"/>
      <c r="SUE411" s="268"/>
      <c r="SUF411" s="268"/>
      <c r="SUG411" s="268"/>
      <c r="SUH411" s="268"/>
      <c r="SUI411" s="268"/>
      <c r="SUJ411" s="268"/>
      <c r="SUK411" s="268"/>
      <c r="SUL411" s="268"/>
      <c r="SUM411" s="268"/>
      <c r="SUN411" s="268"/>
      <c r="SUO411" s="268"/>
      <c r="SUP411" s="268"/>
      <c r="SUQ411" s="268"/>
      <c r="SUR411" s="268"/>
      <c r="SUS411" s="268"/>
      <c r="SUT411" s="268"/>
      <c r="SUU411" s="268"/>
      <c r="SUV411" s="268"/>
      <c r="SUW411" s="268"/>
      <c r="SUX411" s="268"/>
      <c r="SUY411" s="268"/>
      <c r="SUZ411" s="268"/>
      <c r="SVA411" s="268"/>
      <c r="SVB411" s="268"/>
      <c r="SVC411" s="268"/>
      <c r="SVD411" s="268"/>
      <c r="SVE411" s="268"/>
      <c r="SVF411" s="268"/>
      <c r="SVG411" s="268"/>
      <c r="SVH411" s="268"/>
      <c r="SVI411" s="268"/>
      <c r="SVJ411" s="268"/>
      <c r="SVK411" s="268"/>
      <c r="SVL411" s="268"/>
      <c r="SVM411" s="268"/>
      <c r="SVN411" s="268"/>
      <c r="SVO411" s="268"/>
      <c r="SVP411" s="268"/>
      <c r="SVQ411" s="268"/>
      <c r="SVR411" s="268"/>
      <c r="SVS411" s="268"/>
      <c r="SVT411" s="268"/>
      <c r="SVU411" s="268"/>
      <c r="SVV411" s="268"/>
      <c r="SVW411" s="268"/>
      <c r="SVX411" s="268"/>
      <c r="SVY411" s="268"/>
      <c r="SVZ411" s="268"/>
      <c r="SWA411" s="268"/>
      <c r="SWB411" s="268"/>
      <c r="SWC411" s="268"/>
      <c r="SWD411" s="268"/>
      <c r="SWE411" s="268"/>
      <c r="SWF411" s="268"/>
      <c r="SWG411" s="268"/>
      <c r="SWH411" s="268"/>
      <c r="SWI411" s="268"/>
      <c r="SWJ411" s="268"/>
      <c r="SWK411" s="268"/>
      <c r="SWL411" s="268"/>
      <c r="SWM411" s="268"/>
      <c r="SWN411" s="268"/>
      <c r="SWO411" s="268"/>
      <c r="SWP411" s="268"/>
      <c r="SWQ411" s="268"/>
      <c r="SWR411" s="268"/>
      <c r="SWS411" s="268"/>
      <c r="SWT411" s="268"/>
      <c r="SWU411" s="268"/>
      <c r="SWV411" s="268"/>
      <c r="SWW411" s="268"/>
      <c r="SWX411" s="268"/>
      <c r="SWY411" s="268"/>
      <c r="SWZ411" s="268"/>
      <c r="SXA411" s="268"/>
      <c r="SXB411" s="268"/>
      <c r="SXC411" s="268"/>
      <c r="SXD411" s="268"/>
      <c r="SXE411" s="268"/>
      <c r="SXF411" s="268"/>
      <c r="SXG411" s="268"/>
      <c r="SXH411" s="268"/>
      <c r="SXI411" s="268"/>
      <c r="SXJ411" s="268"/>
      <c r="SXK411" s="268"/>
      <c r="SXL411" s="268"/>
      <c r="SXM411" s="268"/>
      <c r="SXN411" s="268"/>
      <c r="SXO411" s="268"/>
      <c r="SXP411" s="268"/>
      <c r="SXQ411" s="268"/>
      <c r="SXR411" s="268"/>
      <c r="SXS411" s="268"/>
      <c r="SXT411" s="268"/>
      <c r="SXU411" s="268"/>
      <c r="SXV411" s="268"/>
      <c r="SXW411" s="268"/>
      <c r="SXX411" s="268"/>
      <c r="SXY411" s="268"/>
      <c r="SXZ411" s="268"/>
      <c r="SYA411" s="268"/>
      <c r="SYB411" s="268"/>
      <c r="SYC411" s="268"/>
      <c r="SYD411" s="268"/>
      <c r="SYE411" s="268"/>
      <c r="SYF411" s="268"/>
      <c r="SYG411" s="268"/>
      <c r="SYH411" s="268"/>
      <c r="SYI411" s="268"/>
      <c r="SYJ411" s="268"/>
      <c r="SYK411" s="268"/>
      <c r="SYL411" s="268"/>
      <c r="SYM411" s="268"/>
      <c r="SYN411" s="268"/>
      <c r="SYO411" s="268"/>
      <c r="SYP411" s="268"/>
      <c r="SYQ411" s="268"/>
      <c r="SYR411" s="268"/>
      <c r="SYS411" s="268"/>
      <c r="SYT411" s="268"/>
      <c r="SYU411" s="268"/>
      <c r="SYV411" s="268"/>
      <c r="SYW411" s="268"/>
      <c r="SYX411" s="268"/>
      <c r="SYY411" s="268"/>
      <c r="SYZ411" s="268"/>
      <c r="SZA411" s="268"/>
      <c r="SZB411" s="268"/>
      <c r="SZC411" s="268"/>
      <c r="SZD411" s="268"/>
      <c r="SZE411" s="268"/>
      <c r="SZF411" s="268"/>
      <c r="SZG411" s="268"/>
      <c r="SZH411" s="268"/>
      <c r="SZI411" s="268"/>
      <c r="SZJ411" s="268"/>
      <c r="SZK411" s="268"/>
      <c r="SZL411" s="268"/>
      <c r="SZM411" s="268"/>
      <c r="SZN411" s="268"/>
      <c r="SZO411" s="268"/>
      <c r="SZP411" s="268"/>
      <c r="SZQ411" s="268"/>
      <c r="SZR411" s="268"/>
      <c r="SZS411" s="268"/>
      <c r="SZT411" s="268"/>
      <c r="SZU411" s="268"/>
      <c r="SZV411" s="268"/>
      <c r="SZW411" s="268"/>
      <c r="SZX411" s="268"/>
      <c r="SZY411" s="268"/>
      <c r="SZZ411" s="268"/>
      <c r="TAA411" s="268"/>
      <c r="TAB411" s="268"/>
      <c r="TAC411" s="268"/>
      <c r="TAD411" s="268"/>
      <c r="TAE411" s="268"/>
      <c r="TAF411" s="268"/>
      <c r="TAG411" s="268"/>
      <c r="TAH411" s="268"/>
      <c r="TAI411" s="268"/>
      <c r="TAJ411" s="268"/>
      <c r="TAK411" s="268"/>
      <c r="TAL411" s="268"/>
      <c r="TAM411" s="268"/>
      <c r="TBA411" s="268"/>
      <c r="TBB411" s="268"/>
      <c r="TBC411" s="268"/>
      <c r="TBQ411" s="268"/>
      <c r="TBS411" s="268"/>
      <c r="TBT411" s="268"/>
      <c r="TBU411" s="268"/>
      <c r="TBV411" s="268"/>
      <c r="TBW411" s="268"/>
      <c r="TBX411" s="268"/>
      <c r="TBY411" s="268"/>
      <c r="TBZ411" s="268"/>
      <c r="TCA411" s="268"/>
      <c r="TCB411" s="268"/>
      <c r="TCC411" s="268"/>
      <c r="TCD411" s="268"/>
      <c r="TCE411" s="268"/>
      <c r="TCF411" s="268"/>
      <c r="TCG411" s="268"/>
      <c r="TCH411" s="268"/>
      <c r="TCI411" s="268"/>
      <c r="TCJ411" s="268"/>
      <c r="TCK411" s="268"/>
      <c r="TCL411" s="268"/>
      <c r="TCM411" s="268"/>
      <c r="TCN411" s="268"/>
      <c r="TCO411" s="268"/>
      <c r="TCP411" s="268"/>
      <c r="TCQ411" s="268"/>
      <c r="TCR411" s="268"/>
      <c r="TCS411" s="268"/>
      <c r="TCT411" s="268"/>
      <c r="TCU411" s="268"/>
      <c r="TCV411" s="268"/>
      <c r="TCW411" s="268"/>
      <c r="TCX411" s="268"/>
      <c r="TCY411" s="268"/>
      <c r="TCZ411" s="268"/>
      <c r="TDA411" s="268"/>
      <c r="TDB411" s="268"/>
      <c r="TDC411" s="268"/>
      <c r="TDD411" s="268"/>
      <c r="TDE411" s="268"/>
      <c r="TDF411" s="268"/>
      <c r="TDG411" s="268"/>
      <c r="TDH411" s="268"/>
      <c r="TDI411" s="268"/>
      <c r="TDJ411" s="268"/>
      <c r="TDK411" s="268"/>
      <c r="TDL411" s="268"/>
      <c r="TDM411" s="268"/>
      <c r="TDN411" s="268"/>
      <c r="TDO411" s="268"/>
      <c r="TDP411" s="268"/>
      <c r="TDQ411" s="268"/>
      <c r="TDR411" s="268"/>
      <c r="TDS411" s="268"/>
      <c r="TDT411" s="268"/>
      <c r="TDU411" s="268"/>
      <c r="TDV411" s="268"/>
      <c r="TDW411" s="268"/>
      <c r="TDX411" s="268"/>
      <c r="TDY411" s="268"/>
      <c r="TDZ411" s="268"/>
      <c r="TEA411" s="268"/>
      <c r="TEB411" s="268"/>
      <c r="TEC411" s="268"/>
      <c r="TED411" s="268"/>
      <c r="TEE411" s="268"/>
      <c r="TEF411" s="268"/>
      <c r="TEG411" s="268"/>
      <c r="TEH411" s="268"/>
      <c r="TEI411" s="268"/>
      <c r="TEJ411" s="268"/>
      <c r="TEK411" s="268"/>
      <c r="TEL411" s="268"/>
      <c r="TEM411" s="268"/>
      <c r="TEN411" s="268"/>
      <c r="TEO411" s="268"/>
      <c r="TEP411" s="268"/>
      <c r="TEQ411" s="268"/>
      <c r="TER411" s="268"/>
      <c r="TES411" s="268"/>
      <c r="TET411" s="268"/>
      <c r="TEU411" s="268"/>
      <c r="TEV411" s="268"/>
      <c r="TEW411" s="268"/>
      <c r="TEX411" s="268"/>
      <c r="TEY411" s="268"/>
      <c r="TEZ411" s="268"/>
      <c r="TFA411" s="268"/>
      <c r="TFB411" s="268"/>
      <c r="TFC411" s="268"/>
      <c r="TFD411" s="268"/>
      <c r="TFE411" s="268"/>
      <c r="TFF411" s="268"/>
      <c r="TFG411" s="268"/>
      <c r="TFH411" s="268"/>
      <c r="TFI411" s="268"/>
      <c r="TFJ411" s="268"/>
      <c r="TFK411" s="268"/>
      <c r="TFL411" s="268"/>
      <c r="TFM411" s="268"/>
      <c r="TFN411" s="268"/>
      <c r="TFO411" s="268"/>
      <c r="TFP411" s="268"/>
      <c r="TFQ411" s="268"/>
      <c r="TFR411" s="268"/>
      <c r="TFS411" s="268"/>
      <c r="TFT411" s="268"/>
      <c r="TFU411" s="268"/>
      <c r="TFV411" s="268"/>
      <c r="TFW411" s="268"/>
      <c r="TFX411" s="268"/>
      <c r="TFY411" s="268"/>
      <c r="TFZ411" s="268"/>
      <c r="TGA411" s="268"/>
      <c r="TGB411" s="268"/>
      <c r="TGC411" s="268"/>
      <c r="TGD411" s="268"/>
      <c r="TGE411" s="268"/>
      <c r="TGF411" s="268"/>
      <c r="TGG411" s="268"/>
      <c r="TGH411" s="268"/>
      <c r="TGI411" s="268"/>
      <c r="TGJ411" s="268"/>
      <c r="TGK411" s="268"/>
      <c r="TGL411" s="268"/>
      <c r="TGM411" s="268"/>
      <c r="TGN411" s="268"/>
      <c r="TGO411" s="268"/>
      <c r="TGP411" s="268"/>
      <c r="TGQ411" s="268"/>
      <c r="TGR411" s="268"/>
      <c r="TGS411" s="268"/>
      <c r="TGT411" s="268"/>
      <c r="TGU411" s="268"/>
      <c r="TGV411" s="268"/>
      <c r="TGW411" s="268"/>
      <c r="TGX411" s="268"/>
      <c r="TGY411" s="268"/>
      <c r="TGZ411" s="268"/>
      <c r="THA411" s="268"/>
      <c r="THB411" s="268"/>
      <c r="THC411" s="268"/>
      <c r="THD411" s="268"/>
      <c r="THE411" s="268"/>
      <c r="THF411" s="268"/>
      <c r="THG411" s="268"/>
      <c r="THH411" s="268"/>
      <c r="THI411" s="268"/>
      <c r="THJ411" s="268"/>
      <c r="THK411" s="268"/>
      <c r="THL411" s="268"/>
      <c r="THM411" s="268"/>
      <c r="THN411" s="268"/>
      <c r="THO411" s="268"/>
      <c r="THP411" s="268"/>
      <c r="THQ411" s="268"/>
      <c r="THR411" s="268"/>
      <c r="THS411" s="268"/>
      <c r="THT411" s="268"/>
      <c r="THU411" s="268"/>
      <c r="THV411" s="268"/>
      <c r="THW411" s="268"/>
      <c r="THX411" s="268"/>
      <c r="THY411" s="268"/>
      <c r="THZ411" s="268"/>
      <c r="TIA411" s="268"/>
      <c r="TIB411" s="268"/>
      <c r="TIC411" s="268"/>
      <c r="TID411" s="268"/>
      <c r="TIE411" s="268"/>
      <c r="TIF411" s="268"/>
      <c r="TIG411" s="268"/>
      <c r="TIH411" s="268"/>
      <c r="TII411" s="268"/>
      <c r="TIJ411" s="268"/>
      <c r="TIK411" s="268"/>
      <c r="TIL411" s="268"/>
      <c r="TIM411" s="268"/>
      <c r="TIN411" s="268"/>
      <c r="TIO411" s="268"/>
      <c r="TIP411" s="268"/>
      <c r="TIQ411" s="268"/>
      <c r="TIR411" s="268"/>
      <c r="TIS411" s="268"/>
      <c r="TIT411" s="268"/>
      <c r="TIU411" s="268"/>
      <c r="TIV411" s="268"/>
      <c r="TIW411" s="268"/>
      <c r="TIX411" s="268"/>
      <c r="TIY411" s="268"/>
      <c r="TIZ411" s="268"/>
      <c r="TJA411" s="268"/>
      <c r="TJB411" s="268"/>
      <c r="TJC411" s="268"/>
      <c r="TJD411" s="268"/>
      <c r="TJE411" s="268"/>
      <c r="TJF411" s="268"/>
      <c r="TJG411" s="268"/>
      <c r="TJH411" s="268"/>
      <c r="TJI411" s="268"/>
      <c r="TJJ411" s="268"/>
      <c r="TJK411" s="268"/>
      <c r="TJL411" s="268"/>
      <c r="TJM411" s="268"/>
      <c r="TJN411" s="268"/>
      <c r="TJO411" s="268"/>
      <c r="TJP411" s="268"/>
      <c r="TJQ411" s="268"/>
      <c r="TJR411" s="268"/>
      <c r="TJS411" s="268"/>
      <c r="TJT411" s="268"/>
      <c r="TJU411" s="268"/>
      <c r="TJV411" s="268"/>
      <c r="TJW411" s="268"/>
      <c r="TJX411" s="268"/>
      <c r="TJY411" s="268"/>
      <c r="TJZ411" s="268"/>
      <c r="TKA411" s="268"/>
      <c r="TKB411" s="268"/>
      <c r="TKC411" s="268"/>
      <c r="TKD411" s="268"/>
      <c r="TKE411" s="268"/>
      <c r="TKF411" s="268"/>
      <c r="TKG411" s="268"/>
      <c r="TKH411" s="268"/>
      <c r="TKI411" s="268"/>
      <c r="TKW411" s="268"/>
      <c r="TKX411" s="268"/>
      <c r="TKY411" s="268"/>
      <c r="TLM411" s="268"/>
      <c r="TLO411" s="268"/>
      <c r="TLP411" s="268"/>
      <c r="TLQ411" s="268"/>
      <c r="TLR411" s="268"/>
      <c r="TLS411" s="268"/>
      <c r="TLT411" s="268"/>
      <c r="TLU411" s="268"/>
      <c r="TLV411" s="268"/>
      <c r="TLW411" s="268"/>
      <c r="TLX411" s="268"/>
      <c r="TLY411" s="268"/>
      <c r="TLZ411" s="268"/>
      <c r="TMA411" s="268"/>
      <c r="TMB411" s="268"/>
      <c r="TMC411" s="268"/>
      <c r="TMD411" s="268"/>
      <c r="TME411" s="268"/>
      <c r="TMF411" s="268"/>
      <c r="TMG411" s="268"/>
      <c r="TMH411" s="268"/>
      <c r="TMI411" s="268"/>
      <c r="TMJ411" s="268"/>
      <c r="TMK411" s="268"/>
      <c r="TML411" s="268"/>
      <c r="TMM411" s="268"/>
      <c r="TMN411" s="268"/>
      <c r="TMO411" s="268"/>
      <c r="TMP411" s="268"/>
      <c r="TMQ411" s="268"/>
      <c r="TMR411" s="268"/>
      <c r="TMS411" s="268"/>
      <c r="TMT411" s="268"/>
      <c r="TMU411" s="268"/>
      <c r="TMV411" s="268"/>
      <c r="TMW411" s="268"/>
      <c r="TMX411" s="268"/>
      <c r="TMY411" s="268"/>
      <c r="TMZ411" s="268"/>
      <c r="TNA411" s="268"/>
      <c r="TNB411" s="268"/>
      <c r="TNC411" s="268"/>
      <c r="TND411" s="268"/>
      <c r="TNE411" s="268"/>
      <c r="TNF411" s="268"/>
      <c r="TNG411" s="268"/>
      <c r="TNH411" s="268"/>
      <c r="TNI411" s="268"/>
      <c r="TNJ411" s="268"/>
      <c r="TNK411" s="268"/>
      <c r="TNL411" s="268"/>
      <c r="TNM411" s="268"/>
      <c r="TNN411" s="268"/>
      <c r="TNO411" s="268"/>
      <c r="TNP411" s="268"/>
      <c r="TNQ411" s="268"/>
      <c r="TNR411" s="268"/>
      <c r="TNS411" s="268"/>
      <c r="TNT411" s="268"/>
      <c r="TNU411" s="268"/>
      <c r="TNV411" s="268"/>
      <c r="TNW411" s="268"/>
      <c r="TNX411" s="268"/>
      <c r="TNY411" s="268"/>
      <c r="TNZ411" s="268"/>
      <c r="TOA411" s="268"/>
      <c r="TOB411" s="268"/>
      <c r="TOC411" s="268"/>
      <c r="TOD411" s="268"/>
      <c r="TOE411" s="268"/>
      <c r="TOF411" s="268"/>
      <c r="TOG411" s="268"/>
      <c r="TOH411" s="268"/>
      <c r="TOI411" s="268"/>
      <c r="TOJ411" s="268"/>
      <c r="TOK411" s="268"/>
      <c r="TOL411" s="268"/>
      <c r="TOM411" s="268"/>
      <c r="TON411" s="268"/>
      <c r="TOO411" s="268"/>
      <c r="TOP411" s="268"/>
      <c r="TOQ411" s="268"/>
      <c r="TOR411" s="268"/>
      <c r="TOS411" s="268"/>
      <c r="TOT411" s="268"/>
      <c r="TOU411" s="268"/>
      <c r="TOV411" s="268"/>
      <c r="TOW411" s="268"/>
      <c r="TOX411" s="268"/>
      <c r="TOY411" s="268"/>
      <c r="TOZ411" s="268"/>
      <c r="TPA411" s="268"/>
      <c r="TPB411" s="268"/>
      <c r="TPC411" s="268"/>
      <c r="TPD411" s="268"/>
      <c r="TPE411" s="268"/>
      <c r="TPF411" s="268"/>
      <c r="TPG411" s="268"/>
      <c r="TPH411" s="268"/>
      <c r="TPI411" s="268"/>
      <c r="TPJ411" s="268"/>
      <c r="TPK411" s="268"/>
      <c r="TPL411" s="268"/>
      <c r="TPM411" s="268"/>
      <c r="TPN411" s="268"/>
      <c r="TPO411" s="268"/>
      <c r="TPP411" s="268"/>
      <c r="TPQ411" s="268"/>
      <c r="TPR411" s="268"/>
      <c r="TPS411" s="268"/>
      <c r="TPT411" s="268"/>
      <c r="TPU411" s="268"/>
      <c r="TPV411" s="268"/>
      <c r="TPW411" s="268"/>
      <c r="TPX411" s="268"/>
      <c r="TPY411" s="268"/>
      <c r="TPZ411" s="268"/>
      <c r="TQA411" s="268"/>
      <c r="TQB411" s="268"/>
      <c r="TQC411" s="268"/>
      <c r="TQD411" s="268"/>
      <c r="TQE411" s="268"/>
      <c r="TQF411" s="268"/>
      <c r="TQG411" s="268"/>
      <c r="TQH411" s="268"/>
      <c r="TQI411" s="268"/>
      <c r="TQJ411" s="268"/>
      <c r="TQK411" s="268"/>
      <c r="TQL411" s="268"/>
      <c r="TQM411" s="268"/>
      <c r="TQN411" s="268"/>
      <c r="TQO411" s="268"/>
      <c r="TQP411" s="268"/>
      <c r="TQQ411" s="268"/>
      <c r="TQR411" s="268"/>
      <c r="TQS411" s="268"/>
      <c r="TQT411" s="268"/>
      <c r="TQU411" s="268"/>
      <c r="TQV411" s="268"/>
      <c r="TQW411" s="268"/>
      <c r="TQX411" s="268"/>
      <c r="TQY411" s="268"/>
      <c r="TQZ411" s="268"/>
      <c r="TRA411" s="268"/>
      <c r="TRB411" s="268"/>
      <c r="TRC411" s="268"/>
      <c r="TRD411" s="268"/>
      <c r="TRE411" s="268"/>
      <c r="TRF411" s="268"/>
      <c r="TRG411" s="268"/>
      <c r="TRH411" s="268"/>
      <c r="TRI411" s="268"/>
      <c r="TRJ411" s="268"/>
      <c r="TRK411" s="268"/>
      <c r="TRL411" s="268"/>
      <c r="TRM411" s="268"/>
      <c r="TRN411" s="268"/>
      <c r="TRO411" s="268"/>
      <c r="TRP411" s="268"/>
      <c r="TRQ411" s="268"/>
      <c r="TRR411" s="268"/>
      <c r="TRS411" s="268"/>
      <c r="TRT411" s="268"/>
      <c r="TRU411" s="268"/>
      <c r="TRV411" s="268"/>
      <c r="TRW411" s="268"/>
      <c r="TRX411" s="268"/>
      <c r="TRY411" s="268"/>
      <c r="TRZ411" s="268"/>
      <c r="TSA411" s="268"/>
      <c r="TSB411" s="268"/>
      <c r="TSC411" s="268"/>
      <c r="TSD411" s="268"/>
      <c r="TSE411" s="268"/>
      <c r="TSF411" s="268"/>
      <c r="TSG411" s="268"/>
      <c r="TSH411" s="268"/>
      <c r="TSI411" s="268"/>
      <c r="TSJ411" s="268"/>
      <c r="TSK411" s="268"/>
      <c r="TSL411" s="268"/>
      <c r="TSM411" s="268"/>
      <c r="TSN411" s="268"/>
      <c r="TSO411" s="268"/>
      <c r="TSP411" s="268"/>
      <c r="TSQ411" s="268"/>
      <c r="TSR411" s="268"/>
      <c r="TSS411" s="268"/>
      <c r="TST411" s="268"/>
      <c r="TSU411" s="268"/>
      <c r="TSV411" s="268"/>
      <c r="TSW411" s="268"/>
      <c r="TSX411" s="268"/>
      <c r="TSY411" s="268"/>
      <c r="TSZ411" s="268"/>
      <c r="TTA411" s="268"/>
      <c r="TTB411" s="268"/>
      <c r="TTC411" s="268"/>
      <c r="TTD411" s="268"/>
      <c r="TTE411" s="268"/>
      <c r="TTF411" s="268"/>
      <c r="TTG411" s="268"/>
      <c r="TTH411" s="268"/>
      <c r="TTI411" s="268"/>
      <c r="TTJ411" s="268"/>
      <c r="TTK411" s="268"/>
      <c r="TTL411" s="268"/>
      <c r="TTM411" s="268"/>
      <c r="TTN411" s="268"/>
      <c r="TTO411" s="268"/>
      <c r="TTP411" s="268"/>
      <c r="TTQ411" s="268"/>
      <c r="TTR411" s="268"/>
      <c r="TTS411" s="268"/>
      <c r="TTT411" s="268"/>
      <c r="TTU411" s="268"/>
      <c r="TTV411" s="268"/>
      <c r="TTW411" s="268"/>
      <c r="TTX411" s="268"/>
      <c r="TTY411" s="268"/>
      <c r="TTZ411" s="268"/>
      <c r="TUA411" s="268"/>
      <c r="TUB411" s="268"/>
      <c r="TUC411" s="268"/>
      <c r="TUD411" s="268"/>
      <c r="TUE411" s="268"/>
      <c r="TUS411" s="268"/>
      <c r="TUT411" s="268"/>
      <c r="TUU411" s="268"/>
      <c r="TVI411" s="268"/>
      <c r="TVK411" s="268"/>
      <c r="TVL411" s="268"/>
      <c r="TVM411" s="268"/>
      <c r="TVN411" s="268"/>
      <c r="TVO411" s="268"/>
      <c r="TVP411" s="268"/>
      <c r="TVQ411" s="268"/>
      <c r="TVR411" s="268"/>
      <c r="TVS411" s="268"/>
      <c r="TVT411" s="268"/>
      <c r="TVU411" s="268"/>
      <c r="TVV411" s="268"/>
      <c r="TVW411" s="268"/>
      <c r="TVX411" s="268"/>
      <c r="TVY411" s="268"/>
      <c r="TVZ411" s="268"/>
      <c r="TWA411" s="268"/>
      <c r="TWB411" s="268"/>
      <c r="TWC411" s="268"/>
      <c r="TWD411" s="268"/>
      <c r="TWE411" s="268"/>
      <c r="TWF411" s="268"/>
      <c r="TWG411" s="268"/>
      <c r="TWH411" s="268"/>
      <c r="TWI411" s="268"/>
      <c r="TWJ411" s="268"/>
      <c r="TWK411" s="268"/>
      <c r="TWL411" s="268"/>
      <c r="TWM411" s="268"/>
      <c r="TWN411" s="268"/>
      <c r="TWO411" s="268"/>
      <c r="TWP411" s="268"/>
      <c r="TWQ411" s="268"/>
      <c r="TWR411" s="268"/>
      <c r="TWS411" s="268"/>
      <c r="TWT411" s="268"/>
      <c r="TWU411" s="268"/>
      <c r="TWV411" s="268"/>
      <c r="TWW411" s="268"/>
      <c r="TWX411" s="268"/>
      <c r="TWY411" s="268"/>
      <c r="TWZ411" s="268"/>
      <c r="TXA411" s="268"/>
      <c r="TXB411" s="268"/>
      <c r="TXC411" s="268"/>
      <c r="TXD411" s="268"/>
      <c r="TXE411" s="268"/>
      <c r="TXF411" s="268"/>
      <c r="TXG411" s="268"/>
      <c r="TXH411" s="268"/>
      <c r="TXI411" s="268"/>
      <c r="TXJ411" s="268"/>
      <c r="TXK411" s="268"/>
      <c r="TXL411" s="268"/>
      <c r="TXM411" s="268"/>
      <c r="TXN411" s="268"/>
      <c r="TXO411" s="268"/>
      <c r="TXP411" s="268"/>
      <c r="TXQ411" s="268"/>
      <c r="TXR411" s="268"/>
      <c r="TXS411" s="268"/>
      <c r="TXT411" s="268"/>
      <c r="TXU411" s="268"/>
      <c r="TXV411" s="268"/>
      <c r="TXW411" s="268"/>
      <c r="TXX411" s="268"/>
      <c r="TXY411" s="268"/>
      <c r="TXZ411" s="268"/>
      <c r="TYA411" s="268"/>
      <c r="TYB411" s="268"/>
      <c r="TYC411" s="268"/>
      <c r="TYD411" s="268"/>
      <c r="TYE411" s="268"/>
      <c r="TYF411" s="268"/>
      <c r="TYG411" s="268"/>
      <c r="TYH411" s="268"/>
      <c r="TYI411" s="268"/>
      <c r="TYJ411" s="268"/>
      <c r="TYK411" s="268"/>
      <c r="TYL411" s="268"/>
      <c r="TYM411" s="268"/>
      <c r="TYN411" s="268"/>
      <c r="TYO411" s="268"/>
      <c r="TYP411" s="268"/>
      <c r="TYQ411" s="268"/>
      <c r="TYR411" s="268"/>
      <c r="TYS411" s="268"/>
      <c r="TYT411" s="268"/>
      <c r="TYU411" s="268"/>
      <c r="TYV411" s="268"/>
      <c r="TYW411" s="268"/>
      <c r="TYX411" s="268"/>
      <c r="TYY411" s="268"/>
      <c r="TYZ411" s="268"/>
      <c r="TZA411" s="268"/>
      <c r="TZB411" s="268"/>
      <c r="TZC411" s="268"/>
      <c r="TZD411" s="268"/>
      <c r="TZE411" s="268"/>
      <c r="TZF411" s="268"/>
      <c r="TZG411" s="268"/>
      <c r="TZH411" s="268"/>
      <c r="TZI411" s="268"/>
      <c r="TZJ411" s="268"/>
      <c r="TZK411" s="268"/>
      <c r="TZL411" s="268"/>
      <c r="TZM411" s="268"/>
      <c r="TZN411" s="268"/>
      <c r="TZO411" s="268"/>
      <c r="TZP411" s="268"/>
      <c r="TZQ411" s="268"/>
      <c r="TZR411" s="268"/>
      <c r="TZS411" s="268"/>
      <c r="TZT411" s="268"/>
      <c r="TZU411" s="268"/>
      <c r="TZV411" s="268"/>
      <c r="TZW411" s="268"/>
      <c r="TZX411" s="268"/>
      <c r="TZY411" s="268"/>
      <c r="TZZ411" s="268"/>
      <c r="UAA411" s="268"/>
      <c r="UAB411" s="268"/>
      <c r="UAC411" s="268"/>
      <c r="UAD411" s="268"/>
      <c r="UAE411" s="268"/>
      <c r="UAF411" s="268"/>
      <c r="UAG411" s="268"/>
      <c r="UAH411" s="268"/>
      <c r="UAI411" s="268"/>
      <c r="UAJ411" s="268"/>
      <c r="UAK411" s="268"/>
      <c r="UAL411" s="268"/>
      <c r="UAM411" s="268"/>
      <c r="UAN411" s="268"/>
      <c r="UAO411" s="268"/>
      <c r="UAP411" s="268"/>
      <c r="UAQ411" s="268"/>
      <c r="UAR411" s="268"/>
      <c r="UAS411" s="268"/>
      <c r="UAT411" s="268"/>
      <c r="UAU411" s="268"/>
      <c r="UAV411" s="268"/>
      <c r="UAW411" s="268"/>
      <c r="UAX411" s="268"/>
      <c r="UAY411" s="268"/>
      <c r="UAZ411" s="268"/>
      <c r="UBA411" s="268"/>
      <c r="UBB411" s="268"/>
      <c r="UBC411" s="268"/>
      <c r="UBD411" s="268"/>
      <c r="UBE411" s="268"/>
      <c r="UBF411" s="268"/>
      <c r="UBG411" s="268"/>
      <c r="UBH411" s="268"/>
      <c r="UBI411" s="268"/>
      <c r="UBJ411" s="268"/>
      <c r="UBK411" s="268"/>
      <c r="UBL411" s="268"/>
      <c r="UBM411" s="268"/>
      <c r="UBN411" s="268"/>
      <c r="UBO411" s="268"/>
      <c r="UBP411" s="268"/>
      <c r="UBQ411" s="268"/>
      <c r="UBR411" s="268"/>
      <c r="UBS411" s="268"/>
      <c r="UBT411" s="268"/>
      <c r="UBU411" s="268"/>
      <c r="UBV411" s="268"/>
      <c r="UBW411" s="268"/>
      <c r="UBX411" s="268"/>
      <c r="UBY411" s="268"/>
      <c r="UBZ411" s="268"/>
      <c r="UCA411" s="268"/>
      <c r="UCB411" s="268"/>
      <c r="UCC411" s="268"/>
      <c r="UCD411" s="268"/>
      <c r="UCE411" s="268"/>
      <c r="UCF411" s="268"/>
      <c r="UCG411" s="268"/>
      <c r="UCH411" s="268"/>
      <c r="UCI411" s="268"/>
      <c r="UCJ411" s="268"/>
      <c r="UCK411" s="268"/>
      <c r="UCL411" s="268"/>
      <c r="UCM411" s="268"/>
      <c r="UCN411" s="268"/>
      <c r="UCO411" s="268"/>
      <c r="UCP411" s="268"/>
      <c r="UCQ411" s="268"/>
      <c r="UCR411" s="268"/>
      <c r="UCS411" s="268"/>
      <c r="UCT411" s="268"/>
      <c r="UCU411" s="268"/>
      <c r="UCV411" s="268"/>
      <c r="UCW411" s="268"/>
      <c r="UCX411" s="268"/>
      <c r="UCY411" s="268"/>
      <c r="UCZ411" s="268"/>
      <c r="UDA411" s="268"/>
      <c r="UDB411" s="268"/>
      <c r="UDC411" s="268"/>
      <c r="UDD411" s="268"/>
      <c r="UDE411" s="268"/>
      <c r="UDF411" s="268"/>
      <c r="UDG411" s="268"/>
      <c r="UDH411" s="268"/>
      <c r="UDI411" s="268"/>
      <c r="UDJ411" s="268"/>
      <c r="UDK411" s="268"/>
      <c r="UDL411" s="268"/>
      <c r="UDM411" s="268"/>
      <c r="UDN411" s="268"/>
      <c r="UDO411" s="268"/>
      <c r="UDP411" s="268"/>
      <c r="UDQ411" s="268"/>
      <c r="UDR411" s="268"/>
      <c r="UDS411" s="268"/>
      <c r="UDT411" s="268"/>
      <c r="UDU411" s="268"/>
      <c r="UDV411" s="268"/>
      <c r="UDW411" s="268"/>
      <c r="UDX411" s="268"/>
      <c r="UDY411" s="268"/>
      <c r="UDZ411" s="268"/>
      <c r="UEA411" s="268"/>
      <c r="UEO411" s="268"/>
      <c r="UEP411" s="268"/>
      <c r="UEQ411" s="268"/>
      <c r="UFE411" s="268"/>
      <c r="UFG411" s="268"/>
      <c r="UFH411" s="268"/>
      <c r="UFI411" s="268"/>
      <c r="UFJ411" s="268"/>
      <c r="UFK411" s="268"/>
      <c r="UFL411" s="268"/>
      <c r="UFM411" s="268"/>
      <c r="UFN411" s="268"/>
      <c r="UFO411" s="268"/>
      <c r="UFP411" s="268"/>
      <c r="UFQ411" s="268"/>
      <c r="UFR411" s="268"/>
      <c r="UFS411" s="268"/>
      <c r="UFT411" s="268"/>
      <c r="UFU411" s="268"/>
      <c r="UFV411" s="268"/>
      <c r="UFW411" s="268"/>
      <c r="UFX411" s="268"/>
      <c r="UFY411" s="268"/>
      <c r="UFZ411" s="268"/>
      <c r="UGA411" s="268"/>
      <c r="UGB411" s="268"/>
      <c r="UGC411" s="268"/>
      <c r="UGD411" s="268"/>
      <c r="UGE411" s="268"/>
      <c r="UGF411" s="268"/>
      <c r="UGG411" s="268"/>
      <c r="UGH411" s="268"/>
      <c r="UGI411" s="268"/>
      <c r="UGJ411" s="268"/>
      <c r="UGK411" s="268"/>
      <c r="UGL411" s="268"/>
      <c r="UGM411" s="268"/>
      <c r="UGN411" s="268"/>
      <c r="UGO411" s="268"/>
      <c r="UGP411" s="268"/>
      <c r="UGQ411" s="268"/>
      <c r="UGR411" s="268"/>
      <c r="UGS411" s="268"/>
      <c r="UGT411" s="268"/>
      <c r="UGU411" s="268"/>
      <c r="UGV411" s="268"/>
      <c r="UGW411" s="268"/>
      <c r="UGX411" s="268"/>
      <c r="UGY411" s="268"/>
      <c r="UGZ411" s="268"/>
      <c r="UHA411" s="268"/>
      <c r="UHB411" s="268"/>
      <c r="UHC411" s="268"/>
      <c r="UHD411" s="268"/>
      <c r="UHE411" s="268"/>
      <c r="UHF411" s="268"/>
      <c r="UHG411" s="268"/>
      <c r="UHH411" s="268"/>
      <c r="UHI411" s="268"/>
      <c r="UHJ411" s="268"/>
      <c r="UHK411" s="268"/>
      <c r="UHL411" s="268"/>
      <c r="UHM411" s="268"/>
      <c r="UHN411" s="268"/>
      <c r="UHO411" s="268"/>
      <c r="UHP411" s="268"/>
      <c r="UHQ411" s="268"/>
      <c r="UHR411" s="268"/>
      <c r="UHS411" s="268"/>
      <c r="UHT411" s="268"/>
      <c r="UHU411" s="268"/>
      <c r="UHV411" s="268"/>
      <c r="UHW411" s="268"/>
      <c r="UHX411" s="268"/>
      <c r="UHY411" s="268"/>
      <c r="UHZ411" s="268"/>
      <c r="UIA411" s="268"/>
      <c r="UIB411" s="268"/>
      <c r="UIC411" s="268"/>
      <c r="UID411" s="268"/>
      <c r="UIE411" s="268"/>
      <c r="UIF411" s="268"/>
      <c r="UIG411" s="268"/>
      <c r="UIH411" s="268"/>
      <c r="UII411" s="268"/>
      <c r="UIJ411" s="268"/>
      <c r="UIK411" s="268"/>
      <c r="UIL411" s="268"/>
      <c r="UIM411" s="268"/>
      <c r="UIN411" s="268"/>
      <c r="UIO411" s="268"/>
      <c r="UIP411" s="268"/>
      <c r="UIQ411" s="268"/>
      <c r="UIR411" s="268"/>
      <c r="UIS411" s="268"/>
      <c r="UIT411" s="268"/>
      <c r="UIU411" s="268"/>
      <c r="UIV411" s="268"/>
      <c r="UIW411" s="268"/>
      <c r="UIX411" s="268"/>
      <c r="UIY411" s="268"/>
      <c r="UIZ411" s="268"/>
      <c r="UJA411" s="268"/>
      <c r="UJB411" s="268"/>
      <c r="UJC411" s="268"/>
      <c r="UJD411" s="268"/>
      <c r="UJE411" s="268"/>
      <c r="UJF411" s="268"/>
      <c r="UJG411" s="268"/>
      <c r="UJH411" s="268"/>
      <c r="UJI411" s="268"/>
      <c r="UJJ411" s="268"/>
      <c r="UJK411" s="268"/>
      <c r="UJL411" s="268"/>
      <c r="UJM411" s="268"/>
      <c r="UJN411" s="268"/>
      <c r="UJO411" s="268"/>
      <c r="UJP411" s="268"/>
      <c r="UJQ411" s="268"/>
      <c r="UJR411" s="268"/>
      <c r="UJS411" s="268"/>
      <c r="UJT411" s="268"/>
      <c r="UJU411" s="268"/>
      <c r="UJV411" s="268"/>
      <c r="UJW411" s="268"/>
      <c r="UJX411" s="268"/>
      <c r="UJY411" s="268"/>
      <c r="UJZ411" s="268"/>
      <c r="UKA411" s="268"/>
      <c r="UKB411" s="268"/>
      <c r="UKC411" s="268"/>
      <c r="UKD411" s="268"/>
      <c r="UKE411" s="268"/>
      <c r="UKF411" s="268"/>
      <c r="UKG411" s="268"/>
      <c r="UKH411" s="268"/>
      <c r="UKI411" s="268"/>
      <c r="UKJ411" s="268"/>
      <c r="UKK411" s="268"/>
      <c r="UKL411" s="268"/>
      <c r="UKM411" s="268"/>
      <c r="UKN411" s="268"/>
      <c r="UKO411" s="268"/>
      <c r="UKP411" s="268"/>
      <c r="UKQ411" s="268"/>
      <c r="UKR411" s="268"/>
      <c r="UKS411" s="268"/>
      <c r="UKT411" s="268"/>
      <c r="UKU411" s="268"/>
      <c r="UKV411" s="268"/>
      <c r="UKW411" s="268"/>
      <c r="UKX411" s="268"/>
      <c r="UKY411" s="268"/>
      <c r="UKZ411" s="268"/>
      <c r="ULA411" s="268"/>
      <c r="ULB411" s="268"/>
      <c r="ULC411" s="268"/>
      <c r="ULD411" s="268"/>
      <c r="ULE411" s="268"/>
      <c r="ULF411" s="268"/>
      <c r="ULG411" s="268"/>
      <c r="ULH411" s="268"/>
      <c r="ULI411" s="268"/>
      <c r="ULJ411" s="268"/>
      <c r="ULK411" s="268"/>
      <c r="ULL411" s="268"/>
      <c r="ULM411" s="268"/>
      <c r="ULN411" s="268"/>
      <c r="ULO411" s="268"/>
      <c r="ULP411" s="268"/>
      <c r="ULQ411" s="268"/>
      <c r="ULR411" s="268"/>
      <c r="ULS411" s="268"/>
      <c r="ULT411" s="268"/>
      <c r="ULU411" s="268"/>
      <c r="ULV411" s="268"/>
      <c r="ULW411" s="268"/>
      <c r="ULX411" s="268"/>
      <c r="ULY411" s="268"/>
      <c r="ULZ411" s="268"/>
      <c r="UMA411" s="268"/>
      <c r="UMB411" s="268"/>
      <c r="UMC411" s="268"/>
      <c r="UMD411" s="268"/>
      <c r="UME411" s="268"/>
      <c r="UMF411" s="268"/>
      <c r="UMG411" s="268"/>
      <c r="UMH411" s="268"/>
      <c r="UMI411" s="268"/>
      <c r="UMJ411" s="268"/>
      <c r="UMK411" s="268"/>
      <c r="UML411" s="268"/>
      <c r="UMM411" s="268"/>
      <c r="UMN411" s="268"/>
      <c r="UMO411" s="268"/>
      <c r="UMP411" s="268"/>
      <c r="UMQ411" s="268"/>
      <c r="UMR411" s="268"/>
      <c r="UMS411" s="268"/>
      <c r="UMT411" s="268"/>
      <c r="UMU411" s="268"/>
      <c r="UMV411" s="268"/>
      <c r="UMW411" s="268"/>
      <c r="UMX411" s="268"/>
      <c r="UMY411" s="268"/>
      <c r="UMZ411" s="268"/>
      <c r="UNA411" s="268"/>
      <c r="UNB411" s="268"/>
      <c r="UNC411" s="268"/>
      <c r="UND411" s="268"/>
      <c r="UNE411" s="268"/>
      <c r="UNF411" s="268"/>
      <c r="UNG411" s="268"/>
      <c r="UNH411" s="268"/>
      <c r="UNI411" s="268"/>
      <c r="UNJ411" s="268"/>
      <c r="UNK411" s="268"/>
      <c r="UNL411" s="268"/>
      <c r="UNM411" s="268"/>
      <c r="UNN411" s="268"/>
      <c r="UNO411" s="268"/>
      <c r="UNP411" s="268"/>
      <c r="UNQ411" s="268"/>
      <c r="UNR411" s="268"/>
      <c r="UNS411" s="268"/>
      <c r="UNT411" s="268"/>
      <c r="UNU411" s="268"/>
      <c r="UNV411" s="268"/>
      <c r="UNW411" s="268"/>
      <c r="UOK411" s="268"/>
      <c r="UOL411" s="268"/>
      <c r="UOM411" s="268"/>
      <c r="UPA411" s="268"/>
      <c r="UPC411" s="268"/>
      <c r="UPD411" s="268"/>
      <c r="UPE411" s="268"/>
      <c r="UPF411" s="268"/>
      <c r="UPG411" s="268"/>
      <c r="UPH411" s="268"/>
      <c r="UPI411" s="268"/>
      <c r="UPJ411" s="268"/>
      <c r="UPK411" s="268"/>
      <c r="UPL411" s="268"/>
      <c r="UPM411" s="268"/>
      <c r="UPN411" s="268"/>
      <c r="UPO411" s="268"/>
      <c r="UPP411" s="268"/>
      <c r="UPQ411" s="268"/>
      <c r="UPR411" s="268"/>
      <c r="UPS411" s="268"/>
      <c r="UPT411" s="268"/>
      <c r="UPU411" s="268"/>
      <c r="UPV411" s="268"/>
      <c r="UPW411" s="268"/>
      <c r="UPX411" s="268"/>
      <c r="UPY411" s="268"/>
      <c r="UPZ411" s="268"/>
      <c r="UQA411" s="268"/>
      <c r="UQB411" s="268"/>
      <c r="UQC411" s="268"/>
      <c r="UQD411" s="268"/>
      <c r="UQE411" s="268"/>
      <c r="UQF411" s="268"/>
      <c r="UQG411" s="268"/>
      <c r="UQH411" s="268"/>
      <c r="UQI411" s="268"/>
      <c r="UQJ411" s="268"/>
      <c r="UQK411" s="268"/>
      <c r="UQL411" s="268"/>
      <c r="UQM411" s="268"/>
      <c r="UQN411" s="268"/>
      <c r="UQO411" s="268"/>
      <c r="UQP411" s="268"/>
      <c r="UQQ411" s="268"/>
      <c r="UQR411" s="268"/>
      <c r="UQS411" s="268"/>
      <c r="UQT411" s="268"/>
      <c r="UQU411" s="268"/>
      <c r="UQV411" s="268"/>
      <c r="UQW411" s="268"/>
      <c r="UQX411" s="268"/>
      <c r="UQY411" s="268"/>
      <c r="UQZ411" s="268"/>
      <c r="URA411" s="268"/>
      <c r="URB411" s="268"/>
      <c r="URC411" s="268"/>
      <c r="URD411" s="268"/>
      <c r="URE411" s="268"/>
      <c r="URF411" s="268"/>
      <c r="URG411" s="268"/>
      <c r="URH411" s="268"/>
      <c r="URI411" s="268"/>
      <c r="URJ411" s="268"/>
      <c r="URK411" s="268"/>
      <c r="URL411" s="268"/>
      <c r="URM411" s="268"/>
      <c r="URN411" s="268"/>
      <c r="URO411" s="268"/>
      <c r="URP411" s="268"/>
      <c r="URQ411" s="268"/>
      <c r="URR411" s="268"/>
      <c r="URS411" s="268"/>
      <c r="URT411" s="268"/>
      <c r="URU411" s="268"/>
      <c r="URV411" s="268"/>
      <c r="URW411" s="268"/>
      <c r="URX411" s="268"/>
      <c r="URY411" s="268"/>
      <c r="URZ411" s="268"/>
      <c r="USA411" s="268"/>
      <c r="USB411" s="268"/>
      <c r="USC411" s="268"/>
      <c r="USD411" s="268"/>
      <c r="USE411" s="268"/>
      <c r="USF411" s="268"/>
      <c r="USG411" s="268"/>
      <c r="USH411" s="268"/>
      <c r="USI411" s="268"/>
      <c r="USJ411" s="268"/>
      <c r="USK411" s="268"/>
      <c r="USL411" s="268"/>
      <c r="USM411" s="268"/>
      <c r="USN411" s="268"/>
      <c r="USO411" s="268"/>
      <c r="USP411" s="268"/>
      <c r="USQ411" s="268"/>
      <c r="USR411" s="268"/>
      <c r="USS411" s="268"/>
      <c r="UST411" s="268"/>
      <c r="USU411" s="268"/>
      <c r="USV411" s="268"/>
      <c r="USW411" s="268"/>
      <c r="USX411" s="268"/>
      <c r="USY411" s="268"/>
      <c r="USZ411" s="268"/>
      <c r="UTA411" s="268"/>
      <c r="UTB411" s="268"/>
      <c r="UTC411" s="268"/>
      <c r="UTD411" s="268"/>
      <c r="UTE411" s="268"/>
      <c r="UTF411" s="268"/>
      <c r="UTG411" s="268"/>
      <c r="UTH411" s="268"/>
      <c r="UTI411" s="268"/>
      <c r="UTJ411" s="268"/>
      <c r="UTK411" s="268"/>
      <c r="UTL411" s="268"/>
      <c r="UTM411" s="268"/>
      <c r="UTN411" s="268"/>
      <c r="UTO411" s="268"/>
      <c r="UTP411" s="268"/>
      <c r="UTQ411" s="268"/>
      <c r="UTR411" s="268"/>
      <c r="UTS411" s="268"/>
      <c r="UTT411" s="268"/>
      <c r="UTU411" s="268"/>
      <c r="UTV411" s="268"/>
      <c r="UTW411" s="268"/>
      <c r="UTX411" s="268"/>
      <c r="UTY411" s="268"/>
      <c r="UTZ411" s="268"/>
      <c r="UUA411" s="268"/>
      <c r="UUB411" s="268"/>
      <c r="UUC411" s="268"/>
      <c r="UUD411" s="268"/>
      <c r="UUE411" s="268"/>
      <c r="UUF411" s="268"/>
      <c r="UUG411" s="268"/>
      <c r="UUH411" s="268"/>
      <c r="UUI411" s="268"/>
      <c r="UUJ411" s="268"/>
      <c r="UUK411" s="268"/>
      <c r="UUL411" s="268"/>
      <c r="UUM411" s="268"/>
      <c r="UUN411" s="268"/>
      <c r="UUO411" s="268"/>
      <c r="UUP411" s="268"/>
      <c r="UUQ411" s="268"/>
      <c r="UUR411" s="268"/>
      <c r="UUS411" s="268"/>
      <c r="UUT411" s="268"/>
      <c r="UUU411" s="268"/>
      <c r="UUV411" s="268"/>
      <c r="UUW411" s="268"/>
      <c r="UUX411" s="268"/>
      <c r="UUY411" s="268"/>
      <c r="UUZ411" s="268"/>
      <c r="UVA411" s="268"/>
      <c r="UVB411" s="268"/>
      <c r="UVC411" s="268"/>
      <c r="UVD411" s="268"/>
      <c r="UVE411" s="268"/>
      <c r="UVF411" s="268"/>
      <c r="UVG411" s="268"/>
      <c r="UVH411" s="268"/>
      <c r="UVI411" s="268"/>
      <c r="UVJ411" s="268"/>
      <c r="UVK411" s="268"/>
      <c r="UVL411" s="268"/>
      <c r="UVM411" s="268"/>
      <c r="UVN411" s="268"/>
      <c r="UVO411" s="268"/>
      <c r="UVP411" s="268"/>
      <c r="UVQ411" s="268"/>
      <c r="UVR411" s="268"/>
      <c r="UVS411" s="268"/>
      <c r="UVT411" s="268"/>
      <c r="UVU411" s="268"/>
      <c r="UVV411" s="268"/>
      <c r="UVW411" s="268"/>
      <c r="UVX411" s="268"/>
      <c r="UVY411" s="268"/>
      <c r="UVZ411" s="268"/>
      <c r="UWA411" s="268"/>
      <c r="UWB411" s="268"/>
      <c r="UWC411" s="268"/>
      <c r="UWD411" s="268"/>
      <c r="UWE411" s="268"/>
      <c r="UWF411" s="268"/>
      <c r="UWG411" s="268"/>
      <c r="UWH411" s="268"/>
      <c r="UWI411" s="268"/>
      <c r="UWJ411" s="268"/>
      <c r="UWK411" s="268"/>
      <c r="UWL411" s="268"/>
      <c r="UWM411" s="268"/>
      <c r="UWN411" s="268"/>
      <c r="UWO411" s="268"/>
      <c r="UWP411" s="268"/>
      <c r="UWQ411" s="268"/>
      <c r="UWR411" s="268"/>
      <c r="UWS411" s="268"/>
      <c r="UWT411" s="268"/>
      <c r="UWU411" s="268"/>
      <c r="UWV411" s="268"/>
      <c r="UWW411" s="268"/>
      <c r="UWX411" s="268"/>
      <c r="UWY411" s="268"/>
      <c r="UWZ411" s="268"/>
      <c r="UXA411" s="268"/>
      <c r="UXB411" s="268"/>
      <c r="UXC411" s="268"/>
      <c r="UXD411" s="268"/>
      <c r="UXE411" s="268"/>
      <c r="UXF411" s="268"/>
      <c r="UXG411" s="268"/>
      <c r="UXH411" s="268"/>
      <c r="UXI411" s="268"/>
      <c r="UXJ411" s="268"/>
      <c r="UXK411" s="268"/>
      <c r="UXL411" s="268"/>
      <c r="UXM411" s="268"/>
      <c r="UXN411" s="268"/>
      <c r="UXO411" s="268"/>
      <c r="UXP411" s="268"/>
      <c r="UXQ411" s="268"/>
      <c r="UXR411" s="268"/>
      <c r="UXS411" s="268"/>
      <c r="UYG411" s="268"/>
      <c r="UYH411" s="268"/>
      <c r="UYI411" s="268"/>
      <c r="UYW411" s="268"/>
      <c r="UYY411" s="268"/>
      <c r="UYZ411" s="268"/>
      <c r="UZA411" s="268"/>
      <c r="UZB411" s="268"/>
      <c r="UZC411" s="268"/>
      <c r="UZD411" s="268"/>
      <c r="UZE411" s="268"/>
      <c r="UZF411" s="268"/>
      <c r="UZG411" s="268"/>
      <c r="UZH411" s="268"/>
      <c r="UZI411" s="268"/>
      <c r="UZJ411" s="268"/>
      <c r="UZK411" s="268"/>
      <c r="UZL411" s="268"/>
      <c r="UZM411" s="268"/>
      <c r="UZN411" s="268"/>
      <c r="UZO411" s="268"/>
      <c r="UZP411" s="268"/>
      <c r="UZQ411" s="268"/>
      <c r="UZR411" s="268"/>
      <c r="UZS411" s="268"/>
      <c r="UZT411" s="268"/>
      <c r="UZU411" s="268"/>
      <c r="UZV411" s="268"/>
      <c r="UZW411" s="268"/>
      <c r="UZX411" s="268"/>
      <c r="UZY411" s="268"/>
      <c r="UZZ411" s="268"/>
      <c r="VAA411" s="268"/>
      <c r="VAB411" s="268"/>
      <c r="VAC411" s="268"/>
      <c r="VAD411" s="268"/>
      <c r="VAE411" s="268"/>
      <c r="VAF411" s="268"/>
      <c r="VAG411" s="268"/>
      <c r="VAH411" s="268"/>
      <c r="VAI411" s="268"/>
      <c r="VAJ411" s="268"/>
      <c r="VAK411" s="268"/>
      <c r="VAL411" s="268"/>
      <c r="VAM411" s="268"/>
      <c r="VAN411" s="268"/>
      <c r="VAO411" s="268"/>
      <c r="VAP411" s="268"/>
      <c r="VAQ411" s="268"/>
      <c r="VAR411" s="268"/>
      <c r="VAS411" s="268"/>
      <c r="VAT411" s="268"/>
      <c r="VAU411" s="268"/>
      <c r="VAV411" s="268"/>
      <c r="VAW411" s="268"/>
      <c r="VAX411" s="268"/>
      <c r="VAY411" s="268"/>
      <c r="VAZ411" s="268"/>
      <c r="VBA411" s="268"/>
      <c r="VBB411" s="268"/>
      <c r="VBC411" s="268"/>
      <c r="VBD411" s="268"/>
      <c r="VBE411" s="268"/>
      <c r="VBF411" s="268"/>
      <c r="VBG411" s="268"/>
      <c r="VBH411" s="268"/>
      <c r="VBI411" s="268"/>
      <c r="VBJ411" s="268"/>
      <c r="VBK411" s="268"/>
      <c r="VBL411" s="268"/>
      <c r="VBM411" s="268"/>
      <c r="VBN411" s="268"/>
      <c r="VBO411" s="268"/>
      <c r="VBP411" s="268"/>
      <c r="VBQ411" s="268"/>
      <c r="VBR411" s="268"/>
      <c r="VBS411" s="268"/>
      <c r="VBT411" s="268"/>
      <c r="VBU411" s="268"/>
      <c r="VBV411" s="268"/>
      <c r="VBW411" s="268"/>
      <c r="VBX411" s="268"/>
      <c r="VBY411" s="268"/>
      <c r="VBZ411" s="268"/>
      <c r="VCA411" s="268"/>
      <c r="VCB411" s="268"/>
      <c r="VCC411" s="268"/>
      <c r="VCD411" s="268"/>
      <c r="VCE411" s="268"/>
      <c r="VCF411" s="268"/>
      <c r="VCG411" s="268"/>
      <c r="VCH411" s="268"/>
      <c r="VCI411" s="268"/>
      <c r="VCJ411" s="268"/>
      <c r="VCK411" s="268"/>
      <c r="VCL411" s="268"/>
      <c r="VCM411" s="268"/>
      <c r="VCN411" s="268"/>
      <c r="VCO411" s="268"/>
      <c r="VCP411" s="268"/>
      <c r="VCQ411" s="268"/>
      <c r="VCR411" s="268"/>
      <c r="VCS411" s="268"/>
      <c r="VCT411" s="268"/>
      <c r="VCU411" s="268"/>
      <c r="VCV411" s="268"/>
      <c r="VCW411" s="268"/>
      <c r="VCX411" s="268"/>
      <c r="VCY411" s="268"/>
      <c r="VCZ411" s="268"/>
      <c r="VDA411" s="268"/>
      <c r="VDB411" s="268"/>
      <c r="VDC411" s="268"/>
      <c r="VDD411" s="268"/>
      <c r="VDE411" s="268"/>
      <c r="VDF411" s="268"/>
      <c r="VDG411" s="268"/>
      <c r="VDH411" s="268"/>
      <c r="VDI411" s="268"/>
      <c r="VDJ411" s="268"/>
      <c r="VDK411" s="268"/>
      <c r="VDL411" s="268"/>
      <c r="VDM411" s="268"/>
      <c r="VDN411" s="268"/>
      <c r="VDO411" s="268"/>
      <c r="VDP411" s="268"/>
      <c r="VDQ411" s="268"/>
      <c r="VDR411" s="268"/>
      <c r="VDS411" s="268"/>
      <c r="VDT411" s="268"/>
      <c r="VDU411" s="268"/>
      <c r="VDV411" s="268"/>
      <c r="VDW411" s="268"/>
      <c r="VDX411" s="268"/>
      <c r="VDY411" s="268"/>
      <c r="VDZ411" s="268"/>
      <c r="VEA411" s="268"/>
      <c r="VEB411" s="268"/>
      <c r="VEC411" s="268"/>
      <c r="VED411" s="268"/>
      <c r="VEE411" s="268"/>
      <c r="VEF411" s="268"/>
      <c r="VEG411" s="268"/>
      <c r="VEH411" s="268"/>
      <c r="VEI411" s="268"/>
      <c r="VEJ411" s="268"/>
      <c r="VEK411" s="268"/>
      <c r="VEL411" s="268"/>
      <c r="VEM411" s="268"/>
      <c r="VEN411" s="268"/>
      <c r="VEO411" s="268"/>
      <c r="VEP411" s="268"/>
      <c r="VEQ411" s="268"/>
      <c r="VER411" s="268"/>
      <c r="VES411" s="268"/>
      <c r="VET411" s="268"/>
      <c r="VEU411" s="268"/>
      <c r="VEV411" s="268"/>
      <c r="VEW411" s="268"/>
      <c r="VEX411" s="268"/>
      <c r="VEY411" s="268"/>
      <c r="VEZ411" s="268"/>
      <c r="VFA411" s="268"/>
      <c r="VFB411" s="268"/>
      <c r="VFC411" s="268"/>
      <c r="VFD411" s="268"/>
      <c r="VFE411" s="268"/>
      <c r="VFF411" s="268"/>
      <c r="VFG411" s="268"/>
      <c r="VFH411" s="268"/>
      <c r="VFI411" s="268"/>
      <c r="VFJ411" s="268"/>
      <c r="VFK411" s="268"/>
      <c r="VFL411" s="268"/>
      <c r="VFM411" s="268"/>
      <c r="VFN411" s="268"/>
      <c r="VFO411" s="268"/>
      <c r="VFP411" s="268"/>
      <c r="VFQ411" s="268"/>
      <c r="VFR411" s="268"/>
      <c r="VFS411" s="268"/>
      <c r="VFT411" s="268"/>
      <c r="VFU411" s="268"/>
      <c r="VFV411" s="268"/>
      <c r="VFW411" s="268"/>
      <c r="VFX411" s="268"/>
      <c r="VFY411" s="268"/>
      <c r="VFZ411" s="268"/>
      <c r="VGA411" s="268"/>
      <c r="VGB411" s="268"/>
      <c r="VGC411" s="268"/>
      <c r="VGD411" s="268"/>
      <c r="VGE411" s="268"/>
      <c r="VGF411" s="268"/>
      <c r="VGG411" s="268"/>
      <c r="VGH411" s="268"/>
      <c r="VGI411" s="268"/>
      <c r="VGJ411" s="268"/>
      <c r="VGK411" s="268"/>
      <c r="VGL411" s="268"/>
      <c r="VGM411" s="268"/>
      <c r="VGN411" s="268"/>
      <c r="VGO411" s="268"/>
      <c r="VGP411" s="268"/>
      <c r="VGQ411" s="268"/>
      <c r="VGR411" s="268"/>
      <c r="VGS411" s="268"/>
      <c r="VGT411" s="268"/>
      <c r="VGU411" s="268"/>
      <c r="VGV411" s="268"/>
      <c r="VGW411" s="268"/>
      <c r="VGX411" s="268"/>
      <c r="VGY411" s="268"/>
      <c r="VGZ411" s="268"/>
      <c r="VHA411" s="268"/>
      <c r="VHB411" s="268"/>
      <c r="VHC411" s="268"/>
      <c r="VHD411" s="268"/>
      <c r="VHE411" s="268"/>
      <c r="VHF411" s="268"/>
      <c r="VHG411" s="268"/>
      <c r="VHH411" s="268"/>
      <c r="VHI411" s="268"/>
      <c r="VHJ411" s="268"/>
      <c r="VHK411" s="268"/>
      <c r="VHL411" s="268"/>
      <c r="VHM411" s="268"/>
      <c r="VHN411" s="268"/>
      <c r="VHO411" s="268"/>
      <c r="VIC411" s="268"/>
      <c r="VID411" s="268"/>
      <c r="VIE411" s="268"/>
      <c r="VIS411" s="268"/>
      <c r="VIU411" s="268"/>
      <c r="VIV411" s="268"/>
      <c r="VIW411" s="268"/>
      <c r="VIX411" s="268"/>
      <c r="VIY411" s="268"/>
      <c r="VIZ411" s="268"/>
      <c r="VJA411" s="268"/>
      <c r="VJB411" s="268"/>
      <c r="VJC411" s="268"/>
      <c r="VJD411" s="268"/>
      <c r="VJE411" s="268"/>
      <c r="VJF411" s="268"/>
      <c r="VJG411" s="268"/>
      <c r="VJH411" s="268"/>
      <c r="VJI411" s="268"/>
      <c r="VJJ411" s="268"/>
      <c r="VJK411" s="268"/>
      <c r="VJL411" s="268"/>
      <c r="VJM411" s="268"/>
      <c r="VJN411" s="268"/>
      <c r="VJO411" s="268"/>
      <c r="VJP411" s="268"/>
      <c r="VJQ411" s="268"/>
      <c r="VJR411" s="268"/>
      <c r="VJS411" s="268"/>
      <c r="VJT411" s="268"/>
      <c r="VJU411" s="268"/>
      <c r="VJV411" s="268"/>
      <c r="VJW411" s="268"/>
      <c r="VJX411" s="268"/>
      <c r="VJY411" s="268"/>
      <c r="VJZ411" s="268"/>
      <c r="VKA411" s="268"/>
      <c r="VKB411" s="268"/>
      <c r="VKC411" s="268"/>
      <c r="VKD411" s="268"/>
      <c r="VKE411" s="268"/>
      <c r="VKF411" s="268"/>
      <c r="VKG411" s="268"/>
      <c r="VKH411" s="268"/>
      <c r="VKI411" s="268"/>
      <c r="VKJ411" s="268"/>
      <c r="VKK411" s="268"/>
      <c r="VKL411" s="268"/>
      <c r="VKM411" s="268"/>
      <c r="VKN411" s="268"/>
      <c r="VKO411" s="268"/>
      <c r="VKP411" s="268"/>
      <c r="VKQ411" s="268"/>
      <c r="VKR411" s="268"/>
      <c r="VKS411" s="268"/>
      <c r="VKT411" s="268"/>
      <c r="VKU411" s="268"/>
      <c r="VKV411" s="268"/>
      <c r="VKW411" s="268"/>
      <c r="VKX411" s="268"/>
      <c r="VKY411" s="268"/>
      <c r="VKZ411" s="268"/>
      <c r="VLA411" s="268"/>
      <c r="VLB411" s="268"/>
      <c r="VLC411" s="268"/>
      <c r="VLD411" s="268"/>
      <c r="VLE411" s="268"/>
      <c r="VLF411" s="268"/>
      <c r="VLG411" s="268"/>
      <c r="VLH411" s="268"/>
      <c r="VLI411" s="268"/>
      <c r="VLJ411" s="268"/>
      <c r="VLK411" s="268"/>
      <c r="VLL411" s="268"/>
      <c r="VLM411" s="268"/>
      <c r="VLN411" s="268"/>
      <c r="VLO411" s="268"/>
      <c r="VLP411" s="268"/>
      <c r="VLQ411" s="268"/>
      <c r="VLR411" s="268"/>
      <c r="VLS411" s="268"/>
      <c r="VLT411" s="268"/>
      <c r="VLU411" s="268"/>
      <c r="VLV411" s="268"/>
      <c r="VLW411" s="268"/>
      <c r="VLX411" s="268"/>
      <c r="VLY411" s="268"/>
      <c r="VLZ411" s="268"/>
      <c r="VMA411" s="268"/>
      <c r="VMB411" s="268"/>
      <c r="VMC411" s="268"/>
      <c r="VMD411" s="268"/>
      <c r="VME411" s="268"/>
      <c r="VMF411" s="268"/>
      <c r="VMG411" s="268"/>
      <c r="VMH411" s="268"/>
      <c r="VMI411" s="268"/>
      <c r="VMJ411" s="268"/>
      <c r="VMK411" s="268"/>
      <c r="VML411" s="268"/>
      <c r="VMM411" s="268"/>
      <c r="VMN411" s="268"/>
      <c r="VMO411" s="268"/>
      <c r="VMP411" s="268"/>
      <c r="VMQ411" s="268"/>
      <c r="VMR411" s="268"/>
      <c r="VMS411" s="268"/>
      <c r="VMT411" s="268"/>
      <c r="VMU411" s="268"/>
      <c r="VMV411" s="268"/>
      <c r="VMW411" s="268"/>
      <c r="VMX411" s="268"/>
      <c r="VMY411" s="268"/>
      <c r="VMZ411" s="268"/>
      <c r="VNA411" s="268"/>
      <c r="VNB411" s="268"/>
      <c r="VNC411" s="268"/>
      <c r="VND411" s="268"/>
      <c r="VNE411" s="268"/>
      <c r="VNF411" s="268"/>
      <c r="VNG411" s="268"/>
      <c r="VNH411" s="268"/>
      <c r="VNI411" s="268"/>
      <c r="VNJ411" s="268"/>
      <c r="VNK411" s="268"/>
      <c r="VNL411" s="268"/>
      <c r="VNM411" s="268"/>
      <c r="VNN411" s="268"/>
      <c r="VNO411" s="268"/>
      <c r="VNP411" s="268"/>
      <c r="VNQ411" s="268"/>
      <c r="VNR411" s="268"/>
      <c r="VNS411" s="268"/>
      <c r="VNT411" s="268"/>
      <c r="VNU411" s="268"/>
      <c r="VNV411" s="268"/>
      <c r="VNW411" s="268"/>
      <c r="VNX411" s="268"/>
      <c r="VNY411" s="268"/>
      <c r="VNZ411" s="268"/>
      <c r="VOA411" s="268"/>
      <c r="VOB411" s="268"/>
      <c r="VOC411" s="268"/>
      <c r="VOD411" s="268"/>
      <c r="VOE411" s="268"/>
      <c r="VOF411" s="268"/>
      <c r="VOG411" s="268"/>
      <c r="VOH411" s="268"/>
      <c r="VOI411" s="268"/>
      <c r="VOJ411" s="268"/>
      <c r="VOK411" s="268"/>
      <c r="VOL411" s="268"/>
      <c r="VOM411" s="268"/>
      <c r="VON411" s="268"/>
      <c r="VOO411" s="268"/>
      <c r="VOP411" s="268"/>
      <c r="VOQ411" s="268"/>
      <c r="VOR411" s="268"/>
      <c r="VOS411" s="268"/>
      <c r="VOT411" s="268"/>
      <c r="VOU411" s="268"/>
      <c r="VOV411" s="268"/>
      <c r="VOW411" s="268"/>
      <c r="VOX411" s="268"/>
      <c r="VOY411" s="268"/>
      <c r="VOZ411" s="268"/>
      <c r="VPA411" s="268"/>
      <c r="VPB411" s="268"/>
      <c r="VPC411" s="268"/>
      <c r="VPD411" s="268"/>
      <c r="VPE411" s="268"/>
      <c r="VPF411" s="268"/>
      <c r="VPG411" s="268"/>
      <c r="VPH411" s="268"/>
      <c r="VPI411" s="268"/>
      <c r="VPJ411" s="268"/>
      <c r="VPK411" s="268"/>
      <c r="VPL411" s="268"/>
      <c r="VPM411" s="268"/>
      <c r="VPN411" s="268"/>
      <c r="VPO411" s="268"/>
      <c r="VPP411" s="268"/>
      <c r="VPQ411" s="268"/>
      <c r="VPR411" s="268"/>
      <c r="VPS411" s="268"/>
      <c r="VPT411" s="268"/>
      <c r="VPU411" s="268"/>
      <c r="VPV411" s="268"/>
      <c r="VPW411" s="268"/>
      <c r="VPX411" s="268"/>
      <c r="VPY411" s="268"/>
      <c r="VPZ411" s="268"/>
      <c r="VQA411" s="268"/>
      <c r="VQB411" s="268"/>
      <c r="VQC411" s="268"/>
      <c r="VQD411" s="268"/>
      <c r="VQE411" s="268"/>
      <c r="VQF411" s="268"/>
      <c r="VQG411" s="268"/>
      <c r="VQH411" s="268"/>
      <c r="VQI411" s="268"/>
      <c r="VQJ411" s="268"/>
      <c r="VQK411" s="268"/>
      <c r="VQL411" s="268"/>
      <c r="VQM411" s="268"/>
      <c r="VQN411" s="268"/>
      <c r="VQO411" s="268"/>
      <c r="VQP411" s="268"/>
      <c r="VQQ411" s="268"/>
      <c r="VQR411" s="268"/>
      <c r="VQS411" s="268"/>
      <c r="VQT411" s="268"/>
      <c r="VQU411" s="268"/>
      <c r="VQV411" s="268"/>
      <c r="VQW411" s="268"/>
      <c r="VQX411" s="268"/>
      <c r="VQY411" s="268"/>
      <c r="VQZ411" s="268"/>
      <c r="VRA411" s="268"/>
      <c r="VRB411" s="268"/>
      <c r="VRC411" s="268"/>
      <c r="VRD411" s="268"/>
      <c r="VRE411" s="268"/>
      <c r="VRF411" s="268"/>
      <c r="VRG411" s="268"/>
      <c r="VRH411" s="268"/>
      <c r="VRI411" s="268"/>
      <c r="VRJ411" s="268"/>
      <c r="VRK411" s="268"/>
      <c r="VRY411" s="268"/>
      <c r="VRZ411" s="268"/>
      <c r="VSA411" s="268"/>
      <c r="VSO411" s="268"/>
      <c r="VSQ411" s="268"/>
      <c r="VSR411" s="268"/>
      <c r="VSS411" s="268"/>
      <c r="VST411" s="268"/>
      <c r="VSU411" s="268"/>
      <c r="VSV411" s="268"/>
      <c r="VSW411" s="268"/>
      <c r="VSX411" s="268"/>
      <c r="VSY411" s="268"/>
      <c r="VSZ411" s="268"/>
      <c r="VTA411" s="268"/>
      <c r="VTB411" s="268"/>
      <c r="VTC411" s="268"/>
      <c r="VTD411" s="268"/>
      <c r="VTE411" s="268"/>
      <c r="VTF411" s="268"/>
      <c r="VTG411" s="268"/>
      <c r="VTH411" s="268"/>
      <c r="VTI411" s="268"/>
      <c r="VTJ411" s="268"/>
      <c r="VTK411" s="268"/>
      <c r="VTL411" s="268"/>
      <c r="VTM411" s="268"/>
      <c r="VTN411" s="268"/>
      <c r="VTO411" s="268"/>
      <c r="VTP411" s="268"/>
      <c r="VTQ411" s="268"/>
      <c r="VTR411" s="268"/>
      <c r="VTS411" s="268"/>
      <c r="VTT411" s="268"/>
      <c r="VTU411" s="268"/>
      <c r="VTV411" s="268"/>
      <c r="VTW411" s="268"/>
      <c r="VTX411" s="268"/>
      <c r="VTY411" s="268"/>
      <c r="VTZ411" s="268"/>
      <c r="VUA411" s="268"/>
      <c r="VUB411" s="268"/>
      <c r="VUC411" s="268"/>
      <c r="VUD411" s="268"/>
      <c r="VUE411" s="268"/>
      <c r="VUF411" s="268"/>
      <c r="VUG411" s="268"/>
      <c r="VUH411" s="268"/>
      <c r="VUI411" s="268"/>
      <c r="VUJ411" s="268"/>
      <c r="VUK411" s="268"/>
      <c r="VUL411" s="268"/>
      <c r="VUM411" s="268"/>
      <c r="VUN411" s="268"/>
      <c r="VUO411" s="268"/>
      <c r="VUP411" s="268"/>
      <c r="VUQ411" s="268"/>
      <c r="VUR411" s="268"/>
      <c r="VUS411" s="268"/>
      <c r="VUT411" s="268"/>
      <c r="VUU411" s="268"/>
      <c r="VUV411" s="268"/>
      <c r="VUW411" s="268"/>
      <c r="VUX411" s="268"/>
      <c r="VUY411" s="268"/>
      <c r="VUZ411" s="268"/>
      <c r="VVA411" s="268"/>
      <c r="VVB411" s="268"/>
      <c r="VVC411" s="268"/>
      <c r="VVD411" s="268"/>
      <c r="VVE411" s="268"/>
      <c r="VVF411" s="268"/>
      <c r="VVG411" s="268"/>
      <c r="VVH411" s="268"/>
      <c r="VVI411" s="268"/>
      <c r="VVJ411" s="268"/>
      <c r="VVK411" s="268"/>
      <c r="VVL411" s="268"/>
      <c r="VVM411" s="268"/>
      <c r="VVN411" s="268"/>
      <c r="VVO411" s="268"/>
      <c r="VVP411" s="268"/>
      <c r="VVQ411" s="268"/>
      <c r="VVR411" s="268"/>
      <c r="VVS411" s="268"/>
      <c r="VVT411" s="268"/>
      <c r="VVU411" s="268"/>
      <c r="VVV411" s="268"/>
      <c r="VVW411" s="268"/>
      <c r="VVX411" s="268"/>
      <c r="VVY411" s="268"/>
      <c r="VVZ411" s="268"/>
      <c r="VWA411" s="268"/>
      <c r="VWB411" s="268"/>
      <c r="VWC411" s="268"/>
      <c r="VWD411" s="268"/>
      <c r="VWE411" s="268"/>
      <c r="VWF411" s="268"/>
      <c r="VWG411" s="268"/>
      <c r="VWH411" s="268"/>
      <c r="VWI411" s="268"/>
      <c r="VWJ411" s="268"/>
      <c r="VWK411" s="268"/>
      <c r="VWL411" s="268"/>
      <c r="VWM411" s="268"/>
      <c r="VWN411" s="268"/>
      <c r="VWO411" s="268"/>
      <c r="VWP411" s="268"/>
      <c r="VWQ411" s="268"/>
      <c r="VWR411" s="268"/>
      <c r="VWS411" s="268"/>
      <c r="VWT411" s="268"/>
      <c r="VWU411" s="268"/>
      <c r="VWV411" s="268"/>
      <c r="VWW411" s="268"/>
      <c r="VWX411" s="268"/>
      <c r="VWY411" s="268"/>
      <c r="VWZ411" s="268"/>
      <c r="VXA411" s="268"/>
      <c r="VXB411" s="268"/>
      <c r="VXC411" s="268"/>
      <c r="VXD411" s="268"/>
      <c r="VXE411" s="268"/>
      <c r="VXF411" s="268"/>
      <c r="VXG411" s="268"/>
      <c r="VXH411" s="268"/>
      <c r="VXI411" s="268"/>
      <c r="VXJ411" s="268"/>
      <c r="VXK411" s="268"/>
      <c r="VXL411" s="268"/>
      <c r="VXM411" s="268"/>
      <c r="VXN411" s="268"/>
      <c r="VXO411" s="268"/>
      <c r="VXP411" s="268"/>
      <c r="VXQ411" s="268"/>
      <c r="VXR411" s="268"/>
      <c r="VXS411" s="268"/>
      <c r="VXT411" s="268"/>
      <c r="VXU411" s="268"/>
      <c r="VXV411" s="268"/>
      <c r="VXW411" s="268"/>
      <c r="VXX411" s="268"/>
      <c r="VXY411" s="268"/>
      <c r="VXZ411" s="268"/>
      <c r="VYA411" s="268"/>
      <c r="VYB411" s="268"/>
      <c r="VYC411" s="268"/>
      <c r="VYD411" s="268"/>
      <c r="VYE411" s="268"/>
      <c r="VYF411" s="268"/>
      <c r="VYG411" s="268"/>
      <c r="VYH411" s="268"/>
      <c r="VYI411" s="268"/>
      <c r="VYJ411" s="268"/>
      <c r="VYK411" s="268"/>
      <c r="VYL411" s="268"/>
      <c r="VYM411" s="268"/>
      <c r="VYN411" s="268"/>
      <c r="VYO411" s="268"/>
      <c r="VYP411" s="268"/>
      <c r="VYQ411" s="268"/>
      <c r="VYR411" s="268"/>
      <c r="VYS411" s="268"/>
      <c r="VYT411" s="268"/>
      <c r="VYU411" s="268"/>
      <c r="VYV411" s="268"/>
      <c r="VYW411" s="268"/>
      <c r="VYX411" s="268"/>
      <c r="VYY411" s="268"/>
      <c r="VYZ411" s="268"/>
      <c r="VZA411" s="268"/>
      <c r="VZB411" s="268"/>
      <c r="VZC411" s="268"/>
      <c r="VZD411" s="268"/>
      <c r="VZE411" s="268"/>
      <c r="VZF411" s="268"/>
      <c r="VZG411" s="268"/>
      <c r="VZH411" s="268"/>
      <c r="VZI411" s="268"/>
      <c r="VZJ411" s="268"/>
      <c r="VZK411" s="268"/>
      <c r="VZL411" s="268"/>
      <c r="VZM411" s="268"/>
      <c r="VZN411" s="268"/>
      <c r="VZO411" s="268"/>
      <c r="VZP411" s="268"/>
      <c r="VZQ411" s="268"/>
      <c r="VZR411" s="268"/>
      <c r="VZS411" s="268"/>
      <c r="VZT411" s="268"/>
      <c r="VZU411" s="268"/>
      <c r="VZV411" s="268"/>
      <c r="VZW411" s="268"/>
      <c r="VZX411" s="268"/>
      <c r="VZY411" s="268"/>
      <c r="VZZ411" s="268"/>
      <c r="WAA411" s="268"/>
      <c r="WAB411" s="268"/>
      <c r="WAC411" s="268"/>
      <c r="WAD411" s="268"/>
      <c r="WAE411" s="268"/>
      <c r="WAF411" s="268"/>
      <c r="WAG411" s="268"/>
      <c r="WAH411" s="268"/>
      <c r="WAI411" s="268"/>
      <c r="WAJ411" s="268"/>
      <c r="WAK411" s="268"/>
      <c r="WAL411" s="268"/>
      <c r="WAM411" s="268"/>
      <c r="WAN411" s="268"/>
      <c r="WAO411" s="268"/>
      <c r="WAP411" s="268"/>
      <c r="WAQ411" s="268"/>
      <c r="WAR411" s="268"/>
      <c r="WAS411" s="268"/>
      <c r="WAT411" s="268"/>
      <c r="WAU411" s="268"/>
      <c r="WAV411" s="268"/>
      <c r="WAW411" s="268"/>
      <c r="WAX411" s="268"/>
      <c r="WAY411" s="268"/>
      <c r="WAZ411" s="268"/>
      <c r="WBA411" s="268"/>
      <c r="WBB411" s="268"/>
      <c r="WBC411" s="268"/>
      <c r="WBD411" s="268"/>
      <c r="WBE411" s="268"/>
      <c r="WBF411" s="268"/>
      <c r="WBG411" s="268"/>
      <c r="WBU411" s="268"/>
      <c r="WBV411" s="268"/>
      <c r="WBW411" s="268"/>
      <c r="WCK411" s="268"/>
      <c r="WCM411" s="268"/>
      <c r="WCN411" s="268"/>
      <c r="WCO411" s="268"/>
      <c r="WCP411" s="268"/>
      <c r="WCQ411" s="268"/>
      <c r="WCR411" s="268"/>
      <c r="WCS411" s="268"/>
      <c r="WCT411" s="268"/>
      <c r="WCU411" s="268"/>
      <c r="WCV411" s="268"/>
      <c r="WCW411" s="268"/>
      <c r="WCX411" s="268"/>
      <c r="WCY411" s="268"/>
      <c r="WCZ411" s="268"/>
      <c r="WDA411" s="268"/>
      <c r="WDB411" s="268"/>
      <c r="WDC411" s="268"/>
      <c r="WDD411" s="268"/>
      <c r="WDE411" s="268"/>
      <c r="WDF411" s="268"/>
      <c r="WDG411" s="268"/>
      <c r="WDH411" s="268"/>
      <c r="WDI411" s="268"/>
      <c r="WDJ411" s="268"/>
      <c r="WDK411" s="268"/>
      <c r="WDL411" s="268"/>
      <c r="WDM411" s="268"/>
      <c r="WDN411" s="268"/>
      <c r="WDO411" s="268"/>
      <c r="WDP411" s="268"/>
      <c r="WDQ411" s="268"/>
      <c r="WDR411" s="268"/>
      <c r="WDS411" s="268"/>
      <c r="WDT411" s="268"/>
      <c r="WDU411" s="268"/>
      <c r="WDV411" s="268"/>
      <c r="WDW411" s="268"/>
      <c r="WDX411" s="268"/>
      <c r="WDY411" s="268"/>
      <c r="WDZ411" s="268"/>
      <c r="WEA411" s="268"/>
      <c r="WEB411" s="268"/>
      <c r="WEC411" s="268"/>
      <c r="WED411" s="268"/>
      <c r="WEE411" s="268"/>
      <c r="WEF411" s="268"/>
      <c r="WEG411" s="268"/>
      <c r="WEH411" s="268"/>
      <c r="WEI411" s="268"/>
      <c r="WEJ411" s="268"/>
      <c r="WEK411" s="268"/>
      <c r="WEL411" s="268"/>
      <c r="WEM411" s="268"/>
      <c r="WEN411" s="268"/>
      <c r="WEO411" s="268"/>
      <c r="WEP411" s="268"/>
      <c r="WEQ411" s="268"/>
      <c r="WER411" s="268"/>
      <c r="WES411" s="268"/>
      <c r="WET411" s="268"/>
      <c r="WEU411" s="268"/>
      <c r="WEV411" s="268"/>
      <c r="WEW411" s="268"/>
      <c r="WEX411" s="268"/>
      <c r="WEY411" s="268"/>
      <c r="WEZ411" s="268"/>
      <c r="WFA411" s="268"/>
      <c r="WFB411" s="268"/>
      <c r="WFC411" s="268"/>
      <c r="WFD411" s="268"/>
      <c r="WFE411" s="268"/>
      <c r="WFF411" s="268"/>
      <c r="WFG411" s="268"/>
      <c r="WFH411" s="268"/>
      <c r="WFI411" s="268"/>
      <c r="WFJ411" s="268"/>
      <c r="WFK411" s="268"/>
      <c r="WFL411" s="268"/>
      <c r="WFM411" s="268"/>
      <c r="WFN411" s="268"/>
      <c r="WFO411" s="268"/>
      <c r="WFP411" s="268"/>
      <c r="WFQ411" s="268"/>
      <c r="WFR411" s="268"/>
      <c r="WFS411" s="268"/>
      <c r="WFT411" s="268"/>
      <c r="WFU411" s="268"/>
      <c r="WFV411" s="268"/>
      <c r="WFW411" s="268"/>
      <c r="WFX411" s="268"/>
      <c r="WFY411" s="268"/>
      <c r="WFZ411" s="268"/>
      <c r="WGA411" s="268"/>
      <c r="WGB411" s="268"/>
      <c r="WGC411" s="268"/>
      <c r="WGD411" s="268"/>
      <c r="WGE411" s="268"/>
      <c r="WGF411" s="268"/>
      <c r="WGG411" s="268"/>
      <c r="WGH411" s="268"/>
      <c r="WGI411" s="268"/>
      <c r="WGJ411" s="268"/>
      <c r="WGK411" s="268"/>
      <c r="WGL411" s="268"/>
      <c r="WGM411" s="268"/>
      <c r="WGN411" s="268"/>
      <c r="WGO411" s="268"/>
      <c r="WGP411" s="268"/>
      <c r="WGQ411" s="268"/>
      <c r="WGR411" s="268"/>
      <c r="WGS411" s="268"/>
      <c r="WGT411" s="268"/>
      <c r="WGU411" s="268"/>
      <c r="WGV411" s="268"/>
      <c r="WGW411" s="268"/>
      <c r="WGX411" s="268"/>
      <c r="WGY411" s="268"/>
      <c r="WGZ411" s="268"/>
      <c r="WHA411" s="268"/>
      <c r="WHB411" s="268"/>
      <c r="WHC411" s="268"/>
      <c r="WHD411" s="268"/>
      <c r="WHE411" s="268"/>
      <c r="WHF411" s="268"/>
      <c r="WHG411" s="268"/>
      <c r="WHH411" s="268"/>
      <c r="WHI411" s="268"/>
      <c r="WHJ411" s="268"/>
      <c r="WHK411" s="268"/>
      <c r="WHL411" s="268"/>
      <c r="WHM411" s="268"/>
      <c r="WHN411" s="268"/>
      <c r="WHO411" s="268"/>
      <c r="WHP411" s="268"/>
      <c r="WHQ411" s="268"/>
      <c r="WHR411" s="268"/>
      <c r="WHS411" s="268"/>
      <c r="WHT411" s="268"/>
      <c r="WHU411" s="268"/>
      <c r="WHV411" s="268"/>
      <c r="WHW411" s="268"/>
      <c r="WHX411" s="268"/>
      <c r="WHY411" s="268"/>
      <c r="WHZ411" s="268"/>
      <c r="WIA411" s="268"/>
      <c r="WIB411" s="268"/>
      <c r="WIC411" s="268"/>
      <c r="WID411" s="268"/>
      <c r="WIE411" s="268"/>
      <c r="WIF411" s="268"/>
      <c r="WIG411" s="268"/>
      <c r="WIH411" s="268"/>
      <c r="WII411" s="268"/>
      <c r="WIJ411" s="268"/>
      <c r="WIK411" s="268"/>
      <c r="WIL411" s="268"/>
      <c r="WIM411" s="268"/>
      <c r="WIN411" s="268"/>
      <c r="WIO411" s="268"/>
      <c r="WIP411" s="268"/>
      <c r="WIQ411" s="268"/>
      <c r="WIR411" s="268"/>
      <c r="WIS411" s="268"/>
      <c r="WIT411" s="268"/>
      <c r="WIU411" s="268"/>
      <c r="WIV411" s="268"/>
      <c r="WIW411" s="268"/>
      <c r="WIX411" s="268"/>
      <c r="WIY411" s="268"/>
      <c r="WIZ411" s="268"/>
      <c r="WJA411" s="268"/>
      <c r="WJB411" s="268"/>
      <c r="WJC411" s="268"/>
      <c r="WJD411" s="268"/>
      <c r="WJE411" s="268"/>
      <c r="WJF411" s="268"/>
      <c r="WJG411" s="268"/>
      <c r="WJH411" s="268"/>
      <c r="WJI411" s="268"/>
      <c r="WJJ411" s="268"/>
      <c r="WJK411" s="268"/>
      <c r="WJL411" s="268"/>
      <c r="WJM411" s="268"/>
      <c r="WJN411" s="268"/>
      <c r="WJO411" s="268"/>
      <c r="WJP411" s="268"/>
      <c r="WJQ411" s="268"/>
      <c r="WJR411" s="268"/>
      <c r="WJS411" s="268"/>
      <c r="WJT411" s="268"/>
      <c r="WJU411" s="268"/>
      <c r="WJV411" s="268"/>
      <c r="WJW411" s="268"/>
      <c r="WJX411" s="268"/>
      <c r="WJY411" s="268"/>
      <c r="WJZ411" s="268"/>
      <c r="WKA411" s="268"/>
      <c r="WKB411" s="268"/>
      <c r="WKC411" s="268"/>
      <c r="WKD411" s="268"/>
      <c r="WKE411" s="268"/>
      <c r="WKF411" s="268"/>
      <c r="WKG411" s="268"/>
      <c r="WKH411" s="268"/>
      <c r="WKI411" s="268"/>
      <c r="WKJ411" s="268"/>
      <c r="WKK411" s="268"/>
      <c r="WKL411" s="268"/>
      <c r="WKM411" s="268"/>
      <c r="WKN411" s="268"/>
      <c r="WKO411" s="268"/>
      <c r="WKP411" s="268"/>
      <c r="WKQ411" s="268"/>
      <c r="WKR411" s="268"/>
      <c r="WKS411" s="268"/>
      <c r="WKT411" s="268"/>
      <c r="WKU411" s="268"/>
      <c r="WKV411" s="268"/>
      <c r="WKW411" s="268"/>
      <c r="WKX411" s="268"/>
      <c r="WKY411" s="268"/>
      <c r="WKZ411" s="268"/>
      <c r="WLA411" s="268"/>
      <c r="WLB411" s="268"/>
      <c r="WLC411" s="268"/>
      <c r="WLQ411" s="268"/>
      <c r="WLR411" s="268"/>
      <c r="WLS411" s="268"/>
      <c r="WMG411" s="268"/>
      <c r="WMI411" s="268"/>
      <c r="WMJ411" s="268"/>
      <c r="WMK411" s="268"/>
      <c r="WML411" s="268"/>
      <c r="WMM411" s="268"/>
      <c r="WMN411" s="268"/>
      <c r="WMO411" s="268"/>
      <c r="WMP411" s="268"/>
      <c r="WMQ411" s="268"/>
      <c r="WMR411" s="268"/>
      <c r="WMS411" s="268"/>
      <c r="WMT411" s="268"/>
      <c r="WMU411" s="268"/>
      <c r="WMV411" s="268"/>
      <c r="WMW411" s="268"/>
      <c r="WMX411" s="268"/>
      <c r="WMY411" s="268"/>
      <c r="WMZ411" s="268"/>
      <c r="WNA411" s="268"/>
      <c r="WNB411" s="268"/>
      <c r="WNC411" s="268"/>
      <c r="WND411" s="268"/>
      <c r="WNE411" s="268"/>
      <c r="WNF411" s="268"/>
      <c r="WNG411" s="268"/>
      <c r="WNH411" s="268"/>
      <c r="WNI411" s="268"/>
      <c r="WNJ411" s="268"/>
      <c r="WNK411" s="268"/>
      <c r="WNL411" s="268"/>
      <c r="WNM411" s="268"/>
      <c r="WNN411" s="268"/>
      <c r="WNO411" s="268"/>
      <c r="WNP411" s="268"/>
      <c r="WNQ411" s="268"/>
      <c r="WNR411" s="268"/>
      <c r="WNS411" s="268"/>
      <c r="WNT411" s="268"/>
      <c r="WNU411" s="268"/>
      <c r="WNV411" s="268"/>
      <c r="WNW411" s="268"/>
      <c r="WNX411" s="268"/>
      <c r="WNY411" s="268"/>
      <c r="WNZ411" s="268"/>
      <c r="WOA411" s="268"/>
      <c r="WOB411" s="268"/>
      <c r="WOC411" s="268"/>
      <c r="WOD411" s="268"/>
      <c r="WOE411" s="268"/>
      <c r="WOF411" s="268"/>
      <c r="WOG411" s="268"/>
      <c r="WOH411" s="268"/>
      <c r="WOI411" s="268"/>
      <c r="WOJ411" s="268"/>
      <c r="WOK411" s="268"/>
      <c r="WOL411" s="268"/>
      <c r="WOM411" s="268"/>
      <c r="WON411" s="268"/>
      <c r="WOO411" s="268"/>
      <c r="WOP411" s="268"/>
      <c r="WOQ411" s="268"/>
      <c r="WOR411" s="268"/>
      <c r="WOS411" s="268"/>
      <c r="WOT411" s="268"/>
      <c r="WOU411" s="268"/>
      <c r="WOV411" s="268"/>
      <c r="WOW411" s="268"/>
      <c r="WOX411" s="268"/>
      <c r="WOY411" s="268"/>
      <c r="WOZ411" s="268"/>
      <c r="WPA411" s="268"/>
      <c r="WPB411" s="268"/>
      <c r="WPC411" s="268"/>
      <c r="WPD411" s="268"/>
      <c r="WPE411" s="268"/>
      <c r="WPF411" s="268"/>
      <c r="WPG411" s="268"/>
      <c r="WPH411" s="268"/>
      <c r="WPI411" s="268"/>
      <c r="WPJ411" s="268"/>
      <c r="WPK411" s="268"/>
      <c r="WPL411" s="268"/>
      <c r="WPM411" s="268"/>
      <c r="WPN411" s="268"/>
      <c r="WPO411" s="268"/>
      <c r="WPP411" s="268"/>
      <c r="WPQ411" s="268"/>
      <c r="WPR411" s="268"/>
      <c r="WPS411" s="268"/>
      <c r="WPT411" s="268"/>
      <c r="WPU411" s="268"/>
      <c r="WPV411" s="268"/>
      <c r="WPW411" s="268"/>
      <c r="WPX411" s="268"/>
      <c r="WPY411" s="268"/>
      <c r="WPZ411" s="268"/>
      <c r="WQA411" s="268"/>
      <c r="WQB411" s="268"/>
      <c r="WQC411" s="268"/>
      <c r="WQD411" s="268"/>
      <c r="WQE411" s="268"/>
      <c r="WQF411" s="268"/>
      <c r="WQG411" s="268"/>
      <c r="WQH411" s="268"/>
      <c r="WQI411" s="268"/>
      <c r="WQJ411" s="268"/>
      <c r="WQK411" s="268"/>
      <c r="WQL411" s="268"/>
      <c r="WQM411" s="268"/>
      <c r="WQN411" s="268"/>
      <c r="WQO411" s="268"/>
      <c r="WQP411" s="268"/>
      <c r="WQQ411" s="268"/>
      <c r="WQR411" s="268"/>
      <c r="WQS411" s="268"/>
      <c r="WQT411" s="268"/>
      <c r="WQU411" s="268"/>
      <c r="WQV411" s="268"/>
      <c r="WQW411" s="268"/>
      <c r="WQX411" s="268"/>
      <c r="WQY411" s="268"/>
      <c r="WQZ411" s="268"/>
      <c r="WRA411" s="268"/>
      <c r="WRB411" s="268"/>
      <c r="WRC411" s="268"/>
      <c r="WRD411" s="268"/>
      <c r="WRE411" s="268"/>
      <c r="WRF411" s="268"/>
      <c r="WRG411" s="268"/>
      <c r="WRH411" s="268"/>
      <c r="WRI411" s="268"/>
      <c r="WRJ411" s="268"/>
      <c r="WRK411" s="268"/>
      <c r="WRL411" s="268"/>
      <c r="WRM411" s="268"/>
      <c r="WRN411" s="268"/>
      <c r="WRO411" s="268"/>
      <c r="WRP411" s="268"/>
      <c r="WRQ411" s="268"/>
      <c r="WRR411" s="268"/>
      <c r="WRS411" s="268"/>
      <c r="WRT411" s="268"/>
      <c r="WRU411" s="268"/>
      <c r="WRV411" s="268"/>
      <c r="WRW411" s="268"/>
      <c r="WRX411" s="268"/>
      <c r="WRY411" s="268"/>
      <c r="WRZ411" s="268"/>
      <c r="WSA411" s="268"/>
      <c r="WSB411" s="268"/>
      <c r="WSC411" s="268"/>
      <c r="WSD411" s="268"/>
      <c r="WSE411" s="268"/>
      <c r="WSF411" s="268"/>
      <c r="WSG411" s="268"/>
      <c r="WSH411" s="268"/>
      <c r="WSI411" s="268"/>
      <c r="WSJ411" s="268"/>
      <c r="WSK411" s="268"/>
      <c r="WSL411" s="268"/>
      <c r="WSM411" s="268"/>
      <c r="WSN411" s="268"/>
      <c r="WSO411" s="268"/>
      <c r="WSP411" s="268"/>
      <c r="WSQ411" s="268"/>
      <c r="WSR411" s="268"/>
      <c r="WSS411" s="268"/>
      <c r="WST411" s="268"/>
      <c r="WSU411" s="268"/>
      <c r="WSV411" s="268"/>
      <c r="WSW411" s="268"/>
      <c r="WSX411" s="268"/>
      <c r="WSY411" s="268"/>
      <c r="WSZ411" s="268"/>
      <c r="WTA411" s="268"/>
      <c r="WTB411" s="268"/>
      <c r="WTC411" s="268"/>
      <c r="WTD411" s="268"/>
      <c r="WTE411" s="268"/>
      <c r="WTF411" s="268"/>
      <c r="WTG411" s="268"/>
      <c r="WTH411" s="268"/>
      <c r="WTI411" s="268"/>
      <c r="WTJ411" s="268"/>
      <c r="WTK411" s="268"/>
      <c r="WTL411" s="268"/>
      <c r="WTM411" s="268"/>
      <c r="WTN411" s="268"/>
      <c r="WTO411" s="268"/>
      <c r="WTP411" s="268"/>
      <c r="WTQ411" s="268"/>
      <c r="WTR411" s="268"/>
      <c r="WTS411" s="268"/>
      <c r="WTT411" s="268"/>
      <c r="WTU411" s="268"/>
      <c r="WTV411" s="268"/>
      <c r="WTW411" s="268"/>
      <c r="WTX411" s="268"/>
      <c r="WTY411" s="268"/>
      <c r="WTZ411" s="268"/>
      <c r="WUA411" s="268"/>
      <c r="WUB411" s="268"/>
      <c r="WUC411" s="268"/>
      <c r="WUD411" s="268"/>
      <c r="WUE411" s="268"/>
      <c r="WUF411" s="268"/>
      <c r="WUG411" s="268"/>
      <c r="WUH411" s="268"/>
      <c r="WUI411" s="268"/>
      <c r="WUJ411" s="268"/>
      <c r="WUK411" s="268"/>
      <c r="WUL411" s="268"/>
      <c r="WUM411" s="268"/>
      <c r="WUN411" s="268"/>
      <c r="WUO411" s="268"/>
      <c r="WUP411" s="268"/>
      <c r="WUQ411" s="268"/>
      <c r="WUR411" s="268"/>
      <c r="WUS411" s="268"/>
      <c r="WUT411" s="268"/>
      <c r="WUU411" s="268"/>
      <c r="WUV411" s="268"/>
      <c r="WUW411" s="268"/>
      <c r="WUX411" s="268"/>
      <c r="WUY411" s="268"/>
      <c r="WVM411" s="268"/>
      <c r="WVN411" s="268"/>
      <c r="WVO411" s="268"/>
      <c r="WWC411" s="268"/>
      <c r="WWE411" s="268"/>
      <c r="WWF411" s="268"/>
      <c r="WWG411" s="268"/>
      <c r="WWH411" s="268"/>
      <c r="WWI411" s="268"/>
      <c r="WWJ411" s="268"/>
      <c r="WWK411" s="268"/>
      <c r="WWL411" s="268"/>
      <c r="WWM411" s="268"/>
      <c r="WWN411" s="268"/>
      <c r="WWO411" s="268"/>
      <c r="WWP411" s="268"/>
      <c r="WWQ411" s="268"/>
      <c r="WWR411" s="268"/>
      <c r="WWS411" s="268"/>
      <c r="WWT411" s="268"/>
      <c r="WWU411" s="268"/>
      <c r="WWV411" s="268"/>
      <c r="WWW411" s="268"/>
      <c r="WWX411" s="268"/>
      <c r="WWY411" s="268"/>
      <c r="WWZ411" s="268"/>
      <c r="WXA411" s="268"/>
      <c r="WXB411" s="268"/>
      <c r="WXC411" s="268"/>
      <c r="WXD411" s="268"/>
      <c r="WXE411" s="268"/>
      <c r="WXF411" s="268"/>
      <c r="WXG411" s="268"/>
      <c r="WXH411" s="268"/>
      <c r="WXI411" s="268"/>
      <c r="WXJ411" s="268"/>
      <c r="WXK411" s="268"/>
      <c r="WXL411" s="268"/>
      <c r="WXM411" s="268"/>
      <c r="WXN411" s="268"/>
      <c r="WXO411" s="268"/>
      <c r="WXP411" s="268"/>
      <c r="WXQ411" s="268"/>
      <c r="WXR411" s="268"/>
      <c r="WXS411" s="268"/>
      <c r="WXT411" s="268"/>
      <c r="WXU411" s="268"/>
      <c r="WXV411" s="268"/>
      <c r="WXW411" s="268"/>
      <c r="WXX411" s="268"/>
      <c r="WXY411" s="268"/>
      <c r="WXZ411" s="268"/>
      <c r="WYA411" s="268"/>
      <c r="WYB411" s="268"/>
      <c r="WYC411" s="268"/>
      <c r="WYD411" s="268"/>
      <c r="WYE411" s="268"/>
      <c r="WYF411" s="268"/>
      <c r="WYG411" s="268"/>
      <c r="WYH411" s="268"/>
      <c r="WYI411" s="268"/>
      <c r="WYJ411" s="268"/>
      <c r="WYK411" s="268"/>
      <c r="WYL411" s="268"/>
      <c r="WYM411" s="268"/>
      <c r="WYN411" s="268"/>
      <c r="WYO411" s="268"/>
      <c r="WYP411" s="268"/>
      <c r="WYQ411" s="268"/>
      <c r="WYR411" s="268"/>
      <c r="WYS411" s="268"/>
      <c r="WYT411" s="268"/>
      <c r="WYU411" s="268"/>
      <c r="WYV411" s="268"/>
      <c r="WYW411" s="268"/>
      <c r="WYX411" s="268"/>
      <c r="WYY411" s="268"/>
      <c r="WYZ411" s="268"/>
      <c r="WZA411" s="268"/>
      <c r="WZB411" s="268"/>
      <c r="WZC411" s="268"/>
      <c r="WZD411" s="268"/>
      <c r="WZE411" s="268"/>
      <c r="WZF411" s="268"/>
      <c r="WZG411" s="268"/>
      <c r="WZH411" s="268"/>
      <c r="WZI411" s="268"/>
      <c r="WZJ411" s="268"/>
      <c r="WZK411" s="268"/>
      <c r="WZL411" s="268"/>
      <c r="WZM411" s="268"/>
      <c r="WZN411" s="268"/>
      <c r="WZO411" s="268"/>
      <c r="WZP411" s="268"/>
      <c r="WZQ411" s="268"/>
      <c r="WZR411" s="268"/>
      <c r="WZS411" s="268"/>
      <c r="WZT411" s="268"/>
      <c r="WZU411" s="268"/>
      <c r="WZV411" s="268"/>
      <c r="WZW411" s="268"/>
      <c r="WZX411" s="268"/>
      <c r="WZY411" s="268"/>
      <c r="WZZ411" s="268"/>
      <c r="XAA411" s="268"/>
      <c r="XAB411" s="268"/>
      <c r="XAC411" s="268"/>
      <c r="XAD411" s="268"/>
      <c r="XAE411" s="268"/>
      <c r="XAF411" s="268"/>
      <c r="XAG411" s="268"/>
      <c r="XAH411" s="268"/>
      <c r="XAI411" s="268"/>
      <c r="XAJ411" s="268"/>
      <c r="XAK411" s="268"/>
      <c r="XAL411" s="268"/>
      <c r="XAM411" s="268"/>
      <c r="XAN411" s="268"/>
      <c r="XAO411" s="268"/>
      <c r="XAP411" s="268"/>
      <c r="XAQ411" s="268"/>
      <c r="XAR411" s="268"/>
      <c r="XAS411" s="268"/>
      <c r="XAT411" s="268"/>
      <c r="XAU411" s="268"/>
      <c r="XAV411" s="268"/>
      <c r="XAW411" s="268"/>
      <c r="XAX411" s="268"/>
      <c r="XAY411" s="268"/>
      <c r="XAZ411" s="268"/>
      <c r="XBA411" s="268"/>
      <c r="XBB411" s="268"/>
      <c r="XBC411" s="268"/>
      <c r="XBD411" s="268"/>
      <c r="XBE411" s="268"/>
      <c r="XBF411" s="268"/>
      <c r="XBG411" s="268"/>
      <c r="XBH411" s="268"/>
      <c r="XBI411" s="268"/>
      <c r="XBJ411" s="268"/>
      <c r="XBK411" s="268"/>
      <c r="XBL411" s="268"/>
      <c r="XBM411" s="268"/>
      <c r="XBN411" s="268"/>
      <c r="XBO411" s="268"/>
      <c r="XBP411" s="268"/>
      <c r="XBQ411" s="268"/>
      <c r="XBR411" s="268"/>
      <c r="XBS411" s="268"/>
      <c r="XBT411" s="268"/>
      <c r="XBU411" s="268"/>
      <c r="XBV411" s="268"/>
      <c r="XBW411" s="268"/>
      <c r="XBX411" s="268"/>
      <c r="XBY411" s="268"/>
      <c r="XBZ411" s="268"/>
      <c r="XCA411" s="268"/>
      <c r="XCB411" s="268"/>
      <c r="XCC411" s="268"/>
      <c r="XCD411" s="268"/>
      <c r="XCE411" s="268"/>
      <c r="XCF411" s="268"/>
      <c r="XCG411" s="268"/>
      <c r="XCH411" s="268"/>
      <c r="XCI411" s="268"/>
      <c r="XCJ411" s="268"/>
      <c r="XCK411" s="268"/>
      <c r="XCL411" s="268"/>
      <c r="XCM411" s="268"/>
      <c r="XCN411" s="268"/>
      <c r="XCO411" s="268"/>
      <c r="XCP411" s="268"/>
      <c r="XCQ411" s="268"/>
      <c r="XCR411" s="268"/>
      <c r="XCS411" s="268"/>
      <c r="XCT411" s="268"/>
      <c r="XCU411" s="268"/>
      <c r="XCV411" s="268"/>
      <c r="XCW411" s="268"/>
      <c r="XCX411" s="268"/>
      <c r="XCY411" s="268"/>
      <c r="XCZ411" s="268"/>
      <c r="XDA411" s="268"/>
      <c r="XDB411" s="268"/>
      <c r="XDC411" s="268"/>
      <c r="XDD411" s="268"/>
      <c r="XDE411" s="268"/>
      <c r="XDF411" s="268"/>
      <c r="XDG411" s="268"/>
      <c r="XDH411" s="268"/>
      <c r="XDI411" s="268"/>
      <c r="XDJ411" s="268"/>
      <c r="XDK411" s="268"/>
      <c r="XDL411" s="268"/>
      <c r="XDM411" s="268"/>
      <c r="XDN411" s="268"/>
      <c r="XDO411" s="268"/>
      <c r="XDP411" s="268"/>
      <c r="XDQ411" s="268"/>
      <c r="XDR411" s="268"/>
      <c r="XDS411" s="268"/>
      <c r="XDT411" s="268"/>
      <c r="XDU411" s="268"/>
      <c r="XDV411" s="268"/>
      <c r="XDW411" s="268"/>
      <c r="XDX411" s="268"/>
      <c r="XDY411" s="268"/>
      <c r="XDZ411" s="268"/>
      <c r="XEA411" s="268"/>
      <c r="XEB411" s="268"/>
      <c r="XEC411" s="268"/>
      <c r="XED411" s="268"/>
      <c r="XEE411" s="268"/>
      <c r="XEF411" s="268"/>
      <c r="XEG411" s="268"/>
      <c r="XEH411" s="268"/>
      <c r="XEI411" s="268"/>
      <c r="XEJ411" s="268"/>
      <c r="XEK411" s="268"/>
      <c r="XEL411" s="268"/>
      <c r="XEM411" s="268"/>
      <c r="XEN411" s="268"/>
      <c r="XEO411" s="268"/>
      <c r="XEP411" s="268"/>
      <c r="XEQ411" s="268"/>
      <c r="XER411" s="268"/>
      <c r="XES411" s="268"/>
    </row>
    <row r="412" spans="1:1015 1029:2039 2053:3063 3077:4087 4101:5111 5125:6135 6149:7159 7173:8183 8197:9207 9221:10231 10245:11255 11269:12279 12293:13303 13317:14327 14341:15351 15365:16373" hidden="1" outlineLevel="1" x14ac:dyDescent="0.25">
      <c r="A412" s="3" t="s">
        <v>337</v>
      </c>
      <c r="B412" s="3">
        <v>16000</v>
      </c>
      <c r="D412" s="3">
        <v>21980</v>
      </c>
      <c r="E412" s="3">
        <f t="shared" si="233"/>
        <v>1020</v>
      </c>
      <c r="F412" s="3">
        <v>23000</v>
      </c>
      <c r="H412" s="3">
        <f t="shared" si="234"/>
        <v>7000</v>
      </c>
      <c r="J412" s="3">
        <v>29534</v>
      </c>
      <c r="K412" s="4">
        <f t="shared" si="235"/>
        <v>966</v>
      </c>
      <c r="L412" s="4">
        <v>30500</v>
      </c>
      <c r="N412" s="4">
        <f t="shared" si="236"/>
        <v>7500</v>
      </c>
      <c r="P412" s="3">
        <v>36500</v>
      </c>
      <c r="R412" s="3">
        <v>33724</v>
      </c>
      <c r="S412" s="3">
        <f t="shared" si="225"/>
        <v>2776</v>
      </c>
      <c r="T412" s="3">
        <v>36500</v>
      </c>
      <c r="U412" s="3">
        <f t="shared" si="226"/>
        <v>0</v>
      </c>
      <c r="V412" s="3">
        <v>27171</v>
      </c>
      <c r="W412" s="3">
        <f t="shared" si="227"/>
        <v>7829</v>
      </c>
      <c r="Y412" s="3">
        <v>35000</v>
      </c>
      <c r="Z412" s="3">
        <f t="shared" si="228"/>
        <v>-1500</v>
      </c>
      <c r="AC412" s="3">
        <v>29984</v>
      </c>
      <c r="AD412" s="3">
        <f t="shared" si="231"/>
        <v>5016</v>
      </c>
      <c r="AE412" s="3">
        <v>35000</v>
      </c>
      <c r="AF412" s="3">
        <f t="shared" si="229"/>
        <v>0</v>
      </c>
      <c r="AI412" s="3">
        <f>AE412*1.03-50</f>
        <v>36000</v>
      </c>
      <c r="AK412" s="3">
        <f t="shared" ref="AK412:AK419" si="246">AI412*1.03</f>
        <v>37080</v>
      </c>
      <c r="AM412" s="3">
        <f t="shared" ref="AM412:AM419" si="247">AK412*1.03</f>
        <v>38192.400000000001</v>
      </c>
      <c r="AO412" s="3">
        <f t="shared" ref="AO412:AO419" si="248">AM412*1.03</f>
        <v>39338.172000000006</v>
      </c>
      <c r="AQ412" s="3">
        <f t="shared" ref="AQ412:AQ419" si="249">AO412*1.03</f>
        <v>40518.317160000006</v>
      </c>
      <c r="AR412" s="3"/>
      <c r="AS412" s="3">
        <f t="shared" ref="AS412:AS419" si="250">AQ412*1.03</f>
        <v>41733.866674800011</v>
      </c>
      <c r="AT412" s="3"/>
      <c r="AU412" s="3">
        <f t="shared" ref="AU412:AU419" si="251">AS412*1.03</f>
        <v>42985.882675044013</v>
      </c>
      <c r="AV412" s="3"/>
      <c r="AW412" s="3">
        <f t="shared" ref="AW412:AW419" si="252">AU412*1.03</f>
        <v>44275.459155295335</v>
      </c>
      <c r="AX412" s="3"/>
      <c r="AY412" s="3">
        <f t="shared" ref="AY412:AY419" si="253">AW412*1.03</f>
        <v>45603.722929954194</v>
      </c>
      <c r="BA412" s="3">
        <f t="shared" ref="BA412:BE419" si="254">AY412*1.03</f>
        <v>46971.834617852823</v>
      </c>
      <c r="BC412" s="3">
        <f t="shared" si="254"/>
        <v>48380.98965638841</v>
      </c>
      <c r="BE412" s="3">
        <f t="shared" si="254"/>
        <v>49832.419346080067</v>
      </c>
    </row>
    <row r="413" spans="1:1015 1029:2039 2053:3063 3077:4087 4101:5111 5125:6135 6149:7159 7173:8183 8197:9207 9221:10231 10245:11255 11269:12279 12293:13303 13317:14327 14341:15351 15365:16373" hidden="1" outlineLevel="1" x14ac:dyDescent="0.25">
      <c r="A413" s="3" t="s">
        <v>338</v>
      </c>
      <c r="B413" s="3">
        <v>3000</v>
      </c>
      <c r="D413" s="3">
        <v>0</v>
      </c>
      <c r="E413" s="3">
        <f t="shared" si="233"/>
        <v>3000</v>
      </c>
      <c r="F413" s="3">
        <v>3000</v>
      </c>
      <c r="H413" s="3">
        <f t="shared" si="234"/>
        <v>0</v>
      </c>
      <c r="J413" s="3">
        <v>0</v>
      </c>
      <c r="K413" s="4">
        <f t="shared" si="235"/>
        <v>0</v>
      </c>
      <c r="L413" s="4">
        <v>0</v>
      </c>
      <c r="N413" s="4">
        <f t="shared" si="236"/>
        <v>-3000</v>
      </c>
      <c r="S413" s="3">
        <f t="shared" si="225"/>
        <v>0</v>
      </c>
      <c r="U413" s="3">
        <f t="shared" si="226"/>
        <v>0</v>
      </c>
      <c r="W413" s="3">
        <f t="shared" si="227"/>
        <v>0</v>
      </c>
      <c r="Z413" s="3">
        <f t="shared" si="228"/>
        <v>0</v>
      </c>
      <c r="AD413" s="3">
        <f t="shared" si="231"/>
        <v>0</v>
      </c>
      <c r="AF413" s="3">
        <f t="shared" si="229"/>
        <v>0</v>
      </c>
      <c r="AK413" s="3">
        <f t="shared" si="246"/>
        <v>0</v>
      </c>
      <c r="AM413" s="3">
        <f t="shared" si="247"/>
        <v>0</v>
      </c>
      <c r="AO413" s="3">
        <f t="shared" si="248"/>
        <v>0</v>
      </c>
      <c r="AQ413" s="3">
        <f t="shared" si="249"/>
        <v>0</v>
      </c>
      <c r="AR413" s="3"/>
      <c r="AS413" s="3">
        <f t="shared" si="250"/>
        <v>0</v>
      </c>
      <c r="AT413" s="3"/>
      <c r="AU413" s="3">
        <f t="shared" si="251"/>
        <v>0</v>
      </c>
      <c r="AV413" s="3"/>
      <c r="AW413" s="3">
        <f t="shared" si="252"/>
        <v>0</v>
      </c>
      <c r="AX413" s="3"/>
      <c r="AY413" s="3">
        <f t="shared" si="253"/>
        <v>0</v>
      </c>
      <c r="BA413" s="3">
        <f t="shared" si="254"/>
        <v>0</v>
      </c>
      <c r="BC413" s="3">
        <f t="shared" si="254"/>
        <v>0</v>
      </c>
      <c r="BE413" s="3">
        <f t="shared" si="254"/>
        <v>0</v>
      </c>
    </row>
    <row r="414" spans="1:1015 1029:2039 2053:3063 3077:4087 4101:5111 5125:6135 6149:7159 7173:8183 8197:9207 9221:10231 10245:11255 11269:12279 12293:13303 13317:14327 14341:15351 15365:16373" hidden="1" outlineLevel="1" x14ac:dyDescent="0.25">
      <c r="A414" s="3" t="s">
        <v>339</v>
      </c>
      <c r="B414" s="3">
        <v>24750</v>
      </c>
      <c r="D414" s="3">
        <v>4601</v>
      </c>
      <c r="E414" s="3">
        <f t="shared" si="233"/>
        <v>19149</v>
      </c>
      <c r="F414" s="3">
        <v>23750</v>
      </c>
      <c r="H414" s="3">
        <f t="shared" si="234"/>
        <v>-1000</v>
      </c>
      <c r="J414" s="3">
        <v>7714</v>
      </c>
      <c r="K414" s="4">
        <f t="shared" si="235"/>
        <v>15786</v>
      </c>
      <c r="L414" s="4">
        <v>23500</v>
      </c>
      <c r="N414" s="4">
        <f t="shared" si="236"/>
        <v>-250</v>
      </c>
      <c r="P414" s="3">
        <f>23500*1.0281+40</f>
        <v>24200.35</v>
      </c>
      <c r="R414" s="3">
        <v>4230</v>
      </c>
      <c r="S414" s="3">
        <f t="shared" si="225"/>
        <v>19970</v>
      </c>
      <c r="T414" s="3">
        <v>24200</v>
      </c>
      <c r="U414" s="3">
        <f t="shared" si="226"/>
        <v>-0.34999999999854481</v>
      </c>
      <c r="V414" s="3">
        <v>8226</v>
      </c>
      <c r="W414" s="3">
        <f t="shared" si="227"/>
        <v>14974</v>
      </c>
      <c r="Y414" s="3">
        <v>23200</v>
      </c>
      <c r="Z414" s="3">
        <f t="shared" si="228"/>
        <v>-1000</v>
      </c>
      <c r="AC414" s="3">
        <v>11892</v>
      </c>
      <c r="AD414" s="3">
        <f t="shared" si="231"/>
        <v>11308</v>
      </c>
      <c r="AE414" s="3">
        <v>23200</v>
      </c>
      <c r="AF414" s="3">
        <f t="shared" si="229"/>
        <v>0</v>
      </c>
      <c r="AI414" s="3">
        <f>AE414*1.03+4-200</f>
        <v>23700</v>
      </c>
      <c r="AK414" s="3">
        <f t="shared" si="246"/>
        <v>24411</v>
      </c>
      <c r="AM414" s="3">
        <f t="shared" si="247"/>
        <v>25143.33</v>
      </c>
      <c r="AO414" s="3">
        <f t="shared" si="248"/>
        <v>25897.629900000004</v>
      </c>
      <c r="AQ414" s="3">
        <f t="shared" si="249"/>
        <v>26674.558797000005</v>
      </c>
      <c r="AR414" s="3"/>
      <c r="AS414" s="3">
        <f t="shared" si="250"/>
        <v>27474.795560910006</v>
      </c>
      <c r="AT414" s="3"/>
      <c r="AU414" s="3">
        <f t="shared" si="251"/>
        <v>28299.039427737309</v>
      </c>
      <c r="AV414" s="3"/>
      <c r="AW414" s="3">
        <f t="shared" si="252"/>
        <v>29148.010610569429</v>
      </c>
      <c r="AX414" s="3"/>
      <c r="AY414" s="3">
        <f t="shared" si="253"/>
        <v>30022.450928886512</v>
      </c>
      <c r="BA414" s="3">
        <f t="shared" si="254"/>
        <v>30923.124456753107</v>
      </c>
      <c r="BC414" s="3">
        <f t="shared" si="254"/>
        <v>31850.818190455702</v>
      </c>
      <c r="BE414" s="3">
        <f t="shared" si="254"/>
        <v>32806.342736169376</v>
      </c>
    </row>
    <row r="415" spans="1:1015 1029:2039 2053:3063 3077:4087 4101:5111 5125:6135 6149:7159 7173:8183 8197:9207 9221:10231 10245:11255 11269:12279 12293:13303 13317:14327 14341:15351 15365:16373" hidden="1" outlineLevel="1" x14ac:dyDescent="0.25">
      <c r="A415" s="3" t="s">
        <v>340</v>
      </c>
      <c r="B415" s="3">
        <v>16300</v>
      </c>
      <c r="D415" s="3">
        <v>15274</v>
      </c>
      <c r="E415" s="3">
        <f t="shared" si="233"/>
        <v>1</v>
      </c>
      <c r="F415" s="3">
        <v>15275</v>
      </c>
      <c r="H415" s="3">
        <f t="shared" si="234"/>
        <v>-1025</v>
      </c>
      <c r="J415" s="3">
        <v>15274</v>
      </c>
      <c r="K415" s="4">
        <f t="shared" si="235"/>
        <v>1</v>
      </c>
      <c r="L415" s="4">
        <v>15275</v>
      </c>
      <c r="N415" s="4">
        <f t="shared" si="236"/>
        <v>0</v>
      </c>
      <c r="P415" s="3">
        <f>L415*1.0281-4</f>
        <v>15700.227500000001</v>
      </c>
      <c r="R415" s="3">
        <v>20467</v>
      </c>
      <c r="S415" s="3">
        <f t="shared" si="225"/>
        <v>3</v>
      </c>
      <c r="T415" s="3">
        <v>20470</v>
      </c>
      <c r="U415" s="3">
        <f t="shared" si="226"/>
        <v>4769.7724999999991</v>
      </c>
      <c r="V415" s="3">
        <v>20467</v>
      </c>
      <c r="W415" s="3">
        <f t="shared" si="227"/>
        <v>3</v>
      </c>
      <c r="Y415" s="3">
        <v>20470</v>
      </c>
      <c r="Z415" s="3">
        <f t="shared" si="228"/>
        <v>0</v>
      </c>
      <c r="AC415" s="3">
        <v>20467</v>
      </c>
      <c r="AD415" s="3">
        <f t="shared" si="231"/>
        <v>3</v>
      </c>
      <c r="AE415" s="3">
        <v>20470</v>
      </c>
      <c r="AF415" s="3">
        <f t="shared" si="229"/>
        <v>0</v>
      </c>
      <c r="AI415" s="3">
        <f>AE415*1.03+16</f>
        <v>21100.100000000002</v>
      </c>
      <c r="AK415" s="3">
        <f t="shared" si="246"/>
        <v>21733.103000000003</v>
      </c>
      <c r="AM415" s="3">
        <f t="shared" si="247"/>
        <v>22385.096090000003</v>
      </c>
      <c r="AO415" s="3">
        <f t="shared" si="248"/>
        <v>23056.648972700004</v>
      </c>
      <c r="AQ415" s="3">
        <f t="shared" si="249"/>
        <v>23748.348441881004</v>
      </c>
      <c r="AR415" s="3"/>
      <c r="AS415" s="3">
        <f t="shared" si="250"/>
        <v>24460.798895137435</v>
      </c>
      <c r="AT415" s="3"/>
      <c r="AU415" s="3">
        <f t="shared" si="251"/>
        <v>25194.62286199156</v>
      </c>
      <c r="AV415" s="3"/>
      <c r="AW415" s="3">
        <f t="shared" si="252"/>
        <v>25950.461547851308</v>
      </c>
      <c r="AX415" s="3"/>
      <c r="AY415" s="3">
        <f t="shared" si="253"/>
        <v>26728.975394286848</v>
      </c>
      <c r="BA415" s="3">
        <f t="shared" si="254"/>
        <v>27530.844656115456</v>
      </c>
      <c r="BC415" s="3">
        <f t="shared" si="254"/>
        <v>28356.769995798921</v>
      </c>
      <c r="BE415" s="3">
        <f t="shared" si="254"/>
        <v>29207.473095672889</v>
      </c>
    </row>
    <row r="416" spans="1:1015 1029:2039 2053:3063 3077:4087 4101:5111 5125:6135 6149:7159 7173:8183 8197:9207 9221:10231 10245:11255 11269:12279 12293:13303 13317:14327 14341:15351 15365:16373" hidden="1" outlineLevel="1" x14ac:dyDescent="0.25">
      <c r="A416" s="3" t="s">
        <v>341</v>
      </c>
      <c r="B416" s="3">
        <v>5300</v>
      </c>
      <c r="D416" s="3">
        <v>950</v>
      </c>
      <c r="E416" s="3">
        <f t="shared" si="233"/>
        <v>4350</v>
      </c>
      <c r="F416" s="3">
        <v>5300</v>
      </c>
      <c r="H416" s="3">
        <f t="shared" si="234"/>
        <v>0</v>
      </c>
      <c r="J416" s="3">
        <v>950</v>
      </c>
      <c r="K416" s="4">
        <f t="shared" si="235"/>
        <v>4050</v>
      </c>
      <c r="L416" s="4">
        <v>5000</v>
      </c>
      <c r="N416" s="4">
        <f t="shared" si="236"/>
        <v>-300</v>
      </c>
      <c r="P416" s="3">
        <f>L416*1.0281+459</f>
        <v>5599.5</v>
      </c>
      <c r="R416" s="3">
        <v>995</v>
      </c>
      <c r="S416" s="3">
        <f t="shared" si="225"/>
        <v>4605</v>
      </c>
      <c r="T416" s="3">
        <v>5600</v>
      </c>
      <c r="U416" s="3">
        <f t="shared" si="226"/>
        <v>0.5</v>
      </c>
      <c r="V416" s="3">
        <v>996</v>
      </c>
      <c r="W416" s="3">
        <f t="shared" si="227"/>
        <v>4604</v>
      </c>
      <c r="Y416" s="3">
        <v>5600</v>
      </c>
      <c r="Z416" s="3">
        <f t="shared" si="228"/>
        <v>0</v>
      </c>
      <c r="AC416" s="3">
        <v>3103</v>
      </c>
      <c r="AD416" s="3">
        <f t="shared" si="231"/>
        <v>2497</v>
      </c>
      <c r="AE416" s="3">
        <v>5600</v>
      </c>
      <c r="AF416" s="3">
        <f t="shared" si="229"/>
        <v>0</v>
      </c>
      <c r="AI416" s="3">
        <f>AE416*1.03+32</f>
        <v>5800</v>
      </c>
      <c r="AK416" s="3">
        <f t="shared" si="246"/>
        <v>5974</v>
      </c>
      <c r="AM416" s="3">
        <f t="shared" si="247"/>
        <v>6153.22</v>
      </c>
      <c r="AO416" s="3">
        <f t="shared" si="248"/>
        <v>6337.8166000000001</v>
      </c>
      <c r="AQ416" s="3">
        <f t="shared" si="249"/>
        <v>6527.9510980000005</v>
      </c>
      <c r="AR416" s="3"/>
      <c r="AS416" s="3">
        <f t="shared" si="250"/>
        <v>6723.7896309400003</v>
      </c>
      <c r="AT416" s="3"/>
      <c r="AU416" s="3">
        <f t="shared" si="251"/>
        <v>6925.5033198682004</v>
      </c>
      <c r="AV416" s="3"/>
      <c r="AW416" s="3">
        <f t="shared" si="252"/>
        <v>7133.268419464247</v>
      </c>
      <c r="AX416" s="3"/>
      <c r="AY416" s="3">
        <f t="shared" si="253"/>
        <v>7347.2664720481744</v>
      </c>
      <c r="BA416" s="3">
        <f t="shared" si="254"/>
        <v>7567.68446620962</v>
      </c>
      <c r="BC416" s="3">
        <f t="shared" si="254"/>
        <v>7794.7150001959089</v>
      </c>
      <c r="BE416" s="3">
        <f t="shared" si="254"/>
        <v>8028.556450201786</v>
      </c>
    </row>
    <row r="417" spans="1:57" hidden="1" outlineLevel="1" x14ac:dyDescent="0.25">
      <c r="A417" s="3" t="s">
        <v>342</v>
      </c>
      <c r="B417" s="3">
        <v>0</v>
      </c>
      <c r="E417" s="3">
        <f t="shared" si="233"/>
        <v>0</v>
      </c>
      <c r="H417" s="3">
        <f t="shared" si="234"/>
        <v>0</v>
      </c>
      <c r="K417" s="4">
        <f t="shared" si="235"/>
        <v>0</v>
      </c>
      <c r="L417" s="4">
        <v>0</v>
      </c>
      <c r="N417" s="4">
        <f t="shared" si="236"/>
        <v>0</v>
      </c>
      <c r="P417" s="3">
        <v>0</v>
      </c>
      <c r="S417" s="3">
        <f t="shared" si="225"/>
        <v>0</v>
      </c>
      <c r="U417" s="3">
        <f t="shared" si="226"/>
        <v>0</v>
      </c>
      <c r="W417" s="3">
        <f t="shared" si="227"/>
        <v>0</v>
      </c>
      <c r="Z417" s="3">
        <f t="shared" si="228"/>
        <v>0</v>
      </c>
      <c r="AD417" s="3">
        <f t="shared" si="231"/>
        <v>0</v>
      </c>
      <c r="AF417" s="3">
        <f t="shared" si="229"/>
        <v>0</v>
      </c>
      <c r="AI417" s="3">
        <f>AE417*1.03</f>
        <v>0</v>
      </c>
      <c r="AK417" s="3">
        <f t="shared" si="246"/>
        <v>0</v>
      </c>
      <c r="AM417" s="3">
        <f t="shared" si="247"/>
        <v>0</v>
      </c>
      <c r="AO417" s="3">
        <f t="shared" si="248"/>
        <v>0</v>
      </c>
      <c r="AQ417" s="3">
        <f t="shared" si="249"/>
        <v>0</v>
      </c>
      <c r="AR417" s="3"/>
      <c r="AS417" s="3">
        <f t="shared" si="250"/>
        <v>0</v>
      </c>
      <c r="AT417" s="3"/>
      <c r="AU417" s="3">
        <f t="shared" si="251"/>
        <v>0</v>
      </c>
      <c r="AV417" s="3"/>
      <c r="AW417" s="3">
        <f t="shared" si="252"/>
        <v>0</v>
      </c>
      <c r="AX417" s="3"/>
      <c r="AY417" s="3">
        <f t="shared" si="253"/>
        <v>0</v>
      </c>
      <c r="BA417" s="3">
        <f t="shared" si="254"/>
        <v>0</v>
      </c>
      <c r="BC417" s="3">
        <f t="shared" si="254"/>
        <v>0</v>
      </c>
      <c r="BE417" s="3">
        <f t="shared" si="254"/>
        <v>0</v>
      </c>
    </row>
    <row r="418" spans="1:57" hidden="1" outlineLevel="1" x14ac:dyDescent="0.25">
      <c r="A418" s="3" t="s">
        <v>343</v>
      </c>
      <c r="B418" s="3">
        <v>5000</v>
      </c>
      <c r="D418" s="3">
        <f>3919+2543</f>
        <v>6462</v>
      </c>
      <c r="E418" s="3">
        <f t="shared" si="233"/>
        <v>1038</v>
      </c>
      <c r="F418" s="3">
        <v>7500</v>
      </c>
      <c r="H418" s="3">
        <f t="shared" si="234"/>
        <v>2500</v>
      </c>
      <c r="J418" s="3">
        <v>7340</v>
      </c>
      <c r="K418" s="4">
        <f t="shared" si="235"/>
        <v>3160</v>
      </c>
      <c r="L418" s="4">
        <v>10500</v>
      </c>
      <c r="N418" s="4">
        <f t="shared" si="236"/>
        <v>3000</v>
      </c>
      <c r="P418" s="3">
        <v>11750</v>
      </c>
      <c r="R418" s="3">
        <v>1186</v>
      </c>
      <c r="S418" s="3">
        <f t="shared" si="225"/>
        <v>10564</v>
      </c>
      <c r="T418" s="3">
        <v>11750</v>
      </c>
      <c r="U418" s="3">
        <f t="shared" si="226"/>
        <v>0</v>
      </c>
      <c r="V418" s="3">
        <v>7421</v>
      </c>
      <c r="W418" s="3">
        <f t="shared" si="227"/>
        <v>4329</v>
      </c>
      <c r="Y418" s="3">
        <v>11750</v>
      </c>
      <c r="Z418" s="3">
        <f t="shared" si="228"/>
        <v>0</v>
      </c>
      <c r="AC418" s="3">
        <v>9794</v>
      </c>
      <c r="AD418" s="3">
        <f t="shared" si="231"/>
        <v>1956</v>
      </c>
      <c r="AE418" s="3">
        <v>11750</v>
      </c>
      <c r="AF418" s="3">
        <f t="shared" si="229"/>
        <v>0</v>
      </c>
      <c r="AI418" s="3">
        <f>AE418*1.03+97</f>
        <v>12199.5</v>
      </c>
      <c r="AK418" s="3">
        <f t="shared" si="246"/>
        <v>12565.485000000001</v>
      </c>
      <c r="AM418" s="3">
        <f t="shared" si="247"/>
        <v>12942.449550000001</v>
      </c>
      <c r="AO418" s="3">
        <f t="shared" si="248"/>
        <v>13330.723036500001</v>
      </c>
      <c r="AQ418" s="3">
        <f t="shared" si="249"/>
        <v>13730.644727595001</v>
      </c>
      <c r="AR418" s="3"/>
      <c r="AS418" s="3">
        <f t="shared" si="250"/>
        <v>14142.564069422851</v>
      </c>
      <c r="AT418" s="3"/>
      <c r="AU418" s="3">
        <f t="shared" si="251"/>
        <v>14566.840991505538</v>
      </c>
      <c r="AV418" s="3"/>
      <c r="AW418" s="3">
        <f t="shared" si="252"/>
        <v>15003.846221250704</v>
      </c>
      <c r="AX418" s="3"/>
      <c r="AY418" s="3">
        <f t="shared" si="253"/>
        <v>15453.961607888225</v>
      </c>
      <c r="BA418" s="3">
        <f t="shared" si="254"/>
        <v>15917.580456124871</v>
      </c>
      <c r="BC418" s="3">
        <f t="shared" si="254"/>
        <v>16395.107869808617</v>
      </c>
      <c r="BE418" s="3">
        <f t="shared" si="254"/>
        <v>16886.961105902876</v>
      </c>
    </row>
    <row r="419" spans="1:57" hidden="1" outlineLevel="1" x14ac:dyDescent="0.25">
      <c r="A419" s="3" t="s">
        <v>90</v>
      </c>
      <c r="B419" s="3">
        <v>12500</v>
      </c>
      <c r="E419" s="3">
        <f t="shared" si="233"/>
        <v>12500</v>
      </c>
      <c r="F419" s="3">
        <v>12500</v>
      </c>
      <c r="H419" s="3">
        <f t="shared" si="234"/>
        <v>0</v>
      </c>
      <c r="J419" s="3">
        <v>6563</v>
      </c>
      <c r="K419" s="4">
        <f t="shared" si="235"/>
        <v>5937</v>
      </c>
      <c r="L419" s="4">
        <v>12500</v>
      </c>
      <c r="N419" s="4">
        <f t="shared" si="236"/>
        <v>0</v>
      </c>
      <c r="P419" s="3">
        <f>L419*1.0281-1</f>
        <v>12850.25</v>
      </c>
      <c r="R419" s="3">
        <v>2614</v>
      </c>
      <c r="S419" s="3">
        <f t="shared" si="225"/>
        <v>9386</v>
      </c>
      <c r="T419" s="3">
        <v>12000</v>
      </c>
      <c r="U419" s="3">
        <f t="shared" si="226"/>
        <v>-850.25</v>
      </c>
      <c r="V419" s="3">
        <v>8791</v>
      </c>
      <c r="W419" s="3">
        <f t="shared" si="227"/>
        <v>3209</v>
      </c>
      <c r="Y419" s="3">
        <v>12000</v>
      </c>
      <c r="Z419" s="3">
        <f t="shared" si="228"/>
        <v>0</v>
      </c>
      <c r="AC419" s="3">
        <v>16140</v>
      </c>
      <c r="AD419" s="3">
        <f t="shared" si="231"/>
        <v>2860</v>
      </c>
      <c r="AE419" s="3">
        <v>19000</v>
      </c>
      <c r="AF419" s="3">
        <f t="shared" si="229"/>
        <v>7000</v>
      </c>
      <c r="AI419" s="3">
        <f>AE419*1.03+30-600</f>
        <v>19000</v>
      </c>
      <c r="AK419" s="3">
        <f t="shared" si="246"/>
        <v>19570</v>
      </c>
      <c r="AM419" s="3">
        <f t="shared" si="247"/>
        <v>20157.100000000002</v>
      </c>
      <c r="AO419" s="3">
        <f t="shared" si="248"/>
        <v>20761.813000000002</v>
      </c>
      <c r="AQ419" s="3">
        <f t="shared" si="249"/>
        <v>21384.667390000002</v>
      </c>
      <c r="AR419" s="3"/>
      <c r="AS419" s="3">
        <f t="shared" si="250"/>
        <v>22026.207411700005</v>
      </c>
      <c r="AT419" s="3"/>
      <c r="AU419" s="3">
        <f t="shared" si="251"/>
        <v>22686.993634051007</v>
      </c>
      <c r="AV419" s="3"/>
      <c r="AW419" s="3">
        <f t="shared" si="252"/>
        <v>23367.603443072538</v>
      </c>
      <c r="AX419" s="3"/>
      <c r="AY419" s="3">
        <f t="shared" si="253"/>
        <v>24068.631546364715</v>
      </c>
      <c r="BA419" s="3">
        <f t="shared" si="254"/>
        <v>24790.690492755657</v>
      </c>
      <c r="BC419" s="3">
        <f t="shared" si="254"/>
        <v>25534.411207538327</v>
      </c>
      <c r="BE419" s="3">
        <f t="shared" si="254"/>
        <v>26300.443543764479</v>
      </c>
    </row>
    <row r="420" spans="1:57" hidden="1" outlineLevel="1" x14ac:dyDescent="0.25">
      <c r="A420" s="3" t="s">
        <v>344</v>
      </c>
      <c r="E420" s="3">
        <f t="shared" si="233"/>
        <v>0</v>
      </c>
      <c r="H420" s="3">
        <f t="shared" si="234"/>
        <v>0</v>
      </c>
      <c r="K420" s="4">
        <f t="shared" si="235"/>
        <v>0</v>
      </c>
      <c r="L420" s="4"/>
      <c r="N420" s="4">
        <f t="shared" si="236"/>
        <v>0</v>
      </c>
      <c r="P420" s="3">
        <v>0</v>
      </c>
      <c r="S420" s="3">
        <f t="shared" si="225"/>
        <v>0</v>
      </c>
      <c r="U420" s="3">
        <f t="shared" si="226"/>
        <v>0</v>
      </c>
      <c r="W420" s="3">
        <f t="shared" si="227"/>
        <v>0</v>
      </c>
      <c r="Z420" s="3">
        <f t="shared" si="228"/>
        <v>0</v>
      </c>
      <c r="AD420" s="3">
        <f t="shared" si="231"/>
        <v>0</v>
      </c>
      <c r="AF420" s="3">
        <f t="shared" si="229"/>
        <v>0</v>
      </c>
      <c r="AR420" s="3"/>
      <c r="AT420" s="3"/>
      <c r="AV420" s="3"/>
      <c r="AX420" s="3"/>
      <c r="BC420" s="3"/>
      <c r="BE420" s="3"/>
    </row>
    <row r="421" spans="1:57" hidden="1" outlineLevel="1" x14ac:dyDescent="0.25">
      <c r="A421" s="3" t="s">
        <v>345</v>
      </c>
      <c r="B421" s="3">
        <v>-234150</v>
      </c>
      <c r="D421" s="3">
        <v>0</v>
      </c>
      <c r="E421" s="3">
        <f t="shared" si="233"/>
        <v>-234150</v>
      </c>
      <c r="F421" s="3">
        <v>-234150</v>
      </c>
      <c r="H421" s="3">
        <f t="shared" si="234"/>
        <v>0</v>
      </c>
      <c r="J421" s="3">
        <v>0</v>
      </c>
      <c r="K421" s="4">
        <f t="shared" si="235"/>
        <v>-234150</v>
      </c>
      <c r="L421" s="4">
        <v>-234150</v>
      </c>
      <c r="N421" s="4">
        <f t="shared" si="236"/>
        <v>0</v>
      </c>
      <c r="P421" s="3">
        <v>-241190</v>
      </c>
      <c r="R421" s="3">
        <v>0</v>
      </c>
      <c r="S421" s="3">
        <f t="shared" si="225"/>
        <v>-241190</v>
      </c>
      <c r="T421" s="3">
        <v>-241190</v>
      </c>
      <c r="U421" s="3">
        <f t="shared" si="226"/>
        <v>0</v>
      </c>
      <c r="V421" s="3">
        <v>0</v>
      </c>
      <c r="W421" s="3">
        <f t="shared" si="227"/>
        <v>-241190</v>
      </c>
      <c r="Y421" s="3">
        <v>-241190</v>
      </c>
      <c r="Z421" s="3">
        <f t="shared" si="228"/>
        <v>0</v>
      </c>
      <c r="AC421" s="3">
        <v>-184390</v>
      </c>
      <c r="AD421" s="3">
        <f t="shared" si="231"/>
        <v>-56800</v>
      </c>
      <c r="AE421" s="3">
        <v>-241190</v>
      </c>
      <c r="AF421" s="3">
        <f t="shared" si="229"/>
        <v>0</v>
      </c>
      <c r="AI421" s="3">
        <v>-253400</v>
      </c>
      <c r="AK421" s="3">
        <f>AI421*1.03</f>
        <v>-261002</v>
      </c>
      <c r="AM421" s="3">
        <f>AK421*1.03</f>
        <v>-268832.06</v>
      </c>
      <c r="AO421" s="3">
        <f>AM421*1.03</f>
        <v>-276897.02179999999</v>
      </c>
      <c r="AQ421" s="3">
        <f>AO421*1.03</f>
        <v>-285203.93245399999</v>
      </c>
      <c r="AR421" s="3"/>
      <c r="AS421" s="3">
        <f>AQ421*1.03</f>
        <v>-293760.05042762001</v>
      </c>
      <c r="AT421" s="3"/>
      <c r="AU421" s="3">
        <f>AS421*1.03</f>
        <v>-302572.85194044863</v>
      </c>
      <c r="AV421" s="3"/>
      <c r="AW421" s="3">
        <f>AU421*1.03</f>
        <v>-311650.03749866207</v>
      </c>
      <c r="AX421" s="3"/>
      <c r="AY421" s="3">
        <f>AW421*1.03</f>
        <v>-320999.53862362192</v>
      </c>
      <c r="BA421" s="3">
        <f>AY421*1.03</f>
        <v>-330629.52478233061</v>
      </c>
      <c r="BC421" s="3">
        <f>BA421*1.03</f>
        <v>-340548.41052580054</v>
      </c>
      <c r="BE421" s="3">
        <f>BC421*1.03</f>
        <v>-350764.86284157459</v>
      </c>
    </row>
    <row r="422" spans="1:57" hidden="1" outlineLevel="1" x14ac:dyDescent="0.25">
      <c r="A422" s="3"/>
      <c r="B422" s="62">
        <f>SUM(B376:B421)</f>
        <v>1088245</v>
      </c>
      <c r="C422" s="32"/>
      <c r="D422" s="62">
        <f>SUM(D376:D421)+1</f>
        <v>394634</v>
      </c>
      <c r="E422" s="62">
        <f>SUM(E376:E421)+1</f>
        <v>694958</v>
      </c>
      <c r="F422" s="62">
        <f>SUM(F376:F421)+1</f>
        <v>1089591</v>
      </c>
      <c r="G422" s="32"/>
      <c r="H422" s="62">
        <f>SUM(H376:H421)+1</f>
        <v>1346</v>
      </c>
      <c r="I422" s="32"/>
      <c r="J422" s="62">
        <f>SUM(J376:J421)+1</f>
        <v>675002</v>
      </c>
      <c r="K422" s="62">
        <f>SUM(K376:K421)+1</f>
        <v>444465</v>
      </c>
      <c r="L422" s="62">
        <f>SUM(L376:L421)+1</f>
        <v>1119466</v>
      </c>
      <c r="M422" s="32"/>
      <c r="N422" s="62">
        <f>SUM(N376:N421)+1</f>
        <v>29876</v>
      </c>
      <c r="P422" s="62">
        <f>SUM(P376:P421)+1</f>
        <v>1101409.763</v>
      </c>
      <c r="R422" s="62">
        <f t="shared" ref="R422:W422" si="255">SUM(R376:R421)</f>
        <v>383316</v>
      </c>
      <c r="S422" s="62">
        <f t="shared" si="255"/>
        <v>724799</v>
      </c>
      <c r="T422" s="62">
        <f t="shared" si="255"/>
        <v>1108115</v>
      </c>
      <c r="U422" s="62">
        <f t="shared" si="255"/>
        <v>6706.2370000000064</v>
      </c>
      <c r="V422" s="62">
        <f t="shared" si="255"/>
        <v>602946</v>
      </c>
      <c r="W422" s="62">
        <f t="shared" si="255"/>
        <v>507069</v>
      </c>
      <c r="X422" s="62"/>
      <c r="Y422" s="62">
        <f>SUM(Y376:Y421)</f>
        <v>1110015</v>
      </c>
      <c r="Z422" s="62">
        <f>SUM(Z376:Z421)</f>
        <v>1900</v>
      </c>
      <c r="AC422" s="62">
        <f>SUM(AC376:AC421)</f>
        <v>642486</v>
      </c>
      <c r="AD422" s="62">
        <f>SUM(AD376:AD421)</f>
        <v>458729</v>
      </c>
      <c r="AE422" s="62">
        <f>SUM(AE376:AE421)</f>
        <v>1101215</v>
      </c>
      <c r="AF422" s="62">
        <f>SUM(AF376:AF421)</f>
        <v>-8800</v>
      </c>
      <c r="AG422" s="32"/>
      <c r="AI422" s="62">
        <f>SUM(AI376:AI421)</f>
        <v>1159542.1500000001</v>
      </c>
      <c r="AK422" s="62">
        <f>SUM(AK376:AK421)</f>
        <v>1174333.8004500002</v>
      </c>
      <c r="AM422" s="62">
        <f>SUM(AM376:AM421)</f>
        <v>1209705.696888695</v>
      </c>
      <c r="AO422" s="62">
        <f>SUM(AO376:AO421)</f>
        <v>1204097.1136234584</v>
      </c>
      <c r="AP422" s="32"/>
      <c r="AQ422" s="62">
        <f>SUM(AQ376:AQ421)</f>
        <v>1231959.4423691875</v>
      </c>
      <c r="AS422" s="62">
        <f>SUM(AS376:AS421)</f>
        <v>1268955.4162569358</v>
      </c>
      <c r="AU422" s="62">
        <f>SUM(AU376:AU421)</f>
        <v>1314495.5502293729</v>
      </c>
      <c r="AW422" s="62">
        <f>SUM(AW376:AW421)</f>
        <v>1344169.8892920432</v>
      </c>
      <c r="AY422" s="62">
        <f>SUM(AY376:AY421)</f>
        <v>1383513.2530441389</v>
      </c>
      <c r="BA422" s="62">
        <f>SUM(BA376:BA421)</f>
        <v>1424061.5330341235</v>
      </c>
      <c r="BC422" s="62">
        <f>SUM(BC376:BC421)</f>
        <v>1465851.7258614921</v>
      </c>
      <c r="BE422" s="62">
        <f>SUM(BE376:BE421)</f>
        <v>1508921.9673040989</v>
      </c>
    </row>
    <row r="423" spans="1:57" hidden="1" outlineLevel="1" x14ac:dyDescent="0.25">
      <c r="A423" s="7" t="s">
        <v>67</v>
      </c>
      <c r="BC423" s="3"/>
      <c r="BE423" s="3"/>
    </row>
    <row r="424" spans="1:57" hidden="1" outlineLevel="1" x14ac:dyDescent="0.25">
      <c r="A424" s="320" t="s">
        <v>346</v>
      </c>
      <c r="B424" s="3">
        <v>282500</v>
      </c>
      <c r="D424" s="3">
        <f>81656</f>
        <v>81656</v>
      </c>
      <c r="E424" s="3">
        <f t="shared" ref="E424:E442" si="256">F424-D424</f>
        <v>204344</v>
      </c>
      <c r="F424" s="3">
        <v>286000</v>
      </c>
      <c r="H424" s="3">
        <f t="shared" ref="H424:H442" si="257">F424-B424</f>
        <v>3500</v>
      </c>
      <c r="J424" s="3">
        <v>159795</v>
      </c>
      <c r="K424" s="4">
        <f t="shared" ref="K424:K453" si="258">L424-J424</f>
        <v>128205</v>
      </c>
      <c r="L424" s="4">
        <v>288000</v>
      </c>
      <c r="N424" s="4">
        <f t="shared" ref="N424:N453" si="259">L424-F424</f>
        <v>2000</v>
      </c>
      <c r="P424" s="3">
        <f>L424*1.0275-20+2100</f>
        <v>298000</v>
      </c>
      <c r="R424" s="3">
        <v>70874</v>
      </c>
      <c r="S424" s="3">
        <f t="shared" ref="S424:S453" si="260">T424-R424</f>
        <v>227126</v>
      </c>
      <c r="T424" s="3">
        <v>298000</v>
      </c>
      <c r="U424" s="3">
        <f t="shared" ref="U424:U453" si="261">T424-P424</f>
        <v>0</v>
      </c>
      <c r="V424" s="3">
        <v>146107</v>
      </c>
      <c r="W424" s="3">
        <f t="shared" ref="W424:W453" si="262">Y424-V424</f>
        <v>153893</v>
      </c>
      <c r="Y424" s="3">
        <v>300000</v>
      </c>
      <c r="Z424" s="3">
        <f t="shared" ref="Z424:Z453" si="263">Y424-T424</f>
        <v>2000</v>
      </c>
      <c r="AC424" s="3">
        <v>252539</v>
      </c>
      <c r="AD424" s="3">
        <f t="shared" si="231"/>
        <v>72461</v>
      </c>
      <c r="AE424" s="3">
        <v>325000</v>
      </c>
      <c r="AF424" s="3">
        <f t="shared" ref="AF424:AF452" si="264">AE424-Y424</f>
        <v>25000</v>
      </c>
      <c r="AI424" s="3">
        <v>329100</v>
      </c>
      <c r="AK424" s="3">
        <f t="shared" ref="AK424:AK441" si="265">AI424*1.03</f>
        <v>338973</v>
      </c>
      <c r="AM424" s="3">
        <f t="shared" ref="AM424:AM441" si="266">AK424*1.03</f>
        <v>349142.19</v>
      </c>
      <c r="AO424" s="3">
        <f t="shared" ref="AO424:AO441" si="267">AM424*1.03</f>
        <v>359616.45569999999</v>
      </c>
      <c r="AQ424" s="3">
        <f t="shared" ref="AQ424:AQ441" si="268">AO424*1.03</f>
        <v>370404.949371</v>
      </c>
      <c r="AR424" s="3"/>
      <c r="AS424" s="3">
        <f t="shared" ref="AS424:AS441" si="269">AQ424*1.03</f>
        <v>381517.09785213001</v>
      </c>
      <c r="AT424" s="3"/>
      <c r="AU424" s="3">
        <f t="shared" ref="AU424:AU441" si="270">AS424*1.03</f>
        <v>392962.61078769393</v>
      </c>
      <c r="AV424" s="3"/>
      <c r="AW424" s="3">
        <f t="shared" ref="AW424:AW441" si="271">AU424*1.03</f>
        <v>404751.48911132477</v>
      </c>
      <c r="AX424" s="3"/>
      <c r="AY424" s="3">
        <f t="shared" ref="AY424:AY441" si="272">AW424*1.03</f>
        <v>416894.03378466453</v>
      </c>
      <c r="BA424" s="3">
        <f t="shared" ref="BA424:BE441" si="273">AY424*1.03</f>
        <v>429400.8547982045</v>
      </c>
      <c r="BC424" s="3">
        <f t="shared" si="273"/>
        <v>442282.88044215064</v>
      </c>
      <c r="BE424" s="3">
        <f t="shared" si="273"/>
        <v>455551.36685541517</v>
      </c>
    </row>
    <row r="425" spans="1:57" hidden="1" outlineLevel="1" x14ac:dyDescent="0.25">
      <c r="A425" s="3" t="s">
        <v>347</v>
      </c>
      <c r="B425" s="3">
        <v>109000</v>
      </c>
      <c r="D425" s="3">
        <v>17288</v>
      </c>
      <c r="E425" s="3">
        <f t="shared" si="256"/>
        <v>91712</v>
      </c>
      <c r="F425" s="3">
        <v>109000</v>
      </c>
      <c r="H425" s="3">
        <f t="shared" si="257"/>
        <v>0</v>
      </c>
      <c r="J425" s="3">
        <v>30074</v>
      </c>
      <c r="K425" s="4">
        <f t="shared" si="258"/>
        <v>78926</v>
      </c>
      <c r="L425" s="4">
        <v>109000</v>
      </c>
      <c r="N425" s="4">
        <f t="shared" si="259"/>
        <v>0</v>
      </c>
      <c r="P425" s="3">
        <v>114000</v>
      </c>
      <c r="R425" s="3">
        <v>31270</v>
      </c>
      <c r="S425" s="3">
        <f t="shared" si="260"/>
        <v>82730</v>
      </c>
      <c r="T425" s="3">
        <v>114000</v>
      </c>
      <c r="U425" s="3">
        <f t="shared" si="261"/>
        <v>0</v>
      </c>
      <c r="V425" s="3">
        <v>40410</v>
      </c>
      <c r="W425" s="3">
        <f t="shared" si="262"/>
        <v>73590</v>
      </c>
      <c r="Y425" s="3">
        <v>114000</v>
      </c>
      <c r="Z425" s="3">
        <f t="shared" si="263"/>
        <v>0</v>
      </c>
      <c r="AC425" s="3">
        <v>69260</v>
      </c>
      <c r="AD425" s="3">
        <f t="shared" si="231"/>
        <v>44740</v>
      </c>
      <c r="AE425" s="3">
        <v>114000</v>
      </c>
      <c r="AF425" s="3">
        <f t="shared" si="264"/>
        <v>0</v>
      </c>
      <c r="AI425" s="329">
        <v>117700</v>
      </c>
      <c r="AK425" s="3">
        <f t="shared" si="265"/>
        <v>121231</v>
      </c>
      <c r="AM425" s="3">
        <f t="shared" si="266"/>
        <v>124867.93000000001</v>
      </c>
      <c r="AO425" s="3">
        <f t="shared" si="267"/>
        <v>128613.96790000002</v>
      </c>
      <c r="AQ425" s="3">
        <f t="shared" si="268"/>
        <v>132472.38693700003</v>
      </c>
      <c r="AR425" s="3"/>
      <c r="AS425" s="3">
        <f t="shared" si="269"/>
        <v>136446.55854511005</v>
      </c>
      <c r="AT425" s="3"/>
      <c r="AU425" s="3">
        <f t="shared" si="270"/>
        <v>140539.95530146334</v>
      </c>
      <c r="AV425" s="3"/>
      <c r="AW425" s="3">
        <f t="shared" si="271"/>
        <v>144756.15396050725</v>
      </c>
      <c r="AX425" s="3"/>
      <c r="AY425" s="3">
        <f t="shared" si="272"/>
        <v>149098.83857932247</v>
      </c>
      <c r="BA425" s="3">
        <f t="shared" si="273"/>
        <v>153571.80373670216</v>
      </c>
      <c r="BC425" s="3">
        <f t="shared" si="273"/>
        <v>158178.95784880323</v>
      </c>
      <c r="BE425" s="3">
        <f t="shared" si="273"/>
        <v>162924.32658426734</v>
      </c>
    </row>
    <row r="426" spans="1:57" hidden="1" outlineLevel="1" x14ac:dyDescent="0.25">
      <c r="A426" s="3" t="s">
        <v>348</v>
      </c>
      <c r="B426" s="3">
        <v>42500</v>
      </c>
      <c r="D426" s="3">
        <v>14920</v>
      </c>
      <c r="E426" s="3">
        <f t="shared" si="256"/>
        <v>27580</v>
      </c>
      <c r="F426" s="3">
        <v>42500</v>
      </c>
      <c r="H426" s="3">
        <f t="shared" si="257"/>
        <v>0</v>
      </c>
      <c r="J426" s="3">
        <v>19137</v>
      </c>
      <c r="K426" s="4">
        <f t="shared" si="258"/>
        <v>23363</v>
      </c>
      <c r="L426" s="4">
        <v>42500</v>
      </c>
      <c r="N426" s="4">
        <f t="shared" si="259"/>
        <v>0</v>
      </c>
      <c r="P426" s="3">
        <v>45000</v>
      </c>
      <c r="R426" s="3">
        <v>21738</v>
      </c>
      <c r="S426" s="3">
        <f t="shared" si="260"/>
        <v>23262</v>
      </c>
      <c r="T426" s="3">
        <v>45000</v>
      </c>
      <c r="U426" s="3">
        <f t="shared" si="261"/>
        <v>0</v>
      </c>
      <c r="V426" s="3">
        <v>27340</v>
      </c>
      <c r="W426" s="3">
        <f t="shared" si="262"/>
        <v>17660</v>
      </c>
      <c r="Y426" s="3">
        <v>45000</v>
      </c>
      <c r="Z426" s="3">
        <f t="shared" si="263"/>
        <v>0</v>
      </c>
      <c r="AC426" s="3">
        <v>36232</v>
      </c>
      <c r="AD426" s="3">
        <f t="shared" si="231"/>
        <v>8768</v>
      </c>
      <c r="AE426" s="3">
        <v>45000</v>
      </c>
      <c r="AF426" s="3">
        <f t="shared" si="264"/>
        <v>0</v>
      </c>
      <c r="AI426" s="329">
        <v>46500</v>
      </c>
      <c r="AK426" s="3">
        <f t="shared" si="265"/>
        <v>47895</v>
      </c>
      <c r="AM426" s="3">
        <f t="shared" si="266"/>
        <v>49331.85</v>
      </c>
      <c r="AO426" s="3">
        <f t="shared" si="267"/>
        <v>50811.805500000002</v>
      </c>
      <c r="AQ426" s="3">
        <f t="shared" si="268"/>
        <v>52336.159665000006</v>
      </c>
      <c r="AR426" s="3"/>
      <c r="AS426" s="3">
        <f t="shared" si="269"/>
        <v>53906.244454950007</v>
      </c>
      <c r="AT426" s="3"/>
      <c r="AU426" s="3">
        <f t="shared" si="270"/>
        <v>55523.431788598507</v>
      </c>
      <c r="AV426" s="3"/>
      <c r="AW426" s="3">
        <f t="shared" si="271"/>
        <v>57189.134742256465</v>
      </c>
      <c r="AX426" s="3"/>
      <c r="AY426" s="3">
        <f t="shared" si="272"/>
        <v>58904.808784524161</v>
      </c>
      <c r="BA426" s="3">
        <f t="shared" si="273"/>
        <v>60671.953048059884</v>
      </c>
      <c r="BC426" s="3">
        <f t="shared" si="273"/>
        <v>62492.11163950168</v>
      </c>
      <c r="BE426" s="3">
        <f t="shared" si="273"/>
        <v>64366.87498868673</v>
      </c>
    </row>
    <row r="427" spans="1:57" hidden="1" outlineLevel="1" x14ac:dyDescent="0.25">
      <c r="A427" s="3" t="s">
        <v>349</v>
      </c>
      <c r="B427" s="3">
        <v>40000</v>
      </c>
      <c r="D427" s="3">
        <v>31559</v>
      </c>
      <c r="E427" s="3">
        <f t="shared" si="256"/>
        <v>17441</v>
      </c>
      <c r="F427" s="3">
        <v>49000</v>
      </c>
      <c r="H427" s="3">
        <f t="shared" si="257"/>
        <v>9000</v>
      </c>
      <c r="J427" s="3">
        <v>42490</v>
      </c>
      <c r="K427" s="4">
        <f t="shared" si="258"/>
        <v>12510</v>
      </c>
      <c r="L427" s="4">
        <v>55000</v>
      </c>
      <c r="N427" s="4">
        <f t="shared" si="259"/>
        <v>6000</v>
      </c>
      <c r="P427" s="3">
        <f>L427*1.0275-13</f>
        <v>56499.500000000007</v>
      </c>
      <c r="R427" s="3">
        <v>41801</v>
      </c>
      <c r="S427" s="3">
        <f t="shared" si="260"/>
        <v>53199</v>
      </c>
      <c r="T427" s="3">
        <v>95000</v>
      </c>
      <c r="U427" s="3">
        <f t="shared" si="261"/>
        <v>38500.499999999993</v>
      </c>
      <c r="V427" s="3">
        <v>42528</v>
      </c>
      <c r="W427" s="3">
        <f t="shared" si="262"/>
        <v>52472</v>
      </c>
      <c r="Y427" s="3">
        <v>95000</v>
      </c>
      <c r="Z427" s="3">
        <f t="shared" si="263"/>
        <v>0</v>
      </c>
      <c r="AC427" s="3">
        <v>43387</v>
      </c>
      <c r="AD427" s="3">
        <f t="shared" si="231"/>
        <v>51613</v>
      </c>
      <c r="AE427" s="3">
        <v>95000</v>
      </c>
      <c r="AF427" s="3">
        <f t="shared" si="264"/>
        <v>0</v>
      </c>
      <c r="AI427" s="329">
        <v>68000</v>
      </c>
      <c r="AK427" s="3">
        <f t="shared" si="265"/>
        <v>70040</v>
      </c>
      <c r="AM427" s="3">
        <f t="shared" si="266"/>
        <v>72141.2</v>
      </c>
      <c r="AO427" s="3">
        <f t="shared" si="267"/>
        <v>74305.436000000002</v>
      </c>
      <c r="AQ427" s="3">
        <f t="shared" si="268"/>
        <v>76534.59908</v>
      </c>
      <c r="AR427" s="3"/>
      <c r="AS427" s="3">
        <f t="shared" si="269"/>
        <v>78830.637052400009</v>
      </c>
      <c r="AT427" s="3"/>
      <c r="AU427" s="3">
        <f t="shared" si="270"/>
        <v>81195.556163972011</v>
      </c>
      <c r="AV427" s="3"/>
      <c r="AW427" s="3">
        <f t="shared" si="271"/>
        <v>83631.422848891176</v>
      </c>
      <c r="AX427" s="3"/>
      <c r="AY427" s="3">
        <f t="shared" si="272"/>
        <v>86140.365534357916</v>
      </c>
      <c r="BA427" s="3">
        <f t="shared" si="273"/>
        <v>88724.576500388663</v>
      </c>
      <c r="BC427" s="3">
        <f t="shared" si="273"/>
        <v>91386.313795400318</v>
      </c>
      <c r="BE427" s="3">
        <f t="shared" si="273"/>
        <v>94127.903209262324</v>
      </c>
    </row>
    <row r="428" spans="1:57" hidden="1" outlineLevel="1" x14ac:dyDescent="0.25">
      <c r="A428" s="3" t="s">
        <v>350</v>
      </c>
      <c r="B428" s="3">
        <v>39800</v>
      </c>
      <c r="D428" s="3">
        <v>0</v>
      </c>
      <c r="E428" s="3">
        <f t="shared" si="256"/>
        <v>41000</v>
      </c>
      <c r="F428" s="3">
        <v>41000</v>
      </c>
      <c r="H428" s="3">
        <f t="shared" si="257"/>
        <v>1200</v>
      </c>
      <c r="J428" s="3">
        <v>6504</v>
      </c>
      <c r="K428" s="4">
        <f t="shared" si="258"/>
        <v>36496</v>
      </c>
      <c r="L428" s="4">
        <v>43000</v>
      </c>
      <c r="N428" s="4">
        <f t="shared" si="259"/>
        <v>2000</v>
      </c>
      <c r="P428" s="3">
        <f>L428*1.0275+17</f>
        <v>44199.5</v>
      </c>
      <c r="R428" s="3">
        <v>2435</v>
      </c>
      <c r="S428" s="3">
        <f t="shared" si="260"/>
        <v>41765</v>
      </c>
      <c r="T428" s="3">
        <v>44200</v>
      </c>
      <c r="U428" s="3">
        <f t="shared" si="261"/>
        <v>0.5</v>
      </c>
      <c r="V428" s="3">
        <v>6379</v>
      </c>
      <c r="W428" s="3">
        <f t="shared" si="262"/>
        <v>37821</v>
      </c>
      <c r="Y428" s="3">
        <v>44200</v>
      </c>
      <c r="Z428" s="3">
        <f t="shared" si="263"/>
        <v>0</v>
      </c>
      <c r="AC428" s="3">
        <v>24624</v>
      </c>
      <c r="AD428" s="3">
        <f t="shared" si="231"/>
        <v>19576</v>
      </c>
      <c r="AE428" s="3">
        <v>44200</v>
      </c>
      <c r="AF428" s="3">
        <f t="shared" si="264"/>
        <v>0</v>
      </c>
      <c r="AI428" s="329">
        <v>45700</v>
      </c>
      <c r="AK428" s="3">
        <f t="shared" si="265"/>
        <v>47071</v>
      </c>
      <c r="AM428" s="3">
        <f t="shared" si="266"/>
        <v>48483.130000000005</v>
      </c>
      <c r="AO428" s="3">
        <f t="shared" si="267"/>
        <v>49937.623900000006</v>
      </c>
      <c r="AQ428" s="3">
        <f t="shared" si="268"/>
        <v>51435.752617000006</v>
      </c>
      <c r="AR428" s="3"/>
      <c r="AS428" s="3">
        <f t="shared" si="269"/>
        <v>52978.825195510006</v>
      </c>
      <c r="AT428" s="3"/>
      <c r="AU428" s="3">
        <f t="shared" si="270"/>
        <v>54568.189951375309</v>
      </c>
      <c r="AV428" s="3"/>
      <c r="AW428" s="3">
        <f t="shared" si="271"/>
        <v>56205.235649916569</v>
      </c>
      <c r="AX428" s="3"/>
      <c r="AY428" s="3">
        <f t="shared" si="272"/>
        <v>57891.392719414071</v>
      </c>
      <c r="BA428" s="3">
        <f t="shared" si="273"/>
        <v>59628.134500996493</v>
      </c>
      <c r="BC428" s="3">
        <f t="shared" si="273"/>
        <v>61416.978536026392</v>
      </c>
      <c r="BE428" s="3">
        <f t="shared" si="273"/>
        <v>63259.487892107187</v>
      </c>
    </row>
    <row r="429" spans="1:57" hidden="1" outlineLevel="1" x14ac:dyDescent="0.25">
      <c r="A429" s="3" t="s">
        <v>351</v>
      </c>
      <c r="B429" s="3">
        <v>5000</v>
      </c>
      <c r="D429" s="3">
        <v>-2292</v>
      </c>
      <c r="E429" s="3">
        <f t="shared" si="256"/>
        <v>6292</v>
      </c>
      <c r="F429" s="3">
        <v>4000</v>
      </c>
      <c r="H429" s="3">
        <f t="shared" si="257"/>
        <v>-1000</v>
      </c>
      <c r="J429" s="3">
        <v>-1270</v>
      </c>
      <c r="K429" s="4">
        <f t="shared" si="258"/>
        <v>4270</v>
      </c>
      <c r="L429" s="4">
        <v>3000</v>
      </c>
      <c r="N429" s="4">
        <f t="shared" si="259"/>
        <v>-1000</v>
      </c>
      <c r="P429" s="3">
        <f>L429*1.0275+17</f>
        <v>3099.5000000000005</v>
      </c>
      <c r="R429" s="3">
        <v>276</v>
      </c>
      <c r="S429" s="3">
        <f t="shared" si="260"/>
        <v>2724</v>
      </c>
      <c r="T429" s="3">
        <v>3000</v>
      </c>
      <c r="U429" s="3">
        <f t="shared" si="261"/>
        <v>-99.500000000000455</v>
      </c>
      <c r="V429" s="3">
        <v>3762</v>
      </c>
      <c r="W429" s="3">
        <f t="shared" si="262"/>
        <v>-762</v>
      </c>
      <c r="Y429" s="3">
        <v>3000</v>
      </c>
      <c r="Z429" s="3">
        <f t="shared" si="263"/>
        <v>0</v>
      </c>
      <c r="AC429" s="3">
        <v>7402</v>
      </c>
      <c r="AD429" s="3">
        <f t="shared" si="231"/>
        <v>-4402</v>
      </c>
      <c r="AE429" s="3">
        <v>3000</v>
      </c>
      <c r="AF429" s="3">
        <f t="shared" si="264"/>
        <v>0</v>
      </c>
      <c r="AI429" s="3">
        <v>3000</v>
      </c>
      <c r="AK429" s="3">
        <f>AI429*1.03</f>
        <v>3090</v>
      </c>
      <c r="AM429" s="3">
        <f>AK429*1.03</f>
        <v>3182.7000000000003</v>
      </c>
      <c r="AO429" s="3">
        <f>AM429*1.03</f>
        <v>3278.1810000000005</v>
      </c>
      <c r="AQ429" s="3">
        <f>AO429*1.03</f>
        <v>3376.5264300000008</v>
      </c>
      <c r="AR429" s="3"/>
      <c r="AS429" s="3">
        <f>AQ429*1.03</f>
        <v>3477.8222229000007</v>
      </c>
      <c r="AT429" s="3"/>
      <c r="AU429" s="3">
        <f>AS429*1.03</f>
        <v>3582.1568895870009</v>
      </c>
      <c r="AV429" s="3"/>
      <c r="AW429" s="3">
        <f>AU429*1.03</f>
        <v>3689.621596274611</v>
      </c>
      <c r="AX429" s="3"/>
      <c r="AY429" s="3">
        <f>AW429*1.03</f>
        <v>3800.3102441628494</v>
      </c>
      <c r="BA429" s="3">
        <f>AY429*1.03</f>
        <v>3914.3195514877348</v>
      </c>
      <c r="BC429" s="3">
        <f>BA429*1.03</f>
        <v>4031.7491380323668</v>
      </c>
      <c r="BE429" s="3">
        <f>BC429*1.03</f>
        <v>4152.7016121733377</v>
      </c>
    </row>
    <row r="430" spans="1:57" hidden="1" outlineLevel="1" x14ac:dyDescent="0.25">
      <c r="A430" s="3" t="s">
        <v>321</v>
      </c>
      <c r="B430" s="3">
        <v>40545</v>
      </c>
      <c r="D430" s="3">
        <v>40565</v>
      </c>
      <c r="E430" s="3">
        <f t="shared" si="256"/>
        <v>0</v>
      </c>
      <c r="F430" s="3">
        <v>40565</v>
      </c>
      <c r="H430" s="3">
        <f t="shared" si="257"/>
        <v>20</v>
      </c>
      <c r="J430" s="3">
        <v>40565</v>
      </c>
      <c r="K430" s="4">
        <f t="shared" si="258"/>
        <v>0</v>
      </c>
      <c r="L430" s="4">
        <v>40565</v>
      </c>
      <c r="N430" s="4">
        <f t="shared" si="259"/>
        <v>0</v>
      </c>
      <c r="P430" s="3">
        <f>L430*1.035+15</f>
        <v>41999.774999999994</v>
      </c>
      <c r="R430" s="3">
        <v>41985</v>
      </c>
      <c r="S430" s="3">
        <f t="shared" si="260"/>
        <v>0</v>
      </c>
      <c r="T430" s="3">
        <v>41985</v>
      </c>
      <c r="U430" s="3">
        <f t="shared" si="261"/>
        <v>-14.774999999994179</v>
      </c>
      <c r="V430" s="3">
        <v>41985</v>
      </c>
      <c r="W430" s="3">
        <f>Y430-V430</f>
        <v>0</v>
      </c>
      <c r="Y430" s="3">
        <v>41985</v>
      </c>
      <c r="Z430" s="3">
        <f t="shared" si="263"/>
        <v>0</v>
      </c>
      <c r="AC430" s="3">
        <v>41985</v>
      </c>
      <c r="AD430" s="3">
        <f t="shared" si="231"/>
        <v>0</v>
      </c>
      <c r="AE430" s="3">
        <v>41985</v>
      </c>
      <c r="AF430" s="3">
        <f t="shared" si="264"/>
        <v>0</v>
      </c>
      <c r="AI430" s="3">
        <f>AE430*1.0325</f>
        <v>43349.512499999997</v>
      </c>
      <c r="AK430" s="3">
        <f t="shared" si="265"/>
        <v>44649.997875000001</v>
      </c>
      <c r="AM430" s="3">
        <f t="shared" si="266"/>
        <v>45989.497811250003</v>
      </c>
      <c r="AO430" s="3">
        <f t="shared" si="267"/>
        <v>47369.182745587503</v>
      </c>
      <c r="AQ430" s="3">
        <f t="shared" si="268"/>
        <v>48790.258227955128</v>
      </c>
      <c r="AR430" s="3"/>
      <c r="AS430" s="3">
        <f t="shared" si="269"/>
        <v>50253.965974793784</v>
      </c>
      <c r="AT430" s="3"/>
      <c r="AU430" s="3">
        <f t="shared" si="270"/>
        <v>51761.5849540376</v>
      </c>
      <c r="AV430" s="3"/>
      <c r="AW430" s="3">
        <f t="shared" si="271"/>
        <v>53314.432502658732</v>
      </c>
      <c r="AX430" s="3"/>
      <c r="AY430" s="3">
        <f t="shared" si="272"/>
        <v>54913.865477738495</v>
      </c>
      <c r="BA430" s="3">
        <f t="shared" si="273"/>
        <v>56561.281442070649</v>
      </c>
      <c r="BC430" s="3">
        <f t="shared" si="273"/>
        <v>58258.119885332773</v>
      </c>
      <c r="BE430" s="3">
        <f t="shared" si="273"/>
        <v>60005.86348189276</v>
      </c>
    </row>
    <row r="431" spans="1:57" hidden="1" outlineLevel="1" x14ac:dyDescent="0.25">
      <c r="A431" s="3" t="s">
        <v>352</v>
      </c>
      <c r="B431" s="3">
        <v>2000</v>
      </c>
      <c r="D431" s="3">
        <v>0</v>
      </c>
      <c r="E431" s="3">
        <f t="shared" si="256"/>
        <v>2000</v>
      </c>
      <c r="F431" s="3">
        <v>2000</v>
      </c>
      <c r="H431" s="3">
        <f t="shared" si="257"/>
        <v>0</v>
      </c>
      <c r="J431" s="3">
        <v>0</v>
      </c>
      <c r="K431" s="4">
        <f t="shared" si="258"/>
        <v>2000</v>
      </c>
      <c r="L431" s="4">
        <v>2000</v>
      </c>
      <c r="N431" s="4">
        <f t="shared" si="259"/>
        <v>0</v>
      </c>
      <c r="P431" s="3">
        <f>L431*1.0281+44</f>
        <v>2100.1999999999998</v>
      </c>
      <c r="R431" s="3">
        <v>0</v>
      </c>
      <c r="S431" s="3">
        <f t="shared" si="260"/>
        <v>2100</v>
      </c>
      <c r="T431" s="3">
        <v>2100</v>
      </c>
      <c r="U431" s="3">
        <f t="shared" si="261"/>
        <v>-0.1999999999998181</v>
      </c>
      <c r="V431" s="3">
        <v>39</v>
      </c>
      <c r="W431" s="3">
        <f t="shared" si="262"/>
        <v>3961</v>
      </c>
      <c r="Y431" s="3">
        <v>4000</v>
      </c>
      <c r="Z431" s="3">
        <f t="shared" si="263"/>
        <v>1900</v>
      </c>
      <c r="AC431" s="3">
        <v>4045</v>
      </c>
      <c r="AD431" s="3">
        <f t="shared" si="231"/>
        <v>5</v>
      </c>
      <c r="AE431" s="3">
        <v>4050</v>
      </c>
      <c r="AF431" s="3">
        <f t="shared" si="264"/>
        <v>50</v>
      </c>
      <c r="AI431" s="3">
        <f>AE431*1.03-72-100</f>
        <v>3999.5</v>
      </c>
      <c r="AK431" s="3">
        <f t="shared" si="265"/>
        <v>4119.4849999999997</v>
      </c>
      <c r="AM431" s="3">
        <f t="shared" si="266"/>
        <v>4243.0695500000002</v>
      </c>
      <c r="AO431" s="3">
        <f t="shared" si="267"/>
        <v>4370.3616365000007</v>
      </c>
      <c r="AQ431" s="3">
        <f t="shared" si="268"/>
        <v>4501.4724855950008</v>
      </c>
      <c r="AR431" s="3"/>
      <c r="AS431" s="3">
        <f t="shared" si="269"/>
        <v>4636.5166601628507</v>
      </c>
      <c r="AT431" s="3"/>
      <c r="AU431" s="3">
        <f t="shared" si="270"/>
        <v>4775.6121599677363</v>
      </c>
      <c r="AV431" s="3"/>
      <c r="AW431" s="3">
        <f t="shared" si="271"/>
        <v>4918.8805247667688</v>
      </c>
      <c r="AX431" s="3"/>
      <c r="AY431" s="3">
        <f t="shared" si="272"/>
        <v>5066.4469405097716</v>
      </c>
      <c r="BA431" s="3">
        <f t="shared" si="273"/>
        <v>5218.4403487250647</v>
      </c>
      <c r="BC431" s="3">
        <f t="shared" si="273"/>
        <v>5374.993559186817</v>
      </c>
      <c r="BE431" s="3">
        <f t="shared" si="273"/>
        <v>5536.2433659624221</v>
      </c>
    </row>
    <row r="432" spans="1:57" hidden="1" outlineLevel="1" x14ac:dyDescent="0.25">
      <c r="A432" s="3" t="s">
        <v>299</v>
      </c>
      <c r="B432" s="3">
        <v>21000</v>
      </c>
      <c r="D432" s="3">
        <v>4159</v>
      </c>
      <c r="E432" s="3">
        <f t="shared" si="256"/>
        <v>15841</v>
      </c>
      <c r="F432" s="3">
        <v>20000</v>
      </c>
      <c r="H432" s="3">
        <f t="shared" si="257"/>
        <v>-1000</v>
      </c>
      <c r="J432" s="3">
        <v>8553</v>
      </c>
      <c r="K432" s="4">
        <f t="shared" si="258"/>
        <v>11447</v>
      </c>
      <c r="L432" s="4">
        <v>20000</v>
      </c>
      <c r="N432" s="4">
        <f t="shared" si="259"/>
        <v>0</v>
      </c>
      <c r="P432" s="3">
        <f>L432*1.0281+1438</f>
        <v>22000</v>
      </c>
      <c r="R432" s="3">
        <v>3254</v>
      </c>
      <c r="S432" s="3">
        <f t="shared" si="260"/>
        <v>18746</v>
      </c>
      <c r="T432" s="3">
        <v>22000</v>
      </c>
      <c r="U432" s="3">
        <f t="shared" si="261"/>
        <v>0</v>
      </c>
      <c r="V432" s="3">
        <v>4616</v>
      </c>
      <c r="W432" s="3">
        <f t="shared" si="262"/>
        <v>17384</v>
      </c>
      <c r="Y432" s="3">
        <v>22000</v>
      </c>
      <c r="Z432" s="3">
        <f t="shared" si="263"/>
        <v>0</v>
      </c>
      <c r="AC432" s="3">
        <v>16204</v>
      </c>
      <c r="AD432" s="3">
        <f t="shared" si="231"/>
        <v>5796</v>
      </c>
      <c r="AE432" s="3">
        <v>22000</v>
      </c>
      <c r="AF432" s="3">
        <f t="shared" si="264"/>
        <v>0</v>
      </c>
      <c r="AI432" s="3">
        <f>AE432*1.03+40-200</f>
        <v>22500</v>
      </c>
      <c r="AK432" s="3">
        <f t="shared" si="265"/>
        <v>23175</v>
      </c>
      <c r="AM432" s="3">
        <f t="shared" si="266"/>
        <v>23870.25</v>
      </c>
      <c r="AO432" s="3">
        <f t="shared" si="267"/>
        <v>24586.357500000002</v>
      </c>
      <c r="AQ432" s="3">
        <f t="shared" si="268"/>
        <v>25323.948225000004</v>
      </c>
      <c r="AR432" s="3"/>
      <c r="AS432" s="3">
        <f t="shared" si="269"/>
        <v>26083.666671750005</v>
      </c>
      <c r="AT432" s="3"/>
      <c r="AU432" s="3">
        <f t="shared" si="270"/>
        <v>26866.176671902507</v>
      </c>
      <c r="AV432" s="3"/>
      <c r="AW432" s="3">
        <f t="shared" si="271"/>
        <v>27672.161972059585</v>
      </c>
      <c r="AX432" s="3"/>
      <c r="AY432" s="3">
        <f t="shared" si="272"/>
        <v>28502.326831221373</v>
      </c>
      <c r="BA432" s="3">
        <f t="shared" si="273"/>
        <v>29357.396636158013</v>
      </c>
      <c r="BC432" s="3">
        <f t="shared" si="273"/>
        <v>30238.118535242753</v>
      </c>
      <c r="BE432" s="3">
        <f t="shared" si="273"/>
        <v>31145.262091300036</v>
      </c>
    </row>
    <row r="433" spans="1:1015 1029:2039 2053:3063 3077:4087 4101:5111 5125:6135 6149:7159 7173:8183 8197:9207 9221:10231 10245:11255 11269:12279 12293:13303 13317:14327 14341:15351 15365:16373" hidden="1" outlineLevel="1" x14ac:dyDescent="0.25">
      <c r="A433" s="3" t="s">
        <v>353</v>
      </c>
      <c r="B433" s="3">
        <v>2000</v>
      </c>
      <c r="D433" s="3">
        <v>0</v>
      </c>
      <c r="E433" s="3">
        <f t="shared" si="256"/>
        <v>2000</v>
      </c>
      <c r="F433" s="3">
        <v>2000</v>
      </c>
      <c r="H433" s="3">
        <f t="shared" si="257"/>
        <v>0</v>
      </c>
      <c r="K433" s="4">
        <f t="shared" si="258"/>
        <v>2000</v>
      </c>
      <c r="L433" s="4">
        <v>2000</v>
      </c>
      <c r="N433" s="4">
        <f t="shared" si="259"/>
        <v>0</v>
      </c>
      <c r="P433" s="3">
        <f>L433*1.0281+44</f>
        <v>2100.1999999999998</v>
      </c>
      <c r="R433" s="3">
        <v>0</v>
      </c>
      <c r="S433" s="3">
        <f t="shared" si="260"/>
        <v>2100</v>
      </c>
      <c r="T433" s="3">
        <v>2100</v>
      </c>
      <c r="U433" s="3">
        <f t="shared" si="261"/>
        <v>-0.1999999999998181</v>
      </c>
      <c r="W433" s="3">
        <f t="shared" si="262"/>
        <v>2100</v>
      </c>
      <c r="Y433" s="3">
        <v>2100</v>
      </c>
      <c r="Z433" s="3">
        <f t="shared" si="263"/>
        <v>0</v>
      </c>
      <c r="AC433" s="3">
        <v>0</v>
      </c>
      <c r="AD433" s="3">
        <f t="shared" si="231"/>
        <v>2000</v>
      </c>
      <c r="AE433" s="3">
        <v>2000</v>
      </c>
      <c r="AF433" s="3">
        <f t="shared" si="264"/>
        <v>-100</v>
      </c>
      <c r="AI433" s="3">
        <f>AE433*1.03+40</f>
        <v>2100</v>
      </c>
      <c r="AK433" s="3">
        <v>1000</v>
      </c>
      <c r="AM433" s="3">
        <f t="shared" si="266"/>
        <v>1030</v>
      </c>
      <c r="AO433" s="3">
        <f t="shared" si="267"/>
        <v>1060.9000000000001</v>
      </c>
      <c r="AQ433" s="3">
        <f t="shared" si="268"/>
        <v>1092.7270000000001</v>
      </c>
      <c r="AR433" s="3"/>
      <c r="AS433" s="3">
        <f t="shared" si="269"/>
        <v>1125.50881</v>
      </c>
      <c r="AT433" s="3"/>
      <c r="AU433" s="3">
        <f t="shared" si="270"/>
        <v>1159.2740743000002</v>
      </c>
      <c r="AV433" s="3"/>
      <c r="AW433" s="3">
        <f t="shared" si="271"/>
        <v>1194.0522965290002</v>
      </c>
      <c r="AX433" s="3"/>
      <c r="AY433" s="3">
        <f t="shared" si="272"/>
        <v>1229.8738654248702</v>
      </c>
      <c r="BA433" s="3">
        <f t="shared" si="273"/>
        <v>1266.7700813876163</v>
      </c>
      <c r="BC433" s="3">
        <f t="shared" si="273"/>
        <v>1304.7731838292448</v>
      </c>
      <c r="BE433" s="3">
        <f t="shared" si="273"/>
        <v>1343.9163793441221</v>
      </c>
    </row>
    <row r="434" spans="1:1015 1029:2039 2053:3063 3077:4087 4101:5111 5125:6135 6149:7159 7173:8183 8197:9207 9221:10231 10245:11255 11269:12279 12293:13303 13317:14327 14341:15351 15365:16373" hidden="1" outlineLevel="1" x14ac:dyDescent="0.25">
      <c r="A434" s="3" t="s">
        <v>306</v>
      </c>
      <c r="B434" s="3">
        <v>15000</v>
      </c>
      <c r="D434" s="3">
        <v>6915</v>
      </c>
      <c r="E434" s="3">
        <f t="shared" si="256"/>
        <v>13085</v>
      </c>
      <c r="F434" s="3">
        <v>20000</v>
      </c>
      <c r="H434" s="3">
        <f t="shared" si="257"/>
        <v>5000</v>
      </c>
      <c r="J434" s="3">
        <v>12990</v>
      </c>
      <c r="K434" s="4">
        <f t="shared" si="258"/>
        <v>9010</v>
      </c>
      <c r="L434" s="4">
        <v>22000</v>
      </c>
      <c r="N434" s="4">
        <f t="shared" si="259"/>
        <v>2000</v>
      </c>
      <c r="P434" s="3">
        <f>L434*1.0335+13</f>
        <v>22750.000000000004</v>
      </c>
      <c r="R434" s="3">
        <v>5515</v>
      </c>
      <c r="S434" s="3">
        <f t="shared" si="260"/>
        <v>17235</v>
      </c>
      <c r="T434" s="3">
        <v>22750</v>
      </c>
      <c r="U434" s="3">
        <f t="shared" si="261"/>
        <v>0</v>
      </c>
      <c r="V434" s="3">
        <v>11730</v>
      </c>
      <c r="W434" s="3">
        <f t="shared" si="262"/>
        <v>11270</v>
      </c>
      <c r="Y434" s="3">
        <v>23000</v>
      </c>
      <c r="Z434" s="3">
        <f t="shared" si="263"/>
        <v>250</v>
      </c>
      <c r="AC434" s="3">
        <v>21332</v>
      </c>
      <c r="AD434" s="3">
        <f t="shared" si="231"/>
        <v>6668</v>
      </c>
      <c r="AE434" s="3">
        <v>28000</v>
      </c>
      <c r="AF434" s="3">
        <f t="shared" si="264"/>
        <v>5000</v>
      </c>
      <c r="AI434" s="3">
        <v>27750</v>
      </c>
      <c r="AK434" s="3">
        <f t="shared" si="265"/>
        <v>28582.5</v>
      </c>
      <c r="AM434" s="3">
        <f t="shared" si="266"/>
        <v>29439.975000000002</v>
      </c>
      <c r="AO434" s="3">
        <f t="shared" si="267"/>
        <v>30323.174250000004</v>
      </c>
      <c r="AQ434" s="3">
        <f t="shared" si="268"/>
        <v>31232.869477500004</v>
      </c>
      <c r="AR434" s="3"/>
      <c r="AS434" s="3">
        <f t="shared" si="269"/>
        <v>32169.855561825007</v>
      </c>
      <c r="AT434" s="3"/>
      <c r="AU434" s="3">
        <f t="shared" si="270"/>
        <v>33134.951228679754</v>
      </c>
      <c r="AV434" s="3"/>
      <c r="AW434" s="3">
        <f t="shared" si="271"/>
        <v>34128.999765540146</v>
      </c>
      <c r="AX434" s="3"/>
      <c r="AY434" s="3">
        <f t="shared" si="272"/>
        <v>35152.869758506349</v>
      </c>
      <c r="BA434" s="3">
        <f t="shared" si="273"/>
        <v>36207.45585126154</v>
      </c>
      <c r="BC434" s="3">
        <f t="shared" si="273"/>
        <v>37293.679526799388</v>
      </c>
      <c r="BE434" s="3">
        <f t="shared" si="273"/>
        <v>38412.489912603371</v>
      </c>
    </row>
    <row r="435" spans="1:1015 1029:2039 2053:3063 3077:4087 4101:5111 5125:6135 6149:7159 7173:8183 8197:9207 9221:10231 10245:11255 11269:12279 12293:13303 13317:14327 14341:15351 15365:16373" hidden="1" outlineLevel="1" x14ac:dyDescent="0.25">
      <c r="A435" s="3" t="s">
        <v>317</v>
      </c>
      <c r="B435" s="3">
        <v>1000</v>
      </c>
      <c r="D435" s="3">
        <v>0</v>
      </c>
      <c r="E435" s="3">
        <f t="shared" si="256"/>
        <v>1000</v>
      </c>
      <c r="F435" s="3">
        <v>1000</v>
      </c>
      <c r="H435" s="3">
        <f t="shared" si="257"/>
        <v>0</v>
      </c>
      <c r="K435" s="4">
        <f t="shared" si="258"/>
        <v>0</v>
      </c>
      <c r="L435" s="4">
        <v>0</v>
      </c>
      <c r="N435" s="4">
        <f t="shared" si="259"/>
        <v>-1000</v>
      </c>
      <c r="P435" s="3">
        <v>1000</v>
      </c>
      <c r="S435" s="3">
        <f t="shared" si="260"/>
        <v>1000</v>
      </c>
      <c r="T435" s="3">
        <v>1000</v>
      </c>
      <c r="U435" s="3">
        <f t="shared" si="261"/>
        <v>0</v>
      </c>
      <c r="W435" s="3">
        <f t="shared" si="262"/>
        <v>1000</v>
      </c>
      <c r="Y435" s="3">
        <v>1000</v>
      </c>
      <c r="Z435" s="3">
        <f t="shared" si="263"/>
        <v>0</v>
      </c>
      <c r="AC435" s="3">
        <v>0</v>
      </c>
      <c r="AD435" s="3">
        <f t="shared" si="231"/>
        <v>1000</v>
      </c>
      <c r="AE435" s="3">
        <v>1000</v>
      </c>
      <c r="AF435" s="3">
        <f t="shared" si="264"/>
        <v>0</v>
      </c>
      <c r="AI435" s="3">
        <f>AE435*1.03-30</f>
        <v>1000</v>
      </c>
      <c r="AK435" s="3">
        <f t="shared" si="265"/>
        <v>1030</v>
      </c>
      <c r="AM435" s="3">
        <f t="shared" si="266"/>
        <v>1060.9000000000001</v>
      </c>
      <c r="AO435" s="3">
        <f t="shared" si="267"/>
        <v>1092.7270000000001</v>
      </c>
      <c r="AQ435" s="3">
        <f t="shared" si="268"/>
        <v>1125.50881</v>
      </c>
      <c r="AR435" s="3"/>
      <c r="AS435" s="3">
        <f t="shared" si="269"/>
        <v>1159.2740743000002</v>
      </c>
      <c r="AT435" s="3"/>
      <c r="AU435" s="3">
        <f t="shared" si="270"/>
        <v>1194.0522965290002</v>
      </c>
      <c r="AV435" s="3"/>
      <c r="AW435" s="3">
        <f t="shared" si="271"/>
        <v>1229.8738654248702</v>
      </c>
      <c r="AX435" s="3"/>
      <c r="AY435" s="3">
        <f t="shared" si="272"/>
        <v>1266.7700813876163</v>
      </c>
      <c r="BA435" s="3">
        <f t="shared" si="273"/>
        <v>1304.7731838292448</v>
      </c>
      <c r="BC435" s="3">
        <f t="shared" si="273"/>
        <v>1343.9163793441221</v>
      </c>
      <c r="BE435" s="3">
        <f t="shared" si="273"/>
        <v>1384.2338707244458</v>
      </c>
    </row>
    <row r="436" spans="1:1015 1029:2039 2053:3063 3077:4087 4101:5111 5125:6135 6149:7159 7173:8183 8197:9207 9221:10231 10245:11255 11269:12279 12293:13303 13317:14327 14341:15351 15365:16373" hidden="1" outlineLevel="1" x14ac:dyDescent="0.25">
      <c r="A436" s="3" t="s">
        <v>354</v>
      </c>
      <c r="B436" s="3">
        <v>77500</v>
      </c>
      <c r="D436" s="3">
        <v>7514</v>
      </c>
      <c r="E436" s="3">
        <f t="shared" si="256"/>
        <v>44986</v>
      </c>
      <c r="F436" s="3">
        <v>52500</v>
      </c>
      <c r="H436" s="3">
        <f t="shared" si="257"/>
        <v>-25000</v>
      </c>
      <c r="J436" s="3">
        <v>15451</v>
      </c>
      <c r="K436" s="4">
        <f t="shared" si="258"/>
        <v>37049</v>
      </c>
      <c r="L436" s="4">
        <v>52500</v>
      </c>
      <c r="N436" s="4">
        <f t="shared" si="259"/>
        <v>0</v>
      </c>
      <c r="P436" s="3">
        <v>80000</v>
      </c>
      <c r="R436" s="3">
        <v>13142</v>
      </c>
      <c r="S436" s="3">
        <f t="shared" si="260"/>
        <v>66858</v>
      </c>
      <c r="T436" s="3">
        <v>80000</v>
      </c>
      <c r="U436" s="3">
        <f t="shared" si="261"/>
        <v>0</v>
      </c>
      <c r="V436" s="3">
        <v>25460</v>
      </c>
      <c r="W436" s="3">
        <f t="shared" si="262"/>
        <v>44540</v>
      </c>
      <c r="Y436" s="3">
        <v>70000</v>
      </c>
      <c r="Z436" s="3">
        <f t="shared" si="263"/>
        <v>-10000</v>
      </c>
      <c r="AC436" s="3">
        <f>40105+2200</f>
        <v>42305</v>
      </c>
      <c r="AD436" s="3">
        <f t="shared" si="231"/>
        <v>15695</v>
      </c>
      <c r="AE436" s="3">
        <v>58000</v>
      </c>
      <c r="AF436" s="3">
        <f t="shared" si="264"/>
        <v>-12000</v>
      </c>
      <c r="AI436" s="3">
        <v>54000</v>
      </c>
      <c r="AK436" s="3">
        <f t="shared" si="265"/>
        <v>55620</v>
      </c>
      <c r="AM436" s="3">
        <f t="shared" si="266"/>
        <v>57288.6</v>
      </c>
      <c r="AO436" s="3">
        <f t="shared" si="267"/>
        <v>59007.258000000002</v>
      </c>
      <c r="AQ436" s="3">
        <f t="shared" si="268"/>
        <v>60777.475740000002</v>
      </c>
      <c r="AR436" s="3"/>
      <c r="AS436" s="3">
        <f t="shared" si="269"/>
        <v>62600.800012200001</v>
      </c>
      <c r="AT436" s="3"/>
      <c r="AU436" s="3">
        <f t="shared" si="270"/>
        <v>64478.824012566001</v>
      </c>
      <c r="AV436" s="3"/>
      <c r="AW436" s="3">
        <f t="shared" si="271"/>
        <v>66413.188732942988</v>
      </c>
      <c r="AX436" s="3"/>
      <c r="AY436" s="3">
        <f t="shared" si="272"/>
        <v>68405.584394931284</v>
      </c>
      <c r="BA436" s="3">
        <f t="shared" si="273"/>
        <v>70457.751926779223</v>
      </c>
      <c r="BC436" s="3">
        <f t="shared" si="273"/>
        <v>72571.484484582601</v>
      </c>
      <c r="BE436" s="3">
        <f t="shared" si="273"/>
        <v>74748.629019120082</v>
      </c>
    </row>
    <row r="437" spans="1:1015 1029:2039 2053:3063 3077:4087 4101:5111 5125:6135 6149:7159 7173:8183 8197:9207 9221:10231 10245:11255 11269:12279 12293:13303 13317:14327 14341:15351 15365:16373" hidden="1" outlineLevel="1" x14ac:dyDescent="0.25">
      <c r="A437" s="3" t="s">
        <v>355</v>
      </c>
      <c r="B437" s="3">
        <v>4000</v>
      </c>
      <c r="D437" s="3">
        <v>0</v>
      </c>
      <c r="E437" s="3">
        <f t="shared" si="256"/>
        <v>4000</v>
      </c>
      <c r="F437" s="3">
        <v>4000</v>
      </c>
      <c r="H437" s="3">
        <f t="shared" si="257"/>
        <v>0</v>
      </c>
      <c r="J437" s="3">
        <v>0</v>
      </c>
      <c r="K437" s="4">
        <f t="shared" si="258"/>
        <v>4000</v>
      </c>
      <c r="L437" s="4">
        <v>4000</v>
      </c>
      <c r="N437" s="4">
        <f t="shared" si="259"/>
        <v>0</v>
      </c>
      <c r="P437" s="3">
        <f>L437*1.0281+38</f>
        <v>4150.3999999999996</v>
      </c>
      <c r="R437" s="3">
        <v>0</v>
      </c>
      <c r="S437" s="3">
        <f t="shared" si="260"/>
        <v>4150</v>
      </c>
      <c r="T437" s="3">
        <v>4150</v>
      </c>
      <c r="U437" s="3">
        <f t="shared" si="261"/>
        <v>-0.3999999999996362</v>
      </c>
      <c r="W437" s="3">
        <f t="shared" si="262"/>
        <v>4150</v>
      </c>
      <c r="Y437" s="3">
        <v>4150</v>
      </c>
      <c r="Z437" s="3">
        <f t="shared" si="263"/>
        <v>0</v>
      </c>
      <c r="AC437" s="3">
        <v>0</v>
      </c>
      <c r="AD437" s="3">
        <f t="shared" si="231"/>
        <v>4000</v>
      </c>
      <c r="AE437" s="3">
        <v>4000</v>
      </c>
      <c r="AF437" s="3">
        <f t="shared" si="264"/>
        <v>-150</v>
      </c>
      <c r="AI437" s="3">
        <v>4000</v>
      </c>
      <c r="AK437" s="3">
        <f t="shared" si="265"/>
        <v>4120</v>
      </c>
      <c r="AM437" s="3">
        <f t="shared" si="266"/>
        <v>4243.6000000000004</v>
      </c>
      <c r="AO437" s="3">
        <f t="shared" si="267"/>
        <v>4370.9080000000004</v>
      </c>
      <c r="AQ437" s="3">
        <f t="shared" si="268"/>
        <v>4502.0352400000002</v>
      </c>
      <c r="AR437" s="3"/>
      <c r="AS437" s="3">
        <f t="shared" si="269"/>
        <v>4637.0962972000007</v>
      </c>
      <c r="AT437" s="3"/>
      <c r="AU437" s="3">
        <f t="shared" si="270"/>
        <v>4776.2091861160006</v>
      </c>
      <c r="AV437" s="3"/>
      <c r="AW437" s="3">
        <f t="shared" si="271"/>
        <v>4919.495461699481</v>
      </c>
      <c r="AX437" s="3"/>
      <c r="AY437" s="3">
        <f t="shared" si="272"/>
        <v>5067.0803255504652</v>
      </c>
      <c r="BA437" s="3">
        <f t="shared" si="273"/>
        <v>5219.0927353169791</v>
      </c>
      <c r="BC437" s="3">
        <f t="shared" si="273"/>
        <v>5375.6655173764884</v>
      </c>
      <c r="BE437" s="3">
        <f t="shared" si="273"/>
        <v>5536.935482897783</v>
      </c>
    </row>
    <row r="438" spans="1:1015 1029:2039 2053:3063 3077:4087 4101:5111 5125:6135 6149:7159 7173:8183 8197:9207 9221:10231 10245:11255 11269:12279 12293:13303 13317:14327 14341:15351 15365:16373" hidden="1" outlineLevel="1" x14ac:dyDescent="0.25">
      <c r="A438" s="3" t="s">
        <v>356</v>
      </c>
      <c r="B438" s="3">
        <v>2000</v>
      </c>
      <c r="D438" s="3">
        <v>0</v>
      </c>
      <c r="E438" s="3">
        <f t="shared" si="256"/>
        <v>2000</v>
      </c>
      <c r="F438" s="3">
        <v>2000</v>
      </c>
      <c r="H438" s="3">
        <f t="shared" si="257"/>
        <v>0</v>
      </c>
      <c r="J438" s="3">
        <v>0</v>
      </c>
      <c r="K438" s="4">
        <f t="shared" si="258"/>
        <v>2000</v>
      </c>
      <c r="L438" s="4">
        <v>2000</v>
      </c>
      <c r="N438" s="4">
        <f t="shared" si="259"/>
        <v>0</v>
      </c>
      <c r="P438" s="3">
        <f>L438*1.0281+44</f>
        <v>2100.1999999999998</v>
      </c>
      <c r="R438" s="3">
        <v>0</v>
      </c>
      <c r="S438" s="3">
        <f t="shared" si="260"/>
        <v>2100</v>
      </c>
      <c r="T438" s="3">
        <v>2100</v>
      </c>
      <c r="U438" s="3">
        <f t="shared" si="261"/>
        <v>-0.1999999999998181</v>
      </c>
      <c r="W438" s="3">
        <f t="shared" si="262"/>
        <v>2100</v>
      </c>
      <c r="Y438" s="3">
        <v>2100</v>
      </c>
      <c r="Z438" s="3">
        <f t="shared" si="263"/>
        <v>0</v>
      </c>
      <c r="AC438" s="3">
        <v>0</v>
      </c>
      <c r="AD438" s="3">
        <f t="shared" si="231"/>
        <v>2000</v>
      </c>
      <c r="AE438" s="3">
        <v>2000</v>
      </c>
      <c r="AF438" s="3">
        <f t="shared" si="264"/>
        <v>-100</v>
      </c>
      <c r="AI438" s="3">
        <v>2100</v>
      </c>
      <c r="AK438" s="3">
        <f t="shared" si="265"/>
        <v>2163</v>
      </c>
      <c r="AM438" s="3">
        <f t="shared" si="266"/>
        <v>2227.89</v>
      </c>
      <c r="AO438" s="3">
        <f t="shared" si="267"/>
        <v>2294.7266999999997</v>
      </c>
      <c r="AQ438" s="3">
        <f t="shared" si="268"/>
        <v>2363.5685009999997</v>
      </c>
      <c r="AR438" s="3"/>
      <c r="AS438" s="3">
        <f t="shared" si="269"/>
        <v>2434.47555603</v>
      </c>
      <c r="AT438" s="3"/>
      <c r="AU438" s="3">
        <f t="shared" si="270"/>
        <v>2507.5098227109002</v>
      </c>
      <c r="AV438" s="3"/>
      <c r="AW438" s="3">
        <f t="shared" si="271"/>
        <v>2582.735117392227</v>
      </c>
      <c r="AX438" s="3"/>
      <c r="AY438" s="3">
        <f t="shared" si="272"/>
        <v>2660.2171709139939</v>
      </c>
      <c r="BA438" s="3">
        <f t="shared" si="273"/>
        <v>2740.0236860414138</v>
      </c>
      <c r="BC438" s="3">
        <f t="shared" si="273"/>
        <v>2822.2243966226565</v>
      </c>
      <c r="BE438" s="3">
        <f t="shared" si="273"/>
        <v>2906.8911285213362</v>
      </c>
    </row>
    <row r="439" spans="1:1015 1029:2039 2053:3063 3077:4087 4101:5111 5125:6135 6149:7159 7173:8183 8197:9207 9221:10231 10245:11255 11269:12279 12293:13303 13317:14327 14341:15351 15365:16373" hidden="1" outlineLevel="1" x14ac:dyDescent="0.25">
      <c r="A439" s="3" t="s">
        <v>357</v>
      </c>
      <c r="B439" s="3">
        <v>18500</v>
      </c>
      <c r="D439" s="3">
        <v>0</v>
      </c>
      <c r="E439" s="3">
        <f t="shared" si="256"/>
        <v>18500</v>
      </c>
      <c r="F439" s="3">
        <v>18500</v>
      </c>
      <c r="H439" s="3">
        <f t="shared" si="257"/>
        <v>0</v>
      </c>
      <c r="J439" s="3">
        <v>6255</v>
      </c>
      <c r="K439" s="4">
        <f t="shared" si="258"/>
        <v>12245</v>
      </c>
      <c r="L439" s="4">
        <v>18500</v>
      </c>
      <c r="N439" s="4">
        <f t="shared" si="259"/>
        <v>0</v>
      </c>
      <c r="P439" s="3">
        <f>L439*1.0281+30</f>
        <v>19049.849999999999</v>
      </c>
      <c r="R439" s="3">
        <v>0</v>
      </c>
      <c r="S439" s="3">
        <f t="shared" si="260"/>
        <v>18000</v>
      </c>
      <c r="T439" s="3">
        <v>18000</v>
      </c>
      <c r="U439" s="3">
        <f t="shared" si="261"/>
        <v>-1049.8499999999985</v>
      </c>
      <c r="V439" s="3">
        <v>8623</v>
      </c>
      <c r="W439" s="3">
        <f t="shared" si="262"/>
        <v>9377</v>
      </c>
      <c r="Y439" s="3">
        <v>18000</v>
      </c>
      <c r="Z439" s="3">
        <f t="shared" si="263"/>
        <v>0</v>
      </c>
      <c r="AC439" s="3">
        <v>10488</v>
      </c>
      <c r="AD439" s="3">
        <f t="shared" si="231"/>
        <v>7512</v>
      </c>
      <c r="AE439" s="3">
        <v>18000</v>
      </c>
      <c r="AF439" s="3">
        <f t="shared" si="264"/>
        <v>0</v>
      </c>
      <c r="AI439" s="3">
        <f>AE439*1.03+10</f>
        <v>18550</v>
      </c>
      <c r="AK439" s="3">
        <f t="shared" si="265"/>
        <v>19106.5</v>
      </c>
      <c r="AM439" s="3">
        <f t="shared" si="266"/>
        <v>19679.695</v>
      </c>
      <c r="AO439" s="3">
        <f t="shared" si="267"/>
        <v>20270.085849999999</v>
      </c>
      <c r="AQ439" s="3">
        <f t="shared" si="268"/>
        <v>20878.1884255</v>
      </c>
      <c r="AR439" s="3"/>
      <c r="AS439" s="3">
        <f t="shared" si="269"/>
        <v>21504.534078265002</v>
      </c>
      <c r="AT439" s="3"/>
      <c r="AU439" s="3">
        <f t="shared" si="270"/>
        <v>22149.670100612952</v>
      </c>
      <c r="AV439" s="3"/>
      <c r="AW439" s="3">
        <f t="shared" si="271"/>
        <v>22814.160203631342</v>
      </c>
      <c r="AX439" s="3"/>
      <c r="AY439" s="3">
        <f t="shared" si="272"/>
        <v>23498.585009740284</v>
      </c>
      <c r="BA439" s="3">
        <f t="shared" si="273"/>
        <v>24203.542560032492</v>
      </c>
      <c r="BC439" s="3">
        <f t="shared" si="273"/>
        <v>24929.648836833469</v>
      </c>
      <c r="BE439" s="3">
        <f t="shared" si="273"/>
        <v>25677.538301938472</v>
      </c>
    </row>
    <row r="440" spans="1:1015 1029:2039 2053:3063 3077:4087 4101:5111 5125:6135 6149:7159 7173:8183 8197:9207 9221:10231 10245:11255 11269:12279 12293:13303 13317:14327 14341:15351 15365:16373" hidden="1" outlineLevel="1" x14ac:dyDescent="0.25">
      <c r="A440" s="3" t="s">
        <v>358</v>
      </c>
      <c r="E440" s="3">
        <f t="shared" si="256"/>
        <v>0</v>
      </c>
      <c r="H440" s="3">
        <f t="shared" si="257"/>
        <v>0</v>
      </c>
      <c r="K440" s="4">
        <f t="shared" si="258"/>
        <v>0</v>
      </c>
      <c r="L440" s="4"/>
      <c r="N440" s="4">
        <f t="shared" si="259"/>
        <v>0</v>
      </c>
      <c r="P440" s="3">
        <f>L440*1.0281</f>
        <v>0</v>
      </c>
      <c r="S440" s="3">
        <f t="shared" si="260"/>
        <v>0</v>
      </c>
      <c r="U440" s="3">
        <f t="shared" si="261"/>
        <v>0</v>
      </c>
      <c r="W440" s="3">
        <f t="shared" si="262"/>
        <v>0</v>
      </c>
      <c r="Z440" s="3">
        <f t="shared" si="263"/>
        <v>0</v>
      </c>
      <c r="AD440" s="3">
        <f t="shared" si="231"/>
        <v>0</v>
      </c>
      <c r="AF440" s="3">
        <f t="shared" si="264"/>
        <v>0</v>
      </c>
      <c r="AI440" s="3">
        <f>AE440*1.03</f>
        <v>0</v>
      </c>
      <c r="AK440" s="3">
        <f t="shared" si="265"/>
        <v>0</v>
      </c>
      <c r="AM440" s="3">
        <f t="shared" si="266"/>
        <v>0</v>
      </c>
      <c r="AO440" s="3">
        <f t="shared" si="267"/>
        <v>0</v>
      </c>
      <c r="AQ440" s="3">
        <f t="shared" si="268"/>
        <v>0</v>
      </c>
      <c r="AR440" s="3"/>
      <c r="AS440" s="3">
        <f t="shared" si="269"/>
        <v>0</v>
      </c>
      <c r="AT440" s="3"/>
      <c r="AU440" s="3">
        <f t="shared" si="270"/>
        <v>0</v>
      </c>
      <c r="AV440" s="3"/>
      <c r="AW440" s="3">
        <f t="shared" si="271"/>
        <v>0</v>
      </c>
      <c r="AX440" s="3"/>
      <c r="AY440" s="3">
        <f t="shared" si="272"/>
        <v>0</v>
      </c>
      <c r="BA440" s="3">
        <f t="shared" si="273"/>
        <v>0</v>
      </c>
      <c r="BC440" s="3">
        <f t="shared" si="273"/>
        <v>0</v>
      </c>
      <c r="BE440" s="3">
        <f t="shared" si="273"/>
        <v>0</v>
      </c>
    </row>
    <row r="441" spans="1:1015 1029:2039 2053:3063 3077:4087 4101:5111 5125:6135 6149:7159 7173:8183 8197:9207 9221:10231 10245:11255 11269:12279 12293:13303 13317:14327 14341:15351 15365:16373" hidden="1" outlineLevel="1" x14ac:dyDescent="0.25">
      <c r="A441" s="3" t="s">
        <v>359</v>
      </c>
      <c r="B441" s="3">
        <v>20500</v>
      </c>
      <c r="D441" s="3">
        <v>4691</v>
      </c>
      <c r="E441" s="3">
        <f t="shared" si="256"/>
        <v>15309</v>
      </c>
      <c r="F441" s="3">
        <v>20000</v>
      </c>
      <c r="H441" s="3">
        <f t="shared" si="257"/>
        <v>-500</v>
      </c>
      <c r="J441" s="3">
        <v>10947</v>
      </c>
      <c r="K441" s="4">
        <f t="shared" si="258"/>
        <v>9053</v>
      </c>
      <c r="L441" s="4">
        <v>20000</v>
      </c>
      <c r="N441" s="4">
        <f t="shared" si="259"/>
        <v>0</v>
      </c>
      <c r="P441" s="3">
        <f>L441*1.0281+38</f>
        <v>20600</v>
      </c>
      <c r="R441" s="3">
        <v>2651</v>
      </c>
      <c r="S441" s="3">
        <f t="shared" si="260"/>
        <v>16349</v>
      </c>
      <c r="T441" s="3">
        <v>19000</v>
      </c>
      <c r="U441" s="3">
        <f t="shared" si="261"/>
        <v>-1600</v>
      </c>
      <c r="V441" s="3">
        <v>13286</v>
      </c>
      <c r="W441" s="3">
        <f t="shared" si="262"/>
        <v>5714</v>
      </c>
      <c r="Y441" s="3">
        <v>19000</v>
      </c>
      <c r="Z441" s="3">
        <f t="shared" si="263"/>
        <v>0</v>
      </c>
      <c r="AC441" s="3">
        <v>19387</v>
      </c>
      <c r="AD441" s="3">
        <f t="shared" si="231"/>
        <v>3613</v>
      </c>
      <c r="AE441" s="3">
        <v>23000</v>
      </c>
      <c r="AF441" s="3">
        <f t="shared" si="264"/>
        <v>4000</v>
      </c>
      <c r="AI441" s="3">
        <f>AE441*1.03+10-700</f>
        <v>23000</v>
      </c>
      <c r="AK441" s="3">
        <f t="shared" si="265"/>
        <v>23690</v>
      </c>
      <c r="AM441" s="3">
        <f t="shared" si="266"/>
        <v>24400.7</v>
      </c>
      <c r="AO441" s="3">
        <f t="shared" si="267"/>
        <v>25132.721000000001</v>
      </c>
      <c r="AQ441" s="3">
        <f t="shared" si="268"/>
        <v>25886.702630000003</v>
      </c>
      <c r="AR441" s="3"/>
      <c r="AS441" s="3">
        <f t="shared" si="269"/>
        <v>26663.303708900003</v>
      </c>
      <c r="AT441" s="3"/>
      <c r="AU441" s="3">
        <f t="shared" si="270"/>
        <v>27463.202820167004</v>
      </c>
      <c r="AV441" s="3"/>
      <c r="AW441" s="3">
        <f t="shared" si="271"/>
        <v>28287.098904772014</v>
      </c>
      <c r="AX441" s="3"/>
      <c r="AY441" s="3">
        <f t="shared" si="272"/>
        <v>29135.711871915177</v>
      </c>
      <c r="BA441" s="3">
        <f t="shared" si="273"/>
        <v>30009.783228072632</v>
      </c>
      <c r="BC441" s="3">
        <f t="shared" si="273"/>
        <v>30910.076724914812</v>
      </c>
      <c r="BE441" s="3">
        <f t="shared" si="273"/>
        <v>31837.379026662256</v>
      </c>
    </row>
    <row r="442" spans="1:1015 1029:2039 2053:3063 3077:4087 4101:5111 5125:6135 6149:7159 7173:8183 8197:9207 9221:10231 10245:11255 11269:12279 12293:13303 13317:14327 14341:15351 15365:16373" hidden="1" outlineLevel="1" x14ac:dyDescent="0.25">
      <c r="A442" s="3" t="s">
        <v>360</v>
      </c>
      <c r="B442" s="3">
        <v>0</v>
      </c>
      <c r="E442" s="3">
        <f t="shared" si="256"/>
        <v>0</v>
      </c>
      <c r="H442" s="3">
        <f t="shared" si="257"/>
        <v>0</v>
      </c>
      <c r="K442" s="4">
        <f t="shared" si="258"/>
        <v>0</v>
      </c>
      <c r="L442" s="4"/>
      <c r="N442" s="4">
        <f t="shared" si="259"/>
        <v>0</v>
      </c>
      <c r="S442" s="3">
        <f t="shared" si="260"/>
        <v>2000</v>
      </c>
      <c r="T442" s="3">
        <v>2000</v>
      </c>
      <c r="U442" s="3">
        <f t="shared" si="261"/>
        <v>2000</v>
      </c>
      <c r="V442" s="3">
        <v>286</v>
      </c>
      <c r="W442" s="3">
        <f t="shared" si="262"/>
        <v>1714</v>
      </c>
      <c r="Y442" s="3">
        <v>2000</v>
      </c>
      <c r="Z442" s="3">
        <f t="shared" si="263"/>
        <v>0</v>
      </c>
      <c r="AD442" s="3">
        <f t="shared" si="231"/>
        <v>0</v>
      </c>
      <c r="AE442" s="3">
        <v>0</v>
      </c>
      <c r="AF442" s="3">
        <f t="shared" si="264"/>
        <v>-2000</v>
      </c>
      <c r="BC442" s="3"/>
      <c r="BE442" s="3"/>
    </row>
    <row r="443" spans="1:1015 1029:2039 2053:3063 3077:4087 4101:5111 5125:6135 6149:7159 7173:8183 8197:9207 9221:10231 10245:11255 11269:12279 12293:13303 13317:14327 14341:15351 15365:16373" hidden="1" outlineLevel="1" x14ac:dyDescent="0.25">
      <c r="A443" s="3" t="s">
        <v>361</v>
      </c>
      <c r="K443" s="4"/>
      <c r="L443" s="4"/>
      <c r="N443" s="4"/>
      <c r="S443" s="3">
        <f>T443-R443</f>
        <v>0</v>
      </c>
      <c r="U443" s="3">
        <f>T443-P443</f>
        <v>0</v>
      </c>
      <c r="W443" s="3">
        <f t="shared" si="262"/>
        <v>0</v>
      </c>
      <c r="Z443" s="3">
        <f t="shared" si="263"/>
        <v>0</v>
      </c>
      <c r="AD443" s="3">
        <f t="shared" ref="AD443:AD453" si="274">AE443-AC443</f>
        <v>0</v>
      </c>
      <c r="AF443" s="3">
        <f t="shared" si="264"/>
        <v>0</v>
      </c>
      <c r="BC443" s="3"/>
      <c r="BE443" s="3"/>
    </row>
    <row r="444" spans="1:1015 1029:2039 2053:3063 3077:4087 4101:5111 5125:6135 6149:7159 7173:8183 8197:9207 9221:10231 10245:11255 11269:12279 12293:13303 13317:14327 14341:15351 15365:16373" s="42" customFormat="1" hidden="1" outlineLevel="1" x14ac:dyDescent="0.25">
      <c r="A444" s="3" t="s">
        <v>362</v>
      </c>
      <c r="B444" s="3">
        <v>-240000</v>
      </c>
      <c r="C444" s="3"/>
      <c r="D444" s="3">
        <v>-75950</v>
      </c>
      <c r="E444" s="3">
        <f t="shared" ref="E444:E453" si="275">F444-D444</f>
        <v>-224050</v>
      </c>
      <c r="F444" s="3">
        <v>-300000</v>
      </c>
      <c r="G444" s="3"/>
      <c r="H444" s="3">
        <f t="shared" ref="H444:H453" si="276">F444-B444</f>
        <v>-60000</v>
      </c>
      <c r="I444" s="3"/>
      <c r="J444" s="3">
        <v>-151039</v>
      </c>
      <c r="K444" s="4">
        <f t="shared" si="258"/>
        <v>-148961</v>
      </c>
      <c r="L444" s="4">
        <v>-300000</v>
      </c>
      <c r="M444" s="4"/>
      <c r="N444" s="4">
        <f t="shared" si="259"/>
        <v>0</v>
      </c>
      <c r="O444" s="3"/>
      <c r="P444" s="3">
        <v>-300000</v>
      </c>
      <c r="Q444" s="3"/>
      <c r="R444" s="3">
        <v>-61752</v>
      </c>
      <c r="S444" s="3">
        <f t="shared" si="260"/>
        <v>-238248</v>
      </c>
      <c r="T444" s="3">
        <v>-300000</v>
      </c>
      <c r="U444" s="3">
        <f t="shared" si="261"/>
        <v>0</v>
      </c>
      <c r="V444" s="3">
        <v>-130010</v>
      </c>
      <c r="W444" s="3">
        <f t="shared" si="262"/>
        <v>-159990</v>
      </c>
      <c r="X444" s="3"/>
      <c r="Y444" s="3">
        <v>-290000</v>
      </c>
      <c r="Z444" s="3">
        <f t="shared" si="263"/>
        <v>10000</v>
      </c>
      <c r="AA444" s="3"/>
      <c r="AB444" s="3"/>
      <c r="AC444" s="3">
        <v>-184309</v>
      </c>
      <c r="AD444" s="3">
        <f t="shared" si="274"/>
        <v>-95691</v>
      </c>
      <c r="AE444" s="3">
        <v>-280000</v>
      </c>
      <c r="AF444" s="3">
        <f t="shared" si="264"/>
        <v>10000</v>
      </c>
      <c r="AG444" s="4"/>
      <c r="AH444" s="4"/>
      <c r="AI444" s="329">
        <v>-265000</v>
      </c>
      <c r="AJ444" s="3"/>
      <c r="AK444" s="3">
        <v>-185000</v>
      </c>
      <c r="AL444" s="3"/>
      <c r="AM444" s="3">
        <f>AK444*1.0275</f>
        <v>-190087.50000000003</v>
      </c>
      <c r="AN444" s="3"/>
      <c r="AO444" s="3">
        <f>AM444*1.0275</f>
        <v>-195314.90625000006</v>
      </c>
      <c r="AP444" s="4"/>
      <c r="AQ444" s="3">
        <f>AO444*1.0275</f>
        <v>-200686.06617187508</v>
      </c>
      <c r="AS444" s="3">
        <f>AQ444*1.0275</f>
        <v>-206204.93299160167</v>
      </c>
      <c r="AU444" s="3">
        <f>AS444*1.0275</f>
        <v>-211875.56864887074</v>
      </c>
      <c r="AW444" s="3">
        <f>AU444*1.0275</f>
        <v>-217702.1467867147</v>
      </c>
      <c r="AY444" s="3">
        <f>AW444*1.0275</f>
        <v>-223688.95582334936</v>
      </c>
      <c r="BA444" s="3">
        <f>AY444*1.0275</f>
        <v>-229840.40210849149</v>
      </c>
      <c r="BC444" s="3">
        <f>BA444*1.0275</f>
        <v>-236161.01316647502</v>
      </c>
      <c r="BE444" s="3">
        <f>BC444*1.0275</f>
        <v>-242655.44102855309</v>
      </c>
    </row>
    <row r="445" spans="1:1015 1029:2039 2053:3063 3077:4087 4101:5111 5125:6135 6149:7159 7173:8183 8197:9207 9221:10231 10245:11255 11269:12279 12293:13303 13317:14327 14341:15351 15365:16373" hidden="1" outlineLevel="1" x14ac:dyDescent="0.25">
      <c r="A445" s="3" t="s">
        <v>363</v>
      </c>
      <c r="B445" s="3">
        <v>114000</v>
      </c>
      <c r="D445" s="3">
        <v>33216</v>
      </c>
      <c r="E445" s="3">
        <f t="shared" si="275"/>
        <v>82784</v>
      </c>
      <c r="F445" s="3">
        <v>116000</v>
      </c>
      <c r="H445" s="3">
        <f t="shared" si="276"/>
        <v>2000</v>
      </c>
      <c r="J445" s="3">
        <v>67332</v>
      </c>
      <c r="K445" s="4">
        <f t="shared" si="258"/>
        <v>50668</v>
      </c>
      <c r="L445" s="4">
        <v>118000</v>
      </c>
      <c r="N445" s="4">
        <f t="shared" si="259"/>
        <v>2000</v>
      </c>
      <c r="P445" s="3">
        <f>L445*1.0281+34</f>
        <v>121349.8</v>
      </c>
      <c r="R445" s="3">
        <v>40612</v>
      </c>
      <c r="S445" s="3">
        <f t="shared" si="260"/>
        <v>84388</v>
      </c>
      <c r="T445" s="3">
        <v>125000</v>
      </c>
      <c r="U445" s="3">
        <f t="shared" si="261"/>
        <v>3650.1999999999971</v>
      </c>
      <c r="V445" s="3">
        <v>57071</v>
      </c>
      <c r="W445" s="3">
        <f t="shared" si="262"/>
        <v>67929</v>
      </c>
      <c r="Y445" s="3">
        <v>125000</v>
      </c>
      <c r="Z445" s="3">
        <f t="shared" si="263"/>
        <v>0</v>
      </c>
      <c r="AC445" s="3">
        <v>85501</v>
      </c>
      <c r="AD445" s="3">
        <f t="shared" si="274"/>
        <v>35499</v>
      </c>
      <c r="AE445" s="3">
        <v>121000</v>
      </c>
      <c r="AF445" s="3">
        <f t="shared" si="264"/>
        <v>-4000</v>
      </c>
      <c r="AI445" s="3">
        <f>AE445*1.03+20</f>
        <v>124650</v>
      </c>
      <c r="AK445" s="3">
        <f>AI445*1.03</f>
        <v>128389.5</v>
      </c>
      <c r="AM445" s="3">
        <f t="shared" ref="AM445:BE445" si="277">AK445*1.03</f>
        <v>132241.185</v>
      </c>
      <c r="AN445" s="3">
        <f t="shared" si="277"/>
        <v>0</v>
      </c>
      <c r="AO445" s="3">
        <f t="shared" si="277"/>
        <v>136208.42055000001</v>
      </c>
      <c r="AP445" s="4">
        <f t="shared" si="277"/>
        <v>0</v>
      </c>
      <c r="AQ445" s="3">
        <f t="shared" si="277"/>
        <v>140294.67316650003</v>
      </c>
      <c r="AR445" s="3"/>
      <c r="AS445" s="3">
        <f t="shared" si="277"/>
        <v>144503.51336149502</v>
      </c>
      <c r="AT445" s="3">
        <f t="shared" si="277"/>
        <v>0</v>
      </c>
      <c r="AU445" s="3">
        <f t="shared" si="277"/>
        <v>148838.61876233987</v>
      </c>
      <c r="AV445" s="3">
        <f t="shared" si="277"/>
        <v>0</v>
      </c>
      <c r="AW445" s="3">
        <f t="shared" si="277"/>
        <v>153303.77732521007</v>
      </c>
      <c r="AX445" s="3"/>
      <c r="AY445" s="3">
        <f t="shared" si="277"/>
        <v>157902.89064496639</v>
      </c>
      <c r="AZ445" s="3">
        <f t="shared" si="277"/>
        <v>0</v>
      </c>
      <c r="BA445" s="3">
        <f t="shared" si="277"/>
        <v>162639.97736431539</v>
      </c>
      <c r="BC445" s="3">
        <f t="shared" si="277"/>
        <v>167519.17668524486</v>
      </c>
      <c r="BE445" s="3">
        <f t="shared" si="277"/>
        <v>172544.75198580223</v>
      </c>
    </row>
    <row r="446" spans="1:1015 1029:2039 2053:3063 3077:4087 4101:5111 5125:6135 6149:7159 7173:8183 8197:9207 9221:10231 10245:11255 11269:12279 12293:13303 13317:14327 14341:15351 15365:16373" hidden="1" outlineLevel="1" x14ac:dyDescent="0.25">
      <c r="A446" s="3" t="s">
        <v>364</v>
      </c>
      <c r="B446" s="3">
        <v>33000</v>
      </c>
      <c r="E446" s="3">
        <f t="shared" si="275"/>
        <v>36000</v>
      </c>
      <c r="F446" s="3">
        <v>36000</v>
      </c>
      <c r="H446" s="3">
        <f t="shared" si="276"/>
        <v>3000</v>
      </c>
      <c r="J446" s="3">
        <v>0</v>
      </c>
      <c r="K446" s="4">
        <f t="shared" si="258"/>
        <v>36000</v>
      </c>
      <c r="L446" s="4">
        <v>36000</v>
      </c>
      <c r="N446" s="4">
        <f t="shared" si="259"/>
        <v>0</v>
      </c>
      <c r="P446" s="3">
        <v>32000</v>
      </c>
      <c r="R446" s="3">
        <v>0</v>
      </c>
      <c r="S446" s="3">
        <f t="shared" si="260"/>
        <v>36000</v>
      </c>
      <c r="T446" s="3">
        <v>36000</v>
      </c>
      <c r="U446" s="3">
        <f t="shared" si="261"/>
        <v>4000</v>
      </c>
      <c r="V446" s="3">
        <v>0</v>
      </c>
      <c r="W446" s="3">
        <f t="shared" si="262"/>
        <v>36000</v>
      </c>
      <c r="Y446" s="3">
        <v>36000</v>
      </c>
      <c r="Z446" s="3">
        <f t="shared" si="263"/>
        <v>0</v>
      </c>
      <c r="AC446" s="3">
        <v>38200</v>
      </c>
      <c r="AD446" s="3">
        <f t="shared" si="274"/>
        <v>0</v>
      </c>
      <c r="AE446" s="3">
        <v>38200</v>
      </c>
      <c r="AF446" s="3">
        <f t="shared" si="264"/>
        <v>2200</v>
      </c>
      <c r="AI446" s="3">
        <v>83000</v>
      </c>
      <c r="BC446" s="3"/>
      <c r="BE446" s="3"/>
    </row>
    <row r="447" spans="1:1015 1029:2039 2053:3063 3077:4087 4101:5111 5125:6135 6149:7159 7173:8183 8197:9207 9221:10231 10245:11255 11269:12279 12293:13303 13317:14327 14341:15351 15365:16373" hidden="1" outlineLevel="1" x14ac:dyDescent="0.25">
      <c r="A447" s="267" t="s">
        <v>289</v>
      </c>
      <c r="B447" s="3">
        <v>5000</v>
      </c>
      <c r="D447" s="3">
        <v>0</v>
      </c>
      <c r="E447" s="3">
        <f t="shared" si="275"/>
        <v>5000</v>
      </c>
      <c r="F447" s="3">
        <v>5000</v>
      </c>
      <c r="H447" s="3">
        <f t="shared" si="276"/>
        <v>0</v>
      </c>
      <c r="J447" s="3">
        <v>0</v>
      </c>
      <c r="K447" s="4">
        <f t="shared" si="258"/>
        <v>5000</v>
      </c>
      <c r="L447" s="4">
        <v>5000</v>
      </c>
      <c r="N447" s="4">
        <f t="shared" si="259"/>
        <v>0</v>
      </c>
      <c r="P447" s="3">
        <v>5000</v>
      </c>
      <c r="R447" s="3">
        <v>0</v>
      </c>
      <c r="S447" s="3">
        <f t="shared" si="260"/>
        <v>5000</v>
      </c>
      <c r="T447" s="3">
        <v>5000</v>
      </c>
      <c r="U447" s="3">
        <f t="shared" si="261"/>
        <v>0</v>
      </c>
      <c r="V447" s="3">
        <v>0</v>
      </c>
      <c r="W447" s="3">
        <f t="shared" si="262"/>
        <v>5000</v>
      </c>
      <c r="Y447" s="3">
        <v>5000</v>
      </c>
      <c r="Z447" s="3">
        <f t="shared" si="263"/>
        <v>0</v>
      </c>
      <c r="AC447" s="3">
        <v>0</v>
      </c>
      <c r="AD447" s="3">
        <f t="shared" si="274"/>
        <v>5000</v>
      </c>
      <c r="AE447" s="3">
        <v>5000</v>
      </c>
      <c r="AF447" s="3">
        <f t="shared" si="264"/>
        <v>0</v>
      </c>
      <c r="AI447" s="3">
        <v>5000</v>
      </c>
      <c r="AK447" s="3">
        <v>5000</v>
      </c>
      <c r="AM447" s="3">
        <v>5000</v>
      </c>
      <c r="AO447" s="3">
        <v>5000</v>
      </c>
      <c r="AQ447" s="3">
        <v>5000</v>
      </c>
      <c r="AS447" s="3">
        <v>5000</v>
      </c>
      <c r="AU447" s="3">
        <v>5000</v>
      </c>
      <c r="AW447" s="3">
        <v>5000</v>
      </c>
      <c r="AY447" s="3">
        <v>5000</v>
      </c>
      <c r="BA447" s="3">
        <v>5000</v>
      </c>
      <c r="BC447" s="3">
        <v>5000</v>
      </c>
      <c r="BE447" s="3">
        <v>5000</v>
      </c>
      <c r="BI447" s="268"/>
      <c r="BJ447" s="268"/>
      <c r="BK447" s="268"/>
      <c r="BL447" s="268"/>
      <c r="BM447" s="268"/>
      <c r="BN447" s="268"/>
      <c r="BO447" s="268"/>
      <c r="BP447" s="268"/>
      <c r="BQ447" s="268"/>
      <c r="BR447" s="268"/>
      <c r="BS447" s="268"/>
      <c r="BT447" s="268"/>
      <c r="BU447" s="268"/>
      <c r="BV447" s="268"/>
      <c r="BW447" s="268"/>
      <c r="BX447" s="268"/>
      <c r="BY447" s="268"/>
      <c r="BZ447" s="268"/>
      <c r="CA447" s="268"/>
      <c r="CB447" s="268"/>
      <c r="CC447" s="268"/>
      <c r="CD447" s="268"/>
      <c r="CE447" s="268"/>
      <c r="CF447" s="268"/>
      <c r="CG447" s="268"/>
      <c r="CH447" s="268"/>
      <c r="CI447" s="268"/>
      <c r="CJ447" s="268"/>
      <c r="CK447" s="268"/>
      <c r="CL447" s="268"/>
      <c r="CM447" s="268"/>
      <c r="CN447" s="268"/>
      <c r="CO447" s="268"/>
      <c r="CP447" s="268"/>
      <c r="CQ447" s="268"/>
      <c r="CR447" s="268"/>
      <c r="CS447" s="268"/>
      <c r="CT447" s="268"/>
      <c r="CU447" s="268"/>
      <c r="CV447" s="268"/>
      <c r="CW447" s="268"/>
      <c r="CX447" s="268"/>
      <c r="CY447" s="268"/>
      <c r="CZ447" s="268"/>
      <c r="DA447" s="268"/>
      <c r="DB447" s="268"/>
      <c r="DC447" s="268"/>
      <c r="DD447" s="268"/>
      <c r="DE447" s="268"/>
      <c r="DF447" s="268"/>
      <c r="DG447" s="268"/>
      <c r="DH447" s="268"/>
      <c r="DI447" s="268"/>
      <c r="DJ447" s="268"/>
      <c r="DK447" s="268"/>
      <c r="DL447" s="268"/>
      <c r="DM447" s="268"/>
      <c r="DN447" s="268"/>
      <c r="DO447" s="268"/>
      <c r="DP447" s="268"/>
      <c r="DQ447" s="268"/>
      <c r="DR447" s="268"/>
      <c r="DS447" s="268"/>
      <c r="DT447" s="268"/>
      <c r="DU447" s="268"/>
      <c r="DV447" s="268"/>
      <c r="DW447" s="268"/>
      <c r="DX447" s="268"/>
      <c r="DY447" s="268"/>
      <c r="DZ447" s="268"/>
      <c r="EA447" s="268"/>
      <c r="EB447" s="268"/>
      <c r="EC447" s="268"/>
      <c r="ED447" s="268"/>
      <c r="EE447" s="268"/>
      <c r="EF447" s="268"/>
      <c r="EG447" s="268"/>
      <c r="EH447" s="268"/>
      <c r="EI447" s="268"/>
      <c r="EJ447" s="268"/>
      <c r="EK447" s="268"/>
      <c r="EL447" s="268"/>
      <c r="EM447" s="268"/>
      <c r="EN447" s="268"/>
      <c r="EO447" s="268"/>
      <c r="EP447" s="268"/>
      <c r="EQ447" s="268"/>
      <c r="ER447" s="268"/>
      <c r="ES447" s="268"/>
      <c r="ET447" s="268"/>
      <c r="EU447" s="268"/>
      <c r="EV447" s="268"/>
      <c r="EW447" s="268"/>
      <c r="EX447" s="268"/>
      <c r="EY447" s="268"/>
      <c r="EZ447" s="268"/>
      <c r="FA447" s="268"/>
      <c r="FB447" s="268"/>
      <c r="FC447" s="268"/>
      <c r="FD447" s="268"/>
      <c r="FE447" s="268"/>
      <c r="FF447" s="268"/>
      <c r="FG447" s="268"/>
      <c r="FH447" s="268"/>
      <c r="FI447" s="268"/>
      <c r="FJ447" s="268"/>
      <c r="FK447" s="268"/>
      <c r="FL447" s="268"/>
      <c r="FM447" s="268"/>
      <c r="FN447" s="268"/>
      <c r="FO447" s="268"/>
      <c r="FP447" s="268"/>
      <c r="FQ447" s="268"/>
      <c r="FR447" s="268"/>
      <c r="FS447" s="268"/>
      <c r="FT447" s="268"/>
      <c r="FU447" s="268"/>
      <c r="FV447" s="268"/>
      <c r="FW447" s="268"/>
      <c r="FX447" s="268"/>
      <c r="FY447" s="268"/>
      <c r="FZ447" s="268"/>
      <c r="GA447" s="268"/>
      <c r="GB447" s="268"/>
      <c r="GC447" s="268"/>
      <c r="GD447" s="268"/>
      <c r="GE447" s="268"/>
      <c r="GF447" s="268"/>
      <c r="GG447" s="268"/>
      <c r="GH447" s="268"/>
      <c r="GI447" s="268"/>
      <c r="GJ447" s="268"/>
      <c r="GK447" s="268"/>
      <c r="GL447" s="268"/>
      <c r="GM447" s="268"/>
      <c r="GN447" s="268"/>
      <c r="GO447" s="268"/>
      <c r="GP447" s="268"/>
      <c r="GQ447" s="268"/>
      <c r="GR447" s="268"/>
      <c r="GS447" s="268"/>
      <c r="GT447" s="268"/>
      <c r="GU447" s="268"/>
      <c r="GV447" s="268"/>
      <c r="GW447" s="268"/>
      <c r="GX447" s="268"/>
      <c r="GY447" s="268"/>
      <c r="GZ447" s="268"/>
      <c r="HA447" s="268"/>
      <c r="HB447" s="268"/>
      <c r="HC447" s="268"/>
      <c r="HD447" s="268"/>
      <c r="HE447" s="268"/>
      <c r="HF447" s="268"/>
      <c r="HG447" s="268"/>
      <c r="HH447" s="268"/>
      <c r="HI447" s="268"/>
      <c r="HJ447" s="268"/>
      <c r="HK447" s="268"/>
      <c r="HL447" s="268"/>
      <c r="HM447" s="268"/>
      <c r="HN447" s="268"/>
      <c r="HO447" s="268"/>
      <c r="HP447" s="268"/>
      <c r="HQ447" s="268"/>
      <c r="HR447" s="268"/>
      <c r="HS447" s="268"/>
      <c r="HT447" s="268"/>
      <c r="HU447" s="268"/>
      <c r="HV447" s="268"/>
      <c r="HW447" s="268"/>
      <c r="HX447" s="268"/>
      <c r="HY447" s="268"/>
      <c r="HZ447" s="268"/>
      <c r="IA447" s="268"/>
      <c r="IB447" s="268"/>
      <c r="IC447" s="268"/>
      <c r="ID447" s="268"/>
      <c r="IE447" s="268"/>
      <c r="IF447" s="268"/>
      <c r="IG447" s="268"/>
      <c r="IH447" s="268"/>
      <c r="II447" s="268"/>
      <c r="IJ447" s="268"/>
      <c r="IK447" s="268"/>
      <c r="IL447" s="268"/>
      <c r="IM447" s="268"/>
      <c r="JA447" s="268"/>
      <c r="JB447" s="268"/>
      <c r="JC447" s="268"/>
      <c r="JQ447" s="268"/>
      <c r="JS447" s="268"/>
      <c r="JT447" s="268"/>
      <c r="JU447" s="268"/>
      <c r="JV447" s="268"/>
      <c r="JW447" s="268"/>
      <c r="JX447" s="268"/>
      <c r="JY447" s="268"/>
      <c r="JZ447" s="268"/>
      <c r="KA447" s="268"/>
      <c r="KB447" s="268"/>
      <c r="KC447" s="268"/>
      <c r="KD447" s="268"/>
      <c r="KE447" s="268"/>
      <c r="KF447" s="268"/>
      <c r="KG447" s="268"/>
      <c r="KH447" s="268"/>
      <c r="KI447" s="268"/>
      <c r="KJ447" s="268"/>
      <c r="KK447" s="268"/>
      <c r="KL447" s="268"/>
      <c r="KM447" s="268"/>
      <c r="KN447" s="268"/>
      <c r="KO447" s="268"/>
      <c r="KP447" s="268"/>
      <c r="KQ447" s="268"/>
      <c r="KR447" s="268"/>
      <c r="KS447" s="268"/>
      <c r="KT447" s="268"/>
      <c r="KU447" s="268"/>
      <c r="KV447" s="268"/>
      <c r="KW447" s="268"/>
      <c r="KX447" s="268"/>
      <c r="KY447" s="268"/>
      <c r="KZ447" s="268"/>
      <c r="LA447" s="268"/>
      <c r="LB447" s="268"/>
      <c r="LC447" s="268"/>
      <c r="LD447" s="268"/>
      <c r="LE447" s="268"/>
      <c r="LF447" s="268"/>
      <c r="LG447" s="268"/>
      <c r="LH447" s="268"/>
      <c r="LI447" s="268"/>
      <c r="LJ447" s="268"/>
      <c r="LK447" s="268"/>
      <c r="LL447" s="268"/>
      <c r="LM447" s="268"/>
      <c r="LN447" s="268"/>
      <c r="LO447" s="268"/>
      <c r="LP447" s="268"/>
      <c r="LQ447" s="268"/>
      <c r="LR447" s="268"/>
      <c r="LS447" s="268"/>
      <c r="LT447" s="268"/>
      <c r="LU447" s="268"/>
      <c r="LV447" s="268"/>
      <c r="LW447" s="268"/>
      <c r="LX447" s="268"/>
      <c r="LY447" s="268"/>
      <c r="LZ447" s="268"/>
      <c r="MA447" s="268"/>
      <c r="MB447" s="268"/>
      <c r="MC447" s="268"/>
      <c r="MD447" s="268"/>
      <c r="ME447" s="268"/>
      <c r="MF447" s="268"/>
      <c r="MG447" s="268"/>
      <c r="MH447" s="268"/>
      <c r="MI447" s="268"/>
      <c r="MJ447" s="268"/>
      <c r="MK447" s="268"/>
      <c r="ML447" s="268"/>
      <c r="MM447" s="268"/>
      <c r="MN447" s="268"/>
      <c r="MO447" s="268"/>
      <c r="MP447" s="268"/>
      <c r="MQ447" s="268"/>
      <c r="MR447" s="268"/>
      <c r="MS447" s="268"/>
      <c r="MT447" s="268"/>
      <c r="MU447" s="268"/>
      <c r="MV447" s="268"/>
      <c r="MW447" s="268"/>
      <c r="MX447" s="268"/>
      <c r="MY447" s="268"/>
      <c r="MZ447" s="268"/>
      <c r="NA447" s="268"/>
      <c r="NB447" s="268"/>
      <c r="NC447" s="268"/>
      <c r="ND447" s="268"/>
      <c r="NE447" s="268"/>
      <c r="NF447" s="268"/>
      <c r="NG447" s="268"/>
      <c r="NH447" s="268"/>
      <c r="NI447" s="268"/>
      <c r="NJ447" s="268"/>
      <c r="NK447" s="268"/>
      <c r="NL447" s="268"/>
      <c r="NM447" s="268"/>
      <c r="NN447" s="268"/>
      <c r="NO447" s="268"/>
      <c r="NP447" s="268"/>
      <c r="NQ447" s="268"/>
      <c r="NR447" s="268"/>
      <c r="NS447" s="268"/>
      <c r="NT447" s="268"/>
      <c r="NU447" s="268"/>
      <c r="NV447" s="268"/>
      <c r="NW447" s="268"/>
      <c r="NX447" s="268"/>
      <c r="NY447" s="268"/>
      <c r="NZ447" s="268"/>
      <c r="OA447" s="268"/>
      <c r="OB447" s="268"/>
      <c r="OC447" s="268"/>
      <c r="OD447" s="268"/>
      <c r="OE447" s="268"/>
      <c r="OF447" s="268"/>
      <c r="OG447" s="268"/>
      <c r="OH447" s="268"/>
      <c r="OI447" s="268"/>
      <c r="OJ447" s="268"/>
      <c r="OK447" s="268"/>
      <c r="OL447" s="268"/>
      <c r="OM447" s="268"/>
      <c r="ON447" s="268"/>
      <c r="OO447" s="268"/>
      <c r="OP447" s="268"/>
      <c r="OQ447" s="268"/>
      <c r="OR447" s="268"/>
      <c r="OS447" s="268"/>
      <c r="OT447" s="268"/>
      <c r="OU447" s="268"/>
      <c r="OV447" s="268"/>
      <c r="OW447" s="268"/>
      <c r="OX447" s="268"/>
      <c r="OY447" s="268"/>
      <c r="OZ447" s="268"/>
      <c r="PA447" s="268"/>
      <c r="PB447" s="268"/>
      <c r="PC447" s="268"/>
      <c r="PD447" s="268"/>
      <c r="PE447" s="268"/>
      <c r="PF447" s="268"/>
      <c r="PG447" s="268"/>
      <c r="PH447" s="268"/>
      <c r="PI447" s="268"/>
      <c r="PJ447" s="268"/>
      <c r="PK447" s="268"/>
      <c r="PL447" s="268"/>
      <c r="PM447" s="268"/>
      <c r="PN447" s="268"/>
      <c r="PO447" s="268"/>
      <c r="PP447" s="268"/>
      <c r="PQ447" s="268"/>
      <c r="PR447" s="268"/>
      <c r="PS447" s="268"/>
      <c r="PT447" s="268"/>
      <c r="PU447" s="268"/>
      <c r="PV447" s="268"/>
      <c r="PW447" s="268"/>
      <c r="PX447" s="268"/>
      <c r="PY447" s="268"/>
      <c r="PZ447" s="268"/>
      <c r="QA447" s="268"/>
      <c r="QB447" s="268"/>
      <c r="QC447" s="268"/>
      <c r="QD447" s="268"/>
      <c r="QE447" s="268"/>
      <c r="QF447" s="268"/>
      <c r="QG447" s="268"/>
      <c r="QH447" s="268"/>
      <c r="QI447" s="268"/>
      <c r="QJ447" s="268"/>
      <c r="QK447" s="268"/>
      <c r="QL447" s="268"/>
      <c r="QM447" s="268"/>
      <c r="QN447" s="268"/>
      <c r="QO447" s="268"/>
      <c r="QP447" s="268"/>
      <c r="QQ447" s="268"/>
      <c r="QR447" s="268"/>
      <c r="QS447" s="268"/>
      <c r="QT447" s="268"/>
      <c r="QU447" s="268"/>
      <c r="QV447" s="268"/>
      <c r="QW447" s="268"/>
      <c r="QX447" s="268"/>
      <c r="QY447" s="268"/>
      <c r="QZ447" s="268"/>
      <c r="RA447" s="268"/>
      <c r="RB447" s="268"/>
      <c r="RC447" s="268"/>
      <c r="RD447" s="268"/>
      <c r="RE447" s="268"/>
      <c r="RF447" s="268"/>
      <c r="RG447" s="268"/>
      <c r="RH447" s="268"/>
      <c r="RI447" s="268"/>
      <c r="RJ447" s="268"/>
      <c r="RK447" s="268"/>
      <c r="RL447" s="268"/>
      <c r="RM447" s="268"/>
      <c r="RN447" s="268"/>
      <c r="RO447" s="268"/>
      <c r="RP447" s="268"/>
      <c r="RQ447" s="268"/>
      <c r="RR447" s="268"/>
      <c r="RS447" s="268"/>
      <c r="RT447" s="268"/>
      <c r="RU447" s="268"/>
      <c r="RV447" s="268"/>
      <c r="RW447" s="268"/>
      <c r="RX447" s="268"/>
      <c r="RY447" s="268"/>
      <c r="RZ447" s="268"/>
      <c r="SA447" s="268"/>
      <c r="SB447" s="268"/>
      <c r="SC447" s="268"/>
      <c r="SD447" s="268"/>
      <c r="SE447" s="268"/>
      <c r="SF447" s="268"/>
      <c r="SG447" s="268"/>
      <c r="SH447" s="268"/>
      <c r="SI447" s="268"/>
      <c r="SW447" s="268"/>
      <c r="SX447" s="268"/>
      <c r="SY447" s="268"/>
      <c r="TM447" s="268"/>
      <c r="TO447" s="268"/>
      <c r="TP447" s="268"/>
      <c r="TQ447" s="268"/>
      <c r="TR447" s="268"/>
      <c r="TS447" s="268"/>
      <c r="TT447" s="268"/>
      <c r="TU447" s="268"/>
      <c r="TV447" s="268"/>
      <c r="TW447" s="268"/>
      <c r="TX447" s="268"/>
      <c r="TY447" s="268"/>
      <c r="TZ447" s="268"/>
      <c r="UA447" s="268"/>
      <c r="UB447" s="268"/>
      <c r="UC447" s="268"/>
      <c r="UD447" s="268"/>
      <c r="UE447" s="268"/>
      <c r="UF447" s="268"/>
      <c r="UG447" s="268"/>
      <c r="UH447" s="268"/>
      <c r="UI447" s="268"/>
      <c r="UJ447" s="268"/>
      <c r="UK447" s="268"/>
      <c r="UL447" s="268"/>
      <c r="UM447" s="268"/>
      <c r="UN447" s="268"/>
      <c r="UO447" s="268"/>
      <c r="UP447" s="268"/>
      <c r="UQ447" s="268"/>
      <c r="UR447" s="268"/>
      <c r="US447" s="268"/>
      <c r="UT447" s="268"/>
      <c r="UU447" s="268"/>
      <c r="UV447" s="268"/>
      <c r="UW447" s="268"/>
      <c r="UX447" s="268"/>
      <c r="UY447" s="268"/>
      <c r="UZ447" s="268"/>
      <c r="VA447" s="268"/>
      <c r="VB447" s="268"/>
      <c r="VC447" s="268"/>
      <c r="VD447" s="268"/>
      <c r="VE447" s="268"/>
      <c r="VF447" s="268"/>
      <c r="VG447" s="268"/>
      <c r="VH447" s="268"/>
      <c r="VI447" s="268"/>
      <c r="VJ447" s="268"/>
      <c r="VK447" s="268"/>
      <c r="VL447" s="268"/>
      <c r="VM447" s="268"/>
      <c r="VN447" s="268"/>
      <c r="VO447" s="268"/>
      <c r="VP447" s="268"/>
      <c r="VQ447" s="268"/>
      <c r="VR447" s="268"/>
      <c r="VS447" s="268"/>
      <c r="VT447" s="268"/>
      <c r="VU447" s="268"/>
      <c r="VV447" s="268"/>
      <c r="VW447" s="268"/>
      <c r="VX447" s="268"/>
      <c r="VY447" s="268"/>
      <c r="VZ447" s="268"/>
      <c r="WA447" s="268"/>
      <c r="WB447" s="268"/>
      <c r="WC447" s="268"/>
      <c r="WD447" s="268"/>
      <c r="WE447" s="268"/>
      <c r="WF447" s="268"/>
      <c r="WG447" s="268"/>
      <c r="WH447" s="268"/>
      <c r="WI447" s="268"/>
      <c r="WJ447" s="268"/>
      <c r="WK447" s="268"/>
      <c r="WL447" s="268"/>
      <c r="WM447" s="268"/>
      <c r="WN447" s="268"/>
      <c r="WO447" s="268"/>
      <c r="WP447" s="268"/>
      <c r="WQ447" s="268"/>
      <c r="WR447" s="268"/>
      <c r="WS447" s="268"/>
      <c r="WT447" s="268"/>
      <c r="WU447" s="268"/>
      <c r="WV447" s="268"/>
      <c r="WW447" s="268"/>
      <c r="WX447" s="268"/>
      <c r="WY447" s="268"/>
      <c r="WZ447" s="268"/>
      <c r="XA447" s="268"/>
      <c r="XB447" s="268"/>
      <c r="XC447" s="268"/>
      <c r="XD447" s="268"/>
      <c r="XE447" s="268"/>
      <c r="XF447" s="268"/>
      <c r="XG447" s="268"/>
      <c r="XH447" s="268"/>
      <c r="XI447" s="268"/>
      <c r="XJ447" s="268"/>
      <c r="XK447" s="268"/>
      <c r="XL447" s="268"/>
      <c r="XM447" s="268"/>
      <c r="XN447" s="268"/>
      <c r="XO447" s="268"/>
      <c r="XP447" s="268"/>
      <c r="XQ447" s="268"/>
      <c r="XR447" s="268"/>
      <c r="XS447" s="268"/>
      <c r="XT447" s="268"/>
      <c r="XU447" s="268"/>
      <c r="XV447" s="268"/>
      <c r="XW447" s="268"/>
      <c r="XX447" s="268"/>
      <c r="XY447" s="268"/>
      <c r="XZ447" s="268"/>
      <c r="YA447" s="268"/>
      <c r="YB447" s="268"/>
      <c r="YC447" s="268"/>
      <c r="YD447" s="268"/>
      <c r="YE447" s="268"/>
      <c r="YF447" s="268"/>
      <c r="YG447" s="268"/>
      <c r="YH447" s="268"/>
      <c r="YI447" s="268"/>
      <c r="YJ447" s="268"/>
      <c r="YK447" s="268"/>
      <c r="YL447" s="268"/>
      <c r="YM447" s="268"/>
      <c r="YN447" s="268"/>
      <c r="YO447" s="268"/>
      <c r="YP447" s="268"/>
      <c r="YQ447" s="268"/>
      <c r="YR447" s="268"/>
      <c r="YS447" s="268"/>
      <c r="YT447" s="268"/>
      <c r="YU447" s="268"/>
      <c r="YV447" s="268"/>
      <c r="YW447" s="268"/>
      <c r="YX447" s="268"/>
      <c r="YY447" s="268"/>
      <c r="YZ447" s="268"/>
      <c r="ZA447" s="268"/>
      <c r="ZB447" s="268"/>
      <c r="ZC447" s="268"/>
      <c r="ZD447" s="268"/>
      <c r="ZE447" s="268"/>
      <c r="ZF447" s="268"/>
      <c r="ZG447" s="268"/>
      <c r="ZH447" s="268"/>
      <c r="ZI447" s="268"/>
      <c r="ZJ447" s="268"/>
      <c r="ZK447" s="268"/>
      <c r="ZL447" s="268"/>
      <c r="ZM447" s="268"/>
      <c r="ZN447" s="268"/>
      <c r="ZO447" s="268"/>
      <c r="ZP447" s="268"/>
      <c r="ZQ447" s="268"/>
      <c r="ZR447" s="268"/>
      <c r="ZS447" s="268"/>
      <c r="ZT447" s="268"/>
      <c r="ZU447" s="268"/>
      <c r="ZV447" s="268"/>
      <c r="ZW447" s="268"/>
      <c r="ZX447" s="268"/>
      <c r="ZY447" s="268"/>
      <c r="ZZ447" s="268"/>
      <c r="AAA447" s="268"/>
      <c r="AAB447" s="268"/>
      <c r="AAC447" s="268"/>
      <c r="AAD447" s="268"/>
      <c r="AAE447" s="268"/>
      <c r="AAF447" s="268"/>
      <c r="AAG447" s="268"/>
      <c r="AAH447" s="268"/>
      <c r="AAI447" s="268"/>
      <c r="AAJ447" s="268"/>
      <c r="AAK447" s="268"/>
      <c r="AAL447" s="268"/>
      <c r="AAM447" s="268"/>
      <c r="AAN447" s="268"/>
      <c r="AAO447" s="268"/>
      <c r="AAP447" s="268"/>
      <c r="AAQ447" s="268"/>
      <c r="AAR447" s="268"/>
      <c r="AAS447" s="268"/>
      <c r="AAT447" s="268"/>
      <c r="AAU447" s="268"/>
      <c r="AAV447" s="268"/>
      <c r="AAW447" s="268"/>
      <c r="AAX447" s="268"/>
      <c r="AAY447" s="268"/>
      <c r="AAZ447" s="268"/>
      <c r="ABA447" s="268"/>
      <c r="ABB447" s="268"/>
      <c r="ABC447" s="268"/>
      <c r="ABD447" s="268"/>
      <c r="ABE447" s="268"/>
      <c r="ABF447" s="268"/>
      <c r="ABG447" s="268"/>
      <c r="ABH447" s="268"/>
      <c r="ABI447" s="268"/>
      <c r="ABJ447" s="268"/>
      <c r="ABK447" s="268"/>
      <c r="ABL447" s="268"/>
      <c r="ABM447" s="268"/>
      <c r="ABN447" s="268"/>
      <c r="ABO447" s="268"/>
      <c r="ABP447" s="268"/>
      <c r="ABQ447" s="268"/>
      <c r="ABR447" s="268"/>
      <c r="ABS447" s="268"/>
      <c r="ABT447" s="268"/>
      <c r="ABU447" s="268"/>
      <c r="ABV447" s="268"/>
      <c r="ABW447" s="268"/>
      <c r="ABX447" s="268"/>
      <c r="ABY447" s="268"/>
      <c r="ABZ447" s="268"/>
      <c r="ACA447" s="268"/>
      <c r="ACB447" s="268"/>
      <c r="ACC447" s="268"/>
      <c r="ACD447" s="268"/>
      <c r="ACE447" s="268"/>
      <c r="ACS447" s="268"/>
      <c r="ACT447" s="268"/>
      <c r="ACU447" s="268"/>
      <c r="ADI447" s="268"/>
      <c r="ADK447" s="268"/>
      <c r="ADL447" s="268"/>
      <c r="ADM447" s="268"/>
      <c r="ADN447" s="268"/>
      <c r="ADO447" s="268"/>
      <c r="ADP447" s="268"/>
      <c r="ADQ447" s="268"/>
      <c r="ADR447" s="268"/>
      <c r="ADS447" s="268"/>
      <c r="ADT447" s="268"/>
      <c r="ADU447" s="268"/>
      <c r="ADV447" s="268"/>
      <c r="ADW447" s="268"/>
      <c r="ADX447" s="268"/>
      <c r="ADY447" s="268"/>
      <c r="ADZ447" s="268"/>
      <c r="AEA447" s="268"/>
      <c r="AEB447" s="268"/>
      <c r="AEC447" s="268"/>
      <c r="AED447" s="268"/>
      <c r="AEE447" s="268"/>
      <c r="AEF447" s="268"/>
      <c r="AEG447" s="268"/>
      <c r="AEH447" s="268"/>
      <c r="AEI447" s="268"/>
      <c r="AEJ447" s="268"/>
      <c r="AEK447" s="268"/>
      <c r="AEL447" s="268"/>
      <c r="AEM447" s="268"/>
      <c r="AEN447" s="268"/>
      <c r="AEO447" s="268"/>
      <c r="AEP447" s="268"/>
      <c r="AEQ447" s="268"/>
      <c r="AER447" s="268"/>
      <c r="AES447" s="268"/>
      <c r="AET447" s="268"/>
      <c r="AEU447" s="268"/>
      <c r="AEV447" s="268"/>
      <c r="AEW447" s="268"/>
      <c r="AEX447" s="268"/>
      <c r="AEY447" s="268"/>
      <c r="AEZ447" s="268"/>
      <c r="AFA447" s="268"/>
      <c r="AFB447" s="268"/>
      <c r="AFC447" s="268"/>
      <c r="AFD447" s="268"/>
      <c r="AFE447" s="268"/>
      <c r="AFF447" s="268"/>
      <c r="AFG447" s="268"/>
      <c r="AFH447" s="268"/>
      <c r="AFI447" s="268"/>
      <c r="AFJ447" s="268"/>
      <c r="AFK447" s="268"/>
      <c r="AFL447" s="268"/>
      <c r="AFM447" s="268"/>
      <c r="AFN447" s="268"/>
      <c r="AFO447" s="268"/>
      <c r="AFP447" s="268"/>
      <c r="AFQ447" s="268"/>
      <c r="AFR447" s="268"/>
      <c r="AFS447" s="268"/>
      <c r="AFT447" s="268"/>
      <c r="AFU447" s="268"/>
      <c r="AFV447" s="268"/>
      <c r="AFW447" s="268"/>
      <c r="AFX447" s="268"/>
      <c r="AFY447" s="268"/>
      <c r="AFZ447" s="268"/>
      <c r="AGA447" s="268"/>
      <c r="AGB447" s="268"/>
      <c r="AGC447" s="268"/>
      <c r="AGD447" s="268"/>
      <c r="AGE447" s="268"/>
      <c r="AGF447" s="268"/>
      <c r="AGG447" s="268"/>
      <c r="AGH447" s="268"/>
      <c r="AGI447" s="268"/>
      <c r="AGJ447" s="268"/>
      <c r="AGK447" s="268"/>
      <c r="AGL447" s="268"/>
      <c r="AGM447" s="268"/>
      <c r="AGN447" s="268"/>
      <c r="AGO447" s="268"/>
      <c r="AGP447" s="268"/>
      <c r="AGQ447" s="268"/>
      <c r="AGR447" s="268"/>
      <c r="AGS447" s="268"/>
      <c r="AGT447" s="268"/>
      <c r="AGU447" s="268"/>
      <c r="AGV447" s="268"/>
      <c r="AGW447" s="268"/>
      <c r="AGX447" s="268"/>
      <c r="AGY447" s="268"/>
      <c r="AGZ447" s="268"/>
      <c r="AHA447" s="268"/>
      <c r="AHB447" s="268"/>
      <c r="AHC447" s="268"/>
      <c r="AHD447" s="268"/>
      <c r="AHE447" s="268"/>
      <c r="AHF447" s="268"/>
      <c r="AHG447" s="268"/>
      <c r="AHH447" s="268"/>
      <c r="AHI447" s="268"/>
      <c r="AHJ447" s="268"/>
      <c r="AHK447" s="268"/>
      <c r="AHL447" s="268"/>
      <c r="AHM447" s="268"/>
      <c r="AHN447" s="268"/>
      <c r="AHO447" s="268"/>
      <c r="AHP447" s="268"/>
      <c r="AHQ447" s="268"/>
      <c r="AHR447" s="268"/>
      <c r="AHS447" s="268"/>
      <c r="AHT447" s="268"/>
      <c r="AHU447" s="268"/>
      <c r="AHV447" s="268"/>
      <c r="AHW447" s="268"/>
      <c r="AHX447" s="268"/>
      <c r="AHY447" s="268"/>
      <c r="AHZ447" s="268"/>
      <c r="AIA447" s="268"/>
      <c r="AIB447" s="268"/>
      <c r="AIC447" s="268"/>
      <c r="AID447" s="268"/>
      <c r="AIE447" s="268"/>
      <c r="AIF447" s="268"/>
      <c r="AIG447" s="268"/>
      <c r="AIH447" s="268"/>
      <c r="AII447" s="268"/>
      <c r="AIJ447" s="268"/>
      <c r="AIK447" s="268"/>
      <c r="AIL447" s="268"/>
      <c r="AIM447" s="268"/>
      <c r="AIN447" s="268"/>
      <c r="AIO447" s="268"/>
      <c r="AIP447" s="268"/>
      <c r="AIQ447" s="268"/>
      <c r="AIR447" s="268"/>
      <c r="AIS447" s="268"/>
      <c r="AIT447" s="268"/>
      <c r="AIU447" s="268"/>
      <c r="AIV447" s="268"/>
      <c r="AIW447" s="268"/>
      <c r="AIX447" s="268"/>
      <c r="AIY447" s="268"/>
      <c r="AIZ447" s="268"/>
      <c r="AJA447" s="268"/>
      <c r="AJB447" s="268"/>
      <c r="AJC447" s="268"/>
      <c r="AJD447" s="268"/>
      <c r="AJE447" s="268"/>
      <c r="AJF447" s="268"/>
      <c r="AJG447" s="268"/>
      <c r="AJH447" s="268"/>
      <c r="AJI447" s="268"/>
      <c r="AJJ447" s="268"/>
      <c r="AJK447" s="268"/>
      <c r="AJL447" s="268"/>
      <c r="AJM447" s="268"/>
      <c r="AJN447" s="268"/>
      <c r="AJO447" s="268"/>
      <c r="AJP447" s="268"/>
      <c r="AJQ447" s="268"/>
      <c r="AJR447" s="268"/>
      <c r="AJS447" s="268"/>
      <c r="AJT447" s="268"/>
      <c r="AJU447" s="268"/>
      <c r="AJV447" s="268"/>
      <c r="AJW447" s="268"/>
      <c r="AJX447" s="268"/>
      <c r="AJY447" s="268"/>
      <c r="AJZ447" s="268"/>
      <c r="AKA447" s="268"/>
      <c r="AKB447" s="268"/>
      <c r="AKC447" s="268"/>
      <c r="AKD447" s="268"/>
      <c r="AKE447" s="268"/>
      <c r="AKF447" s="268"/>
      <c r="AKG447" s="268"/>
      <c r="AKH447" s="268"/>
      <c r="AKI447" s="268"/>
      <c r="AKJ447" s="268"/>
      <c r="AKK447" s="268"/>
      <c r="AKL447" s="268"/>
      <c r="AKM447" s="268"/>
      <c r="AKN447" s="268"/>
      <c r="AKO447" s="268"/>
      <c r="AKP447" s="268"/>
      <c r="AKQ447" s="268"/>
      <c r="AKR447" s="268"/>
      <c r="AKS447" s="268"/>
      <c r="AKT447" s="268"/>
      <c r="AKU447" s="268"/>
      <c r="AKV447" s="268"/>
      <c r="AKW447" s="268"/>
      <c r="AKX447" s="268"/>
      <c r="AKY447" s="268"/>
      <c r="AKZ447" s="268"/>
      <c r="ALA447" s="268"/>
      <c r="ALB447" s="268"/>
      <c r="ALC447" s="268"/>
      <c r="ALD447" s="268"/>
      <c r="ALE447" s="268"/>
      <c r="ALF447" s="268"/>
      <c r="ALG447" s="268"/>
      <c r="ALH447" s="268"/>
      <c r="ALI447" s="268"/>
      <c r="ALJ447" s="268"/>
      <c r="ALK447" s="268"/>
      <c r="ALL447" s="268"/>
      <c r="ALM447" s="268"/>
      <c r="ALN447" s="268"/>
      <c r="ALO447" s="268"/>
      <c r="ALP447" s="268"/>
      <c r="ALQ447" s="268"/>
      <c r="ALR447" s="268"/>
      <c r="ALS447" s="268"/>
      <c r="ALT447" s="268"/>
      <c r="ALU447" s="268"/>
      <c r="ALV447" s="268"/>
      <c r="ALW447" s="268"/>
      <c r="ALX447" s="268"/>
      <c r="ALY447" s="268"/>
      <c r="ALZ447" s="268"/>
      <c r="AMA447" s="268"/>
      <c r="AMO447" s="268"/>
      <c r="AMP447" s="268"/>
      <c r="AMQ447" s="268"/>
      <c r="ANE447" s="268"/>
      <c r="ANG447" s="268"/>
      <c r="ANH447" s="268"/>
      <c r="ANI447" s="268"/>
      <c r="ANJ447" s="268"/>
      <c r="ANK447" s="268"/>
      <c r="ANL447" s="268"/>
      <c r="ANM447" s="268"/>
      <c r="ANN447" s="268"/>
      <c r="ANO447" s="268"/>
      <c r="ANP447" s="268"/>
      <c r="ANQ447" s="268"/>
      <c r="ANR447" s="268"/>
      <c r="ANS447" s="268"/>
      <c r="ANT447" s="268"/>
      <c r="ANU447" s="268"/>
      <c r="ANV447" s="268"/>
      <c r="ANW447" s="268"/>
      <c r="ANX447" s="268"/>
      <c r="ANY447" s="268"/>
      <c r="ANZ447" s="268"/>
      <c r="AOA447" s="268"/>
      <c r="AOB447" s="268"/>
      <c r="AOC447" s="268"/>
      <c r="AOD447" s="268"/>
      <c r="AOE447" s="268"/>
      <c r="AOF447" s="268"/>
      <c r="AOG447" s="268"/>
      <c r="AOH447" s="268"/>
      <c r="AOI447" s="268"/>
      <c r="AOJ447" s="268"/>
      <c r="AOK447" s="268"/>
      <c r="AOL447" s="268"/>
      <c r="AOM447" s="268"/>
      <c r="AON447" s="268"/>
      <c r="AOO447" s="268"/>
      <c r="AOP447" s="268"/>
      <c r="AOQ447" s="268"/>
      <c r="AOR447" s="268"/>
      <c r="AOS447" s="268"/>
      <c r="AOT447" s="268"/>
      <c r="AOU447" s="268"/>
      <c r="AOV447" s="268"/>
      <c r="AOW447" s="268"/>
      <c r="AOX447" s="268"/>
      <c r="AOY447" s="268"/>
      <c r="AOZ447" s="268"/>
      <c r="APA447" s="268"/>
      <c r="APB447" s="268"/>
      <c r="APC447" s="268"/>
      <c r="APD447" s="268"/>
      <c r="APE447" s="268"/>
      <c r="APF447" s="268"/>
      <c r="APG447" s="268"/>
      <c r="APH447" s="268"/>
      <c r="API447" s="268"/>
      <c r="APJ447" s="268"/>
      <c r="APK447" s="268"/>
      <c r="APL447" s="268"/>
      <c r="APM447" s="268"/>
      <c r="APN447" s="268"/>
      <c r="APO447" s="268"/>
      <c r="APP447" s="268"/>
      <c r="APQ447" s="268"/>
      <c r="APR447" s="268"/>
      <c r="APS447" s="268"/>
      <c r="APT447" s="268"/>
      <c r="APU447" s="268"/>
      <c r="APV447" s="268"/>
      <c r="APW447" s="268"/>
      <c r="APX447" s="268"/>
      <c r="APY447" s="268"/>
      <c r="APZ447" s="268"/>
      <c r="AQA447" s="268"/>
      <c r="AQB447" s="268"/>
      <c r="AQC447" s="268"/>
      <c r="AQD447" s="268"/>
      <c r="AQE447" s="268"/>
      <c r="AQF447" s="268"/>
      <c r="AQG447" s="268"/>
      <c r="AQH447" s="268"/>
      <c r="AQI447" s="268"/>
      <c r="AQJ447" s="268"/>
      <c r="AQK447" s="268"/>
      <c r="AQL447" s="268"/>
      <c r="AQM447" s="268"/>
      <c r="AQN447" s="268"/>
      <c r="AQO447" s="268"/>
      <c r="AQP447" s="268"/>
      <c r="AQQ447" s="268"/>
      <c r="AQR447" s="268"/>
      <c r="AQS447" s="268"/>
      <c r="AQT447" s="268"/>
      <c r="AQU447" s="268"/>
      <c r="AQV447" s="268"/>
      <c r="AQW447" s="268"/>
      <c r="AQX447" s="268"/>
      <c r="AQY447" s="268"/>
      <c r="AQZ447" s="268"/>
      <c r="ARA447" s="268"/>
      <c r="ARB447" s="268"/>
      <c r="ARC447" s="268"/>
      <c r="ARD447" s="268"/>
      <c r="ARE447" s="268"/>
      <c r="ARF447" s="268"/>
      <c r="ARG447" s="268"/>
      <c r="ARH447" s="268"/>
      <c r="ARI447" s="268"/>
      <c r="ARJ447" s="268"/>
      <c r="ARK447" s="268"/>
      <c r="ARL447" s="268"/>
      <c r="ARM447" s="268"/>
      <c r="ARN447" s="268"/>
      <c r="ARO447" s="268"/>
      <c r="ARP447" s="268"/>
      <c r="ARQ447" s="268"/>
      <c r="ARR447" s="268"/>
      <c r="ARS447" s="268"/>
      <c r="ART447" s="268"/>
      <c r="ARU447" s="268"/>
      <c r="ARV447" s="268"/>
      <c r="ARW447" s="268"/>
      <c r="ARX447" s="268"/>
      <c r="ARY447" s="268"/>
      <c r="ARZ447" s="268"/>
      <c r="ASA447" s="268"/>
      <c r="ASB447" s="268"/>
      <c r="ASC447" s="268"/>
      <c r="ASD447" s="268"/>
      <c r="ASE447" s="268"/>
      <c r="ASF447" s="268"/>
      <c r="ASG447" s="268"/>
      <c r="ASH447" s="268"/>
      <c r="ASI447" s="268"/>
      <c r="ASJ447" s="268"/>
      <c r="ASK447" s="268"/>
      <c r="ASL447" s="268"/>
      <c r="ASM447" s="268"/>
      <c r="ASN447" s="268"/>
      <c r="ASO447" s="268"/>
      <c r="ASP447" s="268"/>
      <c r="ASQ447" s="268"/>
      <c r="ASR447" s="268"/>
      <c r="ASS447" s="268"/>
      <c r="AST447" s="268"/>
      <c r="ASU447" s="268"/>
      <c r="ASV447" s="268"/>
      <c r="ASW447" s="268"/>
      <c r="ASX447" s="268"/>
      <c r="ASY447" s="268"/>
      <c r="ASZ447" s="268"/>
      <c r="ATA447" s="268"/>
      <c r="ATB447" s="268"/>
      <c r="ATC447" s="268"/>
      <c r="ATD447" s="268"/>
      <c r="ATE447" s="268"/>
      <c r="ATF447" s="268"/>
      <c r="ATG447" s="268"/>
      <c r="ATH447" s="268"/>
      <c r="ATI447" s="268"/>
      <c r="ATJ447" s="268"/>
      <c r="ATK447" s="268"/>
      <c r="ATL447" s="268"/>
      <c r="ATM447" s="268"/>
      <c r="ATN447" s="268"/>
      <c r="ATO447" s="268"/>
      <c r="ATP447" s="268"/>
      <c r="ATQ447" s="268"/>
      <c r="ATR447" s="268"/>
      <c r="ATS447" s="268"/>
      <c r="ATT447" s="268"/>
      <c r="ATU447" s="268"/>
      <c r="ATV447" s="268"/>
      <c r="ATW447" s="268"/>
      <c r="ATX447" s="268"/>
      <c r="ATY447" s="268"/>
      <c r="ATZ447" s="268"/>
      <c r="AUA447" s="268"/>
      <c r="AUB447" s="268"/>
      <c r="AUC447" s="268"/>
      <c r="AUD447" s="268"/>
      <c r="AUE447" s="268"/>
      <c r="AUF447" s="268"/>
      <c r="AUG447" s="268"/>
      <c r="AUH447" s="268"/>
      <c r="AUI447" s="268"/>
      <c r="AUJ447" s="268"/>
      <c r="AUK447" s="268"/>
      <c r="AUL447" s="268"/>
      <c r="AUM447" s="268"/>
      <c r="AUN447" s="268"/>
      <c r="AUO447" s="268"/>
      <c r="AUP447" s="268"/>
      <c r="AUQ447" s="268"/>
      <c r="AUR447" s="268"/>
      <c r="AUS447" s="268"/>
      <c r="AUT447" s="268"/>
      <c r="AUU447" s="268"/>
      <c r="AUV447" s="268"/>
      <c r="AUW447" s="268"/>
      <c r="AUX447" s="268"/>
      <c r="AUY447" s="268"/>
      <c r="AUZ447" s="268"/>
      <c r="AVA447" s="268"/>
      <c r="AVB447" s="268"/>
      <c r="AVC447" s="268"/>
      <c r="AVD447" s="268"/>
      <c r="AVE447" s="268"/>
      <c r="AVF447" s="268"/>
      <c r="AVG447" s="268"/>
      <c r="AVH447" s="268"/>
      <c r="AVI447" s="268"/>
      <c r="AVJ447" s="268"/>
      <c r="AVK447" s="268"/>
      <c r="AVL447" s="268"/>
      <c r="AVM447" s="268"/>
      <c r="AVN447" s="268"/>
      <c r="AVO447" s="268"/>
      <c r="AVP447" s="268"/>
      <c r="AVQ447" s="268"/>
      <c r="AVR447" s="268"/>
      <c r="AVS447" s="268"/>
      <c r="AVT447" s="268"/>
      <c r="AVU447" s="268"/>
      <c r="AVV447" s="268"/>
      <c r="AVW447" s="268"/>
      <c r="AWK447" s="268"/>
      <c r="AWL447" s="268"/>
      <c r="AWM447" s="268"/>
      <c r="AXA447" s="268"/>
      <c r="AXC447" s="268"/>
      <c r="AXD447" s="268"/>
      <c r="AXE447" s="268"/>
      <c r="AXF447" s="268"/>
      <c r="AXG447" s="268"/>
      <c r="AXH447" s="268"/>
      <c r="AXI447" s="268"/>
      <c r="AXJ447" s="268"/>
      <c r="AXK447" s="268"/>
      <c r="AXL447" s="268"/>
      <c r="AXM447" s="268"/>
      <c r="AXN447" s="268"/>
      <c r="AXO447" s="268"/>
      <c r="AXP447" s="268"/>
      <c r="AXQ447" s="268"/>
      <c r="AXR447" s="268"/>
      <c r="AXS447" s="268"/>
      <c r="AXT447" s="268"/>
      <c r="AXU447" s="268"/>
      <c r="AXV447" s="268"/>
      <c r="AXW447" s="268"/>
      <c r="AXX447" s="268"/>
      <c r="AXY447" s="268"/>
      <c r="AXZ447" s="268"/>
      <c r="AYA447" s="268"/>
      <c r="AYB447" s="268"/>
      <c r="AYC447" s="268"/>
      <c r="AYD447" s="268"/>
      <c r="AYE447" s="268"/>
      <c r="AYF447" s="268"/>
      <c r="AYG447" s="268"/>
      <c r="AYH447" s="268"/>
      <c r="AYI447" s="268"/>
      <c r="AYJ447" s="268"/>
      <c r="AYK447" s="268"/>
      <c r="AYL447" s="268"/>
      <c r="AYM447" s="268"/>
      <c r="AYN447" s="268"/>
      <c r="AYO447" s="268"/>
      <c r="AYP447" s="268"/>
      <c r="AYQ447" s="268"/>
      <c r="AYR447" s="268"/>
      <c r="AYS447" s="268"/>
      <c r="AYT447" s="268"/>
      <c r="AYU447" s="268"/>
      <c r="AYV447" s="268"/>
      <c r="AYW447" s="268"/>
      <c r="AYX447" s="268"/>
      <c r="AYY447" s="268"/>
      <c r="AYZ447" s="268"/>
      <c r="AZA447" s="268"/>
      <c r="AZB447" s="268"/>
      <c r="AZC447" s="268"/>
      <c r="AZD447" s="268"/>
      <c r="AZE447" s="268"/>
      <c r="AZF447" s="268"/>
      <c r="AZG447" s="268"/>
      <c r="AZH447" s="268"/>
      <c r="AZI447" s="268"/>
      <c r="AZJ447" s="268"/>
      <c r="AZK447" s="268"/>
      <c r="AZL447" s="268"/>
      <c r="AZM447" s="268"/>
      <c r="AZN447" s="268"/>
      <c r="AZO447" s="268"/>
      <c r="AZP447" s="268"/>
      <c r="AZQ447" s="268"/>
      <c r="AZR447" s="268"/>
      <c r="AZS447" s="268"/>
      <c r="AZT447" s="268"/>
      <c r="AZU447" s="268"/>
      <c r="AZV447" s="268"/>
      <c r="AZW447" s="268"/>
      <c r="AZX447" s="268"/>
      <c r="AZY447" s="268"/>
      <c r="AZZ447" s="268"/>
      <c r="BAA447" s="268"/>
      <c r="BAB447" s="268"/>
      <c r="BAC447" s="268"/>
      <c r="BAD447" s="268"/>
      <c r="BAE447" s="268"/>
      <c r="BAF447" s="268"/>
      <c r="BAG447" s="268"/>
      <c r="BAH447" s="268"/>
      <c r="BAI447" s="268"/>
      <c r="BAJ447" s="268"/>
      <c r="BAK447" s="268"/>
      <c r="BAL447" s="268"/>
      <c r="BAM447" s="268"/>
      <c r="BAN447" s="268"/>
      <c r="BAO447" s="268"/>
      <c r="BAP447" s="268"/>
      <c r="BAQ447" s="268"/>
      <c r="BAR447" s="268"/>
      <c r="BAS447" s="268"/>
      <c r="BAT447" s="268"/>
      <c r="BAU447" s="268"/>
      <c r="BAV447" s="268"/>
      <c r="BAW447" s="268"/>
      <c r="BAX447" s="268"/>
      <c r="BAY447" s="268"/>
      <c r="BAZ447" s="268"/>
      <c r="BBA447" s="268"/>
      <c r="BBB447" s="268"/>
      <c r="BBC447" s="268"/>
      <c r="BBD447" s="268"/>
      <c r="BBE447" s="268"/>
      <c r="BBF447" s="268"/>
      <c r="BBG447" s="268"/>
      <c r="BBH447" s="268"/>
      <c r="BBI447" s="268"/>
      <c r="BBJ447" s="268"/>
      <c r="BBK447" s="268"/>
      <c r="BBL447" s="268"/>
      <c r="BBM447" s="268"/>
      <c r="BBN447" s="268"/>
      <c r="BBO447" s="268"/>
      <c r="BBP447" s="268"/>
      <c r="BBQ447" s="268"/>
      <c r="BBR447" s="268"/>
      <c r="BBS447" s="268"/>
      <c r="BBT447" s="268"/>
      <c r="BBU447" s="268"/>
      <c r="BBV447" s="268"/>
      <c r="BBW447" s="268"/>
      <c r="BBX447" s="268"/>
      <c r="BBY447" s="268"/>
      <c r="BBZ447" s="268"/>
      <c r="BCA447" s="268"/>
      <c r="BCB447" s="268"/>
      <c r="BCC447" s="268"/>
      <c r="BCD447" s="268"/>
      <c r="BCE447" s="268"/>
      <c r="BCF447" s="268"/>
      <c r="BCG447" s="268"/>
      <c r="BCH447" s="268"/>
      <c r="BCI447" s="268"/>
      <c r="BCJ447" s="268"/>
      <c r="BCK447" s="268"/>
      <c r="BCL447" s="268"/>
      <c r="BCM447" s="268"/>
      <c r="BCN447" s="268"/>
      <c r="BCO447" s="268"/>
      <c r="BCP447" s="268"/>
      <c r="BCQ447" s="268"/>
      <c r="BCR447" s="268"/>
      <c r="BCS447" s="268"/>
      <c r="BCT447" s="268"/>
      <c r="BCU447" s="268"/>
      <c r="BCV447" s="268"/>
      <c r="BCW447" s="268"/>
      <c r="BCX447" s="268"/>
      <c r="BCY447" s="268"/>
      <c r="BCZ447" s="268"/>
      <c r="BDA447" s="268"/>
      <c r="BDB447" s="268"/>
      <c r="BDC447" s="268"/>
      <c r="BDD447" s="268"/>
      <c r="BDE447" s="268"/>
      <c r="BDF447" s="268"/>
      <c r="BDG447" s="268"/>
      <c r="BDH447" s="268"/>
      <c r="BDI447" s="268"/>
      <c r="BDJ447" s="268"/>
      <c r="BDK447" s="268"/>
      <c r="BDL447" s="268"/>
      <c r="BDM447" s="268"/>
      <c r="BDN447" s="268"/>
      <c r="BDO447" s="268"/>
      <c r="BDP447" s="268"/>
      <c r="BDQ447" s="268"/>
      <c r="BDR447" s="268"/>
      <c r="BDS447" s="268"/>
      <c r="BDT447" s="268"/>
      <c r="BDU447" s="268"/>
      <c r="BDV447" s="268"/>
      <c r="BDW447" s="268"/>
      <c r="BDX447" s="268"/>
      <c r="BDY447" s="268"/>
      <c r="BDZ447" s="268"/>
      <c r="BEA447" s="268"/>
      <c r="BEB447" s="268"/>
      <c r="BEC447" s="268"/>
      <c r="BED447" s="268"/>
      <c r="BEE447" s="268"/>
      <c r="BEF447" s="268"/>
      <c r="BEG447" s="268"/>
      <c r="BEH447" s="268"/>
      <c r="BEI447" s="268"/>
      <c r="BEJ447" s="268"/>
      <c r="BEK447" s="268"/>
      <c r="BEL447" s="268"/>
      <c r="BEM447" s="268"/>
      <c r="BEN447" s="268"/>
      <c r="BEO447" s="268"/>
      <c r="BEP447" s="268"/>
      <c r="BEQ447" s="268"/>
      <c r="BER447" s="268"/>
      <c r="BES447" s="268"/>
      <c r="BET447" s="268"/>
      <c r="BEU447" s="268"/>
      <c r="BEV447" s="268"/>
      <c r="BEW447" s="268"/>
      <c r="BEX447" s="268"/>
      <c r="BEY447" s="268"/>
      <c r="BEZ447" s="268"/>
      <c r="BFA447" s="268"/>
      <c r="BFB447" s="268"/>
      <c r="BFC447" s="268"/>
      <c r="BFD447" s="268"/>
      <c r="BFE447" s="268"/>
      <c r="BFF447" s="268"/>
      <c r="BFG447" s="268"/>
      <c r="BFH447" s="268"/>
      <c r="BFI447" s="268"/>
      <c r="BFJ447" s="268"/>
      <c r="BFK447" s="268"/>
      <c r="BFL447" s="268"/>
      <c r="BFM447" s="268"/>
      <c r="BFN447" s="268"/>
      <c r="BFO447" s="268"/>
      <c r="BFP447" s="268"/>
      <c r="BFQ447" s="268"/>
      <c r="BFR447" s="268"/>
      <c r="BFS447" s="268"/>
      <c r="BGG447" s="268"/>
      <c r="BGH447" s="268"/>
      <c r="BGI447" s="268"/>
      <c r="BGW447" s="268"/>
      <c r="BGY447" s="268"/>
      <c r="BGZ447" s="268"/>
      <c r="BHA447" s="268"/>
      <c r="BHB447" s="268"/>
      <c r="BHC447" s="268"/>
      <c r="BHD447" s="268"/>
      <c r="BHE447" s="268"/>
      <c r="BHF447" s="268"/>
      <c r="BHG447" s="268"/>
      <c r="BHH447" s="268"/>
      <c r="BHI447" s="268"/>
      <c r="BHJ447" s="268"/>
      <c r="BHK447" s="268"/>
      <c r="BHL447" s="268"/>
      <c r="BHM447" s="268"/>
      <c r="BHN447" s="268"/>
      <c r="BHO447" s="268"/>
      <c r="BHP447" s="268"/>
      <c r="BHQ447" s="268"/>
      <c r="BHR447" s="268"/>
      <c r="BHS447" s="268"/>
      <c r="BHT447" s="268"/>
      <c r="BHU447" s="268"/>
      <c r="BHV447" s="268"/>
      <c r="BHW447" s="268"/>
      <c r="BHX447" s="268"/>
      <c r="BHY447" s="268"/>
      <c r="BHZ447" s="268"/>
      <c r="BIA447" s="268"/>
      <c r="BIB447" s="268"/>
      <c r="BIC447" s="268"/>
      <c r="BID447" s="268"/>
      <c r="BIE447" s="268"/>
      <c r="BIF447" s="268"/>
      <c r="BIG447" s="268"/>
      <c r="BIH447" s="268"/>
      <c r="BII447" s="268"/>
      <c r="BIJ447" s="268"/>
      <c r="BIK447" s="268"/>
      <c r="BIL447" s="268"/>
      <c r="BIM447" s="268"/>
      <c r="BIN447" s="268"/>
      <c r="BIO447" s="268"/>
      <c r="BIP447" s="268"/>
      <c r="BIQ447" s="268"/>
      <c r="BIR447" s="268"/>
      <c r="BIS447" s="268"/>
      <c r="BIT447" s="268"/>
      <c r="BIU447" s="268"/>
      <c r="BIV447" s="268"/>
      <c r="BIW447" s="268"/>
      <c r="BIX447" s="268"/>
      <c r="BIY447" s="268"/>
      <c r="BIZ447" s="268"/>
      <c r="BJA447" s="268"/>
      <c r="BJB447" s="268"/>
      <c r="BJC447" s="268"/>
      <c r="BJD447" s="268"/>
      <c r="BJE447" s="268"/>
      <c r="BJF447" s="268"/>
      <c r="BJG447" s="268"/>
      <c r="BJH447" s="268"/>
      <c r="BJI447" s="268"/>
      <c r="BJJ447" s="268"/>
      <c r="BJK447" s="268"/>
      <c r="BJL447" s="268"/>
      <c r="BJM447" s="268"/>
      <c r="BJN447" s="268"/>
      <c r="BJO447" s="268"/>
      <c r="BJP447" s="268"/>
      <c r="BJQ447" s="268"/>
      <c r="BJR447" s="268"/>
      <c r="BJS447" s="268"/>
      <c r="BJT447" s="268"/>
      <c r="BJU447" s="268"/>
      <c r="BJV447" s="268"/>
      <c r="BJW447" s="268"/>
      <c r="BJX447" s="268"/>
      <c r="BJY447" s="268"/>
      <c r="BJZ447" s="268"/>
      <c r="BKA447" s="268"/>
      <c r="BKB447" s="268"/>
      <c r="BKC447" s="268"/>
      <c r="BKD447" s="268"/>
      <c r="BKE447" s="268"/>
      <c r="BKF447" s="268"/>
      <c r="BKG447" s="268"/>
      <c r="BKH447" s="268"/>
      <c r="BKI447" s="268"/>
      <c r="BKJ447" s="268"/>
      <c r="BKK447" s="268"/>
      <c r="BKL447" s="268"/>
      <c r="BKM447" s="268"/>
      <c r="BKN447" s="268"/>
      <c r="BKO447" s="268"/>
      <c r="BKP447" s="268"/>
      <c r="BKQ447" s="268"/>
      <c r="BKR447" s="268"/>
      <c r="BKS447" s="268"/>
      <c r="BKT447" s="268"/>
      <c r="BKU447" s="268"/>
      <c r="BKV447" s="268"/>
      <c r="BKW447" s="268"/>
      <c r="BKX447" s="268"/>
      <c r="BKY447" s="268"/>
      <c r="BKZ447" s="268"/>
      <c r="BLA447" s="268"/>
      <c r="BLB447" s="268"/>
      <c r="BLC447" s="268"/>
      <c r="BLD447" s="268"/>
      <c r="BLE447" s="268"/>
      <c r="BLF447" s="268"/>
      <c r="BLG447" s="268"/>
      <c r="BLH447" s="268"/>
      <c r="BLI447" s="268"/>
      <c r="BLJ447" s="268"/>
      <c r="BLK447" s="268"/>
      <c r="BLL447" s="268"/>
      <c r="BLM447" s="268"/>
      <c r="BLN447" s="268"/>
      <c r="BLO447" s="268"/>
      <c r="BLP447" s="268"/>
      <c r="BLQ447" s="268"/>
      <c r="BLR447" s="268"/>
      <c r="BLS447" s="268"/>
      <c r="BLT447" s="268"/>
      <c r="BLU447" s="268"/>
      <c r="BLV447" s="268"/>
      <c r="BLW447" s="268"/>
      <c r="BLX447" s="268"/>
      <c r="BLY447" s="268"/>
      <c r="BLZ447" s="268"/>
      <c r="BMA447" s="268"/>
      <c r="BMB447" s="268"/>
      <c r="BMC447" s="268"/>
      <c r="BMD447" s="268"/>
      <c r="BME447" s="268"/>
      <c r="BMF447" s="268"/>
      <c r="BMG447" s="268"/>
      <c r="BMH447" s="268"/>
      <c r="BMI447" s="268"/>
      <c r="BMJ447" s="268"/>
      <c r="BMK447" s="268"/>
      <c r="BML447" s="268"/>
      <c r="BMM447" s="268"/>
      <c r="BMN447" s="268"/>
      <c r="BMO447" s="268"/>
      <c r="BMP447" s="268"/>
      <c r="BMQ447" s="268"/>
      <c r="BMR447" s="268"/>
      <c r="BMS447" s="268"/>
      <c r="BMT447" s="268"/>
      <c r="BMU447" s="268"/>
      <c r="BMV447" s="268"/>
      <c r="BMW447" s="268"/>
      <c r="BMX447" s="268"/>
      <c r="BMY447" s="268"/>
      <c r="BMZ447" s="268"/>
      <c r="BNA447" s="268"/>
      <c r="BNB447" s="268"/>
      <c r="BNC447" s="268"/>
      <c r="BND447" s="268"/>
      <c r="BNE447" s="268"/>
      <c r="BNF447" s="268"/>
      <c r="BNG447" s="268"/>
      <c r="BNH447" s="268"/>
      <c r="BNI447" s="268"/>
      <c r="BNJ447" s="268"/>
      <c r="BNK447" s="268"/>
      <c r="BNL447" s="268"/>
      <c r="BNM447" s="268"/>
      <c r="BNN447" s="268"/>
      <c r="BNO447" s="268"/>
      <c r="BNP447" s="268"/>
      <c r="BNQ447" s="268"/>
      <c r="BNR447" s="268"/>
      <c r="BNS447" s="268"/>
      <c r="BNT447" s="268"/>
      <c r="BNU447" s="268"/>
      <c r="BNV447" s="268"/>
      <c r="BNW447" s="268"/>
      <c r="BNX447" s="268"/>
      <c r="BNY447" s="268"/>
      <c r="BNZ447" s="268"/>
      <c r="BOA447" s="268"/>
      <c r="BOB447" s="268"/>
      <c r="BOC447" s="268"/>
      <c r="BOD447" s="268"/>
      <c r="BOE447" s="268"/>
      <c r="BOF447" s="268"/>
      <c r="BOG447" s="268"/>
      <c r="BOH447" s="268"/>
      <c r="BOI447" s="268"/>
      <c r="BOJ447" s="268"/>
      <c r="BOK447" s="268"/>
      <c r="BOL447" s="268"/>
      <c r="BOM447" s="268"/>
      <c r="BON447" s="268"/>
      <c r="BOO447" s="268"/>
      <c r="BOP447" s="268"/>
      <c r="BOQ447" s="268"/>
      <c r="BOR447" s="268"/>
      <c r="BOS447" s="268"/>
      <c r="BOT447" s="268"/>
      <c r="BOU447" s="268"/>
      <c r="BOV447" s="268"/>
      <c r="BOW447" s="268"/>
      <c r="BOX447" s="268"/>
      <c r="BOY447" s="268"/>
      <c r="BOZ447" s="268"/>
      <c r="BPA447" s="268"/>
      <c r="BPB447" s="268"/>
      <c r="BPC447" s="268"/>
      <c r="BPD447" s="268"/>
      <c r="BPE447" s="268"/>
      <c r="BPF447" s="268"/>
      <c r="BPG447" s="268"/>
      <c r="BPH447" s="268"/>
      <c r="BPI447" s="268"/>
      <c r="BPJ447" s="268"/>
      <c r="BPK447" s="268"/>
      <c r="BPL447" s="268"/>
      <c r="BPM447" s="268"/>
      <c r="BPN447" s="268"/>
      <c r="BPO447" s="268"/>
      <c r="BQC447" s="268"/>
      <c r="BQD447" s="268"/>
      <c r="BQE447" s="268"/>
      <c r="BQS447" s="268"/>
      <c r="BQU447" s="268"/>
      <c r="BQV447" s="268"/>
      <c r="BQW447" s="268"/>
      <c r="BQX447" s="268"/>
      <c r="BQY447" s="268"/>
      <c r="BQZ447" s="268"/>
      <c r="BRA447" s="268"/>
      <c r="BRB447" s="268"/>
      <c r="BRC447" s="268"/>
      <c r="BRD447" s="268"/>
      <c r="BRE447" s="268"/>
      <c r="BRF447" s="268"/>
      <c r="BRG447" s="268"/>
      <c r="BRH447" s="268"/>
      <c r="BRI447" s="268"/>
      <c r="BRJ447" s="268"/>
      <c r="BRK447" s="268"/>
      <c r="BRL447" s="268"/>
      <c r="BRM447" s="268"/>
      <c r="BRN447" s="268"/>
      <c r="BRO447" s="268"/>
      <c r="BRP447" s="268"/>
      <c r="BRQ447" s="268"/>
      <c r="BRR447" s="268"/>
      <c r="BRS447" s="268"/>
      <c r="BRT447" s="268"/>
      <c r="BRU447" s="268"/>
      <c r="BRV447" s="268"/>
      <c r="BRW447" s="268"/>
      <c r="BRX447" s="268"/>
      <c r="BRY447" s="268"/>
      <c r="BRZ447" s="268"/>
      <c r="BSA447" s="268"/>
      <c r="BSB447" s="268"/>
      <c r="BSC447" s="268"/>
      <c r="BSD447" s="268"/>
      <c r="BSE447" s="268"/>
      <c r="BSF447" s="268"/>
      <c r="BSG447" s="268"/>
      <c r="BSH447" s="268"/>
      <c r="BSI447" s="268"/>
      <c r="BSJ447" s="268"/>
      <c r="BSK447" s="268"/>
      <c r="BSL447" s="268"/>
      <c r="BSM447" s="268"/>
      <c r="BSN447" s="268"/>
      <c r="BSO447" s="268"/>
      <c r="BSP447" s="268"/>
      <c r="BSQ447" s="268"/>
      <c r="BSR447" s="268"/>
      <c r="BSS447" s="268"/>
      <c r="BST447" s="268"/>
      <c r="BSU447" s="268"/>
      <c r="BSV447" s="268"/>
      <c r="BSW447" s="268"/>
      <c r="BSX447" s="268"/>
      <c r="BSY447" s="268"/>
      <c r="BSZ447" s="268"/>
      <c r="BTA447" s="268"/>
      <c r="BTB447" s="268"/>
      <c r="BTC447" s="268"/>
      <c r="BTD447" s="268"/>
      <c r="BTE447" s="268"/>
      <c r="BTF447" s="268"/>
      <c r="BTG447" s="268"/>
      <c r="BTH447" s="268"/>
      <c r="BTI447" s="268"/>
      <c r="BTJ447" s="268"/>
      <c r="BTK447" s="268"/>
      <c r="BTL447" s="268"/>
      <c r="BTM447" s="268"/>
      <c r="BTN447" s="268"/>
      <c r="BTO447" s="268"/>
      <c r="BTP447" s="268"/>
      <c r="BTQ447" s="268"/>
      <c r="BTR447" s="268"/>
      <c r="BTS447" s="268"/>
      <c r="BTT447" s="268"/>
      <c r="BTU447" s="268"/>
      <c r="BTV447" s="268"/>
      <c r="BTW447" s="268"/>
      <c r="BTX447" s="268"/>
      <c r="BTY447" s="268"/>
      <c r="BTZ447" s="268"/>
      <c r="BUA447" s="268"/>
      <c r="BUB447" s="268"/>
      <c r="BUC447" s="268"/>
      <c r="BUD447" s="268"/>
      <c r="BUE447" s="268"/>
      <c r="BUF447" s="268"/>
      <c r="BUG447" s="268"/>
      <c r="BUH447" s="268"/>
      <c r="BUI447" s="268"/>
      <c r="BUJ447" s="268"/>
      <c r="BUK447" s="268"/>
      <c r="BUL447" s="268"/>
      <c r="BUM447" s="268"/>
      <c r="BUN447" s="268"/>
      <c r="BUO447" s="268"/>
      <c r="BUP447" s="268"/>
      <c r="BUQ447" s="268"/>
      <c r="BUR447" s="268"/>
      <c r="BUS447" s="268"/>
      <c r="BUT447" s="268"/>
      <c r="BUU447" s="268"/>
      <c r="BUV447" s="268"/>
      <c r="BUW447" s="268"/>
      <c r="BUX447" s="268"/>
      <c r="BUY447" s="268"/>
      <c r="BUZ447" s="268"/>
      <c r="BVA447" s="268"/>
      <c r="BVB447" s="268"/>
      <c r="BVC447" s="268"/>
      <c r="BVD447" s="268"/>
      <c r="BVE447" s="268"/>
      <c r="BVF447" s="268"/>
      <c r="BVG447" s="268"/>
      <c r="BVH447" s="268"/>
      <c r="BVI447" s="268"/>
      <c r="BVJ447" s="268"/>
      <c r="BVK447" s="268"/>
      <c r="BVL447" s="268"/>
      <c r="BVM447" s="268"/>
      <c r="BVN447" s="268"/>
      <c r="BVO447" s="268"/>
      <c r="BVP447" s="268"/>
      <c r="BVQ447" s="268"/>
      <c r="BVR447" s="268"/>
      <c r="BVS447" s="268"/>
      <c r="BVT447" s="268"/>
      <c r="BVU447" s="268"/>
      <c r="BVV447" s="268"/>
      <c r="BVW447" s="268"/>
      <c r="BVX447" s="268"/>
      <c r="BVY447" s="268"/>
      <c r="BVZ447" s="268"/>
      <c r="BWA447" s="268"/>
      <c r="BWB447" s="268"/>
      <c r="BWC447" s="268"/>
      <c r="BWD447" s="268"/>
      <c r="BWE447" s="268"/>
      <c r="BWF447" s="268"/>
      <c r="BWG447" s="268"/>
      <c r="BWH447" s="268"/>
      <c r="BWI447" s="268"/>
      <c r="BWJ447" s="268"/>
      <c r="BWK447" s="268"/>
      <c r="BWL447" s="268"/>
      <c r="BWM447" s="268"/>
      <c r="BWN447" s="268"/>
      <c r="BWO447" s="268"/>
      <c r="BWP447" s="268"/>
      <c r="BWQ447" s="268"/>
      <c r="BWR447" s="268"/>
      <c r="BWS447" s="268"/>
      <c r="BWT447" s="268"/>
      <c r="BWU447" s="268"/>
      <c r="BWV447" s="268"/>
      <c r="BWW447" s="268"/>
      <c r="BWX447" s="268"/>
      <c r="BWY447" s="268"/>
      <c r="BWZ447" s="268"/>
      <c r="BXA447" s="268"/>
      <c r="BXB447" s="268"/>
      <c r="BXC447" s="268"/>
      <c r="BXD447" s="268"/>
      <c r="BXE447" s="268"/>
      <c r="BXF447" s="268"/>
      <c r="BXG447" s="268"/>
      <c r="BXH447" s="268"/>
      <c r="BXI447" s="268"/>
      <c r="BXJ447" s="268"/>
      <c r="BXK447" s="268"/>
      <c r="BXL447" s="268"/>
      <c r="BXM447" s="268"/>
      <c r="BXN447" s="268"/>
      <c r="BXO447" s="268"/>
      <c r="BXP447" s="268"/>
      <c r="BXQ447" s="268"/>
      <c r="BXR447" s="268"/>
      <c r="BXS447" s="268"/>
      <c r="BXT447" s="268"/>
      <c r="BXU447" s="268"/>
      <c r="BXV447" s="268"/>
      <c r="BXW447" s="268"/>
      <c r="BXX447" s="268"/>
      <c r="BXY447" s="268"/>
      <c r="BXZ447" s="268"/>
      <c r="BYA447" s="268"/>
      <c r="BYB447" s="268"/>
      <c r="BYC447" s="268"/>
      <c r="BYD447" s="268"/>
      <c r="BYE447" s="268"/>
      <c r="BYF447" s="268"/>
      <c r="BYG447" s="268"/>
      <c r="BYH447" s="268"/>
      <c r="BYI447" s="268"/>
      <c r="BYJ447" s="268"/>
      <c r="BYK447" s="268"/>
      <c r="BYL447" s="268"/>
      <c r="BYM447" s="268"/>
      <c r="BYN447" s="268"/>
      <c r="BYO447" s="268"/>
      <c r="BYP447" s="268"/>
      <c r="BYQ447" s="268"/>
      <c r="BYR447" s="268"/>
      <c r="BYS447" s="268"/>
      <c r="BYT447" s="268"/>
      <c r="BYU447" s="268"/>
      <c r="BYV447" s="268"/>
      <c r="BYW447" s="268"/>
      <c r="BYX447" s="268"/>
      <c r="BYY447" s="268"/>
      <c r="BYZ447" s="268"/>
      <c r="BZA447" s="268"/>
      <c r="BZB447" s="268"/>
      <c r="BZC447" s="268"/>
      <c r="BZD447" s="268"/>
      <c r="BZE447" s="268"/>
      <c r="BZF447" s="268"/>
      <c r="BZG447" s="268"/>
      <c r="BZH447" s="268"/>
      <c r="BZI447" s="268"/>
      <c r="BZJ447" s="268"/>
      <c r="BZK447" s="268"/>
      <c r="BZY447" s="268"/>
      <c r="BZZ447" s="268"/>
      <c r="CAA447" s="268"/>
      <c r="CAO447" s="268"/>
      <c r="CAQ447" s="268"/>
      <c r="CAR447" s="268"/>
      <c r="CAS447" s="268"/>
      <c r="CAT447" s="268"/>
      <c r="CAU447" s="268"/>
      <c r="CAV447" s="268"/>
      <c r="CAW447" s="268"/>
      <c r="CAX447" s="268"/>
      <c r="CAY447" s="268"/>
      <c r="CAZ447" s="268"/>
      <c r="CBA447" s="268"/>
      <c r="CBB447" s="268"/>
      <c r="CBC447" s="268"/>
      <c r="CBD447" s="268"/>
      <c r="CBE447" s="268"/>
      <c r="CBF447" s="268"/>
      <c r="CBG447" s="268"/>
      <c r="CBH447" s="268"/>
      <c r="CBI447" s="268"/>
      <c r="CBJ447" s="268"/>
      <c r="CBK447" s="268"/>
      <c r="CBL447" s="268"/>
      <c r="CBM447" s="268"/>
      <c r="CBN447" s="268"/>
      <c r="CBO447" s="268"/>
      <c r="CBP447" s="268"/>
      <c r="CBQ447" s="268"/>
      <c r="CBR447" s="268"/>
      <c r="CBS447" s="268"/>
      <c r="CBT447" s="268"/>
      <c r="CBU447" s="268"/>
      <c r="CBV447" s="268"/>
      <c r="CBW447" s="268"/>
      <c r="CBX447" s="268"/>
      <c r="CBY447" s="268"/>
      <c r="CBZ447" s="268"/>
      <c r="CCA447" s="268"/>
      <c r="CCB447" s="268"/>
      <c r="CCC447" s="268"/>
      <c r="CCD447" s="268"/>
      <c r="CCE447" s="268"/>
      <c r="CCF447" s="268"/>
      <c r="CCG447" s="268"/>
      <c r="CCH447" s="268"/>
      <c r="CCI447" s="268"/>
      <c r="CCJ447" s="268"/>
      <c r="CCK447" s="268"/>
      <c r="CCL447" s="268"/>
      <c r="CCM447" s="268"/>
      <c r="CCN447" s="268"/>
      <c r="CCO447" s="268"/>
      <c r="CCP447" s="268"/>
      <c r="CCQ447" s="268"/>
      <c r="CCR447" s="268"/>
      <c r="CCS447" s="268"/>
      <c r="CCT447" s="268"/>
      <c r="CCU447" s="268"/>
      <c r="CCV447" s="268"/>
      <c r="CCW447" s="268"/>
      <c r="CCX447" s="268"/>
      <c r="CCY447" s="268"/>
      <c r="CCZ447" s="268"/>
      <c r="CDA447" s="268"/>
      <c r="CDB447" s="268"/>
      <c r="CDC447" s="268"/>
      <c r="CDD447" s="268"/>
      <c r="CDE447" s="268"/>
      <c r="CDF447" s="268"/>
      <c r="CDG447" s="268"/>
      <c r="CDH447" s="268"/>
      <c r="CDI447" s="268"/>
      <c r="CDJ447" s="268"/>
      <c r="CDK447" s="268"/>
      <c r="CDL447" s="268"/>
      <c r="CDM447" s="268"/>
      <c r="CDN447" s="268"/>
      <c r="CDO447" s="268"/>
      <c r="CDP447" s="268"/>
      <c r="CDQ447" s="268"/>
      <c r="CDR447" s="268"/>
      <c r="CDS447" s="268"/>
      <c r="CDT447" s="268"/>
      <c r="CDU447" s="268"/>
      <c r="CDV447" s="268"/>
      <c r="CDW447" s="268"/>
      <c r="CDX447" s="268"/>
      <c r="CDY447" s="268"/>
      <c r="CDZ447" s="268"/>
      <c r="CEA447" s="268"/>
      <c r="CEB447" s="268"/>
      <c r="CEC447" s="268"/>
      <c r="CED447" s="268"/>
      <c r="CEE447" s="268"/>
      <c r="CEF447" s="268"/>
      <c r="CEG447" s="268"/>
      <c r="CEH447" s="268"/>
      <c r="CEI447" s="268"/>
      <c r="CEJ447" s="268"/>
      <c r="CEK447" s="268"/>
      <c r="CEL447" s="268"/>
      <c r="CEM447" s="268"/>
      <c r="CEN447" s="268"/>
      <c r="CEO447" s="268"/>
      <c r="CEP447" s="268"/>
      <c r="CEQ447" s="268"/>
      <c r="CER447" s="268"/>
      <c r="CES447" s="268"/>
      <c r="CET447" s="268"/>
      <c r="CEU447" s="268"/>
      <c r="CEV447" s="268"/>
      <c r="CEW447" s="268"/>
      <c r="CEX447" s="268"/>
      <c r="CEY447" s="268"/>
      <c r="CEZ447" s="268"/>
      <c r="CFA447" s="268"/>
      <c r="CFB447" s="268"/>
      <c r="CFC447" s="268"/>
      <c r="CFD447" s="268"/>
      <c r="CFE447" s="268"/>
      <c r="CFF447" s="268"/>
      <c r="CFG447" s="268"/>
      <c r="CFH447" s="268"/>
      <c r="CFI447" s="268"/>
      <c r="CFJ447" s="268"/>
      <c r="CFK447" s="268"/>
      <c r="CFL447" s="268"/>
      <c r="CFM447" s="268"/>
      <c r="CFN447" s="268"/>
      <c r="CFO447" s="268"/>
      <c r="CFP447" s="268"/>
      <c r="CFQ447" s="268"/>
      <c r="CFR447" s="268"/>
      <c r="CFS447" s="268"/>
      <c r="CFT447" s="268"/>
      <c r="CFU447" s="268"/>
      <c r="CFV447" s="268"/>
      <c r="CFW447" s="268"/>
      <c r="CFX447" s="268"/>
      <c r="CFY447" s="268"/>
      <c r="CFZ447" s="268"/>
      <c r="CGA447" s="268"/>
      <c r="CGB447" s="268"/>
      <c r="CGC447" s="268"/>
      <c r="CGD447" s="268"/>
      <c r="CGE447" s="268"/>
      <c r="CGF447" s="268"/>
      <c r="CGG447" s="268"/>
      <c r="CGH447" s="268"/>
      <c r="CGI447" s="268"/>
      <c r="CGJ447" s="268"/>
      <c r="CGK447" s="268"/>
      <c r="CGL447" s="268"/>
      <c r="CGM447" s="268"/>
      <c r="CGN447" s="268"/>
      <c r="CGO447" s="268"/>
      <c r="CGP447" s="268"/>
      <c r="CGQ447" s="268"/>
      <c r="CGR447" s="268"/>
      <c r="CGS447" s="268"/>
      <c r="CGT447" s="268"/>
      <c r="CGU447" s="268"/>
      <c r="CGV447" s="268"/>
      <c r="CGW447" s="268"/>
      <c r="CGX447" s="268"/>
      <c r="CGY447" s="268"/>
      <c r="CGZ447" s="268"/>
      <c r="CHA447" s="268"/>
      <c r="CHB447" s="268"/>
      <c r="CHC447" s="268"/>
      <c r="CHD447" s="268"/>
      <c r="CHE447" s="268"/>
      <c r="CHF447" s="268"/>
      <c r="CHG447" s="268"/>
      <c r="CHH447" s="268"/>
      <c r="CHI447" s="268"/>
      <c r="CHJ447" s="268"/>
      <c r="CHK447" s="268"/>
      <c r="CHL447" s="268"/>
      <c r="CHM447" s="268"/>
      <c r="CHN447" s="268"/>
      <c r="CHO447" s="268"/>
      <c r="CHP447" s="268"/>
      <c r="CHQ447" s="268"/>
      <c r="CHR447" s="268"/>
      <c r="CHS447" s="268"/>
      <c r="CHT447" s="268"/>
      <c r="CHU447" s="268"/>
      <c r="CHV447" s="268"/>
      <c r="CHW447" s="268"/>
      <c r="CHX447" s="268"/>
      <c r="CHY447" s="268"/>
      <c r="CHZ447" s="268"/>
      <c r="CIA447" s="268"/>
      <c r="CIB447" s="268"/>
      <c r="CIC447" s="268"/>
      <c r="CID447" s="268"/>
      <c r="CIE447" s="268"/>
      <c r="CIF447" s="268"/>
      <c r="CIG447" s="268"/>
      <c r="CIH447" s="268"/>
      <c r="CII447" s="268"/>
      <c r="CIJ447" s="268"/>
      <c r="CIK447" s="268"/>
      <c r="CIL447" s="268"/>
      <c r="CIM447" s="268"/>
      <c r="CIN447" s="268"/>
      <c r="CIO447" s="268"/>
      <c r="CIP447" s="268"/>
      <c r="CIQ447" s="268"/>
      <c r="CIR447" s="268"/>
      <c r="CIS447" s="268"/>
      <c r="CIT447" s="268"/>
      <c r="CIU447" s="268"/>
      <c r="CIV447" s="268"/>
      <c r="CIW447" s="268"/>
      <c r="CIX447" s="268"/>
      <c r="CIY447" s="268"/>
      <c r="CIZ447" s="268"/>
      <c r="CJA447" s="268"/>
      <c r="CJB447" s="268"/>
      <c r="CJC447" s="268"/>
      <c r="CJD447" s="268"/>
      <c r="CJE447" s="268"/>
      <c r="CJF447" s="268"/>
      <c r="CJG447" s="268"/>
      <c r="CJU447" s="268"/>
      <c r="CJV447" s="268"/>
      <c r="CJW447" s="268"/>
      <c r="CKK447" s="268"/>
      <c r="CKM447" s="268"/>
      <c r="CKN447" s="268"/>
      <c r="CKO447" s="268"/>
      <c r="CKP447" s="268"/>
      <c r="CKQ447" s="268"/>
      <c r="CKR447" s="268"/>
      <c r="CKS447" s="268"/>
      <c r="CKT447" s="268"/>
      <c r="CKU447" s="268"/>
      <c r="CKV447" s="268"/>
      <c r="CKW447" s="268"/>
      <c r="CKX447" s="268"/>
      <c r="CKY447" s="268"/>
      <c r="CKZ447" s="268"/>
      <c r="CLA447" s="268"/>
      <c r="CLB447" s="268"/>
      <c r="CLC447" s="268"/>
      <c r="CLD447" s="268"/>
      <c r="CLE447" s="268"/>
      <c r="CLF447" s="268"/>
      <c r="CLG447" s="268"/>
      <c r="CLH447" s="268"/>
      <c r="CLI447" s="268"/>
      <c r="CLJ447" s="268"/>
      <c r="CLK447" s="268"/>
      <c r="CLL447" s="268"/>
      <c r="CLM447" s="268"/>
      <c r="CLN447" s="268"/>
      <c r="CLO447" s="268"/>
      <c r="CLP447" s="268"/>
      <c r="CLQ447" s="268"/>
      <c r="CLR447" s="268"/>
      <c r="CLS447" s="268"/>
      <c r="CLT447" s="268"/>
      <c r="CLU447" s="268"/>
      <c r="CLV447" s="268"/>
      <c r="CLW447" s="268"/>
      <c r="CLX447" s="268"/>
      <c r="CLY447" s="268"/>
      <c r="CLZ447" s="268"/>
      <c r="CMA447" s="268"/>
      <c r="CMB447" s="268"/>
      <c r="CMC447" s="268"/>
      <c r="CMD447" s="268"/>
      <c r="CME447" s="268"/>
      <c r="CMF447" s="268"/>
      <c r="CMG447" s="268"/>
      <c r="CMH447" s="268"/>
      <c r="CMI447" s="268"/>
      <c r="CMJ447" s="268"/>
      <c r="CMK447" s="268"/>
      <c r="CML447" s="268"/>
      <c r="CMM447" s="268"/>
      <c r="CMN447" s="268"/>
      <c r="CMO447" s="268"/>
      <c r="CMP447" s="268"/>
      <c r="CMQ447" s="268"/>
      <c r="CMR447" s="268"/>
      <c r="CMS447" s="268"/>
      <c r="CMT447" s="268"/>
      <c r="CMU447" s="268"/>
      <c r="CMV447" s="268"/>
      <c r="CMW447" s="268"/>
      <c r="CMX447" s="268"/>
      <c r="CMY447" s="268"/>
      <c r="CMZ447" s="268"/>
      <c r="CNA447" s="268"/>
      <c r="CNB447" s="268"/>
      <c r="CNC447" s="268"/>
      <c r="CND447" s="268"/>
      <c r="CNE447" s="268"/>
      <c r="CNF447" s="268"/>
      <c r="CNG447" s="268"/>
      <c r="CNH447" s="268"/>
      <c r="CNI447" s="268"/>
      <c r="CNJ447" s="268"/>
      <c r="CNK447" s="268"/>
      <c r="CNL447" s="268"/>
      <c r="CNM447" s="268"/>
      <c r="CNN447" s="268"/>
      <c r="CNO447" s="268"/>
      <c r="CNP447" s="268"/>
      <c r="CNQ447" s="268"/>
      <c r="CNR447" s="268"/>
      <c r="CNS447" s="268"/>
      <c r="CNT447" s="268"/>
      <c r="CNU447" s="268"/>
      <c r="CNV447" s="268"/>
      <c r="CNW447" s="268"/>
      <c r="CNX447" s="268"/>
      <c r="CNY447" s="268"/>
      <c r="CNZ447" s="268"/>
      <c r="COA447" s="268"/>
      <c r="COB447" s="268"/>
      <c r="COC447" s="268"/>
      <c r="COD447" s="268"/>
      <c r="COE447" s="268"/>
      <c r="COF447" s="268"/>
      <c r="COG447" s="268"/>
      <c r="COH447" s="268"/>
      <c r="COI447" s="268"/>
      <c r="COJ447" s="268"/>
      <c r="COK447" s="268"/>
      <c r="COL447" s="268"/>
      <c r="COM447" s="268"/>
      <c r="CON447" s="268"/>
      <c r="COO447" s="268"/>
      <c r="COP447" s="268"/>
      <c r="COQ447" s="268"/>
      <c r="COR447" s="268"/>
      <c r="COS447" s="268"/>
      <c r="COT447" s="268"/>
      <c r="COU447" s="268"/>
      <c r="COV447" s="268"/>
      <c r="COW447" s="268"/>
      <c r="COX447" s="268"/>
      <c r="COY447" s="268"/>
      <c r="COZ447" s="268"/>
      <c r="CPA447" s="268"/>
      <c r="CPB447" s="268"/>
      <c r="CPC447" s="268"/>
      <c r="CPD447" s="268"/>
      <c r="CPE447" s="268"/>
      <c r="CPF447" s="268"/>
      <c r="CPG447" s="268"/>
      <c r="CPH447" s="268"/>
      <c r="CPI447" s="268"/>
      <c r="CPJ447" s="268"/>
      <c r="CPK447" s="268"/>
      <c r="CPL447" s="268"/>
      <c r="CPM447" s="268"/>
      <c r="CPN447" s="268"/>
      <c r="CPO447" s="268"/>
      <c r="CPP447" s="268"/>
      <c r="CPQ447" s="268"/>
      <c r="CPR447" s="268"/>
      <c r="CPS447" s="268"/>
      <c r="CPT447" s="268"/>
      <c r="CPU447" s="268"/>
      <c r="CPV447" s="268"/>
      <c r="CPW447" s="268"/>
      <c r="CPX447" s="268"/>
      <c r="CPY447" s="268"/>
      <c r="CPZ447" s="268"/>
      <c r="CQA447" s="268"/>
      <c r="CQB447" s="268"/>
      <c r="CQC447" s="268"/>
      <c r="CQD447" s="268"/>
      <c r="CQE447" s="268"/>
      <c r="CQF447" s="268"/>
      <c r="CQG447" s="268"/>
      <c r="CQH447" s="268"/>
      <c r="CQI447" s="268"/>
      <c r="CQJ447" s="268"/>
      <c r="CQK447" s="268"/>
      <c r="CQL447" s="268"/>
      <c r="CQM447" s="268"/>
      <c r="CQN447" s="268"/>
      <c r="CQO447" s="268"/>
      <c r="CQP447" s="268"/>
      <c r="CQQ447" s="268"/>
      <c r="CQR447" s="268"/>
      <c r="CQS447" s="268"/>
      <c r="CQT447" s="268"/>
      <c r="CQU447" s="268"/>
      <c r="CQV447" s="268"/>
      <c r="CQW447" s="268"/>
      <c r="CQX447" s="268"/>
      <c r="CQY447" s="268"/>
      <c r="CQZ447" s="268"/>
      <c r="CRA447" s="268"/>
      <c r="CRB447" s="268"/>
      <c r="CRC447" s="268"/>
      <c r="CRD447" s="268"/>
      <c r="CRE447" s="268"/>
      <c r="CRF447" s="268"/>
      <c r="CRG447" s="268"/>
      <c r="CRH447" s="268"/>
      <c r="CRI447" s="268"/>
      <c r="CRJ447" s="268"/>
      <c r="CRK447" s="268"/>
      <c r="CRL447" s="268"/>
      <c r="CRM447" s="268"/>
      <c r="CRN447" s="268"/>
      <c r="CRO447" s="268"/>
      <c r="CRP447" s="268"/>
      <c r="CRQ447" s="268"/>
      <c r="CRR447" s="268"/>
      <c r="CRS447" s="268"/>
      <c r="CRT447" s="268"/>
      <c r="CRU447" s="268"/>
      <c r="CRV447" s="268"/>
      <c r="CRW447" s="268"/>
      <c r="CRX447" s="268"/>
      <c r="CRY447" s="268"/>
      <c r="CRZ447" s="268"/>
      <c r="CSA447" s="268"/>
      <c r="CSB447" s="268"/>
      <c r="CSC447" s="268"/>
      <c r="CSD447" s="268"/>
      <c r="CSE447" s="268"/>
      <c r="CSF447" s="268"/>
      <c r="CSG447" s="268"/>
      <c r="CSH447" s="268"/>
      <c r="CSI447" s="268"/>
      <c r="CSJ447" s="268"/>
      <c r="CSK447" s="268"/>
      <c r="CSL447" s="268"/>
      <c r="CSM447" s="268"/>
      <c r="CSN447" s="268"/>
      <c r="CSO447" s="268"/>
      <c r="CSP447" s="268"/>
      <c r="CSQ447" s="268"/>
      <c r="CSR447" s="268"/>
      <c r="CSS447" s="268"/>
      <c r="CST447" s="268"/>
      <c r="CSU447" s="268"/>
      <c r="CSV447" s="268"/>
      <c r="CSW447" s="268"/>
      <c r="CSX447" s="268"/>
      <c r="CSY447" s="268"/>
      <c r="CSZ447" s="268"/>
      <c r="CTA447" s="268"/>
      <c r="CTB447" s="268"/>
      <c r="CTC447" s="268"/>
      <c r="CTQ447" s="268"/>
      <c r="CTR447" s="268"/>
      <c r="CTS447" s="268"/>
      <c r="CUG447" s="268"/>
      <c r="CUI447" s="268"/>
      <c r="CUJ447" s="268"/>
      <c r="CUK447" s="268"/>
      <c r="CUL447" s="268"/>
      <c r="CUM447" s="268"/>
      <c r="CUN447" s="268"/>
      <c r="CUO447" s="268"/>
      <c r="CUP447" s="268"/>
      <c r="CUQ447" s="268"/>
      <c r="CUR447" s="268"/>
      <c r="CUS447" s="268"/>
      <c r="CUT447" s="268"/>
      <c r="CUU447" s="268"/>
      <c r="CUV447" s="268"/>
      <c r="CUW447" s="268"/>
      <c r="CUX447" s="268"/>
      <c r="CUY447" s="268"/>
      <c r="CUZ447" s="268"/>
      <c r="CVA447" s="268"/>
      <c r="CVB447" s="268"/>
      <c r="CVC447" s="268"/>
      <c r="CVD447" s="268"/>
      <c r="CVE447" s="268"/>
      <c r="CVF447" s="268"/>
      <c r="CVG447" s="268"/>
      <c r="CVH447" s="268"/>
      <c r="CVI447" s="268"/>
      <c r="CVJ447" s="268"/>
      <c r="CVK447" s="268"/>
      <c r="CVL447" s="268"/>
      <c r="CVM447" s="268"/>
      <c r="CVN447" s="268"/>
      <c r="CVO447" s="268"/>
      <c r="CVP447" s="268"/>
      <c r="CVQ447" s="268"/>
      <c r="CVR447" s="268"/>
      <c r="CVS447" s="268"/>
      <c r="CVT447" s="268"/>
      <c r="CVU447" s="268"/>
      <c r="CVV447" s="268"/>
      <c r="CVW447" s="268"/>
      <c r="CVX447" s="268"/>
      <c r="CVY447" s="268"/>
      <c r="CVZ447" s="268"/>
      <c r="CWA447" s="268"/>
      <c r="CWB447" s="268"/>
      <c r="CWC447" s="268"/>
      <c r="CWD447" s="268"/>
      <c r="CWE447" s="268"/>
      <c r="CWF447" s="268"/>
      <c r="CWG447" s="268"/>
      <c r="CWH447" s="268"/>
      <c r="CWI447" s="268"/>
      <c r="CWJ447" s="268"/>
      <c r="CWK447" s="268"/>
      <c r="CWL447" s="268"/>
      <c r="CWM447" s="268"/>
      <c r="CWN447" s="268"/>
      <c r="CWO447" s="268"/>
      <c r="CWP447" s="268"/>
      <c r="CWQ447" s="268"/>
      <c r="CWR447" s="268"/>
      <c r="CWS447" s="268"/>
      <c r="CWT447" s="268"/>
      <c r="CWU447" s="268"/>
      <c r="CWV447" s="268"/>
      <c r="CWW447" s="268"/>
      <c r="CWX447" s="268"/>
      <c r="CWY447" s="268"/>
      <c r="CWZ447" s="268"/>
      <c r="CXA447" s="268"/>
      <c r="CXB447" s="268"/>
      <c r="CXC447" s="268"/>
      <c r="CXD447" s="268"/>
      <c r="CXE447" s="268"/>
      <c r="CXF447" s="268"/>
      <c r="CXG447" s="268"/>
      <c r="CXH447" s="268"/>
      <c r="CXI447" s="268"/>
      <c r="CXJ447" s="268"/>
      <c r="CXK447" s="268"/>
      <c r="CXL447" s="268"/>
      <c r="CXM447" s="268"/>
      <c r="CXN447" s="268"/>
      <c r="CXO447" s="268"/>
      <c r="CXP447" s="268"/>
      <c r="CXQ447" s="268"/>
      <c r="CXR447" s="268"/>
      <c r="CXS447" s="268"/>
      <c r="CXT447" s="268"/>
      <c r="CXU447" s="268"/>
      <c r="CXV447" s="268"/>
      <c r="CXW447" s="268"/>
      <c r="CXX447" s="268"/>
      <c r="CXY447" s="268"/>
      <c r="CXZ447" s="268"/>
      <c r="CYA447" s="268"/>
      <c r="CYB447" s="268"/>
      <c r="CYC447" s="268"/>
      <c r="CYD447" s="268"/>
      <c r="CYE447" s="268"/>
      <c r="CYF447" s="268"/>
      <c r="CYG447" s="268"/>
      <c r="CYH447" s="268"/>
      <c r="CYI447" s="268"/>
      <c r="CYJ447" s="268"/>
      <c r="CYK447" s="268"/>
      <c r="CYL447" s="268"/>
      <c r="CYM447" s="268"/>
      <c r="CYN447" s="268"/>
      <c r="CYO447" s="268"/>
      <c r="CYP447" s="268"/>
      <c r="CYQ447" s="268"/>
      <c r="CYR447" s="268"/>
      <c r="CYS447" s="268"/>
      <c r="CYT447" s="268"/>
      <c r="CYU447" s="268"/>
      <c r="CYV447" s="268"/>
      <c r="CYW447" s="268"/>
      <c r="CYX447" s="268"/>
      <c r="CYY447" s="268"/>
      <c r="CYZ447" s="268"/>
      <c r="CZA447" s="268"/>
      <c r="CZB447" s="268"/>
      <c r="CZC447" s="268"/>
      <c r="CZD447" s="268"/>
      <c r="CZE447" s="268"/>
      <c r="CZF447" s="268"/>
      <c r="CZG447" s="268"/>
      <c r="CZH447" s="268"/>
      <c r="CZI447" s="268"/>
      <c r="CZJ447" s="268"/>
      <c r="CZK447" s="268"/>
      <c r="CZL447" s="268"/>
      <c r="CZM447" s="268"/>
      <c r="CZN447" s="268"/>
      <c r="CZO447" s="268"/>
      <c r="CZP447" s="268"/>
      <c r="CZQ447" s="268"/>
      <c r="CZR447" s="268"/>
      <c r="CZS447" s="268"/>
      <c r="CZT447" s="268"/>
      <c r="CZU447" s="268"/>
      <c r="CZV447" s="268"/>
      <c r="CZW447" s="268"/>
      <c r="CZX447" s="268"/>
      <c r="CZY447" s="268"/>
      <c r="CZZ447" s="268"/>
      <c r="DAA447" s="268"/>
      <c r="DAB447" s="268"/>
      <c r="DAC447" s="268"/>
      <c r="DAD447" s="268"/>
      <c r="DAE447" s="268"/>
      <c r="DAF447" s="268"/>
      <c r="DAG447" s="268"/>
      <c r="DAH447" s="268"/>
      <c r="DAI447" s="268"/>
      <c r="DAJ447" s="268"/>
      <c r="DAK447" s="268"/>
      <c r="DAL447" s="268"/>
      <c r="DAM447" s="268"/>
      <c r="DAN447" s="268"/>
      <c r="DAO447" s="268"/>
      <c r="DAP447" s="268"/>
      <c r="DAQ447" s="268"/>
      <c r="DAR447" s="268"/>
      <c r="DAS447" s="268"/>
      <c r="DAT447" s="268"/>
      <c r="DAU447" s="268"/>
      <c r="DAV447" s="268"/>
      <c r="DAW447" s="268"/>
      <c r="DAX447" s="268"/>
      <c r="DAY447" s="268"/>
      <c r="DAZ447" s="268"/>
      <c r="DBA447" s="268"/>
      <c r="DBB447" s="268"/>
      <c r="DBC447" s="268"/>
      <c r="DBD447" s="268"/>
      <c r="DBE447" s="268"/>
      <c r="DBF447" s="268"/>
      <c r="DBG447" s="268"/>
      <c r="DBH447" s="268"/>
      <c r="DBI447" s="268"/>
      <c r="DBJ447" s="268"/>
      <c r="DBK447" s="268"/>
      <c r="DBL447" s="268"/>
      <c r="DBM447" s="268"/>
      <c r="DBN447" s="268"/>
      <c r="DBO447" s="268"/>
      <c r="DBP447" s="268"/>
      <c r="DBQ447" s="268"/>
      <c r="DBR447" s="268"/>
      <c r="DBS447" s="268"/>
      <c r="DBT447" s="268"/>
      <c r="DBU447" s="268"/>
      <c r="DBV447" s="268"/>
      <c r="DBW447" s="268"/>
      <c r="DBX447" s="268"/>
      <c r="DBY447" s="268"/>
      <c r="DBZ447" s="268"/>
      <c r="DCA447" s="268"/>
      <c r="DCB447" s="268"/>
      <c r="DCC447" s="268"/>
      <c r="DCD447" s="268"/>
      <c r="DCE447" s="268"/>
      <c r="DCF447" s="268"/>
      <c r="DCG447" s="268"/>
      <c r="DCH447" s="268"/>
      <c r="DCI447" s="268"/>
      <c r="DCJ447" s="268"/>
      <c r="DCK447" s="268"/>
      <c r="DCL447" s="268"/>
      <c r="DCM447" s="268"/>
      <c r="DCN447" s="268"/>
      <c r="DCO447" s="268"/>
      <c r="DCP447" s="268"/>
      <c r="DCQ447" s="268"/>
      <c r="DCR447" s="268"/>
      <c r="DCS447" s="268"/>
      <c r="DCT447" s="268"/>
      <c r="DCU447" s="268"/>
      <c r="DCV447" s="268"/>
      <c r="DCW447" s="268"/>
      <c r="DCX447" s="268"/>
      <c r="DCY447" s="268"/>
      <c r="DDM447" s="268"/>
      <c r="DDN447" s="268"/>
      <c r="DDO447" s="268"/>
      <c r="DEC447" s="268"/>
      <c r="DEE447" s="268"/>
      <c r="DEF447" s="268"/>
      <c r="DEG447" s="268"/>
      <c r="DEH447" s="268"/>
      <c r="DEI447" s="268"/>
      <c r="DEJ447" s="268"/>
      <c r="DEK447" s="268"/>
      <c r="DEL447" s="268"/>
      <c r="DEM447" s="268"/>
      <c r="DEN447" s="268"/>
      <c r="DEO447" s="268"/>
      <c r="DEP447" s="268"/>
      <c r="DEQ447" s="268"/>
      <c r="DER447" s="268"/>
      <c r="DES447" s="268"/>
      <c r="DET447" s="268"/>
      <c r="DEU447" s="268"/>
      <c r="DEV447" s="268"/>
      <c r="DEW447" s="268"/>
      <c r="DEX447" s="268"/>
      <c r="DEY447" s="268"/>
      <c r="DEZ447" s="268"/>
      <c r="DFA447" s="268"/>
      <c r="DFB447" s="268"/>
      <c r="DFC447" s="268"/>
      <c r="DFD447" s="268"/>
      <c r="DFE447" s="268"/>
      <c r="DFF447" s="268"/>
      <c r="DFG447" s="268"/>
      <c r="DFH447" s="268"/>
      <c r="DFI447" s="268"/>
      <c r="DFJ447" s="268"/>
      <c r="DFK447" s="268"/>
      <c r="DFL447" s="268"/>
      <c r="DFM447" s="268"/>
      <c r="DFN447" s="268"/>
      <c r="DFO447" s="268"/>
      <c r="DFP447" s="268"/>
      <c r="DFQ447" s="268"/>
      <c r="DFR447" s="268"/>
      <c r="DFS447" s="268"/>
      <c r="DFT447" s="268"/>
      <c r="DFU447" s="268"/>
      <c r="DFV447" s="268"/>
      <c r="DFW447" s="268"/>
      <c r="DFX447" s="268"/>
      <c r="DFY447" s="268"/>
      <c r="DFZ447" s="268"/>
      <c r="DGA447" s="268"/>
      <c r="DGB447" s="268"/>
      <c r="DGC447" s="268"/>
      <c r="DGD447" s="268"/>
      <c r="DGE447" s="268"/>
      <c r="DGF447" s="268"/>
      <c r="DGG447" s="268"/>
      <c r="DGH447" s="268"/>
      <c r="DGI447" s="268"/>
      <c r="DGJ447" s="268"/>
      <c r="DGK447" s="268"/>
      <c r="DGL447" s="268"/>
      <c r="DGM447" s="268"/>
      <c r="DGN447" s="268"/>
      <c r="DGO447" s="268"/>
      <c r="DGP447" s="268"/>
      <c r="DGQ447" s="268"/>
      <c r="DGR447" s="268"/>
      <c r="DGS447" s="268"/>
      <c r="DGT447" s="268"/>
      <c r="DGU447" s="268"/>
      <c r="DGV447" s="268"/>
      <c r="DGW447" s="268"/>
      <c r="DGX447" s="268"/>
      <c r="DGY447" s="268"/>
      <c r="DGZ447" s="268"/>
      <c r="DHA447" s="268"/>
      <c r="DHB447" s="268"/>
      <c r="DHC447" s="268"/>
      <c r="DHD447" s="268"/>
      <c r="DHE447" s="268"/>
      <c r="DHF447" s="268"/>
      <c r="DHG447" s="268"/>
      <c r="DHH447" s="268"/>
      <c r="DHI447" s="268"/>
      <c r="DHJ447" s="268"/>
      <c r="DHK447" s="268"/>
      <c r="DHL447" s="268"/>
      <c r="DHM447" s="268"/>
      <c r="DHN447" s="268"/>
      <c r="DHO447" s="268"/>
      <c r="DHP447" s="268"/>
      <c r="DHQ447" s="268"/>
      <c r="DHR447" s="268"/>
      <c r="DHS447" s="268"/>
      <c r="DHT447" s="268"/>
      <c r="DHU447" s="268"/>
      <c r="DHV447" s="268"/>
      <c r="DHW447" s="268"/>
      <c r="DHX447" s="268"/>
      <c r="DHY447" s="268"/>
      <c r="DHZ447" s="268"/>
      <c r="DIA447" s="268"/>
      <c r="DIB447" s="268"/>
      <c r="DIC447" s="268"/>
      <c r="DID447" s="268"/>
      <c r="DIE447" s="268"/>
      <c r="DIF447" s="268"/>
      <c r="DIG447" s="268"/>
      <c r="DIH447" s="268"/>
      <c r="DII447" s="268"/>
      <c r="DIJ447" s="268"/>
      <c r="DIK447" s="268"/>
      <c r="DIL447" s="268"/>
      <c r="DIM447" s="268"/>
      <c r="DIN447" s="268"/>
      <c r="DIO447" s="268"/>
      <c r="DIP447" s="268"/>
      <c r="DIQ447" s="268"/>
      <c r="DIR447" s="268"/>
      <c r="DIS447" s="268"/>
      <c r="DIT447" s="268"/>
      <c r="DIU447" s="268"/>
      <c r="DIV447" s="268"/>
      <c r="DIW447" s="268"/>
      <c r="DIX447" s="268"/>
      <c r="DIY447" s="268"/>
      <c r="DIZ447" s="268"/>
      <c r="DJA447" s="268"/>
      <c r="DJB447" s="268"/>
      <c r="DJC447" s="268"/>
      <c r="DJD447" s="268"/>
      <c r="DJE447" s="268"/>
      <c r="DJF447" s="268"/>
      <c r="DJG447" s="268"/>
      <c r="DJH447" s="268"/>
      <c r="DJI447" s="268"/>
      <c r="DJJ447" s="268"/>
      <c r="DJK447" s="268"/>
      <c r="DJL447" s="268"/>
      <c r="DJM447" s="268"/>
      <c r="DJN447" s="268"/>
      <c r="DJO447" s="268"/>
      <c r="DJP447" s="268"/>
      <c r="DJQ447" s="268"/>
      <c r="DJR447" s="268"/>
      <c r="DJS447" s="268"/>
      <c r="DJT447" s="268"/>
      <c r="DJU447" s="268"/>
      <c r="DJV447" s="268"/>
      <c r="DJW447" s="268"/>
      <c r="DJX447" s="268"/>
      <c r="DJY447" s="268"/>
      <c r="DJZ447" s="268"/>
      <c r="DKA447" s="268"/>
      <c r="DKB447" s="268"/>
      <c r="DKC447" s="268"/>
      <c r="DKD447" s="268"/>
      <c r="DKE447" s="268"/>
      <c r="DKF447" s="268"/>
      <c r="DKG447" s="268"/>
      <c r="DKH447" s="268"/>
      <c r="DKI447" s="268"/>
      <c r="DKJ447" s="268"/>
      <c r="DKK447" s="268"/>
      <c r="DKL447" s="268"/>
      <c r="DKM447" s="268"/>
      <c r="DKN447" s="268"/>
      <c r="DKO447" s="268"/>
      <c r="DKP447" s="268"/>
      <c r="DKQ447" s="268"/>
      <c r="DKR447" s="268"/>
      <c r="DKS447" s="268"/>
      <c r="DKT447" s="268"/>
      <c r="DKU447" s="268"/>
      <c r="DKV447" s="268"/>
      <c r="DKW447" s="268"/>
      <c r="DKX447" s="268"/>
      <c r="DKY447" s="268"/>
      <c r="DKZ447" s="268"/>
      <c r="DLA447" s="268"/>
      <c r="DLB447" s="268"/>
      <c r="DLC447" s="268"/>
      <c r="DLD447" s="268"/>
      <c r="DLE447" s="268"/>
      <c r="DLF447" s="268"/>
      <c r="DLG447" s="268"/>
      <c r="DLH447" s="268"/>
      <c r="DLI447" s="268"/>
      <c r="DLJ447" s="268"/>
      <c r="DLK447" s="268"/>
      <c r="DLL447" s="268"/>
      <c r="DLM447" s="268"/>
      <c r="DLN447" s="268"/>
      <c r="DLO447" s="268"/>
      <c r="DLP447" s="268"/>
      <c r="DLQ447" s="268"/>
      <c r="DLR447" s="268"/>
      <c r="DLS447" s="268"/>
      <c r="DLT447" s="268"/>
      <c r="DLU447" s="268"/>
      <c r="DLV447" s="268"/>
      <c r="DLW447" s="268"/>
      <c r="DLX447" s="268"/>
      <c r="DLY447" s="268"/>
      <c r="DLZ447" s="268"/>
      <c r="DMA447" s="268"/>
      <c r="DMB447" s="268"/>
      <c r="DMC447" s="268"/>
      <c r="DMD447" s="268"/>
      <c r="DME447" s="268"/>
      <c r="DMF447" s="268"/>
      <c r="DMG447" s="268"/>
      <c r="DMH447" s="268"/>
      <c r="DMI447" s="268"/>
      <c r="DMJ447" s="268"/>
      <c r="DMK447" s="268"/>
      <c r="DML447" s="268"/>
      <c r="DMM447" s="268"/>
      <c r="DMN447" s="268"/>
      <c r="DMO447" s="268"/>
      <c r="DMP447" s="268"/>
      <c r="DMQ447" s="268"/>
      <c r="DMR447" s="268"/>
      <c r="DMS447" s="268"/>
      <c r="DMT447" s="268"/>
      <c r="DMU447" s="268"/>
      <c r="DNI447" s="268"/>
      <c r="DNJ447" s="268"/>
      <c r="DNK447" s="268"/>
      <c r="DNY447" s="268"/>
      <c r="DOA447" s="268"/>
      <c r="DOB447" s="268"/>
      <c r="DOC447" s="268"/>
      <c r="DOD447" s="268"/>
      <c r="DOE447" s="268"/>
      <c r="DOF447" s="268"/>
      <c r="DOG447" s="268"/>
      <c r="DOH447" s="268"/>
      <c r="DOI447" s="268"/>
      <c r="DOJ447" s="268"/>
      <c r="DOK447" s="268"/>
      <c r="DOL447" s="268"/>
      <c r="DOM447" s="268"/>
      <c r="DON447" s="268"/>
      <c r="DOO447" s="268"/>
      <c r="DOP447" s="268"/>
      <c r="DOQ447" s="268"/>
      <c r="DOR447" s="268"/>
      <c r="DOS447" s="268"/>
      <c r="DOT447" s="268"/>
      <c r="DOU447" s="268"/>
      <c r="DOV447" s="268"/>
      <c r="DOW447" s="268"/>
      <c r="DOX447" s="268"/>
      <c r="DOY447" s="268"/>
      <c r="DOZ447" s="268"/>
      <c r="DPA447" s="268"/>
      <c r="DPB447" s="268"/>
      <c r="DPC447" s="268"/>
      <c r="DPD447" s="268"/>
      <c r="DPE447" s="268"/>
      <c r="DPF447" s="268"/>
      <c r="DPG447" s="268"/>
      <c r="DPH447" s="268"/>
      <c r="DPI447" s="268"/>
      <c r="DPJ447" s="268"/>
      <c r="DPK447" s="268"/>
      <c r="DPL447" s="268"/>
      <c r="DPM447" s="268"/>
      <c r="DPN447" s="268"/>
      <c r="DPO447" s="268"/>
      <c r="DPP447" s="268"/>
      <c r="DPQ447" s="268"/>
      <c r="DPR447" s="268"/>
      <c r="DPS447" s="268"/>
      <c r="DPT447" s="268"/>
      <c r="DPU447" s="268"/>
      <c r="DPV447" s="268"/>
      <c r="DPW447" s="268"/>
      <c r="DPX447" s="268"/>
      <c r="DPY447" s="268"/>
      <c r="DPZ447" s="268"/>
      <c r="DQA447" s="268"/>
      <c r="DQB447" s="268"/>
      <c r="DQC447" s="268"/>
      <c r="DQD447" s="268"/>
      <c r="DQE447" s="268"/>
      <c r="DQF447" s="268"/>
      <c r="DQG447" s="268"/>
      <c r="DQH447" s="268"/>
      <c r="DQI447" s="268"/>
      <c r="DQJ447" s="268"/>
      <c r="DQK447" s="268"/>
      <c r="DQL447" s="268"/>
      <c r="DQM447" s="268"/>
      <c r="DQN447" s="268"/>
      <c r="DQO447" s="268"/>
      <c r="DQP447" s="268"/>
      <c r="DQQ447" s="268"/>
      <c r="DQR447" s="268"/>
      <c r="DQS447" s="268"/>
      <c r="DQT447" s="268"/>
      <c r="DQU447" s="268"/>
      <c r="DQV447" s="268"/>
      <c r="DQW447" s="268"/>
      <c r="DQX447" s="268"/>
      <c r="DQY447" s="268"/>
      <c r="DQZ447" s="268"/>
      <c r="DRA447" s="268"/>
      <c r="DRB447" s="268"/>
      <c r="DRC447" s="268"/>
      <c r="DRD447" s="268"/>
      <c r="DRE447" s="268"/>
      <c r="DRF447" s="268"/>
      <c r="DRG447" s="268"/>
      <c r="DRH447" s="268"/>
      <c r="DRI447" s="268"/>
      <c r="DRJ447" s="268"/>
      <c r="DRK447" s="268"/>
      <c r="DRL447" s="268"/>
      <c r="DRM447" s="268"/>
      <c r="DRN447" s="268"/>
      <c r="DRO447" s="268"/>
      <c r="DRP447" s="268"/>
      <c r="DRQ447" s="268"/>
      <c r="DRR447" s="268"/>
      <c r="DRS447" s="268"/>
      <c r="DRT447" s="268"/>
      <c r="DRU447" s="268"/>
      <c r="DRV447" s="268"/>
      <c r="DRW447" s="268"/>
      <c r="DRX447" s="268"/>
      <c r="DRY447" s="268"/>
      <c r="DRZ447" s="268"/>
      <c r="DSA447" s="268"/>
      <c r="DSB447" s="268"/>
      <c r="DSC447" s="268"/>
      <c r="DSD447" s="268"/>
      <c r="DSE447" s="268"/>
      <c r="DSF447" s="268"/>
      <c r="DSG447" s="268"/>
      <c r="DSH447" s="268"/>
      <c r="DSI447" s="268"/>
      <c r="DSJ447" s="268"/>
      <c r="DSK447" s="268"/>
      <c r="DSL447" s="268"/>
      <c r="DSM447" s="268"/>
      <c r="DSN447" s="268"/>
      <c r="DSO447" s="268"/>
      <c r="DSP447" s="268"/>
      <c r="DSQ447" s="268"/>
      <c r="DSR447" s="268"/>
      <c r="DSS447" s="268"/>
      <c r="DST447" s="268"/>
      <c r="DSU447" s="268"/>
      <c r="DSV447" s="268"/>
      <c r="DSW447" s="268"/>
      <c r="DSX447" s="268"/>
      <c r="DSY447" s="268"/>
      <c r="DSZ447" s="268"/>
      <c r="DTA447" s="268"/>
      <c r="DTB447" s="268"/>
      <c r="DTC447" s="268"/>
      <c r="DTD447" s="268"/>
      <c r="DTE447" s="268"/>
      <c r="DTF447" s="268"/>
      <c r="DTG447" s="268"/>
      <c r="DTH447" s="268"/>
      <c r="DTI447" s="268"/>
      <c r="DTJ447" s="268"/>
      <c r="DTK447" s="268"/>
      <c r="DTL447" s="268"/>
      <c r="DTM447" s="268"/>
      <c r="DTN447" s="268"/>
      <c r="DTO447" s="268"/>
      <c r="DTP447" s="268"/>
      <c r="DTQ447" s="268"/>
      <c r="DTR447" s="268"/>
      <c r="DTS447" s="268"/>
      <c r="DTT447" s="268"/>
      <c r="DTU447" s="268"/>
      <c r="DTV447" s="268"/>
      <c r="DTW447" s="268"/>
      <c r="DTX447" s="268"/>
      <c r="DTY447" s="268"/>
      <c r="DTZ447" s="268"/>
      <c r="DUA447" s="268"/>
      <c r="DUB447" s="268"/>
      <c r="DUC447" s="268"/>
      <c r="DUD447" s="268"/>
      <c r="DUE447" s="268"/>
      <c r="DUF447" s="268"/>
      <c r="DUG447" s="268"/>
      <c r="DUH447" s="268"/>
      <c r="DUI447" s="268"/>
      <c r="DUJ447" s="268"/>
      <c r="DUK447" s="268"/>
      <c r="DUL447" s="268"/>
      <c r="DUM447" s="268"/>
      <c r="DUN447" s="268"/>
      <c r="DUO447" s="268"/>
      <c r="DUP447" s="268"/>
      <c r="DUQ447" s="268"/>
      <c r="DUR447" s="268"/>
      <c r="DUS447" s="268"/>
      <c r="DUT447" s="268"/>
      <c r="DUU447" s="268"/>
      <c r="DUV447" s="268"/>
      <c r="DUW447" s="268"/>
      <c r="DUX447" s="268"/>
      <c r="DUY447" s="268"/>
      <c r="DUZ447" s="268"/>
      <c r="DVA447" s="268"/>
      <c r="DVB447" s="268"/>
      <c r="DVC447" s="268"/>
      <c r="DVD447" s="268"/>
      <c r="DVE447" s="268"/>
      <c r="DVF447" s="268"/>
      <c r="DVG447" s="268"/>
      <c r="DVH447" s="268"/>
      <c r="DVI447" s="268"/>
      <c r="DVJ447" s="268"/>
      <c r="DVK447" s="268"/>
      <c r="DVL447" s="268"/>
      <c r="DVM447" s="268"/>
      <c r="DVN447" s="268"/>
      <c r="DVO447" s="268"/>
      <c r="DVP447" s="268"/>
      <c r="DVQ447" s="268"/>
      <c r="DVR447" s="268"/>
      <c r="DVS447" s="268"/>
      <c r="DVT447" s="268"/>
      <c r="DVU447" s="268"/>
      <c r="DVV447" s="268"/>
      <c r="DVW447" s="268"/>
      <c r="DVX447" s="268"/>
      <c r="DVY447" s="268"/>
      <c r="DVZ447" s="268"/>
      <c r="DWA447" s="268"/>
      <c r="DWB447" s="268"/>
      <c r="DWC447" s="268"/>
      <c r="DWD447" s="268"/>
      <c r="DWE447" s="268"/>
      <c r="DWF447" s="268"/>
      <c r="DWG447" s="268"/>
      <c r="DWH447" s="268"/>
      <c r="DWI447" s="268"/>
      <c r="DWJ447" s="268"/>
      <c r="DWK447" s="268"/>
      <c r="DWL447" s="268"/>
      <c r="DWM447" s="268"/>
      <c r="DWN447" s="268"/>
      <c r="DWO447" s="268"/>
      <c r="DWP447" s="268"/>
      <c r="DWQ447" s="268"/>
      <c r="DXE447" s="268"/>
      <c r="DXF447" s="268"/>
      <c r="DXG447" s="268"/>
      <c r="DXU447" s="268"/>
      <c r="DXW447" s="268"/>
      <c r="DXX447" s="268"/>
      <c r="DXY447" s="268"/>
      <c r="DXZ447" s="268"/>
      <c r="DYA447" s="268"/>
      <c r="DYB447" s="268"/>
      <c r="DYC447" s="268"/>
      <c r="DYD447" s="268"/>
      <c r="DYE447" s="268"/>
      <c r="DYF447" s="268"/>
      <c r="DYG447" s="268"/>
      <c r="DYH447" s="268"/>
      <c r="DYI447" s="268"/>
      <c r="DYJ447" s="268"/>
      <c r="DYK447" s="268"/>
      <c r="DYL447" s="268"/>
      <c r="DYM447" s="268"/>
      <c r="DYN447" s="268"/>
      <c r="DYO447" s="268"/>
      <c r="DYP447" s="268"/>
      <c r="DYQ447" s="268"/>
      <c r="DYR447" s="268"/>
      <c r="DYS447" s="268"/>
      <c r="DYT447" s="268"/>
      <c r="DYU447" s="268"/>
      <c r="DYV447" s="268"/>
      <c r="DYW447" s="268"/>
      <c r="DYX447" s="268"/>
      <c r="DYY447" s="268"/>
      <c r="DYZ447" s="268"/>
      <c r="DZA447" s="268"/>
      <c r="DZB447" s="268"/>
      <c r="DZC447" s="268"/>
      <c r="DZD447" s="268"/>
      <c r="DZE447" s="268"/>
      <c r="DZF447" s="268"/>
      <c r="DZG447" s="268"/>
      <c r="DZH447" s="268"/>
      <c r="DZI447" s="268"/>
      <c r="DZJ447" s="268"/>
      <c r="DZK447" s="268"/>
      <c r="DZL447" s="268"/>
      <c r="DZM447" s="268"/>
      <c r="DZN447" s="268"/>
      <c r="DZO447" s="268"/>
      <c r="DZP447" s="268"/>
      <c r="DZQ447" s="268"/>
      <c r="DZR447" s="268"/>
      <c r="DZS447" s="268"/>
      <c r="DZT447" s="268"/>
      <c r="DZU447" s="268"/>
      <c r="DZV447" s="268"/>
      <c r="DZW447" s="268"/>
      <c r="DZX447" s="268"/>
      <c r="DZY447" s="268"/>
      <c r="DZZ447" s="268"/>
      <c r="EAA447" s="268"/>
      <c r="EAB447" s="268"/>
      <c r="EAC447" s="268"/>
      <c r="EAD447" s="268"/>
      <c r="EAE447" s="268"/>
      <c r="EAF447" s="268"/>
      <c r="EAG447" s="268"/>
      <c r="EAH447" s="268"/>
      <c r="EAI447" s="268"/>
      <c r="EAJ447" s="268"/>
      <c r="EAK447" s="268"/>
      <c r="EAL447" s="268"/>
      <c r="EAM447" s="268"/>
      <c r="EAN447" s="268"/>
      <c r="EAO447" s="268"/>
      <c r="EAP447" s="268"/>
      <c r="EAQ447" s="268"/>
      <c r="EAR447" s="268"/>
      <c r="EAS447" s="268"/>
      <c r="EAT447" s="268"/>
      <c r="EAU447" s="268"/>
      <c r="EAV447" s="268"/>
      <c r="EAW447" s="268"/>
      <c r="EAX447" s="268"/>
      <c r="EAY447" s="268"/>
      <c r="EAZ447" s="268"/>
      <c r="EBA447" s="268"/>
      <c r="EBB447" s="268"/>
      <c r="EBC447" s="268"/>
      <c r="EBD447" s="268"/>
      <c r="EBE447" s="268"/>
      <c r="EBF447" s="268"/>
      <c r="EBG447" s="268"/>
      <c r="EBH447" s="268"/>
      <c r="EBI447" s="268"/>
      <c r="EBJ447" s="268"/>
      <c r="EBK447" s="268"/>
      <c r="EBL447" s="268"/>
      <c r="EBM447" s="268"/>
      <c r="EBN447" s="268"/>
      <c r="EBO447" s="268"/>
      <c r="EBP447" s="268"/>
      <c r="EBQ447" s="268"/>
      <c r="EBR447" s="268"/>
      <c r="EBS447" s="268"/>
      <c r="EBT447" s="268"/>
      <c r="EBU447" s="268"/>
      <c r="EBV447" s="268"/>
      <c r="EBW447" s="268"/>
      <c r="EBX447" s="268"/>
      <c r="EBY447" s="268"/>
      <c r="EBZ447" s="268"/>
      <c r="ECA447" s="268"/>
      <c r="ECB447" s="268"/>
      <c r="ECC447" s="268"/>
      <c r="ECD447" s="268"/>
      <c r="ECE447" s="268"/>
      <c r="ECF447" s="268"/>
      <c r="ECG447" s="268"/>
      <c r="ECH447" s="268"/>
      <c r="ECI447" s="268"/>
      <c r="ECJ447" s="268"/>
      <c r="ECK447" s="268"/>
      <c r="ECL447" s="268"/>
      <c r="ECM447" s="268"/>
      <c r="ECN447" s="268"/>
      <c r="ECO447" s="268"/>
      <c r="ECP447" s="268"/>
      <c r="ECQ447" s="268"/>
      <c r="ECR447" s="268"/>
      <c r="ECS447" s="268"/>
      <c r="ECT447" s="268"/>
      <c r="ECU447" s="268"/>
      <c r="ECV447" s="268"/>
      <c r="ECW447" s="268"/>
      <c r="ECX447" s="268"/>
      <c r="ECY447" s="268"/>
      <c r="ECZ447" s="268"/>
      <c r="EDA447" s="268"/>
      <c r="EDB447" s="268"/>
      <c r="EDC447" s="268"/>
      <c r="EDD447" s="268"/>
      <c r="EDE447" s="268"/>
      <c r="EDF447" s="268"/>
      <c r="EDG447" s="268"/>
      <c r="EDH447" s="268"/>
      <c r="EDI447" s="268"/>
      <c r="EDJ447" s="268"/>
      <c r="EDK447" s="268"/>
      <c r="EDL447" s="268"/>
      <c r="EDM447" s="268"/>
      <c r="EDN447" s="268"/>
      <c r="EDO447" s="268"/>
      <c r="EDP447" s="268"/>
      <c r="EDQ447" s="268"/>
      <c r="EDR447" s="268"/>
      <c r="EDS447" s="268"/>
      <c r="EDT447" s="268"/>
      <c r="EDU447" s="268"/>
      <c r="EDV447" s="268"/>
      <c r="EDW447" s="268"/>
      <c r="EDX447" s="268"/>
      <c r="EDY447" s="268"/>
      <c r="EDZ447" s="268"/>
      <c r="EEA447" s="268"/>
      <c r="EEB447" s="268"/>
      <c r="EEC447" s="268"/>
      <c r="EED447" s="268"/>
      <c r="EEE447" s="268"/>
      <c r="EEF447" s="268"/>
      <c r="EEG447" s="268"/>
      <c r="EEH447" s="268"/>
      <c r="EEI447" s="268"/>
      <c r="EEJ447" s="268"/>
      <c r="EEK447" s="268"/>
      <c r="EEL447" s="268"/>
      <c r="EEM447" s="268"/>
      <c r="EEN447" s="268"/>
      <c r="EEO447" s="268"/>
      <c r="EEP447" s="268"/>
      <c r="EEQ447" s="268"/>
      <c r="EER447" s="268"/>
      <c r="EES447" s="268"/>
      <c r="EET447" s="268"/>
      <c r="EEU447" s="268"/>
      <c r="EEV447" s="268"/>
      <c r="EEW447" s="268"/>
      <c r="EEX447" s="268"/>
      <c r="EEY447" s="268"/>
      <c r="EEZ447" s="268"/>
      <c r="EFA447" s="268"/>
      <c r="EFB447" s="268"/>
      <c r="EFC447" s="268"/>
      <c r="EFD447" s="268"/>
      <c r="EFE447" s="268"/>
      <c r="EFF447" s="268"/>
      <c r="EFG447" s="268"/>
      <c r="EFH447" s="268"/>
      <c r="EFI447" s="268"/>
      <c r="EFJ447" s="268"/>
      <c r="EFK447" s="268"/>
      <c r="EFL447" s="268"/>
      <c r="EFM447" s="268"/>
      <c r="EFN447" s="268"/>
      <c r="EFO447" s="268"/>
      <c r="EFP447" s="268"/>
      <c r="EFQ447" s="268"/>
      <c r="EFR447" s="268"/>
      <c r="EFS447" s="268"/>
      <c r="EFT447" s="268"/>
      <c r="EFU447" s="268"/>
      <c r="EFV447" s="268"/>
      <c r="EFW447" s="268"/>
      <c r="EFX447" s="268"/>
      <c r="EFY447" s="268"/>
      <c r="EFZ447" s="268"/>
      <c r="EGA447" s="268"/>
      <c r="EGB447" s="268"/>
      <c r="EGC447" s="268"/>
      <c r="EGD447" s="268"/>
      <c r="EGE447" s="268"/>
      <c r="EGF447" s="268"/>
      <c r="EGG447" s="268"/>
      <c r="EGH447" s="268"/>
      <c r="EGI447" s="268"/>
      <c r="EGJ447" s="268"/>
      <c r="EGK447" s="268"/>
      <c r="EGL447" s="268"/>
      <c r="EGM447" s="268"/>
      <c r="EHA447" s="268"/>
      <c r="EHB447" s="268"/>
      <c r="EHC447" s="268"/>
      <c r="EHQ447" s="268"/>
      <c r="EHS447" s="268"/>
      <c r="EHT447" s="268"/>
      <c r="EHU447" s="268"/>
      <c r="EHV447" s="268"/>
      <c r="EHW447" s="268"/>
      <c r="EHX447" s="268"/>
      <c r="EHY447" s="268"/>
      <c r="EHZ447" s="268"/>
      <c r="EIA447" s="268"/>
      <c r="EIB447" s="268"/>
      <c r="EIC447" s="268"/>
      <c r="EID447" s="268"/>
      <c r="EIE447" s="268"/>
      <c r="EIF447" s="268"/>
      <c r="EIG447" s="268"/>
      <c r="EIH447" s="268"/>
      <c r="EII447" s="268"/>
      <c r="EIJ447" s="268"/>
      <c r="EIK447" s="268"/>
      <c r="EIL447" s="268"/>
      <c r="EIM447" s="268"/>
      <c r="EIN447" s="268"/>
      <c r="EIO447" s="268"/>
      <c r="EIP447" s="268"/>
      <c r="EIQ447" s="268"/>
      <c r="EIR447" s="268"/>
      <c r="EIS447" s="268"/>
      <c r="EIT447" s="268"/>
      <c r="EIU447" s="268"/>
      <c r="EIV447" s="268"/>
      <c r="EIW447" s="268"/>
      <c r="EIX447" s="268"/>
      <c r="EIY447" s="268"/>
      <c r="EIZ447" s="268"/>
      <c r="EJA447" s="268"/>
      <c r="EJB447" s="268"/>
      <c r="EJC447" s="268"/>
      <c r="EJD447" s="268"/>
      <c r="EJE447" s="268"/>
      <c r="EJF447" s="268"/>
      <c r="EJG447" s="268"/>
      <c r="EJH447" s="268"/>
      <c r="EJI447" s="268"/>
      <c r="EJJ447" s="268"/>
      <c r="EJK447" s="268"/>
      <c r="EJL447" s="268"/>
      <c r="EJM447" s="268"/>
      <c r="EJN447" s="268"/>
      <c r="EJO447" s="268"/>
      <c r="EJP447" s="268"/>
      <c r="EJQ447" s="268"/>
      <c r="EJR447" s="268"/>
      <c r="EJS447" s="268"/>
      <c r="EJT447" s="268"/>
      <c r="EJU447" s="268"/>
      <c r="EJV447" s="268"/>
      <c r="EJW447" s="268"/>
      <c r="EJX447" s="268"/>
      <c r="EJY447" s="268"/>
      <c r="EJZ447" s="268"/>
      <c r="EKA447" s="268"/>
      <c r="EKB447" s="268"/>
      <c r="EKC447" s="268"/>
      <c r="EKD447" s="268"/>
      <c r="EKE447" s="268"/>
      <c r="EKF447" s="268"/>
      <c r="EKG447" s="268"/>
      <c r="EKH447" s="268"/>
      <c r="EKI447" s="268"/>
      <c r="EKJ447" s="268"/>
      <c r="EKK447" s="268"/>
      <c r="EKL447" s="268"/>
      <c r="EKM447" s="268"/>
      <c r="EKN447" s="268"/>
      <c r="EKO447" s="268"/>
      <c r="EKP447" s="268"/>
      <c r="EKQ447" s="268"/>
      <c r="EKR447" s="268"/>
      <c r="EKS447" s="268"/>
      <c r="EKT447" s="268"/>
      <c r="EKU447" s="268"/>
      <c r="EKV447" s="268"/>
      <c r="EKW447" s="268"/>
      <c r="EKX447" s="268"/>
      <c r="EKY447" s="268"/>
      <c r="EKZ447" s="268"/>
      <c r="ELA447" s="268"/>
      <c r="ELB447" s="268"/>
      <c r="ELC447" s="268"/>
      <c r="ELD447" s="268"/>
      <c r="ELE447" s="268"/>
      <c r="ELF447" s="268"/>
      <c r="ELG447" s="268"/>
      <c r="ELH447" s="268"/>
      <c r="ELI447" s="268"/>
      <c r="ELJ447" s="268"/>
      <c r="ELK447" s="268"/>
      <c r="ELL447" s="268"/>
      <c r="ELM447" s="268"/>
      <c r="ELN447" s="268"/>
      <c r="ELO447" s="268"/>
      <c r="ELP447" s="268"/>
      <c r="ELQ447" s="268"/>
      <c r="ELR447" s="268"/>
      <c r="ELS447" s="268"/>
      <c r="ELT447" s="268"/>
      <c r="ELU447" s="268"/>
      <c r="ELV447" s="268"/>
      <c r="ELW447" s="268"/>
      <c r="ELX447" s="268"/>
      <c r="ELY447" s="268"/>
      <c r="ELZ447" s="268"/>
      <c r="EMA447" s="268"/>
      <c r="EMB447" s="268"/>
      <c r="EMC447" s="268"/>
      <c r="EMD447" s="268"/>
      <c r="EME447" s="268"/>
      <c r="EMF447" s="268"/>
      <c r="EMG447" s="268"/>
      <c r="EMH447" s="268"/>
      <c r="EMI447" s="268"/>
      <c r="EMJ447" s="268"/>
      <c r="EMK447" s="268"/>
      <c r="EML447" s="268"/>
      <c r="EMM447" s="268"/>
      <c r="EMN447" s="268"/>
      <c r="EMO447" s="268"/>
      <c r="EMP447" s="268"/>
      <c r="EMQ447" s="268"/>
      <c r="EMR447" s="268"/>
      <c r="EMS447" s="268"/>
      <c r="EMT447" s="268"/>
      <c r="EMU447" s="268"/>
      <c r="EMV447" s="268"/>
      <c r="EMW447" s="268"/>
      <c r="EMX447" s="268"/>
      <c r="EMY447" s="268"/>
      <c r="EMZ447" s="268"/>
      <c r="ENA447" s="268"/>
      <c r="ENB447" s="268"/>
      <c r="ENC447" s="268"/>
      <c r="END447" s="268"/>
      <c r="ENE447" s="268"/>
      <c r="ENF447" s="268"/>
      <c r="ENG447" s="268"/>
      <c r="ENH447" s="268"/>
      <c r="ENI447" s="268"/>
      <c r="ENJ447" s="268"/>
      <c r="ENK447" s="268"/>
      <c r="ENL447" s="268"/>
      <c r="ENM447" s="268"/>
      <c r="ENN447" s="268"/>
      <c r="ENO447" s="268"/>
      <c r="ENP447" s="268"/>
      <c r="ENQ447" s="268"/>
      <c r="ENR447" s="268"/>
      <c r="ENS447" s="268"/>
      <c r="ENT447" s="268"/>
      <c r="ENU447" s="268"/>
      <c r="ENV447" s="268"/>
      <c r="ENW447" s="268"/>
      <c r="ENX447" s="268"/>
      <c r="ENY447" s="268"/>
      <c r="ENZ447" s="268"/>
      <c r="EOA447" s="268"/>
      <c r="EOB447" s="268"/>
      <c r="EOC447" s="268"/>
      <c r="EOD447" s="268"/>
      <c r="EOE447" s="268"/>
      <c r="EOF447" s="268"/>
      <c r="EOG447" s="268"/>
      <c r="EOH447" s="268"/>
      <c r="EOI447" s="268"/>
      <c r="EOJ447" s="268"/>
      <c r="EOK447" s="268"/>
      <c r="EOL447" s="268"/>
      <c r="EOM447" s="268"/>
      <c r="EON447" s="268"/>
      <c r="EOO447" s="268"/>
      <c r="EOP447" s="268"/>
      <c r="EOQ447" s="268"/>
      <c r="EOR447" s="268"/>
      <c r="EOS447" s="268"/>
      <c r="EOT447" s="268"/>
      <c r="EOU447" s="268"/>
      <c r="EOV447" s="268"/>
      <c r="EOW447" s="268"/>
      <c r="EOX447" s="268"/>
      <c r="EOY447" s="268"/>
      <c r="EOZ447" s="268"/>
      <c r="EPA447" s="268"/>
      <c r="EPB447" s="268"/>
      <c r="EPC447" s="268"/>
      <c r="EPD447" s="268"/>
      <c r="EPE447" s="268"/>
      <c r="EPF447" s="268"/>
      <c r="EPG447" s="268"/>
      <c r="EPH447" s="268"/>
      <c r="EPI447" s="268"/>
      <c r="EPJ447" s="268"/>
      <c r="EPK447" s="268"/>
      <c r="EPL447" s="268"/>
      <c r="EPM447" s="268"/>
      <c r="EPN447" s="268"/>
      <c r="EPO447" s="268"/>
      <c r="EPP447" s="268"/>
      <c r="EPQ447" s="268"/>
      <c r="EPR447" s="268"/>
      <c r="EPS447" s="268"/>
      <c r="EPT447" s="268"/>
      <c r="EPU447" s="268"/>
      <c r="EPV447" s="268"/>
      <c r="EPW447" s="268"/>
      <c r="EPX447" s="268"/>
      <c r="EPY447" s="268"/>
      <c r="EPZ447" s="268"/>
      <c r="EQA447" s="268"/>
      <c r="EQB447" s="268"/>
      <c r="EQC447" s="268"/>
      <c r="EQD447" s="268"/>
      <c r="EQE447" s="268"/>
      <c r="EQF447" s="268"/>
      <c r="EQG447" s="268"/>
      <c r="EQH447" s="268"/>
      <c r="EQI447" s="268"/>
      <c r="EQW447" s="268"/>
      <c r="EQX447" s="268"/>
      <c r="EQY447" s="268"/>
      <c r="ERM447" s="268"/>
      <c r="ERO447" s="268"/>
      <c r="ERP447" s="268"/>
      <c r="ERQ447" s="268"/>
      <c r="ERR447" s="268"/>
      <c r="ERS447" s="268"/>
      <c r="ERT447" s="268"/>
      <c r="ERU447" s="268"/>
      <c r="ERV447" s="268"/>
      <c r="ERW447" s="268"/>
      <c r="ERX447" s="268"/>
      <c r="ERY447" s="268"/>
      <c r="ERZ447" s="268"/>
      <c r="ESA447" s="268"/>
      <c r="ESB447" s="268"/>
      <c r="ESC447" s="268"/>
      <c r="ESD447" s="268"/>
      <c r="ESE447" s="268"/>
      <c r="ESF447" s="268"/>
      <c r="ESG447" s="268"/>
      <c r="ESH447" s="268"/>
      <c r="ESI447" s="268"/>
      <c r="ESJ447" s="268"/>
      <c r="ESK447" s="268"/>
      <c r="ESL447" s="268"/>
      <c r="ESM447" s="268"/>
      <c r="ESN447" s="268"/>
      <c r="ESO447" s="268"/>
      <c r="ESP447" s="268"/>
      <c r="ESQ447" s="268"/>
      <c r="ESR447" s="268"/>
      <c r="ESS447" s="268"/>
      <c r="EST447" s="268"/>
      <c r="ESU447" s="268"/>
      <c r="ESV447" s="268"/>
      <c r="ESW447" s="268"/>
      <c r="ESX447" s="268"/>
      <c r="ESY447" s="268"/>
      <c r="ESZ447" s="268"/>
      <c r="ETA447" s="268"/>
      <c r="ETB447" s="268"/>
      <c r="ETC447" s="268"/>
      <c r="ETD447" s="268"/>
      <c r="ETE447" s="268"/>
      <c r="ETF447" s="268"/>
      <c r="ETG447" s="268"/>
      <c r="ETH447" s="268"/>
      <c r="ETI447" s="268"/>
      <c r="ETJ447" s="268"/>
      <c r="ETK447" s="268"/>
      <c r="ETL447" s="268"/>
      <c r="ETM447" s="268"/>
      <c r="ETN447" s="268"/>
      <c r="ETO447" s="268"/>
      <c r="ETP447" s="268"/>
      <c r="ETQ447" s="268"/>
      <c r="ETR447" s="268"/>
      <c r="ETS447" s="268"/>
      <c r="ETT447" s="268"/>
      <c r="ETU447" s="268"/>
      <c r="ETV447" s="268"/>
      <c r="ETW447" s="268"/>
      <c r="ETX447" s="268"/>
      <c r="ETY447" s="268"/>
      <c r="ETZ447" s="268"/>
      <c r="EUA447" s="268"/>
      <c r="EUB447" s="268"/>
      <c r="EUC447" s="268"/>
      <c r="EUD447" s="268"/>
      <c r="EUE447" s="268"/>
      <c r="EUF447" s="268"/>
      <c r="EUG447" s="268"/>
      <c r="EUH447" s="268"/>
      <c r="EUI447" s="268"/>
      <c r="EUJ447" s="268"/>
      <c r="EUK447" s="268"/>
      <c r="EUL447" s="268"/>
      <c r="EUM447" s="268"/>
      <c r="EUN447" s="268"/>
      <c r="EUO447" s="268"/>
      <c r="EUP447" s="268"/>
      <c r="EUQ447" s="268"/>
      <c r="EUR447" s="268"/>
      <c r="EUS447" s="268"/>
      <c r="EUT447" s="268"/>
      <c r="EUU447" s="268"/>
      <c r="EUV447" s="268"/>
      <c r="EUW447" s="268"/>
      <c r="EUX447" s="268"/>
      <c r="EUY447" s="268"/>
      <c r="EUZ447" s="268"/>
      <c r="EVA447" s="268"/>
      <c r="EVB447" s="268"/>
      <c r="EVC447" s="268"/>
      <c r="EVD447" s="268"/>
      <c r="EVE447" s="268"/>
      <c r="EVF447" s="268"/>
      <c r="EVG447" s="268"/>
      <c r="EVH447" s="268"/>
      <c r="EVI447" s="268"/>
      <c r="EVJ447" s="268"/>
      <c r="EVK447" s="268"/>
      <c r="EVL447" s="268"/>
      <c r="EVM447" s="268"/>
      <c r="EVN447" s="268"/>
      <c r="EVO447" s="268"/>
      <c r="EVP447" s="268"/>
      <c r="EVQ447" s="268"/>
      <c r="EVR447" s="268"/>
      <c r="EVS447" s="268"/>
      <c r="EVT447" s="268"/>
      <c r="EVU447" s="268"/>
      <c r="EVV447" s="268"/>
      <c r="EVW447" s="268"/>
      <c r="EVX447" s="268"/>
      <c r="EVY447" s="268"/>
      <c r="EVZ447" s="268"/>
      <c r="EWA447" s="268"/>
      <c r="EWB447" s="268"/>
      <c r="EWC447" s="268"/>
      <c r="EWD447" s="268"/>
      <c r="EWE447" s="268"/>
      <c r="EWF447" s="268"/>
      <c r="EWG447" s="268"/>
      <c r="EWH447" s="268"/>
      <c r="EWI447" s="268"/>
      <c r="EWJ447" s="268"/>
      <c r="EWK447" s="268"/>
      <c r="EWL447" s="268"/>
      <c r="EWM447" s="268"/>
      <c r="EWN447" s="268"/>
      <c r="EWO447" s="268"/>
      <c r="EWP447" s="268"/>
      <c r="EWQ447" s="268"/>
      <c r="EWR447" s="268"/>
      <c r="EWS447" s="268"/>
      <c r="EWT447" s="268"/>
      <c r="EWU447" s="268"/>
      <c r="EWV447" s="268"/>
      <c r="EWW447" s="268"/>
      <c r="EWX447" s="268"/>
      <c r="EWY447" s="268"/>
      <c r="EWZ447" s="268"/>
      <c r="EXA447" s="268"/>
      <c r="EXB447" s="268"/>
      <c r="EXC447" s="268"/>
      <c r="EXD447" s="268"/>
      <c r="EXE447" s="268"/>
      <c r="EXF447" s="268"/>
      <c r="EXG447" s="268"/>
      <c r="EXH447" s="268"/>
      <c r="EXI447" s="268"/>
      <c r="EXJ447" s="268"/>
      <c r="EXK447" s="268"/>
      <c r="EXL447" s="268"/>
      <c r="EXM447" s="268"/>
      <c r="EXN447" s="268"/>
      <c r="EXO447" s="268"/>
      <c r="EXP447" s="268"/>
      <c r="EXQ447" s="268"/>
      <c r="EXR447" s="268"/>
      <c r="EXS447" s="268"/>
      <c r="EXT447" s="268"/>
      <c r="EXU447" s="268"/>
      <c r="EXV447" s="268"/>
      <c r="EXW447" s="268"/>
      <c r="EXX447" s="268"/>
      <c r="EXY447" s="268"/>
      <c r="EXZ447" s="268"/>
      <c r="EYA447" s="268"/>
      <c r="EYB447" s="268"/>
      <c r="EYC447" s="268"/>
      <c r="EYD447" s="268"/>
      <c r="EYE447" s="268"/>
      <c r="EYF447" s="268"/>
      <c r="EYG447" s="268"/>
      <c r="EYH447" s="268"/>
      <c r="EYI447" s="268"/>
      <c r="EYJ447" s="268"/>
      <c r="EYK447" s="268"/>
      <c r="EYL447" s="268"/>
      <c r="EYM447" s="268"/>
      <c r="EYN447" s="268"/>
      <c r="EYO447" s="268"/>
      <c r="EYP447" s="268"/>
      <c r="EYQ447" s="268"/>
      <c r="EYR447" s="268"/>
      <c r="EYS447" s="268"/>
      <c r="EYT447" s="268"/>
      <c r="EYU447" s="268"/>
      <c r="EYV447" s="268"/>
      <c r="EYW447" s="268"/>
      <c r="EYX447" s="268"/>
      <c r="EYY447" s="268"/>
      <c r="EYZ447" s="268"/>
      <c r="EZA447" s="268"/>
      <c r="EZB447" s="268"/>
      <c r="EZC447" s="268"/>
      <c r="EZD447" s="268"/>
      <c r="EZE447" s="268"/>
      <c r="EZF447" s="268"/>
      <c r="EZG447" s="268"/>
      <c r="EZH447" s="268"/>
      <c r="EZI447" s="268"/>
      <c r="EZJ447" s="268"/>
      <c r="EZK447" s="268"/>
      <c r="EZL447" s="268"/>
      <c r="EZM447" s="268"/>
      <c r="EZN447" s="268"/>
      <c r="EZO447" s="268"/>
      <c r="EZP447" s="268"/>
      <c r="EZQ447" s="268"/>
      <c r="EZR447" s="268"/>
      <c r="EZS447" s="268"/>
      <c r="EZT447" s="268"/>
      <c r="EZU447" s="268"/>
      <c r="EZV447" s="268"/>
      <c r="EZW447" s="268"/>
      <c r="EZX447" s="268"/>
      <c r="EZY447" s="268"/>
      <c r="EZZ447" s="268"/>
      <c r="FAA447" s="268"/>
      <c r="FAB447" s="268"/>
      <c r="FAC447" s="268"/>
      <c r="FAD447" s="268"/>
      <c r="FAE447" s="268"/>
      <c r="FAS447" s="268"/>
      <c r="FAT447" s="268"/>
      <c r="FAU447" s="268"/>
      <c r="FBI447" s="268"/>
      <c r="FBK447" s="268"/>
      <c r="FBL447" s="268"/>
      <c r="FBM447" s="268"/>
      <c r="FBN447" s="268"/>
      <c r="FBO447" s="268"/>
      <c r="FBP447" s="268"/>
      <c r="FBQ447" s="268"/>
      <c r="FBR447" s="268"/>
      <c r="FBS447" s="268"/>
      <c r="FBT447" s="268"/>
      <c r="FBU447" s="268"/>
      <c r="FBV447" s="268"/>
      <c r="FBW447" s="268"/>
      <c r="FBX447" s="268"/>
      <c r="FBY447" s="268"/>
      <c r="FBZ447" s="268"/>
      <c r="FCA447" s="268"/>
      <c r="FCB447" s="268"/>
      <c r="FCC447" s="268"/>
      <c r="FCD447" s="268"/>
      <c r="FCE447" s="268"/>
      <c r="FCF447" s="268"/>
      <c r="FCG447" s="268"/>
      <c r="FCH447" s="268"/>
      <c r="FCI447" s="268"/>
      <c r="FCJ447" s="268"/>
      <c r="FCK447" s="268"/>
      <c r="FCL447" s="268"/>
      <c r="FCM447" s="268"/>
      <c r="FCN447" s="268"/>
      <c r="FCO447" s="268"/>
      <c r="FCP447" s="268"/>
      <c r="FCQ447" s="268"/>
      <c r="FCR447" s="268"/>
      <c r="FCS447" s="268"/>
      <c r="FCT447" s="268"/>
      <c r="FCU447" s="268"/>
      <c r="FCV447" s="268"/>
      <c r="FCW447" s="268"/>
      <c r="FCX447" s="268"/>
      <c r="FCY447" s="268"/>
      <c r="FCZ447" s="268"/>
      <c r="FDA447" s="268"/>
      <c r="FDB447" s="268"/>
      <c r="FDC447" s="268"/>
      <c r="FDD447" s="268"/>
      <c r="FDE447" s="268"/>
      <c r="FDF447" s="268"/>
      <c r="FDG447" s="268"/>
      <c r="FDH447" s="268"/>
      <c r="FDI447" s="268"/>
      <c r="FDJ447" s="268"/>
      <c r="FDK447" s="268"/>
      <c r="FDL447" s="268"/>
      <c r="FDM447" s="268"/>
      <c r="FDN447" s="268"/>
      <c r="FDO447" s="268"/>
      <c r="FDP447" s="268"/>
      <c r="FDQ447" s="268"/>
      <c r="FDR447" s="268"/>
      <c r="FDS447" s="268"/>
      <c r="FDT447" s="268"/>
      <c r="FDU447" s="268"/>
      <c r="FDV447" s="268"/>
      <c r="FDW447" s="268"/>
      <c r="FDX447" s="268"/>
      <c r="FDY447" s="268"/>
      <c r="FDZ447" s="268"/>
      <c r="FEA447" s="268"/>
      <c r="FEB447" s="268"/>
      <c r="FEC447" s="268"/>
      <c r="FED447" s="268"/>
      <c r="FEE447" s="268"/>
      <c r="FEF447" s="268"/>
      <c r="FEG447" s="268"/>
      <c r="FEH447" s="268"/>
      <c r="FEI447" s="268"/>
      <c r="FEJ447" s="268"/>
      <c r="FEK447" s="268"/>
      <c r="FEL447" s="268"/>
      <c r="FEM447" s="268"/>
      <c r="FEN447" s="268"/>
      <c r="FEO447" s="268"/>
      <c r="FEP447" s="268"/>
      <c r="FEQ447" s="268"/>
      <c r="FER447" s="268"/>
      <c r="FES447" s="268"/>
      <c r="FET447" s="268"/>
      <c r="FEU447" s="268"/>
      <c r="FEV447" s="268"/>
      <c r="FEW447" s="268"/>
      <c r="FEX447" s="268"/>
      <c r="FEY447" s="268"/>
      <c r="FEZ447" s="268"/>
      <c r="FFA447" s="268"/>
      <c r="FFB447" s="268"/>
      <c r="FFC447" s="268"/>
      <c r="FFD447" s="268"/>
      <c r="FFE447" s="268"/>
      <c r="FFF447" s="268"/>
      <c r="FFG447" s="268"/>
      <c r="FFH447" s="268"/>
      <c r="FFI447" s="268"/>
      <c r="FFJ447" s="268"/>
      <c r="FFK447" s="268"/>
      <c r="FFL447" s="268"/>
      <c r="FFM447" s="268"/>
      <c r="FFN447" s="268"/>
      <c r="FFO447" s="268"/>
      <c r="FFP447" s="268"/>
      <c r="FFQ447" s="268"/>
      <c r="FFR447" s="268"/>
      <c r="FFS447" s="268"/>
      <c r="FFT447" s="268"/>
      <c r="FFU447" s="268"/>
      <c r="FFV447" s="268"/>
      <c r="FFW447" s="268"/>
      <c r="FFX447" s="268"/>
      <c r="FFY447" s="268"/>
      <c r="FFZ447" s="268"/>
      <c r="FGA447" s="268"/>
      <c r="FGB447" s="268"/>
      <c r="FGC447" s="268"/>
      <c r="FGD447" s="268"/>
      <c r="FGE447" s="268"/>
      <c r="FGF447" s="268"/>
      <c r="FGG447" s="268"/>
      <c r="FGH447" s="268"/>
      <c r="FGI447" s="268"/>
      <c r="FGJ447" s="268"/>
      <c r="FGK447" s="268"/>
      <c r="FGL447" s="268"/>
      <c r="FGM447" s="268"/>
      <c r="FGN447" s="268"/>
      <c r="FGO447" s="268"/>
      <c r="FGP447" s="268"/>
      <c r="FGQ447" s="268"/>
      <c r="FGR447" s="268"/>
      <c r="FGS447" s="268"/>
      <c r="FGT447" s="268"/>
      <c r="FGU447" s="268"/>
      <c r="FGV447" s="268"/>
      <c r="FGW447" s="268"/>
      <c r="FGX447" s="268"/>
      <c r="FGY447" s="268"/>
      <c r="FGZ447" s="268"/>
      <c r="FHA447" s="268"/>
      <c r="FHB447" s="268"/>
      <c r="FHC447" s="268"/>
      <c r="FHD447" s="268"/>
      <c r="FHE447" s="268"/>
      <c r="FHF447" s="268"/>
      <c r="FHG447" s="268"/>
      <c r="FHH447" s="268"/>
      <c r="FHI447" s="268"/>
      <c r="FHJ447" s="268"/>
      <c r="FHK447" s="268"/>
      <c r="FHL447" s="268"/>
      <c r="FHM447" s="268"/>
      <c r="FHN447" s="268"/>
      <c r="FHO447" s="268"/>
      <c r="FHP447" s="268"/>
      <c r="FHQ447" s="268"/>
      <c r="FHR447" s="268"/>
      <c r="FHS447" s="268"/>
      <c r="FHT447" s="268"/>
      <c r="FHU447" s="268"/>
      <c r="FHV447" s="268"/>
      <c r="FHW447" s="268"/>
      <c r="FHX447" s="268"/>
      <c r="FHY447" s="268"/>
      <c r="FHZ447" s="268"/>
      <c r="FIA447" s="268"/>
      <c r="FIB447" s="268"/>
      <c r="FIC447" s="268"/>
      <c r="FID447" s="268"/>
      <c r="FIE447" s="268"/>
      <c r="FIF447" s="268"/>
      <c r="FIG447" s="268"/>
      <c r="FIH447" s="268"/>
      <c r="FII447" s="268"/>
      <c r="FIJ447" s="268"/>
      <c r="FIK447" s="268"/>
      <c r="FIL447" s="268"/>
      <c r="FIM447" s="268"/>
      <c r="FIN447" s="268"/>
      <c r="FIO447" s="268"/>
      <c r="FIP447" s="268"/>
      <c r="FIQ447" s="268"/>
      <c r="FIR447" s="268"/>
      <c r="FIS447" s="268"/>
      <c r="FIT447" s="268"/>
      <c r="FIU447" s="268"/>
      <c r="FIV447" s="268"/>
      <c r="FIW447" s="268"/>
      <c r="FIX447" s="268"/>
      <c r="FIY447" s="268"/>
      <c r="FIZ447" s="268"/>
      <c r="FJA447" s="268"/>
      <c r="FJB447" s="268"/>
      <c r="FJC447" s="268"/>
      <c r="FJD447" s="268"/>
      <c r="FJE447" s="268"/>
      <c r="FJF447" s="268"/>
      <c r="FJG447" s="268"/>
      <c r="FJH447" s="268"/>
      <c r="FJI447" s="268"/>
      <c r="FJJ447" s="268"/>
      <c r="FJK447" s="268"/>
      <c r="FJL447" s="268"/>
      <c r="FJM447" s="268"/>
      <c r="FJN447" s="268"/>
      <c r="FJO447" s="268"/>
      <c r="FJP447" s="268"/>
      <c r="FJQ447" s="268"/>
      <c r="FJR447" s="268"/>
      <c r="FJS447" s="268"/>
      <c r="FJT447" s="268"/>
      <c r="FJU447" s="268"/>
      <c r="FJV447" s="268"/>
      <c r="FJW447" s="268"/>
      <c r="FJX447" s="268"/>
      <c r="FJY447" s="268"/>
      <c r="FJZ447" s="268"/>
      <c r="FKA447" s="268"/>
      <c r="FKO447" s="268"/>
      <c r="FKP447" s="268"/>
      <c r="FKQ447" s="268"/>
      <c r="FLE447" s="268"/>
      <c r="FLG447" s="268"/>
      <c r="FLH447" s="268"/>
      <c r="FLI447" s="268"/>
      <c r="FLJ447" s="268"/>
      <c r="FLK447" s="268"/>
      <c r="FLL447" s="268"/>
      <c r="FLM447" s="268"/>
      <c r="FLN447" s="268"/>
      <c r="FLO447" s="268"/>
      <c r="FLP447" s="268"/>
      <c r="FLQ447" s="268"/>
      <c r="FLR447" s="268"/>
      <c r="FLS447" s="268"/>
      <c r="FLT447" s="268"/>
      <c r="FLU447" s="268"/>
      <c r="FLV447" s="268"/>
      <c r="FLW447" s="268"/>
      <c r="FLX447" s="268"/>
      <c r="FLY447" s="268"/>
      <c r="FLZ447" s="268"/>
      <c r="FMA447" s="268"/>
      <c r="FMB447" s="268"/>
      <c r="FMC447" s="268"/>
      <c r="FMD447" s="268"/>
      <c r="FME447" s="268"/>
      <c r="FMF447" s="268"/>
      <c r="FMG447" s="268"/>
      <c r="FMH447" s="268"/>
      <c r="FMI447" s="268"/>
      <c r="FMJ447" s="268"/>
      <c r="FMK447" s="268"/>
      <c r="FML447" s="268"/>
      <c r="FMM447" s="268"/>
      <c r="FMN447" s="268"/>
      <c r="FMO447" s="268"/>
      <c r="FMP447" s="268"/>
      <c r="FMQ447" s="268"/>
      <c r="FMR447" s="268"/>
      <c r="FMS447" s="268"/>
      <c r="FMT447" s="268"/>
      <c r="FMU447" s="268"/>
      <c r="FMV447" s="268"/>
      <c r="FMW447" s="268"/>
      <c r="FMX447" s="268"/>
      <c r="FMY447" s="268"/>
      <c r="FMZ447" s="268"/>
      <c r="FNA447" s="268"/>
      <c r="FNB447" s="268"/>
      <c r="FNC447" s="268"/>
      <c r="FND447" s="268"/>
      <c r="FNE447" s="268"/>
      <c r="FNF447" s="268"/>
      <c r="FNG447" s="268"/>
      <c r="FNH447" s="268"/>
      <c r="FNI447" s="268"/>
      <c r="FNJ447" s="268"/>
      <c r="FNK447" s="268"/>
      <c r="FNL447" s="268"/>
      <c r="FNM447" s="268"/>
      <c r="FNN447" s="268"/>
      <c r="FNO447" s="268"/>
      <c r="FNP447" s="268"/>
      <c r="FNQ447" s="268"/>
      <c r="FNR447" s="268"/>
      <c r="FNS447" s="268"/>
      <c r="FNT447" s="268"/>
      <c r="FNU447" s="268"/>
      <c r="FNV447" s="268"/>
      <c r="FNW447" s="268"/>
      <c r="FNX447" s="268"/>
      <c r="FNY447" s="268"/>
      <c r="FNZ447" s="268"/>
      <c r="FOA447" s="268"/>
      <c r="FOB447" s="268"/>
      <c r="FOC447" s="268"/>
      <c r="FOD447" s="268"/>
      <c r="FOE447" s="268"/>
      <c r="FOF447" s="268"/>
      <c r="FOG447" s="268"/>
      <c r="FOH447" s="268"/>
      <c r="FOI447" s="268"/>
      <c r="FOJ447" s="268"/>
      <c r="FOK447" s="268"/>
      <c r="FOL447" s="268"/>
      <c r="FOM447" s="268"/>
      <c r="FON447" s="268"/>
      <c r="FOO447" s="268"/>
      <c r="FOP447" s="268"/>
      <c r="FOQ447" s="268"/>
      <c r="FOR447" s="268"/>
      <c r="FOS447" s="268"/>
      <c r="FOT447" s="268"/>
      <c r="FOU447" s="268"/>
      <c r="FOV447" s="268"/>
      <c r="FOW447" s="268"/>
      <c r="FOX447" s="268"/>
      <c r="FOY447" s="268"/>
      <c r="FOZ447" s="268"/>
      <c r="FPA447" s="268"/>
      <c r="FPB447" s="268"/>
      <c r="FPC447" s="268"/>
      <c r="FPD447" s="268"/>
      <c r="FPE447" s="268"/>
      <c r="FPF447" s="268"/>
      <c r="FPG447" s="268"/>
      <c r="FPH447" s="268"/>
      <c r="FPI447" s="268"/>
      <c r="FPJ447" s="268"/>
      <c r="FPK447" s="268"/>
      <c r="FPL447" s="268"/>
      <c r="FPM447" s="268"/>
      <c r="FPN447" s="268"/>
      <c r="FPO447" s="268"/>
      <c r="FPP447" s="268"/>
      <c r="FPQ447" s="268"/>
      <c r="FPR447" s="268"/>
      <c r="FPS447" s="268"/>
      <c r="FPT447" s="268"/>
      <c r="FPU447" s="268"/>
      <c r="FPV447" s="268"/>
      <c r="FPW447" s="268"/>
      <c r="FPX447" s="268"/>
      <c r="FPY447" s="268"/>
      <c r="FPZ447" s="268"/>
      <c r="FQA447" s="268"/>
      <c r="FQB447" s="268"/>
      <c r="FQC447" s="268"/>
      <c r="FQD447" s="268"/>
      <c r="FQE447" s="268"/>
      <c r="FQF447" s="268"/>
      <c r="FQG447" s="268"/>
      <c r="FQH447" s="268"/>
      <c r="FQI447" s="268"/>
      <c r="FQJ447" s="268"/>
      <c r="FQK447" s="268"/>
      <c r="FQL447" s="268"/>
      <c r="FQM447" s="268"/>
      <c r="FQN447" s="268"/>
      <c r="FQO447" s="268"/>
      <c r="FQP447" s="268"/>
      <c r="FQQ447" s="268"/>
      <c r="FQR447" s="268"/>
      <c r="FQS447" s="268"/>
      <c r="FQT447" s="268"/>
      <c r="FQU447" s="268"/>
      <c r="FQV447" s="268"/>
      <c r="FQW447" s="268"/>
      <c r="FQX447" s="268"/>
      <c r="FQY447" s="268"/>
      <c r="FQZ447" s="268"/>
      <c r="FRA447" s="268"/>
      <c r="FRB447" s="268"/>
      <c r="FRC447" s="268"/>
      <c r="FRD447" s="268"/>
      <c r="FRE447" s="268"/>
      <c r="FRF447" s="268"/>
      <c r="FRG447" s="268"/>
      <c r="FRH447" s="268"/>
      <c r="FRI447" s="268"/>
      <c r="FRJ447" s="268"/>
      <c r="FRK447" s="268"/>
      <c r="FRL447" s="268"/>
      <c r="FRM447" s="268"/>
      <c r="FRN447" s="268"/>
      <c r="FRO447" s="268"/>
      <c r="FRP447" s="268"/>
      <c r="FRQ447" s="268"/>
      <c r="FRR447" s="268"/>
      <c r="FRS447" s="268"/>
      <c r="FRT447" s="268"/>
      <c r="FRU447" s="268"/>
      <c r="FRV447" s="268"/>
      <c r="FRW447" s="268"/>
      <c r="FRX447" s="268"/>
      <c r="FRY447" s="268"/>
      <c r="FRZ447" s="268"/>
      <c r="FSA447" s="268"/>
      <c r="FSB447" s="268"/>
      <c r="FSC447" s="268"/>
      <c r="FSD447" s="268"/>
      <c r="FSE447" s="268"/>
      <c r="FSF447" s="268"/>
      <c r="FSG447" s="268"/>
      <c r="FSH447" s="268"/>
      <c r="FSI447" s="268"/>
      <c r="FSJ447" s="268"/>
      <c r="FSK447" s="268"/>
      <c r="FSL447" s="268"/>
      <c r="FSM447" s="268"/>
      <c r="FSN447" s="268"/>
      <c r="FSO447" s="268"/>
      <c r="FSP447" s="268"/>
      <c r="FSQ447" s="268"/>
      <c r="FSR447" s="268"/>
      <c r="FSS447" s="268"/>
      <c r="FST447" s="268"/>
      <c r="FSU447" s="268"/>
      <c r="FSV447" s="268"/>
      <c r="FSW447" s="268"/>
      <c r="FSX447" s="268"/>
      <c r="FSY447" s="268"/>
      <c r="FSZ447" s="268"/>
      <c r="FTA447" s="268"/>
      <c r="FTB447" s="268"/>
      <c r="FTC447" s="268"/>
      <c r="FTD447" s="268"/>
      <c r="FTE447" s="268"/>
      <c r="FTF447" s="268"/>
      <c r="FTG447" s="268"/>
      <c r="FTH447" s="268"/>
      <c r="FTI447" s="268"/>
      <c r="FTJ447" s="268"/>
      <c r="FTK447" s="268"/>
      <c r="FTL447" s="268"/>
      <c r="FTM447" s="268"/>
      <c r="FTN447" s="268"/>
      <c r="FTO447" s="268"/>
      <c r="FTP447" s="268"/>
      <c r="FTQ447" s="268"/>
      <c r="FTR447" s="268"/>
      <c r="FTS447" s="268"/>
      <c r="FTT447" s="268"/>
      <c r="FTU447" s="268"/>
      <c r="FTV447" s="268"/>
      <c r="FTW447" s="268"/>
      <c r="FUK447" s="268"/>
      <c r="FUL447" s="268"/>
      <c r="FUM447" s="268"/>
      <c r="FVA447" s="268"/>
      <c r="FVC447" s="268"/>
      <c r="FVD447" s="268"/>
      <c r="FVE447" s="268"/>
      <c r="FVF447" s="268"/>
      <c r="FVG447" s="268"/>
      <c r="FVH447" s="268"/>
      <c r="FVI447" s="268"/>
      <c r="FVJ447" s="268"/>
      <c r="FVK447" s="268"/>
      <c r="FVL447" s="268"/>
      <c r="FVM447" s="268"/>
      <c r="FVN447" s="268"/>
      <c r="FVO447" s="268"/>
      <c r="FVP447" s="268"/>
      <c r="FVQ447" s="268"/>
      <c r="FVR447" s="268"/>
      <c r="FVS447" s="268"/>
      <c r="FVT447" s="268"/>
      <c r="FVU447" s="268"/>
      <c r="FVV447" s="268"/>
      <c r="FVW447" s="268"/>
      <c r="FVX447" s="268"/>
      <c r="FVY447" s="268"/>
      <c r="FVZ447" s="268"/>
      <c r="FWA447" s="268"/>
      <c r="FWB447" s="268"/>
      <c r="FWC447" s="268"/>
      <c r="FWD447" s="268"/>
      <c r="FWE447" s="268"/>
      <c r="FWF447" s="268"/>
      <c r="FWG447" s="268"/>
      <c r="FWH447" s="268"/>
      <c r="FWI447" s="268"/>
      <c r="FWJ447" s="268"/>
      <c r="FWK447" s="268"/>
      <c r="FWL447" s="268"/>
      <c r="FWM447" s="268"/>
      <c r="FWN447" s="268"/>
      <c r="FWO447" s="268"/>
      <c r="FWP447" s="268"/>
      <c r="FWQ447" s="268"/>
      <c r="FWR447" s="268"/>
      <c r="FWS447" s="268"/>
      <c r="FWT447" s="268"/>
      <c r="FWU447" s="268"/>
      <c r="FWV447" s="268"/>
      <c r="FWW447" s="268"/>
      <c r="FWX447" s="268"/>
      <c r="FWY447" s="268"/>
      <c r="FWZ447" s="268"/>
      <c r="FXA447" s="268"/>
      <c r="FXB447" s="268"/>
      <c r="FXC447" s="268"/>
      <c r="FXD447" s="268"/>
      <c r="FXE447" s="268"/>
      <c r="FXF447" s="268"/>
      <c r="FXG447" s="268"/>
      <c r="FXH447" s="268"/>
      <c r="FXI447" s="268"/>
      <c r="FXJ447" s="268"/>
      <c r="FXK447" s="268"/>
      <c r="FXL447" s="268"/>
      <c r="FXM447" s="268"/>
      <c r="FXN447" s="268"/>
      <c r="FXO447" s="268"/>
      <c r="FXP447" s="268"/>
      <c r="FXQ447" s="268"/>
      <c r="FXR447" s="268"/>
      <c r="FXS447" s="268"/>
      <c r="FXT447" s="268"/>
      <c r="FXU447" s="268"/>
      <c r="FXV447" s="268"/>
      <c r="FXW447" s="268"/>
      <c r="FXX447" s="268"/>
      <c r="FXY447" s="268"/>
      <c r="FXZ447" s="268"/>
      <c r="FYA447" s="268"/>
      <c r="FYB447" s="268"/>
      <c r="FYC447" s="268"/>
      <c r="FYD447" s="268"/>
      <c r="FYE447" s="268"/>
      <c r="FYF447" s="268"/>
      <c r="FYG447" s="268"/>
      <c r="FYH447" s="268"/>
      <c r="FYI447" s="268"/>
      <c r="FYJ447" s="268"/>
      <c r="FYK447" s="268"/>
      <c r="FYL447" s="268"/>
      <c r="FYM447" s="268"/>
      <c r="FYN447" s="268"/>
      <c r="FYO447" s="268"/>
      <c r="FYP447" s="268"/>
      <c r="FYQ447" s="268"/>
      <c r="FYR447" s="268"/>
      <c r="FYS447" s="268"/>
      <c r="FYT447" s="268"/>
      <c r="FYU447" s="268"/>
      <c r="FYV447" s="268"/>
      <c r="FYW447" s="268"/>
      <c r="FYX447" s="268"/>
      <c r="FYY447" s="268"/>
      <c r="FYZ447" s="268"/>
      <c r="FZA447" s="268"/>
      <c r="FZB447" s="268"/>
      <c r="FZC447" s="268"/>
      <c r="FZD447" s="268"/>
      <c r="FZE447" s="268"/>
      <c r="FZF447" s="268"/>
      <c r="FZG447" s="268"/>
      <c r="FZH447" s="268"/>
      <c r="FZI447" s="268"/>
      <c r="FZJ447" s="268"/>
      <c r="FZK447" s="268"/>
      <c r="FZL447" s="268"/>
      <c r="FZM447" s="268"/>
      <c r="FZN447" s="268"/>
      <c r="FZO447" s="268"/>
      <c r="FZP447" s="268"/>
      <c r="FZQ447" s="268"/>
      <c r="FZR447" s="268"/>
      <c r="FZS447" s="268"/>
      <c r="FZT447" s="268"/>
      <c r="FZU447" s="268"/>
      <c r="FZV447" s="268"/>
      <c r="FZW447" s="268"/>
      <c r="FZX447" s="268"/>
      <c r="FZY447" s="268"/>
      <c r="FZZ447" s="268"/>
      <c r="GAA447" s="268"/>
      <c r="GAB447" s="268"/>
      <c r="GAC447" s="268"/>
      <c r="GAD447" s="268"/>
      <c r="GAE447" s="268"/>
      <c r="GAF447" s="268"/>
      <c r="GAG447" s="268"/>
      <c r="GAH447" s="268"/>
      <c r="GAI447" s="268"/>
      <c r="GAJ447" s="268"/>
      <c r="GAK447" s="268"/>
      <c r="GAL447" s="268"/>
      <c r="GAM447" s="268"/>
      <c r="GAN447" s="268"/>
      <c r="GAO447" s="268"/>
      <c r="GAP447" s="268"/>
      <c r="GAQ447" s="268"/>
      <c r="GAR447" s="268"/>
      <c r="GAS447" s="268"/>
      <c r="GAT447" s="268"/>
      <c r="GAU447" s="268"/>
      <c r="GAV447" s="268"/>
      <c r="GAW447" s="268"/>
      <c r="GAX447" s="268"/>
      <c r="GAY447" s="268"/>
      <c r="GAZ447" s="268"/>
      <c r="GBA447" s="268"/>
      <c r="GBB447" s="268"/>
      <c r="GBC447" s="268"/>
      <c r="GBD447" s="268"/>
      <c r="GBE447" s="268"/>
      <c r="GBF447" s="268"/>
      <c r="GBG447" s="268"/>
      <c r="GBH447" s="268"/>
      <c r="GBI447" s="268"/>
      <c r="GBJ447" s="268"/>
      <c r="GBK447" s="268"/>
      <c r="GBL447" s="268"/>
      <c r="GBM447" s="268"/>
      <c r="GBN447" s="268"/>
      <c r="GBO447" s="268"/>
      <c r="GBP447" s="268"/>
      <c r="GBQ447" s="268"/>
      <c r="GBR447" s="268"/>
      <c r="GBS447" s="268"/>
      <c r="GBT447" s="268"/>
      <c r="GBU447" s="268"/>
      <c r="GBV447" s="268"/>
      <c r="GBW447" s="268"/>
      <c r="GBX447" s="268"/>
      <c r="GBY447" s="268"/>
      <c r="GBZ447" s="268"/>
      <c r="GCA447" s="268"/>
      <c r="GCB447" s="268"/>
      <c r="GCC447" s="268"/>
      <c r="GCD447" s="268"/>
      <c r="GCE447" s="268"/>
      <c r="GCF447" s="268"/>
      <c r="GCG447" s="268"/>
      <c r="GCH447" s="268"/>
      <c r="GCI447" s="268"/>
      <c r="GCJ447" s="268"/>
      <c r="GCK447" s="268"/>
      <c r="GCL447" s="268"/>
      <c r="GCM447" s="268"/>
      <c r="GCN447" s="268"/>
      <c r="GCO447" s="268"/>
      <c r="GCP447" s="268"/>
      <c r="GCQ447" s="268"/>
      <c r="GCR447" s="268"/>
      <c r="GCS447" s="268"/>
      <c r="GCT447" s="268"/>
      <c r="GCU447" s="268"/>
      <c r="GCV447" s="268"/>
      <c r="GCW447" s="268"/>
      <c r="GCX447" s="268"/>
      <c r="GCY447" s="268"/>
      <c r="GCZ447" s="268"/>
      <c r="GDA447" s="268"/>
      <c r="GDB447" s="268"/>
      <c r="GDC447" s="268"/>
      <c r="GDD447" s="268"/>
      <c r="GDE447" s="268"/>
      <c r="GDF447" s="268"/>
      <c r="GDG447" s="268"/>
      <c r="GDH447" s="268"/>
      <c r="GDI447" s="268"/>
      <c r="GDJ447" s="268"/>
      <c r="GDK447" s="268"/>
      <c r="GDL447" s="268"/>
      <c r="GDM447" s="268"/>
      <c r="GDN447" s="268"/>
      <c r="GDO447" s="268"/>
      <c r="GDP447" s="268"/>
      <c r="GDQ447" s="268"/>
      <c r="GDR447" s="268"/>
      <c r="GDS447" s="268"/>
      <c r="GEG447" s="268"/>
      <c r="GEH447" s="268"/>
      <c r="GEI447" s="268"/>
      <c r="GEW447" s="268"/>
      <c r="GEY447" s="268"/>
      <c r="GEZ447" s="268"/>
      <c r="GFA447" s="268"/>
      <c r="GFB447" s="268"/>
      <c r="GFC447" s="268"/>
      <c r="GFD447" s="268"/>
      <c r="GFE447" s="268"/>
      <c r="GFF447" s="268"/>
      <c r="GFG447" s="268"/>
      <c r="GFH447" s="268"/>
      <c r="GFI447" s="268"/>
      <c r="GFJ447" s="268"/>
      <c r="GFK447" s="268"/>
      <c r="GFL447" s="268"/>
      <c r="GFM447" s="268"/>
      <c r="GFN447" s="268"/>
      <c r="GFO447" s="268"/>
      <c r="GFP447" s="268"/>
      <c r="GFQ447" s="268"/>
      <c r="GFR447" s="268"/>
      <c r="GFS447" s="268"/>
      <c r="GFT447" s="268"/>
      <c r="GFU447" s="268"/>
      <c r="GFV447" s="268"/>
      <c r="GFW447" s="268"/>
      <c r="GFX447" s="268"/>
      <c r="GFY447" s="268"/>
      <c r="GFZ447" s="268"/>
      <c r="GGA447" s="268"/>
      <c r="GGB447" s="268"/>
      <c r="GGC447" s="268"/>
      <c r="GGD447" s="268"/>
      <c r="GGE447" s="268"/>
      <c r="GGF447" s="268"/>
      <c r="GGG447" s="268"/>
      <c r="GGH447" s="268"/>
      <c r="GGI447" s="268"/>
      <c r="GGJ447" s="268"/>
      <c r="GGK447" s="268"/>
      <c r="GGL447" s="268"/>
      <c r="GGM447" s="268"/>
      <c r="GGN447" s="268"/>
      <c r="GGO447" s="268"/>
      <c r="GGP447" s="268"/>
      <c r="GGQ447" s="268"/>
      <c r="GGR447" s="268"/>
      <c r="GGS447" s="268"/>
      <c r="GGT447" s="268"/>
      <c r="GGU447" s="268"/>
      <c r="GGV447" s="268"/>
      <c r="GGW447" s="268"/>
      <c r="GGX447" s="268"/>
      <c r="GGY447" s="268"/>
      <c r="GGZ447" s="268"/>
      <c r="GHA447" s="268"/>
      <c r="GHB447" s="268"/>
      <c r="GHC447" s="268"/>
      <c r="GHD447" s="268"/>
      <c r="GHE447" s="268"/>
      <c r="GHF447" s="268"/>
      <c r="GHG447" s="268"/>
      <c r="GHH447" s="268"/>
      <c r="GHI447" s="268"/>
      <c r="GHJ447" s="268"/>
      <c r="GHK447" s="268"/>
      <c r="GHL447" s="268"/>
      <c r="GHM447" s="268"/>
      <c r="GHN447" s="268"/>
      <c r="GHO447" s="268"/>
      <c r="GHP447" s="268"/>
      <c r="GHQ447" s="268"/>
      <c r="GHR447" s="268"/>
      <c r="GHS447" s="268"/>
      <c r="GHT447" s="268"/>
      <c r="GHU447" s="268"/>
      <c r="GHV447" s="268"/>
      <c r="GHW447" s="268"/>
      <c r="GHX447" s="268"/>
      <c r="GHY447" s="268"/>
      <c r="GHZ447" s="268"/>
      <c r="GIA447" s="268"/>
      <c r="GIB447" s="268"/>
      <c r="GIC447" s="268"/>
      <c r="GID447" s="268"/>
      <c r="GIE447" s="268"/>
      <c r="GIF447" s="268"/>
      <c r="GIG447" s="268"/>
      <c r="GIH447" s="268"/>
      <c r="GII447" s="268"/>
      <c r="GIJ447" s="268"/>
      <c r="GIK447" s="268"/>
      <c r="GIL447" s="268"/>
      <c r="GIM447" s="268"/>
      <c r="GIN447" s="268"/>
      <c r="GIO447" s="268"/>
      <c r="GIP447" s="268"/>
      <c r="GIQ447" s="268"/>
      <c r="GIR447" s="268"/>
      <c r="GIS447" s="268"/>
      <c r="GIT447" s="268"/>
      <c r="GIU447" s="268"/>
      <c r="GIV447" s="268"/>
      <c r="GIW447" s="268"/>
      <c r="GIX447" s="268"/>
      <c r="GIY447" s="268"/>
      <c r="GIZ447" s="268"/>
      <c r="GJA447" s="268"/>
      <c r="GJB447" s="268"/>
      <c r="GJC447" s="268"/>
      <c r="GJD447" s="268"/>
      <c r="GJE447" s="268"/>
      <c r="GJF447" s="268"/>
      <c r="GJG447" s="268"/>
      <c r="GJH447" s="268"/>
      <c r="GJI447" s="268"/>
      <c r="GJJ447" s="268"/>
      <c r="GJK447" s="268"/>
      <c r="GJL447" s="268"/>
      <c r="GJM447" s="268"/>
      <c r="GJN447" s="268"/>
      <c r="GJO447" s="268"/>
      <c r="GJP447" s="268"/>
      <c r="GJQ447" s="268"/>
      <c r="GJR447" s="268"/>
      <c r="GJS447" s="268"/>
      <c r="GJT447" s="268"/>
      <c r="GJU447" s="268"/>
      <c r="GJV447" s="268"/>
      <c r="GJW447" s="268"/>
      <c r="GJX447" s="268"/>
      <c r="GJY447" s="268"/>
      <c r="GJZ447" s="268"/>
      <c r="GKA447" s="268"/>
      <c r="GKB447" s="268"/>
      <c r="GKC447" s="268"/>
      <c r="GKD447" s="268"/>
      <c r="GKE447" s="268"/>
      <c r="GKF447" s="268"/>
      <c r="GKG447" s="268"/>
      <c r="GKH447" s="268"/>
      <c r="GKI447" s="268"/>
      <c r="GKJ447" s="268"/>
      <c r="GKK447" s="268"/>
      <c r="GKL447" s="268"/>
      <c r="GKM447" s="268"/>
      <c r="GKN447" s="268"/>
      <c r="GKO447" s="268"/>
      <c r="GKP447" s="268"/>
      <c r="GKQ447" s="268"/>
      <c r="GKR447" s="268"/>
      <c r="GKS447" s="268"/>
      <c r="GKT447" s="268"/>
      <c r="GKU447" s="268"/>
      <c r="GKV447" s="268"/>
      <c r="GKW447" s="268"/>
      <c r="GKX447" s="268"/>
      <c r="GKY447" s="268"/>
      <c r="GKZ447" s="268"/>
      <c r="GLA447" s="268"/>
      <c r="GLB447" s="268"/>
      <c r="GLC447" s="268"/>
      <c r="GLD447" s="268"/>
      <c r="GLE447" s="268"/>
      <c r="GLF447" s="268"/>
      <c r="GLG447" s="268"/>
      <c r="GLH447" s="268"/>
      <c r="GLI447" s="268"/>
      <c r="GLJ447" s="268"/>
      <c r="GLK447" s="268"/>
      <c r="GLL447" s="268"/>
      <c r="GLM447" s="268"/>
      <c r="GLN447" s="268"/>
      <c r="GLO447" s="268"/>
      <c r="GLP447" s="268"/>
      <c r="GLQ447" s="268"/>
      <c r="GLR447" s="268"/>
      <c r="GLS447" s="268"/>
      <c r="GLT447" s="268"/>
      <c r="GLU447" s="268"/>
      <c r="GLV447" s="268"/>
      <c r="GLW447" s="268"/>
      <c r="GLX447" s="268"/>
      <c r="GLY447" s="268"/>
      <c r="GLZ447" s="268"/>
      <c r="GMA447" s="268"/>
      <c r="GMB447" s="268"/>
      <c r="GMC447" s="268"/>
      <c r="GMD447" s="268"/>
      <c r="GME447" s="268"/>
      <c r="GMF447" s="268"/>
      <c r="GMG447" s="268"/>
      <c r="GMH447" s="268"/>
      <c r="GMI447" s="268"/>
      <c r="GMJ447" s="268"/>
      <c r="GMK447" s="268"/>
      <c r="GML447" s="268"/>
      <c r="GMM447" s="268"/>
      <c r="GMN447" s="268"/>
      <c r="GMO447" s="268"/>
      <c r="GMP447" s="268"/>
      <c r="GMQ447" s="268"/>
      <c r="GMR447" s="268"/>
      <c r="GMS447" s="268"/>
      <c r="GMT447" s="268"/>
      <c r="GMU447" s="268"/>
      <c r="GMV447" s="268"/>
      <c r="GMW447" s="268"/>
      <c r="GMX447" s="268"/>
      <c r="GMY447" s="268"/>
      <c r="GMZ447" s="268"/>
      <c r="GNA447" s="268"/>
      <c r="GNB447" s="268"/>
      <c r="GNC447" s="268"/>
      <c r="GND447" s="268"/>
      <c r="GNE447" s="268"/>
      <c r="GNF447" s="268"/>
      <c r="GNG447" s="268"/>
      <c r="GNH447" s="268"/>
      <c r="GNI447" s="268"/>
      <c r="GNJ447" s="268"/>
      <c r="GNK447" s="268"/>
      <c r="GNL447" s="268"/>
      <c r="GNM447" s="268"/>
      <c r="GNN447" s="268"/>
      <c r="GNO447" s="268"/>
      <c r="GOC447" s="268"/>
      <c r="GOD447" s="268"/>
      <c r="GOE447" s="268"/>
      <c r="GOS447" s="268"/>
      <c r="GOU447" s="268"/>
      <c r="GOV447" s="268"/>
      <c r="GOW447" s="268"/>
      <c r="GOX447" s="268"/>
      <c r="GOY447" s="268"/>
      <c r="GOZ447" s="268"/>
      <c r="GPA447" s="268"/>
      <c r="GPB447" s="268"/>
      <c r="GPC447" s="268"/>
      <c r="GPD447" s="268"/>
      <c r="GPE447" s="268"/>
      <c r="GPF447" s="268"/>
      <c r="GPG447" s="268"/>
      <c r="GPH447" s="268"/>
      <c r="GPI447" s="268"/>
      <c r="GPJ447" s="268"/>
      <c r="GPK447" s="268"/>
      <c r="GPL447" s="268"/>
      <c r="GPM447" s="268"/>
      <c r="GPN447" s="268"/>
      <c r="GPO447" s="268"/>
      <c r="GPP447" s="268"/>
      <c r="GPQ447" s="268"/>
      <c r="GPR447" s="268"/>
      <c r="GPS447" s="268"/>
      <c r="GPT447" s="268"/>
      <c r="GPU447" s="268"/>
      <c r="GPV447" s="268"/>
      <c r="GPW447" s="268"/>
      <c r="GPX447" s="268"/>
      <c r="GPY447" s="268"/>
      <c r="GPZ447" s="268"/>
      <c r="GQA447" s="268"/>
      <c r="GQB447" s="268"/>
      <c r="GQC447" s="268"/>
      <c r="GQD447" s="268"/>
      <c r="GQE447" s="268"/>
      <c r="GQF447" s="268"/>
      <c r="GQG447" s="268"/>
      <c r="GQH447" s="268"/>
      <c r="GQI447" s="268"/>
      <c r="GQJ447" s="268"/>
      <c r="GQK447" s="268"/>
      <c r="GQL447" s="268"/>
      <c r="GQM447" s="268"/>
      <c r="GQN447" s="268"/>
      <c r="GQO447" s="268"/>
      <c r="GQP447" s="268"/>
      <c r="GQQ447" s="268"/>
      <c r="GQR447" s="268"/>
      <c r="GQS447" s="268"/>
      <c r="GQT447" s="268"/>
      <c r="GQU447" s="268"/>
      <c r="GQV447" s="268"/>
      <c r="GQW447" s="268"/>
      <c r="GQX447" s="268"/>
      <c r="GQY447" s="268"/>
      <c r="GQZ447" s="268"/>
      <c r="GRA447" s="268"/>
      <c r="GRB447" s="268"/>
      <c r="GRC447" s="268"/>
      <c r="GRD447" s="268"/>
      <c r="GRE447" s="268"/>
      <c r="GRF447" s="268"/>
      <c r="GRG447" s="268"/>
      <c r="GRH447" s="268"/>
      <c r="GRI447" s="268"/>
      <c r="GRJ447" s="268"/>
      <c r="GRK447" s="268"/>
      <c r="GRL447" s="268"/>
      <c r="GRM447" s="268"/>
      <c r="GRN447" s="268"/>
      <c r="GRO447" s="268"/>
      <c r="GRP447" s="268"/>
      <c r="GRQ447" s="268"/>
      <c r="GRR447" s="268"/>
      <c r="GRS447" s="268"/>
      <c r="GRT447" s="268"/>
      <c r="GRU447" s="268"/>
      <c r="GRV447" s="268"/>
      <c r="GRW447" s="268"/>
      <c r="GRX447" s="268"/>
      <c r="GRY447" s="268"/>
      <c r="GRZ447" s="268"/>
      <c r="GSA447" s="268"/>
      <c r="GSB447" s="268"/>
      <c r="GSC447" s="268"/>
      <c r="GSD447" s="268"/>
      <c r="GSE447" s="268"/>
      <c r="GSF447" s="268"/>
      <c r="GSG447" s="268"/>
      <c r="GSH447" s="268"/>
      <c r="GSI447" s="268"/>
      <c r="GSJ447" s="268"/>
      <c r="GSK447" s="268"/>
      <c r="GSL447" s="268"/>
      <c r="GSM447" s="268"/>
      <c r="GSN447" s="268"/>
      <c r="GSO447" s="268"/>
      <c r="GSP447" s="268"/>
      <c r="GSQ447" s="268"/>
      <c r="GSR447" s="268"/>
      <c r="GSS447" s="268"/>
      <c r="GST447" s="268"/>
      <c r="GSU447" s="268"/>
      <c r="GSV447" s="268"/>
      <c r="GSW447" s="268"/>
      <c r="GSX447" s="268"/>
      <c r="GSY447" s="268"/>
      <c r="GSZ447" s="268"/>
      <c r="GTA447" s="268"/>
      <c r="GTB447" s="268"/>
      <c r="GTC447" s="268"/>
      <c r="GTD447" s="268"/>
      <c r="GTE447" s="268"/>
      <c r="GTF447" s="268"/>
      <c r="GTG447" s="268"/>
      <c r="GTH447" s="268"/>
      <c r="GTI447" s="268"/>
      <c r="GTJ447" s="268"/>
      <c r="GTK447" s="268"/>
      <c r="GTL447" s="268"/>
      <c r="GTM447" s="268"/>
      <c r="GTN447" s="268"/>
      <c r="GTO447" s="268"/>
      <c r="GTP447" s="268"/>
      <c r="GTQ447" s="268"/>
      <c r="GTR447" s="268"/>
      <c r="GTS447" s="268"/>
      <c r="GTT447" s="268"/>
      <c r="GTU447" s="268"/>
      <c r="GTV447" s="268"/>
      <c r="GTW447" s="268"/>
      <c r="GTX447" s="268"/>
      <c r="GTY447" s="268"/>
      <c r="GTZ447" s="268"/>
      <c r="GUA447" s="268"/>
      <c r="GUB447" s="268"/>
      <c r="GUC447" s="268"/>
      <c r="GUD447" s="268"/>
      <c r="GUE447" s="268"/>
      <c r="GUF447" s="268"/>
      <c r="GUG447" s="268"/>
      <c r="GUH447" s="268"/>
      <c r="GUI447" s="268"/>
      <c r="GUJ447" s="268"/>
      <c r="GUK447" s="268"/>
      <c r="GUL447" s="268"/>
      <c r="GUM447" s="268"/>
      <c r="GUN447" s="268"/>
      <c r="GUO447" s="268"/>
      <c r="GUP447" s="268"/>
      <c r="GUQ447" s="268"/>
      <c r="GUR447" s="268"/>
      <c r="GUS447" s="268"/>
      <c r="GUT447" s="268"/>
      <c r="GUU447" s="268"/>
      <c r="GUV447" s="268"/>
      <c r="GUW447" s="268"/>
      <c r="GUX447" s="268"/>
      <c r="GUY447" s="268"/>
      <c r="GUZ447" s="268"/>
      <c r="GVA447" s="268"/>
      <c r="GVB447" s="268"/>
      <c r="GVC447" s="268"/>
      <c r="GVD447" s="268"/>
      <c r="GVE447" s="268"/>
      <c r="GVF447" s="268"/>
      <c r="GVG447" s="268"/>
      <c r="GVH447" s="268"/>
      <c r="GVI447" s="268"/>
      <c r="GVJ447" s="268"/>
      <c r="GVK447" s="268"/>
      <c r="GVL447" s="268"/>
      <c r="GVM447" s="268"/>
      <c r="GVN447" s="268"/>
      <c r="GVO447" s="268"/>
      <c r="GVP447" s="268"/>
      <c r="GVQ447" s="268"/>
      <c r="GVR447" s="268"/>
      <c r="GVS447" s="268"/>
      <c r="GVT447" s="268"/>
      <c r="GVU447" s="268"/>
      <c r="GVV447" s="268"/>
      <c r="GVW447" s="268"/>
      <c r="GVX447" s="268"/>
      <c r="GVY447" s="268"/>
      <c r="GVZ447" s="268"/>
      <c r="GWA447" s="268"/>
      <c r="GWB447" s="268"/>
      <c r="GWC447" s="268"/>
      <c r="GWD447" s="268"/>
      <c r="GWE447" s="268"/>
      <c r="GWF447" s="268"/>
      <c r="GWG447" s="268"/>
      <c r="GWH447" s="268"/>
      <c r="GWI447" s="268"/>
      <c r="GWJ447" s="268"/>
      <c r="GWK447" s="268"/>
      <c r="GWL447" s="268"/>
      <c r="GWM447" s="268"/>
      <c r="GWN447" s="268"/>
      <c r="GWO447" s="268"/>
      <c r="GWP447" s="268"/>
      <c r="GWQ447" s="268"/>
      <c r="GWR447" s="268"/>
      <c r="GWS447" s="268"/>
      <c r="GWT447" s="268"/>
      <c r="GWU447" s="268"/>
      <c r="GWV447" s="268"/>
      <c r="GWW447" s="268"/>
      <c r="GWX447" s="268"/>
      <c r="GWY447" s="268"/>
      <c r="GWZ447" s="268"/>
      <c r="GXA447" s="268"/>
      <c r="GXB447" s="268"/>
      <c r="GXC447" s="268"/>
      <c r="GXD447" s="268"/>
      <c r="GXE447" s="268"/>
      <c r="GXF447" s="268"/>
      <c r="GXG447" s="268"/>
      <c r="GXH447" s="268"/>
      <c r="GXI447" s="268"/>
      <c r="GXJ447" s="268"/>
      <c r="GXK447" s="268"/>
      <c r="GXY447" s="268"/>
      <c r="GXZ447" s="268"/>
      <c r="GYA447" s="268"/>
      <c r="GYO447" s="268"/>
      <c r="GYQ447" s="268"/>
      <c r="GYR447" s="268"/>
      <c r="GYS447" s="268"/>
      <c r="GYT447" s="268"/>
      <c r="GYU447" s="268"/>
      <c r="GYV447" s="268"/>
      <c r="GYW447" s="268"/>
      <c r="GYX447" s="268"/>
      <c r="GYY447" s="268"/>
      <c r="GYZ447" s="268"/>
      <c r="GZA447" s="268"/>
      <c r="GZB447" s="268"/>
      <c r="GZC447" s="268"/>
      <c r="GZD447" s="268"/>
      <c r="GZE447" s="268"/>
      <c r="GZF447" s="268"/>
      <c r="GZG447" s="268"/>
      <c r="GZH447" s="268"/>
      <c r="GZI447" s="268"/>
      <c r="GZJ447" s="268"/>
      <c r="GZK447" s="268"/>
      <c r="GZL447" s="268"/>
      <c r="GZM447" s="268"/>
      <c r="GZN447" s="268"/>
      <c r="GZO447" s="268"/>
      <c r="GZP447" s="268"/>
      <c r="GZQ447" s="268"/>
      <c r="GZR447" s="268"/>
      <c r="GZS447" s="268"/>
      <c r="GZT447" s="268"/>
      <c r="GZU447" s="268"/>
      <c r="GZV447" s="268"/>
      <c r="GZW447" s="268"/>
      <c r="GZX447" s="268"/>
      <c r="GZY447" s="268"/>
      <c r="GZZ447" s="268"/>
      <c r="HAA447" s="268"/>
      <c r="HAB447" s="268"/>
      <c r="HAC447" s="268"/>
      <c r="HAD447" s="268"/>
      <c r="HAE447" s="268"/>
      <c r="HAF447" s="268"/>
      <c r="HAG447" s="268"/>
      <c r="HAH447" s="268"/>
      <c r="HAI447" s="268"/>
      <c r="HAJ447" s="268"/>
      <c r="HAK447" s="268"/>
      <c r="HAL447" s="268"/>
      <c r="HAM447" s="268"/>
      <c r="HAN447" s="268"/>
      <c r="HAO447" s="268"/>
      <c r="HAP447" s="268"/>
      <c r="HAQ447" s="268"/>
      <c r="HAR447" s="268"/>
      <c r="HAS447" s="268"/>
      <c r="HAT447" s="268"/>
      <c r="HAU447" s="268"/>
      <c r="HAV447" s="268"/>
      <c r="HAW447" s="268"/>
      <c r="HAX447" s="268"/>
      <c r="HAY447" s="268"/>
      <c r="HAZ447" s="268"/>
      <c r="HBA447" s="268"/>
      <c r="HBB447" s="268"/>
      <c r="HBC447" s="268"/>
      <c r="HBD447" s="268"/>
      <c r="HBE447" s="268"/>
      <c r="HBF447" s="268"/>
      <c r="HBG447" s="268"/>
      <c r="HBH447" s="268"/>
      <c r="HBI447" s="268"/>
      <c r="HBJ447" s="268"/>
      <c r="HBK447" s="268"/>
      <c r="HBL447" s="268"/>
      <c r="HBM447" s="268"/>
      <c r="HBN447" s="268"/>
      <c r="HBO447" s="268"/>
      <c r="HBP447" s="268"/>
      <c r="HBQ447" s="268"/>
      <c r="HBR447" s="268"/>
      <c r="HBS447" s="268"/>
      <c r="HBT447" s="268"/>
      <c r="HBU447" s="268"/>
      <c r="HBV447" s="268"/>
      <c r="HBW447" s="268"/>
      <c r="HBX447" s="268"/>
      <c r="HBY447" s="268"/>
      <c r="HBZ447" s="268"/>
      <c r="HCA447" s="268"/>
      <c r="HCB447" s="268"/>
      <c r="HCC447" s="268"/>
      <c r="HCD447" s="268"/>
      <c r="HCE447" s="268"/>
      <c r="HCF447" s="268"/>
      <c r="HCG447" s="268"/>
      <c r="HCH447" s="268"/>
      <c r="HCI447" s="268"/>
      <c r="HCJ447" s="268"/>
      <c r="HCK447" s="268"/>
      <c r="HCL447" s="268"/>
      <c r="HCM447" s="268"/>
      <c r="HCN447" s="268"/>
      <c r="HCO447" s="268"/>
      <c r="HCP447" s="268"/>
      <c r="HCQ447" s="268"/>
      <c r="HCR447" s="268"/>
      <c r="HCS447" s="268"/>
      <c r="HCT447" s="268"/>
      <c r="HCU447" s="268"/>
      <c r="HCV447" s="268"/>
      <c r="HCW447" s="268"/>
      <c r="HCX447" s="268"/>
      <c r="HCY447" s="268"/>
      <c r="HCZ447" s="268"/>
      <c r="HDA447" s="268"/>
      <c r="HDB447" s="268"/>
      <c r="HDC447" s="268"/>
      <c r="HDD447" s="268"/>
      <c r="HDE447" s="268"/>
      <c r="HDF447" s="268"/>
      <c r="HDG447" s="268"/>
      <c r="HDH447" s="268"/>
      <c r="HDI447" s="268"/>
      <c r="HDJ447" s="268"/>
      <c r="HDK447" s="268"/>
      <c r="HDL447" s="268"/>
      <c r="HDM447" s="268"/>
      <c r="HDN447" s="268"/>
      <c r="HDO447" s="268"/>
      <c r="HDP447" s="268"/>
      <c r="HDQ447" s="268"/>
      <c r="HDR447" s="268"/>
      <c r="HDS447" s="268"/>
      <c r="HDT447" s="268"/>
      <c r="HDU447" s="268"/>
      <c r="HDV447" s="268"/>
      <c r="HDW447" s="268"/>
      <c r="HDX447" s="268"/>
      <c r="HDY447" s="268"/>
      <c r="HDZ447" s="268"/>
      <c r="HEA447" s="268"/>
      <c r="HEB447" s="268"/>
      <c r="HEC447" s="268"/>
      <c r="HED447" s="268"/>
      <c r="HEE447" s="268"/>
      <c r="HEF447" s="268"/>
      <c r="HEG447" s="268"/>
      <c r="HEH447" s="268"/>
      <c r="HEI447" s="268"/>
      <c r="HEJ447" s="268"/>
      <c r="HEK447" s="268"/>
      <c r="HEL447" s="268"/>
      <c r="HEM447" s="268"/>
      <c r="HEN447" s="268"/>
      <c r="HEO447" s="268"/>
      <c r="HEP447" s="268"/>
      <c r="HEQ447" s="268"/>
      <c r="HER447" s="268"/>
      <c r="HES447" s="268"/>
      <c r="HET447" s="268"/>
      <c r="HEU447" s="268"/>
      <c r="HEV447" s="268"/>
      <c r="HEW447" s="268"/>
      <c r="HEX447" s="268"/>
      <c r="HEY447" s="268"/>
      <c r="HEZ447" s="268"/>
      <c r="HFA447" s="268"/>
      <c r="HFB447" s="268"/>
      <c r="HFC447" s="268"/>
      <c r="HFD447" s="268"/>
      <c r="HFE447" s="268"/>
      <c r="HFF447" s="268"/>
      <c r="HFG447" s="268"/>
      <c r="HFH447" s="268"/>
      <c r="HFI447" s="268"/>
      <c r="HFJ447" s="268"/>
      <c r="HFK447" s="268"/>
      <c r="HFL447" s="268"/>
      <c r="HFM447" s="268"/>
      <c r="HFN447" s="268"/>
      <c r="HFO447" s="268"/>
      <c r="HFP447" s="268"/>
      <c r="HFQ447" s="268"/>
      <c r="HFR447" s="268"/>
      <c r="HFS447" s="268"/>
      <c r="HFT447" s="268"/>
      <c r="HFU447" s="268"/>
      <c r="HFV447" s="268"/>
      <c r="HFW447" s="268"/>
      <c r="HFX447" s="268"/>
      <c r="HFY447" s="268"/>
      <c r="HFZ447" s="268"/>
      <c r="HGA447" s="268"/>
      <c r="HGB447" s="268"/>
      <c r="HGC447" s="268"/>
      <c r="HGD447" s="268"/>
      <c r="HGE447" s="268"/>
      <c r="HGF447" s="268"/>
      <c r="HGG447" s="268"/>
      <c r="HGH447" s="268"/>
      <c r="HGI447" s="268"/>
      <c r="HGJ447" s="268"/>
      <c r="HGK447" s="268"/>
      <c r="HGL447" s="268"/>
      <c r="HGM447" s="268"/>
      <c r="HGN447" s="268"/>
      <c r="HGO447" s="268"/>
      <c r="HGP447" s="268"/>
      <c r="HGQ447" s="268"/>
      <c r="HGR447" s="268"/>
      <c r="HGS447" s="268"/>
      <c r="HGT447" s="268"/>
      <c r="HGU447" s="268"/>
      <c r="HGV447" s="268"/>
      <c r="HGW447" s="268"/>
      <c r="HGX447" s="268"/>
      <c r="HGY447" s="268"/>
      <c r="HGZ447" s="268"/>
      <c r="HHA447" s="268"/>
      <c r="HHB447" s="268"/>
      <c r="HHC447" s="268"/>
      <c r="HHD447" s="268"/>
      <c r="HHE447" s="268"/>
      <c r="HHF447" s="268"/>
      <c r="HHG447" s="268"/>
      <c r="HHU447" s="268"/>
      <c r="HHV447" s="268"/>
      <c r="HHW447" s="268"/>
      <c r="HIK447" s="268"/>
      <c r="HIM447" s="268"/>
      <c r="HIN447" s="268"/>
      <c r="HIO447" s="268"/>
      <c r="HIP447" s="268"/>
      <c r="HIQ447" s="268"/>
      <c r="HIR447" s="268"/>
      <c r="HIS447" s="268"/>
      <c r="HIT447" s="268"/>
      <c r="HIU447" s="268"/>
      <c r="HIV447" s="268"/>
      <c r="HIW447" s="268"/>
      <c r="HIX447" s="268"/>
      <c r="HIY447" s="268"/>
      <c r="HIZ447" s="268"/>
      <c r="HJA447" s="268"/>
      <c r="HJB447" s="268"/>
      <c r="HJC447" s="268"/>
      <c r="HJD447" s="268"/>
      <c r="HJE447" s="268"/>
      <c r="HJF447" s="268"/>
      <c r="HJG447" s="268"/>
      <c r="HJH447" s="268"/>
      <c r="HJI447" s="268"/>
      <c r="HJJ447" s="268"/>
      <c r="HJK447" s="268"/>
      <c r="HJL447" s="268"/>
      <c r="HJM447" s="268"/>
      <c r="HJN447" s="268"/>
      <c r="HJO447" s="268"/>
      <c r="HJP447" s="268"/>
      <c r="HJQ447" s="268"/>
      <c r="HJR447" s="268"/>
      <c r="HJS447" s="268"/>
      <c r="HJT447" s="268"/>
      <c r="HJU447" s="268"/>
      <c r="HJV447" s="268"/>
      <c r="HJW447" s="268"/>
      <c r="HJX447" s="268"/>
      <c r="HJY447" s="268"/>
      <c r="HJZ447" s="268"/>
      <c r="HKA447" s="268"/>
      <c r="HKB447" s="268"/>
      <c r="HKC447" s="268"/>
      <c r="HKD447" s="268"/>
      <c r="HKE447" s="268"/>
      <c r="HKF447" s="268"/>
      <c r="HKG447" s="268"/>
      <c r="HKH447" s="268"/>
      <c r="HKI447" s="268"/>
      <c r="HKJ447" s="268"/>
      <c r="HKK447" s="268"/>
      <c r="HKL447" s="268"/>
      <c r="HKM447" s="268"/>
      <c r="HKN447" s="268"/>
      <c r="HKO447" s="268"/>
      <c r="HKP447" s="268"/>
      <c r="HKQ447" s="268"/>
      <c r="HKR447" s="268"/>
      <c r="HKS447" s="268"/>
      <c r="HKT447" s="268"/>
      <c r="HKU447" s="268"/>
      <c r="HKV447" s="268"/>
      <c r="HKW447" s="268"/>
      <c r="HKX447" s="268"/>
      <c r="HKY447" s="268"/>
      <c r="HKZ447" s="268"/>
      <c r="HLA447" s="268"/>
      <c r="HLB447" s="268"/>
      <c r="HLC447" s="268"/>
      <c r="HLD447" s="268"/>
      <c r="HLE447" s="268"/>
      <c r="HLF447" s="268"/>
      <c r="HLG447" s="268"/>
      <c r="HLH447" s="268"/>
      <c r="HLI447" s="268"/>
      <c r="HLJ447" s="268"/>
      <c r="HLK447" s="268"/>
      <c r="HLL447" s="268"/>
      <c r="HLM447" s="268"/>
      <c r="HLN447" s="268"/>
      <c r="HLO447" s="268"/>
      <c r="HLP447" s="268"/>
      <c r="HLQ447" s="268"/>
      <c r="HLR447" s="268"/>
      <c r="HLS447" s="268"/>
      <c r="HLT447" s="268"/>
      <c r="HLU447" s="268"/>
      <c r="HLV447" s="268"/>
      <c r="HLW447" s="268"/>
      <c r="HLX447" s="268"/>
      <c r="HLY447" s="268"/>
      <c r="HLZ447" s="268"/>
      <c r="HMA447" s="268"/>
      <c r="HMB447" s="268"/>
      <c r="HMC447" s="268"/>
      <c r="HMD447" s="268"/>
      <c r="HME447" s="268"/>
      <c r="HMF447" s="268"/>
      <c r="HMG447" s="268"/>
      <c r="HMH447" s="268"/>
      <c r="HMI447" s="268"/>
      <c r="HMJ447" s="268"/>
      <c r="HMK447" s="268"/>
      <c r="HML447" s="268"/>
      <c r="HMM447" s="268"/>
      <c r="HMN447" s="268"/>
      <c r="HMO447" s="268"/>
      <c r="HMP447" s="268"/>
      <c r="HMQ447" s="268"/>
      <c r="HMR447" s="268"/>
      <c r="HMS447" s="268"/>
      <c r="HMT447" s="268"/>
      <c r="HMU447" s="268"/>
      <c r="HMV447" s="268"/>
      <c r="HMW447" s="268"/>
      <c r="HMX447" s="268"/>
      <c r="HMY447" s="268"/>
      <c r="HMZ447" s="268"/>
      <c r="HNA447" s="268"/>
      <c r="HNB447" s="268"/>
      <c r="HNC447" s="268"/>
      <c r="HND447" s="268"/>
      <c r="HNE447" s="268"/>
      <c r="HNF447" s="268"/>
      <c r="HNG447" s="268"/>
      <c r="HNH447" s="268"/>
      <c r="HNI447" s="268"/>
      <c r="HNJ447" s="268"/>
      <c r="HNK447" s="268"/>
      <c r="HNL447" s="268"/>
      <c r="HNM447" s="268"/>
      <c r="HNN447" s="268"/>
      <c r="HNO447" s="268"/>
      <c r="HNP447" s="268"/>
      <c r="HNQ447" s="268"/>
      <c r="HNR447" s="268"/>
      <c r="HNS447" s="268"/>
      <c r="HNT447" s="268"/>
      <c r="HNU447" s="268"/>
      <c r="HNV447" s="268"/>
      <c r="HNW447" s="268"/>
      <c r="HNX447" s="268"/>
      <c r="HNY447" s="268"/>
      <c r="HNZ447" s="268"/>
      <c r="HOA447" s="268"/>
      <c r="HOB447" s="268"/>
      <c r="HOC447" s="268"/>
      <c r="HOD447" s="268"/>
      <c r="HOE447" s="268"/>
      <c r="HOF447" s="268"/>
      <c r="HOG447" s="268"/>
      <c r="HOH447" s="268"/>
      <c r="HOI447" s="268"/>
      <c r="HOJ447" s="268"/>
      <c r="HOK447" s="268"/>
      <c r="HOL447" s="268"/>
      <c r="HOM447" s="268"/>
      <c r="HON447" s="268"/>
      <c r="HOO447" s="268"/>
      <c r="HOP447" s="268"/>
      <c r="HOQ447" s="268"/>
      <c r="HOR447" s="268"/>
      <c r="HOS447" s="268"/>
      <c r="HOT447" s="268"/>
      <c r="HOU447" s="268"/>
      <c r="HOV447" s="268"/>
      <c r="HOW447" s="268"/>
      <c r="HOX447" s="268"/>
      <c r="HOY447" s="268"/>
      <c r="HOZ447" s="268"/>
      <c r="HPA447" s="268"/>
      <c r="HPB447" s="268"/>
      <c r="HPC447" s="268"/>
      <c r="HPD447" s="268"/>
      <c r="HPE447" s="268"/>
      <c r="HPF447" s="268"/>
      <c r="HPG447" s="268"/>
      <c r="HPH447" s="268"/>
      <c r="HPI447" s="268"/>
      <c r="HPJ447" s="268"/>
      <c r="HPK447" s="268"/>
      <c r="HPL447" s="268"/>
      <c r="HPM447" s="268"/>
      <c r="HPN447" s="268"/>
      <c r="HPO447" s="268"/>
      <c r="HPP447" s="268"/>
      <c r="HPQ447" s="268"/>
      <c r="HPR447" s="268"/>
      <c r="HPS447" s="268"/>
      <c r="HPT447" s="268"/>
      <c r="HPU447" s="268"/>
      <c r="HPV447" s="268"/>
      <c r="HPW447" s="268"/>
      <c r="HPX447" s="268"/>
      <c r="HPY447" s="268"/>
      <c r="HPZ447" s="268"/>
      <c r="HQA447" s="268"/>
      <c r="HQB447" s="268"/>
      <c r="HQC447" s="268"/>
      <c r="HQD447" s="268"/>
      <c r="HQE447" s="268"/>
      <c r="HQF447" s="268"/>
      <c r="HQG447" s="268"/>
      <c r="HQH447" s="268"/>
      <c r="HQI447" s="268"/>
      <c r="HQJ447" s="268"/>
      <c r="HQK447" s="268"/>
      <c r="HQL447" s="268"/>
      <c r="HQM447" s="268"/>
      <c r="HQN447" s="268"/>
      <c r="HQO447" s="268"/>
      <c r="HQP447" s="268"/>
      <c r="HQQ447" s="268"/>
      <c r="HQR447" s="268"/>
      <c r="HQS447" s="268"/>
      <c r="HQT447" s="268"/>
      <c r="HQU447" s="268"/>
      <c r="HQV447" s="268"/>
      <c r="HQW447" s="268"/>
      <c r="HQX447" s="268"/>
      <c r="HQY447" s="268"/>
      <c r="HQZ447" s="268"/>
      <c r="HRA447" s="268"/>
      <c r="HRB447" s="268"/>
      <c r="HRC447" s="268"/>
      <c r="HRQ447" s="268"/>
      <c r="HRR447" s="268"/>
      <c r="HRS447" s="268"/>
      <c r="HSG447" s="268"/>
      <c r="HSI447" s="268"/>
      <c r="HSJ447" s="268"/>
      <c r="HSK447" s="268"/>
      <c r="HSL447" s="268"/>
      <c r="HSM447" s="268"/>
      <c r="HSN447" s="268"/>
      <c r="HSO447" s="268"/>
      <c r="HSP447" s="268"/>
      <c r="HSQ447" s="268"/>
      <c r="HSR447" s="268"/>
      <c r="HSS447" s="268"/>
      <c r="HST447" s="268"/>
      <c r="HSU447" s="268"/>
      <c r="HSV447" s="268"/>
      <c r="HSW447" s="268"/>
      <c r="HSX447" s="268"/>
      <c r="HSY447" s="268"/>
      <c r="HSZ447" s="268"/>
      <c r="HTA447" s="268"/>
      <c r="HTB447" s="268"/>
      <c r="HTC447" s="268"/>
      <c r="HTD447" s="268"/>
      <c r="HTE447" s="268"/>
      <c r="HTF447" s="268"/>
      <c r="HTG447" s="268"/>
      <c r="HTH447" s="268"/>
      <c r="HTI447" s="268"/>
      <c r="HTJ447" s="268"/>
      <c r="HTK447" s="268"/>
      <c r="HTL447" s="268"/>
      <c r="HTM447" s="268"/>
      <c r="HTN447" s="268"/>
      <c r="HTO447" s="268"/>
      <c r="HTP447" s="268"/>
      <c r="HTQ447" s="268"/>
      <c r="HTR447" s="268"/>
      <c r="HTS447" s="268"/>
      <c r="HTT447" s="268"/>
      <c r="HTU447" s="268"/>
      <c r="HTV447" s="268"/>
      <c r="HTW447" s="268"/>
      <c r="HTX447" s="268"/>
      <c r="HTY447" s="268"/>
      <c r="HTZ447" s="268"/>
      <c r="HUA447" s="268"/>
      <c r="HUB447" s="268"/>
      <c r="HUC447" s="268"/>
      <c r="HUD447" s="268"/>
      <c r="HUE447" s="268"/>
      <c r="HUF447" s="268"/>
      <c r="HUG447" s="268"/>
      <c r="HUH447" s="268"/>
      <c r="HUI447" s="268"/>
      <c r="HUJ447" s="268"/>
      <c r="HUK447" s="268"/>
      <c r="HUL447" s="268"/>
      <c r="HUM447" s="268"/>
      <c r="HUN447" s="268"/>
      <c r="HUO447" s="268"/>
      <c r="HUP447" s="268"/>
      <c r="HUQ447" s="268"/>
      <c r="HUR447" s="268"/>
      <c r="HUS447" s="268"/>
      <c r="HUT447" s="268"/>
      <c r="HUU447" s="268"/>
      <c r="HUV447" s="268"/>
      <c r="HUW447" s="268"/>
      <c r="HUX447" s="268"/>
      <c r="HUY447" s="268"/>
      <c r="HUZ447" s="268"/>
      <c r="HVA447" s="268"/>
      <c r="HVB447" s="268"/>
      <c r="HVC447" s="268"/>
      <c r="HVD447" s="268"/>
      <c r="HVE447" s="268"/>
      <c r="HVF447" s="268"/>
      <c r="HVG447" s="268"/>
      <c r="HVH447" s="268"/>
      <c r="HVI447" s="268"/>
      <c r="HVJ447" s="268"/>
      <c r="HVK447" s="268"/>
      <c r="HVL447" s="268"/>
      <c r="HVM447" s="268"/>
      <c r="HVN447" s="268"/>
      <c r="HVO447" s="268"/>
      <c r="HVP447" s="268"/>
      <c r="HVQ447" s="268"/>
      <c r="HVR447" s="268"/>
      <c r="HVS447" s="268"/>
      <c r="HVT447" s="268"/>
      <c r="HVU447" s="268"/>
      <c r="HVV447" s="268"/>
      <c r="HVW447" s="268"/>
      <c r="HVX447" s="268"/>
      <c r="HVY447" s="268"/>
      <c r="HVZ447" s="268"/>
      <c r="HWA447" s="268"/>
      <c r="HWB447" s="268"/>
      <c r="HWC447" s="268"/>
      <c r="HWD447" s="268"/>
      <c r="HWE447" s="268"/>
      <c r="HWF447" s="268"/>
      <c r="HWG447" s="268"/>
      <c r="HWH447" s="268"/>
      <c r="HWI447" s="268"/>
      <c r="HWJ447" s="268"/>
      <c r="HWK447" s="268"/>
      <c r="HWL447" s="268"/>
      <c r="HWM447" s="268"/>
      <c r="HWN447" s="268"/>
      <c r="HWO447" s="268"/>
      <c r="HWP447" s="268"/>
      <c r="HWQ447" s="268"/>
      <c r="HWR447" s="268"/>
      <c r="HWS447" s="268"/>
      <c r="HWT447" s="268"/>
      <c r="HWU447" s="268"/>
      <c r="HWV447" s="268"/>
      <c r="HWW447" s="268"/>
      <c r="HWX447" s="268"/>
      <c r="HWY447" s="268"/>
      <c r="HWZ447" s="268"/>
      <c r="HXA447" s="268"/>
      <c r="HXB447" s="268"/>
      <c r="HXC447" s="268"/>
      <c r="HXD447" s="268"/>
      <c r="HXE447" s="268"/>
      <c r="HXF447" s="268"/>
      <c r="HXG447" s="268"/>
      <c r="HXH447" s="268"/>
      <c r="HXI447" s="268"/>
      <c r="HXJ447" s="268"/>
      <c r="HXK447" s="268"/>
      <c r="HXL447" s="268"/>
      <c r="HXM447" s="268"/>
      <c r="HXN447" s="268"/>
      <c r="HXO447" s="268"/>
      <c r="HXP447" s="268"/>
      <c r="HXQ447" s="268"/>
      <c r="HXR447" s="268"/>
      <c r="HXS447" s="268"/>
      <c r="HXT447" s="268"/>
      <c r="HXU447" s="268"/>
      <c r="HXV447" s="268"/>
      <c r="HXW447" s="268"/>
      <c r="HXX447" s="268"/>
      <c r="HXY447" s="268"/>
      <c r="HXZ447" s="268"/>
      <c r="HYA447" s="268"/>
      <c r="HYB447" s="268"/>
      <c r="HYC447" s="268"/>
      <c r="HYD447" s="268"/>
      <c r="HYE447" s="268"/>
      <c r="HYF447" s="268"/>
      <c r="HYG447" s="268"/>
      <c r="HYH447" s="268"/>
      <c r="HYI447" s="268"/>
      <c r="HYJ447" s="268"/>
      <c r="HYK447" s="268"/>
      <c r="HYL447" s="268"/>
      <c r="HYM447" s="268"/>
      <c r="HYN447" s="268"/>
      <c r="HYO447" s="268"/>
      <c r="HYP447" s="268"/>
      <c r="HYQ447" s="268"/>
      <c r="HYR447" s="268"/>
      <c r="HYS447" s="268"/>
      <c r="HYT447" s="268"/>
      <c r="HYU447" s="268"/>
      <c r="HYV447" s="268"/>
      <c r="HYW447" s="268"/>
      <c r="HYX447" s="268"/>
      <c r="HYY447" s="268"/>
      <c r="HYZ447" s="268"/>
      <c r="HZA447" s="268"/>
      <c r="HZB447" s="268"/>
      <c r="HZC447" s="268"/>
      <c r="HZD447" s="268"/>
      <c r="HZE447" s="268"/>
      <c r="HZF447" s="268"/>
      <c r="HZG447" s="268"/>
      <c r="HZH447" s="268"/>
      <c r="HZI447" s="268"/>
      <c r="HZJ447" s="268"/>
      <c r="HZK447" s="268"/>
      <c r="HZL447" s="268"/>
      <c r="HZM447" s="268"/>
      <c r="HZN447" s="268"/>
      <c r="HZO447" s="268"/>
      <c r="HZP447" s="268"/>
      <c r="HZQ447" s="268"/>
      <c r="HZR447" s="268"/>
      <c r="HZS447" s="268"/>
      <c r="HZT447" s="268"/>
      <c r="HZU447" s="268"/>
      <c r="HZV447" s="268"/>
      <c r="HZW447" s="268"/>
      <c r="HZX447" s="268"/>
      <c r="HZY447" s="268"/>
      <c r="HZZ447" s="268"/>
      <c r="IAA447" s="268"/>
      <c r="IAB447" s="268"/>
      <c r="IAC447" s="268"/>
      <c r="IAD447" s="268"/>
      <c r="IAE447" s="268"/>
      <c r="IAF447" s="268"/>
      <c r="IAG447" s="268"/>
      <c r="IAH447" s="268"/>
      <c r="IAI447" s="268"/>
      <c r="IAJ447" s="268"/>
      <c r="IAK447" s="268"/>
      <c r="IAL447" s="268"/>
      <c r="IAM447" s="268"/>
      <c r="IAN447" s="268"/>
      <c r="IAO447" s="268"/>
      <c r="IAP447" s="268"/>
      <c r="IAQ447" s="268"/>
      <c r="IAR447" s="268"/>
      <c r="IAS447" s="268"/>
      <c r="IAT447" s="268"/>
      <c r="IAU447" s="268"/>
      <c r="IAV447" s="268"/>
      <c r="IAW447" s="268"/>
      <c r="IAX447" s="268"/>
      <c r="IAY447" s="268"/>
      <c r="IBM447" s="268"/>
      <c r="IBN447" s="268"/>
      <c r="IBO447" s="268"/>
      <c r="ICC447" s="268"/>
      <c r="ICE447" s="268"/>
      <c r="ICF447" s="268"/>
      <c r="ICG447" s="268"/>
      <c r="ICH447" s="268"/>
      <c r="ICI447" s="268"/>
      <c r="ICJ447" s="268"/>
      <c r="ICK447" s="268"/>
      <c r="ICL447" s="268"/>
      <c r="ICM447" s="268"/>
      <c r="ICN447" s="268"/>
      <c r="ICO447" s="268"/>
      <c r="ICP447" s="268"/>
      <c r="ICQ447" s="268"/>
      <c r="ICR447" s="268"/>
      <c r="ICS447" s="268"/>
      <c r="ICT447" s="268"/>
      <c r="ICU447" s="268"/>
      <c r="ICV447" s="268"/>
      <c r="ICW447" s="268"/>
      <c r="ICX447" s="268"/>
      <c r="ICY447" s="268"/>
      <c r="ICZ447" s="268"/>
      <c r="IDA447" s="268"/>
      <c r="IDB447" s="268"/>
      <c r="IDC447" s="268"/>
      <c r="IDD447" s="268"/>
      <c r="IDE447" s="268"/>
      <c r="IDF447" s="268"/>
      <c r="IDG447" s="268"/>
      <c r="IDH447" s="268"/>
      <c r="IDI447" s="268"/>
      <c r="IDJ447" s="268"/>
      <c r="IDK447" s="268"/>
      <c r="IDL447" s="268"/>
      <c r="IDM447" s="268"/>
      <c r="IDN447" s="268"/>
      <c r="IDO447" s="268"/>
      <c r="IDP447" s="268"/>
      <c r="IDQ447" s="268"/>
      <c r="IDR447" s="268"/>
      <c r="IDS447" s="268"/>
      <c r="IDT447" s="268"/>
      <c r="IDU447" s="268"/>
      <c r="IDV447" s="268"/>
      <c r="IDW447" s="268"/>
      <c r="IDX447" s="268"/>
      <c r="IDY447" s="268"/>
      <c r="IDZ447" s="268"/>
      <c r="IEA447" s="268"/>
      <c r="IEB447" s="268"/>
      <c r="IEC447" s="268"/>
      <c r="IED447" s="268"/>
      <c r="IEE447" s="268"/>
      <c r="IEF447" s="268"/>
      <c r="IEG447" s="268"/>
      <c r="IEH447" s="268"/>
      <c r="IEI447" s="268"/>
      <c r="IEJ447" s="268"/>
      <c r="IEK447" s="268"/>
      <c r="IEL447" s="268"/>
      <c r="IEM447" s="268"/>
      <c r="IEN447" s="268"/>
      <c r="IEO447" s="268"/>
      <c r="IEP447" s="268"/>
      <c r="IEQ447" s="268"/>
      <c r="IER447" s="268"/>
      <c r="IES447" s="268"/>
      <c r="IET447" s="268"/>
      <c r="IEU447" s="268"/>
      <c r="IEV447" s="268"/>
      <c r="IEW447" s="268"/>
      <c r="IEX447" s="268"/>
      <c r="IEY447" s="268"/>
      <c r="IEZ447" s="268"/>
      <c r="IFA447" s="268"/>
      <c r="IFB447" s="268"/>
      <c r="IFC447" s="268"/>
      <c r="IFD447" s="268"/>
      <c r="IFE447" s="268"/>
      <c r="IFF447" s="268"/>
      <c r="IFG447" s="268"/>
      <c r="IFH447" s="268"/>
      <c r="IFI447" s="268"/>
      <c r="IFJ447" s="268"/>
      <c r="IFK447" s="268"/>
      <c r="IFL447" s="268"/>
      <c r="IFM447" s="268"/>
      <c r="IFN447" s="268"/>
      <c r="IFO447" s="268"/>
      <c r="IFP447" s="268"/>
      <c r="IFQ447" s="268"/>
      <c r="IFR447" s="268"/>
      <c r="IFS447" s="268"/>
      <c r="IFT447" s="268"/>
      <c r="IFU447" s="268"/>
      <c r="IFV447" s="268"/>
      <c r="IFW447" s="268"/>
      <c r="IFX447" s="268"/>
      <c r="IFY447" s="268"/>
      <c r="IFZ447" s="268"/>
      <c r="IGA447" s="268"/>
      <c r="IGB447" s="268"/>
      <c r="IGC447" s="268"/>
      <c r="IGD447" s="268"/>
      <c r="IGE447" s="268"/>
      <c r="IGF447" s="268"/>
      <c r="IGG447" s="268"/>
      <c r="IGH447" s="268"/>
      <c r="IGI447" s="268"/>
      <c r="IGJ447" s="268"/>
      <c r="IGK447" s="268"/>
      <c r="IGL447" s="268"/>
      <c r="IGM447" s="268"/>
      <c r="IGN447" s="268"/>
      <c r="IGO447" s="268"/>
      <c r="IGP447" s="268"/>
      <c r="IGQ447" s="268"/>
      <c r="IGR447" s="268"/>
      <c r="IGS447" s="268"/>
      <c r="IGT447" s="268"/>
      <c r="IGU447" s="268"/>
      <c r="IGV447" s="268"/>
      <c r="IGW447" s="268"/>
      <c r="IGX447" s="268"/>
      <c r="IGY447" s="268"/>
      <c r="IGZ447" s="268"/>
      <c r="IHA447" s="268"/>
      <c r="IHB447" s="268"/>
      <c r="IHC447" s="268"/>
      <c r="IHD447" s="268"/>
      <c r="IHE447" s="268"/>
      <c r="IHF447" s="268"/>
      <c r="IHG447" s="268"/>
      <c r="IHH447" s="268"/>
      <c r="IHI447" s="268"/>
      <c r="IHJ447" s="268"/>
      <c r="IHK447" s="268"/>
      <c r="IHL447" s="268"/>
      <c r="IHM447" s="268"/>
      <c r="IHN447" s="268"/>
      <c r="IHO447" s="268"/>
      <c r="IHP447" s="268"/>
      <c r="IHQ447" s="268"/>
      <c r="IHR447" s="268"/>
      <c r="IHS447" s="268"/>
      <c r="IHT447" s="268"/>
      <c r="IHU447" s="268"/>
      <c r="IHV447" s="268"/>
      <c r="IHW447" s="268"/>
      <c r="IHX447" s="268"/>
      <c r="IHY447" s="268"/>
      <c r="IHZ447" s="268"/>
      <c r="IIA447" s="268"/>
      <c r="IIB447" s="268"/>
      <c r="IIC447" s="268"/>
      <c r="IID447" s="268"/>
      <c r="IIE447" s="268"/>
      <c r="IIF447" s="268"/>
      <c r="IIG447" s="268"/>
      <c r="IIH447" s="268"/>
      <c r="III447" s="268"/>
      <c r="IIJ447" s="268"/>
      <c r="IIK447" s="268"/>
      <c r="IIL447" s="268"/>
      <c r="IIM447" s="268"/>
      <c r="IIN447" s="268"/>
      <c r="IIO447" s="268"/>
      <c r="IIP447" s="268"/>
      <c r="IIQ447" s="268"/>
      <c r="IIR447" s="268"/>
      <c r="IIS447" s="268"/>
      <c r="IIT447" s="268"/>
      <c r="IIU447" s="268"/>
      <c r="IIV447" s="268"/>
      <c r="IIW447" s="268"/>
      <c r="IIX447" s="268"/>
      <c r="IIY447" s="268"/>
      <c r="IIZ447" s="268"/>
      <c r="IJA447" s="268"/>
      <c r="IJB447" s="268"/>
      <c r="IJC447" s="268"/>
      <c r="IJD447" s="268"/>
      <c r="IJE447" s="268"/>
      <c r="IJF447" s="268"/>
      <c r="IJG447" s="268"/>
      <c r="IJH447" s="268"/>
      <c r="IJI447" s="268"/>
      <c r="IJJ447" s="268"/>
      <c r="IJK447" s="268"/>
      <c r="IJL447" s="268"/>
      <c r="IJM447" s="268"/>
      <c r="IJN447" s="268"/>
      <c r="IJO447" s="268"/>
      <c r="IJP447" s="268"/>
      <c r="IJQ447" s="268"/>
      <c r="IJR447" s="268"/>
      <c r="IJS447" s="268"/>
      <c r="IJT447" s="268"/>
      <c r="IJU447" s="268"/>
      <c r="IJV447" s="268"/>
      <c r="IJW447" s="268"/>
      <c r="IJX447" s="268"/>
      <c r="IJY447" s="268"/>
      <c r="IJZ447" s="268"/>
      <c r="IKA447" s="268"/>
      <c r="IKB447" s="268"/>
      <c r="IKC447" s="268"/>
      <c r="IKD447" s="268"/>
      <c r="IKE447" s="268"/>
      <c r="IKF447" s="268"/>
      <c r="IKG447" s="268"/>
      <c r="IKH447" s="268"/>
      <c r="IKI447" s="268"/>
      <c r="IKJ447" s="268"/>
      <c r="IKK447" s="268"/>
      <c r="IKL447" s="268"/>
      <c r="IKM447" s="268"/>
      <c r="IKN447" s="268"/>
      <c r="IKO447" s="268"/>
      <c r="IKP447" s="268"/>
      <c r="IKQ447" s="268"/>
      <c r="IKR447" s="268"/>
      <c r="IKS447" s="268"/>
      <c r="IKT447" s="268"/>
      <c r="IKU447" s="268"/>
      <c r="ILI447" s="268"/>
      <c r="ILJ447" s="268"/>
      <c r="ILK447" s="268"/>
      <c r="ILY447" s="268"/>
      <c r="IMA447" s="268"/>
      <c r="IMB447" s="268"/>
      <c r="IMC447" s="268"/>
      <c r="IMD447" s="268"/>
      <c r="IME447" s="268"/>
      <c r="IMF447" s="268"/>
      <c r="IMG447" s="268"/>
      <c r="IMH447" s="268"/>
      <c r="IMI447" s="268"/>
      <c r="IMJ447" s="268"/>
      <c r="IMK447" s="268"/>
      <c r="IML447" s="268"/>
      <c r="IMM447" s="268"/>
      <c r="IMN447" s="268"/>
      <c r="IMO447" s="268"/>
      <c r="IMP447" s="268"/>
      <c r="IMQ447" s="268"/>
      <c r="IMR447" s="268"/>
      <c r="IMS447" s="268"/>
      <c r="IMT447" s="268"/>
      <c r="IMU447" s="268"/>
      <c r="IMV447" s="268"/>
      <c r="IMW447" s="268"/>
      <c r="IMX447" s="268"/>
      <c r="IMY447" s="268"/>
      <c r="IMZ447" s="268"/>
      <c r="INA447" s="268"/>
      <c r="INB447" s="268"/>
      <c r="INC447" s="268"/>
      <c r="IND447" s="268"/>
      <c r="INE447" s="268"/>
      <c r="INF447" s="268"/>
      <c r="ING447" s="268"/>
      <c r="INH447" s="268"/>
      <c r="INI447" s="268"/>
      <c r="INJ447" s="268"/>
      <c r="INK447" s="268"/>
      <c r="INL447" s="268"/>
      <c r="INM447" s="268"/>
      <c r="INN447" s="268"/>
      <c r="INO447" s="268"/>
      <c r="INP447" s="268"/>
      <c r="INQ447" s="268"/>
      <c r="INR447" s="268"/>
      <c r="INS447" s="268"/>
      <c r="INT447" s="268"/>
      <c r="INU447" s="268"/>
      <c r="INV447" s="268"/>
      <c r="INW447" s="268"/>
      <c r="INX447" s="268"/>
      <c r="INY447" s="268"/>
      <c r="INZ447" s="268"/>
      <c r="IOA447" s="268"/>
      <c r="IOB447" s="268"/>
      <c r="IOC447" s="268"/>
      <c r="IOD447" s="268"/>
      <c r="IOE447" s="268"/>
      <c r="IOF447" s="268"/>
      <c r="IOG447" s="268"/>
      <c r="IOH447" s="268"/>
      <c r="IOI447" s="268"/>
      <c r="IOJ447" s="268"/>
      <c r="IOK447" s="268"/>
      <c r="IOL447" s="268"/>
      <c r="IOM447" s="268"/>
      <c r="ION447" s="268"/>
      <c r="IOO447" s="268"/>
      <c r="IOP447" s="268"/>
      <c r="IOQ447" s="268"/>
      <c r="IOR447" s="268"/>
      <c r="IOS447" s="268"/>
      <c r="IOT447" s="268"/>
      <c r="IOU447" s="268"/>
      <c r="IOV447" s="268"/>
      <c r="IOW447" s="268"/>
      <c r="IOX447" s="268"/>
      <c r="IOY447" s="268"/>
      <c r="IOZ447" s="268"/>
      <c r="IPA447" s="268"/>
      <c r="IPB447" s="268"/>
      <c r="IPC447" s="268"/>
      <c r="IPD447" s="268"/>
      <c r="IPE447" s="268"/>
      <c r="IPF447" s="268"/>
      <c r="IPG447" s="268"/>
      <c r="IPH447" s="268"/>
      <c r="IPI447" s="268"/>
      <c r="IPJ447" s="268"/>
      <c r="IPK447" s="268"/>
      <c r="IPL447" s="268"/>
      <c r="IPM447" s="268"/>
      <c r="IPN447" s="268"/>
      <c r="IPO447" s="268"/>
      <c r="IPP447" s="268"/>
      <c r="IPQ447" s="268"/>
      <c r="IPR447" s="268"/>
      <c r="IPS447" s="268"/>
      <c r="IPT447" s="268"/>
      <c r="IPU447" s="268"/>
      <c r="IPV447" s="268"/>
      <c r="IPW447" s="268"/>
      <c r="IPX447" s="268"/>
      <c r="IPY447" s="268"/>
      <c r="IPZ447" s="268"/>
      <c r="IQA447" s="268"/>
      <c r="IQB447" s="268"/>
      <c r="IQC447" s="268"/>
      <c r="IQD447" s="268"/>
      <c r="IQE447" s="268"/>
      <c r="IQF447" s="268"/>
      <c r="IQG447" s="268"/>
      <c r="IQH447" s="268"/>
      <c r="IQI447" s="268"/>
      <c r="IQJ447" s="268"/>
      <c r="IQK447" s="268"/>
      <c r="IQL447" s="268"/>
      <c r="IQM447" s="268"/>
      <c r="IQN447" s="268"/>
      <c r="IQO447" s="268"/>
      <c r="IQP447" s="268"/>
      <c r="IQQ447" s="268"/>
      <c r="IQR447" s="268"/>
      <c r="IQS447" s="268"/>
      <c r="IQT447" s="268"/>
      <c r="IQU447" s="268"/>
      <c r="IQV447" s="268"/>
      <c r="IQW447" s="268"/>
      <c r="IQX447" s="268"/>
      <c r="IQY447" s="268"/>
      <c r="IQZ447" s="268"/>
      <c r="IRA447" s="268"/>
      <c r="IRB447" s="268"/>
      <c r="IRC447" s="268"/>
      <c r="IRD447" s="268"/>
      <c r="IRE447" s="268"/>
      <c r="IRF447" s="268"/>
      <c r="IRG447" s="268"/>
      <c r="IRH447" s="268"/>
      <c r="IRI447" s="268"/>
      <c r="IRJ447" s="268"/>
      <c r="IRK447" s="268"/>
      <c r="IRL447" s="268"/>
      <c r="IRM447" s="268"/>
      <c r="IRN447" s="268"/>
      <c r="IRO447" s="268"/>
      <c r="IRP447" s="268"/>
      <c r="IRQ447" s="268"/>
      <c r="IRR447" s="268"/>
      <c r="IRS447" s="268"/>
      <c r="IRT447" s="268"/>
      <c r="IRU447" s="268"/>
      <c r="IRV447" s="268"/>
      <c r="IRW447" s="268"/>
      <c r="IRX447" s="268"/>
      <c r="IRY447" s="268"/>
      <c r="IRZ447" s="268"/>
      <c r="ISA447" s="268"/>
      <c r="ISB447" s="268"/>
      <c r="ISC447" s="268"/>
      <c r="ISD447" s="268"/>
      <c r="ISE447" s="268"/>
      <c r="ISF447" s="268"/>
      <c r="ISG447" s="268"/>
      <c r="ISH447" s="268"/>
      <c r="ISI447" s="268"/>
      <c r="ISJ447" s="268"/>
      <c r="ISK447" s="268"/>
      <c r="ISL447" s="268"/>
      <c r="ISM447" s="268"/>
      <c r="ISN447" s="268"/>
      <c r="ISO447" s="268"/>
      <c r="ISP447" s="268"/>
      <c r="ISQ447" s="268"/>
      <c r="ISR447" s="268"/>
      <c r="ISS447" s="268"/>
      <c r="IST447" s="268"/>
      <c r="ISU447" s="268"/>
      <c r="ISV447" s="268"/>
      <c r="ISW447" s="268"/>
      <c r="ISX447" s="268"/>
      <c r="ISY447" s="268"/>
      <c r="ISZ447" s="268"/>
      <c r="ITA447" s="268"/>
      <c r="ITB447" s="268"/>
      <c r="ITC447" s="268"/>
      <c r="ITD447" s="268"/>
      <c r="ITE447" s="268"/>
      <c r="ITF447" s="268"/>
      <c r="ITG447" s="268"/>
      <c r="ITH447" s="268"/>
      <c r="ITI447" s="268"/>
      <c r="ITJ447" s="268"/>
      <c r="ITK447" s="268"/>
      <c r="ITL447" s="268"/>
      <c r="ITM447" s="268"/>
      <c r="ITN447" s="268"/>
      <c r="ITO447" s="268"/>
      <c r="ITP447" s="268"/>
      <c r="ITQ447" s="268"/>
      <c r="ITR447" s="268"/>
      <c r="ITS447" s="268"/>
      <c r="ITT447" s="268"/>
      <c r="ITU447" s="268"/>
      <c r="ITV447" s="268"/>
      <c r="ITW447" s="268"/>
      <c r="ITX447" s="268"/>
      <c r="ITY447" s="268"/>
      <c r="ITZ447" s="268"/>
      <c r="IUA447" s="268"/>
      <c r="IUB447" s="268"/>
      <c r="IUC447" s="268"/>
      <c r="IUD447" s="268"/>
      <c r="IUE447" s="268"/>
      <c r="IUF447" s="268"/>
      <c r="IUG447" s="268"/>
      <c r="IUH447" s="268"/>
      <c r="IUI447" s="268"/>
      <c r="IUJ447" s="268"/>
      <c r="IUK447" s="268"/>
      <c r="IUL447" s="268"/>
      <c r="IUM447" s="268"/>
      <c r="IUN447" s="268"/>
      <c r="IUO447" s="268"/>
      <c r="IUP447" s="268"/>
      <c r="IUQ447" s="268"/>
      <c r="IVE447" s="268"/>
      <c r="IVF447" s="268"/>
      <c r="IVG447" s="268"/>
      <c r="IVU447" s="268"/>
      <c r="IVW447" s="268"/>
      <c r="IVX447" s="268"/>
      <c r="IVY447" s="268"/>
      <c r="IVZ447" s="268"/>
      <c r="IWA447" s="268"/>
      <c r="IWB447" s="268"/>
      <c r="IWC447" s="268"/>
      <c r="IWD447" s="268"/>
      <c r="IWE447" s="268"/>
      <c r="IWF447" s="268"/>
      <c r="IWG447" s="268"/>
      <c r="IWH447" s="268"/>
      <c r="IWI447" s="268"/>
      <c r="IWJ447" s="268"/>
      <c r="IWK447" s="268"/>
      <c r="IWL447" s="268"/>
      <c r="IWM447" s="268"/>
      <c r="IWN447" s="268"/>
      <c r="IWO447" s="268"/>
      <c r="IWP447" s="268"/>
      <c r="IWQ447" s="268"/>
      <c r="IWR447" s="268"/>
      <c r="IWS447" s="268"/>
      <c r="IWT447" s="268"/>
      <c r="IWU447" s="268"/>
      <c r="IWV447" s="268"/>
      <c r="IWW447" s="268"/>
      <c r="IWX447" s="268"/>
      <c r="IWY447" s="268"/>
      <c r="IWZ447" s="268"/>
      <c r="IXA447" s="268"/>
      <c r="IXB447" s="268"/>
      <c r="IXC447" s="268"/>
      <c r="IXD447" s="268"/>
      <c r="IXE447" s="268"/>
      <c r="IXF447" s="268"/>
      <c r="IXG447" s="268"/>
      <c r="IXH447" s="268"/>
      <c r="IXI447" s="268"/>
      <c r="IXJ447" s="268"/>
      <c r="IXK447" s="268"/>
      <c r="IXL447" s="268"/>
      <c r="IXM447" s="268"/>
      <c r="IXN447" s="268"/>
      <c r="IXO447" s="268"/>
      <c r="IXP447" s="268"/>
      <c r="IXQ447" s="268"/>
      <c r="IXR447" s="268"/>
      <c r="IXS447" s="268"/>
      <c r="IXT447" s="268"/>
      <c r="IXU447" s="268"/>
      <c r="IXV447" s="268"/>
      <c r="IXW447" s="268"/>
      <c r="IXX447" s="268"/>
      <c r="IXY447" s="268"/>
      <c r="IXZ447" s="268"/>
      <c r="IYA447" s="268"/>
      <c r="IYB447" s="268"/>
      <c r="IYC447" s="268"/>
      <c r="IYD447" s="268"/>
      <c r="IYE447" s="268"/>
      <c r="IYF447" s="268"/>
      <c r="IYG447" s="268"/>
      <c r="IYH447" s="268"/>
      <c r="IYI447" s="268"/>
      <c r="IYJ447" s="268"/>
      <c r="IYK447" s="268"/>
      <c r="IYL447" s="268"/>
      <c r="IYM447" s="268"/>
      <c r="IYN447" s="268"/>
      <c r="IYO447" s="268"/>
      <c r="IYP447" s="268"/>
      <c r="IYQ447" s="268"/>
      <c r="IYR447" s="268"/>
      <c r="IYS447" s="268"/>
      <c r="IYT447" s="268"/>
      <c r="IYU447" s="268"/>
      <c r="IYV447" s="268"/>
      <c r="IYW447" s="268"/>
      <c r="IYX447" s="268"/>
      <c r="IYY447" s="268"/>
      <c r="IYZ447" s="268"/>
      <c r="IZA447" s="268"/>
      <c r="IZB447" s="268"/>
      <c r="IZC447" s="268"/>
      <c r="IZD447" s="268"/>
      <c r="IZE447" s="268"/>
      <c r="IZF447" s="268"/>
      <c r="IZG447" s="268"/>
      <c r="IZH447" s="268"/>
      <c r="IZI447" s="268"/>
      <c r="IZJ447" s="268"/>
      <c r="IZK447" s="268"/>
      <c r="IZL447" s="268"/>
      <c r="IZM447" s="268"/>
      <c r="IZN447" s="268"/>
      <c r="IZO447" s="268"/>
      <c r="IZP447" s="268"/>
      <c r="IZQ447" s="268"/>
      <c r="IZR447" s="268"/>
      <c r="IZS447" s="268"/>
      <c r="IZT447" s="268"/>
      <c r="IZU447" s="268"/>
      <c r="IZV447" s="268"/>
      <c r="IZW447" s="268"/>
      <c r="IZX447" s="268"/>
      <c r="IZY447" s="268"/>
      <c r="IZZ447" s="268"/>
      <c r="JAA447" s="268"/>
      <c r="JAB447" s="268"/>
      <c r="JAC447" s="268"/>
      <c r="JAD447" s="268"/>
      <c r="JAE447" s="268"/>
      <c r="JAF447" s="268"/>
      <c r="JAG447" s="268"/>
      <c r="JAH447" s="268"/>
      <c r="JAI447" s="268"/>
      <c r="JAJ447" s="268"/>
      <c r="JAK447" s="268"/>
      <c r="JAL447" s="268"/>
      <c r="JAM447" s="268"/>
      <c r="JAN447" s="268"/>
      <c r="JAO447" s="268"/>
      <c r="JAP447" s="268"/>
      <c r="JAQ447" s="268"/>
      <c r="JAR447" s="268"/>
      <c r="JAS447" s="268"/>
      <c r="JAT447" s="268"/>
      <c r="JAU447" s="268"/>
      <c r="JAV447" s="268"/>
      <c r="JAW447" s="268"/>
      <c r="JAX447" s="268"/>
      <c r="JAY447" s="268"/>
      <c r="JAZ447" s="268"/>
      <c r="JBA447" s="268"/>
      <c r="JBB447" s="268"/>
      <c r="JBC447" s="268"/>
      <c r="JBD447" s="268"/>
      <c r="JBE447" s="268"/>
      <c r="JBF447" s="268"/>
      <c r="JBG447" s="268"/>
      <c r="JBH447" s="268"/>
      <c r="JBI447" s="268"/>
      <c r="JBJ447" s="268"/>
      <c r="JBK447" s="268"/>
      <c r="JBL447" s="268"/>
      <c r="JBM447" s="268"/>
      <c r="JBN447" s="268"/>
      <c r="JBO447" s="268"/>
      <c r="JBP447" s="268"/>
      <c r="JBQ447" s="268"/>
      <c r="JBR447" s="268"/>
      <c r="JBS447" s="268"/>
      <c r="JBT447" s="268"/>
      <c r="JBU447" s="268"/>
      <c r="JBV447" s="268"/>
      <c r="JBW447" s="268"/>
      <c r="JBX447" s="268"/>
      <c r="JBY447" s="268"/>
      <c r="JBZ447" s="268"/>
      <c r="JCA447" s="268"/>
      <c r="JCB447" s="268"/>
      <c r="JCC447" s="268"/>
      <c r="JCD447" s="268"/>
      <c r="JCE447" s="268"/>
      <c r="JCF447" s="268"/>
      <c r="JCG447" s="268"/>
      <c r="JCH447" s="268"/>
      <c r="JCI447" s="268"/>
      <c r="JCJ447" s="268"/>
      <c r="JCK447" s="268"/>
      <c r="JCL447" s="268"/>
      <c r="JCM447" s="268"/>
      <c r="JCN447" s="268"/>
      <c r="JCO447" s="268"/>
      <c r="JCP447" s="268"/>
      <c r="JCQ447" s="268"/>
      <c r="JCR447" s="268"/>
      <c r="JCS447" s="268"/>
      <c r="JCT447" s="268"/>
      <c r="JCU447" s="268"/>
      <c r="JCV447" s="268"/>
      <c r="JCW447" s="268"/>
      <c r="JCX447" s="268"/>
      <c r="JCY447" s="268"/>
      <c r="JCZ447" s="268"/>
      <c r="JDA447" s="268"/>
      <c r="JDB447" s="268"/>
      <c r="JDC447" s="268"/>
      <c r="JDD447" s="268"/>
      <c r="JDE447" s="268"/>
      <c r="JDF447" s="268"/>
      <c r="JDG447" s="268"/>
      <c r="JDH447" s="268"/>
      <c r="JDI447" s="268"/>
      <c r="JDJ447" s="268"/>
      <c r="JDK447" s="268"/>
      <c r="JDL447" s="268"/>
      <c r="JDM447" s="268"/>
      <c r="JDN447" s="268"/>
      <c r="JDO447" s="268"/>
      <c r="JDP447" s="268"/>
      <c r="JDQ447" s="268"/>
      <c r="JDR447" s="268"/>
      <c r="JDS447" s="268"/>
      <c r="JDT447" s="268"/>
      <c r="JDU447" s="268"/>
      <c r="JDV447" s="268"/>
      <c r="JDW447" s="268"/>
      <c r="JDX447" s="268"/>
      <c r="JDY447" s="268"/>
      <c r="JDZ447" s="268"/>
      <c r="JEA447" s="268"/>
      <c r="JEB447" s="268"/>
      <c r="JEC447" s="268"/>
      <c r="JED447" s="268"/>
      <c r="JEE447" s="268"/>
      <c r="JEF447" s="268"/>
      <c r="JEG447" s="268"/>
      <c r="JEH447" s="268"/>
      <c r="JEI447" s="268"/>
      <c r="JEJ447" s="268"/>
      <c r="JEK447" s="268"/>
      <c r="JEL447" s="268"/>
      <c r="JEM447" s="268"/>
      <c r="JFA447" s="268"/>
      <c r="JFB447" s="268"/>
      <c r="JFC447" s="268"/>
      <c r="JFQ447" s="268"/>
      <c r="JFS447" s="268"/>
      <c r="JFT447" s="268"/>
      <c r="JFU447" s="268"/>
      <c r="JFV447" s="268"/>
      <c r="JFW447" s="268"/>
      <c r="JFX447" s="268"/>
      <c r="JFY447" s="268"/>
      <c r="JFZ447" s="268"/>
      <c r="JGA447" s="268"/>
      <c r="JGB447" s="268"/>
      <c r="JGC447" s="268"/>
      <c r="JGD447" s="268"/>
      <c r="JGE447" s="268"/>
      <c r="JGF447" s="268"/>
      <c r="JGG447" s="268"/>
      <c r="JGH447" s="268"/>
      <c r="JGI447" s="268"/>
      <c r="JGJ447" s="268"/>
      <c r="JGK447" s="268"/>
      <c r="JGL447" s="268"/>
      <c r="JGM447" s="268"/>
      <c r="JGN447" s="268"/>
      <c r="JGO447" s="268"/>
      <c r="JGP447" s="268"/>
      <c r="JGQ447" s="268"/>
      <c r="JGR447" s="268"/>
      <c r="JGS447" s="268"/>
      <c r="JGT447" s="268"/>
      <c r="JGU447" s="268"/>
      <c r="JGV447" s="268"/>
      <c r="JGW447" s="268"/>
      <c r="JGX447" s="268"/>
      <c r="JGY447" s="268"/>
      <c r="JGZ447" s="268"/>
      <c r="JHA447" s="268"/>
      <c r="JHB447" s="268"/>
      <c r="JHC447" s="268"/>
      <c r="JHD447" s="268"/>
      <c r="JHE447" s="268"/>
      <c r="JHF447" s="268"/>
      <c r="JHG447" s="268"/>
      <c r="JHH447" s="268"/>
      <c r="JHI447" s="268"/>
      <c r="JHJ447" s="268"/>
      <c r="JHK447" s="268"/>
      <c r="JHL447" s="268"/>
      <c r="JHM447" s="268"/>
      <c r="JHN447" s="268"/>
      <c r="JHO447" s="268"/>
      <c r="JHP447" s="268"/>
      <c r="JHQ447" s="268"/>
      <c r="JHR447" s="268"/>
      <c r="JHS447" s="268"/>
      <c r="JHT447" s="268"/>
      <c r="JHU447" s="268"/>
      <c r="JHV447" s="268"/>
      <c r="JHW447" s="268"/>
      <c r="JHX447" s="268"/>
      <c r="JHY447" s="268"/>
      <c r="JHZ447" s="268"/>
      <c r="JIA447" s="268"/>
      <c r="JIB447" s="268"/>
      <c r="JIC447" s="268"/>
      <c r="JID447" s="268"/>
      <c r="JIE447" s="268"/>
      <c r="JIF447" s="268"/>
      <c r="JIG447" s="268"/>
      <c r="JIH447" s="268"/>
      <c r="JII447" s="268"/>
      <c r="JIJ447" s="268"/>
      <c r="JIK447" s="268"/>
      <c r="JIL447" s="268"/>
      <c r="JIM447" s="268"/>
      <c r="JIN447" s="268"/>
      <c r="JIO447" s="268"/>
      <c r="JIP447" s="268"/>
      <c r="JIQ447" s="268"/>
      <c r="JIR447" s="268"/>
      <c r="JIS447" s="268"/>
      <c r="JIT447" s="268"/>
      <c r="JIU447" s="268"/>
      <c r="JIV447" s="268"/>
      <c r="JIW447" s="268"/>
      <c r="JIX447" s="268"/>
      <c r="JIY447" s="268"/>
      <c r="JIZ447" s="268"/>
      <c r="JJA447" s="268"/>
      <c r="JJB447" s="268"/>
      <c r="JJC447" s="268"/>
      <c r="JJD447" s="268"/>
      <c r="JJE447" s="268"/>
      <c r="JJF447" s="268"/>
      <c r="JJG447" s="268"/>
      <c r="JJH447" s="268"/>
      <c r="JJI447" s="268"/>
      <c r="JJJ447" s="268"/>
      <c r="JJK447" s="268"/>
      <c r="JJL447" s="268"/>
      <c r="JJM447" s="268"/>
      <c r="JJN447" s="268"/>
      <c r="JJO447" s="268"/>
      <c r="JJP447" s="268"/>
      <c r="JJQ447" s="268"/>
      <c r="JJR447" s="268"/>
      <c r="JJS447" s="268"/>
      <c r="JJT447" s="268"/>
      <c r="JJU447" s="268"/>
      <c r="JJV447" s="268"/>
      <c r="JJW447" s="268"/>
      <c r="JJX447" s="268"/>
      <c r="JJY447" s="268"/>
      <c r="JJZ447" s="268"/>
      <c r="JKA447" s="268"/>
      <c r="JKB447" s="268"/>
      <c r="JKC447" s="268"/>
      <c r="JKD447" s="268"/>
      <c r="JKE447" s="268"/>
      <c r="JKF447" s="268"/>
      <c r="JKG447" s="268"/>
      <c r="JKH447" s="268"/>
      <c r="JKI447" s="268"/>
      <c r="JKJ447" s="268"/>
      <c r="JKK447" s="268"/>
      <c r="JKL447" s="268"/>
      <c r="JKM447" s="268"/>
      <c r="JKN447" s="268"/>
      <c r="JKO447" s="268"/>
      <c r="JKP447" s="268"/>
      <c r="JKQ447" s="268"/>
      <c r="JKR447" s="268"/>
      <c r="JKS447" s="268"/>
      <c r="JKT447" s="268"/>
      <c r="JKU447" s="268"/>
      <c r="JKV447" s="268"/>
      <c r="JKW447" s="268"/>
      <c r="JKX447" s="268"/>
      <c r="JKY447" s="268"/>
      <c r="JKZ447" s="268"/>
      <c r="JLA447" s="268"/>
      <c r="JLB447" s="268"/>
      <c r="JLC447" s="268"/>
      <c r="JLD447" s="268"/>
      <c r="JLE447" s="268"/>
      <c r="JLF447" s="268"/>
      <c r="JLG447" s="268"/>
      <c r="JLH447" s="268"/>
      <c r="JLI447" s="268"/>
      <c r="JLJ447" s="268"/>
      <c r="JLK447" s="268"/>
      <c r="JLL447" s="268"/>
      <c r="JLM447" s="268"/>
      <c r="JLN447" s="268"/>
      <c r="JLO447" s="268"/>
      <c r="JLP447" s="268"/>
      <c r="JLQ447" s="268"/>
      <c r="JLR447" s="268"/>
      <c r="JLS447" s="268"/>
      <c r="JLT447" s="268"/>
      <c r="JLU447" s="268"/>
      <c r="JLV447" s="268"/>
      <c r="JLW447" s="268"/>
      <c r="JLX447" s="268"/>
      <c r="JLY447" s="268"/>
      <c r="JLZ447" s="268"/>
      <c r="JMA447" s="268"/>
      <c r="JMB447" s="268"/>
      <c r="JMC447" s="268"/>
      <c r="JMD447" s="268"/>
      <c r="JME447" s="268"/>
      <c r="JMF447" s="268"/>
      <c r="JMG447" s="268"/>
      <c r="JMH447" s="268"/>
      <c r="JMI447" s="268"/>
      <c r="JMJ447" s="268"/>
      <c r="JMK447" s="268"/>
      <c r="JML447" s="268"/>
      <c r="JMM447" s="268"/>
      <c r="JMN447" s="268"/>
      <c r="JMO447" s="268"/>
      <c r="JMP447" s="268"/>
      <c r="JMQ447" s="268"/>
      <c r="JMR447" s="268"/>
      <c r="JMS447" s="268"/>
      <c r="JMT447" s="268"/>
      <c r="JMU447" s="268"/>
      <c r="JMV447" s="268"/>
      <c r="JMW447" s="268"/>
      <c r="JMX447" s="268"/>
      <c r="JMY447" s="268"/>
      <c r="JMZ447" s="268"/>
      <c r="JNA447" s="268"/>
      <c r="JNB447" s="268"/>
      <c r="JNC447" s="268"/>
      <c r="JND447" s="268"/>
      <c r="JNE447" s="268"/>
      <c r="JNF447" s="268"/>
      <c r="JNG447" s="268"/>
      <c r="JNH447" s="268"/>
      <c r="JNI447" s="268"/>
      <c r="JNJ447" s="268"/>
      <c r="JNK447" s="268"/>
      <c r="JNL447" s="268"/>
      <c r="JNM447" s="268"/>
      <c r="JNN447" s="268"/>
      <c r="JNO447" s="268"/>
      <c r="JNP447" s="268"/>
      <c r="JNQ447" s="268"/>
      <c r="JNR447" s="268"/>
      <c r="JNS447" s="268"/>
      <c r="JNT447" s="268"/>
      <c r="JNU447" s="268"/>
      <c r="JNV447" s="268"/>
      <c r="JNW447" s="268"/>
      <c r="JNX447" s="268"/>
      <c r="JNY447" s="268"/>
      <c r="JNZ447" s="268"/>
      <c r="JOA447" s="268"/>
      <c r="JOB447" s="268"/>
      <c r="JOC447" s="268"/>
      <c r="JOD447" s="268"/>
      <c r="JOE447" s="268"/>
      <c r="JOF447" s="268"/>
      <c r="JOG447" s="268"/>
      <c r="JOH447" s="268"/>
      <c r="JOI447" s="268"/>
      <c r="JOW447" s="268"/>
      <c r="JOX447" s="268"/>
      <c r="JOY447" s="268"/>
      <c r="JPM447" s="268"/>
      <c r="JPO447" s="268"/>
      <c r="JPP447" s="268"/>
      <c r="JPQ447" s="268"/>
      <c r="JPR447" s="268"/>
      <c r="JPS447" s="268"/>
      <c r="JPT447" s="268"/>
      <c r="JPU447" s="268"/>
      <c r="JPV447" s="268"/>
      <c r="JPW447" s="268"/>
      <c r="JPX447" s="268"/>
      <c r="JPY447" s="268"/>
      <c r="JPZ447" s="268"/>
      <c r="JQA447" s="268"/>
      <c r="JQB447" s="268"/>
      <c r="JQC447" s="268"/>
      <c r="JQD447" s="268"/>
      <c r="JQE447" s="268"/>
      <c r="JQF447" s="268"/>
      <c r="JQG447" s="268"/>
      <c r="JQH447" s="268"/>
      <c r="JQI447" s="268"/>
      <c r="JQJ447" s="268"/>
      <c r="JQK447" s="268"/>
      <c r="JQL447" s="268"/>
      <c r="JQM447" s="268"/>
      <c r="JQN447" s="268"/>
      <c r="JQO447" s="268"/>
      <c r="JQP447" s="268"/>
      <c r="JQQ447" s="268"/>
      <c r="JQR447" s="268"/>
      <c r="JQS447" s="268"/>
      <c r="JQT447" s="268"/>
      <c r="JQU447" s="268"/>
      <c r="JQV447" s="268"/>
      <c r="JQW447" s="268"/>
      <c r="JQX447" s="268"/>
      <c r="JQY447" s="268"/>
      <c r="JQZ447" s="268"/>
      <c r="JRA447" s="268"/>
      <c r="JRB447" s="268"/>
      <c r="JRC447" s="268"/>
      <c r="JRD447" s="268"/>
      <c r="JRE447" s="268"/>
      <c r="JRF447" s="268"/>
      <c r="JRG447" s="268"/>
      <c r="JRH447" s="268"/>
      <c r="JRI447" s="268"/>
      <c r="JRJ447" s="268"/>
      <c r="JRK447" s="268"/>
      <c r="JRL447" s="268"/>
      <c r="JRM447" s="268"/>
      <c r="JRN447" s="268"/>
      <c r="JRO447" s="268"/>
      <c r="JRP447" s="268"/>
      <c r="JRQ447" s="268"/>
      <c r="JRR447" s="268"/>
      <c r="JRS447" s="268"/>
      <c r="JRT447" s="268"/>
      <c r="JRU447" s="268"/>
      <c r="JRV447" s="268"/>
      <c r="JRW447" s="268"/>
      <c r="JRX447" s="268"/>
      <c r="JRY447" s="268"/>
      <c r="JRZ447" s="268"/>
      <c r="JSA447" s="268"/>
      <c r="JSB447" s="268"/>
      <c r="JSC447" s="268"/>
      <c r="JSD447" s="268"/>
      <c r="JSE447" s="268"/>
      <c r="JSF447" s="268"/>
      <c r="JSG447" s="268"/>
      <c r="JSH447" s="268"/>
      <c r="JSI447" s="268"/>
      <c r="JSJ447" s="268"/>
      <c r="JSK447" s="268"/>
      <c r="JSL447" s="268"/>
      <c r="JSM447" s="268"/>
      <c r="JSN447" s="268"/>
      <c r="JSO447" s="268"/>
      <c r="JSP447" s="268"/>
      <c r="JSQ447" s="268"/>
      <c r="JSR447" s="268"/>
      <c r="JSS447" s="268"/>
      <c r="JST447" s="268"/>
      <c r="JSU447" s="268"/>
      <c r="JSV447" s="268"/>
      <c r="JSW447" s="268"/>
      <c r="JSX447" s="268"/>
      <c r="JSY447" s="268"/>
      <c r="JSZ447" s="268"/>
      <c r="JTA447" s="268"/>
      <c r="JTB447" s="268"/>
      <c r="JTC447" s="268"/>
      <c r="JTD447" s="268"/>
      <c r="JTE447" s="268"/>
      <c r="JTF447" s="268"/>
      <c r="JTG447" s="268"/>
      <c r="JTH447" s="268"/>
      <c r="JTI447" s="268"/>
      <c r="JTJ447" s="268"/>
      <c r="JTK447" s="268"/>
      <c r="JTL447" s="268"/>
      <c r="JTM447" s="268"/>
      <c r="JTN447" s="268"/>
      <c r="JTO447" s="268"/>
      <c r="JTP447" s="268"/>
      <c r="JTQ447" s="268"/>
      <c r="JTR447" s="268"/>
      <c r="JTS447" s="268"/>
      <c r="JTT447" s="268"/>
      <c r="JTU447" s="268"/>
      <c r="JTV447" s="268"/>
      <c r="JTW447" s="268"/>
      <c r="JTX447" s="268"/>
      <c r="JTY447" s="268"/>
      <c r="JTZ447" s="268"/>
      <c r="JUA447" s="268"/>
      <c r="JUB447" s="268"/>
      <c r="JUC447" s="268"/>
      <c r="JUD447" s="268"/>
      <c r="JUE447" s="268"/>
      <c r="JUF447" s="268"/>
      <c r="JUG447" s="268"/>
      <c r="JUH447" s="268"/>
      <c r="JUI447" s="268"/>
      <c r="JUJ447" s="268"/>
      <c r="JUK447" s="268"/>
      <c r="JUL447" s="268"/>
      <c r="JUM447" s="268"/>
      <c r="JUN447" s="268"/>
      <c r="JUO447" s="268"/>
      <c r="JUP447" s="268"/>
      <c r="JUQ447" s="268"/>
      <c r="JUR447" s="268"/>
      <c r="JUS447" s="268"/>
      <c r="JUT447" s="268"/>
      <c r="JUU447" s="268"/>
      <c r="JUV447" s="268"/>
      <c r="JUW447" s="268"/>
      <c r="JUX447" s="268"/>
      <c r="JUY447" s="268"/>
      <c r="JUZ447" s="268"/>
      <c r="JVA447" s="268"/>
      <c r="JVB447" s="268"/>
      <c r="JVC447" s="268"/>
      <c r="JVD447" s="268"/>
      <c r="JVE447" s="268"/>
      <c r="JVF447" s="268"/>
      <c r="JVG447" s="268"/>
      <c r="JVH447" s="268"/>
      <c r="JVI447" s="268"/>
      <c r="JVJ447" s="268"/>
      <c r="JVK447" s="268"/>
      <c r="JVL447" s="268"/>
      <c r="JVM447" s="268"/>
      <c r="JVN447" s="268"/>
      <c r="JVO447" s="268"/>
      <c r="JVP447" s="268"/>
      <c r="JVQ447" s="268"/>
      <c r="JVR447" s="268"/>
      <c r="JVS447" s="268"/>
      <c r="JVT447" s="268"/>
      <c r="JVU447" s="268"/>
      <c r="JVV447" s="268"/>
      <c r="JVW447" s="268"/>
      <c r="JVX447" s="268"/>
      <c r="JVY447" s="268"/>
      <c r="JVZ447" s="268"/>
      <c r="JWA447" s="268"/>
      <c r="JWB447" s="268"/>
      <c r="JWC447" s="268"/>
      <c r="JWD447" s="268"/>
      <c r="JWE447" s="268"/>
      <c r="JWF447" s="268"/>
      <c r="JWG447" s="268"/>
      <c r="JWH447" s="268"/>
      <c r="JWI447" s="268"/>
      <c r="JWJ447" s="268"/>
      <c r="JWK447" s="268"/>
      <c r="JWL447" s="268"/>
      <c r="JWM447" s="268"/>
      <c r="JWN447" s="268"/>
      <c r="JWO447" s="268"/>
      <c r="JWP447" s="268"/>
      <c r="JWQ447" s="268"/>
      <c r="JWR447" s="268"/>
      <c r="JWS447" s="268"/>
      <c r="JWT447" s="268"/>
      <c r="JWU447" s="268"/>
      <c r="JWV447" s="268"/>
      <c r="JWW447" s="268"/>
      <c r="JWX447" s="268"/>
      <c r="JWY447" s="268"/>
      <c r="JWZ447" s="268"/>
      <c r="JXA447" s="268"/>
      <c r="JXB447" s="268"/>
      <c r="JXC447" s="268"/>
      <c r="JXD447" s="268"/>
      <c r="JXE447" s="268"/>
      <c r="JXF447" s="268"/>
      <c r="JXG447" s="268"/>
      <c r="JXH447" s="268"/>
      <c r="JXI447" s="268"/>
      <c r="JXJ447" s="268"/>
      <c r="JXK447" s="268"/>
      <c r="JXL447" s="268"/>
      <c r="JXM447" s="268"/>
      <c r="JXN447" s="268"/>
      <c r="JXO447" s="268"/>
      <c r="JXP447" s="268"/>
      <c r="JXQ447" s="268"/>
      <c r="JXR447" s="268"/>
      <c r="JXS447" s="268"/>
      <c r="JXT447" s="268"/>
      <c r="JXU447" s="268"/>
      <c r="JXV447" s="268"/>
      <c r="JXW447" s="268"/>
      <c r="JXX447" s="268"/>
      <c r="JXY447" s="268"/>
      <c r="JXZ447" s="268"/>
      <c r="JYA447" s="268"/>
      <c r="JYB447" s="268"/>
      <c r="JYC447" s="268"/>
      <c r="JYD447" s="268"/>
      <c r="JYE447" s="268"/>
      <c r="JYS447" s="268"/>
      <c r="JYT447" s="268"/>
      <c r="JYU447" s="268"/>
      <c r="JZI447" s="268"/>
      <c r="JZK447" s="268"/>
      <c r="JZL447" s="268"/>
      <c r="JZM447" s="268"/>
      <c r="JZN447" s="268"/>
      <c r="JZO447" s="268"/>
      <c r="JZP447" s="268"/>
      <c r="JZQ447" s="268"/>
      <c r="JZR447" s="268"/>
      <c r="JZS447" s="268"/>
      <c r="JZT447" s="268"/>
      <c r="JZU447" s="268"/>
      <c r="JZV447" s="268"/>
      <c r="JZW447" s="268"/>
      <c r="JZX447" s="268"/>
      <c r="JZY447" s="268"/>
      <c r="JZZ447" s="268"/>
      <c r="KAA447" s="268"/>
      <c r="KAB447" s="268"/>
      <c r="KAC447" s="268"/>
      <c r="KAD447" s="268"/>
      <c r="KAE447" s="268"/>
      <c r="KAF447" s="268"/>
      <c r="KAG447" s="268"/>
      <c r="KAH447" s="268"/>
      <c r="KAI447" s="268"/>
      <c r="KAJ447" s="268"/>
      <c r="KAK447" s="268"/>
      <c r="KAL447" s="268"/>
      <c r="KAM447" s="268"/>
      <c r="KAN447" s="268"/>
      <c r="KAO447" s="268"/>
      <c r="KAP447" s="268"/>
      <c r="KAQ447" s="268"/>
      <c r="KAR447" s="268"/>
      <c r="KAS447" s="268"/>
      <c r="KAT447" s="268"/>
      <c r="KAU447" s="268"/>
      <c r="KAV447" s="268"/>
      <c r="KAW447" s="268"/>
      <c r="KAX447" s="268"/>
      <c r="KAY447" s="268"/>
      <c r="KAZ447" s="268"/>
      <c r="KBA447" s="268"/>
      <c r="KBB447" s="268"/>
      <c r="KBC447" s="268"/>
      <c r="KBD447" s="268"/>
      <c r="KBE447" s="268"/>
      <c r="KBF447" s="268"/>
      <c r="KBG447" s="268"/>
      <c r="KBH447" s="268"/>
      <c r="KBI447" s="268"/>
      <c r="KBJ447" s="268"/>
      <c r="KBK447" s="268"/>
      <c r="KBL447" s="268"/>
      <c r="KBM447" s="268"/>
      <c r="KBN447" s="268"/>
      <c r="KBO447" s="268"/>
      <c r="KBP447" s="268"/>
      <c r="KBQ447" s="268"/>
      <c r="KBR447" s="268"/>
      <c r="KBS447" s="268"/>
      <c r="KBT447" s="268"/>
      <c r="KBU447" s="268"/>
      <c r="KBV447" s="268"/>
      <c r="KBW447" s="268"/>
      <c r="KBX447" s="268"/>
      <c r="KBY447" s="268"/>
      <c r="KBZ447" s="268"/>
      <c r="KCA447" s="268"/>
      <c r="KCB447" s="268"/>
      <c r="KCC447" s="268"/>
      <c r="KCD447" s="268"/>
      <c r="KCE447" s="268"/>
      <c r="KCF447" s="268"/>
      <c r="KCG447" s="268"/>
      <c r="KCH447" s="268"/>
      <c r="KCI447" s="268"/>
      <c r="KCJ447" s="268"/>
      <c r="KCK447" s="268"/>
      <c r="KCL447" s="268"/>
      <c r="KCM447" s="268"/>
      <c r="KCN447" s="268"/>
      <c r="KCO447" s="268"/>
      <c r="KCP447" s="268"/>
      <c r="KCQ447" s="268"/>
      <c r="KCR447" s="268"/>
      <c r="KCS447" s="268"/>
      <c r="KCT447" s="268"/>
      <c r="KCU447" s="268"/>
      <c r="KCV447" s="268"/>
      <c r="KCW447" s="268"/>
      <c r="KCX447" s="268"/>
      <c r="KCY447" s="268"/>
      <c r="KCZ447" s="268"/>
      <c r="KDA447" s="268"/>
      <c r="KDB447" s="268"/>
      <c r="KDC447" s="268"/>
      <c r="KDD447" s="268"/>
      <c r="KDE447" s="268"/>
      <c r="KDF447" s="268"/>
      <c r="KDG447" s="268"/>
      <c r="KDH447" s="268"/>
      <c r="KDI447" s="268"/>
      <c r="KDJ447" s="268"/>
      <c r="KDK447" s="268"/>
      <c r="KDL447" s="268"/>
      <c r="KDM447" s="268"/>
      <c r="KDN447" s="268"/>
      <c r="KDO447" s="268"/>
      <c r="KDP447" s="268"/>
      <c r="KDQ447" s="268"/>
      <c r="KDR447" s="268"/>
      <c r="KDS447" s="268"/>
      <c r="KDT447" s="268"/>
      <c r="KDU447" s="268"/>
      <c r="KDV447" s="268"/>
      <c r="KDW447" s="268"/>
      <c r="KDX447" s="268"/>
      <c r="KDY447" s="268"/>
      <c r="KDZ447" s="268"/>
      <c r="KEA447" s="268"/>
      <c r="KEB447" s="268"/>
      <c r="KEC447" s="268"/>
      <c r="KED447" s="268"/>
      <c r="KEE447" s="268"/>
      <c r="KEF447" s="268"/>
      <c r="KEG447" s="268"/>
      <c r="KEH447" s="268"/>
      <c r="KEI447" s="268"/>
      <c r="KEJ447" s="268"/>
      <c r="KEK447" s="268"/>
      <c r="KEL447" s="268"/>
      <c r="KEM447" s="268"/>
      <c r="KEN447" s="268"/>
      <c r="KEO447" s="268"/>
      <c r="KEP447" s="268"/>
      <c r="KEQ447" s="268"/>
      <c r="KER447" s="268"/>
      <c r="KES447" s="268"/>
      <c r="KET447" s="268"/>
      <c r="KEU447" s="268"/>
      <c r="KEV447" s="268"/>
      <c r="KEW447" s="268"/>
      <c r="KEX447" s="268"/>
      <c r="KEY447" s="268"/>
      <c r="KEZ447" s="268"/>
      <c r="KFA447" s="268"/>
      <c r="KFB447" s="268"/>
      <c r="KFC447" s="268"/>
      <c r="KFD447" s="268"/>
      <c r="KFE447" s="268"/>
      <c r="KFF447" s="268"/>
      <c r="KFG447" s="268"/>
      <c r="KFH447" s="268"/>
      <c r="KFI447" s="268"/>
      <c r="KFJ447" s="268"/>
      <c r="KFK447" s="268"/>
      <c r="KFL447" s="268"/>
      <c r="KFM447" s="268"/>
      <c r="KFN447" s="268"/>
      <c r="KFO447" s="268"/>
      <c r="KFP447" s="268"/>
      <c r="KFQ447" s="268"/>
      <c r="KFR447" s="268"/>
      <c r="KFS447" s="268"/>
      <c r="KFT447" s="268"/>
      <c r="KFU447" s="268"/>
      <c r="KFV447" s="268"/>
      <c r="KFW447" s="268"/>
      <c r="KFX447" s="268"/>
      <c r="KFY447" s="268"/>
      <c r="KFZ447" s="268"/>
      <c r="KGA447" s="268"/>
      <c r="KGB447" s="268"/>
      <c r="KGC447" s="268"/>
      <c r="KGD447" s="268"/>
      <c r="KGE447" s="268"/>
      <c r="KGF447" s="268"/>
      <c r="KGG447" s="268"/>
      <c r="KGH447" s="268"/>
      <c r="KGI447" s="268"/>
      <c r="KGJ447" s="268"/>
      <c r="KGK447" s="268"/>
      <c r="KGL447" s="268"/>
      <c r="KGM447" s="268"/>
      <c r="KGN447" s="268"/>
      <c r="KGO447" s="268"/>
      <c r="KGP447" s="268"/>
      <c r="KGQ447" s="268"/>
      <c r="KGR447" s="268"/>
      <c r="KGS447" s="268"/>
      <c r="KGT447" s="268"/>
      <c r="KGU447" s="268"/>
      <c r="KGV447" s="268"/>
      <c r="KGW447" s="268"/>
      <c r="KGX447" s="268"/>
      <c r="KGY447" s="268"/>
      <c r="KGZ447" s="268"/>
      <c r="KHA447" s="268"/>
      <c r="KHB447" s="268"/>
      <c r="KHC447" s="268"/>
      <c r="KHD447" s="268"/>
      <c r="KHE447" s="268"/>
      <c r="KHF447" s="268"/>
      <c r="KHG447" s="268"/>
      <c r="KHH447" s="268"/>
      <c r="KHI447" s="268"/>
      <c r="KHJ447" s="268"/>
      <c r="KHK447" s="268"/>
      <c r="KHL447" s="268"/>
      <c r="KHM447" s="268"/>
      <c r="KHN447" s="268"/>
      <c r="KHO447" s="268"/>
      <c r="KHP447" s="268"/>
      <c r="KHQ447" s="268"/>
      <c r="KHR447" s="268"/>
      <c r="KHS447" s="268"/>
      <c r="KHT447" s="268"/>
      <c r="KHU447" s="268"/>
      <c r="KHV447" s="268"/>
      <c r="KHW447" s="268"/>
      <c r="KHX447" s="268"/>
      <c r="KHY447" s="268"/>
      <c r="KHZ447" s="268"/>
      <c r="KIA447" s="268"/>
      <c r="KIO447" s="268"/>
      <c r="KIP447" s="268"/>
      <c r="KIQ447" s="268"/>
      <c r="KJE447" s="268"/>
      <c r="KJG447" s="268"/>
      <c r="KJH447" s="268"/>
      <c r="KJI447" s="268"/>
      <c r="KJJ447" s="268"/>
      <c r="KJK447" s="268"/>
      <c r="KJL447" s="268"/>
      <c r="KJM447" s="268"/>
      <c r="KJN447" s="268"/>
      <c r="KJO447" s="268"/>
      <c r="KJP447" s="268"/>
      <c r="KJQ447" s="268"/>
      <c r="KJR447" s="268"/>
      <c r="KJS447" s="268"/>
      <c r="KJT447" s="268"/>
      <c r="KJU447" s="268"/>
      <c r="KJV447" s="268"/>
      <c r="KJW447" s="268"/>
      <c r="KJX447" s="268"/>
      <c r="KJY447" s="268"/>
      <c r="KJZ447" s="268"/>
      <c r="KKA447" s="268"/>
      <c r="KKB447" s="268"/>
      <c r="KKC447" s="268"/>
      <c r="KKD447" s="268"/>
      <c r="KKE447" s="268"/>
      <c r="KKF447" s="268"/>
      <c r="KKG447" s="268"/>
      <c r="KKH447" s="268"/>
      <c r="KKI447" s="268"/>
      <c r="KKJ447" s="268"/>
      <c r="KKK447" s="268"/>
      <c r="KKL447" s="268"/>
      <c r="KKM447" s="268"/>
      <c r="KKN447" s="268"/>
      <c r="KKO447" s="268"/>
      <c r="KKP447" s="268"/>
      <c r="KKQ447" s="268"/>
      <c r="KKR447" s="268"/>
      <c r="KKS447" s="268"/>
      <c r="KKT447" s="268"/>
      <c r="KKU447" s="268"/>
      <c r="KKV447" s="268"/>
      <c r="KKW447" s="268"/>
      <c r="KKX447" s="268"/>
      <c r="KKY447" s="268"/>
      <c r="KKZ447" s="268"/>
      <c r="KLA447" s="268"/>
      <c r="KLB447" s="268"/>
      <c r="KLC447" s="268"/>
      <c r="KLD447" s="268"/>
      <c r="KLE447" s="268"/>
      <c r="KLF447" s="268"/>
      <c r="KLG447" s="268"/>
      <c r="KLH447" s="268"/>
      <c r="KLI447" s="268"/>
      <c r="KLJ447" s="268"/>
      <c r="KLK447" s="268"/>
      <c r="KLL447" s="268"/>
      <c r="KLM447" s="268"/>
      <c r="KLN447" s="268"/>
      <c r="KLO447" s="268"/>
      <c r="KLP447" s="268"/>
      <c r="KLQ447" s="268"/>
      <c r="KLR447" s="268"/>
      <c r="KLS447" s="268"/>
      <c r="KLT447" s="268"/>
      <c r="KLU447" s="268"/>
      <c r="KLV447" s="268"/>
      <c r="KLW447" s="268"/>
      <c r="KLX447" s="268"/>
      <c r="KLY447" s="268"/>
      <c r="KLZ447" s="268"/>
      <c r="KMA447" s="268"/>
      <c r="KMB447" s="268"/>
      <c r="KMC447" s="268"/>
      <c r="KMD447" s="268"/>
      <c r="KME447" s="268"/>
      <c r="KMF447" s="268"/>
      <c r="KMG447" s="268"/>
      <c r="KMH447" s="268"/>
      <c r="KMI447" s="268"/>
      <c r="KMJ447" s="268"/>
      <c r="KMK447" s="268"/>
      <c r="KML447" s="268"/>
      <c r="KMM447" s="268"/>
      <c r="KMN447" s="268"/>
      <c r="KMO447" s="268"/>
      <c r="KMP447" s="268"/>
      <c r="KMQ447" s="268"/>
      <c r="KMR447" s="268"/>
      <c r="KMS447" s="268"/>
      <c r="KMT447" s="268"/>
      <c r="KMU447" s="268"/>
      <c r="KMV447" s="268"/>
      <c r="KMW447" s="268"/>
      <c r="KMX447" s="268"/>
      <c r="KMY447" s="268"/>
      <c r="KMZ447" s="268"/>
      <c r="KNA447" s="268"/>
      <c r="KNB447" s="268"/>
      <c r="KNC447" s="268"/>
      <c r="KND447" s="268"/>
      <c r="KNE447" s="268"/>
      <c r="KNF447" s="268"/>
      <c r="KNG447" s="268"/>
      <c r="KNH447" s="268"/>
      <c r="KNI447" s="268"/>
      <c r="KNJ447" s="268"/>
      <c r="KNK447" s="268"/>
      <c r="KNL447" s="268"/>
      <c r="KNM447" s="268"/>
      <c r="KNN447" s="268"/>
      <c r="KNO447" s="268"/>
      <c r="KNP447" s="268"/>
      <c r="KNQ447" s="268"/>
      <c r="KNR447" s="268"/>
      <c r="KNS447" s="268"/>
      <c r="KNT447" s="268"/>
      <c r="KNU447" s="268"/>
      <c r="KNV447" s="268"/>
      <c r="KNW447" s="268"/>
      <c r="KNX447" s="268"/>
      <c r="KNY447" s="268"/>
      <c r="KNZ447" s="268"/>
      <c r="KOA447" s="268"/>
      <c r="KOB447" s="268"/>
      <c r="KOC447" s="268"/>
      <c r="KOD447" s="268"/>
      <c r="KOE447" s="268"/>
      <c r="KOF447" s="268"/>
      <c r="KOG447" s="268"/>
      <c r="KOH447" s="268"/>
      <c r="KOI447" s="268"/>
      <c r="KOJ447" s="268"/>
      <c r="KOK447" s="268"/>
      <c r="KOL447" s="268"/>
      <c r="KOM447" s="268"/>
      <c r="KON447" s="268"/>
      <c r="KOO447" s="268"/>
      <c r="KOP447" s="268"/>
      <c r="KOQ447" s="268"/>
      <c r="KOR447" s="268"/>
      <c r="KOS447" s="268"/>
      <c r="KOT447" s="268"/>
      <c r="KOU447" s="268"/>
      <c r="KOV447" s="268"/>
      <c r="KOW447" s="268"/>
      <c r="KOX447" s="268"/>
      <c r="KOY447" s="268"/>
      <c r="KOZ447" s="268"/>
      <c r="KPA447" s="268"/>
      <c r="KPB447" s="268"/>
      <c r="KPC447" s="268"/>
      <c r="KPD447" s="268"/>
      <c r="KPE447" s="268"/>
      <c r="KPF447" s="268"/>
      <c r="KPG447" s="268"/>
      <c r="KPH447" s="268"/>
      <c r="KPI447" s="268"/>
      <c r="KPJ447" s="268"/>
      <c r="KPK447" s="268"/>
      <c r="KPL447" s="268"/>
      <c r="KPM447" s="268"/>
      <c r="KPN447" s="268"/>
      <c r="KPO447" s="268"/>
      <c r="KPP447" s="268"/>
      <c r="KPQ447" s="268"/>
      <c r="KPR447" s="268"/>
      <c r="KPS447" s="268"/>
      <c r="KPT447" s="268"/>
      <c r="KPU447" s="268"/>
      <c r="KPV447" s="268"/>
      <c r="KPW447" s="268"/>
      <c r="KPX447" s="268"/>
      <c r="KPY447" s="268"/>
      <c r="KPZ447" s="268"/>
      <c r="KQA447" s="268"/>
      <c r="KQB447" s="268"/>
      <c r="KQC447" s="268"/>
      <c r="KQD447" s="268"/>
      <c r="KQE447" s="268"/>
      <c r="KQF447" s="268"/>
      <c r="KQG447" s="268"/>
      <c r="KQH447" s="268"/>
      <c r="KQI447" s="268"/>
      <c r="KQJ447" s="268"/>
      <c r="KQK447" s="268"/>
      <c r="KQL447" s="268"/>
      <c r="KQM447" s="268"/>
      <c r="KQN447" s="268"/>
      <c r="KQO447" s="268"/>
      <c r="KQP447" s="268"/>
      <c r="KQQ447" s="268"/>
      <c r="KQR447" s="268"/>
      <c r="KQS447" s="268"/>
      <c r="KQT447" s="268"/>
      <c r="KQU447" s="268"/>
      <c r="KQV447" s="268"/>
      <c r="KQW447" s="268"/>
      <c r="KQX447" s="268"/>
      <c r="KQY447" s="268"/>
      <c r="KQZ447" s="268"/>
      <c r="KRA447" s="268"/>
      <c r="KRB447" s="268"/>
      <c r="KRC447" s="268"/>
      <c r="KRD447" s="268"/>
      <c r="KRE447" s="268"/>
      <c r="KRF447" s="268"/>
      <c r="KRG447" s="268"/>
      <c r="KRH447" s="268"/>
      <c r="KRI447" s="268"/>
      <c r="KRJ447" s="268"/>
      <c r="KRK447" s="268"/>
      <c r="KRL447" s="268"/>
      <c r="KRM447" s="268"/>
      <c r="KRN447" s="268"/>
      <c r="KRO447" s="268"/>
      <c r="KRP447" s="268"/>
      <c r="KRQ447" s="268"/>
      <c r="KRR447" s="268"/>
      <c r="KRS447" s="268"/>
      <c r="KRT447" s="268"/>
      <c r="KRU447" s="268"/>
      <c r="KRV447" s="268"/>
      <c r="KRW447" s="268"/>
      <c r="KSK447" s="268"/>
      <c r="KSL447" s="268"/>
      <c r="KSM447" s="268"/>
      <c r="KTA447" s="268"/>
      <c r="KTC447" s="268"/>
      <c r="KTD447" s="268"/>
      <c r="KTE447" s="268"/>
      <c r="KTF447" s="268"/>
      <c r="KTG447" s="268"/>
      <c r="KTH447" s="268"/>
      <c r="KTI447" s="268"/>
      <c r="KTJ447" s="268"/>
      <c r="KTK447" s="268"/>
      <c r="KTL447" s="268"/>
      <c r="KTM447" s="268"/>
      <c r="KTN447" s="268"/>
      <c r="KTO447" s="268"/>
      <c r="KTP447" s="268"/>
      <c r="KTQ447" s="268"/>
      <c r="KTR447" s="268"/>
      <c r="KTS447" s="268"/>
      <c r="KTT447" s="268"/>
      <c r="KTU447" s="268"/>
      <c r="KTV447" s="268"/>
      <c r="KTW447" s="268"/>
      <c r="KTX447" s="268"/>
      <c r="KTY447" s="268"/>
      <c r="KTZ447" s="268"/>
      <c r="KUA447" s="268"/>
      <c r="KUB447" s="268"/>
      <c r="KUC447" s="268"/>
      <c r="KUD447" s="268"/>
      <c r="KUE447" s="268"/>
      <c r="KUF447" s="268"/>
      <c r="KUG447" s="268"/>
      <c r="KUH447" s="268"/>
      <c r="KUI447" s="268"/>
      <c r="KUJ447" s="268"/>
      <c r="KUK447" s="268"/>
      <c r="KUL447" s="268"/>
      <c r="KUM447" s="268"/>
      <c r="KUN447" s="268"/>
      <c r="KUO447" s="268"/>
      <c r="KUP447" s="268"/>
      <c r="KUQ447" s="268"/>
      <c r="KUR447" s="268"/>
      <c r="KUS447" s="268"/>
      <c r="KUT447" s="268"/>
      <c r="KUU447" s="268"/>
      <c r="KUV447" s="268"/>
      <c r="KUW447" s="268"/>
      <c r="KUX447" s="268"/>
      <c r="KUY447" s="268"/>
      <c r="KUZ447" s="268"/>
      <c r="KVA447" s="268"/>
      <c r="KVB447" s="268"/>
      <c r="KVC447" s="268"/>
      <c r="KVD447" s="268"/>
      <c r="KVE447" s="268"/>
      <c r="KVF447" s="268"/>
      <c r="KVG447" s="268"/>
      <c r="KVH447" s="268"/>
      <c r="KVI447" s="268"/>
      <c r="KVJ447" s="268"/>
      <c r="KVK447" s="268"/>
      <c r="KVL447" s="268"/>
      <c r="KVM447" s="268"/>
      <c r="KVN447" s="268"/>
      <c r="KVO447" s="268"/>
      <c r="KVP447" s="268"/>
      <c r="KVQ447" s="268"/>
      <c r="KVR447" s="268"/>
      <c r="KVS447" s="268"/>
      <c r="KVT447" s="268"/>
      <c r="KVU447" s="268"/>
      <c r="KVV447" s="268"/>
      <c r="KVW447" s="268"/>
      <c r="KVX447" s="268"/>
      <c r="KVY447" s="268"/>
      <c r="KVZ447" s="268"/>
      <c r="KWA447" s="268"/>
      <c r="KWB447" s="268"/>
      <c r="KWC447" s="268"/>
      <c r="KWD447" s="268"/>
      <c r="KWE447" s="268"/>
      <c r="KWF447" s="268"/>
      <c r="KWG447" s="268"/>
      <c r="KWH447" s="268"/>
      <c r="KWI447" s="268"/>
      <c r="KWJ447" s="268"/>
      <c r="KWK447" s="268"/>
      <c r="KWL447" s="268"/>
      <c r="KWM447" s="268"/>
      <c r="KWN447" s="268"/>
      <c r="KWO447" s="268"/>
      <c r="KWP447" s="268"/>
      <c r="KWQ447" s="268"/>
      <c r="KWR447" s="268"/>
      <c r="KWS447" s="268"/>
      <c r="KWT447" s="268"/>
      <c r="KWU447" s="268"/>
      <c r="KWV447" s="268"/>
      <c r="KWW447" s="268"/>
      <c r="KWX447" s="268"/>
      <c r="KWY447" s="268"/>
      <c r="KWZ447" s="268"/>
      <c r="KXA447" s="268"/>
      <c r="KXB447" s="268"/>
      <c r="KXC447" s="268"/>
      <c r="KXD447" s="268"/>
      <c r="KXE447" s="268"/>
      <c r="KXF447" s="268"/>
      <c r="KXG447" s="268"/>
      <c r="KXH447" s="268"/>
      <c r="KXI447" s="268"/>
      <c r="KXJ447" s="268"/>
      <c r="KXK447" s="268"/>
      <c r="KXL447" s="268"/>
      <c r="KXM447" s="268"/>
      <c r="KXN447" s="268"/>
      <c r="KXO447" s="268"/>
      <c r="KXP447" s="268"/>
      <c r="KXQ447" s="268"/>
      <c r="KXR447" s="268"/>
      <c r="KXS447" s="268"/>
      <c r="KXT447" s="268"/>
      <c r="KXU447" s="268"/>
      <c r="KXV447" s="268"/>
      <c r="KXW447" s="268"/>
      <c r="KXX447" s="268"/>
      <c r="KXY447" s="268"/>
      <c r="KXZ447" s="268"/>
      <c r="KYA447" s="268"/>
      <c r="KYB447" s="268"/>
      <c r="KYC447" s="268"/>
      <c r="KYD447" s="268"/>
      <c r="KYE447" s="268"/>
      <c r="KYF447" s="268"/>
      <c r="KYG447" s="268"/>
      <c r="KYH447" s="268"/>
      <c r="KYI447" s="268"/>
      <c r="KYJ447" s="268"/>
      <c r="KYK447" s="268"/>
      <c r="KYL447" s="268"/>
      <c r="KYM447" s="268"/>
      <c r="KYN447" s="268"/>
      <c r="KYO447" s="268"/>
      <c r="KYP447" s="268"/>
      <c r="KYQ447" s="268"/>
      <c r="KYR447" s="268"/>
      <c r="KYS447" s="268"/>
      <c r="KYT447" s="268"/>
      <c r="KYU447" s="268"/>
      <c r="KYV447" s="268"/>
      <c r="KYW447" s="268"/>
      <c r="KYX447" s="268"/>
      <c r="KYY447" s="268"/>
      <c r="KYZ447" s="268"/>
      <c r="KZA447" s="268"/>
      <c r="KZB447" s="268"/>
      <c r="KZC447" s="268"/>
      <c r="KZD447" s="268"/>
      <c r="KZE447" s="268"/>
      <c r="KZF447" s="268"/>
      <c r="KZG447" s="268"/>
      <c r="KZH447" s="268"/>
      <c r="KZI447" s="268"/>
      <c r="KZJ447" s="268"/>
      <c r="KZK447" s="268"/>
      <c r="KZL447" s="268"/>
      <c r="KZM447" s="268"/>
      <c r="KZN447" s="268"/>
      <c r="KZO447" s="268"/>
      <c r="KZP447" s="268"/>
      <c r="KZQ447" s="268"/>
      <c r="KZR447" s="268"/>
      <c r="KZS447" s="268"/>
      <c r="KZT447" s="268"/>
      <c r="KZU447" s="268"/>
      <c r="KZV447" s="268"/>
      <c r="KZW447" s="268"/>
      <c r="KZX447" s="268"/>
      <c r="KZY447" s="268"/>
      <c r="KZZ447" s="268"/>
      <c r="LAA447" s="268"/>
      <c r="LAB447" s="268"/>
      <c r="LAC447" s="268"/>
      <c r="LAD447" s="268"/>
      <c r="LAE447" s="268"/>
      <c r="LAF447" s="268"/>
      <c r="LAG447" s="268"/>
      <c r="LAH447" s="268"/>
      <c r="LAI447" s="268"/>
      <c r="LAJ447" s="268"/>
      <c r="LAK447" s="268"/>
      <c r="LAL447" s="268"/>
      <c r="LAM447" s="268"/>
      <c r="LAN447" s="268"/>
      <c r="LAO447" s="268"/>
      <c r="LAP447" s="268"/>
      <c r="LAQ447" s="268"/>
      <c r="LAR447" s="268"/>
      <c r="LAS447" s="268"/>
      <c r="LAT447" s="268"/>
      <c r="LAU447" s="268"/>
      <c r="LAV447" s="268"/>
      <c r="LAW447" s="268"/>
      <c r="LAX447" s="268"/>
      <c r="LAY447" s="268"/>
      <c r="LAZ447" s="268"/>
      <c r="LBA447" s="268"/>
      <c r="LBB447" s="268"/>
      <c r="LBC447" s="268"/>
      <c r="LBD447" s="268"/>
      <c r="LBE447" s="268"/>
      <c r="LBF447" s="268"/>
      <c r="LBG447" s="268"/>
      <c r="LBH447" s="268"/>
      <c r="LBI447" s="268"/>
      <c r="LBJ447" s="268"/>
      <c r="LBK447" s="268"/>
      <c r="LBL447" s="268"/>
      <c r="LBM447" s="268"/>
      <c r="LBN447" s="268"/>
      <c r="LBO447" s="268"/>
      <c r="LBP447" s="268"/>
      <c r="LBQ447" s="268"/>
      <c r="LBR447" s="268"/>
      <c r="LBS447" s="268"/>
      <c r="LCG447" s="268"/>
      <c r="LCH447" s="268"/>
      <c r="LCI447" s="268"/>
      <c r="LCW447" s="268"/>
      <c r="LCY447" s="268"/>
      <c r="LCZ447" s="268"/>
      <c r="LDA447" s="268"/>
      <c r="LDB447" s="268"/>
      <c r="LDC447" s="268"/>
      <c r="LDD447" s="268"/>
      <c r="LDE447" s="268"/>
      <c r="LDF447" s="268"/>
      <c r="LDG447" s="268"/>
      <c r="LDH447" s="268"/>
      <c r="LDI447" s="268"/>
      <c r="LDJ447" s="268"/>
      <c r="LDK447" s="268"/>
      <c r="LDL447" s="268"/>
      <c r="LDM447" s="268"/>
      <c r="LDN447" s="268"/>
      <c r="LDO447" s="268"/>
      <c r="LDP447" s="268"/>
      <c r="LDQ447" s="268"/>
      <c r="LDR447" s="268"/>
      <c r="LDS447" s="268"/>
      <c r="LDT447" s="268"/>
      <c r="LDU447" s="268"/>
      <c r="LDV447" s="268"/>
      <c r="LDW447" s="268"/>
      <c r="LDX447" s="268"/>
      <c r="LDY447" s="268"/>
      <c r="LDZ447" s="268"/>
      <c r="LEA447" s="268"/>
      <c r="LEB447" s="268"/>
      <c r="LEC447" s="268"/>
      <c r="LED447" s="268"/>
      <c r="LEE447" s="268"/>
      <c r="LEF447" s="268"/>
      <c r="LEG447" s="268"/>
      <c r="LEH447" s="268"/>
      <c r="LEI447" s="268"/>
      <c r="LEJ447" s="268"/>
      <c r="LEK447" s="268"/>
      <c r="LEL447" s="268"/>
      <c r="LEM447" s="268"/>
      <c r="LEN447" s="268"/>
      <c r="LEO447" s="268"/>
      <c r="LEP447" s="268"/>
      <c r="LEQ447" s="268"/>
      <c r="LER447" s="268"/>
      <c r="LES447" s="268"/>
      <c r="LET447" s="268"/>
      <c r="LEU447" s="268"/>
      <c r="LEV447" s="268"/>
      <c r="LEW447" s="268"/>
      <c r="LEX447" s="268"/>
      <c r="LEY447" s="268"/>
      <c r="LEZ447" s="268"/>
      <c r="LFA447" s="268"/>
      <c r="LFB447" s="268"/>
      <c r="LFC447" s="268"/>
      <c r="LFD447" s="268"/>
      <c r="LFE447" s="268"/>
      <c r="LFF447" s="268"/>
      <c r="LFG447" s="268"/>
      <c r="LFH447" s="268"/>
      <c r="LFI447" s="268"/>
      <c r="LFJ447" s="268"/>
      <c r="LFK447" s="268"/>
      <c r="LFL447" s="268"/>
      <c r="LFM447" s="268"/>
      <c r="LFN447" s="268"/>
      <c r="LFO447" s="268"/>
      <c r="LFP447" s="268"/>
      <c r="LFQ447" s="268"/>
      <c r="LFR447" s="268"/>
      <c r="LFS447" s="268"/>
      <c r="LFT447" s="268"/>
      <c r="LFU447" s="268"/>
      <c r="LFV447" s="268"/>
      <c r="LFW447" s="268"/>
      <c r="LFX447" s="268"/>
      <c r="LFY447" s="268"/>
      <c r="LFZ447" s="268"/>
      <c r="LGA447" s="268"/>
      <c r="LGB447" s="268"/>
      <c r="LGC447" s="268"/>
      <c r="LGD447" s="268"/>
      <c r="LGE447" s="268"/>
      <c r="LGF447" s="268"/>
      <c r="LGG447" s="268"/>
      <c r="LGH447" s="268"/>
      <c r="LGI447" s="268"/>
      <c r="LGJ447" s="268"/>
      <c r="LGK447" s="268"/>
      <c r="LGL447" s="268"/>
      <c r="LGM447" s="268"/>
      <c r="LGN447" s="268"/>
      <c r="LGO447" s="268"/>
      <c r="LGP447" s="268"/>
      <c r="LGQ447" s="268"/>
      <c r="LGR447" s="268"/>
      <c r="LGS447" s="268"/>
      <c r="LGT447" s="268"/>
      <c r="LGU447" s="268"/>
      <c r="LGV447" s="268"/>
      <c r="LGW447" s="268"/>
      <c r="LGX447" s="268"/>
      <c r="LGY447" s="268"/>
      <c r="LGZ447" s="268"/>
      <c r="LHA447" s="268"/>
      <c r="LHB447" s="268"/>
      <c r="LHC447" s="268"/>
      <c r="LHD447" s="268"/>
      <c r="LHE447" s="268"/>
      <c r="LHF447" s="268"/>
      <c r="LHG447" s="268"/>
      <c r="LHH447" s="268"/>
      <c r="LHI447" s="268"/>
      <c r="LHJ447" s="268"/>
      <c r="LHK447" s="268"/>
      <c r="LHL447" s="268"/>
      <c r="LHM447" s="268"/>
      <c r="LHN447" s="268"/>
      <c r="LHO447" s="268"/>
      <c r="LHP447" s="268"/>
      <c r="LHQ447" s="268"/>
      <c r="LHR447" s="268"/>
      <c r="LHS447" s="268"/>
      <c r="LHT447" s="268"/>
      <c r="LHU447" s="268"/>
      <c r="LHV447" s="268"/>
      <c r="LHW447" s="268"/>
      <c r="LHX447" s="268"/>
      <c r="LHY447" s="268"/>
      <c r="LHZ447" s="268"/>
      <c r="LIA447" s="268"/>
      <c r="LIB447" s="268"/>
      <c r="LIC447" s="268"/>
      <c r="LID447" s="268"/>
      <c r="LIE447" s="268"/>
      <c r="LIF447" s="268"/>
      <c r="LIG447" s="268"/>
      <c r="LIH447" s="268"/>
      <c r="LII447" s="268"/>
      <c r="LIJ447" s="268"/>
      <c r="LIK447" s="268"/>
      <c r="LIL447" s="268"/>
      <c r="LIM447" s="268"/>
      <c r="LIN447" s="268"/>
      <c r="LIO447" s="268"/>
      <c r="LIP447" s="268"/>
      <c r="LIQ447" s="268"/>
      <c r="LIR447" s="268"/>
      <c r="LIS447" s="268"/>
      <c r="LIT447" s="268"/>
      <c r="LIU447" s="268"/>
      <c r="LIV447" s="268"/>
      <c r="LIW447" s="268"/>
      <c r="LIX447" s="268"/>
      <c r="LIY447" s="268"/>
      <c r="LIZ447" s="268"/>
      <c r="LJA447" s="268"/>
      <c r="LJB447" s="268"/>
      <c r="LJC447" s="268"/>
      <c r="LJD447" s="268"/>
      <c r="LJE447" s="268"/>
      <c r="LJF447" s="268"/>
      <c r="LJG447" s="268"/>
      <c r="LJH447" s="268"/>
      <c r="LJI447" s="268"/>
      <c r="LJJ447" s="268"/>
      <c r="LJK447" s="268"/>
      <c r="LJL447" s="268"/>
      <c r="LJM447" s="268"/>
      <c r="LJN447" s="268"/>
      <c r="LJO447" s="268"/>
      <c r="LJP447" s="268"/>
      <c r="LJQ447" s="268"/>
      <c r="LJR447" s="268"/>
      <c r="LJS447" s="268"/>
      <c r="LJT447" s="268"/>
      <c r="LJU447" s="268"/>
      <c r="LJV447" s="268"/>
      <c r="LJW447" s="268"/>
      <c r="LJX447" s="268"/>
      <c r="LJY447" s="268"/>
      <c r="LJZ447" s="268"/>
      <c r="LKA447" s="268"/>
      <c r="LKB447" s="268"/>
      <c r="LKC447" s="268"/>
      <c r="LKD447" s="268"/>
      <c r="LKE447" s="268"/>
      <c r="LKF447" s="268"/>
      <c r="LKG447" s="268"/>
      <c r="LKH447" s="268"/>
      <c r="LKI447" s="268"/>
      <c r="LKJ447" s="268"/>
      <c r="LKK447" s="268"/>
      <c r="LKL447" s="268"/>
      <c r="LKM447" s="268"/>
      <c r="LKN447" s="268"/>
      <c r="LKO447" s="268"/>
      <c r="LKP447" s="268"/>
      <c r="LKQ447" s="268"/>
      <c r="LKR447" s="268"/>
      <c r="LKS447" s="268"/>
      <c r="LKT447" s="268"/>
      <c r="LKU447" s="268"/>
      <c r="LKV447" s="268"/>
      <c r="LKW447" s="268"/>
      <c r="LKX447" s="268"/>
      <c r="LKY447" s="268"/>
      <c r="LKZ447" s="268"/>
      <c r="LLA447" s="268"/>
      <c r="LLB447" s="268"/>
      <c r="LLC447" s="268"/>
      <c r="LLD447" s="268"/>
      <c r="LLE447" s="268"/>
      <c r="LLF447" s="268"/>
      <c r="LLG447" s="268"/>
      <c r="LLH447" s="268"/>
      <c r="LLI447" s="268"/>
      <c r="LLJ447" s="268"/>
      <c r="LLK447" s="268"/>
      <c r="LLL447" s="268"/>
      <c r="LLM447" s="268"/>
      <c r="LLN447" s="268"/>
      <c r="LLO447" s="268"/>
      <c r="LMC447" s="268"/>
      <c r="LMD447" s="268"/>
      <c r="LME447" s="268"/>
      <c r="LMS447" s="268"/>
      <c r="LMU447" s="268"/>
      <c r="LMV447" s="268"/>
      <c r="LMW447" s="268"/>
      <c r="LMX447" s="268"/>
      <c r="LMY447" s="268"/>
      <c r="LMZ447" s="268"/>
      <c r="LNA447" s="268"/>
      <c r="LNB447" s="268"/>
      <c r="LNC447" s="268"/>
      <c r="LND447" s="268"/>
      <c r="LNE447" s="268"/>
      <c r="LNF447" s="268"/>
      <c r="LNG447" s="268"/>
      <c r="LNH447" s="268"/>
      <c r="LNI447" s="268"/>
      <c r="LNJ447" s="268"/>
      <c r="LNK447" s="268"/>
      <c r="LNL447" s="268"/>
      <c r="LNM447" s="268"/>
      <c r="LNN447" s="268"/>
      <c r="LNO447" s="268"/>
      <c r="LNP447" s="268"/>
      <c r="LNQ447" s="268"/>
      <c r="LNR447" s="268"/>
      <c r="LNS447" s="268"/>
      <c r="LNT447" s="268"/>
      <c r="LNU447" s="268"/>
      <c r="LNV447" s="268"/>
      <c r="LNW447" s="268"/>
      <c r="LNX447" s="268"/>
      <c r="LNY447" s="268"/>
      <c r="LNZ447" s="268"/>
      <c r="LOA447" s="268"/>
      <c r="LOB447" s="268"/>
      <c r="LOC447" s="268"/>
      <c r="LOD447" s="268"/>
      <c r="LOE447" s="268"/>
      <c r="LOF447" s="268"/>
      <c r="LOG447" s="268"/>
      <c r="LOH447" s="268"/>
      <c r="LOI447" s="268"/>
      <c r="LOJ447" s="268"/>
      <c r="LOK447" s="268"/>
      <c r="LOL447" s="268"/>
      <c r="LOM447" s="268"/>
      <c r="LON447" s="268"/>
      <c r="LOO447" s="268"/>
      <c r="LOP447" s="268"/>
      <c r="LOQ447" s="268"/>
      <c r="LOR447" s="268"/>
      <c r="LOS447" s="268"/>
      <c r="LOT447" s="268"/>
      <c r="LOU447" s="268"/>
      <c r="LOV447" s="268"/>
      <c r="LOW447" s="268"/>
      <c r="LOX447" s="268"/>
      <c r="LOY447" s="268"/>
      <c r="LOZ447" s="268"/>
      <c r="LPA447" s="268"/>
      <c r="LPB447" s="268"/>
      <c r="LPC447" s="268"/>
      <c r="LPD447" s="268"/>
      <c r="LPE447" s="268"/>
      <c r="LPF447" s="268"/>
      <c r="LPG447" s="268"/>
      <c r="LPH447" s="268"/>
      <c r="LPI447" s="268"/>
      <c r="LPJ447" s="268"/>
      <c r="LPK447" s="268"/>
      <c r="LPL447" s="268"/>
      <c r="LPM447" s="268"/>
      <c r="LPN447" s="268"/>
      <c r="LPO447" s="268"/>
      <c r="LPP447" s="268"/>
      <c r="LPQ447" s="268"/>
      <c r="LPR447" s="268"/>
      <c r="LPS447" s="268"/>
      <c r="LPT447" s="268"/>
      <c r="LPU447" s="268"/>
      <c r="LPV447" s="268"/>
      <c r="LPW447" s="268"/>
      <c r="LPX447" s="268"/>
      <c r="LPY447" s="268"/>
      <c r="LPZ447" s="268"/>
      <c r="LQA447" s="268"/>
      <c r="LQB447" s="268"/>
      <c r="LQC447" s="268"/>
      <c r="LQD447" s="268"/>
      <c r="LQE447" s="268"/>
      <c r="LQF447" s="268"/>
      <c r="LQG447" s="268"/>
      <c r="LQH447" s="268"/>
      <c r="LQI447" s="268"/>
      <c r="LQJ447" s="268"/>
      <c r="LQK447" s="268"/>
      <c r="LQL447" s="268"/>
      <c r="LQM447" s="268"/>
      <c r="LQN447" s="268"/>
      <c r="LQO447" s="268"/>
      <c r="LQP447" s="268"/>
      <c r="LQQ447" s="268"/>
      <c r="LQR447" s="268"/>
      <c r="LQS447" s="268"/>
      <c r="LQT447" s="268"/>
      <c r="LQU447" s="268"/>
      <c r="LQV447" s="268"/>
      <c r="LQW447" s="268"/>
      <c r="LQX447" s="268"/>
      <c r="LQY447" s="268"/>
      <c r="LQZ447" s="268"/>
      <c r="LRA447" s="268"/>
      <c r="LRB447" s="268"/>
      <c r="LRC447" s="268"/>
      <c r="LRD447" s="268"/>
      <c r="LRE447" s="268"/>
      <c r="LRF447" s="268"/>
      <c r="LRG447" s="268"/>
      <c r="LRH447" s="268"/>
      <c r="LRI447" s="268"/>
      <c r="LRJ447" s="268"/>
      <c r="LRK447" s="268"/>
      <c r="LRL447" s="268"/>
      <c r="LRM447" s="268"/>
      <c r="LRN447" s="268"/>
      <c r="LRO447" s="268"/>
      <c r="LRP447" s="268"/>
      <c r="LRQ447" s="268"/>
      <c r="LRR447" s="268"/>
      <c r="LRS447" s="268"/>
      <c r="LRT447" s="268"/>
      <c r="LRU447" s="268"/>
      <c r="LRV447" s="268"/>
      <c r="LRW447" s="268"/>
      <c r="LRX447" s="268"/>
      <c r="LRY447" s="268"/>
      <c r="LRZ447" s="268"/>
      <c r="LSA447" s="268"/>
      <c r="LSB447" s="268"/>
      <c r="LSC447" s="268"/>
      <c r="LSD447" s="268"/>
      <c r="LSE447" s="268"/>
      <c r="LSF447" s="268"/>
      <c r="LSG447" s="268"/>
      <c r="LSH447" s="268"/>
      <c r="LSI447" s="268"/>
      <c r="LSJ447" s="268"/>
      <c r="LSK447" s="268"/>
      <c r="LSL447" s="268"/>
      <c r="LSM447" s="268"/>
      <c r="LSN447" s="268"/>
      <c r="LSO447" s="268"/>
      <c r="LSP447" s="268"/>
      <c r="LSQ447" s="268"/>
      <c r="LSR447" s="268"/>
      <c r="LSS447" s="268"/>
      <c r="LST447" s="268"/>
      <c r="LSU447" s="268"/>
      <c r="LSV447" s="268"/>
      <c r="LSW447" s="268"/>
      <c r="LSX447" s="268"/>
      <c r="LSY447" s="268"/>
      <c r="LSZ447" s="268"/>
      <c r="LTA447" s="268"/>
      <c r="LTB447" s="268"/>
      <c r="LTC447" s="268"/>
      <c r="LTD447" s="268"/>
      <c r="LTE447" s="268"/>
      <c r="LTF447" s="268"/>
      <c r="LTG447" s="268"/>
      <c r="LTH447" s="268"/>
      <c r="LTI447" s="268"/>
      <c r="LTJ447" s="268"/>
      <c r="LTK447" s="268"/>
      <c r="LTL447" s="268"/>
      <c r="LTM447" s="268"/>
      <c r="LTN447" s="268"/>
      <c r="LTO447" s="268"/>
      <c r="LTP447" s="268"/>
      <c r="LTQ447" s="268"/>
      <c r="LTR447" s="268"/>
      <c r="LTS447" s="268"/>
      <c r="LTT447" s="268"/>
      <c r="LTU447" s="268"/>
      <c r="LTV447" s="268"/>
      <c r="LTW447" s="268"/>
      <c r="LTX447" s="268"/>
      <c r="LTY447" s="268"/>
      <c r="LTZ447" s="268"/>
      <c r="LUA447" s="268"/>
      <c r="LUB447" s="268"/>
      <c r="LUC447" s="268"/>
      <c r="LUD447" s="268"/>
      <c r="LUE447" s="268"/>
      <c r="LUF447" s="268"/>
      <c r="LUG447" s="268"/>
      <c r="LUH447" s="268"/>
      <c r="LUI447" s="268"/>
      <c r="LUJ447" s="268"/>
      <c r="LUK447" s="268"/>
      <c r="LUL447" s="268"/>
      <c r="LUM447" s="268"/>
      <c r="LUN447" s="268"/>
      <c r="LUO447" s="268"/>
      <c r="LUP447" s="268"/>
      <c r="LUQ447" s="268"/>
      <c r="LUR447" s="268"/>
      <c r="LUS447" s="268"/>
      <c r="LUT447" s="268"/>
      <c r="LUU447" s="268"/>
      <c r="LUV447" s="268"/>
      <c r="LUW447" s="268"/>
      <c r="LUX447" s="268"/>
      <c r="LUY447" s="268"/>
      <c r="LUZ447" s="268"/>
      <c r="LVA447" s="268"/>
      <c r="LVB447" s="268"/>
      <c r="LVC447" s="268"/>
      <c r="LVD447" s="268"/>
      <c r="LVE447" s="268"/>
      <c r="LVF447" s="268"/>
      <c r="LVG447" s="268"/>
      <c r="LVH447" s="268"/>
      <c r="LVI447" s="268"/>
      <c r="LVJ447" s="268"/>
      <c r="LVK447" s="268"/>
      <c r="LVY447" s="268"/>
      <c r="LVZ447" s="268"/>
      <c r="LWA447" s="268"/>
      <c r="LWO447" s="268"/>
      <c r="LWQ447" s="268"/>
      <c r="LWR447" s="268"/>
      <c r="LWS447" s="268"/>
      <c r="LWT447" s="268"/>
      <c r="LWU447" s="268"/>
      <c r="LWV447" s="268"/>
      <c r="LWW447" s="268"/>
      <c r="LWX447" s="268"/>
      <c r="LWY447" s="268"/>
      <c r="LWZ447" s="268"/>
      <c r="LXA447" s="268"/>
      <c r="LXB447" s="268"/>
      <c r="LXC447" s="268"/>
      <c r="LXD447" s="268"/>
      <c r="LXE447" s="268"/>
      <c r="LXF447" s="268"/>
      <c r="LXG447" s="268"/>
      <c r="LXH447" s="268"/>
      <c r="LXI447" s="268"/>
      <c r="LXJ447" s="268"/>
      <c r="LXK447" s="268"/>
      <c r="LXL447" s="268"/>
      <c r="LXM447" s="268"/>
      <c r="LXN447" s="268"/>
      <c r="LXO447" s="268"/>
      <c r="LXP447" s="268"/>
      <c r="LXQ447" s="268"/>
      <c r="LXR447" s="268"/>
      <c r="LXS447" s="268"/>
      <c r="LXT447" s="268"/>
      <c r="LXU447" s="268"/>
      <c r="LXV447" s="268"/>
      <c r="LXW447" s="268"/>
      <c r="LXX447" s="268"/>
      <c r="LXY447" s="268"/>
      <c r="LXZ447" s="268"/>
      <c r="LYA447" s="268"/>
      <c r="LYB447" s="268"/>
      <c r="LYC447" s="268"/>
      <c r="LYD447" s="268"/>
      <c r="LYE447" s="268"/>
      <c r="LYF447" s="268"/>
      <c r="LYG447" s="268"/>
      <c r="LYH447" s="268"/>
      <c r="LYI447" s="268"/>
      <c r="LYJ447" s="268"/>
      <c r="LYK447" s="268"/>
      <c r="LYL447" s="268"/>
      <c r="LYM447" s="268"/>
      <c r="LYN447" s="268"/>
      <c r="LYO447" s="268"/>
      <c r="LYP447" s="268"/>
      <c r="LYQ447" s="268"/>
      <c r="LYR447" s="268"/>
      <c r="LYS447" s="268"/>
      <c r="LYT447" s="268"/>
      <c r="LYU447" s="268"/>
      <c r="LYV447" s="268"/>
      <c r="LYW447" s="268"/>
      <c r="LYX447" s="268"/>
      <c r="LYY447" s="268"/>
      <c r="LYZ447" s="268"/>
      <c r="LZA447" s="268"/>
      <c r="LZB447" s="268"/>
      <c r="LZC447" s="268"/>
      <c r="LZD447" s="268"/>
      <c r="LZE447" s="268"/>
      <c r="LZF447" s="268"/>
      <c r="LZG447" s="268"/>
      <c r="LZH447" s="268"/>
      <c r="LZI447" s="268"/>
      <c r="LZJ447" s="268"/>
      <c r="LZK447" s="268"/>
      <c r="LZL447" s="268"/>
      <c r="LZM447" s="268"/>
      <c r="LZN447" s="268"/>
      <c r="LZO447" s="268"/>
      <c r="LZP447" s="268"/>
      <c r="LZQ447" s="268"/>
      <c r="LZR447" s="268"/>
      <c r="LZS447" s="268"/>
      <c r="LZT447" s="268"/>
      <c r="LZU447" s="268"/>
      <c r="LZV447" s="268"/>
      <c r="LZW447" s="268"/>
      <c r="LZX447" s="268"/>
      <c r="LZY447" s="268"/>
      <c r="LZZ447" s="268"/>
      <c r="MAA447" s="268"/>
      <c r="MAB447" s="268"/>
      <c r="MAC447" s="268"/>
      <c r="MAD447" s="268"/>
      <c r="MAE447" s="268"/>
      <c r="MAF447" s="268"/>
      <c r="MAG447" s="268"/>
      <c r="MAH447" s="268"/>
      <c r="MAI447" s="268"/>
      <c r="MAJ447" s="268"/>
      <c r="MAK447" s="268"/>
      <c r="MAL447" s="268"/>
      <c r="MAM447" s="268"/>
      <c r="MAN447" s="268"/>
      <c r="MAO447" s="268"/>
      <c r="MAP447" s="268"/>
      <c r="MAQ447" s="268"/>
      <c r="MAR447" s="268"/>
      <c r="MAS447" s="268"/>
      <c r="MAT447" s="268"/>
      <c r="MAU447" s="268"/>
      <c r="MAV447" s="268"/>
      <c r="MAW447" s="268"/>
      <c r="MAX447" s="268"/>
      <c r="MAY447" s="268"/>
      <c r="MAZ447" s="268"/>
      <c r="MBA447" s="268"/>
      <c r="MBB447" s="268"/>
      <c r="MBC447" s="268"/>
      <c r="MBD447" s="268"/>
      <c r="MBE447" s="268"/>
      <c r="MBF447" s="268"/>
      <c r="MBG447" s="268"/>
      <c r="MBH447" s="268"/>
      <c r="MBI447" s="268"/>
      <c r="MBJ447" s="268"/>
      <c r="MBK447" s="268"/>
      <c r="MBL447" s="268"/>
      <c r="MBM447" s="268"/>
      <c r="MBN447" s="268"/>
      <c r="MBO447" s="268"/>
      <c r="MBP447" s="268"/>
      <c r="MBQ447" s="268"/>
      <c r="MBR447" s="268"/>
      <c r="MBS447" s="268"/>
      <c r="MBT447" s="268"/>
      <c r="MBU447" s="268"/>
      <c r="MBV447" s="268"/>
      <c r="MBW447" s="268"/>
      <c r="MBX447" s="268"/>
      <c r="MBY447" s="268"/>
      <c r="MBZ447" s="268"/>
      <c r="MCA447" s="268"/>
      <c r="MCB447" s="268"/>
      <c r="MCC447" s="268"/>
      <c r="MCD447" s="268"/>
      <c r="MCE447" s="268"/>
      <c r="MCF447" s="268"/>
      <c r="MCG447" s="268"/>
      <c r="MCH447" s="268"/>
      <c r="MCI447" s="268"/>
      <c r="MCJ447" s="268"/>
      <c r="MCK447" s="268"/>
      <c r="MCL447" s="268"/>
      <c r="MCM447" s="268"/>
      <c r="MCN447" s="268"/>
      <c r="MCO447" s="268"/>
      <c r="MCP447" s="268"/>
      <c r="MCQ447" s="268"/>
      <c r="MCR447" s="268"/>
      <c r="MCS447" s="268"/>
      <c r="MCT447" s="268"/>
      <c r="MCU447" s="268"/>
      <c r="MCV447" s="268"/>
      <c r="MCW447" s="268"/>
      <c r="MCX447" s="268"/>
      <c r="MCY447" s="268"/>
      <c r="MCZ447" s="268"/>
      <c r="MDA447" s="268"/>
      <c r="MDB447" s="268"/>
      <c r="MDC447" s="268"/>
      <c r="MDD447" s="268"/>
      <c r="MDE447" s="268"/>
      <c r="MDF447" s="268"/>
      <c r="MDG447" s="268"/>
      <c r="MDH447" s="268"/>
      <c r="MDI447" s="268"/>
      <c r="MDJ447" s="268"/>
      <c r="MDK447" s="268"/>
      <c r="MDL447" s="268"/>
      <c r="MDM447" s="268"/>
      <c r="MDN447" s="268"/>
      <c r="MDO447" s="268"/>
      <c r="MDP447" s="268"/>
      <c r="MDQ447" s="268"/>
      <c r="MDR447" s="268"/>
      <c r="MDS447" s="268"/>
      <c r="MDT447" s="268"/>
      <c r="MDU447" s="268"/>
      <c r="MDV447" s="268"/>
      <c r="MDW447" s="268"/>
      <c r="MDX447" s="268"/>
      <c r="MDY447" s="268"/>
      <c r="MDZ447" s="268"/>
      <c r="MEA447" s="268"/>
      <c r="MEB447" s="268"/>
      <c r="MEC447" s="268"/>
      <c r="MED447" s="268"/>
      <c r="MEE447" s="268"/>
      <c r="MEF447" s="268"/>
      <c r="MEG447" s="268"/>
      <c r="MEH447" s="268"/>
      <c r="MEI447" s="268"/>
      <c r="MEJ447" s="268"/>
      <c r="MEK447" s="268"/>
      <c r="MEL447" s="268"/>
      <c r="MEM447" s="268"/>
      <c r="MEN447" s="268"/>
      <c r="MEO447" s="268"/>
      <c r="MEP447" s="268"/>
      <c r="MEQ447" s="268"/>
      <c r="MER447" s="268"/>
      <c r="MES447" s="268"/>
      <c r="MET447" s="268"/>
      <c r="MEU447" s="268"/>
      <c r="MEV447" s="268"/>
      <c r="MEW447" s="268"/>
      <c r="MEX447" s="268"/>
      <c r="MEY447" s="268"/>
      <c r="MEZ447" s="268"/>
      <c r="MFA447" s="268"/>
      <c r="MFB447" s="268"/>
      <c r="MFC447" s="268"/>
      <c r="MFD447" s="268"/>
      <c r="MFE447" s="268"/>
      <c r="MFF447" s="268"/>
      <c r="MFG447" s="268"/>
      <c r="MFU447" s="268"/>
      <c r="MFV447" s="268"/>
      <c r="MFW447" s="268"/>
      <c r="MGK447" s="268"/>
      <c r="MGM447" s="268"/>
      <c r="MGN447" s="268"/>
      <c r="MGO447" s="268"/>
      <c r="MGP447" s="268"/>
      <c r="MGQ447" s="268"/>
      <c r="MGR447" s="268"/>
      <c r="MGS447" s="268"/>
      <c r="MGT447" s="268"/>
      <c r="MGU447" s="268"/>
      <c r="MGV447" s="268"/>
      <c r="MGW447" s="268"/>
      <c r="MGX447" s="268"/>
      <c r="MGY447" s="268"/>
      <c r="MGZ447" s="268"/>
      <c r="MHA447" s="268"/>
      <c r="MHB447" s="268"/>
      <c r="MHC447" s="268"/>
      <c r="MHD447" s="268"/>
      <c r="MHE447" s="268"/>
      <c r="MHF447" s="268"/>
      <c r="MHG447" s="268"/>
      <c r="MHH447" s="268"/>
      <c r="MHI447" s="268"/>
      <c r="MHJ447" s="268"/>
      <c r="MHK447" s="268"/>
      <c r="MHL447" s="268"/>
      <c r="MHM447" s="268"/>
      <c r="MHN447" s="268"/>
      <c r="MHO447" s="268"/>
      <c r="MHP447" s="268"/>
      <c r="MHQ447" s="268"/>
      <c r="MHR447" s="268"/>
      <c r="MHS447" s="268"/>
      <c r="MHT447" s="268"/>
      <c r="MHU447" s="268"/>
      <c r="MHV447" s="268"/>
      <c r="MHW447" s="268"/>
      <c r="MHX447" s="268"/>
      <c r="MHY447" s="268"/>
      <c r="MHZ447" s="268"/>
      <c r="MIA447" s="268"/>
      <c r="MIB447" s="268"/>
      <c r="MIC447" s="268"/>
      <c r="MID447" s="268"/>
      <c r="MIE447" s="268"/>
      <c r="MIF447" s="268"/>
      <c r="MIG447" s="268"/>
      <c r="MIH447" s="268"/>
      <c r="MII447" s="268"/>
      <c r="MIJ447" s="268"/>
      <c r="MIK447" s="268"/>
      <c r="MIL447" s="268"/>
      <c r="MIM447" s="268"/>
      <c r="MIN447" s="268"/>
      <c r="MIO447" s="268"/>
      <c r="MIP447" s="268"/>
      <c r="MIQ447" s="268"/>
      <c r="MIR447" s="268"/>
      <c r="MIS447" s="268"/>
      <c r="MIT447" s="268"/>
      <c r="MIU447" s="268"/>
      <c r="MIV447" s="268"/>
      <c r="MIW447" s="268"/>
      <c r="MIX447" s="268"/>
      <c r="MIY447" s="268"/>
      <c r="MIZ447" s="268"/>
      <c r="MJA447" s="268"/>
      <c r="MJB447" s="268"/>
      <c r="MJC447" s="268"/>
      <c r="MJD447" s="268"/>
      <c r="MJE447" s="268"/>
      <c r="MJF447" s="268"/>
      <c r="MJG447" s="268"/>
      <c r="MJH447" s="268"/>
      <c r="MJI447" s="268"/>
      <c r="MJJ447" s="268"/>
      <c r="MJK447" s="268"/>
      <c r="MJL447" s="268"/>
      <c r="MJM447" s="268"/>
      <c r="MJN447" s="268"/>
      <c r="MJO447" s="268"/>
      <c r="MJP447" s="268"/>
      <c r="MJQ447" s="268"/>
      <c r="MJR447" s="268"/>
      <c r="MJS447" s="268"/>
      <c r="MJT447" s="268"/>
      <c r="MJU447" s="268"/>
      <c r="MJV447" s="268"/>
      <c r="MJW447" s="268"/>
      <c r="MJX447" s="268"/>
      <c r="MJY447" s="268"/>
      <c r="MJZ447" s="268"/>
      <c r="MKA447" s="268"/>
      <c r="MKB447" s="268"/>
      <c r="MKC447" s="268"/>
      <c r="MKD447" s="268"/>
      <c r="MKE447" s="268"/>
      <c r="MKF447" s="268"/>
      <c r="MKG447" s="268"/>
      <c r="MKH447" s="268"/>
      <c r="MKI447" s="268"/>
      <c r="MKJ447" s="268"/>
      <c r="MKK447" s="268"/>
      <c r="MKL447" s="268"/>
      <c r="MKM447" s="268"/>
      <c r="MKN447" s="268"/>
      <c r="MKO447" s="268"/>
      <c r="MKP447" s="268"/>
      <c r="MKQ447" s="268"/>
      <c r="MKR447" s="268"/>
      <c r="MKS447" s="268"/>
      <c r="MKT447" s="268"/>
      <c r="MKU447" s="268"/>
      <c r="MKV447" s="268"/>
      <c r="MKW447" s="268"/>
      <c r="MKX447" s="268"/>
      <c r="MKY447" s="268"/>
      <c r="MKZ447" s="268"/>
      <c r="MLA447" s="268"/>
      <c r="MLB447" s="268"/>
      <c r="MLC447" s="268"/>
      <c r="MLD447" s="268"/>
      <c r="MLE447" s="268"/>
      <c r="MLF447" s="268"/>
      <c r="MLG447" s="268"/>
      <c r="MLH447" s="268"/>
      <c r="MLI447" s="268"/>
      <c r="MLJ447" s="268"/>
      <c r="MLK447" s="268"/>
      <c r="MLL447" s="268"/>
      <c r="MLM447" s="268"/>
      <c r="MLN447" s="268"/>
      <c r="MLO447" s="268"/>
      <c r="MLP447" s="268"/>
      <c r="MLQ447" s="268"/>
      <c r="MLR447" s="268"/>
      <c r="MLS447" s="268"/>
      <c r="MLT447" s="268"/>
      <c r="MLU447" s="268"/>
      <c r="MLV447" s="268"/>
      <c r="MLW447" s="268"/>
      <c r="MLX447" s="268"/>
      <c r="MLY447" s="268"/>
      <c r="MLZ447" s="268"/>
      <c r="MMA447" s="268"/>
      <c r="MMB447" s="268"/>
      <c r="MMC447" s="268"/>
      <c r="MMD447" s="268"/>
      <c r="MME447" s="268"/>
      <c r="MMF447" s="268"/>
      <c r="MMG447" s="268"/>
      <c r="MMH447" s="268"/>
      <c r="MMI447" s="268"/>
      <c r="MMJ447" s="268"/>
      <c r="MMK447" s="268"/>
      <c r="MML447" s="268"/>
      <c r="MMM447" s="268"/>
      <c r="MMN447" s="268"/>
      <c r="MMO447" s="268"/>
      <c r="MMP447" s="268"/>
      <c r="MMQ447" s="268"/>
      <c r="MMR447" s="268"/>
      <c r="MMS447" s="268"/>
      <c r="MMT447" s="268"/>
      <c r="MMU447" s="268"/>
      <c r="MMV447" s="268"/>
      <c r="MMW447" s="268"/>
      <c r="MMX447" s="268"/>
      <c r="MMY447" s="268"/>
      <c r="MMZ447" s="268"/>
      <c r="MNA447" s="268"/>
      <c r="MNB447" s="268"/>
      <c r="MNC447" s="268"/>
      <c r="MND447" s="268"/>
      <c r="MNE447" s="268"/>
      <c r="MNF447" s="268"/>
      <c r="MNG447" s="268"/>
      <c r="MNH447" s="268"/>
      <c r="MNI447" s="268"/>
      <c r="MNJ447" s="268"/>
      <c r="MNK447" s="268"/>
      <c r="MNL447" s="268"/>
      <c r="MNM447" s="268"/>
      <c r="MNN447" s="268"/>
      <c r="MNO447" s="268"/>
      <c r="MNP447" s="268"/>
      <c r="MNQ447" s="268"/>
      <c r="MNR447" s="268"/>
      <c r="MNS447" s="268"/>
      <c r="MNT447" s="268"/>
      <c r="MNU447" s="268"/>
      <c r="MNV447" s="268"/>
      <c r="MNW447" s="268"/>
      <c r="MNX447" s="268"/>
      <c r="MNY447" s="268"/>
      <c r="MNZ447" s="268"/>
      <c r="MOA447" s="268"/>
      <c r="MOB447" s="268"/>
      <c r="MOC447" s="268"/>
      <c r="MOD447" s="268"/>
      <c r="MOE447" s="268"/>
      <c r="MOF447" s="268"/>
      <c r="MOG447" s="268"/>
      <c r="MOH447" s="268"/>
      <c r="MOI447" s="268"/>
      <c r="MOJ447" s="268"/>
      <c r="MOK447" s="268"/>
      <c r="MOL447" s="268"/>
      <c r="MOM447" s="268"/>
      <c r="MON447" s="268"/>
      <c r="MOO447" s="268"/>
      <c r="MOP447" s="268"/>
      <c r="MOQ447" s="268"/>
      <c r="MOR447" s="268"/>
      <c r="MOS447" s="268"/>
      <c r="MOT447" s="268"/>
      <c r="MOU447" s="268"/>
      <c r="MOV447" s="268"/>
      <c r="MOW447" s="268"/>
      <c r="MOX447" s="268"/>
      <c r="MOY447" s="268"/>
      <c r="MOZ447" s="268"/>
      <c r="MPA447" s="268"/>
      <c r="MPB447" s="268"/>
      <c r="MPC447" s="268"/>
      <c r="MPQ447" s="268"/>
      <c r="MPR447" s="268"/>
      <c r="MPS447" s="268"/>
      <c r="MQG447" s="268"/>
      <c r="MQI447" s="268"/>
      <c r="MQJ447" s="268"/>
      <c r="MQK447" s="268"/>
      <c r="MQL447" s="268"/>
      <c r="MQM447" s="268"/>
      <c r="MQN447" s="268"/>
      <c r="MQO447" s="268"/>
      <c r="MQP447" s="268"/>
      <c r="MQQ447" s="268"/>
      <c r="MQR447" s="268"/>
      <c r="MQS447" s="268"/>
      <c r="MQT447" s="268"/>
      <c r="MQU447" s="268"/>
      <c r="MQV447" s="268"/>
      <c r="MQW447" s="268"/>
      <c r="MQX447" s="268"/>
      <c r="MQY447" s="268"/>
      <c r="MQZ447" s="268"/>
      <c r="MRA447" s="268"/>
      <c r="MRB447" s="268"/>
      <c r="MRC447" s="268"/>
      <c r="MRD447" s="268"/>
      <c r="MRE447" s="268"/>
      <c r="MRF447" s="268"/>
      <c r="MRG447" s="268"/>
      <c r="MRH447" s="268"/>
      <c r="MRI447" s="268"/>
      <c r="MRJ447" s="268"/>
      <c r="MRK447" s="268"/>
      <c r="MRL447" s="268"/>
      <c r="MRM447" s="268"/>
      <c r="MRN447" s="268"/>
      <c r="MRO447" s="268"/>
      <c r="MRP447" s="268"/>
      <c r="MRQ447" s="268"/>
      <c r="MRR447" s="268"/>
      <c r="MRS447" s="268"/>
      <c r="MRT447" s="268"/>
      <c r="MRU447" s="268"/>
      <c r="MRV447" s="268"/>
      <c r="MRW447" s="268"/>
      <c r="MRX447" s="268"/>
      <c r="MRY447" s="268"/>
      <c r="MRZ447" s="268"/>
      <c r="MSA447" s="268"/>
      <c r="MSB447" s="268"/>
      <c r="MSC447" s="268"/>
      <c r="MSD447" s="268"/>
      <c r="MSE447" s="268"/>
      <c r="MSF447" s="268"/>
      <c r="MSG447" s="268"/>
      <c r="MSH447" s="268"/>
      <c r="MSI447" s="268"/>
      <c r="MSJ447" s="268"/>
      <c r="MSK447" s="268"/>
      <c r="MSL447" s="268"/>
      <c r="MSM447" s="268"/>
      <c r="MSN447" s="268"/>
      <c r="MSO447" s="268"/>
      <c r="MSP447" s="268"/>
      <c r="MSQ447" s="268"/>
      <c r="MSR447" s="268"/>
      <c r="MSS447" s="268"/>
      <c r="MST447" s="268"/>
      <c r="MSU447" s="268"/>
      <c r="MSV447" s="268"/>
      <c r="MSW447" s="268"/>
      <c r="MSX447" s="268"/>
      <c r="MSY447" s="268"/>
      <c r="MSZ447" s="268"/>
      <c r="MTA447" s="268"/>
      <c r="MTB447" s="268"/>
      <c r="MTC447" s="268"/>
      <c r="MTD447" s="268"/>
      <c r="MTE447" s="268"/>
      <c r="MTF447" s="268"/>
      <c r="MTG447" s="268"/>
      <c r="MTH447" s="268"/>
      <c r="MTI447" s="268"/>
      <c r="MTJ447" s="268"/>
      <c r="MTK447" s="268"/>
      <c r="MTL447" s="268"/>
      <c r="MTM447" s="268"/>
      <c r="MTN447" s="268"/>
      <c r="MTO447" s="268"/>
      <c r="MTP447" s="268"/>
      <c r="MTQ447" s="268"/>
      <c r="MTR447" s="268"/>
      <c r="MTS447" s="268"/>
      <c r="MTT447" s="268"/>
      <c r="MTU447" s="268"/>
      <c r="MTV447" s="268"/>
      <c r="MTW447" s="268"/>
      <c r="MTX447" s="268"/>
      <c r="MTY447" s="268"/>
      <c r="MTZ447" s="268"/>
      <c r="MUA447" s="268"/>
      <c r="MUB447" s="268"/>
      <c r="MUC447" s="268"/>
      <c r="MUD447" s="268"/>
      <c r="MUE447" s="268"/>
      <c r="MUF447" s="268"/>
      <c r="MUG447" s="268"/>
      <c r="MUH447" s="268"/>
      <c r="MUI447" s="268"/>
      <c r="MUJ447" s="268"/>
      <c r="MUK447" s="268"/>
      <c r="MUL447" s="268"/>
      <c r="MUM447" s="268"/>
      <c r="MUN447" s="268"/>
      <c r="MUO447" s="268"/>
      <c r="MUP447" s="268"/>
      <c r="MUQ447" s="268"/>
      <c r="MUR447" s="268"/>
      <c r="MUS447" s="268"/>
      <c r="MUT447" s="268"/>
      <c r="MUU447" s="268"/>
      <c r="MUV447" s="268"/>
      <c r="MUW447" s="268"/>
      <c r="MUX447" s="268"/>
      <c r="MUY447" s="268"/>
      <c r="MUZ447" s="268"/>
      <c r="MVA447" s="268"/>
      <c r="MVB447" s="268"/>
      <c r="MVC447" s="268"/>
      <c r="MVD447" s="268"/>
      <c r="MVE447" s="268"/>
      <c r="MVF447" s="268"/>
      <c r="MVG447" s="268"/>
      <c r="MVH447" s="268"/>
      <c r="MVI447" s="268"/>
      <c r="MVJ447" s="268"/>
      <c r="MVK447" s="268"/>
      <c r="MVL447" s="268"/>
      <c r="MVM447" s="268"/>
      <c r="MVN447" s="268"/>
      <c r="MVO447" s="268"/>
      <c r="MVP447" s="268"/>
      <c r="MVQ447" s="268"/>
      <c r="MVR447" s="268"/>
      <c r="MVS447" s="268"/>
      <c r="MVT447" s="268"/>
      <c r="MVU447" s="268"/>
      <c r="MVV447" s="268"/>
      <c r="MVW447" s="268"/>
      <c r="MVX447" s="268"/>
      <c r="MVY447" s="268"/>
      <c r="MVZ447" s="268"/>
      <c r="MWA447" s="268"/>
      <c r="MWB447" s="268"/>
      <c r="MWC447" s="268"/>
      <c r="MWD447" s="268"/>
      <c r="MWE447" s="268"/>
      <c r="MWF447" s="268"/>
      <c r="MWG447" s="268"/>
      <c r="MWH447" s="268"/>
      <c r="MWI447" s="268"/>
      <c r="MWJ447" s="268"/>
      <c r="MWK447" s="268"/>
      <c r="MWL447" s="268"/>
      <c r="MWM447" s="268"/>
      <c r="MWN447" s="268"/>
      <c r="MWO447" s="268"/>
      <c r="MWP447" s="268"/>
      <c r="MWQ447" s="268"/>
      <c r="MWR447" s="268"/>
      <c r="MWS447" s="268"/>
      <c r="MWT447" s="268"/>
      <c r="MWU447" s="268"/>
      <c r="MWV447" s="268"/>
      <c r="MWW447" s="268"/>
      <c r="MWX447" s="268"/>
      <c r="MWY447" s="268"/>
      <c r="MWZ447" s="268"/>
      <c r="MXA447" s="268"/>
      <c r="MXB447" s="268"/>
      <c r="MXC447" s="268"/>
      <c r="MXD447" s="268"/>
      <c r="MXE447" s="268"/>
      <c r="MXF447" s="268"/>
      <c r="MXG447" s="268"/>
      <c r="MXH447" s="268"/>
      <c r="MXI447" s="268"/>
      <c r="MXJ447" s="268"/>
      <c r="MXK447" s="268"/>
      <c r="MXL447" s="268"/>
      <c r="MXM447" s="268"/>
      <c r="MXN447" s="268"/>
      <c r="MXO447" s="268"/>
      <c r="MXP447" s="268"/>
      <c r="MXQ447" s="268"/>
      <c r="MXR447" s="268"/>
      <c r="MXS447" s="268"/>
      <c r="MXT447" s="268"/>
      <c r="MXU447" s="268"/>
      <c r="MXV447" s="268"/>
      <c r="MXW447" s="268"/>
      <c r="MXX447" s="268"/>
      <c r="MXY447" s="268"/>
      <c r="MXZ447" s="268"/>
      <c r="MYA447" s="268"/>
      <c r="MYB447" s="268"/>
      <c r="MYC447" s="268"/>
      <c r="MYD447" s="268"/>
      <c r="MYE447" s="268"/>
      <c r="MYF447" s="268"/>
      <c r="MYG447" s="268"/>
      <c r="MYH447" s="268"/>
      <c r="MYI447" s="268"/>
      <c r="MYJ447" s="268"/>
      <c r="MYK447" s="268"/>
      <c r="MYL447" s="268"/>
      <c r="MYM447" s="268"/>
      <c r="MYN447" s="268"/>
      <c r="MYO447" s="268"/>
      <c r="MYP447" s="268"/>
      <c r="MYQ447" s="268"/>
      <c r="MYR447" s="268"/>
      <c r="MYS447" s="268"/>
      <c r="MYT447" s="268"/>
      <c r="MYU447" s="268"/>
      <c r="MYV447" s="268"/>
      <c r="MYW447" s="268"/>
      <c r="MYX447" s="268"/>
      <c r="MYY447" s="268"/>
      <c r="MZM447" s="268"/>
      <c r="MZN447" s="268"/>
      <c r="MZO447" s="268"/>
      <c r="NAC447" s="268"/>
      <c r="NAE447" s="268"/>
      <c r="NAF447" s="268"/>
      <c r="NAG447" s="268"/>
      <c r="NAH447" s="268"/>
      <c r="NAI447" s="268"/>
      <c r="NAJ447" s="268"/>
      <c r="NAK447" s="268"/>
      <c r="NAL447" s="268"/>
      <c r="NAM447" s="268"/>
      <c r="NAN447" s="268"/>
      <c r="NAO447" s="268"/>
      <c r="NAP447" s="268"/>
      <c r="NAQ447" s="268"/>
      <c r="NAR447" s="268"/>
      <c r="NAS447" s="268"/>
      <c r="NAT447" s="268"/>
      <c r="NAU447" s="268"/>
      <c r="NAV447" s="268"/>
      <c r="NAW447" s="268"/>
      <c r="NAX447" s="268"/>
      <c r="NAY447" s="268"/>
      <c r="NAZ447" s="268"/>
      <c r="NBA447" s="268"/>
      <c r="NBB447" s="268"/>
      <c r="NBC447" s="268"/>
      <c r="NBD447" s="268"/>
      <c r="NBE447" s="268"/>
      <c r="NBF447" s="268"/>
      <c r="NBG447" s="268"/>
      <c r="NBH447" s="268"/>
      <c r="NBI447" s="268"/>
      <c r="NBJ447" s="268"/>
      <c r="NBK447" s="268"/>
      <c r="NBL447" s="268"/>
      <c r="NBM447" s="268"/>
      <c r="NBN447" s="268"/>
      <c r="NBO447" s="268"/>
      <c r="NBP447" s="268"/>
      <c r="NBQ447" s="268"/>
      <c r="NBR447" s="268"/>
      <c r="NBS447" s="268"/>
      <c r="NBT447" s="268"/>
      <c r="NBU447" s="268"/>
      <c r="NBV447" s="268"/>
      <c r="NBW447" s="268"/>
      <c r="NBX447" s="268"/>
      <c r="NBY447" s="268"/>
      <c r="NBZ447" s="268"/>
      <c r="NCA447" s="268"/>
      <c r="NCB447" s="268"/>
      <c r="NCC447" s="268"/>
      <c r="NCD447" s="268"/>
      <c r="NCE447" s="268"/>
      <c r="NCF447" s="268"/>
      <c r="NCG447" s="268"/>
      <c r="NCH447" s="268"/>
      <c r="NCI447" s="268"/>
      <c r="NCJ447" s="268"/>
      <c r="NCK447" s="268"/>
      <c r="NCL447" s="268"/>
      <c r="NCM447" s="268"/>
      <c r="NCN447" s="268"/>
      <c r="NCO447" s="268"/>
      <c r="NCP447" s="268"/>
      <c r="NCQ447" s="268"/>
      <c r="NCR447" s="268"/>
      <c r="NCS447" s="268"/>
      <c r="NCT447" s="268"/>
      <c r="NCU447" s="268"/>
      <c r="NCV447" s="268"/>
      <c r="NCW447" s="268"/>
      <c r="NCX447" s="268"/>
      <c r="NCY447" s="268"/>
      <c r="NCZ447" s="268"/>
      <c r="NDA447" s="268"/>
      <c r="NDB447" s="268"/>
      <c r="NDC447" s="268"/>
      <c r="NDD447" s="268"/>
      <c r="NDE447" s="268"/>
      <c r="NDF447" s="268"/>
      <c r="NDG447" s="268"/>
      <c r="NDH447" s="268"/>
      <c r="NDI447" s="268"/>
      <c r="NDJ447" s="268"/>
      <c r="NDK447" s="268"/>
      <c r="NDL447" s="268"/>
      <c r="NDM447" s="268"/>
      <c r="NDN447" s="268"/>
      <c r="NDO447" s="268"/>
      <c r="NDP447" s="268"/>
      <c r="NDQ447" s="268"/>
      <c r="NDR447" s="268"/>
      <c r="NDS447" s="268"/>
      <c r="NDT447" s="268"/>
      <c r="NDU447" s="268"/>
      <c r="NDV447" s="268"/>
      <c r="NDW447" s="268"/>
      <c r="NDX447" s="268"/>
      <c r="NDY447" s="268"/>
      <c r="NDZ447" s="268"/>
      <c r="NEA447" s="268"/>
      <c r="NEB447" s="268"/>
      <c r="NEC447" s="268"/>
      <c r="NED447" s="268"/>
      <c r="NEE447" s="268"/>
      <c r="NEF447" s="268"/>
      <c r="NEG447" s="268"/>
      <c r="NEH447" s="268"/>
      <c r="NEI447" s="268"/>
      <c r="NEJ447" s="268"/>
      <c r="NEK447" s="268"/>
      <c r="NEL447" s="268"/>
      <c r="NEM447" s="268"/>
      <c r="NEN447" s="268"/>
      <c r="NEO447" s="268"/>
      <c r="NEP447" s="268"/>
      <c r="NEQ447" s="268"/>
      <c r="NER447" s="268"/>
      <c r="NES447" s="268"/>
      <c r="NET447" s="268"/>
      <c r="NEU447" s="268"/>
      <c r="NEV447" s="268"/>
      <c r="NEW447" s="268"/>
      <c r="NEX447" s="268"/>
      <c r="NEY447" s="268"/>
      <c r="NEZ447" s="268"/>
      <c r="NFA447" s="268"/>
      <c r="NFB447" s="268"/>
      <c r="NFC447" s="268"/>
      <c r="NFD447" s="268"/>
      <c r="NFE447" s="268"/>
      <c r="NFF447" s="268"/>
      <c r="NFG447" s="268"/>
      <c r="NFH447" s="268"/>
      <c r="NFI447" s="268"/>
      <c r="NFJ447" s="268"/>
      <c r="NFK447" s="268"/>
      <c r="NFL447" s="268"/>
      <c r="NFM447" s="268"/>
      <c r="NFN447" s="268"/>
      <c r="NFO447" s="268"/>
      <c r="NFP447" s="268"/>
      <c r="NFQ447" s="268"/>
      <c r="NFR447" s="268"/>
      <c r="NFS447" s="268"/>
      <c r="NFT447" s="268"/>
      <c r="NFU447" s="268"/>
      <c r="NFV447" s="268"/>
      <c r="NFW447" s="268"/>
      <c r="NFX447" s="268"/>
      <c r="NFY447" s="268"/>
      <c r="NFZ447" s="268"/>
      <c r="NGA447" s="268"/>
      <c r="NGB447" s="268"/>
      <c r="NGC447" s="268"/>
      <c r="NGD447" s="268"/>
      <c r="NGE447" s="268"/>
      <c r="NGF447" s="268"/>
      <c r="NGG447" s="268"/>
      <c r="NGH447" s="268"/>
      <c r="NGI447" s="268"/>
      <c r="NGJ447" s="268"/>
      <c r="NGK447" s="268"/>
      <c r="NGL447" s="268"/>
      <c r="NGM447" s="268"/>
      <c r="NGN447" s="268"/>
      <c r="NGO447" s="268"/>
      <c r="NGP447" s="268"/>
      <c r="NGQ447" s="268"/>
      <c r="NGR447" s="268"/>
      <c r="NGS447" s="268"/>
      <c r="NGT447" s="268"/>
      <c r="NGU447" s="268"/>
      <c r="NGV447" s="268"/>
      <c r="NGW447" s="268"/>
      <c r="NGX447" s="268"/>
      <c r="NGY447" s="268"/>
      <c r="NGZ447" s="268"/>
      <c r="NHA447" s="268"/>
      <c r="NHB447" s="268"/>
      <c r="NHC447" s="268"/>
      <c r="NHD447" s="268"/>
      <c r="NHE447" s="268"/>
      <c r="NHF447" s="268"/>
      <c r="NHG447" s="268"/>
      <c r="NHH447" s="268"/>
      <c r="NHI447" s="268"/>
      <c r="NHJ447" s="268"/>
      <c r="NHK447" s="268"/>
      <c r="NHL447" s="268"/>
      <c r="NHM447" s="268"/>
      <c r="NHN447" s="268"/>
      <c r="NHO447" s="268"/>
      <c r="NHP447" s="268"/>
      <c r="NHQ447" s="268"/>
      <c r="NHR447" s="268"/>
      <c r="NHS447" s="268"/>
      <c r="NHT447" s="268"/>
      <c r="NHU447" s="268"/>
      <c r="NHV447" s="268"/>
      <c r="NHW447" s="268"/>
      <c r="NHX447" s="268"/>
      <c r="NHY447" s="268"/>
      <c r="NHZ447" s="268"/>
      <c r="NIA447" s="268"/>
      <c r="NIB447" s="268"/>
      <c r="NIC447" s="268"/>
      <c r="NID447" s="268"/>
      <c r="NIE447" s="268"/>
      <c r="NIF447" s="268"/>
      <c r="NIG447" s="268"/>
      <c r="NIH447" s="268"/>
      <c r="NII447" s="268"/>
      <c r="NIJ447" s="268"/>
      <c r="NIK447" s="268"/>
      <c r="NIL447" s="268"/>
      <c r="NIM447" s="268"/>
      <c r="NIN447" s="268"/>
      <c r="NIO447" s="268"/>
      <c r="NIP447" s="268"/>
      <c r="NIQ447" s="268"/>
      <c r="NIR447" s="268"/>
      <c r="NIS447" s="268"/>
      <c r="NIT447" s="268"/>
      <c r="NIU447" s="268"/>
      <c r="NJI447" s="268"/>
      <c r="NJJ447" s="268"/>
      <c r="NJK447" s="268"/>
      <c r="NJY447" s="268"/>
      <c r="NKA447" s="268"/>
      <c r="NKB447" s="268"/>
      <c r="NKC447" s="268"/>
      <c r="NKD447" s="268"/>
      <c r="NKE447" s="268"/>
      <c r="NKF447" s="268"/>
      <c r="NKG447" s="268"/>
      <c r="NKH447" s="268"/>
      <c r="NKI447" s="268"/>
      <c r="NKJ447" s="268"/>
      <c r="NKK447" s="268"/>
      <c r="NKL447" s="268"/>
      <c r="NKM447" s="268"/>
      <c r="NKN447" s="268"/>
      <c r="NKO447" s="268"/>
      <c r="NKP447" s="268"/>
      <c r="NKQ447" s="268"/>
      <c r="NKR447" s="268"/>
      <c r="NKS447" s="268"/>
      <c r="NKT447" s="268"/>
      <c r="NKU447" s="268"/>
      <c r="NKV447" s="268"/>
      <c r="NKW447" s="268"/>
      <c r="NKX447" s="268"/>
      <c r="NKY447" s="268"/>
      <c r="NKZ447" s="268"/>
      <c r="NLA447" s="268"/>
      <c r="NLB447" s="268"/>
      <c r="NLC447" s="268"/>
      <c r="NLD447" s="268"/>
      <c r="NLE447" s="268"/>
      <c r="NLF447" s="268"/>
      <c r="NLG447" s="268"/>
      <c r="NLH447" s="268"/>
      <c r="NLI447" s="268"/>
      <c r="NLJ447" s="268"/>
      <c r="NLK447" s="268"/>
      <c r="NLL447" s="268"/>
      <c r="NLM447" s="268"/>
      <c r="NLN447" s="268"/>
      <c r="NLO447" s="268"/>
      <c r="NLP447" s="268"/>
      <c r="NLQ447" s="268"/>
      <c r="NLR447" s="268"/>
      <c r="NLS447" s="268"/>
      <c r="NLT447" s="268"/>
      <c r="NLU447" s="268"/>
      <c r="NLV447" s="268"/>
      <c r="NLW447" s="268"/>
      <c r="NLX447" s="268"/>
      <c r="NLY447" s="268"/>
      <c r="NLZ447" s="268"/>
      <c r="NMA447" s="268"/>
      <c r="NMB447" s="268"/>
      <c r="NMC447" s="268"/>
      <c r="NMD447" s="268"/>
      <c r="NME447" s="268"/>
      <c r="NMF447" s="268"/>
      <c r="NMG447" s="268"/>
      <c r="NMH447" s="268"/>
      <c r="NMI447" s="268"/>
      <c r="NMJ447" s="268"/>
      <c r="NMK447" s="268"/>
      <c r="NML447" s="268"/>
      <c r="NMM447" s="268"/>
      <c r="NMN447" s="268"/>
      <c r="NMO447" s="268"/>
      <c r="NMP447" s="268"/>
      <c r="NMQ447" s="268"/>
      <c r="NMR447" s="268"/>
      <c r="NMS447" s="268"/>
      <c r="NMT447" s="268"/>
      <c r="NMU447" s="268"/>
      <c r="NMV447" s="268"/>
      <c r="NMW447" s="268"/>
      <c r="NMX447" s="268"/>
      <c r="NMY447" s="268"/>
      <c r="NMZ447" s="268"/>
      <c r="NNA447" s="268"/>
      <c r="NNB447" s="268"/>
      <c r="NNC447" s="268"/>
      <c r="NND447" s="268"/>
      <c r="NNE447" s="268"/>
      <c r="NNF447" s="268"/>
      <c r="NNG447" s="268"/>
      <c r="NNH447" s="268"/>
      <c r="NNI447" s="268"/>
      <c r="NNJ447" s="268"/>
      <c r="NNK447" s="268"/>
      <c r="NNL447" s="268"/>
      <c r="NNM447" s="268"/>
      <c r="NNN447" s="268"/>
      <c r="NNO447" s="268"/>
      <c r="NNP447" s="268"/>
      <c r="NNQ447" s="268"/>
      <c r="NNR447" s="268"/>
      <c r="NNS447" s="268"/>
      <c r="NNT447" s="268"/>
      <c r="NNU447" s="268"/>
      <c r="NNV447" s="268"/>
      <c r="NNW447" s="268"/>
      <c r="NNX447" s="268"/>
      <c r="NNY447" s="268"/>
      <c r="NNZ447" s="268"/>
      <c r="NOA447" s="268"/>
      <c r="NOB447" s="268"/>
      <c r="NOC447" s="268"/>
      <c r="NOD447" s="268"/>
      <c r="NOE447" s="268"/>
      <c r="NOF447" s="268"/>
      <c r="NOG447" s="268"/>
      <c r="NOH447" s="268"/>
      <c r="NOI447" s="268"/>
      <c r="NOJ447" s="268"/>
      <c r="NOK447" s="268"/>
      <c r="NOL447" s="268"/>
      <c r="NOM447" s="268"/>
      <c r="NON447" s="268"/>
      <c r="NOO447" s="268"/>
      <c r="NOP447" s="268"/>
      <c r="NOQ447" s="268"/>
      <c r="NOR447" s="268"/>
      <c r="NOS447" s="268"/>
      <c r="NOT447" s="268"/>
      <c r="NOU447" s="268"/>
      <c r="NOV447" s="268"/>
      <c r="NOW447" s="268"/>
      <c r="NOX447" s="268"/>
      <c r="NOY447" s="268"/>
      <c r="NOZ447" s="268"/>
      <c r="NPA447" s="268"/>
      <c r="NPB447" s="268"/>
      <c r="NPC447" s="268"/>
      <c r="NPD447" s="268"/>
      <c r="NPE447" s="268"/>
      <c r="NPF447" s="268"/>
      <c r="NPG447" s="268"/>
      <c r="NPH447" s="268"/>
      <c r="NPI447" s="268"/>
      <c r="NPJ447" s="268"/>
      <c r="NPK447" s="268"/>
      <c r="NPL447" s="268"/>
      <c r="NPM447" s="268"/>
      <c r="NPN447" s="268"/>
      <c r="NPO447" s="268"/>
      <c r="NPP447" s="268"/>
      <c r="NPQ447" s="268"/>
      <c r="NPR447" s="268"/>
      <c r="NPS447" s="268"/>
      <c r="NPT447" s="268"/>
      <c r="NPU447" s="268"/>
      <c r="NPV447" s="268"/>
      <c r="NPW447" s="268"/>
      <c r="NPX447" s="268"/>
      <c r="NPY447" s="268"/>
      <c r="NPZ447" s="268"/>
      <c r="NQA447" s="268"/>
      <c r="NQB447" s="268"/>
      <c r="NQC447" s="268"/>
      <c r="NQD447" s="268"/>
      <c r="NQE447" s="268"/>
      <c r="NQF447" s="268"/>
      <c r="NQG447" s="268"/>
      <c r="NQH447" s="268"/>
      <c r="NQI447" s="268"/>
      <c r="NQJ447" s="268"/>
      <c r="NQK447" s="268"/>
      <c r="NQL447" s="268"/>
      <c r="NQM447" s="268"/>
      <c r="NQN447" s="268"/>
      <c r="NQO447" s="268"/>
      <c r="NQP447" s="268"/>
      <c r="NQQ447" s="268"/>
      <c r="NQR447" s="268"/>
      <c r="NQS447" s="268"/>
      <c r="NQT447" s="268"/>
      <c r="NQU447" s="268"/>
      <c r="NQV447" s="268"/>
      <c r="NQW447" s="268"/>
      <c r="NQX447" s="268"/>
      <c r="NQY447" s="268"/>
      <c r="NQZ447" s="268"/>
      <c r="NRA447" s="268"/>
      <c r="NRB447" s="268"/>
      <c r="NRC447" s="268"/>
      <c r="NRD447" s="268"/>
      <c r="NRE447" s="268"/>
      <c r="NRF447" s="268"/>
      <c r="NRG447" s="268"/>
      <c r="NRH447" s="268"/>
      <c r="NRI447" s="268"/>
      <c r="NRJ447" s="268"/>
      <c r="NRK447" s="268"/>
      <c r="NRL447" s="268"/>
      <c r="NRM447" s="268"/>
      <c r="NRN447" s="268"/>
      <c r="NRO447" s="268"/>
      <c r="NRP447" s="268"/>
      <c r="NRQ447" s="268"/>
      <c r="NRR447" s="268"/>
      <c r="NRS447" s="268"/>
      <c r="NRT447" s="268"/>
      <c r="NRU447" s="268"/>
      <c r="NRV447" s="268"/>
      <c r="NRW447" s="268"/>
      <c r="NRX447" s="268"/>
      <c r="NRY447" s="268"/>
      <c r="NRZ447" s="268"/>
      <c r="NSA447" s="268"/>
      <c r="NSB447" s="268"/>
      <c r="NSC447" s="268"/>
      <c r="NSD447" s="268"/>
      <c r="NSE447" s="268"/>
      <c r="NSF447" s="268"/>
      <c r="NSG447" s="268"/>
      <c r="NSH447" s="268"/>
      <c r="NSI447" s="268"/>
      <c r="NSJ447" s="268"/>
      <c r="NSK447" s="268"/>
      <c r="NSL447" s="268"/>
      <c r="NSM447" s="268"/>
      <c r="NSN447" s="268"/>
      <c r="NSO447" s="268"/>
      <c r="NSP447" s="268"/>
      <c r="NSQ447" s="268"/>
      <c r="NTE447" s="268"/>
      <c r="NTF447" s="268"/>
      <c r="NTG447" s="268"/>
      <c r="NTU447" s="268"/>
      <c r="NTW447" s="268"/>
      <c r="NTX447" s="268"/>
      <c r="NTY447" s="268"/>
      <c r="NTZ447" s="268"/>
      <c r="NUA447" s="268"/>
      <c r="NUB447" s="268"/>
      <c r="NUC447" s="268"/>
      <c r="NUD447" s="268"/>
      <c r="NUE447" s="268"/>
      <c r="NUF447" s="268"/>
      <c r="NUG447" s="268"/>
      <c r="NUH447" s="268"/>
      <c r="NUI447" s="268"/>
      <c r="NUJ447" s="268"/>
      <c r="NUK447" s="268"/>
      <c r="NUL447" s="268"/>
      <c r="NUM447" s="268"/>
      <c r="NUN447" s="268"/>
      <c r="NUO447" s="268"/>
      <c r="NUP447" s="268"/>
      <c r="NUQ447" s="268"/>
      <c r="NUR447" s="268"/>
      <c r="NUS447" s="268"/>
      <c r="NUT447" s="268"/>
      <c r="NUU447" s="268"/>
      <c r="NUV447" s="268"/>
      <c r="NUW447" s="268"/>
      <c r="NUX447" s="268"/>
      <c r="NUY447" s="268"/>
      <c r="NUZ447" s="268"/>
      <c r="NVA447" s="268"/>
      <c r="NVB447" s="268"/>
      <c r="NVC447" s="268"/>
      <c r="NVD447" s="268"/>
      <c r="NVE447" s="268"/>
      <c r="NVF447" s="268"/>
      <c r="NVG447" s="268"/>
      <c r="NVH447" s="268"/>
      <c r="NVI447" s="268"/>
      <c r="NVJ447" s="268"/>
      <c r="NVK447" s="268"/>
      <c r="NVL447" s="268"/>
      <c r="NVM447" s="268"/>
      <c r="NVN447" s="268"/>
      <c r="NVO447" s="268"/>
      <c r="NVP447" s="268"/>
      <c r="NVQ447" s="268"/>
      <c r="NVR447" s="268"/>
      <c r="NVS447" s="268"/>
      <c r="NVT447" s="268"/>
      <c r="NVU447" s="268"/>
      <c r="NVV447" s="268"/>
      <c r="NVW447" s="268"/>
      <c r="NVX447" s="268"/>
      <c r="NVY447" s="268"/>
      <c r="NVZ447" s="268"/>
      <c r="NWA447" s="268"/>
      <c r="NWB447" s="268"/>
      <c r="NWC447" s="268"/>
      <c r="NWD447" s="268"/>
      <c r="NWE447" s="268"/>
      <c r="NWF447" s="268"/>
      <c r="NWG447" s="268"/>
      <c r="NWH447" s="268"/>
      <c r="NWI447" s="268"/>
      <c r="NWJ447" s="268"/>
      <c r="NWK447" s="268"/>
      <c r="NWL447" s="268"/>
      <c r="NWM447" s="268"/>
      <c r="NWN447" s="268"/>
      <c r="NWO447" s="268"/>
      <c r="NWP447" s="268"/>
      <c r="NWQ447" s="268"/>
      <c r="NWR447" s="268"/>
      <c r="NWS447" s="268"/>
      <c r="NWT447" s="268"/>
      <c r="NWU447" s="268"/>
      <c r="NWV447" s="268"/>
      <c r="NWW447" s="268"/>
      <c r="NWX447" s="268"/>
      <c r="NWY447" s="268"/>
      <c r="NWZ447" s="268"/>
      <c r="NXA447" s="268"/>
      <c r="NXB447" s="268"/>
      <c r="NXC447" s="268"/>
      <c r="NXD447" s="268"/>
      <c r="NXE447" s="268"/>
      <c r="NXF447" s="268"/>
      <c r="NXG447" s="268"/>
      <c r="NXH447" s="268"/>
      <c r="NXI447" s="268"/>
      <c r="NXJ447" s="268"/>
      <c r="NXK447" s="268"/>
      <c r="NXL447" s="268"/>
      <c r="NXM447" s="268"/>
      <c r="NXN447" s="268"/>
      <c r="NXO447" s="268"/>
      <c r="NXP447" s="268"/>
      <c r="NXQ447" s="268"/>
      <c r="NXR447" s="268"/>
      <c r="NXS447" s="268"/>
      <c r="NXT447" s="268"/>
      <c r="NXU447" s="268"/>
      <c r="NXV447" s="268"/>
      <c r="NXW447" s="268"/>
      <c r="NXX447" s="268"/>
      <c r="NXY447" s="268"/>
      <c r="NXZ447" s="268"/>
      <c r="NYA447" s="268"/>
      <c r="NYB447" s="268"/>
      <c r="NYC447" s="268"/>
      <c r="NYD447" s="268"/>
      <c r="NYE447" s="268"/>
      <c r="NYF447" s="268"/>
      <c r="NYG447" s="268"/>
      <c r="NYH447" s="268"/>
      <c r="NYI447" s="268"/>
      <c r="NYJ447" s="268"/>
      <c r="NYK447" s="268"/>
      <c r="NYL447" s="268"/>
      <c r="NYM447" s="268"/>
      <c r="NYN447" s="268"/>
      <c r="NYO447" s="268"/>
      <c r="NYP447" s="268"/>
      <c r="NYQ447" s="268"/>
      <c r="NYR447" s="268"/>
      <c r="NYS447" s="268"/>
      <c r="NYT447" s="268"/>
      <c r="NYU447" s="268"/>
      <c r="NYV447" s="268"/>
      <c r="NYW447" s="268"/>
      <c r="NYX447" s="268"/>
      <c r="NYY447" s="268"/>
      <c r="NYZ447" s="268"/>
      <c r="NZA447" s="268"/>
      <c r="NZB447" s="268"/>
      <c r="NZC447" s="268"/>
      <c r="NZD447" s="268"/>
      <c r="NZE447" s="268"/>
      <c r="NZF447" s="268"/>
      <c r="NZG447" s="268"/>
      <c r="NZH447" s="268"/>
      <c r="NZI447" s="268"/>
      <c r="NZJ447" s="268"/>
      <c r="NZK447" s="268"/>
      <c r="NZL447" s="268"/>
      <c r="NZM447" s="268"/>
      <c r="NZN447" s="268"/>
      <c r="NZO447" s="268"/>
      <c r="NZP447" s="268"/>
      <c r="NZQ447" s="268"/>
      <c r="NZR447" s="268"/>
      <c r="NZS447" s="268"/>
      <c r="NZT447" s="268"/>
      <c r="NZU447" s="268"/>
      <c r="NZV447" s="268"/>
      <c r="NZW447" s="268"/>
      <c r="NZX447" s="268"/>
      <c r="NZY447" s="268"/>
      <c r="NZZ447" s="268"/>
      <c r="OAA447" s="268"/>
      <c r="OAB447" s="268"/>
      <c r="OAC447" s="268"/>
      <c r="OAD447" s="268"/>
      <c r="OAE447" s="268"/>
      <c r="OAF447" s="268"/>
      <c r="OAG447" s="268"/>
      <c r="OAH447" s="268"/>
      <c r="OAI447" s="268"/>
      <c r="OAJ447" s="268"/>
      <c r="OAK447" s="268"/>
      <c r="OAL447" s="268"/>
      <c r="OAM447" s="268"/>
      <c r="OAN447" s="268"/>
      <c r="OAO447" s="268"/>
      <c r="OAP447" s="268"/>
      <c r="OAQ447" s="268"/>
      <c r="OAR447" s="268"/>
      <c r="OAS447" s="268"/>
      <c r="OAT447" s="268"/>
      <c r="OAU447" s="268"/>
      <c r="OAV447" s="268"/>
      <c r="OAW447" s="268"/>
      <c r="OAX447" s="268"/>
      <c r="OAY447" s="268"/>
      <c r="OAZ447" s="268"/>
      <c r="OBA447" s="268"/>
      <c r="OBB447" s="268"/>
      <c r="OBC447" s="268"/>
      <c r="OBD447" s="268"/>
      <c r="OBE447" s="268"/>
      <c r="OBF447" s="268"/>
      <c r="OBG447" s="268"/>
      <c r="OBH447" s="268"/>
      <c r="OBI447" s="268"/>
      <c r="OBJ447" s="268"/>
      <c r="OBK447" s="268"/>
      <c r="OBL447" s="268"/>
      <c r="OBM447" s="268"/>
      <c r="OBN447" s="268"/>
      <c r="OBO447" s="268"/>
      <c r="OBP447" s="268"/>
      <c r="OBQ447" s="268"/>
      <c r="OBR447" s="268"/>
      <c r="OBS447" s="268"/>
      <c r="OBT447" s="268"/>
      <c r="OBU447" s="268"/>
      <c r="OBV447" s="268"/>
      <c r="OBW447" s="268"/>
      <c r="OBX447" s="268"/>
      <c r="OBY447" s="268"/>
      <c r="OBZ447" s="268"/>
      <c r="OCA447" s="268"/>
      <c r="OCB447" s="268"/>
      <c r="OCC447" s="268"/>
      <c r="OCD447" s="268"/>
      <c r="OCE447" s="268"/>
      <c r="OCF447" s="268"/>
      <c r="OCG447" s="268"/>
      <c r="OCH447" s="268"/>
      <c r="OCI447" s="268"/>
      <c r="OCJ447" s="268"/>
      <c r="OCK447" s="268"/>
      <c r="OCL447" s="268"/>
      <c r="OCM447" s="268"/>
      <c r="ODA447" s="268"/>
      <c r="ODB447" s="268"/>
      <c r="ODC447" s="268"/>
      <c r="ODQ447" s="268"/>
      <c r="ODS447" s="268"/>
      <c r="ODT447" s="268"/>
      <c r="ODU447" s="268"/>
      <c r="ODV447" s="268"/>
      <c r="ODW447" s="268"/>
      <c r="ODX447" s="268"/>
      <c r="ODY447" s="268"/>
      <c r="ODZ447" s="268"/>
      <c r="OEA447" s="268"/>
      <c r="OEB447" s="268"/>
      <c r="OEC447" s="268"/>
      <c r="OED447" s="268"/>
      <c r="OEE447" s="268"/>
      <c r="OEF447" s="268"/>
      <c r="OEG447" s="268"/>
      <c r="OEH447" s="268"/>
      <c r="OEI447" s="268"/>
      <c r="OEJ447" s="268"/>
      <c r="OEK447" s="268"/>
      <c r="OEL447" s="268"/>
      <c r="OEM447" s="268"/>
      <c r="OEN447" s="268"/>
      <c r="OEO447" s="268"/>
      <c r="OEP447" s="268"/>
      <c r="OEQ447" s="268"/>
      <c r="OER447" s="268"/>
      <c r="OES447" s="268"/>
      <c r="OET447" s="268"/>
      <c r="OEU447" s="268"/>
      <c r="OEV447" s="268"/>
      <c r="OEW447" s="268"/>
      <c r="OEX447" s="268"/>
      <c r="OEY447" s="268"/>
      <c r="OEZ447" s="268"/>
      <c r="OFA447" s="268"/>
      <c r="OFB447" s="268"/>
      <c r="OFC447" s="268"/>
      <c r="OFD447" s="268"/>
      <c r="OFE447" s="268"/>
      <c r="OFF447" s="268"/>
      <c r="OFG447" s="268"/>
      <c r="OFH447" s="268"/>
      <c r="OFI447" s="268"/>
      <c r="OFJ447" s="268"/>
      <c r="OFK447" s="268"/>
      <c r="OFL447" s="268"/>
      <c r="OFM447" s="268"/>
      <c r="OFN447" s="268"/>
      <c r="OFO447" s="268"/>
      <c r="OFP447" s="268"/>
      <c r="OFQ447" s="268"/>
      <c r="OFR447" s="268"/>
      <c r="OFS447" s="268"/>
      <c r="OFT447" s="268"/>
      <c r="OFU447" s="268"/>
      <c r="OFV447" s="268"/>
      <c r="OFW447" s="268"/>
      <c r="OFX447" s="268"/>
      <c r="OFY447" s="268"/>
      <c r="OFZ447" s="268"/>
      <c r="OGA447" s="268"/>
      <c r="OGB447" s="268"/>
      <c r="OGC447" s="268"/>
      <c r="OGD447" s="268"/>
      <c r="OGE447" s="268"/>
      <c r="OGF447" s="268"/>
      <c r="OGG447" s="268"/>
      <c r="OGH447" s="268"/>
      <c r="OGI447" s="268"/>
      <c r="OGJ447" s="268"/>
      <c r="OGK447" s="268"/>
      <c r="OGL447" s="268"/>
      <c r="OGM447" s="268"/>
      <c r="OGN447" s="268"/>
      <c r="OGO447" s="268"/>
      <c r="OGP447" s="268"/>
      <c r="OGQ447" s="268"/>
      <c r="OGR447" s="268"/>
      <c r="OGS447" s="268"/>
      <c r="OGT447" s="268"/>
      <c r="OGU447" s="268"/>
      <c r="OGV447" s="268"/>
      <c r="OGW447" s="268"/>
      <c r="OGX447" s="268"/>
      <c r="OGY447" s="268"/>
      <c r="OGZ447" s="268"/>
      <c r="OHA447" s="268"/>
      <c r="OHB447" s="268"/>
      <c r="OHC447" s="268"/>
      <c r="OHD447" s="268"/>
      <c r="OHE447" s="268"/>
      <c r="OHF447" s="268"/>
      <c r="OHG447" s="268"/>
      <c r="OHH447" s="268"/>
      <c r="OHI447" s="268"/>
      <c r="OHJ447" s="268"/>
      <c r="OHK447" s="268"/>
      <c r="OHL447" s="268"/>
      <c r="OHM447" s="268"/>
      <c r="OHN447" s="268"/>
      <c r="OHO447" s="268"/>
      <c r="OHP447" s="268"/>
      <c r="OHQ447" s="268"/>
      <c r="OHR447" s="268"/>
      <c r="OHS447" s="268"/>
      <c r="OHT447" s="268"/>
      <c r="OHU447" s="268"/>
      <c r="OHV447" s="268"/>
      <c r="OHW447" s="268"/>
      <c r="OHX447" s="268"/>
      <c r="OHY447" s="268"/>
      <c r="OHZ447" s="268"/>
      <c r="OIA447" s="268"/>
      <c r="OIB447" s="268"/>
      <c r="OIC447" s="268"/>
      <c r="OID447" s="268"/>
      <c r="OIE447" s="268"/>
      <c r="OIF447" s="268"/>
      <c r="OIG447" s="268"/>
      <c r="OIH447" s="268"/>
      <c r="OII447" s="268"/>
      <c r="OIJ447" s="268"/>
      <c r="OIK447" s="268"/>
      <c r="OIL447" s="268"/>
      <c r="OIM447" s="268"/>
      <c r="OIN447" s="268"/>
      <c r="OIO447" s="268"/>
      <c r="OIP447" s="268"/>
      <c r="OIQ447" s="268"/>
      <c r="OIR447" s="268"/>
      <c r="OIS447" s="268"/>
      <c r="OIT447" s="268"/>
      <c r="OIU447" s="268"/>
      <c r="OIV447" s="268"/>
      <c r="OIW447" s="268"/>
      <c r="OIX447" s="268"/>
      <c r="OIY447" s="268"/>
      <c r="OIZ447" s="268"/>
      <c r="OJA447" s="268"/>
      <c r="OJB447" s="268"/>
      <c r="OJC447" s="268"/>
      <c r="OJD447" s="268"/>
      <c r="OJE447" s="268"/>
      <c r="OJF447" s="268"/>
      <c r="OJG447" s="268"/>
      <c r="OJH447" s="268"/>
      <c r="OJI447" s="268"/>
      <c r="OJJ447" s="268"/>
      <c r="OJK447" s="268"/>
      <c r="OJL447" s="268"/>
      <c r="OJM447" s="268"/>
      <c r="OJN447" s="268"/>
      <c r="OJO447" s="268"/>
      <c r="OJP447" s="268"/>
      <c r="OJQ447" s="268"/>
      <c r="OJR447" s="268"/>
      <c r="OJS447" s="268"/>
      <c r="OJT447" s="268"/>
      <c r="OJU447" s="268"/>
      <c r="OJV447" s="268"/>
      <c r="OJW447" s="268"/>
      <c r="OJX447" s="268"/>
      <c r="OJY447" s="268"/>
      <c r="OJZ447" s="268"/>
      <c r="OKA447" s="268"/>
      <c r="OKB447" s="268"/>
      <c r="OKC447" s="268"/>
      <c r="OKD447" s="268"/>
      <c r="OKE447" s="268"/>
      <c r="OKF447" s="268"/>
      <c r="OKG447" s="268"/>
      <c r="OKH447" s="268"/>
      <c r="OKI447" s="268"/>
      <c r="OKJ447" s="268"/>
      <c r="OKK447" s="268"/>
      <c r="OKL447" s="268"/>
      <c r="OKM447" s="268"/>
      <c r="OKN447" s="268"/>
      <c r="OKO447" s="268"/>
      <c r="OKP447" s="268"/>
      <c r="OKQ447" s="268"/>
      <c r="OKR447" s="268"/>
      <c r="OKS447" s="268"/>
      <c r="OKT447" s="268"/>
      <c r="OKU447" s="268"/>
      <c r="OKV447" s="268"/>
      <c r="OKW447" s="268"/>
      <c r="OKX447" s="268"/>
      <c r="OKY447" s="268"/>
      <c r="OKZ447" s="268"/>
      <c r="OLA447" s="268"/>
      <c r="OLB447" s="268"/>
      <c r="OLC447" s="268"/>
      <c r="OLD447" s="268"/>
      <c r="OLE447" s="268"/>
      <c r="OLF447" s="268"/>
      <c r="OLG447" s="268"/>
      <c r="OLH447" s="268"/>
      <c r="OLI447" s="268"/>
      <c r="OLJ447" s="268"/>
      <c r="OLK447" s="268"/>
      <c r="OLL447" s="268"/>
      <c r="OLM447" s="268"/>
      <c r="OLN447" s="268"/>
      <c r="OLO447" s="268"/>
      <c r="OLP447" s="268"/>
      <c r="OLQ447" s="268"/>
      <c r="OLR447" s="268"/>
      <c r="OLS447" s="268"/>
      <c r="OLT447" s="268"/>
      <c r="OLU447" s="268"/>
      <c r="OLV447" s="268"/>
      <c r="OLW447" s="268"/>
      <c r="OLX447" s="268"/>
      <c r="OLY447" s="268"/>
      <c r="OLZ447" s="268"/>
      <c r="OMA447" s="268"/>
      <c r="OMB447" s="268"/>
      <c r="OMC447" s="268"/>
      <c r="OMD447" s="268"/>
      <c r="OME447" s="268"/>
      <c r="OMF447" s="268"/>
      <c r="OMG447" s="268"/>
      <c r="OMH447" s="268"/>
      <c r="OMI447" s="268"/>
      <c r="OMW447" s="268"/>
      <c r="OMX447" s="268"/>
      <c r="OMY447" s="268"/>
      <c r="ONM447" s="268"/>
      <c r="ONO447" s="268"/>
      <c r="ONP447" s="268"/>
      <c r="ONQ447" s="268"/>
      <c r="ONR447" s="268"/>
      <c r="ONS447" s="268"/>
      <c r="ONT447" s="268"/>
      <c r="ONU447" s="268"/>
      <c r="ONV447" s="268"/>
      <c r="ONW447" s="268"/>
      <c r="ONX447" s="268"/>
      <c r="ONY447" s="268"/>
      <c r="ONZ447" s="268"/>
      <c r="OOA447" s="268"/>
      <c r="OOB447" s="268"/>
      <c r="OOC447" s="268"/>
      <c r="OOD447" s="268"/>
      <c r="OOE447" s="268"/>
      <c r="OOF447" s="268"/>
      <c r="OOG447" s="268"/>
      <c r="OOH447" s="268"/>
      <c r="OOI447" s="268"/>
      <c r="OOJ447" s="268"/>
      <c r="OOK447" s="268"/>
      <c r="OOL447" s="268"/>
      <c r="OOM447" s="268"/>
      <c r="OON447" s="268"/>
      <c r="OOO447" s="268"/>
      <c r="OOP447" s="268"/>
      <c r="OOQ447" s="268"/>
      <c r="OOR447" s="268"/>
      <c r="OOS447" s="268"/>
      <c r="OOT447" s="268"/>
      <c r="OOU447" s="268"/>
      <c r="OOV447" s="268"/>
      <c r="OOW447" s="268"/>
      <c r="OOX447" s="268"/>
      <c r="OOY447" s="268"/>
      <c r="OOZ447" s="268"/>
      <c r="OPA447" s="268"/>
      <c r="OPB447" s="268"/>
      <c r="OPC447" s="268"/>
      <c r="OPD447" s="268"/>
      <c r="OPE447" s="268"/>
      <c r="OPF447" s="268"/>
      <c r="OPG447" s="268"/>
      <c r="OPH447" s="268"/>
      <c r="OPI447" s="268"/>
      <c r="OPJ447" s="268"/>
      <c r="OPK447" s="268"/>
      <c r="OPL447" s="268"/>
      <c r="OPM447" s="268"/>
      <c r="OPN447" s="268"/>
      <c r="OPO447" s="268"/>
      <c r="OPP447" s="268"/>
      <c r="OPQ447" s="268"/>
      <c r="OPR447" s="268"/>
      <c r="OPS447" s="268"/>
      <c r="OPT447" s="268"/>
      <c r="OPU447" s="268"/>
      <c r="OPV447" s="268"/>
      <c r="OPW447" s="268"/>
      <c r="OPX447" s="268"/>
      <c r="OPY447" s="268"/>
      <c r="OPZ447" s="268"/>
      <c r="OQA447" s="268"/>
      <c r="OQB447" s="268"/>
      <c r="OQC447" s="268"/>
      <c r="OQD447" s="268"/>
      <c r="OQE447" s="268"/>
      <c r="OQF447" s="268"/>
      <c r="OQG447" s="268"/>
      <c r="OQH447" s="268"/>
      <c r="OQI447" s="268"/>
      <c r="OQJ447" s="268"/>
      <c r="OQK447" s="268"/>
      <c r="OQL447" s="268"/>
      <c r="OQM447" s="268"/>
      <c r="OQN447" s="268"/>
      <c r="OQO447" s="268"/>
      <c r="OQP447" s="268"/>
      <c r="OQQ447" s="268"/>
      <c r="OQR447" s="268"/>
      <c r="OQS447" s="268"/>
      <c r="OQT447" s="268"/>
      <c r="OQU447" s="268"/>
      <c r="OQV447" s="268"/>
      <c r="OQW447" s="268"/>
      <c r="OQX447" s="268"/>
      <c r="OQY447" s="268"/>
      <c r="OQZ447" s="268"/>
      <c r="ORA447" s="268"/>
      <c r="ORB447" s="268"/>
      <c r="ORC447" s="268"/>
      <c r="ORD447" s="268"/>
      <c r="ORE447" s="268"/>
      <c r="ORF447" s="268"/>
      <c r="ORG447" s="268"/>
      <c r="ORH447" s="268"/>
      <c r="ORI447" s="268"/>
      <c r="ORJ447" s="268"/>
      <c r="ORK447" s="268"/>
      <c r="ORL447" s="268"/>
      <c r="ORM447" s="268"/>
      <c r="ORN447" s="268"/>
      <c r="ORO447" s="268"/>
      <c r="ORP447" s="268"/>
      <c r="ORQ447" s="268"/>
      <c r="ORR447" s="268"/>
      <c r="ORS447" s="268"/>
      <c r="ORT447" s="268"/>
      <c r="ORU447" s="268"/>
      <c r="ORV447" s="268"/>
      <c r="ORW447" s="268"/>
      <c r="ORX447" s="268"/>
      <c r="ORY447" s="268"/>
      <c r="ORZ447" s="268"/>
      <c r="OSA447" s="268"/>
      <c r="OSB447" s="268"/>
      <c r="OSC447" s="268"/>
      <c r="OSD447" s="268"/>
      <c r="OSE447" s="268"/>
      <c r="OSF447" s="268"/>
      <c r="OSG447" s="268"/>
      <c r="OSH447" s="268"/>
      <c r="OSI447" s="268"/>
      <c r="OSJ447" s="268"/>
      <c r="OSK447" s="268"/>
      <c r="OSL447" s="268"/>
      <c r="OSM447" s="268"/>
      <c r="OSN447" s="268"/>
      <c r="OSO447" s="268"/>
      <c r="OSP447" s="268"/>
      <c r="OSQ447" s="268"/>
      <c r="OSR447" s="268"/>
      <c r="OSS447" s="268"/>
      <c r="OST447" s="268"/>
      <c r="OSU447" s="268"/>
      <c r="OSV447" s="268"/>
      <c r="OSW447" s="268"/>
      <c r="OSX447" s="268"/>
      <c r="OSY447" s="268"/>
      <c r="OSZ447" s="268"/>
      <c r="OTA447" s="268"/>
      <c r="OTB447" s="268"/>
      <c r="OTC447" s="268"/>
      <c r="OTD447" s="268"/>
      <c r="OTE447" s="268"/>
      <c r="OTF447" s="268"/>
      <c r="OTG447" s="268"/>
      <c r="OTH447" s="268"/>
      <c r="OTI447" s="268"/>
      <c r="OTJ447" s="268"/>
      <c r="OTK447" s="268"/>
      <c r="OTL447" s="268"/>
      <c r="OTM447" s="268"/>
      <c r="OTN447" s="268"/>
      <c r="OTO447" s="268"/>
      <c r="OTP447" s="268"/>
      <c r="OTQ447" s="268"/>
      <c r="OTR447" s="268"/>
      <c r="OTS447" s="268"/>
      <c r="OTT447" s="268"/>
      <c r="OTU447" s="268"/>
      <c r="OTV447" s="268"/>
      <c r="OTW447" s="268"/>
      <c r="OTX447" s="268"/>
      <c r="OTY447" s="268"/>
      <c r="OTZ447" s="268"/>
      <c r="OUA447" s="268"/>
      <c r="OUB447" s="268"/>
      <c r="OUC447" s="268"/>
      <c r="OUD447" s="268"/>
      <c r="OUE447" s="268"/>
      <c r="OUF447" s="268"/>
      <c r="OUG447" s="268"/>
      <c r="OUH447" s="268"/>
      <c r="OUI447" s="268"/>
      <c r="OUJ447" s="268"/>
      <c r="OUK447" s="268"/>
      <c r="OUL447" s="268"/>
      <c r="OUM447" s="268"/>
      <c r="OUN447" s="268"/>
      <c r="OUO447" s="268"/>
      <c r="OUP447" s="268"/>
      <c r="OUQ447" s="268"/>
      <c r="OUR447" s="268"/>
      <c r="OUS447" s="268"/>
      <c r="OUT447" s="268"/>
      <c r="OUU447" s="268"/>
      <c r="OUV447" s="268"/>
      <c r="OUW447" s="268"/>
      <c r="OUX447" s="268"/>
      <c r="OUY447" s="268"/>
      <c r="OUZ447" s="268"/>
      <c r="OVA447" s="268"/>
      <c r="OVB447" s="268"/>
      <c r="OVC447" s="268"/>
      <c r="OVD447" s="268"/>
      <c r="OVE447" s="268"/>
      <c r="OVF447" s="268"/>
      <c r="OVG447" s="268"/>
      <c r="OVH447" s="268"/>
      <c r="OVI447" s="268"/>
      <c r="OVJ447" s="268"/>
      <c r="OVK447" s="268"/>
      <c r="OVL447" s="268"/>
      <c r="OVM447" s="268"/>
      <c r="OVN447" s="268"/>
      <c r="OVO447" s="268"/>
      <c r="OVP447" s="268"/>
      <c r="OVQ447" s="268"/>
      <c r="OVR447" s="268"/>
      <c r="OVS447" s="268"/>
      <c r="OVT447" s="268"/>
      <c r="OVU447" s="268"/>
      <c r="OVV447" s="268"/>
      <c r="OVW447" s="268"/>
      <c r="OVX447" s="268"/>
      <c r="OVY447" s="268"/>
      <c r="OVZ447" s="268"/>
      <c r="OWA447" s="268"/>
      <c r="OWB447" s="268"/>
      <c r="OWC447" s="268"/>
      <c r="OWD447" s="268"/>
      <c r="OWE447" s="268"/>
      <c r="OWS447" s="268"/>
      <c r="OWT447" s="268"/>
      <c r="OWU447" s="268"/>
      <c r="OXI447" s="268"/>
      <c r="OXK447" s="268"/>
      <c r="OXL447" s="268"/>
      <c r="OXM447" s="268"/>
      <c r="OXN447" s="268"/>
      <c r="OXO447" s="268"/>
      <c r="OXP447" s="268"/>
      <c r="OXQ447" s="268"/>
      <c r="OXR447" s="268"/>
      <c r="OXS447" s="268"/>
      <c r="OXT447" s="268"/>
      <c r="OXU447" s="268"/>
      <c r="OXV447" s="268"/>
      <c r="OXW447" s="268"/>
      <c r="OXX447" s="268"/>
      <c r="OXY447" s="268"/>
      <c r="OXZ447" s="268"/>
      <c r="OYA447" s="268"/>
      <c r="OYB447" s="268"/>
      <c r="OYC447" s="268"/>
      <c r="OYD447" s="268"/>
      <c r="OYE447" s="268"/>
      <c r="OYF447" s="268"/>
      <c r="OYG447" s="268"/>
      <c r="OYH447" s="268"/>
      <c r="OYI447" s="268"/>
      <c r="OYJ447" s="268"/>
      <c r="OYK447" s="268"/>
      <c r="OYL447" s="268"/>
      <c r="OYM447" s="268"/>
      <c r="OYN447" s="268"/>
      <c r="OYO447" s="268"/>
      <c r="OYP447" s="268"/>
      <c r="OYQ447" s="268"/>
      <c r="OYR447" s="268"/>
      <c r="OYS447" s="268"/>
      <c r="OYT447" s="268"/>
      <c r="OYU447" s="268"/>
      <c r="OYV447" s="268"/>
      <c r="OYW447" s="268"/>
      <c r="OYX447" s="268"/>
      <c r="OYY447" s="268"/>
      <c r="OYZ447" s="268"/>
      <c r="OZA447" s="268"/>
      <c r="OZB447" s="268"/>
      <c r="OZC447" s="268"/>
      <c r="OZD447" s="268"/>
      <c r="OZE447" s="268"/>
      <c r="OZF447" s="268"/>
      <c r="OZG447" s="268"/>
      <c r="OZH447" s="268"/>
      <c r="OZI447" s="268"/>
      <c r="OZJ447" s="268"/>
      <c r="OZK447" s="268"/>
      <c r="OZL447" s="268"/>
      <c r="OZM447" s="268"/>
      <c r="OZN447" s="268"/>
      <c r="OZO447" s="268"/>
      <c r="OZP447" s="268"/>
      <c r="OZQ447" s="268"/>
      <c r="OZR447" s="268"/>
      <c r="OZS447" s="268"/>
      <c r="OZT447" s="268"/>
      <c r="OZU447" s="268"/>
      <c r="OZV447" s="268"/>
      <c r="OZW447" s="268"/>
      <c r="OZX447" s="268"/>
      <c r="OZY447" s="268"/>
      <c r="OZZ447" s="268"/>
      <c r="PAA447" s="268"/>
      <c r="PAB447" s="268"/>
      <c r="PAC447" s="268"/>
      <c r="PAD447" s="268"/>
      <c r="PAE447" s="268"/>
      <c r="PAF447" s="268"/>
      <c r="PAG447" s="268"/>
      <c r="PAH447" s="268"/>
      <c r="PAI447" s="268"/>
      <c r="PAJ447" s="268"/>
      <c r="PAK447" s="268"/>
      <c r="PAL447" s="268"/>
      <c r="PAM447" s="268"/>
      <c r="PAN447" s="268"/>
      <c r="PAO447" s="268"/>
      <c r="PAP447" s="268"/>
      <c r="PAQ447" s="268"/>
      <c r="PAR447" s="268"/>
      <c r="PAS447" s="268"/>
      <c r="PAT447" s="268"/>
      <c r="PAU447" s="268"/>
      <c r="PAV447" s="268"/>
      <c r="PAW447" s="268"/>
      <c r="PAX447" s="268"/>
      <c r="PAY447" s="268"/>
      <c r="PAZ447" s="268"/>
      <c r="PBA447" s="268"/>
      <c r="PBB447" s="268"/>
      <c r="PBC447" s="268"/>
      <c r="PBD447" s="268"/>
      <c r="PBE447" s="268"/>
      <c r="PBF447" s="268"/>
      <c r="PBG447" s="268"/>
      <c r="PBH447" s="268"/>
      <c r="PBI447" s="268"/>
      <c r="PBJ447" s="268"/>
      <c r="PBK447" s="268"/>
      <c r="PBL447" s="268"/>
      <c r="PBM447" s="268"/>
      <c r="PBN447" s="268"/>
      <c r="PBO447" s="268"/>
      <c r="PBP447" s="268"/>
      <c r="PBQ447" s="268"/>
      <c r="PBR447" s="268"/>
      <c r="PBS447" s="268"/>
      <c r="PBT447" s="268"/>
      <c r="PBU447" s="268"/>
      <c r="PBV447" s="268"/>
      <c r="PBW447" s="268"/>
      <c r="PBX447" s="268"/>
      <c r="PBY447" s="268"/>
      <c r="PBZ447" s="268"/>
      <c r="PCA447" s="268"/>
      <c r="PCB447" s="268"/>
      <c r="PCC447" s="268"/>
      <c r="PCD447" s="268"/>
      <c r="PCE447" s="268"/>
      <c r="PCF447" s="268"/>
      <c r="PCG447" s="268"/>
      <c r="PCH447" s="268"/>
      <c r="PCI447" s="268"/>
      <c r="PCJ447" s="268"/>
      <c r="PCK447" s="268"/>
      <c r="PCL447" s="268"/>
      <c r="PCM447" s="268"/>
      <c r="PCN447" s="268"/>
      <c r="PCO447" s="268"/>
      <c r="PCP447" s="268"/>
      <c r="PCQ447" s="268"/>
      <c r="PCR447" s="268"/>
      <c r="PCS447" s="268"/>
      <c r="PCT447" s="268"/>
      <c r="PCU447" s="268"/>
      <c r="PCV447" s="268"/>
      <c r="PCW447" s="268"/>
      <c r="PCX447" s="268"/>
      <c r="PCY447" s="268"/>
      <c r="PCZ447" s="268"/>
      <c r="PDA447" s="268"/>
      <c r="PDB447" s="268"/>
      <c r="PDC447" s="268"/>
      <c r="PDD447" s="268"/>
      <c r="PDE447" s="268"/>
      <c r="PDF447" s="268"/>
      <c r="PDG447" s="268"/>
      <c r="PDH447" s="268"/>
      <c r="PDI447" s="268"/>
      <c r="PDJ447" s="268"/>
      <c r="PDK447" s="268"/>
      <c r="PDL447" s="268"/>
      <c r="PDM447" s="268"/>
      <c r="PDN447" s="268"/>
      <c r="PDO447" s="268"/>
      <c r="PDP447" s="268"/>
      <c r="PDQ447" s="268"/>
      <c r="PDR447" s="268"/>
      <c r="PDS447" s="268"/>
      <c r="PDT447" s="268"/>
      <c r="PDU447" s="268"/>
      <c r="PDV447" s="268"/>
      <c r="PDW447" s="268"/>
      <c r="PDX447" s="268"/>
      <c r="PDY447" s="268"/>
      <c r="PDZ447" s="268"/>
      <c r="PEA447" s="268"/>
      <c r="PEB447" s="268"/>
      <c r="PEC447" s="268"/>
      <c r="PED447" s="268"/>
      <c r="PEE447" s="268"/>
      <c r="PEF447" s="268"/>
      <c r="PEG447" s="268"/>
      <c r="PEH447" s="268"/>
      <c r="PEI447" s="268"/>
      <c r="PEJ447" s="268"/>
      <c r="PEK447" s="268"/>
      <c r="PEL447" s="268"/>
      <c r="PEM447" s="268"/>
      <c r="PEN447" s="268"/>
      <c r="PEO447" s="268"/>
      <c r="PEP447" s="268"/>
      <c r="PEQ447" s="268"/>
      <c r="PER447" s="268"/>
      <c r="PES447" s="268"/>
      <c r="PET447" s="268"/>
      <c r="PEU447" s="268"/>
      <c r="PEV447" s="268"/>
      <c r="PEW447" s="268"/>
      <c r="PEX447" s="268"/>
      <c r="PEY447" s="268"/>
      <c r="PEZ447" s="268"/>
      <c r="PFA447" s="268"/>
      <c r="PFB447" s="268"/>
      <c r="PFC447" s="268"/>
      <c r="PFD447" s="268"/>
      <c r="PFE447" s="268"/>
      <c r="PFF447" s="268"/>
      <c r="PFG447" s="268"/>
      <c r="PFH447" s="268"/>
      <c r="PFI447" s="268"/>
      <c r="PFJ447" s="268"/>
      <c r="PFK447" s="268"/>
      <c r="PFL447" s="268"/>
      <c r="PFM447" s="268"/>
      <c r="PFN447" s="268"/>
      <c r="PFO447" s="268"/>
      <c r="PFP447" s="268"/>
      <c r="PFQ447" s="268"/>
      <c r="PFR447" s="268"/>
      <c r="PFS447" s="268"/>
      <c r="PFT447" s="268"/>
      <c r="PFU447" s="268"/>
      <c r="PFV447" s="268"/>
      <c r="PFW447" s="268"/>
      <c r="PFX447" s="268"/>
      <c r="PFY447" s="268"/>
      <c r="PFZ447" s="268"/>
      <c r="PGA447" s="268"/>
      <c r="PGO447" s="268"/>
      <c r="PGP447" s="268"/>
      <c r="PGQ447" s="268"/>
      <c r="PHE447" s="268"/>
      <c r="PHG447" s="268"/>
      <c r="PHH447" s="268"/>
      <c r="PHI447" s="268"/>
      <c r="PHJ447" s="268"/>
      <c r="PHK447" s="268"/>
      <c r="PHL447" s="268"/>
      <c r="PHM447" s="268"/>
      <c r="PHN447" s="268"/>
      <c r="PHO447" s="268"/>
      <c r="PHP447" s="268"/>
      <c r="PHQ447" s="268"/>
      <c r="PHR447" s="268"/>
      <c r="PHS447" s="268"/>
      <c r="PHT447" s="268"/>
      <c r="PHU447" s="268"/>
      <c r="PHV447" s="268"/>
      <c r="PHW447" s="268"/>
      <c r="PHX447" s="268"/>
      <c r="PHY447" s="268"/>
      <c r="PHZ447" s="268"/>
      <c r="PIA447" s="268"/>
      <c r="PIB447" s="268"/>
      <c r="PIC447" s="268"/>
      <c r="PID447" s="268"/>
      <c r="PIE447" s="268"/>
      <c r="PIF447" s="268"/>
      <c r="PIG447" s="268"/>
      <c r="PIH447" s="268"/>
      <c r="PII447" s="268"/>
      <c r="PIJ447" s="268"/>
      <c r="PIK447" s="268"/>
      <c r="PIL447" s="268"/>
      <c r="PIM447" s="268"/>
      <c r="PIN447" s="268"/>
      <c r="PIO447" s="268"/>
      <c r="PIP447" s="268"/>
      <c r="PIQ447" s="268"/>
      <c r="PIR447" s="268"/>
      <c r="PIS447" s="268"/>
      <c r="PIT447" s="268"/>
      <c r="PIU447" s="268"/>
      <c r="PIV447" s="268"/>
      <c r="PIW447" s="268"/>
      <c r="PIX447" s="268"/>
      <c r="PIY447" s="268"/>
      <c r="PIZ447" s="268"/>
      <c r="PJA447" s="268"/>
      <c r="PJB447" s="268"/>
      <c r="PJC447" s="268"/>
      <c r="PJD447" s="268"/>
      <c r="PJE447" s="268"/>
      <c r="PJF447" s="268"/>
      <c r="PJG447" s="268"/>
      <c r="PJH447" s="268"/>
      <c r="PJI447" s="268"/>
      <c r="PJJ447" s="268"/>
      <c r="PJK447" s="268"/>
      <c r="PJL447" s="268"/>
      <c r="PJM447" s="268"/>
      <c r="PJN447" s="268"/>
      <c r="PJO447" s="268"/>
      <c r="PJP447" s="268"/>
      <c r="PJQ447" s="268"/>
      <c r="PJR447" s="268"/>
      <c r="PJS447" s="268"/>
      <c r="PJT447" s="268"/>
      <c r="PJU447" s="268"/>
      <c r="PJV447" s="268"/>
      <c r="PJW447" s="268"/>
      <c r="PJX447" s="268"/>
      <c r="PJY447" s="268"/>
      <c r="PJZ447" s="268"/>
      <c r="PKA447" s="268"/>
      <c r="PKB447" s="268"/>
      <c r="PKC447" s="268"/>
      <c r="PKD447" s="268"/>
      <c r="PKE447" s="268"/>
      <c r="PKF447" s="268"/>
      <c r="PKG447" s="268"/>
      <c r="PKH447" s="268"/>
      <c r="PKI447" s="268"/>
      <c r="PKJ447" s="268"/>
      <c r="PKK447" s="268"/>
      <c r="PKL447" s="268"/>
      <c r="PKM447" s="268"/>
      <c r="PKN447" s="268"/>
      <c r="PKO447" s="268"/>
      <c r="PKP447" s="268"/>
      <c r="PKQ447" s="268"/>
      <c r="PKR447" s="268"/>
      <c r="PKS447" s="268"/>
      <c r="PKT447" s="268"/>
      <c r="PKU447" s="268"/>
      <c r="PKV447" s="268"/>
      <c r="PKW447" s="268"/>
      <c r="PKX447" s="268"/>
      <c r="PKY447" s="268"/>
      <c r="PKZ447" s="268"/>
      <c r="PLA447" s="268"/>
      <c r="PLB447" s="268"/>
      <c r="PLC447" s="268"/>
      <c r="PLD447" s="268"/>
      <c r="PLE447" s="268"/>
      <c r="PLF447" s="268"/>
      <c r="PLG447" s="268"/>
      <c r="PLH447" s="268"/>
      <c r="PLI447" s="268"/>
      <c r="PLJ447" s="268"/>
      <c r="PLK447" s="268"/>
      <c r="PLL447" s="268"/>
      <c r="PLM447" s="268"/>
      <c r="PLN447" s="268"/>
      <c r="PLO447" s="268"/>
      <c r="PLP447" s="268"/>
      <c r="PLQ447" s="268"/>
      <c r="PLR447" s="268"/>
      <c r="PLS447" s="268"/>
      <c r="PLT447" s="268"/>
      <c r="PLU447" s="268"/>
      <c r="PLV447" s="268"/>
      <c r="PLW447" s="268"/>
      <c r="PLX447" s="268"/>
      <c r="PLY447" s="268"/>
      <c r="PLZ447" s="268"/>
      <c r="PMA447" s="268"/>
      <c r="PMB447" s="268"/>
      <c r="PMC447" s="268"/>
      <c r="PMD447" s="268"/>
      <c r="PME447" s="268"/>
      <c r="PMF447" s="268"/>
      <c r="PMG447" s="268"/>
      <c r="PMH447" s="268"/>
      <c r="PMI447" s="268"/>
      <c r="PMJ447" s="268"/>
      <c r="PMK447" s="268"/>
      <c r="PML447" s="268"/>
      <c r="PMM447" s="268"/>
      <c r="PMN447" s="268"/>
      <c r="PMO447" s="268"/>
      <c r="PMP447" s="268"/>
      <c r="PMQ447" s="268"/>
      <c r="PMR447" s="268"/>
      <c r="PMS447" s="268"/>
      <c r="PMT447" s="268"/>
      <c r="PMU447" s="268"/>
      <c r="PMV447" s="268"/>
      <c r="PMW447" s="268"/>
      <c r="PMX447" s="268"/>
      <c r="PMY447" s="268"/>
      <c r="PMZ447" s="268"/>
      <c r="PNA447" s="268"/>
      <c r="PNB447" s="268"/>
      <c r="PNC447" s="268"/>
      <c r="PND447" s="268"/>
      <c r="PNE447" s="268"/>
      <c r="PNF447" s="268"/>
      <c r="PNG447" s="268"/>
      <c r="PNH447" s="268"/>
      <c r="PNI447" s="268"/>
      <c r="PNJ447" s="268"/>
      <c r="PNK447" s="268"/>
      <c r="PNL447" s="268"/>
      <c r="PNM447" s="268"/>
      <c r="PNN447" s="268"/>
      <c r="PNO447" s="268"/>
      <c r="PNP447" s="268"/>
      <c r="PNQ447" s="268"/>
      <c r="PNR447" s="268"/>
      <c r="PNS447" s="268"/>
      <c r="PNT447" s="268"/>
      <c r="PNU447" s="268"/>
      <c r="PNV447" s="268"/>
      <c r="PNW447" s="268"/>
      <c r="PNX447" s="268"/>
      <c r="PNY447" s="268"/>
      <c r="PNZ447" s="268"/>
      <c r="POA447" s="268"/>
      <c r="POB447" s="268"/>
      <c r="POC447" s="268"/>
      <c r="POD447" s="268"/>
      <c r="POE447" s="268"/>
      <c r="POF447" s="268"/>
      <c r="POG447" s="268"/>
      <c r="POH447" s="268"/>
      <c r="POI447" s="268"/>
      <c r="POJ447" s="268"/>
      <c r="POK447" s="268"/>
      <c r="POL447" s="268"/>
      <c r="POM447" s="268"/>
      <c r="PON447" s="268"/>
      <c r="POO447" s="268"/>
      <c r="POP447" s="268"/>
      <c r="POQ447" s="268"/>
      <c r="POR447" s="268"/>
      <c r="POS447" s="268"/>
      <c r="POT447" s="268"/>
      <c r="POU447" s="268"/>
      <c r="POV447" s="268"/>
      <c r="POW447" s="268"/>
      <c r="POX447" s="268"/>
      <c r="POY447" s="268"/>
      <c r="POZ447" s="268"/>
      <c r="PPA447" s="268"/>
      <c r="PPB447" s="268"/>
      <c r="PPC447" s="268"/>
      <c r="PPD447" s="268"/>
      <c r="PPE447" s="268"/>
      <c r="PPF447" s="268"/>
      <c r="PPG447" s="268"/>
      <c r="PPH447" s="268"/>
      <c r="PPI447" s="268"/>
      <c r="PPJ447" s="268"/>
      <c r="PPK447" s="268"/>
      <c r="PPL447" s="268"/>
      <c r="PPM447" s="268"/>
      <c r="PPN447" s="268"/>
      <c r="PPO447" s="268"/>
      <c r="PPP447" s="268"/>
      <c r="PPQ447" s="268"/>
      <c r="PPR447" s="268"/>
      <c r="PPS447" s="268"/>
      <c r="PPT447" s="268"/>
      <c r="PPU447" s="268"/>
      <c r="PPV447" s="268"/>
      <c r="PPW447" s="268"/>
      <c r="PQK447" s="268"/>
      <c r="PQL447" s="268"/>
      <c r="PQM447" s="268"/>
      <c r="PRA447" s="268"/>
      <c r="PRC447" s="268"/>
      <c r="PRD447" s="268"/>
      <c r="PRE447" s="268"/>
      <c r="PRF447" s="268"/>
      <c r="PRG447" s="268"/>
      <c r="PRH447" s="268"/>
      <c r="PRI447" s="268"/>
      <c r="PRJ447" s="268"/>
      <c r="PRK447" s="268"/>
      <c r="PRL447" s="268"/>
      <c r="PRM447" s="268"/>
      <c r="PRN447" s="268"/>
      <c r="PRO447" s="268"/>
      <c r="PRP447" s="268"/>
      <c r="PRQ447" s="268"/>
      <c r="PRR447" s="268"/>
      <c r="PRS447" s="268"/>
      <c r="PRT447" s="268"/>
      <c r="PRU447" s="268"/>
      <c r="PRV447" s="268"/>
      <c r="PRW447" s="268"/>
      <c r="PRX447" s="268"/>
      <c r="PRY447" s="268"/>
      <c r="PRZ447" s="268"/>
      <c r="PSA447" s="268"/>
      <c r="PSB447" s="268"/>
      <c r="PSC447" s="268"/>
      <c r="PSD447" s="268"/>
      <c r="PSE447" s="268"/>
      <c r="PSF447" s="268"/>
      <c r="PSG447" s="268"/>
      <c r="PSH447" s="268"/>
      <c r="PSI447" s="268"/>
      <c r="PSJ447" s="268"/>
      <c r="PSK447" s="268"/>
      <c r="PSL447" s="268"/>
      <c r="PSM447" s="268"/>
      <c r="PSN447" s="268"/>
      <c r="PSO447" s="268"/>
      <c r="PSP447" s="268"/>
      <c r="PSQ447" s="268"/>
      <c r="PSR447" s="268"/>
      <c r="PSS447" s="268"/>
      <c r="PST447" s="268"/>
      <c r="PSU447" s="268"/>
      <c r="PSV447" s="268"/>
      <c r="PSW447" s="268"/>
      <c r="PSX447" s="268"/>
      <c r="PSY447" s="268"/>
      <c r="PSZ447" s="268"/>
      <c r="PTA447" s="268"/>
      <c r="PTB447" s="268"/>
      <c r="PTC447" s="268"/>
      <c r="PTD447" s="268"/>
      <c r="PTE447" s="268"/>
      <c r="PTF447" s="268"/>
      <c r="PTG447" s="268"/>
      <c r="PTH447" s="268"/>
      <c r="PTI447" s="268"/>
      <c r="PTJ447" s="268"/>
      <c r="PTK447" s="268"/>
      <c r="PTL447" s="268"/>
      <c r="PTM447" s="268"/>
      <c r="PTN447" s="268"/>
      <c r="PTO447" s="268"/>
      <c r="PTP447" s="268"/>
      <c r="PTQ447" s="268"/>
      <c r="PTR447" s="268"/>
      <c r="PTS447" s="268"/>
      <c r="PTT447" s="268"/>
      <c r="PTU447" s="268"/>
      <c r="PTV447" s="268"/>
      <c r="PTW447" s="268"/>
      <c r="PTX447" s="268"/>
      <c r="PTY447" s="268"/>
      <c r="PTZ447" s="268"/>
      <c r="PUA447" s="268"/>
      <c r="PUB447" s="268"/>
      <c r="PUC447" s="268"/>
      <c r="PUD447" s="268"/>
      <c r="PUE447" s="268"/>
      <c r="PUF447" s="268"/>
      <c r="PUG447" s="268"/>
      <c r="PUH447" s="268"/>
      <c r="PUI447" s="268"/>
      <c r="PUJ447" s="268"/>
      <c r="PUK447" s="268"/>
      <c r="PUL447" s="268"/>
      <c r="PUM447" s="268"/>
      <c r="PUN447" s="268"/>
      <c r="PUO447" s="268"/>
      <c r="PUP447" s="268"/>
      <c r="PUQ447" s="268"/>
      <c r="PUR447" s="268"/>
      <c r="PUS447" s="268"/>
      <c r="PUT447" s="268"/>
      <c r="PUU447" s="268"/>
      <c r="PUV447" s="268"/>
      <c r="PUW447" s="268"/>
      <c r="PUX447" s="268"/>
      <c r="PUY447" s="268"/>
      <c r="PUZ447" s="268"/>
      <c r="PVA447" s="268"/>
      <c r="PVB447" s="268"/>
      <c r="PVC447" s="268"/>
      <c r="PVD447" s="268"/>
      <c r="PVE447" s="268"/>
      <c r="PVF447" s="268"/>
      <c r="PVG447" s="268"/>
      <c r="PVH447" s="268"/>
      <c r="PVI447" s="268"/>
      <c r="PVJ447" s="268"/>
      <c r="PVK447" s="268"/>
      <c r="PVL447" s="268"/>
      <c r="PVM447" s="268"/>
      <c r="PVN447" s="268"/>
      <c r="PVO447" s="268"/>
      <c r="PVP447" s="268"/>
      <c r="PVQ447" s="268"/>
      <c r="PVR447" s="268"/>
      <c r="PVS447" s="268"/>
      <c r="PVT447" s="268"/>
      <c r="PVU447" s="268"/>
      <c r="PVV447" s="268"/>
      <c r="PVW447" s="268"/>
      <c r="PVX447" s="268"/>
      <c r="PVY447" s="268"/>
      <c r="PVZ447" s="268"/>
      <c r="PWA447" s="268"/>
      <c r="PWB447" s="268"/>
      <c r="PWC447" s="268"/>
      <c r="PWD447" s="268"/>
      <c r="PWE447" s="268"/>
      <c r="PWF447" s="268"/>
      <c r="PWG447" s="268"/>
      <c r="PWH447" s="268"/>
      <c r="PWI447" s="268"/>
      <c r="PWJ447" s="268"/>
      <c r="PWK447" s="268"/>
      <c r="PWL447" s="268"/>
      <c r="PWM447" s="268"/>
      <c r="PWN447" s="268"/>
      <c r="PWO447" s="268"/>
      <c r="PWP447" s="268"/>
      <c r="PWQ447" s="268"/>
      <c r="PWR447" s="268"/>
      <c r="PWS447" s="268"/>
      <c r="PWT447" s="268"/>
      <c r="PWU447" s="268"/>
      <c r="PWV447" s="268"/>
      <c r="PWW447" s="268"/>
      <c r="PWX447" s="268"/>
      <c r="PWY447" s="268"/>
      <c r="PWZ447" s="268"/>
      <c r="PXA447" s="268"/>
      <c r="PXB447" s="268"/>
      <c r="PXC447" s="268"/>
      <c r="PXD447" s="268"/>
      <c r="PXE447" s="268"/>
      <c r="PXF447" s="268"/>
      <c r="PXG447" s="268"/>
      <c r="PXH447" s="268"/>
      <c r="PXI447" s="268"/>
      <c r="PXJ447" s="268"/>
      <c r="PXK447" s="268"/>
      <c r="PXL447" s="268"/>
      <c r="PXM447" s="268"/>
      <c r="PXN447" s="268"/>
      <c r="PXO447" s="268"/>
      <c r="PXP447" s="268"/>
      <c r="PXQ447" s="268"/>
      <c r="PXR447" s="268"/>
      <c r="PXS447" s="268"/>
      <c r="PXT447" s="268"/>
      <c r="PXU447" s="268"/>
      <c r="PXV447" s="268"/>
      <c r="PXW447" s="268"/>
      <c r="PXX447" s="268"/>
      <c r="PXY447" s="268"/>
      <c r="PXZ447" s="268"/>
      <c r="PYA447" s="268"/>
      <c r="PYB447" s="268"/>
      <c r="PYC447" s="268"/>
      <c r="PYD447" s="268"/>
      <c r="PYE447" s="268"/>
      <c r="PYF447" s="268"/>
      <c r="PYG447" s="268"/>
      <c r="PYH447" s="268"/>
      <c r="PYI447" s="268"/>
      <c r="PYJ447" s="268"/>
      <c r="PYK447" s="268"/>
      <c r="PYL447" s="268"/>
      <c r="PYM447" s="268"/>
      <c r="PYN447" s="268"/>
      <c r="PYO447" s="268"/>
      <c r="PYP447" s="268"/>
      <c r="PYQ447" s="268"/>
      <c r="PYR447" s="268"/>
      <c r="PYS447" s="268"/>
      <c r="PYT447" s="268"/>
      <c r="PYU447" s="268"/>
      <c r="PYV447" s="268"/>
      <c r="PYW447" s="268"/>
      <c r="PYX447" s="268"/>
      <c r="PYY447" s="268"/>
      <c r="PYZ447" s="268"/>
      <c r="PZA447" s="268"/>
      <c r="PZB447" s="268"/>
      <c r="PZC447" s="268"/>
      <c r="PZD447" s="268"/>
      <c r="PZE447" s="268"/>
      <c r="PZF447" s="268"/>
      <c r="PZG447" s="268"/>
      <c r="PZH447" s="268"/>
      <c r="PZI447" s="268"/>
      <c r="PZJ447" s="268"/>
      <c r="PZK447" s="268"/>
      <c r="PZL447" s="268"/>
      <c r="PZM447" s="268"/>
      <c r="PZN447" s="268"/>
      <c r="PZO447" s="268"/>
      <c r="PZP447" s="268"/>
      <c r="PZQ447" s="268"/>
      <c r="PZR447" s="268"/>
      <c r="PZS447" s="268"/>
      <c r="QAG447" s="268"/>
      <c r="QAH447" s="268"/>
      <c r="QAI447" s="268"/>
      <c r="QAW447" s="268"/>
      <c r="QAY447" s="268"/>
      <c r="QAZ447" s="268"/>
      <c r="QBA447" s="268"/>
      <c r="QBB447" s="268"/>
      <c r="QBC447" s="268"/>
      <c r="QBD447" s="268"/>
      <c r="QBE447" s="268"/>
      <c r="QBF447" s="268"/>
      <c r="QBG447" s="268"/>
      <c r="QBH447" s="268"/>
      <c r="QBI447" s="268"/>
      <c r="QBJ447" s="268"/>
      <c r="QBK447" s="268"/>
      <c r="QBL447" s="268"/>
      <c r="QBM447" s="268"/>
      <c r="QBN447" s="268"/>
      <c r="QBO447" s="268"/>
      <c r="QBP447" s="268"/>
      <c r="QBQ447" s="268"/>
      <c r="QBR447" s="268"/>
      <c r="QBS447" s="268"/>
      <c r="QBT447" s="268"/>
      <c r="QBU447" s="268"/>
      <c r="QBV447" s="268"/>
      <c r="QBW447" s="268"/>
      <c r="QBX447" s="268"/>
      <c r="QBY447" s="268"/>
      <c r="QBZ447" s="268"/>
      <c r="QCA447" s="268"/>
      <c r="QCB447" s="268"/>
      <c r="QCC447" s="268"/>
      <c r="QCD447" s="268"/>
      <c r="QCE447" s="268"/>
      <c r="QCF447" s="268"/>
      <c r="QCG447" s="268"/>
      <c r="QCH447" s="268"/>
      <c r="QCI447" s="268"/>
      <c r="QCJ447" s="268"/>
      <c r="QCK447" s="268"/>
      <c r="QCL447" s="268"/>
      <c r="QCM447" s="268"/>
      <c r="QCN447" s="268"/>
      <c r="QCO447" s="268"/>
      <c r="QCP447" s="268"/>
      <c r="QCQ447" s="268"/>
      <c r="QCR447" s="268"/>
      <c r="QCS447" s="268"/>
      <c r="QCT447" s="268"/>
      <c r="QCU447" s="268"/>
      <c r="QCV447" s="268"/>
      <c r="QCW447" s="268"/>
      <c r="QCX447" s="268"/>
      <c r="QCY447" s="268"/>
      <c r="QCZ447" s="268"/>
      <c r="QDA447" s="268"/>
      <c r="QDB447" s="268"/>
      <c r="QDC447" s="268"/>
      <c r="QDD447" s="268"/>
      <c r="QDE447" s="268"/>
      <c r="QDF447" s="268"/>
      <c r="QDG447" s="268"/>
      <c r="QDH447" s="268"/>
      <c r="QDI447" s="268"/>
      <c r="QDJ447" s="268"/>
      <c r="QDK447" s="268"/>
      <c r="QDL447" s="268"/>
      <c r="QDM447" s="268"/>
      <c r="QDN447" s="268"/>
      <c r="QDO447" s="268"/>
      <c r="QDP447" s="268"/>
      <c r="QDQ447" s="268"/>
      <c r="QDR447" s="268"/>
      <c r="QDS447" s="268"/>
      <c r="QDT447" s="268"/>
      <c r="QDU447" s="268"/>
      <c r="QDV447" s="268"/>
      <c r="QDW447" s="268"/>
      <c r="QDX447" s="268"/>
      <c r="QDY447" s="268"/>
      <c r="QDZ447" s="268"/>
      <c r="QEA447" s="268"/>
      <c r="QEB447" s="268"/>
      <c r="QEC447" s="268"/>
      <c r="QED447" s="268"/>
      <c r="QEE447" s="268"/>
      <c r="QEF447" s="268"/>
      <c r="QEG447" s="268"/>
      <c r="QEH447" s="268"/>
      <c r="QEI447" s="268"/>
      <c r="QEJ447" s="268"/>
      <c r="QEK447" s="268"/>
      <c r="QEL447" s="268"/>
      <c r="QEM447" s="268"/>
      <c r="QEN447" s="268"/>
      <c r="QEO447" s="268"/>
      <c r="QEP447" s="268"/>
      <c r="QEQ447" s="268"/>
      <c r="QER447" s="268"/>
      <c r="QES447" s="268"/>
      <c r="QET447" s="268"/>
      <c r="QEU447" s="268"/>
      <c r="QEV447" s="268"/>
      <c r="QEW447" s="268"/>
      <c r="QEX447" s="268"/>
      <c r="QEY447" s="268"/>
      <c r="QEZ447" s="268"/>
      <c r="QFA447" s="268"/>
      <c r="QFB447" s="268"/>
      <c r="QFC447" s="268"/>
      <c r="QFD447" s="268"/>
      <c r="QFE447" s="268"/>
      <c r="QFF447" s="268"/>
      <c r="QFG447" s="268"/>
      <c r="QFH447" s="268"/>
      <c r="QFI447" s="268"/>
      <c r="QFJ447" s="268"/>
      <c r="QFK447" s="268"/>
      <c r="QFL447" s="268"/>
      <c r="QFM447" s="268"/>
      <c r="QFN447" s="268"/>
      <c r="QFO447" s="268"/>
      <c r="QFP447" s="268"/>
      <c r="QFQ447" s="268"/>
      <c r="QFR447" s="268"/>
      <c r="QFS447" s="268"/>
      <c r="QFT447" s="268"/>
      <c r="QFU447" s="268"/>
      <c r="QFV447" s="268"/>
      <c r="QFW447" s="268"/>
      <c r="QFX447" s="268"/>
      <c r="QFY447" s="268"/>
      <c r="QFZ447" s="268"/>
      <c r="QGA447" s="268"/>
      <c r="QGB447" s="268"/>
      <c r="QGC447" s="268"/>
      <c r="QGD447" s="268"/>
      <c r="QGE447" s="268"/>
      <c r="QGF447" s="268"/>
      <c r="QGG447" s="268"/>
      <c r="QGH447" s="268"/>
      <c r="QGI447" s="268"/>
      <c r="QGJ447" s="268"/>
      <c r="QGK447" s="268"/>
      <c r="QGL447" s="268"/>
      <c r="QGM447" s="268"/>
      <c r="QGN447" s="268"/>
      <c r="QGO447" s="268"/>
      <c r="QGP447" s="268"/>
      <c r="QGQ447" s="268"/>
      <c r="QGR447" s="268"/>
      <c r="QGS447" s="268"/>
      <c r="QGT447" s="268"/>
      <c r="QGU447" s="268"/>
      <c r="QGV447" s="268"/>
      <c r="QGW447" s="268"/>
      <c r="QGX447" s="268"/>
      <c r="QGY447" s="268"/>
      <c r="QGZ447" s="268"/>
      <c r="QHA447" s="268"/>
      <c r="QHB447" s="268"/>
      <c r="QHC447" s="268"/>
      <c r="QHD447" s="268"/>
      <c r="QHE447" s="268"/>
      <c r="QHF447" s="268"/>
      <c r="QHG447" s="268"/>
      <c r="QHH447" s="268"/>
      <c r="QHI447" s="268"/>
      <c r="QHJ447" s="268"/>
      <c r="QHK447" s="268"/>
      <c r="QHL447" s="268"/>
      <c r="QHM447" s="268"/>
      <c r="QHN447" s="268"/>
      <c r="QHO447" s="268"/>
      <c r="QHP447" s="268"/>
      <c r="QHQ447" s="268"/>
      <c r="QHR447" s="268"/>
      <c r="QHS447" s="268"/>
      <c r="QHT447" s="268"/>
      <c r="QHU447" s="268"/>
      <c r="QHV447" s="268"/>
      <c r="QHW447" s="268"/>
      <c r="QHX447" s="268"/>
      <c r="QHY447" s="268"/>
      <c r="QHZ447" s="268"/>
      <c r="QIA447" s="268"/>
      <c r="QIB447" s="268"/>
      <c r="QIC447" s="268"/>
      <c r="QID447" s="268"/>
      <c r="QIE447" s="268"/>
      <c r="QIF447" s="268"/>
      <c r="QIG447" s="268"/>
      <c r="QIH447" s="268"/>
      <c r="QII447" s="268"/>
      <c r="QIJ447" s="268"/>
      <c r="QIK447" s="268"/>
      <c r="QIL447" s="268"/>
      <c r="QIM447" s="268"/>
      <c r="QIN447" s="268"/>
      <c r="QIO447" s="268"/>
      <c r="QIP447" s="268"/>
      <c r="QIQ447" s="268"/>
      <c r="QIR447" s="268"/>
      <c r="QIS447" s="268"/>
      <c r="QIT447" s="268"/>
      <c r="QIU447" s="268"/>
      <c r="QIV447" s="268"/>
      <c r="QIW447" s="268"/>
      <c r="QIX447" s="268"/>
      <c r="QIY447" s="268"/>
      <c r="QIZ447" s="268"/>
      <c r="QJA447" s="268"/>
      <c r="QJB447" s="268"/>
      <c r="QJC447" s="268"/>
      <c r="QJD447" s="268"/>
      <c r="QJE447" s="268"/>
      <c r="QJF447" s="268"/>
      <c r="QJG447" s="268"/>
      <c r="QJH447" s="268"/>
      <c r="QJI447" s="268"/>
      <c r="QJJ447" s="268"/>
      <c r="QJK447" s="268"/>
      <c r="QJL447" s="268"/>
      <c r="QJM447" s="268"/>
      <c r="QJN447" s="268"/>
      <c r="QJO447" s="268"/>
      <c r="QKC447" s="268"/>
      <c r="QKD447" s="268"/>
      <c r="QKE447" s="268"/>
      <c r="QKS447" s="268"/>
      <c r="QKU447" s="268"/>
      <c r="QKV447" s="268"/>
      <c r="QKW447" s="268"/>
      <c r="QKX447" s="268"/>
      <c r="QKY447" s="268"/>
      <c r="QKZ447" s="268"/>
      <c r="QLA447" s="268"/>
      <c r="QLB447" s="268"/>
      <c r="QLC447" s="268"/>
      <c r="QLD447" s="268"/>
      <c r="QLE447" s="268"/>
      <c r="QLF447" s="268"/>
      <c r="QLG447" s="268"/>
      <c r="QLH447" s="268"/>
      <c r="QLI447" s="268"/>
      <c r="QLJ447" s="268"/>
      <c r="QLK447" s="268"/>
      <c r="QLL447" s="268"/>
      <c r="QLM447" s="268"/>
      <c r="QLN447" s="268"/>
      <c r="QLO447" s="268"/>
      <c r="QLP447" s="268"/>
      <c r="QLQ447" s="268"/>
      <c r="QLR447" s="268"/>
      <c r="QLS447" s="268"/>
      <c r="QLT447" s="268"/>
      <c r="QLU447" s="268"/>
      <c r="QLV447" s="268"/>
      <c r="QLW447" s="268"/>
      <c r="QLX447" s="268"/>
      <c r="QLY447" s="268"/>
      <c r="QLZ447" s="268"/>
      <c r="QMA447" s="268"/>
      <c r="QMB447" s="268"/>
      <c r="QMC447" s="268"/>
      <c r="QMD447" s="268"/>
      <c r="QME447" s="268"/>
      <c r="QMF447" s="268"/>
      <c r="QMG447" s="268"/>
      <c r="QMH447" s="268"/>
      <c r="QMI447" s="268"/>
      <c r="QMJ447" s="268"/>
      <c r="QMK447" s="268"/>
      <c r="QML447" s="268"/>
      <c r="QMM447" s="268"/>
      <c r="QMN447" s="268"/>
      <c r="QMO447" s="268"/>
      <c r="QMP447" s="268"/>
      <c r="QMQ447" s="268"/>
      <c r="QMR447" s="268"/>
      <c r="QMS447" s="268"/>
      <c r="QMT447" s="268"/>
      <c r="QMU447" s="268"/>
      <c r="QMV447" s="268"/>
      <c r="QMW447" s="268"/>
      <c r="QMX447" s="268"/>
      <c r="QMY447" s="268"/>
      <c r="QMZ447" s="268"/>
      <c r="QNA447" s="268"/>
      <c r="QNB447" s="268"/>
      <c r="QNC447" s="268"/>
      <c r="QND447" s="268"/>
      <c r="QNE447" s="268"/>
      <c r="QNF447" s="268"/>
      <c r="QNG447" s="268"/>
      <c r="QNH447" s="268"/>
      <c r="QNI447" s="268"/>
      <c r="QNJ447" s="268"/>
      <c r="QNK447" s="268"/>
      <c r="QNL447" s="268"/>
      <c r="QNM447" s="268"/>
      <c r="QNN447" s="268"/>
      <c r="QNO447" s="268"/>
      <c r="QNP447" s="268"/>
      <c r="QNQ447" s="268"/>
      <c r="QNR447" s="268"/>
      <c r="QNS447" s="268"/>
      <c r="QNT447" s="268"/>
      <c r="QNU447" s="268"/>
      <c r="QNV447" s="268"/>
      <c r="QNW447" s="268"/>
      <c r="QNX447" s="268"/>
      <c r="QNY447" s="268"/>
      <c r="QNZ447" s="268"/>
      <c r="QOA447" s="268"/>
      <c r="QOB447" s="268"/>
      <c r="QOC447" s="268"/>
      <c r="QOD447" s="268"/>
      <c r="QOE447" s="268"/>
      <c r="QOF447" s="268"/>
      <c r="QOG447" s="268"/>
      <c r="QOH447" s="268"/>
      <c r="QOI447" s="268"/>
      <c r="QOJ447" s="268"/>
      <c r="QOK447" s="268"/>
      <c r="QOL447" s="268"/>
      <c r="QOM447" s="268"/>
      <c r="QON447" s="268"/>
      <c r="QOO447" s="268"/>
      <c r="QOP447" s="268"/>
      <c r="QOQ447" s="268"/>
      <c r="QOR447" s="268"/>
      <c r="QOS447" s="268"/>
      <c r="QOT447" s="268"/>
      <c r="QOU447" s="268"/>
      <c r="QOV447" s="268"/>
      <c r="QOW447" s="268"/>
      <c r="QOX447" s="268"/>
      <c r="QOY447" s="268"/>
      <c r="QOZ447" s="268"/>
      <c r="QPA447" s="268"/>
      <c r="QPB447" s="268"/>
      <c r="QPC447" s="268"/>
      <c r="QPD447" s="268"/>
      <c r="QPE447" s="268"/>
      <c r="QPF447" s="268"/>
      <c r="QPG447" s="268"/>
      <c r="QPH447" s="268"/>
      <c r="QPI447" s="268"/>
      <c r="QPJ447" s="268"/>
      <c r="QPK447" s="268"/>
      <c r="QPL447" s="268"/>
      <c r="QPM447" s="268"/>
      <c r="QPN447" s="268"/>
      <c r="QPO447" s="268"/>
      <c r="QPP447" s="268"/>
      <c r="QPQ447" s="268"/>
      <c r="QPR447" s="268"/>
      <c r="QPS447" s="268"/>
      <c r="QPT447" s="268"/>
      <c r="QPU447" s="268"/>
      <c r="QPV447" s="268"/>
      <c r="QPW447" s="268"/>
      <c r="QPX447" s="268"/>
      <c r="QPY447" s="268"/>
      <c r="QPZ447" s="268"/>
      <c r="QQA447" s="268"/>
      <c r="QQB447" s="268"/>
      <c r="QQC447" s="268"/>
      <c r="QQD447" s="268"/>
      <c r="QQE447" s="268"/>
      <c r="QQF447" s="268"/>
      <c r="QQG447" s="268"/>
      <c r="QQH447" s="268"/>
      <c r="QQI447" s="268"/>
      <c r="QQJ447" s="268"/>
      <c r="QQK447" s="268"/>
      <c r="QQL447" s="268"/>
      <c r="QQM447" s="268"/>
      <c r="QQN447" s="268"/>
      <c r="QQO447" s="268"/>
      <c r="QQP447" s="268"/>
      <c r="QQQ447" s="268"/>
      <c r="QQR447" s="268"/>
      <c r="QQS447" s="268"/>
      <c r="QQT447" s="268"/>
      <c r="QQU447" s="268"/>
      <c r="QQV447" s="268"/>
      <c r="QQW447" s="268"/>
      <c r="QQX447" s="268"/>
      <c r="QQY447" s="268"/>
      <c r="QQZ447" s="268"/>
      <c r="QRA447" s="268"/>
      <c r="QRB447" s="268"/>
      <c r="QRC447" s="268"/>
      <c r="QRD447" s="268"/>
      <c r="QRE447" s="268"/>
      <c r="QRF447" s="268"/>
      <c r="QRG447" s="268"/>
      <c r="QRH447" s="268"/>
      <c r="QRI447" s="268"/>
      <c r="QRJ447" s="268"/>
      <c r="QRK447" s="268"/>
      <c r="QRL447" s="268"/>
      <c r="QRM447" s="268"/>
      <c r="QRN447" s="268"/>
      <c r="QRO447" s="268"/>
      <c r="QRP447" s="268"/>
      <c r="QRQ447" s="268"/>
      <c r="QRR447" s="268"/>
      <c r="QRS447" s="268"/>
      <c r="QRT447" s="268"/>
      <c r="QRU447" s="268"/>
      <c r="QRV447" s="268"/>
      <c r="QRW447" s="268"/>
      <c r="QRX447" s="268"/>
      <c r="QRY447" s="268"/>
      <c r="QRZ447" s="268"/>
      <c r="QSA447" s="268"/>
      <c r="QSB447" s="268"/>
      <c r="QSC447" s="268"/>
      <c r="QSD447" s="268"/>
      <c r="QSE447" s="268"/>
      <c r="QSF447" s="268"/>
      <c r="QSG447" s="268"/>
      <c r="QSH447" s="268"/>
      <c r="QSI447" s="268"/>
      <c r="QSJ447" s="268"/>
      <c r="QSK447" s="268"/>
      <c r="QSL447" s="268"/>
      <c r="QSM447" s="268"/>
      <c r="QSN447" s="268"/>
      <c r="QSO447" s="268"/>
      <c r="QSP447" s="268"/>
      <c r="QSQ447" s="268"/>
      <c r="QSR447" s="268"/>
      <c r="QSS447" s="268"/>
      <c r="QST447" s="268"/>
      <c r="QSU447" s="268"/>
      <c r="QSV447" s="268"/>
      <c r="QSW447" s="268"/>
      <c r="QSX447" s="268"/>
      <c r="QSY447" s="268"/>
      <c r="QSZ447" s="268"/>
      <c r="QTA447" s="268"/>
      <c r="QTB447" s="268"/>
      <c r="QTC447" s="268"/>
      <c r="QTD447" s="268"/>
      <c r="QTE447" s="268"/>
      <c r="QTF447" s="268"/>
      <c r="QTG447" s="268"/>
      <c r="QTH447" s="268"/>
      <c r="QTI447" s="268"/>
      <c r="QTJ447" s="268"/>
      <c r="QTK447" s="268"/>
      <c r="QTY447" s="268"/>
      <c r="QTZ447" s="268"/>
      <c r="QUA447" s="268"/>
      <c r="QUO447" s="268"/>
      <c r="QUQ447" s="268"/>
      <c r="QUR447" s="268"/>
      <c r="QUS447" s="268"/>
      <c r="QUT447" s="268"/>
      <c r="QUU447" s="268"/>
      <c r="QUV447" s="268"/>
      <c r="QUW447" s="268"/>
      <c r="QUX447" s="268"/>
      <c r="QUY447" s="268"/>
      <c r="QUZ447" s="268"/>
      <c r="QVA447" s="268"/>
      <c r="QVB447" s="268"/>
      <c r="QVC447" s="268"/>
      <c r="QVD447" s="268"/>
      <c r="QVE447" s="268"/>
      <c r="QVF447" s="268"/>
      <c r="QVG447" s="268"/>
      <c r="QVH447" s="268"/>
      <c r="QVI447" s="268"/>
      <c r="QVJ447" s="268"/>
      <c r="QVK447" s="268"/>
      <c r="QVL447" s="268"/>
      <c r="QVM447" s="268"/>
      <c r="QVN447" s="268"/>
      <c r="QVO447" s="268"/>
      <c r="QVP447" s="268"/>
      <c r="QVQ447" s="268"/>
      <c r="QVR447" s="268"/>
      <c r="QVS447" s="268"/>
      <c r="QVT447" s="268"/>
      <c r="QVU447" s="268"/>
      <c r="QVV447" s="268"/>
      <c r="QVW447" s="268"/>
      <c r="QVX447" s="268"/>
      <c r="QVY447" s="268"/>
      <c r="QVZ447" s="268"/>
      <c r="QWA447" s="268"/>
      <c r="QWB447" s="268"/>
      <c r="QWC447" s="268"/>
      <c r="QWD447" s="268"/>
      <c r="QWE447" s="268"/>
      <c r="QWF447" s="268"/>
      <c r="QWG447" s="268"/>
      <c r="QWH447" s="268"/>
      <c r="QWI447" s="268"/>
      <c r="QWJ447" s="268"/>
      <c r="QWK447" s="268"/>
      <c r="QWL447" s="268"/>
      <c r="QWM447" s="268"/>
      <c r="QWN447" s="268"/>
      <c r="QWO447" s="268"/>
      <c r="QWP447" s="268"/>
      <c r="QWQ447" s="268"/>
      <c r="QWR447" s="268"/>
      <c r="QWS447" s="268"/>
      <c r="QWT447" s="268"/>
      <c r="QWU447" s="268"/>
      <c r="QWV447" s="268"/>
      <c r="QWW447" s="268"/>
      <c r="QWX447" s="268"/>
      <c r="QWY447" s="268"/>
      <c r="QWZ447" s="268"/>
      <c r="QXA447" s="268"/>
      <c r="QXB447" s="268"/>
      <c r="QXC447" s="268"/>
      <c r="QXD447" s="268"/>
      <c r="QXE447" s="268"/>
      <c r="QXF447" s="268"/>
      <c r="QXG447" s="268"/>
      <c r="QXH447" s="268"/>
      <c r="QXI447" s="268"/>
      <c r="QXJ447" s="268"/>
      <c r="QXK447" s="268"/>
      <c r="QXL447" s="268"/>
      <c r="QXM447" s="268"/>
      <c r="QXN447" s="268"/>
      <c r="QXO447" s="268"/>
      <c r="QXP447" s="268"/>
      <c r="QXQ447" s="268"/>
      <c r="QXR447" s="268"/>
      <c r="QXS447" s="268"/>
      <c r="QXT447" s="268"/>
      <c r="QXU447" s="268"/>
      <c r="QXV447" s="268"/>
      <c r="QXW447" s="268"/>
      <c r="QXX447" s="268"/>
      <c r="QXY447" s="268"/>
      <c r="QXZ447" s="268"/>
      <c r="QYA447" s="268"/>
      <c r="QYB447" s="268"/>
      <c r="QYC447" s="268"/>
      <c r="QYD447" s="268"/>
      <c r="QYE447" s="268"/>
      <c r="QYF447" s="268"/>
      <c r="QYG447" s="268"/>
      <c r="QYH447" s="268"/>
      <c r="QYI447" s="268"/>
      <c r="QYJ447" s="268"/>
      <c r="QYK447" s="268"/>
      <c r="QYL447" s="268"/>
      <c r="QYM447" s="268"/>
      <c r="QYN447" s="268"/>
      <c r="QYO447" s="268"/>
      <c r="QYP447" s="268"/>
      <c r="QYQ447" s="268"/>
      <c r="QYR447" s="268"/>
      <c r="QYS447" s="268"/>
      <c r="QYT447" s="268"/>
      <c r="QYU447" s="268"/>
      <c r="QYV447" s="268"/>
      <c r="QYW447" s="268"/>
      <c r="QYX447" s="268"/>
      <c r="QYY447" s="268"/>
      <c r="QYZ447" s="268"/>
      <c r="QZA447" s="268"/>
      <c r="QZB447" s="268"/>
      <c r="QZC447" s="268"/>
      <c r="QZD447" s="268"/>
      <c r="QZE447" s="268"/>
      <c r="QZF447" s="268"/>
      <c r="QZG447" s="268"/>
      <c r="QZH447" s="268"/>
      <c r="QZI447" s="268"/>
      <c r="QZJ447" s="268"/>
      <c r="QZK447" s="268"/>
      <c r="QZL447" s="268"/>
      <c r="QZM447" s="268"/>
      <c r="QZN447" s="268"/>
      <c r="QZO447" s="268"/>
      <c r="QZP447" s="268"/>
      <c r="QZQ447" s="268"/>
      <c r="QZR447" s="268"/>
      <c r="QZS447" s="268"/>
      <c r="QZT447" s="268"/>
      <c r="QZU447" s="268"/>
      <c r="QZV447" s="268"/>
      <c r="QZW447" s="268"/>
      <c r="QZX447" s="268"/>
      <c r="QZY447" s="268"/>
      <c r="QZZ447" s="268"/>
      <c r="RAA447" s="268"/>
      <c r="RAB447" s="268"/>
      <c r="RAC447" s="268"/>
      <c r="RAD447" s="268"/>
      <c r="RAE447" s="268"/>
      <c r="RAF447" s="268"/>
      <c r="RAG447" s="268"/>
      <c r="RAH447" s="268"/>
      <c r="RAI447" s="268"/>
      <c r="RAJ447" s="268"/>
      <c r="RAK447" s="268"/>
      <c r="RAL447" s="268"/>
      <c r="RAM447" s="268"/>
      <c r="RAN447" s="268"/>
      <c r="RAO447" s="268"/>
      <c r="RAP447" s="268"/>
      <c r="RAQ447" s="268"/>
      <c r="RAR447" s="268"/>
      <c r="RAS447" s="268"/>
      <c r="RAT447" s="268"/>
      <c r="RAU447" s="268"/>
      <c r="RAV447" s="268"/>
      <c r="RAW447" s="268"/>
      <c r="RAX447" s="268"/>
      <c r="RAY447" s="268"/>
      <c r="RAZ447" s="268"/>
      <c r="RBA447" s="268"/>
      <c r="RBB447" s="268"/>
      <c r="RBC447" s="268"/>
      <c r="RBD447" s="268"/>
      <c r="RBE447" s="268"/>
      <c r="RBF447" s="268"/>
      <c r="RBG447" s="268"/>
      <c r="RBH447" s="268"/>
      <c r="RBI447" s="268"/>
      <c r="RBJ447" s="268"/>
      <c r="RBK447" s="268"/>
      <c r="RBL447" s="268"/>
      <c r="RBM447" s="268"/>
      <c r="RBN447" s="268"/>
      <c r="RBO447" s="268"/>
      <c r="RBP447" s="268"/>
      <c r="RBQ447" s="268"/>
      <c r="RBR447" s="268"/>
      <c r="RBS447" s="268"/>
      <c r="RBT447" s="268"/>
      <c r="RBU447" s="268"/>
      <c r="RBV447" s="268"/>
      <c r="RBW447" s="268"/>
      <c r="RBX447" s="268"/>
      <c r="RBY447" s="268"/>
      <c r="RBZ447" s="268"/>
      <c r="RCA447" s="268"/>
      <c r="RCB447" s="268"/>
      <c r="RCC447" s="268"/>
      <c r="RCD447" s="268"/>
      <c r="RCE447" s="268"/>
      <c r="RCF447" s="268"/>
      <c r="RCG447" s="268"/>
      <c r="RCH447" s="268"/>
      <c r="RCI447" s="268"/>
      <c r="RCJ447" s="268"/>
      <c r="RCK447" s="268"/>
      <c r="RCL447" s="268"/>
      <c r="RCM447" s="268"/>
      <c r="RCN447" s="268"/>
      <c r="RCO447" s="268"/>
      <c r="RCP447" s="268"/>
      <c r="RCQ447" s="268"/>
      <c r="RCR447" s="268"/>
      <c r="RCS447" s="268"/>
      <c r="RCT447" s="268"/>
      <c r="RCU447" s="268"/>
      <c r="RCV447" s="268"/>
      <c r="RCW447" s="268"/>
      <c r="RCX447" s="268"/>
      <c r="RCY447" s="268"/>
      <c r="RCZ447" s="268"/>
      <c r="RDA447" s="268"/>
      <c r="RDB447" s="268"/>
      <c r="RDC447" s="268"/>
      <c r="RDD447" s="268"/>
      <c r="RDE447" s="268"/>
      <c r="RDF447" s="268"/>
      <c r="RDG447" s="268"/>
      <c r="RDU447" s="268"/>
      <c r="RDV447" s="268"/>
      <c r="RDW447" s="268"/>
      <c r="REK447" s="268"/>
      <c r="REM447" s="268"/>
      <c r="REN447" s="268"/>
      <c r="REO447" s="268"/>
      <c r="REP447" s="268"/>
      <c r="REQ447" s="268"/>
      <c r="RER447" s="268"/>
      <c r="RES447" s="268"/>
      <c r="RET447" s="268"/>
      <c r="REU447" s="268"/>
      <c r="REV447" s="268"/>
      <c r="REW447" s="268"/>
      <c r="REX447" s="268"/>
      <c r="REY447" s="268"/>
      <c r="REZ447" s="268"/>
      <c r="RFA447" s="268"/>
      <c r="RFB447" s="268"/>
      <c r="RFC447" s="268"/>
      <c r="RFD447" s="268"/>
      <c r="RFE447" s="268"/>
      <c r="RFF447" s="268"/>
      <c r="RFG447" s="268"/>
      <c r="RFH447" s="268"/>
      <c r="RFI447" s="268"/>
      <c r="RFJ447" s="268"/>
      <c r="RFK447" s="268"/>
      <c r="RFL447" s="268"/>
      <c r="RFM447" s="268"/>
      <c r="RFN447" s="268"/>
      <c r="RFO447" s="268"/>
      <c r="RFP447" s="268"/>
      <c r="RFQ447" s="268"/>
      <c r="RFR447" s="268"/>
      <c r="RFS447" s="268"/>
      <c r="RFT447" s="268"/>
      <c r="RFU447" s="268"/>
      <c r="RFV447" s="268"/>
      <c r="RFW447" s="268"/>
      <c r="RFX447" s="268"/>
      <c r="RFY447" s="268"/>
      <c r="RFZ447" s="268"/>
      <c r="RGA447" s="268"/>
      <c r="RGB447" s="268"/>
      <c r="RGC447" s="268"/>
      <c r="RGD447" s="268"/>
      <c r="RGE447" s="268"/>
      <c r="RGF447" s="268"/>
      <c r="RGG447" s="268"/>
      <c r="RGH447" s="268"/>
      <c r="RGI447" s="268"/>
      <c r="RGJ447" s="268"/>
      <c r="RGK447" s="268"/>
      <c r="RGL447" s="268"/>
      <c r="RGM447" s="268"/>
      <c r="RGN447" s="268"/>
      <c r="RGO447" s="268"/>
      <c r="RGP447" s="268"/>
      <c r="RGQ447" s="268"/>
      <c r="RGR447" s="268"/>
      <c r="RGS447" s="268"/>
      <c r="RGT447" s="268"/>
      <c r="RGU447" s="268"/>
      <c r="RGV447" s="268"/>
      <c r="RGW447" s="268"/>
      <c r="RGX447" s="268"/>
      <c r="RGY447" s="268"/>
      <c r="RGZ447" s="268"/>
      <c r="RHA447" s="268"/>
      <c r="RHB447" s="268"/>
      <c r="RHC447" s="268"/>
      <c r="RHD447" s="268"/>
      <c r="RHE447" s="268"/>
      <c r="RHF447" s="268"/>
      <c r="RHG447" s="268"/>
      <c r="RHH447" s="268"/>
      <c r="RHI447" s="268"/>
      <c r="RHJ447" s="268"/>
      <c r="RHK447" s="268"/>
      <c r="RHL447" s="268"/>
      <c r="RHM447" s="268"/>
      <c r="RHN447" s="268"/>
      <c r="RHO447" s="268"/>
      <c r="RHP447" s="268"/>
      <c r="RHQ447" s="268"/>
      <c r="RHR447" s="268"/>
      <c r="RHS447" s="268"/>
      <c r="RHT447" s="268"/>
      <c r="RHU447" s="268"/>
      <c r="RHV447" s="268"/>
      <c r="RHW447" s="268"/>
      <c r="RHX447" s="268"/>
      <c r="RHY447" s="268"/>
      <c r="RHZ447" s="268"/>
      <c r="RIA447" s="268"/>
      <c r="RIB447" s="268"/>
      <c r="RIC447" s="268"/>
      <c r="RID447" s="268"/>
      <c r="RIE447" s="268"/>
      <c r="RIF447" s="268"/>
      <c r="RIG447" s="268"/>
      <c r="RIH447" s="268"/>
      <c r="RII447" s="268"/>
      <c r="RIJ447" s="268"/>
      <c r="RIK447" s="268"/>
      <c r="RIL447" s="268"/>
      <c r="RIM447" s="268"/>
      <c r="RIN447" s="268"/>
      <c r="RIO447" s="268"/>
      <c r="RIP447" s="268"/>
      <c r="RIQ447" s="268"/>
      <c r="RIR447" s="268"/>
      <c r="RIS447" s="268"/>
      <c r="RIT447" s="268"/>
      <c r="RIU447" s="268"/>
      <c r="RIV447" s="268"/>
      <c r="RIW447" s="268"/>
      <c r="RIX447" s="268"/>
      <c r="RIY447" s="268"/>
      <c r="RIZ447" s="268"/>
      <c r="RJA447" s="268"/>
      <c r="RJB447" s="268"/>
      <c r="RJC447" s="268"/>
      <c r="RJD447" s="268"/>
      <c r="RJE447" s="268"/>
      <c r="RJF447" s="268"/>
      <c r="RJG447" s="268"/>
      <c r="RJH447" s="268"/>
      <c r="RJI447" s="268"/>
      <c r="RJJ447" s="268"/>
      <c r="RJK447" s="268"/>
      <c r="RJL447" s="268"/>
      <c r="RJM447" s="268"/>
      <c r="RJN447" s="268"/>
      <c r="RJO447" s="268"/>
      <c r="RJP447" s="268"/>
      <c r="RJQ447" s="268"/>
      <c r="RJR447" s="268"/>
      <c r="RJS447" s="268"/>
      <c r="RJT447" s="268"/>
      <c r="RJU447" s="268"/>
      <c r="RJV447" s="268"/>
      <c r="RJW447" s="268"/>
      <c r="RJX447" s="268"/>
      <c r="RJY447" s="268"/>
      <c r="RJZ447" s="268"/>
      <c r="RKA447" s="268"/>
      <c r="RKB447" s="268"/>
      <c r="RKC447" s="268"/>
      <c r="RKD447" s="268"/>
      <c r="RKE447" s="268"/>
      <c r="RKF447" s="268"/>
      <c r="RKG447" s="268"/>
      <c r="RKH447" s="268"/>
      <c r="RKI447" s="268"/>
      <c r="RKJ447" s="268"/>
      <c r="RKK447" s="268"/>
      <c r="RKL447" s="268"/>
      <c r="RKM447" s="268"/>
      <c r="RKN447" s="268"/>
      <c r="RKO447" s="268"/>
      <c r="RKP447" s="268"/>
      <c r="RKQ447" s="268"/>
      <c r="RKR447" s="268"/>
      <c r="RKS447" s="268"/>
      <c r="RKT447" s="268"/>
      <c r="RKU447" s="268"/>
      <c r="RKV447" s="268"/>
      <c r="RKW447" s="268"/>
      <c r="RKX447" s="268"/>
      <c r="RKY447" s="268"/>
      <c r="RKZ447" s="268"/>
      <c r="RLA447" s="268"/>
      <c r="RLB447" s="268"/>
      <c r="RLC447" s="268"/>
      <c r="RLD447" s="268"/>
      <c r="RLE447" s="268"/>
      <c r="RLF447" s="268"/>
      <c r="RLG447" s="268"/>
      <c r="RLH447" s="268"/>
      <c r="RLI447" s="268"/>
      <c r="RLJ447" s="268"/>
      <c r="RLK447" s="268"/>
      <c r="RLL447" s="268"/>
      <c r="RLM447" s="268"/>
      <c r="RLN447" s="268"/>
      <c r="RLO447" s="268"/>
      <c r="RLP447" s="268"/>
      <c r="RLQ447" s="268"/>
      <c r="RLR447" s="268"/>
      <c r="RLS447" s="268"/>
      <c r="RLT447" s="268"/>
      <c r="RLU447" s="268"/>
      <c r="RLV447" s="268"/>
      <c r="RLW447" s="268"/>
      <c r="RLX447" s="268"/>
      <c r="RLY447" s="268"/>
      <c r="RLZ447" s="268"/>
      <c r="RMA447" s="268"/>
      <c r="RMB447" s="268"/>
      <c r="RMC447" s="268"/>
      <c r="RMD447" s="268"/>
      <c r="RME447" s="268"/>
      <c r="RMF447" s="268"/>
      <c r="RMG447" s="268"/>
      <c r="RMH447" s="268"/>
      <c r="RMI447" s="268"/>
      <c r="RMJ447" s="268"/>
      <c r="RMK447" s="268"/>
      <c r="RML447" s="268"/>
      <c r="RMM447" s="268"/>
      <c r="RMN447" s="268"/>
      <c r="RMO447" s="268"/>
      <c r="RMP447" s="268"/>
      <c r="RMQ447" s="268"/>
      <c r="RMR447" s="268"/>
      <c r="RMS447" s="268"/>
      <c r="RMT447" s="268"/>
      <c r="RMU447" s="268"/>
      <c r="RMV447" s="268"/>
      <c r="RMW447" s="268"/>
      <c r="RMX447" s="268"/>
      <c r="RMY447" s="268"/>
      <c r="RMZ447" s="268"/>
      <c r="RNA447" s="268"/>
      <c r="RNB447" s="268"/>
      <c r="RNC447" s="268"/>
      <c r="RNQ447" s="268"/>
      <c r="RNR447" s="268"/>
      <c r="RNS447" s="268"/>
      <c r="ROG447" s="268"/>
      <c r="ROI447" s="268"/>
      <c r="ROJ447" s="268"/>
      <c r="ROK447" s="268"/>
      <c r="ROL447" s="268"/>
      <c r="ROM447" s="268"/>
      <c r="RON447" s="268"/>
      <c r="ROO447" s="268"/>
      <c r="ROP447" s="268"/>
      <c r="ROQ447" s="268"/>
      <c r="ROR447" s="268"/>
      <c r="ROS447" s="268"/>
      <c r="ROT447" s="268"/>
      <c r="ROU447" s="268"/>
      <c r="ROV447" s="268"/>
      <c r="ROW447" s="268"/>
      <c r="ROX447" s="268"/>
      <c r="ROY447" s="268"/>
      <c r="ROZ447" s="268"/>
      <c r="RPA447" s="268"/>
      <c r="RPB447" s="268"/>
      <c r="RPC447" s="268"/>
      <c r="RPD447" s="268"/>
      <c r="RPE447" s="268"/>
      <c r="RPF447" s="268"/>
      <c r="RPG447" s="268"/>
      <c r="RPH447" s="268"/>
      <c r="RPI447" s="268"/>
      <c r="RPJ447" s="268"/>
      <c r="RPK447" s="268"/>
      <c r="RPL447" s="268"/>
      <c r="RPM447" s="268"/>
      <c r="RPN447" s="268"/>
      <c r="RPO447" s="268"/>
      <c r="RPP447" s="268"/>
      <c r="RPQ447" s="268"/>
      <c r="RPR447" s="268"/>
      <c r="RPS447" s="268"/>
      <c r="RPT447" s="268"/>
      <c r="RPU447" s="268"/>
      <c r="RPV447" s="268"/>
      <c r="RPW447" s="268"/>
      <c r="RPX447" s="268"/>
      <c r="RPY447" s="268"/>
      <c r="RPZ447" s="268"/>
      <c r="RQA447" s="268"/>
      <c r="RQB447" s="268"/>
      <c r="RQC447" s="268"/>
      <c r="RQD447" s="268"/>
      <c r="RQE447" s="268"/>
      <c r="RQF447" s="268"/>
      <c r="RQG447" s="268"/>
      <c r="RQH447" s="268"/>
      <c r="RQI447" s="268"/>
      <c r="RQJ447" s="268"/>
      <c r="RQK447" s="268"/>
      <c r="RQL447" s="268"/>
      <c r="RQM447" s="268"/>
      <c r="RQN447" s="268"/>
      <c r="RQO447" s="268"/>
      <c r="RQP447" s="268"/>
      <c r="RQQ447" s="268"/>
      <c r="RQR447" s="268"/>
      <c r="RQS447" s="268"/>
      <c r="RQT447" s="268"/>
      <c r="RQU447" s="268"/>
      <c r="RQV447" s="268"/>
      <c r="RQW447" s="268"/>
      <c r="RQX447" s="268"/>
      <c r="RQY447" s="268"/>
      <c r="RQZ447" s="268"/>
      <c r="RRA447" s="268"/>
      <c r="RRB447" s="268"/>
      <c r="RRC447" s="268"/>
      <c r="RRD447" s="268"/>
      <c r="RRE447" s="268"/>
      <c r="RRF447" s="268"/>
      <c r="RRG447" s="268"/>
      <c r="RRH447" s="268"/>
      <c r="RRI447" s="268"/>
      <c r="RRJ447" s="268"/>
      <c r="RRK447" s="268"/>
      <c r="RRL447" s="268"/>
      <c r="RRM447" s="268"/>
      <c r="RRN447" s="268"/>
      <c r="RRO447" s="268"/>
      <c r="RRP447" s="268"/>
      <c r="RRQ447" s="268"/>
      <c r="RRR447" s="268"/>
      <c r="RRS447" s="268"/>
      <c r="RRT447" s="268"/>
      <c r="RRU447" s="268"/>
      <c r="RRV447" s="268"/>
      <c r="RRW447" s="268"/>
      <c r="RRX447" s="268"/>
      <c r="RRY447" s="268"/>
      <c r="RRZ447" s="268"/>
      <c r="RSA447" s="268"/>
      <c r="RSB447" s="268"/>
      <c r="RSC447" s="268"/>
      <c r="RSD447" s="268"/>
      <c r="RSE447" s="268"/>
      <c r="RSF447" s="268"/>
      <c r="RSG447" s="268"/>
      <c r="RSH447" s="268"/>
      <c r="RSI447" s="268"/>
      <c r="RSJ447" s="268"/>
      <c r="RSK447" s="268"/>
      <c r="RSL447" s="268"/>
      <c r="RSM447" s="268"/>
      <c r="RSN447" s="268"/>
      <c r="RSO447" s="268"/>
      <c r="RSP447" s="268"/>
      <c r="RSQ447" s="268"/>
      <c r="RSR447" s="268"/>
      <c r="RSS447" s="268"/>
      <c r="RST447" s="268"/>
      <c r="RSU447" s="268"/>
      <c r="RSV447" s="268"/>
      <c r="RSW447" s="268"/>
      <c r="RSX447" s="268"/>
      <c r="RSY447" s="268"/>
      <c r="RSZ447" s="268"/>
      <c r="RTA447" s="268"/>
      <c r="RTB447" s="268"/>
      <c r="RTC447" s="268"/>
      <c r="RTD447" s="268"/>
      <c r="RTE447" s="268"/>
      <c r="RTF447" s="268"/>
      <c r="RTG447" s="268"/>
      <c r="RTH447" s="268"/>
      <c r="RTI447" s="268"/>
      <c r="RTJ447" s="268"/>
      <c r="RTK447" s="268"/>
      <c r="RTL447" s="268"/>
      <c r="RTM447" s="268"/>
      <c r="RTN447" s="268"/>
      <c r="RTO447" s="268"/>
      <c r="RTP447" s="268"/>
      <c r="RTQ447" s="268"/>
      <c r="RTR447" s="268"/>
      <c r="RTS447" s="268"/>
      <c r="RTT447" s="268"/>
      <c r="RTU447" s="268"/>
      <c r="RTV447" s="268"/>
      <c r="RTW447" s="268"/>
      <c r="RTX447" s="268"/>
      <c r="RTY447" s="268"/>
      <c r="RTZ447" s="268"/>
      <c r="RUA447" s="268"/>
      <c r="RUB447" s="268"/>
      <c r="RUC447" s="268"/>
      <c r="RUD447" s="268"/>
      <c r="RUE447" s="268"/>
      <c r="RUF447" s="268"/>
      <c r="RUG447" s="268"/>
      <c r="RUH447" s="268"/>
      <c r="RUI447" s="268"/>
      <c r="RUJ447" s="268"/>
      <c r="RUK447" s="268"/>
      <c r="RUL447" s="268"/>
      <c r="RUM447" s="268"/>
      <c r="RUN447" s="268"/>
      <c r="RUO447" s="268"/>
      <c r="RUP447" s="268"/>
      <c r="RUQ447" s="268"/>
      <c r="RUR447" s="268"/>
      <c r="RUS447" s="268"/>
      <c r="RUT447" s="268"/>
      <c r="RUU447" s="268"/>
      <c r="RUV447" s="268"/>
      <c r="RUW447" s="268"/>
      <c r="RUX447" s="268"/>
      <c r="RUY447" s="268"/>
      <c r="RUZ447" s="268"/>
      <c r="RVA447" s="268"/>
      <c r="RVB447" s="268"/>
      <c r="RVC447" s="268"/>
      <c r="RVD447" s="268"/>
      <c r="RVE447" s="268"/>
      <c r="RVF447" s="268"/>
      <c r="RVG447" s="268"/>
      <c r="RVH447" s="268"/>
      <c r="RVI447" s="268"/>
      <c r="RVJ447" s="268"/>
      <c r="RVK447" s="268"/>
      <c r="RVL447" s="268"/>
      <c r="RVM447" s="268"/>
      <c r="RVN447" s="268"/>
      <c r="RVO447" s="268"/>
      <c r="RVP447" s="268"/>
      <c r="RVQ447" s="268"/>
      <c r="RVR447" s="268"/>
      <c r="RVS447" s="268"/>
      <c r="RVT447" s="268"/>
      <c r="RVU447" s="268"/>
      <c r="RVV447" s="268"/>
      <c r="RVW447" s="268"/>
      <c r="RVX447" s="268"/>
      <c r="RVY447" s="268"/>
      <c r="RVZ447" s="268"/>
      <c r="RWA447" s="268"/>
      <c r="RWB447" s="268"/>
      <c r="RWC447" s="268"/>
      <c r="RWD447" s="268"/>
      <c r="RWE447" s="268"/>
      <c r="RWF447" s="268"/>
      <c r="RWG447" s="268"/>
      <c r="RWH447" s="268"/>
      <c r="RWI447" s="268"/>
      <c r="RWJ447" s="268"/>
      <c r="RWK447" s="268"/>
      <c r="RWL447" s="268"/>
      <c r="RWM447" s="268"/>
      <c r="RWN447" s="268"/>
      <c r="RWO447" s="268"/>
      <c r="RWP447" s="268"/>
      <c r="RWQ447" s="268"/>
      <c r="RWR447" s="268"/>
      <c r="RWS447" s="268"/>
      <c r="RWT447" s="268"/>
      <c r="RWU447" s="268"/>
      <c r="RWV447" s="268"/>
      <c r="RWW447" s="268"/>
      <c r="RWX447" s="268"/>
      <c r="RWY447" s="268"/>
      <c r="RXM447" s="268"/>
      <c r="RXN447" s="268"/>
      <c r="RXO447" s="268"/>
      <c r="RYC447" s="268"/>
      <c r="RYE447" s="268"/>
      <c r="RYF447" s="268"/>
      <c r="RYG447" s="268"/>
      <c r="RYH447" s="268"/>
      <c r="RYI447" s="268"/>
      <c r="RYJ447" s="268"/>
      <c r="RYK447" s="268"/>
      <c r="RYL447" s="268"/>
      <c r="RYM447" s="268"/>
      <c r="RYN447" s="268"/>
      <c r="RYO447" s="268"/>
      <c r="RYP447" s="268"/>
      <c r="RYQ447" s="268"/>
      <c r="RYR447" s="268"/>
      <c r="RYS447" s="268"/>
      <c r="RYT447" s="268"/>
      <c r="RYU447" s="268"/>
      <c r="RYV447" s="268"/>
      <c r="RYW447" s="268"/>
      <c r="RYX447" s="268"/>
      <c r="RYY447" s="268"/>
      <c r="RYZ447" s="268"/>
      <c r="RZA447" s="268"/>
      <c r="RZB447" s="268"/>
      <c r="RZC447" s="268"/>
      <c r="RZD447" s="268"/>
      <c r="RZE447" s="268"/>
      <c r="RZF447" s="268"/>
      <c r="RZG447" s="268"/>
      <c r="RZH447" s="268"/>
      <c r="RZI447" s="268"/>
      <c r="RZJ447" s="268"/>
      <c r="RZK447" s="268"/>
      <c r="RZL447" s="268"/>
      <c r="RZM447" s="268"/>
      <c r="RZN447" s="268"/>
      <c r="RZO447" s="268"/>
      <c r="RZP447" s="268"/>
      <c r="RZQ447" s="268"/>
      <c r="RZR447" s="268"/>
      <c r="RZS447" s="268"/>
      <c r="RZT447" s="268"/>
      <c r="RZU447" s="268"/>
      <c r="RZV447" s="268"/>
      <c r="RZW447" s="268"/>
      <c r="RZX447" s="268"/>
      <c r="RZY447" s="268"/>
      <c r="RZZ447" s="268"/>
      <c r="SAA447" s="268"/>
      <c r="SAB447" s="268"/>
      <c r="SAC447" s="268"/>
      <c r="SAD447" s="268"/>
      <c r="SAE447" s="268"/>
      <c r="SAF447" s="268"/>
      <c r="SAG447" s="268"/>
      <c r="SAH447" s="268"/>
      <c r="SAI447" s="268"/>
      <c r="SAJ447" s="268"/>
      <c r="SAK447" s="268"/>
      <c r="SAL447" s="268"/>
      <c r="SAM447" s="268"/>
      <c r="SAN447" s="268"/>
      <c r="SAO447" s="268"/>
      <c r="SAP447" s="268"/>
      <c r="SAQ447" s="268"/>
      <c r="SAR447" s="268"/>
      <c r="SAS447" s="268"/>
      <c r="SAT447" s="268"/>
      <c r="SAU447" s="268"/>
      <c r="SAV447" s="268"/>
      <c r="SAW447" s="268"/>
      <c r="SAX447" s="268"/>
      <c r="SAY447" s="268"/>
      <c r="SAZ447" s="268"/>
      <c r="SBA447" s="268"/>
      <c r="SBB447" s="268"/>
      <c r="SBC447" s="268"/>
      <c r="SBD447" s="268"/>
      <c r="SBE447" s="268"/>
      <c r="SBF447" s="268"/>
      <c r="SBG447" s="268"/>
      <c r="SBH447" s="268"/>
      <c r="SBI447" s="268"/>
      <c r="SBJ447" s="268"/>
      <c r="SBK447" s="268"/>
      <c r="SBL447" s="268"/>
      <c r="SBM447" s="268"/>
      <c r="SBN447" s="268"/>
      <c r="SBO447" s="268"/>
      <c r="SBP447" s="268"/>
      <c r="SBQ447" s="268"/>
      <c r="SBR447" s="268"/>
      <c r="SBS447" s="268"/>
      <c r="SBT447" s="268"/>
      <c r="SBU447" s="268"/>
      <c r="SBV447" s="268"/>
      <c r="SBW447" s="268"/>
      <c r="SBX447" s="268"/>
      <c r="SBY447" s="268"/>
      <c r="SBZ447" s="268"/>
      <c r="SCA447" s="268"/>
      <c r="SCB447" s="268"/>
      <c r="SCC447" s="268"/>
      <c r="SCD447" s="268"/>
      <c r="SCE447" s="268"/>
      <c r="SCF447" s="268"/>
      <c r="SCG447" s="268"/>
      <c r="SCH447" s="268"/>
      <c r="SCI447" s="268"/>
      <c r="SCJ447" s="268"/>
      <c r="SCK447" s="268"/>
      <c r="SCL447" s="268"/>
      <c r="SCM447" s="268"/>
      <c r="SCN447" s="268"/>
      <c r="SCO447" s="268"/>
      <c r="SCP447" s="268"/>
      <c r="SCQ447" s="268"/>
      <c r="SCR447" s="268"/>
      <c r="SCS447" s="268"/>
      <c r="SCT447" s="268"/>
      <c r="SCU447" s="268"/>
      <c r="SCV447" s="268"/>
      <c r="SCW447" s="268"/>
      <c r="SCX447" s="268"/>
      <c r="SCY447" s="268"/>
      <c r="SCZ447" s="268"/>
      <c r="SDA447" s="268"/>
      <c r="SDB447" s="268"/>
      <c r="SDC447" s="268"/>
      <c r="SDD447" s="268"/>
      <c r="SDE447" s="268"/>
      <c r="SDF447" s="268"/>
      <c r="SDG447" s="268"/>
      <c r="SDH447" s="268"/>
      <c r="SDI447" s="268"/>
      <c r="SDJ447" s="268"/>
      <c r="SDK447" s="268"/>
      <c r="SDL447" s="268"/>
      <c r="SDM447" s="268"/>
      <c r="SDN447" s="268"/>
      <c r="SDO447" s="268"/>
      <c r="SDP447" s="268"/>
      <c r="SDQ447" s="268"/>
      <c r="SDR447" s="268"/>
      <c r="SDS447" s="268"/>
      <c r="SDT447" s="268"/>
      <c r="SDU447" s="268"/>
      <c r="SDV447" s="268"/>
      <c r="SDW447" s="268"/>
      <c r="SDX447" s="268"/>
      <c r="SDY447" s="268"/>
      <c r="SDZ447" s="268"/>
      <c r="SEA447" s="268"/>
      <c r="SEB447" s="268"/>
      <c r="SEC447" s="268"/>
      <c r="SED447" s="268"/>
      <c r="SEE447" s="268"/>
      <c r="SEF447" s="268"/>
      <c r="SEG447" s="268"/>
      <c r="SEH447" s="268"/>
      <c r="SEI447" s="268"/>
      <c r="SEJ447" s="268"/>
      <c r="SEK447" s="268"/>
      <c r="SEL447" s="268"/>
      <c r="SEM447" s="268"/>
      <c r="SEN447" s="268"/>
      <c r="SEO447" s="268"/>
      <c r="SEP447" s="268"/>
      <c r="SEQ447" s="268"/>
      <c r="SER447" s="268"/>
      <c r="SES447" s="268"/>
      <c r="SET447" s="268"/>
      <c r="SEU447" s="268"/>
      <c r="SEV447" s="268"/>
      <c r="SEW447" s="268"/>
      <c r="SEX447" s="268"/>
      <c r="SEY447" s="268"/>
      <c r="SEZ447" s="268"/>
      <c r="SFA447" s="268"/>
      <c r="SFB447" s="268"/>
      <c r="SFC447" s="268"/>
      <c r="SFD447" s="268"/>
      <c r="SFE447" s="268"/>
      <c r="SFF447" s="268"/>
      <c r="SFG447" s="268"/>
      <c r="SFH447" s="268"/>
      <c r="SFI447" s="268"/>
      <c r="SFJ447" s="268"/>
      <c r="SFK447" s="268"/>
      <c r="SFL447" s="268"/>
      <c r="SFM447" s="268"/>
      <c r="SFN447" s="268"/>
      <c r="SFO447" s="268"/>
      <c r="SFP447" s="268"/>
      <c r="SFQ447" s="268"/>
      <c r="SFR447" s="268"/>
      <c r="SFS447" s="268"/>
      <c r="SFT447" s="268"/>
      <c r="SFU447" s="268"/>
      <c r="SFV447" s="268"/>
      <c r="SFW447" s="268"/>
      <c r="SFX447" s="268"/>
      <c r="SFY447" s="268"/>
      <c r="SFZ447" s="268"/>
      <c r="SGA447" s="268"/>
      <c r="SGB447" s="268"/>
      <c r="SGC447" s="268"/>
      <c r="SGD447" s="268"/>
      <c r="SGE447" s="268"/>
      <c r="SGF447" s="268"/>
      <c r="SGG447" s="268"/>
      <c r="SGH447" s="268"/>
      <c r="SGI447" s="268"/>
      <c r="SGJ447" s="268"/>
      <c r="SGK447" s="268"/>
      <c r="SGL447" s="268"/>
      <c r="SGM447" s="268"/>
      <c r="SGN447" s="268"/>
      <c r="SGO447" s="268"/>
      <c r="SGP447" s="268"/>
      <c r="SGQ447" s="268"/>
      <c r="SGR447" s="268"/>
      <c r="SGS447" s="268"/>
      <c r="SGT447" s="268"/>
      <c r="SGU447" s="268"/>
      <c r="SHI447" s="268"/>
      <c r="SHJ447" s="268"/>
      <c r="SHK447" s="268"/>
      <c r="SHY447" s="268"/>
      <c r="SIA447" s="268"/>
      <c r="SIB447" s="268"/>
      <c r="SIC447" s="268"/>
      <c r="SID447" s="268"/>
      <c r="SIE447" s="268"/>
      <c r="SIF447" s="268"/>
      <c r="SIG447" s="268"/>
      <c r="SIH447" s="268"/>
      <c r="SII447" s="268"/>
      <c r="SIJ447" s="268"/>
      <c r="SIK447" s="268"/>
      <c r="SIL447" s="268"/>
      <c r="SIM447" s="268"/>
      <c r="SIN447" s="268"/>
      <c r="SIO447" s="268"/>
      <c r="SIP447" s="268"/>
      <c r="SIQ447" s="268"/>
      <c r="SIR447" s="268"/>
      <c r="SIS447" s="268"/>
      <c r="SIT447" s="268"/>
      <c r="SIU447" s="268"/>
      <c r="SIV447" s="268"/>
      <c r="SIW447" s="268"/>
      <c r="SIX447" s="268"/>
      <c r="SIY447" s="268"/>
      <c r="SIZ447" s="268"/>
      <c r="SJA447" s="268"/>
      <c r="SJB447" s="268"/>
      <c r="SJC447" s="268"/>
      <c r="SJD447" s="268"/>
      <c r="SJE447" s="268"/>
      <c r="SJF447" s="268"/>
      <c r="SJG447" s="268"/>
      <c r="SJH447" s="268"/>
      <c r="SJI447" s="268"/>
      <c r="SJJ447" s="268"/>
      <c r="SJK447" s="268"/>
      <c r="SJL447" s="268"/>
      <c r="SJM447" s="268"/>
      <c r="SJN447" s="268"/>
      <c r="SJO447" s="268"/>
      <c r="SJP447" s="268"/>
      <c r="SJQ447" s="268"/>
      <c r="SJR447" s="268"/>
      <c r="SJS447" s="268"/>
      <c r="SJT447" s="268"/>
      <c r="SJU447" s="268"/>
      <c r="SJV447" s="268"/>
      <c r="SJW447" s="268"/>
      <c r="SJX447" s="268"/>
      <c r="SJY447" s="268"/>
      <c r="SJZ447" s="268"/>
      <c r="SKA447" s="268"/>
      <c r="SKB447" s="268"/>
      <c r="SKC447" s="268"/>
      <c r="SKD447" s="268"/>
      <c r="SKE447" s="268"/>
      <c r="SKF447" s="268"/>
      <c r="SKG447" s="268"/>
      <c r="SKH447" s="268"/>
      <c r="SKI447" s="268"/>
      <c r="SKJ447" s="268"/>
      <c r="SKK447" s="268"/>
      <c r="SKL447" s="268"/>
      <c r="SKM447" s="268"/>
      <c r="SKN447" s="268"/>
      <c r="SKO447" s="268"/>
      <c r="SKP447" s="268"/>
      <c r="SKQ447" s="268"/>
      <c r="SKR447" s="268"/>
      <c r="SKS447" s="268"/>
      <c r="SKT447" s="268"/>
      <c r="SKU447" s="268"/>
      <c r="SKV447" s="268"/>
      <c r="SKW447" s="268"/>
      <c r="SKX447" s="268"/>
      <c r="SKY447" s="268"/>
      <c r="SKZ447" s="268"/>
      <c r="SLA447" s="268"/>
      <c r="SLB447" s="268"/>
      <c r="SLC447" s="268"/>
      <c r="SLD447" s="268"/>
      <c r="SLE447" s="268"/>
      <c r="SLF447" s="268"/>
      <c r="SLG447" s="268"/>
      <c r="SLH447" s="268"/>
      <c r="SLI447" s="268"/>
      <c r="SLJ447" s="268"/>
      <c r="SLK447" s="268"/>
      <c r="SLL447" s="268"/>
      <c r="SLM447" s="268"/>
      <c r="SLN447" s="268"/>
      <c r="SLO447" s="268"/>
      <c r="SLP447" s="268"/>
      <c r="SLQ447" s="268"/>
      <c r="SLR447" s="268"/>
      <c r="SLS447" s="268"/>
      <c r="SLT447" s="268"/>
      <c r="SLU447" s="268"/>
      <c r="SLV447" s="268"/>
      <c r="SLW447" s="268"/>
      <c r="SLX447" s="268"/>
      <c r="SLY447" s="268"/>
      <c r="SLZ447" s="268"/>
      <c r="SMA447" s="268"/>
      <c r="SMB447" s="268"/>
      <c r="SMC447" s="268"/>
      <c r="SMD447" s="268"/>
      <c r="SME447" s="268"/>
      <c r="SMF447" s="268"/>
      <c r="SMG447" s="268"/>
      <c r="SMH447" s="268"/>
      <c r="SMI447" s="268"/>
      <c r="SMJ447" s="268"/>
      <c r="SMK447" s="268"/>
      <c r="SML447" s="268"/>
      <c r="SMM447" s="268"/>
      <c r="SMN447" s="268"/>
      <c r="SMO447" s="268"/>
      <c r="SMP447" s="268"/>
      <c r="SMQ447" s="268"/>
      <c r="SMR447" s="268"/>
      <c r="SMS447" s="268"/>
      <c r="SMT447" s="268"/>
      <c r="SMU447" s="268"/>
      <c r="SMV447" s="268"/>
      <c r="SMW447" s="268"/>
      <c r="SMX447" s="268"/>
      <c r="SMY447" s="268"/>
      <c r="SMZ447" s="268"/>
      <c r="SNA447" s="268"/>
      <c r="SNB447" s="268"/>
      <c r="SNC447" s="268"/>
      <c r="SND447" s="268"/>
      <c r="SNE447" s="268"/>
      <c r="SNF447" s="268"/>
      <c r="SNG447" s="268"/>
      <c r="SNH447" s="268"/>
      <c r="SNI447" s="268"/>
      <c r="SNJ447" s="268"/>
      <c r="SNK447" s="268"/>
      <c r="SNL447" s="268"/>
      <c r="SNM447" s="268"/>
      <c r="SNN447" s="268"/>
      <c r="SNO447" s="268"/>
      <c r="SNP447" s="268"/>
      <c r="SNQ447" s="268"/>
      <c r="SNR447" s="268"/>
      <c r="SNS447" s="268"/>
      <c r="SNT447" s="268"/>
      <c r="SNU447" s="268"/>
      <c r="SNV447" s="268"/>
      <c r="SNW447" s="268"/>
      <c r="SNX447" s="268"/>
      <c r="SNY447" s="268"/>
      <c r="SNZ447" s="268"/>
      <c r="SOA447" s="268"/>
      <c r="SOB447" s="268"/>
      <c r="SOC447" s="268"/>
      <c r="SOD447" s="268"/>
      <c r="SOE447" s="268"/>
      <c r="SOF447" s="268"/>
      <c r="SOG447" s="268"/>
      <c r="SOH447" s="268"/>
      <c r="SOI447" s="268"/>
      <c r="SOJ447" s="268"/>
      <c r="SOK447" s="268"/>
      <c r="SOL447" s="268"/>
      <c r="SOM447" s="268"/>
      <c r="SON447" s="268"/>
      <c r="SOO447" s="268"/>
      <c r="SOP447" s="268"/>
      <c r="SOQ447" s="268"/>
      <c r="SOR447" s="268"/>
      <c r="SOS447" s="268"/>
      <c r="SOT447" s="268"/>
      <c r="SOU447" s="268"/>
      <c r="SOV447" s="268"/>
      <c r="SOW447" s="268"/>
      <c r="SOX447" s="268"/>
      <c r="SOY447" s="268"/>
      <c r="SOZ447" s="268"/>
      <c r="SPA447" s="268"/>
      <c r="SPB447" s="268"/>
      <c r="SPC447" s="268"/>
      <c r="SPD447" s="268"/>
      <c r="SPE447" s="268"/>
      <c r="SPF447" s="268"/>
      <c r="SPG447" s="268"/>
      <c r="SPH447" s="268"/>
      <c r="SPI447" s="268"/>
      <c r="SPJ447" s="268"/>
      <c r="SPK447" s="268"/>
      <c r="SPL447" s="268"/>
      <c r="SPM447" s="268"/>
      <c r="SPN447" s="268"/>
      <c r="SPO447" s="268"/>
      <c r="SPP447" s="268"/>
      <c r="SPQ447" s="268"/>
      <c r="SPR447" s="268"/>
      <c r="SPS447" s="268"/>
      <c r="SPT447" s="268"/>
      <c r="SPU447" s="268"/>
      <c r="SPV447" s="268"/>
      <c r="SPW447" s="268"/>
      <c r="SPX447" s="268"/>
      <c r="SPY447" s="268"/>
      <c r="SPZ447" s="268"/>
      <c r="SQA447" s="268"/>
      <c r="SQB447" s="268"/>
      <c r="SQC447" s="268"/>
      <c r="SQD447" s="268"/>
      <c r="SQE447" s="268"/>
      <c r="SQF447" s="268"/>
      <c r="SQG447" s="268"/>
      <c r="SQH447" s="268"/>
      <c r="SQI447" s="268"/>
      <c r="SQJ447" s="268"/>
      <c r="SQK447" s="268"/>
      <c r="SQL447" s="268"/>
      <c r="SQM447" s="268"/>
      <c r="SQN447" s="268"/>
      <c r="SQO447" s="268"/>
      <c r="SQP447" s="268"/>
      <c r="SQQ447" s="268"/>
      <c r="SRE447" s="268"/>
      <c r="SRF447" s="268"/>
      <c r="SRG447" s="268"/>
      <c r="SRU447" s="268"/>
      <c r="SRW447" s="268"/>
      <c r="SRX447" s="268"/>
      <c r="SRY447" s="268"/>
      <c r="SRZ447" s="268"/>
      <c r="SSA447" s="268"/>
      <c r="SSB447" s="268"/>
      <c r="SSC447" s="268"/>
      <c r="SSD447" s="268"/>
      <c r="SSE447" s="268"/>
      <c r="SSF447" s="268"/>
      <c r="SSG447" s="268"/>
      <c r="SSH447" s="268"/>
      <c r="SSI447" s="268"/>
      <c r="SSJ447" s="268"/>
      <c r="SSK447" s="268"/>
      <c r="SSL447" s="268"/>
      <c r="SSM447" s="268"/>
      <c r="SSN447" s="268"/>
      <c r="SSO447" s="268"/>
      <c r="SSP447" s="268"/>
      <c r="SSQ447" s="268"/>
      <c r="SSR447" s="268"/>
      <c r="SSS447" s="268"/>
      <c r="SST447" s="268"/>
      <c r="SSU447" s="268"/>
      <c r="SSV447" s="268"/>
      <c r="SSW447" s="268"/>
      <c r="SSX447" s="268"/>
      <c r="SSY447" s="268"/>
      <c r="SSZ447" s="268"/>
      <c r="STA447" s="268"/>
      <c r="STB447" s="268"/>
      <c r="STC447" s="268"/>
      <c r="STD447" s="268"/>
      <c r="STE447" s="268"/>
      <c r="STF447" s="268"/>
      <c r="STG447" s="268"/>
      <c r="STH447" s="268"/>
      <c r="STI447" s="268"/>
      <c r="STJ447" s="268"/>
      <c r="STK447" s="268"/>
      <c r="STL447" s="268"/>
      <c r="STM447" s="268"/>
      <c r="STN447" s="268"/>
      <c r="STO447" s="268"/>
      <c r="STP447" s="268"/>
      <c r="STQ447" s="268"/>
      <c r="STR447" s="268"/>
      <c r="STS447" s="268"/>
      <c r="STT447" s="268"/>
      <c r="STU447" s="268"/>
      <c r="STV447" s="268"/>
      <c r="STW447" s="268"/>
      <c r="STX447" s="268"/>
      <c r="STY447" s="268"/>
      <c r="STZ447" s="268"/>
      <c r="SUA447" s="268"/>
      <c r="SUB447" s="268"/>
      <c r="SUC447" s="268"/>
      <c r="SUD447" s="268"/>
      <c r="SUE447" s="268"/>
      <c r="SUF447" s="268"/>
      <c r="SUG447" s="268"/>
      <c r="SUH447" s="268"/>
      <c r="SUI447" s="268"/>
      <c r="SUJ447" s="268"/>
      <c r="SUK447" s="268"/>
      <c r="SUL447" s="268"/>
      <c r="SUM447" s="268"/>
      <c r="SUN447" s="268"/>
      <c r="SUO447" s="268"/>
      <c r="SUP447" s="268"/>
      <c r="SUQ447" s="268"/>
      <c r="SUR447" s="268"/>
      <c r="SUS447" s="268"/>
      <c r="SUT447" s="268"/>
      <c r="SUU447" s="268"/>
      <c r="SUV447" s="268"/>
      <c r="SUW447" s="268"/>
      <c r="SUX447" s="268"/>
      <c r="SUY447" s="268"/>
      <c r="SUZ447" s="268"/>
      <c r="SVA447" s="268"/>
      <c r="SVB447" s="268"/>
      <c r="SVC447" s="268"/>
      <c r="SVD447" s="268"/>
      <c r="SVE447" s="268"/>
      <c r="SVF447" s="268"/>
      <c r="SVG447" s="268"/>
      <c r="SVH447" s="268"/>
      <c r="SVI447" s="268"/>
      <c r="SVJ447" s="268"/>
      <c r="SVK447" s="268"/>
      <c r="SVL447" s="268"/>
      <c r="SVM447" s="268"/>
      <c r="SVN447" s="268"/>
      <c r="SVO447" s="268"/>
      <c r="SVP447" s="268"/>
      <c r="SVQ447" s="268"/>
      <c r="SVR447" s="268"/>
      <c r="SVS447" s="268"/>
      <c r="SVT447" s="268"/>
      <c r="SVU447" s="268"/>
      <c r="SVV447" s="268"/>
      <c r="SVW447" s="268"/>
      <c r="SVX447" s="268"/>
      <c r="SVY447" s="268"/>
      <c r="SVZ447" s="268"/>
      <c r="SWA447" s="268"/>
      <c r="SWB447" s="268"/>
      <c r="SWC447" s="268"/>
      <c r="SWD447" s="268"/>
      <c r="SWE447" s="268"/>
      <c r="SWF447" s="268"/>
      <c r="SWG447" s="268"/>
      <c r="SWH447" s="268"/>
      <c r="SWI447" s="268"/>
      <c r="SWJ447" s="268"/>
      <c r="SWK447" s="268"/>
      <c r="SWL447" s="268"/>
      <c r="SWM447" s="268"/>
      <c r="SWN447" s="268"/>
      <c r="SWO447" s="268"/>
      <c r="SWP447" s="268"/>
      <c r="SWQ447" s="268"/>
      <c r="SWR447" s="268"/>
      <c r="SWS447" s="268"/>
      <c r="SWT447" s="268"/>
      <c r="SWU447" s="268"/>
      <c r="SWV447" s="268"/>
      <c r="SWW447" s="268"/>
      <c r="SWX447" s="268"/>
      <c r="SWY447" s="268"/>
      <c r="SWZ447" s="268"/>
      <c r="SXA447" s="268"/>
      <c r="SXB447" s="268"/>
      <c r="SXC447" s="268"/>
      <c r="SXD447" s="268"/>
      <c r="SXE447" s="268"/>
      <c r="SXF447" s="268"/>
      <c r="SXG447" s="268"/>
      <c r="SXH447" s="268"/>
      <c r="SXI447" s="268"/>
      <c r="SXJ447" s="268"/>
      <c r="SXK447" s="268"/>
      <c r="SXL447" s="268"/>
      <c r="SXM447" s="268"/>
      <c r="SXN447" s="268"/>
      <c r="SXO447" s="268"/>
      <c r="SXP447" s="268"/>
      <c r="SXQ447" s="268"/>
      <c r="SXR447" s="268"/>
      <c r="SXS447" s="268"/>
      <c r="SXT447" s="268"/>
      <c r="SXU447" s="268"/>
      <c r="SXV447" s="268"/>
      <c r="SXW447" s="268"/>
      <c r="SXX447" s="268"/>
      <c r="SXY447" s="268"/>
      <c r="SXZ447" s="268"/>
      <c r="SYA447" s="268"/>
      <c r="SYB447" s="268"/>
      <c r="SYC447" s="268"/>
      <c r="SYD447" s="268"/>
      <c r="SYE447" s="268"/>
      <c r="SYF447" s="268"/>
      <c r="SYG447" s="268"/>
      <c r="SYH447" s="268"/>
      <c r="SYI447" s="268"/>
      <c r="SYJ447" s="268"/>
      <c r="SYK447" s="268"/>
      <c r="SYL447" s="268"/>
      <c r="SYM447" s="268"/>
      <c r="SYN447" s="268"/>
      <c r="SYO447" s="268"/>
      <c r="SYP447" s="268"/>
      <c r="SYQ447" s="268"/>
      <c r="SYR447" s="268"/>
      <c r="SYS447" s="268"/>
      <c r="SYT447" s="268"/>
      <c r="SYU447" s="268"/>
      <c r="SYV447" s="268"/>
      <c r="SYW447" s="268"/>
      <c r="SYX447" s="268"/>
      <c r="SYY447" s="268"/>
      <c r="SYZ447" s="268"/>
      <c r="SZA447" s="268"/>
      <c r="SZB447" s="268"/>
      <c r="SZC447" s="268"/>
      <c r="SZD447" s="268"/>
      <c r="SZE447" s="268"/>
      <c r="SZF447" s="268"/>
      <c r="SZG447" s="268"/>
      <c r="SZH447" s="268"/>
      <c r="SZI447" s="268"/>
      <c r="SZJ447" s="268"/>
      <c r="SZK447" s="268"/>
      <c r="SZL447" s="268"/>
      <c r="SZM447" s="268"/>
      <c r="SZN447" s="268"/>
      <c r="SZO447" s="268"/>
      <c r="SZP447" s="268"/>
      <c r="SZQ447" s="268"/>
      <c r="SZR447" s="268"/>
      <c r="SZS447" s="268"/>
      <c r="SZT447" s="268"/>
      <c r="SZU447" s="268"/>
      <c r="SZV447" s="268"/>
      <c r="SZW447" s="268"/>
      <c r="SZX447" s="268"/>
      <c r="SZY447" s="268"/>
      <c r="SZZ447" s="268"/>
      <c r="TAA447" s="268"/>
      <c r="TAB447" s="268"/>
      <c r="TAC447" s="268"/>
      <c r="TAD447" s="268"/>
      <c r="TAE447" s="268"/>
      <c r="TAF447" s="268"/>
      <c r="TAG447" s="268"/>
      <c r="TAH447" s="268"/>
      <c r="TAI447" s="268"/>
      <c r="TAJ447" s="268"/>
      <c r="TAK447" s="268"/>
      <c r="TAL447" s="268"/>
      <c r="TAM447" s="268"/>
      <c r="TBA447" s="268"/>
      <c r="TBB447" s="268"/>
      <c r="TBC447" s="268"/>
      <c r="TBQ447" s="268"/>
      <c r="TBS447" s="268"/>
      <c r="TBT447" s="268"/>
      <c r="TBU447" s="268"/>
      <c r="TBV447" s="268"/>
      <c r="TBW447" s="268"/>
      <c r="TBX447" s="268"/>
      <c r="TBY447" s="268"/>
      <c r="TBZ447" s="268"/>
      <c r="TCA447" s="268"/>
      <c r="TCB447" s="268"/>
      <c r="TCC447" s="268"/>
      <c r="TCD447" s="268"/>
      <c r="TCE447" s="268"/>
      <c r="TCF447" s="268"/>
      <c r="TCG447" s="268"/>
      <c r="TCH447" s="268"/>
      <c r="TCI447" s="268"/>
      <c r="TCJ447" s="268"/>
      <c r="TCK447" s="268"/>
      <c r="TCL447" s="268"/>
      <c r="TCM447" s="268"/>
      <c r="TCN447" s="268"/>
      <c r="TCO447" s="268"/>
      <c r="TCP447" s="268"/>
      <c r="TCQ447" s="268"/>
      <c r="TCR447" s="268"/>
      <c r="TCS447" s="268"/>
      <c r="TCT447" s="268"/>
      <c r="TCU447" s="268"/>
      <c r="TCV447" s="268"/>
      <c r="TCW447" s="268"/>
      <c r="TCX447" s="268"/>
      <c r="TCY447" s="268"/>
      <c r="TCZ447" s="268"/>
      <c r="TDA447" s="268"/>
      <c r="TDB447" s="268"/>
      <c r="TDC447" s="268"/>
      <c r="TDD447" s="268"/>
      <c r="TDE447" s="268"/>
      <c r="TDF447" s="268"/>
      <c r="TDG447" s="268"/>
      <c r="TDH447" s="268"/>
      <c r="TDI447" s="268"/>
      <c r="TDJ447" s="268"/>
      <c r="TDK447" s="268"/>
      <c r="TDL447" s="268"/>
      <c r="TDM447" s="268"/>
      <c r="TDN447" s="268"/>
      <c r="TDO447" s="268"/>
      <c r="TDP447" s="268"/>
      <c r="TDQ447" s="268"/>
      <c r="TDR447" s="268"/>
      <c r="TDS447" s="268"/>
      <c r="TDT447" s="268"/>
      <c r="TDU447" s="268"/>
      <c r="TDV447" s="268"/>
      <c r="TDW447" s="268"/>
      <c r="TDX447" s="268"/>
      <c r="TDY447" s="268"/>
      <c r="TDZ447" s="268"/>
      <c r="TEA447" s="268"/>
      <c r="TEB447" s="268"/>
      <c r="TEC447" s="268"/>
      <c r="TED447" s="268"/>
      <c r="TEE447" s="268"/>
      <c r="TEF447" s="268"/>
      <c r="TEG447" s="268"/>
      <c r="TEH447" s="268"/>
      <c r="TEI447" s="268"/>
      <c r="TEJ447" s="268"/>
      <c r="TEK447" s="268"/>
      <c r="TEL447" s="268"/>
      <c r="TEM447" s="268"/>
      <c r="TEN447" s="268"/>
      <c r="TEO447" s="268"/>
      <c r="TEP447" s="268"/>
      <c r="TEQ447" s="268"/>
      <c r="TER447" s="268"/>
      <c r="TES447" s="268"/>
      <c r="TET447" s="268"/>
      <c r="TEU447" s="268"/>
      <c r="TEV447" s="268"/>
      <c r="TEW447" s="268"/>
      <c r="TEX447" s="268"/>
      <c r="TEY447" s="268"/>
      <c r="TEZ447" s="268"/>
      <c r="TFA447" s="268"/>
      <c r="TFB447" s="268"/>
      <c r="TFC447" s="268"/>
      <c r="TFD447" s="268"/>
      <c r="TFE447" s="268"/>
      <c r="TFF447" s="268"/>
      <c r="TFG447" s="268"/>
      <c r="TFH447" s="268"/>
      <c r="TFI447" s="268"/>
      <c r="TFJ447" s="268"/>
      <c r="TFK447" s="268"/>
      <c r="TFL447" s="268"/>
      <c r="TFM447" s="268"/>
      <c r="TFN447" s="268"/>
      <c r="TFO447" s="268"/>
      <c r="TFP447" s="268"/>
      <c r="TFQ447" s="268"/>
      <c r="TFR447" s="268"/>
      <c r="TFS447" s="268"/>
      <c r="TFT447" s="268"/>
      <c r="TFU447" s="268"/>
      <c r="TFV447" s="268"/>
      <c r="TFW447" s="268"/>
      <c r="TFX447" s="268"/>
      <c r="TFY447" s="268"/>
      <c r="TFZ447" s="268"/>
      <c r="TGA447" s="268"/>
      <c r="TGB447" s="268"/>
      <c r="TGC447" s="268"/>
      <c r="TGD447" s="268"/>
      <c r="TGE447" s="268"/>
      <c r="TGF447" s="268"/>
      <c r="TGG447" s="268"/>
      <c r="TGH447" s="268"/>
      <c r="TGI447" s="268"/>
      <c r="TGJ447" s="268"/>
      <c r="TGK447" s="268"/>
      <c r="TGL447" s="268"/>
      <c r="TGM447" s="268"/>
      <c r="TGN447" s="268"/>
      <c r="TGO447" s="268"/>
      <c r="TGP447" s="268"/>
      <c r="TGQ447" s="268"/>
      <c r="TGR447" s="268"/>
      <c r="TGS447" s="268"/>
      <c r="TGT447" s="268"/>
      <c r="TGU447" s="268"/>
      <c r="TGV447" s="268"/>
      <c r="TGW447" s="268"/>
      <c r="TGX447" s="268"/>
      <c r="TGY447" s="268"/>
      <c r="TGZ447" s="268"/>
      <c r="THA447" s="268"/>
      <c r="THB447" s="268"/>
      <c r="THC447" s="268"/>
      <c r="THD447" s="268"/>
      <c r="THE447" s="268"/>
      <c r="THF447" s="268"/>
      <c r="THG447" s="268"/>
      <c r="THH447" s="268"/>
      <c r="THI447" s="268"/>
      <c r="THJ447" s="268"/>
      <c r="THK447" s="268"/>
      <c r="THL447" s="268"/>
      <c r="THM447" s="268"/>
      <c r="THN447" s="268"/>
      <c r="THO447" s="268"/>
      <c r="THP447" s="268"/>
      <c r="THQ447" s="268"/>
      <c r="THR447" s="268"/>
      <c r="THS447" s="268"/>
      <c r="THT447" s="268"/>
      <c r="THU447" s="268"/>
      <c r="THV447" s="268"/>
      <c r="THW447" s="268"/>
      <c r="THX447" s="268"/>
      <c r="THY447" s="268"/>
      <c r="THZ447" s="268"/>
      <c r="TIA447" s="268"/>
      <c r="TIB447" s="268"/>
      <c r="TIC447" s="268"/>
      <c r="TID447" s="268"/>
      <c r="TIE447" s="268"/>
      <c r="TIF447" s="268"/>
      <c r="TIG447" s="268"/>
      <c r="TIH447" s="268"/>
      <c r="TII447" s="268"/>
      <c r="TIJ447" s="268"/>
      <c r="TIK447" s="268"/>
      <c r="TIL447" s="268"/>
      <c r="TIM447" s="268"/>
      <c r="TIN447" s="268"/>
      <c r="TIO447" s="268"/>
      <c r="TIP447" s="268"/>
      <c r="TIQ447" s="268"/>
      <c r="TIR447" s="268"/>
      <c r="TIS447" s="268"/>
      <c r="TIT447" s="268"/>
      <c r="TIU447" s="268"/>
      <c r="TIV447" s="268"/>
      <c r="TIW447" s="268"/>
      <c r="TIX447" s="268"/>
      <c r="TIY447" s="268"/>
      <c r="TIZ447" s="268"/>
      <c r="TJA447" s="268"/>
      <c r="TJB447" s="268"/>
      <c r="TJC447" s="268"/>
      <c r="TJD447" s="268"/>
      <c r="TJE447" s="268"/>
      <c r="TJF447" s="268"/>
      <c r="TJG447" s="268"/>
      <c r="TJH447" s="268"/>
      <c r="TJI447" s="268"/>
      <c r="TJJ447" s="268"/>
      <c r="TJK447" s="268"/>
      <c r="TJL447" s="268"/>
      <c r="TJM447" s="268"/>
      <c r="TJN447" s="268"/>
      <c r="TJO447" s="268"/>
      <c r="TJP447" s="268"/>
      <c r="TJQ447" s="268"/>
      <c r="TJR447" s="268"/>
      <c r="TJS447" s="268"/>
      <c r="TJT447" s="268"/>
      <c r="TJU447" s="268"/>
      <c r="TJV447" s="268"/>
      <c r="TJW447" s="268"/>
      <c r="TJX447" s="268"/>
      <c r="TJY447" s="268"/>
      <c r="TJZ447" s="268"/>
      <c r="TKA447" s="268"/>
      <c r="TKB447" s="268"/>
      <c r="TKC447" s="268"/>
      <c r="TKD447" s="268"/>
      <c r="TKE447" s="268"/>
      <c r="TKF447" s="268"/>
      <c r="TKG447" s="268"/>
      <c r="TKH447" s="268"/>
      <c r="TKI447" s="268"/>
      <c r="TKW447" s="268"/>
      <c r="TKX447" s="268"/>
      <c r="TKY447" s="268"/>
      <c r="TLM447" s="268"/>
      <c r="TLO447" s="268"/>
      <c r="TLP447" s="268"/>
      <c r="TLQ447" s="268"/>
      <c r="TLR447" s="268"/>
      <c r="TLS447" s="268"/>
      <c r="TLT447" s="268"/>
      <c r="TLU447" s="268"/>
      <c r="TLV447" s="268"/>
      <c r="TLW447" s="268"/>
      <c r="TLX447" s="268"/>
      <c r="TLY447" s="268"/>
      <c r="TLZ447" s="268"/>
      <c r="TMA447" s="268"/>
      <c r="TMB447" s="268"/>
      <c r="TMC447" s="268"/>
      <c r="TMD447" s="268"/>
      <c r="TME447" s="268"/>
      <c r="TMF447" s="268"/>
      <c r="TMG447" s="268"/>
      <c r="TMH447" s="268"/>
      <c r="TMI447" s="268"/>
      <c r="TMJ447" s="268"/>
      <c r="TMK447" s="268"/>
      <c r="TML447" s="268"/>
      <c r="TMM447" s="268"/>
      <c r="TMN447" s="268"/>
      <c r="TMO447" s="268"/>
      <c r="TMP447" s="268"/>
      <c r="TMQ447" s="268"/>
      <c r="TMR447" s="268"/>
      <c r="TMS447" s="268"/>
      <c r="TMT447" s="268"/>
      <c r="TMU447" s="268"/>
      <c r="TMV447" s="268"/>
      <c r="TMW447" s="268"/>
      <c r="TMX447" s="268"/>
      <c r="TMY447" s="268"/>
      <c r="TMZ447" s="268"/>
      <c r="TNA447" s="268"/>
      <c r="TNB447" s="268"/>
      <c r="TNC447" s="268"/>
      <c r="TND447" s="268"/>
      <c r="TNE447" s="268"/>
      <c r="TNF447" s="268"/>
      <c r="TNG447" s="268"/>
      <c r="TNH447" s="268"/>
      <c r="TNI447" s="268"/>
      <c r="TNJ447" s="268"/>
      <c r="TNK447" s="268"/>
      <c r="TNL447" s="268"/>
      <c r="TNM447" s="268"/>
      <c r="TNN447" s="268"/>
      <c r="TNO447" s="268"/>
      <c r="TNP447" s="268"/>
      <c r="TNQ447" s="268"/>
      <c r="TNR447" s="268"/>
      <c r="TNS447" s="268"/>
      <c r="TNT447" s="268"/>
      <c r="TNU447" s="268"/>
      <c r="TNV447" s="268"/>
      <c r="TNW447" s="268"/>
      <c r="TNX447" s="268"/>
      <c r="TNY447" s="268"/>
      <c r="TNZ447" s="268"/>
      <c r="TOA447" s="268"/>
      <c r="TOB447" s="268"/>
      <c r="TOC447" s="268"/>
      <c r="TOD447" s="268"/>
      <c r="TOE447" s="268"/>
      <c r="TOF447" s="268"/>
      <c r="TOG447" s="268"/>
      <c r="TOH447" s="268"/>
      <c r="TOI447" s="268"/>
      <c r="TOJ447" s="268"/>
      <c r="TOK447" s="268"/>
      <c r="TOL447" s="268"/>
      <c r="TOM447" s="268"/>
      <c r="TON447" s="268"/>
      <c r="TOO447" s="268"/>
      <c r="TOP447" s="268"/>
      <c r="TOQ447" s="268"/>
      <c r="TOR447" s="268"/>
      <c r="TOS447" s="268"/>
      <c r="TOT447" s="268"/>
      <c r="TOU447" s="268"/>
      <c r="TOV447" s="268"/>
      <c r="TOW447" s="268"/>
      <c r="TOX447" s="268"/>
      <c r="TOY447" s="268"/>
      <c r="TOZ447" s="268"/>
      <c r="TPA447" s="268"/>
      <c r="TPB447" s="268"/>
      <c r="TPC447" s="268"/>
      <c r="TPD447" s="268"/>
      <c r="TPE447" s="268"/>
      <c r="TPF447" s="268"/>
      <c r="TPG447" s="268"/>
      <c r="TPH447" s="268"/>
      <c r="TPI447" s="268"/>
      <c r="TPJ447" s="268"/>
      <c r="TPK447" s="268"/>
      <c r="TPL447" s="268"/>
      <c r="TPM447" s="268"/>
      <c r="TPN447" s="268"/>
      <c r="TPO447" s="268"/>
      <c r="TPP447" s="268"/>
      <c r="TPQ447" s="268"/>
      <c r="TPR447" s="268"/>
      <c r="TPS447" s="268"/>
      <c r="TPT447" s="268"/>
      <c r="TPU447" s="268"/>
      <c r="TPV447" s="268"/>
      <c r="TPW447" s="268"/>
      <c r="TPX447" s="268"/>
      <c r="TPY447" s="268"/>
      <c r="TPZ447" s="268"/>
      <c r="TQA447" s="268"/>
      <c r="TQB447" s="268"/>
      <c r="TQC447" s="268"/>
      <c r="TQD447" s="268"/>
      <c r="TQE447" s="268"/>
      <c r="TQF447" s="268"/>
      <c r="TQG447" s="268"/>
      <c r="TQH447" s="268"/>
      <c r="TQI447" s="268"/>
      <c r="TQJ447" s="268"/>
      <c r="TQK447" s="268"/>
      <c r="TQL447" s="268"/>
      <c r="TQM447" s="268"/>
      <c r="TQN447" s="268"/>
      <c r="TQO447" s="268"/>
      <c r="TQP447" s="268"/>
      <c r="TQQ447" s="268"/>
      <c r="TQR447" s="268"/>
      <c r="TQS447" s="268"/>
      <c r="TQT447" s="268"/>
      <c r="TQU447" s="268"/>
      <c r="TQV447" s="268"/>
      <c r="TQW447" s="268"/>
      <c r="TQX447" s="268"/>
      <c r="TQY447" s="268"/>
      <c r="TQZ447" s="268"/>
      <c r="TRA447" s="268"/>
      <c r="TRB447" s="268"/>
      <c r="TRC447" s="268"/>
      <c r="TRD447" s="268"/>
      <c r="TRE447" s="268"/>
      <c r="TRF447" s="268"/>
      <c r="TRG447" s="268"/>
      <c r="TRH447" s="268"/>
      <c r="TRI447" s="268"/>
      <c r="TRJ447" s="268"/>
      <c r="TRK447" s="268"/>
      <c r="TRL447" s="268"/>
      <c r="TRM447" s="268"/>
      <c r="TRN447" s="268"/>
      <c r="TRO447" s="268"/>
      <c r="TRP447" s="268"/>
      <c r="TRQ447" s="268"/>
      <c r="TRR447" s="268"/>
      <c r="TRS447" s="268"/>
      <c r="TRT447" s="268"/>
      <c r="TRU447" s="268"/>
      <c r="TRV447" s="268"/>
      <c r="TRW447" s="268"/>
      <c r="TRX447" s="268"/>
      <c r="TRY447" s="268"/>
      <c r="TRZ447" s="268"/>
      <c r="TSA447" s="268"/>
      <c r="TSB447" s="268"/>
      <c r="TSC447" s="268"/>
      <c r="TSD447" s="268"/>
      <c r="TSE447" s="268"/>
      <c r="TSF447" s="268"/>
      <c r="TSG447" s="268"/>
      <c r="TSH447" s="268"/>
      <c r="TSI447" s="268"/>
      <c r="TSJ447" s="268"/>
      <c r="TSK447" s="268"/>
      <c r="TSL447" s="268"/>
      <c r="TSM447" s="268"/>
      <c r="TSN447" s="268"/>
      <c r="TSO447" s="268"/>
      <c r="TSP447" s="268"/>
      <c r="TSQ447" s="268"/>
      <c r="TSR447" s="268"/>
      <c r="TSS447" s="268"/>
      <c r="TST447" s="268"/>
      <c r="TSU447" s="268"/>
      <c r="TSV447" s="268"/>
      <c r="TSW447" s="268"/>
      <c r="TSX447" s="268"/>
      <c r="TSY447" s="268"/>
      <c r="TSZ447" s="268"/>
      <c r="TTA447" s="268"/>
      <c r="TTB447" s="268"/>
      <c r="TTC447" s="268"/>
      <c r="TTD447" s="268"/>
      <c r="TTE447" s="268"/>
      <c r="TTF447" s="268"/>
      <c r="TTG447" s="268"/>
      <c r="TTH447" s="268"/>
      <c r="TTI447" s="268"/>
      <c r="TTJ447" s="268"/>
      <c r="TTK447" s="268"/>
      <c r="TTL447" s="268"/>
      <c r="TTM447" s="268"/>
      <c r="TTN447" s="268"/>
      <c r="TTO447" s="268"/>
      <c r="TTP447" s="268"/>
      <c r="TTQ447" s="268"/>
      <c r="TTR447" s="268"/>
      <c r="TTS447" s="268"/>
      <c r="TTT447" s="268"/>
      <c r="TTU447" s="268"/>
      <c r="TTV447" s="268"/>
      <c r="TTW447" s="268"/>
      <c r="TTX447" s="268"/>
      <c r="TTY447" s="268"/>
      <c r="TTZ447" s="268"/>
      <c r="TUA447" s="268"/>
      <c r="TUB447" s="268"/>
      <c r="TUC447" s="268"/>
      <c r="TUD447" s="268"/>
      <c r="TUE447" s="268"/>
      <c r="TUS447" s="268"/>
      <c r="TUT447" s="268"/>
      <c r="TUU447" s="268"/>
      <c r="TVI447" s="268"/>
      <c r="TVK447" s="268"/>
      <c r="TVL447" s="268"/>
      <c r="TVM447" s="268"/>
      <c r="TVN447" s="268"/>
      <c r="TVO447" s="268"/>
      <c r="TVP447" s="268"/>
      <c r="TVQ447" s="268"/>
      <c r="TVR447" s="268"/>
      <c r="TVS447" s="268"/>
      <c r="TVT447" s="268"/>
      <c r="TVU447" s="268"/>
      <c r="TVV447" s="268"/>
      <c r="TVW447" s="268"/>
      <c r="TVX447" s="268"/>
      <c r="TVY447" s="268"/>
      <c r="TVZ447" s="268"/>
      <c r="TWA447" s="268"/>
      <c r="TWB447" s="268"/>
      <c r="TWC447" s="268"/>
      <c r="TWD447" s="268"/>
      <c r="TWE447" s="268"/>
      <c r="TWF447" s="268"/>
      <c r="TWG447" s="268"/>
      <c r="TWH447" s="268"/>
      <c r="TWI447" s="268"/>
      <c r="TWJ447" s="268"/>
      <c r="TWK447" s="268"/>
      <c r="TWL447" s="268"/>
      <c r="TWM447" s="268"/>
      <c r="TWN447" s="268"/>
      <c r="TWO447" s="268"/>
      <c r="TWP447" s="268"/>
      <c r="TWQ447" s="268"/>
      <c r="TWR447" s="268"/>
      <c r="TWS447" s="268"/>
      <c r="TWT447" s="268"/>
      <c r="TWU447" s="268"/>
      <c r="TWV447" s="268"/>
      <c r="TWW447" s="268"/>
      <c r="TWX447" s="268"/>
      <c r="TWY447" s="268"/>
      <c r="TWZ447" s="268"/>
      <c r="TXA447" s="268"/>
      <c r="TXB447" s="268"/>
      <c r="TXC447" s="268"/>
      <c r="TXD447" s="268"/>
      <c r="TXE447" s="268"/>
      <c r="TXF447" s="268"/>
      <c r="TXG447" s="268"/>
      <c r="TXH447" s="268"/>
      <c r="TXI447" s="268"/>
      <c r="TXJ447" s="268"/>
      <c r="TXK447" s="268"/>
      <c r="TXL447" s="268"/>
      <c r="TXM447" s="268"/>
      <c r="TXN447" s="268"/>
      <c r="TXO447" s="268"/>
      <c r="TXP447" s="268"/>
      <c r="TXQ447" s="268"/>
      <c r="TXR447" s="268"/>
      <c r="TXS447" s="268"/>
      <c r="TXT447" s="268"/>
      <c r="TXU447" s="268"/>
      <c r="TXV447" s="268"/>
      <c r="TXW447" s="268"/>
      <c r="TXX447" s="268"/>
      <c r="TXY447" s="268"/>
      <c r="TXZ447" s="268"/>
      <c r="TYA447" s="268"/>
      <c r="TYB447" s="268"/>
      <c r="TYC447" s="268"/>
      <c r="TYD447" s="268"/>
      <c r="TYE447" s="268"/>
      <c r="TYF447" s="268"/>
      <c r="TYG447" s="268"/>
      <c r="TYH447" s="268"/>
      <c r="TYI447" s="268"/>
      <c r="TYJ447" s="268"/>
      <c r="TYK447" s="268"/>
      <c r="TYL447" s="268"/>
      <c r="TYM447" s="268"/>
      <c r="TYN447" s="268"/>
      <c r="TYO447" s="268"/>
      <c r="TYP447" s="268"/>
      <c r="TYQ447" s="268"/>
      <c r="TYR447" s="268"/>
      <c r="TYS447" s="268"/>
      <c r="TYT447" s="268"/>
      <c r="TYU447" s="268"/>
      <c r="TYV447" s="268"/>
      <c r="TYW447" s="268"/>
      <c r="TYX447" s="268"/>
      <c r="TYY447" s="268"/>
      <c r="TYZ447" s="268"/>
      <c r="TZA447" s="268"/>
      <c r="TZB447" s="268"/>
      <c r="TZC447" s="268"/>
      <c r="TZD447" s="268"/>
      <c r="TZE447" s="268"/>
      <c r="TZF447" s="268"/>
      <c r="TZG447" s="268"/>
      <c r="TZH447" s="268"/>
      <c r="TZI447" s="268"/>
      <c r="TZJ447" s="268"/>
      <c r="TZK447" s="268"/>
      <c r="TZL447" s="268"/>
      <c r="TZM447" s="268"/>
      <c r="TZN447" s="268"/>
      <c r="TZO447" s="268"/>
      <c r="TZP447" s="268"/>
      <c r="TZQ447" s="268"/>
      <c r="TZR447" s="268"/>
      <c r="TZS447" s="268"/>
      <c r="TZT447" s="268"/>
      <c r="TZU447" s="268"/>
      <c r="TZV447" s="268"/>
      <c r="TZW447" s="268"/>
      <c r="TZX447" s="268"/>
      <c r="TZY447" s="268"/>
      <c r="TZZ447" s="268"/>
      <c r="UAA447" s="268"/>
      <c r="UAB447" s="268"/>
      <c r="UAC447" s="268"/>
      <c r="UAD447" s="268"/>
      <c r="UAE447" s="268"/>
      <c r="UAF447" s="268"/>
      <c r="UAG447" s="268"/>
      <c r="UAH447" s="268"/>
      <c r="UAI447" s="268"/>
      <c r="UAJ447" s="268"/>
      <c r="UAK447" s="268"/>
      <c r="UAL447" s="268"/>
      <c r="UAM447" s="268"/>
      <c r="UAN447" s="268"/>
      <c r="UAO447" s="268"/>
      <c r="UAP447" s="268"/>
      <c r="UAQ447" s="268"/>
      <c r="UAR447" s="268"/>
      <c r="UAS447" s="268"/>
      <c r="UAT447" s="268"/>
      <c r="UAU447" s="268"/>
      <c r="UAV447" s="268"/>
      <c r="UAW447" s="268"/>
      <c r="UAX447" s="268"/>
      <c r="UAY447" s="268"/>
      <c r="UAZ447" s="268"/>
      <c r="UBA447" s="268"/>
      <c r="UBB447" s="268"/>
      <c r="UBC447" s="268"/>
      <c r="UBD447" s="268"/>
      <c r="UBE447" s="268"/>
      <c r="UBF447" s="268"/>
      <c r="UBG447" s="268"/>
      <c r="UBH447" s="268"/>
      <c r="UBI447" s="268"/>
      <c r="UBJ447" s="268"/>
      <c r="UBK447" s="268"/>
      <c r="UBL447" s="268"/>
      <c r="UBM447" s="268"/>
      <c r="UBN447" s="268"/>
      <c r="UBO447" s="268"/>
      <c r="UBP447" s="268"/>
      <c r="UBQ447" s="268"/>
      <c r="UBR447" s="268"/>
      <c r="UBS447" s="268"/>
      <c r="UBT447" s="268"/>
      <c r="UBU447" s="268"/>
      <c r="UBV447" s="268"/>
      <c r="UBW447" s="268"/>
      <c r="UBX447" s="268"/>
      <c r="UBY447" s="268"/>
      <c r="UBZ447" s="268"/>
      <c r="UCA447" s="268"/>
      <c r="UCB447" s="268"/>
      <c r="UCC447" s="268"/>
      <c r="UCD447" s="268"/>
      <c r="UCE447" s="268"/>
      <c r="UCF447" s="268"/>
      <c r="UCG447" s="268"/>
      <c r="UCH447" s="268"/>
      <c r="UCI447" s="268"/>
      <c r="UCJ447" s="268"/>
      <c r="UCK447" s="268"/>
      <c r="UCL447" s="268"/>
      <c r="UCM447" s="268"/>
      <c r="UCN447" s="268"/>
      <c r="UCO447" s="268"/>
      <c r="UCP447" s="268"/>
      <c r="UCQ447" s="268"/>
      <c r="UCR447" s="268"/>
      <c r="UCS447" s="268"/>
      <c r="UCT447" s="268"/>
      <c r="UCU447" s="268"/>
      <c r="UCV447" s="268"/>
      <c r="UCW447" s="268"/>
      <c r="UCX447" s="268"/>
      <c r="UCY447" s="268"/>
      <c r="UCZ447" s="268"/>
      <c r="UDA447" s="268"/>
      <c r="UDB447" s="268"/>
      <c r="UDC447" s="268"/>
      <c r="UDD447" s="268"/>
      <c r="UDE447" s="268"/>
      <c r="UDF447" s="268"/>
      <c r="UDG447" s="268"/>
      <c r="UDH447" s="268"/>
      <c r="UDI447" s="268"/>
      <c r="UDJ447" s="268"/>
      <c r="UDK447" s="268"/>
      <c r="UDL447" s="268"/>
      <c r="UDM447" s="268"/>
      <c r="UDN447" s="268"/>
      <c r="UDO447" s="268"/>
      <c r="UDP447" s="268"/>
      <c r="UDQ447" s="268"/>
      <c r="UDR447" s="268"/>
      <c r="UDS447" s="268"/>
      <c r="UDT447" s="268"/>
      <c r="UDU447" s="268"/>
      <c r="UDV447" s="268"/>
      <c r="UDW447" s="268"/>
      <c r="UDX447" s="268"/>
      <c r="UDY447" s="268"/>
      <c r="UDZ447" s="268"/>
      <c r="UEA447" s="268"/>
      <c r="UEO447" s="268"/>
      <c r="UEP447" s="268"/>
      <c r="UEQ447" s="268"/>
      <c r="UFE447" s="268"/>
      <c r="UFG447" s="268"/>
      <c r="UFH447" s="268"/>
      <c r="UFI447" s="268"/>
      <c r="UFJ447" s="268"/>
      <c r="UFK447" s="268"/>
      <c r="UFL447" s="268"/>
      <c r="UFM447" s="268"/>
      <c r="UFN447" s="268"/>
      <c r="UFO447" s="268"/>
      <c r="UFP447" s="268"/>
      <c r="UFQ447" s="268"/>
      <c r="UFR447" s="268"/>
      <c r="UFS447" s="268"/>
      <c r="UFT447" s="268"/>
      <c r="UFU447" s="268"/>
      <c r="UFV447" s="268"/>
      <c r="UFW447" s="268"/>
      <c r="UFX447" s="268"/>
      <c r="UFY447" s="268"/>
      <c r="UFZ447" s="268"/>
      <c r="UGA447" s="268"/>
      <c r="UGB447" s="268"/>
      <c r="UGC447" s="268"/>
      <c r="UGD447" s="268"/>
      <c r="UGE447" s="268"/>
      <c r="UGF447" s="268"/>
      <c r="UGG447" s="268"/>
      <c r="UGH447" s="268"/>
      <c r="UGI447" s="268"/>
      <c r="UGJ447" s="268"/>
      <c r="UGK447" s="268"/>
      <c r="UGL447" s="268"/>
      <c r="UGM447" s="268"/>
      <c r="UGN447" s="268"/>
      <c r="UGO447" s="268"/>
      <c r="UGP447" s="268"/>
      <c r="UGQ447" s="268"/>
      <c r="UGR447" s="268"/>
      <c r="UGS447" s="268"/>
      <c r="UGT447" s="268"/>
      <c r="UGU447" s="268"/>
      <c r="UGV447" s="268"/>
      <c r="UGW447" s="268"/>
      <c r="UGX447" s="268"/>
      <c r="UGY447" s="268"/>
      <c r="UGZ447" s="268"/>
      <c r="UHA447" s="268"/>
      <c r="UHB447" s="268"/>
      <c r="UHC447" s="268"/>
      <c r="UHD447" s="268"/>
      <c r="UHE447" s="268"/>
      <c r="UHF447" s="268"/>
      <c r="UHG447" s="268"/>
      <c r="UHH447" s="268"/>
      <c r="UHI447" s="268"/>
      <c r="UHJ447" s="268"/>
      <c r="UHK447" s="268"/>
      <c r="UHL447" s="268"/>
      <c r="UHM447" s="268"/>
      <c r="UHN447" s="268"/>
      <c r="UHO447" s="268"/>
      <c r="UHP447" s="268"/>
      <c r="UHQ447" s="268"/>
      <c r="UHR447" s="268"/>
      <c r="UHS447" s="268"/>
      <c r="UHT447" s="268"/>
      <c r="UHU447" s="268"/>
      <c r="UHV447" s="268"/>
      <c r="UHW447" s="268"/>
      <c r="UHX447" s="268"/>
      <c r="UHY447" s="268"/>
      <c r="UHZ447" s="268"/>
      <c r="UIA447" s="268"/>
      <c r="UIB447" s="268"/>
      <c r="UIC447" s="268"/>
      <c r="UID447" s="268"/>
      <c r="UIE447" s="268"/>
      <c r="UIF447" s="268"/>
      <c r="UIG447" s="268"/>
      <c r="UIH447" s="268"/>
      <c r="UII447" s="268"/>
      <c r="UIJ447" s="268"/>
      <c r="UIK447" s="268"/>
      <c r="UIL447" s="268"/>
      <c r="UIM447" s="268"/>
      <c r="UIN447" s="268"/>
      <c r="UIO447" s="268"/>
      <c r="UIP447" s="268"/>
      <c r="UIQ447" s="268"/>
      <c r="UIR447" s="268"/>
      <c r="UIS447" s="268"/>
      <c r="UIT447" s="268"/>
      <c r="UIU447" s="268"/>
      <c r="UIV447" s="268"/>
      <c r="UIW447" s="268"/>
      <c r="UIX447" s="268"/>
      <c r="UIY447" s="268"/>
      <c r="UIZ447" s="268"/>
      <c r="UJA447" s="268"/>
      <c r="UJB447" s="268"/>
      <c r="UJC447" s="268"/>
      <c r="UJD447" s="268"/>
      <c r="UJE447" s="268"/>
      <c r="UJF447" s="268"/>
      <c r="UJG447" s="268"/>
      <c r="UJH447" s="268"/>
      <c r="UJI447" s="268"/>
      <c r="UJJ447" s="268"/>
      <c r="UJK447" s="268"/>
      <c r="UJL447" s="268"/>
      <c r="UJM447" s="268"/>
      <c r="UJN447" s="268"/>
      <c r="UJO447" s="268"/>
      <c r="UJP447" s="268"/>
      <c r="UJQ447" s="268"/>
      <c r="UJR447" s="268"/>
      <c r="UJS447" s="268"/>
      <c r="UJT447" s="268"/>
      <c r="UJU447" s="268"/>
      <c r="UJV447" s="268"/>
      <c r="UJW447" s="268"/>
      <c r="UJX447" s="268"/>
      <c r="UJY447" s="268"/>
      <c r="UJZ447" s="268"/>
      <c r="UKA447" s="268"/>
      <c r="UKB447" s="268"/>
      <c r="UKC447" s="268"/>
      <c r="UKD447" s="268"/>
      <c r="UKE447" s="268"/>
      <c r="UKF447" s="268"/>
      <c r="UKG447" s="268"/>
      <c r="UKH447" s="268"/>
      <c r="UKI447" s="268"/>
      <c r="UKJ447" s="268"/>
      <c r="UKK447" s="268"/>
      <c r="UKL447" s="268"/>
      <c r="UKM447" s="268"/>
      <c r="UKN447" s="268"/>
      <c r="UKO447" s="268"/>
      <c r="UKP447" s="268"/>
      <c r="UKQ447" s="268"/>
      <c r="UKR447" s="268"/>
      <c r="UKS447" s="268"/>
      <c r="UKT447" s="268"/>
      <c r="UKU447" s="268"/>
      <c r="UKV447" s="268"/>
      <c r="UKW447" s="268"/>
      <c r="UKX447" s="268"/>
      <c r="UKY447" s="268"/>
      <c r="UKZ447" s="268"/>
      <c r="ULA447" s="268"/>
      <c r="ULB447" s="268"/>
      <c r="ULC447" s="268"/>
      <c r="ULD447" s="268"/>
      <c r="ULE447" s="268"/>
      <c r="ULF447" s="268"/>
      <c r="ULG447" s="268"/>
      <c r="ULH447" s="268"/>
      <c r="ULI447" s="268"/>
      <c r="ULJ447" s="268"/>
      <c r="ULK447" s="268"/>
      <c r="ULL447" s="268"/>
      <c r="ULM447" s="268"/>
      <c r="ULN447" s="268"/>
      <c r="ULO447" s="268"/>
      <c r="ULP447" s="268"/>
      <c r="ULQ447" s="268"/>
      <c r="ULR447" s="268"/>
      <c r="ULS447" s="268"/>
      <c r="ULT447" s="268"/>
      <c r="ULU447" s="268"/>
      <c r="ULV447" s="268"/>
      <c r="ULW447" s="268"/>
      <c r="ULX447" s="268"/>
      <c r="ULY447" s="268"/>
      <c r="ULZ447" s="268"/>
      <c r="UMA447" s="268"/>
      <c r="UMB447" s="268"/>
      <c r="UMC447" s="268"/>
      <c r="UMD447" s="268"/>
      <c r="UME447" s="268"/>
      <c r="UMF447" s="268"/>
      <c r="UMG447" s="268"/>
      <c r="UMH447" s="268"/>
      <c r="UMI447" s="268"/>
      <c r="UMJ447" s="268"/>
      <c r="UMK447" s="268"/>
      <c r="UML447" s="268"/>
      <c r="UMM447" s="268"/>
      <c r="UMN447" s="268"/>
      <c r="UMO447" s="268"/>
      <c r="UMP447" s="268"/>
      <c r="UMQ447" s="268"/>
      <c r="UMR447" s="268"/>
      <c r="UMS447" s="268"/>
      <c r="UMT447" s="268"/>
      <c r="UMU447" s="268"/>
      <c r="UMV447" s="268"/>
      <c r="UMW447" s="268"/>
      <c r="UMX447" s="268"/>
      <c r="UMY447" s="268"/>
      <c r="UMZ447" s="268"/>
      <c r="UNA447" s="268"/>
      <c r="UNB447" s="268"/>
      <c r="UNC447" s="268"/>
      <c r="UND447" s="268"/>
      <c r="UNE447" s="268"/>
      <c r="UNF447" s="268"/>
      <c r="UNG447" s="268"/>
      <c r="UNH447" s="268"/>
      <c r="UNI447" s="268"/>
      <c r="UNJ447" s="268"/>
      <c r="UNK447" s="268"/>
      <c r="UNL447" s="268"/>
      <c r="UNM447" s="268"/>
      <c r="UNN447" s="268"/>
      <c r="UNO447" s="268"/>
      <c r="UNP447" s="268"/>
      <c r="UNQ447" s="268"/>
      <c r="UNR447" s="268"/>
      <c r="UNS447" s="268"/>
      <c r="UNT447" s="268"/>
      <c r="UNU447" s="268"/>
      <c r="UNV447" s="268"/>
      <c r="UNW447" s="268"/>
      <c r="UOK447" s="268"/>
      <c r="UOL447" s="268"/>
      <c r="UOM447" s="268"/>
      <c r="UPA447" s="268"/>
      <c r="UPC447" s="268"/>
      <c r="UPD447" s="268"/>
      <c r="UPE447" s="268"/>
      <c r="UPF447" s="268"/>
      <c r="UPG447" s="268"/>
      <c r="UPH447" s="268"/>
      <c r="UPI447" s="268"/>
      <c r="UPJ447" s="268"/>
      <c r="UPK447" s="268"/>
      <c r="UPL447" s="268"/>
      <c r="UPM447" s="268"/>
      <c r="UPN447" s="268"/>
      <c r="UPO447" s="268"/>
      <c r="UPP447" s="268"/>
      <c r="UPQ447" s="268"/>
      <c r="UPR447" s="268"/>
      <c r="UPS447" s="268"/>
      <c r="UPT447" s="268"/>
      <c r="UPU447" s="268"/>
      <c r="UPV447" s="268"/>
      <c r="UPW447" s="268"/>
      <c r="UPX447" s="268"/>
      <c r="UPY447" s="268"/>
      <c r="UPZ447" s="268"/>
      <c r="UQA447" s="268"/>
      <c r="UQB447" s="268"/>
      <c r="UQC447" s="268"/>
      <c r="UQD447" s="268"/>
      <c r="UQE447" s="268"/>
      <c r="UQF447" s="268"/>
      <c r="UQG447" s="268"/>
      <c r="UQH447" s="268"/>
      <c r="UQI447" s="268"/>
      <c r="UQJ447" s="268"/>
      <c r="UQK447" s="268"/>
      <c r="UQL447" s="268"/>
      <c r="UQM447" s="268"/>
      <c r="UQN447" s="268"/>
      <c r="UQO447" s="268"/>
      <c r="UQP447" s="268"/>
      <c r="UQQ447" s="268"/>
      <c r="UQR447" s="268"/>
      <c r="UQS447" s="268"/>
      <c r="UQT447" s="268"/>
      <c r="UQU447" s="268"/>
      <c r="UQV447" s="268"/>
      <c r="UQW447" s="268"/>
      <c r="UQX447" s="268"/>
      <c r="UQY447" s="268"/>
      <c r="UQZ447" s="268"/>
      <c r="URA447" s="268"/>
      <c r="URB447" s="268"/>
      <c r="URC447" s="268"/>
      <c r="URD447" s="268"/>
      <c r="URE447" s="268"/>
      <c r="URF447" s="268"/>
      <c r="URG447" s="268"/>
      <c r="URH447" s="268"/>
      <c r="URI447" s="268"/>
      <c r="URJ447" s="268"/>
      <c r="URK447" s="268"/>
      <c r="URL447" s="268"/>
      <c r="URM447" s="268"/>
      <c r="URN447" s="268"/>
      <c r="URO447" s="268"/>
      <c r="URP447" s="268"/>
      <c r="URQ447" s="268"/>
      <c r="URR447" s="268"/>
      <c r="URS447" s="268"/>
      <c r="URT447" s="268"/>
      <c r="URU447" s="268"/>
      <c r="URV447" s="268"/>
      <c r="URW447" s="268"/>
      <c r="URX447" s="268"/>
      <c r="URY447" s="268"/>
      <c r="URZ447" s="268"/>
      <c r="USA447" s="268"/>
      <c r="USB447" s="268"/>
      <c r="USC447" s="268"/>
      <c r="USD447" s="268"/>
      <c r="USE447" s="268"/>
      <c r="USF447" s="268"/>
      <c r="USG447" s="268"/>
      <c r="USH447" s="268"/>
      <c r="USI447" s="268"/>
      <c r="USJ447" s="268"/>
      <c r="USK447" s="268"/>
      <c r="USL447" s="268"/>
      <c r="USM447" s="268"/>
      <c r="USN447" s="268"/>
      <c r="USO447" s="268"/>
      <c r="USP447" s="268"/>
      <c r="USQ447" s="268"/>
      <c r="USR447" s="268"/>
      <c r="USS447" s="268"/>
      <c r="UST447" s="268"/>
      <c r="USU447" s="268"/>
      <c r="USV447" s="268"/>
      <c r="USW447" s="268"/>
      <c r="USX447" s="268"/>
      <c r="USY447" s="268"/>
      <c r="USZ447" s="268"/>
      <c r="UTA447" s="268"/>
      <c r="UTB447" s="268"/>
      <c r="UTC447" s="268"/>
      <c r="UTD447" s="268"/>
      <c r="UTE447" s="268"/>
      <c r="UTF447" s="268"/>
      <c r="UTG447" s="268"/>
      <c r="UTH447" s="268"/>
      <c r="UTI447" s="268"/>
      <c r="UTJ447" s="268"/>
      <c r="UTK447" s="268"/>
      <c r="UTL447" s="268"/>
      <c r="UTM447" s="268"/>
      <c r="UTN447" s="268"/>
      <c r="UTO447" s="268"/>
      <c r="UTP447" s="268"/>
      <c r="UTQ447" s="268"/>
      <c r="UTR447" s="268"/>
      <c r="UTS447" s="268"/>
      <c r="UTT447" s="268"/>
      <c r="UTU447" s="268"/>
      <c r="UTV447" s="268"/>
      <c r="UTW447" s="268"/>
      <c r="UTX447" s="268"/>
      <c r="UTY447" s="268"/>
      <c r="UTZ447" s="268"/>
      <c r="UUA447" s="268"/>
      <c r="UUB447" s="268"/>
      <c r="UUC447" s="268"/>
      <c r="UUD447" s="268"/>
      <c r="UUE447" s="268"/>
      <c r="UUF447" s="268"/>
      <c r="UUG447" s="268"/>
      <c r="UUH447" s="268"/>
      <c r="UUI447" s="268"/>
      <c r="UUJ447" s="268"/>
      <c r="UUK447" s="268"/>
      <c r="UUL447" s="268"/>
      <c r="UUM447" s="268"/>
      <c r="UUN447" s="268"/>
      <c r="UUO447" s="268"/>
      <c r="UUP447" s="268"/>
      <c r="UUQ447" s="268"/>
      <c r="UUR447" s="268"/>
      <c r="UUS447" s="268"/>
      <c r="UUT447" s="268"/>
      <c r="UUU447" s="268"/>
      <c r="UUV447" s="268"/>
      <c r="UUW447" s="268"/>
      <c r="UUX447" s="268"/>
      <c r="UUY447" s="268"/>
      <c r="UUZ447" s="268"/>
      <c r="UVA447" s="268"/>
      <c r="UVB447" s="268"/>
      <c r="UVC447" s="268"/>
      <c r="UVD447" s="268"/>
      <c r="UVE447" s="268"/>
      <c r="UVF447" s="268"/>
      <c r="UVG447" s="268"/>
      <c r="UVH447" s="268"/>
      <c r="UVI447" s="268"/>
      <c r="UVJ447" s="268"/>
      <c r="UVK447" s="268"/>
      <c r="UVL447" s="268"/>
      <c r="UVM447" s="268"/>
      <c r="UVN447" s="268"/>
      <c r="UVO447" s="268"/>
      <c r="UVP447" s="268"/>
      <c r="UVQ447" s="268"/>
      <c r="UVR447" s="268"/>
      <c r="UVS447" s="268"/>
      <c r="UVT447" s="268"/>
      <c r="UVU447" s="268"/>
      <c r="UVV447" s="268"/>
      <c r="UVW447" s="268"/>
      <c r="UVX447" s="268"/>
      <c r="UVY447" s="268"/>
      <c r="UVZ447" s="268"/>
      <c r="UWA447" s="268"/>
      <c r="UWB447" s="268"/>
      <c r="UWC447" s="268"/>
      <c r="UWD447" s="268"/>
      <c r="UWE447" s="268"/>
      <c r="UWF447" s="268"/>
      <c r="UWG447" s="268"/>
      <c r="UWH447" s="268"/>
      <c r="UWI447" s="268"/>
      <c r="UWJ447" s="268"/>
      <c r="UWK447" s="268"/>
      <c r="UWL447" s="268"/>
      <c r="UWM447" s="268"/>
      <c r="UWN447" s="268"/>
      <c r="UWO447" s="268"/>
      <c r="UWP447" s="268"/>
      <c r="UWQ447" s="268"/>
      <c r="UWR447" s="268"/>
      <c r="UWS447" s="268"/>
      <c r="UWT447" s="268"/>
      <c r="UWU447" s="268"/>
      <c r="UWV447" s="268"/>
      <c r="UWW447" s="268"/>
      <c r="UWX447" s="268"/>
      <c r="UWY447" s="268"/>
      <c r="UWZ447" s="268"/>
      <c r="UXA447" s="268"/>
      <c r="UXB447" s="268"/>
      <c r="UXC447" s="268"/>
      <c r="UXD447" s="268"/>
      <c r="UXE447" s="268"/>
      <c r="UXF447" s="268"/>
      <c r="UXG447" s="268"/>
      <c r="UXH447" s="268"/>
      <c r="UXI447" s="268"/>
      <c r="UXJ447" s="268"/>
      <c r="UXK447" s="268"/>
      <c r="UXL447" s="268"/>
      <c r="UXM447" s="268"/>
      <c r="UXN447" s="268"/>
      <c r="UXO447" s="268"/>
      <c r="UXP447" s="268"/>
      <c r="UXQ447" s="268"/>
      <c r="UXR447" s="268"/>
      <c r="UXS447" s="268"/>
      <c r="UYG447" s="268"/>
      <c r="UYH447" s="268"/>
      <c r="UYI447" s="268"/>
      <c r="UYW447" s="268"/>
      <c r="UYY447" s="268"/>
      <c r="UYZ447" s="268"/>
      <c r="UZA447" s="268"/>
      <c r="UZB447" s="268"/>
      <c r="UZC447" s="268"/>
      <c r="UZD447" s="268"/>
      <c r="UZE447" s="268"/>
      <c r="UZF447" s="268"/>
      <c r="UZG447" s="268"/>
      <c r="UZH447" s="268"/>
      <c r="UZI447" s="268"/>
      <c r="UZJ447" s="268"/>
      <c r="UZK447" s="268"/>
      <c r="UZL447" s="268"/>
      <c r="UZM447" s="268"/>
      <c r="UZN447" s="268"/>
      <c r="UZO447" s="268"/>
      <c r="UZP447" s="268"/>
      <c r="UZQ447" s="268"/>
      <c r="UZR447" s="268"/>
      <c r="UZS447" s="268"/>
      <c r="UZT447" s="268"/>
      <c r="UZU447" s="268"/>
      <c r="UZV447" s="268"/>
      <c r="UZW447" s="268"/>
      <c r="UZX447" s="268"/>
      <c r="UZY447" s="268"/>
      <c r="UZZ447" s="268"/>
      <c r="VAA447" s="268"/>
      <c r="VAB447" s="268"/>
      <c r="VAC447" s="268"/>
      <c r="VAD447" s="268"/>
      <c r="VAE447" s="268"/>
      <c r="VAF447" s="268"/>
      <c r="VAG447" s="268"/>
      <c r="VAH447" s="268"/>
      <c r="VAI447" s="268"/>
      <c r="VAJ447" s="268"/>
      <c r="VAK447" s="268"/>
      <c r="VAL447" s="268"/>
      <c r="VAM447" s="268"/>
      <c r="VAN447" s="268"/>
      <c r="VAO447" s="268"/>
      <c r="VAP447" s="268"/>
      <c r="VAQ447" s="268"/>
      <c r="VAR447" s="268"/>
      <c r="VAS447" s="268"/>
      <c r="VAT447" s="268"/>
      <c r="VAU447" s="268"/>
      <c r="VAV447" s="268"/>
      <c r="VAW447" s="268"/>
      <c r="VAX447" s="268"/>
      <c r="VAY447" s="268"/>
      <c r="VAZ447" s="268"/>
      <c r="VBA447" s="268"/>
      <c r="VBB447" s="268"/>
      <c r="VBC447" s="268"/>
      <c r="VBD447" s="268"/>
      <c r="VBE447" s="268"/>
      <c r="VBF447" s="268"/>
      <c r="VBG447" s="268"/>
      <c r="VBH447" s="268"/>
      <c r="VBI447" s="268"/>
      <c r="VBJ447" s="268"/>
      <c r="VBK447" s="268"/>
      <c r="VBL447" s="268"/>
      <c r="VBM447" s="268"/>
      <c r="VBN447" s="268"/>
      <c r="VBO447" s="268"/>
      <c r="VBP447" s="268"/>
      <c r="VBQ447" s="268"/>
      <c r="VBR447" s="268"/>
      <c r="VBS447" s="268"/>
      <c r="VBT447" s="268"/>
      <c r="VBU447" s="268"/>
      <c r="VBV447" s="268"/>
      <c r="VBW447" s="268"/>
      <c r="VBX447" s="268"/>
      <c r="VBY447" s="268"/>
      <c r="VBZ447" s="268"/>
      <c r="VCA447" s="268"/>
      <c r="VCB447" s="268"/>
      <c r="VCC447" s="268"/>
      <c r="VCD447" s="268"/>
      <c r="VCE447" s="268"/>
      <c r="VCF447" s="268"/>
      <c r="VCG447" s="268"/>
      <c r="VCH447" s="268"/>
      <c r="VCI447" s="268"/>
      <c r="VCJ447" s="268"/>
      <c r="VCK447" s="268"/>
      <c r="VCL447" s="268"/>
      <c r="VCM447" s="268"/>
      <c r="VCN447" s="268"/>
      <c r="VCO447" s="268"/>
      <c r="VCP447" s="268"/>
      <c r="VCQ447" s="268"/>
      <c r="VCR447" s="268"/>
      <c r="VCS447" s="268"/>
      <c r="VCT447" s="268"/>
      <c r="VCU447" s="268"/>
      <c r="VCV447" s="268"/>
      <c r="VCW447" s="268"/>
      <c r="VCX447" s="268"/>
      <c r="VCY447" s="268"/>
      <c r="VCZ447" s="268"/>
      <c r="VDA447" s="268"/>
      <c r="VDB447" s="268"/>
      <c r="VDC447" s="268"/>
      <c r="VDD447" s="268"/>
      <c r="VDE447" s="268"/>
      <c r="VDF447" s="268"/>
      <c r="VDG447" s="268"/>
      <c r="VDH447" s="268"/>
      <c r="VDI447" s="268"/>
      <c r="VDJ447" s="268"/>
      <c r="VDK447" s="268"/>
      <c r="VDL447" s="268"/>
      <c r="VDM447" s="268"/>
      <c r="VDN447" s="268"/>
      <c r="VDO447" s="268"/>
      <c r="VDP447" s="268"/>
      <c r="VDQ447" s="268"/>
      <c r="VDR447" s="268"/>
      <c r="VDS447" s="268"/>
      <c r="VDT447" s="268"/>
      <c r="VDU447" s="268"/>
      <c r="VDV447" s="268"/>
      <c r="VDW447" s="268"/>
      <c r="VDX447" s="268"/>
      <c r="VDY447" s="268"/>
      <c r="VDZ447" s="268"/>
      <c r="VEA447" s="268"/>
      <c r="VEB447" s="268"/>
      <c r="VEC447" s="268"/>
      <c r="VED447" s="268"/>
      <c r="VEE447" s="268"/>
      <c r="VEF447" s="268"/>
      <c r="VEG447" s="268"/>
      <c r="VEH447" s="268"/>
      <c r="VEI447" s="268"/>
      <c r="VEJ447" s="268"/>
      <c r="VEK447" s="268"/>
      <c r="VEL447" s="268"/>
      <c r="VEM447" s="268"/>
      <c r="VEN447" s="268"/>
      <c r="VEO447" s="268"/>
      <c r="VEP447" s="268"/>
      <c r="VEQ447" s="268"/>
      <c r="VER447" s="268"/>
      <c r="VES447" s="268"/>
      <c r="VET447" s="268"/>
      <c r="VEU447" s="268"/>
      <c r="VEV447" s="268"/>
      <c r="VEW447" s="268"/>
      <c r="VEX447" s="268"/>
      <c r="VEY447" s="268"/>
      <c r="VEZ447" s="268"/>
      <c r="VFA447" s="268"/>
      <c r="VFB447" s="268"/>
      <c r="VFC447" s="268"/>
      <c r="VFD447" s="268"/>
      <c r="VFE447" s="268"/>
      <c r="VFF447" s="268"/>
      <c r="VFG447" s="268"/>
      <c r="VFH447" s="268"/>
      <c r="VFI447" s="268"/>
      <c r="VFJ447" s="268"/>
      <c r="VFK447" s="268"/>
      <c r="VFL447" s="268"/>
      <c r="VFM447" s="268"/>
      <c r="VFN447" s="268"/>
      <c r="VFO447" s="268"/>
      <c r="VFP447" s="268"/>
      <c r="VFQ447" s="268"/>
      <c r="VFR447" s="268"/>
      <c r="VFS447" s="268"/>
      <c r="VFT447" s="268"/>
      <c r="VFU447" s="268"/>
      <c r="VFV447" s="268"/>
      <c r="VFW447" s="268"/>
      <c r="VFX447" s="268"/>
      <c r="VFY447" s="268"/>
      <c r="VFZ447" s="268"/>
      <c r="VGA447" s="268"/>
      <c r="VGB447" s="268"/>
      <c r="VGC447" s="268"/>
      <c r="VGD447" s="268"/>
      <c r="VGE447" s="268"/>
      <c r="VGF447" s="268"/>
      <c r="VGG447" s="268"/>
      <c r="VGH447" s="268"/>
      <c r="VGI447" s="268"/>
      <c r="VGJ447" s="268"/>
      <c r="VGK447" s="268"/>
      <c r="VGL447" s="268"/>
      <c r="VGM447" s="268"/>
      <c r="VGN447" s="268"/>
      <c r="VGO447" s="268"/>
      <c r="VGP447" s="268"/>
      <c r="VGQ447" s="268"/>
      <c r="VGR447" s="268"/>
      <c r="VGS447" s="268"/>
      <c r="VGT447" s="268"/>
      <c r="VGU447" s="268"/>
      <c r="VGV447" s="268"/>
      <c r="VGW447" s="268"/>
      <c r="VGX447" s="268"/>
      <c r="VGY447" s="268"/>
      <c r="VGZ447" s="268"/>
      <c r="VHA447" s="268"/>
      <c r="VHB447" s="268"/>
      <c r="VHC447" s="268"/>
      <c r="VHD447" s="268"/>
      <c r="VHE447" s="268"/>
      <c r="VHF447" s="268"/>
      <c r="VHG447" s="268"/>
      <c r="VHH447" s="268"/>
      <c r="VHI447" s="268"/>
      <c r="VHJ447" s="268"/>
      <c r="VHK447" s="268"/>
      <c r="VHL447" s="268"/>
      <c r="VHM447" s="268"/>
      <c r="VHN447" s="268"/>
      <c r="VHO447" s="268"/>
      <c r="VIC447" s="268"/>
      <c r="VID447" s="268"/>
      <c r="VIE447" s="268"/>
      <c r="VIS447" s="268"/>
      <c r="VIU447" s="268"/>
      <c r="VIV447" s="268"/>
      <c r="VIW447" s="268"/>
      <c r="VIX447" s="268"/>
      <c r="VIY447" s="268"/>
      <c r="VIZ447" s="268"/>
      <c r="VJA447" s="268"/>
      <c r="VJB447" s="268"/>
      <c r="VJC447" s="268"/>
      <c r="VJD447" s="268"/>
      <c r="VJE447" s="268"/>
      <c r="VJF447" s="268"/>
      <c r="VJG447" s="268"/>
      <c r="VJH447" s="268"/>
      <c r="VJI447" s="268"/>
      <c r="VJJ447" s="268"/>
      <c r="VJK447" s="268"/>
      <c r="VJL447" s="268"/>
      <c r="VJM447" s="268"/>
      <c r="VJN447" s="268"/>
      <c r="VJO447" s="268"/>
      <c r="VJP447" s="268"/>
      <c r="VJQ447" s="268"/>
      <c r="VJR447" s="268"/>
      <c r="VJS447" s="268"/>
      <c r="VJT447" s="268"/>
      <c r="VJU447" s="268"/>
      <c r="VJV447" s="268"/>
      <c r="VJW447" s="268"/>
      <c r="VJX447" s="268"/>
      <c r="VJY447" s="268"/>
      <c r="VJZ447" s="268"/>
      <c r="VKA447" s="268"/>
      <c r="VKB447" s="268"/>
      <c r="VKC447" s="268"/>
      <c r="VKD447" s="268"/>
      <c r="VKE447" s="268"/>
      <c r="VKF447" s="268"/>
      <c r="VKG447" s="268"/>
      <c r="VKH447" s="268"/>
      <c r="VKI447" s="268"/>
      <c r="VKJ447" s="268"/>
      <c r="VKK447" s="268"/>
      <c r="VKL447" s="268"/>
      <c r="VKM447" s="268"/>
      <c r="VKN447" s="268"/>
      <c r="VKO447" s="268"/>
      <c r="VKP447" s="268"/>
      <c r="VKQ447" s="268"/>
      <c r="VKR447" s="268"/>
      <c r="VKS447" s="268"/>
      <c r="VKT447" s="268"/>
      <c r="VKU447" s="268"/>
      <c r="VKV447" s="268"/>
      <c r="VKW447" s="268"/>
      <c r="VKX447" s="268"/>
      <c r="VKY447" s="268"/>
      <c r="VKZ447" s="268"/>
      <c r="VLA447" s="268"/>
      <c r="VLB447" s="268"/>
      <c r="VLC447" s="268"/>
      <c r="VLD447" s="268"/>
      <c r="VLE447" s="268"/>
      <c r="VLF447" s="268"/>
      <c r="VLG447" s="268"/>
      <c r="VLH447" s="268"/>
      <c r="VLI447" s="268"/>
      <c r="VLJ447" s="268"/>
      <c r="VLK447" s="268"/>
      <c r="VLL447" s="268"/>
      <c r="VLM447" s="268"/>
      <c r="VLN447" s="268"/>
      <c r="VLO447" s="268"/>
      <c r="VLP447" s="268"/>
      <c r="VLQ447" s="268"/>
      <c r="VLR447" s="268"/>
      <c r="VLS447" s="268"/>
      <c r="VLT447" s="268"/>
      <c r="VLU447" s="268"/>
      <c r="VLV447" s="268"/>
      <c r="VLW447" s="268"/>
      <c r="VLX447" s="268"/>
      <c r="VLY447" s="268"/>
      <c r="VLZ447" s="268"/>
      <c r="VMA447" s="268"/>
      <c r="VMB447" s="268"/>
      <c r="VMC447" s="268"/>
      <c r="VMD447" s="268"/>
      <c r="VME447" s="268"/>
      <c r="VMF447" s="268"/>
      <c r="VMG447" s="268"/>
      <c r="VMH447" s="268"/>
      <c r="VMI447" s="268"/>
      <c r="VMJ447" s="268"/>
      <c r="VMK447" s="268"/>
      <c r="VML447" s="268"/>
      <c r="VMM447" s="268"/>
      <c r="VMN447" s="268"/>
      <c r="VMO447" s="268"/>
      <c r="VMP447" s="268"/>
      <c r="VMQ447" s="268"/>
      <c r="VMR447" s="268"/>
      <c r="VMS447" s="268"/>
      <c r="VMT447" s="268"/>
      <c r="VMU447" s="268"/>
      <c r="VMV447" s="268"/>
      <c r="VMW447" s="268"/>
      <c r="VMX447" s="268"/>
      <c r="VMY447" s="268"/>
      <c r="VMZ447" s="268"/>
      <c r="VNA447" s="268"/>
      <c r="VNB447" s="268"/>
      <c r="VNC447" s="268"/>
      <c r="VND447" s="268"/>
      <c r="VNE447" s="268"/>
      <c r="VNF447" s="268"/>
      <c r="VNG447" s="268"/>
      <c r="VNH447" s="268"/>
      <c r="VNI447" s="268"/>
      <c r="VNJ447" s="268"/>
      <c r="VNK447" s="268"/>
      <c r="VNL447" s="268"/>
      <c r="VNM447" s="268"/>
      <c r="VNN447" s="268"/>
      <c r="VNO447" s="268"/>
      <c r="VNP447" s="268"/>
      <c r="VNQ447" s="268"/>
      <c r="VNR447" s="268"/>
      <c r="VNS447" s="268"/>
      <c r="VNT447" s="268"/>
      <c r="VNU447" s="268"/>
      <c r="VNV447" s="268"/>
      <c r="VNW447" s="268"/>
      <c r="VNX447" s="268"/>
      <c r="VNY447" s="268"/>
      <c r="VNZ447" s="268"/>
      <c r="VOA447" s="268"/>
      <c r="VOB447" s="268"/>
      <c r="VOC447" s="268"/>
      <c r="VOD447" s="268"/>
      <c r="VOE447" s="268"/>
      <c r="VOF447" s="268"/>
      <c r="VOG447" s="268"/>
      <c r="VOH447" s="268"/>
      <c r="VOI447" s="268"/>
      <c r="VOJ447" s="268"/>
      <c r="VOK447" s="268"/>
      <c r="VOL447" s="268"/>
      <c r="VOM447" s="268"/>
      <c r="VON447" s="268"/>
      <c r="VOO447" s="268"/>
      <c r="VOP447" s="268"/>
      <c r="VOQ447" s="268"/>
      <c r="VOR447" s="268"/>
      <c r="VOS447" s="268"/>
      <c r="VOT447" s="268"/>
      <c r="VOU447" s="268"/>
      <c r="VOV447" s="268"/>
      <c r="VOW447" s="268"/>
      <c r="VOX447" s="268"/>
      <c r="VOY447" s="268"/>
      <c r="VOZ447" s="268"/>
      <c r="VPA447" s="268"/>
      <c r="VPB447" s="268"/>
      <c r="VPC447" s="268"/>
      <c r="VPD447" s="268"/>
      <c r="VPE447" s="268"/>
      <c r="VPF447" s="268"/>
      <c r="VPG447" s="268"/>
      <c r="VPH447" s="268"/>
      <c r="VPI447" s="268"/>
      <c r="VPJ447" s="268"/>
      <c r="VPK447" s="268"/>
      <c r="VPL447" s="268"/>
      <c r="VPM447" s="268"/>
      <c r="VPN447" s="268"/>
      <c r="VPO447" s="268"/>
      <c r="VPP447" s="268"/>
      <c r="VPQ447" s="268"/>
      <c r="VPR447" s="268"/>
      <c r="VPS447" s="268"/>
      <c r="VPT447" s="268"/>
      <c r="VPU447" s="268"/>
      <c r="VPV447" s="268"/>
      <c r="VPW447" s="268"/>
      <c r="VPX447" s="268"/>
      <c r="VPY447" s="268"/>
      <c r="VPZ447" s="268"/>
      <c r="VQA447" s="268"/>
      <c r="VQB447" s="268"/>
      <c r="VQC447" s="268"/>
      <c r="VQD447" s="268"/>
      <c r="VQE447" s="268"/>
      <c r="VQF447" s="268"/>
      <c r="VQG447" s="268"/>
      <c r="VQH447" s="268"/>
      <c r="VQI447" s="268"/>
      <c r="VQJ447" s="268"/>
      <c r="VQK447" s="268"/>
      <c r="VQL447" s="268"/>
      <c r="VQM447" s="268"/>
      <c r="VQN447" s="268"/>
      <c r="VQO447" s="268"/>
      <c r="VQP447" s="268"/>
      <c r="VQQ447" s="268"/>
      <c r="VQR447" s="268"/>
      <c r="VQS447" s="268"/>
      <c r="VQT447" s="268"/>
      <c r="VQU447" s="268"/>
      <c r="VQV447" s="268"/>
      <c r="VQW447" s="268"/>
      <c r="VQX447" s="268"/>
      <c r="VQY447" s="268"/>
      <c r="VQZ447" s="268"/>
      <c r="VRA447" s="268"/>
      <c r="VRB447" s="268"/>
      <c r="VRC447" s="268"/>
      <c r="VRD447" s="268"/>
      <c r="VRE447" s="268"/>
      <c r="VRF447" s="268"/>
      <c r="VRG447" s="268"/>
      <c r="VRH447" s="268"/>
      <c r="VRI447" s="268"/>
      <c r="VRJ447" s="268"/>
      <c r="VRK447" s="268"/>
      <c r="VRY447" s="268"/>
      <c r="VRZ447" s="268"/>
      <c r="VSA447" s="268"/>
      <c r="VSO447" s="268"/>
      <c r="VSQ447" s="268"/>
      <c r="VSR447" s="268"/>
      <c r="VSS447" s="268"/>
      <c r="VST447" s="268"/>
      <c r="VSU447" s="268"/>
      <c r="VSV447" s="268"/>
      <c r="VSW447" s="268"/>
      <c r="VSX447" s="268"/>
      <c r="VSY447" s="268"/>
      <c r="VSZ447" s="268"/>
      <c r="VTA447" s="268"/>
      <c r="VTB447" s="268"/>
      <c r="VTC447" s="268"/>
      <c r="VTD447" s="268"/>
      <c r="VTE447" s="268"/>
      <c r="VTF447" s="268"/>
      <c r="VTG447" s="268"/>
      <c r="VTH447" s="268"/>
      <c r="VTI447" s="268"/>
      <c r="VTJ447" s="268"/>
      <c r="VTK447" s="268"/>
      <c r="VTL447" s="268"/>
      <c r="VTM447" s="268"/>
      <c r="VTN447" s="268"/>
      <c r="VTO447" s="268"/>
      <c r="VTP447" s="268"/>
      <c r="VTQ447" s="268"/>
      <c r="VTR447" s="268"/>
      <c r="VTS447" s="268"/>
      <c r="VTT447" s="268"/>
      <c r="VTU447" s="268"/>
      <c r="VTV447" s="268"/>
      <c r="VTW447" s="268"/>
      <c r="VTX447" s="268"/>
      <c r="VTY447" s="268"/>
      <c r="VTZ447" s="268"/>
      <c r="VUA447" s="268"/>
      <c r="VUB447" s="268"/>
      <c r="VUC447" s="268"/>
      <c r="VUD447" s="268"/>
      <c r="VUE447" s="268"/>
      <c r="VUF447" s="268"/>
      <c r="VUG447" s="268"/>
      <c r="VUH447" s="268"/>
      <c r="VUI447" s="268"/>
      <c r="VUJ447" s="268"/>
      <c r="VUK447" s="268"/>
      <c r="VUL447" s="268"/>
      <c r="VUM447" s="268"/>
      <c r="VUN447" s="268"/>
      <c r="VUO447" s="268"/>
      <c r="VUP447" s="268"/>
      <c r="VUQ447" s="268"/>
      <c r="VUR447" s="268"/>
      <c r="VUS447" s="268"/>
      <c r="VUT447" s="268"/>
      <c r="VUU447" s="268"/>
      <c r="VUV447" s="268"/>
      <c r="VUW447" s="268"/>
      <c r="VUX447" s="268"/>
      <c r="VUY447" s="268"/>
      <c r="VUZ447" s="268"/>
      <c r="VVA447" s="268"/>
      <c r="VVB447" s="268"/>
      <c r="VVC447" s="268"/>
      <c r="VVD447" s="268"/>
      <c r="VVE447" s="268"/>
      <c r="VVF447" s="268"/>
      <c r="VVG447" s="268"/>
      <c r="VVH447" s="268"/>
      <c r="VVI447" s="268"/>
      <c r="VVJ447" s="268"/>
      <c r="VVK447" s="268"/>
      <c r="VVL447" s="268"/>
      <c r="VVM447" s="268"/>
      <c r="VVN447" s="268"/>
      <c r="VVO447" s="268"/>
      <c r="VVP447" s="268"/>
      <c r="VVQ447" s="268"/>
      <c r="VVR447" s="268"/>
      <c r="VVS447" s="268"/>
      <c r="VVT447" s="268"/>
      <c r="VVU447" s="268"/>
      <c r="VVV447" s="268"/>
      <c r="VVW447" s="268"/>
      <c r="VVX447" s="268"/>
      <c r="VVY447" s="268"/>
      <c r="VVZ447" s="268"/>
      <c r="VWA447" s="268"/>
      <c r="VWB447" s="268"/>
      <c r="VWC447" s="268"/>
      <c r="VWD447" s="268"/>
      <c r="VWE447" s="268"/>
      <c r="VWF447" s="268"/>
      <c r="VWG447" s="268"/>
      <c r="VWH447" s="268"/>
      <c r="VWI447" s="268"/>
      <c r="VWJ447" s="268"/>
      <c r="VWK447" s="268"/>
      <c r="VWL447" s="268"/>
      <c r="VWM447" s="268"/>
      <c r="VWN447" s="268"/>
      <c r="VWO447" s="268"/>
      <c r="VWP447" s="268"/>
      <c r="VWQ447" s="268"/>
      <c r="VWR447" s="268"/>
      <c r="VWS447" s="268"/>
      <c r="VWT447" s="268"/>
      <c r="VWU447" s="268"/>
      <c r="VWV447" s="268"/>
      <c r="VWW447" s="268"/>
      <c r="VWX447" s="268"/>
      <c r="VWY447" s="268"/>
      <c r="VWZ447" s="268"/>
      <c r="VXA447" s="268"/>
      <c r="VXB447" s="268"/>
      <c r="VXC447" s="268"/>
      <c r="VXD447" s="268"/>
      <c r="VXE447" s="268"/>
      <c r="VXF447" s="268"/>
      <c r="VXG447" s="268"/>
      <c r="VXH447" s="268"/>
      <c r="VXI447" s="268"/>
      <c r="VXJ447" s="268"/>
      <c r="VXK447" s="268"/>
      <c r="VXL447" s="268"/>
      <c r="VXM447" s="268"/>
      <c r="VXN447" s="268"/>
      <c r="VXO447" s="268"/>
      <c r="VXP447" s="268"/>
      <c r="VXQ447" s="268"/>
      <c r="VXR447" s="268"/>
      <c r="VXS447" s="268"/>
      <c r="VXT447" s="268"/>
      <c r="VXU447" s="268"/>
      <c r="VXV447" s="268"/>
      <c r="VXW447" s="268"/>
      <c r="VXX447" s="268"/>
      <c r="VXY447" s="268"/>
      <c r="VXZ447" s="268"/>
      <c r="VYA447" s="268"/>
      <c r="VYB447" s="268"/>
      <c r="VYC447" s="268"/>
      <c r="VYD447" s="268"/>
      <c r="VYE447" s="268"/>
      <c r="VYF447" s="268"/>
      <c r="VYG447" s="268"/>
      <c r="VYH447" s="268"/>
      <c r="VYI447" s="268"/>
      <c r="VYJ447" s="268"/>
      <c r="VYK447" s="268"/>
      <c r="VYL447" s="268"/>
      <c r="VYM447" s="268"/>
      <c r="VYN447" s="268"/>
      <c r="VYO447" s="268"/>
      <c r="VYP447" s="268"/>
      <c r="VYQ447" s="268"/>
      <c r="VYR447" s="268"/>
      <c r="VYS447" s="268"/>
      <c r="VYT447" s="268"/>
      <c r="VYU447" s="268"/>
      <c r="VYV447" s="268"/>
      <c r="VYW447" s="268"/>
      <c r="VYX447" s="268"/>
      <c r="VYY447" s="268"/>
      <c r="VYZ447" s="268"/>
      <c r="VZA447" s="268"/>
      <c r="VZB447" s="268"/>
      <c r="VZC447" s="268"/>
      <c r="VZD447" s="268"/>
      <c r="VZE447" s="268"/>
      <c r="VZF447" s="268"/>
      <c r="VZG447" s="268"/>
      <c r="VZH447" s="268"/>
      <c r="VZI447" s="268"/>
      <c r="VZJ447" s="268"/>
      <c r="VZK447" s="268"/>
      <c r="VZL447" s="268"/>
      <c r="VZM447" s="268"/>
      <c r="VZN447" s="268"/>
      <c r="VZO447" s="268"/>
      <c r="VZP447" s="268"/>
      <c r="VZQ447" s="268"/>
      <c r="VZR447" s="268"/>
      <c r="VZS447" s="268"/>
      <c r="VZT447" s="268"/>
      <c r="VZU447" s="268"/>
      <c r="VZV447" s="268"/>
      <c r="VZW447" s="268"/>
      <c r="VZX447" s="268"/>
      <c r="VZY447" s="268"/>
      <c r="VZZ447" s="268"/>
      <c r="WAA447" s="268"/>
      <c r="WAB447" s="268"/>
      <c r="WAC447" s="268"/>
      <c r="WAD447" s="268"/>
      <c r="WAE447" s="268"/>
      <c r="WAF447" s="268"/>
      <c r="WAG447" s="268"/>
      <c r="WAH447" s="268"/>
      <c r="WAI447" s="268"/>
      <c r="WAJ447" s="268"/>
      <c r="WAK447" s="268"/>
      <c r="WAL447" s="268"/>
      <c r="WAM447" s="268"/>
      <c r="WAN447" s="268"/>
      <c r="WAO447" s="268"/>
      <c r="WAP447" s="268"/>
      <c r="WAQ447" s="268"/>
      <c r="WAR447" s="268"/>
      <c r="WAS447" s="268"/>
      <c r="WAT447" s="268"/>
      <c r="WAU447" s="268"/>
      <c r="WAV447" s="268"/>
      <c r="WAW447" s="268"/>
      <c r="WAX447" s="268"/>
      <c r="WAY447" s="268"/>
      <c r="WAZ447" s="268"/>
      <c r="WBA447" s="268"/>
      <c r="WBB447" s="268"/>
      <c r="WBC447" s="268"/>
      <c r="WBD447" s="268"/>
      <c r="WBE447" s="268"/>
      <c r="WBF447" s="268"/>
      <c r="WBG447" s="268"/>
      <c r="WBU447" s="268"/>
      <c r="WBV447" s="268"/>
      <c r="WBW447" s="268"/>
      <c r="WCK447" s="268"/>
      <c r="WCM447" s="268"/>
      <c r="WCN447" s="268"/>
      <c r="WCO447" s="268"/>
      <c r="WCP447" s="268"/>
      <c r="WCQ447" s="268"/>
      <c r="WCR447" s="268"/>
      <c r="WCS447" s="268"/>
      <c r="WCT447" s="268"/>
      <c r="WCU447" s="268"/>
      <c r="WCV447" s="268"/>
      <c r="WCW447" s="268"/>
      <c r="WCX447" s="268"/>
      <c r="WCY447" s="268"/>
      <c r="WCZ447" s="268"/>
      <c r="WDA447" s="268"/>
      <c r="WDB447" s="268"/>
      <c r="WDC447" s="268"/>
      <c r="WDD447" s="268"/>
      <c r="WDE447" s="268"/>
      <c r="WDF447" s="268"/>
      <c r="WDG447" s="268"/>
      <c r="WDH447" s="268"/>
      <c r="WDI447" s="268"/>
      <c r="WDJ447" s="268"/>
      <c r="WDK447" s="268"/>
      <c r="WDL447" s="268"/>
      <c r="WDM447" s="268"/>
      <c r="WDN447" s="268"/>
      <c r="WDO447" s="268"/>
      <c r="WDP447" s="268"/>
      <c r="WDQ447" s="268"/>
      <c r="WDR447" s="268"/>
      <c r="WDS447" s="268"/>
      <c r="WDT447" s="268"/>
      <c r="WDU447" s="268"/>
      <c r="WDV447" s="268"/>
      <c r="WDW447" s="268"/>
      <c r="WDX447" s="268"/>
      <c r="WDY447" s="268"/>
      <c r="WDZ447" s="268"/>
      <c r="WEA447" s="268"/>
      <c r="WEB447" s="268"/>
      <c r="WEC447" s="268"/>
      <c r="WED447" s="268"/>
      <c r="WEE447" s="268"/>
      <c r="WEF447" s="268"/>
      <c r="WEG447" s="268"/>
      <c r="WEH447" s="268"/>
      <c r="WEI447" s="268"/>
      <c r="WEJ447" s="268"/>
      <c r="WEK447" s="268"/>
      <c r="WEL447" s="268"/>
      <c r="WEM447" s="268"/>
      <c r="WEN447" s="268"/>
      <c r="WEO447" s="268"/>
      <c r="WEP447" s="268"/>
      <c r="WEQ447" s="268"/>
      <c r="WER447" s="268"/>
      <c r="WES447" s="268"/>
      <c r="WET447" s="268"/>
      <c r="WEU447" s="268"/>
      <c r="WEV447" s="268"/>
      <c r="WEW447" s="268"/>
      <c r="WEX447" s="268"/>
      <c r="WEY447" s="268"/>
      <c r="WEZ447" s="268"/>
      <c r="WFA447" s="268"/>
      <c r="WFB447" s="268"/>
      <c r="WFC447" s="268"/>
      <c r="WFD447" s="268"/>
      <c r="WFE447" s="268"/>
      <c r="WFF447" s="268"/>
      <c r="WFG447" s="268"/>
      <c r="WFH447" s="268"/>
      <c r="WFI447" s="268"/>
      <c r="WFJ447" s="268"/>
      <c r="WFK447" s="268"/>
      <c r="WFL447" s="268"/>
      <c r="WFM447" s="268"/>
      <c r="WFN447" s="268"/>
      <c r="WFO447" s="268"/>
      <c r="WFP447" s="268"/>
      <c r="WFQ447" s="268"/>
      <c r="WFR447" s="268"/>
      <c r="WFS447" s="268"/>
      <c r="WFT447" s="268"/>
      <c r="WFU447" s="268"/>
      <c r="WFV447" s="268"/>
      <c r="WFW447" s="268"/>
      <c r="WFX447" s="268"/>
      <c r="WFY447" s="268"/>
      <c r="WFZ447" s="268"/>
      <c r="WGA447" s="268"/>
      <c r="WGB447" s="268"/>
      <c r="WGC447" s="268"/>
      <c r="WGD447" s="268"/>
      <c r="WGE447" s="268"/>
      <c r="WGF447" s="268"/>
      <c r="WGG447" s="268"/>
      <c r="WGH447" s="268"/>
      <c r="WGI447" s="268"/>
      <c r="WGJ447" s="268"/>
      <c r="WGK447" s="268"/>
      <c r="WGL447" s="268"/>
      <c r="WGM447" s="268"/>
      <c r="WGN447" s="268"/>
      <c r="WGO447" s="268"/>
      <c r="WGP447" s="268"/>
      <c r="WGQ447" s="268"/>
      <c r="WGR447" s="268"/>
      <c r="WGS447" s="268"/>
      <c r="WGT447" s="268"/>
      <c r="WGU447" s="268"/>
      <c r="WGV447" s="268"/>
      <c r="WGW447" s="268"/>
      <c r="WGX447" s="268"/>
      <c r="WGY447" s="268"/>
      <c r="WGZ447" s="268"/>
      <c r="WHA447" s="268"/>
      <c r="WHB447" s="268"/>
      <c r="WHC447" s="268"/>
      <c r="WHD447" s="268"/>
      <c r="WHE447" s="268"/>
      <c r="WHF447" s="268"/>
      <c r="WHG447" s="268"/>
      <c r="WHH447" s="268"/>
      <c r="WHI447" s="268"/>
      <c r="WHJ447" s="268"/>
      <c r="WHK447" s="268"/>
      <c r="WHL447" s="268"/>
      <c r="WHM447" s="268"/>
      <c r="WHN447" s="268"/>
      <c r="WHO447" s="268"/>
      <c r="WHP447" s="268"/>
      <c r="WHQ447" s="268"/>
      <c r="WHR447" s="268"/>
      <c r="WHS447" s="268"/>
      <c r="WHT447" s="268"/>
      <c r="WHU447" s="268"/>
      <c r="WHV447" s="268"/>
      <c r="WHW447" s="268"/>
      <c r="WHX447" s="268"/>
      <c r="WHY447" s="268"/>
      <c r="WHZ447" s="268"/>
      <c r="WIA447" s="268"/>
      <c r="WIB447" s="268"/>
      <c r="WIC447" s="268"/>
      <c r="WID447" s="268"/>
      <c r="WIE447" s="268"/>
      <c r="WIF447" s="268"/>
      <c r="WIG447" s="268"/>
      <c r="WIH447" s="268"/>
      <c r="WII447" s="268"/>
      <c r="WIJ447" s="268"/>
      <c r="WIK447" s="268"/>
      <c r="WIL447" s="268"/>
      <c r="WIM447" s="268"/>
      <c r="WIN447" s="268"/>
      <c r="WIO447" s="268"/>
      <c r="WIP447" s="268"/>
      <c r="WIQ447" s="268"/>
      <c r="WIR447" s="268"/>
      <c r="WIS447" s="268"/>
      <c r="WIT447" s="268"/>
      <c r="WIU447" s="268"/>
      <c r="WIV447" s="268"/>
      <c r="WIW447" s="268"/>
      <c r="WIX447" s="268"/>
      <c r="WIY447" s="268"/>
      <c r="WIZ447" s="268"/>
      <c r="WJA447" s="268"/>
      <c r="WJB447" s="268"/>
      <c r="WJC447" s="268"/>
      <c r="WJD447" s="268"/>
      <c r="WJE447" s="268"/>
      <c r="WJF447" s="268"/>
      <c r="WJG447" s="268"/>
      <c r="WJH447" s="268"/>
      <c r="WJI447" s="268"/>
      <c r="WJJ447" s="268"/>
      <c r="WJK447" s="268"/>
      <c r="WJL447" s="268"/>
      <c r="WJM447" s="268"/>
      <c r="WJN447" s="268"/>
      <c r="WJO447" s="268"/>
      <c r="WJP447" s="268"/>
      <c r="WJQ447" s="268"/>
      <c r="WJR447" s="268"/>
      <c r="WJS447" s="268"/>
      <c r="WJT447" s="268"/>
      <c r="WJU447" s="268"/>
      <c r="WJV447" s="268"/>
      <c r="WJW447" s="268"/>
      <c r="WJX447" s="268"/>
      <c r="WJY447" s="268"/>
      <c r="WJZ447" s="268"/>
      <c r="WKA447" s="268"/>
      <c r="WKB447" s="268"/>
      <c r="WKC447" s="268"/>
      <c r="WKD447" s="268"/>
      <c r="WKE447" s="268"/>
      <c r="WKF447" s="268"/>
      <c r="WKG447" s="268"/>
      <c r="WKH447" s="268"/>
      <c r="WKI447" s="268"/>
      <c r="WKJ447" s="268"/>
      <c r="WKK447" s="268"/>
      <c r="WKL447" s="268"/>
      <c r="WKM447" s="268"/>
      <c r="WKN447" s="268"/>
      <c r="WKO447" s="268"/>
      <c r="WKP447" s="268"/>
      <c r="WKQ447" s="268"/>
      <c r="WKR447" s="268"/>
      <c r="WKS447" s="268"/>
      <c r="WKT447" s="268"/>
      <c r="WKU447" s="268"/>
      <c r="WKV447" s="268"/>
      <c r="WKW447" s="268"/>
      <c r="WKX447" s="268"/>
      <c r="WKY447" s="268"/>
      <c r="WKZ447" s="268"/>
      <c r="WLA447" s="268"/>
      <c r="WLB447" s="268"/>
      <c r="WLC447" s="268"/>
      <c r="WLQ447" s="268"/>
      <c r="WLR447" s="268"/>
      <c r="WLS447" s="268"/>
      <c r="WMG447" s="268"/>
      <c r="WMI447" s="268"/>
      <c r="WMJ447" s="268"/>
      <c r="WMK447" s="268"/>
      <c r="WML447" s="268"/>
      <c r="WMM447" s="268"/>
      <c r="WMN447" s="268"/>
      <c r="WMO447" s="268"/>
      <c r="WMP447" s="268"/>
      <c r="WMQ447" s="268"/>
      <c r="WMR447" s="268"/>
      <c r="WMS447" s="268"/>
      <c r="WMT447" s="268"/>
      <c r="WMU447" s="268"/>
      <c r="WMV447" s="268"/>
      <c r="WMW447" s="268"/>
      <c r="WMX447" s="268"/>
      <c r="WMY447" s="268"/>
      <c r="WMZ447" s="268"/>
      <c r="WNA447" s="268"/>
      <c r="WNB447" s="268"/>
      <c r="WNC447" s="268"/>
      <c r="WND447" s="268"/>
      <c r="WNE447" s="268"/>
      <c r="WNF447" s="268"/>
      <c r="WNG447" s="268"/>
      <c r="WNH447" s="268"/>
      <c r="WNI447" s="268"/>
      <c r="WNJ447" s="268"/>
      <c r="WNK447" s="268"/>
      <c r="WNL447" s="268"/>
      <c r="WNM447" s="268"/>
      <c r="WNN447" s="268"/>
      <c r="WNO447" s="268"/>
      <c r="WNP447" s="268"/>
      <c r="WNQ447" s="268"/>
      <c r="WNR447" s="268"/>
      <c r="WNS447" s="268"/>
      <c r="WNT447" s="268"/>
      <c r="WNU447" s="268"/>
      <c r="WNV447" s="268"/>
      <c r="WNW447" s="268"/>
      <c r="WNX447" s="268"/>
      <c r="WNY447" s="268"/>
      <c r="WNZ447" s="268"/>
      <c r="WOA447" s="268"/>
      <c r="WOB447" s="268"/>
      <c r="WOC447" s="268"/>
      <c r="WOD447" s="268"/>
      <c r="WOE447" s="268"/>
      <c r="WOF447" s="268"/>
      <c r="WOG447" s="268"/>
      <c r="WOH447" s="268"/>
      <c r="WOI447" s="268"/>
      <c r="WOJ447" s="268"/>
      <c r="WOK447" s="268"/>
      <c r="WOL447" s="268"/>
      <c r="WOM447" s="268"/>
      <c r="WON447" s="268"/>
      <c r="WOO447" s="268"/>
      <c r="WOP447" s="268"/>
      <c r="WOQ447" s="268"/>
      <c r="WOR447" s="268"/>
      <c r="WOS447" s="268"/>
      <c r="WOT447" s="268"/>
      <c r="WOU447" s="268"/>
      <c r="WOV447" s="268"/>
      <c r="WOW447" s="268"/>
      <c r="WOX447" s="268"/>
      <c r="WOY447" s="268"/>
      <c r="WOZ447" s="268"/>
      <c r="WPA447" s="268"/>
      <c r="WPB447" s="268"/>
      <c r="WPC447" s="268"/>
      <c r="WPD447" s="268"/>
      <c r="WPE447" s="268"/>
      <c r="WPF447" s="268"/>
      <c r="WPG447" s="268"/>
      <c r="WPH447" s="268"/>
      <c r="WPI447" s="268"/>
      <c r="WPJ447" s="268"/>
      <c r="WPK447" s="268"/>
      <c r="WPL447" s="268"/>
      <c r="WPM447" s="268"/>
      <c r="WPN447" s="268"/>
      <c r="WPO447" s="268"/>
      <c r="WPP447" s="268"/>
      <c r="WPQ447" s="268"/>
      <c r="WPR447" s="268"/>
      <c r="WPS447" s="268"/>
      <c r="WPT447" s="268"/>
      <c r="WPU447" s="268"/>
      <c r="WPV447" s="268"/>
      <c r="WPW447" s="268"/>
      <c r="WPX447" s="268"/>
      <c r="WPY447" s="268"/>
      <c r="WPZ447" s="268"/>
      <c r="WQA447" s="268"/>
      <c r="WQB447" s="268"/>
      <c r="WQC447" s="268"/>
      <c r="WQD447" s="268"/>
      <c r="WQE447" s="268"/>
      <c r="WQF447" s="268"/>
      <c r="WQG447" s="268"/>
      <c r="WQH447" s="268"/>
      <c r="WQI447" s="268"/>
      <c r="WQJ447" s="268"/>
      <c r="WQK447" s="268"/>
      <c r="WQL447" s="268"/>
      <c r="WQM447" s="268"/>
      <c r="WQN447" s="268"/>
      <c r="WQO447" s="268"/>
      <c r="WQP447" s="268"/>
      <c r="WQQ447" s="268"/>
      <c r="WQR447" s="268"/>
      <c r="WQS447" s="268"/>
      <c r="WQT447" s="268"/>
      <c r="WQU447" s="268"/>
      <c r="WQV447" s="268"/>
      <c r="WQW447" s="268"/>
      <c r="WQX447" s="268"/>
      <c r="WQY447" s="268"/>
      <c r="WQZ447" s="268"/>
      <c r="WRA447" s="268"/>
      <c r="WRB447" s="268"/>
      <c r="WRC447" s="268"/>
      <c r="WRD447" s="268"/>
      <c r="WRE447" s="268"/>
      <c r="WRF447" s="268"/>
      <c r="WRG447" s="268"/>
      <c r="WRH447" s="268"/>
      <c r="WRI447" s="268"/>
      <c r="WRJ447" s="268"/>
      <c r="WRK447" s="268"/>
      <c r="WRL447" s="268"/>
      <c r="WRM447" s="268"/>
      <c r="WRN447" s="268"/>
      <c r="WRO447" s="268"/>
      <c r="WRP447" s="268"/>
      <c r="WRQ447" s="268"/>
      <c r="WRR447" s="268"/>
      <c r="WRS447" s="268"/>
      <c r="WRT447" s="268"/>
      <c r="WRU447" s="268"/>
      <c r="WRV447" s="268"/>
      <c r="WRW447" s="268"/>
      <c r="WRX447" s="268"/>
      <c r="WRY447" s="268"/>
      <c r="WRZ447" s="268"/>
      <c r="WSA447" s="268"/>
      <c r="WSB447" s="268"/>
      <c r="WSC447" s="268"/>
      <c r="WSD447" s="268"/>
      <c r="WSE447" s="268"/>
      <c r="WSF447" s="268"/>
      <c r="WSG447" s="268"/>
      <c r="WSH447" s="268"/>
      <c r="WSI447" s="268"/>
      <c r="WSJ447" s="268"/>
      <c r="WSK447" s="268"/>
      <c r="WSL447" s="268"/>
      <c r="WSM447" s="268"/>
      <c r="WSN447" s="268"/>
      <c r="WSO447" s="268"/>
      <c r="WSP447" s="268"/>
      <c r="WSQ447" s="268"/>
      <c r="WSR447" s="268"/>
      <c r="WSS447" s="268"/>
      <c r="WST447" s="268"/>
      <c r="WSU447" s="268"/>
      <c r="WSV447" s="268"/>
      <c r="WSW447" s="268"/>
      <c r="WSX447" s="268"/>
      <c r="WSY447" s="268"/>
      <c r="WSZ447" s="268"/>
      <c r="WTA447" s="268"/>
      <c r="WTB447" s="268"/>
      <c r="WTC447" s="268"/>
      <c r="WTD447" s="268"/>
      <c r="WTE447" s="268"/>
      <c r="WTF447" s="268"/>
      <c r="WTG447" s="268"/>
      <c r="WTH447" s="268"/>
      <c r="WTI447" s="268"/>
      <c r="WTJ447" s="268"/>
      <c r="WTK447" s="268"/>
      <c r="WTL447" s="268"/>
      <c r="WTM447" s="268"/>
      <c r="WTN447" s="268"/>
      <c r="WTO447" s="268"/>
      <c r="WTP447" s="268"/>
      <c r="WTQ447" s="268"/>
      <c r="WTR447" s="268"/>
      <c r="WTS447" s="268"/>
      <c r="WTT447" s="268"/>
      <c r="WTU447" s="268"/>
      <c r="WTV447" s="268"/>
      <c r="WTW447" s="268"/>
      <c r="WTX447" s="268"/>
      <c r="WTY447" s="268"/>
      <c r="WTZ447" s="268"/>
      <c r="WUA447" s="268"/>
      <c r="WUB447" s="268"/>
      <c r="WUC447" s="268"/>
      <c r="WUD447" s="268"/>
      <c r="WUE447" s="268"/>
      <c r="WUF447" s="268"/>
      <c r="WUG447" s="268"/>
      <c r="WUH447" s="268"/>
      <c r="WUI447" s="268"/>
      <c r="WUJ447" s="268"/>
      <c r="WUK447" s="268"/>
      <c r="WUL447" s="268"/>
      <c r="WUM447" s="268"/>
      <c r="WUN447" s="268"/>
      <c r="WUO447" s="268"/>
      <c r="WUP447" s="268"/>
      <c r="WUQ447" s="268"/>
      <c r="WUR447" s="268"/>
      <c r="WUS447" s="268"/>
      <c r="WUT447" s="268"/>
      <c r="WUU447" s="268"/>
      <c r="WUV447" s="268"/>
      <c r="WUW447" s="268"/>
      <c r="WUX447" s="268"/>
      <c r="WUY447" s="268"/>
      <c r="WVM447" s="268"/>
      <c r="WVN447" s="268"/>
      <c r="WVO447" s="268"/>
      <c r="WWC447" s="268"/>
      <c r="WWE447" s="268"/>
      <c r="WWF447" s="268"/>
      <c r="WWG447" s="268"/>
      <c r="WWH447" s="268"/>
      <c r="WWI447" s="268"/>
      <c r="WWJ447" s="268"/>
      <c r="WWK447" s="268"/>
      <c r="WWL447" s="268"/>
      <c r="WWM447" s="268"/>
      <c r="WWN447" s="268"/>
      <c r="WWO447" s="268"/>
      <c r="WWP447" s="268"/>
      <c r="WWQ447" s="268"/>
      <c r="WWR447" s="268"/>
      <c r="WWS447" s="268"/>
      <c r="WWT447" s="268"/>
      <c r="WWU447" s="268"/>
      <c r="WWV447" s="268"/>
      <c r="WWW447" s="268"/>
      <c r="WWX447" s="268"/>
      <c r="WWY447" s="268"/>
      <c r="WWZ447" s="268"/>
      <c r="WXA447" s="268"/>
      <c r="WXB447" s="268"/>
      <c r="WXC447" s="268"/>
      <c r="WXD447" s="268"/>
      <c r="WXE447" s="268"/>
      <c r="WXF447" s="268"/>
      <c r="WXG447" s="268"/>
      <c r="WXH447" s="268"/>
      <c r="WXI447" s="268"/>
      <c r="WXJ447" s="268"/>
      <c r="WXK447" s="268"/>
      <c r="WXL447" s="268"/>
      <c r="WXM447" s="268"/>
      <c r="WXN447" s="268"/>
      <c r="WXO447" s="268"/>
      <c r="WXP447" s="268"/>
      <c r="WXQ447" s="268"/>
      <c r="WXR447" s="268"/>
      <c r="WXS447" s="268"/>
      <c r="WXT447" s="268"/>
      <c r="WXU447" s="268"/>
      <c r="WXV447" s="268"/>
      <c r="WXW447" s="268"/>
      <c r="WXX447" s="268"/>
      <c r="WXY447" s="268"/>
      <c r="WXZ447" s="268"/>
      <c r="WYA447" s="268"/>
      <c r="WYB447" s="268"/>
      <c r="WYC447" s="268"/>
      <c r="WYD447" s="268"/>
      <c r="WYE447" s="268"/>
      <c r="WYF447" s="268"/>
      <c r="WYG447" s="268"/>
      <c r="WYH447" s="268"/>
      <c r="WYI447" s="268"/>
      <c r="WYJ447" s="268"/>
      <c r="WYK447" s="268"/>
      <c r="WYL447" s="268"/>
      <c r="WYM447" s="268"/>
      <c r="WYN447" s="268"/>
      <c r="WYO447" s="268"/>
      <c r="WYP447" s="268"/>
      <c r="WYQ447" s="268"/>
      <c r="WYR447" s="268"/>
      <c r="WYS447" s="268"/>
      <c r="WYT447" s="268"/>
      <c r="WYU447" s="268"/>
      <c r="WYV447" s="268"/>
      <c r="WYW447" s="268"/>
      <c r="WYX447" s="268"/>
      <c r="WYY447" s="268"/>
      <c r="WYZ447" s="268"/>
      <c r="WZA447" s="268"/>
      <c r="WZB447" s="268"/>
      <c r="WZC447" s="268"/>
      <c r="WZD447" s="268"/>
      <c r="WZE447" s="268"/>
      <c r="WZF447" s="268"/>
      <c r="WZG447" s="268"/>
      <c r="WZH447" s="268"/>
      <c r="WZI447" s="268"/>
      <c r="WZJ447" s="268"/>
      <c r="WZK447" s="268"/>
      <c r="WZL447" s="268"/>
      <c r="WZM447" s="268"/>
      <c r="WZN447" s="268"/>
      <c r="WZO447" s="268"/>
      <c r="WZP447" s="268"/>
      <c r="WZQ447" s="268"/>
      <c r="WZR447" s="268"/>
      <c r="WZS447" s="268"/>
      <c r="WZT447" s="268"/>
      <c r="WZU447" s="268"/>
      <c r="WZV447" s="268"/>
      <c r="WZW447" s="268"/>
      <c r="WZX447" s="268"/>
      <c r="WZY447" s="268"/>
      <c r="WZZ447" s="268"/>
      <c r="XAA447" s="268"/>
      <c r="XAB447" s="268"/>
      <c r="XAC447" s="268"/>
      <c r="XAD447" s="268"/>
      <c r="XAE447" s="268"/>
      <c r="XAF447" s="268"/>
      <c r="XAG447" s="268"/>
      <c r="XAH447" s="268"/>
      <c r="XAI447" s="268"/>
      <c r="XAJ447" s="268"/>
      <c r="XAK447" s="268"/>
      <c r="XAL447" s="268"/>
      <c r="XAM447" s="268"/>
      <c r="XAN447" s="268"/>
      <c r="XAO447" s="268"/>
      <c r="XAP447" s="268"/>
      <c r="XAQ447" s="268"/>
      <c r="XAR447" s="268"/>
      <c r="XAS447" s="268"/>
      <c r="XAT447" s="268"/>
      <c r="XAU447" s="268"/>
      <c r="XAV447" s="268"/>
      <c r="XAW447" s="268"/>
      <c r="XAX447" s="268"/>
      <c r="XAY447" s="268"/>
      <c r="XAZ447" s="268"/>
      <c r="XBA447" s="268"/>
      <c r="XBB447" s="268"/>
      <c r="XBC447" s="268"/>
      <c r="XBD447" s="268"/>
      <c r="XBE447" s="268"/>
      <c r="XBF447" s="268"/>
      <c r="XBG447" s="268"/>
      <c r="XBH447" s="268"/>
      <c r="XBI447" s="268"/>
      <c r="XBJ447" s="268"/>
      <c r="XBK447" s="268"/>
      <c r="XBL447" s="268"/>
      <c r="XBM447" s="268"/>
      <c r="XBN447" s="268"/>
      <c r="XBO447" s="268"/>
      <c r="XBP447" s="268"/>
      <c r="XBQ447" s="268"/>
      <c r="XBR447" s="268"/>
      <c r="XBS447" s="268"/>
      <c r="XBT447" s="268"/>
      <c r="XBU447" s="268"/>
      <c r="XBV447" s="268"/>
      <c r="XBW447" s="268"/>
      <c r="XBX447" s="268"/>
      <c r="XBY447" s="268"/>
      <c r="XBZ447" s="268"/>
      <c r="XCA447" s="268"/>
      <c r="XCB447" s="268"/>
      <c r="XCC447" s="268"/>
      <c r="XCD447" s="268"/>
      <c r="XCE447" s="268"/>
      <c r="XCF447" s="268"/>
      <c r="XCG447" s="268"/>
      <c r="XCH447" s="268"/>
      <c r="XCI447" s="268"/>
      <c r="XCJ447" s="268"/>
      <c r="XCK447" s="268"/>
      <c r="XCL447" s="268"/>
      <c r="XCM447" s="268"/>
      <c r="XCN447" s="268"/>
      <c r="XCO447" s="268"/>
      <c r="XCP447" s="268"/>
      <c r="XCQ447" s="268"/>
      <c r="XCR447" s="268"/>
      <c r="XCS447" s="268"/>
      <c r="XCT447" s="268"/>
      <c r="XCU447" s="268"/>
      <c r="XCV447" s="268"/>
      <c r="XCW447" s="268"/>
      <c r="XCX447" s="268"/>
      <c r="XCY447" s="268"/>
      <c r="XCZ447" s="268"/>
      <c r="XDA447" s="268"/>
      <c r="XDB447" s="268"/>
      <c r="XDC447" s="268"/>
      <c r="XDD447" s="268"/>
      <c r="XDE447" s="268"/>
      <c r="XDF447" s="268"/>
      <c r="XDG447" s="268"/>
      <c r="XDH447" s="268"/>
      <c r="XDI447" s="268"/>
      <c r="XDJ447" s="268"/>
      <c r="XDK447" s="268"/>
      <c r="XDL447" s="268"/>
      <c r="XDM447" s="268"/>
      <c r="XDN447" s="268"/>
      <c r="XDO447" s="268"/>
      <c r="XDP447" s="268"/>
      <c r="XDQ447" s="268"/>
      <c r="XDR447" s="268"/>
      <c r="XDS447" s="268"/>
      <c r="XDT447" s="268"/>
      <c r="XDU447" s="268"/>
      <c r="XDV447" s="268"/>
      <c r="XDW447" s="268"/>
      <c r="XDX447" s="268"/>
      <c r="XDY447" s="268"/>
      <c r="XDZ447" s="268"/>
      <c r="XEA447" s="268"/>
      <c r="XEB447" s="268"/>
      <c r="XEC447" s="268"/>
      <c r="XED447" s="268"/>
      <c r="XEE447" s="268"/>
      <c r="XEF447" s="268"/>
      <c r="XEG447" s="268"/>
      <c r="XEH447" s="268"/>
      <c r="XEI447" s="268"/>
      <c r="XEJ447" s="268"/>
      <c r="XEK447" s="268"/>
      <c r="XEL447" s="268"/>
      <c r="XEM447" s="268"/>
      <c r="XEN447" s="268"/>
      <c r="XEO447" s="268"/>
      <c r="XEP447" s="268"/>
      <c r="XEQ447" s="268"/>
      <c r="XER447" s="268"/>
      <c r="XES447" s="268"/>
    </row>
    <row r="448" spans="1:1015 1029:2039 2053:3063 3077:4087 4101:5111 5125:6135 6149:7159 7173:8183 8197:9207 9221:10231 10245:11255 11269:12279 12293:13303 13317:14327 14341:15351 15365:16373" hidden="1" outlineLevel="1" x14ac:dyDescent="0.25">
      <c r="A448" s="3" t="s">
        <v>365</v>
      </c>
      <c r="B448" s="3">
        <v>1200</v>
      </c>
      <c r="E448" s="3">
        <f t="shared" si="275"/>
        <v>1200</v>
      </c>
      <c r="F448" s="3">
        <v>1200</v>
      </c>
      <c r="H448" s="3">
        <f t="shared" si="276"/>
        <v>0</v>
      </c>
      <c r="J448" s="3">
        <v>0</v>
      </c>
      <c r="K448" s="4">
        <f t="shared" si="258"/>
        <v>1000</v>
      </c>
      <c r="L448" s="4">
        <v>1000</v>
      </c>
      <c r="N448" s="4">
        <f t="shared" si="259"/>
        <v>-200</v>
      </c>
      <c r="P448" s="3">
        <f>L448*1.0281+22</f>
        <v>1050.0999999999999</v>
      </c>
      <c r="R448" s="3">
        <v>0</v>
      </c>
      <c r="S448" s="3">
        <f t="shared" si="260"/>
        <v>1050</v>
      </c>
      <c r="T448" s="3">
        <v>1050</v>
      </c>
      <c r="U448" s="3">
        <f t="shared" si="261"/>
        <v>-9.9999999999909051E-2</v>
      </c>
      <c r="V448" s="3">
        <v>0</v>
      </c>
      <c r="W448" s="3">
        <f t="shared" si="262"/>
        <v>1050</v>
      </c>
      <c r="Y448" s="3">
        <v>1050</v>
      </c>
      <c r="Z448" s="3">
        <f t="shared" si="263"/>
        <v>0</v>
      </c>
      <c r="AC448" s="3">
        <v>0</v>
      </c>
      <c r="AD448" s="3">
        <f t="shared" si="274"/>
        <v>550</v>
      </c>
      <c r="AE448" s="3">
        <v>550</v>
      </c>
      <c r="AF448" s="3">
        <f t="shared" si="264"/>
        <v>-500</v>
      </c>
      <c r="AI448" s="3">
        <f>AE448*1.03+33</f>
        <v>599.5</v>
      </c>
      <c r="AK448" s="3">
        <f>AI448*1.03</f>
        <v>617.48500000000001</v>
      </c>
      <c r="AM448" s="3">
        <f>AK448*1.03</f>
        <v>636.00954999999999</v>
      </c>
      <c r="AN448" s="3">
        <f>AL448*1.03</f>
        <v>0</v>
      </c>
      <c r="AO448" s="3">
        <f>AM448*1.03</f>
        <v>655.08983650000005</v>
      </c>
      <c r="AP448" s="4">
        <f>AN448*1.03</f>
        <v>0</v>
      </c>
      <c r="AQ448" s="3">
        <f>AO448*1.03</f>
        <v>674.74253159500006</v>
      </c>
      <c r="AR448" s="3"/>
      <c r="AS448" s="3">
        <f>AQ448*1.03</f>
        <v>694.98480754285004</v>
      </c>
      <c r="AT448" s="3">
        <f>AR448*1.03</f>
        <v>0</v>
      </c>
      <c r="AU448" s="3">
        <f>AS448*1.03</f>
        <v>715.83435176913554</v>
      </c>
      <c r="AV448" s="3">
        <f>AT448*1.03</f>
        <v>0</v>
      </c>
      <c r="AW448" s="3">
        <f>AU448*1.03</f>
        <v>737.30938232220967</v>
      </c>
      <c r="AX448" s="3"/>
      <c r="AY448" s="3">
        <f>AW448*1.03</f>
        <v>759.42866379187603</v>
      </c>
      <c r="AZ448" s="3">
        <f>AX448*1.03</f>
        <v>0</v>
      </c>
      <c r="BA448" s="3">
        <f>AY448*1.03</f>
        <v>782.21152370563232</v>
      </c>
      <c r="BC448" s="3">
        <f>BA448*1.03</f>
        <v>805.67786941680129</v>
      </c>
      <c r="BE448" s="3">
        <f>BC448*1.03</f>
        <v>829.84820549930532</v>
      </c>
    </row>
    <row r="449" spans="1:1015 1029:2039 2053:3063 3077:4087 4101:5111 5125:6135 6149:7159 7173:8183 8197:9207 9221:10231 10245:11255 11269:12279 12293:13303 13317:14327 14341:15351 15365:16373" hidden="1" outlineLevel="1" x14ac:dyDescent="0.25">
      <c r="A449" s="267" t="s">
        <v>366</v>
      </c>
      <c r="B449" s="3">
        <v>6000</v>
      </c>
      <c r="D449" s="3">
        <v>0</v>
      </c>
      <c r="E449" s="3">
        <f t="shared" si="275"/>
        <v>6000</v>
      </c>
      <c r="F449" s="3">
        <v>6000</v>
      </c>
      <c r="H449" s="3">
        <f t="shared" si="276"/>
        <v>0</v>
      </c>
      <c r="J449" s="3">
        <v>0</v>
      </c>
      <c r="K449" s="4">
        <f t="shared" si="258"/>
        <v>6000</v>
      </c>
      <c r="L449" s="4">
        <v>6000</v>
      </c>
      <c r="N449" s="4">
        <f t="shared" si="259"/>
        <v>0</v>
      </c>
      <c r="P449" s="3">
        <v>6000</v>
      </c>
      <c r="R449" s="3">
        <v>0</v>
      </c>
      <c r="S449" s="3">
        <f t="shared" si="260"/>
        <v>6000</v>
      </c>
      <c r="T449" s="3">
        <v>6000</v>
      </c>
      <c r="U449" s="3">
        <f t="shared" si="261"/>
        <v>0</v>
      </c>
      <c r="V449" s="3">
        <v>0</v>
      </c>
      <c r="W449" s="3">
        <f t="shared" si="262"/>
        <v>6000</v>
      </c>
      <c r="Y449" s="3">
        <v>6000</v>
      </c>
      <c r="Z449" s="3">
        <f t="shared" si="263"/>
        <v>0</v>
      </c>
      <c r="AC449" s="3">
        <v>0</v>
      </c>
      <c r="AD449" s="3">
        <f t="shared" si="274"/>
        <v>6000</v>
      </c>
      <c r="AE449" s="3">
        <v>6000</v>
      </c>
      <c r="AF449" s="3">
        <f t="shared" si="264"/>
        <v>0</v>
      </c>
      <c r="AI449" s="3">
        <v>6000</v>
      </c>
      <c r="AK449" s="3">
        <v>6000</v>
      </c>
      <c r="AM449" s="3">
        <v>6000</v>
      </c>
      <c r="AO449" s="3">
        <v>6000</v>
      </c>
      <c r="AQ449" s="3">
        <v>6000</v>
      </c>
      <c r="AS449" s="3">
        <v>6000</v>
      </c>
      <c r="AU449" s="3">
        <v>6000</v>
      </c>
      <c r="AW449" s="3">
        <v>6000</v>
      </c>
      <c r="AY449" s="3">
        <v>6000</v>
      </c>
      <c r="BA449" s="3">
        <v>6000</v>
      </c>
      <c r="BC449" s="3">
        <v>6000</v>
      </c>
      <c r="BE449" s="3">
        <v>6000</v>
      </c>
      <c r="BI449" s="268"/>
      <c r="BJ449" s="268"/>
      <c r="BK449" s="268"/>
      <c r="BL449" s="268"/>
      <c r="BM449" s="268"/>
      <c r="BN449" s="268"/>
      <c r="BO449" s="268"/>
      <c r="BP449" s="268"/>
      <c r="BQ449" s="268"/>
      <c r="BR449" s="268"/>
      <c r="BS449" s="268"/>
      <c r="BT449" s="268"/>
      <c r="BU449" s="268"/>
      <c r="BV449" s="268"/>
      <c r="BW449" s="268"/>
      <c r="BX449" s="268"/>
      <c r="BY449" s="268"/>
      <c r="BZ449" s="268"/>
      <c r="CA449" s="268"/>
      <c r="CB449" s="268"/>
      <c r="CC449" s="268"/>
      <c r="CD449" s="268"/>
      <c r="CE449" s="268"/>
      <c r="CF449" s="268"/>
      <c r="CG449" s="268"/>
      <c r="CH449" s="268"/>
      <c r="CI449" s="268"/>
      <c r="CJ449" s="268"/>
      <c r="CK449" s="268"/>
      <c r="CL449" s="268"/>
      <c r="CM449" s="268"/>
      <c r="CN449" s="268"/>
      <c r="CO449" s="268"/>
      <c r="CP449" s="268"/>
      <c r="CQ449" s="268"/>
      <c r="CR449" s="268"/>
      <c r="CS449" s="268"/>
      <c r="CT449" s="268"/>
      <c r="CU449" s="268"/>
      <c r="CV449" s="268"/>
      <c r="CW449" s="268"/>
      <c r="CX449" s="268"/>
      <c r="CY449" s="268"/>
      <c r="CZ449" s="268"/>
      <c r="DA449" s="268"/>
      <c r="DB449" s="268"/>
      <c r="DC449" s="268"/>
      <c r="DD449" s="268"/>
      <c r="DE449" s="268"/>
      <c r="DF449" s="268"/>
      <c r="DG449" s="268"/>
      <c r="DH449" s="268"/>
      <c r="DI449" s="268"/>
      <c r="DJ449" s="268"/>
      <c r="DK449" s="268"/>
      <c r="DL449" s="268"/>
      <c r="DM449" s="268"/>
      <c r="DN449" s="268"/>
      <c r="DO449" s="268"/>
      <c r="DP449" s="268"/>
      <c r="DQ449" s="268"/>
      <c r="DR449" s="268"/>
      <c r="DS449" s="268"/>
      <c r="DT449" s="268"/>
      <c r="DU449" s="268"/>
      <c r="DV449" s="268"/>
      <c r="DW449" s="268"/>
      <c r="DX449" s="268"/>
      <c r="DY449" s="268"/>
      <c r="DZ449" s="268"/>
      <c r="EA449" s="268"/>
      <c r="EB449" s="268"/>
      <c r="EC449" s="268"/>
      <c r="ED449" s="268"/>
      <c r="EE449" s="268"/>
      <c r="EF449" s="268"/>
      <c r="EG449" s="268"/>
      <c r="EH449" s="268"/>
      <c r="EI449" s="268"/>
      <c r="EJ449" s="268"/>
      <c r="EK449" s="268"/>
      <c r="EL449" s="268"/>
      <c r="EM449" s="268"/>
      <c r="EN449" s="268"/>
      <c r="EO449" s="268"/>
      <c r="EP449" s="268"/>
      <c r="EQ449" s="268"/>
      <c r="ER449" s="268"/>
      <c r="ES449" s="268"/>
      <c r="ET449" s="268"/>
      <c r="EU449" s="268"/>
      <c r="EV449" s="268"/>
      <c r="EW449" s="268"/>
      <c r="EX449" s="268"/>
      <c r="EY449" s="268"/>
      <c r="EZ449" s="268"/>
      <c r="FA449" s="268"/>
      <c r="FB449" s="268"/>
      <c r="FC449" s="268"/>
      <c r="FD449" s="268"/>
      <c r="FE449" s="268"/>
      <c r="FF449" s="268"/>
      <c r="FG449" s="268"/>
      <c r="FH449" s="268"/>
      <c r="FI449" s="268"/>
      <c r="FJ449" s="268"/>
      <c r="FK449" s="268"/>
      <c r="FL449" s="268"/>
      <c r="FM449" s="268"/>
      <c r="FN449" s="268"/>
      <c r="FO449" s="268"/>
      <c r="FP449" s="268"/>
      <c r="FQ449" s="268"/>
      <c r="FR449" s="268"/>
      <c r="FS449" s="268"/>
      <c r="FT449" s="268"/>
      <c r="FU449" s="268"/>
      <c r="FV449" s="268"/>
      <c r="FW449" s="268"/>
      <c r="FX449" s="268"/>
      <c r="FY449" s="268"/>
      <c r="FZ449" s="268"/>
      <c r="GA449" s="268"/>
      <c r="GB449" s="268"/>
      <c r="GC449" s="268"/>
      <c r="GD449" s="268"/>
      <c r="GE449" s="268"/>
      <c r="GF449" s="268"/>
      <c r="GG449" s="268"/>
      <c r="GH449" s="268"/>
      <c r="GI449" s="268"/>
      <c r="GJ449" s="268"/>
      <c r="GK449" s="268"/>
      <c r="GL449" s="268"/>
      <c r="GM449" s="268"/>
      <c r="GN449" s="268"/>
      <c r="GO449" s="268"/>
      <c r="GP449" s="268"/>
      <c r="GQ449" s="268"/>
      <c r="GR449" s="268"/>
      <c r="GS449" s="268"/>
      <c r="GT449" s="268"/>
      <c r="GU449" s="268"/>
      <c r="GV449" s="268"/>
      <c r="GW449" s="268"/>
      <c r="GX449" s="268"/>
      <c r="GY449" s="268"/>
      <c r="GZ449" s="268"/>
      <c r="HA449" s="268"/>
      <c r="HB449" s="268"/>
      <c r="HC449" s="268"/>
      <c r="HD449" s="268"/>
      <c r="HE449" s="268"/>
      <c r="HF449" s="268"/>
      <c r="HG449" s="268"/>
      <c r="HH449" s="268"/>
      <c r="HI449" s="268"/>
      <c r="HJ449" s="268"/>
      <c r="HK449" s="268"/>
      <c r="HL449" s="268"/>
      <c r="HM449" s="268"/>
      <c r="HN449" s="268"/>
      <c r="HO449" s="268"/>
      <c r="HP449" s="268"/>
      <c r="HQ449" s="268"/>
      <c r="HR449" s="268"/>
      <c r="HS449" s="268"/>
      <c r="HT449" s="268"/>
      <c r="HU449" s="268"/>
      <c r="HV449" s="268"/>
      <c r="HW449" s="268"/>
      <c r="HX449" s="268"/>
      <c r="HY449" s="268"/>
      <c r="HZ449" s="268"/>
      <c r="IA449" s="268"/>
      <c r="IB449" s="268"/>
      <c r="IC449" s="268"/>
      <c r="ID449" s="268"/>
      <c r="IE449" s="268"/>
      <c r="IF449" s="268"/>
      <c r="IG449" s="268"/>
      <c r="IH449" s="268"/>
      <c r="II449" s="268"/>
      <c r="IJ449" s="268"/>
      <c r="IK449" s="268"/>
      <c r="IL449" s="268"/>
      <c r="IM449" s="268"/>
      <c r="JA449" s="268"/>
      <c r="JB449" s="268"/>
      <c r="JC449" s="268"/>
      <c r="JQ449" s="268"/>
      <c r="JS449" s="268"/>
      <c r="JT449" s="268"/>
      <c r="JU449" s="268"/>
      <c r="JV449" s="268"/>
      <c r="JW449" s="268"/>
      <c r="JX449" s="268"/>
      <c r="JY449" s="268"/>
      <c r="JZ449" s="268"/>
      <c r="KA449" s="268"/>
      <c r="KB449" s="268"/>
      <c r="KC449" s="268"/>
      <c r="KD449" s="268"/>
      <c r="KE449" s="268"/>
      <c r="KF449" s="268"/>
      <c r="KG449" s="268"/>
      <c r="KH449" s="268"/>
      <c r="KI449" s="268"/>
      <c r="KJ449" s="268"/>
      <c r="KK449" s="268"/>
      <c r="KL449" s="268"/>
      <c r="KM449" s="268"/>
      <c r="KN449" s="268"/>
      <c r="KO449" s="268"/>
      <c r="KP449" s="268"/>
      <c r="KQ449" s="268"/>
      <c r="KR449" s="268"/>
      <c r="KS449" s="268"/>
      <c r="KT449" s="268"/>
      <c r="KU449" s="268"/>
      <c r="KV449" s="268"/>
      <c r="KW449" s="268"/>
      <c r="KX449" s="268"/>
      <c r="KY449" s="268"/>
      <c r="KZ449" s="268"/>
      <c r="LA449" s="268"/>
      <c r="LB449" s="268"/>
      <c r="LC449" s="268"/>
      <c r="LD449" s="268"/>
      <c r="LE449" s="268"/>
      <c r="LF449" s="268"/>
      <c r="LG449" s="268"/>
      <c r="LH449" s="268"/>
      <c r="LI449" s="268"/>
      <c r="LJ449" s="268"/>
      <c r="LK449" s="268"/>
      <c r="LL449" s="268"/>
      <c r="LM449" s="268"/>
      <c r="LN449" s="268"/>
      <c r="LO449" s="268"/>
      <c r="LP449" s="268"/>
      <c r="LQ449" s="268"/>
      <c r="LR449" s="268"/>
      <c r="LS449" s="268"/>
      <c r="LT449" s="268"/>
      <c r="LU449" s="268"/>
      <c r="LV449" s="268"/>
      <c r="LW449" s="268"/>
      <c r="LX449" s="268"/>
      <c r="LY449" s="268"/>
      <c r="LZ449" s="268"/>
      <c r="MA449" s="268"/>
      <c r="MB449" s="268"/>
      <c r="MC449" s="268"/>
      <c r="MD449" s="268"/>
      <c r="ME449" s="268"/>
      <c r="MF449" s="268"/>
      <c r="MG449" s="268"/>
      <c r="MH449" s="268"/>
      <c r="MI449" s="268"/>
      <c r="MJ449" s="268"/>
      <c r="MK449" s="268"/>
      <c r="ML449" s="268"/>
      <c r="MM449" s="268"/>
      <c r="MN449" s="268"/>
      <c r="MO449" s="268"/>
      <c r="MP449" s="268"/>
      <c r="MQ449" s="268"/>
      <c r="MR449" s="268"/>
      <c r="MS449" s="268"/>
      <c r="MT449" s="268"/>
      <c r="MU449" s="268"/>
      <c r="MV449" s="268"/>
      <c r="MW449" s="268"/>
      <c r="MX449" s="268"/>
      <c r="MY449" s="268"/>
      <c r="MZ449" s="268"/>
      <c r="NA449" s="268"/>
      <c r="NB449" s="268"/>
      <c r="NC449" s="268"/>
      <c r="ND449" s="268"/>
      <c r="NE449" s="268"/>
      <c r="NF449" s="268"/>
      <c r="NG449" s="268"/>
      <c r="NH449" s="268"/>
      <c r="NI449" s="268"/>
      <c r="NJ449" s="268"/>
      <c r="NK449" s="268"/>
      <c r="NL449" s="268"/>
      <c r="NM449" s="268"/>
      <c r="NN449" s="268"/>
      <c r="NO449" s="268"/>
      <c r="NP449" s="268"/>
      <c r="NQ449" s="268"/>
      <c r="NR449" s="268"/>
      <c r="NS449" s="268"/>
      <c r="NT449" s="268"/>
      <c r="NU449" s="268"/>
      <c r="NV449" s="268"/>
      <c r="NW449" s="268"/>
      <c r="NX449" s="268"/>
      <c r="NY449" s="268"/>
      <c r="NZ449" s="268"/>
      <c r="OA449" s="268"/>
      <c r="OB449" s="268"/>
      <c r="OC449" s="268"/>
      <c r="OD449" s="268"/>
      <c r="OE449" s="268"/>
      <c r="OF449" s="268"/>
      <c r="OG449" s="268"/>
      <c r="OH449" s="268"/>
      <c r="OI449" s="268"/>
      <c r="OJ449" s="268"/>
      <c r="OK449" s="268"/>
      <c r="OL449" s="268"/>
      <c r="OM449" s="268"/>
      <c r="ON449" s="268"/>
      <c r="OO449" s="268"/>
      <c r="OP449" s="268"/>
      <c r="OQ449" s="268"/>
      <c r="OR449" s="268"/>
      <c r="OS449" s="268"/>
      <c r="OT449" s="268"/>
      <c r="OU449" s="268"/>
      <c r="OV449" s="268"/>
      <c r="OW449" s="268"/>
      <c r="OX449" s="268"/>
      <c r="OY449" s="268"/>
      <c r="OZ449" s="268"/>
      <c r="PA449" s="268"/>
      <c r="PB449" s="268"/>
      <c r="PC449" s="268"/>
      <c r="PD449" s="268"/>
      <c r="PE449" s="268"/>
      <c r="PF449" s="268"/>
      <c r="PG449" s="268"/>
      <c r="PH449" s="268"/>
      <c r="PI449" s="268"/>
      <c r="PJ449" s="268"/>
      <c r="PK449" s="268"/>
      <c r="PL449" s="268"/>
      <c r="PM449" s="268"/>
      <c r="PN449" s="268"/>
      <c r="PO449" s="268"/>
      <c r="PP449" s="268"/>
      <c r="PQ449" s="268"/>
      <c r="PR449" s="268"/>
      <c r="PS449" s="268"/>
      <c r="PT449" s="268"/>
      <c r="PU449" s="268"/>
      <c r="PV449" s="268"/>
      <c r="PW449" s="268"/>
      <c r="PX449" s="268"/>
      <c r="PY449" s="268"/>
      <c r="PZ449" s="268"/>
      <c r="QA449" s="268"/>
      <c r="QB449" s="268"/>
      <c r="QC449" s="268"/>
      <c r="QD449" s="268"/>
      <c r="QE449" s="268"/>
      <c r="QF449" s="268"/>
      <c r="QG449" s="268"/>
      <c r="QH449" s="268"/>
      <c r="QI449" s="268"/>
      <c r="QJ449" s="268"/>
      <c r="QK449" s="268"/>
      <c r="QL449" s="268"/>
      <c r="QM449" s="268"/>
      <c r="QN449" s="268"/>
      <c r="QO449" s="268"/>
      <c r="QP449" s="268"/>
      <c r="QQ449" s="268"/>
      <c r="QR449" s="268"/>
      <c r="QS449" s="268"/>
      <c r="QT449" s="268"/>
      <c r="QU449" s="268"/>
      <c r="QV449" s="268"/>
      <c r="QW449" s="268"/>
      <c r="QX449" s="268"/>
      <c r="QY449" s="268"/>
      <c r="QZ449" s="268"/>
      <c r="RA449" s="268"/>
      <c r="RB449" s="268"/>
      <c r="RC449" s="268"/>
      <c r="RD449" s="268"/>
      <c r="RE449" s="268"/>
      <c r="RF449" s="268"/>
      <c r="RG449" s="268"/>
      <c r="RH449" s="268"/>
      <c r="RI449" s="268"/>
      <c r="RJ449" s="268"/>
      <c r="RK449" s="268"/>
      <c r="RL449" s="268"/>
      <c r="RM449" s="268"/>
      <c r="RN449" s="268"/>
      <c r="RO449" s="268"/>
      <c r="RP449" s="268"/>
      <c r="RQ449" s="268"/>
      <c r="RR449" s="268"/>
      <c r="RS449" s="268"/>
      <c r="RT449" s="268"/>
      <c r="RU449" s="268"/>
      <c r="RV449" s="268"/>
      <c r="RW449" s="268"/>
      <c r="RX449" s="268"/>
      <c r="RY449" s="268"/>
      <c r="RZ449" s="268"/>
      <c r="SA449" s="268"/>
      <c r="SB449" s="268"/>
      <c r="SC449" s="268"/>
      <c r="SD449" s="268"/>
      <c r="SE449" s="268"/>
      <c r="SF449" s="268"/>
      <c r="SG449" s="268"/>
      <c r="SH449" s="268"/>
      <c r="SI449" s="268"/>
      <c r="SW449" s="268"/>
      <c r="SX449" s="268"/>
      <c r="SY449" s="268"/>
      <c r="TM449" s="268"/>
      <c r="TO449" s="268"/>
      <c r="TP449" s="268"/>
      <c r="TQ449" s="268"/>
      <c r="TR449" s="268"/>
      <c r="TS449" s="268"/>
      <c r="TT449" s="268"/>
      <c r="TU449" s="268"/>
      <c r="TV449" s="268"/>
      <c r="TW449" s="268"/>
      <c r="TX449" s="268"/>
      <c r="TY449" s="268"/>
      <c r="TZ449" s="268"/>
      <c r="UA449" s="268"/>
      <c r="UB449" s="268"/>
      <c r="UC449" s="268"/>
      <c r="UD449" s="268"/>
      <c r="UE449" s="268"/>
      <c r="UF449" s="268"/>
      <c r="UG449" s="268"/>
      <c r="UH449" s="268"/>
      <c r="UI449" s="268"/>
      <c r="UJ449" s="268"/>
      <c r="UK449" s="268"/>
      <c r="UL449" s="268"/>
      <c r="UM449" s="268"/>
      <c r="UN449" s="268"/>
      <c r="UO449" s="268"/>
      <c r="UP449" s="268"/>
      <c r="UQ449" s="268"/>
      <c r="UR449" s="268"/>
      <c r="US449" s="268"/>
      <c r="UT449" s="268"/>
      <c r="UU449" s="268"/>
      <c r="UV449" s="268"/>
      <c r="UW449" s="268"/>
      <c r="UX449" s="268"/>
      <c r="UY449" s="268"/>
      <c r="UZ449" s="268"/>
      <c r="VA449" s="268"/>
      <c r="VB449" s="268"/>
      <c r="VC449" s="268"/>
      <c r="VD449" s="268"/>
      <c r="VE449" s="268"/>
      <c r="VF449" s="268"/>
      <c r="VG449" s="268"/>
      <c r="VH449" s="268"/>
      <c r="VI449" s="268"/>
      <c r="VJ449" s="268"/>
      <c r="VK449" s="268"/>
      <c r="VL449" s="268"/>
      <c r="VM449" s="268"/>
      <c r="VN449" s="268"/>
      <c r="VO449" s="268"/>
      <c r="VP449" s="268"/>
      <c r="VQ449" s="268"/>
      <c r="VR449" s="268"/>
      <c r="VS449" s="268"/>
      <c r="VT449" s="268"/>
      <c r="VU449" s="268"/>
      <c r="VV449" s="268"/>
      <c r="VW449" s="268"/>
      <c r="VX449" s="268"/>
      <c r="VY449" s="268"/>
      <c r="VZ449" s="268"/>
      <c r="WA449" s="268"/>
      <c r="WB449" s="268"/>
      <c r="WC449" s="268"/>
      <c r="WD449" s="268"/>
      <c r="WE449" s="268"/>
      <c r="WF449" s="268"/>
      <c r="WG449" s="268"/>
      <c r="WH449" s="268"/>
      <c r="WI449" s="268"/>
      <c r="WJ449" s="268"/>
      <c r="WK449" s="268"/>
      <c r="WL449" s="268"/>
      <c r="WM449" s="268"/>
      <c r="WN449" s="268"/>
      <c r="WO449" s="268"/>
      <c r="WP449" s="268"/>
      <c r="WQ449" s="268"/>
      <c r="WR449" s="268"/>
      <c r="WS449" s="268"/>
      <c r="WT449" s="268"/>
      <c r="WU449" s="268"/>
      <c r="WV449" s="268"/>
      <c r="WW449" s="268"/>
      <c r="WX449" s="268"/>
      <c r="WY449" s="268"/>
      <c r="WZ449" s="268"/>
      <c r="XA449" s="268"/>
      <c r="XB449" s="268"/>
      <c r="XC449" s="268"/>
      <c r="XD449" s="268"/>
      <c r="XE449" s="268"/>
      <c r="XF449" s="268"/>
      <c r="XG449" s="268"/>
      <c r="XH449" s="268"/>
      <c r="XI449" s="268"/>
      <c r="XJ449" s="268"/>
      <c r="XK449" s="268"/>
      <c r="XL449" s="268"/>
      <c r="XM449" s="268"/>
      <c r="XN449" s="268"/>
      <c r="XO449" s="268"/>
      <c r="XP449" s="268"/>
      <c r="XQ449" s="268"/>
      <c r="XR449" s="268"/>
      <c r="XS449" s="268"/>
      <c r="XT449" s="268"/>
      <c r="XU449" s="268"/>
      <c r="XV449" s="268"/>
      <c r="XW449" s="268"/>
      <c r="XX449" s="268"/>
      <c r="XY449" s="268"/>
      <c r="XZ449" s="268"/>
      <c r="YA449" s="268"/>
      <c r="YB449" s="268"/>
      <c r="YC449" s="268"/>
      <c r="YD449" s="268"/>
      <c r="YE449" s="268"/>
      <c r="YF449" s="268"/>
      <c r="YG449" s="268"/>
      <c r="YH449" s="268"/>
      <c r="YI449" s="268"/>
      <c r="YJ449" s="268"/>
      <c r="YK449" s="268"/>
      <c r="YL449" s="268"/>
      <c r="YM449" s="268"/>
      <c r="YN449" s="268"/>
      <c r="YO449" s="268"/>
      <c r="YP449" s="268"/>
      <c r="YQ449" s="268"/>
      <c r="YR449" s="268"/>
      <c r="YS449" s="268"/>
      <c r="YT449" s="268"/>
      <c r="YU449" s="268"/>
      <c r="YV449" s="268"/>
      <c r="YW449" s="268"/>
      <c r="YX449" s="268"/>
      <c r="YY449" s="268"/>
      <c r="YZ449" s="268"/>
      <c r="ZA449" s="268"/>
      <c r="ZB449" s="268"/>
      <c r="ZC449" s="268"/>
      <c r="ZD449" s="268"/>
      <c r="ZE449" s="268"/>
      <c r="ZF449" s="268"/>
      <c r="ZG449" s="268"/>
      <c r="ZH449" s="268"/>
      <c r="ZI449" s="268"/>
      <c r="ZJ449" s="268"/>
      <c r="ZK449" s="268"/>
      <c r="ZL449" s="268"/>
      <c r="ZM449" s="268"/>
      <c r="ZN449" s="268"/>
      <c r="ZO449" s="268"/>
      <c r="ZP449" s="268"/>
      <c r="ZQ449" s="268"/>
      <c r="ZR449" s="268"/>
      <c r="ZS449" s="268"/>
      <c r="ZT449" s="268"/>
      <c r="ZU449" s="268"/>
      <c r="ZV449" s="268"/>
      <c r="ZW449" s="268"/>
      <c r="ZX449" s="268"/>
      <c r="ZY449" s="268"/>
      <c r="ZZ449" s="268"/>
      <c r="AAA449" s="268"/>
      <c r="AAB449" s="268"/>
      <c r="AAC449" s="268"/>
      <c r="AAD449" s="268"/>
      <c r="AAE449" s="268"/>
      <c r="AAF449" s="268"/>
      <c r="AAG449" s="268"/>
      <c r="AAH449" s="268"/>
      <c r="AAI449" s="268"/>
      <c r="AAJ449" s="268"/>
      <c r="AAK449" s="268"/>
      <c r="AAL449" s="268"/>
      <c r="AAM449" s="268"/>
      <c r="AAN449" s="268"/>
      <c r="AAO449" s="268"/>
      <c r="AAP449" s="268"/>
      <c r="AAQ449" s="268"/>
      <c r="AAR449" s="268"/>
      <c r="AAS449" s="268"/>
      <c r="AAT449" s="268"/>
      <c r="AAU449" s="268"/>
      <c r="AAV449" s="268"/>
      <c r="AAW449" s="268"/>
      <c r="AAX449" s="268"/>
      <c r="AAY449" s="268"/>
      <c r="AAZ449" s="268"/>
      <c r="ABA449" s="268"/>
      <c r="ABB449" s="268"/>
      <c r="ABC449" s="268"/>
      <c r="ABD449" s="268"/>
      <c r="ABE449" s="268"/>
      <c r="ABF449" s="268"/>
      <c r="ABG449" s="268"/>
      <c r="ABH449" s="268"/>
      <c r="ABI449" s="268"/>
      <c r="ABJ449" s="268"/>
      <c r="ABK449" s="268"/>
      <c r="ABL449" s="268"/>
      <c r="ABM449" s="268"/>
      <c r="ABN449" s="268"/>
      <c r="ABO449" s="268"/>
      <c r="ABP449" s="268"/>
      <c r="ABQ449" s="268"/>
      <c r="ABR449" s="268"/>
      <c r="ABS449" s="268"/>
      <c r="ABT449" s="268"/>
      <c r="ABU449" s="268"/>
      <c r="ABV449" s="268"/>
      <c r="ABW449" s="268"/>
      <c r="ABX449" s="268"/>
      <c r="ABY449" s="268"/>
      <c r="ABZ449" s="268"/>
      <c r="ACA449" s="268"/>
      <c r="ACB449" s="268"/>
      <c r="ACC449" s="268"/>
      <c r="ACD449" s="268"/>
      <c r="ACE449" s="268"/>
      <c r="ACS449" s="268"/>
      <c r="ACT449" s="268"/>
      <c r="ACU449" s="268"/>
      <c r="ADI449" s="268"/>
      <c r="ADK449" s="268"/>
      <c r="ADL449" s="268"/>
      <c r="ADM449" s="268"/>
      <c r="ADN449" s="268"/>
      <c r="ADO449" s="268"/>
      <c r="ADP449" s="268"/>
      <c r="ADQ449" s="268"/>
      <c r="ADR449" s="268"/>
      <c r="ADS449" s="268"/>
      <c r="ADT449" s="268"/>
      <c r="ADU449" s="268"/>
      <c r="ADV449" s="268"/>
      <c r="ADW449" s="268"/>
      <c r="ADX449" s="268"/>
      <c r="ADY449" s="268"/>
      <c r="ADZ449" s="268"/>
      <c r="AEA449" s="268"/>
      <c r="AEB449" s="268"/>
      <c r="AEC449" s="268"/>
      <c r="AED449" s="268"/>
      <c r="AEE449" s="268"/>
      <c r="AEF449" s="268"/>
      <c r="AEG449" s="268"/>
      <c r="AEH449" s="268"/>
      <c r="AEI449" s="268"/>
      <c r="AEJ449" s="268"/>
      <c r="AEK449" s="268"/>
      <c r="AEL449" s="268"/>
      <c r="AEM449" s="268"/>
      <c r="AEN449" s="268"/>
      <c r="AEO449" s="268"/>
      <c r="AEP449" s="268"/>
      <c r="AEQ449" s="268"/>
      <c r="AER449" s="268"/>
      <c r="AES449" s="268"/>
      <c r="AET449" s="268"/>
      <c r="AEU449" s="268"/>
      <c r="AEV449" s="268"/>
      <c r="AEW449" s="268"/>
      <c r="AEX449" s="268"/>
      <c r="AEY449" s="268"/>
      <c r="AEZ449" s="268"/>
      <c r="AFA449" s="268"/>
      <c r="AFB449" s="268"/>
      <c r="AFC449" s="268"/>
      <c r="AFD449" s="268"/>
      <c r="AFE449" s="268"/>
      <c r="AFF449" s="268"/>
      <c r="AFG449" s="268"/>
      <c r="AFH449" s="268"/>
      <c r="AFI449" s="268"/>
      <c r="AFJ449" s="268"/>
      <c r="AFK449" s="268"/>
      <c r="AFL449" s="268"/>
      <c r="AFM449" s="268"/>
      <c r="AFN449" s="268"/>
      <c r="AFO449" s="268"/>
      <c r="AFP449" s="268"/>
      <c r="AFQ449" s="268"/>
      <c r="AFR449" s="268"/>
      <c r="AFS449" s="268"/>
      <c r="AFT449" s="268"/>
      <c r="AFU449" s="268"/>
      <c r="AFV449" s="268"/>
      <c r="AFW449" s="268"/>
      <c r="AFX449" s="268"/>
      <c r="AFY449" s="268"/>
      <c r="AFZ449" s="268"/>
      <c r="AGA449" s="268"/>
      <c r="AGB449" s="268"/>
      <c r="AGC449" s="268"/>
      <c r="AGD449" s="268"/>
      <c r="AGE449" s="268"/>
      <c r="AGF449" s="268"/>
      <c r="AGG449" s="268"/>
      <c r="AGH449" s="268"/>
      <c r="AGI449" s="268"/>
      <c r="AGJ449" s="268"/>
      <c r="AGK449" s="268"/>
      <c r="AGL449" s="268"/>
      <c r="AGM449" s="268"/>
      <c r="AGN449" s="268"/>
      <c r="AGO449" s="268"/>
      <c r="AGP449" s="268"/>
      <c r="AGQ449" s="268"/>
      <c r="AGR449" s="268"/>
      <c r="AGS449" s="268"/>
      <c r="AGT449" s="268"/>
      <c r="AGU449" s="268"/>
      <c r="AGV449" s="268"/>
      <c r="AGW449" s="268"/>
      <c r="AGX449" s="268"/>
      <c r="AGY449" s="268"/>
      <c r="AGZ449" s="268"/>
      <c r="AHA449" s="268"/>
      <c r="AHB449" s="268"/>
      <c r="AHC449" s="268"/>
      <c r="AHD449" s="268"/>
      <c r="AHE449" s="268"/>
      <c r="AHF449" s="268"/>
      <c r="AHG449" s="268"/>
      <c r="AHH449" s="268"/>
      <c r="AHI449" s="268"/>
      <c r="AHJ449" s="268"/>
      <c r="AHK449" s="268"/>
      <c r="AHL449" s="268"/>
      <c r="AHM449" s="268"/>
      <c r="AHN449" s="268"/>
      <c r="AHO449" s="268"/>
      <c r="AHP449" s="268"/>
      <c r="AHQ449" s="268"/>
      <c r="AHR449" s="268"/>
      <c r="AHS449" s="268"/>
      <c r="AHT449" s="268"/>
      <c r="AHU449" s="268"/>
      <c r="AHV449" s="268"/>
      <c r="AHW449" s="268"/>
      <c r="AHX449" s="268"/>
      <c r="AHY449" s="268"/>
      <c r="AHZ449" s="268"/>
      <c r="AIA449" s="268"/>
      <c r="AIB449" s="268"/>
      <c r="AIC449" s="268"/>
      <c r="AID449" s="268"/>
      <c r="AIE449" s="268"/>
      <c r="AIF449" s="268"/>
      <c r="AIG449" s="268"/>
      <c r="AIH449" s="268"/>
      <c r="AII449" s="268"/>
      <c r="AIJ449" s="268"/>
      <c r="AIK449" s="268"/>
      <c r="AIL449" s="268"/>
      <c r="AIM449" s="268"/>
      <c r="AIN449" s="268"/>
      <c r="AIO449" s="268"/>
      <c r="AIP449" s="268"/>
      <c r="AIQ449" s="268"/>
      <c r="AIR449" s="268"/>
      <c r="AIS449" s="268"/>
      <c r="AIT449" s="268"/>
      <c r="AIU449" s="268"/>
      <c r="AIV449" s="268"/>
      <c r="AIW449" s="268"/>
      <c r="AIX449" s="268"/>
      <c r="AIY449" s="268"/>
      <c r="AIZ449" s="268"/>
      <c r="AJA449" s="268"/>
      <c r="AJB449" s="268"/>
      <c r="AJC449" s="268"/>
      <c r="AJD449" s="268"/>
      <c r="AJE449" s="268"/>
      <c r="AJF449" s="268"/>
      <c r="AJG449" s="268"/>
      <c r="AJH449" s="268"/>
      <c r="AJI449" s="268"/>
      <c r="AJJ449" s="268"/>
      <c r="AJK449" s="268"/>
      <c r="AJL449" s="268"/>
      <c r="AJM449" s="268"/>
      <c r="AJN449" s="268"/>
      <c r="AJO449" s="268"/>
      <c r="AJP449" s="268"/>
      <c r="AJQ449" s="268"/>
      <c r="AJR449" s="268"/>
      <c r="AJS449" s="268"/>
      <c r="AJT449" s="268"/>
      <c r="AJU449" s="268"/>
      <c r="AJV449" s="268"/>
      <c r="AJW449" s="268"/>
      <c r="AJX449" s="268"/>
      <c r="AJY449" s="268"/>
      <c r="AJZ449" s="268"/>
      <c r="AKA449" s="268"/>
      <c r="AKB449" s="268"/>
      <c r="AKC449" s="268"/>
      <c r="AKD449" s="268"/>
      <c r="AKE449" s="268"/>
      <c r="AKF449" s="268"/>
      <c r="AKG449" s="268"/>
      <c r="AKH449" s="268"/>
      <c r="AKI449" s="268"/>
      <c r="AKJ449" s="268"/>
      <c r="AKK449" s="268"/>
      <c r="AKL449" s="268"/>
      <c r="AKM449" s="268"/>
      <c r="AKN449" s="268"/>
      <c r="AKO449" s="268"/>
      <c r="AKP449" s="268"/>
      <c r="AKQ449" s="268"/>
      <c r="AKR449" s="268"/>
      <c r="AKS449" s="268"/>
      <c r="AKT449" s="268"/>
      <c r="AKU449" s="268"/>
      <c r="AKV449" s="268"/>
      <c r="AKW449" s="268"/>
      <c r="AKX449" s="268"/>
      <c r="AKY449" s="268"/>
      <c r="AKZ449" s="268"/>
      <c r="ALA449" s="268"/>
      <c r="ALB449" s="268"/>
      <c r="ALC449" s="268"/>
      <c r="ALD449" s="268"/>
      <c r="ALE449" s="268"/>
      <c r="ALF449" s="268"/>
      <c r="ALG449" s="268"/>
      <c r="ALH449" s="268"/>
      <c r="ALI449" s="268"/>
      <c r="ALJ449" s="268"/>
      <c r="ALK449" s="268"/>
      <c r="ALL449" s="268"/>
      <c r="ALM449" s="268"/>
      <c r="ALN449" s="268"/>
      <c r="ALO449" s="268"/>
      <c r="ALP449" s="268"/>
      <c r="ALQ449" s="268"/>
      <c r="ALR449" s="268"/>
      <c r="ALS449" s="268"/>
      <c r="ALT449" s="268"/>
      <c r="ALU449" s="268"/>
      <c r="ALV449" s="268"/>
      <c r="ALW449" s="268"/>
      <c r="ALX449" s="268"/>
      <c r="ALY449" s="268"/>
      <c r="ALZ449" s="268"/>
      <c r="AMA449" s="268"/>
      <c r="AMO449" s="268"/>
      <c r="AMP449" s="268"/>
      <c r="AMQ449" s="268"/>
      <c r="ANE449" s="268"/>
      <c r="ANG449" s="268"/>
      <c r="ANH449" s="268"/>
      <c r="ANI449" s="268"/>
      <c r="ANJ449" s="268"/>
      <c r="ANK449" s="268"/>
      <c r="ANL449" s="268"/>
      <c r="ANM449" s="268"/>
      <c r="ANN449" s="268"/>
      <c r="ANO449" s="268"/>
      <c r="ANP449" s="268"/>
      <c r="ANQ449" s="268"/>
      <c r="ANR449" s="268"/>
      <c r="ANS449" s="268"/>
      <c r="ANT449" s="268"/>
      <c r="ANU449" s="268"/>
      <c r="ANV449" s="268"/>
      <c r="ANW449" s="268"/>
      <c r="ANX449" s="268"/>
      <c r="ANY449" s="268"/>
      <c r="ANZ449" s="268"/>
      <c r="AOA449" s="268"/>
      <c r="AOB449" s="268"/>
      <c r="AOC449" s="268"/>
      <c r="AOD449" s="268"/>
      <c r="AOE449" s="268"/>
      <c r="AOF449" s="268"/>
      <c r="AOG449" s="268"/>
      <c r="AOH449" s="268"/>
      <c r="AOI449" s="268"/>
      <c r="AOJ449" s="268"/>
      <c r="AOK449" s="268"/>
      <c r="AOL449" s="268"/>
      <c r="AOM449" s="268"/>
      <c r="AON449" s="268"/>
      <c r="AOO449" s="268"/>
      <c r="AOP449" s="268"/>
      <c r="AOQ449" s="268"/>
      <c r="AOR449" s="268"/>
      <c r="AOS449" s="268"/>
      <c r="AOT449" s="268"/>
      <c r="AOU449" s="268"/>
      <c r="AOV449" s="268"/>
      <c r="AOW449" s="268"/>
      <c r="AOX449" s="268"/>
      <c r="AOY449" s="268"/>
      <c r="AOZ449" s="268"/>
      <c r="APA449" s="268"/>
      <c r="APB449" s="268"/>
      <c r="APC449" s="268"/>
      <c r="APD449" s="268"/>
      <c r="APE449" s="268"/>
      <c r="APF449" s="268"/>
      <c r="APG449" s="268"/>
      <c r="APH449" s="268"/>
      <c r="API449" s="268"/>
      <c r="APJ449" s="268"/>
      <c r="APK449" s="268"/>
      <c r="APL449" s="268"/>
      <c r="APM449" s="268"/>
      <c r="APN449" s="268"/>
      <c r="APO449" s="268"/>
      <c r="APP449" s="268"/>
      <c r="APQ449" s="268"/>
      <c r="APR449" s="268"/>
      <c r="APS449" s="268"/>
      <c r="APT449" s="268"/>
      <c r="APU449" s="268"/>
      <c r="APV449" s="268"/>
      <c r="APW449" s="268"/>
      <c r="APX449" s="268"/>
      <c r="APY449" s="268"/>
      <c r="APZ449" s="268"/>
      <c r="AQA449" s="268"/>
      <c r="AQB449" s="268"/>
      <c r="AQC449" s="268"/>
      <c r="AQD449" s="268"/>
      <c r="AQE449" s="268"/>
      <c r="AQF449" s="268"/>
      <c r="AQG449" s="268"/>
      <c r="AQH449" s="268"/>
      <c r="AQI449" s="268"/>
      <c r="AQJ449" s="268"/>
      <c r="AQK449" s="268"/>
      <c r="AQL449" s="268"/>
      <c r="AQM449" s="268"/>
      <c r="AQN449" s="268"/>
      <c r="AQO449" s="268"/>
      <c r="AQP449" s="268"/>
      <c r="AQQ449" s="268"/>
      <c r="AQR449" s="268"/>
      <c r="AQS449" s="268"/>
      <c r="AQT449" s="268"/>
      <c r="AQU449" s="268"/>
      <c r="AQV449" s="268"/>
      <c r="AQW449" s="268"/>
      <c r="AQX449" s="268"/>
      <c r="AQY449" s="268"/>
      <c r="AQZ449" s="268"/>
      <c r="ARA449" s="268"/>
      <c r="ARB449" s="268"/>
      <c r="ARC449" s="268"/>
      <c r="ARD449" s="268"/>
      <c r="ARE449" s="268"/>
      <c r="ARF449" s="268"/>
      <c r="ARG449" s="268"/>
      <c r="ARH449" s="268"/>
      <c r="ARI449" s="268"/>
      <c r="ARJ449" s="268"/>
      <c r="ARK449" s="268"/>
      <c r="ARL449" s="268"/>
      <c r="ARM449" s="268"/>
      <c r="ARN449" s="268"/>
      <c r="ARO449" s="268"/>
      <c r="ARP449" s="268"/>
      <c r="ARQ449" s="268"/>
      <c r="ARR449" s="268"/>
      <c r="ARS449" s="268"/>
      <c r="ART449" s="268"/>
      <c r="ARU449" s="268"/>
      <c r="ARV449" s="268"/>
      <c r="ARW449" s="268"/>
      <c r="ARX449" s="268"/>
      <c r="ARY449" s="268"/>
      <c r="ARZ449" s="268"/>
      <c r="ASA449" s="268"/>
      <c r="ASB449" s="268"/>
      <c r="ASC449" s="268"/>
      <c r="ASD449" s="268"/>
      <c r="ASE449" s="268"/>
      <c r="ASF449" s="268"/>
      <c r="ASG449" s="268"/>
      <c r="ASH449" s="268"/>
      <c r="ASI449" s="268"/>
      <c r="ASJ449" s="268"/>
      <c r="ASK449" s="268"/>
      <c r="ASL449" s="268"/>
      <c r="ASM449" s="268"/>
      <c r="ASN449" s="268"/>
      <c r="ASO449" s="268"/>
      <c r="ASP449" s="268"/>
      <c r="ASQ449" s="268"/>
      <c r="ASR449" s="268"/>
      <c r="ASS449" s="268"/>
      <c r="AST449" s="268"/>
      <c r="ASU449" s="268"/>
      <c r="ASV449" s="268"/>
      <c r="ASW449" s="268"/>
      <c r="ASX449" s="268"/>
      <c r="ASY449" s="268"/>
      <c r="ASZ449" s="268"/>
      <c r="ATA449" s="268"/>
      <c r="ATB449" s="268"/>
      <c r="ATC449" s="268"/>
      <c r="ATD449" s="268"/>
      <c r="ATE449" s="268"/>
      <c r="ATF449" s="268"/>
      <c r="ATG449" s="268"/>
      <c r="ATH449" s="268"/>
      <c r="ATI449" s="268"/>
      <c r="ATJ449" s="268"/>
      <c r="ATK449" s="268"/>
      <c r="ATL449" s="268"/>
      <c r="ATM449" s="268"/>
      <c r="ATN449" s="268"/>
      <c r="ATO449" s="268"/>
      <c r="ATP449" s="268"/>
      <c r="ATQ449" s="268"/>
      <c r="ATR449" s="268"/>
      <c r="ATS449" s="268"/>
      <c r="ATT449" s="268"/>
      <c r="ATU449" s="268"/>
      <c r="ATV449" s="268"/>
      <c r="ATW449" s="268"/>
      <c r="ATX449" s="268"/>
      <c r="ATY449" s="268"/>
      <c r="ATZ449" s="268"/>
      <c r="AUA449" s="268"/>
      <c r="AUB449" s="268"/>
      <c r="AUC449" s="268"/>
      <c r="AUD449" s="268"/>
      <c r="AUE449" s="268"/>
      <c r="AUF449" s="268"/>
      <c r="AUG449" s="268"/>
      <c r="AUH449" s="268"/>
      <c r="AUI449" s="268"/>
      <c r="AUJ449" s="268"/>
      <c r="AUK449" s="268"/>
      <c r="AUL449" s="268"/>
      <c r="AUM449" s="268"/>
      <c r="AUN449" s="268"/>
      <c r="AUO449" s="268"/>
      <c r="AUP449" s="268"/>
      <c r="AUQ449" s="268"/>
      <c r="AUR449" s="268"/>
      <c r="AUS449" s="268"/>
      <c r="AUT449" s="268"/>
      <c r="AUU449" s="268"/>
      <c r="AUV449" s="268"/>
      <c r="AUW449" s="268"/>
      <c r="AUX449" s="268"/>
      <c r="AUY449" s="268"/>
      <c r="AUZ449" s="268"/>
      <c r="AVA449" s="268"/>
      <c r="AVB449" s="268"/>
      <c r="AVC449" s="268"/>
      <c r="AVD449" s="268"/>
      <c r="AVE449" s="268"/>
      <c r="AVF449" s="268"/>
      <c r="AVG449" s="268"/>
      <c r="AVH449" s="268"/>
      <c r="AVI449" s="268"/>
      <c r="AVJ449" s="268"/>
      <c r="AVK449" s="268"/>
      <c r="AVL449" s="268"/>
      <c r="AVM449" s="268"/>
      <c r="AVN449" s="268"/>
      <c r="AVO449" s="268"/>
      <c r="AVP449" s="268"/>
      <c r="AVQ449" s="268"/>
      <c r="AVR449" s="268"/>
      <c r="AVS449" s="268"/>
      <c r="AVT449" s="268"/>
      <c r="AVU449" s="268"/>
      <c r="AVV449" s="268"/>
      <c r="AVW449" s="268"/>
      <c r="AWK449" s="268"/>
      <c r="AWL449" s="268"/>
      <c r="AWM449" s="268"/>
      <c r="AXA449" s="268"/>
      <c r="AXC449" s="268"/>
      <c r="AXD449" s="268"/>
      <c r="AXE449" s="268"/>
      <c r="AXF449" s="268"/>
      <c r="AXG449" s="268"/>
      <c r="AXH449" s="268"/>
      <c r="AXI449" s="268"/>
      <c r="AXJ449" s="268"/>
      <c r="AXK449" s="268"/>
      <c r="AXL449" s="268"/>
      <c r="AXM449" s="268"/>
      <c r="AXN449" s="268"/>
      <c r="AXO449" s="268"/>
      <c r="AXP449" s="268"/>
      <c r="AXQ449" s="268"/>
      <c r="AXR449" s="268"/>
      <c r="AXS449" s="268"/>
      <c r="AXT449" s="268"/>
      <c r="AXU449" s="268"/>
      <c r="AXV449" s="268"/>
      <c r="AXW449" s="268"/>
      <c r="AXX449" s="268"/>
      <c r="AXY449" s="268"/>
      <c r="AXZ449" s="268"/>
      <c r="AYA449" s="268"/>
      <c r="AYB449" s="268"/>
      <c r="AYC449" s="268"/>
      <c r="AYD449" s="268"/>
      <c r="AYE449" s="268"/>
      <c r="AYF449" s="268"/>
      <c r="AYG449" s="268"/>
      <c r="AYH449" s="268"/>
      <c r="AYI449" s="268"/>
      <c r="AYJ449" s="268"/>
      <c r="AYK449" s="268"/>
      <c r="AYL449" s="268"/>
      <c r="AYM449" s="268"/>
      <c r="AYN449" s="268"/>
      <c r="AYO449" s="268"/>
      <c r="AYP449" s="268"/>
      <c r="AYQ449" s="268"/>
      <c r="AYR449" s="268"/>
      <c r="AYS449" s="268"/>
      <c r="AYT449" s="268"/>
      <c r="AYU449" s="268"/>
      <c r="AYV449" s="268"/>
      <c r="AYW449" s="268"/>
      <c r="AYX449" s="268"/>
      <c r="AYY449" s="268"/>
      <c r="AYZ449" s="268"/>
      <c r="AZA449" s="268"/>
      <c r="AZB449" s="268"/>
      <c r="AZC449" s="268"/>
      <c r="AZD449" s="268"/>
      <c r="AZE449" s="268"/>
      <c r="AZF449" s="268"/>
      <c r="AZG449" s="268"/>
      <c r="AZH449" s="268"/>
      <c r="AZI449" s="268"/>
      <c r="AZJ449" s="268"/>
      <c r="AZK449" s="268"/>
      <c r="AZL449" s="268"/>
      <c r="AZM449" s="268"/>
      <c r="AZN449" s="268"/>
      <c r="AZO449" s="268"/>
      <c r="AZP449" s="268"/>
      <c r="AZQ449" s="268"/>
      <c r="AZR449" s="268"/>
      <c r="AZS449" s="268"/>
      <c r="AZT449" s="268"/>
      <c r="AZU449" s="268"/>
      <c r="AZV449" s="268"/>
      <c r="AZW449" s="268"/>
      <c r="AZX449" s="268"/>
      <c r="AZY449" s="268"/>
      <c r="AZZ449" s="268"/>
      <c r="BAA449" s="268"/>
      <c r="BAB449" s="268"/>
      <c r="BAC449" s="268"/>
      <c r="BAD449" s="268"/>
      <c r="BAE449" s="268"/>
      <c r="BAF449" s="268"/>
      <c r="BAG449" s="268"/>
      <c r="BAH449" s="268"/>
      <c r="BAI449" s="268"/>
      <c r="BAJ449" s="268"/>
      <c r="BAK449" s="268"/>
      <c r="BAL449" s="268"/>
      <c r="BAM449" s="268"/>
      <c r="BAN449" s="268"/>
      <c r="BAO449" s="268"/>
      <c r="BAP449" s="268"/>
      <c r="BAQ449" s="268"/>
      <c r="BAR449" s="268"/>
      <c r="BAS449" s="268"/>
      <c r="BAT449" s="268"/>
      <c r="BAU449" s="268"/>
      <c r="BAV449" s="268"/>
      <c r="BAW449" s="268"/>
      <c r="BAX449" s="268"/>
      <c r="BAY449" s="268"/>
      <c r="BAZ449" s="268"/>
      <c r="BBA449" s="268"/>
      <c r="BBB449" s="268"/>
      <c r="BBC449" s="268"/>
      <c r="BBD449" s="268"/>
      <c r="BBE449" s="268"/>
      <c r="BBF449" s="268"/>
      <c r="BBG449" s="268"/>
      <c r="BBH449" s="268"/>
      <c r="BBI449" s="268"/>
      <c r="BBJ449" s="268"/>
      <c r="BBK449" s="268"/>
      <c r="BBL449" s="268"/>
      <c r="BBM449" s="268"/>
      <c r="BBN449" s="268"/>
      <c r="BBO449" s="268"/>
      <c r="BBP449" s="268"/>
      <c r="BBQ449" s="268"/>
      <c r="BBR449" s="268"/>
      <c r="BBS449" s="268"/>
      <c r="BBT449" s="268"/>
      <c r="BBU449" s="268"/>
      <c r="BBV449" s="268"/>
      <c r="BBW449" s="268"/>
      <c r="BBX449" s="268"/>
      <c r="BBY449" s="268"/>
      <c r="BBZ449" s="268"/>
      <c r="BCA449" s="268"/>
      <c r="BCB449" s="268"/>
      <c r="BCC449" s="268"/>
      <c r="BCD449" s="268"/>
      <c r="BCE449" s="268"/>
      <c r="BCF449" s="268"/>
      <c r="BCG449" s="268"/>
      <c r="BCH449" s="268"/>
      <c r="BCI449" s="268"/>
      <c r="BCJ449" s="268"/>
      <c r="BCK449" s="268"/>
      <c r="BCL449" s="268"/>
      <c r="BCM449" s="268"/>
      <c r="BCN449" s="268"/>
      <c r="BCO449" s="268"/>
      <c r="BCP449" s="268"/>
      <c r="BCQ449" s="268"/>
      <c r="BCR449" s="268"/>
      <c r="BCS449" s="268"/>
      <c r="BCT449" s="268"/>
      <c r="BCU449" s="268"/>
      <c r="BCV449" s="268"/>
      <c r="BCW449" s="268"/>
      <c r="BCX449" s="268"/>
      <c r="BCY449" s="268"/>
      <c r="BCZ449" s="268"/>
      <c r="BDA449" s="268"/>
      <c r="BDB449" s="268"/>
      <c r="BDC449" s="268"/>
      <c r="BDD449" s="268"/>
      <c r="BDE449" s="268"/>
      <c r="BDF449" s="268"/>
      <c r="BDG449" s="268"/>
      <c r="BDH449" s="268"/>
      <c r="BDI449" s="268"/>
      <c r="BDJ449" s="268"/>
      <c r="BDK449" s="268"/>
      <c r="BDL449" s="268"/>
      <c r="BDM449" s="268"/>
      <c r="BDN449" s="268"/>
      <c r="BDO449" s="268"/>
      <c r="BDP449" s="268"/>
      <c r="BDQ449" s="268"/>
      <c r="BDR449" s="268"/>
      <c r="BDS449" s="268"/>
      <c r="BDT449" s="268"/>
      <c r="BDU449" s="268"/>
      <c r="BDV449" s="268"/>
      <c r="BDW449" s="268"/>
      <c r="BDX449" s="268"/>
      <c r="BDY449" s="268"/>
      <c r="BDZ449" s="268"/>
      <c r="BEA449" s="268"/>
      <c r="BEB449" s="268"/>
      <c r="BEC449" s="268"/>
      <c r="BED449" s="268"/>
      <c r="BEE449" s="268"/>
      <c r="BEF449" s="268"/>
      <c r="BEG449" s="268"/>
      <c r="BEH449" s="268"/>
      <c r="BEI449" s="268"/>
      <c r="BEJ449" s="268"/>
      <c r="BEK449" s="268"/>
      <c r="BEL449" s="268"/>
      <c r="BEM449" s="268"/>
      <c r="BEN449" s="268"/>
      <c r="BEO449" s="268"/>
      <c r="BEP449" s="268"/>
      <c r="BEQ449" s="268"/>
      <c r="BER449" s="268"/>
      <c r="BES449" s="268"/>
      <c r="BET449" s="268"/>
      <c r="BEU449" s="268"/>
      <c r="BEV449" s="268"/>
      <c r="BEW449" s="268"/>
      <c r="BEX449" s="268"/>
      <c r="BEY449" s="268"/>
      <c r="BEZ449" s="268"/>
      <c r="BFA449" s="268"/>
      <c r="BFB449" s="268"/>
      <c r="BFC449" s="268"/>
      <c r="BFD449" s="268"/>
      <c r="BFE449" s="268"/>
      <c r="BFF449" s="268"/>
      <c r="BFG449" s="268"/>
      <c r="BFH449" s="268"/>
      <c r="BFI449" s="268"/>
      <c r="BFJ449" s="268"/>
      <c r="BFK449" s="268"/>
      <c r="BFL449" s="268"/>
      <c r="BFM449" s="268"/>
      <c r="BFN449" s="268"/>
      <c r="BFO449" s="268"/>
      <c r="BFP449" s="268"/>
      <c r="BFQ449" s="268"/>
      <c r="BFR449" s="268"/>
      <c r="BFS449" s="268"/>
      <c r="BGG449" s="268"/>
      <c r="BGH449" s="268"/>
      <c r="BGI449" s="268"/>
      <c r="BGW449" s="268"/>
      <c r="BGY449" s="268"/>
      <c r="BGZ449" s="268"/>
      <c r="BHA449" s="268"/>
      <c r="BHB449" s="268"/>
      <c r="BHC449" s="268"/>
      <c r="BHD449" s="268"/>
      <c r="BHE449" s="268"/>
      <c r="BHF449" s="268"/>
      <c r="BHG449" s="268"/>
      <c r="BHH449" s="268"/>
      <c r="BHI449" s="268"/>
      <c r="BHJ449" s="268"/>
      <c r="BHK449" s="268"/>
      <c r="BHL449" s="268"/>
      <c r="BHM449" s="268"/>
      <c r="BHN449" s="268"/>
      <c r="BHO449" s="268"/>
      <c r="BHP449" s="268"/>
      <c r="BHQ449" s="268"/>
      <c r="BHR449" s="268"/>
      <c r="BHS449" s="268"/>
      <c r="BHT449" s="268"/>
      <c r="BHU449" s="268"/>
      <c r="BHV449" s="268"/>
      <c r="BHW449" s="268"/>
      <c r="BHX449" s="268"/>
      <c r="BHY449" s="268"/>
      <c r="BHZ449" s="268"/>
      <c r="BIA449" s="268"/>
      <c r="BIB449" s="268"/>
      <c r="BIC449" s="268"/>
      <c r="BID449" s="268"/>
      <c r="BIE449" s="268"/>
      <c r="BIF449" s="268"/>
      <c r="BIG449" s="268"/>
      <c r="BIH449" s="268"/>
      <c r="BII449" s="268"/>
      <c r="BIJ449" s="268"/>
      <c r="BIK449" s="268"/>
      <c r="BIL449" s="268"/>
      <c r="BIM449" s="268"/>
      <c r="BIN449" s="268"/>
      <c r="BIO449" s="268"/>
      <c r="BIP449" s="268"/>
      <c r="BIQ449" s="268"/>
      <c r="BIR449" s="268"/>
      <c r="BIS449" s="268"/>
      <c r="BIT449" s="268"/>
      <c r="BIU449" s="268"/>
      <c r="BIV449" s="268"/>
      <c r="BIW449" s="268"/>
      <c r="BIX449" s="268"/>
      <c r="BIY449" s="268"/>
      <c r="BIZ449" s="268"/>
      <c r="BJA449" s="268"/>
      <c r="BJB449" s="268"/>
      <c r="BJC449" s="268"/>
      <c r="BJD449" s="268"/>
      <c r="BJE449" s="268"/>
      <c r="BJF449" s="268"/>
      <c r="BJG449" s="268"/>
      <c r="BJH449" s="268"/>
      <c r="BJI449" s="268"/>
      <c r="BJJ449" s="268"/>
      <c r="BJK449" s="268"/>
      <c r="BJL449" s="268"/>
      <c r="BJM449" s="268"/>
      <c r="BJN449" s="268"/>
      <c r="BJO449" s="268"/>
      <c r="BJP449" s="268"/>
      <c r="BJQ449" s="268"/>
      <c r="BJR449" s="268"/>
      <c r="BJS449" s="268"/>
      <c r="BJT449" s="268"/>
      <c r="BJU449" s="268"/>
      <c r="BJV449" s="268"/>
      <c r="BJW449" s="268"/>
      <c r="BJX449" s="268"/>
      <c r="BJY449" s="268"/>
      <c r="BJZ449" s="268"/>
      <c r="BKA449" s="268"/>
      <c r="BKB449" s="268"/>
      <c r="BKC449" s="268"/>
      <c r="BKD449" s="268"/>
      <c r="BKE449" s="268"/>
      <c r="BKF449" s="268"/>
      <c r="BKG449" s="268"/>
      <c r="BKH449" s="268"/>
      <c r="BKI449" s="268"/>
      <c r="BKJ449" s="268"/>
      <c r="BKK449" s="268"/>
      <c r="BKL449" s="268"/>
      <c r="BKM449" s="268"/>
      <c r="BKN449" s="268"/>
      <c r="BKO449" s="268"/>
      <c r="BKP449" s="268"/>
      <c r="BKQ449" s="268"/>
      <c r="BKR449" s="268"/>
      <c r="BKS449" s="268"/>
      <c r="BKT449" s="268"/>
      <c r="BKU449" s="268"/>
      <c r="BKV449" s="268"/>
      <c r="BKW449" s="268"/>
      <c r="BKX449" s="268"/>
      <c r="BKY449" s="268"/>
      <c r="BKZ449" s="268"/>
      <c r="BLA449" s="268"/>
      <c r="BLB449" s="268"/>
      <c r="BLC449" s="268"/>
      <c r="BLD449" s="268"/>
      <c r="BLE449" s="268"/>
      <c r="BLF449" s="268"/>
      <c r="BLG449" s="268"/>
      <c r="BLH449" s="268"/>
      <c r="BLI449" s="268"/>
      <c r="BLJ449" s="268"/>
      <c r="BLK449" s="268"/>
      <c r="BLL449" s="268"/>
      <c r="BLM449" s="268"/>
      <c r="BLN449" s="268"/>
      <c r="BLO449" s="268"/>
      <c r="BLP449" s="268"/>
      <c r="BLQ449" s="268"/>
      <c r="BLR449" s="268"/>
      <c r="BLS449" s="268"/>
      <c r="BLT449" s="268"/>
      <c r="BLU449" s="268"/>
      <c r="BLV449" s="268"/>
      <c r="BLW449" s="268"/>
      <c r="BLX449" s="268"/>
      <c r="BLY449" s="268"/>
      <c r="BLZ449" s="268"/>
      <c r="BMA449" s="268"/>
      <c r="BMB449" s="268"/>
      <c r="BMC449" s="268"/>
      <c r="BMD449" s="268"/>
      <c r="BME449" s="268"/>
      <c r="BMF449" s="268"/>
      <c r="BMG449" s="268"/>
      <c r="BMH449" s="268"/>
      <c r="BMI449" s="268"/>
      <c r="BMJ449" s="268"/>
      <c r="BMK449" s="268"/>
      <c r="BML449" s="268"/>
      <c r="BMM449" s="268"/>
      <c r="BMN449" s="268"/>
      <c r="BMO449" s="268"/>
      <c r="BMP449" s="268"/>
      <c r="BMQ449" s="268"/>
      <c r="BMR449" s="268"/>
      <c r="BMS449" s="268"/>
      <c r="BMT449" s="268"/>
      <c r="BMU449" s="268"/>
      <c r="BMV449" s="268"/>
      <c r="BMW449" s="268"/>
      <c r="BMX449" s="268"/>
      <c r="BMY449" s="268"/>
      <c r="BMZ449" s="268"/>
      <c r="BNA449" s="268"/>
      <c r="BNB449" s="268"/>
      <c r="BNC449" s="268"/>
      <c r="BND449" s="268"/>
      <c r="BNE449" s="268"/>
      <c r="BNF449" s="268"/>
      <c r="BNG449" s="268"/>
      <c r="BNH449" s="268"/>
      <c r="BNI449" s="268"/>
      <c r="BNJ449" s="268"/>
      <c r="BNK449" s="268"/>
      <c r="BNL449" s="268"/>
      <c r="BNM449" s="268"/>
      <c r="BNN449" s="268"/>
      <c r="BNO449" s="268"/>
      <c r="BNP449" s="268"/>
      <c r="BNQ449" s="268"/>
      <c r="BNR449" s="268"/>
      <c r="BNS449" s="268"/>
      <c r="BNT449" s="268"/>
      <c r="BNU449" s="268"/>
      <c r="BNV449" s="268"/>
      <c r="BNW449" s="268"/>
      <c r="BNX449" s="268"/>
      <c r="BNY449" s="268"/>
      <c r="BNZ449" s="268"/>
      <c r="BOA449" s="268"/>
      <c r="BOB449" s="268"/>
      <c r="BOC449" s="268"/>
      <c r="BOD449" s="268"/>
      <c r="BOE449" s="268"/>
      <c r="BOF449" s="268"/>
      <c r="BOG449" s="268"/>
      <c r="BOH449" s="268"/>
      <c r="BOI449" s="268"/>
      <c r="BOJ449" s="268"/>
      <c r="BOK449" s="268"/>
      <c r="BOL449" s="268"/>
      <c r="BOM449" s="268"/>
      <c r="BON449" s="268"/>
      <c r="BOO449" s="268"/>
      <c r="BOP449" s="268"/>
      <c r="BOQ449" s="268"/>
      <c r="BOR449" s="268"/>
      <c r="BOS449" s="268"/>
      <c r="BOT449" s="268"/>
      <c r="BOU449" s="268"/>
      <c r="BOV449" s="268"/>
      <c r="BOW449" s="268"/>
      <c r="BOX449" s="268"/>
      <c r="BOY449" s="268"/>
      <c r="BOZ449" s="268"/>
      <c r="BPA449" s="268"/>
      <c r="BPB449" s="268"/>
      <c r="BPC449" s="268"/>
      <c r="BPD449" s="268"/>
      <c r="BPE449" s="268"/>
      <c r="BPF449" s="268"/>
      <c r="BPG449" s="268"/>
      <c r="BPH449" s="268"/>
      <c r="BPI449" s="268"/>
      <c r="BPJ449" s="268"/>
      <c r="BPK449" s="268"/>
      <c r="BPL449" s="268"/>
      <c r="BPM449" s="268"/>
      <c r="BPN449" s="268"/>
      <c r="BPO449" s="268"/>
      <c r="BQC449" s="268"/>
      <c r="BQD449" s="268"/>
      <c r="BQE449" s="268"/>
      <c r="BQS449" s="268"/>
      <c r="BQU449" s="268"/>
      <c r="BQV449" s="268"/>
      <c r="BQW449" s="268"/>
      <c r="BQX449" s="268"/>
      <c r="BQY449" s="268"/>
      <c r="BQZ449" s="268"/>
      <c r="BRA449" s="268"/>
      <c r="BRB449" s="268"/>
      <c r="BRC449" s="268"/>
      <c r="BRD449" s="268"/>
      <c r="BRE449" s="268"/>
      <c r="BRF449" s="268"/>
      <c r="BRG449" s="268"/>
      <c r="BRH449" s="268"/>
      <c r="BRI449" s="268"/>
      <c r="BRJ449" s="268"/>
      <c r="BRK449" s="268"/>
      <c r="BRL449" s="268"/>
      <c r="BRM449" s="268"/>
      <c r="BRN449" s="268"/>
      <c r="BRO449" s="268"/>
      <c r="BRP449" s="268"/>
      <c r="BRQ449" s="268"/>
      <c r="BRR449" s="268"/>
      <c r="BRS449" s="268"/>
      <c r="BRT449" s="268"/>
      <c r="BRU449" s="268"/>
      <c r="BRV449" s="268"/>
      <c r="BRW449" s="268"/>
      <c r="BRX449" s="268"/>
      <c r="BRY449" s="268"/>
      <c r="BRZ449" s="268"/>
      <c r="BSA449" s="268"/>
      <c r="BSB449" s="268"/>
      <c r="BSC449" s="268"/>
      <c r="BSD449" s="268"/>
      <c r="BSE449" s="268"/>
      <c r="BSF449" s="268"/>
      <c r="BSG449" s="268"/>
      <c r="BSH449" s="268"/>
      <c r="BSI449" s="268"/>
      <c r="BSJ449" s="268"/>
      <c r="BSK449" s="268"/>
      <c r="BSL449" s="268"/>
      <c r="BSM449" s="268"/>
      <c r="BSN449" s="268"/>
      <c r="BSO449" s="268"/>
      <c r="BSP449" s="268"/>
      <c r="BSQ449" s="268"/>
      <c r="BSR449" s="268"/>
      <c r="BSS449" s="268"/>
      <c r="BST449" s="268"/>
      <c r="BSU449" s="268"/>
      <c r="BSV449" s="268"/>
      <c r="BSW449" s="268"/>
      <c r="BSX449" s="268"/>
      <c r="BSY449" s="268"/>
      <c r="BSZ449" s="268"/>
      <c r="BTA449" s="268"/>
      <c r="BTB449" s="268"/>
      <c r="BTC449" s="268"/>
      <c r="BTD449" s="268"/>
      <c r="BTE449" s="268"/>
      <c r="BTF449" s="268"/>
      <c r="BTG449" s="268"/>
      <c r="BTH449" s="268"/>
      <c r="BTI449" s="268"/>
      <c r="BTJ449" s="268"/>
      <c r="BTK449" s="268"/>
      <c r="BTL449" s="268"/>
      <c r="BTM449" s="268"/>
      <c r="BTN449" s="268"/>
      <c r="BTO449" s="268"/>
      <c r="BTP449" s="268"/>
      <c r="BTQ449" s="268"/>
      <c r="BTR449" s="268"/>
      <c r="BTS449" s="268"/>
      <c r="BTT449" s="268"/>
      <c r="BTU449" s="268"/>
      <c r="BTV449" s="268"/>
      <c r="BTW449" s="268"/>
      <c r="BTX449" s="268"/>
      <c r="BTY449" s="268"/>
      <c r="BTZ449" s="268"/>
      <c r="BUA449" s="268"/>
      <c r="BUB449" s="268"/>
      <c r="BUC449" s="268"/>
      <c r="BUD449" s="268"/>
      <c r="BUE449" s="268"/>
      <c r="BUF449" s="268"/>
      <c r="BUG449" s="268"/>
      <c r="BUH449" s="268"/>
      <c r="BUI449" s="268"/>
      <c r="BUJ449" s="268"/>
      <c r="BUK449" s="268"/>
      <c r="BUL449" s="268"/>
      <c r="BUM449" s="268"/>
      <c r="BUN449" s="268"/>
      <c r="BUO449" s="268"/>
      <c r="BUP449" s="268"/>
      <c r="BUQ449" s="268"/>
      <c r="BUR449" s="268"/>
      <c r="BUS449" s="268"/>
      <c r="BUT449" s="268"/>
      <c r="BUU449" s="268"/>
      <c r="BUV449" s="268"/>
      <c r="BUW449" s="268"/>
      <c r="BUX449" s="268"/>
      <c r="BUY449" s="268"/>
      <c r="BUZ449" s="268"/>
      <c r="BVA449" s="268"/>
      <c r="BVB449" s="268"/>
      <c r="BVC449" s="268"/>
      <c r="BVD449" s="268"/>
      <c r="BVE449" s="268"/>
      <c r="BVF449" s="268"/>
      <c r="BVG449" s="268"/>
      <c r="BVH449" s="268"/>
      <c r="BVI449" s="268"/>
      <c r="BVJ449" s="268"/>
      <c r="BVK449" s="268"/>
      <c r="BVL449" s="268"/>
      <c r="BVM449" s="268"/>
      <c r="BVN449" s="268"/>
      <c r="BVO449" s="268"/>
      <c r="BVP449" s="268"/>
      <c r="BVQ449" s="268"/>
      <c r="BVR449" s="268"/>
      <c r="BVS449" s="268"/>
      <c r="BVT449" s="268"/>
      <c r="BVU449" s="268"/>
      <c r="BVV449" s="268"/>
      <c r="BVW449" s="268"/>
      <c r="BVX449" s="268"/>
      <c r="BVY449" s="268"/>
      <c r="BVZ449" s="268"/>
      <c r="BWA449" s="268"/>
      <c r="BWB449" s="268"/>
      <c r="BWC449" s="268"/>
      <c r="BWD449" s="268"/>
      <c r="BWE449" s="268"/>
      <c r="BWF449" s="268"/>
      <c r="BWG449" s="268"/>
      <c r="BWH449" s="268"/>
      <c r="BWI449" s="268"/>
      <c r="BWJ449" s="268"/>
      <c r="BWK449" s="268"/>
      <c r="BWL449" s="268"/>
      <c r="BWM449" s="268"/>
      <c r="BWN449" s="268"/>
      <c r="BWO449" s="268"/>
      <c r="BWP449" s="268"/>
      <c r="BWQ449" s="268"/>
      <c r="BWR449" s="268"/>
      <c r="BWS449" s="268"/>
      <c r="BWT449" s="268"/>
      <c r="BWU449" s="268"/>
      <c r="BWV449" s="268"/>
      <c r="BWW449" s="268"/>
      <c r="BWX449" s="268"/>
      <c r="BWY449" s="268"/>
      <c r="BWZ449" s="268"/>
      <c r="BXA449" s="268"/>
      <c r="BXB449" s="268"/>
      <c r="BXC449" s="268"/>
      <c r="BXD449" s="268"/>
      <c r="BXE449" s="268"/>
      <c r="BXF449" s="268"/>
      <c r="BXG449" s="268"/>
      <c r="BXH449" s="268"/>
      <c r="BXI449" s="268"/>
      <c r="BXJ449" s="268"/>
      <c r="BXK449" s="268"/>
      <c r="BXL449" s="268"/>
      <c r="BXM449" s="268"/>
      <c r="BXN449" s="268"/>
      <c r="BXO449" s="268"/>
      <c r="BXP449" s="268"/>
      <c r="BXQ449" s="268"/>
      <c r="BXR449" s="268"/>
      <c r="BXS449" s="268"/>
      <c r="BXT449" s="268"/>
      <c r="BXU449" s="268"/>
      <c r="BXV449" s="268"/>
      <c r="BXW449" s="268"/>
      <c r="BXX449" s="268"/>
      <c r="BXY449" s="268"/>
      <c r="BXZ449" s="268"/>
      <c r="BYA449" s="268"/>
      <c r="BYB449" s="268"/>
      <c r="BYC449" s="268"/>
      <c r="BYD449" s="268"/>
      <c r="BYE449" s="268"/>
      <c r="BYF449" s="268"/>
      <c r="BYG449" s="268"/>
      <c r="BYH449" s="268"/>
      <c r="BYI449" s="268"/>
      <c r="BYJ449" s="268"/>
      <c r="BYK449" s="268"/>
      <c r="BYL449" s="268"/>
      <c r="BYM449" s="268"/>
      <c r="BYN449" s="268"/>
      <c r="BYO449" s="268"/>
      <c r="BYP449" s="268"/>
      <c r="BYQ449" s="268"/>
      <c r="BYR449" s="268"/>
      <c r="BYS449" s="268"/>
      <c r="BYT449" s="268"/>
      <c r="BYU449" s="268"/>
      <c r="BYV449" s="268"/>
      <c r="BYW449" s="268"/>
      <c r="BYX449" s="268"/>
      <c r="BYY449" s="268"/>
      <c r="BYZ449" s="268"/>
      <c r="BZA449" s="268"/>
      <c r="BZB449" s="268"/>
      <c r="BZC449" s="268"/>
      <c r="BZD449" s="268"/>
      <c r="BZE449" s="268"/>
      <c r="BZF449" s="268"/>
      <c r="BZG449" s="268"/>
      <c r="BZH449" s="268"/>
      <c r="BZI449" s="268"/>
      <c r="BZJ449" s="268"/>
      <c r="BZK449" s="268"/>
      <c r="BZY449" s="268"/>
      <c r="BZZ449" s="268"/>
      <c r="CAA449" s="268"/>
      <c r="CAO449" s="268"/>
      <c r="CAQ449" s="268"/>
      <c r="CAR449" s="268"/>
      <c r="CAS449" s="268"/>
      <c r="CAT449" s="268"/>
      <c r="CAU449" s="268"/>
      <c r="CAV449" s="268"/>
      <c r="CAW449" s="268"/>
      <c r="CAX449" s="268"/>
      <c r="CAY449" s="268"/>
      <c r="CAZ449" s="268"/>
      <c r="CBA449" s="268"/>
      <c r="CBB449" s="268"/>
      <c r="CBC449" s="268"/>
      <c r="CBD449" s="268"/>
      <c r="CBE449" s="268"/>
      <c r="CBF449" s="268"/>
      <c r="CBG449" s="268"/>
      <c r="CBH449" s="268"/>
      <c r="CBI449" s="268"/>
      <c r="CBJ449" s="268"/>
      <c r="CBK449" s="268"/>
      <c r="CBL449" s="268"/>
      <c r="CBM449" s="268"/>
      <c r="CBN449" s="268"/>
      <c r="CBO449" s="268"/>
      <c r="CBP449" s="268"/>
      <c r="CBQ449" s="268"/>
      <c r="CBR449" s="268"/>
      <c r="CBS449" s="268"/>
      <c r="CBT449" s="268"/>
      <c r="CBU449" s="268"/>
      <c r="CBV449" s="268"/>
      <c r="CBW449" s="268"/>
      <c r="CBX449" s="268"/>
      <c r="CBY449" s="268"/>
      <c r="CBZ449" s="268"/>
      <c r="CCA449" s="268"/>
      <c r="CCB449" s="268"/>
      <c r="CCC449" s="268"/>
      <c r="CCD449" s="268"/>
      <c r="CCE449" s="268"/>
      <c r="CCF449" s="268"/>
      <c r="CCG449" s="268"/>
      <c r="CCH449" s="268"/>
      <c r="CCI449" s="268"/>
      <c r="CCJ449" s="268"/>
      <c r="CCK449" s="268"/>
      <c r="CCL449" s="268"/>
      <c r="CCM449" s="268"/>
      <c r="CCN449" s="268"/>
      <c r="CCO449" s="268"/>
      <c r="CCP449" s="268"/>
      <c r="CCQ449" s="268"/>
      <c r="CCR449" s="268"/>
      <c r="CCS449" s="268"/>
      <c r="CCT449" s="268"/>
      <c r="CCU449" s="268"/>
      <c r="CCV449" s="268"/>
      <c r="CCW449" s="268"/>
      <c r="CCX449" s="268"/>
      <c r="CCY449" s="268"/>
      <c r="CCZ449" s="268"/>
      <c r="CDA449" s="268"/>
      <c r="CDB449" s="268"/>
      <c r="CDC449" s="268"/>
      <c r="CDD449" s="268"/>
      <c r="CDE449" s="268"/>
      <c r="CDF449" s="268"/>
      <c r="CDG449" s="268"/>
      <c r="CDH449" s="268"/>
      <c r="CDI449" s="268"/>
      <c r="CDJ449" s="268"/>
      <c r="CDK449" s="268"/>
      <c r="CDL449" s="268"/>
      <c r="CDM449" s="268"/>
      <c r="CDN449" s="268"/>
      <c r="CDO449" s="268"/>
      <c r="CDP449" s="268"/>
      <c r="CDQ449" s="268"/>
      <c r="CDR449" s="268"/>
      <c r="CDS449" s="268"/>
      <c r="CDT449" s="268"/>
      <c r="CDU449" s="268"/>
      <c r="CDV449" s="268"/>
      <c r="CDW449" s="268"/>
      <c r="CDX449" s="268"/>
      <c r="CDY449" s="268"/>
      <c r="CDZ449" s="268"/>
      <c r="CEA449" s="268"/>
      <c r="CEB449" s="268"/>
      <c r="CEC449" s="268"/>
      <c r="CED449" s="268"/>
      <c r="CEE449" s="268"/>
      <c r="CEF449" s="268"/>
      <c r="CEG449" s="268"/>
      <c r="CEH449" s="268"/>
      <c r="CEI449" s="268"/>
      <c r="CEJ449" s="268"/>
      <c r="CEK449" s="268"/>
      <c r="CEL449" s="268"/>
      <c r="CEM449" s="268"/>
      <c r="CEN449" s="268"/>
      <c r="CEO449" s="268"/>
      <c r="CEP449" s="268"/>
      <c r="CEQ449" s="268"/>
      <c r="CER449" s="268"/>
      <c r="CES449" s="268"/>
      <c r="CET449" s="268"/>
      <c r="CEU449" s="268"/>
      <c r="CEV449" s="268"/>
      <c r="CEW449" s="268"/>
      <c r="CEX449" s="268"/>
      <c r="CEY449" s="268"/>
      <c r="CEZ449" s="268"/>
      <c r="CFA449" s="268"/>
      <c r="CFB449" s="268"/>
      <c r="CFC449" s="268"/>
      <c r="CFD449" s="268"/>
      <c r="CFE449" s="268"/>
      <c r="CFF449" s="268"/>
      <c r="CFG449" s="268"/>
      <c r="CFH449" s="268"/>
      <c r="CFI449" s="268"/>
      <c r="CFJ449" s="268"/>
      <c r="CFK449" s="268"/>
      <c r="CFL449" s="268"/>
      <c r="CFM449" s="268"/>
      <c r="CFN449" s="268"/>
      <c r="CFO449" s="268"/>
      <c r="CFP449" s="268"/>
      <c r="CFQ449" s="268"/>
      <c r="CFR449" s="268"/>
      <c r="CFS449" s="268"/>
      <c r="CFT449" s="268"/>
      <c r="CFU449" s="268"/>
      <c r="CFV449" s="268"/>
      <c r="CFW449" s="268"/>
      <c r="CFX449" s="268"/>
      <c r="CFY449" s="268"/>
      <c r="CFZ449" s="268"/>
      <c r="CGA449" s="268"/>
      <c r="CGB449" s="268"/>
      <c r="CGC449" s="268"/>
      <c r="CGD449" s="268"/>
      <c r="CGE449" s="268"/>
      <c r="CGF449" s="268"/>
      <c r="CGG449" s="268"/>
      <c r="CGH449" s="268"/>
      <c r="CGI449" s="268"/>
      <c r="CGJ449" s="268"/>
      <c r="CGK449" s="268"/>
      <c r="CGL449" s="268"/>
      <c r="CGM449" s="268"/>
      <c r="CGN449" s="268"/>
      <c r="CGO449" s="268"/>
      <c r="CGP449" s="268"/>
      <c r="CGQ449" s="268"/>
      <c r="CGR449" s="268"/>
      <c r="CGS449" s="268"/>
      <c r="CGT449" s="268"/>
      <c r="CGU449" s="268"/>
      <c r="CGV449" s="268"/>
      <c r="CGW449" s="268"/>
      <c r="CGX449" s="268"/>
      <c r="CGY449" s="268"/>
      <c r="CGZ449" s="268"/>
      <c r="CHA449" s="268"/>
      <c r="CHB449" s="268"/>
      <c r="CHC449" s="268"/>
      <c r="CHD449" s="268"/>
      <c r="CHE449" s="268"/>
      <c r="CHF449" s="268"/>
      <c r="CHG449" s="268"/>
      <c r="CHH449" s="268"/>
      <c r="CHI449" s="268"/>
      <c r="CHJ449" s="268"/>
      <c r="CHK449" s="268"/>
      <c r="CHL449" s="268"/>
      <c r="CHM449" s="268"/>
      <c r="CHN449" s="268"/>
      <c r="CHO449" s="268"/>
      <c r="CHP449" s="268"/>
      <c r="CHQ449" s="268"/>
      <c r="CHR449" s="268"/>
      <c r="CHS449" s="268"/>
      <c r="CHT449" s="268"/>
      <c r="CHU449" s="268"/>
      <c r="CHV449" s="268"/>
      <c r="CHW449" s="268"/>
      <c r="CHX449" s="268"/>
      <c r="CHY449" s="268"/>
      <c r="CHZ449" s="268"/>
      <c r="CIA449" s="268"/>
      <c r="CIB449" s="268"/>
      <c r="CIC449" s="268"/>
      <c r="CID449" s="268"/>
      <c r="CIE449" s="268"/>
      <c r="CIF449" s="268"/>
      <c r="CIG449" s="268"/>
      <c r="CIH449" s="268"/>
      <c r="CII449" s="268"/>
      <c r="CIJ449" s="268"/>
      <c r="CIK449" s="268"/>
      <c r="CIL449" s="268"/>
      <c r="CIM449" s="268"/>
      <c r="CIN449" s="268"/>
      <c r="CIO449" s="268"/>
      <c r="CIP449" s="268"/>
      <c r="CIQ449" s="268"/>
      <c r="CIR449" s="268"/>
      <c r="CIS449" s="268"/>
      <c r="CIT449" s="268"/>
      <c r="CIU449" s="268"/>
      <c r="CIV449" s="268"/>
      <c r="CIW449" s="268"/>
      <c r="CIX449" s="268"/>
      <c r="CIY449" s="268"/>
      <c r="CIZ449" s="268"/>
      <c r="CJA449" s="268"/>
      <c r="CJB449" s="268"/>
      <c r="CJC449" s="268"/>
      <c r="CJD449" s="268"/>
      <c r="CJE449" s="268"/>
      <c r="CJF449" s="268"/>
      <c r="CJG449" s="268"/>
      <c r="CJU449" s="268"/>
      <c r="CJV449" s="268"/>
      <c r="CJW449" s="268"/>
      <c r="CKK449" s="268"/>
      <c r="CKM449" s="268"/>
      <c r="CKN449" s="268"/>
      <c r="CKO449" s="268"/>
      <c r="CKP449" s="268"/>
      <c r="CKQ449" s="268"/>
      <c r="CKR449" s="268"/>
      <c r="CKS449" s="268"/>
      <c r="CKT449" s="268"/>
      <c r="CKU449" s="268"/>
      <c r="CKV449" s="268"/>
      <c r="CKW449" s="268"/>
      <c r="CKX449" s="268"/>
      <c r="CKY449" s="268"/>
      <c r="CKZ449" s="268"/>
      <c r="CLA449" s="268"/>
      <c r="CLB449" s="268"/>
      <c r="CLC449" s="268"/>
      <c r="CLD449" s="268"/>
      <c r="CLE449" s="268"/>
      <c r="CLF449" s="268"/>
      <c r="CLG449" s="268"/>
      <c r="CLH449" s="268"/>
      <c r="CLI449" s="268"/>
      <c r="CLJ449" s="268"/>
      <c r="CLK449" s="268"/>
      <c r="CLL449" s="268"/>
      <c r="CLM449" s="268"/>
      <c r="CLN449" s="268"/>
      <c r="CLO449" s="268"/>
      <c r="CLP449" s="268"/>
      <c r="CLQ449" s="268"/>
      <c r="CLR449" s="268"/>
      <c r="CLS449" s="268"/>
      <c r="CLT449" s="268"/>
      <c r="CLU449" s="268"/>
      <c r="CLV449" s="268"/>
      <c r="CLW449" s="268"/>
      <c r="CLX449" s="268"/>
      <c r="CLY449" s="268"/>
      <c r="CLZ449" s="268"/>
      <c r="CMA449" s="268"/>
      <c r="CMB449" s="268"/>
      <c r="CMC449" s="268"/>
      <c r="CMD449" s="268"/>
      <c r="CME449" s="268"/>
      <c r="CMF449" s="268"/>
      <c r="CMG449" s="268"/>
      <c r="CMH449" s="268"/>
      <c r="CMI449" s="268"/>
      <c r="CMJ449" s="268"/>
      <c r="CMK449" s="268"/>
      <c r="CML449" s="268"/>
      <c r="CMM449" s="268"/>
      <c r="CMN449" s="268"/>
      <c r="CMO449" s="268"/>
      <c r="CMP449" s="268"/>
      <c r="CMQ449" s="268"/>
      <c r="CMR449" s="268"/>
      <c r="CMS449" s="268"/>
      <c r="CMT449" s="268"/>
      <c r="CMU449" s="268"/>
      <c r="CMV449" s="268"/>
      <c r="CMW449" s="268"/>
      <c r="CMX449" s="268"/>
      <c r="CMY449" s="268"/>
      <c r="CMZ449" s="268"/>
      <c r="CNA449" s="268"/>
      <c r="CNB449" s="268"/>
      <c r="CNC449" s="268"/>
      <c r="CND449" s="268"/>
      <c r="CNE449" s="268"/>
      <c r="CNF449" s="268"/>
      <c r="CNG449" s="268"/>
      <c r="CNH449" s="268"/>
      <c r="CNI449" s="268"/>
      <c r="CNJ449" s="268"/>
      <c r="CNK449" s="268"/>
      <c r="CNL449" s="268"/>
      <c r="CNM449" s="268"/>
      <c r="CNN449" s="268"/>
      <c r="CNO449" s="268"/>
      <c r="CNP449" s="268"/>
      <c r="CNQ449" s="268"/>
      <c r="CNR449" s="268"/>
      <c r="CNS449" s="268"/>
      <c r="CNT449" s="268"/>
      <c r="CNU449" s="268"/>
      <c r="CNV449" s="268"/>
      <c r="CNW449" s="268"/>
      <c r="CNX449" s="268"/>
      <c r="CNY449" s="268"/>
      <c r="CNZ449" s="268"/>
      <c r="COA449" s="268"/>
      <c r="COB449" s="268"/>
      <c r="COC449" s="268"/>
      <c r="COD449" s="268"/>
      <c r="COE449" s="268"/>
      <c r="COF449" s="268"/>
      <c r="COG449" s="268"/>
      <c r="COH449" s="268"/>
      <c r="COI449" s="268"/>
      <c r="COJ449" s="268"/>
      <c r="COK449" s="268"/>
      <c r="COL449" s="268"/>
      <c r="COM449" s="268"/>
      <c r="CON449" s="268"/>
      <c r="COO449" s="268"/>
      <c r="COP449" s="268"/>
      <c r="COQ449" s="268"/>
      <c r="COR449" s="268"/>
      <c r="COS449" s="268"/>
      <c r="COT449" s="268"/>
      <c r="COU449" s="268"/>
      <c r="COV449" s="268"/>
      <c r="COW449" s="268"/>
      <c r="COX449" s="268"/>
      <c r="COY449" s="268"/>
      <c r="COZ449" s="268"/>
      <c r="CPA449" s="268"/>
      <c r="CPB449" s="268"/>
      <c r="CPC449" s="268"/>
      <c r="CPD449" s="268"/>
      <c r="CPE449" s="268"/>
      <c r="CPF449" s="268"/>
      <c r="CPG449" s="268"/>
      <c r="CPH449" s="268"/>
      <c r="CPI449" s="268"/>
      <c r="CPJ449" s="268"/>
      <c r="CPK449" s="268"/>
      <c r="CPL449" s="268"/>
      <c r="CPM449" s="268"/>
      <c r="CPN449" s="268"/>
      <c r="CPO449" s="268"/>
      <c r="CPP449" s="268"/>
      <c r="CPQ449" s="268"/>
      <c r="CPR449" s="268"/>
      <c r="CPS449" s="268"/>
      <c r="CPT449" s="268"/>
      <c r="CPU449" s="268"/>
      <c r="CPV449" s="268"/>
      <c r="CPW449" s="268"/>
      <c r="CPX449" s="268"/>
      <c r="CPY449" s="268"/>
      <c r="CPZ449" s="268"/>
      <c r="CQA449" s="268"/>
      <c r="CQB449" s="268"/>
      <c r="CQC449" s="268"/>
      <c r="CQD449" s="268"/>
      <c r="CQE449" s="268"/>
      <c r="CQF449" s="268"/>
      <c r="CQG449" s="268"/>
      <c r="CQH449" s="268"/>
      <c r="CQI449" s="268"/>
      <c r="CQJ449" s="268"/>
      <c r="CQK449" s="268"/>
      <c r="CQL449" s="268"/>
      <c r="CQM449" s="268"/>
      <c r="CQN449" s="268"/>
      <c r="CQO449" s="268"/>
      <c r="CQP449" s="268"/>
      <c r="CQQ449" s="268"/>
      <c r="CQR449" s="268"/>
      <c r="CQS449" s="268"/>
      <c r="CQT449" s="268"/>
      <c r="CQU449" s="268"/>
      <c r="CQV449" s="268"/>
      <c r="CQW449" s="268"/>
      <c r="CQX449" s="268"/>
      <c r="CQY449" s="268"/>
      <c r="CQZ449" s="268"/>
      <c r="CRA449" s="268"/>
      <c r="CRB449" s="268"/>
      <c r="CRC449" s="268"/>
      <c r="CRD449" s="268"/>
      <c r="CRE449" s="268"/>
      <c r="CRF449" s="268"/>
      <c r="CRG449" s="268"/>
      <c r="CRH449" s="268"/>
      <c r="CRI449" s="268"/>
      <c r="CRJ449" s="268"/>
      <c r="CRK449" s="268"/>
      <c r="CRL449" s="268"/>
      <c r="CRM449" s="268"/>
      <c r="CRN449" s="268"/>
      <c r="CRO449" s="268"/>
      <c r="CRP449" s="268"/>
      <c r="CRQ449" s="268"/>
      <c r="CRR449" s="268"/>
      <c r="CRS449" s="268"/>
      <c r="CRT449" s="268"/>
      <c r="CRU449" s="268"/>
      <c r="CRV449" s="268"/>
      <c r="CRW449" s="268"/>
      <c r="CRX449" s="268"/>
      <c r="CRY449" s="268"/>
      <c r="CRZ449" s="268"/>
      <c r="CSA449" s="268"/>
      <c r="CSB449" s="268"/>
      <c r="CSC449" s="268"/>
      <c r="CSD449" s="268"/>
      <c r="CSE449" s="268"/>
      <c r="CSF449" s="268"/>
      <c r="CSG449" s="268"/>
      <c r="CSH449" s="268"/>
      <c r="CSI449" s="268"/>
      <c r="CSJ449" s="268"/>
      <c r="CSK449" s="268"/>
      <c r="CSL449" s="268"/>
      <c r="CSM449" s="268"/>
      <c r="CSN449" s="268"/>
      <c r="CSO449" s="268"/>
      <c r="CSP449" s="268"/>
      <c r="CSQ449" s="268"/>
      <c r="CSR449" s="268"/>
      <c r="CSS449" s="268"/>
      <c r="CST449" s="268"/>
      <c r="CSU449" s="268"/>
      <c r="CSV449" s="268"/>
      <c r="CSW449" s="268"/>
      <c r="CSX449" s="268"/>
      <c r="CSY449" s="268"/>
      <c r="CSZ449" s="268"/>
      <c r="CTA449" s="268"/>
      <c r="CTB449" s="268"/>
      <c r="CTC449" s="268"/>
      <c r="CTQ449" s="268"/>
      <c r="CTR449" s="268"/>
      <c r="CTS449" s="268"/>
      <c r="CUG449" s="268"/>
      <c r="CUI449" s="268"/>
      <c r="CUJ449" s="268"/>
      <c r="CUK449" s="268"/>
      <c r="CUL449" s="268"/>
      <c r="CUM449" s="268"/>
      <c r="CUN449" s="268"/>
      <c r="CUO449" s="268"/>
      <c r="CUP449" s="268"/>
      <c r="CUQ449" s="268"/>
      <c r="CUR449" s="268"/>
      <c r="CUS449" s="268"/>
      <c r="CUT449" s="268"/>
      <c r="CUU449" s="268"/>
      <c r="CUV449" s="268"/>
      <c r="CUW449" s="268"/>
      <c r="CUX449" s="268"/>
      <c r="CUY449" s="268"/>
      <c r="CUZ449" s="268"/>
      <c r="CVA449" s="268"/>
      <c r="CVB449" s="268"/>
      <c r="CVC449" s="268"/>
      <c r="CVD449" s="268"/>
      <c r="CVE449" s="268"/>
      <c r="CVF449" s="268"/>
      <c r="CVG449" s="268"/>
      <c r="CVH449" s="268"/>
      <c r="CVI449" s="268"/>
      <c r="CVJ449" s="268"/>
      <c r="CVK449" s="268"/>
      <c r="CVL449" s="268"/>
      <c r="CVM449" s="268"/>
      <c r="CVN449" s="268"/>
      <c r="CVO449" s="268"/>
      <c r="CVP449" s="268"/>
      <c r="CVQ449" s="268"/>
      <c r="CVR449" s="268"/>
      <c r="CVS449" s="268"/>
      <c r="CVT449" s="268"/>
      <c r="CVU449" s="268"/>
      <c r="CVV449" s="268"/>
      <c r="CVW449" s="268"/>
      <c r="CVX449" s="268"/>
      <c r="CVY449" s="268"/>
      <c r="CVZ449" s="268"/>
      <c r="CWA449" s="268"/>
      <c r="CWB449" s="268"/>
      <c r="CWC449" s="268"/>
      <c r="CWD449" s="268"/>
      <c r="CWE449" s="268"/>
      <c r="CWF449" s="268"/>
      <c r="CWG449" s="268"/>
      <c r="CWH449" s="268"/>
      <c r="CWI449" s="268"/>
      <c r="CWJ449" s="268"/>
      <c r="CWK449" s="268"/>
      <c r="CWL449" s="268"/>
      <c r="CWM449" s="268"/>
      <c r="CWN449" s="268"/>
      <c r="CWO449" s="268"/>
      <c r="CWP449" s="268"/>
      <c r="CWQ449" s="268"/>
      <c r="CWR449" s="268"/>
      <c r="CWS449" s="268"/>
      <c r="CWT449" s="268"/>
      <c r="CWU449" s="268"/>
      <c r="CWV449" s="268"/>
      <c r="CWW449" s="268"/>
      <c r="CWX449" s="268"/>
      <c r="CWY449" s="268"/>
      <c r="CWZ449" s="268"/>
      <c r="CXA449" s="268"/>
      <c r="CXB449" s="268"/>
      <c r="CXC449" s="268"/>
      <c r="CXD449" s="268"/>
      <c r="CXE449" s="268"/>
      <c r="CXF449" s="268"/>
      <c r="CXG449" s="268"/>
      <c r="CXH449" s="268"/>
      <c r="CXI449" s="268"/>
      <c r="CXJ449" s="268"/>
      <c r="CXK449" s="268"/>
      <c r="CXL449" s="268"/>
      <c r="CXM449" s="268"/>
      <c r="CXN449" s="268"/>
      <c r="CXO449" s="268"/>
      <c r="CXP449" s="268"/>
      <c r="CXQ449" s="268"/>
      <c r="CXR449" s="268"/>
      <c r="CXS449" s="268"/>
      <c r="CXT449" s="268"/>
      <c r="CXU449" s="268"/>
      <c r="CXV449" s="268"/>
      <c r="CXW449" s="268"/>
      <c r="CXX449" s="268"/>
      <c r="CXY449" s="268"/>
      <c r="CXZ449" s="268"/>
      <c r="CYA449" s="268"/>
      <c r="CYB449" s="268"/>
      <c r="CYC449" s="268"/>
      <c r="CYD449" s="268"/>
      <c r="CYE449" s="268"/>
      <c r="CYF449" s="268"/>
      <c r="CYG449" s="268"/>
      <c r="CYH449" s="268"/>
      <c r="CYI449" s="268"/>
      <c r="CYJ449" s="268"/>
      <c r="CYK449" s="268"/>
      <c r="CYL449" s="268"/>
      <c r="CYM449" s="268"/>
      <c r="CYN449" s="268"/>
      <c r="CYO449" s="268"/>
      <c r="CYP449" s="268"/>
      <c r="CYQ449" s="268"/>
      <c r="CYR449" s="268"/>
      <c r="CYS449" s="268"/>
      <c r="CYT449" s="268"/>
      <c r="CYU449" s="268"/>
      <c r="CYV449" s="268"/>
      <c r="CYW449" s="268"/>
      <c r="CYX449" s="268"/>
      <c r="CYY449" s="268"/>
      <c r="CYZ449" s="268"/>
      <c r="CZA449" s="268"/>
      <c r="CZB449" s="268"/>
      <c r="CZC449" s="268"/>
      <c r="CZD449" s="268"/>
      <c r="CZE449" s="268"/>
      <c r="CZF449" s="268"/>
      <c r="CZG449" s="268"/>
      <c r="CZH449" s="268"/>
      <c r="CZI449" s="268"/>
      <c r="CZJ449" s="268"/>
      <c r="CZK449" s="268"/>
      <c r="CZL449" s="268"/>
      <c r="CZM449" s="268"/>
      <c r="CZN449" s="268"/>
      <c r="CZO449" s="268"/>
      <c r="CZP449" s="268"/>
      <c r="CZQ449" s="268"/>
      <c r="CZR449" s="268"/>
      <c r="CZS449" s="268"/>
      <c r="CZT449" s="268"/>
      <c r="CZU449" s="268"/>
      <c r="CZV449" s="268"/>
      <c r="CZW449" s="268"/>
      <c r="CZX449" s="268"/>
      <c r="CZY449" s="268"/>
      <c r="CZZ449" s="268"/>
      <c r="DAA449" s="268"/>
      <c r="DAB449" s="268"/>
      <c r="DAC449" s="268"/>
      <c r="DAD449" s="268"/>
      <c r="DAE449" s="268"/>
      <c r="DAF449" s="268"/>
      <c r="DAG449" s="268"/>
      <c r="DAH449" s="268"/>
      <c r="DAI449" s="268"/>
      <c r="DAJ449" s="268"/>
      <c r="DAK449" s="268"/>
      <c r="DAL449" s="268"/>
      <c r="DAM449" s="268"/>
      <c r="DAN449" s="268"/>
      <c r="DAO449" s="268"/>
      <c r="DAP449" s="268"/>
      <c r="DAQ449" s="268"/>
      <c r="DAR449" s="268"/>
      <c r="DAS449" s="268"/>
      <c r="DAT449" s="268"/>
      <c r="DAU449" s="268"/>
      <c r="DAV449" s="268"/>
      <c r="DAW449" s="268"/>
      <c r="DAX449" s="268"/>
      <c r="DAY449" s="268"/>
      <c r="DAZ449" s="268"/>
      <c r="DBA449" s="268"/>
      <c r="DBB449" s="268"/>
      <c r="DBC449" s="268"/>
      <c r="DBD449" s="268"/>
      <c r="DBE449" s="268"/>
      <c r="DBF449" s="268"/>
      <c r="DBG449" s="268"/>
      <c r="DBH449" s="268"/>
      <c r="DBI449" s="268"/>
      <c r="DBJ449" s="268"/>
      <c r="DBK449" s="268"/>
      <c r="DBL449" s="268"/>
      <c r="DBM449" s="268"/>
      <c r="DBN449" s="268"/>
      <c r="DBO449" s="268"/>
      <c r="DBP449" s="268"/>
      <c r="DBQ449" s="268"/>
      <c r="DBR449" s="268"/>
      <c r="DBS449" s="268"/>
      <c r="DBT449" s="268"/>
      <c r="DBU449" s="268"/>
      <c r="DBV449" s="268"/>
      <c r="DBW449" s="268"/>
      <c r="DBX449" s="268"/>
      <c r="DBY449" s="268"/>
      <c r="DBZ449" s="268"/>
      <c r="DCA449" s="268"/>
      <c r="DCB449" s="268"/>
      <c r="DCC449" s="268"/>
      <c r="DCD449" s="268"/>
      <c r="DCE449" s="268"/>
      <c r="DCF449" s="268"/>
      <c r="DCG449" s="268"/>
      <c r="DCH449" s="268"/>
      <c r="DCI449" s="268"/>
      <c r="DCJ449" s="268"/>
      <c r="DCK449" s="268"/>
      <c r="DCL449" s="268"/>
      <c r="DCM449" s="268"/>
      <c r="DCN449" s="268"/>
      <c r="DCO449" s="268"/>
      <c r="DCP449" s="268"/>
      <c r="DCQ449" s="268"/>
      <c r="DCR449" s="268"/>
      <c r="DCS449" s="268"/>
      <c r="DCT449" s="268"/>
      <c r="DCU449" s="268"/>
      <c r="DCV449" s="268"/>
      <c r="DCW449" s="268"/>
      <c r="DCX449" s="268"/>
      <c r="DCY449" s="268"/>
      <c r="DDM449" s="268"/>
      <c r="DDN449" s="268"/>
      <c r="DDO449" s="268"/>
      <c r="DEC449" s="268"/>
      <c r="DEE449" s="268"/>
      <c r="DEF449" s="268"/>
      <c r="DEG449" s="268"/>
      <c r="DEH449" s="268"/>
      <c r="DEI449" s="268"/>
      <c r="DEJ449" s="268"/>
      <c r="DEK449" s="268"/>
      <c r="DEL449" s="268"/>
      <c r="DEM449" s="268"/>
      <c r="DEN449" s="268"/>
      <c r="DEO449" s="268"/>
      <c r="DEP449" s="268"/>
      <c r="DEQ449" s="268"/>
      <c r="DER449" s="268"/>
      <c r="DES449" s="268"/>
      <c r="DET449" s="268"/>
      <c r="DEU449" s="268"/>
      <c r="DEV449" s="268"/>
      <c r="DEW449" s="268"/>
      <c r="DEX449" s="268"/>
      <c r="DEY449" s="268"/>
      <c r="DEZ449" s="268"/>
      <c r="DFA449" s="268"/>
      <c r="DFB449" s="268"/>
      <c r="DFC449" s="268"/>
      <c r="DFD449" s="268"/>
      <c r="DFE449" s="268"/>
      <c r="DFF449" s="268"/>
      <c r="DFG449" s="268"/>
      <c r="DFH449" s="268"/>
      <c r="DFI449" s="268"/>
      <c r="DFJ449" s="268"/>
      <c r="DFK449" s="268"/>
      <c r="DFL449" s="268"/>
      <c r="DFM449" s="268"/>
      <c r="DFN449" s="268"/>
      <c r="DFO449" s="268"/>
      <c r="DFP449" s="268"/>
      <c r="DFQ449" s="268"/>
      <c r="DFR449" s="268"/>
      <c r="DFS449" s="268"/>
      <c r="DFT449" s="268"/>
      <c r="DFU449" s="268"/>
      <c r="DFV449" s="268"/>
      <c r="DFW449" s="268"/>
      <c r="DFX449" s="268"/>
      <c r="DFY449" s="268"/>
      <c r="DFZ449" s="268"/>
      <c r="DGA449" s="268"/>
      <c r="DGB449" s="268"/>
      <c r="DGC449" s="268"/>
      <c r="DGD449" s="268"/>
      <c r="DGE449" s="268"/>
      <c r="DGF449" s="268"/>
      <c r="DGG449" s="268"/>
      <c r="DGH449" s="268"/>
      <c r="DGI449" s="268"/>
      <c r="DGJ449" s="268"/>
      <c r="DGK449" s="268"/>
      <c r="DGL449" s="268"/>
      <c r="DGM449" s="268"/>
      <c r="DGN449" s="268"/>
      <c r="DGO449" s="268"/>
      <c r="DGP449" s="268"/>
      <c r="DGQ449" s="268"/>
      <c r="DGR449" s="268"/>
      <c r="DGS449" s="268"/>
      <c r="DGT449" s="268"/>
      <c r="DGU449" s="268"/>
      <c r="DGV449" s="268"/>
      <c r="DGW449" s="268"/>
      <c r="DGX449" s="268"/>
      <c r="DGY449" s="268"/>
      <c r="DGZ449" s="268"/>
      <c r="DHA449" s="268"/>
      <c r="DHB449" s="268"/>
      <c r="DHC449" s="268"/>
      <c r="DHD449" s="268"/>
      <c r="DHE449" s="268"/>
      <c r="DHF449" s="268"/>
      <c r="DHG449" s="268"/>
      <c r="DHH449" s="268"/>
      <c r="DHI449" s="268"/>
      <c r="DHJ449" s="268"/>
      <c r="DHK449" s="268"/>
      <c r="DHL449" s="268"/>
      <c r="DHM449" s="268"/>
      <c r="DHN449" s="268"/>
      <c r="DHO449" s="268"/>
      <c r="DHP449" s="268"/>
      <c r="DHQ449" s="268"/>
      <c r="DHR449" s="268"/>
      <c r="DHS449" s="268"/>
      <c r="DHT449" s="268"/>
      <c r="DHU449" s="268"/>
      <c r="DHV449" s="268"/>
      <c r="DHW449" s="268"/>
      <c r="DHX449" s="268"/>
      <c r="DHY449" s="268"/>
      <c r="DHZ449" s="268"/>
      <c r="DIA449" s="268"/>
      <c r="DIB449" s="268"/>
      <c r="DIC449" s="268"/>
      <c r="DID449" s="268"/>
      <c r="DIE449" s="268"/>
      <c r="DIF449" s="268"/>
      <c r="DIG449" s="268"/>
      <c r="DIH449" s="268"/>
      <c r="DII449" s="268"/>
      <c r="DIJ449" s="268"/>
      <c r="DIK449" s="268"/>
      <c r="DIL449" s="268"/>
      <c r="DIM449" s="268"/>
      <c r="DIN449" s="268"/>
      <c r="DIO449" s="268"/>
      <c r="DIP449" s="268"/>
      <c r="DIQ449" s="268"/>
      <c r="DIR449" s="268"/>
      <c r="DIS449" s="268"/>
      <c r="DIT449" s="268"/>
      <c r="DIU449" s="268"/>
      <c r="DIV449" s="268"/>
      <c r="DIW449" s="268"/>
      <c r="DIX449" s="268"/>
      <c r="DIY449" s="268"/>
      <c r="DIZ449" s="268"/>
      <c r="DJA449" s="268"/>
      <c r="DJB449" s="268"/>
      <c r="DJC449" s="268"/>
      <c r="DJD449" s="268"/>
      <c r="DJE449" s="268"/>
      <c r="DJF449" s="268"/>
      <c r="DJG449" s="268"/>
      <c r="DJH449" s="268"/>
      <c r="DJI449" s="268"/>
      <c r="DJJ449" s="268"/>
      <c r="DJK449" s="268"/>
      <c r="DJL449" s="268"/>
      <c r="DJM449" s="268"/>
      <c r="DJN449" s="268"/>
      <c r="DJO449" s="268"/>
      <c r="DJP449" s="268"/>
      <c r="DJQ449" s="268"/>
      <c r="DJR449" s="268"/>
      <c r="DJS449" s="268"/>
      <c r="DJT449" s="268"/>
      <c r="DJU449" s="268"/>
      <c r="DJV449" s="268"/>
      <c r="DJW449" s="268"/>
      <c r="DJX449" s="268"/>
      <c r="DJY449" s="268"/>
      <c r="DJZ449" s="268"/>
      <c r="DKA449" s="268"/>
      <c r="DKB449" s="268"/>
      <c r="DKC449" s="268"/>
      <c r="DKD449" s="268"/>
      <c r="DKE449" s="268"/>
      <c r="DKF449" s="268"/>
      <c r="DKG449" s="268"/>
      <c r="DKH449" s="268"/>
      <c r="DKI449" s="268"/>
      <c r="DKJ449" s="268"/>
      <c r="DKK449" s="268"/>
      <c r="DKL449" s="268"/>
      <c r="DKM449" s="268"/>
      <c r="DKN449" s="268"/>
      <c r="DKO449" s="268"/>
      <c r="DKP449" s="268"/>
      <c r="DKQ449" s="268"/>
      <c r="DKR449" s="268"/>
      <c r="DKS449" s="268"/>
      <c r="DKT449" s="268"/>
      <c r="DKU449" s="268"/>
      <c r="DKV449" s="268"/>
      <c r="DKW449" s="268"/>
      <c r="DKX449" s="268"/>
      <c r="DKY449" s="268"/>
      <c r="DKZ449" s="268"/>
      <c r="DLA449" s="268"/>
      <c r="DLB449" s="268"/>
      <c r="DLC449" s="268"/>
      <c r="DLD449" s="268"/>
      <c r="DLE449" s="268"/>
      <c r="DLF449" s="268"/>
      <c r="DLG449" s="268"/>
      <c r="DLH449" s="268"/>
      <c r="DLI449" s="268"/>
      <c r="DLJ449" s="268"/>
      <c r="DLK449" s="268"/>
      <c r="DLL449" s="268"/>
      <c r="DLM449" s="268"/>
      <c r="DLN449" s="268"/>
      <c r="DLO449" s="268"/>
      <c r="DLP449" s="268"/>
      <c r="DLQ449" s="268"/>
      <c r="DLR449" s="268"/>
      <c r="DLS449" s="268"/>
      <c r="DLT449" s="268"/>
      <c r="DLU449" s="268"/>
      <c r="DLV449" s="268"/>
      <c r="DLW449" s="268"/>
      <c r="DLX449" s="268"/>
      <c r="DLY449" s="268"/>
      <c r="DLZ449" s="268"/>
      <c r="DMA449" s="268"/>
      <c r="DMB449" s="268"/>
      <c r="DMC449" s="268"/>
      <c r="DMD449" s="268"/>
      <c r="DME449" s="268"/>
      <c r="DMF449" s="268"/>
      <c r="DMG449" s="268"/>
      <c r="DMH449" s="268"/>
      <c r="DMI449" s="268"/>
      <c r="DMJ449" s="268"/>
      <c r="DMK449" s="268"/>
      <c r="DML449" s="268"/>
      <c r="DMM449" s="268"/>
      <c r="DMN449" s="268"/>
      <c r="DMO449" s="268"/>
      <c r="DMP449" s="268"/>
      <c r="DMQ449" s="268"/>
      <c r="DMR449" s="268"/>
      <c r="DMS449" s="268"/>
      <c r="DMT449" s="268"/>
      <c r="DMU449" s="268"/>
      <c r="DNI449" s="268"/>
      <c r="DNJ449" s="268"/>
      <c r="DNK449" s="268"/>
      <c r="DNY449" s="268"/>
      <c r="DOA449" s="268"/>
      <c r="DOB449" s="268"/>
      <c r="DOC449" s="268"/>
      <c r="DOD449" s="268"/>
      <c r="DOE449" s="268"/>
      <c r="DOF449" s="268"/>
      <c r="DOG449" s="268"/>
      <c r="DOH449" s="268"/>
      <c r="DOI449" s="268"/>
      <c r="DOJ449" s="268"/>
      <c r="DOK449" s="268"/>
      <c r="DOL449" s="268"/>
      <c r="DOM449" s="268"/>
      <c r="DON449" s="268"/>
      <c r="DOO449" s="268"/>
      <c r="DOP449" s="268"/>
      <c r="DOQ449" s="268"/>
      <c r="DOR449" s="268"/>
      <c r="DOS449" s="268"/>
      <c r="DOT449" s="268"/>
      <c r="DOU449" s="268"/>
      <c r="DOV449" s="268"/>
      <c r="DOW449" s="268"/>
      <c r="DOX449" s="268"/>
      <c r="DOY449" s="268"/>
      <c r="DOZ449" s="268"/>
      <c r="DPA449" s="268"/>
      <c r="DPB449" s="268"/>
      <c r="DPC449" s="268"/>
      <c r="DPD449" s="268"/>
      <c r="DPE449" s="268"/>
      <c r="DPF449" s="268"/>
      <c r="DPG449" s="268"/>
      <c r="DPH449" s="268"/>
      <c r="DPI449" s="268"/>
      <c r="DPJ449" s="268"/>
      <c r="DPK449" s="268"/>
      <c r="DPL449" s="268"/>
      <c r="DPM449" s="268"/>
      <c r="DPN449" s="268"/>
      <c r="DPO449" s="268"/>
      <c r="DPP449" s="268"/>
      <c r="DPQ449" s="268"/>
      <c r="DPR449" s="268"/>
      <c r="DPS449" s="268"/>
      <c r="DPT449" s="268"/>
      <c r="DPU449" s="268"/>
      <c r="DPV449" s="268"/>
      <c r="DPW449" s="268"/>
      <c r="DPX449" s="268"/>
      <c r="DPY449" s="268"/>
      <c r="DPZ449" s="268"/>
      <c r="DQA449" s="268"/>
      <c r="DQB449" s="268"/>
      <c r="DQC449" s="268"/>
      <c r="DQD449" s="268"/>
      <c r="DQE449" s="268"/>
      <c r="DQF449" s="268"/>
      <c r="DQG449" s="268"/>
      <c r="DQH449" s="268"/>
      <c r="DQI449" s="268"/>
      <c r="DQJ449" s="268"/>
      <c r="DQK449" s="268"/>
      <c r="DQL449" s="268"/>
      <c r="DQM449" s="268"/>
      <c r="DQN449" s="268"/>
      <c r="DQO449" s="268"/>
      <c r="DQP449" s="268"/>
      <c r="DQQ449" s="268"/>
      <c r="DQR449" s="268"/>
      <c r="DQS449" s="268"/>
      <c r="DQT449" s="268"/>
      <c r="DQU449" s="268"/>
      <c r="DQV449" s="268"/>
      <c r="DQW449" s="268"/>
      <c r="DQX449" s="268"/>
      <c r="DQY449" s="268"/>
      <c r="DQZ449" s="268"/>
      <c r="DRA449" s="268"/>
      <c r="DRB449" s="268"/>
      <c r="DRC449" s="268"/>
      <c r="DRD449" s="268"/>
      <c r="DRE449" s="268"/>
      <c r="DRF449" s="268"/>
      <c r="DRG449" s="268"/>
      <c r="DRH449" s="268"/>
      <c r="DRI449" s="268"/>
      <c r="DRJ449" s="268"/>
      <c r="DRK449" s="268"/>
      <c r="DRL449" s="268"/>
      <c r="DRM449" s="268"/>
      <c r="DRN449" s="268"/>
      <c r="DRO449" s="268"/>
      <c r="DRP449" s="268"/>
      <c r="DRQ449" s="268"/>
      <c r="DRR449" s="268"/>
      <c r="DRS449" s="268"/>
      <c r="DRT449" s="268"/>
      <c r="DRU449" s="268"/>
      <c r="DRV449" s="268"/>
      <c r="DRW449" s="268"/>
      <c r="DRX449" s="268"/>
      <c r="DRY449" s="268"/>
      <c r="DRZ449" s="268"/>
      <c r="DSA449" s="268"/>
      <c r="DSB449" s="268"/>
      <c r="DSC449" s="268"/>
      <c r="DSD449" s="268"/>
      <c r="DSE449" s="268"/>
      <c r="DSF449" s="268"/>
      <c r="DSG449" s="268"/>
      <c r="DSH449" s="268"/>
      <c r="DSI449" s="268"/>
      <c r="DSJ449" s="268"/>
      <c r="DSK449" s="268"/>
      <c r="DSL449" s="268"/>
      <c r="DSM449" s="268"/>
      <c r="DSN449" s="268"/>
      <c r="DSO449" s="268"/>
      <c r="DSP449" s="268"/>
      <c r="DSQ449" s="268"/>
      <c r="DSR449" s="268"/>
      <c r="DSS449" s="268"/>
      <c r="DST449" s="268"/>
      <c r="DSU449" s="268"/>
      <c r="DSV449" s="268"/>
      <c r="DSW449" s="268"/>
      <c r="DSX449" s="268"/>
      <c r="DSY449" s="268"/>
      <c r="DSZ449" s="268"/>
      <c r="DTA449" s="268"/>
      <c r="DTB449" s="268"/>
      <c r="DTC449" s="268"/>
      <c r="DTD449" s="268"/>
      <c r="DTE449" s="268"/>
      <c r="DTF449" s="268"/>
      <c r="DTG449" s="268"/>
      <c r="DTH449" s="268"/>
      <c r="DTI449" s="268"/>
      <c r="DTJ449" s="268"/>
      <c r="DTK449" s="268"/>
      <c r="DTL449" s="268"/>
      <c r="DTM449" s="268"/>
      <c r="DTN449" s="268"/>
      <c r="DTO449" s="268"/>
      <c r="DTP449" s="268"/>
      <c r="DTQ449" s="268"/>
      <c r="DTR449" s="268"/>
      <c r="DTS449" s="268"/>
      <c r="DTT449" s="268"/>
      <c r="DTU449" s="268"/>
      <c r="DTV449" s="268"/>
      <c r="DTW449" s="268"/>
      <c r="DTX449" s="268"/>
      <c r="DTY449" s="268"/>
      <c r="DTZ449" s="268"/>
      <c r="DUA449" s="268"/>
      <c r="DUB449" s="268"/>
      <c r="DUC449" s="268"/>
      <c r="DUD449" s="268"/>
      <c r="DUE449" s="268"/>
      <c r="DUF449" s="268"/>
      <c r="DUG449" s="268"/>
      <c r="DUH449" s="268"/>
      <c r="DUI449" s="268"/>
      <c r="DUJ449" s="268"/>
      <c r="DUK449" s="268"/>
      <c r="DUL449" s="268"/>
      <c r="DUM449" s="268"/>
      <c r="DUN449" s="268"/>
      <c r="DUO449" s="268"/>
      <c r="DUP449" s="268"/>
      <c r="DUQ449" s="268"/>
      <c r="DUR449" s="268"/>
      <c r="DUS449" s="268"/>
      <c r="DUT449" s="268"/>
      <c r="DUU449" s="268"/>
      <c r="DUV449" s="268"/>
      <c r="DUW449" s="268"/>
      <c r="DUX449" s="268"/>
      <c r="DUY449" s="268"/>
      <c r="DUZ449" s="268"/>
      <c r="DVA449" s="268"/>
      <c r="DVB449" s="268"/>
      <c r="DVC449" s="268"/>
      <c r="DVD449" s="268"/>
      <c r="DVE449" s="268"/>
      <c r="DVF449" s="268"/>
      <c r="DVG449" s="268"/>
      <c r="DVH449" s="268"/>
      <c r="DVI449" s="268"/>
      <c r="DVJ449" s="268"/>
      <c r="DVK449" s="268"/>
      <c r="DVL449" s="268"/>
      <c r="DVM449" s="268"/>
      <c r="DVN449" s="268"/>
      <c r="DVO449" s="268"/>
      <c r="DVP449" s="268"/>
      <c r="DVQ449" s="268"/>
      <c r="DVR449" s="268"/>
      <c r="DVS449" s="268"/>
      <c r="DVT449" s="268"/>
      <c r="DVU449" s="268"/>
      <c r="DVV449" s="268"/>
      <c r="DVW449" s="268"/>
      <c r="DVX449" s="268"/>
      <c r="DVY449" s="268"/>
      <c r="DVZ449" s="268"/>
      <c r="DWA449" s="268"/>
      <c r="DWB449" s="268"/>
      <c r="DWC449" s="268"/>
      <c r="DWD449" s="268"/>
      <c r="DWE449" s="268"/>
      <c r="DWF449" s="268"/>
      <c r="DWG449" s="268"/>
      <c r="DWH449" s="268"/>
      <c r="DWI449" s="268"/>
      <c r="DWJ449" s="268"/>
      <c r="DWK449" s="268"/>
      <c r="DWL449" s="268"/>
      <c r="DWM449" s="268"/>
      <c r="DWN449" s="268"/>
      <c r="DWO449" s="268"/>
      <c r="DWP449" s="268"/>
      <c r="DWQ449" s="268"/>
      <c r="DXE449" s="268"/>
      <c r="DXF449" s="268"/>
      <c r="DXG449" s="268"/>
      <c r="DXU449" s="268"/>
      <c r="DXW449" s="268"/>
      <c r="DXX449" s="268"/>
      <c r="DXY449" s="268"/>
      <c r="DXZ449" s="268"/>
      <c r="DYA449" s="268"/>
      <c r="DYB449" s="268"/>
      <c r="DYC449" s="268"/>
      <c r="DYD449" s="268"/>
      <c r="DYE449" s="268"/>
      <c r="DYF449" s="268"/>
      <c r="DYG449" s="268"/>
      <c r="DYH449" s="268"/>
      <c r="DYI449" s="268"/>
      <c r="DYJ449" s="268"/>
      <c r="DYK449" s="268"/>
      <c r="DYL449" s="268"/>
      <c r="DYM449" s="268"/>
      <c r="DYN449" s="268"/>
      <c r="DYO449" s="268"/>
      <c r="DYP449" s="268"/>
      <c r="DYQ449" s="268"/>
      <c r="DYR449" s="268"/>
      <c r="DYS449" s="268"/>
      <c r="DYT449" s="268"/>
      <c r="DYU449" s="268"/>
      <c r="DYV449" s="268"/>
      <c r="DYW449" s="268"/>
      <c r="DYX449" s="268"/>
      <c r="DYY449" s="268"/>
      <c r="DYZ449" s="268"/>
      <c r="DZA449" s="268"/>
      <c r="DZB449" s="268"/>
      <c r="DZC449" s="268"/>
      <c r="DZD449" s="268"/>
      <c r="DZE449" s="268"/>
      <c r="DZF449" s="268"/>
      <c r="DZG449" s="268"/>
      <c r="DZH449" s="268"/>
      <c r="DZI449" s="268"/>
      <c r="DZJ449" s="268"/>
      <c r="DZK449" s="268"/>
      <c r="DZL449" s="268"/>
      <c r="DZM449" s="268"/>
      <c r="DZN449" s="268"/>
      <c r="DZO449" s="268"/>
      <c r="DZP449" s="268"/>
      <c r="DZQ449" s="268"/>
      <c r="DZR449" s="268"/>
      <c r="DZS449" s="268"/>
      <c r="DZT449" s="268"/>
      <c r="DZU449" s="268"/>
      <c r="DZV449" s="268"/>
      <c r="DZW449" s="268"/>
      <c r="DZX449" s="268"/>
      <c r="DZY449" s="268"/>
      <c r="DZZ449" s="268"/>
      <c r="EAA449" s="268"/>
      <c r="EAB449" s="268"/>
      <c r="EAC449" s="268"/>
      <c r="EAD449" s="268"/>
      <c r="EAE449" s="268"/>
      <c r="EAF449" s="268"/>
      <c r="EAG449" s="268"/>
      <c r="EAH449" s="268"/>
      <c r="EAI449" s="268"/>
      <c r="EAJ449" s="268"/>
      <c r="EAK449" s="268"/>
      <c r="EAL449" s="268"/>
      <c r="EAM449" s="268"/>
      <c r="EAN449" s="268"/>
      <c r="EAO449" s="268"/>
      <c r="EAP449" s="268"/>
      <c r="EAQ449" s="268"/>
      <c r="EAR449" s="268"/>
      <c r="EAS449" s="268"/>
      <c r="EAT449" s="268"/>
      <c r="EAU449" s="268"/>
      <c r="EAV449" s="268"/>
      <c r="EAW449" s="268"/>
      <c r="EAX449" s="268"/>
      <c r="EAY449" s="268"/>
      <c r="EAZ449" s="268"/>
      <c r="EBA449" s="268"/>
      <c r="EBB449" s="268"/>
      <c r="EBC449" s="268"/>
      <c r="EBD449" s="268"/>
      <c r="EBE449" s="268"/>
      <c r="EBF449" s="268"/>
      <c r="EBG449" s="268"/>
      <c r="EBH449" s="268"/>
      <c r="EBI449" s="268"/>
      <c r="EBJ449" s="268"/>
      <c r="EBK449" s="268"/>
      <c r="EBL449" s="268"/>
      <c r="EBM449" s="268"/>
      <c r="EBN449" s="268"/>
      <c r="EBO449" s="268"/>
      <c r="EBP449" s="268"/>
      <c r="EBQ449" s="268"/>
      <c r="EBR449" s="268"/>
      <c r="EBS449" s="268"/>
      <c r="EBT449" s="268"/>
      <c r="EBU449" s="268"/>
      <c r="EBV449" s="268"/>
      <c r="EBW449" s="268"/>
      <c r="EBX449" s="268"/>
      <c r="EBY449" s="268"/>
      <c r="EBZ449" s="268"/>
      <c r="ECA449" s="268"/>
      <c r="ECB449" s="268"/>
      <c r="ECC449" s="268"/>
      <c r="ECD449" s="268"/>
      <c r="ECE449" s="268"/>
      <c r="ECF449" s="268"/>
      <c r="ECG449" s="268"/>
      <c r="ECH449" s="268"/>
      <c r="ECI449" s="268"/>
      <c r="ECJ449" s="268"/>
      <c r="ECK449" s="268"/>
      <c r="ECL449" s="268"/>
      <c r="ECM449" s="268"/>
      <c r="ECN449" s="268"/>
      <c r="ECO449" s="268"/>
      <c r="ECP449" s="268"/>
      <c r="ECQ449" s="268"/>
      <c r="ECR449" s="268"/>
      <c r="ECS449" s="268"/>
      <c r="ECT449" s="268"/>
      <c r="ECU449" s="268"/>
      <c r="ECV449" s="268"/>
      <c r="ECW449" s="268"/>
      <c r="ECX449" s="268"/>
      <c r="ECY449" s="268"/>
      <c r="ECZ449" s="268"/>
      <c r="EDA449" s="268"/>
      <c r="EDB449" s="268"/>
      <c r="EDC449" s="268"/>
      <c r="EDD449" s="268"/>
      <c r="EDE449" s="268"/>
      <c r="EDF449" s="268"/>
      <c r="EDG449" s="268"/>
      <c r="EDH449" s="268"/>
      <c r="EDI449" s="268"/>
      <c r="EDJ449" s="268"/>
      <c r="EDK449" s="268"/>
      <c r="EDL449" s="268"/>
      <c r="EDM449" s="268"/>
      <c r="EDN449" s="268"/>
      <c r="EDO449" s="268"/>
      <c r="EDP449" s="268"/>
      <c r="EDQ449" s="268"/>
      <c r="EDR449" s="268"/>
      <c r="EDS449" s="268"/>
      <c r="EDT449" s="268"/>
      <c r="EDU449" s="268"/>
      <c r="EDV449" s="268"/>
      <c r="EDW449" s="268"/>
      <c r="EDX449" s="268"/>
      <c r="EDY449" s="268"/>
      <c r="EDZ449" s="268"/>
      <c r="EEA449" s="268"/>
      <c r="EEB449" s="268"/>
      <c r="EEC449" s="268"/>
      <c r="EED449" s="268"/>
      <c r="EEE449" s="268"/>
      <c r="EEF449" s="268"/>
      <c r="EEG449" s="268"/>
      <c r="EEH449" s="268"/>
      <c r="EEI449" s="268"/>
      <c r="EEJ449" s="268"/>
      <c r="EEK449" s="268"/>
      <c r="EEL449" s="268"/>
      <c r="EEM449" s="268"/>
      <c r="EEN449" s="268"/>
      <c r="EEO449" s="268"/>
      <c r="EEP449" s="268"/>
      <c r="EEQ449" s="268"/>
      <c r="EER449" s="268"/>
      <c r="EES449" s="268"/>
      <c r="EET449" s="268"/>
      <c r="EEU449" s="268"/>
      <c r="EEV449" s="268"/>
      <c r="EEW449" s="268"/>
      <c r="EEX449" s="268"/>
      <c r="EEY449" s="268"/>
      <c r="EEZ449" s="268"/>
      <c r="EFA449" s="268"/>
      <c r="EFB449" s="268"/>
      <c r="EFC449" s="268"/>
      <c r="EFD449" s="268"/>
      <c r="EFE449" s="268"/>
      <c r="EFF449" s="268"/>
      <c r="EFG449" s="268"/>
      <c r="EFH449" s="268"/>
      <c r="EFI449" s="268"/>
      <c r="EFJ449" s="268"/>
      <c r="EFK449" s="268"/>
      <c r="EFL449" s="268"/>
      <c r="EFM449" s="268"/>
      <c r="EFN449" s="268"/>
      <c r="EFO449" s="268"/>
      <c r="EFP449" s="268"/>
      <c r="EFQ449" s="268"/>
      <c r="EFR449" s="268"/>
      <c r="EFS449" s="268"/>
      <c r="EFT449" s="268"/>
      <c r="EFU449" s="268"/>
      <c r="EFV449" s="268"/>
      <c r="EFW449" s="268"/>
      <c r="EFX449" s="268"/>
      <c r="EFY449" s="268"/>
      <c r="EFZ449" s="268"/>
      <c r="EGA449" s="268"/>
      <c r="EGB449" s="268"/>
      <c r="EGC449" s="268"/>
      <c r="EGD449" s="268"/>
      <c r="EGE449" s="268"/>
      <c r="EGF449" s="268"/>
      <c r="EGG449" s="268"/>
      <c r="EGH449" s="268"/>
      <c r="EGI449" s="268"/>
      <c r="EGJ449" s="268"/>
      <c r="EGK449" s="268"/>
      <c r="EGL449" s="268"/>
      <c r="EGM449" s="268"/>
      <c r="EHA449" s="268"/>
      <c r="EHB449" s="268"/>
      <c r="EHC449" s="268"/>
      <c r="EHQ449" s="268"/>
      <c r="EHS449" s="268"/>
      <c r="EHT449" s="268"/>
      <c r="EHU449" s="268"/>
      <c r="EHV449" s="268"/>
      <c r="EHW449" s="268"/>
      <c r="EHX449" s="268"/>
      <c r="EHY449" s="268"/>
      <c r="EHZ449" s="268"/>
      <c r="EIA449" s="268"/>
      <c r="EIB449" s="268"/>
      <c r="EIC449" s="268"/>
      <c r="EID449" s="268"/>
      <c r="EIE449" s="268"/>
      <c r="EIF449" s="268"/>
      <c r="EIG449" s="268"/>
      <c r="EIH449" s="268"/>
      <c r="EII449" s="268"/>
      <c r="EIJ449" s="268"/>
      <c r="EIK449" s="268"/>
      <c r="EIL449" s="268"/>
      <c r="EIM449" s="268"/>
      <c r="EIN449" s="268"/>
      <c r="EIO449" s="268"/>
      <c r="EIP449" s="268"/>
      <c r="EIQ449" s="268"/>
      <c r="EIR449" s="268"/>
      <c r="EIS449" s="268"/>
      <c r="EIT449" s="268"/>
      <c r="EIU449" s="268"/>
      <c r="EIV449" s="268"/>
      <c r="EIW449" s="268"/>
      <c r="EIX449" s="268"/>
      <c r="EIY449" s="268"/>
      <c r="EIZ449" s="268"/>
      <c r="EJA449" s="268"/>
      <c r="EJB449" s="268"/>
      <c r="EJC449" s="268"/>
      <c r="EJD449" s="268"/>
      <c r="EJE449" s="268"/>
      <c r="EJF449" s="268"/>
      <c r="EJG449" s="268"/>
      <c r="EJH449" s="268"/>
      <c r="EJI449" s="268"/>
      <c r="EJJ449" s="268"/>
      <c r="EJK449" s="268"/>
      <c r="EJL449" s="268"/>
      <c r="EJM449" s="268"/>
      <c r="EJN449" s="268"/>
      <c r="EJO449" s="268"/>
      <c r="EJP449" s="268"/>
      <c r="EJQ449" s="268"/>
      <c r="EJR449" s="268"/>
      <c r="EJS449" s="268"/>
      <c r="EJT449" s="268"/>
      <c r="EJU449" s="268"/>
      <c r="EJV449" s="268"/>
      <c r="EJW449" s="268"/>
      <c r="EJX449" s="268"/>
      <c r="EJY449" s="268"/>
      <c r="EJZ449" s="268"/>
      <c r="EKA449" s="268"/>
      <c r="EKB449" s="268"/>
      <c r="EKC449" s="268"/>
      <c r="EKD449" s="268"/>
      <c r="EKE449" s="268"/>
      <c r="EKF449" s="268"/>
      <c r="EKG449" s="268"/>
      <c r="EKH449" s="268"/>
      <c r="EKI449" s="268"/>
      <c r="EKJ449" s="268"/>
      <c r="EKK449" s="268"/>
      <c r="EKL449" s="268"/>
      <c r="EKM449" s="268"/>
      <c r="EKN449" s="268"/>
      <c r="EKO449" s="268"/>
      <c r="EKP449" s="268"/>
      <c r="EKQ449" s="268"/>
      <c r="EKR449" s="268"/>
      <c r="EKS449" s="268"/>
      <c r="EKT449" s="268"/>
      <c r="EKU449" s="268"/>
      <c r="EKV449" s="268"/>
      <c r="EKW449" s="268"/>
      <c r="EKX449" s="268"/>
      <c r="EKY449" s="268"/>
      <c r="EKZ449" s="268"/>
      <c r="ELA449" s="268"/>
      <c r="ELB449" s="268"/>
      <c r="ELC449" s="268"/>
      <c r="ELD449" s="268"/>
      <c r="ELE449" s="268"/>
      <c r="ELF449" s="268"/>
      <c r="ELG449" s="268"/>
      <c r="ELH449" s="268"/>
      <c r="ELI449" s="268"/>
      <c r="ELJ449" s="268"/>
      <c r="ELK449" s="268"/>
      <c r="ELL449" s="268"/>
      <c r="ELM449" s="268"/>
      <c r="ELN449" s="268"/>
      <c r="ELO449" s="268"/>
      <c r="ELP449" s="268"/>
      <c r="ELQ449" s="268"/>
      <c r="ELR449" s="268"/>
      <c r="ELS449" s="268"/>
      <c r="ELT449" s="268"/>
      <c r="ELU449" s="268"/>
      <c r="ELV449" s="268"/>
      <c r="ELW449" s="268"/>
      <c r="ELX449" s="268"/>
      <c r="ELY449" s="268"/>
      <c r="ELZ449" s="268"/>
      <c r="EMA449" s="268"/>
      <c r="EMB449" s="268"/>
      <c r="EMC449" s="268"/>
      <c r="EMD449" s="268"/>
      <c r="EME449" s="268"/>
      <c r="EMF449" s="268"/>
      <c r="EMG449" s="268"/>
      <c r="EMH449" s="268"/>
      <c r="EMI449" s="268"/>
      <c r="EMJ449" s="268"/>
      <c r="EMK449" s="268"/>
      <c r="EML449" s="268"/>
      <c r="EMM449" s="268"/>
      <c r="EMN449" s="268"/>
      <c r="EMO449" s="268"/>
      <c r="EMP449" s="268"/>
      <c r="EMQ449" s="268"/>
      <c r="EMR449" s="268"/>
      <c r="EMS449" s="268"/>
      <c r="EMT449" s="268"/>
      <c r="EMU449" s="268"/>
      <c r="EMV449" s="268"/>
      <c r="EMW449" s="268"/>
      <c r="EMX449" s="268"/>
      <c r="EMY449" s="268"/>
      <c r="EMZ449" s="268"/>
      <c r="ENA449" s="268"/>
      <c r="ENB449" s="268"/>
      <c r="ENC449" s="268"/>
      <c r="END449" s="268"/>
      <c r="ENE449" s="268"/>
      <c r="ENF449" s="268"/>
      <c r="ENG449" s="268"/>
      <c r="ENH449" s="268"/>
      <c r="ENI449" s="268"/>
      <c r="ENJ449" s="268"/>
      <c r="ENK449" s="268"/>
      <c r="ENL449" s="268"/>
      <c r="ENM449" s="268"/>
      <c r="ENN449" s="268"/>
      <c r="ENO449" s="268"/>
      <c r="ENP449" s="268"/>
      <c r="ENQ449" s="268"/>
      <c r="ENR449" s="268"/>
      <c r="ENS449" s="268"/>
      <c r="ENT449" s="268"/>
      <c r="ENU449" s="268"/>
      <c r="ENV449" s="268"/>
      <c r="ENW449" s="268"/>
      <c r="ENX449" s="268"/>
      <c r="ENY449" s="268"/>
      <c r="ENZ449" s="268"/>
      <c r="EOA449" s="268"/>
      <c r="EOB449" s="268"/>
      <c r="EOC449" s="268"/>
      <c r="EOD449" s="268"/>
      <c r="EOE449" s="268"/>
      <c r="EOF449" s="268"/>
      <c r="EOG449" s="268"/>
      <c r="EOH449" s="268"/>
      <c r="EOI449" s="268"/>
      <c r="EOJ449" s="268"/>
      <c r="EOK449" s="268"/>
      <c r="EOL449" s="268"/>
      <c r="EOM449" s="268"/>
      <c r="EON449" s="268"/>
      <c r="EOO449" s="268"/>
      <c r="EOP449" s="268"/>
      <c r="EOQ449" s="268"/>
      <c r="EOR449" s="268"/>
      <c r="EOS449" s="268"/>
      <c r="EOT449" s="268"/>
      <c r="EOU449" s="268"/>
      <c r="EOV449" s="268"/>
      <c r="EOW449" s="268"/>
      <c r="EOX449" s="268"/>
      <c r="EOY449" s="268"/>
      <c r="EOZ449" s="268"/>
      <c r="EPA449" s="268"/>
      <c r="EPB449" s="268"/>
      <c r="EPC449" s="268"/>
      <c r="EPD449" s="268"/>
      <c r="EPE449" s="268"/>
      <c r="EPF449" s="268"/>
      <c r="EPG449" s="268"/>
      <c r="EPH449" s="268"/>
      <c r="EPI449" s="268"/>
      <c r="EPJ449" s="268"/>
      <c r="EPK449" s="268"/>
      <c r="EPL449" s="268"/>
      <c r="EPM449" s="268"/>
      <c r="EPN449" s="268"/>
      <c r="EPO449" s="268"/>
      <c r="EPP449" s="268"/>
      <c r="EPQ449" s="268"/>
      <c r="EPR449" s="268"/>
      <c r="EPS449" s="268"/>
      <c r="EPT449" s="268"/>
      <c r="EPU449" s="268"/>
      <c r="EPV449" s="268"/>
      <c r="EPW449" s="268"/>
      <c r="EPX449" s="268"/>
      <c r="EPY449" s="268"/>
      <c r="EPZ449" s="268"/>
      <c r="EQA449" s="268"/>
      <c r="EQB449" s="268"/>
      <c r="EQC449" s="268"/>
      <c r="EQD449" s="268"/>
      <c r="EQE449" s="268"/>
      <c r="EQF449" s="268"/>
      <c r="EQG449" s="268"/>
      <c r="EQH449" s="268"/>
      <c r="EQI449" s="268"/>
      <c r="EQW449" s="268"/>
      <c r="EQX449" s="268"/>
      <c r="EQY449" s="268"/>
      <c r="ERM449" s="268"/>
      <c r="ERO449" s="268"/>
      <c r="ERP449" s="268"/>
      <c r="ERQ449" s="268"/>
      <c r="ERR449" s="268"/>
      <c r="ERS449" s="268"/>
      <c r="ERT449" s="268"/>
      <c r="ERU449" s="268"/>
      <c r="ERV449" s="268"/>
      <c r="ERW449" s="268"/>
      <c r="ERX449" s="268"/>
      <c r="ERY449" s="268"/>
      <c r="ERZ449" s="268"/>
      <c r="ESA449" s="268"/>
      <c r="ESB449" s="268"/>
      <c r="ESC449" s="268"/>
      <c r="ESD449" s="268"/>
      <c r="ESE449" s="268"/>
      <c r="ESF449" s="268"/>
      <c r="ESG449" s="268"/>
      <c r="ESH449" s="268"/>
      <c r="ESI449" s="268"/>
      <c r="ESJ449" s="268"/>
      <c r="ESK449" s="268"/>
      <c r="ESL449" s="268"/>
      <c r="ESM449" s="268"/>
      <c r="ESN449" s="268"/>
      <c r="ESO449" s="268"/>
      <c r="ESP449" s="268"/>
      <c r="ESQ449" s="268"/>
      <c r="ESR449" s="268"/>
      <c r="ESS449" s="268"/>
      <c r="EST449" s="268"/>
      <c r="ESU449" s="268"/>
      <c r="ESV449" s="268"/>
      <c r="ESW449" s="268"/>
      <c r="ESX449" s="268"/>
      <c r="ESY449" s="268"/>
      <c r="ESZ449" s="268"/>
      <c r="ETA449" s="268"/>
      <c r="ETB449" s="268"/>
      <c r="ETC449" s="268"/>
      <c r="ETD449" s="268"/>
      <c r="ETE449" s="268"/>
      <c r="ETF449" s="268"/>
      <c r="ETG449" s="268"/>
      <c r="ETH449" s="268"/>
      <c r="ETI449" s="268"/>
      <c r="ETJ449" s="268"/>
      <c r="ETK449" s="268"/>
      <c r="ETL449" s="268"/>
      <c r="ETM449" s="268"/>
      <c r="ETN449" s="268"/>
      <c r="ETO449" s="268"/>
      <c r="ETP449" s="268"/>
      <c r="ETQ449" s="268"/>
      <c r="ETR449" s="268"/>
      <c r="ETS449" s="268"/>
      <c r="ETT449" s="268"/>
      <c r="ETU449" s="268"/>
      <c r="ETV449" s="268"/>
      <c r="ETW449" s="268"/>
      <c r="ETX449" s="268"/>
      <c r="ETY449" s="268"/>
      <c r="ETZ449" s="268"/>
      <c r="EUA449" s="268"/>
      <c r="EUB449" s="268"/>
      <c r="EUC449" s="268"/>
      <c r="EUD449" s="268"/>
      <c r="EUE449" s="268"/>
      <c r="EUF449" s="268"/>
      <c r="EUG449" s="268"/>
      <c r="EUH449" s="268"/>
      <c r="EUI449" s="268"/>
      <c r="EUJ449" s="268"/>
      <c r="EUK449" s="268"/>
      <c r="EUL449" s="268"/>
      <c r="EUM449" s="268"/>
      <c r="EUN449" s="268"/>
      <c r="EUO449" s="268"/>
      <c r="EUP449" s="268"/>
      <c r="EUQ449" s="268"/>
      <c r="EUR449" s="268"/>
      <c r="EUS449" s="268"/>
      <c r="EUT449" s="268"/>
      <c r="EUU449" s="268"/>
      <c r="EUV449" s="268"/>
      <c r="EUW449" s="268"/>
      <c r="EUX449" s="268"/>
      <c r="EUY449" s="268"/>
      <c r="EUZ449" s="268"/>
      <c r="EVA449" s="268"/>
      <c r="EVB449" s="268"/>
      <c r="EVC449" s="268"/>
      <c r="EVD449" s="268"/>
      <c r="EVE449" s="268"/>
      <c r="EVF449" s="268"/>
      <c r="EVG449" s="268"/>
      <c r="EVH449" s="268"/>
      <c r="EVI449" s="268"/>
      <c r="EVJ449" s="268"/>
      <c r="EVK449" s="268"/>
      <c r="EVL449" s="268"/>
      <c r="EVM449" s="268"/>
      <c r="EVN449" s="268"/>
      <c r="EVO449" s="268"/>
      <c r="EVP449" s="268"/>
      <c r="EVQ449" s="268"/>
      <c r="EVR449" s="268"/>
      <c r="EVS449" s="268"/>
      <c r="EVT449" s="268"/>
      <c r="EVU449" s="268"/>
      <c r="EVV449" s="268"/>
      <c r="EVW449" s="268"/>
      <c r="EVX449" s="268"/>
      <c r="EVY449" s="268"/>
      <c r="EVZ449" s="268"/>
      <c r="EWA449" s="268"/>
      <c r="EWB449" s="268"/>
      <c r="EWC449" s="268"/>
      <c r="EWD449" s="268"/>
      <c r="EWE449" s="268"/>
      <c r="EWF449" s="268"/>
      <c r="EWG449" s="268"/>
      <c r="EWH449" s="268"/>
      <c r="EWI449" s="268"/>
      <c r="EWJ449" s="268"/>
      <c r="EWK449" s="268"/>
      <c r="EWL449" s="268"/>
      <c r="EWM449" s="268"/>
      <c r="EWN449" s="268"/>
      <c r="EWO449" s="268"/>
      <c r="EWP449" s="268"/>
      <c r="EWQ449" s="268"/>
      <c r="EWR449" s="268"/>
      <c r="EWS449" s="268"/>
      <c r="EWT449" s="268"/>
      <c r="EWU449" s="268"/>
      <c r="EWV449" s="268"/>
      <c r="EWW449" s="268"/>
      <c r="EWX449" s="268"/>
      <c r="EWY449" s="268"/>
      <c r="EWZ449" s="268"/>
      <c r="EXA449" s="268"/>
      <c r="EXB449" s="268"/>
      <c r="EXC449" s="268"/>
      <c r="EXD449" s="268"/>
      <c r="EXE449" s="268"/>
      <c r="EXF449" s="268"/>
      <c r="EXG449" s="268"/>
      <c r="EXH449" s="268"/>
      <c r="EXI449" s="268"/>
      <c r="EXJ449" s="268"/>
      <c r="EXK449" s="268"/>
      <c r="EXL449" s="268"/>
      <c r="EXM449" s="268"/>
      <c r="EXN449" s="268"/>
      <c r="EXO449" s="268"/>
      <c r="EXP449" s="268"/>
      <c r="EXQ449" s="268"/>
      <c r="EXR449" s="268"/>
      <c r="EXS449" s="268"/>
      <c r="EXT449" s="268"/>
      <c r="EXU449" s="268"/>
      <c r="EXV449" s="268"/>
      <c r="EXW449" s="268"/>
      <c r="EXX449" s="268"/>
      <c r="EXY449" s="268"/>
      <c r="EXZ449" s="268"/>
      <c r="EYA449" s="268"/>
      <c r="EYB449" s="268"/>
      <c r="EYC449" s="268"/>
      <c r="EYD449" s="268"/>
      <c r="EYE449" s="268"/>
      <c r="EYF449" s="268"/>
      <c r="EYG449" s="268"/>
      <c r="EYH449" s="268"/>
      <c r="EYI449" s="268"/>
      <c r="EYJ449" s="268"/>
      <c r="EYK449" s="268"/>
      <c r="EYL449" s="268"/>
      <c r="EYM449" s="268"/>
      <c r="EYN449" s="268"/>
      <c r="EYO449" s="268"/>
      <c r="EYP449" s="268"/>
      <c r="EYQ449" s="268"/>
      <c r="EYR449" s="268"/>
      <c r="EYS449" s="268"/>
      <c r="EYT449" s="268"/>
      <c r="EYU449" s="268"/>
      <c r="EYV449" s="268"/>
      <c r="EYW449" s="268"/>
      <c r="EYX449" s="268"/>
      <c r="EYY449" s="268"/>
      <c r="EYZ449" s="268"/>
      <c r="EZA449" s="268"/>
      <c r="EZB449" s="268"/>
      <c r="EZC449" s="268"/>
      <c r="EZD449" s="268"/>
      <c r="EZE449" s="268"/>
      <c r="EZF449" s="268"/>
      <c r="EZG449" s="268"/>
      <c r="EZH449" s="268"/>
      <c r="EZI449" s="268"/>
      <c r="EZJ449" s="268"/>
      <c r="EZK449" s="268"/>
      <c r="EZL449" s="268"/>
      <c r="EZM449" s="268"/>
      <c r="EZN449" s="268"/>
      <c r="EZO449" s="268"/>
      <c r="EZP449" s="268"/>
      <c r="EZQ449" s="268"/>
      <c r="EZR449" s="268"/>
      <c r="EZS449" s="268"/>
      <c r="EZT449" s="268"/>
      <c r="EZU449" s="268"/>
      <c r="EZV449" s="268"/>
      <c r="EZW449" s="268"/>
      <c r="EZX449" s="268"/>
      <c r="EZY449" s="268"/>
      <c r="EZZ449" s="268"/>
      <c r="FAA449" s="268"/>
      <c r="FAB449" s="268"/>
      <c r="FAC449" s="268"/>
      <c r="FAD449" s="268"/>
      <c r="FAE449" s="268"/>
      <c r="FAS449" s="268"/>
      <c r="FAT449" s="268"/>
      <c r="FAU449" s="268"/>
      <c r="FBI449" s="268"/>
      <c r="FBK449" s="268"/>
      <c r="FBL449" s="268"/>
      <c r="FBM449" s="268"/>
      <c r="FBN449" s="268"/>
      <c r="FBO449" s="268"/>
      <c r="FBP449" s="268"/>
      <c r="FBQ449" s="268"/>
      <c r="FBR449" s="268"/>
      <c r="FBS449" s="268"/>
      <c r="FBT449" s="268"/>
      <c r="FBU449" s="268"/>
      <c r="FBV449" s="268"/>
      <c r="FBW449" s="268"/>
      <c r="FBX449" s="268"/>
      <c r="FBY449" s="268"/>
      <c r="FBZ449" s="268"/>
      <c r="FCA449" s="268"/>
      <c r="FCB449" s="268"/>
      <c r="FCC449" s="268"/>
      <c r="FCD449" s="268"/>
      <c r="FCE449" s="268"/>
      <c r="FCF449" s="268"/>
      <c r="FCG449" s="268"/>
      <c r="FCH449" s="268"/>
      <c r="FCI449" s="268"/>
      <c r="FCJ449" s="268"/>
      <c r="FCK449" s="268"/>
      <c r="FCL449" s="268"/>
      <c r="FCM449" s="268"/>
      <c r="FCN449" s="268"/>
      <c r="FCO449" s="268"/>
      <c r="FCP449" s="268"/>
      <c r="FCQ449" s="268"/>
      <c r="FCR449" s="268"/>
      <c r="FCS449" s="268"/>
      <c r="FCT449" s="268"/>
      <c r="FCU449" s="268"/>
      <c r="FCV449" s="268"/>
      <c r="FCW449" s="268"/>
      <c r="FCX449" s="268"/>
      <c r="FCY449" s="268"/>
      <c r="FCZ449" s="268"/>
      <c r="FDA449" s="268"/>
      <c r="FDB449" s="268"/>
      <c r="FDC449" s="268"/>
      <c r="FDD449" s="268"/>
      <c r="FDE449" s="268"/>
      <c r="FDF449" s="268"/>
      <c r="FDG449" s="268"/>
      <c r="FDH449" s="268"/>
      <c r="FDI449" s="268"/>
      <c r="FDJ449" s="268"/>
      <c r="FDK449" s="268"/>
      <c r="FDL449" s="268"/>
      <c r="FDM449" s="268"/>
      <c r="FDN449" s="268"/>
      <c r="FDO449" s="268"/>
      <c r="FDP449" s="268"/>
      <c r="FDQ449" s="268"/>
      <c r="FDR449" s="268"/>
      <c r="FDS449" s="268"/>
      <c r="FDT449" s="268"/>
      <c r="FDU449" s="268"/>
      <c r="FDV449" s="268"/>
      <c r="FDW449" s="268"/>
      <c r="FDX449" s="268"/>
      <c r="FDY449" s="268"/>
      <c r="FDZ449" s="268"/>
      <c r="FEA449" s="268"/>
      <c r="FEB449" s="268"/>
      <c r="FEC449" s="268"/>
      <c r="FED449" s="268"/>
      <c r="FEE449" s="268"/>
      <c r="FEF449" s="268"/>
      <c r="FEG449" s="268"/>
      <c r="FEH449" s="268"/>
      <c r="FEI449" s="268"/>
      <c r="FEJ449" s="268"/>
      <c r="FEK449" s="268"/>
      <c r="FEL449" s="268"/>
      <c r="FEM449" s="268"/>
      <c r="FEN449" s="268"/>
      <c r="FEO449" s="268"/>
      <c r="FEP449" s="268"/>
      <c r="FEQ449" s="268"/>
      <c r="FER449" s="268"/>
      <c r="FES449" s="268"/>
      <c r="FET449" s="268"/>
      <c r="FEU449" s="268"/>
      <c r="FEV449" s="268"/>
      <c r="FEW449" s="268"/>
      <c r="FEX449" s="268"/>
      <c r="FEY449" s="268"/>
      <c r="FEZ449" s="268"/>
      <c r="FFA449" s="268"/>
      <c r="FFB449" s="268"/>
      <c r="FFC449" s="268"/>
      <c r="FFD449" s="268"/>
      <c r="FFE449" s="268"/>
      <c r="FFF449" s="268"/>
      <c r="FFG449" s="268"/>
      <c r="FFH449" s="268"/>
      <c r="FFI449" s="268"/>
      <c r="FFJ449" s="268"/>
      <c r="FFK449" s="268"/>
      <c r="FFL449" s="268"/>
      <c r="FFM449" s="268"/>
      <c r="FFN449" s="268"/>
      <c r="FFO449" s="268"/>
      <c r="FFP449" s="268"/>
      <c r="FFQ449" s="268"/>
      <c r="FFR449" s="268"/>
      <c r="FFS449" s="268"/>
      <c r="FFT449" s="268"/>
      <c r="FFU449" s="268"/>
      <c r="FFV449" s="268"/>
      <c r="FFW449" s="268"/>
      <c r="FFX449" s="268"/>
      <c r="FFY449" s="268"/>
      <c r="FFZ449" s="268"/>
      <c r="FGA449" s="268"/>
      <c r="FGB449" s="268"/>
      <c r="FGC449" s="268"/>
      <c r="FGD449" s="268"/>
      <c r="FGE449" s="268"/>
      <c r="FGF449" s="268"/>
      <c r="FGG449" s="268"/>
      <c r="FGH449" s="268"/>
      <c r="FGI449" s="268"/>
      <c r="FGJ449" s="268"/>
      <c r="FGK449" s="268"/>
      <c r="FGL449" s="268"/>
      <c r="FGM449" s="268"/>
      <c r="FGN449" s="268"/>
      <c r="FGO449" s="268"/>
      <c r="FGP449" s="268"/>
      <c r="FGQ449" s="268"/>
      <c r="FGR449" s="268"/>
      <c r="FGS449" s="268"/>
      <c r="FGT449" s="268"/>
      <c r="FGU449" s="268"/>
      <c r="FGV449" s="268"/>
      <c r="FGW449" s="268"/>
      <c r="FGX449" s="268"/>
      <c r="FGY449" s="268"/>
      <c r="FGZ449" s="268"/>
      <c r="FHA449" s="268"/>
      <c r="FHB449" s="268"/>
      <c r="FHC449" s="268"/>
      <c r="FHD449" s="268"/>
      <c r="FHE449" s="268"/>
      <c r="FHF449" s="268"/>
      <c r="FHG449" s="268"/>
      <c r="FHH449" s="268"/>
      <c r="FHI449" s="268"/>
      <c r="FHJ449" s="268"/>
      <c r="FHK449" s="268"/>
      <c r="FHL449" s="268"/>
      <c r="FHM449" s="268"/>
      <c r="FHN449" s="268"/>
      <c r="FHO449" s="268"/>
      <c r="FHP449" s="268"/>
      <c r="FHQ449" s="268"/>
      <c r="FHR449" s="268"/>
      <c r="FHS449" s="268"/>
      <c r="FHT449" s="268"/>
      <c r="FHU449" s="268"/>
      <c r="FHV449" s="268"/>
      <c r="FHW449" s="268"/>
      <c r="FHX449" s="268"/>
      <c r="FHY449" s="268"/>
      <c r="FHZ449" s="268"/>
      <c r="FIA449" s="268"/>
      <c r="FIB449" s="268"/>
      <c r="FIC449" s="268"/>
      <c r="FID449" s="268"/>
      <c r="FIE449" s="268"/>
      <c r="FIF449" s="268"/>
      <c r="FIG449" s="268"/>
      <c r="FIH449" s="268"/>
      <c r="FII449" s="268"/>
      <c r="FIJ449" s="268"/>
      <c r="FIK449" s="268"/>
      <c r="FIL449" s="268"/>
      <c r="FIM449" s="268"/>
      <c r="FIN449" s="268"/>
      <c r="FIO449" s="268"/>
      <c r="FIP449" s="268"/>
      <c r="FIQ449" s="268"/>
      <c r="FIR449" s="268"/>
      <c r="FIS449" s="268"/>
      <c r="FIT449" s="268"/>
      <c r="FIU449" s="268"/>
      <c r="FIV449" s="268"/>
      <c r="FIW449" s="268"/>
      <c r="FIX449" s="268"/>
      <c r="FIY449" s="268"/>
      <c r="FIZ449" s="268"/>
      <c r="FJA449" s="268"/>
      <c r="FJB449" s="268"/>
      <c r="FJC449" s="268"/>
      <c r="FJD449" s="268"/>
      <c r="FJE449" s="268"/>
      <c r="FJF449" s="268"/>
      <c r="FJG449" s="268"/>
      <c r="FJH449" s="268"/>
      <c r="FJI449" s="268"/>
      <c r="FJJ449" s="268"/>
      <c r="FJK449" s="268"/>
      <c r="FJL449" s="268"/>
      <c r="FJM449" s="268"/>
      <c r="FJN449" s="268"/>
      <c r="FJO449" s="268"/>
      <c r="FJP449" s="268"/>
      <c r="FJQ449" s="268"/>
      <c r="FJR449" s="268"/>
      <c r="FJS449" s="268"/>
      <c r="FJT449" s="268"/>
      <c r="FJU449" s="268"/>
      <c r="FJV449" s="268"/>
      <c r="FJW449" s="268"/>
      <c r="FJX449" s="268"/>
      <c r="FJY449" s="268"/>
      <c r="FJZ449" s="268"/>
      <c r="FKA449" s="268"/>
      <c r="FKO449" s="268"/>
      <c r="FKP449" s="268"/>
      <c r="FKQ449" s="268"/>
      <c r="FLE449" s="268"/>
      <c r="FLG449" s="268"/>
      <c r="FLH449" s="268"/>
      <c r="FLI449" s="268"/>
      <c r="FLJ449" s="268"/>
      <c r="FLK449" s="268"/>
      <c r="FLL449" s="268"/>
      <c r="FLM449" s="268"/>
      <c r="FLN449" s="268"/>
      <c r="FLO449" s="268"/>
      <c r="FLP449" s="268"/>
      <c r="FLQ449" s="268"/>
      <c r="FLR449" s="268"/>
      <c r="FLS449" s="268"/>
      <c r="FLT449" s="268"/>
      <c r="FLU449" s="268"/>
      <c r="FLV449" s="268"/>
      <c r="FLW449" s="268"/>
      <c r="FLX449" s="268"/>
      <c r="FLY449" s="268"/>
      <c r="FLZ449" s="268"/>
      <c r="FMA449" s="268"/>
      <c r="FMB449" s="268"/>
      <c r="FMC449" s="268"/>
      <c r="FMD449" s="268"/>
      <c r="FME449" s="268"/>
      <c r="FMF449" s="268"/>
      <c r="FMG449" s="268"/>
      <c r="FMH449" s="268"/>
      <c r="FMI449" s="268"/>
      <c r="FMJ449" s="268"/>
      <c r="FMK449" s="268"/>
      <c r="FML449" s="268"/>
      <c r="FMM449" s="268"/>
      <c r="FMN449" s="268"/>
      <c r="FMO449" s="268"/>
      <c r="FMP449" s="268"/>
      <c r="FMQ449" s="268"/>
      <c r="FMR449" s="268"/>
      <c r="FMS449" s="268"/>
      <c r="FMT449" s="268"/>
      <c r="FMU449" s="268"/>
      <c r="FMV449" s="268"/>
      <c r="FMW449" s="268"/>
      <c r="FMX449" s="268"/>
      <c r="FMY449" s="268"/>
      <c r="FMZ449" s="268"/>
      <c r="FNA449" s="268"/>
      <c r="FNB449" s="268"/>
      <c r="FNC449" s="268"/>
      <c r="FND449" s="268"/>
      <c r="FNE449" s="268"/>
      <c r="FNF449" s="268"/>
      <c r="FNG449" s="268"/>
      <c r="FNH449" s="268"/>
      <c r="FNI449" s="268"/>
      <c r="FNJ449" s="268"/>
      <c r="FNK449" s="268"/>
      <c r="FNL449" s="268"/>
      <c r="FNM449" s="268"/>
      <c r="FNN449" s="268"/>
      <c r="FNO449" s="268"/>
      <c r="FNP449" s="268"/>
      <c r="FNQ449" s="268"/>
      <c r="FNR449" s="268"/>
      <c r="FNS449" s="268"/>
      <c r="FNT449" s="268"/>
      <c r="FNU449" s="268"/>
      <c r="FNV449" s="268"/>
      <c r="FNW449" s="268"/>
      <c r="FNX449" s="268"/>
      <c r="FNY449" s="268"/>
      <c r="FNZ449" s="268"/>
      <c r="FOA449" s="268"/>
      <c r="FOB449" s="268"/>
      <c r="FOC449" s="268"/>
      <c r="FOD449" s="268"/>
      <c r="FOE449" s="268"/>
      <c r="FOF449" s="268"/>
      <c r="FOG449" s="268"/>
      <c r="FOH449" s="268"/>
      <c r="FOI449" s="268"/>
      <c r="FOJ449" s="268"/>
      <c r="FOK449" s="268"/>
      <c r="FOL449" s="268"/>
      <c r="FOM449" s="268"/>
      <c r="FON449" s="268"/>
      <c r="FOO449" s="268"/>
      <c r="FOP449" s="268"/>
      <c r="FOQ449" s="268"/>
      <c r="FOR449" s="268"/>
      <c r="FOS449" s="268"/>
      <c r="FOT449" s="268"/>
      <c r="FOU449" s="268"/>
      <c r="FOV449" s="268"/>
      <c r="FOW449" s="268"/>
      <c r="FOX449" s="268"/>
      <c r="FOY449" s="268"/>
      <c r="FOZ449" s="268"/>
      <c r="FPA449" s="268"/>
      <c r="FPB449" s="268"/>
      <c r="FPC449" s="268"/>
      <c r="FPD449" s="268"/>
      <c r="FPE449" s="268"/>
      <c r="FPF449" s="268"/>
      <c r="FPG449" s="268"/>
      <c r="FPH449" s="268"/>
      <c r="FPI449" s="268"/>
      <c r="FPJ449" s="268"/>
      <c r="FPK449" s="268"/>
      <c r="FPL449" s="268"/>
      <c r="FPM449" s="268"/>
      <c r="FPN449" s="268"/>
      <c r="FPO449" s="268"/>
      <c r="FPP449" s="268"/>
      <c r="FPQ449" s="268"/>
      <c r="FPR449" s="268"/>
      <c r="FPS449" s="268"/>
      <c r="FPT449" s="268"/>
      <c r="FPU449" s="268"/>
      <c r="FPV449" s="268"/>
      <c r="FPW449" s="268"/>
      <c r="FPX449" s="268"/>
      <c r="FPY449" s="268"/>
      <c r="FPZ449" s="268"/>
      <c r="FQA449" s="268"/>
      <c r="FQB449" s="268"/>
      <c r="FQC449" s="268"/>
      <c r="FQD449" s="268"/>
      <c r="FQE449" s="268"/>
      <c r="FQF449" s="268"/>
      <c r="FQG449" s="268"/>
      <c r="FQH449" s="268"/>
      <c r="FQI449" s="268"/>
      <c r="FQJ449" s="268"/>
      <c r="FQK449" s="268"/>
      <c r="FQL449" s="268"/>
      <c r="FQM449" s="268"/>
      <c r="FQN449" s="268"/>
      <c r="FQO449" s="268"/>
      <c r="FQP449" s="268"/>
      <c r="FQQ449" s="268"/>
      <c r="FQR449" s="268"/>
      <c r="FQS449" s="268"/>
      <c r="FQT449" s="268"/>
      <c r="FQU449" s="268"/>
      <c r="FQV449" s="268"/>
      <c r="FQW449" s="268"/>
      <c r="FQX449" s="268"/>
      <c r="FQY449" s="268"/>
      <c r="FQZ449" s="268"/>
      <c r="FRA449" s="268"/>
      <c r="FRB449" s="268"/>
      <c r="FRC449" s="268"/>
      <c r="FRD449" s="268"/>
      <c r="FRE449" s="268"/>
      <c r="FRF449" s="268"/>
      <c r="FRG449" s="268"/>
      <c r="FRH449" s="268"/>
      <c r="FRI449" s="268"/>
      <c r="FRJ449" s="268"/>
      <c r="FRK449" s="268"/>
      <c r="FRL449" s="268"/>
      <c r="FRM449" s="268"/>
      <c r="FRN449" s="268"/>
      <c r="FRO449" s="268"/>
      <c r="FRP449" s="268"/>
      <c r="FRQ449" s="268"/>
      <c r="FRR449" s="268"/>
      <c r="FRS449" s="268"/>
      <c r="FRT449" s="268"/>
      <c r="FRU449" s="268"/>
      <c r="FRV449" s="268"/>
      <c r="FRW449" s="268"/>
      <c r="FRX449" s="268"/>
      <c r="FRY449" s="268"/>
      <c r="FRZ449" s="268"/>
      <c r="FSA449" s="268"/>
      <c r="FSB449" s="268"/>
      <c r="FSC449" s="268"/>
      <c r="FSD449" s="268"/>
      <c r="FSE449" s="268"/>
      <c r="FSF449" s="268"/>
      <c r="FSG449" s="268"/>
      <c r="FSH449" s="268"/>
      <c r="FSI449" s="268"/>
      <c r="FSJ449" s="268"/>
      <c r="FSK449" s="268"/>
      <c r="FSL449" s="268"/>
      <c r="FSM449" s="268"/>
      <c r="FSN449" s="268"/>
      <c r="FSO449" s="268"/>
      <c r="FSP449" s="268"/>
      <c r="FSQ449" s="268"/>
      <c r="FSR449" s="268"/>
      <c r="FSS449" s="268"/>
      <c r="FST449" s="268"/>
      <c r="FSU449" s="268"/>
      <c r="FSV449" s="268"/>
      <c r="FSW449" s="268"/>
      <c r="FSX449" s="268"/>
      <c r="FSY449" s="268"/>
      <c r="FSZ449" s="268"/>
      <c r="FTA449" s="268"/>
      <c r="FTB449" s="268"/>
      <c r="FTC449" s="268"/>
      <c r="FTD449" s="268"/>
      <c r="FTE449" s="268"/>
      <c r="FTF449" s="268"/>
      <c r="FTG449" s="268"/>
      <c r="FTH449" s="268"/>
      <c r="FTI449" s="268"/>
      <c r="FTJ449" s="268"/>
      <c r="FTK449" s="268"/>
      <c r="FTL449" s="268"/>
      <c r="FTM449" s="268"/>
      <c r="FTN449" s="268"/>
      <c r="FTO449" s="268"/>
      <c r="FTP449" s="268"/>
      <c r="FTQ449" s="268"/>
      <c r="FTR449" s="268"/>
      <c r="FTS449" s="268"/>
      <c r="FTT449" s="268"/>
      <c r="FTU449" s="268"/>
      <c r="FTV449" s="268"/>
      <c r="FTW449" s="268"/>
      <c r="FUK449" s="268"/>
      <c r="FUL449" s="268"/>
      <c r="FUM449" s="268"/>
      <c r="FVA449" s="268"/>
      <c r="FVC449" s="268"/>
      <c r="FVD449" s="268"/>
      <c r="FVE449" s="268"/>
      <c r="FVF449" s="268"/>
      <c r="FVG449" s="268"/>
      <c r="FVH449" s="268"/>
      <c r="FVI449" s="268"/>
      <c r="FVJ449" s="268"/>
      <c r="FVK449" s="268"/>
      <c r="FVL449" s="268"/>
      <c r="FVM449" s="268"/>
      <c r="FVN449" s="268"/>
      <c r="FVO449" s="268"/>
      <c r="FVP449" s="268"/>
      <c r="FVQ449" s="268"/>
      <c r="FVR449" s="268"/>
      <c r="FVS449" s="268"/>
      <c r="FVT449" s="268"/>
      <c r="FVU449" s="268"/>
      <c r="FVV449" s="268"/>
      <c r="FVW449" s="268"/>
      <c r="FVX449" s="268"/>
      <c r="FVY449" s="268"/>
      <c r="FVZ449" s="268"/>
      <c r="FWA449" s="268"/>
      <c r="FWB449" s="268"/>
      <c r="FWC449" s="268"/>
      <c r="FWD449" s="268"/>
      <c r="FWE449" s="268"/>
      <c r="FWF449" s="268"/>
      <c r="FWG449" s="268"/>
      <c r="FWH449" s="268"/>
      <c r="FWI449" s="268"/>
      <c r="FWJ449" s="268"/>
      <c r="FWK449" s="268"/>
      <c r="FWL449" s="268"/>
      <c r="FWM449" s="268"/>
      <c r="FWN449" s="268"/>
      <c r="FWO449" s="268"/>
      <c r="FWP449" s="268"/>
      <c r="FWQ449" s="268"/>
      <c r="FWR449" s="268"/>
      <c r="FWS449" s="268"/>
      <c r="FWT449" s="268"/>
      <c r="FWU449" s="268"/>
      <c r="FWV449" s="268"/>
      <c r="FWW449" s="268"/>
      <c r="FWX449" s="268"/>
      <c r="FWY449" s="268"/>
      <c r="FWZ449" s="268"/>
      <c r="FXA449" s="268"/>
      <c r="FXB449" s="268"/>
      <c r="FXC449" s="268"/>
      <c r="FXD449" s="268"/>
      <c r="FXE449" s="268"/>
      <c r="FXF449" s="268"/>
      <c r="FXG449" s="268"/>
      <c r="FXH449" s="268"/>
      <c r="FXI449" s="268"/>
      <c r="FXJ449" s="268"/>
      <c r="FXK449" s="268"/>
      <c r="FXL449" s="268"/>
      <c r="FXM449" s="268"/>
      <c r="FXN449" s="268"/>
      <c r="FXO449" s="268"/>
      <c r="FXP449" s="268"/>
      <c r="FXQ449" s="268"/>
      <c r="FXR449" s="268"/>
      <c r="FXS449" s="268"/>
      <c r="FXT449" s="268"/>
      <c r="FXU449" s="268"/>
      <c r="FXV449" s="268"/>
      <c r="FXW449" s="268"/>
      <c r="FXX449" s="268"/>
      <c r="FXY449" s="268"/>
      <c r="FXZ449" s="268"/>
      <c r="FYA449" s="268"/>
      <c r="FYB449" s="268"/>
      <c r="FYC449" s="268"/>
      <c r="FYD449" s="268"/>
      <c r="FYE449" s="268"/>
      <c r="FYF449" s="268"/>
      <c r="FYG449" s="268"/>
      <c r="FYH449" s="268"/>
      <c r="FYI449" s="268"/>
      <c r="FYJ449" s="268"/>
      <c r="FYK449" s="268"/>
      <c r="FYL449" s="268"/>
      <c r="FYM449" s="268"/>
      <c r="FYN449" s="268"/>
      <c r="FYO449" s="268"/>
      <c r="FYP449" s="268"/>
      <c r="FYQ449" s="268"/>
      <c r="FYR449" s="268"/>
      <c r="FYS449" s="268"/>
      <c r="FYT449" s="268"/>
      <c r="FYU449" s="268"/>
      <c r="FYV449" s="268"/>
      <c r="FYW449" s="268"/>
      <c r="FYX449" s="268"/>
      <c r="FYY449" s="268"/>
      <c r="FYZ449" s="268"/>
      <c r="FZA449" s="268"/>
      <c r="FZB449" s="268"/>
      <c r="FZC449" s="268"/>
      <c r="FZD449" s="268"/>
      <c r="FZE449" s="268"/>
      <c r="FZF449" s="268"/>
      <c r="FZG449" s="268"/>
      <c r="FZH449" s="268"/>
      <c r="FZI449" s="268"/>
      <c r="FZJ449" s="268"/>
      <c r="FZK449" s="268"/>
      <c r="FZL449" s="268"/>
      <c r="FZM449" s="268"/>
      <c r="FZN449" s="268"/>
      <c r="FZO449" s="268"/>
      <c r="FZP449" s="268"/>
      <c r="FZQ449" s="268"/>
      <c r="FZR449" s="268"/>
      <c r="FZS449" s="268"/>
      <c r="FZT449" s="268"/>
      <c r="FZU449" s="268"/>
      <c r="FZV449" s="268"/>
      <c r="FZW449" s="268"/>
      <c r="FZX449" s="268"/>
      <c r="FZY449" s="268"/>
      <c r="FZZ449" s="268"/>
      <c r="GAA449" s="268"/>
      <c r="GAB449" s="268"/>
      <c r="GAC449" s="268"/>
      <c r="GAD449" s="268"/>
      <c r="GAE449" s="268"/>
      <c r="GAF449" s="268"/>
      <c r="GAG449" s="268"/>
      <c r="GAH449" s="268"/>
      <c r="GAI449" s="268"/>
      <c r="GAJ449" s="268"/>
      <c r="GAK449" s="268"/>
      <c r="GAL449" s="268"/>
      <c r="GAM449" s="268"/>
      <c r="GAN449" s="268"/>
      <c r="GAO449" s="268"/>
      <c r="GAP449" s="268"/>
      <c r="GAQ449" s="268"/>
      <c r="GAR449" s="268"/>
      <c r="GAS449" s="268"/>
      <c r="GAT449" s="268"/>
      <c r="GAU449" s="268"/>
      <c r="GAV449" s="268"/>
      <c r="GAW449" s="268"/>
      <c r="GAX449" s="268"/>
      <c r="GAY449" s="268"/>
      <c r="GAZ449" s="268"/>
      <c r="GBA449" s="268"/>
      <c r="GBB449" s="268"/>
      <c r="GBC449" s="268"/>
      <c r="GBD449" s="268"/>
      <c r="GBE449" s="268"/>
      <c r="GBF449" s="268"/>
      <c r="GBG449" s="268"/>
      <c r="GBH449" s="268"/>
      <c r="GBI449" s="268"/>
      <c r="GBJ449" s="268"/>
      <c r="GBK449" s="268"/>
      <c r="GBL449" s="268"/>
      <c r="GBM449" s="268"/>
      <c r="GBN449" s="268"/>
      <c r="GBO449" s="268"/>
      <c r="GBP449" s="268"/>
      <c r="GBQ449" s="268"/>
      <c r="GBR449" s="268"/>
      <c r="GBS449" s="268"/>
      <c r="GBT449" s="268"/>
      <c r="GBU449" s="268"/>
      <c r="GBV449" s="268"/>
      <c r="GBW449" s="268"/>
      <c r="GBX449" s="268"/>
      <c r="GBY449" s="268"/>
      <c r="GBZ449" s="268"/>
      <c r="GCA449" s="268"/>
      <c r="GCB449" s="268"/>
      <c r="GCC449" s="268"/>
      <c r="GCD449" s="268"/>
      <c r="GCE449" s="268"/>
      <c r="GCF449" s="268"/>
      <c r="GCG449" s="268"/>
      <c r="GCH449" s="268"/>
      <c r="GCI449" s="268"/>
      <c r="GCJ449" s="268"/>
      <c r="GCK449" s="268"/>
      <c r="GCL449" s="268"/>
      <c r="GCM449" s="268"/>
      <c r="GCN449" s="268"/>
      <c r="GCO449" s="268"/>
      <c r="GCP449" s="268"/>
      <c r="GCQ449" s="268"/>
      <c r="GCR449" s="268"/>
      <c r="GCS449" s="268"/>
      <c r="GCT449" s="268"/>
      <c r="GCU449" s="268"/>
      <c r="GCV449" s="268"/>
      <c r="GCW449" s="268"/>
      <c r="GCX449" s="268"/>
      <c r="GCY449" s="268"/>
      <c r="GCZ449" s="268"/>
      <c r="GDA449" s="268"/>
      <c r="GDB449" s="268"/>
      <c r="GDC449" s="268"/>
      <c r="GDD449" s="268"/>
      <c r="GDE449" s="268"/>
      <c r="GDF449" s="268"/>
      <c r="GDG449" s="268"/>
      <c r="GDH449" s="268"/>
      <c r="GDI449" s="268"/>
      <c r="GDJ449" s="268"/>
      <c r="GDK449" s="268"/>
      <c r="GDL449" s="268"/>
      <c r="GDM449" s="268"/>
      <c r="GDN449" s="268"/>
      <c r="GDO449" s="268"/>
      <c r="GDP449" s="268"/>
      <c r="GDQ449" s="268"/>
      <c r="GDR449" s="268"/>
      <c r="GDS449" s="268"/>
      <c r="GEG449" s="268"/>
      <c r="GEH449" s="268"/>
      <c r="GEI449" s="268"/>
      <c r="GEW449" s="268"/>
      <c r="GEY449" s="268"/>
      <c r="GEZ449" s="268"/>
      <c r="GFA449" s="268"/>
      <c r="GFB449" s="268"/>
      <c r="GFC449" s="268"/>
      <c r="GFD449" s="268"/>
      <c r="GFE449" s="268"/>
      <c r="GFF449" s="268"/>
      <c r="GFG449" s="268"/>
      <c r="GFH449" s="268"/>
      <c r="GFI449" s="268"/>
      <c r="GFJ449" s="268"/>
      <c r="GFK449" s="268"/>
      <c r="GFL449" s="268"/>
      <c r="GFM449" s="268"/>
      <c r="GFN449" s="268"/>
      <c r="GFO449" s="268"/>
      <c r="GFP449" s="268"/>
      <c r="GFQ449" s="268"/>
      <c r="GFR449" s="268"/>
      <c r="GFS449" s="268"/>
      <c r="GFT449" s="268"/>
      <c r="GFU449" s="268"/>
      <c r="GFV449" s="268"/>
      <c r="GFW449" s="268"/>
      <c r="GFX449" s="268"/>
      <c r="GFY449" s="268"/>
      <c r="GFZ449" s="268"/>
      <c r="GGA449" s="268"/>
      <c r="GGB449" s="268"/>
      <c r="GGC449" s="268"/>
      <c r="GGD449" s="268"/>
      <c r="GGE449" s="268"/>
      <c r="GGF449" s="268"/>
      <c r="GGG449" s="268"/>
      <c r="GGH449" s="268"/>
      <c r="GGI449" s="268"/>
      <c r="GGJ449" s="268"/>
      <c r="GGK449" s="268"/>
      <c r="GGL449" s="268"/>
      <c r="GGM449" s="268"/>
      <c r="GGN449" s="268"/>
      <c r="GGO449" s="268"/>
      <c r="GGP449" s="268"/>
      <c r="GGQ449" s="268"/>
      <c r="GGR449" s="268"/>
      <c r="GGS449" s="268"/>
      <c r="GGT449" s="268"/>
      <c r="GGU449" s="268"/>
      <c r="GGV449" s="268"/>
      <c r="GGW449" s="268"/>
      <c r="GGX449" s="268"/>
      <c r="GGY449" s="268"/>
      <c r="GGZ449" s="268"/>
      <c r="GHA449" s="268"/>
      <c r="GHB449" s="268"/>
      <c r="GHC449" s="268"/>
      <c r="GHD449" s="268"/>
      <c r="GHE449" s="268"/>
      <c r="GHF449" s="268"/>
      <c r="GHG449" s="268"/>
      <c r="GHH449" s="268"/>
      <c r="GHI449" s="268"/>
      <c r="GHJ449" s="268"/>
      <c r="GHK449" s="268"/>
      <c r="GHL449" s="268"/>
      <c r="GHM449" s="268"/>
      <c r="GHN449" s="268"/>
      <c r="GHO449" s="268"/>
      <c r="GHP449" s="268"/>
      <c r="GHQ449" s="268"/>
      <c r="GHR449" s="268"/>
      <c r="GHS449" s="268"/>
      <c r="GHT449" s="268"/>
      <c r="GHU449" s="268"/>
      <c r="GHV449" s="268"/>
      <c r="GHW449" s="268"/>
      <c r="GHX449" s="268"/>
      <c r="GHY449" s="268"/>
      <c r="GHZ449" s="268"/>
      <c r="GIA449" s="268"/>
      <c r="GIB449" s="268"/>
      <c r="GIC449" s="268"/>
      <c r="GID449" s="268"/>
      <c r="GIE449" s="268"/>
      <c r="GIF449" s="268"/>
      <c r="GIG449" s="268"/>
      <c r="GIH449" s="268"/>
      <c r="GII449" s="268"/>
      <c r="GIJ449" s="268"/>
      <c r="GIK449" s="268"/>
      <c r="GIL449" s="268"/>
      <c r="GIM449" s="268"/>
      <c r="GIN449" s="268"/>
      <c r="GIO449" s="268"/>
      <c r="GIP449" s="268"/>
      <c r="GIQ449" s="268"/>
      <c r="GIR449" s="268"/>
      <c r="GIS449" s="268"/>
      <c r="GIT449" s="268"/>
      <c r="GIU449" s="268"/>
      <c r="GIV449" s="268"/>
      <c r="GIW449" s="268"/>
      <c r="GIX449" s="268"/>
      <c r="GIY449" s="268"/>
      <c r="GIZ449" s="268"/>
      <c r="GJA449" s="268"/>
      <c r="GJB449" s="268"/>
      <c r="GJC449" s="268"/>
      <c r="GJD449" s="268"/>
      <c r="GJE449" s="268"/>
      <c r="GJF449" s="268"/>
      <c r="GJG449" s="268"/>
      <c r="GJH449" s="268"/>
      <c r="GJI449" s="268"/>
      <c r="GJJ449" s="268"/>
      <c r="GJK449" s="268"/>
      <c r="GJL449" s="268"/>
      <c r="GJM449" s="268"/>
      <c r="GJN449" s="268"/>
      <c r="GJO449" s="268"/>
      <c r="GJP449" s="268"/>
      <c r="GJQ449" s="268"/>
      <c r="GJR449" s="268"/>
      <c r="GJS449" s="268"/>
      <c r="GJT449" s="268"/>
      <c r="GJU449" s="268"/>
      <c r="GJV449" s="268"/>
      <c r="GJW449" s="268"/>
      <c r="GJX449" s="268"/>
      <c r="GJY449" s="268"/>
      <c r="GJZ449" s="268"/>
      <c r="GKA449" s="268"/>
      <c r="GKB449" s="268"/>
      <c r="GKC449" s="268"/>
      <c r="GKD449" s="268"/>
      <c r="GKE449" s="268"/>
      <c r="GKF449" s="268"/>
      <c r="GKG449" s="268"/>
      <c r="GKH449" s="268"/>
      <c r="GKI449" s="268"/>
      <c r="GKJ449" s="268"/>
      <c r="GKK449" s="268"/>
      <c r="GKL449" s="268"/>
      <c r="GKM449" s="268"/>
      <c r="GKN449" s="268"/>
      <c r="GKO449" s="268"/>
      <c r="GKP449" s="268"/>
      <c r="GKQ449" s="268"/>
      <c r="GKR449" s="268"/>
      <c r="GKS449" s="268"/>
      <c r="GKT449" s="268"/>
      <c r="GKU449" s="268"/>
      <c r="GKV449" s="268"/>
      <c r="GKW449" s="268"/>
      <c r="GKX449" s="268"/>
      <c r="GKY449" s="268"/>
      <c r="GKZ449" s="268"/>
      <c r="GLA449" s="268"/>
      <c r="GLB449" s="268"/>
      <c r="GLC449" s="268"/>
      <c r="GLD449" s="268"/>
      <c r="GLE449" s="268"/>
      <c r="GLF449" s="268"/>
      <c r="GLG449" s="268"/>
      <c r="GLH449" s="268"/>
      <c r="GLI449" s="268"/>
      <c r="GLJ449" s="268"/>
      <c r="GLK449" s="268"/>
      <c r="GLL449" s="268"/>
      <c r="GLM449" s="268"/>
      <c r="GLN449" s="268"/>
      <c r="GLO449" s="268"/>
      <c r="GLP449" s="268"/>
      <c r="GLQ449" s="268"/>
      <c r="GLR449" s="268"/>
      <c r="GLS449" s="268"/>
      <c r="GLT449" s="268"/>
      <c r="GLU449" s="268"/>
      <c r="GLV449" s="268"/>
      <c r="GLW449" s="268"/>
      <c r="GLX449" s="268"/>
      <c r="GLY449" s="268"/>
      <c r="GLZ449" s="268"/>
      <c r="GMA449" s="268"/>
      <c r="GMB449" s="268"/>
      <c r="GMC449" s="268"/>
      <c r="GMD449" s="268"/>
      <c r="GME449" s="268"/>
      <c r="GMF449" s="268"/>
      <c r="GMG449" s="268"/>
      <c r="GMH449" s="268"/>
      <c r="GMI449" s="268"/>
      <c r="GMJ449" s="268"/>
      <c r="GMK449" s="268"/>
      <c r="GML449" s="268"/>
      <c r="GMM449" s="268"/>
      <c r="GMN449" s="268"/>
      <c r="GMO449" s="268"/>
      <c r="GMP449" s="268"/>
      <c r="GMQ449" s="268"/>
      <c r="GMR449" s="268"/>
      <c r="GMS449" s="268"/>
      <c r="GMT449" s="268"/>
      <c r="GMU449" s="268"/>
      <c r="GMV449" s="268"/>
      <c r="GMW449" s="268"/>
      <c r="GMX449" s="268"/>
      <c r="GMY449" s="268"/>
      <c r="GMZ449" s="268"/>
      <c r="GNA449" s="268"/>
      <c r="GNB449" s="268"/>
      <c r="GNC449" s="268"/>
      <c r="GND449" s="268"/>
      <c r="GNE449" s="268"/>
      <c r="GNF449" s="268"/>
      <c r="GNG449" s="268"/>
      <c r="GNH449" s="268"/>
      <c r="GNI449" s="268"/>
      <c r="GNJ449" s="268"/>
      <c r="GNK449" s="268"/>
      <c r="GNL449" s="268"/>
      <c r="GNM449" s="268"/>
      <c r="GNN449" s="268"/>
      <c r="GNO449" s="268"/>
      <c r="GOC449" s="268"/>
      <c r="GOD449" s="268"/>
      <c r="GOE449" s="268"/>
      <c r="GOS449" s="268"/>
      <c r="GOU449" s="268"/>
      <c r="GOV449" s="268"/>
      <c r="GOW449" s="268"/>
      <c r="GOX449" s="268"/>
      <c r="GOY449" s="268"/>
      <c r="GOZ449" s="268"/>
      <c r="GPA449" s="268"/>
      <c r="GPB449" s="268"/>
      <c r="GPC449" s="268"/>
      <c r="GPD449" s="268"/>
      <c r="GPE449" s="268"/>
      <c r="GPF449" s="268"/>
      <c r="GPG449" s="268"/>
      <c r="GPH449" s="268"/>
      <c r="GPI449" s="268"/>
      <c r="GPJ449" s="268"/>
      <c r="GPK449" s="268"/>
      <c r="GPL449" s="268"/>
      <c r="GPM449" s="268"/>
      <c r="GPN449" s="268"/>
      <c r="GPO449" s="268"/>
      <c r="GPP449" s="268"/>
      <c r="GPQ449" s="268"/>
      <c r="GPR449" s="268"/>
      <c r="GPS449" s="268"/>
      <c r="GPT449" s="268"/>
      <c r="GPU449" s="268"/>
      <c r="GPV449" s="268"/>
      <c r="GPW449" s="268"/>
      <c r="GPX449" s="268"/>
      <c r="GPY449" s="268"/>
      <c r="GPZ449" s="268"/>
      <c r="GQA449" s="268"/>
      <c r="GQB449" s="268"/>
      <c r="GQC449" s="268"/>
      <c r="GQD449" s="268"/>
      <c r="GQE449" s="268"/>
      <c r="GQF449" s="268"/>
      <c r="GQG449" s="268"/>
      <c r="GQH449" s="268"/>
      <c r="GQI449" s="268"/>
      <c r="GQJ449" s="268"/>
      <c r="GQK449" s="268"/>
      <c r="GQL449" s="268"/>
      <c r="GQM449" s="268"/>
      <c r="GQN449" s="268"/>
      <c r="GQO449" s="268"/>
      <c r="GQP449" s="268"/>
      <c r="GQQ449" s="268"/>
      <c r="GQR449" s="268"/>
      <c r="GQS449" s="268"/>
      <c r="GQT449" s="268"/>
      <c r="GQU449" s="268"/>
      <c r="GQV449" s="268"/>
      <c r="GQW449" s="268"/>
      <c r="GQX449" s="268"/>
      <c r="GQY449" s="268"/>
      <c r="GQZ449" s="268"/>
      <c r="GRA449" s="268"/>
      <c r="GRB449" s="268"/>
      <c r="GRC449" s="268"/>
      <c r="GRD449" s="268"/>
      <c r="GRE449" s="268"/>
      <c r="GRF449" s="268"/>
      <c r="GRG449" s="268"/>
      <c r="GRH449" s="268"/>
      <c r="GRI449" s="268"/>
      <c r="GRJ449" s="268"/>
      <c r="GRK449" s="268"/>
      <c r="GRL449" s="268"/>
      <c r="GRM449" s="268"/>
      <c r="GRN449" s="268"/>
      <c r="GRO449" s="268"/>
      <c r="GRP449" s="268"/>
      <c r="GRQ449" s="268"/>
      <c r="GRR449" s="268"/>
      <c r="GRS449" s="268"/>
      <c r="GRT449" s="268"/>
      <c r="GRU449" s="268"/>
      <c r="GRV449" s="268"/>
      <c r="GRW449" s="268"/>
      <c r="GRX449" s="268"/>
      <c r="GRY449" s="268"/>
      <c r="GRZ449" s="268"/>
      <c r="GSA449" s="268"/>
      <c r="GSB449" s="268"/>
      <c r="GSC449" s="268"/>
      <c r="GSD449" s="268"/>
      <c r="GSE449" s="268"/>
      <c r="GSF449" s="268"/>
      <c r="GSG449" s="268"/>
      <c r="GSH449" s="268"/>
      <c r="GSI449" s="268"/>
      <c r="GSJ449" s="268"/>
      <c r="GSK449" s="268"/>
      <c r="GSL449" s="268"/>
      <c r="GSM449" s="268"/>
      <c r="GSN449" s="268"/>
      <c r="GSO449" s="268"/>
      <c r="GSP449" s="268"/>
      <c r="GSQ449" s="268"/>
      <c r="GSR449" s="268"/>
      <c r="GSS449" s="268"/>
      <c r="GST449" s="268"/>
      <c r="GSU449" s="268"/>
      <c r="GSV449" s="268"/>
      <c r="GSW449" s="268"/>
      <c r="GSX449" s="268"/>
      <c r="GSY449" s="268"/>
      <c r="GSZ449" s="268"/>
      <c r="GTA449" s="268"/>
      <c r="GTB449" s="268"/>
      <c r="GTC449" s="268"/>
      <c r="GTD449" s="268"/>
      <c r="GTE449" s="268"/>
      <c r="GTF449" s="268"/>
      <c r="GTG449" s="268"/>
      <c r="GTH449" s="268"/>
      <c r="GTI449" s="268"/>
      <c r="GTJ449" s="268"/>
      <c r="GTK449" s="268"/>
      <c r="GTL449" s="268"/>
      <c r="GTM449" s="268"/>
      <c r="GTN449" s="268"/>
      <c r="GTO449" s="268"/>
      <c r="GTP449" s="268"/>
      <c r="GTQ449" s="268"/>
      <c r="GTR449" s="268"/>
      <c r="GTS449" s="268"/>
      <c r="GTT449" s="268"/>
      <c r="GTU449" s="268"/>
      <c r="GTV449" s="268"/>
      <c r="GTW449" s="268"/>
      <c r="GTX449" s="268"/>
      <c r="GTY449" s="268"/>
      <c r="GTZ449" s="268"/>
      <c r="GUA449" s="268"/>
      <c r="GUB449" s="268"/>
      <c r="GUC449" s="268"/>
      <c r="GUD449" s="268"/>
      <c r="GUE449" s="268"/>
      <c r="GUF449" s="268"/>
      <c r="GUG449" s="268"/>
      <c r="GUH449" s="268"/>
      <c r="GUI449" s="268"/>
      <c r="GUJ449" s="268"/>
      <c r="GUK449" s="268"/>
      <c r="GUL449" s="268"/>
      <c r="GUM449" s="268"/>
      <c r="GUN449" s="268"/>
      <c r="GUO449" s="268"/>
      <c r="GUP449" s="268"/>
      <c r="GUQ449" s="268"/>
      <c r="GUR449" s="268"/>
      <c r="GUS449" s="268"/>
      <c r="GUT449" s="268"/>
      <c r="GUU449" s="268"/>
      <c r="GUV449" s="268"/>
      <c r="GUW449" s="268"/>
      <c r="GUX449" s="268"/>
      <c r="GUY449" s="268"/>
      <c r="GUZ449" s="268"/>
      <c r="GVA449" s="268"/>
      <c r="GVB449" s="268"/>
      <c r="GVC449" s="268"/>
      <c r="GVD449" s="268"/>
      <c r="GVE449" s="268"/>
      <c r="GVF449" s="268"/>
      <c r="GVG449" s="268"/>
      <c r="GVH449" s="268"/>
      <c r="GVI449" s="268"/>
      <c r="GVJ449" s="268"/>
      <c r="GVK449" s="268"/>
      <c r="GVL449" s="268"/>
      <c r="GVM449" s="268"/>
      <c r="GVN449" s="268"/>
      <c r="GVO449" s="268"/>
      <c r="GVP449" s="268"/>
      <c r="GVQ449" s="268"/>
      <c r="GVR449" s="268"/>
      <c r="GVS449" s="268"/>
      <c r="GVT449" s="268"/>
      <c r="GVU449" s="268"/>
      <c r="GVV449" s="268"/>
      <c r="GVW449" s="268"/>
      <c r="GVX449" s="268"/>
      <c r="GVY449" s="268"/>
      <c r="GVZ449" s="268"/>
      <c r="GWA449" s="268"/>
      <c r="GWB449" s="268"/>
      <c r="GWC449" s="268"/>
      <c r="GWD449" s="268"/>
      <c r="GWE449" s="268"/>
      <c r="GWF449" s="268"/>
      <c r="GWG449" s="268"/>
      <c r="GWH449" s="268"/>
      <c r="GWI449" s="268"/>
      <c r="GWJ449" s="268"/>
      <c r="GWK449" s="268"/>
      <c r="GWL449" s="268"/>
      <c r="GWM449" s="268"/>
      <c r="GWN449" s="268"/>
      <c r="GWO449" s="268"/>
      <c r="GWP449" s="268"/>
      <c r="GWQ449" s="268"/>
      <c r="GWR449" s="268"/>
      <c r="GWS449" s="268"/>
      <c r="GWT449" s="268"/>
      <c r="GWU449" s="268"/>
      <c r="GWV449" s="268"/>
      <c r="GWW449" s="268"/>
      <c r="GWX449" s="268"/>
      <c r="GWY449" s="268"/>
      <c r="GWZ449" s="268"/>
      <c r="GXA449" s="268"/>
      <c r="GXB449" s="268"/>
      <c r="GXC449" s="268"/>
      <c r="GXD449" s="268"/>
      <c r="GXE449" s="268"/>
      <c r="GXF449" s="268"/>
      <c r="GXG449" s="268"/>
      <c r="GXH449" s="268"/>
      <c r="GXI449" s="268"/>
      <c r="GXJ449" s="268"/>
      <c r="GXK449" s="268"/>
      <c r="GXY449" s="268"/>
      <c r="GXZ449" s="268"/>
      <c r="GYA449" s="268"/>
      <c r="GYO449" s="268"/>
      <c r="GYQ449" s="268"/>
      <c r="GYR449" s="268"/>
      <c r="GYS449" s="268"/>
      <c r="GYT449" s="268"/>
      <c r="GYU449" s="268"/>
      <c r="GYV449" s="268"/>
      <c r="GYW449" s="268"/>
      <c r="GYX449" s="268"/>
      <c r="GYY449" s="268"/>
      <c r="GYZ449" s="268"/>
      <c r="GZA449" s="268"/>
      <c r="GZB449" s="268"/>
      <c r="GZC449" s="268"/>
      <c r="GZD449" s="268"/>
      <c r="GZE449" s="268"/>
      <c r="GZF449" s="268"/>
      <c r="GZG449" s="268"/>
      <c r="GZH449" s="268"/>
      <c r="GZI449" s="268"/>
      <c r="GZJ449" s="268"/>
      <c r="GZK449" s="268"/>
      <c r="GZL449" s="268"/>
      <c r="GZM449" s="268"/>
      <c r="GZN449" s="268"/>
      <c r="GZO449" s="268"/>
      <c r="GZP449" s="268"/>
      <c r="GZQ449" s="268"/>
      <c r="GZR449" s="268"/>
      <c r="GZS449" s="268"/>
      <c r="GZT449" s="268"/>
      <c r="GZU449" s="268"/>
      <c r="GZV449" s="268"/>
      <c r="GZW449" s="268"/>
      <c r="GZX449" s="268"/>
      <c r="GZY449" s="268"/>
      <c r="GZZ449" s="268"/>
      <c r="HAA449" s="268"/>
      <c r="HAB449" s="268"/>
      <c r="HAC449" s="268"/>
      <c r="HAD449" s="268"/>
      <c r="HAE449" s="268"/>
      <c r="HAF449" s="268"/>
      <c r="HAG449" s="268"/>
      <c r="HAH449" s="268"/>
      <c r="HAI449" s="268"/>
      <c r="HAJ449" s="268"/>
      <c r="HAK449" s="268"/>
      <c r="HAL449" s="268"/>
      <c r="HAM449" s="268"/>
      <c r="HAN449" s="268"/>
      <c r="HAO449" s="268"/>
      <c r="HAP449" s="268"/>
      <c r="HAQ449" s="268"/>
      <c r="HAR449" s="268"/>
      <c r="HAS449" s="268"/>
      <c r="HAT449" s="268"/>
      <c r="HAU449" s="268"/>
      <c r="HAV449" s="268"/>
      <c r="HAW449" s="268"/>
      <c r="HAX449" s="268"/>
      <c r="HAY449" s="268"/>
      <c r="HAZ449" s="268"/>
      <c r="HBA449" s="268"/>
      <c r="HBB449" s="268"/>
      <c r="HBC449" s="268"/>
      <c r="HBD449" s="268"/>
      <c r="HBE449" s="268"/>
      <c r="HBF449" s="268"/>
      <c r="HBG449" s="268"/>
      <c r="HBH449" s="268"/>
      <c r="HBI449" s="268"/>
      <c r="HBJ449" s="268"/>
      <c r="HBK449" s="268"/>
      <c r="HBL449" s="268"/>
      <c r="HBM449" s="268"/>
      <c r="HBN449" s="268"/>
      <c r="HBO449" s="268"/>
      <c r="HBP449" s="268"/>
      <c r="HBQ449" s="268"/>
      <c r="HBR449" s="268"/>
      <c r="HBS449" s="268"/>
      <c r="HBT449" s="268"/>
      <c r="HBU449" s="268"/>
      <c r="HBV449" s="268"/>
      <c r="HBW449" s="268"/>
      <c r="HBX449" s="268"/>
      <c r="HBY449" s="268"/>
      <c r="HBZ449" s="268"/>
      <c r="HCA449" s="268"/>
      <c r="HCB449" s="268"/>
      <c r="HCC449" s="268"/>
      <c r="HCD449" s="268"/>
      <c r="HCE449" s="268"/>
      <c r="HCF449" s="268"/>
      <c r="HCG449" s="268"/>
      <c r="HCH449" s="268"/>
      <c r="HCI449" s="268"/>
      <c r="HCJ449" s="268"/>
      <c r="HCK449" s="268"/>
      <c r="HCL449" s="268"/>
      <c r="HCM449" s="268"/>
      <c r="HCN449" s="268"/>
      <c r="HCO449" s="268"/>
      <c r="HCP449" s="268"/>
      <c r="HCQ449" s="268"/>
      <c r="HCR449" s="268"/>
      <c r="HCS449" s="268"/>
      <c r="HCT449" s="268"/>
      <c r="HCU449" s="268"/>
      <c r="HCV449" s="268"/>
      <c r="HCW449" s="268"/>
      <c r="HCX449" s="268"/>
      <c r="HCY449" s="268"/>
      <c r="HCZ449" s="268"/>
      <c r="HDA449" s="268"/>
      <c r="HDB449" s="268"/>
      <c r="HDC449" s="268"/>
      <c r="HDD449" s="268"/>
      <c r="HDE449" s="268"/>
      <c r="HDF449" s="268"/>
      <c r="HDG449" s="268"/>
      <c r="HDH449" s="268"/>
      <c r="HDI449" s="268"/>
      <c r="HDJ449" s="268"/>
      <c r="HDK449" s="268"/>
      <c r="HDL449" s="268"/>
      <c r="HDM449" s="268"/>
      <c r="HDN449" s="268"/>
      <c r="HDO449" s="268"/>
      <c r="HDP449" s="268"/>
      <c r="HDQ449" s="268"/>
      <c r="HDR449" s="268"/>
      <c r="HDS449" s="268"/>
      <c r="HDT449" s="268"/>
      <c r="HDU449" s="268"/>
      <c r="HDV449" s="268"/>
      <c r="HDW449" s="268"/>
      <c r="HDX449" s="268"/>
      <c r="HDY449" s="268"/>
      <c r="HDZ449" s="268"/>
      <c r="HEA449" s="268"/>
      <c r="HEB449" s="268"/>
      <c r="HEC449" s="268"/>
      <c r="HED449" s="268"/>
      <c r="HEE449" s="268"/>
      <c r="HEF449" s="268"/>
      <c r="HEG449" s="268"/>
      <c r="HEH449" s="268"/>
      <c r="HEI449" s="268"/>
      <c r="HEJ449" s="268"/>
      <c r="HEK449" s="268"/>
      <c r="HEL449" s="268"/>
      <c r="HEM449" s="268"/>
      <c r="HEN449" s="268"/>
      <c r="HEO449" s="268"/>
      <c r="HEP449" s="268"/>
      <c r="HEQ449" s="268"/>
      <c r="HER449" s="268"/>
      <c r="HES449" s="268"/>
      <c r="HET449" s="268"/>
      <c r="HEU449" s="268"/>
      <c r="HEV449" s="268"/>
      <c r="HEW449" s="268"/>
      <c r="HEX449" s="268"/>
      <c r="HEY449" s="268"/>
      <c r="HEZ449" s="268"/>
      <c r="HFA449" s="268"/>
      <c r="HFB449" s="268"/>
      <c r="HFC449" s="268"/>
      <c r="HFD449" s="268"/>
      <c r="HFE449" s="268"/>
      <c r="HFF449" s="268"/>
      <c r="HFG449" s="268"/>
      <c r="HFH449" s="268"/>
      <c r="HFI449" s="268"/>
      <c r="HFJ449" s="268"/>
      <c r="HFK449" s="268"/>
      <c r="HFL449" s="268"/>
      <c r="HFM449" s="268"/>
      <c r="HFN449" s="268"/>
      <c r="HFO449" s="268"/>
      <c r="HFP449" s="268"/>
      <c r="HFQ449" s="268"/>
      <c r="HFR449" s="268"/>
      <c r="HFS449" s="268"/>
      <c r="HFT449" s="268"/>
      <c r="HFU449" s="268"/>
      <c r="HFV449" s="268"/>
      <c r="HFW449" s="268"/>
      <c r="HFX449" s="268"/>
      <c r="HFY449" s="268"/>
      <c r="HFZ449" s="268"/>
      <c r="HGA449" s="268"/>
      <c r="HGB449" s="268"/>
      <c r="HGC449" s="268"/>
      <c r="HGD449" s="268"/>
      <c r="HGE449" s="268"/>
      <c r="HGF449" s="268"/>
      <c r="HGG449" s="268"/>
      <c r="HGH449" s="268"/>
      <c r="HGI449" s="268"/>
      <c r="HGJ449" s="268"/>
      <c r="HGK449" s="268"/>
      <c r="HGL449" s="268"/>
      <c r="HGM449" s="268"/>
      <c r="HGN449" s="268"/>
      <c r="HGO449" s="268"/>
      <c r="HGP449" s="268"/>
      <c r="HGQ449" s="268"/>
      <c r="HGR449" s="268"/>
      <c r="HGS449" s="268"/>
      <c r="HGT449" s="268"/>
      <c r="HGU449" s="268"/>
      <c r="HGV449" s="268"/>
      <c r="HGW449" s="268"/>
      <c r="HGX449" s="268"/>
      <c r="HGY449" s="268"/>
      <c r="HGZ449" s="268"/>
      <c r="HHA449" s="268"/>
      <c r="HHB449" s="268"/>
      <c r="HHC449" s="268"/>
      <c r="HHD449" s="268"/>
      <c r="HHE449" s="268"/>
      <c r="HHF449" s="268"/>
      <c r="HHG449" s="268"/>
      <c r="HHU449" s="268"/>
      <c r="HHV449" s="268"/>
      <c r="HHW449" s="268"/>
      <c r="HIK449" s="268"/>
      <c r="HIM449" s="268"/>
      <c r="HIN449" s="268"/>
      <c r="HIO449" s="268"/>
      <c r="HIP449" s="268"/>
      <c r="HIQ449" s="268"/>
      <c r="HIR449" s="268"/>
      <c r="HIS449" s="268"/>
      <c r="HIT449" s="268"/>
      <c r="HIU449" s="268"/>
      <c r="HIV449" s="268"/>
      <c r="HIW449" s="268"/>
      <c r="HIX449" s="268"/>
      <c r="HIY449" s="268"/>
      <c r="HIZ449" s="268"/>
      <c r="HJA449" s="268"/>
      <c r="HJB449" s="268"/>
      <c r="HJC449" s="268"/>
      <c r="HJD449" s="268"/>
      <c r="HJE449" s="268"/>
      <c r="HJF449" s="268"/>
      <c r="HJG449" s="268"/>
      <c r="HJH449" s="268"/>
      <c r="HJI449" s="268"/>
      <c r="HJJ449" s="268"/>
      <c r="HJK449" s="268"/>
      <c r="HJL449" s="268"/>
      <c r="HJM449" s="268"/>
      <c r="HJN449" s="268"/>
      <c r="HJO449" s="268"/>
      <c r="HJP449" s="268"/>
      <c r="HJQ449" s="268"/>
      <c r="HJR449" s="268"/>
      <c r="HJS449" s="268"/>
      <c r="HJT449" s="268"/>
      <c r="HJU449" s="268"/>
      <c r="HJV449" s="268"/>
      <c r="HJW449" s="268"/>
      <c r="HJX449" s="268"/>
      <c r="HJY449" s="268"/>
      <c r="HJZ449" s="268"/>
      <c r="HKA449" s="268"/>
      <c r="HKB449" s="268"/>
      <c r="HKC449" s="268"/>
      <c r="HKD449" s="268"/>
      <c r="HKE449" s="268"/>
      <c r="HKF449" s="268"/>
      <c r="HKG449" s="268"/>
      <c r="HKH449" s="268"/>
      <c r="HKI449" s="268"/>
      <c r="HKJ449" s="268"/>
      <c r="HKK449" s="268"/>
      <c r="HKL449" s="268"/>
      <c r="HKM449" s="268"/>
      <c r="HKN449" s="268"/>
      <c r="HKO449" s="268"/>
      <c r="HKP449" s="268"/>
      <c r="HKQ449" s="268"/>
      <c r="HKR449" s="268"/>
      <c r="HKS449" s="268"/>
      <c r="HKT449" s="268"/>
      <c r="HKU449" s="268"/>
      <c r="HKV449" s="268"/>
      <c r="HKW449" s="268"/>
      <c r="HKX449" s="268"/>
      <c r="HKY449" s="268"/>
      <c r="HKZ449" s="268"/>
      <c r="HLA449" s="268"/>
      <c r="HLB449" s="268"/>
      <c r="HLC449" s="268"/>
      <c r="HLD449" s="268"/>
      <c r="HLE449" s="268"/>
      <c r="HLF449" s="268"/>
      <c r="HLG449" s="268"/>
      <c r="HLH449" s="268"/>
      <c r="HLI449" s="268"/>
      <c r="HLJ449" s="268"/>
      <c r="HLK449" s="268"/>
      <c r="HLL449" s="268"/>
      <c r="HLM449" s="268"/>
      <c r="HLN449" s="268"/>
      <c r="HLO449" s="268"/>
      <c r="HLP449" s="268"/>
      <c r="HLQ449" s="268"/>
      <c r="HLR449" s="268"/>
      <c r="HLS449" s="268"/>
      <c r="HLT449" s="268"/>
      <c r="HLU449" s="268"/>
      <c r="HLV449" s="268"/>
      <c r="HLW449" s="268"/>
      <c r="HLX449" s="268"/>
      <c r="HLY449" s="268"/>
      <c r="HLZ449" s="268"/>
      <c r="HMA449" s="268"/>
      <c r="HMB449" s="268"/>
      <c r="HMC449" s="268"/>
      <c r="HMD449" s="268"/>
      <c r="HME449" s="268"/>
      <c r="HMF449" s="268"/>
      <c r="HMG449" s="268"/>
      <c r="HMH449" s="268"/>
      <c r="HMI449" s="268"/>
      <c r="HMJ449" s="268"/>
      <c r="HMK449" s="268"/>
      <c r="HML449" s="268"/>
      <c r="HMM449" s="268"/>
      <c r="HMN449" s="268"/>
      <c r="HMO449" s="268"/>
      <c r="HMP449" s="268"/>
      <c r="HMQ449" s="268"/>
      <c r="HMR449" s="268"/>
      <c r="HMS449" s="268"/>
      <c r="HMT449" s="268"/>
      <c r="HMU449" s="268"/>
      <c r="HMV449" s="268"/>
      <c r="HMW449" s="268"/>
      <c r="HMX449" s="268"/>
      <c r="HMY449" s="268"/>
      <c r="HMZ449" s="268"/>
      <c r="HNA449" s="268"/>
      <c r="HNB449" s="268"/>
      <c r="HNC449" s="268"/>
      <c r="HND449" s="268"/>
      <c r="HNE449" s="268"/>
      <c r="HNF449" s="268"/>
      <c r="HNG449" s="268"/>
      <c r="HNH449" s="268"/>
      <c r="HNI449" s="268"/>
      <c r="HNJ449" s="268"/>
      <c r="HNK449" s="268"/>
      <c r="HNL449" s="268"/>
      <c r="HNM449" s="268"/>
      <c r="HNN449" s="268"/>
      <c r="HNO449" s="268"/>
      <c r="HNP449" s="268"/>
      <c r="HNQ449" s="268"/>
      <c r="HNR449" s="268"/>
      <c r="HNS449" s="268"/>
      <c r="HNT449" s="268"/>
      <c r="HNU449" s="268"/>
      <c r="HNV449" s="268"/>
      <c r="HNW449" s="268"/>
      <c r="HNX449" s="268"/>
      <c r="HNY449" s="268"/>
      <c r="HNZ449" s="268"/>
      <c r="HOA449" s="268"/>
      <c r="HOB449" s="268"/>
      <c r="HOC449" s="268"/>
      <c r="HOD449" s="268"/>
      <c r="HOE449" s="268"/>
      <c r="HOF449" s="268"/>
      <c r="HOG449" s="268"/>
      <c r="HOH449" s="268"/>
      <c r="HOI449" s="268"/>
      <c r="HOJ449" s="268"/>
      <c r="HOK449" s="268"/>
      <c r="HOL449" s="268"/>
      <c r="HOM449" s="268"/>
      <c r="HON449" s="268"/>
      <c r="HOO449" s="268"/>
      <c r="HOP449" s="268"/>
      <c r="HOQ449" s="268"/>
      <c r="HOR449" s="268"/>
      <c r="HOS449" s="268"/>
      <c r="HOT449" s="268"/>
      <c r="HOU449" s="268"/>
      <c r="HOV449" s="268"/>
      <c r="HOW449" s="268"/>
      <c r="HOX449" s="268"/>
      <c r="HOY449" s="268"/>
      <c r="HOZ449" s="268"/>
      <c r="HPA449" s="268"/>
      <c r="HPB449" s="268"/>
      <c r="HPC449" s="268"/>
      <c r="HPD449" s="268"/>
      <c r="HPE449" s="268"/>
      <c r="HPF449" s="268"/>
      <c r="HPG449" s="268"/>
      <c r="HPH449" s="268"/>
      <c r="HPI449" s="268"/>
      <c r="HPJ449" s="268"/>
      <c r="HPK449" s="268"/>
      <c r="HPL449" s="268"/>
      <c r="HPM449" s="268"/>
      <c r="HPN449" s="268"/>
      <c r="HPO449" s="268"/>
      <c r="HPP449" s="268"/>
      <c r="HPQ449" s="268"/>
      <c r="HPR449" s="268"/>
      <c r="HPS449" s="268"/>
      <c r="HPT449" s="268"/>
      <c r="HPU449" s="268"/>
      <c r="HPV449" s="268"/>
      <c r="HPW449" s="268"/>
      <c r="HPX449" s="268"/>
      <c r="HPY449" s="268"/>
      <c r="HPZ449" s="268"/>
      <c r="HQA449" s="268"/>
      <c r="HQB449" s="268"/>
      <c r="HQC449" s="268"/>
      <c r="HQD449" s="268"/>
      <c r="HQE449" s="268"/>
      <c r="HQF449" s="268"/>
      <c r="HQG449" s="268"/>
      <c r="HQH449" s="268"/>
      <c r="HQI449" s="268"/>
      <c r="HQJ449" s="268"/>
      <c r="HQK449" s="268"/>
      <c r="HQL449" s="268"/>
      <c r="HQM449" s="268"/>
      <c r="HQN449" s="268"/>
      <c r="HQO449" s="268"/>
      <c r="HQP449" s="268"/>
      <c r="HQQ449" s="268"/>
      <c r="HQR449" s="268"/>
      <c r="HQS449" s="268"/>
      <c r="HQT449" s="268"/>
      <c r="HQU449" s="268"/>
      <c r="HQV449" s="268"/>
      <c r="HQW449" s="268"/>
      <c r="HQX449" s="268"/>
      <c r="HQY449" s="268"/>
      <c r="HQZ449" s="268"/>
      <c r="HRA449" s="268"/>
      <c r="HRB449" s="268"/>
      <c r="HRC449" s="268"/>
      <c r="HRQ449" s="268"/>
      <c r="HRR449" s="268"/>
      <c r="HRS449" s="268"/>
      <c r="HSG449" s="268"/>
      <c r="HSI449" s="268"/>
      <c r="HSJ449" s="268"/>
      <c r="HSK449" s="268"/>
      <c r="HSL449" s="268"/>
      <c r="HSM449" s="268"/>
      <c r="HSN449" s="268"/>
      <c r="HSO449" s="268"/>
      <c r="HSP449" s="268"/>
      <c r="HSQ449" s="268"/>
      <c r="HSR449" s="268"/>
      <c r="HSS449" s="268"/>
      <c r="HST449" s="268"/>
      <c r="HSU449" s="268"/>
      <c r="HSV449" s="268"/>
      <c r="HSW449" s="268"/>
      <c r="HSX449" s="268"/>
      <c r="HSY449" s="268"/>
      <c r="HSZ449" s="268"/>
      <c r="HTA449" s="268"/>
      <c r="HTB449" s="268"/>
      <c r="HTC449" s="268"/>
      <c r="HTD449" s="268"/>
      <c r="HTE449" s="268"/>
      <c r="HTF449" s="268"/>
      <c r="HTG449" s="268"/>
      <c r="HTH449" s="268"/>
      <c r="HTI449" s="268"/>
      <c r="HTJ449" s="268"/>
      <c r="HTK449" s="268"/>
      <c r="HTL449" s="268"/>
      <c r="HTM449" s="268"/>
      <c r="HTN449" s="268"/>
      <c r="HTO449" s="268"/>
      <c r="HTP449" s="268"/>
      <c r="HTQ449" s="268"/>
      <c r="HTR449" s="268"/>
      <c r="HTS449" s="268"/>
      <c r="HTT449" s="268"/>
      <c r="HTU449" s="268"/>
      <c r="HTV449" s="268"/>
      <c r="HTW449" s="268"/>
      <c r="HTX449" s="268"/>
      <c r="HTY449" s="268"/>
      <c r="HTZ449" s="268"/>
      <c r="HUA449" s="268"/>
      <c r="HUB449" s="268"/>
      <c r="HUC449" s="268"/>
      <c r="HUD449" s="268"/>
      <c r="HUE449" s="268"/>
      <c r="HUF449" s="268"/>
      <c r="HUG449" s="268"/>
      <c r="HUH449" s="268"/>
      <c r="HUI449" s="268"/>
      <c r="HUJ449" s="268"/>
      <c r="HUK449" s="268"/>
      <c r="HUL449" s="268"/>
      <c r="HUM449" s="268"/>
      <c r="HUN449" s="268"/>
      <c r="HUO449" s="268"/>
      <c r="HUP449" s="268"/>
      <c r="HUQ449" s="268"/>
      <c r="HUR449" s="268"/>
      <c r="HUS449" s="268"/>
      <c r="HUT449" s="268"/>
      <c r="HUU449" s="268"/>
      <c r="HUV449" s="268"/>
      <c r="HUW449" s="268"/>
      <c r="HUX449" s="268"/>
      <c r="HUY449" s="268"/>
      <c r="HUZ449" s="268"/>
      <c r="HVA449" s="268"/>
      <c r="HVB449" s="268"/>
      <c r="HVC449" s="268"/>
      <c r="HVD449" s="268"/>
      <c r="HVE449" s="268"/>
      <c r="HVF449" s="268"/>
      <c r="HVG449" s="268"/>
      <c r="HVH449" s="268"/>
      <c r="HVI449" s="268"/>
      <c r="HVJ449" s="268"/>
      <c r="HVK449" s="268"/>
      <c r="HVL449" s="268"/>
      <c r="HVM449" s="268"/>
      <c r="HVN449" s="268"/>
      <c r="HVO449" s="268"/>
      <c r="HVP449" s="268"/>
      <c r="HVQ449" s="268"/>
      <c r="HVR449" s="268"/>
      <c r="HVS449" s="268"/>
      <c r="HVT449" s="268"/>
      <c r="HVU449" s="268"/>
      <c r="HVV449" s="268"/>
      <c r="HVW449" s="268"/>
      <c r="HVX449" s="268"/>
      <c r="HVY449" s="268"/>
      <c r="HVZ449" s="268"/>
      <c r="HWA449" s="268"/>
      <c r="HWB449" s="268"/>
      <c r="HWC449" s="268"/>
      <c r="HWD449" s="268"/>
      <c r="HWE449" s="268"/>
      <c r="HWF449" s="268"/>
      <c r="HWG449" s="268"/>
      <c r="HWH449" s="268"/>
      <c r="HWI449" s="268"/>
      <c r="HWJ449" s="268"/>
      <c r="HWK449" s="268"/>
      <c r="HWL449" s="268"/>
      <c r="HWM449" s="268"/>
      <c r="HWN449" s="268"/>
      <c r="HWO449" s="268"/>
      <c r="HWP449" s="268"/>
      <c r="HWQ449" s="268"/>
      <c r="HWR449" s="268"/>
      <c r="HWS449" s="268"/>
      <c r="HWT449" s="268"/>
      <c r="HWU449" s="268"/>
      <c r="HWV449" s="268"/>
      <c r="HWW449" s="268"/>
      <c r="HWX449" s="268"/>
      <c r="HWY449" s="268"/>
      <c r="HWZ449" s="268"/>
      <c r="HXA449" s="268"/>
      <c r="HXB449" s="268"/>
      <c r="HXC449" s="268"/>
      <c r="HXD449" s="268"/>
      <c r="HXE449" s="268"/>
      <c r="HXF449" s="268"/>
      <c r="HXG449" s="268"/>
      <c r="HXH449" s="268"/>
      <c r="HXI449" s="268"/>
      <c r="HXJ449" s="268"/>
      <c r="HXK449" s="268"/>
      <c r="HXL449" s="268"/>
      <c r="HXM449" s="268"/>
      <c r="HXN449" s="268"/>
      <c r="HXO449" s="268"/>
      <c r="HXP449" s="268"/>
      <c r="HXQ449" s="268"/>
      <c r="HXR449" s="268"/>
      <c r="HXS449" s="268"/>
      <c r="HXT449" s="268"/>
      <c r="HXU449" s="268"/>
      <c r="HXV449" s="268"/>
      <c r="HXW449" s="268"/>
      <c r="HXX449" s="268"/>
      <c r="HXY449" s="268"/>
      <c r="HXZ449" s="268"/>
      <c r="HYA449" s="268"/>
      <c r="HYB449" s="268"/>
      <c r="HYC449" s="268"/>
      <c r="HYD449" s="268"/>
      <c r="HYE449" s="268"/>
      <c r="HYF449" s="268"/>
      <c r="HYG449" s="268"/>
      <c r="HYH449" s="268"/>
      <c r="HYI449" s="268"/>
      <c r="HYJ449" s="268"/>
      <c r="HYK449" s="268"/>
      <c r="HYL449" s="268"/>
      <c r="HYM449" s="268"/>
      <c r="HYN449" s="268"/>
      <c r="HYO449" s="268"/>
      <c r="HYP449" s="268"/>
      <c r="HYQ449" s="268"/>
      <c r="HYR449" s="268"/>
      <c r="HYS449" s="268"/>
      <c r="HYT449" s="268"/>
      <c r="HYU449" s="268"/>
      <c r="HYV449" s="268"/>
      <c r="HYW449" s="268"/>
      <c r="HYX449" s="268"/>
      <c r="HYY449" s="268"/>
      <c r="HYZ449" s="268"/>
      <c r="HZA449" s="268"/>
      <c r="HZB449" s="268"/>
      <c r="HZC449" s="268"/>
      <c r="HZD449" s="268"/>
      <c r="HZE449" s="268"/>
      <c r="HZF449" s="268"/>
      <c r="HZG449" s="268"/>
      <c r="HZH449" s="268"/>
      <c r="HZI449" s="268"/>
      <c r="HZJ449" s="268"/>
      <c r="HZK449" s="268"/>
      <c r="HZL449" s="268"/>
      <c r="HZM449" s="268"/>
      <c r="HZN449" s="268"/>
      <c r="HZO449" s="268"/>
      <c r="HZP449" s="268"/>
      <c r="HZQ449" s="268"/>
      <c r="HZR449" s="268"/>
      <c r="HZS449" s="268"/>
      <c r="HZT449" s="268"/>
      <c r="HZU449" s="268"/>
      <c r="HZV449" s="268"/>
      <c r="HZW449" s="268"/>
      <c r="HZX449" s="268"/>
      <c r="HZY449" s="268"/>
      <c r="HZZ449" s="268"/>
      <c r="IAA449" s="268"/>
      <c r="IAB449" s="268"/>
      <c r="IAC449" s="268"/>
      <c r="IAD449" s="268"/>
      <c r="IAE449" s="268"/>
      <c r="IAF449" s="268"/>
      <c r="IAG449" s="268"/>
      <c r="IAH449" s="268"/>
      <c r="IAI449" s="268"/>
      <c r="IAJ449" s="268"/>
      <c r="IAK449" s="268"/>
      <c r="IAL449" s="268"/>
      <c r="IAM449" s="268"/>
      <c r="IAN449" s="268"/>
      <c r="IAO449" s="268"/>
      <c r="IAP449" s="268"/>
      <c r="IAQ449" s="268"/>
      <c r="IAR449" s="268"/>
      <c r="IAS449" s="268"/>
      <c r="IAT449" s="268"/>
      <c r="IAU449" s="268"/>
      <c r="IAV449" s="268"/>
      <c r="IAW449" s="268"/>
      <c r="IAX449" s="268"/>
      <c r="IAY449" s="268"/>
      <c r="IBM449" s="268"/>
      <c r="IBN449" s="268"/>
      <c r="IBO449" s="268"/>
      <c r="ICC449" s="268"/>
      <c r="ICE449" s="268"/>
      <c r="ICF449" s="268"/>
      <c r="ICG449" s="268"/>
      <c r="ICH449" s="268"/>
      <c r="ICI449" s="268"/>
      <c r="ICJ449" s="268"/>
      <c r="ICK449" s="268"/>
      <c r="ICL449" s="268"/>
      <c r="ICM449" s="268"/>
      <c r="ICN449" s="268"/>
      <c r="ICO449" s="268"/>
      <c r="ICP449" s="268"/>
      <c r="ICQ449" s="268"/>
      <c r="ICR449" s="268"/>
      <c r="ICS449" s="268"/>
      <c r="ICT449" s="268"/>
      <c r="ICU449" s="268"/>
      <c r="ICV449" s="268"/>
      <c r="ICW449" s="268"/>
      <c r="ICX449" s="268"/>
      <c r="ICY449" s="268"/>
      <c r="ICZ449" s="268"/>
      <c r="IDA449" s="268"/>
      <c r="IDB449" s="268"/>
      <c r="IDC449" s="268"/>
      <c r="IDD449" s="268"/>
      <c r="IDE449" s="268"/>
      <c r="IDF449" s="268"/>
      <c r="IDG449" s="268"/>
      <c r="IDH449" s="268"/>
      <c r="IDI449" s="268"/>
      <c r="IDJ449" s="268"/>
      <c r="IDK449" s="268"/>
      <c r="IDL449" s="268"/>
      <c r="IDM449" s="268"/>
      <c r="IDN449" s="268"/>
      <c r="IDO449" s="268"/>
      <c r="IDP449" s="268"/>
      <c r="IDQ449" s="268"/>
      <c r="IDR449" s="268"/>
      <c r="IDS449" s="268"/>
      <c r="IDT449" s="268"/>
      <c r="IDU449" s="268"/>
      <c r="IDV449" s="268"/>
      <c r="IDW449" s="268"/>
      <c r="IDX449" s="268"/>
      <c r="IDY449" s="268"/>
      <c r="IDZ449" s="268"/>
      <c r="IEA449" s="268"/>
      <c r="IEB449" s="268"/>
      <c r="IEC449" s="268"/>
      <c r="IED449" s="268"/>
      <c r="IEE449" s="268"/>
      <c r="IEF449" s="268"/>
      <c r="IEG449" s="268"/>
      <c r="IEH449" s="268"/>
      <c r="IEI449" s="268"/>
      <c r="IEJ449" s="268"/>
      <c r="IEK449" s="268"/>
      <c r="IEL449" s="268"/>
      <c r="IEM449" s="268"/>
      <c r="IEN449" s="268"/>
      <c r="IEO449" s="268"/>
      <c r="IEP449" s="268"/>
      <c r="IEQ449" s="268"/>
      <c r="IER449" s="268"/>
      <c r="IES449" s="268"/>
      <c r="IET449" s="268"/>
      <c r="IEU449" s="268"/>
      <c r="IEV449" s="268"/>
      <c r="IEW449" s="268"/>
      <c r="IEX449" s="268"/>
      <c r="IEY449" s="268"/>
      <c r="IEZ449" s="268"/>
      <c r="IFA449" s="268"/>
      <c r="IFB449" s="268"/>
      <c r="IFC449" s="268"/>
      <c r="IFD449" s="268"/>
      <c r="IFE449" s="268"/>
      <c r="IFF449" s="268"/>
      <c r="IFG449" s="268"/>
      <c r="IFH449" s="268"/>
      <c r="IFI449" s="268"/>
      <c r="IFJ449" s="268"/>
      <c r="IFK449" s="268"/>
      <c r="IFL449" s="268"/>
      <c r="IFM449" s="268"/>
      <c r="IFN449" s="268"/>
      <c r="IFO449" s="268"/>
      <c r="IFP449" s="268"/>
      <c r="IFQ449" s="268"/>
      <c r="IFR449" s="268"/>
      <c r="IFS449" s="268"/>
      <c r="IFT449" s="268"/>
      <c r="IFU449" s="268"/>
      <c r="IFV449" s="268"/>
      <c r="IFW449" s="268"/>
      <c r="IFX449" s="268"/>
      <c r="IFY449" s="268"/>
      <c r="IFZ449" s="268"/>
      <c r="IGA449" s="268"/>
      <c r="IGB449" s="268"/>
      <c r="IGC449" s="268"/>
      <c r="IGD449" s="268"/>
      <c r="IGE449" s="268"/>
      <c r="IGF449" s="268"/>
      <c r="IGG449" s="268"/>
      <c r="IGH449" s="268"/>
      <c r="IGI449" s="268"/>
      <c r="IGJ449" s="268"/>
      <c r="IGK449" s="268"/>
      <c r="IGL449" s="268"/>
      <c r="IGM449" s="268"/>
      <c r="IGN449" s="268"/>
      <c r="IGO449" s="268"/>
      <c r="IGP449" s="268"/>
      <c r="IGQ449" s="268"/>
      <c r="IGR449" s="268"/>
      <c r="IGS449" s="268"/>
      <c r="IGT449" s="268"/>
      <c r="IGU449" s="268"/>
      <c r="IGV449" s="268"/>
      <c r="IGW449" s="268"/>
      <c r="IGX449" s="268"/>
      <c r="IGY449" s="268"/>
      <c r="IGZ449" s="268"/>
      <c r="IHA449" s="268"/>
      <c r="IHB449" s="268"/>
      <c r="IHC449" s="268"/>
      <c r="IHD449" s="268"/>
      <c r="IHE449" s="268"/>
      <c r="IHF449" s="268"/>
      <c r="IHG449" s="268"/>
      <c r="IHH449" s="268"/>
      <c r="IHI449" s="268"/>
      <c r="IHJ449" s="268"/>
      <c r="IHK449" s="268"/>
      <c r="IHL449" s="268"/>
      <c r="IHM449" s="268"/>
      <c r="IHN449" s="268"/>
      <c r="IHO449" s="268"/>
      <c r="IHP449" s="268"/>
      <c r="IHQ449" s="268"/>
      <c r="IHR449" s="268"/>
      <c r="IHS449" s="268"/>
      <c r="IHT449" s="268"/>
      <c r="IHU449" s="268"/>
      <c r="IHV449" s="268"/>
      <c r="IHW449" s="268"/>
      <c r="IHX449" s="268"/>
      <c r="IHY449" s="268"/>
      <c r="IHZ449" s="268"/>
      <c r="IIA449" s="268"/>
      <c r="IIB449" s="268"/>
      <c r="IIC449" s="268"/>
      <c r="IID449" s="268"/>
      <c r="IIE449" s="268"/>
      <c r="IIF449" s="268"/>
      <c r="IIG449" s="268"/>
      <c r="IIH449" s="268"/>
      <c r="III449" s="268"/>
      <c r="IIJ449" s="268"/>
      <c r="IIK449" s="268"/>
      <c r="IIL449" s="268"/>
      <c r="IIM449" s="268"/>
      <c r="IIN449" s="268"/>
      <c r="IIO449" s="268"/>
      <c r="IIP449" s="268"/>
      <c r="IIQ449" s="268"/>
      <c r="IIR449" s="268"/>
      <c r="IIS449" s="268"/>
      <c r="IIT449" s="268"/>
      <c r="IIU449" s="268"/>
      <c r="IIV449" s="268"/>
      <c r="IIW449" s="268"/>
      <c r="IIX449" s="268"/>
      <c r="IIY449" s="268"/>
      <c r="IIZ449" s="268"/>
      <c r="IJA449" s="268"/>
      <c r="IJB449" s="268"/>
      <c r="IJC449" s="268"/>
      <c r="IJD449" s="268"/>
      <c r="IJE449" s="268"/>
      <c r="IJF449" s="268"/>
      <c r="IJG449" s="268"/>
      <c r="IJH449" s="268"/>
      <c r="IJI449" s="268"/>
      <c r="IJJ449" s="268"/>
      <c r="IJK449" s="268"/>
      <c r="IJL449" s="268"/>
      <c r="IJM449" s="268"/>
      <c r="IJN449" s="268"/>
      <c r="IJO449" s="268"/>
      <c r="IJP449" s="268"/>
      <c r="IJQ449" s="268"/>
      <c r="IJR449" s="268"/>
      <c r="IJS449" s="268"/>
      <c r="IJT449" s="268"/>
      <c r="IJU449" s="268"/>
      <c r="IJV449" s="268"/>
      <c r="IJW449" s="268"/>
      <c r="IJX449" s="268"/>
      <c r="IJY449" s="268"/>
      <c r="IJZ449" s="268"/>
      <c r="IKA449" s="268"/>
      <c r="IKB449" s="268"/>
      <c r="IKC449" s="268"/>
      <c r="IKD449" s="268"/>
      <c r="IKE449" s="268"/>
      <c r="IKF449" s="268"/>
      <c r="IKG449" s="268"/>
      <c r="IKH449" s="268"/>
      <c r="IKI449" s="268"/>
      <c r="IKJ449" s="268"/>
      <c r="IKK449" s="268"/>
      <c r="IKL449" s="268"/>
      <c r="IKM449" s="268"/>
      <c r="IKN449" s="268"/>
      <c r="IKO449" s="268"/>
      <c r="IKP449" s="268"/>
      <c r="IKQ449" s="268"/>
      <c r="IKR449" s="268"/>
      <c r="IKS449" s="268"/>
      <c r="IKT449" s="268"/>
      <c r="IKU449" s="268"/>
      <c r="ILI449" s="268"/>
      <c r="ILJ449" s="268"/>
      <c r="ILK449" s="268"/>
      <c r="ILY449" s="268"/>
      <c r="IMA449" s="268"/>
      <c r="IMB449" s="268"/>
      <c r="IMC449" s="268"/>
      <c r="IMD449" s="268"/>
      <c r="IME449" s="268"/>
      <c r="IMF449" s="268"/>
      <c r="IMG449" s="268"/>
      <c r="IMH449" s="268"/>
      <c r="IMI449" s="268"/>
      <c r="IMJ449" s="268"/>
      <c r="IMK449" s="268"/>
      <c r="IML449" s="268"/>
      <c r="IMM449" s="268"/>
      <c r="IMN449" s="268"/>
      <c r="IMO449" s="268"/>
      <c r="IMP449" s="268"/>
      <c r="IMQ449" s="268"/>
      <c r="IMR449" s="268"/>
      <c r="IMS449" s="268"/>
      <c r="IMT449" s="268"/>
      <c r="IMU449" s="268"/>
      <c r="IMV449" s="268"/>
      <c r="IMW449" s="268"/>
      <c r="IMX449" s="268"/>
      <c r="IMY449" s="268"/>
      <c r="IMZ449" s="268"/>
      <c r="INA449" s="268"/>
      <c r="INB449" s="268"/>
      <c r="INC449" s="268"/>
      <c r="IND449" s="268"/>
      <c r="INE449" s="268"/>
      <c r="INF449" s="268"/>
      <c r="ING449" s="268"/>
      <c r="INH449" s="268"/>
      <c r="INI449" s="268"/>
      <c r="INJ449" s="268"/>
      <c r="INK449" s="268"/>
      <c r="INL449" s="268"/>
      <c r="INM449" s="268"/>
      <c r="INN449" s="268"/>
      <c r="INO449" s="268"/>
      <c r="INP449" s="268"/>
      <c r="INQ449" s="268"/>
      <c r="INR449" s="268"/>
      <c r="INS449" s="268"/>
      <c r="INT449" s="268"/>
      <c r="INU449" s="268"/>
      <c r="INV449" s="268"/>
      <c r="INW449" s="268"/>
      <c r="INX449" s="268"/>
      <c r="INY449" s="268"/>
      <c r="INZ449" s="268"/>
      <c r="IOA449" s="268"/>
      <c r="IOB449" s="268"/>
      <c r="IOC449" s="268"/>
      <c r="IOD449" s="268"/>
      <c r="IOE449" s="268"/>
      <c r="IOF449" s="268"/>
      <c r="IOG449" s="268"/>
      <c r="IOH449" s="268"/>
      <c r="IOI449" s="268"/>
      <c r="IOJ449" s="268"/>
      <c r="IOK449" s="268"/>
      <c r="IOL449" s="268"/>
      <c r="IOM449" s="268"/>
      <c r="ION449" s="268"/>
      <c r="IOO449" s="268"/>
      <c r="IOP449" s="268"/>
      <c r="IOQ449" s="268"/>
      <c r="IOR449" s="268"/>
      <c r="IOS449" s="268"/>
      <c r="IOT449" s="268"/>
      <c r="IOU449" s="268"/>
      <c r="IOV449" s="268"/>
      <c r="IOW449" s="268"/>
      <c r="IOX449" s="268"/>
      <c r="IOY449" s="268"/>
      <c r="IOZ449" s="268"/>
      <c r="IPA449" s="268"/>
      <c r="IPB449" s="268"/>
      <c r="IPC449" s="268"/>
      <c r="IPD449" s="268"/>
      <c r="IPE449" s="268"/>
      <c r="IPF449" s="268"/>
      <c r="IPG449" s="268"/>
      <c r="IPH449" s="268"/>
      <c r="IPI449" s="268"/>
      <c r="IPJ449" s="268"/>
      <c r="IPK449" s="268"/>
      <c r="IPL449" s="268"/>
      <c r="IPM449" s="268"/>
      <c r="IPN449" s="268"/>
      <c r="IPO449" s="268"/>
      <c r="IPP449" s="268"/>
      <c r="IPQ449" s="268"/>
      <c r="IPR449" s="268"/>
      <c r="IPS449" s="268"/>
      <c r="IPT449" s="268"/>
      <c r="IPU449" s="268"/>
      <c r="IPV449" s="268"/>
      <c r="IPW449" s="268"/>
      <c r="IPX449" s="268"/>
      <c r="IPY449" s="268"/>
      <c r="IPZ449" s="268"/>
      <c r="IQA449" s="268"/>
      <c r="IQB449" s="268"/>
      <c r="IQC449" s="268"/>
      <c r="IQD449" s="268"/>
      <c r="IQE449" s="268"/>
      <c r="IQF449" s="268"/>
      <c r="IQG449" s="268"/>
      <c r="IQH449" s="268"/>
      <c r="IQI449" s="268"/>
      <c r="IQJ449" s="268"/>
      <c r="IQK449" s="268"/>
      <c r="IQL449" s="268"/>
      <c r="IQM449" s="268"/>
      <c r="IQN449" s="268"/>
      <c r="IQO449" s="268"/>
      <c r="IQP449" s="268"/>
      <c r="IQQ449" s="268"/>
      <c r="IQR449" s="268"/>
      <c r="IQS449" s="268"/>
      <c r="IQT449" s="268"/>
      <c r="IQU449" s="268"/>
      <c r="IQV449" s="268"/>
      <c r="IQW449" s="268"/>
      <c r="IQX449" s="268"/>
      <c r="IQY449" s="268"/>
      <c r="IQZ449" s="268"/>
      <c r="IRA449" s="268"/>
      <c r="IRB449" s="268"/>
      <c r="IRC449" s="268"/>
      <c r="IRD449" s="268"/>
      <c r="IRE449" s="268"/>
      <c r="IRF449" s="268"/>
      <c r="IRG449" s="268"/>
      <c r="IRH449" s="268"/>
      <c r="IRI449" s="268"/>
      <c r="IRJ449" s="268"/>
      <c r="IRK449" s="268"/>
      <c r="IRL449" s="268"/>
      <c r="IRM449" s="268"/>
      <c r="IRN449" s="268"/>
      <c r="IRO449" s="268"/>
      <c r="IRP449" s="268"/>
      <c r="IRQ449" s="268"/>
      <c r="IRR449" s="268"/>
      <c r="IRS449" s="268"/>
      <c r="IRT449" s="268"/>
      <c r="IRU449" s="268"/>
      <c r="IRV449" s="268"/>
      <c r="IRW449" s="268"/>
      <c r="IRX449" s="268"/>
      <c r="IRY449" s="268"/>
      <c r="IRZ449" s="268"/>
      <c r="ISA449" s="268"/>
      <c r="ISB449" s="268"/>
      <c r="ISC449" s="268"/>
      <c r="ISD449" s="268"/>
      <c r="ISE449" s="268"/>
      <c r="ISF449" s="268"/>
      <c r="ISG449" s="268"/>
      <c r="ISH449" s="268"/>
      <c r="ISI449" s="268"/>
      <c r="ISJ449" s="268"/>
      <c r="ISK449" s="268"/>
      <c r="ISL449" s="268"/>
      <c r="ISM449" s="268"/>
      <c r="ISN449" s="268"/>
      <c r="ISO449" s="268"/>
      <c r="ISP449" s="268"/>
      <c r="ISQ449" s="268"/>
      <c r="ISR449" s="268"/>
      <c r="ISS449" s="268"/>
      <c r="IST449" s="268"/>
      <c r="ISU449" s="268"/>
      <c r="ISV449" s="268"/>
      <c r="ISW449" s="268"/>
      <c r="ISX449" s="268"/>
      <c r="ISY449" s="268"/>
      <c r="ISZ449" s="268"/>
      <c r="ITA449" s="268"/>
      <c r="ITB449" s="268"/>
      <c r="ITC449" s="268"/>
      <c r="ITD449" s="268"/>
      <c r="ITE449" s="268"/>
      <c r="ITF449" s="268"/>
      <c r="ITG449" s="268"/>
      <c r="ITH449" s="268"/>
      <c r="ITI449" s="268"/>
      <c r="ITJ449" s="268"/>
      <c r="ITK449" s="268"/>
      <c r="ITL449" s="268"/>
      <c r="ITM449" s="268"/>
      <c r="ITN449" s="268"/>
      <c r="ITO449" s="268"/>
      <c r="ITP449" s="268"/>
      <c r="ITQ449" s="268"/>
      <c r="ITR449" s="268"/>
      <c r="ITS449" s="268"/>
      <c r="ITT449" s="268"/>
      <c r="ITU449" s="268"/>
      <c r="ITV449" s="268"/>
      <c r="ITW449" s="268"/>
      <c r="ITX449" s="268"/>
      <c r="ITY449" s="268"/>
      <c r="ITZ449" s="268"/>
      <c r="IUA449" s="268"/>
      <c r="IUB449" s="268"/>
      <c r="IUC449" s="268"/>
      <c r="IUD449" s="268"/>
      <c r="IUE449" s="268"/>
      <c r="IUF449" s="268"/>
      <c r="IUG449" s="268"/>
      <c r="IUH449" s="268"/>
      <c r="IUI449" s="268"/>
      <c r="IUJ449" s="268"/>
      <c r="IUK449" s="268"/>
      <c r="IUL449" s="268"/>
      <c r="IUM449" s="268"/>
      <c r="IUN449" s="268"/>
      <c r="IUO449" s="268"/>
      <c r="IUP449" s="268"/>
      <c r="IUQ449" s="268"/>
      <c r="IVE449" s="268"/>
      <c r="IVF449" s="268"/>
      <c r="IVG449" s="268"/>
      <c r="IVU449" s="268"/>
      <c r="IVW449" s="268"/>
      <c r="IVX449" s="268"/>
      <c r="IVY449" s="268"/>
      <c r="IVZ449" s="268"/>
      <c r="IWA449" s="268"/>
      <c r="IWB449" s="268"/>
      <c r="IWC449" s="268"/>
      <c r="IWD449" s="268"/>
      <c r="IWE449" s="268"/>
      <c r="IWF449" s="268"/>
      <c r="IWG449" s="268"/>
      <c r="IWH449" s="268"/>
      <c r="IWI449" s="268"/>
      <c r="IWJ449" s="268"/>
      <c r="IWK449" s="268"/>
      <c r="IWL449" s="268"/>
      <c r="IWM449" s="268"/>
      <c r="IWN449" s="268"/>
      <c r="IWO449" s="268"/>
      <c r="IWP449" s="268"/>
      <c r="IWQ449" s="268"/>
      <c r="IWR449" s="268"/>
      <c r="IWS449" s="268"/>
      <c r="IWT449" s="268"/>
      <c r="IWU449" s="268"/>
      <c r="IWV449" s="268"/>
      <c r="IWW449" s="268"/>
      <c r="IWX449" s="268"/>
      <c r="IWY449" s="268"/>
      <c r="IWZ449" s="268"/>
      <c r="IXA449" s="268"/>
      <c r="IXB449" s="268"/>
      <c r="IXC449" s="268"/>
      <c r="IXD449" s="268"/>
      <c r="IXE449" s="268"/>
      <c r="IXF449" s="268"/>
      <c r="IXG449" s="268"/>
      <c r="IXH449" s="268"/>
      <c r="IXI449" s="268"/>
      <c r="IXJ449" s="268"/>
      <c r="IXK449" s="268"/>
      <c r="IXL449" s="268"/>
      <c r="IXM449" s="268"/>
      <c r="IXN449" s="268"/>
      <c r="IXO449" s="268"/>
      <c r="IXP449" s="268"/>
      <c r="IXQ449" s="268"/>
      <c r="IXR449" s="268"/>
      <c r="IXS449" s="268"/>
      <c r="IXT449" s="268"/>
      <c r="IXU449" s="268"/>
      <c r="IXV449" s="268"/>
      <c r="IXW449" s="268"/>
      <c r="IXX449" s="268"/>
      <c r="IXY449" s="268"/>
      <c r="IXZ449" s="268"/>
      <c r="IYA449" s="268"/>
      <c r="IYB449" s="268"/>
      <c r="IYC449" s="268"/>
      <c r="IYD449" s="268"/>
      <c r="IYE449" s="268"/>
      <c r="IYF449" s="268"/>
      <c r="IYG449" s="268"/>
      <c r="IYH449" s="268"/>
      <c r="IYI449" s="268"/>
      <c r="IYJ449" s="268"/>
      <c r="IYK449" s="268"/>
      <c r="IYL449" s="268"/>
      <c r="IYM449" s="268"/>
      <c r="IYN449" s="268"/>
      <c r="IYO449" s="268"/>
      <c r="IYP449" s="268"/>
      <c r="IYQ449" s="268"/>
      <c r="IYR449" s="268"/>
      <c r="IYS449" s="268"/>
      <c r="IYT449" s="268"/>
      <c r="IYU449" s="268"/>
      <c r="IYV449" s="268"/>
      <c r="IYW449" s="268"/>
      <c r="IYX449" s="268"/>
      <c r="IYY449" s="268"/>
      <c r="IYZ449" s="268"/>
      <c r="IZA449" s="268"/>
      <c r="IZB449" s="268"/>
      <c r="IZC449" s="268"/>
      <c r="IZD449" s="268"/>
      <c r="IZE449" s="268"/>
      <c r="IZF449" s="268"/>
      <c r="IZG449" s="268"/>
      <c r="IZH449" s="268"/>
      <c r="IZI449" s="268"/>
      <c r="IZJ449" s="268"/>
      <c r="IZK449" s="268"/>
      <c r="IZL449" s="268"/>
      <c r="IZM449" s="268"/>
      <c r="IZN449" s="268"/>
      <c r="IZO449" s="268"/>
      <c r="IZP449" s="268"/>
      <c r="IZQ449" s="268"/>
      <c r="IZR449" s="268"/>
      <c r="IZS449" s="268"/>
      <c r="IZT449" s="268"/>
      <c r="IZU449" s="268"/>
      <c r="IZV449" s="268"/>
      <c r="IZW449" s="268"/>
      <c r="IZX449" s="268"/>
      <c r="IZY449" s="268"/>
      <c r="IZZ449" s="268"/>
      <c r="JAA449" s="268"/>
      <c r="JAB449" s="268"/>
      <c r="JAC449" s="268"/>
      <c r="JAD449" s="268"/>
      <c r="JAE449" s="268"/>
      <c r="JAF449" s="268"/>
      <c r="JAG449" s="268"/>
      <c r="JAH449" s="268"/>
      <c r="JAI449" s="268"/>
      <c r="JAJ449" s="268"/>
      <c r="JAK449" s="268"/>
      <c r="JAL449" s="268"/>
      <c r="JAM449" s="268"/>
      <c r="JAN449" s="268"/>
      <c r="JAO449" s="268"/>
      <c r="JAP449" s="268"/>
      <c r="JAQ449" s="268"/>
      <c r="JAR449" s="268"/>
      <c r="JAS449" s="268"/>
      <c r="JAT449" s="268"/>
      <c r="JAU449" s="268"/>
      <c r="JAV449" s="268"/>
      <c r="JAW449" s="268"/>
      <c r="JAX449" s="268"/>
      <c r="JAY449" s="268"/>
      <c r="JAZ449" s="268"/>
      <c r="JBA449" s="268"/>
      <c r="JBB449" s="268"/>
      <c r="JBC449" s="268"/>
      <c r="JBD449" s="268"/>
      <c r="JBE449" s="268"/>
      <c r="JBF449" s="268"/>
      <c r="JBG449" s="268"/>
      <c r="JBH449" s="268"/>
      <c r="JBI449" s="268"/>
      <c r="JBJ449" s="268"/>
      <c r="JBK449" s="268"/>
      <c r="JBL449" s="268"/>
      <c r="JBM449" s="268"/>
      <c r="JBN449" s="268"/>
      <c r="JBO449" s="268"/>
      <c r="JBP449" s="268"/>
      <c r="JBQ449" s="268"/>
      <c r="JBR449" s="268"/>
      <c r="JBS449" s="268"/>
      <c r="JBT449" s="268"/>
      <c r="JBU449" s="268"/>
      <c r="JBV449" s="268"/>
      <c r="JBW449" s="268"/>
      <c r="JBX449" s="268"/>
      <c r="JBY449" s="268"/>
      <c r="JBZ449" s="268"/>
      <c r="JCA449" s="268"/>
      <c r="JCB449" s="268"/>
      <c r="JCC449" s="268"/>
      <c r="JCD449" s="268"/>
      <c r="JCE449" s="268"/>
      <c r="JCF449" s="268"/>
      <c r="JCG449" s="268"/>
      <c r="JCH449" s="268"/>
      <c r="JCI449" s="268"/>
      <c r="JCJ449" s="268"/>
      <c r="JCK449" s="268"/>
      <c r="JCL449" s="268"/>
      <c r="JCM449" s="268"/>
      <c r="JCN449" s="268"/>
      <c r="JCO449" s="268"/>
      <c r="JCP449" s="268"/>
      <c r="JCQ449" s="268"/>
      <c r="JCR449" s="268"/>
      <c r="JCS449" s="268"/>
      <c r="JCT449" s="268"/>
      <c r="JCU449" s="268"/>
      <c r="JCV449" s="268"/>
      <c r="JCW449" s="268"/>
      <c r="JCX449" s="268"/>
      <c r="JCY449" s="268"/>
      <c r="JCZ449" s="268"/>
      <c r="JDA449" s="268"/>
      <c r="JDB449" s="268"/>
      <c r="JDC449" s="268"/>
      <c r="JDD449" s="268"/>
      <c r="JDE449" s="268"/>
      <c r="JDF449" s="268"/>
      <c r="JDG449" s="268"/>
      <c r="JDH449" s="268"/>
      <c r="JDI449" s="268"/>
      <c r="JDJ449" s="268"/>
      <c r="JDK449" s="268"/>
      <c r="JDL449" s="268"/>
      <c r="JDM449" s="268"/>
      <c r="JDN449" s="268"/>
      <c r="JDO449" s="268"/>
      <c r="JDP449" s="268"/>
      <c r="JDQ449" s="268"/>
      <c r="JDR449" s="268"/>
      <c r="JDS449" s="268"/>
      <c r="JDT449" s="268"/>
      <c r="JDU449" s="268"/>
      <c r="JDV449" s="268"/>
      <c r="JDW449" s="268"/>
      <c r="JDX449" s="268"/>
      <c r="JDY449" s="268"/>
      <c r="JDZ449" s="268"/>
      <c r="JEA449" s="268"/>
      <c r="JEB449" s="268"/>
      <c r="JEC449" s="268"/>
      <c r="JED449" s="268"/>
      <c r="JEE449" s="268"/>
      <c r="JEF449" s="268"/>
      <c r="JEG449" s="268"/>
      <c r="JEH449" s="268"/>
      <c r="JEI449" s="268"/>
      <c r="JEJ449" s="268"/>
      <c r="JEK449" s="268"/>
      <c r="JEL449" s="268"/>
      <c r="JEM449" s="268"/>
      <c r="JFA449" s="268"/>
      <c r="JFB449" s="268"/>
      <c r="JFC449" s="268"/>
      <c r="JFQ449" s="268"/>
      <c r="JFS449" s="268"/>
      <c r="JFT449" s="268"/>
      <c r="JFU449" s="268"/>
      <c r="JFV449" s="268"/>
      <c r="JFW449" s="268"/>
      <c r="JFX449" s="268"/>
      <c r="JFY449" s="268"/>
      <c r="JFZ449" s="268"/>
      <c r="JGA449" s="268"/>
      <c r="JGB449" s="268"/>
      <c r="JGC449" s="268"/>
      <c r="JGD449" s="268"/>
      <c r="JGE449" s="268"/>
      <c r="JGF449" s="268"/>
      <c r="JGG449" s="268"/>
      <c r="JGH449" s="268"/>
      <c r="JGI449" s="268"/>
      <c r="JGJ449" s="268"/>
      <c r="JGK449" s="268"/>
      <c r="JGL449" s="268"/>
      <c r="JGM449" s="268"/>
      <c r="JGN449" s="268"/>
      <c r="JGO449" s="268"/>
      <c r="JGP449" s="268"/>
      <c r="JGQ449" s="268"/>
      <c r="JGR449" s="268"/>
      <c r="JGS449" s="268"/>
      <c r="JGT449" s="268"/>
      <c r="JGU449" s="268"/>
      <c r="JGV449" s="268"/>
      <c r="JGW449" s="268"/>
      <c r="JGX449" s="268"/>
      <c r="JGY449" s="268"/>
      <c r="JGZ449" s="268"/>
      <c r="JHA449" s="268"/>
      <c r="JHB449" s="268"/>
      <c r="JHC449" s="268"/>
      <c r="JHD449" s="268"/>
      <c r="JHE449" s="268"/>
      <c r="JHF449" s="268"/>
      <c r="JHG449" s="268"/>
      <c r="JHH449" s="268"/>
      <c r="JHI449" s="268"/>
      <c r="JHJ449" s="268"/>
      <c r="JHK449" s="268"/>
      <c r="JHL449" s="268"/>
      <c r="JHM449" s="268"/>
      <c r="JHN449" s="268"/>
      <c r="JHO449" s="268"/>
      <c r="JHP449" s="268"/>
      <c r="JHQ449" s="268"/>
      <c r="JHR449" s="268"/>
      <c r="JHS449" s="268"/>
      <c r="JHT449" s="268"/>
      <c r="JHU449" s="268"/>
      <c r="JHV449" s="268"/>
      <c r="JHW449" s="268"/>
      <c r="JHX449" s="268"/>
      <c r="JHY449" s="268"/>
      <c r="JHZ449" s="268"/>
      <c r="JIA449" s="268"/>
      <c r="JIB449" s="268"/>
      <c r="JIC449" s="268"/>
      <c r="JID449" s="268"/>
      <c r="JIE449" s="268"/>
      <c r="JIF449" s="268"/>
      <c r="JIG449" s="268"/>
      <c r="JIH449" s="268"/>
      <c r="JII449" s="268"/>
      <c r="JIJ449" s="268"/>
      <c r="JIK449" s="268"/>
      <c r="JIL449" s="268"/>
      <c r="JIM449" s="268"/>
      <c r="JIN449" s="268"/>
      <c r="JIO449" s="268"/>
      <c r="JIP449" s="268"/>
      <c r="JIQ449" s="268"/>
      <c r="JIR449" s="268"/>
      <c r="JIS449" s="268"/>
      <c r="JIT449" s="268"/>
      <c r="JIU449" s="268"/>
      <c r="JIV449" s="268"/>
      <c r="JIW449" s="268"/>
      <c r="JIX449" s="268"/>
      <c r="JIY449" s="268"/>
      <c r="JIZ449" s="268"/>
      <c r="JJA449" s="268"/>
      <c r="JJB449" s="268"/>
      <c r="JJC449" s="268"/>
      <c r="JJD449" s="268"/>
      <c r="JJE449" s="268"/>
      <c r="JJF449" s="268"/>
      <c r="JJG449" s="268"/>
      <c r="JJH449" s="268"/>
      <c r="JJI449" s="268"/>
      <c r="JJJ449" s="268"/>
      <c r="JJK449" s="268"/>
      <c r="JJL449" s="268"/>
      <c r="JJM449" s="268"/>
      <c r="JJN449" s="268"/>
      <c r="JJO449" s="268"/>
      <c r="JJP449" s="268"/>
      <c r="JJQ449" s="268"/>
      <c r="JJR449" s="268"/>
      <c r="JJS449" s="268"/>
      <c r="JJT449" s="268"/>
      <c r="JJU449" s="268"/>
      <c r="JJV449" s="268"/>
      <c r="JJW449" s="268"/>
      <c r="JJX449" s="268"/>
      <c r="JJY449" s="268"/>
      <c r="JJZ449" s="268"/>
      <c r="JKA449" s="268"/>
      <c r="JKB449" s="268"/>
      <c r="JKC449" s="268"/>
      <c r="JKD449" s="268"/>
      <c r="JKE449" s="268"/>
      <c r="JKF449" s="268"/>
      <c r="JKG449" s="268"/>
      <c r="JKH449" s="268"/>
      <c r="JKI449" s="268"/>
      <c r="JKJ449" s="268"/>
      <c r="JKK449" s="268"/>
      <c r="JKL449" s="268"/>
      <c r="JKM449" s="268"/>
      <c r="JKN449" s="268"/>
      <c r="JKO449" s="268"/>
      <c r="JKP449" s="268"/>
      <c r="JKQ449" s="268"/>
      <c r="JKR449" s="268"/>
      <c r="JKS449" s="268"/>
      <c r="JKT449" s="268"/>
      <c r="JKU449" s="268"/>
      <c r="JKV449" s="268"/>
      <c r="JKW449" s="268"/>
      <c r="JKX449" s="268"/>
      <c r="JKY449" s="268"/>
      <c r="JKZ449" s="268"/>
      <c r="JLA449" s="268"/>
      <c r="JLB449" s="268"/>
      <c r="JLC449" s="268"/>
      <c r="JLD449" s="268"/>
      <c r="JLE449" s="268"/>
      <c r="JLF449" s="268"/>
      <c r="JLG449" s="268"/>
      <c r="JLH449" s="268"/>
      <c r="JLI449" s="268"/>
      <c r="JLJ449" s="268"/>
      <c r="JLK449" s="268"/>
      <c r="JLL449" s="268"/>
      <c r="JLM449" s="268"/>
      <c r="JLN449" s="268"/>
      <c r="JLO449" s="268"/>
      <c r="JLP449" s="268"/>
      <c r="JLQ449" s="268"/>
      <c r="JLR449" s="268"/>
      <c r="JLS449" s="268"/>
      <c r="JLT449" s="268"/>
      <c r="JLU449" s="268"/>
      <c r="JLV449" s="268"/>
      <c r="JLW449" s="268"/>
      <c r="JLX449" s="268"/>
      <c r="JLY449" s="268"/>
      <c r="JLZ449" s="268"/>
      <c r="JMA449" s="268"/>
      <c r="JMB449" s="268"/>
      <c r="JMC449" s="268"/>
      <c r="JMD449" s="268"/>
      <c r="JME449" s="268"/>
      <c r="JMF449" s="268"/>
      <c r="JMG449" s="268"/>
      <c r="JMH449" s="268"/>
      <c r="JMI449" s="268"/>
      <c r="JMJ449" s="268"/>
      <c r="JMK449" s="268"/>
      <c r="JML449" s="268"/>
      <c r="JMM449" s="268"/>
      <c r="JMN449" s="268"/>
      <c r="JMO449" s="268"/>
      <c r="JMP449" s="268"/>
      <c r="JMQ449" s="268"/>
      <c r="JMR449" s="268"/>
      <c r="JMS449" s="268"/>
      <c r="JMT449" s="268"/>
      <c r="JMU449" s="268"/>
      <c r="JMV449" s="268"/>
      <c r="JMW449" s="268"/>
      <c r="JMX449" s="268"/>
      <c r="JMY449" s="268"/>
      <c r="JMZ449" s="268"/>
      <c r="JNA449" s="268"/>
      <c r="JNB449" s="268"/>
      <c r="JNC449" s="268"/>
      <c r="JND449" s="268"/>
      <c r="JNE449" s="268"/>
      <c r="JNF449" s="268"/>
      <c r="JNG449" s="268"/>
      <c r="JNH449" s="268"/>
      <c r="JNI449" s="268"/>
      <c r="JNJ449" s="268"/>
      <c r="JNK449" s="268"/>
      <c r="JNL449" s="268"/>
      <c r="JNM449" s="268"/>
      <c r="JNN449" s="268"/>
      <c r="JNO449" s="268"/>
      <c r="JNP449" s="268"/>
      <c r="JNQ449" s="268"/>
      <c r="JNR449" s="268"/>
      <c r="JNS449" s="268"/>
      <c r="JNT449" s="268"/>
      <c r="JNU449" s="268"/>
      <c r="JNV449" s="268"/>
      <c r="JNW449" s="268"/>
      <c r="JNX449" s="268"/>
      <c r="JNY449" s="268"/>
      <c r="JNZ449" s="268"/>
      <c r="JOA449" s="268"/>
      <c r="JOB449" s="268"/>
      <c r="JOC449" s="268"/>
      <c r="JOD449" s="268"/>
      <c r="JOE449" s="268"/>
      <c r="JOF449" s="268"/>
      <c r="JOG449" s="268"/>
      <c r="JOH449" s="268"/>
      <c r="JOI449" s="268"/>
      <c r="JOW449" s="268"/>
      <c r="JOX449" s="268"/>
      <c r="JOY449" s="268"/>
      <c r="JPM449" s="268"/>
      <c r="JPO449" s="268"/>
      <c r="JPP449" s="268"/>
      <c r="JPQ449" s="268"/>
      <c r="JPR449" s="268"/>
      <c r="JPS449" s="268"/>
      <c r="JPT449" s="268"/>
      <c r="JPU449" s="268"/>
      <c r="JPV449" s="268"/>
      <c r="JPW449" s="268"/>
      <c r="JPX449" s="268"/>
      <c r="JPY449" s="268"/>
      <c r="JPZ449" s="268"/>
      <c r="JQA449" s="268"/>
      <c r="JQB449" s="268"/>
      <c r="JQC449" s="268"/>
      <c r="JQD449" s="268"/>
      <c r="JQE449" s="268"/>
      <c r="JQF449" s="268"/>
      <c r="JQG449" s="268"/>
      <c r="JQH449" s="268"/>
      <c r="JQI449" s="268"/>
      <c r="JQJ449" s="268"/>
      <c r="JQK449" s="268"/>
      <c r="JQL449" s="268"/>
      <c r="JQM449" s="268"/>
      <c r="JQN449" s="268"/>
      <c r="JQO449" s="268"/>
      <c r="JQP449" s="268"/>
      <c r="JQQ449" s="268"/>
      <c r="JQR449" s="268"/>
      <c r="JQS449" s="268"/>
      <c r="JQT449" s="268"/>
      <c r="JQU449" s="268"/>
      <c r="JQV449" s="268"/>
      <c r="JQW449" s="268"/>
      <c r="JQX449" s="268"/>
      <c r="JQY449" s="268"/>
      <c r="JQZ449" s="268"/>
      <c r="JRA449" s="268"/>
      <c r="JRB449" s="268"/>
      <c r="JRC449" s="268"/>
      <c r="JRD449" s="268"/>
      <c r="JRE449" s="268"/>
      <c r="JRF449" s="268"/>
      <c r="JRG449" s="268"/>
      <c r="JRH449" s="268"/>
      <c r="JRI449" s="268"/>
      <c r="JRJ449" s="268"/>
      <c r="JRK449" s="268"/>
      <c r="JRL449" s="268"/>
      <c r="JRM449" s="268"/>
      <c r="JRN449" s="268"/>
      <c r="JRO449" s="268"/>
      <c r="JRP449" s="268"/>
      <c r="JRQ449" s="268"/>
      <c r="JRR449" s="268"/>
      <c r="JRS449" s="268"/>
      <c r="JRT449" s="268"/>
      <c r="JRU449" s="268"/>
      <c r="JRV449" s="268"/>
      <c r="JRW449" s="268"/>
      <c r="JRX449" s="268"/>
      <c r="JRY449" s="268"/>
      <c r="JRZ449" s="268"/>
      <c r="JSA449" s="268"/>
      <c r="JSB449" s="268"/>
      <c r="JSC449" s="268"/>
      <c r="JSD449" s="268"/>
      <c r="JSE449" s="268"/>
      <c r="JSF449" s="268"/>
      <c r="JSG449" s="268"/>
      <c r="JSH449" s="268"/>
      <c r="JSI449" s="268"/>
      <c r="JSJ449" s="268"/>
      <c r="JSK449" s="268"/>
      <c r="JSL449" s="268"/>
      <c r="JSM449" s="268"/>
      <c r="JSN449" s="268"/>
      <c r="JSO449" s="268"/>
      <c r="JSP449" s="268"/>
      <c r="JSQ449" s="268"/>
      <c r="JSR449" s="268"/>
      <c r="JSS449" s="268"/>
      <c r="JST449" s="268"/>
      <c r="JSU449" s="268"/>
      <c r="JSV449" s="268"/>
      <c r="JSW449" s="268"/>
      <c r="JSX449" s="268"/>
      <c r="JSY449" s="268"/>
      <c r="JSZ449" s="268"/>
      <c r="JTA449" s="268"/>
      <c r="JTB449" s="268"/>
      <c r="JTC449" s="268"/>
      <c r="JTD449" s="268"/>
      <c r="JTE449" s="268"/>
      <c r="JTF449" s="268"/>
      <c r="JTG449" s="268"/>
      <c r="JTH449" s="268"/>
      <c r="JTI449" s="268"/>
      <c r="JTJ449" s="268"/>
      <c r="JTK449" s="268"/>
      <c r="JTL449" s="268"/>
      <c r="JTM449" s="268"/>
      <c r="JTN449" s="268"/>
      <c r="JTO449" s="268"/>
      <c r="JTP449" s="268"/>
      <c r="JTQ449" s="268"/>
      <c r="JTR449" s="268"/>
      <c r="JTS449" s="268"/>
      <c r="JTT449" s="268"/>
      <c r="JTU449" s="268"/>
      <c r="JTV449" s="268"/>
      <c r="JTW449" s="268"/>
      <c r="JTX449" s="268"/>
      <c r="JTY449" s="268"/>
      <c r="JTZ449" s="268"/>
      <c r="JUA449" s="268"/>
      <c r="JUB449" s="268"/>
      <c r="JUC449" s="268"/>
      <c r="JUD449" s="268"/>
      <c r="JUE449" s="268"/>
      <c r="JUF449" s="268"/>
      <c r="JUG449" s="268"/>
      <c r="JUH449" s="268"/>
      <c r="JUI449" s="268"/>
      <c r="JUJ449" s="268"/>
      <c r="JUK449" s="268"/>
      <c r="JUL449" s="268"/>
      <c r="JUM449" s="268"/>
      <c r="JUN449" s="268"/>
      <c r="JUO449" s="268"/>
      <c r="JUP449" s="268"/>
      <c r="JUQ449" s="268"/>
      <c r="JUR449" s="268"/>
      <c r="JUS449" s="268"/>
      <c r="JUT449" s="268"/>
      <c r="JUU449" s="268"/>
      <c r="JUV449" s="268"/>
      <c r="JUW449" s="268"/>
      <c r="JUX449" s="268"/>
      <c r="JUY449" s="268"/>
      <c r="JUZ449" s="268"/>
      <c r="JVA449" s="268"/>
      <c r="JVB449" s="268"/>
      <c r="JVC449" s="268"/>
      <c r="JVD449" s="268"/>
      <c r="JVE449" s="268"/>
      <c r="JVF449" s="268"/>
      <c r="JVG449" s="268"/>
      <c r="JVH449" s="268"/>
      <c r="JVI449" s="268"/>
      <c r="JVJ449" s="268"/>
      <c r="JVK449" s="268"/>
      <c r="JVL449" s="268"/>
      <c r="JVM449" s="268"/>
      <c r="JVN449" s="268"/>
      <c r="JVO449" s="268"/>
      <c r="JVP449" s="268"/>
      <c r="JVQ449" s="268"/>
      <c r="JVR449" s="268"/>
      <c r="JVS449" s="268"/>
      <c r="JVT449" s="268"/>
      <c r="JVU449" s="268"/>
      <c r="JVV449" s="268"/>
      <c r="JVW449" s="268"/>
      <c r="JVX449" s="268"/>
      <c r="JVY449" s="268"/>
      <c r="JVZ449" s="268"/>
      <c r="JWA449" s="268"/>
      <c r="JWB449" s="268"/>
      <c r="JWC449" s="268"/>
      <c r="JWD449" s="268"/>
      <c r="JWE449" s="268"/>
      <c r="JWF449" s="268"/>
      <c r="JWG449" s="268"/>
      <c r="JWH449" s="268"/>
      <c r="JWI449" s="268"/>
      <c r="JWJ449" s="268"/>
      <c r="JWK449" s="268"/>
      <c r="JWL449" s="268"/>
      <c r="JWM449" s="268"/>
      <c r="JWN449" s="268"/>
      <c r="JWO449" s="268"/>
      <c r="JWP449" s="268"/>
      <c r="JWQ449" s="268"/>
      <c r="JWR449" s="268"/>
      <c r="JWS449" s="268"/>
      <c r="JWT449" s="268"/>
      <c r="JWU449" s="268"/>
      <c r="JWV449" s="268"/>
      <c r="JWW449" s="268"/>
      <c r="JWX449" s="268"/>
      <c r="JWY449" s="268"/>
      <c r="JWZ449" s="268"/>
      <c r="JXA449" s="268"/>
      <c r="JXB449" s="268"/>
      <c r="JXC449" s="268"/>
      <c r="JXD449" s="268"/>
      <c r="JXE449" s="268"/>
      <c r="JXF449" s="268"/>
      <c r="JXG449" s="268"/>
      <c r="JXH449" s="268"/>
      <c r="JXI449" s="268"/>
      <c r="JXJ449" s="268"/>
      <c r="JXK449" s="268"/>
      <c r="JXL449" s="268"/>
      <c r="JXM449" s="268"/>
      <c r="JXN449" s="268"/>
      <c r="JXO449" s="268"/>
      <c r="JXP449" s="268"/>
      <c r="JXQ449" s="268"/>
      <c r="JXR449" s="268"/>
      <c r="JXS449" s="268"/>
      <c r="JXT449" s="268"/>
      <c r="JXU449" s="268"/>
      <c r="JXV449" s="268"/>
      <c r="JXW449" s="268"/>
      <c r="JXX449" s="268"/>
      <c r="JXY449" s="268"/>
      <c r="JXZ449" s="268"/>
      <c r="JYA449" s="268"/>
      <c r="JYB449" s="268"/>
      <c r="JYC449" s="268"/>
      <c r="JYD449" s="268"/>
      <c r="JYE449" s="268"/>
      <c r="JYS449" s="268"/>
      <c r="JYT449" s="268"/>
      <c r="JYU449" s="268"/>
      <c r="JZI449" s="268"/>
      <c r="JZK449" s="268"/>
      <c r="JZL449" s="268"/>
      <c r="JZM449" s="268"/>
      <c r="JZN449" s="268"/>
      <c r="JZO449" s="268"/>
      <c r="JZP449" s="268"/>
      <c r="JZQ449" s="268"/>
      <c r="JZR449" s="268"/>
      <c r="JZS449" s="268"/>
      <c r="JZT449" s="268"/>
      <c r="JZU449" s="268"/>
      <c r="JZV449" s="268"/>
      <c r="JZW449" s="268"/>
      <c r="JZX449" s="268"/>
      <c r="JZY449" s="268"/>
      <c r="JZZ449" s="268"/>
      <c r="KAA449" s="268"/>
      <c r="KAB449" s="268"/>
      <c r="KAC449" s="268"/>
      <c r="KAD449" s="268"/>
      <c r="KAE449" s="268"/>
      <c r="KAF449" s="268"/>
      <c r="KAG449" s="268"/>
      <c r="KAH449" s="268"/>
      <c r="KAI449" s="268"/>
      <c r="KAJ449" s="268"/>
      <c r="KAK449" s="268"/>
      <c r="KAL449" s="268"/>
      <c r="KAM449" s="268"/>
      <c r="KAN449" s="268"/>
      <c r="KAO449" s="268"/>
      <c r="KAP449" s="268"/>
      <c r="KAQ449" s="268"/>
      <c r="KAR449" s="268"/>
      <c r="KAS449" s="268"/>
      <c r="KAT449" s="268"/>
      <c r="KAU449" s="268"/>
      <c r="KAV449" s="268"/>
      <c r="KAW449" s="268"/>
      <c r="KAX449" s="268"/>
      <c r="KAY449" s="268"/>
      <c r="KAZ449" s="268"/>
      <c r="KBA449" s="268"/>
      <c r="KBB449" s="268"/>
      <c r="KBC449" s="268"/>
      <c r="KBD449" s="268"/>
      <c r="KBE449" s="268"/>
      <c r="KBF449" s="268"/>
      <c r="KBG449" s="268"/>
      <c r="KBH449" s="268"/>
      <c r="KBI449" s="268"/>
      <c r="KBJ449" s="268"/>
      <c r="KBK449" s="268"/>
      <c r="KBL449" s="268"/>
      <c r="KBM449" s="268"/>
      <c r="KBN449" s="268"/>
      <c r="KBO449" s="268"/>
      <c r="KBP449" s="268"/>
      <c r="KBQ449" s="268"/>
      <c r="KBR449" s="268"/>
      <c r="KBS449" s="268"/>
      <c r="KBT449" s="268"/>
      <c r="KBU449" s="268"/>
      <c r="KBV449" s="268"/>
      <c r="KBW449" s="268"/>
      <c r="KBX449" s="268"/>
      <c r="KBY449" s="268"/>
      <c r="KBZ449" s="268"/>
      <c r="KCA449" s="268"/>
      <c r="KCB449" s="268"/>
      <c r="KCC449" s="268"/>
      <c r="KCD449" s="268"/>
      <c r="KCE449" s="268"/>
      <c r="KCF449" s="268"/>
      <c r="KCG449" s="268"/>
      <c r="KCH449" s="268"/>
      <c r="KCI449" s="268"/>
      <c r="KCJ449" s="268"/>
      <c r="KCK449" s="268"/>
      <c r="KCL449" s="268"/>
      <c r="KCM449" s="268"/>
      <c r="KCN449" s="268"/>
      <c r="KCO449" s="268"/>
      <c r="KCP449" s="268"/>
      <c r="KCQ449" s="268"/>
      <c r="KCR449" s="268"/>
      <c r="KCS449" s="268"/>
      <c r="KCT449" s="268"/>
      <c r="KCU449" s="268"/>
      <c r="KCV449" s="268"/>
      <c r="KCW449" s="268"/>
      <c r="KCX449" s="268"/>
      <c r="KCY449" s="268"/>
      <c r="KCZ449" s="268"/>
      <c r="KDA449" s="268"/>
      <c r="KDB449" s="268"/>
      <c r="KDC449" s="268"/>
      <c r="KDD449" s="268"/>
      <c r="KDE449" s="268"/>
      <c r="KDF449" s="268"/>
      <c r="KDG449" s="268"/>
      <c r="KDH449" s="268"/>
      <c r="KDI449" s="268"/>
      <c r="KDJ449" s="268"/>
      <c r="KDK449" s="268"/>
      <c r="KDL449" s="268"/>
      <c r="KDM449" s="268"/>
      <c r="KDN449" s="268"/>
      <c r="KDO449" s="268"/>
      <c r="KDP449" s="268"/>
      <c r="KDQ449" s="268"/>
      <c r="KDR449" s="268"/>
      <c r="KDS449" s="268"/>
      <c r="KDT449" s="268"/>
      <c r="KDU449" s="268"/>
      <c r="KDV449" s="268"/>
      <c r="KDW449" s="268"/>
      <c r="KDX449" s="268"/>
      <c r="KDY449" s="268"/>
      <c r="KDZ449" s="268"/>
      <c r="KEA449" s="268"/>
      <c r="KEB449" s="268"/>
      <c r="KEC449" s="268"/>
      <c r="KED449" s="268"/>
      <c r="KEE449" s="268"/>
      <c r="KEF449" s="268"/>
      <c r="KEG449" s="268"/>
      <c r="KEH449" s="268"/>
      <c r="KEI449" s="268"/>
      <c r="KEJ449" s="268"/>
      <c r="KEK449" s="268"/>
      <c r="KEL449" s="268"/>
      <c r="KEM449" s="268"/>
      <c r="KEN449" s="268"/>
      <c r="KEO449" s="268"/>
      <c r="KEP449" s="268"/>
      <c r="KEQ449" s="268"/>
      <c r="KER449" s="268"/>
      <c r="KES449" s="268"/>
      <c r="KET449" s="268"/>
      <c r="KEU449" s="268"/>
      <c r="KEV449" s="268"/>
      <c r="KEW449" s="268"/>
      <c r="KEX449" s="268"/>
      <c r="KEY449" s="268"/>
      <c r="KEZ449" s="268"/>
      <c r="KFA449" s="268"/>
      <c r="KFB449" s="268"/>
      <c r="KFC449" s="268"/>
      <c r="KFD449" s="268"/>
      <c r="KFE449" s="268"/>
      <c r="KFF449" s="268"/>
      <c r="KFG449" s="268"/>
      <c r="KFH449" s="268"/>
      <c r="KFI449" s="268"/>
      <c r="KFJ449" s="268"/>
      <c r="KFK449" s="268"/>
      <c r="KFL449" s="268"/>
      <c r="KFM449" s="268"/>
      <c r="KFN449" s="268"/>
      <c r="KFO449" s="268"/>
      <c r="KFP449" s="268"/>
      <c r="KFQ449" s="268"/>
      <c r="KFR449" s="268"/>
      <c r="KFS449" s="268"/>
      <c r="KFT449" s="268"/>
      <c r="KFU449" s="268"/>
      <c r="KFV449" s="268"/>
      <c r="KFW449" s="268"/>
      <c r="KFX449" s="268"/>
      <c r="KFY449" s="268"/>
      <c r="KFZ449" s="268"/>
      <c r="KGA449" s="268"/>
      <c r="KGB449" s="268"/>
      <c r="KGC449" s="268"/>
      <c r="KGD449" s="268"/>
      <c r="KGE449" s="268"/>
      <c r="KGF449" s="268"/>
      <c r="KGG449" s="268"/>
      <c r="KGH449" s="268"/>
      <c r="KGI449" s="268"/>
      <c r="KGJ449" s="268"/>
      <c r="KGK449" s="268"/>
      <c r="KGL449" s="268"/>
      <c r="KGM449" s="268"/>
      <c r="KGN449" s="268"/>
      <c r="KGO449" s="268"/>
      <c r="KGP449" s="268"/>
      <c r="KGQ449" s="268"/>
      <c r="KGR449" s="268"/>
      <c r="KGS449" s="268"/>
      <c r="KGT449" s="268"/>
      <c r="KGU449" s="268"/>
      <c r="KGV449" s="268"/>
      <c r="KGW449" s="268"/>
      <c r="KGX449" s="268"/>
      <c r="KGY449" s="268"/>
      <c r="KGZ449" s="268"/>
      <c r="KHA449" s="268"/>
      <c r="KHB449" s="268"/>
      <c r="KHC449" s="268"/>
      <c r="KHD449" s="268"/>
      <c r="KHE449" s="268"/>
      <c r="KHF449" s="268"/>
      <c r="KHG449" s="268"/>
      <c r="KHH449" s="268"/>
      <c r="KHI449" s="268"/>
      <c r="KHJ449" s="268"/>
      <c r="KHK449" s="268"/>
      <c r="KHL449" s="268"/>
      <c r="KHM449" s="268"/>
      <c r="KHN449" s="268"/>
      <c r="KHO449" s="268"/>
      <c r="KHP449" s="268"/>
      <c r="KHQ449" s="268"/>
      <c r="KHR449" s="268"/>
      <c r="KHS449" s="268"/>
      <c r="KHT449" s="268"/>
      <c r="KHU449" s="268"/>
      <c r="KHV449" s="268"/>
      <c r="KHW449" s="268"/>
      <c r="KHX449" s="268"/>
      <c r="KHY449" s="268"/>
      <c r="KHZ449" s="268"/>
      <c r="KIA449" s="268"/>
      <c r="KIO449" s="268"/>
      <c r="KIP449" s="268"/>
      <c r="KIQ449" s="268"/>
      <c r="KJE449" s="268"/>
      <c r="KJG449" s="268"/>
      <c r="KJH449" s="268"/>
      <c r="KJI449" s="268"/>
      <c r="KJJ449" s="268"/>
      <c r="KJK449" s="268"/>
      <c r="KJL449" s="268"/>
      <c r="KJM449" s="268"/>
      <c r="KJN449" s="268"/>
      <c r="KJO449" s="268"/>
      <c r="KJP449" s="268"/>
      <c r="KJQ449" s="268"/>
      <c r="KJR449" s="268"/>
      <c r="KJS449" s="268"/>
      <c r="KJT449" s="268"/>
      <c r="KJU449" s="268"/>
      <c r="KJV449" s="268"/>
      <c r="KJW449" s="268"/>
      <c r="KJX449" s="268"/>
      <c r="KJY449" s="268"/>
      <c r="KJZ449" s="268"/>
      <c r="KKA449" s="268"/>
      <c r="KKB449" s="268"/>
      <c r="KKC449" s="268"/>
      <c r="KKD449" s="268"/>
      <c r="KKE449" s="268"/>
      <c r="KKF449" s="268"/>
      <c r="KKG449" s="268"/>
      <c r="KKH449" s="268"/>
      <c r="KKI449" s="268"/>
      <c r="KKJ449" s="268"/>
      <c r="KKK449" s="268"/>
      <c r="KKL449" s="268"/>
      <c r="KKM449" s="268"/>
      <c r="KKN449" s="268"/>
      <c r="KKO449" s="268"/>
      <c r="KKP449" s="268"/>
      <c r="KKQ449" s="268"/>
      <c r="KKR449" s="268"/>
      <c r="KKS449" s="268"/>
      <c r="KKT449" s="268"/>
      <c r="KKU449" s="268"/>
      <c r="KKV449" s="268"/>
      <c r="KKW449" s="268"/>
      <c r="KKX449" s="268"/>
      <c r="KKY449" s="268"/>
      <c r="KKZ449" s="268"/>
      <c r="KLA449" s="268"/>
      <c r="KLB449" s="268"/>
      <c r="KLC449" s="268"/>
      <c r="KLD449" s="268"/>
      <c r="KLE449" s="268"/>
      <c r="KLF449" s="268"/>
      <c r="KLG449" s="268"/>
      <c r="KLH449" s="268"/>
      <c r="KLI449" s="268"/>
      <c r="KLJ449" s="268"/>
      <c r="KLK449" s="268"/>
      <c r="KLL449" s="268"/>
      <c r="KLM449" s="268"/>
      <c r="KLN449" s="268"/>
      <c r="KLO449" s="268"/>
      <c r="KLP449" s="268"/>
      <c r="KLQ449" s="268"/>
      <c r="KLR449" s="268"/>
      <c r="KLS449" s="268"/>
      <c r="KLT449" s="268"/>
      <c r="KLU449" s="268"/>
      <c r="KLV449" s="268"/>
      <c r="KLW449" s="268"/>
      <c r="KLX449" s="268"/>
      <c r="KLY449" s="268"/>
      <c r="KLZ449" s="268"/>
      <c r="KMA449" s="268"/>
      <c r="KMB449" s="268"/>
      <c r="KMC449" s="268"/>
      <c r="KMD449" s="268"/>
      <c r="KME449" s="268"/>
      <c r="KMF449" s="268"/>
      <c r="KMG449" s="268"/>
      <c r="KMH449" s="268"/>
      <c r="KMI449" s="268"/>
      <c r="KMJ449" s="268"/>
      <c r="KMK449" s="268"/>
      <c r="KML449" s="268"/>
      <c r="KMM449" s="268"/>
      <c r="KMN449" s="268"/>
      <c r="KMO449" s="268"/>
      <c r="KMP449" s="268"/>
      <c r="KMQ449" s="268"/>
      <c r="KMR449" s="268"/>
      <c r="KMS449" s="268"/>
      <c r="KMT449" s="268"/>
      <c r="KMU449" s="268"/>
      <c r="KMV449" s="268"/>
      <c r="KMW449" s="268"/>
      <c r="KMX449" s="268"/>
      <c r="KMY449" s="268"/>
      <c r="KMZ449" s="268"/>
      <c r="KNA449" s="268"/>
      <c r="KNB449" s="268"/>
      <c r="KNC449" s="268"/>
      <c r="KND449" s="268"/>
      <c r="KNE449" s="268"/>
      <c r="KNF449" s="268"/>
      <c r="KNG449" s="268"/>
      <c r="KNH449" s="268"/>
      <c r="KNI449" s="268"/>
      <c r="KNJ449" s="268"/>
      <c r="KNK449" s="268"/>
      <c r="KNL449" s="268"/>
      <c r="KNM449" s="268"/>
      <c r="KNN449" s="268"/>
      <c r="KNO449" s="268"/>
      <c r="KNP449" s="268"/>
      <c r="KNQ449" s="268"/>
      <c r="KNR449" s="268"/>
      <c r="KNS449" s="268"/>
      <c r="KNT449" s="268"/>
      <c r="KNU449" s="268"/>
      <c r="KNV449" s="268"/>
      <c r="KNW449" s="268"/>
      <c r="KNX449" s="268"/>
      <c r="KNY449" s="268"/>
      <c r="KNZ449" s="268"/>
      <c r="KOA449" s="268"/>
      <c r="KOB449" s="268"/>
      <c r="KOC449" s="268"/>
      <c r="KOD449" s="268"/>
      <c r="KOE449" s="268"/>
      <c r="KOF449" s="268"/>
      <c r="KOG449" s="268"/>
      <c r="KOH449" s="268"/>
      <c r="KOI449" s="268"/>
      <c r="KOJ449" s="268"/>
      <c r="KOK449" s="268"/>
      <c r="KOL449" s="268"/>
      <c r="KOM449" s="268"/>
      <c r="KON449" s="268"/>
      <c r="KOO449" s="268"/>
      <c r="KOP449" s="268"/>
      <c r="KOQ449" s="268"/>
      <c r="KOR449" s="268"/>
      <c r="KOS449" s="268"/>
      <c r="KOT449" s="268"/>
      <c r="KOU449" s="268"/>
      <c r="KOV449" s="268"/>
      <c r="KOW449" s="268"/>
      <c r="KOX449" s="268"/>
      <c r="KOY449" s="268"/>
      <c r="KOZ449" s="268"/>
      <c r="KPA449" s="268"/>
      <c r="KPB449" s="268"/>
      <c r="KPC449" s="268"/>
      <c r="KPD449" s="268"/>
      <c r="KPE449" s="268"/>
      <c r="KPF449" s="268"/>
      <c r="KPG449" s="268"/>
      <c r="KPH449" s="268"/>
      <c r="KPI449" s="268"/>
      <c r="KPJ449" s="268"/>
      <c r="KPK449" s="268"/>
      <c r="KPL449" s="268"/>
      <c r="KPM449" s="268"/>
      <c r="KPN449" s="268"/>
      <c r="KPO449" s="268"/>
      <c r="KPP449" s="268"/>
      <c r="KPQ449" s="268"/>
      <c r="KPR449" s="268"/>
      <c r="KPS449" s="268"/>
      <c r="KPT449" s="268"/>
      <c r="KPU449" s="268"/>
      <c r="KPV449" s="268"/>
      <c r="KPW449" s="268"/>
      <c r="KPX449" s="268"/>
      <c r="KPY449" s="268"/>
      <c r="KPZ449" s="268"/>
      <c r="KQA449" s="268"/>
      <c r="KQB449" s="268"/>
      <c r="KQC449" s="268"/>
      <c r="KQD449" s="268"/>
      <c r="KQE449" s="268"/>
      <c r="KQF449" s="268"/>
      <c r="KQG449" s="268"/>
      <c r="KQH449" s="268"/>
      <c r="KQI449" s="268"/>
      <c r="KQJ449" s="268"/>
      <c r="KQK449" s="268"/>
      <c r="KQL449" s="268"/>
      <c r="KQM449" s="268"/>
      <c r="KQN449" s="268"/>
      <c r="KQO449" s="268"/>
      <c r="KQP449" s="268"/>
      <c r="KQQ449" s="268"/>
      <c r="KQR449" s="268"/>
      <c r="KQS449" s="268"/>
      <c r="KQT449" s="268"/>
      <c r="KQU449" s="268"/>
      <c r="KQV449" s="268"/>
      <c r="KQW449" s="268"/>
      <c r="KQX449" s="268"/>
      <c r="KQY449" s="268"/>
      <c r="KQZ449" s="268"/>
      <c r="KRA449" s="268"/>
      <c r="KRB449" s="268"/>
      <c r="KRC449" s="268"/>
      <c r="KRD449" s="268"/>
      <c r="KRE449" s="268"/>
      <c r="KRF449" s="268"/>
      <c r="KRG449" s="268"/>
      <c r="KRH449" s="268"/>
      <c r="KRI449" s="268"/>
      <c r="KRJ449" s="268"/>
      <c r="KRK449" s="268"/>
      <c r="KRL449" s="268"/>
      <c r="KRM449" s="268"/>
      <c r="KRN449" s="268"/>
      <c r="KRO449" s="268"/>
      <c r="KRP449" s="268"/>
      <c r="KRQ449" s="268"/>
      <c r="KRR449" s="268"/>
      <c r="KRS449" s="268"/>
      <c r="KRT449" s="268"/>
      <c r="KRU449" s="268"/>
      <c r="KRV449" s="268"/>
      <c r="KRW449" s="268"/>
      <c r="KSK449" s="268"/>
      <c r="KSL449" s="268"/>
      <c r="KSM449" s="268"/>
      <c r="KTA449" s="268"/>
      <c r="KTC449" s="268"/>
      <c r="KTD449" s="268"/>
      <c r="KTE449" s="268"/>
      <c r="KTF449" s="268"/>
      <c r="KTG449" s="268"/>
      <c r="KTH449" s="268"/>
      <c r="KTI449" s="268"/>
      <c r="KTJ449" s="268"/>
      <c r="KTK449" s="268"/>
      <c r="KTL449" s="268"/>
      <c r="KTM449" s="268"/>
      <c r="KTN449" s="268"/>
      <c r="KTO449" s="268"/>
      <c r="KTP449" s="268"/>
      <c r="KTQ449" s="268"/>
      <c r="KTR449" s="268"/>
      <c r="KTS449" s="268"/>
      <c r="KTT449" s="268"/>
      <c r="KTU449" s="268"/>
      <c r="KTV449" s="268"/>
      <c r="KTW449" s="268"/>
      <c r="KTX449" s="268"/>
      <c r="KTY449" s="268"/>
      <c r="KTZ449" s="268"/>
      <c r="KUA449" s="268"/>
      <c r="KUB449" s="268"/>
      <c r="KUC449" s="268"/>
      <c r="KUD449" s="268"/>
      <c r="KUE449" s="268"/>
      <c r="KUF449" s="268"/>
      <c r="KUG449" s="268"/>
      <c r="KUH449" s="268"/>
      <c r="KUI449" s="268"/>
      <c r="KUJ449" s="268"/>
      <c r="KUK449" s="268"/>
      <c r="KUL449" s="268"/>
      <c r="KUM449" s="268"/>
      <c r="KUN449" s="268"/>
      <c r="KUO449" s="268"/>
      <c r="KUP449" s="268"/>
      <c r="KUQ449" s="268"/>
      <c r="KUR449" s="268"/>
      <c r="KUS449" s="268"/>
      <c r="KUT449" s="268"/>
      <c r="KUU449" s="268"/>
      <c r="KUV449" s="268"/>
      <c r="KUW449" s="268"/>
      <c r="KUX449" s="268"/>
      <c r="KUY449" s="268"/>
      <c r="KUZ449" s="268"/>
      <c r="KVA449" s="268"/>
      <c r="KVB449" s="268"/>
      <c r="KVC449" s="268"/>
      <c r="KVD449" s="268"/>
      <c r="KVE449" s="268"/>
      <c r="KVF449" s="268"/>
      <c r="KVG449" s="268"/>
      <c r="KVH449" s="268"/>
      <c r="KVI449" s="268"/>
      <c r="KVJ449" s="268"/>
      <c r="KVK449" s="268"/>
      <c r="KVL449" s="268"/>
      <c r="KVM449" s="268"/>
      <c r="KVN449" s="268"/>
      <c r="KVO449" s="268"/>
      <c r="KVP449" s="268"/>
      <c r="KVQ449" s="268"/>
      <c r="KVR449" s="268"/>
      <c r="KVS449" s="268"/>
      <c r="KVT449" s="268"/>
      <c r="KVU449" s="268"/>
      <c r="KVV449" s="268"/>
      <c r="KVW449" s="268"/>
      <c r="KVX449" s="268"/>
      <c r="KVY449" s="268"/>
      <c r="KVZ449" s="268"/>
      <c r="KWA449" s="268"/>
      <c r="KWB449" s="268"/>
      <c r="KWC449" s="268"/>
      <c r="KWD449" s="268"/>
      <c r="KWE449" s="268"/>
      <c r="KWF449" s="268"/>
      <c r="KWG449" s="268"/>
      <c r="KWH449" s="268"/>
      <c r="KWI449" s="268"/>
      <c r="KWJ449" s="268"/>
      <c r="KWK449" s="268"/>
      <c r="KWL449" s="268"/>
      <c r="KWM449" s="268"/>
      <c r="KWN449" s="268"/>
      <c r="KWO449" s="268"/>
      <c r="KWP449" s="268"/>
      <c r="KWQ449" s="268"/>
      <c r="KWR449" s="268"/>
      <c r="KWS449" s="268"/>
      <c r="KWT449" s="268"/>
      <c r="KWU449" s="268"/>
      <c r="KWV449" s="268"/>
      <c r="KWW449" s="268"/>
      <c r="KWX449" s="268"/>
      <c r="KWY449" s="268"/>
      <c r="KWZ449" s="268"/>
      <c r="KXA449" s="268"/>
      <c r="KXB449" s="268"/>
      <c r="KXC449" s="268"/>
      <c r="KXD449" s="268"/>
      <c r="KXE449" s="268"/>
      <c r="KXF449" s="268"/>
      <c r="KXG449" s="268"/>
      <c r="KXH449" s="268"/>
      <c r="KXI449" s="268"/>
      <c r="KXJ449" s="268"/>
      <c r="KXK449" s="268"/>
      <c r="KXL449" s="268"/>
      <c r="KXM449" s="268"/>
      <c r="KXN449" s="268"/>
      <c r="KXO449" s="268"/>
      <c r="KXP449" s="268"/>
      <c r="KXQ449" s="268"/>
      <c r="KXR449" s="268"/>
      <c r="KXS449" s="268"/>
      <c r="KXT449" s="268"/>
      <c r="KXU449" s="268"/>
      <c r="KXV449" s="268"/>
      <c r="KXW449" s="268"/>
      <c r="KXX449" s="268"/>
      <c r="KXY449" s="268"/>
      <c r="KXZ449" s="268"/>
      <c r="KYA449" s="268"/>
      <c r="KYB449" s="268"/>
      <c r="KYC449" s="268"/>
      <c r="KYD449" s="268"/>
      <c r="KYE449" s="268"/>
      <c r="KYF449" s="268"/>
      <c r="KYG449" s="268"/>
      <c r="KYH449" s="268"/>
      <c r="KYI449" s="268"/>
      <c r="KYJ449" s="268"/>
      <c r="KYK449" s="268"/>
      <c r="KYL449" s="268"/>
      <c r="KYM449" s="268"/>
      <c r="KYN449" s="268"/>
      <c r="KYO449" s="268"/>
      <c r="KYP449" s="268"/>
      <c r="KYQ449" s="268"/>
      <c r="KYR449" s="268"/>
      <c r="KYS449" s="268"/>
      <c r="KYT449" s="268"/>
      <c r="KYU449" s="268"/>
      <c r="KYV449" s="268"/>
      <c r="KYW449" s="268"/>
      <c r="KYX449" s="268"/>
      <c r="KYY449" s="268"/>
      <c r="KYZ449" s="268"/>
      <c r="KZA449" s="268"/>
      <c r="KZB449" s="268"/>
      <c r="KZC449" s="268"/>
      <c r="KZD449" s="268"/>
      <c r="KZE449" s="268"/>
      <c r="KZF449" s="268"/>
      <c r="KZG449" s="268"/>
      <c r="KZH449" s="268"/>
      <c r="KZI449" s="268"/>
      <c r="KZJ449" s="268"/>
      <c r="KZK449" s="268"/>
      <c r="KZL449" s="268"/>
      <c r="KZM449" s="268"/>
      <c r="KZN449" s="268"/>
      <c r="KZO449" s="268"/>
      <c r="KZP449" s="268"/>
      <c r="KZQ449" s="268"/>
      <c r="KZR449" s="268"/>
      <c r="KZS449" s="268"/>
      <c r="KZT449" s="268"/>
      <c r="KZU449" s="268"/>
      <c r="KZV449" s="268"/>
      <c r="KZW449" s="268"/>
      <c r="KZX449" s="268"/>
      <c r="KZY449" s="268"/>
      <c r="KZZ449" s="268"/>
      <c r="LAA449" s="268"/>
      <c r="LAB449" s="268"/>
      <c r="LAC449" s="268"/>
      <c r="LAD449" s="268"/>
      <c r="LAE449" s="268"/>
      <c r="LAF449" s="268"/>
      <c r="LAG449" s="268"/>
      <c r="LAH449" s="268"/>
      <c r="LAI449" s="268"/>
      <c r="LAJ449" s="268"/>
      <c r="LAK449" s="268"/>
      <c r="LAL449" s="268"/>
      <c r="LAM449" s="268"/>
      <c r="LAN449" s="268"/>
      <c r="LAO449" s="268"/>
      <c r="LAP449" s="268"/>
      <c r="LAQ449" s="268"/>
      <c r="LAR449" s="268"/>
      <c r="LAS449" s="268"/>
      <c r="LAT449" s="268"/>
      <c r="LAU449" s="268"/>
      <c r="LAV449" s="268"/>
      <c r="LAW449" s="268"/>
      <c r="LAX449" s="268"/>
      <c r="LAY449" s="268"/>
      <c r="LAZ449" s="268"/>
      <c r="LBA449" s="268"/>
      <c r="LBB449" s="268"/>
      <c r="LBC449" s="268"/>
      <c r="LBD449" s="268"/>
      <c r="LBE449" s="268"/>
      <c r="LBF449" s="268"/>
      <c r="LBG449" s="268"/>
      <c r="LBH449" s="268"/>
      <c r="LBI449" s="268"/>
      <c r="LBJ449" s="268"/>
      <c r="LBK449" s="268"/>
      <c r="LBL449" s="268"/>
      <c r="LBM449" s="268"/>
      <c r="LBN449" s="268"/>
      <c r="LBO449" s="268"/>
      <c r="LBP449" s="268"/>
      <c r="LBQ449" s="268"/>
      <c r="LBR449" s="268"/>
      <c r="LBS449" s="268"/>
      <c r="LCG449" s="268"/>
      <c r="LCH449" s="268"/>
      <c r="LCI449" s="268"/>
      <c r="LCW449" s="268"/>
      <c r="LCY449" s="268"/>
      <c r="LCZ449" s="268"/>
      <c r="LDA449" s="268"/>
      <c r="LDB449" s="268"/>
      <c r="LDC449" s="268"/>
      <c r="LDD449" s="268"/>
      <c r="LDE449" s="268"/>
      <c r="LDF449" s="268"/>
      <c r="LDG449" s="268"/>
      <c r="LDH449" s="268"/>
      <c r="LDI449" s="268"/>
      <c r="LDJ449" s="268"/>
      <c r="LDK449" s="268"/>
      <c r="LDL449" s="268"/>
      <c r="LDM449" s="268"/>
      <c r="LDN449" s="268"/>
      <c r="LDO449" s="268"/>
      <c r="LDP449" s="268"/>
      <c r="LDQ449" s="268"/>
      <c r="LDR449" s="268"/>
      <c r="LDS449" s="268"/>
      <c r="LDT449" s="268"/>
      <c r="LDU449" s="268"/>
      <c r="LDV449" s="268"/>
      <c r="LDW449" s="268"/>
      <c r="LDX449" s="268"/>
      <c r="LDY449" s="268"/>
      <c r="LDZ449" s="268"/>
      <c r="LEA449" s="268"/>
      <c r="LEB449" s="268"/>
      <c r="LEC449" s="268"/>
      <c r="LED449" s="268"/>
      <c r="LEE449" s="268"/>
      <c r="LEF449" s="268"/>
      <c r="LEG449" s="268"/>
      <c r="LEH449" s="268"/>
      <c r="LEI449" s="268"/>
      <c r="LEJ449" s="268"/>
      <c r="LEK449" s="268"/>
      <c r="LEL449" s="268"/>
      <c r="LEM449" s="268"/>
      <c r="LEN449" s="268"/>
      <c r="LEO449" s="268"/>
      <c r="LEP449" s="268"/>
      <c r="LEQ449" s="268"/>
      <c r="LER449" s="268"/>
      <c r="LES449" s="268"/>
      <c r="LET449" s="268"/>
      <c r="LEU449" s="268"/>
      <c r="LEV449" s="268"/>
      <c r="LEW449" s="268"/>
      <c r="LEX449" s="268"/>
      <c r="LEY449" s="268"/>
      <c r="LEZ449" s="268"/>
      <c r="LFA449" s="268"/>
      <c r="LFB449" s="268"/>
      <c r="LFC449" s="268"/>
      <c r="LFD449" s="268"/>
      <c r="LFE449" s="268"/>
      <c r="LFF449" s="268"/>
      <c r="LFG449" s="268"/>
      <c r="LFH449" s="268"/>
      <c r="LFI449" s="268"/>
      <c r="LFJ449" s="268"/>
      <c r="LFK449" s="268"/>
      <c r="LFL449" s="268"/>
      <c r="LFM449" s="268"/>
      <c r="LFN449" s="268"/>
      <c r="LFO449" s="268"/>
      <c r="LFP449" s="268"/>
      <c r="LFQ449" s="268"/>
      <c r="LFR449" s="268"/>
      <c r="LFS449" s="268"/>
      <c r="LFT449" s="268"/>
      <c r="LFU449" s="268"/>
      <c r="LFV449" s="268"/>
      <c r="LFW449" s="268"/>
      <c r="LFX449" s="268"/>
      <c r="LFY449" s="268"/>
      <c r="LFZ449" s="268"/>
      <c r="LGA449" s="268"/>
      <c r="LGB449" s="268"/>
      <c r="LGC449" s="268"/>
      <c r="LGD449" s="268"/>
      <c r="LGE449" s="268"/>
      <c r="LGF449" s="268"/>
      <c r="LGG449" s="268"/>
      <c r="LGH449" s="268"/>
      <c r="LGI449" s="268"/>
      <c r="LGJ449" s="268"/>
      <c r="LGK449" s="268"/>
      <c r="LGL449" s="268"/>
      <c r="LGM449" s="268"/>
      <c r="LGN449" s="268"/>
      <c r="LGO449" s="268"/>
      <c r="LGP449" s="268"/>
      <c r="LGQ449" s="268"/>
      <c r="LGR449" s="268"/>
      <c r="LGS449" s="268"/>
      <c r="LGT449" s="268"/>
      <c r="LGU449" s="268"/>
      <c r="LGV449" s="268"/>
      <c r="LGW449" s="268"/>
      <c r="LGX449" s="268"/>
      <c r="LGY449" s="268"/>
      <c r="LGZ449" s="268"/>
      <c r="LHA449" s="268"/>
      <c r="LHB449" s="268"/>
      <c r="LHC449" s="268"/>
      <c r="LHD449" s="268"/>
      <c r="LHE449" s="268"/>
      <c r="LHF449" s="268"/>
      <c r="LHG449" s="268"/>
      <c r="LHH449" s="268"/>
      <c r="LHI449" s="268"/>
      <c r="LHJ449" s="268"/>
      <c r="LHK449" s="268"/>
      <c r="LHL449" s="268"/>
      <c r="LHM449" s="268"/>
      <c r="LHN449" s="268"/>
      <c r="LHO449" s="268"/>
      <c r="LHP449" s="268"/>
      <c r="LHQ449" s="268"/>
      <c r="LHR449" s="268"/>
      <c r="LHS449" s="268"/>
      <c r="LHT449" s="268"/>
      <c r="LHU449" s="268"/>
      <c r="LHV449" s="268"/>
      <c r="LHW449" s="268"/>
      <c r="LHX449" s="268"/>
      <c r="LHY449" s="268"/>
      <c r="LHZ449" s="268"/>
      <c r="LIA449" s="268"/>
      <c r="LIB449" s="268"/>
      <c r="LIC449" s="268"/>
      <c r="LID449" s="268"/>
      <c r="LIE449" s="268"/>
      <c r="LIF449" s="268"/>
      <c r="LIG449" s="268"/>
      <c r="LIH449" s="268"/>
      <c r="LII449" s="268"/>
      <c r="LIJ449" s="268"/>
      <c r="LIK449" s="268"/>
      <c r="LIL449" s="268"/>
      <c r="LIM449" s="268"/>
      <c r="LIN449" s="268"/>
      <c r="LIO449" s="268"/>
      <c r="LIP449" s="268"/>
      <c r="LIQ449" s="268"/>
      <c r="LIR449" s="268"/>
      <c r="LIS449" s="268"/>
      <c r="LIT449" s="268"/>
      <c r="LIU449" s="268"/>
      <c r="LIV449" s="268"/>
      <c r="LIW449" s="268"/>
      <c r="LIX449" s="268"/>
      <c r="LIY449" s="268"/>
      <c r="LIZ449" s="268"/>
      <c r="LJA449" s="268"/>
      <c r="LJB449" s="268"/>
      <c r="LJC449" s="268"/>
      <c r="LJD449" s="268"/>
      <c r="LJE449" s="268"/>
      <c r="LJF449" s="268"/>
      <c r="LJG449" s="268"/>
      <c r="LJH449" s="268"/>
      <c r="LJI449" s="268"/>
      <c r="LJJ449" s="268"/>
      <c r="LJK449" s="268"/>
      <c r="LJL449" s="268"/>
      <c r="LJM449" s="268"/>
      <c r="LJN449" s="268"/>
      <c r="LJO449" s="268"/>
      <c r="LJP449" s="268"/>
      <c r="LJQ449" s="268"/>
      <c r="LJR449" s="268"/>
      <c r="LJS449" s="268"/>
      <c r="LJT449" s="268"/>
      <c r="LJU449" s="268"/>
      <c r="LJV449" s="268"/>
      <c r="LJW449" s="268"/>
      <c r="LJX449" s="268"/>
      <c r="LJY449" s="268"/>
      <c r="LJZ449" s="268"/>
      <c r="LKA449" s="268"/>
      <c r="LKB449" s="268"/>
      <c r="LKC449" s="268"/>
      <c r="LKD449" s="268"/>
      <c r="LKE449" s="268"/>
      <c r="LKF449" s="268"/>
      <c r="LKG449" s="268"/>
      <c r="LKH449" s="268"/>
      <c r="LKI449" s="268"/>
      <c r="LKJ449" s="268"/>
      <c r="LKK449" s="268"/>
      <c r="LKL449" s="268"/>
      <c r="LKM449" s="268"/>
      <c r="LKN449" s="268"/>
      <c r="LKO449" s="268"/>
      <c r="LKP449" s="268"/>
      <c r="LKQ449" s="268"/>
      <c r="LKR449" s="268"/>
      <c r="LKS449" s="268"/>
      <c r="LKT449" s="268"/>
      <c r="LKU449" s="268"/>
      <c r="LKV449" s="268"/>
      <c r="LKW449" s="268"/>
      <c r="LKX449" s="268"/>
      <c r="LKY449" s="268"/>
      <c r="LKZ449" s="268"/>
      <c r="LLA449" s="268"/>
      <c r="LLB449" s="268"/>
      <c r="LLC449" s="268"/>
      <c r="LLD449" s="268"/>
      <c r="LLE449" s="268"/>
      <c r="LLF449" s="268"/>
      <c r="LLG449" s="268"/>
      <c r="LLH449" s="268"/>
      <c r="LLI449" s="268"/>
      <c r="LLJ449" s="268"/>
      <c r="LLK449" s="268"/>
      <c r="LLL449" s="268"/>
      <c r="LLM449" s="268"/>
      <c r="LLN449" s="268"/>
      <c r="LLO449" s="268"/>
      <c r="LMC449" s="268"/>
      <c r="LMD449" s="268"/>
      <c r="LME449" s="268"/>
      <c r="LMS449" s="268"/>
      <c r="LMU449" s="268"/>
      <c r="LMV449" s="268"/>
      <c r="LMW449" s="268"/>
      <c r="LMX449" s="268"/>
      <c r="LMY449" s="268"/>
      <c r="LMZ449" s="268"/>
      <c r="LNA449" s="268"/>
      <c r="LNB449" s="268"/>
      <c r="LNC449" s="268"/>
      <c r="LND449" s="268"/>
      <c r="LNE449" s="268"/>
      <c r="LNF449" s="268"/>
      <c r="LNG449" s="268"/>
      <c r="LNH449" s="268"/>
      <c r="LNI449" s="268"/>
      <c r="LNJ449" s="268"/>
      <c r="LNK449" s="268"/>
      <c r="LNL449" s="268"/>
      <c r="LNM449" s="268"/>
      <c r="LNN449" s="268"/>
      <c r="LNO449" s="268"/>
      <c r="LNP449" s="268"/>
      <c r="LNQ449" s="268"/>
      <c r="LNR449" s="268"/>
      <c r="LNS449" s="268"/>
      <c r="LNT449" s="268"/>
      <c r="LNU449" s="268"/>
      <c r="LNV449" s="268"/>
      <c r="LNW449" s="268"/>
      <c r="LNX449" s="268"/>
      <c r="LNY449" s="268"/>
      <c r="LNZ449" s="268"/>
      <c r="LOA449" s="268"/>
      <c r="LOB449" s="268"/>
      <c r="LOC449" s="268"/>
      <c r="LOD449" s="268"/>
      <c r="LOE449" s="268"/>
      <c r="LOF449" s="268"/>
      <c r="LOG449" s="268"/>
      <c r="LOH449" s="268"/>
      <c r="LOI449" s="268"/>
      <c r="LOJ449" s="268"/>
      <c r="LOK449" s="268"/>
      <c r="LOL449" s="268"/>
      <c r="LOM449" s="268"/>
      <c r="LON449" s="268"/>
      <c r="LOO449" s="268"/>
      <c r="LOP449" s="268"/>
      <c r="LOQ449" s="268"/>
      <c r="LOR449" s="268"/>
      <c r="LOS449" s="268"/>
      <c r="LOT449" s="268"/>
      <c r="LOU449" s="268"/>
      <c r="LOV449" s="268"/>
      <c r="LOW449" s="268"/>
      <c r="LOX449" s="268"/>
      <c r="LOY449" s="268"/>
      <c r="LOZ449" s="268"/>
      <c r="LPA449" s="268"/>
      <c r="LPB449" s="268"/>
      <c r="LPC449" s="268"/>
      <c r="LPD449" s="268"/>
      <c r="LPE449" s="268"/>
      <c r="LPF449" s="268"/>
      <c r="LPG449" s="268"/>
      <c r="LPH449" s="268"/>
      <c r="LPI449" s="268"/>
      <c r="LPJ449" s="268"/>
      <c r="LPK449" s="268"/>
      <c r="LPL449" s="268"/>
      <c r="LPM449" s="268"/>
      <c r="LPN449" s="268"/>
      <c r="LPO449" s="268"/>
      <c r="LPP449" s="268"/>
      <c r="LPQ449" s="268"/>
      <c r="LPR449" s="268"/>
      <c r="LPS449" s="268"/>
      <c r="LPT449" s="268"/>
      <c r="LPU449" s="268"/>
      <c r="LPV449" s="268"/>
      <c r="LPW449" s="268"/>
      <c r="LPX449" s="268"/>
      <c r="LPY449" s="268"/>
      <c r="LPZ449" s="268"/>
      <c r="LQA449" s="268"/>
      <c r="LQB449" s="268"/>
      <c r="LQC449" s="268"/>
      <c r="LQD449" s="268"/>
      <c r="LQE449" s="268"/>
      <c r="LQF449" s="268"/>
      <c r="LQG449" s="268"/>
      <c r="LQH449" s="268"/>
      <c r="LQI449" s="268"/>
      <c r="LQJ449" s="268"/>
      <c r="LQK449" s="268"/>
      <c r="LQL449" s="268"/>
      <c r="LQM449" s="268"/>
      <c r="LQN449" s="268"/>
      <c r="LQO449" s="268"/>
      <c r="LQP449" s="268"/>
      <c r="LQQ449" s="268"/>
      <c r="LQR449" s="268"/>
      <c r="LQS449" s="268"/>
      <c r="LQT449" s="268"/>
      <c r="LQU449" s="268"/>
      <c r="LQV449" s="268"/>
      <c r="LQW449" s="268"/>
      <c r="LQX449" s="268"/>
      <c r="LQY449" s="268"/>
      <c r="LQZ449" s="268"/>
      <c r="LRA449" s="268"/>
      <c r="LRB449" s="268"/>
      <c r="LRC449" s="268"/>
      <c r="LRD449" s="268"/>
      <c r="LRE449" s="268"/>
      <c r="LRF449" s="268"/>
      <c r="LRG449" s="268"/>
      <c r="LRH449" s="268"/>
      <c r="LRI449" s="268"/>
      <c r="LRJ449" s="268"/>
      <c r="LRK449" s="268"/>
      <c r="LRL449" s="268"/>
      <c r="LRM449" s="268"/>
      <c r="LRN449" s="268"/>
      <c r="LRO449" s="268"/>
      <c r="LRP449" s="268"/>
      <c r="LRQ449" s="268"/>
      <c r="LRR449" s="268"/>
      <c r="LRS449" s="268"/>
      <c r="LRT449" s="268"/>
      <c r="LRU449" s="268"/>
      <c r="LRV449" s="268"/>
      <c r="LRW449" s="268"/>
      <c r="LRX449" s="268"/>
      <c r="LRY449" s="268"/>
      <c r="LRZ449" s="268"/>
      <c r="LSA449" s="268"/>
      <c r="LSB449" s="268"/>
      <c r="LSC449" s="268"/>
      <c r="LSD449" s="268"/>
      <c r="LSE449" s="268"/>
      <c r="LSF449" s="268"/>
      <c r="LSG449" s="268"/>
      <c r="LSH449" s="268"/>
      <c r="LSI449" s="268"/>
      <c r="LSJ449" s="268"/>
      <c r="LSK449" s="268"/>
      <c r="LSL449" s="268"/>
      <c r="LSM449" s="268"/>
      <c r="LSN449" s="268"/>
      <c r="LSO449" s="268"/>
      <c r="LSP449" s="268"/>
      <c r="LSQ449" s="268"/>
      <c r="LSR449" s="268"/>
      <c r="LSS449" s="268"/>
      <c r="LST449" s="268"/>
      <c r="LSU449" s="268"/>
      <c r="LSV449" s="268"/>
      <c r="LSW449" s="268"/>
      <c r="LSX449" s="268"/>
      <c r="LSY449" s="268"/>
      <c r="LSZ449" s="268"/>
      <c r="LTA449" s="268"/>
      <c r="LTB449" s="268"/>
      <c r="LTC449" s="268"/>
      <c r="LTD449" s="268"/>
      <c r="LTE449" s="268"/>
      <c r="LTF449" s="268"/>
      <c r="LTG449" s="268"/>
      <c r="LTH449" s="268"/>
      <c r="LTI449" s="268"/>
      <c r="LTJ449" s="268"/>
      <c r="LTK449" s="268"/>
      <c r="LTL449" s="268"/>
      <c r="LTM449" s="268"/>
      <c r="LTN449" s="268"/>
      <c r="LTO449" s="268"/>
      <c r="LTP449" s="268"/>
      <c r="LTQ449" s="268"/>
      <c r="LTR449" s="268"/>
      <c r="LTS449" s="268"/>
      <c r="LTT449" s="268"/>
      <c r="LTU449" s="268"/>
      <c r="LTV449" s="268"/>
      <c r="LTW449" s="268"/>
      <c r="LTX449" s="268"/>
      <c r="LTY449" s="268"/>
      <c r="LTZ449" s="268"/>
      <c r="LUA449" s="268"/>
      <c r="LUB449" s="268"/>
      <c r="LUC449" s="268"/>
      <c r="LUD449" s="268"/>
      <c r="LUE449" s="268"/>
      <c r="LUF449" s="268"/>
      <c r="LUG449" s="268"/>
      <c r="LUH449" s="268"/>
      <c r="LUI449" s="268"/>
      <c r="LUJ449" s="268"/>
      <c r="LUK449" s="268"/>
      <c r="LUL449" s="268"/>
      <c r="LUM449" s="268"/>
      <c r="LUN449" s="268"/>
      <c r="LUO449" s="268"/>
      <c r="LUP449" s="268"/>
      <c r="LUQ449" s="268"/>
      <c r="LUR449" s="268"/>
      <c r="LUS449" s="268"/>
      <c r="LUT449" s="268"/>
      <c r="LUU449" s="268"/>
      <c r="LUV449" s="268"/>
      <c r="LUW449" s="268"/>
      <c r="LUX449" s="268"/>
      <c r="LUY449" s="268"/>
      <c r="LUZ449" s="268"/>
      <c r="LVA449" s="268"/>
      <c r="LVB449" s="268"/>
      <c r="LVC449" s="268"/>
      <c r="LVD449" s="268"/>
      <c r="LVE449" s="268"/>
      <c r="LVF449" s="268"/>
      <c r="LVG449" s="268"/>
      <c r="LVH449" s="268"/>
      <c r="LVI449" s="268"/>
      <c r="LVJ449" s="268"/>
      <c r="LVK449" s="268"/>
      <c r="LVY449" s="268"/>
      <c r="LVZ449" s="268"/>
      <c r="LWA449" s="268"/>
      <c r="LWO449" s="268"/>
      <c r="LWQ449" s="268"/>
      <c r="LWR449" s="268"/>
      <c r="LWS449" s="268"/>
      <c r="LWT449" s="268"/>
      <c r="LWU449" s="268"/>
      <c r="LWV449" s="268"/>
      <c r="LWW449" s="268"/>
      <c r="LWX449" s="268"/>
      <c r="LWY449" s="268"/>
      <c r="LWZ449" s="268"/>
      <c r="LXA449" s="268"/>
      <c r="LXB449" s="268"/>
      <c r="LXC449" s="268"/>
      <c r="LXD449" s="268"/>
      <c r="LXE449" s="268"/>
      <c r="LXF449" s="268"/>
      <c r="LXG449" s="268"/>
      <c r="LXH449" s="268"/>
      <c r="LXI449" s="268"/>
      <c r="LXJ449" s="268"/>
      <c r="LXK449" s="268"/>
      <c r="LXL449" s="268"/>
      <c r="LXM449" s="268"/>
      <c r="LXN449" s="268"/>
      <c r="LXO449" s="268"/>
      <c r="LXP449" s="268"/>
      <c r="LXQ449" s="268"/>
      <c r="LXR449" s="268"/>
      <c r="LXS449" s="268"/>
      <c r="LXT449" s="268"/>
      <c r="LXU449" s="268"/>
      <c r="LXV449" s="268"/>
      <c r="LXW449" s="268"/>
      <c r="LXX449" s="268"/>
      <c r="LXY449" s="268"/>
      <c r="LXZ449" s="268"/>
      <c r="LYA449" s="268"/>
      <c r="LYB449" s="268"/>
      <c r="LYC449" s="268"/>
      <c r="LYD449" s="268"/>
      <c r="LYE449" s="268"/>
      <c r="LYF449" s="268"/>
      <c r="LYG449" s="268"/>
      <c r="LYH449" s="268"/>
      <c r="LYI449" s="268"/>
      <c r="LYJ449" s="268"/>
      <c r="LYK449" s="268"/>
      <c r="LYL449" s="268"/>
      <c r="LYM449" s="268"/>
      <c r="LYN449" s="268"/>
      <c r="LYO449" s="268"/>
      <c r="LYP449" s="268"/>
      <c r="LYQ449" s="268"/>
      <c r="LYR449" s="268"/>
      <c r="LYS449" s="268"/>
      <c r="LYT449" s="268"/>
      <c r="LYU449" s="268"/>
      <c r="LYV449" s="268"/>
      <c r="LYW449" s="268"/>
      <c r="LYX449" s="268"/>
      <c r="LYY449" s="268"/>
      <c r="LYZ449" s="268"/>
      <c r="LZA449" s="268"/>
      <c r="LZB449" s="268"/>
      <c r="LZC449" s="268"/>
      <c r="LZD449" s="268"/>
      <c r="LZE449" s="268"/>
      <c r="LZF449" s="268"/>
      <c r="LZG449" s="268"/>
      <c r="LZH449" s="268"/>
      <c r="LZI449" s="268"/>
      <c r="LZJ449" s="268"/>
      <c r="LZK449" s="268"/>
      <c r="LZL449" s="268"/>
      <c r="LZM449" s="268"/>
      <c r="LZN449" s="268"/>
      <c r="LZO449" s="268"/>
      <c r="LZP449" s="268"/>
      <c r="LZQ449" s="268"/>
      <c r="LZR449" s="268"/>
      <c r="LZS449" s="268"/>
      <c r="LZT449" s="268"/>
      <c r="LZU449" s="268"/>
      <c r="LZV449" s="268"/>
      <c r="LZW449" s="268"/>
      <c r="LZX449" s="268"/>
      <c r="LZY449" s="268"/>
      <c r="LZZ449" s="268"/>
      <c r="MAA449" s="268"/>
      <c r="MAB449" s="268"/>
      <c r="MAC449" s="268"/>
      <c r="MAD449" s="268"/>
      <c r="MAE449" s="268"/>
      <c r="MAF449" s="268"/>
      <c r="MAG449" s="268"/>
      <c r="MAH449" s="268"/>
      <c r="MAI449" s="268"/>
      <c r="MAJ449" s="268"/>
      <c r="MAK449" s="268"/>
      <c r="MAL449" s="268"/>
      <c r="MAM449" s="268"/>
      <c r="MAN449" s="268"/>
      <c r="MAO449" s="268"/>
      <c r="MAP449" s="268"/>
      <c r="MAQ449" s="268"/>
      <c r="MAR449" s="268"/>
      <c r="MAS449" s="268"/>
      <c r="MAT449" s="268"/>
      <c r="MAU449" s="268"/>
      <c r="MAV449" s="268"/>
      <c r="MAW449" s="268"/>
      <c r="MAX449" s="268"/>
      <c r="MAY449" s="268"/>
      <c r="MAZ449" s="268"/>
      <c r="MBA449" s="268"/>
      <c r="MBB449" s="268"/>
      <c r="MBC449" s="268"/>
      <c r="MBD449" s="268"/>
      <c r="MBE449" s="268"/>
      <c r="MBF449" s="268"/>
      <c r="MBG449" s="268"/>
      <c r="MBH449" s="268"/>
      <c r="MBI449" s="268"/>
      <c r="MBJ449" s="268"/>
      <c r="MBK449" s="268"/>
      <c r="MBL449" s="268"/>
      <c r="MBM449" s="268"/>
      <c r="MBN449" s="268"/>
      <c r="MBO449" s="268"/>
      <c r="MBP449" s="268"/>
      <c r="MBQ449" s="268"/>
      <c r="MBR449" s="268"/>
      <c r="MBS449" s="268"/>
      <c r="MBT449" s="268"/>
      <c r="MBU449" s="268"/>
      <c r="MBV449" s="268"/>
      <c r="MBW449" s="268"/>
      <c r="MBX449" s="268"/>
      <c r="MBY449" s="268"/>
      <c r="MBZ449" s="268"/>
      <c r="MCA449" s="268"/>
      <c r="MCB449" s="268"/>
      <c r="MCC449" s="268"/>
      <c r="MCD449" s="268"/>
      <c r="MCE449" s="268"/>
      <c r="MCF449" s="268"/>
      <c r="MCG449" s="268"/>
      <c r="MCH449" s="268"/>
      <c r="MCI449" s="268"/>
      <c r="MCJ449" s="268"/>
      <c r="MCK449" s="268"/>
      <c r="MCL449" s="268"/>
      <c r="MCM449" s="268"/>
      <c r="MCN449" s="268"/>
      <c r="MCO449" s="268"/>
      <c r="MCP449" s="268"/>
      <c r="MCQ449" s="268"/>
      <c r="MCR449" s="268"/>
      <c r="MCS449" s="268"/>
      <c r="MCT449" s="268"/>
      <c r="MCU449" s="268"/>
      <c r="MCV449" s="268"/>
      <c r="MCW449" s="268"/>
      <c r="MCX449" s="268"/>
      <c r="MCY449" s="268"/>
      <c r="MCZ449" s="268"/>
      <c r="MDA449" s="268"/>
      <c r="MDB449" s="268"/>
      <c r="MDC449" s="268"/>
      <c r="MDD449" s="268"/>
      <c r="MDE449" s="268"/>
      <c r="MDF449" s="268"/>
      <c r="MDG449" s="268"/>
      <c r="MDH449" s="268"/>
      <c r="MDI449" s="268"/>
      <c r="MDJ449" s="268"/>
      <c r="MDK449" s="268"/>
      <c r="MDL449" s="268"/>
      <c r="MDM449" s="268"/>
      <c r="MDN449" s="268"/>
      <c r="MDO449" s="268"/>
      <c r="MDP449" s="268"/>
      <c r="MDQ449" s="268"/>
      <c r="MDR449" s="268"/>
      <c r="MDS449" s="268"/>
      <c r="MDT449" s="268"/>
      <c r="MDU449" s="268"/>
      <c r="MDV449" s="268"/>
      <c r="MDW449" s="268"/>
      <c r="MDX449" s="268"/>
      <c r="MDY449" s="268"/>
      <c r="MDZ449" s="268"/>
      <c r="MEA449" s="268"/>
      <c r="MEB449" s="268"/>
      <c r="MEC449" s="268"/>
      <c r="MED449" s="268"/>
      <c r="MEE449" s="268"/>
      <c r="MEF449" s="268"/>
      <c r="MEG449" s="268"/>
      <c r="MEH449" s="268"/>
      <c r="MEI449" s="268"/>
      <c r="MEJ449" s="268"/>
      <c r="MEK449" s="268"/>
      <c r="MEL449" s="268"/>
      <c r="MEM449" s="268"/>
      <c r="MEN449" s="268"/>
      <c r="MEO449" s="268"/>
      <c r="MEP449" s="268"/>
      <c r="MEQ449" s="268"/>
      <c r="MER449" s="268"/>
      <c r="MES449" s="268"/>
      <c r="MET449" s="268"/>
      <c r="MEU449" s="268"/>
      <c r="MEV449" s="268"/>
      <c r="MEW449" s="268"/>
      <c r="MEX449" s="268"/>
      <c r="MEY449" s="268"/>
      <c r="MEZ449" s="268"/>
      <c r="MFA449" s="268"/>
      <c r="MFB449" s="268"/>
      <c r="MFC449" s="268"/>
      <c r="MFD449" s="268"/>
      <c r="MFE449" s="268"/>
      <c r="MFF449" s="268"/>
      <c r="MFG449" s="268"/>
      <c r="MFU449" s="268"/>
      <c r="MFV449" s="268"/>
      <c r="MFW449" s="268"/>
      <c r="MGK449" s="268"/>
      <c r="MGM449" s="268"/>
      <c r="MGN449" s="268"/>
      <c r="MGO449" s="268"/>
      <c r="MGP449" s="268"/>
      <c r="MGQ449" s="268"/>
      <c r="MGR449" s="268"/>
      <c r="MGS449" s="268"/>
      <c r="MGT449" s="268"/>
      <c r="MGU449" s="268"/>
      <c r="MGV449" s="268"/>
      <c r="MGW449" s="268"/>
      <c r="MGX449" s="268"/>
      <c r="MGY449" s="268"/>
      <c r="MGZ449" s="268"/>
      <c r="MHA449" s="268"/>
      <c r="MHB449" s="268"/>
      <c r="MHC449" s="268"/>
      <c r="MHD449" s="268"/>
      <c r="MHE449" s="268"/>
      <c r="MHF449" s="268"/>
      <c r="MHG449" s="268"/>
      <c r="MHH449" s="268"/>
      <c r="MHI449" s="268"/>
      <c r="MHJ449" s="268"/>
      <c r="MHK449" s="268"/>
      <c r="MHL449" s="268"/>
      <c r="MHM449" s="268"/>
      <c r="MHN449" s="268"/>
      <c r="MHO449" s="268"/>
      <c r="MHP449" s="268"/>
      <c r="MHQ449" s="268"/>
      <c r="MHR449" s="268"/>
      <c r="MHS449" s="268"/>
      <c r="MHT449" s="268"/>
      <c r="MHU449" s="268"/>
      <c r="MHV449" s="268"/>
      <c r="MHW449" s="268"/>
      <c r="MHX449" s="268"/>
      <c r="MHY449" s="268"/>
      <c r="MHZ449" s="268"/>
      <c r="MIA449" s="268"/>
      <c r="MIB449" s="268"/>
      <c r="MIC449" s="268"/>
      <c r="MID449" s="268"/>
      <c r="MIE449" s="268"/>
      <c r="MIF449" s="268"/>
      <c r="MIG449" s="268"/>
      <c r="MIH449" s="268"/>
      <c r="MII449" s="268"/>
      <c r="MIJ449" s="268"/>
      <c r="MIK449" s="268"/>
      <c r="MIL449" s="268"/>
      <c r="MIM449" s="268"/>
      <c r="MIN449" s="268"/>
      <c r="MIO449" s="268"/>
      <c r="MIP449" s="268"/>
      <c r="MIQ449" s="268"/>
      <c r="MIR449" s="268"/>
      <c r="MIS449" s="268"/>
      <c r="MIT449" s="268"/>
      <c r="MIU449" s="268"/>
      <c r="MIV449" s="268"/>
      <c r="MIW449" s="268"/>
      <c r="MIX449" s="268"/>
      <c r="MIY449" s="268"/>
      <c r="MIZ449" s="268"/>
      <c r="MJA449" s="268"/>
      <c r="MJB449" s="268"/>
      <c r="MJC449" s="268"/>
      <c r="MJD449" s="268"/>
      <c r="MJE449" s="268"/>
      <c r="MJF449" s="268"/>
      <c r="MJG449" s="268"/>
      <c r="MJH449" s="268"/>
      <c r="MJI449" s="268"/>
      <c r="MJJ449" s="268"/>
      <c r="MJK449" s="268"/>
      <c r="MJL449" s="268"/>
      <c r="MJM449" s="268"/>
      <c r="MJN449" s="268"/>
      <c r="MJO449" s="268"/>
      <c r="MJP449" s="268"/>
      <c r="MJQ449" s="268"/>
      <c r="MJR449" s="268"/>
      <c r="MJS449" s="268"/>
      <c r="MJT449" s="268"/>
      <c r="MJU449" s="268"/>
      <c r="MJV449" s="268"/>
      <c r="MJW449" s="268"/>
      <c r="MJX449" s="268"/>
      <c r="MJY449" s="268"/>
      <c r="MJZ449" s="268"/>
      <c r="MKA449" s="268"/>
      <c r="MKB449" s="268"/>
      <c r="MKC449" s="268"/>
      <c r="MKD449" s="268"/>
      <c r="MKE449" s="268"/>
      <c r="MKF449" s="268"/>
      <c r="MKG449" s="268"/>
      <c r="MKH449" s="268"/>
      <c r="MKI449" s="268"/>
      <c r="MKJ449" s="268"/>
      <c r="MKK449" s="268"/>
      <c r="MKL449" s="268"/>
      <c r="MKM449" s="268"/>
      <c r="MKN449" s="268"/>
      <c r="MKO449" s="268"/>
      <c r="MKP449" s="268"/>
      <c r="MKQ449" s="268"/>
      <c r="MKR449" s="268"/>
      <c r="MKS449" s="268"/>
      <c r="MKT449" s="268"/>
      <c r="MKU449" s="268"/>
      <c r="MKV449" s="268"/>
      <c r="MKW449" s="268"/>
      <c r="MKX449" s="268"/>
      <c r="MKY449" s="268"/>
      <c r="MKZ449" s="268"/>
      <c r="MLA449" s="268"/>
      <c r="MLB449" s="268"/>
      <c r="MLC449" s="268"/>
      <c r="MLD449" s="268"/>
      <c r="MLE449" s="268"/>
      <c r="MLF449" s="268"/>
      <c r="MLG449" s="268"/>
      <c r="MLH449" s="268"/>
      <c r="MLI449" s="268"/>
      <c r="MLJ449" s="268"/>
      <c r="MLK449" s="268"/>
      <c r="MLL449" s="268"/>
      <c r="MLM449" s="268"/>
      <c r="MLN449" s="268"/>
      <c r="MLO449" s="268"/>
      <c r="MLP449" s="268"/>
      <c r="MLQ449" s="268"/>
      <c r="MLR449" s="268"/>
      <c r="MLS449" s="268"/>
      <c r="MLT449" s="268"/>
      <c r="MLU449" s="268"/>
      <c r="MLV449" s="268"/>
      <c r="MLW449" s="268"/>
      <c r="MLX449" s="268"/>
      <c r="MLY449" s="268"/>
      <c r="MLZ449" s="268"/>
      <c r="MMA449" s="268"/>
      <c r="MMB449" s="268"/>
      <c r="MMC449" s="268"/>
      <c r="MMD449" s="268"/>
      <c r="MME449" s="268"/>
      <c r="MMF449" s="268"/>
      <c r="MMG449" s="268"/>
      <c r="MMH449" s="268"/>
      <c r="MMI449" s="268"/>
      <c r="MMJ449" s="268"/>
      <c r="MMK449" s="268"/>
      <c r="MML449" s="268"/>
      <c r="MMM449" s="268"/>
      <c r="MMN449" s="268"/>
      <c r="MMO449" s="268"/>
      <c r="MMP449" s="268"/>
      <c r="MMQ449" s="268"/>
      <c r="MMR449" s="268"/>
      <c r="MMS449" s="268"/>
      <c r="MMT449" s="268"/>
      <c r="MMU449" s="268"/>
      <c r="MMV449" s="268"/>
      <c r="MMW449" s="268"/>
      <c r="MMX449" s="268"/>
      <c r="MMY449" s="268"/>
      <c r="MMZ449" s="268"/>
      <c r="MNA449" s="268"/>
      <c r="MNB449" s="268"/>
      <c r="MNC449" s="268"/>
      <c r="MND449" s="268"/>
      <c r="MNE449" s="268"/>
      <c r="MNF449" s="268"/>
      <c r="MNG449" s="268"/>
      <c r="MNH449" s="268"/>
      <c r="MNI449" s="268"/>
      <c r="MNJ449" s="268"/>
      <c r="MNK449" s="268"/>
      <c r="MNL449" s="268"/>
      <c r="MNM449" s="268"/>
      <c r="MNN449" s="268"/>
      <c r="MNO449" s="268"/>
      <c r="MNP449" s="268"/>
      <c r="MNQ449" s="268"/>
      <c r="MNR449" s="268"/>
      <c r="MNS449" s="268"/>
      <c r="MNT449" s="268"/>
      <c r="MNU449" s="268"/>
      <c r="MNV449" s="268"/>
      <c r="MNW449" s="268"/>
      <c r="MNX449" s="268"/>
      <c r="MNY449" s="268"/>
      <c r="MNZ449" s="268"/>
      <c r="MOA449" s="268"/>
      <c r="MOB449" s="268"/>
      <c r="MOC449" s="268"/>
      <c r="MOD449" s="268"/>
      <c r="MOE449" s="268"/>
      <c r="MOF449" s="268"/>
      <c r="MOG449" s="268"/>
      <c r="MOH449" s="268"/>
      <c r="MOI449" s="268"/>
      <c r="MOJ449" s="268"/>
      <c r="MOK449" s="268"/>
      <c r="MOL449" s="268"/>
      <c r="MOM449" s="268"/>
      <c r="MON449" s="268"/>
      <c r="MOO449" s="268"/>
      <c r="MOP449" s="268"/>
      <c r="MOQ449" s="268"/>
      <c r="MOR449" s="268"/>
      <c r="MOS449" s="268"/>
      <c r="MOT449" s="268"/>
      <c r="MOU449" s="268"/>
      <c r="MOV449" s="268"/>
      <c r="MOW449" s="268"/>
      <c r="MOX449" s="268"/>
      <c r="MOY449" s="268"/>
      <c r="MOZ449" s="268"/>
      <c r="MPA449" s="268"/>
      <c r="MPB449" s="268"/>
      <c r="MPC449" s="268"/>
      <c r="MPQ449" s="268"/>
      <c r="MPR449" s="268"/>
      <c r="MPS449" s="268"/>
      <c r="MQG449" s="268"/>
      <c r="MQI449" s="268"/>
      <c r="MQJ449" s="268"/>
      <c r="MQK449" s="268"/>
      <c r="MQL449" s="268"/>
      <c r="MQM449" s="268"/>
      <c r="MQN449" s="268"/>
      <c r="MQO449" s="268"/>
      <c r="MQP449" s="268"/>
      <c r="MQQ449" s="268"/>
      <c r="MQR449" s="268"/>
      <c r="MQS449" s="268"/>
      <c r="MQT449" s="268"/>
      <c r="MQU449" s="268"/>
      <c r="MQV449" s="268"/>
      <c r="MQW449" s="268"/>
      <c r="MQX449" s="268"/>
      <c r="MQY449" s="268"/>
      <c r="MQZ449" s="268"/>
      <c r="MRA449" s="268"/>
      <c r="MRB449" s="268"/>
      <c r="MRC449" s="268"/>
      <c r="MRD449" s="268"/>
      <c r="MRE449" s="268"/>
      <c r="MRF449" s="268"/>
      <c r="MRG449" s="268"/>
      <c r="MRH449" s="268"/>
      <c r="MRI449" s="268"/>
      <c r="MRJ449" s="268"/>
      <c r="MRK449" s="268"/>
      <c r="MRL449" s="268"/>
      <c r="MRM449" s="268"/>
      <c r="MRN449" s="268"/>
      <c r="MRO449" s="268"/>
      <c r="MRP449" s="268"/>
      <c r="MRQ449" s="268"/>
      <c r="MRR449" s="268"/>
      <c r="MRS449" s="268"/>
      <c r="MRT449" s="268"/>
      <c r="MRU449" s="268"/>
      <c r="MRV449" s="268"/>
      <c r="MRW449" s="268"/>
      <c r="MRX449" s="268"/>
      <c r="MRY449" s="268"/>
      <c r="MRZ449" s="268"/>
      <c r="MSA449" s="268"/>
      <c r="MSB449" s="268"/>
      <c r="MSC449" s="268"/>
      <c r="MSD449" s="268"/>
      <c r="MSE449" s="268"/>
      <c r="MSF449" s="268"/>
      <c r="MSG449" s="268"/>
      <c r="MSH449" s="268"/>
      <c r="MSI449" s="268"/>
      <c r="MSJ449" s="268"/>
      <c r="MSK449" s="268"/>
      <c r="MSL449" s="268"/>
      <c r="MSM449" s="268"/>
      <c r="MSN449" s="268"/>
      <c r="MSO449" s="268"/>
      <c r="MSP449" s="268"/>
      <c r="MSQ449" s="268"/>
      <c r="MSR449" s="268"/>
      <c r="MSS449" s="268"/>
      <c r="MST449" s="268"/>
      <c r="MSU449" s="268"/>
      <c r="MSV449" s="268"/>
      <c r="MSW449" s="268"/>
      <c r="MSX449" s="268"/>
      <c r="MSY449" s="268"/>
      <c r="MSZ449" s="268"/>
      <c r="MTA449" s="268"/>
      <c r="MTB449" s="268"/>
      <c r="MTC449" s="268"/>
      <c r="MTD449" s="268"/>
      <c r="MTE449" s="268"/>
      <c r="MTF449" s="268"/>
      <c r="MTG449" s="268"/>
      <c r="MTH449" s="268"/>
      <c r="MTI449" s="268"/>
      <c r="MTJ449" s="268"/>
      <c r="MTK449" s="268"/>
      <c r="MTL449" s="268"/>
      <c r="MTM449" s="268"/>
      <c r="MTN449" s="268"/>
      <c r="MTO449" s="268"/>
      <c r="MTP449" s="268"/>
      <c r="MTQ449" s="268"/>
      <c r="MTR449" s="268"/>
      <c r="MTS449" s="268"/>
      <c r="MTT449" s="268"/>
      <c r="MTU449" s="268"/>
      <c r="MTV449" s="268"/>
      <c r="MTW449" s="268"/>
      <c r="MTX449" s="268"/>
      <c r="MTY449" s="268"/>
      <c r="MTZ449" s="268"/>
      <c r="MUA449" s="268"/>
      <c r="MUB449" s="268"/>
      <c r="MUC449" s="268"/>
      <c r="MUD449" s="268"/>
      <c r="MUE449" s="268"/>
      <c r="MUF449" s="268"/>
      <c r="MUG449" s="268"/>
      <c r="MUH449" s="268"/>
      <c r="MUI449" s="268"/>
      <c r="MUJ449" s="268"/>
      <c r="MUK449" s="268"/>
      <c r="MUL449" s="268"/>
      <c r="MUM449" s="268"/>
      <c r="MUN449" s="268"/>
      <c r="MUO449" s="268"/>
      <c r="MUP449" s="268"/>
      <c r="MUQ449" s="268"/>
      <c r="MUR449" s="268"/>
      <c r="MUS449" s="268"/>
      <c r="MUT449" s="268"/>
      <c r="MUU449" s="268"/>
      <c r="MUV449" s="268"/>
      <c r="MUW449" s="268"/>
      <c r="MUX449" s="268"/>
      <c r="MUY449" s="268"/>
      <c r="MUZ449" s="268"/>
      <c r="MVA449" s="268"/>
      <c r="MVB449" s="268"/>
      <c r="MVC449" s="268"/>
      <c r="MVD449" s="268"/>
      <c r="MVE449" s="268"/>
      <c r="MVF449" s="268"/>
      <c r="MVG449" s="268"/>
      <c r="MVH449" s="268"/>
      <c r="MVI449" s="268"/>
      <c r="MVJ449" s="268"/>
      <c r="MVK449" s="268"/>
      <c r="MVL449" s="268"/>
      <c r="MVM449" s="268"/>
      <c r="MVN449" s="268"/>
      <c r="MVO449" s="268"/>
      <c r="MVP449" s="268"/>
      <c r="MVQ449" s="268"/>
      <c r="MVR449" s="268"/>
      <c r="MVS449" s="268"/>
      <c r="MVT449" s="268"/>
      <c r="MVU449" s="268"/>
      <c r="MVV449" s="268"/>
      <c r="MVW449" s="268"/>
      <c r="MVX449" s="268"/>
      <c r="MVY449" s="268"/>
      <c r="MVZ449" s="268"/>
      <c r="MWA449" s="268"/>
      <c r="MWB449" s="268"/>
      <c r="MWC449" s="268"/>
      <c r="MWD449" s="268"/>
      <c r="MWE449" s="268"/>
      <c r="MWF449" s="268"/>
      <c r="MWG449" s="268"/>
      <c r="MWH449" s="268"/>
      <c r="MWI449" s="268"/>
      <c r="MWJ449" s="268"/>
      <c r="MWK449" s="268"/>
      <c r="MWL449" s="268"/>
      <c r="MWM449" s="268"/>
      <c r="MWN449" s="268"/>
      <c r="MWO449" s="268"/>
      <c r="MWP449" s="268"/>
      <c r="MWQ449" s="268"/>
      <c r="MWR449" s="268"/>
      <c r="MWS449" s="268"/>
      <c r="MWT449" s="268"/>
      <c r="MWU449" s="268"/>
      <c r="MWV449" s="268"/>
      <c r="MWW449" s="268"/>
      <c r="MWX449" s="268"/>
      <c r="MWY449" s="268"/>
      <c r="MWZ449" s="268"/>
      <c r="MXA449" s="268"/>
      <c r="MXB449" s="268"/>
      <c r="MXC449" s="268"/>
      <c r="MXD449" s="268"/>
      <c r="MXE449" s="268"/>
      <c r="MXF449" s="268"/>
      <c r="MXG449" s="268"/>
      <c r="MXH449" s="268"/>
      <c r="MXI449" s="268"/>
      <c r="MXJ449" s="268"/>
      <c r="MXK449" s="268"/>
      <c r="MXL449" s="268"/>
      <c r="MXM449" s="268"/>
      <c r="MXN449" s="268"/>
      <c r="MXO449" s="268"/>
      <c r="MXP449" s="268"/>
      <c r="MXQ449" s="268"/>
      <c r="MXR449" s="268"/>
      <c r="MXS449" s="268"/>
      <c r="MXT449" s="268"/>
      <c r="MXU449" s="268"/>
      <c r="MXV449" s="268"/>
      <c r="MXW449" s="268"/>
      <c r="MXX449" s="268"/>
      <c r="MXY449" s="268"/>
      <c r="MXZ449" s="268"/>
      <c r="MYA449" s="268"/>
      <c r="MYB449" s="268"/>
      <c r="MYC449" s="268"/>
      <c r="MYD449" s="268"/>
      <c r="MYE449" s="268"/>
      <c r="MYF449" s="268"/>
      <c r="MYG449" s="268"/>
      <c r="MYH449" s="268"/>
      <c r="MYI449" s="268"/>
      <c r="MYJ449" s="268"/>
      <c r="MYK449" s="268"/>
      <c r="MYL449" s="268"/>
      <c r="MYM449" s="268"/>
      <c r="MYN449" s="268"/>
      <c r="MYO449" s="268"/>
      <c r="MYP449" s="268"/>
      <c r="MYQ449" s="268"/>
      <c r="MYR449" s="268"/>
      <c r="MYS449" s="268"/>
      <c r="MYT449" s="268"/>
      <c r="MYU449" s="268"/>
      <c r="MYV449" s="268"/>
      <c r="MYW449" s="268"/>
      <c r="MYX449" s="268"/>
      <c r="MYY449" s="268"/>
      <c r="MZM449" s="268"/>
      <c r="MZN449" s="268"/>
      <c r="MZO449" s="268"/>
      <c r="NAC449" s="268"/>
      <c r="NAE449" s="268"/>
      <c r="NAF449" s="268"/>
      <c r="NAG449" s="268"/>
      <c r="NAH449" s="268"/>
      <c r="NAI449" s="268"/>
      <c r="NAJ449" s="268"/>
      <c r="NAK449" s="268"/>
      <c r="NAL449" s="268"/>
      <c r="NAM449" s="268"/>
      <c r="NAN449" s="268"/>
      <c r="NAO449" s="268"/>
      <c r="NAP449" s="268"/>
      <c r="NAQ449" s="268"/>
      <c r="NAR449" s="268"/>
      <c r="NAS449" s="268"/>
      <c r="NAT449" s="268"/>
      <c r="NAU449" s="268"/>
      <c r="NAV449" s="268"/>
      <c r="NAW449" s="268"/>
      <c r="NAX449" s="268"/>
      <c r="NAY449" s="268"/>
      <c r="NAZ449" s="268"/>
      <c r="NBA449" s="268"/>
      <c r="NBB449" s="268"/>
      <c r="NBC449" s="268"/>
      <c r="NBD449" s="268"/>
      <c r="NBE449" s="268"/>
      <c r="NBF449" s="268"/>
      <c r="NBG449" s="268"/>
      <c r="NBH449" s="268"/>
      <c r="NBI449" s="268"/>
      <c r="NBJ449" s="268"/>
      <c r="NBK449" s="268"/>
      <c r="NBL449" s="268"/>
      <c r="NBM449" s="268"/>
      <c r="NBN449" s="268"/>
      <c r="NBO449" s="268"/>
      <c r="NBP449" s="268"/>
      <c r="NBQ449" s="268"/>
      <c r="NBR449" s="268"/>
      <c r="NBS449" s="268"/>
      <c r="NBT449" s="268"/>
      <c r="NBU449" s="268"/>
      <c r="NBV449" s="268"/>
      <c r="NBW449" s="268"/>
      <c r="NBX449" s="268"/>
      <c r="NBY449" s="268"/>
      <c r="NBZ449" s="268"/>
      <c r="NCA449" s="268"/>
      <c r="NCB449" s="268"/>
      <c r="NCC449" s="268"/>
      <c r="NCD449" s="268"/>
      <c r="NCE449" s="268"/>
      <c r="NCF449" s="268"/>
      <c r="NCG449" s="268"/>
      <c r="NCH449" s="268"/>
      <c r="NCI449" s="268"/>
      <c r="NCJ449" s="268"/>
      <c r="NCK449" s="268"/>
      <c r="NCL449" s="268"/>
      <c r="NCM449" s="268"/>
      <c r="NCN449" s="268"/>
      <c r="NCO449" s="268"/>
      <c r="NCP449" s="268"/>
      <c r="NCQ449" s="268"/>
      <c r="NCR449" s="268"/>
      <c r="NCS449" s="268"/>
      <c r="NCT449" s="268"/>
      <c r="NCU449" s="268"/>
      <c r="NCV449" s="268"/>
      <c r="NCW449" s="268"/>
      <c r="NCX449" s="268"/>
      <c r="NCY449" s="268"/>
      <c r="NCZ449" s="268"/>
      <c r="NDA449" s="268"/>
      <c r="NDB449" s="268"/>
      <c r="NDC449" s="268"/>
      <c r="NDD449" s="268"/>
      <c r="NDE449" s="268"/>
      <c r="NDF449" s="268"/>
      <c r="NDG449" s="268"/>
      <c r="NDH449" s="268"/>
      <c r="NDI449" s="268"/>
      <c r="NDJ449" s="268"/>
      <c r="NDK449" s="268"/>
      <c r="NDL449" s="268"/>
      <c r="NDM449" s="268"/>
      <c r="NDN449" s="268"/>
      <c r="NDO449" s="268"/>
      <c r="NDP449" s="268"/>
      <c r="NDQ449" s="268"/>
      <c r="NDR449" s="268"/>
      <c r="NDS449" s="268"/>
      <c r="NDT449" s="268"/>
      <c r="NDU449" s="268"/>
      <c r="NDV449" s="268"/>
      <c r="NDW449" s="268"/>
      <c r="NDX449" s="268"/>
      <c r="NDY449" s="268"/>
      <c r="NDZ449" s="268"/>
      <c r="NEA449" s="268"/>
      <c r="NEB449" s="268"/>
      <c r="NEC449" s="268"/>
      <c r="NED449" s="268"/>
      <c r="NEE449" s="268"/>
      <c r="NEF449" s="268"/>
      <c r="NEG449" s="268"/>
      <c r="NEH449" s="268"/>
      <c r="NEI449" s="268"/>
      <c r="NEJ449" s="268"/>
      <c r="NEK449" s="268"/>
      <c r="NEL449" s="268"/>
      <c r="NEM449" s="268"/>
      <c r="NEN449" s="268"/>
      <c r="NEO449" s="268"/>
      <c r="NEP449" s="268"/>
      <c r="NEQ449" s="268"/>
      <c r="NER449" s="268"/>
      <c r="NES449" s="268"/>
      <c r="NET449" s="268"/>
      <c r="NEU449" s="268"/>
      <c r="NEV449" s="268"/>
      <c r="NEW449" s="268"/>
      <c r="NEX449" s="268"/>
      <c r="NEY449" s="268"/>
      <c r="NEZ449" s="268"/>
      <c r="NFA449" s="268"/>
      <c r="NFB449" s="268"/>
      <c r="NFC449" s="268"/>
      <c r="NFD449" s="268"/>
      <c r="NFE449" s="268"/>
      <c r="NFF449" s="268"/>
      <c r="NFG449" s="268"/>
      <c r="NFH449" s="268"/>
      <c r="NFI449" s="268"/>
      <c r="NFJ449" s="268"/>
      <c r="NFK449" s="268"/>
      <c r="NFL449" s="268"/>
      <c r="NFM449" s="268"/>
      <c r="NFN449" s="268"/>
      <c r="NFO449" s="268"/>
      <c r="NFP449" s="268"/>
      <c r="NFQ449" s="268"/>
      <c r="NFR449" s="268"/>
      <c r="NFS449" s="268"/>
      <c r="NFT449" s="268"/>
      <c r="NFU449" s="268"/>
      <c r="NFV449" s="268"/>
      <c r="NFW449" s="268"/>
      <c r="NFX449" s="268"/>
      <c r="NFY449" s="268"/>
      <c r="NFZ449" s="268"/>
      <c r="NGA449" s="268"/>
      <c r="NGB449" s="268"/>
      <c r="NGC449" s="268"/>
      <c r="NGD449" s="268"/>
      <c r="NGE449" s="268"/>
      <c r="NGF449" s="268"/>
      <c r="NGG449" s="268"/>
      <c r="NGH449" s="268"/>
      <c r="NGI449" s="268"/>
      <c r="NGJ449" s="268"/>
      <c r="NGK449" s="268"/>
      <c r="NGL449" s="268"/>
      <c r="NGM449" s="268"/>
      <c r="NGN449" s="268"/>
      <c r="NGO449" s="268"/>
      <c r="NGP449" s="268"/>
      <c r="NGQ449" s="268"/>
      <c r="NGR449" s="268"/>
      <c r="NGS449" s="268"/>
      <c r="NGT449" s="268"/>
      <c r="NGU449" s="268"/>
      <c r="NGV449" s="268"/>
      <c r="NGW449" s="268"/>
      <c r="NGX449" s="268"/>
      <c r="NGY449" s="268"/>
      <c r="NGZ449" s="268"/>
      <c r="NHA449" s="268"/>
      <c r="NHB449" s="268"/>
      <c r="NHC449" s="268"/>
      <c r="NHD449" s="268"/>
      <c r="NHE449" s="268"/>
      <c r="NHF449" s="268"/>
      <c r="NHG449" s="268"/>
      <c r="NHH449" s="268"/>
      <c r="NHI449" s="268"/>
      <c r="NHJ449" s="268"/>
      <c r="NHK449" s="268"/>
      <c r="NHL449" s="268"/>
      <c r="NHM449" s="268"/>
      <c r="NHN449" s="268"/>
      <c r="NHO449" s="268"/>
      <c r="NHP449" s="268"/>
      <c r="NHQ449" s="268"/>
      <c r="NHR449" s="268"/>
      <c r="NHS449" s="268"/>
      <c r="NHT449" s="268"/>
      <c r="NHU449" s="268"/>
      <c r="NHV449" s="268"/>
      <c r="NHW449" s="268"/>
      <c r="NHX449" s="268"/>
      <c r="NHY449" s="268"/>
      <c r="NHZ449" s="268"/>
      <c r="NIA449" s="268"/>
      <c r="NIB449" s="268"/>
      <c r="NIC449" s="268"/>
      <c r="NID449" s="268"/>
      <c r="NIE449" s="268"/>
      <c r="NIF449" s="268"/>
      <c r="NIG449" s="268"/>
      <c r="NIH449" s="268"/>
      <c r="NII449" s="268"/>
      <c r="NIJ449" s="268"/>
      <c r="NIK449" s="268"/>
      <c r="NIL449" s="268"/>
      <c r="NIM449" s="268"/>
      <c r="NIN449" s="268"/>
      <c r="NIO449" s="268"/>
      <c r="NIP449" s="268"/>
      <c r="NIQ449" s="268"/>
      <c r="NIR449" s="268"/>
      <c r="NIS449" s="268"/>
      <c r="NIT449" s="268"/>
      <c r="NIU449" s="268"/>
      <c r="NJI449" s="268"/>
      <c r="NJJ449" s="268"/>
      <c r="NJK449" s="268"/>
      <c r="NJY449" s="268"/>
      <c r="NKA449" s="268"/>
      <c r="NKB449" s="268"/>
      <c r="NKC449" s="268"/>
      <c r="NKD449" s="268"/>
      <c r="NKE449" s="268"/>
      <c r="NKF449" s="268"/>
      <c r="NKG449" s="268"/>
      <c r="NKH449" s="268"/>
      <c r="NKI449" s="268"/>
      <c r="NKJ449" s="268"/>
      <c r="NKK449" s="268"/>
      <c r="NKL449" s="268"/>
      <c r="NKM449" s="268"/>
      <c r="NKN449" s="268"/>
      <c r="NKO449" s="268"/>
      <c r="NKP449" s="268"/>
      <c r="NKQ449" s="268"/>
      <c r="NKR449" s="268"/>
      <c r="NKS449" s="268"/>
      <c r="NKT449" s="268"/>
      <c r="NKU449" s="268"/>
      <c r="NKV449" s="268"/>
      <c r="NKW449" s="268"/>
      <c r="NKX449" s="268"/>
      <c r="NKY449" s="268"/>
      <c r="NKZ449" s="268"/>
      <c r="NLA449" s="268"/>
      <c r="NLB449" s="268"/>
      <c r="NLC449" s="268"/>
      <c r="NLD449" s="268"/>
      <c r="NLE449" s="268"/>
      <c r="NLF449" s="268"/>
      <c r="NLG449" s="268"/>
      <c r="NLH449" s="268"/>
      <c r="NLI449" s="268"/>
      <c r="NLJ449" s="268"/>
      <c r="NLK449" s="268"/>
      <c r="NLL449" s="268"/>
      <c r="NLM449" s="268"/>
      <c r="NLN449" s="268"/>
      <c r="NLO449" s="268"/>
      <c r="NLP449" s="268"/>
      <c r="NLQ449" s="268"/>
      <c r="NLR449" s="268"/>
      <c r="NLS449" s="268"/>
      <c r="NLT449" s="268"/>
      <c r="NLU449" s="268"/>
      <c r="NLV449" s="268"/>
      <c r="NLW449" s="268"/>
      <c r="NLX449" s="268"/>
      <c r="NLY449" s="268"/>
      <c r="NLZ449" s="268"/>
      <c r="NMA449" s="268"/>
      <c r="NMB449" s="268"/>
      <c r="NMC449" s="268"/>
      <c r="NMD449" s="268"/>
      <c r="NME449" s="268"/>
      <c r="NMF449" s="268"/>
      <c r="NMG449" s="268"/>
      <c r="NMH449" s="268"/>
      <c r="NMI449" s="268"/>
      <c r="NMJ449" s="268"/>
      <c r="NMK449" s="268"/>
      <c r="NML449" s="268"/>
      <c r="NMM449" s="268"/>
      <c r="NMN449" s="268"/>
      <c r="NMO449" s="268"/>
      <c r="NMP449" s="268"/>
      <c r="NMQ449" s="268"/>
      <c r="NMR449" s="268"/>
      <c r="NMS449" s="268"/>
      <c r="NMT449" s="268"/>
      <c r="NMU449" s="268"/>
      <c r="NMV449" s="268"/>
      <c r="NMW449" s="268"/>
      <c r="NMX449" s="268"/>
      <c r="NMY449" s="268"/>
      <c r="NMZ449" s="268"/>
      <c r="NNA449" s="268"/>
      <c r="NNB449" s="268"/>
      <c r="NNC449" s="268"/>
      <c r="NND449" s="268"/>
      <c r="NNE449" s="268"/>
      <c r="NNF449" s="268"/>
      <c r="NNG449" s="268"/>
      <c r="NNH449" s="268"/>
      <c r="NNI449" s="268"/>
      <c r="NNJ449" s="268"/>
      <c r="NNK449" s="268"/>
      <c r="NNL449" s="268"/>
      <c r="NNM449" s="268"/>
      <c r="NNN449" s="268"/>
      <c r="NNO449" s="268"/>
      <c r="NNP449" s="268"/>
      <c r="NNQ449" s="268"/>
      <c r="NNR449" s="268"/>
      <c r="NNS449" s="268"/>
      <c r="NNT449" s="268"/>
      <c r="NNU449" s="268"/>
      <c r="NNV449" s="268"/>
      <c r="NNW449" s="268"/>
      <c r="NNX449" s="268"/>
      <c r="NNY449" s="268"/>
      <c r="NNZ449" s="268"/>
      <c r="NOA449" s="268"/>
      <c r="NOB449" s="268"/>
      <c r="NOC449" s="268"/>
      <c r="NOD449" s="268"/>
      <c r="NOE449" s="268"/>
      <c r="NOF449" s="268"/>
      <c r="NOG449" s="268"/>
      <c r="NOH449" s="268"/>
      <c r="NOI449" s="268"/>
      <c r="NOJ449" s="268"/>
      <c r="NOK449" s="268"/>
      <c r="NOL449" s="268"/>
      <c r="NOM449" s="268"/>
      <c r="NON449" s="268"/>
      <c r="NOO449" s="268"/>
      <c r="NOP449" s="268"/>
      <c r="NOQ449" s="268"/>
      <c r="NOR449" s="268"/>
      <c r="NOS449" s="268"/>
      <c r="NOT449" s="268"/>
      <c r="NOU449" s="268"/>
      <c r="NOV449" s="268"/>
      <c r="NOW449" s="268"/>
      <c r="NOX449" s="268"/>
      <c r="NOY449" s="268"/>
      <c r="NOZ449" s="268"/>
      <c r="NPA449" s="268"/>
      <c r="NPB449" s="268"/>
      <c r="NPC449" s="268"/>
      <c r="NPD449" s="268"/>
      <c r="NPE449" s="268"/>
      <c r="NPF449" s="268"/>
      <c r="NPG449" s="268"/>
      <c r="NPH449" s="268"/>
      <c r="NPI449" s="268"/>
      <c r="NPJ449" s="268"/>
      <c r="NPK449" s="268"/>
      <c r="NPL449" s="268"/>
      <c r="NPM449" s="268"/>
      <c r="NPN449" s="268"/>
      <c r="NPO449" s="268"/>
      <c r="NPP449" s="268"/>
      <c r="NPQ449" s="268"/>
      <c r="NPR449" s="268"/>
      <c r="NPS449" s="268"/>
      <c r="NPT449" s="268"/>
      <c r="NPU449" s="268"/>
      <c r="NPV449" s="268"/>
      <c r="NPW449" s="268"/>
      <c r="NPX449" s="268"/>
      <c r="NPY449" s="268"/>
      <c r="NPZ449" s="268"/>
      <c r="NQA449" s="268"/>
      <c r="NQB449" s="268"/>
      <c r="NQC449" s="268"/>
      <c r="NQD449" s="268"/>
      <c r="NQE449" s="268"/>
      <c r="NQF449" s="268"/>
      <c r="NQG449" s="268"/>
      <c r="NQH449" s="268"/>
      <c r="NQI449" s="268"/>
      <c r="NQJ449" s="268"/>
      <c r="NQK449" s="268"/>
      <c r="NQL449" s="268"/>
      <c r="NQM449" s="268"/>
      <c r="NQN449" s="268"/>
      <c r="NQO449" s="268"/>
      <c r="NQP449" s="268"/>
      <c r="NQQ449" s="268"/>
      <c r="NQR449" s="268"/>
      <c r="NQS449" s="268"/>
      <c r="NQT449" s="268"/>
      <c r="NQU449" s="268"/>
      <c r="NQV449" s="268"/>
      <c r="NQW449" s="268"/>
      <c r="NQX449" s="268"/>
      <c r="NQY449" s="268"/>
      <c r="NQZ449" s="268"/>
      <c r="NRA449" s="268"/>
      <c r="NRB449" s="268"/>
      <c r="NRC449" s="268"/>
      <c r="NRD449" s="268"/>
      <c r="NRE449" s="268"/>
      <c r="NRF449" s="268"/>
      <c r="NRG449" s="268"/>
      <c r="NRH449" s="268"/>
      <c r="NRI449" s="268"/>
      <c r="NRJ449" s="268"/>
      <c r="NRK449" s="268"/>
      <c r="NRL449" s="268"/>
      <c r="NRM449" s="268"/>
      <c r="NRN449" s="268"/>
      <c r="NRO449" s="268"/>
      <c r="NRP449" s="268"/>
      <c r="NRQ449" s="268"/>
      <c r="NRR449" s="268"/>
      <c r="NRS449" s="268"/>
      <c r="NRT449" s="268"/>
      <c r="NRU449" s="268"/>
      <c r="NRV449" s="268"/>
      <c r="NRW449" s="268"/>
      <c r="NRX449" s="268"/>
      <c r="NRY449" s="268"/>
      <c r="NRZ449" s="268"/>
      <c r="NSA449" s="268"/>
      <c r="NSB449" s="268"/>
      <c r="NSC449" s="268"/>
      <c r="NSD449" s="268"/>
      <c r="NSE449" s="268"/>
      <c r="NSF449" s="268"/>
      <c r="NSG449" s="268"/>
      <c r="NSH449" s="268"/>
      <c r="NSI449" s="268"/>
      <c r="NSJ449" s="268"/>
      <c r="NSK449" s="268"/>
      <c r="NSL449" s="268"/>
      <c r="NSM449" s="268"/>
      <c r="NSN449" s="268"/>
      <c r="NSO449" s="268"/>
      <c r="NSP449" s="268"/>
      <c r="NSQ449" s="268"/>
      <c r="NTE449" s="268"/>
      <c r="NTF449" s="268"/>
      <c r="NTG449" s="268"/>
      <c r="NTU449" s="268"/>
      <c r="NTW449" s="268"/>
      <c r="NTX449" s="268"/>
      <c r="NTY449" s="268"/>
      <c r="NTZ449" s="268"/>
      <c r="NUA449" s="268"/>
      <c r="NUB449" s="268"/>
      <c r="NUC449" s="268"/>
      <c r="NUD449" s="268"/>
      <c r="NUE449" s="268"/>
      <c r="NUF449" s="268"/>
      <c r="NUG449" s="268"/>
      <c r="NUH449" s="268"/>
      <c r="NUI449" s="268"/>
      <c r="NUJ449" s="268"/>
      <c r="NUK449" s="268"/>
      <c r="NUL449" s="268"/>
      <c r="NUM449" s="268"/>
      <c r="NUN449" s="268"/>
      <c r="NUO449" s="268"/>
      <c r="NUP449" s="268"/>
      <c r="NUQ449" s="268"/>
      <c r="NUR449" s="268"/>
      <c r="NUS449" s="268"/>
      <c r="NUT449" s="268"/>
      <c r="NUU449" s="268"/>
      <c r="NUV449" s="268"/>
      <c r="NUW449" s="268"/>
      <c r="NUX449" s="268"/>
      <c r="NUY449" s="268"/>
      <c r="NUZ449" s="268"/>
      <c r="NVA449" s="268"/>
      <c r="NVB449" s="268"/>
      <c r="NVC449" s="268"/>
      <c r="NVD449" s="268"/>
      <c r="NVE449" s="268"/>
      <c r="NVF449" s="268"/>
      <c r="NVG449" s="268"/>
      <c r="NVH449" s="268"/>
      <c r="NVI449" s="268"/>
      <c r="NVJ449" s="268"/>
      <c r="NVK449" s="268"/>
      <c r="NVL449" s="268"/>
      <c r="NVM449" s="268"/>
      <c r="NVN449" s="268"/>
      <c r="NVO449" s="268"/>
      <c r="NVP449" s="268"/>
      <c r="NVQ449" s="268"/>
      <c r="NVR449" s="268"/>
      <c r="NVS449" s="268"/>
      <c r="NVT449" s="268"/>
      <c r="NVU449" s="268"/>
      <c r="NVV449" s="268"/>
      <c r="NVW449" s="268"/>
      <c r="NVX449" s="268"/>
      <c r="NVY449" s="268"/>
      <c r="NVZ449" s="268"/>
      <c r="NWA449" s="268"/>
      <c r="NWB449" s="268"/>
      <c r="NWC449" s="268"/>
      <c r="NWD449" s="268"/>
      <c r="NWE449" s="268"/>
      <c r="NWF449" s="268"/>
      <c r="NWG449" s="268"/>
      <c r="NWH449" s="268"/>
      <c r="NWI449" s="268"/>
      <c r="NWJ449" s="268"/>
      <c r="NWK449" s="268"/>
      <c r="NWL449" s="268"/>
      <c r="NWM449" s="268"/>
      <c r="NWN449" s="268"/>
      <c r="NWO449" s="268"/>
      <c r="NWP449" s="268"/>
      <c r="NWQ449" s="268"/>
      <c r="NWR449" s="268"/>
      <c r="NWS449" s="268"/>
      <c r="NWT449" s="268"/>
      <c r="NWU449" s="268"/>
      <c r="NWV449" s="268"/>
      <c r="NWW449" s="268"/>
      <c r="NWX449" s="268"/>
      <c r="NWY449" s="268"/>
      <c r="NWZ449" s="268"/>
      <c r="NXA449" s="268"/>
      <c r="NXB449" s="268"/>
      <c r="NXC449" s="268"/>
      <c r="NXD449" s="268"/>
      <c r="NXE449" s="268"/>
      <c r="NXF449" s="268"/>
      <c r="NXG449" s="268"/>
      <c r="NXH449" s="268"/>
      <c r="NXI449" s="268"/>
      <c r="NXJ449" s="268"/>
      <c r="NXK449" s="268"/>
      <c r="NXL449" s="268"/>
      <c r="NXM449" s="268"/>
      <c r="NXN449" s="268"/>
      <c r="NXO449" s="268"/>
      <c r="NXP449" s="268"/>
      <c r="NXQ449" s="268"/>
      <c r="NXR449" s="268"/>
      <c r="NXS449" s="268"/>
      <c r="NXT449" s="268"/>
      <c r="NXU449" s="268"/>
      <c r="NXV449" s="268"/>
      <c r="NXW449" s="268"/>
      <c r="NXX449" s="268"/>
      <c r="NXY449" s="268"/>
      <c r="NXZ449" s="268"/>
      <c r="NYA449" s="268"/>
      <c r="NYB449" s="268"/>
      <c r="NYC449" s="268"/>
      <c r="NYD449" s="268"/>
      <c r="NYE449" s="268"/>
      <c r="NYF449" s="268"/>
      <c r="NYG449" s="268"/>
      <c r="NYH449" s="268"/>
      <c r="NYI449" s="268"/>
      <c r="NYJ449" s="268"/>
      <c r="NYK449" s="268"/>
      <c r="NYL449" s="268"/>
      <c r="NYM449" s="268"/>
      <c r="NYN449" s="268"/>
      <c r="NYO449" s="268"/>
      <c r="NYP449" s="268"/>
      <c r="NYQ449" s="268"/>
      <c r="NYR449" s="268"/>
      <c r="NYS449" s="268"/>
      <c r="NYT449" s="268"/>
      <c r="NYU449" s="268"/>
      <c r="NYV449" s="268"/>
      <c r="NYW449" s="268"/>
      <c r="NYX449" s="268"/>
      <c r="NYY449" s="268"/>
      <c r="NYZ449" s="268"/>
      <c r="NZA449" s="268"/>
      <c r="NZB449" s="268"/>
      <c r="NZC449" s="268"/>
      <c r="NZD449" s="268"/>
      <c r="NZE449" s="268"/>
      <c r="NZF449" s="268"/>
      <c r="NZG449" s="268"/>
      <c r="NZH449" s="268"/>
      <c r="NZI449" s="268"/>
      <c r="NZJ449" s="268"/>
      <c r="NZK449" s="268"/>
      <c r="NZL449" s="268"/>
      <c r="NZM449" s="268"/>
      <c r="NZN449" s="268"/>
      <c r="NZO449" s="268"/>
      <c r="NZP449" s="268"/>
      <c r="NZQ449" s="268"/>
      <c r="NZR449" s="268"/>
      <c r="NZS449" s="268"/>
      <c r="NZT449" s="268"/>
      <c r="NZU449" s="268"/>
      <c r="NZV449" s="268"/>
      <c r="NZW449" s="268"/>
      <c r="NZX449" s="268"/>
      <c r="NZY449" s="268"/>
      <c r="NZZ449" s="268"/>
      <c r="OAA449" s="268"/>
      <c r="OAB449" s="268"/>
      <c r="OAC449" s="268"/>
      <c r="OAD449" s="268"/>
      <c r="OAE449" s="268"/>
      <c r="OAF449" s="268"/>
      <c r="OAG449" s="268"/>
      <c r="OAH449" s="268"/>
      <c r="OAI449" s="268"/>
      <c r="OAJ449" s="268"/>
      <c r="OAK449" s="268"/>
      <c r="OAL449" s="268"/>
      <c r="OAM449" s="268"/>
      <c r="OAN449" s="268"/>
      <c r="OAO449" s="268"/>
      <c r="OAP449" s="268"/>
      <c r="OAQ449" s="268"/>
      <c r="OAR449" s="268"/>
      <c r="OAS449" s="268"/>
      <c r="OAT449" s="268"/>
      <c r="OAU449" s="268"/>
      <c r="OAV449" s="268"/>
      <c r="OAW449" s="268"/>
      <c r="OAX449" s="268"/>
      <c r="OAY449" s="268"/>
      <c r="OAZ449" s="268"/>
      <c r="OBA449" s="268"/>
      <c r="OBB449" s="268"/>
      <c r="OBC449" s="268"/>
      <c r="OBD449" s="268"/>
      <c r="OBE449" s="268"/>
      <c r="OBF449" s="268"/>
      <c r="OBG449" s="268"/>
      <c r="OBH449" s="268"/>
      <c r="OBI449" s="268"/>
      <c r="OBJ449" s="268"/>
      <c r="OBK449" s="268"/>
      <c r="OBL449" s="268"/>
      <c r="OBM449" s="268"/>
      <c r="OBN449" s="268"/>
      <c r="OBO449" s="268"/>
      <c r="OBP449" s="268"/>
      <c r="OBQ449" s="268"/>
      <c r="OBR449" s="268"/>
      <c r="OBS449" s="268"/>
      <c r="OBT449" s="268"/>
      <c r="OBU449" s="268"/>
      <c r="OBV449" s="268"/>
      <c r="OBW449" s="268"/>
      <c r="OBX449" s="268"/>
      <c r="OBY449" s="268"/>
      <c r="OBZ449" s="268"/>
      <c r="OCA449" s="268"/>
      <c r="OCB449" s="268"/>
      <c r="OCC449" s="268"/>
      <c r="OCD449" s="268"/>
      <c r="OCE449" s="268"/>
      <c r="OCF449" s="268"/>
      <c r="OCG449" s="268"/>
      <c r="OCH449" s="268"/>
      <c r="OCI449" s="268"/>
      <c r="OCJ449" s="268"/>
      <c r="OCK449" s="268"/>
      <c r="OCL449" s="268"/>
      <c r="OCM449" s="268"/>
      <c r="ODA449" s="268"/>
      <c r="ODB449" s="268"/>
      <c r="ODC449" s="268"/>
      <c r="ODQ449" s="268"/>
      <c r="ODS449" s="268"/>
      <c r="ODT449" s="268"/>
      <c r="ODU449" s="268"/>
      <c r="ODV449" s="268"/>
      <c r="ODW449" s="268"/>
      <c r="ODX449" s="268"/>
      <c r="ODY449" s="268"/>
      <c r="ODZ449" s="268"/>
      <c r="OEA449" s="268"/>
      <c r="OEB449" s="268"/>
      <c r="OEC449" s="268"/>
      <c r="OED449" s="268"/>
      <c r="OEE449" s="268"/>
      <c r="OEF449" s="268"/>
      <c r="OEG449" s="268"/>
      <c r="OEH449" s="268"/>
      <c r="OEI449" s="268"/>
      <c r="OEJ449" s="268"/>
      <c r="OEK449" s="268"/>
      <c r="OEL449" s="268"/>
      <c r="OEM449" s="268"/>
      <c r="OEN449" s="268"/>
      <c r="OEO449" s="268"/>
      <c r="OEP449" s="268"/>
      <c r="OEQ449" s="268"/>
      <c r="OER449" s="268"/>
      <c r="OES449" s="268"/>
      <c r="OET449" s="268"/>
      <c r="OEU449" s="268"/>
      <c r="OEV449" s="268"/>
      <c r="OEW449" s="268"/>
      <c r="OEX449" s="268"/>
      <c r="OEY449" s="268"/>
      <c r="OEZ449" s="268"/>
      <c r="OFA449" s="268"/>
      <c r="OFB449" s="268"/>
      <c r="OFC449" s="268"/>
      <c r="OFD449" s="268"/>
      <c r="OFE449" s="268"/>
      <c r="OFF449" s="268"/>
      <c r="OFG449" s="268"/>
      <c r="OFH449" s="268"/>
      <c r="OFI449" s="268"/>
      <c r="OFJ449" s="268"/>
      <c r="OFK449" s="268"/>
      <c r="OFL449" s="268"/>
      <c r="OFM449" s="268"/>
      <c r="OFN449" s="268"/>
      <c r="OFO449" s="268"/>
      <c r="OFP449" s="268"/>
      <c r="OFQ449" s="268"/>
      <c r="OFR449" s="268"/>
      <c r="OFS449" s="268"/>
      <c r="OFT449" s="268"/>
      <c r="OFU449" s="268"/>
      <c r="OFV449" s="268"/>
      <c r="OFW449" s="268"/>
      <c r="OFX449" s="268"/>
      <c r="OFY449" s="268"/>
      <c r="OFZ449" s="268"/>
      <c r="OGA449" s="268"/>
      <c r="OGB449" s="268"/>
      <c r="OGC449" s="268"/>
      <c r="OGD449" s="268"/>
      <c r="OGE449" s="268"/>
      <c r="OGF449" s="268"/>
      <c r="OGG449" s="268"/>
      <c r="OGH449" s="268"/>
      <c r="OGI449" s="268"/>
      <c r="OGJ449" s="268"/>
      <c r="OGK449" s="268"/>
      <c r="OGL449" s="268"/>
      <c r="OGM449" s="268"/>
      <c r="OGN449" s="268"/>
      <c r="OGO449" s="268"/>
      <c r="OGP449" s="268"/>
      <c r="OGQ449" s="268"/>
      <c r="OGR449" s="268"/>
      <c r="OGS449" s="268"/>
      <c r="OGT449" s="268"/>
      <c r="OGU449" s="268"/>
      <c r="OGV449" s="268"/>
      <c r="OGW449" s="268"/>
      <c r="OGX449" s="268"/>
      <c r="OGY449" s="268"/>
      <c r="OGZ449" s="268"/>
      <c r="OHA449" s="268"/>
      <c r="OHB449" s="268"/>
      <c r="OHC449" s="268"/>
      <c r="OHD449" s="268"/>
      <c r="OHE449" s="268"/>
      <c r="OHF449" s="268"/>
      <c r="OHG449" s="268"/>
      <c r="OHH449" s="268"/>
      <c r="OHI449" s="268"/>
      <c r="OHJ449" s="268"/>
      <c r="OHK449" s="268"/>
      <c r="OHL449" s="268"/>
      <c r="OHM449" s="268"/>
      <c r="OHN449" s="268"/>
      <c r="OHO449" s="268"/>
      <c r="OHP449" s="268"/>
      <c r="OHQ449" s="268"/>
      <c r="OHR449" s="268"/>
      <c r="OHS449" s="268"/>
      <c r="OHT449" s="268"/>
      <c r="OHU449" s="268"/>
      <c r="OHV449" s="268"/>
      <c r="OHW449" s="268"/>
      <c r="OHX449" s="268"/>
      <c r="OHY449" s="268"/>
      <c r="OHZ449" s="268"/>
      <c r="OIA449" s="268"/>
      <c r="OIB449" s="268"/>
      <c r="OIC449" s="268"/>
      <c r="OID449" s="268"/>
      <c r="OIE449" s="268"/>
      <c r="OIF449" s="268"/>
      <c r="OIG449" s="268"/>
      <c r="OIH449" s="268"/>
      <c r="OII449" s="268"/>
      <c r="OIJ449" s="268"/>
      <c r="OIK449" s="268"/>
      <c r="OIL449" s="268"/>
      <c r="OIM449" s="268"/>
      <c r="OIN449" s="268"/>
      <c r="OIO449" s="268"/>
      <c r="OIP449" s="268"/>
      <c r="OIQ449" s="268"/>
      <c r="OIR449" s="268"/>
      <c r="OIS449" s="268"/>
      <c r="OIT449" s="268"/>
      <c r="OIU449" s="268"/>
      <c r="OIV449" s="268"/>
      <c r="OIW449" s="268"/>
      <c r="OIX449" s="268"/>
      <c r="OIY449" s="268"/>
      <c r="OIZ449" s="268"/>
      <c r="OJA449" s="268"/>
      <c r="OJB449" s="268"/>
      <c r="OJC449" s="268"/>
      <c r="OJD449" s="268"/>
      <c r="OJE449" s="268"/>
      <c r="OJF449" s="268"/>
      <c r="OJG449" s="268"/>
      <c r="OJH449" s="268"/>
      <c r="OJI449" s="268"/>
      <c r="OJJ449" s="268"/>
      <c r="OJK449" s="268"/>
      <c r="OJL449" s="268"/>
      <c r="OJM449" s="268"/>
      <c r="OJN449" s="268"/>
      <c r="OJO449" s="268"/>
      <c r="OJP449" s="268"/>
      <c r="OJQ449" s="268"/>
      <c r="OJR449" s="268"/>
      <c r="OJS449" s="268"/>
      <c r="OJT449" s="268"/>
      <c r="OJU449" s="268"/>
      <c r="OJV449" s="268"/>
      <c r="OJW449" s="268"/>
      <c r="OJX449" s="268"/>
      <c r="OJY449" s="268"/>
      <c r="OJZ449" s="268"/>
      <c r="OKA449" s="268"/>
      <c r="OKB449" s="268"/>
      <c r="OKC449" s="268"/>
      <c r="OKD449" s="268"/>
      <c r="OKE449" s="268"/>
      <c r="OKF449" s="268"/>
      <c r="OKG449" s="268"/>
      <c r="OKH449" s="268"/>
      <c r="OKI449" s="268"/>
      <c r="OKJ449" s="268"/>
      <c r="OKK449" s="268"/>
      <c r="OKL449" s="268"/>
      <c r="OKM449" s="268"/>
      <c r="OKN449" s="268"/>
      <c r="OKO449" s="268"/>
      <c r="OKP449" s="268"/>
      <c r="OKQ449" s="268"/>
      <c r="OKR449" s="268"/>
      <c r="OKS449" s="268"/>
      <c r="OKT449" s="268"/>
      <c r="OKU449" s="268"/>
      <c r="OKV449" s="268"/>
      <c r="OKW449" s="268"/>
      <c r="OKX449" s="268"/>
      <c r="OKY449" s="268"/>
      <c r="OKZ449" s="268"/>
      <c r="OLA449" s="268"/>
      <c r="OLB449" s="268"/>
      <c r="OLC449" s="268"/>
      <c r="OLD449" s="268"/>
      <c r="OLE449" s="268"/>
      <c r="OLF449" s="268"/>
      <c r="OLG449" s="268"/>
      <c r="OLH449" s="268"/>
      <c r="OLI449" s="268"/>
      <c r="OLJ449" s="268"/>
      <c r="OLK449" s="268"/>
      <c r="OLL449" s="268"/>
      <c r="OLM449" s="268"/>
      <c r="OLN449" s="268"/>
      <c r="OLO449" s="268"/>
      <c r="OLP449" s="268"/>
      <c r="OLQ449" s="268"/>
      <c r="OLR449" s="268"/>
      <c r="OLS449" s="268"/>
      <c r="OLT449" s="268"/>
      <c r="OLU449" s="268"/>
      <c r="OLV449" s="268"/>
      <c r="OLW449" s="268"/>
      <c r="OLX449" s="268"/>
      <c r="OLY449" s="268"/>
      <c r="OLZ449" s="268"/>
      <c r="OMA449" s="268"/>
      <c r="OMB449" s="268"/>
      <c r="OMC449" s="268"/>
      <c r="OMD449" s="268"/>
      <c r="OME449" s="268"/>
      <c r="OMF449" s="268"/>
      <c r="OMG449" s="268"/>
      <c r="OMH449" s="268"/>
      <c r="OMI449" s="268"/>
      <c r="OMW449" s="268"/>
      <c r="OMX449" s="268"/>
      <c r="OMY449" s="268"/>
      <c r="ONM449" s="268"/>
      <c r="ONO449" s="268"/>
      <c r="ONP449" s="268"/>
      <c r="ONQ449" s="268"/>
      <c r="ONR449" s="268"/>
      <c r="ONS449" s="268"/>
      <c r="ONT449" s="268"/>
      <c r="ONU449" s="268"/>
      <c r="ONV449" s="268"/>
      <c r="ONW449" s="268"/>
      <c r="ONX449" s="268"/>
      <c r="ONY449" s="268"/>
      <c r="ONZ449" s="268"/>
      <c r="OOA449" s="268"/>
      <c r="OOB449" s="268"/>
      <c r="OOC449" s="268"/>
      <c r="OOD449" s="268"/>
      <c r="OOE449" s="268"/>
      <c r="OOF449" s="268"/>
      <c r="OOG449" s="268"/>
      <c r="OOH449" s="268"/>
      <c r="OOI449" s="268"/>
      <c r="OOJ449" s="268"/>
      <c r="OOK449" s="268"/>
      <c r="OOL449" s="268"/>
      <c r="OOM449" s="268"/>
      <c r="OON449" s="268"/>
      <c r="OOO449" s="268"/>
      <c r="OOP449" s="268"/>
      <c r="OOQ449" s="268"/>
      <c r="OOR449" s="268"/>
      <c r="OOS449" s="268"/>
      <c r="OOT449" s="268"/>
      <c r="OOU449" s="268"/>
      <c r="OOV449" s="268"/>
      <c r="OOW449" s="268"/>
      <c r="OOX449" s="268"/>
      <c r="OOY449" s="268"/>
      <c r="OOZ449" s="268"/>
      <c r="OPA449" s="268"/>
      <c r="OPB449" s="268"/>
      <c r="OPC449" s="268"/>
      <c r="OPD449" s="268"/>
      <c r="OPE449" s="268"/>
      <c r="OPF449" s="268"/>
      <c r="OPG449" s="268"/>
      <c r="OPH449" s="268"/>
      <c r="OPI449" s="268"/>
      <c r="OPJ449" s="268"/>
      <c r="OPK449" s="268"/>
      <c r="OPL449" s="268"/>
      <c r="OPM449" s="268"/>
      <c r="OPN449" s="268"/>
      <c r="OPO449" s="268"/>
      <c r="OPP449" s="268"/>
      <c r="OPQ449" s="268"/>
      <c r="OPR449" s="268"/>
      <c r="OPS449" s="268"/>
      <c r="OPT449" s="268"/>
      <c r="OPU449" s="268"/>
      <c r="OPV449" s="268"/>
      <c r="OPW449" s="268"/>
      <c r="OPX449" s="268"/>
      <c r="OPY449" s="268"/>
      <c r="OPZ449" s="268"/>
      <c r="OQA449" s="268"/>
      <c r="OQB449" s="268"/>
      <c r="OQC449" s="268"/>
      <c r="OQD449" s="268"/>
      <c r="OQE449" s="268"/>
      <c r="OQF449" s="268"/>
      <c r="OQG449" s="268"/>
      <c r="OQH449" s="268"/>
      <c r="OQI449" s="268"/>
      <c r="OQJ449" s="268"/>
      <c r="OQK449" s="268"/>
      <c r="OQL449" s="268"/>
      <c r="OQM449" s="268"/>
      <c r="OQN449" s="268"/>
      <c r="OQO449" s="268"/>
      <c r="OQP449" s="268"/>
      <c r="OQQ449" s="268"/>
      <c r="OQR449" s="268"/>
      <c r="OQS449" s="268"/>
      <c r="OQT449" s="268"/>
      <c r="OQU449" s="268"/>
      <c r="OQV449" s="268"/>
      <c r="OQW449" s="268"/>
      <c r="OQX449" s="268"/>
      <c r="OQY449" s="268"/>
      <c r="OQZ449" s="268"/>
      <c r="ORA449" s="268"/>
      <c r="ORB449" s="268"/>
      <c r="ORC449" s="268"/>
      <c r="ORD449" s="268"/>
      <c r="ORE449" s="268"/>
      <c r="ORF449" s="268"/>
      <c r="ORG449" s="268"/>
      <c r="ORH449" s="268"/>
      <c r="ORI449" s="268"/>
      <c r="ORJ449" s="268"/>
      <c r="ORK449" s="268"/>
      <c r="ORL449" s="268"/>
      <c r="ORM449" s="268"/>
      <c r="ORN449" s="268"/>
      <c r="ORO449" s="268"/>
      <c r="ORP449" s="268"/>
      <c r="ORQ449" s="268"/>
      <c r="ORR449" s="268"/>
      <c r="ORS449" s="268"/>
      <c r="ORT449" s="268"/>
      <c r="ORU449" s="268"/>
      <c r="ORV449" s="268"/>
      <c r="ORW449" s="268"/>
      <c r="ORX449" s="268"/>
      <c r="ORY449" s="268"/>
      <c r="ORZ449" s="268"/>
      <c r="OSA449" s="268"/>
      <c r="OSB449" s="268"/>
      <c r="OSC449" s="268"/>
      <c r="OSD449" s="268"/>
      <c r="OSE449" s="268"/>
      <c r="OSF449" s="268"/>
      <c r="OSG449" s="268"/>
      <c r="OSH449" s="268"/>
      <c r="OSI449" s="268"/>
      <c r="OSJ449" s="268"/>
      <c r="OSK449" s="268"/>
      <c r="OSL449" s="268"/>
      <c r="OSM449" s="268"/>
      <c r="OSN449" s="268"/>
      <c r="OSO449" s="268"/>
      <c r="OSP449" s="268"/>
      <c r="OSQ449" s="268"/>
      <c r="OSR449" s="268"/>
      <c r="OSS449" s="268"/>
      <c r="OST449" s="268"/>
      <c r="OSU449" s="268"/>
      <c r="OSV449" s="268"/>
      <c r="OSW449" s="268"/>
      <c r="OSX449" s="268"/>
      <c r="OSY449" s="268"/>
      <c r="OSZ449" s="268"/>
      <c r="OTA449" s="268"/>
      <c r="OTB449" s="268"/>
      <c r="OTC449" s="268"/>
      <c r="OTD449" s="268"/>
      <c r="OTE449" s="268"/>
      <c r="OTF449" s="268"/>
      <c r="OTG449" s="268"/>
      <c r="OTH449" s="268"/>
      <c r="OTI449" s="268"/>
      <c r="OTJ449" s="268"/>
      <c r="OTK449" s="268"/>
      <c r="OTL449" s="268"/>
      <c r="OTM449" s="268"/>
      <c r="OTN449" s="268"/>
      <c r="OTO449" s="268"/>
      <c r="OTP449" s="268"/>
      <c r="OTQ449" s="268"/>
      <c r="OTR449" s="268"/>
      <c r="OTS449" s="268"/>
      <c r="OTT449" s="268"/>
      <c r="OTU449" s="268"/>
      <c r="OTV449" s="268"/>
      <c r="OTW449" s="268"/>
      <c r="OTX449" s="268"/>
      <c r="OTY449" s="268"/>
      <c r="OTZ449" s="268"/>
      <c r="OUA449" s="268"/>
      <c r="OUB449" s="268"/>
      <c r="OUC449" s="268"/>
      <c r="OUD449" s="268"/>
      <c r="OUE449" s="268"/>
      <c r="OUF449" s="268"/>
      <c r="OUG449" s="268"/>
      <c r="OUH449" s="268"/>
      <c r="OUI449" s="268"/>
      <c r="OUJ449" s="268"/>
      <c r="OUK449" s="268"/>
      <c r="OUL449" s="268"/>
      <c r="OUM449" s="268"/>
      <c r="OUN449" s="268"/>
      <c r="OUO449" s="268"/>
      <c r="OUP449" s="268"/>
      <c r="OUQ449" s="268"/>
      <c r="OUR449" s="268"/>
      <c r="OUS449" s="268"/>
      <c r="OUT449" s="268"/>
      <c r="OUU449" s="268"/>
      <c r="OUV449" s="268"/>
      <c r="OUW449" s="268"/>
      <c r="OUX449" s="268"/>
      <c r="OUY449" s="268"/>
      <c r="OUZ449" s="268"/>
      <c r="OVA449" s="268"/>
      <c r="OVB449" s="268"/>
      <c r="OVC449" s="268"/>
      <c r="OVD449" s="268"/>
      <c r="OVE449" s="268"/>
      <c r="OVF449" s="268"/>
      <c r="OVG449" s="268"/>
      <c r="OVH449" s="268"/>
      <c r="OVI449" s="268"/>
      <c r="OVJ449" s="268"/>
      <c r="OVK449" s="268"/>
      <c r="OVL449" s="268"/>
      <c r="OVM449" s="268"/>
      <c r="OVN449" s="268"/>
      <c r="OVO449" s="268"/>
      <c r="OVP449" s="268"/>
      <c r="OVQ449" s="268"/>
      <c r="OVR449" s="268"/>
      <c r="OVS449" s="268"/>
      <c r="OVT449" s="268"/>
      <c r="OVU449" s="268"/>
      <c r="OVV449" s="268"/>
      <c r="OVW449" s="268"/>
      <c r="OVX449" s="268"/>
      <c r="OVY449" s="268"/>
      <c r="OVZ449" s="268"/>
      <c r="OWA449" s="268"/>
      <c r="OWB449" s="268"/>
      <c r="OWC449" s="268"/>
      <c r="OWD449" s="268"/>
      <c r="OWE449" s="268"/>
      <c r="OWS449" s="268"/>
      <c r="OWT449" s="268"/>
      <c r="OWU449" s="268"/>
      <c r="OXI449" s="268"/>
      <c r="OXK449" s="268"/>
      <c r="OXL449" s="268"/>
      <c r="OXM449" s="268"/>
      <c r="OXN449" s="268"/>
      <c r="OXO449" s="268"/>
      <c r="OXP449" s="268"/>
      <c r="OXQ449" s="268"/>
      <c r="OXR449" s="268"/>
      <c r="OXS449" s="268"/>
      <c r="OXT449" s="268"/>
      <c r="OXU449" s="268"/>
      <c r="OXV449" s="268"/>
      <c r="OXW449" s="268"/>
      <c r="OXX449" s="268"/>
      <c r="OXY449" s="268"/>
      <c r="OXZ449" s="268"/>
      <c r="OYA449" s="268"/>
      <c r="OYB449" s="268"/>
      <c r="OYC449" s="268"/>
      <c r="OYD449" s="268"/>
      <c r="OYE449" s="268"/>
      <c r="OYF449" s="268"/>
      <c r="OYG449" s="268"/>
      <c r="OYH449" s="268"/>
      <c r="OYI449" s="268"/>
      <c r="OYJ449" s="268"/>
      <c r="OYK449" s="268"/>
      <c r="OYL449" s="268"/>
      <c r="OYM449" s="268"/>
      <c r="OYN449" s="268"/>
      <c r="OYO449" s="268"/>
      <c r="OYP449" s="268"/>
      <c r="OYQ449" s="268"/>
      <c r="OYR449" s="268"/>
      <c r="OYS449" s="268"/>
      <c r="OYT449" s="268"/>
      <c r="OYU449" s="268"/>
      <c r="OYV449" s="268"/>
      <c r="OYW449" s="268"/>
      <c r="OYX449" s="268"/>
      <c r="OYY449" s="268"/>
      <c r="OYZ449" s="268"/>
      <c r="OZA449" s="268"/>
      <c r="OZB449" s="268"/>
      <c r="OZC449" s="268"/>
      <c r="OZD449" s="268"/>
      <c r="OZE449" s="268"/>
      <c r="OZF449" s="268"/>
      <c r="OZG449" s="268"/>
      <c r="OZH449" s="268"/>
      <c r="OZI449" s="268"/>
      <c r="OZJ449" s="268"/>
      <c r="OZK449" s="268"/>
      <c r="OZL449" s="268"/>
      <c r="OZM449" s="268"/>
      <c r="OZN449" s="268"/>
      <c r="OZO449" s="268"/>
      <c r="OZP449" s="268"/>
      <c r="OZQ449" s="268"/>
      <c r="OZR449" s="268"/>
      <c r="OZS449" s="268"/>
      <c r="OZT449" s="268"/>
      <c r="OZU449" s="268"/>
      <c r="OZV449" s="268"/>
      <c r="OZW449" s="268"/>
      <c r="OZX449" s="268"/>
      <c r="OZY449" s="268"/>
      <c r="OZZ449" s="268"/>
      <c r="PAA449" s="268"/>
      <c r="PAB449" s="268"/>
      <c r="PAC449" s="268"/>
      <c r="PAD449" s="268"/>
      <c r="PAE449" s="268"/>
      <c r="PAF449" s="268"/>
      <c r="PAG449" s="268"/>
      <c r="PAH449" s="268"/>
      <c r="PAI449" s="268"/>
      <c r="PAJ449" s="268"/>
      <c r="PAK449" s="268"/>
      <c r="PAL449" s="268"/>
      <c r="PAM449" s="268"/>
      <c r="PAN449" s="268"/>
      <c r="PAO449" s="268"/>
      <c r="PAP449" s="268"/>
      <c r="PAQ449" s="268"/>
      <c r="PAR449" s="268"/>
      <c r="PAS449" s="268"/>
      <c r="PAT449" s="268"/>
      <c r="PAU449" s="268"/>
      <c r="PAV449" s="268"/>
      <c r="PAW449" s="268"/>
      <c r="PAX449" s="268"/>
      <c r="PAY449" s="268"/>
      <c r="PAZ449" s="268"/>
      <c r="PBA449" s="268"/>
      <c r="PBB449" s="268"/>
      <c r="PBC449" s="268"/>
      <c r="PBD449" s="268"/>
      <c r="PBE449" s="268"/>
      <c r="PBF449" s="268"/>
      <c r="PBG449" s="268"/>
      <c r="PBH449" s="268"/>
      <c r="PBI449" s="268"/>
      <c r="PBJ449" s="268"/>
      <c r="PBK449" s="268"/>
      <c r="PBL449" s="268"/>
      <c r="PBM449" s="268"/>
      <c r="PBN449" s="268"/>
      <c r="PBO449" s="268"/>
      <c r="PBP449" s="268"/>
      <c r="PBQ449" s="268"/>
      <c r="PBR449" s="268"/>
      <c r="PBS449" s="268"/>
      <c r="PBT449" s="268"/>
      <c r="PBU449" s="268"/>
      <c r="PBV449" s="268"/>
      <c r="PBW449" s="268"/>
      <c r="PBX449" s="268"/>
      <c r="PBY449" s="268"/>
      <c r="PBZ449" s="268"/>
      <c r="PCA449" s="268"/>
      <c r="PCB449" s="268"/>
      <c r="PCC449" s="268"/>
      <c r="PCD449" s="268"/>
      <c r="PCE449" s="268"/>
      <c r="PCF449" s="268"/>
      <c r="PCG449" s="268"/>
      <c r="PCH449" s="268"/>
      <c r="PCI449" s="268"/>
      <c r="PCJ449" s="268"/>
      <c r="PCK449" s="268"/>
      <c r="PCL449" s="268"/>
      <c r="PCM449" s="268"/>
      <c r="PCN449" s="268"/>
      <c r="PCO449" s="268"/>
      <c r="PCP449" s="268"/>
      <c r="PCQ449" s="268"/>
      <c r="PCR449" s="268"/>
      <c r="PCS449" s="268"/>
      <c r="PCT449" s="268"/>
      <c r="PCU449" s="268"/>
      <c r="PCV449" s="268"/>
      <c r="PCW449" s="268"/>
      <c r="PCX449" s="268"/>
      <c r="PCY449" s="268"/>
      <c r="PCZ449" s="268"/>
      <c r="PDA449" s="268"/>
      <c r="PDB449" s="268"/>
      <c r="PDC449" s="268"/>
      <c r="PDD449" s="268"/>
      <c r="PDE449" s="268"/>
      <c r="PDF449" s="268"/>
      <c r="PDG449" s="268"/>
      <c r="PDH449" s="268"/>
      <c r="PDI449" s="268"/>
      <c r="PDJ449" s="268"/>
      <c r="PDK449" s="268"/>
      <c r="PDL449" s="268"/>
      <c r="PDM449" s="268"/>
      <c r="PDN449" s="268"/>
      <c r="PDO449" s="268"/>
      <c r="PDP449" s="268"/>
      <c r="PDQ449" s="268"/>
      <c r="PDR449" s="268"/>
      <c r="PDS449" s="268"/>
      <c r="PDT449" s="268"/>
      <c r="PDU449" s="268"/>
      <c r="PDV449" s="268"/>
      <c r="PDW449" s="268"/>
      <c r="PDX449" s="268"/>
      <c r="PDY449" s="268"/>
      <c r="PDZ449" s="268"/>
      <c r="PEA449" s="268"/>
      <c r="PEB449" s="268"/>
      <c r="PEC449" s="268"/>
      <c r="PED449" s="268"/>
      <c r="PEE449" s="268"/>
      <c r="PEF449" s="268"/>
      <c r="PEG449" s="268"/>
      <c r="PEH449" s="268"/>
      <c r="PEI449" s="268"/>
      <c r="PEJ449" s="268"/>
      <c r="PEK449" s="268"/>
      <c r="PEL449" s="268"/>
      <c r="PEM449" s="268"/>
      <c r="PEN449" s="268"/>
      <c r="PEO449" s="268"/>
      <c r="PEP449" s="268"/>
      <c r="PEQ449" s="268"/>
      <c r="PER449" s="268"/>
      <c r="PES449" s="268"/>
      <c r="PET449" s="268"/>
      <c r="PEU449" s="268"/>
      <c r="PEV449" s="268"/>
      <c r="PEW449" s="268"/>
      <c r="PEX449" s="268"/>
      <c r="PEY449" s="268"/>
      <c r="PEZ449" s="268"/>
      <c r="PFA449" s="268"/>
      <c r="PFB449" s="268"/>
      <c r="PFC449" s="268"/>
      <c r="PFD449" s="268"/>
      <c r="PFE449" s="268"/>
      <c r="PFF449" s="268"/>
      <c r="PFG449" s="268"/>
      <c r="PFH449" s="268"/>
      <c r="PFI449" s="268"/>
      <c r="PFJ449" s="268"/>
      <c r="PFK449" s="268"/>
      <c r="PFL449" s="268"/>
      <c r="PFM449" s="268"/>
      <c r="PFN449" s="268"/>
      <c r="PFO449" s="268"/>
      <c r="PFP449" s="268"/>
      <c r="PFQ449" s="268"/>
      <c r="PFR449" s="268"/>
      <c r="PFS449" s="268"/>
      <c r="PFT449" s="268"/>
      <c r="PFU449" s="268"/>
      <c r="PFV449" s="268"/>
      <c r="PFW449" s="268"/>
      <c r="PFX449" s="268"/>
      <c r="PFY449" s="268"/>
      <c r="PFZ449" s="268"/>
      <c r="PGA449" s="268"/>
      <c r="PGO449" s="268"/>
      <c r="PGP449" s="268"/>
      <c r="PGQ449" s="268"/>
      <c r="PHE449" s="268"/>
      <c r="PHG449" s="268"/>
      <c r="PHH449" s="268"/>
      <c r="PHI449" s="268"/>
      <c r="PHJ449" s="268"/>
      <c r="PHK449" s="268"/>
      <c r="PHL449" s="268"/>
      <c r="PHM449" s="268"/>
      <c r="PHN449" s="268"/>
      <c r="PHO449" s="268"/>
      <c r="PHP449" s="268"/>
      <c r="PHQ449" s="268"/>
      <c r="PHR449" s="268"/>
      <c r="PHS449" s="268"/>
      <c r="PHT449" s="268"/>
      <c r="PHU449" s="268"/>
      <c r="PHV449" s="268"/>
      <c r="PHW449" s="268"/>
      <c r="PHX449" s="268"/>
      <c r="PHY449" s="268"/>
      <c r="PHZ449" s="268"/>
      <c r="PIA449" s="268"/>
      <c r="PIB449" s="268"/>
      <c r="PIC449" s="268"/>
      <c r="PID449" s="268"/>
      <c r="PIE449" s="268"/>
      <c r="PIF449" s="268"/>
      <c r="PIG449" s="268"/>
      <c r="PIH449" s="268"/>
      <c r="PII449" s="268"/>
      <c r="PIJ449" s="268"/>
      <c r="PIK449" s="268"/>
      <c r="PIL449" s="268"/>
      <c r="PIM449" s="268"/>
      <c r="PIN449" s="268"/>
      <c r="PIO449" s="268"/>
      <c r="PIP449" s="268"/>
      <c r="PIQ449" s="268"/>
      <c r="PIR449" s="268"/>
      <c r="PIS449" s="268"/>
      <c r="PIT449" s="268"/>
      <c r="PIU449" s="268"/>
      <c r="PIV449" s="268"/>
      <c r="PIW449" s="268"/>
      <c r="PIX449" s="268"/>
      <c r="PIY449" s="268"/>
      <c r="PIZ449" s="268"/>
      <c r="PJA449" s="268"/>
      <c r="PJB449" s="268"/>
      <c r="PJC449" s="268"/>
      <c r="PJD449" s="268"/>
      <c r="PJE449" s="268"/>
      <c r="PJF449" s="268"/>
      <c r="PJG449" s="268"/>
      <c r="PJH449" s="268"/>
      <c r="PJI449" s="268"/>
      <c r="PJJ449" s="268"/>
      <c r="PJK449" s="268"/>
      <c r="PJL449" s="268"/>
      <c r="PJM449" s="268"/>
      <c r="PJN449" s="268"/>
      <c r="PJO449" s="268"/>
      <c r="PJP449" s="268"/>
      <c r="PJQ449" s="268"/>
      <c r="PJR449" s="268"/>
      <c r="PJS449" s="268"/>
      <c r="PJT449" s="268"/>
      <c r="PJU449" s="268"/>
      <c r="PJV449" s="268"/>
      <c r="PJW449" s="268"/>
      <c r="PJX449" s="268"/>
      <c r="PJY449" s="268"/>
      <c r="PJZ449" s="268"/>
      <c r="PKA449" s="268"/>
      <c r="PKB449" s="268"/>
      <c r="PKC449" s="268"/>
      <c r="PKD449" s="268"/>
      <c r="PKE449" s="268"/>
      <c r="PKF449" s="268"/>
      <c r="PKG449" s="268"/>
      <c r="PKH449" s="268"/>
      <c r="PKI449" s="268"/>
      <c r="PKJ449" s="268"/>
      <c r="PKK449" s="268"/>
      <c r="PKL449" s="268"/>
      <c r="PKM449" s="268"/>
      <c r="PKN449" s="268"/>
      <c r="PKO449" s="268"/>
      <c r="PKP449" s="268"/>
      <c r="PKQ449" s="268"/>
      <c r="PKR449" s="268"/>
      <c r="PKS449" s="268"/>
      <c r="PKT449" s="268"/>
      <c r="PKU449" s="268"/>
      <c r="PKV449" s="268"/>
      <c r="PKW449" s="268"/>
      <c r="PKX449" s="268"/>
      <c r="PKY449" s="268"/>
      <c r="PKZ449" s="268"/>
      <c r="PLA449" s="268"/>
      <c r="PLB449" s="268"/>
      <c r="PLC449" s="268"/>
      <c r="PLD449" s="268"/>
      <c r="PLE449" s="268"/>
      <c r="PLF449" s="268"/>
      <c r="PLG449" s="268"/>
      <c r="PLH449" s="268"/>
      <c r="PLI449" s="268"/>
      <c r="PLJ449" s="268"/>
      <c r="PLK449" s="268"/>
      <c r="PLL449" s="268"/>
      <c r="PLM449" s="268"/>
      <c r="PLN449" s="268"/>
      <c r="PLO449" s="268"/>
      <c r="PLP449" s="268"/>
      <c r="PLQ449" s="268"/>
      <c r="PLR449" s="268"/>
      <c r="PLS449" s="268"/>
      <c r="PLT449" s="268"/>
      <c r="PLU449" s="268"/>
      <c r="PLV449" s="268"/>
      <c r="PLW449" s="268"/>
      <c r="PLX449" s="268"/>
      <c r="PLY449" s="268"/>
      <c r="PLZ449" s="268"/>
      <c r="PMA449" s="268"/>
      <c r="PMB449" s="268"/>
      <c r="PMC449" s="268"/>
      <c r="PMD449" s="268"/>
      <c r="PME449" s="268"/>
      <c r="PMF449" s="268"/>
      <c r="PMG449" s="268"/>
      <c r="PMH449" s="268"/>
      <c r="PMI449" s="268"/>
      <c r="PMJ449" s="268"/>
      <c r="PMK449" s="268"/>
      <c r="PML449" s="268"/>
      <c r="PMM449" s="268"/>
      <c r="PMN449" s="268"/>
      <c r="PMO449" s="268"/>
      <c r="PMP449" s="268"/>
      <c r="PMQ449" s="268"/>
      <c r="PMR449" s="268"/>
      <c r="PMS449" s="268"/>
      <c r="PMT449" s="268"/>
      <c r="PMU449" s="268"/>
      <c r="PMV449" s="268"/>
      <c r="PMW449" s="268"/>
      <c r="PMX449" s="268"/>
      <c r="PMY449" s="268"/>
      <c r="PMZ449" s="268"/>
      <c r="PNA449" s="268"/>
      <c r="PNB449" s="268"/>
      <c r="PNC449" s="268"/>
      <c r="PND449" s="268"/>
      <c r="PNE449" s="268"/>
      <c r="PNF449" s="268"/>
      <c r="PNG449" s="268"/>
      <c r="PNH449" s="268"/>
      <c r="PNI449" s="268"/>
      <c r="PNJ449" s="268"/>
      <c r="PNK449" s="268"/>
      <c r="PNL449" s="268"/>
      <c r="PNM449" s="268"/>
      <c r="PNN449" s="268"/>
      <c r="PNO449" s="268"/>
      <c r="PNP449" s="268"/>
      <c r="PNQ449" s="268"/>
      <c r="PNR449" s="268"/>
      <c r="PNS449" s="268"/>
      <c r="PNT449" s="268"/>
      <c r="PNU449" s="268"/>
      <c r="PNV449" s="268"/>
      <c r="PNW449" s="268"/>
      <c r="PNX449" s="268"/>
      <c r="PNY449" s="268"/>
      <c r="PNZ449" s="268"/>
      <c r="POA449" s="268"/>
      <c r="POB449" s="268"/>
      <c r="POC449" s="268"/>
      <c r="POD449" s="268"/>
      <c r="POE449" s="268"/>
      <c r="POF449" s="268"/>
      <c r="POG449" s="268"/>
      <c r="POH449" s="268"/>
      <c r="POI449" s="268"/>
      <c r="POJ449" s="268"/>
      <c r="POK449" s="268"/>
      <c r="POL449" s="268"/>
      <c r="POM449" s="268"/>
      <c r="PON449" s="268"/>
      <c r="POO449" s="268"/>
      <c r="POP449" s="268"/>
      <c r="POQ449" s="268"/>
      <c r="POR449" s="268"/>
      <c r="POS449" s="268"/>
      <c r="POT449" s="268"/>
      <c r="POU449" s="268"/>
      <c r="POV449" s="268"/>
      <c r="POW449" s="268"/>
      <c r="POX449" s="268"/>
      <c r="POY449" s="268"/>
      <c r="POZ449" s="268"/>
      <c r="PPA449" s="268"/>
      <c r="PPB449" s="268"/>
      <c r="PPC449" s="268"/>
      <c r="PPD449" s="268"/>
      <c r="PPE449" s="268"/>
      <c r="PPF449" s="268"/>
      <c r="PPG449" s="268"/>
      <c r="PPH449" s="268"/>
      <c r="PPI449" s="268"/>
      <c r="PPJ449" s="268"/>
      <c r="PPK449" s="268"/>
      <c r="PPL449" s="268"/>
      <c r="PPM449" s="268"/>
      <c r="PPN449" s="268"/>
      <c r="PPO449" s="268"/>
      <c r="PPP449" s="268"/>
      <c r="PPQ449" s="268"/>
      <c r="PPR449" s="268"/>
      <c r="PPS449" s="268"/>
      <c r="PPT449" s="268"/>
      <c r="PPU449" s="268"/>
      <c r="PPV449" s="268"/>
      <c r="PPW449" s="268"/>
      <c r="PQK449" s="268"/>
      <c r="PQL449" s="268"/>
      <c r="PQM449" s="268"/>
      <c r="PRA449" s="268"/>
      <c r="PRC449" s="268"/>
      <c r="PRD449" s="268"/>
      <c r="PRE449" s="268"/>
      <c r="PRF449" s="268"/>
      <c r="PRG449" s="268"/>
      <c r="PRH449" s="268"/>
      <c r="PRI449" s="268"/>
      <c r="PRJ449" s="268"/>
      <c r="PRK449" s="268"/>
      <c r="PRL449" s="268"/>
      <c r="PRM449" s="268"/>
      <c r="PRN449" s="268"/>
      <c r="PRO449" s="268"/>
      <c r="PRP449" s="268"/>
      <c r="PRQ449" s="268"/>
      <c r="PRR449" s="268"/>
      <c r="PRS449" s="268"/>
      <c r="PRT449" s="268"/>
      <c r="PRU449" s="268"/>
      <c r="PRV449" s="268"/>
      <c r="PRW449" s="268"/>
      <c r="PRX449" s="268"/>
      <c r="PRY449" s="268"/>
      <c r="PRZ449" s="268"/>
      <c r="PSA449" s="268"/>
      <c r="PSB449" s="268"/>
      <c r="PSC449" s="268"/>
      <c r="PSD449" s="268"/>
      <c r="PSE449" s="268"/>
      <c r="PSF449" s="268"/>
      <c r="PSG449" s="268"/>
      <c r="PSH449" s="268"/>
      <c r="PSI449" s="268"/>
      <c r="PSJ449" s="268"/>
      <c r="PSK449" s="268"/>
      <c r="PSL449" s="268"/>
      <c r="PSM449" s="268"/>
      <c r="PSN449" s="268"/>
      <c r="PSO449" s="268"/>
      <c r="PSP449" s="268"/>
      <c r="PSQ449" s="268"/>
      <c r="PSR449" s="268"/>
      <c r="PSS449" s="268"/>
      <c r="PST449" s="268"/>
      <c r="PSU449" s="268"/>
      <c r="PSV449" s="268"/>
      <c r="PSW449" s="268"/>
      <c r="PSX449" s="268"/>
      <c r="PSY449" s="268"/>
      <c r="PSZ449" s="268"/>
      <c r="PTA449" s="268"/>
      <c r="PTB449" s="268"/>
      <c r="PTC449" s="268"/>
      <c r="PTD449" s="268"/>
      <c r="PTE449" s="268"/>
      <c r="PTF449" s="268"/>
      <c r="PTG449" s="268"/>
      <c r="PTH449" s="268"/>
      <c r="PTI449" s="268"/>
      <c r="PTJ449" s="268"/>
      <c r="PTK449" s="268"/>
      <c r="PTL449" s="268"/>
      <c r="PTM449" s="268"/>
      <c r="PTN449" s="268"/>
      <c r="PTO449" s="268"/>
      <c r="PTP449" s="268"/>
      <c r="PTQ449" s="268"/>
      <c r="PTR449" s="268"/>
      <c r="PTS449" s="268"/>
      <c r="PTT449" s="268"/>
      <c r="PTU449" s="268"/>
      <c r="PTV449" s="268"/>
      <c r="PTW449" s="268"/>
      <c r="PTX449" s="268"/>
      <c r="PTY449" s="268"/>
      <c r="PTZ449" s="268"/>
      <c r="PUA449" s="268"/>
      <c r="PUB449" s="268"/>
      <c r="PUC449" s="268"/>
      <c r="PUD449" s="268"/>
      <c r="PUE449" s="268"/>
      <c r="PUF449" s="268"/>
      <c r="PUG449" s="268"/>
      <c r="PUH449" s="268"/>
      <c r="PUI449" s="268"/>
      <c r="PUJ449" s="268"/>
      <c r="PUK449" s="268"/>
      <c r="PUL449" s="268"/>
      <c r="PUM449" s="268"/>
      <c r="PUN449" s="268"/>
      <c r="PUO449" s="268"/>
      <c r="PUP449" s="268"/>
      <c r="PUQ449" s="268"/>
      <c r="PUR449" s="268"/>
      <c r="PUS449" s="268"/>
      <c r="PUT449" s="268"/>
      <c r="PUU449" s="268"/>
      <c r="PUV449" s="268"/>
      <c r="PUW449" s="268"/>
      <c r="PUX449" s="268"/>
      <c r="PUY449" s="268"/>
      <c r="PUZ449" s="268"/>
      <c r="PVA449" s="268"/>
      <c r="PVB449" s="268"/>
      <c r="PVC449" s="268"/>
      <c r="PVD449" s="268"/>
      <c r="PVE449" s="268"/>
      <c r="PVF449" s="268"/>
      <c r="PVG449" s="268"/>
      <c r="PVH449" s="268"/>
      <c r="PVI449" s="268"/>
      <c r="PVJ449" s="268"/>
      <c r="PVK449" s="268"/>
      <c r="PVL449" s="268"/>
      <c r="PVM449" s="268"/>
      <c r="PVN449" s="268"/>
      <c r="PVO449" s="268"/>
      <c r="PVP449" s="268"/>
      <c r="PVQ449" s="268"/>
      <c r="PVR449" s="268"/>
      <c r="PVS449" s="268"/>
      <c r="PVT449" s="268"/>
      <c r="PVU449" s="268"/>
      <c r="PVV449" s="268"/>
      <c r="PVW449" s="268"/>
      <c r="PVX449" s="268"/>
      <c r="PVY449" s="268"/>
      <c r="PVZ449" s="268"/>
      <c r="PWA449" s="268"/>
      <c r="PWB449" s="268"/>
      <c r="PWC449" s="268"/>
      <c r="PWD449" s="268"/>
      <c r="PWE449" s="268"/>
      <c r="PWF449" s="268"/>
      <c r="PWG449" s="268"/>
      <c r="PWH449" s="268"/>
      <c r="PWI449" s="268"/>
      <c r="PWJ449" s="268"/>
      <c r="PWK449" s="268"/>
      <c r="PWL449" s="268"/>
      <c r="PWM449" s="268"/>
      <c r="PWN449" s="268"/>
      <c r="PWO449" s="268"/>
      <c r="PWP449" s="268"/>
      <c r="PWQ449" s="268"/>
      <c r="PWR449" s="268"/>
      <c r="PWS449" s="268"/>
      <c r="PWT449" s="268"/>
      <c r="PWU449" s="268"/>
      <c r="PWV449" s="268"/>
      <c r="PWW449" s="268"/>
      <c r="PWX449" s="268"/>
      <c r="PWY449" s="268"/>
      <c r="PWZ449" s="268"/>
      <c r="PXA449" s="268"/>
      <c r="PXB449" s="268"/>
      <c r="PXC449" s="268"/>
      <c r="PXD449" s="268"/>
      <c r="PXE449" s="268"/>
      <c r="PXF449" s="268"/>
      <c r="PXG449" s="268"/>
      <c r="PXH449" s="268"/>
      <c r="PXI449" s="268"/>
      <c r="PXJ449" s="268"/>
      <c r="PXK449" s="268"/>
      <c r="PXL449" s="268"/>
      <c r="PXM449" s="268"/>
      <c r="PXN449" s="268"/>
      <c r="PXO449" s="268"/>
      <c r="PXP449" s="268"/>
      <c r="PXQ449" s="268"/>
      <c r="PXR449" s="268"/>
      <c r="PXS449" s="268"/>
      <c r="PXT449" s="268"/>
      <c r="PXU449" s="268"/>
      <c r="PXV449" s="268"/>
      <c r="PXW449" s="268"/>
      <c r="PXX449" s="268"/>
      <c r="PXY449" s="268"/>
      <c r="PXZ449" s="268"/>
      <c r="PYA449" s="268"/>
      <c r="PYB449" s="268"/>
      <c r="PYC449" s="268"/>
      <c r="PYD449" s="268"/>
      <c r="PYE449" s="268"/>
      <c r="PYF449" s="268"/>
      <c r="PYG449" s="268"/>
      <c r="PYH449" s="268"/>
      <c r="PYI449" s="268"/>
      <c r="PYJ449" s="268"/>
      <c r="PYK449" s="268"/>
      <c r="PYL449" s="268"/>
      <c r="PYM449" s="268"/>
      <c r="PYN449" s="268"/>
      <c r="PYO449" s="268"/>
      <c r="PYP449" s="268"/>
      <c r="PYQ449" s="268"/>
      <c r="PYR449" s="268"/>
      <c r="PYS449" s="268"/>
      <c r="PYT449" s="268"/>
      <c r="PYU449" s="268"/>
      <c r="PYV449" s="268"/>
      <c r="PYW449" s="268"/>
      <c r="PYX449" s="268"/>
      <c r="PYY449" s="268"/>
      <c r="PYZ449" s="268"/>
      <c r="PZA449" s="268"/>
      <c r="PZB449" s="268"/>
      <c r="PZC449" s="268"/>
      <c r="PZD449" s="268"/>
      <c r="PZE449" s="268"/>
      <c r="PZF449" s="268"/>
      <c r="PZG449" s="268"/>
      <c r="PZH449" s="268"/>
      <c r="PZI449" s="268"/>
      <c r="PZJ449" s="268"/>
      <c r="PZK449" s="268"/>
      <c r="PZL449" s="268"/>
      <c r="PZM449" s="268"/>
      <c r="PZN449" s="268"/>
      <c r="PZO449" s="268"/>
      <c r="PZP449" s="268"/>
      <c r="PZQ449" s="268"/>
      <c r="PZR449" s="268"/>
      <c r="PZS449" s="268"/>
      <c r="QAG449" s="268"/>
      <c r="QAH449" s="268"/>
      <c r="QAI449" s="268"/>
      <c r="QAW449" s="268"/>
      <c r="QAY449" s="268"/>
      <c r="QAZ449" s="268"/>
      <c r="QBA449" s="268"/>
      <c r="QBB449" s="268"/>
      <c r="QBC449" s="268"/>
      <c r="QBD449" s="268"/>
      <c r="QBE449" s="268"/>
      <c r="QBF449" s="268"/>
      <c r="QBG449" s="268"/>
      <c r="QBH449" s="268"/>
      <c r="QBI449" s="268"/>
      <c r="QBJ449" s="268"/>
      <c r="QBK449" s="268"/>
      <c r="QBL449" s="268"/>
      <c r="QBM449" s="268"/>
      <c r="QBN449" s="268"/>
      <c r="QBO449" s="268"/>
      <c r="QBP449" s="268"/>
      <c r="QBQ449" s="268"/>
      <c r="QBR449" s="268"/>
      <c r="QBS449" s="268"/>
      <c r="QBT449" s="268"/>
      <c r="QBU449" s="268"/>
      <c r="QBV449" s="268"/>
      <c r="QBW449" s="268"/>
      <c r="QBX449" s="268"/>
      <c r="QBY449" s="268"/>
      <c r="QBZ449" s="268"/>
      <c r="QCA449" s="268"/>
      <c r="QCB449" s="268"/>
      <c r="QCC449" s="268"/>
      <c r="QCD449" s="268"/>
      <c r="QCE449" s="268"/>
      <c r="QCF449" s="268"/>
      <c r="QCG449" s="268"/>
      <c r="QCH449" s="268"/>
      <c r="QCI449" s="268"/>
      <c r="QCJ449" s="268"/>
      <c r="QCK449" s="268"/>
      <c r="QCL449" s="268"/>
      <c r="QCM449" s="268"/>
      <c r="QCN449" s="268"/>
      <c r="QCO449" s="268"/>
      <c r="QCP449" s="268"/>
      <c r="QCQ449" s="268"/>
      <c r="QCR449" s="268"/>
      <c r="QCS449" s="268"/>
      <c r="QCT449" s="268"/>
      <c r="QCU449" s="268"/>
      <c r="QCV449" s="268"/>
      <c r="QCW449" s="268"/>
      <c r="QCX449" s="268"/>
      <c r="QCY449" s="268"/>
      <c r="QCZ449" s="268"/>
      <c r="QDA449" s="268"/>
      <c r="QDB449" s="268"/>
      <c r="QDC449" s="268"/>
      <c r="QDD449" s="268"/>
      <c r="QDE449" s="268"/>
      <c r="QDF449" s="268"/>
      <c r="QDG449" s="268"/>
      <c r="QDH449" s="268"/>
      <c r="QDI449" s="268"/>
      <c r="QDJ449" s="268"/>
      <c r="QDK449" s="268"/>
      <c r="QDL449" s="268"/>
      <c r="QDM449" s="268"/>
      <c r="QDN449" s="268"/>
      <c r="QDO449" s="268"/>
      <c r="QDP449" s="268"/>
      <c r="QDQ449" s="268"/>
      <c r="QDR449" s="268"/>
      <c r="QDS449" s="268"/>
      <c r="QDT449" s="268"/>
      <c r="QDU449" s="268"/>
      <c r="QDV449" s="268"/>
      <c r="QDW449" s="268"/>
      <c r="QDX449" s="268"/>
      <c r="QDY449" s="268"/>
      <c r="QDZ449" s="268"/>
      <c r="QEA449" s="268"/>
      <c r="QEB449" s="268"/>
      <c r="QEC449" s="268"/>
      <c r="QED449" s="268"/>
      <c r="QEE449" s="268"/>
      <c r="QEF449" s="268"/>
      <c r="QEG449" s="268"/>
      <c r="QEH449" s="268"/>
      <c r="QEI449" s="268"/>
      <c r="QEJ449" s="268"/>
      <c r="QEK449" s="268"/>
      <c r="QEL449" s="268"/>
      <c r="QEM449" s="268"/>
      <c r="QEN449" s="268"/>
      <c r="QEO449" s="268"/>
      <c r="QEP449" s="268"/>
      <c r="QEQ449" s="268"/>
      <c r="QER449" s="268"/>
      <c r="QES449" s="268"/>
      <c r="QET449" s="268"/>
      <c r="QEU449" s="268"/>
      <c r="QEV449" s="268"/>
      <c r="QEW449" s="268"/>
      <c r="QEX449" s="268"/>
      <c r="QEY449" s="268"/>
      <c r="QEZ449" s="268"/>
      <c r="QFA449" s="268"/>
      <c r="QFB449" s="268"/>
      <c r="QFC449" s="268"/>
      <c r="QFD449" s="268"/>
      <c r="QFE449" s="268"/>
      <c r="QFF449" s="268"/>
      <c r="QFG449" s="268"/>
      <c r="QFH449" s="268"/>
      <c r="QFI449" s="268"/>
      <c r="QFJ449" s="268"/>
      <c r="QFK449" s="268"/>
      <c r="QFL449" s="268"/>
      <c r="QFM449" s="268"/>
      <c r="QFN449" s="268"/>
      <c r="QFO449" s="268"/>
      <c r="QFP449" s="268"/>
      <c r="QFQ449" s="268"/>
      <c r="QFR449" s="268"/>
      <c r="QFS449" s="268"/>
      <c r="QFT449" s="268"/>
      <c r="QFU449" s="268"/>
      <c r="QFV449" s="268"/>
      <c r="QFW449" s="268"/>
      <c r="QFX449" s="268"/>
      <c r="QFY449" s="268"/>
      <c r="QFZ449" s="268"/>
      <c r="QGA449" s="268"/>
      <c r="QGB449" s="268"/>
      <c r="QGC449" s="268"/>
      <c r="QGD449" s="268"/>
      <c r="QGE449" s="268"/>
      <c r="QGF449" s="268"/>
      <c r="QGG449" s="268"/>
      <c r="QGH449" s="268"/>
      <c r="QGI449" s="268"/>
      <c r="QGJ449" s="268"/>
      <c r="QGK449" s="268"/>
      <c r="QGL449" s="268"/>
      <c r="QGM449" s="268"/>
      <c r="QGN449" s="268"/>
      <c r="QGO449" s="268"/>
      <c r="QGP449" s="268"/>
      <c r="QGQ449" s="268"/>
      <c r="QGR449" s="268"/>
      <c r="QGS449" s="268"/>
      <c r="QGT449" s="268"/>
      <c r="QGU449" s="268"/>
      <c r="QGV449" s="268"/>
      <c r="QGW449" s="268"/>
      <c r="QGX449" s="268"/>
      <c r="QGY449" s="268"/>
      <c r="QGZ449" s="268"/>
      <c r="QHA449" s="268"/>
      <c r="QHB449" s="268"/>
      <c r="QHC449" s="268"/>
      <c r="QHD449" s="268"/>
      <c r="QHE449" s="268"/>
      <c r="QHF449" s="268"/>
      <c r="QHG449" s="268"/>
      <c r="QHH449" s="268"/>
      <c r="QHI449" s="268"/>
      <c r="QHJ449" s="268"/>
      <c r="QHK449" s="268"/>
      <c r="QHL449" s="268"/>
      <c r="QHM449" s="268"/>
      <c r="QHN449" s="268"/>
      <c r="QHO449" s="268"/>
      <c r="QHP449" s="268"/>
      <c r="QHQ449" s="268"/>
      <c r="QHR449" s="268"/>
      <c r="QHS449" s="268"/>
      <c r="QHT449" s="268"/>
      <c r="QHU449" s="268"/>
      <c r="QHV449" s="268"/>
      <c r="QHW449" s="268"/>
      <c r="QHX449" s="268"/>
      <c r="QHY449" s="268"/>
      <c r="QHZ449" s="268"/>
      <c r="QIA449" s="268"/>
      <c r="QIB449" s="268"/>
      <c r="QIC449" s="268"/>
      <c r="QID449" s="268"/>
      <c r="QIE449" s="268"/>
      <c r="QIF449" s="268"/>
      <c r="QIG449" s="268"/>
      <c r="QIH449" s="268"/>
      <c r="QII449" s="268"/>
      <c r="QIJ449" s="268"/>
      <c r="QIK449" s="268"/>
      <c r="QIL449" s="268"/>
      <c r="QIM449" s="268"/>
      <c r="QIN449" s="268"/>
      <c r="QIO449" s="268"/>
      <c r="QIP449" s="268"/>
      <c r="QIQ449" s="268"/>
      <c r="QIR449" s="268"/>
      <c r="QIS449" s="268"/>
      <c r="QIT449" s="268"/>
      <c r="QIU449" s="268"/>
      <c r="QIV449" s="268"/>
      <c r="QIW449" s="268"/>
      <c r="QIX449" s="268"/>
      <c r="QIY449" s="268"/>
      <c r="QIZ449" s="268"/>
      <c r="QJA449" s="268"/>
      <c r="QJB449" s="268"/>
      <c r="QJC449" s="268"/>
      <c r="QJD449" s="268"/>
      <c r="QJE449" s="268"/>
      <c r="QJF449" s="268"/>
      <c r="QJG449" s="268"/>
      <c r="QJH449" s="268"/>
      <c r="QJI449" s="268"/>
      <c r="QJJ449" s="268"/>
      <c r="QJK449" s="268"/>
      <c r="QJL449" s="268"/>
      <c r="QJM449" s="268"/>
      <c r="QJN449" s="268"/>
      <c r="QJO449" s="268"/>
      <c r="QKC449" s="268"/>
      <c r="QKD449" s="268"/>
      <c r="QKE449" s="268"/>
      <c r="QKS449" s="268"/>
      <c r="QKU449" s="268"/>
      <c r="QKV449" s="268"/>
      <c r="QKW449" s="268"/>
      <c r="QKX449" s="268"/>
      <c r="QKY449" s="268"/>
      <c r="QKZ449" s="268"/>
      <c r="QLA449" s="268"/>
      <c r="QLB449" s="268"/>
      <c r="QLC449" s="268"/>
      <c r="QLD449" s="268"/>
      <c r="QLE449" s="268"/>
      <c r="QLF449" s="268"/>
      <c r="QLG449" s="268"/>
      <c r="QLH449" s="268"/>
      <c r="QLI449" s="268"/>
      <c r="QLJ449" s="268"/>
      <c r="QLK449" s="268"/>
      <c r="QLL449" s="268"/>
      <c r="QLM449" s="268"/>
      <c r="QLN449" s="268"/>
      <c r="QLO449" s="268"/>
      <c r="QLP449" s="268"/>
      <c r="QLQ449" s="268"/>
      <c r="QLR449" s="268"/>
      <c r="QLS449" s="268"/>
      <c r="QLT449" s="268"/>
      <c r="QLU449" s="268"/>
      <c r="QLV449" s="268"/>
      <c r="QLW449" s="268"/>
      <c r="QLX449" s="268"/>
      <c r="QLY449" s="268"/>
      <c r="QLZ449" s="268"/>
      <c r="QMA449" s="268"/>
      <c r="QMB449" s="268"/>
      <c r="QMC449" s="268"/>
      <c r="QMD449" s="268"/>
      <c r="QME449" s="268"/>
      <c r="QMF449" s="268"/>
      <c r="QMG449" s="268"/>
      <c r="QMH449" s="268"/>
      <c r="QMI449" s="268"/>
      <c r="QMJ449" s="268"/>
      <c r="QMK449" s="268"/>
      <c r="QML449" s="268"/>
      <c r="QMM449" s="268"/>
      <c r="QMN449" s="268"/>
      <c r="QMO449" s="268"/>
      <c r="QMP449" s="268"/>
      <c r="QMQ449" s="268"/>
      <c r="QMR449" s="268"/>
      <c r="QMS449" s="268"/>
      <c r="QMT449" s="268"/>
      <c r="QMU449" s="268"/>
      <c r="QMV449" s="268"/>
      <c r="QMW449" s="268"/>
      <c r="QMX449" s="268"/>
      <c r="QMY449" s="268"/>
      <c r="QMZ449" s="268"/>
      <c r="QNA449" s="268"/>
      <c r="QNB449" s="268"/>
      <c r="QNC449" s="268"/>
      <c r="QND449" s="268"/>
      <c r="QNE449" s="268"/>
      <c r="QNF449" s="268"/>
      <c r="QNG449" s="268"/>
      <c r="QNH449" s="268"/>
      <c r="QNI449" s="268"/>
      <c r="QNJ449" s="268"/>
      <c r="QNK449" s="268"/>
      <c r="QNL449" s="268"/>
      <c r="QNM449" s="268"/>
      <c r="QNN449" s="268"/>
      <c r="QNO449" s="268"/>
      <c r="QNP449" s="268"/>
      <c r="QNQ449" s="268"/>
      <c r="QNR449" s="268"/>
      <c r="QNS449" s="268"/>
      <c r="QNT449" s="268"/>
      <c r="QNU449" s="268"/>
      <c r="QNV449" s="268"/>
      <c r="QNW449" s="268"/>
      <c r="QNX449" s="268"/>
      <c r="QNY449" s="268"/>
      <c r="QNZ449" s="268"/>
      <c r="QOA449" s="268"/>
      <c r="QOB449" s="268"/>
      <c r="QOC449" s="268"/>
      <c r="QOD449" s="268"/>
      <c r="QOE449" s="268"/>
      <c r="QOF449" s="268"/>
      <c r="QOG449" s="268"/>
      <c r="QOH449" s="268"/>
      <c r="QOI449" s="268"/>
      <c r="QOJ449" s="268"/>
      <c r="QOK449" s="268"/>
      <c r="QOL449" s="268"/>
      <c r="QOM449" s="268"/>
      <c r="QON449" s="268"/>
      <c r="QOO449" s="268"/>
      <c r="QOP449" s="268"/>
      <c r="QOQ449" s="268"/>
      <c r="QOR449" s="268"/>
      <c r="QOS449" s="268"/>
      <c r="QOT449" s="268"/>
      <c r="QOU449" s="268"/>
      <c r="QOV449" s="268"/>
      <c r="QOW449" s="268"/>
      <c r="QOX449" s="268"/>
      <c r="QOY449" s="268"/>
      <c r="QOZ449" s="268"/>
      <c r="QPA449" s="268"/>
      <c r="QPB449" s="268"/>
      <c r="QPC449" s="268"/>
      <c r="QPD449" s="268"/>
      <c r="QPE449" s="268"/>
      <c r="QPF449" s="268"/>
      <c r="QPG449" s="268"/>
      <c r="QPH449" s="268"/>
      <c r="QPI449" s="268"/>
      <c r="QPJ449" s="268"/>
      <c r="QPK449" s="268"/>
      <c r="QPL449" s="268"/>
      <c r="QPM449" s="268"/>
      <c r="QPN449" s="268"/>
      <c r="QPO449" s="268"/>
      <c r="QPP449" s="268"/>
      <c r="QPQ449" s="268"/>
      <c r="QPR449" s="268"/>
      <c r="QPS449" s="268"/>
      <c r="QPT449" s="268"/>
      <c r="QPU449" s="268"/>
      <c r="QPV449" s="268"/>
      <c r="QPW449" s="268"/>
      <c r="QPX449" s="268"/>
      <c r="QPY449" s="268"/>
      <c r="QPZ449" s="268"/>
      <c r="QQA449" s="268"/>
      <c r="QQB449" s="268"/>
      <c r="QQC449" s="268"/>
      <c r="QQD449" s="268"/>
      <c r="QQE449" s="268"/>
      <c r="QQF449" s="268"/>
      <c r="QQG449" s="268"/>
      <c r="QQH449" s="268"/>
      <c r="QQI449" s="268"/>
      <c r="QQJ449" s="268"/>
      <c r="QQK449" s="268"/>
      <c r="QQL449" s="268"/>
      <c r="QQM449" s="268"/>
      <c r="QQN449" s="268"/>
      <c r="QQO449" s="268"/>
      <c r="QQP449" s="268"/>
      <c r="QQQ449" s="268"/>
      <c r="QQR449" s="268"/>
      <c r="QQS449" s="268"/>
      <c r="QQT449" s="268"/>
      <c r="QQU449" s="268"/>
      <c r="QQV449" s="268"/>
      <c r="QQW449" s="268"/>
      <c r="QQX449" s="268"/>
      <c r="QQY449" s="268"/>
      <c r="QQZ449" s="268"/>
      <c r="QRA449" s="268"/>
      <c r="QRB449" s="268"/>
      <c r="QRC449" s="268"/>
      <c r="QRD449" s="268"/>
      <c r="QRE449" s="268"/>
      <c r="QRF449" s="268"/>
      <c r="QRG449" s="268"/>
      <c r="QRH449" s="268"/>
      <c r="QRI449" s="268"/>
      <c r="QRJ449" s="268"/>
      <c r="QRK449" s="268"/>
      <c r="QRL449" s="268"/>
      <c r="QRM449" s="268"/>
      <c r="QRN449" s="268"/>
      <c r="QRO449" s="268"/>
      <c r="QRP449" s="268"/>
      <c r="QRQ449" s="268"/>
      <c r="QRR449" s="268"/>
      <c r="QRS449" s="268"/>
      <c r="QRT449" s="268"/>
      <c r="QRU449" s="268"/>
      <c r="QRV449" s="268"/>
      <c r="QRW449" s="268"/>
      <c r="QRX449" s="268"/>
      <c r="QRY449" s="268"/>
      <c r="QRZ449" s="268"/>
      <c r="QSA449" s="268"/>
      <c r="QSB449" s="268"/>
      <c r="QSC449" s="268"/>
      <c r="QSD449" s="268"/>
      <c r="QSE449" s="268"/>
      <c r="QSF449" s="268"/>
      <c r="QSG449" s="268"/>
      <c r="QSH449" s="268"/>
      <c r="QSI449" s="268"/>
      <c r="QSJ449" s="268"/>
      <c r="QSK449" s="268"/>
      <c r="QSL449" s="268"/>
      <c r="QSM449" s="268"/>
      <c r="QSN449" s="268"/>
      <c r="QSO449" s="268"/>
      <c r="QSP449" s="268"/>
      <c r="QSQ449" s="268"/>
      <c r="QSR449" s="268"/>
      <c r="QSS449" s="268"/>
      <c r="QST449" s="268"/>
      <c r="QSU449" s="268"/>
      <c r="QSV449" s="268"/>
      <c r="QSW449" s="268"/>
      <c r="QSX449" s="268"/>
      <c r="QSY449" s="268"/>
      <c r="QSZ449" s="268"/>
      <c r="QTA449" s="268"/>
      <c r="QTB449" s="268"/>
      <c r="QTC449" s="268"/>
      <c r="QTD449" s="268"/>
      <c r="QTE449" s="268"/>
      <c r="QTF449" s="268"/>
      <c r="QTG449" s="268"/>
      <c r="QTH449" s="268"/>
      <c r="QTI449" s="268"/>
      <c r="QTJ449" s="268"/>
      <c r="QTK449" s="268"/>
      <c r="QTY449" s="268"/>
      <c r="QTZ449" s="268"/>
      <c r="QUA449" s="268"/>
      <c r="QUO449" s="268"/>
      <c r="QUQ449" s="268"/>
      <c r="QUR449" s="268"/>
      <c r="QUS449" s="268"/>
      <c r="QUT449" s="268"/>
      <c r="QUU449" s="268"/>
      <c r="QUV449" s="268"/>
      <c r="QUW449" s="268"/>
      <c r="QUX449" s="268"/>
      <c r="QUY449" s="268"/>
      <c r="QUZ449" s="268"/>
      <c r="QVA449" s="268"/>
      <c r="QVB449" s="268"/>
      <c r="QVC449" s="268"/>
      <c r="QVD449" s="268"/>
      <c r="QVE449" s="268"/>
      <c r="QVF449" s="268"/>
      <c r="QVG449" s="268"/>
      <c r="QVH449" s="268"/>
      <c r="QVI449" s="268"/>
      <c r="QVJ449" s="268"/>
      <c r="QVK449" s="268"/>
      <c r="QVL449" s="268"/>
      <c r="QVM449" s="268"/>
      <c r="QVN449" s="268"/>
      <c r="QVO449" s="268"/>
      <c r="QVP449" s="268"/>
      <c r="QVQ449" s="268"/>
      <c r="QVR449" s="268"/>
      <c r="QVS449" s="268"/>
      <c r="QVT449" s="268"/>
      <c r="QVU449" s="268"/>
      <c r="QVV449" s="268"/>
      <c r="QVW449" s="268"/>
      <c r="QVX449" s="268"/>
      <c r="QVY449" s="268"/>
      <c r="QVZ449" s="268"/>
      <c r="QWA449" s="268"/>
      <c r="QWB449" s="268"/>
      <c r="QWC449" s="268"/>
      <c r="QWD449" s="268"/>
      <c r="QWE449" s="268"/>
      <c r="QWF449" s="268"/>
      <c r="QWG449" s="268"/>
      <c r="QWH449" s="268"/>
      <c r="QWI449" s="268"/>
      <c r="QWJ449" s="268"/>
      <c r="QWK449" s="268"/>
      <c r="QWL449" s="268"/>
      <c r="QWM449" s="268"/>
      <c r="QWN449" s="268"/>
      <c r="QWO449" s="268"/>
      <c r="QWP449" s="268"/>
      <c r="QWQ449" s="268"/>
      <c r="QWR449" s="268"/>
      <c r="QWS449" s="268"/>
      <c r="QWT449" s="268"/>
      <c r="QWU449" s="268"/>
      <c r="QWV449" s="268"/>
      <c r="QWW449" s="268"/>
      <c r="QWX449" s="268"/>
      <c r="QWY449" s="268"/>
      <c r="QWZ449" s="268"/>
      <c r="QXA449" s="268"/>
      <c r="QXB449" s="268"/>
      <c r="QXC449" s="268"/>
      <c r="QXD449" s="268"/>
      <c r="QXE449" s="268"/>
      <c r="QXF449" s="268"/>
      <c r="QXG449" s="268"/>
      <c r="QXH449" s="268"/>
      <c r="QXI449" s="268"/>
      <c r="QXJ449" s="268"/>
      <c r="QXK449" s="268"/>
      <c r="QXL449" s="268"/>
      <c r="QXM449" s="268"/>
      <c r="QXN449" s="268"/>
      <c r="QXO449" s="268"/>
      <c r="QXP449" s="268"/>
      <c r="QXQ449" s="268"/>
      <c r="QXR449" s="268"/>
      <c r="QXS449" s="268"/>
      <c r="QXT449" s="268"/>
      <c r="QXU449" s="268"/>
      <c r="QXV449" s="268"/>
      <c r="QXW449" s="268"/>
      <c r="QXX449" s="268"/>
      <c r="QXY449" s="268"/>
      <c r="QXZ449" s="268"/>
      <c r="QYA449" s="268"/>
      <c r="QYB449" s="268"/>
      <c r="QYC449" s="268"/>
      <c r="QYD449" s="268"/>
      <c r="QYE449" s="268"/>
      <c r="QYF449" s="268"/>
      <c r="QYG449" s="268"/>
      <c r="QYH449" s="268"/>
      <c r="QYI449" s="268"/>
      <c r="QYJ449" s="268"/>
      <c r="QYK449" s="268"/>
      <c r="QYL449" s="268"/>
      <c r="QYM449" s="268"/>
      <c r="QYN449" s="268"/>
      <c r="QYO449" s="268"/>
      <c r="QYP449" s="268"/>
      <c r="QYQ449" s="268"/>
      <c r="QYR449" s="268"/>
      <c r="QYS449" s="268"/>
      <c r="QYT449" s="268"/>
      <c r="QYU449" s="268"/>
      <c r="QYV449" s="268"/>
      <c r="QYW449" s="268"/>
      <c r="QYX449" s="268"/>
      <c r="QYY449" s="268"/>
      <c r="QYZ449" s="268"/>
      <c r="QZA449" s="268"/>
      <c r="QZB449" s="268"/>
      <c r="QZC449" s="268"/>
      <c r="QZD449" s="268"/>
      <c r="QZE449" s="268"/>
      <c r="QZF449" s="268"/>
      <c r="QZG449" s="268"/>
      <c r="QZH449" s="268"/>
      <c r="QZI449" s="268"/>
      <c r="QZJ449" s="268"/>
      <c r="QZK449" s="268"/>
      <c r="QZL449" s="268"/>
      <c r="QZM449" s="268"/>
      <c r="QZN449" s="268"/>
      <c r="QZO449" s="268"/>
      <c r="QZP449" s="268"/>
      <c r="QZQ449" s="268"/>
      <c r="QZR449" s="268"/>
      <c r="QZS449" s="268"/>
      <c r="QZT449" s="268"/>
      <c r="QZU449" s="268"/>
      <c r="QZV449" s="268"/>
      <c r="QZW449" s="268"/>
      <c r="QZX449" s="268"/>
      <c r="QZY449" s="268"/>
      <c r="QZZ449" s="268"/>
      <c r="RAA449" s="268"/>
      <c r="RAB449" s="268"/>
      <c r="RAC449" s="268"/>
      <c r="RAD449" s="268"/>
      <c r="RAE449" s="268"/>
      <c r="RAF449" s="268"/>
      <c r="RAG449" s="268"/>
      <c r="RAH449" s="268"/>
      <c r="RAI449" s="268"/>
      <c r="RAJ449" s="268"/>
      <c r="RAK449" s="268"/>
      <c r="RAL449" s="268"/>
      <c r="RAM449" s="268"/>
      <c r="RAN449" s="268"/>
      <c r="RAO449" s="268"/>
      <c r="RAP449" s="268"/>
      <c r="RAQ449" s="268"/>
      <c r="RAR449" s="268"/>
      <c r="RAS449" s="268"/>
      <c r="RAT449" s="268"/>
      <c r="RAU449" s="268"/>
      <c r="RAV449" s="268"/>
      <c r="RAW449" s="268"/>
      <c r="RAX449" s="268"/>
      <c r="RAY449" s="268"/>
      <c r="RAZ449" s="268"/>
      <c r="RBA449" s="268"/>
      <c r="RBB449" s="268"/>
      <c r="RBC449" s="268"/>
      <c r="RBD449" s="268"/>
      <c r="RBE449" s="268"/>
      <c r="RBF449" s="268"/>
      <c r="RBG449" s="268"/>
      <c r="RBH449" s="268"/>
      <c r="RBI449" s="268"/>
      <c r="RBJ449" s="268"/>
      <c r="RBK449" s="268"/>
      <c r="RBL449" s="268"/>
      <c r="RBM449" s="268"/>
      <c r="RBN449" s="268"/>
      <c r="RBO449" s="268"/>
      <c r="RBP449" s="268"/>
      <c r="RBQ449" s="268"/>
      <c r="RBR449" s="268"/>
      <c r="RBS449" s="268"/>
      <c r="RBT449" s="268"/>
      <c r="RBU449" s="268"/>
      <c r="RBV449" s="268"/>
      <c r="RBW449" s="268"/>
      <c r="RBX449" s="268"/>
      <c r="RBY449" s="268"/>
      <c r="RBZ449" s="268"/>
      <c r="RCA449" s="268"/>
      <c r="RCB449" s="268"/>
      <c r="RCC449" s="268"/>
      <c r="RCD449" s="268"/>
      <c r="RCE449" s="268"/>
      <c r="RCF449" s="268"/>
      <c r="RCG449" s="268"/>
      <c r="RCH449" s="268"/>
      <c r="RCI449" s="268"/>
      <c r="RCJ449" s="268"/>
      <c r="RCK449" s="268"/>
      <c r="RCL449" s="268"/>
      <c r="RCM449" s="268"/>
      <c r="RCN449" s="268"/>
      <c r="RCO449" s="268"/>
      <c r="RCP449" s="268"/>
      <c r="RCQ449" s="268"/>
      <c r="RCR449" s="268"/>
      <c r="RCS449" s="268"/>
      <c r="RCT449" s="268"/>
      <c r="RCU449" s="268"/>
      <c r="RCV449" s="268"/>
      <c r="RCW449" s="268"/>
      <c r="RCX449" s="268"/>
      <c r="RCY449" s="268"/>
      <c r="RCZ449" s="268"/>
      <c r="RDA449" s="268"/>
      <c r="RDB449" s="268"/>
      <c r="RDC449" s="268"/>
      <c r="RDD449" s="268"/>
      <c r="RDE449" s="268"/>
      <c r="RDF449" s="268"/>
      <c r="RDG449" s="268"/>
      <c r="RDU449" s="268"/>
      <c r="RDV449" s="268"/>
      <c r="RDW449" s="268"/>
      <c r="REK449" s="268"/>
      <c r="REM449" s="268"/>
      <c r="REN449" s="268"/>
      <c r="REO449" s="268"/>
      <c r="REP449" s="268"/>
      <c r="REQ449" s="268"/>
      <c r="RER449" s="268"/>
      <c r="RES449" s="268"/>
      <c r="RET449" s="268"/>
      <c r="REU449" s="268"/>
      <c r="REV449" s="268"/>
      <c r="REW449" s="268"/>
      <c r="REX449" s="268"/>
      <c r="REY449" s="268"/>
      <c r="REZ449" s="268"/>
      <c r="RFA449" s="268"/>
      <c r="RFB449" s="268"/>
      <c r="RFC449" s="268"/>
      <c r="RFD449" s="268"/>
      <c r="RFE449" s="268"/>
      <c r="RFF449" s="268"/>
      <c r="RFG449" s="268"/>
      <c r="RFH449" s="268"/>
      <c r="RFI449" s="268"/>
      <c r="RFJ449" s="268"/>
      <c r="RFK449" s="268"/>
      <c r="RFL449" s="268"/>
      <c r="RFM449" s="268"/>
      <c r="RFN449" s="268"/>
      <c r="RFO449" s="268"/>
      <c r="RFP449" s="268"/>
      <c r="RFQ449" s="268"/>
      <c r="RFR449" s="268"/>
      <c r="RFS449" s="268"/>
      <c r="RFT449" s="268"/>
      <c r="RFU449" s="268"/>
      <c r="RFV449" s="268"/>
      <c r="RFW449" s="268"/>
      <c r="RFX449" s="268"/>
      <c r="RFY449" s="268"/>
      <c r="RFZ449" s="268"/>
      <c r="RGA449" s="268"/>
      <c r="RGB449" s="268"/>
      <c r="RGC449" s="268"/>
      <c r="RGD449" s="268"/>
      <c r="RGE449" s="268"/>
      <c r="RGF449" s="268"/>
      <c r="RGG449" s="268"/>
      <c r="RGH449" s="268"/>
      <c r="RGI449" s="268"/>
      <c r="RGJ449" s="268"/>
      <c r="RGK449" s="268"/>
      <c r="RGL449" s="268"/>
      <c r="RGM449" s="268"/>
      <c r="RGN449" s="268"/>
      <c r="RGO449" s="268"/>
      <c r="RGP449" s="268"/>
      <c r="RGQ449" s="268"/>
      <c r="RGR449" s="268"/>
      <c r="RGS449" s="268"/>
      <c r="RGT449" s="268"/>
      <c r="RGU449" s="268"/>
      <c r="RGV449" s="268"/>
      <c r="RGW449" s="268"/>
      <c r="RGX449" s="268"/>
      <c r="RGY449" s="268"/>
      <c r="RGZ449" s="268"/>
      <c r="RHA449" s="268"/>
      <c r="RHB449" s="268"/>
      <c r="RHC449" s="268"/>
      <c r="RHD449" s="268"/>
      <c r="RHE449" s="268"/>
      <c r="RHF449" s="268"/>
      <c r="RHG449" s="268"/>
      <c r="RHH449" s="268"/>
      <c r="RHI449" s="268"/>
      <c r="RHJ449" s="268"/>
      <c r="RHK449" s="268"/>
      <c r="RHL449" s="268"/>
      <c r="RHM449" s="268"/>
      <c r="RHN449" s="268"/>
      <c r="RHO449" s="268"/>
      <c r="RHP449" s="268"/>
      <c r="RHQ449" s="268"/>
      <c r="RHR449" s="268"/>
      <c r="RHS449" s="268"/>
      <c r="RHT449" s="268"/>
      <c r="RHU449" s="268"/>
      <c r="RHV449" s="268"/>
      <c r="RHW449" s="268"/>
      <c r="RHX449" s="268"/>
      <c r="RHY449" s="268"/>
      <c r="RHZ449" s="268"/>
      <c r="RIA449" s="268"/>
      <c r="RIB449" s="268"/>
      <c r="RIC449" s="268"/>
      <c r="RID449" s="268"/>
      <c r="RIE449" s="268"/>
      <c r="RIF449" s="268"/>
      <c r="RIG449" s="268"/>
      <c r="RIH449" s="268"/>
      <c r="RII449" s="268"/>
      <c r="RIJ449" s="268"/>
      <c r="RIK449" s="268"/>
      <c r="RIL449" s="268"/>
      <c r="RIM449" s="268"/>
      <c r="RIN449" s="268"/>
      <c r="RIO449" s="268"/>
      <c r="RIP449" s="268"/>
      <c r="RIQ449" s="268"/>
      <c r="RIR449" s="268"/>
      <c r="RIS449" s="268"/>
      <c r="RIT449" s="268"/>
      <c r="RIU449" s="268"/>
      <c r="RIV449" s="268"/>
      <c r="RIW449" s="268"/>
      <c r="RIX449" s="268"/>
      <c r="RIY449" s="268"/>
      <c r="RIZ449" s="268"/>
      <c r="RJA449" s="268"/>
      <c r="RJB449" s="268"/>
      <c r="RJC449" s="268"/>
      <c r="RJD449" s="268"/>
      <c r="RJE449" s="268"/>
      <c r="RJF449" s="268"/>
      <c r="RJG449" s="268"/>
      <c r="RJH449" s="268"/>
      <c r="RJI449" s="268"/>
      <c r="RJJ449" s="268"/>
      <c r="RJK449" s="268"/>
      <c r="RJL449" s="268"/>
      <c r="RJM449" s="268"/>
      <c r="RJN449" s="268"/>
      <c r="RJO449" s="268"/>
      <c r="RJP449" s="268"/>
      <c r="RJQ449" s="268"/>
      <c r="RJR449" s="268"/>
      <c r="RJS449" s="268"/>
      <c r="RJT449" s="268"/>
      <c r="RJU449" s="268"/>
      <c r="RJV449" s="268"/>
      <c r="RJW449" s="268"/>
      <c r="RJX449" s="268"/>
      <c r="RJY449" s="268"/>
      <c r="RJZ449" s="268"/>
      <c r="RKA449" s="268"/>
      <c r="RKB449" s="268"/>
      <c r="RKC449" s="268"/>
      <c r="RKD449" s="268"/>
      <c r="RKE449" s="268"/>
      <c r="RKF449" s="268"/>
      <c r="RKG449" s="268"/>
      <c r="RKH449" s="268"/>
      <c r="RKI449" s="268"/>
      <c r="RKJ449" s="268"/>
      <c r="RKK449" s="268"/>
      <c r="RKL449" s="268"/>
      <c r="RKM449" s="268"/>
      <c r="RKN449" s="268"/>
      <c r="RKO449" s="268"/>
      <c r="RKP449" s="268"/>
      <c r="RKQ449" s="268"/>
      <c r="RKR449" s="268"/>
      <c r="RKS449" s="268"/>
      <c r="RKT449" s="268"/>
      <c r="RKU449" s="268"/>
      <c r="RKV449" s="268"/>
      <c r="RKW449" s="268"/>
      <c r="RKX449" s="268"/>
      <c r="RKY449" s="268"/>
      <c r="RKZ449" s="268"/>
      <c r="RLA449" s="268"/>
      <c r="RLB449" s="268"/>
      <c r="RLC449" s="268"/>
      <c r="RLD449" s="268"/>
      <c r="RLE449" s="268"/>
      <c r="RLF449" s="268"/>
      <c r="RLG449" s="268"/>
      <c r="RLH449" s="268"/>
      <c r="RLI449" s="268"/>
      <c r="RLJ449" s="268"/>
      <c r="RLK449" s="268"/>
      <c r="RLL449" s="268"/>
      <c r="RLM449" s="268"/>
      <c r="RLN449" s="268"/>
      <c r="RLO449" s="268"/>
      <c r="RLP449" s="268"/>
      <c r="RLQ449" s="268"/>
      <c r="RLR449" s="268"/>
      <c r="RLS449" s="268"/>
      <c r="RLT449" s="268"/>
      <c r="RLU449" s="268"/>
      <c r="RLV449" s="268"/>
      <c r="RLW449" s="268"/>
      <c r="RLX449" s="268"/>
      <c r="RLY449" s="268"/>
      <c r="RLZ449" s="268"/>
      <c r="RMA449" s="268"/>
      <c r="RMB449" s="268"/>
      <c r="RMC449" s="268"/>
      <c r="RMD449" s="268"/>
      <c r="RME449" s="268"/>
      <c r="RMF449" s="268"/>
      <c r="RMG449" s="268"/>
      <c r="RMH449" s="268"/>
      <c r="RMI449" s="268"/>
      <c r="RMJ449" s="268"/>
      <c r="RMK449" s="268"/>
      <c r="RML449" s="268"/>
      <c r="RMM449" s="268"/>
      <c r="RMN449" s="268"/>
      <c r="RMO449" s="268"/>
      <c r="RMP449" s="268"/>
      <c r="RMQ449" s="268"/>
      <c r="RMR449" s="268"/>
      <c r="RMS449" s="268"/>
      <c r="RMT449" s="268"/>
      <c r="RMU449" s="268"/>
      <c r="RMV449" s="268"/>
      <c r="RMW449" s="268"/>
      <c r="RMX449" s="268"/>
      <c r="RMY449" s="268"/>
      <c r="RMZ449" s="268"/>
      <c r="RNA449" s="268"/>
      <c r="RNB449" s="268"/>
      <c r="RNC449" s="268"/>
      <c r="RNQ449" s="268"/>
      <c r="RNR449" s="268"/>
      <c r="RNS449" s="268"/>
      <c r="ROG449" s="268"/>
      <c r="ROI449" s="268"/>
      <c r="ROJ449" s="268"/>
      <c r="ROK449" s="268"/>
      <c r="ROL449" s="268"/>
      <c r="ROM449" s="268"/>
      <c r="RON449" s="268"/>
      <c r="ROO449" s="268"/>
      <c r="ROP449" s="268"/>
      <c r="ROQ449" s="268"/>
      <c r="ROR449" s="268"/>
      <c r="ROS449" s="268"/>
      <c r="ROT449" s="268"/>
      <c r="ROU449" s="268"/>
      <c r="ROV449" s="268"/>
      <c r="ROW449" s="268"/>
      <c r="ROX449" s="268"/>
      <c r="ROY449" s="268"/>
      <c r="ROZ449" s="268"/>
      <c r="RPA449" s="268"/>
      <c r="RPB449" s="268"/>
      <c r="RPC449" s="268"/>
      <c r="RPD449" s="268"/>
      <c r="RPE449" s="268"/>
      <c r="RPF449" s="268"/>
      <c r="RPG449" s="268"/>
      <c r="RPH449" s="268"/>
      <c r="RPI449" s="268"/>
      <c r="RPJ449" s="268"/>
      <c r="RPK449" s="268"/>
      <c r="RPL449" s="268"/>
      <c r="RPM449" s="268"/>
      <c r="RPN449" s="268"/>
      <c r="RPO449" s="268"/>
      <c r="RPP449" s="268"/>
      <c r="RPQ449" s="268"/>
      <c r="RPR449" s="268"/>
      <c r="RPS449" s="268"/>
      <c r="RPT449" s="268"/>
      <c r="RPU449" s="268"/>
      <c r="RPV449" s="268"/>
      <c r="RPW449" s="268"/>
      <c r="RPX449" s="268"/>
      <c r="RPY449" s="268"/>
      <c r="RPZ449" s="268"/>
      <c r="RQA449" s="268"/>
      <c r="RQB449" s="268"/>
      <c r="RQC449" s="268"/>
      <c r="RQD449" s="268"/>
      <c r="RQE449" s="268"/>
      <c r="RQF449" s="268"/>
      <c r="RQG449" s="268"/>
      <c r="RQH449" s="268"/>
      <c r="RQI449" s="268"/>
      <c r="RQJ449" s="268"/>
      <c r="RQK449" s="268"/>
      <c r="RQL449" s="268"/>
      <c r="RQM449" s="268"/>
      <c r="RQN449" s="268"/>
      <c r="RQO449" s="268"/>
      <c r="RQP449" s="268"/>
      <c r="RQQ449" s="268"/>
      <c r="RQR449" s="268"/>
      <c r="RQS449" s="268"/>
      <c r="RQT449" s="268"/>
      <c r="RQU449" s="268"/>
      <c r="RQV449" s="268"/>
      <c r="RQW449" s="268"/>
      <c r="RQX449" s="268"/>
      <c r="RQY449" s="268"/>
      <c r="RQZ449" s="268"/>
      <c r="RRA449" s="268"/>
      <c r="RRB449" s="268"/>
      <c r="RRC449" s="268"/>
      <c r="RRD449" s="268"/>
      <c r="RRE449" s="268"/>
      <c r="RRF449" s="268"/>
      <c r="RRG449" s="268"/>
      <c r="RRH449" s="268"/>
      <c r="RRI449" s="268"/>
      <c r="RRJ449" s="268"/>
      <c r="RRK449" s="268"/>
      <c r="RRL449" s="268"/>
      <c r="RRM449" s="268"/>
      <c r="RRN449" s="268"/>
      <c r="RRO449" s="268"/>
      <c r="RRP449" s="268"/>
      <c r="RRQ449" s="268"/>
      <c r="RRR449" s="268"/>
      <c r="RRS449" s="268"/>
      <c r="RRT449" s="268"/>
      <c r="RRU449" s="268"/>
      <c r="RRV449" s="268"/>
      <c r="RRW449" s="268"/>
      <c r="RRX449" s="268"/>
      <c r="RRY449" s="268"/>
      <c r="RRZ449" s="268"/>
      <c r="RSA449" s="268"/>
      <c r="RSB449" s="268"/>
      <c r="RSC449" s="268"/>
      <c r="RSD449" s="268"/>
      <c r="RSE449" s="268"/>
      <c r="RSF449" s="268"/>
      <c r="RSG449" s="268"/>
      <c r="RSH449" s="268"/>
      <c r="RSI449" s="268"/>
      <c r="RSJ449" s="268"/>
      <c r="RSK449" s="268"/>
      <c r="RSL449" s="268"/>
      <c r="RSM449" s="268"/>
      <c r="RSN449" s="268"/>
      <c r="RSO449" s="268"/>
      <c r="RSP449" s="268"/>
      <c r="RSQ449" s="268"/>
      <c r="RSR449" s="268"/>
      <c r="RSS449" s="268"/>
      <c r="RST449" s="268"/>
      <c r="RSU449" s="268"/>
      <c r="RSV449" s="268"/>
      <c r="RSW449" s="268"/>
      <c r="RSX449" s="268"/>
      <c r="RSY449" s="268"/>
      <c r="RSZ449" s="268"/>
      <c r="RTA449" s="268"/>
      <c r="RTB449" s="268"/>
      <c r="RTC449" s="268"/>
      <c r="RTD449" s="268"/>
      <c r="RTE449" s="268"/>
      <c r="RTF449" s="268"/>
      <c r="RTG449" s="268"/>
      <c r="RTH449" s="268"/>
      <c r="RTI449" s="268"/>
      <c r="RTJ449" s="268"/>
      <c r="RTK449" s="268"/>
      <c r="RTL449" s="268"/>
      <c r="RTM449" s="268"/>
      <c r="RTN449" s="268"/>
      <c r="RTO449" s="268"/>
      <c r="RTP449" s="268"/>
      <c r="RTQ449" s="268"/>
      <c r="RTR449" s="268"/>
      <c r="RTS449" s="268"/>
      <c r="RTT449" s="268"/>
      <c r="RTU449" s="268"/>
      <c r="RTV449" s="268"/>
      <c r="RTW449" s="268"/>
      <c r="RTX449" s="268"/>
      <c r="RTY449" s="268"/>
      <c r="RTZ449" s="268"/>
      <c r="RUA449" s="268"/>
      <c r="RUB449" s="268"/>
      <c r="RUC449" s="268"/>
      <c r="RUD449" s="268"/>
      <c r="RUE449" s="268"/>
      <c r="RUF449" s="268"/>
      <c r="RUG449" s="268"/>
      <c r="RUH449" s="268"/>
      <c r="RUI449" s="268"/>
      <c r="RUJ449" s="268"/>
      <c r="RUK449" s="268"/>
      <c r="RUL449" s="268"/>
      <c r="RUM449" s="268"/>
      <c r="RUN449" s="268"/>
      <c r="RUO449" s="268"/>
      <c r="RUP449" s="268"/>
      <c r="RUQ449" s="268"/>
      <c r="RUR449" s="268"/>
      <c r="RUS449" s="268"/>
      <c r="RUT449" s="268"/>
      <c r="RUU449" s="268"/>
      <c r="RUV449" s="268"/>
      <c r="RUW449" s="268"/>
      <c r="RUX449" s="268"/>
      <c r="RUY449" s="268"/>
      <c r="RUZ449" s="268"/>
      <c r="RVA449" s="268"/>
      <c r="RVB449" s="268"/>
      <c r="RVC449" s="268"/>
      <c r="RVD449" s="268"/>
      <c r="RVE449" s="268"/>
      <c r="RVF449" s="268"/>
      <c r="RVG449" s="268"/>
      <c r="RVH449" s="268"/>
      <c r="RVI449" s="268"/>
      <c r="RVJ449" s="268"/>
      <c r="RVK449" s="268"/>
      <c r="RVL449" s="268"/>
      <c r="RVM449" s="268"/>
      <c r="RVN449" s="268"/>
      <c r="RVO449" s="268"/>
      <c r="RVP449" s="268"/>
      <c r="RVQ449" s="268"/>
      <c r="RVR449" s="268"/>
      <c r="RVS449" s="268"/>
      <c r="RVT449" s="268"/>
      <c r="RVU449" s="268"/>
      <c r="RVV449" s="268"/>
      <c r="RVW449" s="268"/>
      <c r="RVX449" s="268"/>
      <c r="RVY449" s="268"/>
      <c r="RVZ449" s="268"/>
      <c r="RWA449" s="268"/>
      <c r="RWB449" s="268"/>
      <c r="RWC449" s="268"/>
      <c r="RWD449" s="268"/>
      <c r="RWE449" s="268"/>
      <c r="RWF449" s="268"/>
      <c r="RWG449" s="268"/>
      <c r="RWH449" s="268"/>
      <c r="RWI449" s="268"/>
      <c r="RWJ449" s="268"/>
      <c r="RWK449" s="268"/>
      <c r="RWL449" s="268"/>
      <c r="RWM449" s="268"/>
      <c r="RWN449" s="268"/>
      <c r="RWO449" s="268"/>
      <c r="RWP449" s="268"/>
      <c r="RWQ449" s="268"/>
      <c r="RWR449" s="268"/>
      <c r="RWS449" s="268"/>
      <c r="RWT449" s="268"/>
      <c r="RWU449" s="268"/>
      <c r="RWV449" s="268"/>
      <c r="RWW449" s="268"/>
      <c r="RWX449" s="268"/>
      <c r="RWY449" s="268"/>
      <c r="RXM449" s="268"/>
      <c r="RXN449" s="268"/>
      <c r="RXO449" s="268"/>
      <c r="RYC449" s="268"/>
      <c r="RYE449" s="268"/>
      <c r="RYF449" s="268"/>
      <c r="RYG449" s="268"/>
      <c r="RYH449" s="268"/>
      <c r="RYI449" s="268"/>
      <c r="RYJ449" s="268"/>
      <c r="RYK449" s="268"/>
      <c r="RYL449" s="268"/>
      <c r="RYM449" s="268"/>
      <c r="RYN449" s="268"/>
      <c r="RYO449" s="268"/>
      <c r="RYP449" s="268"/>
      <c r="RYQ449" s="268"/>
      <c r="RYR449" s="268"/>
      <c r="RYS449" s="268"/>
      <c r="RYT449" s="268"/>
      <c r="RYU449" s="268"/>
      <c r="RYV449" s="268"/>
      <c r="RYW449" s="268"/>
      <c r="RYX449" s="268"/>
      <c r="RYY449" s="268"/>
      <c r="RYZ449" s="268"/>
      <c r="RZA449" s="268"/>
      <c r="RZB449" s="268"/>
      <c r="RZC449" s="268"/>
      <c r="RZD449" s="268"/>
      <c r="RZE449" s="268"/>
      <c r="RZF449" s="268"/>
      <c r="RZG449" s="268"/>
      <c r="RZH449" s="268"/>
      <c r="RZI449" s="268"/>
      <c r="RZJ449" s="268"/>
      <c r="RZK449" s="268"/>
      <c r="RZL449" s="268"/>
      <c r="RZM449" s="268"/>
      <c r="RZN449" s="268"/>
      <c r="RZO449" s="268"/>
      <c r="RZP449" s="268"/>
      <c r="RZQ449" s="268"/>
      <c r="RZR449" s="268"/>
      <c r="RZS449" s="268"/>
      <c r="RZT449" s="268"/>
      <c r="RZU449" s="268"/>
      <c r="RZV449" s="268"/>
      <c r="RZW449" s="268"/>
      <c r="RZX449" s="268"/>
      <c r="RZY449" s="268"/>
      <c r="RZZ449" s="268"/>
      <c r="SAA449" s="268"/>
      <c r="SAB449" s="268"/>
      <c r="SAC449" s="268"/>
      <c r="SAD449" s="268"/>
      <c r="SAE449" s="268"/>
      <c r="SAF449" s="268"/>
      <c r="SAG449" s="268"/>
      <c r="SAH449" s="268"/>
      <c r="SAI449" s="268"/>
      <c r="SAJ449" s="268"/>
      <c r="SAK449" s="268"/>
      <c r="SAL449" s="268"/>
      <c r="SAM449" s="268"/>
      <c r="SAN449" s="268"/>
      <c r="SAO449" s="268"/>
      <c r="SAP449" s="268"/>
      <c r="SAQ449" s="268"/>
      <c r="SAR449" s="268"/>
      <c r="SAS449" s="268"/>
      <c r="SAT449" s="268"/>
      <c r="SAU449" s="268"/>
      <c r="SAV449" s="268"/>
      <c r="SAW449" s="268"/>
      <c r="SAX449" s="268"/>
      <c r="SAY449" s="268"/>
      <c r="SAZ449" s="268"/>
      <c r="SBA449" s="268"/>
      <c r="SBB449" s="268"/>
      <c r="SBC449" s="268"/>
      <c r="SBD449" s="268"/>
      <c r="SBE449" s="268"/>
      <c r="SBF449" s="268"/>
      <c r="SBG449" s="268"/>
      <c r="SBH449" s="268"/>
      <c r="SBI449" s="268"/>
      <c r="SBJ449" s="268"/>
      <c r="SBK449" s="268"/>
      <c r="SBL449" s="268"/>
      <c r="SBM449" s="268"/>
      <c r="SBN449" s="268"/>
      <c r="SBO449" s="268"/>
      <c r="SBP449" s="268"/>
      <c r="SBQ449" s="268"/>
      <c r="SBR449" s="268"/>
      <c r="SBS449" s="268"/>
      <c r="SBT449" s="268"/>
      <c r="SBU449" s="268"/>
      <c r="SBV449" s="268"/>
      <c r="SBW449" s="268"/>
      <c r="SBX449" s="268"/>
      <c r="SBY449" s="268"/>
      <c r="SBZ449" s="268"/>
      <c r="SCA449" s="268"/>
      <c r="SCB449" s="268"/>
      <c r="SCC449" s="268"/>
      <c r="SCD449" s="268"/>
      <c r="SCE449" s="268"/>
      <c r="SCF449" s="268"/>
      <c r="SCG449" s="268"/>
      <c r="SCH449" s="268"/>
      <c r="SCI449" s="268"/>
      <c r="SCJ449" s="268"/>
      <c r="SCK449" s="268"/>
      <c r="SCL449" s="268"/>
      <c r="SCM449" s="268"/>
      <c r="SCN449" s="268"/>
      <c r="SCO449" s="268"/>
      <c r="SCP449" s="268"/>
      <c r="SCQ449" s="268"/>
      <c r="SCR449" s="268"/>
      <c r="SCS449" s="268"/>
      <c r="SCT449" s="268"/>
      <c r="SCU449" s="268"/>
      <c r="SCV449" s="268"/>
      <c r="SCW449" s="268"/>
      <c r="SCX449" s="268"/>
      <c r="SCY449" s="268"/>
      <c r="SCZ449" s="268"/>
      <c r="SDA449" s="268"/>
      <c r="SDB449" s="268"/>
      <c r="SDC449" s="268"/>
      <c r="SDD449" s="268"/>
      <c r="SDE449" s="268"/>
      <c r="SDF449" s="268"/>
      <c r="SDG449" s="268"/>
      <c r="SDH449" s="268"/>
      <c r="SDI449" s="268"/>
      <c r="SDJ449" s="268"/>
      <c r="SDK449" s="268"/>
      <c r="SDL449" s="268"/>
      <c r="SDM449" s="268"/>
      <c r="SDN449" s="268"/>
      <c r="SDO449" s="268"/>
      <c r="SDP449" s="268"/>
      <c r="SDQ449" s="268"/>
      <c r="SDR449" s="268"/>
      <c r="SDS449" s="268"/>
      <c r="SDT449" s="268"/>
      <c r="SDU449" s="268"/>
      <c r="SDV449" s="268"/>
      <c r="SDW449" s="268"/>
      <c r="SDX449" s="268"/>
      <c r="SDY449" s="268"/>
      <c r="SDZ449" s="268"/>
      <c r="SEA449" s="268"/>
      <c r="SEB449" s="268"/>
      <c r="SEC449" s="268"/>
      <c r="SED449" s="268"/>
      <c r="SEE449" s="268"/>
      <c r="SEF449" s="268"/>
      <c r="SEG449" s="268"/>
      <c r="SEH449" s="268"/>
      <c r="SEI449" s="268"/>
      <c r="SEJ449" s="268"/>
      <c r="SEK449" s="268"/>
      <c r="SEL449" s="268"/>
      <c r="SEM449" s="268"/>
      <c r="SEN449" s="268"/>
      <c r="SEO449" s="268"/>
      <c r="SEP449" s="268"/>
      <c r="SEQ449" s="268"/>
      <c r="SER449" s="268"/>
      <c r="SES449" s="268"/>
      <c r="SET449" s="268"/>
      <c r="SEU449" s="268"/>
      <c r="SEV449" s="268"/>
      <c r="SEW449" s="268"/>
      <c r="SEX449" s="268"/>
      <c r="SEY449" s="268"/>
      <c r="SEZ449" s="268"/>
      <c r="SFA449" s="268"/>
      <c r="SFB449" s="268"/>
      <c r="SFC449" s="268"/>
      <c r="SFD449" s="268"/>
      <c r="SFE449" s="268"/>
      <c r="SFF449" s="268"/>
      <c r="SFG449" s="268"/>
      <c r="SFH449" s="268"/>
      <c r="SFI449" s="268"/>
      <c r="SFJ449" s="268"/>
      <c r="SFK449" s="268"/>
      <c r="SFL449" s="268"/>
      <c r="SFM449" s="268"/>
      <c r="SFN449" s="268"/>
      <c r="SFO449" s="268"/>
      <c r="SFP449" s="268"/>
      <c r="SFQ449" s="268"/>
      <c r="SFR449" s="268"/>
      <c r="SFS449" s="268"/>
      <c r="SFT449" s="268"/>
      <c r="SFU449" s="268"/>
      <c r="SFV449" s="268"/>
      <c r="SFW449" s="268"/>
      <c r="SFX449" s="268"/>
      <c r="SFY449" s="268"/>
      <c r="SFZ449" s="268"/>
      <c r="SGA449" s="268"/>
      <c r="SGB449" s="268"/>
      <c r="SGC449" s="268"/>
      <c r="SGD449" s="268"/>
      <c r="SGE449" s="268"/>
      <c r="SGF449" s="268"/>
      <c r="SGG449" s="268"/>
      <c r="SGH449" s="268"/>
      <c r="SGI449" s="268"/>
      <c r="SGJ449" s="268"/>
      <c r="SGK449" s="268"/>
      <c r="SGL449" s="268"/>
      <c r="SGM449" s="268"/>
      <c r="SGN449" s="268"/>
      <c r="SGO449" s="268"/>
      <c r="SGP449" s="268"/>
      <c r="SGQ449" s="268"/>
      <c r="SGR449" s="268"/>
      <c r="SGS449" s="268"/>
      <c r="SGT449" s="268"/>
      <c r="SGU449" s="268"/>
      <c r="SHI449" s="268"/>
      <c r="SHJ449" s="268"/>
      <c r="SHK449" s="268"/>
      <c r="SHY449" s="268"/>
      <c r="SIA449" s="268"/>
      <c r="SIB449" s="268"/>
      <c r="SIC449" s="268"/>
      <c r="SID449" s="268"/>
      <c r="SIE449" s="268"/>
      <c r="SIF449" s="268"/>
      <c r="SIG449" s="268"/>
      <c r="SIH449" s="268"/>
      <c r="SII449" s="268"/>
      <c r="SIJ449" s="268"/>
      <c r="SIK449" s="268"/>
      <c r="SIL449" s="268"/>
      <c r="SIM449" s="268"/>
      <c r="SIN449" s="268"/>
      <c r="SIO449" s="268"/>
      <c r="SIP449" s="268"/>
      <c r="SIQ449" s="268"/>
      <c r="SIR449" s="268"/>
      <c r="SIS449" s="268"/>
      <c r="SIT449" s="268"/>
      <c r="SIU449" s="268"/>
      <c r="SIV449" s="268"/>
      <c r="SIW449" s="268"/>
      <c r="SIX449" s="268"/>
      <c r="SIY449" s="268"/>
      <c r="SIZ449" s="268"/>
      <c r="SJA449" s="268"/>
      <c r="SJB449" s="268"/>
      <c r="SJC449" s="268"/>
      <c r="SJD449" s="268"/>
      <c r="SJE449" s="268"/>
      <c r="SJF449" s="268"/>
      <c r="SJG449" s="268"/>
      <c r="SJH449" s="268"/>
      <c r="SJI449" s="268"/>
      <c r="SJJ449" s="268"/>
      <c r="SJK449" s="268"/>
      <c r="SJL449" s="268"/>
      <c r="SJM449" s="268"/>
      <c r="SJN449" s="268"/>
      <c r="SJO449" s="268"/>
      <c r="SJP449" s="268"/>
      <c r="SJQ449" s="268"/>
      <c r="SJR449" s="268"/>
      <c r="SJS449" s="268"/>
      <c r="SJT449" s="268"/>
      <c r="SJU449" s="268"/>
      <c r="SJV449" s="268"/>
      <c r="SJW449" s="268"/>
      <c r="SJX449" s="268"/>
      <c r="SJY449" s="268"/>
      <c r="SJZ449" s="268"/>
      <c r="SKA449" s="268"/>
      <c r="SKB449" s="268"/>
      <c r="SKC449" s="268"/>
      <c r="SKD449" s="268"/>
      <c r="SKE449" s="268"/>
      <c r="SKF449" s="268"/>
      <c r="SKG449" s="268"/>
      <c r="SKH449" s="268"/>
      <c r="SKI449" s="268"/>
      <c r="SKJ449" s="268"/>
      <c r="SKK449" s="268"/>
      <c r="SKL449" s="268"/>
      <c r="SKM449" s="268"/>
      <c r="SKN449" s="268"/>
      <c r="SKO449" s="268"/>
      <c r="SKP449" s="268"/>
      <c r="SKQ449" s="268"/>
      <c r="SKR449" s="268"/>
      <c r="SKS449" s="268"/>
      <c r="SKT449" s="268"/>
      <c r="SKU449" s="268"/>
      <c r="SKV449" s="268"/>
      <c r="SKW449" s="268"/>
      <c r="SKX449" s="268"/>
      <c r="SKY449" s="268"/>
      <c r="SKZ449" s="268"/>
      <c r="SLA449" s="268"/>
      <c r="SLB449" s="268"/>
      <c r="SLC449" s="268"/>
      <c r="SLD449" s="268"/>
      <c r="SLE449" s="268"/>
      <c r="SLF449" s="268"/>
      <c r="SLG449" s="268"/>
      <c r="SLH449" s="268"/>
      <c r="SLI449" s="268"/>
      <c r="SLJ449" s="268"/>
      <c r="SLK449" s="268"/>
      <c r="SLL449" s="268"/>
      <c r="SLM449" s="268"/>
      <c r="SLN449" s="268"/>
      <c r="SLO449" s="268"/>
      <c r="SLP449" s="268"/>
      <c r="SLQ449" s="268"/>
      <c r="SLR449" s="268"/>
      <c r="SLS449" s="268"/>
      <c r="SLT449" s="268"/>
      <c r="SLU449" s="268"/>
      <c r="SLV449" s="268"/>
      <c r="SLW449" s="268"/>
      <c r="SLX449" s="268"/>
      <c r="SLY449" s="268"/>
      <c r="SLZ449" s="268"/>
      <c r="SMA449" s="268"/>
      <c r="SMB449" s="268"/>
      <c r="SMC449" s="268"/>
      <c r="SMD449" s="268"/>
      <c r="SME449" s="268"/>
      <c r="SMF449" s="268"/>
      <c r="SMG449" s="268"/>
      <c r="SMH449" s="268"/>
      <c r="SMI449" s="268"/>
      <c r="SMJ449" s="268"/>
      <c r="SMK449" s="268"/>
      <c r="SML449" s="268"/>
      <c r="SMM449" s="268"/>
      <c r="SMN449" s="268"/>
      <c r="SMO449" s="268"/>
      <c r="SMP449" s="268"/>
      <c r="SMQ449" s="268"/>
      <c r="SMR449" s="268"/>
      <c r="SMS449" s="268"/>
      <c r="SMT449" s="268"/>
      <c r="SMU449" s="268"/>
      <c r="SMV449" s="268"/>
      <c r="SMW449" s="268"/>
      <c r="SMX449" s="268"/>
      <c r="SMY449" s="268"/>
      <c r="SMZ449" s="268"/>
      <c r="SNA449" s="268"/>
      <c r="SNB449" s="268"/>
      <c r="SNC449" s="268"/>
      <c r="SND449" s="268"/>
      <c r="SNE449" s="268"/>
      <c r="SNF449" s="268"/>
      <c r="SNG449" s="268"/>
      <c r="SNH449" s="268"/>
      <c r="SNI449" s="268"/>
      <c r="SNJ449" s="268"/>
      <c r="SNK449" s="268"/>
      <c r="SNL449" s="268"/>
      <c r="SNM449" s="268"/>
      <c r="SNN449" s="268"/>
      <c r="SNO449" s="268"/>
      <c r="SNP449" s="268"/>
      <c r="SNQ449" s="268"/>
      <c r="SNR449" s="268"/>
      <c r="SNS449" s="268"/>
      <c r="SNT449" s="268"/>
      <c r="SNU449" s="268"/>
      <c r="SNV449" s="268"/>
      <c r="SNW449" s="268"/>
      <c r="SNX449" s="268"/>
      <c r="SNY449" s="268"/>
      <c r="SNZ449" s="268"/>
      <c r="SOA449" s="268"/>
      <c r="SOB449" s="268"/>
      <c r="SOC449" s="268"/>
      <c r="SOD449" s="268"/>
      <c r="SOE449" s="268"/>
      <c r="SOF449" s="268"/>
      <c r="SOG449" s="268"/>
      <c r="SOH449" s="268"/>
      <c r="SOI449" s="268"/>
      <c r="SOJ449" s="268"/>
      <c r="SOK449" s="268"/>
      <c r="SOL449" s="268"/>
      <c r="SOM449" s="268"/>
      <c r="SON449" s="268"/>
      <c r="SOO449" s="268"/>
      <c r="SOP449" s="268"/>
      <c r="SOQ449" s="268"/>
      <c r="SOR449" s="268"/>
      <c r="SOS449" s="268"/>
      <c r="SOT449" s="268"/>
      <c r="SOU449" s="268"/>
      <c r="SOV449" s="268"/>
      <c r="SOW449" s="268"/>
      <c r="SOX449" s="268"/>
      <c r="SOY449" s="268"/>
      <c r="SOZ449" s="268"/>
      <c r="SPA449" s="268"/>
      <c r="SPB449" s="268"/>
      <c r="SPC449" s="268"/>
      <c r="SPD449" s="268"/>
      <c r="SPE449" s="268"/>
      <c r="SPF449" s="268"/>
      <c r="SPG449" s="268"/>
      <c r="SPH449" s="268"/>
      <c r="SPI449" s="268"/>
      <c r="SPJ449" s="268"/>
      <c r="SPK449" s="268"/>
      <c r="SPL449" s="268"/>
      <c r="SPM449" s="268"/>
      <c r="SPN449" s="268"/>
      <c r="SPO449" s="268"/>
      <c r="SPP449" s="268"/>
      <c r="SPQ449" s="268"/>
      <c r="SPR449" s="268"/>
      <c r="SPS449" s="268"/>
      <c r="SPT449" s="268"/>
      <c r="SPU449" s="268"/>
      <c r="SPV449" s="268"/>
      <c r="SPW449" s="268"/>
      <c r="SPX449" s="268"/>
      <c r="SPY449" s="268"/>
      <c r="SPZ449" s="268"/>
      <c r="SQA449" s="268"/>
      <c r="SQB449" s="268"/>
      <c r="SQC449" s="268"/>
      <c r="SQD449" s="268"/>
      <c r="SQE449" s="268"/>
      <c r="SQF449" s="268"/>
      <c r="SQG449" s="268"/>
      <c r="SQH449" s="268"/>
      <c r="SQI449" s="268"/>
      <c r="SQJ449" s="268"/>
      <c r="SQK449" s="268"/>
      <c r="SQL449" s="268"/>
      <c r="SQM449" s="268"/>
      <c r="SQN449" s="268"/>
      <c r="SQO449" s="268"/>
      <c r="SQP449" s="268"/>
      <c r="SQQ449" s="268"/>
      <c r="SRE449" s="268"/>
      <c r="SRF449" s="268"/>
      <c r="SRG449" s="268"/>
      <c r="SRU449" s="268"/>
      <c r="SRW449" s="268"/>
      <c r="SRX449" s="268"/>
      <c r="SRY449" s="268"/>
      <c r="SRZ449" s="268"/>
      <c r="SSA449" s="268"/>
      <c r="SSB449" s="268"/>
      <c r="SSC449" s="268"/>
      <c r="SSD449" s="268"/>
      <c r="SSE449" s="268"/>
      <c r="SSF449" s="268"/>
      <c r="SSG449" s="268"/>
      <c r="SSH449" s="268"/>
      <c r="SSI449" s="268"/>
      <c r="SSJ449" s="268"/>
      <c r="SSK449" s="268"/>
      <c r="SSL449" s="268"/>
      <c r="SSM449" s="268"/>
      <c r="SSN449" s="268"/>
      <c r="SSO449" s="268"/>
      <c r="SSP449" s="268"/>
      <c r="SSQ449" s="268"/>
      <c r="SSR449" s="268"/>
      <c r="SSS449" s="268"/>
      <c r="SST449" s="268"/>
      <c r="SSU449" s="268"/>
      <c r="SSV449" s="268"/>
      <c r="SSW449" s="268"/>
      <c r="SSX449" s="268"/>
      <c r="SSY449" s="268"/>
      <c r="SSZ449" s="268"/>
      <c r="STA449" s="268"/>
      <c r="STB449" s="268"/>
      <c r="STC449" s="268"/>
      <c r="STD449" s="268"/>
      <c r="STE449" s="268"/>
      <c r="STF449" s="268"/>
      <c r="STG449" s="268"/>
      <c r="STH449" s="268"/>
      <c r="STI449" s="268"/>
      <c r="STJ449" s="268"/>
      <c r="STK449" s="268"/>
      <c r="STL449" s="268"/>
      <c r="STM449" s="268"/>
      <c r="STN449" s="268"/>
      <c r="STO449" s="268"/>
      <c r="STP449" s="268"/>
      <c r="STQ449" s="268"/>
      <c r="STR449" s="268"/>
      <c r="STS449" s="268"/>
      <c r="STT449" s="268"/>
      <c r="STU449" s="268"/>
      <c r="STV449" s="268"/>
      <c r="STW449" s="268"/>
      <c r="STX449" s="268"/>
      <c r="STY449" s="268"/>
      <c r="STZ449" s="268"/>
      <c r="SUA449" s="268"/>
      <c r="SUB449" s="268"/>
      <c r="SUC449" s="268"/>
      <c r="SUD449" s="268"/>
      <c r="SUE449" s="268"/>
      <c r="SUF449" s="268"/>
      <c r="SUG449" s="268"/>
      <c r="SUH449" s="268"/>
      <c r="SUI449" s="268"/>
      <c r="SUJ449" s="268"/>
      <c r="SUK449" s="268"/>
      <c r="SUL449" s="268"/>
      <c r="SUM449" s="268"/>
      <c r="SUN449" s="268"/>
      <c r="SUO449" s="268"/>
      <c r="SUP449" s="268"/>
      <c r="SUQ449" s="268"/>
      <c r="SUR449" s="268"/>
      <c r="SUS449" s="268"/>
      <c r="SUT449" s="268"/>
      <c r="SUU449" s="268"/>
      <c r="SUV449" s="268"/>
      <c r="SUW449" s="268"/>
      <c r="SUX449" s="268"/>
      <c r="SUY449" s="268"/>
      <c r="SUZ449" s="268"/>
      <c r="SVA449" s="268"/>
      <c r="SVB449" s="268"/>
      <c r="SVC449" s="268"/>
      <c r="SVD449" s="268"/>
      <c r="SVE449" s="268"/>
      <c r="SVF449" s="268"/>
      <c r="SVG449" s="268"/>
      <c r="SVH449" s="268"/>
      <c r="SVI449" s="268"/>
      <c r="SVJ449" s="268"/>
      <c r="SVK449" s="268"/>
      <c r="SVL449" s="268"/>
      <c r="SVM449" s="268"/>
      <c r="SVN449" s="268"/>
      <c r="SVO449" s="268"/>
      <c r="SVP449" s="268"/>
      <c r="SVQ449" s="268"/>
      <c r="SVR449" s="268"/>
      <c r="SVS449" s="268"/>
      <c r="SVT449" s="268"/>
      <c r="SVU449" s="268"/>
      <c r="SVV449" s="268"/>
      <c r="SVW449" s="268"/>
      <c r="SVX449" s="268"/>
      <c r="SVY449" s="268"/>
      <c r="SVZ449" s="268"/>
      <c r="SWA449" s="268"/>
      <c r="SWB449" s="268"/>
      <c r="SWC449" s="268"/>
      <c r="SWD449" s="268"/>
      <c r="SWE449" s="268"/>
      <c r="SWF449" s="268"/>
      <c r="SWG449" s="268"/>
      <c r="SWH449" s="268"/>
      <c r="SWI449" s="268"/>
      <c r="SWJ449" s="268"/>
      <c r="SWK449" s="268"/>
      <c r="SWL449" s="268"/>
      <c r="SWM449" s="268"/>
      <c r="SWN449" s="268"/>
      <c r="SWO449" s="268"/>
      <c r="SWP449" s="268"/>
      <c r="SWQ449" s="268"/>
      <c r="SWR449" s="268"/>
      <c r="SWS449" s="268"/>
      <c r="SWT449" s="268"/>
      <c r="SWU449" s="268"/>
      <c r="SWV449" s="268"/>
      <c r="SWW449" s="268"/>
      <c r="SWX449" s="268"/>
      <c r="SWY449" s="268"/>
      <c r="SWZ449" s="268"/>
      <c r="SXA449" s="268"/>
      <c r="SXB449" s="268"/>
      <c r="SXC449" s="268"/>
      <c r="SXD449" s="268"/>
      <c r="SXE449" s="268"/>
      <c r="SXF449" s="268"/>
      <c r="SXG449" s="268"/>
      <c r="SXH449" s="268"/>
      <c r="SXI449" s="268"/>
      <c r="SXJ449" s="268"/>
      <c r="SXK449" s="268"/>
      <c r="SXL449" s="268"/>
      <c r="SXM449" s="268"/>
      <c r="SXN449" s="268"/>
      <c r="SXO449" s="268"/>
      <c r="SXP449" s="268"/>
      <c r="SXQ449" s="268"/>
      <c r="SXR449" s="268"/>
      <c r="SXS449" s="268"/>
      <c r="SXT449" s="268"/>
      <c r="SXU449" s="268"/>
      <c r="SXV449" s="268"/>
      <c r="SXW449" s="268"/>
      <c r="SXX449" s="268"/>
      <c r="SXY449" s="268"/>
      <c r="SXZ449" s="268"/>
      <c r="SYA449" s="268"/>
      <c r="SYB449" s="268"/>
      <c r="SYC449" s="268"/>
      <c r="SYD449" s="268"/>
      <c r="SYE449" s="268"/>
      <c r="SYF449" s="268"/>
      <c r="SYG449" s="268"/>
      <c r="SYH449" s="268"/>
      <c r="SYI449" s="268"/>
      <c r="SYJ449" s="268"/>
      <c r="SYK449" s="268"/>
      <c r="SYL449" s="268"/>
      <c r="SYM449" s="268"/>
      <c r="SYN449" s="268"/>
      <c r="SYO449" s="268"/>
      <c r="SYP449" s="268"/>
      <c r="SYQ449" s="268"/>
      <c r="SYR449" s="268"/>
      <c r="SYS449" s="268"/>
      <c r="SYT449" s="268"/>
      <c r="SYU449" s="268"/>
      <c r="SYV449" s="268"/>
      <c r="SYW449" s="268"/>
      <c r="SYX449" s="268"/>
      <c r="SYY449" s="268"/>
      <c r="SYZ449" s="268"/>
      <c r="SZA449" s="268"/>
      <c r="SZB449" s="268"/>
      <c r="SZC449" s="268"/>
      <c r="SZD449" s="268"/>
      <c r="SZE449" s="268"/>
      <c r="SZF449" s="268"/>
      <c r="SZG449" s="268"/>
      <c r="SZH449" s="268"/>
      <c r="SZI449" s="268"/>
      <c r="SZJ449" s="268"/>
      <c r="SZK449" s="268"/>
      <c r="SZL449" s="268"/>
      <c r="SZM449" s="268"/>
      <c r="SZN449" s="268"/>
      <c r="SZO449" s="268"/>
      <c r="SZP449" s="268"/>
      <c r="SZQ449" s="268"/>
      <c r="SZR449" s="268"/>
      <c r="SZS449" s="268"/>
      <c r="SZT449" s="268"/>
      <c r="SZU449" s="268"/>
      <c r="SZV449" s="268"/>
      <c r="SZW449" s="268"/>
      <c r="SZX449" s="268"/>
      <c r="SZY449" s="268"/>
      <c r="SZZ449" s="268"/>
      <c r="TAA449" s="268"/>
      <c r="TAB449" s="268"/>
      <c r="TAC449" s="268"/>
      <c r="TAD449" s="268"/>
      <c r="TAE449" s="268"/>
      <c r="TAF449" s="268"/>
      <c r="TAG449" s="268"/>
      <c r="TAH449" s="268"/>
      <c r="TAI449" s="268"/>
      <c r="TAJ449" s="268"/>
      <c r="TAK449" s="268"/>
      <c r="TAL449" s="268"/>
      <c r="TAM449" s="268"/>
      <c r="TBA449" s="268"/>
      <c r="TBB449" s="268"/>
      <c r="TBC449" s="268"/>
      <c r="TBQ449" s="268"/>
      <c r="TBS449" s="268"/>
      <c r="TBT449" s="268"/>
      <c r="TBU449" s="268"/>
      <c r="TBV449" s="268"/>
      <c r="TBW449" s="268"/>
      <c r="TBX449" s="268"/>
      <c r="TBY449" s="268"/>
      <c r="TBZ449" s="268"/>
      <c r="TCA449" s="268"/>
      <c r="TCB449" s="268"/>
      <c r="TCC449" s="268"/>
      <c r="TCD449" s="268"/>
      <c r="TCE449" s="268"/>
      <c r="TCF449" s="268"/>
      <c r="TCG449" s="268"/>
      <c r="TCH449" s="268"/>
      <c r="TCI449" s="268"/>
      <c r="TCJ449" s="268"/>
      <c r="TCK449" s="268"/>
      <c r="TCL449" s="268"/>
      <c r="TCM449" s="268"/>
      <c r="TCN449" s="268"/>
      <c r="TCO449" s="268"/>
      <c r="TCP449" s="268"/>
      <c r="TCQ449" s="268"/>
      <c r="TCR449" s="268"/>
      <c r="TCS449" s="268"/>
      <c r="TCT449" s="268"/>
      <c r="TCU449" s="268"/>
      <c r="TCV449" s="268"/>
      <c r="TCW449" s="268"/>
      <c r="TCX449" s="268"/>
      <c r="TCY449" s="268"/>
      <c r="TCZ449" s="268"/>
      <c r="TDA449" s="268"/>
      <c r="TDB449" s="268"/>
      <c r="TDC449" s="268"/>
      <c r="TDD449" s="268"/>
      <c r="TDE449" s="268"/>
      <c r="TDF449" s="268"/>
      <c r="TDG449" s="268"/>
      <c r="TDH449" s="268"/>
      <c r="TDI449" s="268"/>
      <c r="TDJ449" s="268"/>
      <c r="TDK449" s="268"/>
      <c r="TDL449" s="268"/>
      <c r="TDM449" s="268"/>
      <c r="TDN449" s="268"/>
      <c r="TDO449" s="268"/>
      <c r="TDP449" s="268"/>
      <c r="TDQ449" s="268"/>
      <c r="TDR449" s="268"/>
      <c r="TDS449" s="268"/>
      <c r="TDT449" s="268"/>
      <c r="TDU449" s="268"/>
      <c r="TDV449" s="268"/>
      <c r="TDW449" s="268"/>
      <c r="TDX449" s="268"/>
      <c r="TDY449" s="268"/>
      <c r="TDZ449" s="268"/>
      <c r="TEA449" s="268"/>
      <c r="TEB449" s="268"/>
      <c r="TEC449" s="268"/>
      <c r="TED449" s="268"/>
      <c r="TEE449" s="268"/>
      <c r="TEF449" s="268"/>
      <c r="TEG449" s="268"/>
      <c r="TEH449" s="268"/>
      <c r="TEI449" s="268"/>
      <c r="TEJ449" s="268"/>
      <c r="TEK449" s="268"/>
      <c r="TEL449" s="268"/>
      <c r="TEM449" s="268"/>
      <c r="TEN449" s="268"/>
      <c r="TEO449" s="268"/>
      <c r="TEP449" s="268"/>
      <c r="TEQ449" s="268"/>
      <c r="TER449" s="268"/>
      <c r="TES449" s="268"/>
      <c r="TET449" s="268"/>
      <c r="TEU449" s="268"/>
      <c r="TEV449" s="268"/>
      <c r="TEW449" s="268"/>
      <c r="TEX449" s="268"/>
      <c r="TEY449" s="268"/>
      <c r="TEZ449" s="268"/>
      <c r="TFA449" s="268"/>
      <c r="TFB449" s="268"/>
      <c r="TFC449" s="268"/>
      <c r="TFD449" s="268"/>
      <c r="TFE449" s="268"/>
      <c r="TFF449" s="268"/>
      <c r="TFG449" s="268"/>
      <c r="TFH449" s="268"/>
      <c r="TFI449" s="268"/>
      <c r="TFJ449" s="268"/>
      <c r="TFK449" s="268"/>
      <c r="TFL449" s="268"/>
      <c r="TFM449" s="268"/>
      <c r="TFN449" s="268"/>
      <c r="TFO449" s="268"/>
      <c r="TFP449" s="268"/>
      <c r="TFQ449" s="268"/>
      <c r="TFR449" s="268"/>
      <c r="TFS449" s="268"/>
      <c r="TFT449" s="268"/>
      <c r="TFU449" s="268"/>
      <c r="TFV449" s="268"/>
      <c r="TFW449" s="268"/>
      <c r="TFX449" s="268"/>
      <c r="TFY449" s="268"/>
      <c r="TFZ449" s="268"/>
      <c r="TGA449" s="268"/>
      <c r="TGB449" s="268"/>
      <c r="TGC449" s="268"/>
      <c r="TGD449" s="268"/>
      <c r="TGE449" s="268"/>
      <c r="TGF449" s="268"/>
      <c r="TGG449" s="268"/>
      <c r="TGH449" s="268"/>
      <c r="TGI449" s="268"/>
      <c r="TGJ449" s="268"/>
      <c r="TGK449" s="268"/>
      <c r="TGL449" s="268"/>
      <c r="TGM449" s="268"/>
      <c r="TGN449" s="268"/>
      <c r="TGO449" s="268"/>
      <c r="TGP449" s="268"/>
      <c r="TGQ449" s="268"/>
      <c r="TGR449" s="268"/>
      <c r="TGS449" s="268"/>
      <c r="TGT449" s="268"/>
      <c r="TGU449" s="268"/>
      <c r="TGV449" s="268"/>
      <c r="TGW449" s="268"/>
      <c r="TGX449" s="268"/>
      <c r="TGY449" s="268"/>
      <c r="TGZ449" s="268"/>
      <c r="THA449" s="268"/>
      <c r="THB449" s="268"/>
      <c r="THC449" s="268"/>
      <c r="THD449" s="268"/>
      <c r="THE449" s="268"/>
      <c r="THF449" s="268"/>
      <c r="THG449" s="268"/>
      <c r="THH449" s="268"/>
      <c r="THI449" s="268"/>
      <c r="THJ449" s="268"/>
      <c r="THK449" s="268"/>
      <c r="THL449" s="268"/>
      <c r="THM449" s="268"/>
      <c r="THN449" s="268"/>
      <c r="THO449" s="268"/>
      <c r="THP449" s="268"/>
      <c r="THQ449" s="268"/>
      <c r="THR449" s="268"/>
      <c r="THS449" s="268"/>
      <c r="THT449" s="268"/>
      <c r="THU449" s="268"/>
      <c r="THV449" s="268"/>
      <c r="THW449" s="268"/>
      <c r="THX449" s="268"/>
      <c r="THY449" s="268"/>
      <c r="THZ449" s="268"/>
      <c r="TIA449" s="268"/>
      <c r="TIB449" s="268"/>
      <c r="TIC449" s="268"/>
      <c r="TID449" s="268"/>
      <c r="TIE449" s="268"/>
      <c r="TIF449" s="268"/>
      <c r="TIG449" s="268"/>
      <c r="TIH449" s="268"/>
      <c r="TII449" s="268"/>
      <c r="TIJ449" s="268"/>
      <c r="TIK449" s="268"/>
      <c r="TIL449" s="268"/>
      <c r="TIM449" s="268"/>
      <c r="TIN449" s="268"/>
      <c r="TIO449" s="268"/>
      <c r="TIP449" s="268"/>
      <c r="TIQ449" s="268"/>
      <c r="TIR449" s="268"/>
      <c r="TIS449" s="268"/>
      <c r="TIT449" s="268"/>
      <c r="TIU449" s="268"/>
      <c r="TIV449" s="268"/>
      <c r="TIW449" s="268"/>
      <c r="TIX449" s="268"/>
      <c r="TIY449" s="268"/>
      <c r="TIZ449" s="268"/>
      <c r="TJA449" s="268"/>
      <c r="TJB449" s="268"/>
      <c r="TJC449" s="268"/>
      <c r="TJD449" s="268"/>
      <c r="TJE449" s="268"/>
      <c r="TJF449" s="268"/>
      <c r="TJG449" s="268"/>
      <c r="TJH449" s="268"/>
      <c r="TJI449" s="268"/>
      <c r="TJJ449" s="268"/>
      <c r="TJK449" s="268"/>
      <c r="TJL449" s="268"/>
      <c r="TJM449" s="268"/>
      <c r="TJN449" s="268"/>
      <c r="TJO449" s="268"/>
      <c r="TJP449" s="268"/>
      <c r="TJQ449" s="268"/>
      <c r="TJR449" s="268"/>
      <c r="TJS449" s="268"/>
      <c r="TJT449" s="268"/>
      <c r="TJU449" s="268"/>
      <c r="TJV449" s="268"/>
      <c r="TJW449" s="268"/>
      <c r="TJX449" s="268"/>
      <c r="TJY449" s="268"/>
      <c r="TJZ449" s="268"/>
      <c r="TKA449" s="268"/>
      <c r="TKB449" s="268"/>
      <c r="TKC449" s="268"/>
      <c r="TKD449" s="268"/>
      <c r="TKE449" s="268"/>
      <c r="TKF449" s="268"/>
      <c r="TKG449" s="268"/>
      <c r="TKH449" s="268"/>
      <c r="TKI449" s="268"/>
      <c r="TKW449" s="268"/>
      <c r="TKX449" s="268"/>
      <c r="TKY449" s="268"/>
      <c r="TLM449" s="268"/>
      <c r="TLO449" s="268"/>
      <c r="TLP449" s="268"/>
      <c r="TLQ449" s="268"/>
      <c r="TLR449" s="268"/>
      <c r="TLS449" s="268"/>
      <c r="TLT449" s="268"/>
      <c r="TLU449" s="268"/>
      <c r="TLV449" s="268"/>
      <c r="TLW449" s="268"/>
      <c r="TLX449" s="268"/>
      <c r="TLY449" s="268"/>
      <c r="TLZ449" s="268"/>
      <c r="TMA449" s="268"/>
      <c r="TMB449" s="268"/>
      <c r="TMC449" s="268"/>
      <c r="TMD449" s="268"/>
      <c r="TME449" s="268"/>
      <c r="TMF449" s="268"/>
      <c r="TMG449" s="268"/>
      <c r="TMH449" s="268"/>
      <c r="TMI449" s="268"/>
      <c r="TMJ449" s="268"/>
      <c r="TMK449" s="268"/>
      <c r="TML449" s="268"/>
      <c r="TMM449" s="268"/>
      <c r="TMN449" s="268"/>
      <c r="TMO449" s="268"/>
      <c r="TMP449" s="268"/>
      <c r="TMQ449" s="268"/>
      <c r="TMR449" s="268"/>
      <c r="TMS449" s="268"/>
      <c r="TMT449" s="268"/>
      <c r="TMU449" s="268"/>
      <c r="TMV449" s="268"/>
      <c r="TMW449" s="268"/>
      <c r="TMX449" s="268"/>
      <c r="TMY449" s="268"/>
      <c r="TMZ449" s="268"/>
      <c r="TNA449" s="268"/>
      <c r="TNB449" s="268"/>
      <c r="TNC449" s="268"/>
      <c r="TND449" s="268"/>
      <c r="TNE449" s="268"/>
      <c r="TNF449" s="268"/>
      <c r="TNG449" s="268"/>
      <c r="TNH449" s="268"/>
      <c r="TNI449" s="268"/>
      <c r="TNJ449" s="268"/>
      <c r="TNK449" s="268"/>
      <c r="TNL449" s="268"/>
      <c r="TNM449" s="268"/>
      <c r="TNN449" s="268"/>
      <c r="TNO449" s="268"/>
      <c r="TNP449" s="268"/>
      <c r="TNQ449" s="268"/>
      <c r="TNR449" s="268"/>
      <c r="TNS449" s="268"/>
      <c r="TNT449" s="268"/>
      <c r="TNU449" s="268"/>
      <c r="TNV449" s="268"/>
      <c r="TNW449" s="268"/>
      <c r="TNX449" s="268"/>
      <c r="TNY449" s="268"/>
      <c r="TNZ449" s="268"/>
      <c r="TOA449" s="268"/>
      <c r="TOB449" s="268"/>
      <c r="TOC449" s="268"/>
      <c r="TOD449" s="268"/>
      <c r="TOE449" s="268"/>
      <c r="TOF449" s="268"/>
      <c r="TOG449" s="268"/>
      <c r="TOH449" s="268"/>
      <c r="TOI449" s="268"/>
      <c r="TOJ449" s="268"/>
      <c r="TOK449" s="268"/>
      <c r="TOL449" s="268"/>
      <c r="TOM449" s="268"/>
      <c r="TON449" s="268"/>
      <c r="TOO449" s="268"/>
      <c r="TOP449" s="268"/>
      <c r="TOQ449" s="268"/>
      <c r="TOR449" s="268"/>
      <c r="TOS449" s="268"/>
      <c r="TOT449" s="268"/>
      <c r="TOU449" s="268"/>
      <c r="TOV449" s="268"/>
      <c r="TOW449" s="268"/>
      <c r="TOX449" s="268"/>
      <c r="TOY449" s="268"/>
      <c r="TOZ449" s="268"/>
      <c r="TPA449" s="268"/>
      <c r="TPB449" s="268"/>
      <c r="TPC449" s="268"/>
      <c r="TPD449" s="268"/>
      <c r="TPE449" s="268"/>
      <c r="TPF449" s="268"/>
      <c r="TPG449" s="268"/>
      <c r="TPH449" s="268"/>
      <c r="TPI449" s="268"/>
      <c r="TPJ449" s="268"/>
      <c r="TPK449" s="268"/>
      <c r="TPL449" s="268"/>
      <c r="TPM449" s="268"/>
      <c r="TPN449" s="268"/>
      <c r="TPO449" s="268"/>
      <c r="TPP449" s="268"/>
      <c r="TPQ449" s="268"/>
      <c r="TPR449" s="268"/>
      <c r="TPS449" s="268"/>
      <c r="TPT449" s="268"/>
      <c r="TPU449" s="268"/>
      <c r="TPV449" s="268"/>
      <c r="TPW449" s="268"/>
      <c r="TPX449" s="268"/>
      <c r="TPY449" s="268"/>
      <c r="TPZ449" s="268"/>
      <c r="TQA449" s="268"/>
      <c r="TQB449" s="268"/>
      <c r="TQC449" s="268"/>
      <c r="TQD449" s="268"/>
      <c r="TQE449" s="268"/>
      <c r="TQF449" s="268"/>
      <c r="TQG449" s="268"/>
      <c r="TQH449" s="268"/>
      <c r="TQI449" s="268"/>
      <c r="TQJ449" s="268"/>
      <c r="TQK449" s="268"/>
      <c r="TQL449" s="268"/>
      <c r="TQM449" s="268"/>
      <c r="TQN449" s="268"/>
      <c r="TQO449" s="268"/>
      <c r="TQP449" s="268"/>
      <c r="TQQ449" s="268"/>
      <c r="TQR449" s="268"/>
      <c r="TQS449" s="268"/>
      <c r="TQT449" s="268"/>
      <c r="TQU449" s="268"/>
      <c r="TQV449" s="268"/>
      <c r="TQW449" s="268"/>
      <c r="TQX449" s="268"/>
      <c r="TQY449" s="268"/>
      <c r="TQZ449" s="268"/>
      <c r="TRA449" s="268"/>
      <c r="TRB449" s="268"/>
      <c r="TRC449" s="268"/>
      <c r="TRD449" s="268"/>
      <c r="TRE449" s="268"/>
      <c r="TRF449" s="268"/>
      <c r="TRG449" s="268"/>
      <c r="TRH449" s="268"/>
      <c r="TRI449" s="268"/>
      <c r="TRJ449" s="268"/>
      <c r="TRK449" s="268"/>
      <c r="TRL449" s="268"/>
      <c r="TRM449" s="268"/>
      <c r="TRN449" s="268"/>
      <c r="TRO449" s="268"/>
      <c r="TRP449" s="268"/>
      <c r="TRQ449" s="268"/>
      <c r="TRR449" s="268"/>
      <c r="TRS449" s="268"/>
      <c r="TRT449" s="268"/>
      <c r="TRU449" s="268"/>
      <c r="TRV449" s="268"/>
      <c r="TRW449" s="268"/>
      <c r="TRX449" s="268"/>
      <c r="TRY449" s="268"/>
      <c r="TRZ449" s="268"/>
      <c r="TSA449" s="268"/>
      <c r="TSB449" s="268"/>
      <c r="TSC449" s="268"/>
      <c r="TSD449" s="268"/>
      <c r="TSE449" s="268"/>
      <c r="TSF449" s="268"/>
      <c r="TSG449" s="268"/>
      <c r="TSH449" s="268"/>
      <c r="TSI449" s="268"/>
      <c r="TSJ449" s="268"/>
      <c r="TSK449" s="268"/>
      <c r="TSL449" s="268"/>
      <c r="TSM449" s="268"/>
      <c r="TSN449" s="268"/>
      <c r="TSO449" s="268"/>
      <c r="TSP449" s="268"/>
      <c r="TSQ449" s="268"/>
      <c r="TSR449" s="268"/>
      <c r="TSS449" s="268"/>
      <c r="TST449" s="268"/>
      <c r="TSU449" s="268"/>
      <c r="TSV449" s="268"/>
      <c r="TSW449" s="268"/>
      <c r="TSX449" s="268"/>
      <c r="TSY449" s="268"/>
      <c r="TSZ449" s="268"/>
      <c r="TTA449" s="268"/>
      <c r="TTB449" s="268"/>
      <c r="TTC449" s="268"/>
      <c r="TTD449" s="268"/>
      <c r="TTE449" s="268"/>
      <c r="TTF449" s="268"/>
      <c r="TTG449" s="268"/>
      <c r="TTH449" s="268"/>
      <c r="TTI449" s="268"/>
      <c r="TTJ449" s="268"/>
      <c r="TTK449" s="268"/>
      <c r="TTL449" s="268"/>
      <c r="TTM449" s="268"/>
      <c r="TTN449" s="268"/>
      <c r="TTO449" s="268"/>
      <c r="TTP449" s="268"/>
      <c r="TTQ449" s="268"/>
      <c r="TTR449" s="268"/>
      <c r="TTS449" s="268"/>
      <c r="TTT449" s="268"/>
      <c r="TTU449" s="268"/>
      <c r="TTV449" s="268"/>
      <c r="TTW449" s="268"/>
      <c r="TTX449" s="268"/>
      <c r="TTY449" s="268"/>
      <c r="TTZ449" s="268"/>
      <c r="TUA449" s="268"/>
      <c r="TUB449" s="268"/>
      <c r="TUC449" s="268"/>
      <c r="TUD449" s="268"/>
      <c r="TUE449" s="268"/>
      <c r="TUS449" s="268"/>
      <c r="TUT449" s="268"/>
      <c r="TUU449" s="268"/>
      <c r="TVI449" s="268"/>
      <c r="TVK449" s="268"/>
      <c r="TVL449" s="268"/>
      <c r="TVM449" s="268"/>
      <c r="TVN449" s="268"/>
      <c r="TVO449" s="268"/>
      <c r="TVP449" s="268"/>
      <c r="TVQ449" s="268"/>
      <c r="TVR449" s="268"/>
      <c r="TVS449" s="268"/>
      <c r="TVT449" s="268"/>
      <c r="TVU449" s="268"/>
      <c r="TVV449" s="268"/>
      <c r="TVW449" s="268"/>
      <c r="TVX449" s="268"/>
      <c r="TVY449" s="268"/>
      <c r="TVZ449" s="268"/>
      <c r="TWA449" s="268"/>
      <c r="TWB449" s="268"/>
      <c r="TWC449" s="268"/>
      <c r="TWD449" s="268"/>
      <c r="TWE449" s="268"/>
      <c r="TWF449" s="268"/>
      <c r="TWG449" s="268"/>
      <c r="TWH449" s="268"/>
      <c r="TWI449" s="268"/>
      <c r="TWJ449" s="268"/>
      <c r="TWK449" s="268"/>
      <c r="TWL449" s="268"/>
      <c r="TWM449" s="268"/>
      <c r="TWN449" s="268"/>
      <c r="TWO449" s="268"/>
      <c r="TWP449" s="268"/>
      <c r="TWQ449" s="268"/>
      <c r="TWR449" s="268"/>
      <c r="TWS449" s="268"/>
      <c r="TWT449" s="268"/>
      <c r="TWU449" s="268"/>
      <c r="TWV449" s="268"/>
      <c r="TWW449" s="268"/>
      <c r="TWX449" s="268"/>
      <c r="TWY449" s="268"/>
      <c r="TWZ449" s="268"/>
      <c r="TXA449" s="268"/>
      <c r="TXB449" s="268"/>
      <c r="TXC449" s="268"/>
      <c r="TXD449" s="268"/>
      <c r="TXE449" s="268"/>
      <c r="TXF449" s="268"/>
      <c r="TXG449" s="268"/>
      <c r="TXH449" s="268"/>
      <c r="TXI449" s="268"/>
      <c r="TXJ449" s="268"/>
      <c r="TXK449" s="268"/>
      <c r="TXL449" s="268"/>
      <c r="TXM449" s="268"/>
      <c r="TXN449" s="268"/>
      <c r="TXO449" s="268"/>
      <c r="TXP449" s="268"/>
      <c r="TXQ449" s="268"/>
      <c r="TXR449" s="268"/>
      <c r="TXS449" s="268"/>
      <c r="TXT449" s="268"/>
      <c r="TXU449" s="268"/>
      <c r="TXV449" s="268"/>
      <c r="TXW449" s="268"/>
      <c r="TXX449" s="268"/>
      <c r="TXY449" s="268"/>
      <c r="TXZ449" s="268"/>
      <c r="TYA449" s="268"/>
      <c r="TYB449" s="268"/>
      <c r="TYC449" s="268"/>
      <c r="TYD449" s="268"/>
      <c r="TYE449" s="268"/>
      <c r="TYF449" s="268"/>
      <c r="TYG449" s="268"/>
      <c r="TYH449" s="268"/>
      <c r="TYI449" s="268"/>
      <c r="TYJ449" s="268"/>
      <c r="TYK449" s="268"/>
      <c r="TYL449" s="268"/>
      <c r="TYM449" s="268"/>
      <c r="TYN449" s="268"/>
      <c r="TYO449" s="268"/>
      <c r="TYP449" s="268"/>
      <c r="TYQ449" s="268"/>
      <c r="TYR449" s="268"/>
      <c r="TYS449" s="268"/>
      <c r="TYT449" s="268"/>
      <c r="TYU449" s="268"/>
      <c r="TYV449" s="268"/>
      <c r="TYW449" s="268"/>
      <c r="TYX449" s="268"/>
      <c r="TYY449" s="268"/>
      <c r="TYZ449" s="268"/>
      <c r="TZA449" s="268"/>
      <c r="TZB449" s="268"/>
      <c r="TZC449" s="268"/>
      <c r="TZD449" s="268"/>
      <c r="TZE449" s="268"/>
      <c r="TZF449" s="268"/>
      <c r="TZG449" s="268"/>
      <c r="TZH449" s="268"/>
      <c r="TZI449" s="268"/>
      <c r="TZJ449" s="268"/>
      <c r="TZK449" s="268"/>
      <c r="TZL449" s="268"/>
      <c r="TZM449" s="268"/>
      <c r="TZN449" s="268"/>
      <c r="TZO449" s="268"/>
      <c r="TZP449" s="268"/>
      <c r="TZQ449" s="268"/>
      <c r="TZR449" s="268"/>
      <c r="TZS449" s="268"/>
      <c r="TZT449" s="268"/>
      <c r="TZU449" s="268"/>
      <c r="TZV449" s="268"/>
      <c r="TZW449" s="268"/>
      <c r="TZX449" s="268"/>
      <c r="TZY449" s="268"/>
      <c r="TZZ449" s="268"/>
      <c r="UAA449" s="268"/>
      <c r="UAB449" s="268"/>
      <c r="UAC449" s="268"/>
      <c r="UAD449" s="268"/>
      <c r="UAE449" s="268"/>
      <c r="UAF449" s="268"/>
      <c r="UAG449" s="268"/>
      <c r="UAH449" s="268"/>
      <c r="UAI449" s="268"/>
      <c r="UAJ449" s="268"/>
      <c r="UAK449" s="268"/>
      <c r="UAL449" s="268"/>
      <c r="UAM449" s="268"/>
      <c r="UAN449" s="268"/>
      <c r="UAO449" s="268"/>
      <c r="UAP449" s="268"/>
      <c r="UAQ449" s="268"/>
      <c r="UAR449" s="268"/>
      <c r="UAS449" s="268"/>
      <c r="UAT449" s="268"/>
      <c r="UAU449" s="268"/>
      <c r="UAV449" s="268"/>
      <c r="UAW449" s="268"/>
      <c r="UAX449" s="268"/>
      <c r="UAY449" s="268"/>
      <c r="UAZ449" s="268"/>
      <c r="UBA449" s="268"/>
      <c r="UBB449" s="268"/>
      <c r="UBC449" s="268"/>
      <c r="UBD449" s="268"/>
      <c r="UBE449" s="268"/>
      <c r="UBF449" s="268"/>
      <c r="UBG449" s="268"/>
      <c r="UBH449" s="268"/>
      <c r="UBI449" s="268"/>
      <c r="UBJ449" s="268"/>
      <c r="UBK449" s="268"/>
      <c r="UBL449" s="268"/>
      <c r="UBM449" s="268"/>
      <c r="UBN449" s="268"/>
      <c r="UBO449" s="268"/>
      <c r="UBP449" s="268"/>
      <c r="UBQ449" s="268"/>
      <c r="UBR449" s="268"/>
      <c r="UBS449" s="268"/>
      <c r="UBT449" s="268"/>
      <c r="UBU449" s="268"/>
      <c r="UBV449" s="268"/>
      <c r="UBW449" s="268"/>
      <c r="UBX449" s="268"/>
      <c r="UBY449" s="268"/>
      <c r="UBZ449" s="268"/>
      <c r="UCA449" s="268"/>
      <c r="UCB449" s="268"/>
      <c r="UCC449" s="268"/>
      <c r="UCD449" s="268"/>
      <c r="UCE449" s="268"/>
      <c r="UCF449" s="268"/>
      <c r="UCG449" s="268"/>
      <c r="UCH449" s="268"/>
      <c r="UCI449" s="268"/>
      <c r="UCJ449" s="268"/>
      <c r="UCK449" s="268"/>
      <c r="UCL449" s="268"/>
      <c r="UCM449" s="268"/>
      <c r="UCN449" s="268"/>
      <c r="UCO449" s="268"/>
      <c r="UCP449" s="268"/>
      <c r="UCQ449" s="268"/>
      <c r="UCR449" s="268"/>
      <c r="UCS449" s="268"/>
      <c r="UCT449" s="268"/>
      <c r="UCU449" s="268"/>
      <c r="UCV449" s="268"/>
      <c r="UCW449" s="268"/>
      <c r="UCX449" s="268"/>
      <c r="UCY449" s="268"/>
      <c r="UCZ449" s="268"/>
      <c r="UDA449" s="268"/>
      <c r="UDB449" s="268"/>
      <c r="UDC449" s="268"/>
      <c r="UDD449" s="268"/>
      <c r="UDE449" s="268"/>
      <c r="UDF449" s="268"/>
      <c r="UDG449" s="268"/>
      <c r="UDH449" s="268"/>
      <c r="UDI449" s="268"/>
      <c r="UDJ449" s="268"/>
      <c r="UDK449" s="268"/>
      <c r="UDL449" s="268"/>
      <c r="UDM449" s="268"/>
      <c r="UDN449" s="268"/>
      <c r="UDO449" s="268"/>
      <c r="UDP449" s="268"/>
      <c r="UDQ449" s="268"/>
      <c r="UDR449" s="268"/>
      <c r="UDS449" s="268"/>
      <c r="UDT449" s="268"/>
      <c r="UDU449" s="268"/>
      <c r="UDV449" s="268"/>
      <c r="UDW449" s="268"/>
      <c r="UDX449" s="268"/>
      <c r="UDY449" s="268"/>
      <c r="UDZ449" s="268"/>
      <c r="UEA449" s="268"/>
      <c r="UEO449" s="268"/>
      <c r="UEP449" s="268"/>
      <c r="UEQ449" s="268"/>
      <c r="UFE449" s="268"/>
      <c r="UFG449" s="268"/>
      <c r="UFH449" s="268"/>
      <c r="UFI449" s="268"/>
      <c r="UFJ449" s="268"/>
      <c r="UFK449" s="268"/>
      <c r="UFL449" s="268"/>
      <c r="UFM449" s="268"/>
      <c r="UFN449" s="268"/>
      <c r="UFO449" s="268"/>
      <c r="UFP449" s="268"/>
      <c r="UFQ449" s="268"/>
      <c r="UFR449" s="268"/>
      <c r="UFS449" s="268"/>
      <c r="UFT449" s="268"/>
      <c r="UFU449" s="268"/>
      <c r="UFV449" s="268"/>
      <c r="UFW449" s="268"/>
      <c r="UFX449" s="268"/>
      <c r="UFY449" s="268"/>
      <c r="UFZ449" s="268"/>
      <c r="UGA449" s="268"/>
      <c r="UGB449" s="268"/>
      <c r="UGC449" s="268"/>
      <c r="UGD449" s="268"/>
      <c r="UGE449" s="268"/>
      <c r="UGF449" s="268"/>
      <c r="UGG449" s="268"/>
      <c r="UGH449" s="268"/>
      <c r="UGI449" s="268"/>
      <c r="UGJ449" s="268"/>
      <c r="UGK449" s="268"/>
      <c r="UGL449" s="268"/>
      <c r="UGM449" s="268"/>
      <c r="UGN449" s="268"/>
      <c r="UGO449" s="268"/>
      <c r="UGP449" s="268"/>
      <c r="UGQ449" s="268"/>
      <c r="UGR449" s="268"/>
      <c r="UGS449" s="268"/>
      <c r="UGT449" s="268"/>
      <c r="UGU449" s="268"/>
      <c r="UGV449" s="268"/>
      <c r="UGW449" s="268"/>
      <c r="UGX449" s="268"/>
      <c r="UGY449" s="268"/>
      <c r="UGZ449" s="268"/>
      <c r="UHA449" s="268"/>
      <c r="UHB449" s="268"/>
      <c r="UHC449" s="268"/>
      <c r="UHD449" s="268"/>
      <c r="UHE449" s="268"/>
      <c r="UHF449" s="268"/>
      <c r="UHG449" s="268"/>
      <c r="UHH449" s="268"/>
      <c r="UHI449" s="268"/>
      <c r="UHJ449" s="268"/>
      <c r="UHK449" s="268"/>
      <c r="UHL449" s="268"/>
      <c r="UHM449" s="268"/>
      <c r="UHN449" s="268"/>
      <c r="UHO449" s="268"/>
      <c r="UHP449" s="268"/>
      <c r="UHQ449" s="268"/>
      <c r="UHR449" s="268"/>
      <c r="UHS449" s="268"/>
      <c r="UHT449" s="268"/>
      <c r="UHU449" s="268"/>
      <c r="UHV449" s="268"/>
      <c r="UHW449" s="268"/>
      <c r="UHX449" s="268"/>
      <c r="UHY449" s="268"/>
      <c r="UHZ449" s="268"/>
      <c r="UIA449" s="268"/>
      <c r="UIB449" s="268"/>
      <c r="UIC449" s="268"/>
      <c r="UID449" s="268"/>
      <c r="UIE449" s="268"/>
      <c r="UIF449" s="268"/>
      <c r="UIG449" s="268"/>
      <c r="UIH449" s="268"/>
      <c r="UII449" s="268"/>
      <c r="UIJ449" s="268"/>
      <c r="UIK449" s="268"/>
      <c r="UIL449" s="268"/>
      <c r="UIM449" s="268"/>
      <c r="UIN449" s="268"/>
      <c r="UIO449" s="268"/>
      <c r="UIP449" s="268"/>
      <c r="UIQ449" s="268"/>
      <c r="UIR449" s="268"/>
      <c r="UIS449" s="268"/>
      <c r="UIT449" s="268"/>
      <c r="UIU449" s="268"/>
      <c r="UIV449" s="268"/>
      <c r="UIW449" s="268"/>
      <c r="UIX449" s="268"/>
      <c r="UIY449" s="268"/>
      <c r="UIZ449" s="268"/>
      <c r="UJA449" s="268"/>
      <c r="UJB449" s="268"/>
      <c r="UJC449" s="268"/>
      <c r="UJD449" s="268"/>
      <c r="UJE449" s="268"/>
      <c r="UJF449" s="268"/>
      <c r="UJG449" s="268"/>
      <c r="UJH449" s="268"/>
      <c r="UJI449" s="268"/>
      <c r="UJJ449" s="268"/>
      <c r="UJK449" s="268"/>
      <c r="UJL449" s="268"/>
      <c r="UJM449" s="268"/>
      <c r="UJN449" s="268"/>
      <c r="UJO449" s="268"/>
      <c r="UJP449" s="268"/>
      <c r="UJQ449" s="268"/>
      <c r="UJR449" s="268"/>
      <c r="UJS449" s="268"/>
      <c r="UJT449" s="268"/>
      <c r="UJU449" s="268"/>
      <c r="UJV449" s="268"/>
      <c r="UJW449" s="268"/>
      <c r="UJX449" s="268"/>
      <c r="UJY449" s="268"/>
      <c r="UJZ449" s="268"/>
      <c r="UKA449" s="268"/>
      <c r="UKB449" s="268"/>
      <c r="UKC449" s="268"/>
      <c r="UKD449" s="268"/>
      <c r="UKE449" s="268"/>
      <c r="UKF449" s="268"/>
      <c r="UKG449" s="268"/>
      <c r="UKH449" s="268"/>
      <c r="UKI449" s="268"/>
      <c r="UKJ449" s="268"/>
      <c r="UKK449" s="268"/>
      <c r="UKL449" s="268"/>
      <c r="UKM449" s="268"/>
      <c r="UKN449" s="268"/>
      <c r="UKO449" s="268"/>
      <c r="UKP449" s="268"/>
      <c r="UKQ449" s="268"/>
      <c r="UKR449" s="268"/>
      <c r="UKS449" s="268"/>
      <c r="UKT449" s="268"/>
      <c r="UKU449" s="268"/>
      <c r="UKV449" s="268"/>
      <c r="UKW449" s="268"/>
      <c r="UKX449" s="268"/>
      <c r="UKY449" s="268"/>
      <c r="UKZ449" s="268"/>
      <c r="ULA449" s="268"/>
      <c r="ULB449" s="268"/>
      <c r="ULC449" s="268"/>
      <c r="ULD449" s="268"/>
      <c r="ULE449" s="268"/>
      <c r="ULF449" s="268"/>
      <c r="ULG449" s="268"/>
      <c r="ULH449" s="268"/>
      <c r="ULI449" s="268"/>
      <c r="ULJ449" s="268"/>
      <c r="ULK449" s="268"/>
      <c r="ULL449" s="268"/>
      <c r="ULM449" s="268"/>
      <c r="ULN449" s="268"/>
      <c r="ULO449" s="268"/>
      <c r="ULP449" s="268"/>
      <c r="ULQ449" s="268"/>
      <c r="ULR449" s="268"/>
      <c r="ULS449" s="268"/>
      <c r="ULT449" s="268"/>
      <c r="ULU449" s="268"/>
      <c r="ULV449" s="268"/>
      <c r="ULW449" s="268"/>
      <c r="ULX449" s="268"/>
      <c r="ULY449" s="268"/>
      <c r="ULZ449" s="268"/>
      <c r="UMA449" s="268"/>
      <c r="UMB449" s="268"/>
      <c r="UMC449" s="268"/>
      <c r="UMD449" s="268"/>
      <c r="UME449" s="268"/>
      <c r="UMF449" s="268"/>
      <c r="UMG449" s="268"/>
      <c r="UMH449" s="268"/>
      <c r="UMI449" s="268"/>
      <c r="UMJ449" s="268"/>
      <c r="UMK449" s="268"/>
      <c r="UML449" s="268"/>
      <c r="UMM449" s="268"/>
      <c r="UMN449" s="268"/>
      <c r="UMO449" s="268"/>
      <c r="UMP449" s="268"/>
      <c r="UMQ449" s="268"/>
      <c r="UMR449" s="268"/>
      <c r="UMS449" s="268"/>
      <c r="UMT449" s="268"/>
      <c r="UMU449" s="268"/>
      <c r="UMV449" s="268"/>
      <c r="UMW449" s="268"/>
      <c r="UMX449" s="268"/>
      <c r="UMY449" s="268"/>
      <c r="UMZ449" s="268"/>
      <c r="UNA449" s="268"/>
      <c r="UNB449" s="268"/>
      <c r="UNC449" s="268"/>
      <c r="UND449" s="268"/>
      <c r="UNE449" s="268"/>
      <c r="UNF449" s="268"/>
      <c r="UNG449" s="268"/>
      <c r="UNH449" s="268"/>
      <c r="UNI449" s="268"/>
      <c r="UNJ449" s="268"/>
      <c r="UNK449" s="268"/>
      <c r="UNL449" s="268"/>
      <c r="UNM449" s="268"/>
      <c r="UNN449" s="268"/>
      <c r="UNO449" s="268"/>
      <c r="UNP449" s="268"/>
      <c r="UNQ449" s="268"/>
      <c r="UNR449" s="268"/>
      <c r="UNS449" s="268"/>
      <c r="UNT449" s="268"/>
      <c r="UNU449" s="268"/>
      <c r="UNV449" s="268"/>
      <c r="UNW449" s="268"/>
      <c r="UOK449" s="268"/>
      <c r="UOL449" s="268"/>
      <c r="UOM449" s="268"/>
      <c r="UPA449" s="268"/>
      <c r="UPC449" s="268"/>
      <c r="UPD449" s="268"/>
      <c r="UPE449" s="268"/>
      <c r="UPF449" s="268"/>
      <c r="UPG449" s="268"/>
      <c r="UPH449" s="268"/>
      <c r="UPI449" s="268"/>
      <c r="UPJ449" s="268"/>
      <c r="UPK449" s="268"/>
      <c r="UPL449" s="268"/>
      <c r="UPM449" s="268"/>
      <c r="UPN449" s="268"/>
      <c r="UPO449" s="268"/>
      <c r="UPP449" s="268"/>
      <c r="UPQ449" s="268"/>
      <c r="UPR449" s="268"/>
      <c r="UPS449" s="268"/>
      <c r="UPT449" s="268"/>
      <c r="UPU449" s="268"/>
      <c r="UPV449" s="268"/>
      <c r="UPW449" s="268"/>
      <c r="UPX449" s="268"/>
      <c r="UPY449" s="268"/>
      <c r="UPZ449" s="268"/>
      <c r="UQA449" s="268"/>
      <c r="UQB449" s="268"/>
      <c r="UQC449" s="268"/>
      <c r="UQD449" s="268"/>
      <c r="UQE449" s="268"/>
      <c r="UQF449" s="268"/>
      <c r="UQG449" s="268"/>
      <c r="UQH449" s="268"/>
      <c r="UQI449" s="268"/>
      <c r="UQJ449" s="268"/>
      <c r="UQK449" s="268"/>
      <c r="UQL449" s="268"/>
      <c r="UQM449" s="268"/>
      <c r="UQN449" s="268"/>
      <c r="UQO449" s="268"/>
      <c r="UQP449" s="268"/>
      <c r="UQQ449" s="268"/>
      <c r="UQR449" s="268"/>
      <c r="UQS449" s="268"/>
      <c r="UQT449" s="268"/>
      <c r="UQU449" s="268"/>
      <c r="UQV449" s="268"/>
      <c r="UQW449" s="268"/>
      <c r="UQX449" s="268"/>
      <c r="UQY449" s="268"/>
      <c r="UQZ449" s="268"/>
      <c r="URA449" s="268"/>
      <c r="URB449" s="268"/>
      <c r="URC449" s="268"/>
      <c r="URD449" s="268"/>
      <c r="URE449" s="268"/>
      <c r="URF449" s="268"/>
      <c r="URG449" s="268"/>
      <c r="URH449" s="268"/>
      <c r="URI449" s="268"/>
      <c r="URJ449" s="268"/>
      <c r="URK449" s="268"/>
      <c r="URL449" s="268"/>
      <c r="URM449" s="268"/>
      <c r="URN449" s="268"/>
      <c r="URO449" s="268"/>
      <c r="URP449" s="268"/>
      <c r="URQ449" s="268"/>
      <c r="URR449" s="268"/>
      <c r="URS449" s="268"/>
      <c r="URT449" s="268"/>
      <c r="URU449" s="268"/>
      <c r="URV449" s="268"/>
      <c r="URW449" s="268"/>
      <c r="URX449" s="268"/>
      <c r="URY449" s="268"/>
      <c r="URZ449" s="268"/>
      <c r="USA449" s="268"/>
      <c r="USB449" s="268"/>
      <c r="USC449" s="268"/>
      <c r="USD449" s="268"/>
      <c r="USE449" s="268"/>
      <c r="USF449" s="268"/>
      <c r="USG449" s="268"/>
      <c r="USH449" s="268"/>
      <c r="USI449" s="268"/>
      <c r="USJ449" s="268"/>
      <c r="USK449" s="268"/>
      <c r="USL449" s="268"/>
      <c r="USM449" s="268"/>
      <c r="USN449" s="268"/>
      <c r="USO449" s="268"/>
      <c r="USP449" s="268"/>
      <c r="USQ449" s="268"/>
      <c r="USR449" s="268"/>
      <c r="USS449" s="268"/>
      <c r="UST449" s="268"/>
      <c r="USU449" s="268"/>
      <c r="USV449" s="268"/>
      <c r="USW449" s="268"/>
      <c r="USX449" s="268"/>
      <c r="USY449" s="268"/>
      <c r="USZ449" s="268"/>
      <c r="UTA449" s="268"/>
      <c r="UTB449" s="268"/>
      <c r="UTC449" s="268"/>
      <c r="UTD449" s="268"/>
      <c r="UTE449" s="268"/>
      <c r="UTF449" s="268"/>
      <c r="UTG449" s="268"/>
      <c r="UTH449" s="268"/>
      <c r="UTI449" s="268"/>
      <c r="UTJ449" s="268"/>
      <c r="UTK449" s="268"/>
      <c r="UTL449" s="268"/>
      <c r="UTM449" s="268"/>
      <c r="UTN449" s="268"/>
      <c r="UTO449" s="268"/>
      <c r="UTP449" s="268"/>
      <c r="UTQ449" s="268"/>
      <c r="UTR449" s="268"/>
      <c r="UTS449" s="268"/>
      <c r="UTT449" s="268"/>
      <c r="UTU449" s="268"/>
      <c r="UTV449" s="268"/>
      <c r="UTW449" s="268"/>
      <c r="UTX449" s="268"/>
      <c r="UTY449" s="268"/>
      <c r="UTZ449" s="268"/>
      <c r="UUA449" s="268"/>
      <c r="UUB449" s="268"/>
      <c r="UUC449" s="268"/>
      <c r="UUD449" s="268"/>
      <c r="UUE449" s="268"/>
      <c r="UUF449" s="268"/>
      <c r="UUG449" s="268"/>
      <c r="UUH449" s="268"/>
      <c r="UUI449" s="268"/>
      <c r="UUJ449" s="268"/>
      <c r="UUK449" s="268"/>
      <c r="UUL449" s="268"/>
      <c r="UUM449" s="268"/>
      <c r="UUN449" s="268"/>
      <c r="UUO449" s="268"/>
      <c r="UUP449" s="268"/>
      <c r="UUQ449" s="268"/>
      <c r="UUR449" s="268"/>
      <c r="UUS449" s="268"/>
      <c r="UUT449" s="268"/>
      <c r="UUU449" s="268"/>
      <c r="UUV449" s="268"/>
      <c r="UUW449" s="268"/>
      <c r="UUX449" s="268"/>
      <c r="UUY449" s="268"/>
      <c r="UUZ449" s="268"/>
      <c r="UVA449" s="268"/>
      <c r="UVB449" s="268"/>
      <c r="UVC449" s="268"/>
      <c r="UVD449" s="268"/>
      <c r="UVE449" s="268"/>
      <c r="UVF449" s="268"/>
      <c r="UVG449" s="268"/>
      <c r="UVH449" s="268"/>
      <c r="UVI449" s="268"/>
      <c r="UVJ449" s="268"/>
      <c r="UVK449" s="268"/>
      <c r="UVL449" s="268"/>
      <c r="UVM449" s="268"/>
      <c r="UVN449" s="268"/>
      <c r="UVO449" s="268"/>
      <c r="UVP449" s="268"/>
      <c r="UVQ449" s="268"/>
      <c r="UVR449" s="268"/>
      <c r="UVS449" s="268"/>
      <c r="UVT449" s="268"/>
      <c r="UVU449" s="268"/>
      <c r="UVV449" s="268"/>
      <c r="UVW449" s="268"/>
      <c r="UVX449" s="268"/>
      <c r="UVY449" s="268"/>
      <c r="UVZ449" s="268"/>
      <c r="UWA449" s="268"/>
      <c r="UWB449" s="268"/>
      <c r="UWC449" s="268"/>
      <c r="UWD449" s="268"/>
      <c r="UWE449" s="268"/>
      <c r="UWF449" s="268"/>
      <c r="UWG449" s="268"/>
      <c r="UWH449" s="268"/>
      <c r="UWI449" s="268"/>
      <c r="UWJ449" s="268"/>
      <c r="UWK449" s="268"/>
      <c r="UWL449" s="268"/>
      <c r="UWM449" s="268"/>
      <c r="UWN449" s="268"/>
      <c r="UWO449" s="268"/>
      <c r="UWP449" s="268"/>
      <c r="UWQ449" s="268"/>
      <c r="UWR449" s="268"/>
      <c r="UWS449" s="268"/>
      <c r="UWT449" s="268"/>
      <c r="UWU449" s="268"/>
      <c r="UWV449" s="268"/>
      <c r="UWW449" s="268"/>
      <c r="UWX449" s="268"/>
      <c r="UWY449" s="268"/>
      <c r="UWZ449" s="268"/>
      <c r="UXA449" s="268"/>
      <c r="UXB449" s="268"/>
      <c r="UXC449" s="268"/>
      <c r="UXD449" s="268"/>
      <c r="UXE449" s="268"/>
      <c r="UXF449" s="268"/>
      <c r="UXG449" s="268"/>
      <c r="UXH449" s="268"/>
      <c r="UXI449" s="268"/>
      <c r="UXJ449" s="268"/>
      <c r="UXK449" s="268"/>
      <c r="UXL449" s="268"/>
      <c r="UXM449" s="268"/>
      <c r="UXN449" s="268"/>
      <c r="UXO449" s="268"/>
      <c r="UXP449" s="268"/>
      <c r="UXQ449" s="268"/>
      <c r="UXR449" s="268"/>
      <c r="UXS449" s="268"/>
      <c r="UYG449" s="268"/>
      <c r="UYH449" s="268"/>
      <c r="UYI449" s="268"/>
      <c r="UYW449" s="268"/>
      <c r="UYY449" s="268"/>
      <c r="UYZ449" s="268"/>
      <c r="UZA449" s="268"/>
      <c r="UZB449" s="268"/>
      <c r="UZC449" s="268"/>
      <c r="UZD449" s="268"/>
      <c r="UZE449" s="268"/>
      <c r="UZF449" s="268"/>
      <c r="UZG449" s="268"/>
      <c r="UZH449" s="268"/>
      <c r="UZI449" s="268"/>
      <c r="UZJ449" s="268"/>
      <c r="UZK449" s="268"/>
      <c r="UZL449" s="268"/>
      <c r="UZM449" s="268"/>
      <c r="UZN449" s="268"/>
      <c r="UZO449" s="268"/>
      <c r="UZP449" s="268"/>
      <c r="UZQ449" s="268"/>
      <c r="UZR449" s="268"/>
      <c r="UZS449" s="268"/>
      <c r="UZT449" s="268"/>
      <c r="UZU449" s="268"/>
      <c r="UZV449" s="268"/>
      <c r="UZW449" s="268"/>
      <c r="UZX449" s="268"/>
      <c r="UZY449" s="268"/>
      <c r="UZZ449" s="268"/>
      <c r="VAA449" s="268"/>
      <c r="VAB449" s="268"/>
      <c r="VAC449" s="268"/>
      <c r="VAD449" s="268"/>
      <c r="VAE449" s="268"/>
      <c r="VAF449" s="268"/>
      <c r="VAG449" s="268"/>
      <c r="VAH449" s="268"/>
      <c r="VAI449" s="268"/>
      <c r="VAJ449" s="268"/>
      <c r="VAK449" s="268"/>
      <c r="VAL449" s="268"/>
      <c r="VAM449" s="268"/>
      <c r="VAN449" s="268"/>
      <c r="VAO449" s="268"/>
      <c r="VAP449" s="268"/>
      <c r="VAQ449" s="268"/>
      <c r="VAR449" s="268"/>
      <c r="VAS449" s="268"/>
      <c r="VAT449" s="268"/>
      <c r="VAU449" s="268"/>
      <c r="VAV449" s="268"/>
      <c r="VAW449" s="268"/>
      <c r="VAX449" s="268"/>
      <c r="VAY449" s="268"/>
      <c r="VAZ449" s="268"/>
      <c r="VBA449" s="268"/>
      <c r="VBB449" s="268"/>
      <c r="VBC449" s="268"/>
      <c r="VBD449" s="268"/>
      <c r="VBE449" s="268"/>
      <c r="VBF449" s="268"/>
      <c r="VBG449" s="268"/>
      <c r="VBH449" s="268"/>
      <c r="VBI449" s="268"/>
      <c r="VBJ449" s="268"/>
      <c r="VBK449" s="268"/>
      <c r="VBL449" s="268"/>
      <c r="VBM449" s="268"/>
      <c r="VBN449" s="268"/>
      <c r="VBO449" s="268"/>
      <c r="VBP449" s="268"/>
      <c r="VBQ449" s="268"/>
      <c r="VBR449" s="268"/>
      <c r="VBS449" s="268"/>
      <c r="VBT449" s="268"/>
      <c r="VBU449" s="268"/>
      <c r="VBV449" s="268"/>
      <c r="VBW449" s="268"/>
      <c r="VBX449" s="268"/>
      <c r="VBY449" s="268"/>
      <c r="VBZ449" s="268"/>
      <c r="VCA449" s="268"/>
      <c r="VCB449" s="268"/>
      <c r="VCC449" s="268"/>
      <c r="VCD449" s="268"/>
      <c r="VCE449" s="268"/>
      <c r="VCF449" s="268"/>
      <c r="VCG449" s="268"/>
      <c r="VCH449" s="268"/>
      <c r="VCI449" s="268"/>
      <c r="VCJ449" s="268"/>
      <c r="VCK449" s="268"/>
      <c r="VCL449" s="268"/>
      <c r="VCM449" s="268"/>
      <c r="VCN449" s="268"/>
      <c r="VCO449" s="268"/>
      <c r="VCP449" s="268"/>
      <c r="VCQ449" s="268"/>
      <c r="VCR449" s="268"/>
      <c r="VCS449" s="268"/>
      <c r="VCT449" s="268"/>
      <c r="VCU449" s="268"/>
      <c r="VCV449" s="268"/>
      <c r="VCW449" s="268"/>
      <c r="VCX449" s="268"/>
      <c r="VCY449" s="268"/>
      <c r="VCZ449" s="268"/>
      <c r="VDA449" s="268"/>
      <c r="VDB449" s="268"/>
      <c r="VDC449" s="268"/>
      <c r="VDD449" s="268"/>
      <c r="VDE449" s="268"/>
      <c r="VDF449" s="268"/>
      <c r="VDG449" s="268"/>
      <c r="VDH449" s="268"/>
      <c r="VDI449" s="268"/>
      <c r="VDJ449" s="268"/>
      <c r="VDK449" s="268"/>
      <c r="VDL449" s="268"/>
      <c r="VDM449" s="268"/>
      <c r="VDN449" s="268"/>
      <c r="VDO449" s="268"/>
      <c r="VDP449" s="268"/>
      <c r="VDQ449" s="268"/>
      <c r="VDR449" s="268"/>
      <c r="VDS449" s="268"/>
      <c r="VDT449" s="268"/>
      <c r="VDU449" s="268"/>
      <c r="VDV449" s="268"/>
      <c r="VDW449" s="268"/>
      <c r="VDX449" s="268"/>
      <c r="VDY449" s="268"/>
      <c r="VDZ449" s="268"/>
      <c r="VEA449" s="268"/>
      <c r="VEB449" s="268"/>
      <c r="VEC449" s="268"/>
      <c r="VED449" s="268"/>
      <c r="VEE449" s="268"/>
      <c r="VEF449" s="268"/>
      <c r="VEG449" s="268"/>
      <c r="VEH449" s="268"/>
      <c r="VEI449" s="268"/>
      <c r="VEJ449" s="268"/>
      <c r="VEK449" s="268"/>
      <c r="VEL449" s="268"/>
      <c r="VEM449" s="268"/>
      <c r="VEN449" s="268"/>
      <c r="VEO449" s="268"/>
      <c r="VEP449" s="268"/>
      <c r="VEQ449" s="268"/>
      <c r="VER449" s="268"/>
      <c r="VES449" s="268"/>
      <c r="VET449" s="268"/>
      <c r="VEU449" s="268"/>
      <c r="VEV449" s="268"/>
      <c r="VEW449" s="268"/>
      <c r="VEX449" s="268"/>
      <c r="VEY449" s="268"/>
      <c r="VEZ449" s="268"/>
      <c r="VFA449" s="268"/>
      <c r="VFB449" s="268"/>
      <c r="VFC449" s="268"/>
      <c r="VFD449" s="268"/>
      <c r="VFE449" s="268"/>
      <c r="VFF449" s="268"/>
      <c r="VFG449" s="268"/>
      <c r="VFH449" s="268"/>
      <c r="VFI449" s="268"/>
      <c r="VFJ449" s="268"/>
      <c r="VFK449" s="268"/>
      <c r="VFL449" s="268"/>
      <c r="VFM449" s="268"/>
      <c r="VFN449" s="268"/>
      <c r="VFO449" s="268"/>
      <c r="VFP449" s="268"/>
      <c r="VFQ449" s="268"/>
      <c r="VFR449" s="268"/>
      <c r="VFS449" s="268"/>
      <c r="VFT449" s="268"/>
      <c r="VFU449" s="268"/>
      <c r="VFV449" s="268"/>
      <c r="VFW449" s="268"/>
      <c r="VFX449" s="268"/>
      <c r="VFY449" s="268"/>
      <c r="VFZ449" s="268"/>
      <c r="VGA449" s="268"/>
      <c r="VGB449" s="268"/>
      <c r="VGC449" s="268"/>
      <c r="VGD449" s="268"/>
      <c r="VGE449" s="268"/>
      <c r="VGF449" s="268"/>
      <c r="VGG449" s="268"/>
      <c r="VGH449" s="268"/>
      <c r="VGI449" s="268"/>
      <c r="VGJ449" s="268"/>
      <c r="VGK449" s="268"/>
      <c r="VGL449" s="268"/>
      <c r="VGM449" s="268"/>
      <c r="VGN449" s="268"/>
      <c r="VGO449" s="268"/>
      <c r="VGP449" s="268"/>
      <c r="VGQ449" s="268"/>
      <c r="VGR449" s="268"/>
      <c r="VGS449" s="268"/>
      <c r="VGT449" s="268"/>
      <c r="VGU449" s="268"/>
      <c r="VGV449" s="268"/>
      <c r="VGW449" s="268"/>
      <c r="VGX449" s="268"/>
      <c r="VGY449" s="268"/>
      <c r="VGZ449" s="268"/>
      <c r="VHA449" s="268"/>
      <c r="VHB449" s="268"/>
      <c r="VHC449" s="268"/>
      <c r="VHD449" s="268"/>
      <c r="VHE449" s="268"/>
      <c r="VHF449" s="268"/>
      <c r="VHG449" s="268"/>
      <c r="VHH449" s="268"/>
      <c r="VHI449" s="268"/>
      <c r="VHJ449" s="268"/>
      <c r="VHK449" s="268"/>
      <c r="VHL449" s="268"/>
      <c r="VHM449" s="268"/>
      <c r="VHN449" s="268"/>
      <c r="VHO449" s="268"/>
      <c r="VIC449" s="268"/>
      <c r="VID449" s="268"/>
      <c r="VIE449" s="268"/>
      <c r="VIS449" s="268"/>
      <c r="VIU449" s="268"/>
      <c r="VIV449" s="268"/>
      <c r="VIW449" s="268"/>
      <c r="VIX449" s="268"/>
      <c r="VIY449" s="268"/>
      <c r="VIZ449" s="268"/>
      <c r="VJA449" s="268"/>
      <c r="VJB449" s="268"/>
      <c r="VJC449" s="268"/>
      <c r="VJD449" s="268"/>
      <c r="VJE449" s="268"/>
      <c r="VJF449" s="268"/>
      <c r="VJG449" s="268"/>
      <c r="VJH449" s="268"/>
      <c r="VJI449" s="268"/>
      <c r="VJJ449" s="268"/>
      <c r="VJK449" s="268"/>
      <c r="VJL449" s="268"/>
      <c r="VJM449" s="268"/>
      <c r="VJN449" s="268"/>
      <c r="VJO449" s="268"/>
      <c r="VJP449" s="268"/>
      <c r="VJQ449" s="268"/>
      <c r="VJR449" s="268"/>
      <c r="VJS449" s="268"/>
      <c r="VJT449" s="268"/>
      <c r="VJU449" s="268"/>
      <c r="VJV449" s="268"/>
      <c r="VJW449" s="268"/>
      <c r="VJX449" s="268"/>
      <c r="VJY449" s="268"/>
      <c r="VJZ449" s="268"/>
      <c r="VKA449" s="268"/>
      <c r="VKB449" s="268"/>
      <c r="VKC449" s="268"/>
      <c r="VKD449" s="268"/>
      <c r="VKE449" s="268"/>
      <c r="VKF449" s="268"/>
      <c r="VKG449" s="268"/>
      <c r="VKH449" s="268"/>
      <c r="VKI449" s="268"/>
      <c r="VKJ449" s="268"/>
      <c r="VKK449" s="268"/>
      <c r="VKL449" s="268"/>
      <c r="VKM449" s="268"/>
      <c r="VKN449" s="268"/>
      <c r="VKO449" s="268"/>
      <c r="VKP449" s="268"/>
      <c r="VKQ449" s="268"/>
      <c r="VKR449" s="268"/>
      <c r="VKS449" s="268"/>
      <c r="VKT449" s="268"/>
      <c r="VKU449" s="268"/>
      <c r="VKV449" s="268"/>
      <c r="VKW449" s="268"/>
      <c r="VKX449" s="268"/>
      <c r="VKY449" s="268"/>
      <c r="VKZ449" s="268"/>
      <c r="VLA449" s="268"/>
      <c r="VLB449" s="268"/>
      <c r="VLC449" s="268"/>
      <c r="VLD449" s="268"/>
      <c r="VLE449" s="268"/>
      <c r="VLF449" s="268"/>
      <c r="VLG449" s="268"/>
      <c r="VLH449" s="268"/>
      <c r="VLI449" s="268"/>
      <c r="VLJ449" s="268"/>
      <c r="VLK449" s="268"/>
      <c r="VLL449" s="268"/>
      <c r="VLM449" s="268"/>
      <c r="VLN449" s="268"/>
      <c r="VLO449" s="268"/>
      <c r="VLP449" s="268"/>
      <c r="VLQ449" s="268"/>
      <c r="VLR449" s="268"/>
      <c r="VLS449" s="268"/>
      <c r="VLT449" s="268"/>
      <c r="VLU449" s="268"/>
      <c r="VLV449" s="268"/>
      <c r="VLW449" s="268"/>
      <c r="VLX449" s="268"/>
      <c r="VLY449" s="268"/>
      <c r="VLZ449" s="268"/>
      <c r="VMA449" s="268"/>
      <c r="VMB449" s="268"/>
      <c r="VMC449" s="268"/>
      <c r="VMD449" s="268"/>
      <c r="VME449" s="268"/>
      <c r="VMF449" s="268"/>
      <c r="VMG449" s="268"/>
      <c r="VMH449" s="268"/>
      <c r="VMI449" s="268"/>
      <c r="VMJ449" s="268"/>
      <c r="VMK449" s="268"/>
      <c r="VML449" s="268"/>
      <c r="VMM449" s="268"/>
      <c r="VMN449" s="268"/>
      <c r="VMO449" s="268"/>
      <c r="VMP449" s="268"/>
      <c r="VMQ449" s="268"/>
      <c r="VMR449" s="268"/>
      <c r="VMS449" s="268"/>
      <c r="VMT449" s="268"/>
      <c r="VMU449" s="268"/>
      <c r="VMV449" s="268"/>
      <c r="VMW449" s="268"/>
      <c r="VMX449" s="268"/>
      <c r="VMY449" s="268"/>
      <c r="VMZ449" s="268"/>
      <c r="VNA449" s="268"/>
      <c r="VNB449" s="268"/>
      <c r="VNC449" s="268"/>
      <c r="VND449" s="268"/>
      <c r="VNE449" s="268"/>
      <c r="VNF449" s="268"/>
      <c r="VNG449" s="268"/>
      <c r="VNH449" s="268"/>
      <c r="VNI449" s="268"/>
      <c r="VNJ449" s="268"/>
      <c r="VNK449" s="268"/>
      <c r="VNL449" s="268"/>
      <c r="VNM449" s="268"/>
      <c r="VNN449" s="268"/>
      <c r="VNO449" s="268"/>
      <c r="VNP449" s="268"/>
      <c r="VNQ449" s="268"/>
      <c r="VNR449" s="268"/>
      <c r="VNS449" s="268"/>
      <c r="VNT449" s="268"/>
      <c r="VNU449" s="268"/>
      <c r="VNV449" s="268"/>
      <c r="VNW449" s="268"/>
      <c r="VNX449" s="268"/>
      <c r="VNY449" s="268"/>
      <c r="VNZ449" s="268"/>
      <c r="VOA449" s="268"/>
      <c r="VOB449" s="268"/>
      <c r="VOC449" s="268"/>
      <c r="VOD449" s="268"/>
      <c r="VOE449" s="268"/>
      <c r="VOF449" s="268"/>
      <c r="VOG449" s="268"/>
      <c r="VOH449" s="268"/>
      <c r="VOI449" s="268"/>
      <c r="VOJ449" s="268"/>
      <c r="VOK449" s="268"/>
      <c r="VOL449" s="268"/>
      <c r="VOM449" s="268"/>
      <c r="VON449" s="268"/>
      <c r="VOO449" s="268"/>
      <c r="VOP449" s="268"/>
      <c r="VOQ449" s="268"/>
      <c r="VOR449" s="268"/>
      <c r="VOS449" s="268"/>
      <c r="VOT449" s="268"/>
      <c r="VOU449" s="268"/>
      <c r="VOV449" s="268"/>
      <c r="VOW449" s="268"/>
      <c r="VOX449" s="268"/>
      <c r="VOY449" s="268"/>
      <c r="VOZ449" s="268"/>
      <c r="VPA449" s="268"/>
      <c r="VPB449" s="268"/>
      <c r="VPC449" s="268"/>
      <c r="VPD449" s="268"/>
      <c r="VPE449" s="268"/>
      <c r="VPF449" s="268"/>
      <c r="VPG449" s="268"/>
      <c r="VPH449" s="268"/>
      <c r="VPI449" s="268"/>
      <c r="VPJ449" s="268"/>
      <c r="VPK449" s="268"/>
      <c r="VPL449" s="268"/>
      <c r="VPM449" s="268"/>
      <c r="VPN449" s="268"/>
      <c r="VPO449" s="268"/>
      <c r="VPP449" s="268"/>
      <c r="VPQ449" s="268"/>
      <c r="VPR449" s="268"/>
      <c r="VPS449" s="268"/>
      <c r="VPT449" s="268"/>
      <c r="VPU449" s="268"/>
      <c r="VPV449" s="268"/>
      <c r="VPW449" s="268"/>
      <c r="VPX449" s="268"/>
      <c r="VPY449" s="268"/>
      <c r="VPZ449" s="268"/>
      <c r="VQA449" s="268"/>
      <c r="VQB449" s="268"/>
      <c r="VQC449" s="268"/>
      <c r="VQD449" s="268"/>
      <c r="VQE449" s="268"/>
      <c r="VQF449" s="268"/>
      <c r="VQG449" s="268"/>
      <c r="VQH449" s="268"/>
      <c r="VQI449" s="268"/>
      <c r="VQJ449" s="268"/>
      <c r="VQK449" s="268"/>
      <c r="VQL449" s="268"/>
      <c r="VQM449" s="268"/>
      <c r="VQN449" s="268"/>
      <c r="VQO449" s="268"/>
      <c r="VQP449" s="268"/>
      <c r="VQQ449" s="268"/>
      <c r="VQR449" s="268"/>
      <c r="VQS449" s="268"/>
      <c r="VQT449" s="268"/>
      <c r="VQU449" s="268"/>
      <c r="VQV449" s="268"/>
      <c r="VQW449" s="268"/>
      <c r="VQX449" s="268"/>
      <c r="VQY449" s="268"/>
      <c r="VQZ449" s="268"/>
      <c r="VRA449" s="268"/>
      <c r="VRB449" s="268"/>
      <c r="VRC449" s="268"/>
      <c r="VRD449" s="268"/>
      <c r="VRE449" s="268"/>
      <c r="VRF449" s="268"/>
      <c r="VRG449" s="268"/>
      <c r="VRH449" s="268"/>
      <c r="VRI449" s="268"/>
      <c r="VRJ449" s="268"/>
      <c r="VRK449" s="268"/>
      <c r="VRY449" s="268"/>
      <c r="VRZ449" s="268"/>
      <c r="VSA449" s="268"/>
      <c r="VSO449" s="268"/>
      <c r="VSQ449" s="268"/>
      <c r="VSR449" s="268"/>
      <c r="VSS449" s="268"/>
      <c r="VST449" s="268"/>
      <c r="VSU449" s="268"/>
      <c r="VSV449" s="268"/>
      <c r="VSW449" s="268"/>
      <c r="VSX449" s="268"/>
      <c r="VSY449" s="268"/>
      <c r="VSZ449" s="268"/>
      <c r="VTA449" s="268"/>
      <c r="VTB449" s="268"/>
      <c r="VTC449" s="268"/>
      <c r="VTD449" s="268"/>
      <c r="VTE449" s="268"/>
      <c r="VTF449" s="268"/>
      <c r="VTG449" s="268"/>
      <c r="VTH449" s="268"/>
      <c r="VTI449" s="268"/>
      <c r="VTJ449" s="268"/>
      <c r="VTK449" s="268"/>
      <c r="VTL449" s="268"/>
      <c r="VTM449" s="268"/>
      <c r="VTN449" s="268"/>
      <c r="VTO449" s="268"/>
      <c r="VTP449" s="268"/>
      <c r="VTQ449" s="268"/>
      <c r="VTR449" s="268"/>
      <c r="VTS449" s="268"/>
      <c r="VTT449" s="268"/>
      <c r="VTU449" s="268"/>
      <c r="VTV449" s="268"/>
      <c r="VTW449" s="268"/>
      <c r="VTX449" s="268"/>
      <c r="VTY449" s="268"/>
      <c r="VTZ449" s="268"/>
      <c r="VUA449" s="268"/>
      <c r="VUB449" s="268"/>
      <c r="VUC449" s="268"/>
      <c r="VUD449" s="268"/>
      <c r="VUE449" s="268"/>
      <c r="VUF449" s="268"/>
      <c r="VUG449" s="268"/>
      <c r="VUH449" s="268"/>
      <c r="VUI449" s="268"/>
      <c r="VUJ449" s="268"/>
      <c r="VUK449" s="268"/>
      <c r="VUL449" s="268"/>
      <c r="VUM449" s="268"/>
      <c r="VUN449" s="268"/>
      <c r="VUO449" s="268"/>
      <c r="VUP449" s="268"/>
      <c r="VUQ449" s="268"/>
      <c r="VUR449" s="268"/>
      <c r="VUS449" s="268"/>
      <c r="VUT449" s="268"/>
      <c r="VUU449" s="268"/>
      <c r="VUV449" s="268"/>
      <c r="VUW449" s="268"/>
      <c r="VUX449" s="268"/>
      <c r="VUY449" s="268"/>
      <c r="VUZ449" s="268"/>
      <c r="VVA449" s="268"/>
      <c r="VVB449" s="268"/>
      <c r="VVC449" s="268"/>
      <c r="VVD449" s="268"/>
      <c r="VVE449" s="268"/>
      <c r="VVF449" s="268"/>
      <c r="VVG449" s="268"/>
      <c r="VVH449" s="268"/>
      <c r="VVI449" s="268"/>
      <c r="VVJ449" s="268"/>
      <c r="VVK449" s="268"/>
      <c r="VVL449" s="268"/>
      <c r="VVM449" s="268"/>
      <c r="VVN449" s="268"/>
      <c r="VVO449" s="268"/>
      <c r="VVP449" s="268"/>
      <c r="VVQ449" s="268"/>
      <c r="VVR449" s="268"/>
      <c r="VVS449" s="268"/>
      <c r="VVT449" s="268"/>
      <c r="VVU449" s="268"/>
      <c r="VVV449" s="268"/>
      <c r="VVW449" s="268"/>
      <c r="VVX449" s="268"/>
      <c r="VVY449" s="268"/>
      <c r="VVZ449" s="268"/>
      <c r="VWA449" s="268"/>
      <c r="VWB449" s="268"/>
      <c r="VWC449" s="268"/>
      <c r="VWD449" s="268"/>
      <c r="VWE449" s="268"/>
      <c r="VWF449" s="268"/>
      <c r="VWG449" s="268"/>
      <c r="VWH449" s="268"/>
      <c r="VWI449" s="268"/>
      <c r="VWJ449" s="268"/>
      <c r="VWK449" s="268"/>
      <c r="VWL449" s="268"/>
      <c r="VWM449" s="268"/>
      <c r="VWN449" s="268"/>
      <c r="VWO449" s="268"/>
      <c r="VWP449" s="268"/>
      <c r="VWQ449" s="268"/>
      <c r="VWR449" s="268"/>
      <c r="VWS449" s="268"/>
      <c r="VWT449" s="268"/>
      <c r="VWU449" s="268"/>
      <c r="VWV449" s="268"/>
      <c r="VWW449" s="268"/>
      <c r="VWX449" s="268"/>
      <c r="VWY449" s="268"/>
      <c r="VWZ449" s="268"/>
      <c r="VXA449" s="268"/>
      <c r="VXB449" s="268"/>
      <c r="VXC449" s="268"/>
      <c r="VXD449" s="268"/>
      <c r="VXE449" s="268"/>
      <c r="VXF449" s="268"/>
      <c r="VXG449" s="268"/>
      <c r="VXH449" s="268"/>
      <c r="VXI449" s="268"/>
      <c r="VXJ449" s="268"/>
      <c r="VXK449" s="268"/>
      <c r="VXL449" s="268"/>
      <c r="VXM449" s="268"/>
      <c r="VXN449" s="268"/>
      <c r="VXO449" s="268"/>
      <c r="VXP449" s="268"/>
      <c r="VXQ449" s="268"/>
      <c r="VXR449" s="268"/>
      <c r="VXS449" s="268"/>
      <c r="VXT449" s="268"/>
      <c r="VXU449" s="268"/>
      <c r="VXV449" s="268"/>
      <c r="VXW449" s="268"/>
      <c r="VXX449" s="268"/>
      <c r="VXY449" s="268"/>
      <c r="VXZ449" s="268"/>
      <c r="VYA449" s="268"/>
      <c r="VYB449" s="268"/>
      <c r="VYC449" s="268"/>
      <c r="VYD449" s="268"/>
      <c r="VYE449" s="268"/>
      <c r="VYF449" s="268"/>
      <c r="VYG449" s="268"/>
      <c r="VYH449" s="268"/>
      <c r="VYI449" s="268"/>
      <c r="VYJ449" s="268"/>
      <c r="VYK449" s="268"/>
      <c r="VYL449" s="268"/>
      <c r="VYM449" s="268"/>
      <c r="VYN449" s="268"/>
      <c r="VYO449" s="268"/>
      <c r="VYP449" s="268"/>
      <c r="VYQ449" s="268"/>
      <c r="VYR449" s="268"/>
      <c r="VYS449" s="268"/>
      <c r="VYT449" s="268"/>
      <c r="VYU449" s="268"/>
      <c r="VYV449" s="268"/>
      <c r="VYW449" s="268"/>
      <c r="VYX449" s="268"/>
      <c r="VYY449" s="268"/>
      <c r="VYZ449" s="268"/>
      <c r="VZA449" s="268"/>
      <c r="VZB449" s="268"/>
      <c r="VZC449" s="268"/>
      <c r="VZD449" s="268"/>
      <c r="VZE449" s="268"/>
      <c r="VZF449" s="268"/>
      <c r="VZG449" s="268"/>
      <c r="VZH449" s="268"/>
      <c r="VZI449" s="268"/>
      <c r="VZJ449" s="268"/>
      <c r="VZK449" s="268"/>
      <c r="VZL449" s="268"/>
      <c r="VZM449" s="268"/>
      <c r="VZN449" s="268"/>
      <c r="VZO449" s="268"/>
      <c r="VZP449" s="268"/>
      <c r="VZQ449" s="268"/>
      <c r="VZR449" s="268"/>
      <c r="VZS449" s="268"/>
      <c r="VZT449" s="268"/>
      <c r="VZU449" s="268"/>
      <c r="VZV449" s="268"/>
      <c r="VZW449" s="268"/>
      <c r="VZX449" s="268"/>
      <c r="VZY449" s="268"/>
      <c r="VZZ449" s="268"/>
      <c r="WAA449" s="268"/>
      <c r="WAB449" s="268"/>
      <c r="WAC449" s="268"/>
      <c r="WAD449" s="268"/>
      <c r="WAE449" s="268"/>
      <c r="WAF449" s="268"/>
      <c r="WAG449" s="268"/>
      <c r="WAH449" s="268"/>
      <c r="WAI449" s="268"/>
      <c r="WAJ449" s="268"/>
      <c r="WAK449" s="268"/>
      <c r="WAL449" s="268"/>
      <c r="WAM449" s="268"/>
      <c r="WAN449" s="268"/>
      <c r="WAO449" s="268"/>
      <c r="WAP449" s="268"/>
      <c r="WAQ449" s="268"/>
      <c r="WAR449" s="268"/>
      <c r="WAS449" s="268"/>
      <c r="WAT449" s="268"/>
      <c r="WAU449" s="268"/>
      <c r="WAV449" s="268"/>
      <c r="WAW449" s="268"/>
      <c r="WAX449" s="268"/>
      <c r="WAY449" s="268"/>
      <c r="WAZ449" s="268"/>
      <c r="WBA449" s="268"/>
      <c r="WBB449" s="268"/>
      <c r="WBC449" s="268"/>
      <c r="WBD449" s="268"/>
      <c r="WBE449" s="268"/>
      <c r="WBF449" s="268"/>
      <c r="WBG449" s="268"/>
      <c r="WBU449" s="268"/>
      <c r="WBV449" s="268"/>
      <c r="WBW449" s="268"/>
      <c r="WCK449" s="268"/>
      <c r="WCM449" s="268"/>
      <c r="WCN449" s="268"/>
      <c r="WCO449" s="268"/>
      <c r="WCP449" s="268"/>
      <c r="WCQ449" s="268"/>
      <c r="WCR449" s="268"/>
      <c r="WCS449" s="268"/>
      <c r="WCT449" s="268"/>
      <c r="WCU449" s="268"/>
      <c r="WCV449" s="268"/>
      <c r="WCW449" s="268"/>
      <c r="WCX449" s="268"/>
      <c r="WCY449" s="268"/>
      <c r="WCZ449" s="268"/>
      <c r="WDA449" s="268"/>
      <c r="WDB449" s="268"/>
      <c r="WDC449" s="268"/>
      <c r="WDD449" s="268"/>
      <c r="WDE449" s="268"/>
      <c r="WDF449" s="268"/>
      <c r="WDG449" s="268"/>
      <c r="WDH449" s="268"/>
      <c r="WDI449" s="268"/>
      <c r="WDJ449" s="268"/>
      <c r="WDK449" s="268"/>
      <c r="WDL449" s="268"/>
      <c r="WDM449" s="268"/>
      <c r="WDN449" s="268"/>
      <c r="WDO449" s="268"/>
      <c r="WDP449" s="268"/>
      <c r="WDQ449" s="268"/>
      <c r="WDR449" s="268"/>
      <c r="WDS449" s="268"/>
      <c r="WDT449" s="268"/>
      <c r="WDU449" s="268"/>
      <c r="WDV449" s="268"/>
      <c r="WDW449" s="268"/>
      <c r="WDX449" s="268"/>
      <c r="WDY449" s="268"/>
      <c r="WDZ449" s="268"/>
      <c r="WEA449" s="268"/>
      <c r="WEB449" s="268"/>
      <c r="WEC449" s="268"/>
      <c r="WED449" s="268"/>
      <c r="WEE449" s="268"/>
      <c r="WEF449" s="268"/>
      <c r="WEG449" s="268"/>
      <c r="WEH449" s="268"/>
      <c r="WEI449" s="268"/>
      <c r="WEJ449" s="268"/>
      <c r="WEK449" s="268"/>
      <c r="WEL449" s="268"/>
      <c r="WEM449" s="268"/>
      <c r="WEN449" s="268"/>
      <c r="WEO449" s="268"/>
      <c r="WEP449" s="268"/>
      <c r="WEQ449" s="268"/>
      <c r="WER449" s="268"/>
      <c r="WES449" s="268"/>
      <c r="WET449" s="268"/>
      <c r="WEU449" s="268"/>
      <c r="WEV449" s="268"/>
      <c r="WEW449" s="268"/>
      <c r="WEX449" s="268"/>
      <c r="WEY449" s="268"/>
      <c r="WEZ449" s="268"/>
      <c r="WFA449" s="268"/>
      <c r="WFB449" s="268"/>
      <c r="WFC449" s="268"/>
      <c r="WFD449" s="268"/>
      <c r="WFE449" s="268"/>
      <c r="WFF449" s="268"/>
      <c r="WFG449" s="268"/>
      <c r="WFH449" s="268"/>
      <c r="WFI449" s="268"/>
      <c r="WFJ449" s="268"/>
      <c r="WFK449" s="268"/>
      <c r="WFL449" s="268"/>
      <c r="WFM449" s="268"/>
      <c r="WFN449" s="268"/>
      <c r="WFO449" s="268"/>
      <c r="WFP449" s="268"/>
      <c r="WFQ449" s="268"/>
      <c r="WFR449" s="268"/>
      <c r="WFS449" s="268"/>
      <c r="WFT449" s="268"/>
      <c r="WFU449" s="268"/>
      <c r="WFV449" s="268"/>
      <c r="WFW449" s="268"/>
      <c r="WFX449" s="268"/>
      <c r="WFY449" s="268"/>
      <c r="WFZ449" s="268"/>
      <c r="WGA449" s="268"/>
      <c r="WGB449" s="268"/>
      <c r="WGC449" s="268"/>
      <c r="WGD449" s="268"/>
      <c r="WGE449" s="268"/>
      <c r="WGF449" s="268"/>
      <c r="WGG449" s="268"/>
      <c r="WGH449" s="268"/>
      <c r="WGI449" s="268"/>
      <c r="WGJ449" s="268"/>
      <c r="WGK449" s="268"/>
      <c r="WGL449" s="268"/>
      <c r="WGM449" s="268"/>
      <c r="WGN449" s="268"/>
      <c r="WGO449" s="268"/>
      <c r="WGP449" s="268"/>
      <c r="WGQ449" s="268"/>
      <c r="WGR449" s="268"/>
      <c r="WGS449" s="268"/>
      <c r="WGT449" s="268"/>
      <c r="WGU449" s="268"/>
      <c r="WGV449" s="268"/>
      <c r="WGW449" s="268"/>
      <c r="WGX449" s="268"/>
      <c r="WGY449" s="268"/>
      <c r="WGZ449" s="268"/>
      <c r="WHA449" s="268"/>
      <c r="WHB449" s="268"/>
      <c r="WHC449" s="268"/>
      <c r="WHD449" s="268"/>
      <c r="WHE449" s="268"/>
      <c r="WHF449" s="268"/>
      <c r="WHG449" s="268"/>
      <c r="WHH449" s="268"/>
      <c r="WHI449" s="268"/>
      <c r="WHJ449" s="268"/>
      <c r="WHK449" s="268"/>
      <c r="WHL449" s="268"/>
      <c r="WHM449" s="268"/>
      <c r="WHN449" s="268"/>
      <c r="WHO449" s="268"/>
      <c r="WHP449" s="268"/>
      <c r="WHQ449" s="268"/>
      <c r="WHR449" s="268"/>
      <c r="WHS449" s="268"/>
      <c r="WHT449" s="268"/>
      <c r="WHU449" s="268"/>
      <c r="WHV449" s="268"/>
      <c r="WHW449" s="268"/>
      <c r="WHX449" s="268"/>
      <c r="WHY449" s="268"/>
      <c r="WHZ449" s="268"/>
      <c r="WIA449" s="268"/>
      <c r="WIB449" s="268"/>
      <c r="WIC449" s="268"/>
      <c r="WID449" s="268"/>
      <c r="WIE449" s="268"/>
      <c r="WIF449" s="268"/>
      <c r="WIG449" s="268"/>
      <c r="WIH449" s="268"/>
      <c r="WII449" s="268"/>
      <c r="WIJ449" s="268"/>
      <c r="WIK449" s="268"/>
      <c r="WIL449" s="268"/>
      <c r="WIM449" s="268"/>
      <c r="WIN449" s="268"/>
      <c r="WIO449" s="268"/>
      <c r="WIP449" s="268"/>
      <c r="WIQ449" s="268"/>
      <c r="WIR449" s="268"/>
      <c r="WIS449" s="268"/>
      <c r="WIT449" s="268"/>
      <c r="WIU449" s="268"/>
      <c r="WIV449" s="268"/>
      <c r="WIW449" s="268"/>
      <c r="WIX449" s="268"/>
      <c r="WIY449" s="268"/>
      <c r="WIZ449" s="268"/>
      <c r="WJA449" s="268"/>
      <c r="WJB449" s="268"/>
      <c r="WJC449" s="268"/>
      <c r="WJD449" s="268"/>
      <c r="WJE449" s="268"/>
      <c r="WJF449" s="268"/>
      <c r="WJG449" s="268"/>
      <c r="WJH449" s="268"/>
      <c r="WJI449" s="268"/>
      <c r="WJJ449" s="268"/>
      <c r="WJK449" s="268"/>
      <c r="WJL449" s="268"/>
      <c r="WJM449" s="268"/>
      <c r="WJN449" s="268"/>
      <c r="WJO449" s="268"/>
      <c r="WJP449" s="268"/>
      <c r="WJQ449" s="268"/>
      <c r="WJR449" s="268"/>
      <c r="WJS449" s="268"/>
      <c r="WJT449" s="268"/>
      <c r="WJU449" s="268"/>
      <c r="WJV449" s="268"/>
      <c r="WJW449" s="268"/>
      <c r="WJX449" s="268"/>
      <c r="WJY449" s="268"/>
      <c r="WJZ449" s="268"/>
      <c r="WKA449" s="268"/>
      <c r="WKB449" s="268"/>
      <c r="WKC449" s="268"/>
      <c r="WKD449" s="268"/>
      <c r="WKE449" s="268"/>
      <c r="WKF449" s="268"/>
      <c r="WKG449" s="268"/>
      <c r="WKH449" s="268"/>
      <c r="WKI449" s="268"/>
      <c r="WKJ449" s="268"/>
      <c r="WKK449" s="268"/>
      <c r="WKL449" s="268"/>
      <c r="WKM449" s="268"/>
      <c r="WKN449" s="268"/>
      <c r="WKO449" s="268"/>
      <c r="WKP449" s="268"/>
      <c r="WKQ449" s="268"/>
      <c r="WKR449" s="268"/>
      <c r="WKS449" s="268"/>
      <c r="WKT449" s="268"/>
      <c r="WKU449" s="268"/>
      <c r="WKV449" s="268"/>
      <c r="WKW449" s="268"/>
      <c r="WKX449" s="268"/>
      <c r="WKY449" s="268"/>
      <c r="WKZ449" s="268"/>
      <c r="WLA449" s="268"/>
      <c r="WLB449" s="268"/>
      <c r="WLC449" s="268"/>
      <c r="WLQ449" s="268"/>
      <c r="WLR449" s="268"/>
      <c r="WLS449" s="268"/>
      <c r="WMG449" s="268"/>
      <c r="WMI449" s="268"/>
      <c r="WMJ449" s="268"/>
      <c r="WMK449" s="268"/>
      <c r="WML449" s="268"/>
      <c r="WMM449" s="268"/>
      <c r="WMN449" s="268"/>
      <c r="WMO449" s="268"/>
      <c r="WMP449" s="268"/>
      <c r="WMQ449" s="268"/>
      <c r="WMR449" s="268"/>
      <c r="WMS449" s="268"/>
      <c r="WMT449" s="268"/>
      <c r="WMU449" s="268"/>
      <c r="WMV449" s="268"/>
      <c r="WMW449" s="268"/>
      <c r="WMX449" s="268"/>
      <c r="WMY449" s="268"/>
      <c r="WMZ449" s="268"/>
      <c r="WNA449" s="268"/>
      <c r="WNB449" s="268"/>
      <c r="WNC449" s="268"/>
      <c r="WND449" s="268"/>
      <c r="WNE449" s="268"/>
      <c r="WNF449" s="268"/>
      <c r="WNG449" s="268"/>
      <c r="WNH449" s="268"/>
      <c r="WNI449" s="268"/>
      <c r="WNJ449" s="268"/>
      <c r="WNK449" s="268"/>
      <c r="WNL449" s="268"/>
      <c r="WNM449" s="268"/>
      <c r="WNN449" s="268"/>
      <c r="WNO449" s="268"/>
      <c r="WNP449" s="268"/>
      <c r="WNQ449" s="268"/>
      <c r="WNR449" s="268"/>
      <c r="WNS449" s="268"/>
      <c r="WNT449" s="268"/>
      <c r="WNU449" s="268"/>
      <c r="WNV449" s="268"/>
      <c r="WNW449" s="268"/>
      <c r="WNX449" s="268"/>
      <c r="WNY449" s="268"/>
      <c r="WNZ449" s="268"/>
      <c r="WOA449" s="268"/>
      <c r="WOB449" s="268"/>
      <c r="WOC449" s="268"/>
      <c r="WOD449" s="268"/>
      <c r="WOE449" s="268"/>
      <c r="WOF449" s="268"/>
      <c r="WOG449" s="268"/>
      <c r="WOH449" s="268"/>
      <c r="WOI449" s="268"/>
      <c r="WOJ449" s="268"/>
      <c r="WOK449" s="268"/>
      <c r="WOL449" s="268"/>
      <c r="WOM449" s="268"/>
      <c r="WON449" s="268"/>
      <c r="WOO449" s="268"/>
      <c r="WOP449" s="268"/>
      <c r="WOQ449" s="268"/>
      <c r="WOR449" s="268"/>
      <c r="WOS449" s="268"/>
      <c r="WOT449" s="268"/>
      <c r="WOU449" s="268"/>
      <c r="WOV449" s="268"/>
      <c r="WOW449" s="268"/>
      <c r="WOX449" s="268"/>
      <c r="WOY449" s="268"/>
      <c r="WOZ449" s="268"/>
      <c r="WPA449" s="268"/>
      <c r="WPB449" s="268"/>
      <c r="WPC449" s="268"/>
      <c r="WPD449" s="268"/>
      <c r="WPE449" s="268"/>
      <c r="WPF449" s="268"/>
      <c r="WPG449" s="268"/>
      <c r="WPH449" s="268"/>
      <c r="WPI449" s="268"/>
      <c r="WPJ449" s="268"/>
      <c r="WPK449" s="268"/>
      <c r="WPL449" s="268"/>
      <c r="WPM449" s="268"/>
      <c r="WPN449" s="268"/>
      <c r="WPO449" s="268"/>
      <c r="WPP449" s="268"/>
      <c r="WPQ449" s="268"/>
      <c r="WPR449" s="268"/>
      <c r="WPS449" s="268"/>
      <c r="WPT449" s="268"/>
      <c r="WPU449" s="268"/>
      <c r="WPV449" s="268"/>
      <c r="WPW449" s="268"/>
      <c r="WPX449" s="268"/>
      <c r="WPY449" s="268"/>
      <c r="WPZ449" s="268"/>
      <c r="WQA449" s="268"/>
      <c r="WQB449" s="268"/>
      <c r="WQC449" s="268"/>
      <c r="WQD449" s="268"/>
      <c r="WQE449" s="268"/>
      <c r="WQF449" s="268"/>
      <c r="WQG449" s="268"/>
      <c r="WQH449" s="268"/>
      <c r="WQI449" s="268"/>
      <c r="WQJ449" s="268"/>
      <c r="WQK449" s="268"/>
      <c r="WQL449" s="268"/>
      <c r="WQM449" s="268"/>
      <c r="WQN449" s="268"/>
      <c r="WQO449" s="268"/>
      <c r="WQP449" s="268"/>
      <c r="WQQ449" s="268"/>
      <c r="WQR449" s="268"/>
      <c r="WQS449" s="268"/>
      <c r="WQT449" s="268"/>
      <c r="WQU449" s="268"/>
      <c r="WQV449" s="268"/>
      <c r="WQW449" s="268"/>
      <c r="WQX449" s="268"/>
      <c r="WQY449" s="268"/>
      <c r="WQZ449" s="268"/>
      <c r="WRA449" s="268"/>
      <c r="WRB449" s="268"/>
      <c r="WRC449" s="268"/>
      <c r="WRD449" s="268"/>
      <c r="WRE449" s="268"/>
      <c r="WRF449" s="268"/>
      <c r="WRG449" s="268"/>
      <c r="WRH449" s="268"/>
      <c r="WRI449" s="268"/>
      <c r="WRJ449" s="268"/>
      <c r="WRK449" s="268"/>
      <c r="WRL449" s="268"/>
      <c r="WRM449" s="268"/>
      <c r="WRN449" s="268"/>
      <c r="WRO449" s="268"/>
      <c r="WRP449" s="268"/>
      <c r="WRQ449" s="268"/>
      <c r="WRR449" s="268"/>
      <c r="WRS449" s="268"/>
      <c r="WRT449" s="268"/>
      <c r="WRU449" s="268"/>
      <c r="WRV449" s="268"/>
      <c r="WRW449" s="268"/>
      <c r="WRX449" s="268"/>
      <c r="WRY449" s="268"/>
      <c r="WRZ449" s="268"/>
      <c r="WSA449" s="268"/>
      <c r="WSB449" s="268"/>
      <c r="WSC449" s="268"/>
      <c r="WSD449" s="268"/>
      <c r="WSE449" s="268"/>
      <c r="WSF449" s="268"/>
      <c r="WSG449" s="268"/>
      <c r="WSH449" s="268"/>
      <c r="WSI449" s="268"/>
      <c r="WSJ449" s="268"/>
      <c r="WSK449" s="268"/>
      <c r="WSL449" s="268"/>
      <c r="WSM449" s="268"/>
      <c r="WSN449" s="268"/>
      <c r="WSO449" s="268"/>
      <c r="WSP449" s="268"/>
      <c r="WSQ449" s="268"/>
      <c r="WSR449" s="268"/>
      <c r="WSS449" s="268"/>
      <c r="WST449" s="268"/>
      <c r="WSU449" s="268"/>
      <c r="WSV449" s="268"/>
      <c r="WSW449" s="268"/>
      <c r="WSX449" s="268"/>
      <c r="WSY449" s="268"/>
      <c r="WSZ449" s="268"/>
      <c r="WTA449" s="268"/>
      <c r="WTB449" s="268"/>
      <c r="WTC449" s="268"/>
      <c r="WTD449" s="268"/>
      <c r="WTE449" s="268"/>
      <c r="WTF449" s="268"/>
      <c r="WTG449" s="268"/>
      <c r="WTH449" s="268"/>
      <c r="WTI449" s="268"/>
      <c r="WTJ449" s="268"/>
      <c r="WTK449" s="268"/>
      <c r="WTL449" s="268"/>
      <c r="WTM449" s="268"/>
      <c r="WTN449" s="268"/>
      <c r="WTO449" s="268"/>
      <c r="WTP449" s="268"/>
      <c r="WTQ449" s="268"/>
      <c r="WTR449" s="268"/>
      <c r="WTS449" s="268"/>
      <c r="WTT449" s="268"/>
      <c r="WTU449" s="268"/>
      <c r="WTV449" s="268"/>
      <c r="WTW449" s="268"/>
      <c r="WTX449" s="268"/>
      <c r="WTY449" s="268"/>
      <c r="WTZ449" s="268"/>
      <c r="WUA449" s="268"/>
      <c r="WUB449" s="268"/>
      <c r="WUC449" s="268"/>
      <c r="WUD449" s="268"/>
      <c r="WUE449" s="268"/>
      <c r="WUF449" s="268"/>
      <c r="WUG449" s="268"/>
      <c r="WUH449" s="268"/>
      <c r="WUI449" s="268"/>
      <c r="WUJ449" s="268"/>
      <c r="WUK449" s="268"/>
      <c r="WUL449" s="268"/>
      <c r="WUM449" s="268"/>
      <c r="WUN449" s="268"/>
      <c r="WUO449" s="268"/>
      <c r="WUP449" s="268"/>
      <c r="WUQ449" s="268"/>
      <c r="WUR449" s="268"/>
      <c r="WUS449" s="268"/>
      <c r="WUT449" s="268"/>
      <c r="WUU449" s="268"/>
      <c r="WUV449" s="268"/>
      <c r="WUW449" s="268"/>
      <c r="WUX449" s="268"/>
      <c r="WUY449" s="268"/>
      <c r="WVM449" s="268"/>
      <c r="WVN449" s="268"/>
      <c r="WVO449" s="268"/>
      <c r="WWC449" s="268"/>
      <c r="WWE449" s="268"/>
      <c r="WWF449" s="268"/>
      <c r="WWG449" s="268"/>
      <c r="WWH449" s="268"/>
      <c r="WWI449" s="268"/>
      <c r="WWJ449" s="268"/>
      <c r="WWK449" s="268"/>
      <c r="WWL449" s="268"/>
      <c r="WWM449" s="268"/>
      <c r="WWN449" s="268"/>
      <c r="WWO449" s="268"/>
      <c r="WWP449" s="268"/>
      <c r="WWQ449" s="268"/>
      <c r="WWR449" s="268"/>
      <c r="WWS449" s="268"/>
      <c r="WWT449" s="268"/>
      <c r="WWU449" s="268"/>
      <c r="WWV449" s="268"/>
      <c r="WWW449" s="268"/>
      <c r="WWX449" s="268"/>
      <c r="WWY449" s="268"/>
      <c r="WWZ449" s="268"/>
      <c r="WXA449" s="268"/>
      <c r="WXB449" s="268"/>
      <c r="WXC449" s="268"/>
      <c r="WXD449" s="268"/>
      <c r="WXE449" s="268"/>
      <c r="WXF449" s="268"/>
      <c r="WXG449" s="268"/>
      <c r="WXH449" s="268"/>
      <c r="WXI449" s="268"/>
      <c r="WXJ449" s="268"/>
      <c r="WXK449" s="268"/>
      <c r="WXL449" s="268"/>
      <c r="WXM449" s="268"/>
      <c r="WXN449" s="268"/>
      <c r="WXO449" s="268"/>
      <c r="WXP449" s="268"/>
      <c r="WXQ449" s="268"/>
      <c r="WXR449" s="268"/>
      <c r="WXS449" s="268"/>
      <c r="WXT449" s="268"/>
      <c r="WXU449" s="268"/>
      <c r="WXV449" s="268"/>
      <c r="WXW449" s="268"/>
      <c r="WXX449" s="268"/>
      <c r="WXY449" s="268"/>
      <c r="WXZ449" s="268"/>
      <c r="WYA449" s="268"/>
      <c r="WYB449" s="268"/>
      <c r="WYC449" s="268"/>
      <c r="WYD449" s="268"/>
      <c r="WYE449" s="268"/>
      <c r="WYF449" s="268"/>
      <c r="WYG449" s="268"/>
      <c r="WYH449" s="268"/>
      <c r="WYI449" s="268"/>
      <c r="WYJ449" s="268"/>
      <c r="WYK449" s="268"/>
      <c r="WYL449" s="268"/>
      <c r="WYM449" s="268"/>
      <c r="WYN449" s="268"/>
      <c r="WYO449" s="268"/>
      <c r="WYP449" s="268"/>
      <c r="WYQ449" s="268"/>
      <c r="WYR449" s="268"/>
      <c r="WYS449" s="268"/>
      <c r="WYT449" s="268"/>
      <c r="WYU449" s="268"/>
      <c r="WYV449" s="268"/>
      <c r="WYW449" s="268"/>
      <c r="WYX449" s="268"/>
      <c r="WYY449" s="268"/>
      <c r="WYZ449" s="268"/>
      <c r="WZA449" s="268"/>
      <c r="WZB449" s="268"/>
      <c r="WZC449" s="268"/>
      <c r="WZD449" s="268"/>
      <c r="WZE449" s="268"/>
      <c r="WZF449" s="268"/>
      <c r="WZG449" s="268"/>
      <c r="WZH449" s="268"/>
      <c r="WZI449" s="268"/>
      <c r="WZJ449" s="268"/>
      <c r="WZK449" s="268"/>
      <c r="WZL449" s="268"/>
      <c r="WZM449" s="268"/>
      <c r="WZN449" s="268"/>
      <c r="WZO449" s="268"/>
      <c r="WZP449" s="268"/>
      <c r="WZQ449" s="268"/>
      <c r="WZR449" s="268"/>
      <c r="WZS449" s="268"/>
      <c r="WZT449" s="268"/>
      <c r="WZU449" s="268"/>
      <c r="WZV449" s="268"/>
      <c r="WZW449" s="268"/>
      <c r="WZX449" s="268"/>
      <c r="WZY449" s="268"/>
      <c r="WZZ449" s="268"/>
      <c r="XAA449" s="268"/>
      <c r="XAB449" s="268"/>
      <c r="XAC449" s="268"/>
      <c r="XAD449" s="268"/>
      <c r="XAE449" s="268"/>
      <c r="XAF449" s="268"/>
      <c r="XAG449" s="268"/>
      <c r="XAH449" s="268"/>
      <c r="XAI449" s="268"/>
      <c r="XAJ449" s="268"/>
      <c r="XAK449" s="268"/>
      <c r="XAL449" s="268"/>
      <c r="XAM449" s="268"/>
      <c r="XAN449" s="268"/>
      <c r="XAO449" s="268"/>
      <c r="XAP449" s="268"/>
      <c r="XAQ449" s="268"/>
      <c r="XAR449" s="268"/>
      <c r="XAS449" s="268"/>
      <c r="XAT449" s="268"/>
      <c r="XAU449" s="268"/>
      <c r="XAV449" s="268"/>
      <c r="XAW449" s="268"/>
      <c r="XAX449" s="268"/>
      <c r="XAY449" s="268"/>
      <c r="XAZ449" s="268"/>
      <c r="XBA449" s="268"/>
      <c r="XBB449" s="268"/>
      <c r="XBC449" s="268"/>
      <c r="XBD449" s="268"/>
      <c r="XBE449" s="268"/>
      <c r="XBF449" s="268"/>
      <c r="XBG449" s="268"/>
      <c r="XBH449" s="268"/>
      <c r="XBI449" s="268"/>
      <c r="XBJ449" s="268"/>
      <c r="XBK449" s="268"/>
      <c r="XBL449" s="268"/>
      <c r="XBM449" s="268"/>
      <c r="XBN449" s="268"/>
      <c r="XBO449" s="268"/>
      <c r="XBP449" s="268"/>
      <c r="XBQ449" s="268"/>
      <c r="XBR449" s="268"/>
      <c r="XBS449" s="268"/>
      <c r="XBT449" s="268"/>
      <c r="XBU449" s="268"/>
      <c r="XBV449" s="268"/>
      <c r="XBW449" s="268"/>
      <c r="XBX449" s="268"/>
      <c r="XBY449" s="268"/>
      <c r="XBZ449" s="268"/>
      <c r="XCA449" s="268"/>
      <c r="XCB449" s="268"/>
      <c r="XCC449" s="268"/>
      <c r="XCD449" s="268"/>
      <c r="XCE449" s="268"/>
      <c r="XCF449" s="268"/>
      <c r="XCG449" s="268"/>
      <c r="XCH449" s="268"/>
      <c r="XCI449" s="268"/>
      <c r="XCJ449" s="268"/>
      <c r="XCK449" s="268"/>
      <c r="XCL449" s="268"/>
      <c r="XCM449" s="268"/>
      <c r="XCN449" s="268"/>
      <c r="XCO449" s="268"/>
      <c r="XCP449" s="268"/>
      <c r="XCQ449" s="268"/>
      <c r="XCR449" s="268"/>
      <c r="XCS449" s="268"/>
      <c r="XCT449" s="268"/>
      <c r="XCU449" s="268"/>
      <c r="XCV449" s="268"/>
      <c r="XCW449" s="268"/>
      <c r="XCX449" s="268"/>
      <c r="XCY449" s="268"/>
      <c r="XCZ449" s="268"/>
      <c r="XDA449" s="268"/>
      <c r="XDB449" s="268"/>
      <c r="XDC449" s="268"/>
      <c r="XDD449" s="268"/>
      <c r="XDE449" s="268"/>
      <c r="XDF449" s="268"/>
      <c r="XDG449" s="268"/>
      <c r="XDH449" s="268"/>
      <c r="XDI449" s="268"/>
      <c r="XDJ449" s="268"/>
      <c r="XDK449" s="268"/>
      <c r="XDL449" s="268"/>
      <c r="XDM449" s="268"/>
      <c r="XDN449" s="268"/>
      <c r="XDO449" s="268"/>
      <c r="XDP449" s="268"/>
      <c r="XDQ449" s="268"/>
      <c r="XDR449" s="268"/>
      <c r="XDS449" s="268"/>
      <c r="XDT449" s="268"/>
      <c r="XDU449" s="268"/>
      <c r="XDV449" s="268"/>
      <c r="XDW449" s="268"/>
      <c r="XDX449" s="268"/>
      <c r="XDY449" s="268"/>
      <c r="XDZ449" s="268"/>
      <c r="XEA449" s="268"/>
      <c r="XEB449" s="268"/>
      <c r="XEC449" s="268"/>
      <c r="XED449" s="268"/>
      <c r="XEE449" s="268"/>
      <c r="XEF449" s="268"/>
      <c r="XEG449" s="268"/>
      <c r="XEH449" s="268"/>
      <c r="XEI449" s="268"/>
      <c r="XEJ449" s="268"/>
      <c r="XEK449" s="268"/>
      <c r="XEL449" s="268"/>
      <c r="XEM449" s="268"/>
      <c r="XEN449" s="268"/>
      <c r="XEO449" s="268"/>
      <c r="XEP449" s="268"/>
      <c r="XEQ449" s="268"/>
      <c r="XER449" s="268"/>
      <c r="XES449" s="268"/>
    </row>
    <row r="450" spans="1:1015 1029:2039 2053:3063 3077:4087 4101:5111 5125:6135 6149:7159 7173:8183 8197:9207 9221:10231 10245:11255 11269:12279 12293:13303 13317:14327 14341:15351 15365:16373" hidden="1" outlineLevel="1" x14ac:dyDescent="0.25">
      <c r="A450" s="3" t="s">
        <v>367</v>
      </c>
      <c r="B450" s="3">
        <v>600</v>
      </c>
      <c r="D450" s="3">
        <v>397</v>
      </c>
      <c r="E450" s="3">
        <f t="shared" si="275"/>
        <v>203</v>
      </c>
      <c r="F450" s="3">
        <v>600</v>
      </c>
      <c r="H450" s="3">
        <f t="shared" si="276"/>
        <v>0</v>
      </c>
      <c r="J450" s="3">
        <v>397</v>
      </c>
      <c r="K450" s="4">
        <f t="shared" si="258"/>
        <v>203</v>
      </c>
      <c r="L450" s="4">
        <v>600</v>
      </c>
      <c r="N450" s="4">
        <f t="shared" si="259"/>
        <v>0</v>
      </c>
      <c r="P450" s="3">
        <f>L450*1.0281+33</f>
        <v>649.86</v>
      </c>
      <c r="R450" s="3">
        <v>286</v>
      </c>
      <c r="S450" s="3">
        <f t="shared" si="260"/>
        <v>364</v>
      </c>
      <c r="T450" s="3">
        <v>650</v>
      </c>
      <c r="U450" s="3">
        <f t="shared" si="261"/>
        <v>0.13999999999998636</v>
      </c>
      <c r="V450" s="3">
        <v>286</v>
      </c>
      <c r="W450" s="3">
        <f t="shared" si="262"/>
        <v>364</v>
      </c>
      <c r="Y450" s="3">
        <v>650</v>
      </c>
      <c r="Z450" s="3">
        <f t="shared" si="263"/>
        <v>0</v>
      </c>
      <c r="AC450" s="3">
        <v>286</v>
      </c>
      <c r="AD450" s="3">
        <f t="shared" si="274"/>
        <v>364</v>
      </c>
      <c r="AE450" s="3">
        <v>650</v>
      </c>
      <c r="AF450" s="3">
        <f t="shared" si="264"/>
        <v>0</v>
      </c>
      <c r="AI450" s="3">
        <f>AE450*1.03+30</f>
        <v>699.5</v>
      </c>
      <c r="AK450" s="3">
        <f t="shared" ref="AK450:BE450" si="278">AI450*1.0281</f>
        <v>719.15594999999996</v>
      </c>
      <c r="AM450" s="3">
        <f t="shared" si="278"/>
        <v>739.364232195</v>
      </c>
      <c r="AN450" s="3">
        <f t="shared" si="278"/>
        <v>0</v>
      </c>
      <c r="AO450" s="3">
        <f t="shared" si="278"/>
        <v>760.14036711967947</v>
      </c>
      <c r="AQ450" s="3">
        <f>AO450*1.0281</f>
        <v>781.50031143574245</v>
      </c>
      <c r="AR450" s="3"/>
      <c r="AS450" s="3">
        <f t="shared" si="278"/>
        <v>803.4604701870868</v>
      </c>
      <c r="AT450" s="3">
        <f t="shared" si="278"/>
        <v>0</v>
      </c>
      <c r="AU450" s="3">
        <f t="shared" si="278"/>
        <v>826.03770939934395</v>
      </c>
      <c r="AV450" s="3">
        <f t="shared" si="278"/>
        <v>0</v>
      </c>
      <c r="AW450" s="3">
        <f t="shared" si="278"/>
        <v>849.24936903346554</v>
      </c>
      <c r="AX450" s="3"/>
      <c r="AY450" s="3">
        <f t="shared" si="278"/>
        <v>873.11327630330595</v>
      </c>
      <c r="BA450" s="3">
        <f t="shared" si="278"/>
        <v>897.64775936742888</v>
      </c>
      <c r="BC450" s="3">
        <f t="shared" si="278"/>
        <v>922.87166140565364</v>
      </c>
      <c r="BE450" s="3">
        <f t="shared" si="278"/>
        <v>948.8043550911525</v>
      </c>
    </row>
    <row r="451" spans="1:1015 1029:2039 2053:3063 3077:4087 4101:5111 5125:6135 6149:7159 7173:8183 8197:9207 9221:10231 10245:11255 11269:12279 12293:13303 13317:14327 14341:15351 15365:16373" hidden="1" outlineLevel="1" x14ac:dyDescent="0.25">
      <c r="A451" s="267" t="s">
        <v>368</v>
      </c>
      <c r="B451" s="3">
        <v>2700</v>
      </c>
      <c r="D451" s="3">
        <v>0</v>
      </c>
      <c r="E451" s="3">
        <f t="shared" si="275"/>
        <v>2700</v>
      </c>
      <c r="F451" s="3">
        <v>2700</v>
      </c>
      <c r="H451" s="3">
        <f t="shared" si="276"/>
        <v>0</v>
      </c>
      <c r="J451" s="3">
        <v>0</v>
      </c>
      <c r="K451" s="4">
        <f t="shared" si="258"/>
        <v>2700</v>
      </c>
      <c r="L451" s="4">
        <v>2700</v>
      </c>
      <c r="N451" s="4">
        <f t="shared" si="259"/>
        <v>0</v>
      </c>
      <c r="P451" s="3">
        <v>2700</v>
      </c>
      <c r="R451" s="3">
        <v>0</v>
      </c>
      <c r="S451" s="3">
        <f t="shared" si="260"/>
        <v>2700</v>
      </c>
      <c r="T451" s="3">
        <v>2700</v>
      </c>
      <c r="U451" s="3">
        <f t="shared" si="261"/>
        <v>0</v>
      </c>
      <c r="V451" s="3">
        <v>0</v>
      </c>
      <c r="W451" s="3">
        <f t="shared" si="262"/>
        <v>2700</v>
      </c>
      <c r="Y451" s="3">
        <v>2700</v>
      </c>
      <c r="Z451" s="3">
        <f t="shared" si="263"/>
        <v>0</v>
      </c>
      <c r="AC451" s="3">
        <v>0</v>
      </c>
      <c r="AD451" s="3">
        <f t="shared" si="274"/>
        <v>2700</v>
      </c>
      <c r="AE451" s="3">
        <v>2700</v>
      </c>
      <c r="AF451" s="3">
        <f t="shared" si="264"/>
        <v>0</v>
      </c>
      <c r="AI451" s="3">
        <v>2700</v>
      </c>
      <c r="AK451" s="3">
        <v>2700</v>
      </c>
      <c r="AM451" s="3">
        <v>2700</v>
      </c>
      <c r="AO451" s="3">
        <v>2700</v>
      </c>
      <c r="AQ451" s="3">
        <v>2700</v>
      </c>
      <c r="AS451" s="3">
        <v>2700</v>
      </c>
      <c r="AU451" s="3">
        <v>2700</v>
      </c>
      <c r="AW451" s="3">
        <v>2700</v>
      </c>
      <c r="AY451" s="3">
        <v>2700</v>
      </c>
      <c r="BA451" s="3">
        <v>2700</v>
      </c>
      <c r="BC451" s="3">
        <v>2700</v>
      </c>
      <c r="BE451" s="3">
        <v>2700</v>
      </c>
      <c r="BI451" s="268"/>
      <c r="BJ451" s="268"/>
      <c r="BK451" s="268"/>
      <c r="BL451" s="268"/>
      <c r="BM451" s="268"/>
      <c r="BN451" s="268"/>
      <c r="BO451" s="268"/>
      <c r="BP451" s="268"/>
      <c r="BQ451" s="268"/>
      <c r="BR451" s="268"/>
      <c r="BS451" s="268"/>
      <c r="BT451" s="268"/>
      <c r="BU451" s="268"/>
      <c r="BV451" s="268"/>
      <c r="BW451" s="268"/>
      <c r="BX451" s="268"/>
      <c r="BY451" s="268"/>
      <c r="BZ451" s="268"/>
      <c r="CA451" s="268"/>
      <c r="CB451" s="268"/>
      <c r="CC451" s="268"/>
      <c r="CD451" s="268"/>
      <c r="CE451" s="268"/>
      <c r="CF451" s="268"/>
      <c r="CG451" s="268"/>
      <c r="CH451" s="268"/>
      <c r="CI451" s="268"/>
      <c r="CJ451" s="268"/>
      <c r="CK451" s="268"/>
      <c r="CL451" s="268"/>
      <c r="CM451" s="268"/>
      <c r="CN451" s="268"/>
      <c r="CO451" s="268"/>
      <c r="CP451" s="268"/>
      <c r="CQ451" s="268"/>
      <c r="CR451" s="268"/>
      <c r="CS451" s="268"/>
      <c r="CT451" s="268"/>
      <c r="CU451" s="268"/>
      <c r="CV451" s="268"/>
      <c r="CW451" s="268"/>
      <c r="CX451" s="268"/>
      <c r="CY451" s="268"/>
      <c r="CZ451" s="268"/>
      <c r="DA451" s="268"/>
      <c r="DB451" s="268"/>
      <c r="DC451" s="268"/>
      <c r="DD451" s="268"/>
      <c r="DE451" s="268"/>
      <c r="DF451" s="268"/>
      <c r="DG451" s="268"/>
      <c r="DH451" s="268"/>
      <c r="DI451" s="268"/>
      <c r="DJ451" s="268"/>
      <c r="DK451" s="268"/>
      <c r="DL451" s="268"/>
      <c r="DM451" s="268"/>
      <c r="DN451" s="268"/>
      <c r="DO451" s="268"/>
      <c r="DP451" s="268"/>
      <c r="DQ451" s="268"/>
      <c r="DR451" s="268"/>
      <c r="DS451" s="268"/>
      <c r="DT451" s="268"/>
      <c r="DU451" s="268"/>
      <c r="DV451" s="268"/>
      <c r="DW451" s="268"/>
      <c r="DX451" s="268"/>
      <c r="DY451" s="268"/>
      <c r="DZ451" s="268"/>
      <c r="EA451" s="268"/>
      <c r="EB451" s="268"/>
      <c r="EC451" s="268"/>
      <c r="ED451" s="268"/>
      <c r="EE451" s="268"/>
      <c r="EF451" s="268"/>
      <c r="EG451" s="268"/>
      <c r="EH451" s="268"/>
      <c r="EI451" s="268"/>
      <c r="EJ451" s="268"/>
      <c r="EK451" s="268"/>
      <c r="EL451" s="268"/>
      <c r="EM451" s="268"/>
      <c r="EN451" s="268"/>
      <c r="EO451" s="268"/>
      <c r="EP451" s="268"/>
      <c r="EQ451" s="268"/>
      <c r="ER451" s="268"/>
      <c r="ES451" s="268"/>
      <c r="ET451" s="268"/>
      <c r="EU451" s="268"/>
      <c r="EV451" s="268"/>
      <c r="EW451" s="268"/>
      <c r="EX451" s="268"/>
      <c r="EY451" s="268"/>
      <c r="EZ451" s="268"/>
      <c r="FA451" s="268"/>
      <c r="FB451" s="268"/>
      <c r="FC451" s="268"/>
      <c r="FD451" s="268"/>
      <c r="FE451" s="268"/>
      <c r="FF451" s="268"/>
      <c r="FG451" s="268"/>
      <c r="FH451" s="268"/>
      <c r="FI451" s="268"/>
      <c r="FJ451" s="268"/>
      <c r="FK451" s="268"/>
      <c r="FL451" s="268"/>
      <c r="FM451" s="268"/>
      <c r="FN451" s="268"/>
      <c r="FO451" s="268"/>
      <c r="FP451" s="268"/>
      <c r="FQ451" s="268"/>
      <c r="FR451" s="268"/>
      <c r="FS451" s="268"/>
      <c r="FT451" s="268"/>
      <c r="FU451" s="268"/>
      <c r="FV451" s="268"/>
      <c r="FW451" s="268"/>
      <c r="FX451" s="268"/>
      <c r="FY451" s="268"/>
      <c r="FZ451" s="268"/>
      <c r="GA451" s="268"/>
      <c r="GB451" s="268"/>
      <c r="GC451" s="268"/>
      <c r="GD451" s="268"/>
      <c r="GE451" s="268"/>
      <c r="GF451" s="268"/>
      <c r="GG451" s="268"/>
      <c r="GH451" s="268"/>
      <c r="GI451" s="268"/>
      <c r="GJ451" s="268"/>
      <c r="GK451" s="268"/>
      <c r="GL451" s="268"/>
      <c r="GM451" s="268"/>
      <c r="GN451" s="268"/>
      <c r="GO451" s="268"/>
      <c r="GP451" s="268"/>
      <c r="GQ451" s="268"/>
      <c r="GR451" s="268"/>
      <c r="GS451" s="268"/>
      <c r="GT451" s="268"/>
      <c r="GU451" s="268"/>
      <c r="GV451" s="268"/>
      <c r="GW451" s="268"/>
      <c r="GX451" s="268"/>
      <c r="GY451" s="268"/>
      <c r="GZ451" s="268"/>
      <c r="HA451" s="268"/>
      <c r="HB451" s="268"/>
      <c r="HC451" s="268"/>
      <c r="HD451" s="268"/>
      <c r="HE451" s="268"/>
      <c r="HF451" s="268"/>
      <c r="HG451" s="268"/>
      <c r="HH451" s="268"/>
      <c r="HI451" s="268"/>
      <c r="HJ451" s="268"/>
      <c r="HK451" s="268"/>
      <c r="HL451" s="268"/>
      <c r="HM451" s="268"/>
      <c r="HN451" s="268"/>
      <c r="HO451" s="268"/>
      <c r="HP451" s="268"/>
      <c r="HQ451" s="268"/>
      <c r="HR451" s="268"/>
      <c r="HS451" s="268"/>
      <c r="HT451" s="268"/>
      <c r="HU451" s="268"/>
      <c r="HV451" s="268"/>
      <c r="HW451" s="268"/>
      <c r="HX451" s="268"/>
      <c r="HY451" s="268"/>
      <c r="HZ451" s="268"/>
      <c r="IA451" s="268"/>
      <c r="IB451" s="268"/>
      <c r="IC451" s="268"/>
      <c r="ID451" s="268"/>
      <c r="IE451" s="268"/>
      <c r="IF451" s="268"/>
      <c r="IG451" s="268"/>
      <c r="IH451" s="268"/>
      <c r="II451" s="268"/>
      <c r="IJ451" s="268"/>
      <c r="IK451" s="268"/>
      <c r="IL451" s="268"/>
      <c r="IM451" s="268"/>
      <c r="JA451" s="268"/>
      <c r="JB451" s="268"/>
      <c r="JC451" s="268"/>
      <c r="JQ451" s="268"/>
      <c r="JS451" s="268"/>
      <c r="JT451" s="268"/>
      <c r="JU451" s="268"/>
      <c r="JV451" s="268"/>
      <c r="JW451" s="268"/>
      <c r="JX451" s="268"/>
      <c r="JY451" s="268"/>
      <c r="JZ451" s="268"/>
      <c r="KA451" s="268"/>
      <c r="KB451" s="268"/>
      <c r="KC451" s="268"/>
      <c r="KD451" s="268"/>
      <c r="KE451" s="268"/>
      <c r="KF451" s="268"/>
      <c r="KG451" s="268"/>
      <c r="KH451" s="268"/>
      <c r="KI451" s="268"/>
      <c r="KJ451" s="268"/>
      <c r="KK451" s="268"/>
      <c r="KL451" s="268"/>
      <c r="KM451" s="268"/>
      <c r="KN451" s="268"/>
      <c r="KO451" s="268"/>
      <c r="KP451" s="268"/>
      <c r="KQ451" s="268"/>
      <c r="KR451" s="268"/>
      <c r="KS451" s="268"/>
      <c r="KT451" s="268"/>
      <c r="KU451" s="268"/>
      <c r="KV451" s="268"/>
      <c r="KW451" s="268"/>
      <c r="KX451" s="268"/>
      <c r="KY451" s="268"/>
      <c r="KZ451" s="268"/>
      <c r="LA451" s="268"/>
      <c r="LB451" s="268"/>
      <c r="LC451" s="268"/>
      <c r="LD451" s="268"/>
      <c r="LE451" s="268"/>
      <c r="LF451" s="268"/>
      <c r="LG451" s="268"/>
      <c r="LH451" s="268"/>
      <c r="LI451" s="268"/>
      <c r="LJ451" s="268"/>
      <c r="LK451" s="268"/>
      <c r="LL451" s="268"/>
      <c r="LM451" s="268"/>
      <c r="LN451" s="268"/>
      <c r="LO451" s="268"/>
      <c r="LP451" s="268"/>
      <c r="LQ451" s="268"/>
      <c r="LR451" s="268"/>
      <c r="LS451" s="268"/>
      <c r="LT451" s="268"/>
      <c r="LU451" s="268"/>
      <c r="LV451" s="268"/>
      <c r="LW451" s="268"/>
      <c r="LX451" s="268"/>
      <c r="LY451" s="268"/>
      <c r="LZ451" s="268"/>
      <c r="MA451" s="268"/>
      <c r="MB451" s="268"/>
      <c r="MC451" s="268"/>
      <c r="MD451" s="268"/>
      <c r="ME451" s="268"/>
      <c r="MF451" s="268"/>
      <c r="MG451" s="268"/>
      <c r="MH451" s="268"/>
      <c r="MI451" s="268"/>
      <c r="MJ451" s="268"/>
      <c r="MK451" s="268"/>
      <c r="ML451" s="268"/>
      <c r="MM451" s="268"/>
      <c r="MN451" s="268"/>
      <c r="MO451" s="268"/>
      <c r="MP451" s="268"/>
      <c r="MQ451" s="268"/>
      <c r="MR451" s="268"/>
      <c r="MS451" s="268"/>
      <c r="MT451" s="268"/>
      <c r="MU451" s="268"/>
      <c r="MV451" s="268"/>
      <c r="MW451" s="268"/>
      <c r="MX451" s="268"/>
      <c r="MY451" s="268"/>
      <c r="MZ451" s="268"/>
      <c r="NA451" s="268"/>
      <c r="NB451" s="268"/>
      <c r="NC451" s="268"/>
      <c r="ND451" s="268"/>
      <c r="NE451" s="268"/>
      <c r="NF451" s="268"/>
      <c r="NG451" s="268"/>
      <c r="NH451" s="268"/>
      <c r="NI451" s="268"/>
      <c r="NJ451" s="268"/>
      <c r="NK451" s="268"/>
      <c r="NL451" s="268"/>
      <c r="NM451" s="268"/>
      <c r="NN451" s="268"/>
      <c r="NO451" s="268"/>
      <c r="NP451" s="268"/>
      <c r="NQ451" s="268"/>
      <c r="NR451" s="268"/>
      <c r="NS451" s="268"/>
      <c r="NT451" s="268"/>
      <c r="NU451" s="268"/>
      <c r="NV451" s="268"/>
      <c r="NW451" s="268"/>
      <c r="NX451" s="268"/>
      <c r="NY451" s="268"/>
      <c r="NZ451" s="268"/>
      <c r="OA451" s="268"/>
      <c r="OB451" s="268"/>
      <c r="OC451" s="268"/>
      <c r="OD451" s="268"/>
      <c r="OE451" s="268"/>
      <c r="OF451" s="268"/>
      <c r="OG451" s="268"/>
      <c r="OH451" s="268"/>
      <c r="OI451" s="268"/>
      <c r="OJ451" s="268"/>
      <c r="OK451" s="268"/>
      <c r="OL451" s="268"/>
      <c r="OM451" s="268"/>
      <c r="ON451" s="268"/>
      <c r="OO451" s="268"/>
      <c r="OP451" s="268"/>
      <c r="OQ451" s="268"/>
      <c r="OR451" s="268"/>
      <c r="OS451" s="268"/>
      <c r="OT451" s="268"/>
      <c r="OU451" s="268"/>
      <c r="OV451" s="268"/>
      <c r="OW451" s="268"/>
      <c r="OX451" s="268"/>
      <c r="OY451" s="268"/>
      <c r="OZ451" s="268"/>
      <c r="PA451" s="268"/>
      <c r="PB451" s="268"/>
      <c r="PC451" s="268"/>
      <c r="PD451" s="268"/>
      <c r="PE451" s="268"/>
      <c r="PF451" s="268"/>
      <c r="PG451" s="268"/>
      <c r="PH451" s="268"/>
      <c r="PI451" s="268"/>
      <c r="PJ451" s="268"/>
      <c r="PK451" s="268"/>
      <c r="PL451" s="268"/>
      <c r="PM451" s="268"/>
      <c r="PN451" s="268"/>
      <c r="PO451" s="268"/>
      <c r="PP451" s="268"/>
      <c r="PQ451" s="268"/>
      <c r="PR451" s="268"/>
      <c r="PS451" s="268"/>
      <c r="PT451" s="268"/>
      <c r="PU451" s="268"/>
      <c r="PV451" s="268"/>
      <c r="PW451" s="268"/>
      <c r="PX451" s="268"/>
      <c r="PY451" s="268"/>
      <c r="PZ451" s="268"/>
      <c r="QA451" s="268"/>
      <c r="QB451" s="268"/>
      <c r="QC451" s="268"/>
      <c r="QD451" s="268"/>
      <c r="QE451" s="268"/>
      <c r="QF451" s="268"/>
      <c r="QG451" s="268"/>
      <c r="QH451" s="268"/>
      <c r="QI451" s="268"/>
      <c r="QJ451" s="268"/>
      <c r="QK451" s="268"/>
      <c r="QL451" s="268"/>
      <c r="QM451" s="268"/>
      <c r="QN451" s="268"/>
      <c r="QO451" s="268"/>
      <c r="QP451" s="268"/>
      <c r="QQ451" s="268"/>
      <c r="QR451" s="268"/>
      <c r="QS451" s="268"/>
      <c r="QT451" s="268"/>
      <c r="QU451" s="268"/>
      <c r="QV451" s="268"/>
      <c r="QW451" s="268"/>
      <c r="QX451" s="268"/>
      <c r="QY451" s="268"/>
      <c r="QZ451" s="268"/>
      <c r="RA451" s="268"/>
      <c r="RB451" s="268"/>
      <c r="RC451" s="268"/>
      <c r="RD451" s="268"/>
      <c r="RE451" s="268"/>
      <c r="RF451" s="268"/>
      <c r="RG451" s="268"/>
      <c r="RH451" s="268"/>
      <c r="RI451" s="268"/>
      <c r="RJ451" s="268"/>
      <c r="RK451" s="268"/>
      <c r="RL451" s="268"/>
      <c r="RM451" s="268"/>
      <c r="RN451" s="268"/>
      <c r="RO451" s="268"/>
      <c r="RP451" s="268"/>
      <c r="RQ451" s="268"/>
      <c r="RR451" s="268"/>
      <c r="RS451" s="268"/>
      <c r="RT451" s="268"/>
      <c r="RU451" s="268"/>
      <c r="RV451" s="268"/>
      <c r="RW451" s="268"/>
      <c r="RX451" s="268"/>
      <c r="RY451" s="268"/>
      <c r="RZ451" s="268"/>
      <c r="SA451" s="268"/>
      <c r="SB451" s="268"/>
      <c r="SC451" s="268"/>
      <c r="SD451" s="268"/>
      <c r="SE451" s="268"/>
      <c r="SF451" s="268"/>
      <c r="SG451" s="268"/>
      <c r="SH451" s="268"/>
      <c r="SI451" s="268"/>
      <c r="SW451" s="268"/>
      <c r="SX451" s="268"/>
      <c r="SY451" s="268"/>
      <c r="TM451" s="268"/>
      <c r="TO451" s="268"/>
      <c r="TP451" s="268"/>
      <c r="TQ451" s="268"/>
      <c r="TR451" s="268"/>
      <c r="TS451" s="268"/>
      <c r="TT451" s="268"/>
      <c r="TU451" s="268"/>
      <c r="TV451" s="268"/>
      <c r="TW451" s="268"/>
      <c r="TX451" s="268"/>
      <c r="TY451" s="268"/>
      <c r="TZ451" s="268"/>
      <c r="UA451" s="268"/>
      <c r="UB451" s="268"/>
      <c r="UC451" s="268"/>
      <c r="UD451" s="268"/>
      <c r="UE451" s="268"/>
      <c r="UF451" s="268"/>
      <c r="UG451" s="268"/>
      <c r="UH451" s="268"/>
      <c r="UI451" s="268"/>
      <c r="UJ451" s="268"/>
      <c r="UK451" s="268"/>
      <c r="UL451" s="268"/>
      <c r="UM451" s="268"/>
      <c r="UN451" s="268"/>
      <c r="UO451" s="268"/>
      <c r="UP451" s="268"/>
      <c r="UQ451" s="268"/>
      <c r="UR451" s="268"/>
      <c r="US451" s="268"/>
      <c r="UT451" s="268"/>
      <c r="UU451" s="268"/>
      <c r="UV451" s="268"/>
      <c r="UW451" s="268"/>
      <c r="UX451" s="268"/>
      <c r="UY451" s="268"/>
      <c r="UZ451" s="268"/>
      <c r="VA451" s="268"/>
      <c r="VB451" s="268"/>
      <c r="VC451" s="268"/>
      <c r="VD451" s="268"/>
      <c r="VE451" s="268"/>
      <c r="VF451" s="268"/>
      <c r="VG451" s="268"/>
      <c r="VH451" s="268"/>
      <c r="VI451" s="268"/>
      <c r="VJ451" s="268"/>
      <c r="VK451" s="268"/>
      <c r="VL451" s="268"/>
      <c r="VM451" s="268"/>
      <c r="VN451" s="268"/>
      <c r="VO451" s="268"/>
      <c r="VP451" s="268"/>
      <c r="VQ451" s="268"/>
      <c r="VR451" s="268"/>
      <c r="VS451" s="268"/>
      <c r="VT451" s="268"/>
      <c r="VU451" s="268"/>
      <c r="VV451" s="268"/>
      <c r="VW451" s="268"/>
      <c r="VX451" s="268"/>
      <c r="VY451" s="268"/>
      <c r="VZ451" s="268"/>
      <c r="WA451" s="268"/>
      <c r="WB451" s="268"/>
      <c r="WC451" s="268"/>
      <c r="WD451" s="268"/>
      <c r="WE451" s="268"/>
      <c r="WF451" s="268"/>
      <c r="WG451" s="268"/>
      <c r="WH451" s="268"/>
      <c r="WI451" s="268"/>
      <c r="WJ451" s="268"/>
      <c r="WK451" s="268"/>
      <c r="WL451" s="268"/>
      <c r="WM451" s="268"/>
      <c r="WN451" s="268"/>
      <c r="WO451" s="268"/>
      <c r="WP451" s="268"/>
      <c r="WQ451" s="268"/>
      <c r="WR451" s="268"/>
      <c r="WS451" s="268"/>
      <c r="WT451" s="268"/>
      <c r="WU451" s="268"/>
      <c r="WV451" s="268"/>
      <c r="WW451" s="268"/>
      <c r="WX451" s="268"/>
      <c r="WY451" s="268"/>
      <c r="WZ451" s="268"/>
      <c r="XA451" s="268"/>
      <c r="XB451" s="268"/>
      <c r="XC451" s="268"/>
      <c r="XD451" s="268"/>
      <c r="XE451" s="268"/>
      <c r="XF451" s="268"/>
      <c r="XG451" s="268"/>
      <c r="XH451" s="268"/>
      <c r="XI451" s="268"/>
      <c r="XJ451" s="268"/>
      <c r="XK451" s="268"/>
      <c r="XL451" s="268"/>
      <c r="XM451" s="268"/>
      <c r="XN451" s="268"/>
      <c r="XO451" s="268"/>
      <c r="XP451" s="268"/>
      <c r="XQ451" s="268"/>
      <c r="XR451" s="268"/>
      <c r="XS451" s="268"/>
      <c r="XT451" s="268"/>
      <c r="XU451" s="268"/>
      <c r="XV451" s="268"/>
      <c r="XW451" s="268"/>
      <c r="XX451" s="268"/>
      <c r="XY451" s="268"/>
      <c r="XZ451" s="268"/>
      <c r="YA451" s="268"/>
      <c r="YB451" s="268"/>
      <c r="YC451" s="268"/>
      <c r="YD451" s="268"/>
      <c r="YE451" s="268"/>
      <c r="YF451" s="268"/>
      <c r="YG451" s="268"/>
      <c r="YH451" s="268"/>
      <c r="YI451" s="268"/>
      <c r="YJ451" s="268"/>
      <c r="YK451" s="268"/>
      <c r="YL451" s="268"/>
      <c r="YM451" s="268"/>
      <c r="YN451" s="268"/>
      <c r="YO451" s="268"/>
      <c r="YP451" s="268"/>
      <c r="YQ451" s="268"/>
      <c r="YR451" s="268"/>
      <c r="YS451" s="268"/>
      <c r="YT451" s="268"/>
      <c r="YU451" s="268"/>
      <c r="YV451" s="268"/>
      <c r="YW451" s="268"/>
      <c r="YX451" s="268"/>
      <c r="YY451" s="268"/>
      <c r="YZ451" s="268"/>
      <c r="ZA451" s="268"/>
      <c r="ZB451" s="268"/>
      <c r="ZC451" s="268"/>
      <c r="ZD451" s="268"/>
      <c r="ZE451" s="268"/>
      <c r="ZF451" s="268"/>
      <c r="ZG451" s="268"/>
      <c r="ZH451" s="268"/>
      <c r="ZI451" s="268"/>
      <c r="ZJ451" s="268"/>
      <c r="ZK451" s="268"/>
      <c r="ZL451" s="268"/>
      <c r="ZM451" s="268"/>
      <c r="ZN451" s="268"/>
      <c r="ZO451" s="268"/>
      <c r="ZP451" s="268"/>
      <c r="ZQ451" s="268"/>
      <c r="ZR451" s="268"/>
      <c r="ZS451" s="268"/>
      <c r="ZT451" s="268"/>
      <c r="ZU451" s="268"/>
      <c r="ZV451" s="268"/>
      <c r="ZW451" s="268"/>
      <c r="ZX451" s="268"/>
      <c r="ZY451" s="268"/>
      <c r="ZZ451" s="268"/>
      <c r="AAA451" s="268"/>
      <c r="AAB451" s="268"/>
      <c r="AAC451" s="268"/>
      <c r="AAD451" s="268"/>
      <c r="AAE451" s="268"/>
      <c r="AAF451" s="268"/>
      <c r="AAG451" s="268"/>
      <c r="AAH451" s="268"/>
      <c r="AAI451" s="268"/>
      <c r="AAJ451" s="268"/>
      <c r="AAK451" s="268"/>
      <c r="AAL451" s="268"/>
      <c r="AAM451" s="268"/>
      <c r="AAN451" s="268"/>
      <c r="AAO451" s="268"/>
      <c r="AAP451" s="268"/>
      <c r="AAQ451" s="268"/>
      <c r="AAR451" s="268"/>
      <c r="AAS451" s="268"/>
      <c r="AAT451" s="268"/>
      <c r="AAU451" s="268"/>
      <c r="AAV451" s="268"/>
      <c r="AAW451" s="268"/>
      <c r="AAX451" s="268"/>
      <c r="AAY451" s="268"/>
      <c r="AAZ451" s="268"/>
      <c r="ABA451" s="268"/>
      <c r="ABB451" s="268"/>
      <c r="ABC451" s="268"/>
      <c r="ABD451" s="268"/>
      <c r="ABE451" s="268"/>
      <c r="ABF451" s="268"/>
      <c r="ABG451" s="268"/>
      <c r="ABH451" s="268"/>
      <c r="ABI451" s="268"/>
      <c r="ABJ451" s="268"/>
      <c r="ABK451" s="268"/>
      <c r="ABL451" s="268"/>
      <c r="ABM451" s="268"/>
      <c r="ABN451" s="268"/>
      <c r="ABO451" s="268"/>
      <c r="ABP451" s="268"/>
      <c r="ABQ451" s="268"/>
      <c r="ABR451" s="268"/>
      <c r="ABS451" s="268"/>
      <c r="ABT451" s="268"/>
      <c r="ABU451" s="268"/>
      <c r="ABV451" s="268"/>
      <c r="ABW451" s="268"/>
      <c r="ABX451" s="268"/>
      <c r="ABY451" s="268"/>
      <c r="ABZ451" s="268"/>
      <c r="ACA451" s="268"/>
      <c r="ACB451" s="268"/>
      <c r="ACC451" s="268"/>
      <c r="ACD451" s="268"/>
      <c r="ACE451" s="268"/>
      <c r="ACS451" s="268"/>
      <c r="ACT451" s="268"/>
      <c r="ACU451" s="268"/>
      <c r="ADI451" s="268"/>
      <c r="ADK451" s="268"/>
      <c r="ADL451" s="268"/>
      <c r="ADM451" s="268"/>
      <c r="ADN451" s="268"/>
      <c r="ADO451" s="268"/>
      <c r="ADP451" s="268"/>
      <c r="ADQ451" s="268"/>
      <c r="ADR451" s="268"/>
      <c r="ADS451" s="268"/>
      <c r="ADT451" s="268"/>
      <c r="ADU451" s="268"/>
      <c r="ADV451" s="268"/>
      <c r="ADW451" s="268"/>
      <c r="ADX451" s="268"/>
      <c r="ADY451" s="268"/>
      <c r="ADZ451" s="268"/>
      <c r="AEA451" s="268"/>
      <c r="AEB451" s="268"/>
      <c r="AEC451" s="268"/>
      <c r="AED451" s="268"/>
      <c r="AEE451" s="268"/>
      <c r="AEF451" s="268"/>
      <c r="AEG451" s="268"/>
      <c r="AEH451" s="268"/>
      <c r="AEI451" s="268"/>
      <c r="AEJ451" s="268"/>
      <c r="AEK451" s="268"/>
      <c r="AEL451" s="268"/>
      <c r="AEM451" s="268"/>
      <c r="AEN451" s="268"/>
      <c r="AEO451" s="268"/>
      <c r="AEP451" s="268"/>
      <c r="AEQ451" s="268"/>
      <c r="AER451" s="268"/>
      <c r="AES451" s="268"/>
      <c r="AET451" s="268"/>
      <c r="AEU451" s="268"/>
      <c r="AEV451" s="268"/>
      <c r="AEW451" s="268"/>
      <c r="AEX451" s="268"/>
      <c r="AEY451" s="268"/>
      <c r="AEZ451" s="268"/>
      <c r="AFA451" s="268"/>
      <c r="AFB451" s="268"/>
      <c r="AFC451" s="268"/>
      <c r="AFD451" s="268"/>
      <c r="AFE451" s="268"/>
      <c r="AFF451" s="268"/>
      <c r="AFG451" s="268"/>
      <c r="AFH451" s="268"/>
      <c r="AFI451" s="268"/>
      <c r="AFJ451" s="268"/>
      <c r="AFK451" s="268"/>
      <c r="AFL451" s="268"/>
      <c r="AFM451" s="268"/>
      <c r="AFN451" s="268"/>
      <c r="AFO451" s="268"/>
      <c r="AFP451" s="268"/>
      <c r="AFQ451" s="268"/>
      <c r="AFR451" s="268"/>
      <c r="AFS451" s="268"/>
      <c r="AFT451" s="268"/>
      <c r="AFU451" s="268"/>
      <c r="AFV451" s="268"/>
      <c r="AFW451" s="268"/>
      <c r="AFX451" s="268"/>
      <c r="AFY451" s="268"/>
      <c r="AFZ451" s="268"/>
      <c r="AGA451" s="268"/>
      <c r="AGB451" s="268"/>
      <c r="AGC451" s="268"/>
      <c r="AGD451" s="268"/>
      <c r="AGE451" s="268"/>
      <c r="AGF451" s="268"/>
      <c r="AGG451" s="268"/>
      <c r="AGH451" s="268"/>
      <c r="AGI451" s="268"/>
      <c r="AGJ451" s="268"/>
      <c r="AGK451" s="268"/>
      <c r="AGL451" s="268"/>
      <c r="AGM451" s="268"/>
      <c r="AGN451" s="268"/>
      <c r="AGO451" s="268"/>
      <c r="AGP451" s="268"/>
      <c r="AGQ451" s="268"/>
      <c r="AGR451" s="268"/>
      <c r="AGS451" s="268"/>
      <c r="AGT451" s="268"/>
      <c r="AGU451" s="268"/>
      <c r="AGV451" s="268"/>
      <c r="AGW451" s="268"/>
      <c r="AGX451" s="268"/>
      <c r="AGY451" s="268"/>
      <c r="AGZ451" s="268"/>
      <c r="AHA451" s="268"/>
      <c r="AHB451" s="268"/>
      <c r="AHC451" s="268"/>
      <c r="AHD451" s="268"/>
      <c r="AHE451" s="268"/>
      <c r="AHF451" s="268"/>
      <c r="AHG451" s="268"/>
      <c r="AHH451" s="268"/>
      <c r="AHI451" s="268"/>
      <c r="AHJ451" s="268"/>
      <c r="AHK451" s="268"/>
      <c r="AHL451" s="268"/>
      <c r="AHM451" s="268"/>
      <c r="AHN451" s="268"/>
      <c r="AHO451" s="268"/>
      <c r="AHP451" s="268"/>
      <c r="AHQ451" s="268"/>
      <c r="AHR451" s="268"/>
      <c r="AHS451" s="268"/>
      <c r="AHT451" s="268"/>
      <c r="AHU451" s="268"/>
      <c r="AHV451" s="268"/>
      <c r="AHW451" s="268"/>
      <c r="AHX451" s="268"/>
      <c r="AHY451" s="268"/>
      <c r="AHZ451" s="268"/>
      <c r="AIA451" s="268"/>
      <c r="AIB451" s="268"/>
      <c r="AIC451" s="268"/>
      <c r="AID451" s="268"/>
      <c r="AIE451" s="268"/>
      <c r="AIF451" s="268"/>
      <c r="AIG451" s="268"/>
      <c r="AIH451" s="268"/>
      <c r="AII451" s="268"/>
      <c r="AIJ451" s="268"/>
      <c r="AIK451" s="268"/>
      <c r="AIL451" s="268"/>
      <c r="AIM451" s="268"/>
      <c r="AIN451" s="268"/>
      <c r="AIO451" s="268"/>
      <c r="AIP451" s="268"/>
      <c r="AIQ451" s="268"/>
      <c r="AIR451" s="268"/>
      <c r="AIS451" s="268"/>
      <c r="AIT451" s="268"/>
      <c r="AIU451" s="268"/>
      <c r="AIV451" s="268"/>
      <c r="AIW451" s="268"/>
      <c r="AIX451" s="268"/>
      <c r="AIY451" s="268"/>
      <c r="AIZ451" s="268"/>
      <c r="AJA451" s="268"/>
      <c r="AJB451" s="268"/>
      <c r="AJC451" s="268"/>
      <c r="AJD451" s="268"/>
      <c r="AJE451" s="268"/>
      <c r="AJF451" s="268"/>
      <c r="AJG451" s="268"/>
      <c r="AJH451" s="268"/>
      <c r="AJI451" s="268"/>
      <c r="AJJ451" s="268"/>
      <c r="AJK451" s="268"/>
      <c r="AJL451" s="268"/>
      <c r="AJM451" s="268"/>
      <c r="AJN451" s="268"/>
      <c r="AJO451" s="268"/>
      <c r="AJP451" s="268"/>
      <c r="AJQ451" s="268"/>
      <c r="AJR451" s="268"/>
      <c r="AJS451" s="268"/>
      <c r="AJT451" s="268"/>
      <c r="AJU451" s="268"/>
      <c r="AJV451" s="268"/>
      <c r="AJW451" s="268"/>
      <c r="AJX451" s="268"/>
      <c r="AJY451" s="268"/>
      <c r="AJZ451" s="268"/>
      <c r="AKA451" s="268"/>
      <c r="AKB451" s="268"/>
      <c r="AKC451" s="268"/>
      <c r="AKD451" s="268"/>
      <c r="AKE451" s="268"/>
      <c r="AKF451" s="268"/>
      <c r="AKG451" s="268"/>
      <c r="AKH451" s="268"/>
      <c r="AKI451" s="268"/>
      <c r="AKJ451" s="268"/>
      <c r="AKK451" s="268"/>
      <c r="AKL451" s="268"/>
      <c r="AKM451" s="268"/>
      <c r="AKN451" s="268"/>
      <c r="AKO451" s="268"/>
      <c r="AKP451" s="268"/>
      <c r="AKQ451" s="268"/>
      <c r="AKR451" s="268"/>
      <c r="AKS451" s="268"/>
      <c r="AKT451" s="268"/>
      <c r="AKU451" s="268"/>
      <c r="AKV451" s="268"/>
      <c r="AKW451" s="268"/>
      <c r="AKX451" s="268"/>
      <c r="AKY451" s="268"/>
      <c r="AKZ451" s="268"/>
      <c r="ALA451" s="268"/>
      <c r="ALB451" s="268"/>
      <c r="ALC451" s="268"/>
      <c r="ALD451" s="268"/>
      <c r="ALE451" s="268"/>
      <c r="ALF451" s="268"/>
      <c r="ALG451" s="268"/>
      <c r="ALH451" s="268"/>
      <c r="ALI451" s="268"/>
      <c r="ALJ451" s="268"/>
      <c r="ALK451" s="268"/>
      <c r="ALL451" s="268"/>
      <c r="ALM451" s="268"/>
      <c r="ALN451" s="268"/>
      <c r="ALO451" s="268"/>
      <c r="ALP451" s="268"/>
      <c r="ALQ451" s="268"/>
      <c r="ALR451" s="268"/>
      <c r="ALS451" s="268"/>
      <c r="ALT451" s="268"/>
      <c r="ALU451" s="268"/>
      <c r="ALV451" s="268"/>
      <c r="ALW451" s="268"/>
      <c r="ALX451" s="268"/>
      <c r="ALY451" s="268"/>
      <c r="ALZ451" s="268"/>
      <c r="AMA451" s="268"/>
      <c r="AMO451" s="268"/>
      <c r="AMP451" s="268"/>
      <c r="AMQ451" s="268"/>
      <c r="ANE451" s="268"/>
      <c r="ANG451" s="268"/>
      <c r="ANH451" s="268"/>
      <c r="ANI451" s="268"/>
      <c r="ANJ451" s="268"/>
      <c r="ANK451" s="268"/>
      <c r="ANL451" s="268"/>
      <c r="ANM451" s="268"/>
      <c r="ANN451" s="268"/>
      <c r="ANO451" s="268"/>
      <c r="ANP451" s="268"/>
      <c r="ANQ451" s="268"/>
      <c r="ANR451" s="268"/>
      <c r="ANS451" s="268"/>
      <c r="ANT451" s="268"/>
      <c r="ANU451" s="268"/>
      <c r="ANV451" s="268"/>
      <c r="ANW451" s="268"/>
      <c r="ANX451" s="268"/>
      <c r="ANY451" s="268"/>
      <c r="ANZ451" s="268"/>
      <c r="AOA451" s="268"/>
      <c r="AOB451" s="268"/>
      <c r="AOC451" s="268"/>
      <c r="AOD451" s="268"/>
      <c r="AOE451" s="268"/>
      <c r="AOF451" s="268"/>
      <c r="AOG451" s="268"/>
      <c r="AOH451" s="268"/>
      <c r="AOI451" s="268"/>
      <c r="AOJ451" s="268"/>
      <c r="AOK451" s="268"/>
      <c r="AOL451" s="268"/>
      <c r="AOM451" s="268"/>
      <c r="AON451" s="268"/>
      <c r="AOO451" s="268"/>
      <c r="AOP451" s="268"/>
      <c r="AOQ451" s="268"/>
      <c r="AOR451" s="268"/>
      <c r="AOS451" s="268"/>
      <c r="AOT451" s="268"/>
      <c r="AOU451" s="268"/>
      <c r="AOV451" s="268"/>
      <c r="AOW451" s="268"/>
      <c r="AOX451" s="268"/>
      <c r="AOY451" s="268"/>
      <c r="AOZ451" s="268"/>
      <c r="APA451" s="268"/>
      <c r="APB451" s="268"/>
      <c r="APC451" s="268"/>
      <c r="APD451" s="268"/>
      <c r="APE451" s="268"/>
      <c r="APF451" s="268"/>
      <c r="APG451" s="268"/>
      <c r="APH451" s="268"/>
      <c r="API451" s="268"/>
      <c r="APJ451" s="268"/>
      <c r="APK451" s="268"/>
      <c r="APL451" s="268"/>
      <c r="APM451" s="268"/>
      <c r="APN451" s="268"/>
      <c r="APO451" s="268"/>
      <c r="APP451" s="268"/>
      <c r="APQ451" s="268"/>
      <c r="APR451" s="268"/>
      <c r="APS451" s="268"/>
      <c r="APT451" s="268"/>
      <c r="APU451" s="268"/>
      <c r="APV451" s="268"/>
      <c r="APW451" s="268"/>
      <c r="APX451" s="268"/>
      <c r="APY451" s="268"/>
      <c r="APZ451" s="268"/>
      <c r="AQA451" s="268"/>
      <c r="AQB451" s="268"/>
      <c r="AQC451" s="268"/>
      <c r="AQD451" s="268"/>
      <c r="AQE451" s="268"/>
      <c r="AQF451" s="268"/>
      <c r="AQG451" s="268"/>
      <c r="AQH451" s="268"/>
      <c r="AQI451" s="268"/>
      <c r="AQJ451" s="268"/>
      <c r="AQK451" s="268"/>
      <c r="AQL451" s="268"/>
      <c r="AQM451" s="268"/>
      <c r="AQN451" s="268"/>
      <c r="AQO451" s="268"/>
      <c r="AQP451" s="268"/>
      <c r="AQQ451" s="268"/>
      <c r="AQR451" s="268"/>
      <c r="AQS451" s="268"/>
      <c r="AQT451" s="268"/>
      <c r="AQU451" s="268"/>
      <c r="AQV451" s="268"/>
      <c r="AQW451" s="268"/>
      <c r="AQX451" s="268"/>
      <c r="AQY451" s="268"/>
      <c r="AQZ451" s="268"/>
      <c r="ARA451" s="268"/>
      <c r="ARB451" s="268"/>
      <c r="ARC451" s="268"/>
      <c r="ARD451" s="268"/>
      <c r="ARE451" s="268"/>
      <c r="ARF451" s="268"/>
      <c r="ARG451" s="268"/>
      <c r="ARH451" s="268"/>
      <c r="ARI451" s="268"/>
      <c r="ARJ451" s="268"/>
      <c r="ARK451" s="268"/>
      <c r="ARL451" s="268"/>
      <c r="ARM451" s="268"/>
      <c r="ARN451" s="268"/>
      <c r="ARO451" s="268"/>
      <c r="ARP451" s="268"/>
      <c r="ARQ451" s="268"/>
      <c r="ARR451" s="268"/>
      <c r="ARS451" s="268"/>
      <c r="ART451" s="268"/>
      <c r="ARU451" s="268"/>
      <c r="ARV451" s="268"/>
      <c r="ARW451" s="268"/>
      <c r="ARX451" s="268"/>
      <c r="ARY451" s="268"/>
      <c r="ARZ451" s="268"/>
      <c r="ASA451" s="268"/>
      <c r="ASB451" s="268"/>
      <c r="ASC451" s="268"/>
      <c r="ASD451" s="268"/>
      <c r="ASE451" s="268"/>
      <c r="ASF451" s="268"/>
      <c r="ASG451" s="268"/>
      <c r="ASH451" s="268"/>
      <c r="ASI451" s="268"/>
      <c r="ASJ451" s="268"/>
      <c r="ASK451" s="268"/>
      <c r="ASL451" s="268"/>
      <c r="ASM451" s="268"/>
      <c r="ASN451" s="268"/>
      <c r="ASO451" s="268"/>
      <c r="ASP451" s="268"/>
      <c r="ASQ451" s="268"/>
      <c r="ASR451" s="268"/>
      <c r="ASS451" s="268"/>
      <c r="AST451" s="268"/>
      <c r="ASU451" s="268"/>
      <c r="ASV451" s="268"/>
      <c r="ASW451" s="268"/>
      <c r="ASX451" s="268"/>
      <c r="ASY451" s="268"/>
      <c r="ASZ451" s="268"/>
      <c r="ATA451" s="268"/>
      <c r="ATB451" s="268"/>
      <c r="ATC451" s="268"/>
      <c r="ATD451" s="268"/>
      <c r="ATE451" s="268"/>
      <c r="ATF451" s="268"/>
      <c r="ATG451" s="268"/>
      <c r="ATH451" s="268"/>
      <c r="ATI451" s="268"/>
      <c r="ATJ451" s="268"/>
      <c r="ATK451" s="268"/>
      <c r="ATL451" s="268"/>
      <c r="ATM451" s="268"/>
      <c r="ATN451" s="268"/>
      <c r="ATO451" s="268"/>
      <c r="ATP451" s="268"/>
      <c r="ATQ451" s="268"/>
      <c r="ATR451" s="268"/>
      <c r="ATS451" s="268"/>
      <c r="ATT451" s="268"/>
      <c r="ATU451" s="268"/>
      <c r="ATV451" s="268"/>
      <c r="ATW451" s="268"/>
      <c r="ATX451" s="268"/>
      <c r="ATY451" s="268"/>
      <c r="ATZ451" s="268"/>
      <c r="AUA451" s="268"/>
      <c r="AUB451" s="268"/>
      <c r="AUC451" s="268"/>
      <c r="AUD451" s="268"/>
      <c r="AUE451" s="268"/>
      <c r="AUF451" s="268"/>
      <c r="AUG451" s="268"/>
      <c r="AUH451" s="268"/>
      <c r="AUI451" s="268"/>
      <c r="AUJ451" s="268"/>
      <c r="AUK451" s="268"/>
      <c r="AUL451" s="268"/>
      <c r="AUM451" s="268"/>
      <c r="AUN451" s="268"/>
      <c r="AUO451" s="268"/>
      <c r="AUP451" s="268"/>
      <c r="AUQ451" s="268"/>
      <c r="AUR451" s="268"/>
      <c r="AUS451" s="268"/>
      <c r="AUT451" s="268"/>
      <c r="AUU451" s="268"/>
      <c r="AUV451" s="268"/>
      <c r="AUW451" s="268"/>
      <c r="AUX451" s="268"/>
      <c r="AUY451" s="268"/>
      <c r="AUZ451" s="268"/>
      <c r="AVA451" s="268"/>
      <c r="AVB451" s="268"/>
      <c r="AVC451" s="268"/>
      <c r="AVD451" s="268"/>
      <c r="AVE451" s="268"/>
      <c r="AVF451" s="268"/>
      <c r="AVG451" s="268"/>
      <c r="AVH451" s="268"/>
      <c r="AVI451" s="268"/>
      <c r="AVJ451" s="268"/>
      <c r="AVK451" s="268"/>
      <c r="AVL451" s="268"/>
      <c r="AVM451" s="268"/>
      <c r="AVN451" s="268"/>
      <c r="AVO451" s="268"/>
      <c r="AVP451" s="268"/>
      <c r="AVQ451" s="268"/>
      <c r="AVR451" s="268"/>
      <c r="AVS451" s="268"/>
      <c r="AVT451" s="268"/>
      <c r="AVU451" s="268"/>
      <c r="AVV451" s="268"/>
      <c r="AVW451" s="268"/>
      <c r="AWK451" s="268"/>
      <c r="AWL451" s="268"/>
      <c r="AWM451" s="268"/>
      <c r="AXA451" s="268"/>
      <c r="AXC451" s="268"/>
      <c r="AXD451" s="268"/>
      <c r="AXE451" s="268"/>
      <c r="AXF451" s="268"/>
      <c r="AXG451" s="268"/>
      <c r="AXH451" s="268"/>
      <c r="AXI451" s="268"/>
      <c r="AXJ451" s="268"/>
      <c r="AXK451" s="268"/>
      <c r="AXL451" s="268"/>
      <c r="AXM451" s="268"/>
      <c r="AXN451" s="268"/>
      <c r="AXO451" s="268"/>
      <c r="AXP451" s="268"/>
      <c r="AXQ451" s="268"/>
      <c r="AXR451" s="268"/>
      <c r="AXS451" s="268"/>
      <c r="AXT451" s="268"/>
      <c r="AXU451" s="268"/>
      <c r="AXV451" s="268"/>
      <c r="AXW451" s="268"/>
      <c r="AXX451" s="268"/>
      <c r="AXY451" s="268"/>
      <c r="AXZ451" s="268"/>
      <c r="AYA451" s="268"/>
      <c r="AYB451" s="268"/>
      <c r="AYC451" s="268"/>
      <c r="AYD451" s="268"/>
      <c r="AYE451" s="268"/>
      <c r="AYF451" s="268"/>
      <c r="AYG451" s="268"/>
      <c r="AYH451" s="268"/>
      <c r="AYI451" s="268"/>
      <c r="AYJ451" s="268"/>
      <c r="AYK451" s="268"/>
      <c r="AYL451" s="268"/>
      <c r="AYM451" s="268"/>
      <c r="AYN451" s="268"/>
      <c r="AYO451" s="268"/>
      <c r="AYP451" s="268"/>
      <c r="AYQ451" s="268"/>
      <c r="AYR451" s="268"/>
      <c r="AYS451" s="268"/>
      <c r="AYT451" s="268"/>
      <c r="AYU451" s="268"/>
      <c r="AYV451" s="268"/>
      <c r="AYW451" s="268"/>
      <c r="AYX451" s="268"/>
      <c r="AYY451" s="268"/>
      <c r="AYZ451" s="268"/>
      <c r="AZA451" s="268"/>
      <c r="AZB451" s="268"/>
      <c r="AZC451" s="268"/>
      <c r="AZD451" s="268"/>
      <c r="AZE451" s="268"/>
      <c r="AZF451" s="268"/>
      <c r="AZG451" s="268"/>
      <c r="AZH451" s="268"/>
      <c r="AZI451" s="268"/>
      <c r="AZJ451" s="268"/>
      <c r="AZK451" s="268"/>
      <c r="AZL451" s="268"/>
      <c r="AZM451" s="268"/>
      <c r="AZN451" s="268"/>
      <c r="AZO451" s="268"/>
      <c r="AZP451" s="268"/>
      <c r="AZQ451" s="268"/>
      <c r="AZR451" s="268"/>
      <c r="AZS451" s="268"/>
      <c r="AZT451" s="268"/>
      <c r="AZU451" s="268"/>
      <c r="AZV451" s="268"/>
      <c r="AZW451" s="268"/>
      <c r="AZX451" s="268"/>
      <c r="AZY451" s="268"/>
      <c r="AZZ451" s="268"/>
      <c r="BAA451" s="268"/>
      <c r="BAB451" s="268"/>
      <c r="BAC451" s="268"/>
      <c r="BAD451" s="268"/>
      <c r="BAE451" s="268"/>
      <c r="BAF451" s="268"/>
      <c r="BAG451" s="268"/>
      <c r="BAH451" s="268"/>
      <c r="BAI451" s="268"/>
      <c r="BAJ451" s="268"/>
      <c r="BAK451" s="268"/>
      <c r="BAL451" s="268"/>
      <c r="BAM451" s="268"/>
      <c r="BAN451" s="268"/>
      <c r="BAO451" s="268"/>
      <c r="BAP451" s="268"/>
      <c r="BAQ451" s="268"/>
      <c r="BAR451" s="268"/>
      <c r="BAS451" s="268"/>
      <c r="BAT451" s="268"/>
      <c r="BAU451" s="268"/>
      <c r="BAV451" s="268"/>
      <c r="BAW451" s="268"/>
      <c r="BAX451" s="268"/>
      <c r="BAY451" s="268"/>
      <c r="BAZ451" s="268"/>
      <c r="BBA451" s="268"/>
      <c r="BBB451" s="268"/>
      <c r="BBC451" s="268"/>
      <c r="BBD451" s="268"/>
      <c r="BBE451" s="268"/>
      <c r="BBF451" s="268"/>
      <c r="BBG451" s="268"/>
      <c r="BBH451" s="268"/>
      <c r="BBI451" s="268"/>
      <c r="BBJ451" s="268"/>
      <c r="BBK451" s="268"/>
      <c r="BBL451" s="268"/>
      <c r="BBM451" s="268"/>
      <c r="BBN451" s="268"/>
      <c r="BBO451" s="268"/>
      <c r="BBP451" s="268"/>
      <c r="BBQ451" s="268"/>
      <c r="BBR451" s="268"/>
      <c r="BBS451" s="268"/>
      <c r="BBT451" s="268"/>
      <c r="BBU451" s="268"/>
      <c r="BBV451" s="268"/>
      <c r="BBW451" s="268"/>
      <c r="BBX451" s="268"/>
      <c r="BBY451" s="268"/>
      <c r="BBZ451" s="268"/>
      <c r="BCA451" s="268"/>
      <c r="BCB451" s="268"/>
      <c r="BCC451" s="268"/>
      <c r="BCD451" s="268"/>
      <c r="BCE451" s="268"/>
      <c r="BCF451" s="268"/>
      <c r="BCG451" s="268"/>
      <c r="BCH451" s="268"/>
      <c r="BCI451" s="268"/>
      <c r="BCJ451" s="268"/>
      <c r="BCK451" s="268"/>
      <c r="BCL451" s="268"/>
      <c r="BCM451" s="268"/>
      <c r="BCN451" s="268"/>
      <c r="BCO451" s="268"/>
      <c r="BCP451" s="268"/>
      <c r="BCQ451" s="268"/>
      <c r="BCR451" s="268"/>
      <c r="BCS451" s="268"/>
      <c r="BCT451" s="268"/>
      <c r="BCU451" s="268"/>
      <c r="BCV451" s="268"/>
      <c r="BCW451" s="268"/>
      <c r="BCX451" s="268"/>
      <c r="BCY451" s="268"/>
      <c r="BCZ451" s="268"/>
      <c r="BDA451" s="268"/>
      <c r="BDB451" s="268"/>
      <c r="BDC451" s="268"/>
      <c r="BDD451" s="268"/>
      <c r="BDE451" s="268"/>
      <c r="BDF451" s="268"/>
      <c r="BDG451" s="268"/>
      <c r="BDH451" s="268"/>
      <c r="BDI451" s="268"/>
      <c r="BDJ451" s="268"/>
      <c r="BDK451" s="268"/>
      <c r="BDL451" s="268"/>
      <c r="BDM451" s="268"/>
      <c r="BDN451" s="268"/>
      <c r="BDO451" s="268"/>
      <c r="BDP451" s="268"/>
      <c r="BDQ451" s="268"/>
      <c r="BDR451" s="268"/>
      <c r="BDS451" s="268"/>
      <c r="BDT451" s="268"/>
      <c r="BDU451" s="268"/>
      <c r="BDV451" s="268"/>
      <c r="BDW451" s="268"/>
      <c r="BDX451" s="268"/>
      <c r="BDY451" s="268"/>
      <c r="BDZ451" s="268"/>
      <c r="BEA451" s="268"/>
      <c r="BEB451" s="268"/>
      <c r="BEC451" s="268"/>
      <c r="BED451" s="268"/>
      <c r="BEE451" s="268"/>
      <c r="BEF451" s="268"/>
      <c r="BEG451" s="268"/>
      <c r="BEH451" s="268"/>
      <c r="BEI451" s="268"/>
      <c r="BEJ451" s="268"/>
      <c r="BEK451" s="268"/>
      <c r="BEL451" s="268"/>
      <c r="BEM451" s="268"/>
      <c r="BEN451" s="268"/>
      <c r="BEO451" s="268"/>
      <c r="BEP451" s="268"/>
      <c r="BEQ451" s="268"/>
      <c r="BER451" s="268"/>
      <c r="BES451" s="268"/>
      <c r="BET451" s="268"/>
      <c r="BEU451" s="268"/>
      <c r="BEV451" s="268"/>
      <c r="BEW451" s="268"/>
      <c r="BEX451" s="268"/>
      <c r="BEY451" s="268"/>
      <c r="BEZ451" s="268"/>
      <c r="BFA451" s="268"/>
      <c r="BFB451" s="268"/>
      <c r="BFC451" s="268"/>
      <c r="BFD451" s="268"/>
      <c r="BFE451" s="268"/>
      <c r="BFF451" s="268"/>
      <c r="BFG451" s="268"/>
      <c r="BFH451" s="268"/>
      <c r="BFI451" s="268"/>
      <c r="BFJ451" s="268"/>
      <c r="BFK451" s="268"/>
      <c r="BFL451" s="268"/>
      <c r="BFM451" s="268"/>
      <c r="BFN451" s="268"/>
      <c r="BFO451" s="268"/>
      <c r="BFP451" s="268"/>
      <c r="BFQ451" s="268"/>
      <c r="BFR451" s="268"/>
      <c r="BFS451" s="268"/>
      <c r="BGG451" s="268"/>
      <c r="BGH451" s="268"/>
      <c r="BGI451" s="268"/>
      <c r="BGW451" s="268"/>
      <c r="BGY451" s="268"/>
      <c r="BGZ451" s="268"/>
      <c r="BHA451" s="268"/>
      <c r="BHB451" s="268"/>
      <c r="BHC451" s="268"/>
      <c r="BHD451" s="268"/>
      <c r="BHE451" s="268"/>
      <c r="BHF451" s="268"/>
      <c r="BHG451" s="268"/>
      <c r="BHH451" s="268"/>
      <c r="BHI451" s="268"/>
      <c r="BHJ451" s="268"/>
      <c r="BHK451" s="268"/>
      <c r="BHL451" s="268"/>
      <c r="BHM451" s="268"/>
      <c r="BHN451" s="268"/>
      <c r="BHO451" s="268"/>
      <c r="BHP451" s="268"/>
      <c r="BHQ451" s="268"/>
      <c r="BHR451" s="268"/>
      <c r="BHS451" s="268"/>
      <c r="BHT451" s="268"/>
      <c r="BHU451" s="268"/>
      <c r="BHV451" s="268"/>
      <c r="BHW451" s="268"/>
      <c r="BHX451" s="268"/>
      <c r="BHY451" s="268"/>
      <c r="BHZ451" s="268"/>
      <c r="BIA451" s="268"/>
      <c r="BIB451" s="268"/>
      <c r="BIC451" s="268"/>
      <c r="BID451" s="268"/>
      <c r="BIE451" s="268"/>
      <c r="BIF451" s="268"/>
      <c r="BIG451" s="268"/>
      <c r="BIH451" s="268"/>
      <c r="BII451" s="268"/>
      <c r="BIJ451" s="268"/>
      <c r="BIK451" s="268"/>
      <c r="BIL451" s="268"/>
      <c r="BIM451" s="268"/>
      <c r="BIN451" s="268"/>
      <c r="BIO451" s="268"/>
      <c r="BIP451" s="268"/>
      <c r="BIQ451" s="268"/>
      <c r="BIR451" s="268"/>
      <c r="BIS451" s="268"/>
      <c r="BIT451" s="268"/>
      <c r="BIU451" s="268"/>
      <c r="BIV451" s="268"/>
      <c r="BIW451" s="268"/>
      <c r="BIX451" s="268"/>
      <c r="BIY451" s="268"/>
      <c r="BIZ451" s="268"/>
      <c r="BJA451" s="268"/>
      <c r="BJB451" s="268"/>
      <c r="BJC451" s="268"/>
      <c r="BJD451" s="268"/>
      <c r="BJE451" s="268"/>
      <c r="BJF451" s="268"/>
      <c r="BJG451" s="268"/>
      <c r="BJH451" s="268"/>
      <c r="BJI451" s="268"/>
      <c r="BJJ451" s="268"/>
      <c r="BJK451" s="268"/>
      <c r="BJL451" s="268"/>
      <c r="BJM451" s="268"/>
      <c r="BJN451" s="268"/>
      <c r="BJO451" s="268"/>
      <c r="BJP451" s="268"/>
      <c r="BJQ451" s="268"/>
      <c r="BJR451" s="268"/>
      <c r="BJS451" s="268"/>
      <c r="BJT451" s="268"/>
      <c r="BJU451" s="268"/>
      <c r="BJV451" s="268"/>
      <c r="BJW451" s="268"/>
      <c r="BJX451" s="268"/>
      <c r="BJY451" s="268"/>
      <c r="BJZ451" s="268"/>
      <c r="BKA451" s="268"/>
      <c r="BKB451" s="268"/>
      <c r="BKC451" s="268"/>
      <c r="BKD451" s="268"/>
      <c r="BKE451" s="268"/>
      <c r="BKF451" s="268"/>
      <c r="BKG451" s="268"/>
      <c r="BKH451" s="268"/>
      <c r="BKI451" s="268"/>
      <c r="BKJ451" s="268"/>
      <c r="BKK451" s="268"/>
      <c r="BKL451" s="268"/>
      <c r="BKM451" s="268"/>
      <c r="BKN451" s="268"/>
      <c r="BKO451" s="268"/>
      <c r="BKP451" s="268"/>
      <c r="BKQ451" s="268"/>
      <c r="BKR451" s="268"/>
      <c r="BKS451" s="268"/>
      <c r="BKT451" s="268"/>
      <c r="BKU451" s="268"/>
      <c r="BKV451" s="268"/>
      <c r="BKW451" s="268"/>
      <c r="BKX451" s="268"/>
      <c r="BKY451" s="268"/>
      <c r="BKZ451" s="268"/>
      <c r="BLA451" s="268"/>
      <c r="BLB451" s="268"/>
      <c r="BLC451" s="268"/>
      <c r="BLD451" s="268"/>
      <c r="BLE451" s="268"/>
      <c r="BLF451" s="268"/>
      <c r="BLG451" s="268"/>
      <c r="BLH451" s="268"/>
      <c r="BLI451" s="268"/>
      <c r="BLJ451" s="268"/>
      <c r="BLK451" s="268"/>
      <c r="BLL451" s="268"/>
      <c r="BLM451" s="268"/>
      <c r="BLN451" s="268"/>
      <c r="BLO451" s="268"/>
      <c r="BLP451" s="268"/>
      <c r="BLQ451" s="268"/>
      <c r="BLR451" s="268"/>
      <c r="BLS451" s="268"/>
      <c r="BLT451" s="268"/>
      <c r="BLU451" s="268"/>
      <c r="BLV451" s="268"/>
      <c r="BLW451" s="268"/>
      <c r="BLX451" s="268"/>
      <c r="BLY451" s="268"/>
      <c r="BLZ451" s="268"/>
      <c r="BMA451" s="268"/>
      <c r="BMB451" s="268"/>
      <c r="BMC451" s="268"/>
      <c r="BMD451" s="268"/>
      <c r="BME451" s="268"/>
      <c r="BMF451" s="268"/>
      <c r="BMG451" s="268"/>
      <c r="BMH451" s="268"/>
      <c r="BMI451" s="268"/>
      <c r="BMJ451" s="268"/>
      <c r="BMK451" s="268"/>
      <c r="BML451" s="268"/>
      <c r="BMM451" s="268"/>
      <c r="BMN451" s="268"/>
      <c r="BMO451" s="268"/>
      <c r="BMP451" s="268"/>
      <c r="BMQ451" s="268"/>
      <c r="BMR451" s="268"/>
      <c r="BMS451" s="268"/>
      <c r="BMT451" s="268"/>
      <c r="BMU451" s="268"/>
      <c r="BMV451" s="268"/>
      <c r="BMW451" s="268"/>
      <c r="BMX451" s="268"/>
      <c r="BMY451" s="268"/>
      <c r="BMZ451" s="268"/>
      <c r="BNA451" s="268"/>
      <c r="BNB451" s="268"/>
      <c r="BNC451" s="268"/>
      <c r="BND451" s="268"/>
      <c r="BNE451" s="268"/>
      <c r="BNF451" s="268"/>
      <c r="BNG451" s="268"/>
      <c r="BNH451" s="268"/>
      <c r="BNI451" s="268"/>
      <c r="BNJ451" s="268"/>
      <c r="BNK451" s="268"/>
      <c r="BNL451" s="268"/>
      <c r="BNM451" s="268"/>
      <c r="BNN451" s="268"/>
      <c r="BNO451" s="268"/>
      <c r="BNP451" s="268"/>
      <c r="BNQ451" s="268"/>
      <c r="BNR451" s="268"/>
      <c r="BNS451" s="268"/>
      <c r="BNT451" s="268"/>
      <c r="BNU451" s="268"/>
      <c r="BNV451" s="268"/>
      <c r="BNW451" s="268"/>
      <c r="BNX451" s="268"/>
      <c r="BNY451" s="268"/>
      <c r="BNZ451" s="268"/>
      <c r="BOA451" s="268"/>
      <c r="BOB451" s="268"/>
      <c r="BOC451" s="268"/>
      <c r="BOD451" s="268"/>
      <c r="BOE451" s="268"/>
      <c r="BOF451" s="268"/>
      <c r="BOG451" s="268"/>
      <c r="BOH451" s="268"/>
      <c r="BOI451" s="268"/>
      <c r="BOJ451" s="268"/>
      <c r="BOK451" s="268"/>
      <c r="BOL451" s="268"/>
      <c r="BOM451" s="268"/>
      <c r="BON451" s="268"/>
      <c r="BOO451" s="268"/>
      <c r="BOP451" s="268"/>
      <c r="BOQ451" s="268"/>
      <c r="BOR451" s="268"/>
      <c r="BOS451" s="268"/>
      <c r="BOT451" s="268"/>
      <c r="BOU451" s="268"/>
      <c r="BOV451" s="268"/>
      <c r="BOW451" s="268"/>
      <c r="BOX451" s="268"/>
      <c r="BOY451" s="268"/>
      <c r="BOZ451" s="268"/>
      <c r="BPA451" s="268"/>
      <c r="BPB451" s="268"/>
      <c r="BPC451" s="268"/>
      <c r="BPD451" s="268"/>
      <c r="BPE451" s="268"/>
      <c r="BPF451" s="268"/>
      <c r="BPG451" s="268"/>
      <c r="BPH451" s="268"/>
      <c r="BPI451" s="268"/>
      <c r="BPJ451" s="268"/>
      <c r="BPK451" s="268"/>
      <c r="BPL451" s="268"/>
      <c r="BPM451" s="268"/>
      <c r="BPN451" s="268"/>
      <c r="BPO451" s="268"/>
      <c r="BQC451" s="268"/>
      <c r="BQD451" s="268"/>
      <c r="BQE451" s="268"/>
      <c r="BQS451" s="268"/>
      <c r="BQU451" s="268"/>
      <c r="BQV451" s="268"/>
      <c r="BQW451" s="268"/>
      <c r="BQX451" s="268"/>
      <c r="BQY451" s="268"/>
      <c r="BQZ451" s="268"/>
      <c r="BRA451" s="268"/>
      <c r="BRB451" s="268"/>
      <c r="BRC451" s="268"/>
      <c r="BRD451" s="268"/>
      <c r="BRE451" s="268"/>
      <c r="BRF451" s="268"/>
      <c r="BRG451" s="268"/>
      <c r="BRH451" s="268"/>
      <c r="BRI451" s="268"/>
      <c r="BRJ451" s="268"/>
      <c r="BRK451" s="268"/>
      <c r="BRL451" s="268"/>
      <c r="BRM451" s="268"/>
      <c r="BRN451" s="268"/>
      <c r="BRO451" s="268"/>
      <c r="BRP451" s="268"/>
      <c r="BRQ451" s="268"/>
      <c r="BRR451" s="268"/>
      <c r="BRS451" s="268"/>
      <c r="BRT451" s="268"/>
      <c r="BRU451" s="268"/>
      <c r="BRV451" s="268"/>
      <c r="BRW451" s="268"/>
      <c r="BRX451" s="268"/>
      <c r="BRY451" s="268"/>
      <c r="BRZ451" s="268"/>
      <c r="BSA451" s="268"/>
      <c r="BSB451" s="268"/>
      <c r="BSC451" s="268"/>
      <c r="BSD451" s="268"/>
      <c r="BSE451" s="268"/>
      <c r="BSF451" s="268"/>
      <c r="BSG451" s="268"/>
      <c r="BSH451" s="268"/>
      <c r="BSI451" s="268"/>
      <c r="BSJ451" s="268"/>
      <c r="BSK451" s="268"/>
      <c r="BSL451" s="268"/>
      <c r="BSM451" s="268"/>
      <c r="BSN451" s="268"/>
      <c r="BSO451" s="268"/>
      <c r="BSP451" s="268"/>
      <c r="BSQ451" s="268"/>
      <c r="BSR451" s="268"/>
      <c r="BSS451" s="268"/>
      <c r="BST451" s="268"/>
      <c r="BSU451" s="268"/>
      <c r="BSV451" s="268"/>
      <c r="BSW451" s="268"/>
      <c r="BSX451" s="268"/>
      <c r="BSY451" s="268"/>
      <c r="BSZ451" s="268"/>
      <c r="BTA451" s="268"/>
      <c r="BTB451" s="268"/>
      <c r="BTC451" s="268"/>
      <c r="BTD451" s="268"/>
      <c r="BTE451" s="268"/>
      <c r="BTF451" s="268"/>
      <c r="BTG451" s="268"/>
      <c r="BTH451" s="268"/>
      <c r="BTI451" s="268"/>
      <c r="BTJ451" s="268"/>
      <c r="BTK451" s="268"/>
      <c r="BTL451" s="268"/>
      <c r="BTM451" s="268"/>
      <c r="BTN451" s="268"/>
      <c r="BTO451" s="268"/>
      <c r="BTP451" s="268"/>
      <c r="BTQ451" s="268"/>
      <c r="BTR451" s="268"/>
      <c r="BTS451" s="268"/>
      <c r="BTT451" s="268"/>
      <c r="BTU451" s="268"/>
      <c r="BTV451" s="268"/>
      <c r="BTW451" s="268"/>
      <c r="BTX451" s="268"/>
      <c r="BTY451" s="268"/>
      <c r="BTZ451" s="268"/>
      <c r="BUA451" s="268"/>
      <c r="BUB451" s="268"/>
      <c r="BUC451" s="268"/>
      <c r="BUD451" s="268"/>
      <c r="BUE451" s="268"/>
      <c r="BUF451" s="268"/>
      <c r="BUG451" s="268"/>
      <c r="BUH451" s="268"/>
      <c r="BUI451" s="268"/>
      <c r="BUJ451" s="268"/>
      <c r="BUK451" s="268"/>
      <c r="BUL451" s="268"/>
      <c r="BUM451" s="268"/>
      <c r="BUN451" s="268"/>
      <c r="BUO451" s="268"/>
      <c r="BUP451" s="268"/>
      <c r="BUQ451" s="268"/>
      <c r="BUR451" s="268"/>
      <c r="BUS451" s="268"/>
      <c r="BUT451" s="268"/>
      <c r="BUU451" s="268"/>
      <c r="BUV451" s="268"/>
      <c r="BUW451" s="268"/>
      <c r="BUX451" s="268"/>
      <c r="BUY451" s="268"/>
      <c r="BUZ451" s="268"/>
      <c r="BVA451" s="268"/>
      <c r="BVB451" s="268"/>
      <c r="BVC451" s="268"/>
      <c r="BVD451" s="268"/>
      <c r="BVE451" s="268"/>
      <c r="BVF451" s="268"/>
      <c r="BVG451" s="268"/>
      <c r="BVH451" s="268"/>
      <c r="BVI451" s="268"/>
      <c r="BVJ451" s="268"/>
      <c r="BVK451" s="268"/>
      <c r="BVL451" s="268"/>
      <c r="BVM451" s="268"/>
      <c r="BVN451" s="268"/>
      <c r="BVO451" s="268"/>
      <c r="BVP451" s="268"/>
      <c r="BVQ451" s="268"/>
      <c r="BVR451" s="268"/>
      <c r="BVS451" s="268"/>
      <c r="BVT451" s="268"/>
      <c r="BVU451" s="268"/>
      <c r="BVV451" s="268"/>
      <c r="BVW451" s="268"/>
      <c r="BVX451" s="268"/>
      <c r="BVY451" s="268"/>
      <c r="BVZ451" s="268"/>
      <c r="BWA451" s="268"/>
      <c r="BWB451" s="268"/>
      <c r="BWC451" s="268"/>
      <c r="BWD451" s="268"/>
      <c r="BWE451" s="268"/>
      <c r="BWF451" s="268"/>
      <c r="BWG451" s="268"/>
      <c r="BWH451" s="268"/>
      <c r="BWI451" s="268"/>
      <c r="BWJ451" s="268"/>
      <c r="BWK451" s="268"/>
      <c r="BWL451" s="268"/>
      <c r="BWM451" s="268"/>
      <c r="BWN451" s="268"/>
      <c r="BWO451" s="268"/>
      <c r="BWP451" s="268"/>
      <c r="BWQ451" s="268"/>
      <c r="BWR451" s="268"/>
      <c r="BWS451" s="268"/>
      <c r="BWT451" s="268"/>
      <c r="BWU451" s="268"/>
      <c r="BWV451" s="268"/>
      <c r="BWW451" s="268"/>
      <c r="BWX451" s="268"/>
      <c r="BWY451" s="268"/>
      <c r="BWZ451" s="268"/>
      <c r="BXA451" s="268"/>
      <c r="BXB451" s="268"/>
      <c r="BXC451" s="268"/>
      <c r="BXD451" s="268"/>
      <c r="BXE451" s="268"/>
      <c r="BXF451" s="268"/>
      <c r="BXG451" s="268"/>
      <c r="BXH451" s="268"/>
      <c r="BXI451" s="268"/>
      <c r="BXJ451" s="268"/>
      <c r="BXK451" s="268"/>
      <c r="BXL451" s="268"/>
      <c r="BXM451" s="268"/>
      <c r="BXN451" s="268"/>
      <c r="BXO451" s="268"/>
      <c r="BXP451" s="268"/>
      <c r="BXQ451" s="268"/>
      <c r="BXR451" s="268"/>
      <c r="BXS451" s="268"/>
      <c r="BXT451" s="268"/>
      <c r="BXU451" s="268"/>
      <c r="BXV451" s="268"/>
      <c r="BXW451" s="268"/>
      <c r="BXX451" s="268"/>
      <c r="BXY451" s="268"/>
      <c r="BXZ451" s="268"/>
      <c r="BYA451" s="268"/>
      <c r="BYB451" s="268"/>
      <c r="BYC451" s="268"/>
      <c r="BYD451" s="268"/>
      <c r="BYE451" s="268"/>
      <c r="BYF451" s="268"/>
      <c r="BYG451" s="268"/>
      <c r="BYH451" s="268"/>
      <c r="BYI451" s="268"/>
      <c r="BYJ451" s="268"/>
      <c r="BYK451" s="268"/>
      <c r="BYL451" s="268"/>
      <c r="BYM451" s="268"/>
      <c r="BYN451" s="268"/>
      <c r="BYO451" s="268"/>
      <c r="BYP451" s="268"/>
      <c r="BYQ451" s="268"/>
      <c r="BYR451" s="268"/>
      <c r="BYS451" s="268"/>
      <c r="BYT451" s="268"/>
      <c r="BYU451" s="268"/>
      <c r="BYV451" s="268"/>
      <c r="BYW451" s="268"/>
      <c r="BYX451" s="268"/>
      <c r="BYY451" s="268"/>
      <c r="BYZ451" s="268"/>
      <c r="BZA451" s="268"/>
      <c r="BZB451" s="268"/>
      <c r="BZC451" s="268"/>
      <c r="BZD451" s="268"/>
      <c r="BZE451" s="268"/>
      <c r="BZF451" s="268"/>
      <c r="BZG451" s="268"/>
      <c r="BZH451" s="268"/>
      <c r="BZI451" s="268"/>
      <c r="BZJ451" s="268"/>
      <c r="BZK451" s="268"/>
      <c r="BZY451" s="268"/>
      <c r="BZZ451" s="268"/>
      <c r="CAA451" s="268"/>
      <c r="CAO451" s="268"/>
      <c r="CAQ451" s="268"/>
      <c r="CAR451" s="268"/>
      <c r="CAS451" s="268"/>
      <c r="CAT451" s="268"/>
      <c r="CAU451" s="268"/>
      <c r="CAV451" s="268"/>
      <c r="CAW451" s="268"/>
      <c r="CAX451" s="268"/>
      <c r="CAY451" s="268"/>
      <c r="CAZ451" s="268"/>
      <c r="CBA451" s="268"/>
      <c r="CBB451" s="268"/>
      <c r="CBC451" s="268"/>
      <c r="CBD451" s="268"/>
      <c r="CBE451" s="268"/>
      <c r="CBF451" s="268"/>
      <c r="CBG451" s="268"/>
      <c r="CBH451" s="268"/>
      <c r="CBI451" s="268"/>
      <c r="CBJ451" s="268"/>
      <c r="CBK451" s="268"/>
      <c r="CBL451" s="268"/>
      <c r="CBM451" s="268"/>
      <c r="CBN451" s="268"/>
      <c r="CBO451" s="268"/>
      <c r="CBP451" s="268"/>
      <c r="CBQ451" s="268"/>
      <c r="CBR451" s="268"/>
      <c r="CBS451" s="268"/>
      <c r="CBT451" s="268"/>
      <c r="CBU451" s="268"/>
      <c r="CBV451" s="268"/>
      <c r="CBW451" s="268"/>
      <c r="CBX451" s="268"/>
      <c r="CBY451" s="268"/>
      <c r="CBZ451" s="268"/>
      <c r="CCA451" s="268"/>
      <c r="CCB451" s="268"/>
      <c r="CCC451" s="268"/>
      <c r="CCD451" s="268"/>
      <c r="CCE451" s="268"/>
      <c r="CCF451" s="268"/>
      <c r="CCG451" s="268"/>
      <c r="CCH451" s="268"/>
      <c r="CCI451" s="268"/>
      <c r="CCJ451" s="268"/>
      <c r="CCK451" s="268"/>
      <c r="CCL451" s="268"/>
      <c r="CCM451" s="268"/>
      <c r="CCN451" s="268"/>
      <c r="CCO451" s="268"/>
      <c r="CCP451" s="268"/>
      <c r="CCQ451" s="268"/>
      <c r="CCR451" s="268"/>
      <c r="CCS451" s="268"/>
      <c r="CCT451" s="268"/>
      <c r="CCU451" s="268"/>
      <c r="CCV451" s="268"/>
      <c r="CCW451" s="268"/>
      <c r="CCX451" s="268"/>
      <c r="CCY451" s="268"/>
      <c r="CCZ451" s="268"/>
      <c r="CDA451" s="268"/>
      <c r="CDB451" s="268"/>
      <c r="CDC451" s="268"/>
      <c r="CDD451" s="268"/>
      <c r="CDE451" s="268"/>
      <c r="CDF451" s="268"/>
      <c r="CDG451" s="268"/>
      <c r="CDH451" s="268"/>
      <c r="CDI451" s="268"/>
      <c r="CDJ451" s="268"/>
      <c r="CDK451" s="268"/>
      <c r="CDL451" s="268"/>
      <c r="CDM451" s="268"/>
      <c r="CDN451" s="268"/>
      <c r="CDO451" s="268"/>
      <c r="CDP451" s="268"/>
      <c r="CDQ451" s="268"/>
      <c r="CDR451" s="268"/>
      <c r="CDS451" s="268"/>
      <c r="CDT451" s="268"/>
      <c r="CDU451" s="268"/>
      <c r="CDV451" s="268"/>
      <c r="CDW451" s="268"/>
      <c r="CDX451" s="268"/>
      <c r="CDY451" s="268"/>
      <c r="CDZ451" s="268"/>
      <c r="CEA451" s="268"/>
      <c r="CEB451" s="268"/>
      <c r="CEC451" s="268"/>
      <c r="CED451" s="268"/>
      <c r="CEE451" s="268"/>
      <c r="CEF451" s="268"/>
      <c r="CEG451" s="268"/>
      <c r="CEH451" s="268"/>
      <c r="CEI451" s="268"/>
      <c r="CEJ451" s="268"/>
      <c r="CEK451" s="268"/>
      <c r="CEL451" s="268"/>
      <c r="CEM451" s="268"/>
      <c r="CEN451" s="268"/>
      <c r="CEO451" s="268"/>
      <c r="CEP451" s="268"/>
      <c r="CEQ451" s="268"/>
      <c r="CER451" s="268"/>
      <c r="CES451" s="268"/>
      <c r="CET451" s="268"/>
      <c r="CEU451" s="268"/>
      <c r="CEV451" s="268"/>
      <c r="CEW451" s="268"/>
      <c r="CEX451" s="268"/>
      <c r="CEY451" s="268"/>
      <c r="CEZ451" s="268"/>
      <c r="CFA451" s="268"/>
      <c r="CFB451" s="268"/>
      <c r="CFC451" s="268"/>
      <c r="CFD451" s="268"/>
      <c r="CFE451" s="268"/>
      <c r="CFF451" s="268"/>
      <c r="CFG451" s="268"/>
      <c r="CFH451" s="268"/>
      <c r="CFI451" s="268"/>
      <c r="CFJ451" s="268"/>
      <c r="CFK451" s="268"/>
      <c r="CFL451" s="268"/>
      <c r="CFM451" s="268"/>
      <c r="CFN451" s="268"/>
      <c r="CFO451" s="268"/>
      <c r="CFP451" s="268"/>
      <c r="CFQ451" s="268"/>
      <c r="CFR451" s="268"/>
      <c r="CFS451" s="268"/>
      <c r="CFT451" s="268"/>
      <c r="CFU451" s="268"/>
      <c r="CFV451" s="268"/>
      <c r="CFW451" s="268"/>
      <c r="CFX451" s="268"/>
      <c r="CFY451" s="268"/>
      <c r="CFZ451" s="268"/>
      <c r="CGA451" s="268"/>
      <c r="CGB451" s="268"/>
      <c r="CGC451" s="268"/>
      <c r="CGD451" s="268"/>
      <c r="CGE451" s="268"/>
      <c r="CGF451" s="268"/>
      <c r="CGG451" s="268"/>
      <c r="CGH451" s="268"/>
      <c r="CGI451" s="268"/>
      <c r="CGJ451" s="268"/>
      <c r="CGK451" s="268"/>
      <c r="CGL451" s="268"/>
      <c r="CGM451" s="268"/>
      <c r="CGN451" s="268"/>
      <c r="CGO451" s="268"/>
      <c r="CGP451" s="268"/>
      <c r="CGQ451" s="268"/>
      <c r="CGR451" s="268"/>
      <c r="CGS451" s="268"/>
      <c r="CGT451" s="268"/>
      <c r="CGU451" s="268"/>
      <c r="CGV451" s="268"/>
      <c r="CGW451" s="268"/>
      <c r="CGX451" s="268"/>
      <c r="CGY451" s="268"/>
      <c r="CGZ451" s="268"/>
      <c r="CHA451" s="268"/>
      <c r="CHB451" s="268"/>
      <c r="CHC451" s="268"/>
      <c r="CHD451" s="268"/>
      <c r="CHE451" s="268"/>
      <c r="CHF451" s="268"/>
      <c r="CHG451" s="268"/>
      <c r="CHH451" s="268"/>
      <c r="CHI451" s="268"/>
      <c r="CHJ451" s="268"/>
      <c r="CHK451" s="268"/>
      <c r="CHL451" s="268"/>
      <c r="CHM451" s="268"/>
      <c r="CHN451" s="268"/>
      <c r="CHO451" s="268"/>
      <c r="CHP451" s="268"/>
      <c r="CHQ451" s="268"/>
      <c r="CHR451" s="268"/>
      <c r="CHS451" s="268"/>
      <c r="CHT451" s="268"/>
      <c r="CHU451" s="268"/>
      <c r="CHV451" s="268"/>
      <c r="CHW451" s="268"/>
      <c r="CHX451" s="268"/>
      <c r="CHY451" s="268"/>
      <c r="CHZ451" s="268"/>
      <c r="CIA451" s="268"/>
      <c r="CIB451" s="268"/>
      <c r="CIC451" s="268"/>
      <c r="CID451" s="268"/>
      <c r="CIE451" s="268"/>
      <c r="CIF451" s="268"/>
      <c r="CIG451" s="268"/>
      <c r="CIH451" s="268"/>
      <c r="CII451" s="268"/>
      <c r="CIJ451" s="268"/>
      <c r="CIK451" s="268"/>
      <c r="CIL451" s="268"/>
      <c r="CIM451" s="268"/>
      <c r="CIN451" s="268"/>
      <c r="CIO451" s="268"/>
      <c r="CIP451" s="268"/>
      <c r="CIQ451" s="268"/>
      <c r="CIR451" s="268"/>
      <c r="CIS451" s="268"/>
      <c r="CIT451" s="268"/>
      <c r="CIU451" s="268"/>
      <c r="CIV451" s="268"/>
      <c r="CIW451" s="268"/>
      <c r="CIX451" s="268"/>
      <c r="CIY451" s="268"/>
      <c r="CIZ451" s="268"/>
      <c r="CJA451" s="268"/>
      <c r="CJB451" s="268"/>
      <c r="CJC451" s="268"/>
      <c r="CJD451" s="268"/>
      <c r="CJE451" s="268"/>
      <c r="CJF451" s="268"/>
      <c r="CJG451" s="268"/>
      <c r="CJU451" s="268"/>
      <c r="CJV451" s="268"/>
      <c r="CJW451" s="268"/>
      <c r="CKK451" s="268"/>
      <c r="CKM451" s="268"/>
      <c r="CKN451" s="268"/>
      <c r="CKO451" s="268"/>
      <c r="CKP451" s="268"/>
      <c r="CKQ451" s="268"/>
      <c r="CKR451" s="268"/>
      <c r="CKS451" s="268"/>
      <c r="CKT451" s="268"/>
      <c r="CKU451" s="268"/>
      <c r="CKV451" s="268"/>
      <c r="CKW451" s="268"/>
      <c r="CKX451" s="268"/>
      <c r="CKY451" s="268"/>
      <c r="CKZ451" s="268"/>
      <c r="CLA451" s="268"/>
      <c r="CLB451" s="268"/>
      <c r="CLC451" s="268"/>
      <c r="CLD451" s="268"/>
      <c r="CLE451" s="268"/>
      <c r="CLF451" s="268"/>
      <c r="CLG451" s="268"/>
      <c r="CLH451" s="268"/>
      <c r="CLI451" s="268"/>
      <c r="CLJ451" s="268"/>
      <c r="CLK451" s="268"/>
      <c r="CLL451" s="268"/>
      <c r="CLM451" s="268"/>
      <c r="CLN451" s="268"/>
      <c r="CLO451" s="268"/>
      <c r="CLP451" s="268"/>
      <c r="CLQ451" s="268"/>
      <c r="CLR451" s="268"/>
      <c r="CLS451" s="268"/>
      <c r="CLT451" s="268"/>
      <c r="CLU451" s="268"/>
      <c r="CLV451" s="268"/>
      <c r="CLW451" s="268"/>
      <c r="CLX451" s="268"/>
      <c r="CLY451" s="268"/>
      <c r="CLZ451" s="268"/>
      <c r="CMA451" s="268"/>
      <c r="CMB451" s="268"/>
      <c r="CMC451" s="268"/>
      <c r="CMD451" s="268"/>
      <c r="CME451" s="268"/>
      <c r="CMF451" s="268"/>
      <c r="CMG451" s="268"/>
      <c r="CMH451" s="268"/>
      <c r="CMI451" s="268"/>
      <c r="CMJ451" s="268"/>
      <c r="CMK451" s="268"/>
      <c r="CML451" s="268"/>
      <c r="CMM451" s="268"/>
      <c r="CMN451" s="268"/>
      <c r="CMO451" s="268"/>
      <c r="CMP451" s="268"/>
      <c r="CMQ451" s="268"/>
      <c r="CMR451" s="268"/>
      <c r="CMS451" s="268"/>
      <c r="CMT451" s="268"/>
      <c r="CMU451" s="268"/>
      <c r="CMV451" s="268"/>
      <c r="CMW451" s="268"/>
      <c r="CMX451" s="268"/>
      <c r="CMY451" s="268"/>
      <c r="CMZ451" s="268"/>
      <c r="CNA451" s="268"/>
      <c r="CNB451" s="268"/>
      <c r="CNC451" s="268"/>
      <c r="CND451" s="268"/>
      <c r="CNE451" s="268"/>
      <c r="CNF451" s="268"/>
      <c r="CNG451" s="268"/>
      <c r="CNH451" s="268"/>
      <c r="CNI451" s="268"/>
      <c r="CNJ451" s="268"/>
      <c r="CNK451" s="268"/>
      <c r="CNL451" s="268"/>
      <c r="CNM451" s="268"/>
      <c r="CNN451" s="268"/>
      <c r="CNO451" s="268"/>
      <c r="CNP451" s="268"/>
      <c r="CNQ451" s="268"/>
      <c r="CNR451" s="268"/>
      <c r="CNS451" s="268"/>
      <c r="CNT451" s="268"/>
      <c r="CNU451" s="268"/>
      <c r="CNV451" s="268"/>
      <c r="CNW451" s="268"/>
      <c r="CNX451" s="268"/>
      <c r="CNY451" s="268"/>
      <c r="CNZ451" s="268"/>
      <c r="COA451" s="268"/>
      <c r="COB451" s="268"/>
      <c r="COC451" s="268"/>
      <c r="COD451" s="268"/>
      <c r="COE451" s="268"/>
      <c r="COF451" s="268"/>
      <c r="COG451" s="268"/>
      <c r="COH451" s="268"/>
      <c r="COI451" s="268"/>
      <c r="COJ451" s="268"/>
      <c r="COK451" s="268"/>
      <c r="COL451" s="268"/>
      <c r="COM451" s="268"/>
      <c r="CON451" s="268"/>
      <c r="COO451" s="268"/>
      <c r="COP451" s="268"/>
      <c r="COQ451" s="268"/>
      <c r="COR451" s="268"/>
      <c r="COS451" s="268"/>
      <c r="COT451" s="268"/>
      <c r="COU451" s="268"/>
      <c r="COV451" s="268"/>
      <c r="COW451" s="268"/>
      <c r="COX451" s="268"/>
      <c r="COY451" s="268"/>
      <c r="COZ451" s="268"/>
      <c r="CPA451" s="268"/>
      <c r="CPB451" s="268"/>
      <c r="CPC451" s="268"/>
      <c r="CPD451" s="268"/>
      <c r="CPE451" s="268"/>
      <c r="CPF451" s="268"/>
      <c r="CPG451" s="268"/>
      <c r="CPH451" s="268"/>
      <c r="CPI451" s="268"/>
      <c r="CPJ451" s="268"/>
      <c r="CPK451" s="268"/>
      <c r="CPL451" s="268"/>
      <c r="CPM451" s="268"/>
      <c r="CPN451" s="268"/>
      <c r="CPO451" s="268"/>
      <c r="CPP451" s="268"/>
      <c r="CPQ451" s="268"/>
      <c r="CPR451" s="268"/>
      <c r="CPS451" s="268"/>
      <c r="CPT451" s="268"/>
      <c r="CPU451" s="268"/>
      <c r="CPV451" s="268"/>
      <c r="CPW451" s="268"/>
      <c r="CPX451" s="268"/>
      <c r="CPY451" s="268"/>
      <c r="CPZ451" s="268"/>
      <c r="CQA451" s="268"/>
      <c r="CQB451" s="268"/>
      <c r="CQC451" s="268"/>
      <c r="CQD451" s="268"/>
      <c r="CQE451" s="268"/>
      <c r="CQF451" s="268"/>
      <c r="CQG451" s="268"/>
      <c r="CQH451" s="268"/>
      <c r="CQI451" s="268"/>
      <c r="CQJ451" s="268"/>
      <c r="CQK451" s="268"/>
      <c r="CQL451" s="268"/>
      <c r="CQM451" s="268"/>
      <c r="CQN451" s="268"/>
      <c r="CQO451" s="268"/>
      <c r="CQP451" s="268"/>
      <c r="CQQ451" s="268"/>
      <c r="CQR451" s="268"/>
      <c r="CQS451" s="268"/>
      <c r="CQT451" s="268"/>
      <c r="CQU451" s="268"/>
      <c r="CQV451" s="268"/>
      <c r="CQW451" s="268"/>
      <c r="CQX451" s="268"/>
      <c r="CQY451" s="268"/>
      <c r="CQZ451" s="268"/>
      <c r="CRA451" s="268"/>
      <c r="CRB451" s="268"/>
      <c r="CRC451" s="268"/>
      <c r="CRD451" s="268"/>
      <c r="CRE451" s="268"/>
      <c r="CRF451" s="268"/>
      <c r="CRG451" s="268"/>
      <c r="CRH451" s="268"/>
      <c r="CRI451" s="268"/>
      <c r="CRJ451" s="268"/>
      <c r="CRK451" s="268"/>
      <c r="CRL451" s="268"/>
      <c r="CRM451" s="268"/>
      <c r="CRN451" s="268"/>
      <c r="CRO451" s="268"/>
      <c r="CRP451" s="268"/>
      <c r="CRQ451" s="268"/>
      <c r="CRR451" s="268"/>
      <c r="CRS451" s="268"/>
      <c r="CRT451" s="268"/>
      <c r="CRU451" s="268"/>
      <c r="CRV451" s="268"/>
      <c r="CRW451" s="268"/>
      <c r="CRX451" s="268"/>
      <c r="CRY451" s="268"/>
      <c r="CRZ451" s="268"/>
      <c r="CSA451" s="268"/>
      <c r="CSB451" s="268"/>
      <c r="CSC451" s="268"/>
      <c r="CSD451" s="268"/>
      <c r="CSE451" s="268"/>
      <c r="CSF451" s="268"/>
      <c r="CSG451" s="268"/>
      <c r="CSH451" s="268"/>
      <c r="CSI451" s="268"/>
      <c r="CSJ451" s="268"/>
      <c r="CSK451" s="268"/>
      <c r="CSL451" s="268"/>
      <c r="CSM451" s="268"/>
      <c r="CSN451" s="268"/>
      <c r="CSO451" s="268"/>
      <c r="CSP451" s="268"/>
      <c r="CSQ451" s="268"/>
      <c r="CSR451" s="268"/>
      <c r="CSS451" s="268"/>
      <c r="CST451" s="268"/>
      <c r="CSU451" s="268"/>
      <c r="CSV451" s="268"/>
      <c r="CSW451" s="268"/>
      <c r="CSX451" s="268"/>
      <c r="CSY451" s="268"/>
      <c r="CSZ451" s="268"/>
      <c r="CTA451" s="268"/>
      <c r="CTB451" s="268"/>
      <c r="CTC451" s="268"/>
      <c r="CTQ451" s="268"/>
      <c r="CTR451" s="268"/>
      <c r="CTS451" s="268"/>
      <c r="CUG451" s="268"/>
      <c r="CUI451" s="268"/>
      <c r="CUJ451" s="268"/>
      <c r="CUK451" s="268"/>
      <c r="CUL451" s="268"/>
      <c r="CUM451" s="268"/>
      <c r="CUN451" s="268"/>
      <c r="CUO451" s="268"/>
      <c r="CUP451" s="268"/>
      <c r="CUQ451" s="268"/>
      <c r="CUR451" s="268"/>
      <c r="CUS451" s="268"/>
      <c r="CUT451" s="268"/>
      <c r="CUU451" s="268"/>
      <c r="CUV451" s="268"/>
      <c r="CUW451" s="268"/>
      <c r="CUX451" s="268"/>
      <c r="CUY451" s="268"/>
      <c r="CUZ451" s="268"/>
      <c r="CVA451" s="268"/>
      <c r="CVB451" s="268"/>
      <c r="CVC451" s="268"/>
      <c r="CVD451" s="268"/>
      <c r="CVE451" s="268"/>
      <c r="CVF451" s="268"/>
      <c r="CVG451" s="268"/>
      <c r="CVH451" s="268"/>
      <c r="CVI451" s="268"/>
      <c r="CVJ451" s="268"/>
      <c r="CVK451" s="268"/>
      <c r="CVL451" s="268"/>
      <c r="CVM451" s="268"/>
      <c r="CVN451" s="268"/>
      <c r="CVO451" s="268"/>
      <c r="CVP451" s="268"/>
      <c r="CVQ451" s="268"/>
      <c r="CVR451" s="268"/>
      <c r="CVS451" s="268"/>
      <c r="CVT451" s="268"/>
      <c r="CVU451" s="268"/>
      <c r="CVV451" s="268"/>
      <c r="CVW451" s="268"/>
      <c r="CVX451" s="268"/>
      <c r="CVY451" s="268"/>
      <c r="CVZ451" s="268"/>
      <c r="CWA451" s="268"/>
      <c r="CWB451" s="268"/>
      <c r="CWC451" s="268"/>
      <c r="CWD451" s="268"/>
      <c r="CWE451" s="268"/>
      <c r="CWF451" s="268"/>
      <c r="CWG451" s="268"/>
      <c r="CWH451" s="268"/>
      <c r="CWI451" s="268"/>
      <c r="CWJ451" s="268"/>
      <c r="CWK451" s="268"/>
      <c r="CWL451" s="268"/>
      <c r="CWM451" s="268"/>
      <c r="CWN451" s="268"/>
      <c r="CWO451" s="268"/>
      <c r="CWP451" s="268"/>
      <c r="CWQ451" s="268"/>
      <c r="CWR451" s="268"/>
      <c r="CWS451" s="268"/>
      <c r="CWT451" s="268"/>
      <c r="CWU451" s="268"/>
      <c r="CWV451" s="268"/>
      <c r="CWW451" s="268"/>
      <c r="CWX451" s="268"/>
      <c r="CWY451" s="268"/>
      <c r="CWZ451" s="268"/>
      <c r="CXA451" s="268"/>
      <c r="CXB451" s="268"/>
      <c r="CXC451" s="268"/>
      <c r="CXD451" s="268"/>
      <c r="CXE451" s="268"/>
      <c r="CXF451" s="268"/>
      <c r="CXG451" s="268"/>
      <c r="CXH451" s="268"/>
      <c r="CXI451" s="268"/>
      <c r="CXJ451" s="268"/>
      <c r="CXK451" s="268"/>
      <c r="CXL451" s="268"/>
      <c r="CXM451" s="268"/>
      <c r="CXN451" s="268"/>
      <c r="CXO451" s="268"/>
      <c r="CXP451" s="268"/>
      <c r="CXQ451" s="268"/>
      <c r="CXR451" s="268"/>
      <c r="CXS451" s="268"/>
      <c r="CXT451" s="268"/>
      <c r="CXU451" s="268"/>
      <c r="CXV451" s="268"/>
      <c r="CXW451" s="268"/>
      <c r="CXX451" s="268"/>
      <c r="CXY451" s="268"/>
      <c r="CXZ451" s="268"/>
      <c r="CYA451" s="268"/>
      <c r="CYB451" s="268"/>
      <c r="CYC451" s="268"/>
      <c r="CYD451" s="268"/>
      <c r="CYE451" s="268"/>
      <c r="CYF451" s="268"/>
      <c r="CYG451" s="268"/>
      <c r="CYH451" s="268"/>
      <c r="CYI451" s="268"/>
      <c r="CYJ451" s="268"/>
      <c r="CYK451" s="268"/>
      <c r="CYL451" s="268"/>
      <c r="CYM451" s="268"/>
      <c r="CYN451" s="268"/>
      <c r="CYO451" s="268"/>
      <c r="CYP451" s="268"/>
      <c r="CYQ451" s="268"/>
      <c r="CYR451" s="268"/>
      <c r="CYS451" s="268"/>
      <c r="CYT451" s="268"/>
      <c r="CYU451" s="268"/>
      <c r="CYV451" s="268"/>
      <c r="CYW451" s="268"/>
      <c r="CYX451" s="268"/>
      <c r="CYY451" s="268"/>
      <c r="CYZ451" s="268"/>
      <c r="CZA451" s="268"/>
      <c r="CZB451" s="268"/>
      <c r="CZC451" s="268"/>
      <c r="CZD451" s="268"/>
      <c r="CZE451" s="268"/>
      <c r="CZF451" s="268"/>
      <c r="CZG451" s="268"/>
      <c r="CZH451" s="268"/>
      <c r="CZI451" s="268"/>
      <c r="CZJ451" s="268"/>
      <c r="CZK451" s="268"/>
      <c r="CZL451" s="268"/>
      <c r="CZM451" s="268"/>
      <c r="CZN451" s="268"/>
      <c r="CZO451" s="268"/>
      <c r="CZP451" s="268"/>
      <c r="CZQ451" s="268"/>
      <c r="CZR451" s="268"/>
      <c r="CZS451" s="268"/>
      <c r="CZT451" s="268"/>
      <c r="CZU451" s="268"/>
      <c r="CZV451" s="268"/>
      <c r="CZW451" s="268"/>
      <c r="CZX451" s="268"/>
      <c r="CZY451" s="268"/>
      <c r="CZZ451" s="268"/>
      <c r="DAA451" s="268"/>
      <c r="DAB451" s="268"/>
      <c r="DAC451" s="268"/>
      <c r="DAD451" s="268"/>
      <c r="DAE451" s="268"/>
      <c r="DAF451" s="268"/>
      <c r="DAG451" s="268"/>
      <c r="DAH451" s="268"/>
      <c r="DAI451" s="268"/>
      <c r="DAJ451" s="268"/>
      <c r="DAK451" s="268"/>
      <c r="DAL451" s="268"/>
      <c r="DAM451" s="268"/>
      <c r="DAN451" s="268"/>
      <c r="DAO451" s="268"/>
      <c r="DAP451" s="268"/>
      <c r="DAQ451" s="268"/>
      <c r="DAR451" s="268"/>
      <c r="DAS451" s="268"/>
      <c r="DAT451" s="268"/>
      <c r="DAU451" s="268"/>
      <c r="DAV451" s="268"/>
      <c r="DAW451" s="268"/>
      <c r="DAX451" s="268"/>
      <c r="DAY451" s="268"/>
      <c r="DAZ451" s="268"/>
      <c r="DBA451" s="268"/>
      <c r="DBB451" s="268"/>
      <c r="DBC451" s="268"/>
      <c r="DBD451" s="268"/>
      <c r="DBE451" s="268"/>
      <c r="DBF451" s="268"/>
      <c r="DBG451" s="268"/>
      <c r="DBH451" s="268"/>
      <c r="DBI451" s="268"/>
      <c r="DBJ451" s="268"/>
      <c r="DBK451" s="268"/>
      <c r="DBL451" s="268"/>
      <c r="DBM451" s="268"/>
      <c r="DBN451" s="268"/>
      <c r="DBO451" s="268"/>
      <c r="DBP451" s="268"/>
      <c r="DBQ451" s="268"/>
      <c r="DBR451" s="268"/>
      <c r="DBS451" s="268"/>
      <c r="DBT451" s="268"/>
      <c r="DBU451" s="268"/>
      <c r="DBV451" s="268"/>
      <c r="DBW451" s="268"/>
      <c r="DBX451" s="268"/>
      <c r="DBY451" s="268"/>
      <c r="DBZ451" s="268"/>
      <c r="DCA451" s="268"/>
      <c r="DCB451" s="268"/>
      <c r="DCC451" s="268"/>
      <c r="DCD451" s="268"/>
      <c r="DCE451" s="268"/>
      <c r="DCF451" s="268"/>
      <c r="DCG451" s="268"/>
      <c r="DCH451" s="268"/>
      <c r="DCI451" s="268"/>
      <c r="DCJ451" s="268"/>
      <c r="DCK451" s="268"/>
      <c r="DCL451" s="268"/>
      <c r="DCM451" s="268"/>
      <c r="DCN451" s="268"/>
      <c r="DCO451" s="268"/>
      <c r="DCP451" s="268"/>
      <c r="DCQ451" s="268"/>
      <c r="DCR451" s="268"/>
      <c r="DCS451" s="268"/>
      <c r="DCT451" s="268"/>
      <c r="DCU451" s="268"/>
      <c r="DCV451" s="268"/>
      <c r="DCW451" s="268"/>
      <c r="DCX451" s="268"/>
      <c r="DCY451" s="268"/>
      <c r="DDM451" s="268"/>
      <c r="DDN451" s="268"/>
      <c r="DDO451" s="268"/>
      <c r="DEC451" s="268"/>
      <c r="DEE451" s="268"/>
      <c r="DEF451" s="268"/>
      <c r="DEG451" s="268"/>
      <c r="DEH451" s="268"/>
      <c r="DEI451" s="268"/>
      <c r="DEJ451" s="268"/>
      <c r="DEK451" s="268"/>
      <c r="DEL451" s="268"/>
      <c r="DEM451" s="268"/>
      <c r="DEN451" s="268"/>
      <c r="DEO451" s="268"/>
      <c r="DEP451" s="268"/>
      <c r="DEQ451" s="268"/>
      <c r="DER451" s="268"/>
      <c r="DES451" s="268"/>
      <c r="DET451" s="268"/>
      <c r="DEU451" s="268"/>
      <c r="DEV451" s="268"/>
      <c r="DEW451" s="268"/>
      <c r="DEX451" s="268"/>
      <c r="DEY451" s="268"/>
      <c r="DEZ451" s="268"/>
      <c r="DFA451" s="268"/>
      <c r="DFB451" s="268"/>
      <c r="DFC451" s="268"/>
      <c r="DFD451" s="268"/>
      <c r="DFE451" s="268"/>
      <c r="DFF451" s="268"/>
      <c r="DFG451" s="268"/>
      <c r="DFH451" s="268"/>
      <c r="DFI451" s="268"/>
      <c r="DFJ451" s="268"/>
      <c r="DFK451" s="268"/>
      <c r="DFL451" s="268"/>
      <c r="DFM451" s="268"/>
      <c r="DFN451" s="268"/>
      <c r="DFO451" s="268"/>
      <c r="DFP451" s="268"/>
      <c r="DFQ451" s="268"/>
      <c r="DFR451" s="268"/>
      <c r="DFS451" s="268"/>
      <c r="DFT451" s="268"/>
      <c r="DFU451" s="268"/>
      <c r="DFV451" s="268"/>
      <c r="DFW451" s="268"/>
      <c r="DFX451" s="268"/>
      <c r="DFY451" s="268"/>
      <c r="DFZ451" s="268"/>
      <c r="DGA451" s="268"/>
      <c r="DGB451" s="268"/>
      <c r="DGC451" s="268"/>
      <c r="DGD451" s="268"/>
      <c r="DGE451" s="268"/>
      <c r="DGF451" s="268"/>
      <c r="DGG451" s="268"/>
      <c r="DGH451" s="268"/>
      <c r="DGI451" s="268"/>
      <c r="DGJ451" s="268"/>
      <c r="DGK451" s="268"/>
      <c r="DGL451" s="268"/>
      <c r="DGM451" s="268"/>
      <c r="DGN451" s="268"/>
      <c r="DGO451" s="268"/>
      <c r="DGP451" s="268"/>
      <c r="DGQ451" s="268"/>
      <c r="DGR451" s="268"/>
      <c r="DGS451" s="268"/>
      <c r="DGT451" s="268"/>
      <c r="DGU451" s="268"/>
      <c r="DGV451" s="268"/>
      <c r="DGW451" s="268"/>
      <c r="DGX451" s="268"/>
      <c r="DGY451" s="268"/>
      <c r="DGZ451" s="268"/>
      <c r="DHA451" s="268"/>
      <c r="DHB451" s="268"/>
      <c r="DHC451" s="268"/>
      <c r="DHD451" s="268"/>
      <c r="DHE451" s="268"/>
      <c r="DHF451" s="268"/>
      <c r="DHG451" s="268"/>
      <c r="DHH451" s="268"/>
      <c r="DHI451" s="268"/>
      <c r="DHJ451" s="268"/>
      <c r="DHK451" s="268"/>
      <c r="DHL451" s="268"/>
      <c r="DHM451" s="268"/>
      <c r="DHN451" s="268"/>
      <c r="DHO451" s="268"/>
      <c r="DHP451" s="268"/>
      <c r="DHQ451" s="268"/>
      <c r="DHR451" s="268"/>
      <c r="DHS451" s="268"/>
      <c r="DHT451" s="268"/>
      <c r="DHU451" s="268"/>
      <c r="DHV451" s="268"/>
      <c r="DHW451" s="268"/>
      <c r="DHX451" s="268"/>
      <c r="DHY451" s="268"/>
      <c r="DHZ451" s="268"/>
      <c r="DIA451" s="268"/>
      <c r="DIB451" s="268"/>
      <c r="DIC451" s="268"/>
      <c r="DID451" s="268"/>
      <c r="DIE451" s="268"/>
      <c r="DIF451" s="268"/>
      <c r="DIG451" s="268"/>
      <c r="DIH451" s="268"/>
      <c r="DII451" s="268"/>
      <c r="DIJ451" s="268"/>
      <c r="DIK451" s="268"/>
      <c r="DIL451" s="268"/>
      <c r="DIM451" s="268"/>
      <c r="DIN451" s="268"/>
      <c r="DIO451" s="268"/>
      <c r="DIP451" s="268"/>
      <c r="DIQ451" s="268"/>
      <c r="DIR451" s="268"/>
      <c r="DIS451" s="268"/>
      <c r="DIT451" s="268"/>
      <c r="DIU451" s="268"/>
      <c r="DIV451" s="268"/>
      <c r="DIW451" s="268"/>
      <c r="DIX451" s="268"/>
      <c r="DIY451" s="268"/>
      <c r="DIZ451" s="268"/>
      <c r="DJA451" s="268"/>
      <c r="DJB451" s="268"/>
      <c r="DJC451" s="268"/>
      <c r="DJD451" s="268"/>
      <c r="DJE451" s="268"/>
      <c r="DJF451" s="268"/>
      <c r="DJG451" s="268"/>
      <c r="DJH451" s="268"/>
      <c r="DJI451" s="268"/>
      <c r="DJJ451" s="268"/>
      <c r="DJK451" s="268"/>
      <c r="DJL451" s="268"/>
      <c r="DJM451" s="268"/>
      <c r="DJN451" s="268"/>
      <c r="DJO451" s="268"/>
      <c r="DJP451" s="268"/>
      <c r="DJQ451" s="268"/>
      <c r="DJR451" s="268"/>
      <c r="DJS451" s="268"/>
      <c r="DJT451" s="268"/>
      <c r="DJU451" s="268"/>
      <c r="DJV451" s="268"/>
      <c r="DJW451" s="268"/>
      <c r="DJX451" s="268"/>
      <c r="DJY451" s="268"/>
      <c r="DJZ451" s="268"/>
      <c r="DKA451" s="268"/>
      <c r="DKB451" s="268"/>
      <c r="DKC451" s="268"/>
      <c r="DKD451" s="268"/>
      <c r="DKE451" s="268"/>
      <c r="DKF451" s="268"/>
      <c r="DKG451" s="268"/>
      <c r="DKH451" s="268"/>
      <c r="DKI451" s="268"/>
      <c r="DKJ451" s="268"/>
      <c r="DKK451" s="268"/>
      <c r="DKL451" s="268"/>
      <c r="DKM451" s="268"/>
      <c r="DKN451" s="268"/>
      <c r="DKO451" s="268"/>
      <c r="DKP451" s="268"/>
      <c r="DKQ451" s="268"/>
      <c r="DKR451" s="268"/>
      <c r="DKS451" s="268"/>
      <c r="DKT451" s="268"/>
      <c r="DKU451" s="268"/>
      <c r="DKV451" s="268"/>
      <c r="DKW451" s="268"/>
      <c r="DKX451" s="268"/>
      <c r="DKY451" s="268"/>
      <c r="DKZ451" s="268"/>
      <c r="DLA451" s="268"/>
      <c r="DLB451" s="268"/>
      <c r="DLC451" s="268"/>
      <c r="DLD451" s="268"/>
      <c r="DLE451" s="268"/>
      <c r="DLF451" s="268"/>
      <c r="DLG451" s="268"/>
      <c r="DLH451" s="268"/>
      <c r="DLI451" s="268"/>
      <c r="DLJ451" s="268"/>
      <c r="DLK451" s="268"/>
      <c r="DLL451" s="268"/>
      <c r="DLM451" s="268"/>
      <c r="DLN451" s="268"/>
      <c r="DLO451" s="268"/>
      <c r="DLP451" s="268"/>
      <c r="DLQ451" s="268"/>
      <c r="DLR451" s="268"/>
      <c r="DLS451" s="268"/>
      <c r="DLT451" s="268"/>
      <c r="DLU451" s="268"/>
      <c r="DLV451" s="268"/>
      <c r="DLW451" s="268"/>
      <c r="DLX451" s="268"/>
      <c r="DLY451" s="268"/>
      <c r="DLZ451" s="268"/>
      <c r="DMA451" s="268"/>
      <c r="DMB451" s="268"/>
      <c r="DMC451" s="268"/>
      <c r="DMD451" s="268"/>
      <c r="DME451" s="268"/>
      <c r="DMF451" s="268"/>
      <c r="DMG451" s="268"/>
      <c r="DMH451" s="268"/>
      <c r="DMI451" s="268"/>
      <c r="DMJ451" s="268"/>
      <c r="DMK451" s="268"/>
      <c r="DML451" s="268"/>
      <c r="DMM451" s="268"/>
      <c r="DMN451" s="268"/>
      <c r="DMO451" s="268"/>
      <c r="DMP451" s="268"/>
      <c r="DMQ451" s="268"/>
      <c r="DMR451" s="268"/>
      <c r="DMS451" s="268"/>
      <c r="DMT451" s="268"/>
      <c r="DMU451" s="268"/>
      <c r="DNI451" s="268"/>
      <c r="DNJ451" s="268"/>
      <c r="DNK451" s="268"/>
      <c r="DNY451" s="268"/>
      <c r="DOA451" s="268"/>
      <c r="DOB451" s="268"/>
      <c r="DOC451" s="268"/>
      <c r="DOD451" s="268"/>
      <c r="DOE451" s="268"/>
      <c r="DOF451" s="268"/>
      <c r="DOG451" s="268"/>
      <c r="DOH451" s="268"/>
      <c r="DOI451" s="268"/>
      <c r="DOJ451" s="268"/>
      <c r="DOK451" s="268"/>
      <c r="DOL451" s="268"/>
      <c r="DOM451" s="268"/>
      <c r="DON451" s="268"/>
      <c r="DOO451" s="268"/>
      <c r="DOP451" s="268"/>
      <c r="DOQ451" s="268"/>
      <c r="DOR451" s="268"/>
      <c r="DOS451" s="268"/>
      <c r="DOT451" s="268"/>
      <c r="DOU451" s="268"/>
      <c r="DOV451" s="268"/>
      <c r="DOW451" s="268"/>
      <c r="DOX451" s="268"/>
      <c r="DOY451" s="268"/>
      <c r="DOZ451" s="268"/>
      <c r="DPA451" s="268"/>
      <c r="DPB451" s="268"/>
      <c r="DPC451" s="268"/>
      <c r="DPD451" s="268"/>
      <c r="DPE451" s="268"/>
      <c r="DPF451" s="268"/>
      <c r="DPG451" s="268"/>
      <c r="DPH451" s="268"/>
      <c r="DPI451" s="268"/>
      <c r="DPJ451" s="268"/>
      <c r="DPK451" s="268"/>
      <c r="DPL451" s="268"/>
      <c r="DPM451" s="268"/>
      <c r="DPN451" s="268"/>
      <c r="DPO451" s="268"/>
      <c r="DPP451" s="268"/>
      <c r="DPQ451" s="268"/>
      <c r="DPR451" s="268"/>
      <c r="DPS451" s="268"/>
      <c r="DPT451" s="268"/>
      <c r="DPU451" s="268"/>
      <c r="DPV451" s="268"/>
      <c r="DPW451" s="268"/>
      <c r="DPX451" s="268"/>
      <c r="DPY451" s="268"/>
      <c r="DPZ451" s="268"/>
      <c r="DQA451" s="268"/>
      <c r="DQB451" s="268"/>
      <c r="DQC451" s="268"/>
      <c r="DQD451" s="268"/>
      <c r="DQE451" s="268"/>
      <c r="DQF451" s="268"/>
      <c r="DQG451" s="268"/>
      <c r="DQH451" s="268"/>
      <c r="DQI451" s="268"/>
      <c r="DQJ451" s="268"/>
      <c r="DQK451" s="268"/>
      <c r="DQL451" s="268"/>
      <c r="DQM451" s="268"/>
      <c r="DQN451" s="268"/>
      <c r="DQO451" s="268"/>
      <c r="DQP451" s="268"/>
      <c r="DQQ451" s="268"/>
      <c r="DQR451" s="268"/>
      <c r="DQS451" s="268"/>
      <c r="DQT451" s="268"/>
      <c r="DQU451" s="268"/>
      <c r="DQV451" s="268"/>
      <c r="DQW451" s="268"/>
      <c r="DQX451" s="268"/>
      <c r="DQY451" s="268"/>
      <c r="DQZ451" s="268"/>
      <c r="DRA451" s="268"/>
      <c r="DRB451" s="268"/>
      <c r="DRC451" s="268"/>
      <c r="DRD451" s="268"/>
      <c r="DRE451" s="268"/>
      <c r="DRF451" s="268"/>
      <c r="DRG451" s="268"/>
      <c r="DRH451" s="268"/>
      <c r="DRI451" s="268"/>
      <c r="DRJ451" s="268"/>
      <c r="DRK451" s="268"/>
      <c r="DRL451" s="268"/>
      <c r="DRM451" s="268"/>
      <c r="DRN451" s="268"/>
      <c r="DRO451" s="268"/>
      <c r="DRP451" s="268"/>
      <c r="DRQ451" s="268"/>
      <c r="DRR451" s="268"/>
      <c r="DRS451" s="268"/>
      <c r="DRT451" s="268"/>
      <c r="DRU451" s="268"/>
      <c r="DRV451" s="268"/>
      <c r="DRW451" s="268"/>
      <c r="DRX451" s="268"/>
      <c r="DRY451" s="268"/>
      <c r="DRZ451" s="268"/>
      <c r="DSA451" s="268"/>
      <c r="DSB451" s="268"/>
      <c r="DSC451" s="268"/>
      <c r="DSD451" s="268"/>
      <c r="DSE451" s="268"/>
      <c r="DSF451" s="268"/>
      <c r="DSG451" s="268"/>
      <c r="DSH451" s="268"/>
      <c r="DSI451" s="268"/>
      <c r="DSJ451" s="268"/>
      <c r="DSK451" s="268"/>
      <c r="DSL451" s="268"/>
      <c r="DSM451" s="268"/>
      <c r="DSN451" s="268"/>
      <c r="DSO451" s="268"/>
      <c r="DSP451" s="268"/>
      <c r="DSQ451" s="268"/>
      <c r="DSR451" s="268"/>
      <c r="DSS451" s="268"/>
      <c r="DST451" s="268"/>
      <c r="DSU451" s="268"/>
      <c r="DSV451" s="268"/>
      <c r="DSW451" s="268"/>
      <c r="DSX451" s="268"/>
      <c r="DSY451" s="268"/>
      <c r="DSZ451" s="268"/>
      <c r="DTA451" s="268"/>
      <c r="DTB451" s="268"/>
      <c r="DTC451" s="268"/>
      <c r="DTD451" s="268"/>
      <c r="DTE451" s="268"/>
      <c r="DTF451" s="268"/>
      <c r="DTG451" s="268"/>
      <c r="DTH451" s="268"/>
      <c r="DTI451" s="268"/>
      <c r="DTJ451" s="268"/>
      <c r="DTK451" s="268"/>
      <c r="DTL451" s="268"/>
      <c r="DTM451" s="268"/>
      <c r="DTN451" s="268"/>
      <c r="DTO451" s="268"/>
      <c r="DTP451" s="268"/>
      <c r="DTQ451" s="268"/>
      <c r="DTR451" s="268"/>
      <c r="DTS451" s="268"/>
      <c r="DTT451" s="268"/>
      <c r="DTU451" s="268"/>
      <c r="DTV451" s="268"/>
      <c r="DTW451" s="268"/>
      <c r="DTX451" s="268"/>
      <c r="DTY451" s="268"/>
      <c r="DTZ451" s="268"/>
      <c r="DUA451" s="268"/>
      <c r="DUB451" s="268"/>
      <c r="DUC451" s="268"/>
      <c r="DUD451" s="268"/>
      <c r="DUE451" s="268"/>
      <c r="DUF451" s="268"/>
      <c r="DUG451" s="268"/>
      <c r="DUH451" s="268"/>
      <c r="DUI451" s="268"/>
      <c r="DUJ451" s="268"/>
      <c r="DUK451" s="268"/>
      <c r="DUL451" s="268"/>
      <c r="DUM451" s="268"/>
      <c r="DUN451" s="268"/>
      <c r="DUO451" s="268"/>
      <c r="DUP451" s="268"/>
      <c r="DUQ451" s="268"/>
      <c r="DUR451" s="268"/>
      <c r="DUS451" s="268"/>
      <c r="DUT451" s="268"/>
      <c r="DUU451" s="268"/>
      <c r="DUV451" s="268"/>
      <c r="DUW451" s="268"/>
      <c r="DUX451" s="268"/>
      <c r="DUY451" s="268"/>
      <c r="DUZ451" s="268"/>
      <c r="DVA451" s="268"/>
      <c r="DVB451" s="268"/>
      <c r="DVC451" s="268"/>
      <c r="DVD451" s="268"/>
      <c r="DVE451" s="268"/>
      <c r="DVF451" s="268"/>
      <c r="DVG451" s="268"/>
      <c r="DVH451" s="268"/>
      <c r="DVI451" s="268"/>
      <c r="DVJ451" s="268"/>
      <c r="DVK451" s="268"/>
      <c r="DVL451" s="268"/>
      <c r="DVM451" s="268"/>
      <c r="DVN451" s="268"/>
      <c r="DVO451" s="268"/>
      <c r="DVP451" s="268"/>
      <c r="DVQ451" s="268"/>
      <c r="DVR451" s="268"/>
      <c r="DVS451" s="268"/>
      <c r="DVT451" s="268"/>
      <c r="DVU451" s="268"/>
      <c r="DVV451" s="268"/>
      <c r="DVW451" s="268"/>
      <c r="DVX451" s="268"/>
      <c r="DVY451" s="268"/>
      <c r="DVZ451" s="268"/>
      <c r="DWA451" s="268"/>
      <c r="DWB451" s="268"/>
      <c r="DWC451" s="268"/>
      <c r="DWD451" s="268"/>
      <c r="DWE451" s="268"/>
      <c r="DWF451" s="268"/>
      <c r="DWG451" s="268"/>
      <c r="DWH451" s="268"/>
      <c r="DWI451" s="268"/>
      <c r="DWJ451" s="268"/>
      <c r="DWK451" s="268"/>
      <c r="DWL451" s="268"/>
      <c r="DWM451" s="268"/>
      <c r="DWN451" s="268"/>
      <c r="DWO451" s="268"/>
      <c r="DWP451" s="268"/>
      <c r="DWQ451" s="268"/>
      <c r="DXE451" s="268"/>
      <c r="DXF451" s="268"/>
      <c r="DXG451" s="268"/>
      <c r="DXU451" s="268"/>
      <c r="DXW451" s="268"/>
      <c r="DXX451" s="268"/>
      <c r="DXY451" s="268"/>
      <c r="DXZ451" s="268"/>
      <c r="DYA451" s="268"/>
      <c r="DYB451" s="268"/>
      <c r="DYC451" s="268"/>
      <c r="DYD451" s="268"/>
      <c r="DYE451" s="268"/>
      <c r="DYF451" s="268"/>
      <c r="DYG451" s="268"/>
      <c r="DYH451" s="268"/>
      <c r="DYI451" s="268"/>
      <c r="DYJ451" s="268"/>
      <c r="DYK451" s="268"/>
      <c r="DYL451" s="268"/>
      <c r="DYM451" s="268"/>
      <c r="DYN451" s="268"/>
      <c r="DYO451" s="268"/>
      <c r="DYP451" s="268"/>
      <c r="DYQ451" s="268"/>
      <c r="DYR451" s="268"/>
      <c r="DYS451" s="268"/>
      <c r="DYT451" s="268"/>
      <c r="DYU451" s="268"/>
      <c r="DYV451" s="268"/>
      <c r="DYW451" s="268"/>
      <c r="DYX451" s="268"/>
      <c r="DYY451" s="268"/>
      <c r="DYZ451" s="268"/>
      <c r="DZA451" s="268"/>
      <c r="DZB451" s="268"/>
      <c r="DZC451" s="268"/>
      <c r="DZD451" s="268"/>
      <c r="DZE451" s="268"/>
      <c r="DZF451" s="268"/>
      <c r="DZG451" s="268"/>
      <c r="DZH451" s="268"/>
      <c r="DZI451" s="268"/>
      <c r="DZJ451" s="268"/>
      <c r="DZK451" s="268"/>
      <c r="DZL451" s="268"/>
      <c r="DZM451" s="268"/>
      <c r="DZN451" s="268"/>
      <c r="DZO451" s="268"/>
      <c r="DZP451" s="268"/>
      <c r="DZQ451" s="268"/>
      <c r="DZR451" s="268"/>
      <c r="DZS451" s="268"/>
      <c r="DZT451" s="268"/>
      <c r="DZU451" s="268"/>
      <c r="DZV451" s="268"/>
      <c r="DZW451" s="268"/>
      <c r="DZX451" s="268"/>
      <c r="DZY451" s="268"/>
      <c r="DZZ451" s="268"/>
      <c r="EAA451" s="268"/>
      <c r="EAB451" s="268"/>
      <c r="EAC451" s="268"/>
      <c r="EAD451" s="268"/>
      <c r="EAE451" s="268"/>
      <c r="EAF451" s="268"/>
      <c r="EAG451" s="268"/>
      <c r="EAH451" s="268"/>
      <c r="EAI451" s="268"/>
      <c r="EAJ451" s="268"/>
      <c r="EAK451" s="268"/>
      <c r="EAL451" s="268"/>
      <c r="EAM451" s="268"/>
      <c r="EAN451" s="268"/>
      <c r="EAO451" s="268"/>
      <c r="EAP451" s="268"/>
      <c r="EAQ451" s="268"/>
      <c r="EAR451" s="268"/>
      <c r="EAS451" s="268"/>
      <c r="EAT451" s="268"/>
      <c r="EAU451" s="268"/>
      <c r="EAV451" s="268"/>
      <c r="EAW451" s="268"/>
      <c r="EAX451" s="268"/>
      <c r="EAY451" s="268"/>
      <c r="EAZ451" s="268"/>
      <c r="EBA451" s="268"/>
      <c r="EBB451" s="268"/>
      <c r="EBC451" s="268"/>
      <c r="EBD451" s="268"/>
      <c r="EBE451" s="268"/>
      <c r="EBF451" s="268"/>
      <c r="EBG451" s="268"/>
      <c r="EBH451" s="268"/>
      <c r="EBI451" s="268"/>
      <c r="EBJ451" s="268"/>
      <c r="EBK451" s="268"/>
      <c r="EBL451" s="268"/>
      <c r="EBM451" s="268"/>
      <c r="EBN451" s="268"/>
      <c r="EBO451" s="268"/>
      <c r="EBP451" s="268"/>
      <c r="EBQ451" s="268"/>
      <c r="EBR451" s="268"/>
      <c r="EBS451" s="268"/>
      <c r="EBT451" s="268"/>
      <c r="EBU451" s="268"/>
      <c r="EBV451" s="268"/>
      <c r="EBW451" s="268"/>
      <c r="EBX451" s="268"/>
      <c r="EBY451" s="268"/>
      <c r="EBZ451" s="268"/>
      <c r="ECA451" s="268"/>
      <c r="ECB451" s="268"/>
      <c r="ECC451" s="268"/>
      <c r="ECD451" s="268"/>
      <c r="ECE451" s="268"/>
      <c r="ECF451" s="268"/>
      <c r="ECG451" s="268"/>
      <c r="ECH451" s="268"/>
      <c r="ECI451" s="268"/>
      <c r="ECJ451" s="268"/>
      <c r="ECK451" s="268"/>
      <c r="ECL451" s="268"/>
      <c r="ECM451" s="268"/>
      <c r="ECN451" s="268"/>
      <c r="ECO451" s="268"/>
      <c r="ECP451" s="268"/>
      <c r="ECQ451" s="268"/>
      <c r="ECR451" s="268"/>
      <c r="ECS451" s="268"/>
      <c r="ECT451" s="268"/>
      <c r="ECU451" s="268"/>
      <c r="ECV451" s="268"/>
      <c r="ECW451" s="268"/>
      <c r="ECX451" s="268"/>
      <c r="ECY451" s="268"/>
      <c r="ECZ451" s="268"/>
      <c r="EDA451" s="268"/>
      <c r="EDB451" s="268"/>
      <c r="EDC451" s="268"/>
      <c r="EDD451" s="268"/>
      <c r="EDE451" s="268"/>
      <c r="EDF451" s="268"/>
      <c r="EDG451" s="268"/>
      <c r="EDH451" s="268"/>
      <c r="EDI451" s="268"/>
      <c r="EDJ451" s="268"/>
      <c r="EDK451" s="268"/>
      <c r="EDL451" s="268"/>
      <c r="EDM451" s="268"/>
      <c r="EDN451" s="268"/>
      <c r="EDO451" s="268"/>
      <c r="EDP451" s="268"/>
      <c r="EDQ451" s="268"/>
      <c r="EDR451" s="268"/>
      <c r="EDS451" s="268"/>
      <c r="EDT451" s="268"/>
      <c r="EDU451" s="268"/>
      <c r="EDV451" s="268"/>
      <c r="EDW451" s="268"/>
      <c r="EDX451" s="268"/>
      <c r="EDY451" s="268"/>
      <c r="EDZ451" s="268"/>
      <c r="EEA451" s="268"/>
      <c r="EEB451" s="268"/>
      <c r="EEC451" s="268"/>
      <c r="EED451" s="268"/>
      <c r="EEE451" s="268"/>
      <c r="EEF451" s="268"/>
      <c r="EEG451" s="268"/>
      <c r="EEH451" s="268"/>
      <c r="EEI451" s="268"/>
      <c r="EEJ451" s="268"/>
      <c r="EEK451" s="268"/>
      <c r="EEL451" s="268"/>
      <c r="EEM451" s="268"/>
      <c r="EEN451" s="268"/>
      <c r="EEO451" s="268"/>
      <c r="EEP451" s="268"/>
      <c r="EEQ451" s="268"/>
      <c r="EER451" s="268"/>
      <c r="EES451" s="268"/>
      <c r="EET451" s="268"/>
      <c r="EEU451" s="268"/>
      <c r="EEV451" s="268"/>
      <c r="EEW451" s="268"/>
      <c r="EEX451" s="268"/>
      <c r="EEY451" s="268"/>
      <c r="EEZ451" s="268"/>
      <c r="EFA451" s="268"/>
      <c r="EFB451" s="268"/>
      <c r="EFC451" s="268"/>
      <c r="EFD451" s="268"/>
      <c r="EFE451" s="268"/>
      <c r="EFF451" s="268"/>
      <c r="EFG451" s="268"/>
      <c r="EFH451" s="268"/>
      <c r="EFI451" s="268"/>
      <c r="EFJ451" s="268"/>
      <c r="EFK451" s="268"/>
      <c r="EFL451" s="268"/>
      <c r="EFM451" s="268"/>
      <c r="EFN451" s="268"/>
      <c r="EFO451" s="268"/>
      <c r="EFP451" s="268"/>
      <c r="EFQ451" s="268"/>
      <c r="EFR451" s="268"/>
      <c r="EFS451" s="268"/>
      <c r="EFT451" s="268"/>
      <c r="EFU451" s="268"/>
      <c r="EFV451" s="268"/>
      <c r="EFW451" s="268"/>
      <c r="EFX451" s="268"/>
      <c r="EFY451" s="268"/>
      <c r="EFZ451" s="268"/>
      <c r="EGA451" s="268"/>
      <c r="EGB451" s="268"/>
      <c r="EGC451" s="268"/>
      <c r="EGD451" s="268"/>
      <c r="EGE451" s="268"/>
      <c r="EGF451" s="268"/>
      <c r="EGG451" s="268"/>
      <c r="EGH451" s="268"/>
      <c r="EGI451" s="268"/>
      <c r="EGJ451" s="268"/>
      <c r="EGK451" s="268"/>
      <c r="EGL451" s="268"/>
      <c r="EGM451" s="268"/>
      <c r="EHA451" s="268"/>
      <c r="EHB451" s="268"/>
      <c r="EHC451" s="268"/>
      <c r="EHQ451" s="268"/>
      <c r="EHS451" s="268"/>
      <c r="EHT451" s="268"/>
      <c r="EHU451" s="268"/>
      <c r="EHV451" s="268"/>
      <c r="EHW451" s="268"/>
      <c r="EHX451" s="268"/>
      <c r="EHY451" s="268"/>
      <c r="EHZ451" s="268"/>
      <c r="EIA451" s="268"/>
      <c r="EIB451" s="268"/>
      <c r="EIC451" s="268"/>
      <c r="EID451" s="268"/>
      <c r="EIE451" s="268"/>
      <c r="EIF451" s="268"/>
      <c r="EIG451" s="268"/>
      <c r="EIH451" s="268"/>
      <c r="EII451" s="268"/>
      <c r="EIJ451" s="268"/>
      <c r="EIK451" s="268"/>
      <c r="EIL451" s="268"/>
      <c r="EIM451" s="268"/>
      <c r="EIN451" s="268"/>
      <c r="EIO451" s="268"/>
      <c r="EIP451" s="268"/>
      <c r="EIQ451" s="268"/>
      <c r="EIR451" s="268"/>
      <c r="EIS451" s="268"/>
      <c r="EIT451" s="268"/>
      <c r="EIU451" s="268"/>
      <c r="EIV451" s="268"/>
      <c r="EIW451" s="268"/>
      <c r="EIX451" s="268"/>
      <c r="EIY451" s="268"/>
      <c r="EIZ451" s="268"/>
      <c r="EJA451" s="268"/>
      <c r="EJB451" s="268"/>
      <c r="EJC451" s="268"/>
      <c r="EJD451" s="268"/>
      <c r="EJE451" s="268"/>
      <c r="EJF451" s="268"/>
      <c r="EJG451" s="268"/>
      <c r="EJH451" s="268"/>
      <c r="EJI451" s="268"/>
      <c r="EJJ451" s="268"/>
      <c r="EJK451" s="268"/>
      <c r="EJL451" s="268"/>
      <c r="EJM451" s="268"/>
      <c r="EJN451" s="268"/>
      <c r="EJO451" s="268"/>
      <c r="EJP451" s="268"/>
      <c r="EJQ451" s="268"/>
      <c r="EJR451" s="268"/>
      <c r="EJS451" s="268"/>
      <c r="EJT451" s="268"/>
      <c r="EJU451" s="268"/>
      <c r="EJV451" s="268"/>
      <c r="EJW451" s="268"/>
      <c r="EJX451" s="268"/>
      <c r="EJY451" s="268"/>
      <c r="EJZ451" s="268"/>
      <c r="EKA451" s="268"/>
      <c r="EKB451" s="268"/>
      <c r="EKC451" s="268"/>
      <c r="EKD451" s="268"/>
      <c r="EKE451" s="268"/>
      <c r="EKF451" s="268"/>
      <c r="EKG451" s="268"/>
      <c r="EKH451" s="268"/>
      <c r="EKI451" s="268"/>
      <c r="EKJ451" s="268"/>
      <c r="EKK451" s="268"/>
      <c r="EKL451" s="268"/>
      <c r="EKM451" s="268"/>
      <c r="EKN451" s="268"/>
      <c r="EKO451" s="268"/>
      <c r="EKP451" s="268"/>
      <c r="EKQ451" s="268"/>
      <c r="EKR451" s="268"/>
      <c r="EKS451" s="268"/>
      <c r="EKT451" s="268"/>
      <c r="EKU451" s="268"/>
      <c r="EKV451" s="268"/>
      <c r="EKW451" s="268"/>
      <c r="EKX451" s="268"/>
      <c r="EKY451" s="268"/>
      <c r="EKZ451" s="268"/>
      <c r="ELA451" s="268"/>
      <c r="ELB451" s="268"/>
      <c r="ELC451" s="268"/>
      <c r="ELD451" s="268"/>
      <c r="ELE451" s="268"/>
      <c r="ELF451" s="268"/>
      <c r="ELG451" s="268"/>
      <c r="ELH451" s="268"/>
      <c r="ELI451" s="268"/>
      <c r="ELJ451" s="268"/>
      <c r="ELK451" s="268"/>
      <c r="ELL451" s="268"/>
      <c r="ELM451" s="268"/>
      <c r="ELN451" s="268"/>
      <c r="ELO451" s="268"/>
      <c r="ELP451" s="268"/>
      <c r="ELQ451" s="268"/>
      <c r="ELR451" s="268"/>
      <c r="ELS451" s="268"/>
      <c r="ELT451" s="268"/>
      <c r="ELU451" s="268"/>
      <c r="ELV451" s="268"/>
      <c r="ELW451" s="268"/>
      <c r="ELX451" s="268"/>
      <c r="ELY451" s="268"/>
      <c r="ELZ451" s="268"/>
      <c r="EMA451" s="268"/>
      <c r="EMB451" s="268"/>
      <c r="EMC451" s="268"/>
      <c r="EMD451" s="268"/>
      <c r="EME451" s="268"/>
      <c r="EMF451" s="268"/>
      <c r="EMG451" s="268"/>
      <c r="EMH451" s="268"/>
      <c r="EMI451" s="268"/>
      <c r="EMJ451" s="268"/>
      <c r="EMK451" s="268"/>
      <c r="EML451" s="268"/>
      <c r="EMM451" s="268"/>
      <c r="EMN451" s="268"/>
      <c r="EMO451" s="268"/>
      <c r="EMP451" s="268"/>
      <c r="EMQ451" s="268"/>
      <c r="EMR451" s="268"/>
      <c r="EMS451" s="268"/>
      <c r="EMT451" s="268"/>
      <c r="EMU451" s="268"/>
      <c r="EMV451" s="268"/>
      <c r="EMW451" s="268"/>
      <c r="EMX451" s="268"/>
      <c r="EMY451" s="268"/>
      <c r="EMZ451" s="268"/>
      <c r="ENA451" s="268"/>
      <c r="ENB451" s="268"/>
      <c r="ENC451" s="268"/>
      <c r="END451" s="268"/>
      <c r="ENE451" s="268"/>
      <c r="ENF451" s="268"/>
      <c r="ENG451" s="268"/>
      <c r="ENH451" s="268"/>
      <c r="ENI451" s="268"/>
      <c r="ENJ451" s="268"/>
      <c r="ENK451" s="268"/>
      <c r="ENL451" s="268"/>
      <c r="ENM451" s="268"/>
      <c r="ENN451" s="268"/>
      <c r="ENO451" s="268"/>
      <c r="ENP451" s="268"/>
      <c r="ENQ451" s="268"/>
      <c r="ENR451" s="268"/>
      <c r="ENS451" s="268"/>
      <c r="ENT451" s="268"/>
      <c r="ENU451" s="268"/>
      <c r="ENV451" s="268"/>
      <c r="ENW451" s="268"/>
      <c r="ENX451" s="268"/>
      <c r="ENY451" s="268"/>
      <c r="ENZ451" s="268"/>
      <c r="EOA451" s="268"/>
      <c r="EOB451" s="268"/>
      <c r="EOC451" s="268"/>
      <c r="EOD451" s="268"/>
      <c r="EOE451" s="268"/>
      <c r="EOF451" s="268"/>
      <c r="EOG451" s="268"/>
      <c r="EOH451" s="268"/>
      <c r="EOI451" s="268"/>
      <c r="EOJ451" s="268"/>
      <c r="EOK451" s="268"/>
      <c r="EOL451" s="268"/>
      <c r="EOM451" s="268"/>
      <c r="EON451" s="268"/>
      <c r="EOO451" s="268"/>
      <c r="EOP451" s="268"/>
      <c r="EOQ451" s="268"/>
      <c r="EOR451" s="268"/>
      <c r="EOS451" s="268"/>
      <c r="EOT451" s="268"/>
      <c r="EOU451" s="268"/>
      <c r="EOV451" s="268"/>
      <c r="EOW451" s="268"/>
      <c r="EOX451" s="268"/>
      <c r="EOY451" s="268"/>
      <c r="EOZ451" s="268"/>
      <c r="EPA451" s="268"/>
      <c r="EPB451" s="268"/>
      <c r="EPC451" s="268"/>
      <c r="EPD451" s="268"/>
      <c r="EPE451" s="268"/>
      <c r="EPF451" s="268"/>
      <c r="EPG451" s="268"/>
      <c r="EPH451" s="268"/>
      <c r="EPI451" s="268"/>
      <c r="EPJ451" s="268"/>
      <c r="EPK451" s="268"/>
      <c r="EPL451" s="268"/>
      <c r="EPM451" s="268"/>
      <c r="EPN451" s="268"/>
      <c r="EPO451" s="268"/>
      <c r="EPP451" s="268"/>
      <c r="EPQ451" s="268"/>
      <c r="EPR451" s="268"/>
      <c r="EPS451" s="268"/>
      <c r="EPT451" s="268"/>
      <c r="EPU451" s="268"/>
      <c r="EPV451" s="268"/>
      <c r="EPW451" s="268"/>
      <c r="EPX451" s="268"/>
      <c r="EPY451" s="268"/>
      <c r="EPZ451" s="268"/>
      <c r="EQA451" s="268"/>
      <c r="EQB451" s="268"/>
      <c r="EQC451" s="268"/>
      <c r="EQD451" s="268"/>
      <c r="EQE451" s="268"/>
      <c r="EQF451" s="268"/>
      <c r="EQG451" s="268"/>
      <c r="EQH451" s="268"/>
      <c r="EQI451" s="268"/>
      <c r="EQW451" s="268"/>
      <c r="EQX451" s="268"/>
      <c r="EQY451" s="268"/>
      <c r="ERM451" s="268"/>
      <c r="ERO451" s="268"/>
      <c r="ERP451" s="268"/>
      <c r="ERQ451" s="268"/>
      <c r="ERR451" s="268"/>
      <c r="ERS451" s="268"/>
      <c r="ERT451" s="268"/>
      <c r="ERU451" s="268"/>
      <c r="ERV451" s="268"/>
      <c r="ERW451" s="268"/>
      <c r="ERX451" s="268"/>
      <c r="ERY451" s="268"/>
      <c r="ERZ451" s="268"/>
      <c r="ESA451" s="268"/>
      <c r="ESB451" s="268"/>
      <c r="ESC451" s="268"/>
      <c r="ESD451" s="268"/>
      <c r="ESE451" s="268"/>
      <c r="ESF451" s="268"/>
      <c r="ESG451" s="268"/>
      <c r="ESH451" s="268"/>
      <c r="ESI451" s="268"/>
      <c r="ESJ451" s="268"/>
      <c r="ESK451" s="268"/>
      <c r="ESL451" s="268"/>
      <c r="ESM451" s="268"/>
      <c r="ESN451" s="268"/>
      <c r="ESO451" s="268"/>
      <c r="ESP451" s="268"/>
      <c r="ESQ451" s="268"/>
      <c r="ESR451" s="268"/>
      <c r="ESS451" s="268"/>
      <c r="EST451" s="268"/>
      <c r="ESU451" s="268"/>
      <c r="ESV451" s="268"/>
      <c r="ESW451" s="268"/>
      <c r="ESX451" s="268"/>
      <c r="ESY451" s="268"/>
      <c r="ESZ451" s="268"/>
      <c r="ETA451" s="268"/>
      <c r="ETB451" s="268"/>
      <c r="ETC451" s="268"/>
      <c r="ETD451" s="268"/>
      <c r="ETE451" s="268"/>
      <c r="ETF451" s="268"/>
      <c r="ETG451" s="268"/>
      <c r="ETH451" s="268"/>
      <c r="ETI451" s="268"/>
      <c r="ETJ451" s="268"/>
      <c r="ETK451" s="268"/>
      <c r="ETL451" s="268"/>
      <c r="ETM451" s="268"/>
      <c r="ETN451" s="268"/>
      <c r="ETO451" s="268"/>
      <c r="ETP451" s="268"/>
      <c r="ETQ451" s="268"/>
      <c r="ETR451" s="268"/>
      <c r="ETS451" s="268"/>
      <c r="ETT451" s="268"/>
      <c r="ETU451" s="268"/>
      <c r="ETV451" s="268"/>
      <c r="ETW451" s="268"/>
      <c r="ETX451" s="268"/>
      <c r="ETY451" s="268"/>
      <c r="ETZ451" s="268"/>
      <c r="EUA451" s="268"/>
      <c r="EUB451" s="268"/>
      <c r="EUC451" s="268"/>
      <c r="EUD451" s="268"/>
      <c r="EUE451" s="268"/>
      <c r="EUF451" s="268"/>
      <c r="EUG451" s="268"/>
      <c r="EUH451" s="268"/>
      <c r="EUI451" s="268"/>
      <c r="EUJ451" s="268"/>
      <c r="EUK451" s="268"/>
      <c r="EUL451" s="268"/>
      <c r="EUM451" s="268"/>
      <c r="EUN451" s="268"/>
      <c r="EUO451" s="268"/>
      <c r="EUP451" s="268"/>
      <c r="EUQ451" s="268"/>
      <c r="EUR451" s="268"/>
      <c r="EUS451" s="268"/>
      <c r="EUT451" s="268"/>
      <c r="EUU451" s="268"/>
      <c r="EUV451" s="268"/>
      <c r="EUW451" s="268"/>
      <c r="EUX451" s="268"/>
      <c r="EUY451" s="268"/>
      <c r="EUZ451" s="268"/>
      <c r="EVA451" s="268"/>
      <c r="EVB451" s="268"/>
      <c r="EVC451" s="268"/>
      <c r="EVD451" s="268"/>
      <c r="EVE451" s="268"/>
      <c r="EVF451" s="268"/>
      <c r="EVG451" s="268"/>
      <c r="EVH451" s="268"/>
      <c r="EVI451" s="268"/>
      <c r="EVJ451" s="268"/>
      <c r="EVK451" s="268"/>
      <c r="EVL451" s="268"/>
      <c r="EVM451" s="268"/>
      <c r="EVN451" s="268"/>
      <c r="EVO451" s="268"/>
      <c r="EVP451" s="268"/>
      <c r="EVQ451" s="268"/>
      <c r="EVR451" s="268"/>
      <c r="EVS451" s="268"/>
      <c r="EVT451" s="268"/>
      <c r="EVU451" s="268"/>
      <c r="EVV451" s="268"/>
      <c r="EVW451" s="268"/>
      <c r="EVX451" s="268"/>
      <c r="EVY451" s="268"/>
      <c r="EVZ451" s="268"/>
      <c r="EWA451" s="268"/>
      <c r="EWB451" s="268"/>
      <c r="EWC451" s="268"/>
      <c r="EWD451" s="268"/>
      <c r="EWE451" s="268"/>
      <c r="EWF451" s="268"/>
      <c r="EWG451" s="268"/>
      <c r="EWH451" s="268"/>
      <c r="EWI451" s="268"/>
      <c r="EWJ451" s="268"/>
      <c r="EWK451" s="268"/>
      <c r="EWL451" s="268"/>
      <c r="EWM451" s="268"/>
      <c r="EWN451" s="268"/>
      <c r="EWO451" s="268"/>
      <c r="EWP451" s="268"/>
      <c r="EWQ451" s="268"/>
      <c r="EWR451" s="268"/>
      <c r="EWS451" s="268"/>
      <c r="EWT451" s="268"/>
      <c r="EWU451" s="268"/>
      <c r="EWV451" s="268"/>
      <c r="EWW451" s="268"/>
      <c r="EWX451" s="268"/>
      <c r="EWY451" s="268"/>
      <c r="EWZ451" s="268"/>
      <c r="EXA451" s="268"/>
      <c r="EXB451" s="268"/>
      <c r="EXC451" s="268"/>
      <c r="EXD451" s="268"/>
      <c r="EXE451" s="268"/>
      <c r="EXF451" s="268"/>
      <c r="EXG451" s="268"/>
      <c r="EXH451" s="268"/>
      <c r="EXI451" s="268"/>
      <c r="EXJ451" s="268"/>
      <c r="EXK451" s="268"/>
      <c r="EXL451" s="268"/>
      <c r="EXM451" s="268"/>
      <c r="EXN451" s="268"/>
      <c r="EXO451" s="268"/>
      <c r="EXP451" s="268"/>
      <c r="EXQ451" s="268"/>
      <c r="EXR451" s="268"/>
      <c r="EXS451" s="268"/>
      <c r="EXT451" s="268"/>
      <c r="EXU451" s="268"/>
      <c r="EXV451" s="268"/>
      <c r="EXW451" s="268"/>
      <c r="EXX451" s="268"/>
      <c r="EXY451" s="268"/>
      <c r="EXZ451" s="268"/>
      <c r="EYA451" s="268"/>
      <c r="EYB451" s="268"/>
      <c r="EYC451" s="268"/>
      <c r="EYD451" s="268"/>
      <c r="EYE451" s="268"/>
      <c r="EYF451" s="268"/>
      <c r="EYG451" s="268"/>
      <c r="EYH451" s="268"/>
      <c r="EYI451" s="268"/>
      <c r="EYJ451" s="268"/>
      <c r="EYK451" s="268"/>
      <c r="EYL451" s="268"/>
      <c r="EYM451" s="268"/>
      <c r="EYN451" s="268"/>
      <c r="EYO451" s="268"/>
      <c r="EYP451" s="268"/>
      <c r="EYQ451" s="268"/>
      <c r="EYR451" s="268"/>
      <c r="EYS451" s="268"/>
      <c r="EYT451" s="268"/>
      <c r="EYU451" s="268"/>
      <c r="EYV451" s="268"/>
      <c r="EYW451" s="268"/>
      <c r="EYX451" s="268"/>
      <c r="EYY451" s="268"/>
      <c r="EYZ451" s="268"/>
      <c r="EZA451" s="268"/>
      <c r="EZB451" s="268"/>
      <c r="EZC451" s="268"/>
      <c r="EZD451" s="268"/>
      <c r="EZE451" s="268"/>
      <c r="EZF451" s="268"/>
      <c r="EZG451" s="268"/>
      <c r="EZH451" s="268"/>
      <c r="EZI451" s="268"/>
      <c r="EZJ451" s="268"/>
      <c r="EZK451" s="268"/>
      <c r="EZL451" s="268"/>
      <c r="EZM451" s="268"/>
      <c r="EZN451" s="268"/>
      <c r="EZO451" s="268"/>
      <c r="EZP451" s="268"/>
      <c r="EZQ451" s="268"/>
      <c r="EZR451" s="268"/>
      <c r="EZS451" s="268"/>
      <c r="EZT451" s="268"/>
      <c r="EZU451" s="268"/>
      <c r="EZV451" s="268"/>
      <c r="EZW451" s="268"/>
      <c r="EZX451" s="268"/>
      <c r="EZY451" s="268"/>
      <c r="EZZ451" s="268"/>
      <c r="FAA451" s="268"/>
      <c r="FAB451" s="268"/>
      <c r="FAC451" s="268"/>
      <c r="FAD451" s="268"/>
      <c r="FAE451" s="268"/>
      <c r="FAS451" s="268"/>
      <c r="FAT451" s="268"/>
      <c r="FAU451" s="268"/>
      <c r="FBI451" s="268"/>
      <c r="FBK451" s="268"/>
      <c r="FBL451" s="268"/>
      <c r="FBM451" s="268"/>
      <c r="FBN451" s="268"/>
      <c r="FBO451" s="268"/>
      <c r="FBP451" s="268"/>
      <c r="FBQ451" s="268"/>
      <c r="FBR451" s="268"/>
      <c r="FBS451" s="268"/>
      <c r="FBT451" s="268"/>
      <c r="FBU451" s="268"/>
      <c r="FBV451" s="268"/>
      <c r="FBW451" s="268"/>
      <c r="FBX451" s="268"/>
      <c r="FBY451" s="268"/>
      <c r="FBZ451" s="268"/>
      <c r="FCA451" s="268"/>
      <c r="FCB451" s="268"/>
      <c r="FCC451" s="268"/>
      <c r="FCD451" s="268"/>
      <c r="FCE451" s="268"/>
      <c r="FCF451" s="268"/>
      <c r="FCG451" s="268"/>
      <c r="FCH451" s="268"/>
      <c r="FCI451" s="268"/>
      <c r="FCJ451" s="268"/>
      <c r="FCK451" s="268"/>
      <c r="FCL451" s="268"/>
      <c r="FCM451" s="268"/>
      <c r="FCN451" s="268"/>
      <c r="FCO451" s="268"/>
      <c r="FCP451" s="268"/>
      <c r="FCQ451" s="268"/>
      <c r="FCR451" s="268"/>
      <c r="FCS451" s="268"/>
      <c r="FCT451" s="268"/>
      <c r="FCU451" s="268"/>
      <c r="FCV451" s="268"/>
      <c r="FCW451" s="268"/>
      <c r="FCX451" s="268"/>
      <c r="FCY451" s="268"/>
      <c r="FCZ451" s="268"/>
      <c r="FDA451" s="268"/>
      <c r="FDB451" s="268"/>
      <c r="FDC451" s="268"/>
      <c r="FDD451" s="268"/>
      <c r="FDE451" s="268"/>
      <c r="FDF451" s="268"/>
      <c r="FDG451" s="268"/>
      <c r="FDH451" s="268"/>
      <c r="FDI451" s="268"/>
      <c r="FDJ451" s="268"/>
      <c r="FDK451" s="268"/>
      <c r="FDL451" s="268"/>
      <c r="FDM451" s="268"/>
      <c r="FDN451" s="268"/>
      <c r="FDO451" s="268"/>
      <c r="FDP451" s="268"/>
      <c r="FDQ451" s="268"/>
      <c r="FDR451" s="268"/>
      <c r="FDS451" s="268"/>
      <c r="FDT451" s="268"/>
      <c r="FDU451" s="268"/>
      <c r="FDV451" s="268"/>
      <c r="FDW451" s="268"/>
      <c r="FDX451" s="268"/>
      <c r="FDY451" s="268"/>
      <c r="FDZ451" s="268"/>
      <c r="FEA451" s="268"/>
      <c r="FEB451" s="268"/>
      <c r="FEC451" s="268"/>
      <c r="FED451" s="268"/>
      <c r="FEE451" s="268"/>
      <c r="FEF451" s="268"/>
      <c r="FEG451" s="268"/>
      <c r="FEH451" s="268"/>
      <c r="FEI451" s="268"/>
      <c r="FEJ451" s="268"/>
      <c r="FEK451" s="268"/>
      <c r="FEL451" s="268"/>
      <c r="FEM451" s="268"/>
      <c r="FEN451" s="268"/>
      <c r="FEO451" s="268"/>
      <c r="FEP451" s="268"/>
      <c r="FEQ451" s="268"/>
      <c r="FER451" s="268"/>
      <c r="FES451" s="268"/>
      <c r="FET451" s="268"/>
      <c r="FEU451" s="268"/>
      <c r="FEV451" s="268"/>
      <c r="FEW451" s="268"/>
      <c r="FEX451" s="268"/>
      <c r="FEY451" s="268"/>
      <c r="FEZ451" s="268"/>
      <c r="FFA451" s="268"/>
      <c r="FFB451" s="268"/>
      <c r="FFC451" s="268"/>
      <c r="FFD451" s="268"/>
      <c r="FFE451" s="268"/>
      <c r="FFF451" s="268"/>
      <c r="FFG451" s="268"/>
      <c r="FFH451" s="268"/>
      <c r="FFI451" s="268"/>
      <c r="FFJ451" s="268"/>
      <c r="FFK451" s="268"/>
      <c r="FFL451" s="268"/>
      <c r="FFM451" s="268"/>
      <c r="FFN451" s="268"/>
      <c r="FFO451" s="268"/>
      <c r="FFP451" s="268"/>
      <c r="FFQ451" s="268"/>
      <c r="FFR451" s="268"/>
      <c r="FFS451" s="268"/>
      <c r="FFT451" s="268"/>
      <c r="FFU451" s="268"/>
      <c r="FFV451" s="268"/>
      <c r="FFW451" s="268"/>
      <c r="FFX451" s="268"/>
      <c r="FFY451" s="268"/>
      <c r="FFZ451" s="268"/>
      <c r="FGA451" s="268"/>
      <c r="FGB451" s="268"/>
      <c r="FGC451" s="268"/>
      <c r="FGD451" s="268"/>
      <c r="FGE451" s="268"/>
      <c r="FGF451" s="268"/>
      <c r="FGG451" s="268"/>
      <c r="FGH451" s="268"/>
      <c r="FGI451" s="268"/>
      <c r="FGJ451" s="268"/>
      <c r="FGK451" s="268"/>
      <c r="FGL451" s="268"/>
      <c r="FGM451" s="268"/>
      <c r="FGN451" s="268"/>
      <c r="FGO451" s="268"/>
      <c r="FGP451" s="268"/>
      <c r="FGQ451" s="268"/>
      <c r="FGR451" s="268"/>
      <c r="FGS451" s="268"/>
      <c r="FGT451" s="268"/>
      <c r="FGU451" s="268"/>
      <c r="FGV451" s="268"/>
      <c r="FGW451" s="268"/>
      <c r="FGX451" s="268"/>
      <c r="FGY451" s="268"/>
      <c r="FGZ451" s="268"/>
      <c r="FHA451" s="268"/>
      <c r="FHB451" s="268"/>
      <c r="FHC451" s="268"/>
      <c r="FHD451" s="268"/>
      <c r="FHE451" s="268"/>
      <c r="FHF451" s="268"/>
      <c r="FHG451" s="268"/>
      <c r="FHH451" s="268"/>
      <c r="FHI451" s="268"/>
      <c r="FHJ451" s="268"/>
      <c r="FHK451" s="268"/>
      <c r="FHL451" s="268"/>
      <c r="FHM451" s="268"/>
      <c r="FHN451" s="268"/>
      <c r="FHO451" s="268"/>
      <c r="FHP451" s="268"/>
      <c r="FHQ451" s="268"/>
      <c r="FHR451" s="268"/>
      <c r="FHS451" s="268"/>
      <c r="FHT451" s="268"/>
      <c r="FHU451" s="268"/>
      <c r="FHV451" s="268"/>
      <c r="FHW451" s="268"/>
      <c r="FHX451" s="268"/>
      <c r="FHY451" s="268"/>
      <c r="FHZ451" s="268"/>
      <c r="FIA451" s="268"/>
      <c r="FIB451" s="268"/>
      <c r="FIC451" s="268"/>
      <c r="FID451" s="268"/>
      <c r="FIE451" s="268"/>
      <c r="FIF451" s="268"/>
      <c r="FIG451" s="268"/>
      <c r="FIH451" s="268"/>
      <c r="FII451" s="268"/>
      <c r="FIJ451" s="268"/>
      <c r="FIK451" s="268"/>
      <c r="FIL451" s="268"/>
      <c r="FIM451" s="268"/>
      <c r="FIN451" s="268"/>
      <c r="FIO451" s="268"/>
      <c r="FIP451" s="268"/>
      <c r="FIQ451" s="268"/>
      <c r="FIR451" s="268"/>
      <c r="FIS451" s="268"/>
      <c r="FIT451" s="268"/>
      <c r="FIU451" s="268"/>
      <c r="FIV451" s="268"/>
      <c r="FIW451" s="268"/>
      <c r="FIX451" s="268"/>
      <c r="FIY451" s="268"/>
      <c r="FIZ451" s="268"/>
      <c r="FJA451" s="268"/>
      <c r="FJB451" s="268"/>
      <c r="FJC451" s="268"/>
      <c r="FJD451" s="268"/>
      <c r="FJE451" s="268"/>
      <c r="FJF451" s="268"/>
      <c r="FJG451" s="268"/>
      <c r="FJH451" s="268"/>
      <c r="FJI451" s="268"/>
      <c r="FJJ451" s="268"/>
      <c r="FJK451" s="268"/>
      <c r="FJL451" s="268"/>
      <c r="FJM451" s="268"/>
      <c r="FJN451" s="268"/>
      <c r="FJO451" s="268"/>
      <c r="FJP451" s="268"/>
      <c r="FJQ451" s="268"/>
      <c r="FJR451" s="268"/>
      <c r="FJS451" s="268"/>
      <c r="FJT451" s="268"/>
      <c r="FJU451" s="268"/>
      <c r="FJV451" s="268"/>
      <c r="FJW451" s="268"/>
      <c r="FJX451" s="268"/>
      <c r="FJY451" s="268"/>
      <c r="FJZ451" s="268"/>
      <c r="FKA451" s="268"/>
      <c r="FKO451" s="268"/>
      <c r="FKP451" s="268"/>
      <c r="FKQ451" s="268"/>
      <c r="FLE451" s="268"/>
      <c r="FLG451" s="268"/>
      <c r="FLH451" s="268"/>
      <c r="FLI451" s="268"/>
      <c r="FLJ451" s="268"/>
      <c r="FLK451" s="268"/>
      <c r="FLL451" s="268"/>
      <c r="FLM451" s="268"/>
      <c r="FLN451" s="268"/>
      <c r="FLO451" s="268"/>
      <c r="FLP451" s="268"/>
      <c r="FLQ451" s="268"/>
      <c r="FLR451" s="268"/>
      <c r="FLS451" s="268"/>
      <c r="FLT451" s="268"/>
      <c r="FLU451" s="268"/>
      <c r="FLV451" s="268"/>
      <c r="FLW451" s="268"/>
      <c r="FLX451" s="268"/>
      <c r="FLY451" s="268"/>
      <c r="FLZ451" s="268"/>
      <c r="FMA451" s="268"/>
      <c r="FMB451" s="268"/>
      <c r="FMC451" s="268"/>
      <c r="FMD451" s="268"/>
      <c r="FME451" s="268"/>
      <c r="FMF451" s="268"/>
      <c r="FMG451" s="268"/>
      <c r="FMH451" s="268"/>
      <c r="FMI451" s="268"/>
      <c r="FMJ451" s="268"/>
      <c r="FMK451" s="268"/>
      <c r="FML451" s="268"/>
      <c r="FMM451" s="268"/>
      <c r="FMN451" s="268"/>
      <c r="FMO451" s="268"/>
      <c r="FMP451" s="268"/>
      <c r="FMQ451" s="268"/>
      <c r="FMR451" s="268"/>
      <c r="FMS451" s="268"/>
      <c r="FMT451" s="268"/>
      <c r="FMU451" s="268"/>
      <c r="FMV451" s="268"/>
      <c r="FMW451" s="268"/>
      <c r="FMX451" s="268"/>
      <c r="FMY451" s="268"/>
      <c r="FMZ451" s="268"/>
      <c r="FNA451" s="268"/>
      <c r="FNB451" s="268"/>
      <c r="FNC451" s="268"/>
      <c r="FND451" s="268"/>
      <c r="FNE451" s="268"/>
      <c r="FNF451" s="268"/>
      <c r="FNG451" s="268"/>
      <c r="FNH451" s="268"/>
      <c r="FNI451" s="268"/>
      <c r="FNJ451" s="268"/>
      <c r="FNK451" s="268"/>
      <c r="FNL451" s="268"/>
      <c r="FNM451" s="268"/>
      <c r="FNN451" s="268"/>
      <c r="FNO451" s="268"/>
      <c r="FNP451" s="268"/>
      <c r="FNQ451" s="268"/>
      <c r="FNR451" s="268"/>
      <c r="FNS451" s="268"/>
      <c r="FNT451" s="268"/>
      <c r="FNU451" s="268"/>
      <c r="FNV451" s="268"/>
      <c r="FNW451" s="268"/>
      <c r="FNX451" s="268"/>
      <c r="FNY451" s="268"/>
      <c r="FNZ451" s="268"/>
      <c r="FOA451" s="268"/>
      <c r="FOB451" s="268"/>
      <c r="FOC451" s="268"/>
      <c r="FOD451" s="268"/>
      <c r="FOE451" s="268"/>
      <c r="FOF451" s="268"/>
      <c r="FOG451" s="268"/>
      <c r="FOH451" s="268"/>
      <c r="FOI451" s="268"/>
      <c r="FOJ451" s="268"/>
      <c r="FOK451" s="268"/>
      <c r="FOL451" s="268"/>
      <c r="FOM451" s="268"/>
      <c r="FON451" s="268"/>
      <c r="FOO451" s="268"/>
      <c r="FOP451" s="268"/>
      <c r="FOQ451" s="268"/>
      <c r="FOR451" s="268"/>
      <c r="FOS451" s="268"/>
      <c r="FOT451" s="268"/>
      <c r="FOU451" s="268"/>
      <c r="FOV451" s="268"/>
      <c r="FOW451" s="268"/>
      <c r="FOX451" s="268"/>
      <c r="FOY451" s="268"/>
      <c r="FOZ451" s="268"/>
      <c r="FPA451" s="268"/>
      <c r="FPB451" s="268"/>
      <c r="FPC451" s="268"/>
      <c r="FPD451" s="268"/>
      <c r="FPE451" s="268"/>
      <c r="FPF451" s="268"/>
      <c r="FPG451" s="268"/>
      <c r="FPH451" s="268"/>
      <c r="FPI451" s="268"/>
      <c r="FPJ451" s="268"/>
      <c r="FPK451" s="268"/>
      <c r="FPL451" s="268"/>
      <c r="FPM451" s="268"/>
      <c r="FPN451" s="268"/>
      <c r="FPO451" s="268"/>
      <c r="FPP451" s="268"/>
      <c r="FPQ451" s="268"/>
      <c r="FPR451" s="268"/>
      <c r="FPS451" s="268"/>
      <c r="FPT451" s="268"/>
      <c r="FPU451" s="268"/>
      <c r="FPV451" s="268"/>
      <c r="FPW451" s="268"/>
      <c r="FPX451" s="268"/>
      <c r="FPY451" s="268"/>
      <c r="FPZ451" s="268"/>
      <c r="FQA451" s="268"/>
      <c r="FQB451" s="268"/>
      <c r="FQC451" s="268"/>
      <c r="FQD451" s="268"/>
      <c r="FQE451" s="268"/>
      <c r="FQF451" s="268"/>
      <c r="FQG451" s="268"/>
      <c r="FQH451" s="268"/>
      <c r="FQI451" s="268"/>
      <c r="FQJ451" s="268"/>
      <c r="FQK451" s="268"/>
      <c r="FQL451" s="268"/>
      <c r="FQM451" s="268"/>
      <c r="FQN451" s="268"/>
      <c r="FQO451" s="268"/>
      <c r="FQP451" s="268"/>
      <c r="FQQ451" s="268"/>
      <c r="FQR451" s="268"/>
      <c r="FQS451" s="268"/>
      <c r="FQT451" s="268"/>
      <c r="FQU451" s="268"/>
      <c r="FQV451" s="268"/>
      <c r="FQW451" s="268"/>
      <c r="FQX451" s="268"/>
      <c r="FQY451" s="268"/>
      <c r="FQZ451" s="268"/>
      <c r="FRA451" s="268"/>
      <c r="FRB451" s="268"/>
      <c r="FRC451" s="268"/>
      <c r="FRD451" s="268"/>
      <c r="FRE451" s="268"/>
      <c r="FRF451" s="268"/>
      <c r="FRG451" s="268"/>
      <c r="FRH451" s="268"/>
      <c r="FRI451" s="268"/>
      <c r="FRJ451" s="268"/>
      <c r="FRK451" s="268"/>
      <c r="FRL451" s="268"/>
      <c r="FRM451" s="268"/>
      <c r="FRN451" s="268"/>
      <c r="FRO451" s="268"/>
      <c r="FRP451" s="268"/>
      <c r="FRQ451" s="268"/>
      <c r="FRR451" s="268"/>
      <c r="FRS451" s="268"/>
      <c r="FRT451" s="268"/>
      <c r="FRU451" s="268"/>
      <c r="FRV451" s="268"/>
      <c r="FRW451" s="268"/>
      <c r="FRX451" s="268"/>
      <c r="FRY451" s="268"/>
      <c r="FRZ451" s="268"/>
      <c r="FSA451" s="268"/>
      <c r="FSB451" s="268"/>
      <c r="FSC451" s="268"/>
      <c r="FSD451" s="268"/>
      <c r="FSE451" s="268"/>
      <c r="FSF451" s="268"/>
      <c r="FSG451" s="268"/>
      <c r="FSH451" s="268"/>
      <c r="FSI451" s="268"/>
      <c r="FSJ451" s="268"/>
      <c r="FSK451" s="268"/>
      <c r="FSL451" s="268"/>
      <c r="FSM451" s="268"/>
      <c r="FSN451" s="268"/>
      <c r="FSO451" s="268"/>
      <c r="FSP451" s="268"/>
      <c r="FSQ451" s="268"/>
      <c r="FSR451" s="268"/>
      <c r="FSS451" s="268"/>
      <c r="FST451" s="268"/>
      <c r="FSU451" s="268"/>
      <c r="FSV451" s="268"/>
      <c r="FSW451" s="268"/>
      <c r="FSX451" s="268"/>
      <c r="FSY451" s="268"/>
      <c r="FSZ451" s="268"/>
      <c r="FTA451" s="268"/>
      <c r="FTB451" s="268"/>
      <c r="FTC451" s="268"/>
      <c r="FTD451" s="268"/>
      <c r="FTE451" s="268"/>
      <c r="FTF451" s="268"/>
      <c r="FTG451" s="268"/>
      <c r="FTH451" s="268"/>
      <c r="FTI451" s="268"/>
      <c r="FTJ451" s="268"/>
      <c r="FTK451" s="268"/>
      <c r="FTL451" s="268"/>
      <c r="FTM451" s="268"/>
      <c r="FTN451" s="268"/>
      <c r="FTO451" s="268"/>
      <c r="FTP451" s="268"/>
      <c r="FTQ451" s="268"/>
      <c r="FTR451" s="268"/>
      <c r="FTS451" s="268"/>
      <c r="FTT451" s="268"/>
      <c r="FTU451" s="268"/>
      <c r="FTV451" s="268"/>
      <c r="FTW451" s="268"/>
      <c r="FUK451" s="268"/>
      <c r="FUL451" s="268"/>
      <c r="FUM451" s="268"/>
      <c r="FVA451" s="268"/>
      <c r="FVC451" s="268"/>
      <c r="FVD451" s="268"/>
      <c r="FVE451" s="268"/>
      <c r="FVF451" s="268"/>
      <c r="FVG451" s="268"/>
      <c r="FVH451" s="268"/>
      <c r="FVI451" s="268"/>
      <c r="FVJ451" s="268"/>
      <c r="FVK451" s="268"/>
      <c r="FVL451" s="268"/>
      <c r="FVM451" s="268"/>
      <c r="FVN451" s="268"/>
      <c r="FVO451" s="268"/>
      <c r="FVP451" s="268"/>
      <c r="FVQ451" s="268"/>
      <c r="FVR451" s="268"/>
      <c r="FVS451" s="268"/>
      <c r="FVT451" s="268"/>
      <c r="FVU451" s="268"/>
      <c r="FVV451" s="268"/>
      <c r="FVW451" s="268"/>
      <c r="FVX451" s="268"/>
      <c r="FVY451" s="268"/>
      <c r="FVZ451" s="268"/>
      <c r="FWA451" s="268"/>
      <c r="FWB451" s="268"/>
      <c r="FWC451" s="268"/>
      <c r="FWD451" s="268"/>
      <c r="FWE451" s="268"/>
      <c r="FWF451" s="268"/>
      <c r="FWG451" s="268"/>
      <c r="FWH451" s="268"/>
      <c r="FWI451" s="268"/>
      <c r="FWJ451" s="268"/>
      <c r="FWK451" s="268"/>
      <c r="FWL451" s="268"/>
      <c r="FWM451" s="268"/>
      <c r="FWN451" s="268"/>
      <c r="FWO451" s="268"/>
      <c r="FWP451" s="268"/>
      <c r="FWQ451" s="268"/>
      <c r="FWR451" s="268"/>
      <c r="FWS451" s="268"/>
      <c r="FWT451" s="268"/>
      <c r="FWU451" s="268"/>
      <c r="FWV451" s="268"/>
      <c r="FWW451" s="268"/>
      <c r="FWX451" s="268"/>
      <c r="FWY451" s="268"/>
      <c r="FWZ451" s="268"/>
      <c r="FXA451" s="268"/>
      <c r="FXB451" s="268"/>
      <c r="FXC451" s="268"/>
      <c r="FXD451" s="268"/>
      <c r="FXE451" s="268"/>
      <c r="FXF451" s="268"/>
      <c r="FXG451" s="268"/>
      <c r="FXH451" s="268"/>
      <c r="FXI451" s="268"/>
      <c r="FXJ451" s="268"/>
      <c r="FXK451" s="268"/>
      <c r="FXL451" s="268"/>
      <c r="FXM451" s="268"/>
      <c r="FXN451" s="268"/>
      <c r="FXO451" s="268"/>
      <c r="FXP451" s="268"/>
      <c r="FXQ451" s="268"/>
      <c r="FXR451" s="268"/>
      <c r="FXS451" s="268"/>
      <c r="FXT451" s="268"/>
      <c r="FXU451" s="268"/>
      <c r="FXV451" s="268"/>
      <c r="FXW451" s="268"/>
      <c r="FXX451" s="268"/>
      <c r="FXY451" s="268"/>
      <c r="FXZ451" s="268"/>
      <c r="FYA451" s="268"/>
      <c r="FYB451" s="268"/>
      <c r="FYC451" s="268"/>
      <c r="FYD451" s="268"/>
      <c r="FYE451" s="268"/>
      <c r="FYF451" s="268"/>
      <c r="FYG451" s="268"/>
      <c r="FYH451" s="268"/>
      <c r="FYI451" s="268"/>
      <c r="FYJ451" s="268"/>
      <c r="FYK451" s="268"/>
      <c r="FYL451" s="268"/>
      <c r="FYM451" s="268"/>
      <c r="FYN451" s="268"/>
      <c r="FYO451" s="268"/>
      <c r="FYP451" s="268"/>
      <c r="FYQ451" s="268"/>
      <c r="FYR451" s="268"/>
      <c r="FYS451" s="268"/>
      <c r="FYT451" s="268"/>
      <c r="FYU451" s="268"/>
      <c r="FYV451" s="268"/>
      <c r="FYW451" s="268"/>
      <c r="FYX451" s="268"/>
      <c r="FYY451" s="268"/>
      <c r="FYZ451" s="268"/>
      <c r="FZA451" s="268"/>
      <c r="FZB451" s="268"/>
      <c r="FZC451" s="268"/>
      <c r="FZD451" s="268"/>
      <c r="FZE451" s="268"/>
      <c r="FZF451" s="268"/>
      <c r="FZG451" s="268"/>
      <c r="FZH451" s="268"/>
      <c r="FZI451" s="268"/>
      <c r="FZJ451" s="268"/>
      <c r="FZK451" s="268"/>
      <c r="FZL451" s="268"/>
      <c r="FZM451" s="268"/>
      <c r="FZN451" s="268"/>
      <c r="FZO451" s="268"/>
      <c r="FZP451" s="268"/>
      <c r="FZQ451" s="268"/>
      <c r="FZR451" s="268"/>
      <c r="FZS451" s="268"/>
      <c r="FZT451" s="268"/>
      <c r="FZU451" s="268"/>
      <c r="FZV451" s="268"/>
      <c r="FZW451" s="268"/>
      <c r="FZX451" s="268"/>
      <c r="FZY451" s="268"/>
      <c r="FZZ451" s="268"/>
      <c r="GAA451" s="268"/>
      <c r="GAB451" s="268"/>
      <c r="GAC451" s="268"/>
      <c r="GAD451" s="268"/>
      <c r="GAE451" s="268"/>
      <c r="GAF451" s="268"/>
      <c r="GAG451" s="268"/>
      <c r="GAH451" s="268"/>
      <c r="GAI451" s="268"/>
      <c r="GAJ451" s="268"/>
      <c r="GAK451" s="268"/>
      <c r="GAL451" s="268"/>
      <c r="GAM451" s="268"/>
      <c r="GAN451" s="268"/>
      <c r="GAO451" s="268"/>
      <c r="GAP451" s="268"/>
      <c r="GAQ451" s="268"/>
      <c r="GAR451" s="268"/>
      <c r="GAS451" s="268"/>
      <c r="GAT451" s="268"/>
      <c r="GAU451" s="268"/>
      <c r="GAV451" s="268"/>
      <c r="GAW451" s="268"/>
      <c r="GAX451" s="268"/>
      <c r="GAY451" s="268"/>
      <c r="GAZ451" s="268"/>
      <c r="GBA451" s="268"/>
      <c r="GBB451" s="268"/>
      <c r="GBC451" s="268"/>
      <c r="GBD451" s="268"/>
      <c r="GBE451" s="268"/>
      <c r="GBF451" s="268"/>
      <c r="GBG451" s="268"/>
      <c r="GBH451" s="268"/>
      <c r="GBI451" s="268"/>
      <c r="GBJ451" s="268"/>
      <c r="GBK451" s="268"/>
      <c r="GBL451" s="268"/>
      <c r="GBM451" s="268"/>
      <c r="GBN451" s="268"/>
      <c r="GBO451" s="268"/>
      <c r="GBP451" s="268"/>
      <c r="GBQ451" s="268"/>
      <c r="GBR451" s="268"/>
      <c r="GBS451" s="268"/>
      <c r="GBT451" s="268"/>
      <c r="GBU451" s="268"/>
      <c r="GBV451" s="268"/>
      <c r="GBW451" s="268"/>
      <c r="GBX451" s="268"/>
      <c r="GBY451" s="268"/>
      <c r="GBZ451" s="268"/>
      <c r="GCA451" s="268"/>
      <c r="GCB451" s="268"/>
      <c r="GCC451" s="268"/>
      <c r="GCD451" s="268"/>
      <c r="GCE451" s="268"/>
      <c r="GCF451" s="268"/>
      <c r="GCG451" s="268"/>
      <c r="GCH451" s="268"/>
      <c r="GCI451" s="268"/>
      <c r="GCJ451" s="268"/>
      <c r="GCK451" s="268"/>
      <c r="GCL451" s="268"/>
      <c r="GCM451" s="268"/>
      <c r="GCN451" s="268"/>
      <c r="GCO451" s="268"/>
      <c r="GCP451" s="268"/>
      <c r="GCQ451" s="268"/>
      <c r="GCR451" s="268"/>
      <c r="GCS451" s="268"/>
      <c r="GCT451" s="268"/>
      <c r="GCU451" s="268"/>
      <c r="GCV451" s="268"/>
      <c r="GCW451" s="268"/>
      <c r="GCX451" s="268"/>
      <c r="GCY451" s="268"/>
      <c r="GCZ451" s="268"/>
      <c r="GDA451" s="268"/>
      <c r="GDB451" s="268"/>
      <c r="GDC451" s="268"/>
      <c r="GDD451" s="268"/>
      <c r="GDE451" s="268"/>
      <c r="GDF451" s="268"/>
      <c r="GDG451" s="268"/>
      <c r="GDH451" s="268"/>
      <c r="GDI451" s="268"/>
      <c r="GDJ451" s="268"/>
      <c r="GDK451" s="268"/>
      <c r="GDL451" s="268"/>
      <c r="GDM451" s="268"/>
      <c r="GDN451" s="268"/>
      <c r="GDO451" s="268"/>
      <c r="GDP451" s="268"/>
      <c r="GDQ451" s="268"/>
      <c r="GDR451" s="268"/>
      <c r="GDS451" s="268"/>
      <c r="GEG451" s="268"/>
      <c r="GEH451" s="268"/>
      <c r="GEI451" s="268"/>
      <c r="GEW451" s="268"/>
      <c r="GEY451" s="268"/>
      <c r="GEZ451" s="268"/>
      <c r="GFA451" s="268"/>
      <c r="GFB451" s="268"/>
      <c r="GFC451" s="268"/>
      <c r="GFD451" s="268"/>
      <c r="GFE451" s="268"/>
      <c r="GFF451" s="268"/>
      <c r="GFG451" s="268"/>
      <c r="GFH451" s="268"/>
      <c r="GFI451" s="268"/>
      <c r="GFJ451" s="268"/>
      <c r="GFK451" s="268"/>
      <c r="GFL451" s="268"/>
      <c r="GFM451" s="268"/>
      <c r="GFN451" s="268"/>
      <c r="GFO451" s="268"/>
      <c r="GFP451" s="268"/>
      <c r="GFQ451" s="268"/>
      <c r="GFR451" s="268"/>
      <c r="GFS451" s="268"/>
      <c r="GFT451" s="268"/>
      <c r="GFU451" s="268"/>
      <c r="GFV451" s="268"/>
      <c r="GFW451" s="268"/>
      <c r="GFX451" s="268"/>
      <c r="GFY451" s="268"/>
      <c r="GFZ451" s="268"/>
      <c r="GGA451" s="268"/>
      <c r="GGB451" s="268"/>
      <c r="GGC451" s="268"/>
      <c r="GGD451" s="268"/>
      <c r="GGE451" s="268"/>
      <c r="GGF451" s="268"/>
      <c r="GGG451" s="268"/>
      <c r="GGH451" s="268"/>
      <c r="GGI451" s="268"/>
      <c r="GGJ451" s="268"/>
      <c r="GGK451" s="268"/>
      <c r="GGL451" s="268"/>
      <c r="GGM451" s="268"/>
      <c r="GGN451" s="268"/>
      <c r="GGO451" s="268"/>
      <c r="GGP451" s="268"/>
      <c r="GGQ451" s="268"/>
      <c r="GGR451" s="268"/>
      <c r="GGS451" s="268"/>
      <c r="GGT451" s="268"/>
      <c r="GGU451" s="268"/>
      <c r="GGV451" s="268"/>
      <c r="GGW451" s="268"/>
      <c r="GGX451" s="268"/>
      <c r="GGY451" s="268"/>
      <c r="GGZ451" s="268"/>
      <c r="GHA451" s="268"/>
      <c r="GHB451" s="268"/>
      <c r="GHC451" s="268"/>
      <c r="GHD451" s="268"/>
      <c r="GHE451" s="268"/>
      <c r="GHF451" s="268"/>
      <c r="GHG451" s="268"/>
      <c r="GHH451" s="268"/>
      <c r="GHI451" s="268"/>
      <c r="GHJ451" s="268"/>
      <c r="GHK451" s="268"/>
      <c r="GHL451" s="268"/>
      <c r="GHM451" s="268"/>
      <c r="GHN451" s="268"/>
      <c r="GHO451" s="268"/>
      <c r="GHP451" s="268"/>
      <c r="GHQ451" s="268"/>
      <c r="GHR451" s="268"/>
      <c r="GHS451" s="268"/>
      <c r="GHT451" s="268"/>
      <c r="GHU451" s="268"/>
      <c r="GHV451" s="268"/>
      <c r="GHW451" s="268"/>
      <c r="GHX451" s="268"/>
      <c r="GHY451" s="268"/>
      <c r="GHZ451" s="268"/>
      <c r="GIA451" s="268"/>
      <c r="GIB451" s="268"/>
      <c r="GIC451" s="268"/>
      <c r="GID451" s="268"/>
      <c r="GIE451" s="268"/>
      <c r="GIF451" s="268"/>
      <c r="GIG451" s="268"/>
      <c r="GIH451" s="268"/>
      <c r="GII451" s="268"/>
      <c r="GIJ451" s="268"/>
      <c r="GIK451" s="268"/>
      <c r="GIL451" s="268"/>
      <c r="GIM451" s="268"/>
      <c r="GIN451" s="268"/>
      <c r="GIO451" s="268"/>
      <c r="GIP451" s="268"/>
      <c r="GIQ451" s="268"/>
      <c r="GIR451" s="268"/>
      <c r="GIS451" s="268"/>
      <c r="GIT451" s="268"/>
      <c r="GIU451" s="268"/>
      <c r="GIV451" s="268"/>
      <c r="GIW451" s="268"/>
      <c r="GIX451" s="268"/>
      <c r="GIY451" s="268"/>
      <c r="GIZ451" s="268"/>
      <c r="GJA451" s="268"/>
      <c r="GJB451" s="268"/>
      <c r="GJC451" s="268"/>
      <c r="GJD451" s="268"/>
      <c r="GJE451" s="268"/>
      <c r="GJF451" s="268"/>
      <c r="GJG451" s="268"/>
      <c r="GJH451" s="268"/>
      <c r="GJI451" s="268"/>
      <c r="GJJ451" s="268"/>
      <c r="GJK451" s="268"/>
      <c r="GJL451" s="268"/>
      <c r="GJM451" s="268"/>
      <c r="GJN451" s="268"/>
      <c r="GJO451" s="268"/>
      <c r="GJP451" s="268"/>
      <c r="GJQ451" s="268"/>
      <c r="GJR451" s="268"/>
      <c r="GJS451" s="268"/>
      <c r="GJT451" s="268"/>
      <c r="GJU451" s="268"/>
      <c r="GJV451" s="268"/>
      <c r="GJW451" s="268"/>
      <c r="GJX451" s="268"/>
      <c r="GJY451" s="268"/>
      <c r="GJZ451" s="268"/>
      <c r="GKA451" s="268"/>
      <c r="GKB451" s="268"/>
      <c r="GKC451" s="268"/>
      <c r="GKD451" s="268"/>
      <c r="GKE451" s="268"/>
      <c r="GKF451" s="268"/>
      <c r="GKG451" s="268"/>
      <c r="GKH451" s="268"/>
      <c r="GKI451" s="268"/>
      <c r="GKJ451" s="268"/>
      <c r="GKK451" s="268"/>
      <c r="GKL451" s="268"/>
      <c r="GKM451" s="268"/>
      <c r="GKN451" s="268"/>
      <c r="GKO451" s="268"/>
      <c r="GKP451" s="268"/>
      <c r="GKQ451" s="268"/>
      <c r="GKR451" s="268"/>
      <c r="GKS451" s="268"/>
      <c r="GKT451" s="268"/>
      <c r="GKU451" s="268"/>
      <c r="GKV451" s="268"/>
      <c r="GKW451" s="268"/>
      <c r="GKX451" s="268"/>
      <c r="GKY451" s="268"/>
      <c r="GKZ451" s="268"/>
      <c r="GLA451" s="268"/>
      <c r="GLB451" s="268"/>
      <c r="GLC451" s="268"/>
      <c r="GLD451" s="268"/>
      <c r="GLE451" s="268"/>
      <c r="GLF451" s="268"/>
      <c r="GLG451" s="268"/>
      <c r="GLH451" s="268"/>
      <c r="GLI451" s="268"/>
      <c r="GLJ451" s="268"/>
      <c r="GLK451" s="268"/>
      <c r="GLL451" s="268"/>
      <c r="GLM451" s="268"/>
      <c r="GLN451" s="268"/>
      <c r="GLO451" s="268"/>
      <c r="GLP451" s="268"/>
      <c r="GLQ451" s="268"/>
      <c r="GLR451" s="268"/>
      <c r="GLS451" s="268"/>
      <c r="GLT451" s="268"/>
      <c r="GLU451" s="268"/>
      <c r="GLV451" s="268"/>
      <c r="GLW451" s="268"/>
      <c r="GLX451" s="268"/>
      <c r="GLY451" s="268"/>
      <c r="GLZ451" s="268"/>
      <c r="GMA451" s="268"/>
      <c r="GMB451" s="268"/>
      <c r="GMC451" s="268"/>
      <c r="GMD451" s="268"/>
      <c r="GME451" s="268"/>
      <c r="GMF451" s="268"/>
      <c r="GMG451" s="268"/>
      <c r="GMH451" s="268"/>
      <c r="GMI451" s="268"/>
      <c r="GMJ451" s="268"/>
      <c r="GMK451" s="268"/>
      <c r="GML451" s="268"/>
      <c r="GMM451" s="268"/>
      <c r="GMN451" s="268"/>
      <c r="GMO451" s="268"/>
      <c r="GMP451" s="268"/>
      <c r="GMQ451" s="268"/>
      <c r="GMR451" s="268"/>
      <c r="GMS451" s="268"/>
      <c r="GMT451" s="268"/>
      <c r="GMU451" s="268"/>
      <c r="GMV451" s="268"/>
      <c r="GMW451" s="268"/>
      <c r="GMX451" s="268"/>
      <c r="GMY451" s="268"/>
      <c r="GMZ451" s="268"/>
      <c r="GNA451" s="268"/>
      <c r="GNB451" s="268"/>
      <c r="GNC451" s="268"/>
      <c r="GND451" s="268"/>
      <c r="GNE451" s="268"/>
      <c r="GNF451" s="268"/>
      <c r="GNG451" s="268"/>
      <c r="GNH451" s="268"/>
      <c r="GNI451" s="268"/>
      <c r="GNJ451" s="268"/>
      <c r="GNK451" s="268"/>
      <c r="GNL451" s="268"/>
      <c r="GNM451" s="268"/>
      <c r="GNN451" s="268"/>
      <c r="GNO451" s="268"/>
      <c r="GOC451" s="268"/>
      <c r="GOD451" s="268"/>
      <c r="GOE451" s="268"/>
      <c r="GOS451" s="268"/>
      <c r="GOU451" s="268"/>
      <c r="GOV451" s="268"/>
      <c r="GOW451" s="268"/>
      <c r="GOX451" s="268"/>
      <c r="GOY451" s="268"/>
      <c r="GOZ451" s="268"/>
      <c r="GPA451" s="268"/>
      <c r="GPB451" s="268"/>
      <c r="GPC451" s="268"/>
      <c r="GPD451" s="268"/>
      <c r="GPE451" s="268"/>
      <c r="GPF451" s="268"/>
      <c r="GPG451" s="268"/>
      <c r="GPH451" s="268"/>
      <c r="GPI451" s="268"/>
      <c r="GPJ451" s="268"/>
      <c r="GPK451" s="268"/>
      <c r="GPL451" s="268"/>
      <c r="GPM451" s="268"/>
      <c r="GPN451" s="268"/>
      <c r="GPO451" s="268"/>
      <c r="GPP451" s="268"/>
      <c r="GPQ451" s="268"/>
      <c r="GPR451" s="268"/>
      <c r="GPS451" s="268"/>
      <c r="GPT451" s="268"/>
      <c r="GPU451" s="268"/>
      <c r="GPV451" s="268"/>
      <c r="GPW451" s="268"/>
      <c r="GPX451" s="268"/>
      <c r="GPY451" s="268"/>
      <c r="GPZ451" s="268"/>
      <c r="GQA451" s="268"/>
      <c r="GQB451" s="268"/>
      <c r="GQC451" s="268"/>
      <c r="GQD451" s="268"/>
      <c r="GQE451" s="268"/>
      <c r="GQF451" s="268"/>
      <c r="GQG451" s="268"/>
      <c r="GQH451" s="268"/>
      <c r="GQI451" s="268"/>
      <c r="GQJ451" s="268"/>
      <c r="GQK451" s="268"/>
      <c r="GQL451" s="268"/>
      <c r="GQM451" s="268"/>
      <c r="GQN451" s="268"/>
      <c r="GQO451" s="268"/>
      <c r="GQP451" s="268"/>
      <c r="GQQ451" s="268"/>
      <c r="GQR451" s="268"/>
      <c r="GQS451" s="268"/>
      <c r="GQT451" s="268"/>
      <c r="GQU451" s="268"/>
      <c r="GQV451" s="268"/>
      <c r="GQW451" s="268"/>
      <c r="GQX451" s="268"/>
      <c r="GQY451" s="268"/>
      <c r="GQZ451" s="268"/>
      <c r="GRA451" s="268"/>
      <c r="GRB451" s="268"/>
      <c r="GRC451" s="268"/>
      <c r="GRD451" s="268"/>
      <c r="GRE451" s="268"/>
      <c r="GRF451" s="268"/>
      <c r="GRG451" s="268"/>
      <c r="GRH451" s="268"/>
      <c r="GRI451" s="268"/>
      <c r="GRJ451" s="268"/>
      <c r="GRK451" s="268"/>
      <c r="GRL451" s="268"/>
      <c r="GRM451" s="268"/>
      <c r="GRN451" s="268"/>
      <c r="GRO451" s="268"/>
      <c r="GRP451" s="268"/>
      <c r="GRQ451" s="268"/>
      <c r="GRR451" s="268"/>
      <c r="GRS451" s="268"/>
      <c r="GRT451" s="268"/>
      <c r="GRU451" s="268"/>
      <c r="GRV451" s="268"/>
      <c r="GRW451" s="268"/>
      <c r="GRX451" s="268"/>
      <c r="GRY451" s="268"/>
      <c r="GRZ451" s="268"/>
      <c r="GSA451" s="268"/>
      <c r="GSB451" s="268"/>
      <c r="GSC451" s="268"/>
      <c r="GSD451" s="268"/>
      <c r="GSE451" s="268"/>
      <c r="GSF451" s="268"/>
      <c r="GSG451" s="268"/>
      <c r="GSH451" s="268"/>
      <c r="GSI451" s="268"/>
      <c r="GSJ451" s="268"/>
      <c r="GSK451" s="268"/>
      <c r="GSL451" s="268"/>
      <c r="GSM451" s="268"/>
      <c r="GSN451" s="268"/>
      <c r="GSO451" s="268"/>
      <c r="GSP451" s="268"/>
      <c r="GSQ451" s="268"/>
      <c r="GSR451" s="268"/>
      <c r="GSS451" s="268"/>
      <c r="GST451" s="268"/>
      <c r="GSU451" s="268"/>
      <c r="GSV451" s="268"/>
      <c r="GSW451" s="268"/>
      <c r="GSX451" s="268"/>
      <c r="GSY451" s="268"/>
      <c r="GSZ451" s="268"/>
      <c r="GTA451" s="268"/>
      <c r="GTB451" s="268"/>
      <c r="GTC451" s="268"/>
      <c r="GTD451" s="268"/>
      <c r="GTE451" s="268"/>
      <c r="GTF451" s="268"/>
      <c r="GTG451" s="268"/>
      <c r="GTH451" s="268"/>
      <c r="GTI451" s="268"/>
      <c r="GTJ451" s="268"/>
      <c r="GTK451" s="268"/>
      <c r="GTL451" s="268"/>
      <c r="GTM451" s="268"/>
      <c r="GTN451" s="268"/>
      <c r="GTO451" s="268"/>
      <c r="GTP451" s="268"/>
      <c r="GTQ451" s="268"/>
      <c r="GTR451" s="268"/>
      <c r="GTS451" s="268"/>
      <c r="GTT451" s="268"/>
      <c r="GTU451" s="268"/>
      <c r="GTV451" s="268"/>
      <c r="GTW451" s="268"/>
      <c r="GTX451" s="268"/>
      <c r="GTY451" s="268"/>
      <c r="GTZ451" s="268"/>
      <c r="GUA451" s="268"/>
      <c r="GUB451" s="268"/>
      <c r="GUC451" s="268"/>
      <c r="GUD451" s="268"/>
      <c r="GUE451" s="268"/>
      <c r="GUF451" s="268"/>
      <c r="GUG451" s="268"/>
      <c r="GUH451" s="268"/>
      <c r="GUI451" s="268"/>
      <c r="GUJ451" s="268"/>
      <c r="GUK451" s="268"/>
      <c r="GUL451" s="268"/>
      <c r="GUM451" s="268"/>
      <c r="GUN451" s="268"/>
      <c r="GUO451" s="268"/>
      <c r="GUP451" s="268"/>
      <c r="GUQ451" s="268"/>
      <c r="GUR451" s="268"/>
      <c r="GUS451" s="268"/>
      <c r="GUT451" s="268"/>
      <c r="GUU451" s="268"/>
      <c r="GUV451" s="268"/>
      <c r="GUW451" s="268"/>
      <c r="GUX451" s="268"/>
      <c r="GUY451" s="268"/>
      <c r="GUZ451" s="268"/>
      <c r="GVA451" s="268"/>
      <c r="GVB451" s="268"/>
      <c r="GVC451" s="268"/>
      <c r="GVD451" s="268"/>
      <c r="GVE451" s="268"/>
      <c r="GVF451" s="268"/>
      <c r="GVG451" s="268"/>
      <c r="GVH451" s="268"/>
      <c r="GVI451" s="268"/>
      <c r="GVJ451" s="268"/>
      <c r="GVK451" s="268"/>
      <c r="GVL451" s="268"/>
      <c r="GVM451" s="268"/>
      <c r="GVN451" s="268"/>
      <c r="GVO451" s="268"/>
      <c r="GVP451" s="268"/>
      <c r="GVQ451" s="268"/>
      <c r="GVR451" s="268"/>
      <c r="GVS451" s="268"/>
      <c r="GVT451" s="268"/>
      <c r="GVU451" s="268"/>
      <c r="GVV451" s="268"/>
      <c r="GVW451" s="268"/>
      <c r="GVX451" s="268"/>
      <c r="GVY451" s="268"/>
      <c r="GVZ451" s="268"/>
      <c r="GWA451" s="268"/>
      <c r="GWB451" s="268"/>
      <c r="GWC451" s="268"/>
      <c r="GWD451" s="268"/>
      <c r="GWE451" s="268"/>
      <c r="GWF451" s="268"/>
      <c r="GWG451" s="268"/>
      <c r="GWH451" s="268"/>
      <c r="GWI451" s="268"/>
      <c r="GWJ451" s="268"/>
      <c r="GWK451" s="268"/>
      <c r="GWL451" s="268"/>
      <c r="GWM451" s="268"/>
      <c r="GWN451" s="268"/>
      <c r="GWO451" s="268"/>
      <c r="GWP451" s="268"/>
      <c r="GWQ451" s="268"/>
      <c r="GWR451" s="268"/>
      <c r="GWS451" s="268"/>
      <c r="GWT451" s="268"/>
      <c r="GWU451" s="268"/>
      <c r="GWV451" s="268"/>
      <c r="GWW451" s="268"/>
      <c r="GWX451" s="268"/>
      <c r="GWY451" s="268"/>
      <c r="GWZ451" s="268"/>
      <c r="GXA451" s="268"/>
      <c r="GXB451" s="268"/>
      <c r="GXC451" s="268"/>
      <c r="GXD451" s="268"/>
      <c r="GXE451" s="268"/>
      <c r="GXF451" s="268"/>
      <c r="GXG451" s="268"/>
      <c r="GXH451" s="268"/>
      <c r="GXI451" s="268"/>
      <c r="GXJ451" s="268"/>
      <c r="GXK451" s="268"/>
      <c r="GXY451" s="268"/>
      <c r="GXZ451" s="268"/>
      <c r="GYA451" s="268"/>
      <c r="GYO451" s="268"/>
      <c r="GYQ451" s="268"/>
      <c r="GYR451" s="268"/>
      <c r="GYS451" s="268"/>
      <c r="GYT451" s="268"/>
      <c r="GYU451" s="268"/>
      <c r="GYV451" s="268"/>
      <c r="GYW451" s="268"/>
      <c r="GYX451" s="268"/>
      <c r="GYY451" s="268"/>
      <c r="GYZ451" s="268"/>
      <c r="GZA451" s="268"/>
      <c r="GZB451" s="268"/>
      <c r="GZC451" s="268"/>
      <c r="GZD451" s="268"/>
      <c r="GZE451" s="268"/>
      <c r="GZF451" s="268"/>
      <c r="GZG451" s="268"/>
      <c r="GZH451" s="268"/>
      <c r="GZI451" s="268"/>
      <c r="GZJ451" s="268"/>
      <c r="GZK451" s="268"/>
      <c r="GZL451" s="268"/>
      <c r="GZM451" s="268"/>
      <c r="GZN451" s="268"/>
      <c r="GZO451" s="268"/>
      <c r="GZP451" s="268"/>
      <c r="GZQ451" s="268"/>
      <c r="GZR451" s="268"/>
      <c r="GZS451" s="268"/>
      <c r="GZT451" s="268"/>
      <c r="GZU451" s="268"/>
      <c r="GZV451" s="268"/>
      <c r="GZW451" s="268"/>
      <c r="GZX451" s="268"/>
      <c r="GZY451" s="268"/>
      <c r="GZZ451" s="268"/>
      <c r="HAA451" s="268"/>
      <c r="HAB451" s="268"/>
      <c r="HAC451" s="268"/>
      <c r="HAD451" s="268"/>
      <c r="HAE451" s="268"/>
      <c r="HAF451" s="268"/>
      <c r="HAG451" s="268"/>
      <c r="HAH451" s="268"/>
      <c r="HAI451" s="268"/>
      <c r="HAJ451" s="268"/>
      <c r="HAK451" s="268"/>
      <c r="HAL451" s="268"/>
      <c r="HAM451" s="268"/>
      <c r="HAN451" s="268"/>
      <c r="HAO451" s="268"/>
      <c r="HAP451" s="268"/>
      <c r="HAQ451" s="268"/>
      <c r="HAR451" s="268"/>
      <c r="HAS451" s="268"/>
      <c r="HAT451" s="268"/>
      <c r="HAU451" s="268"/>
      <c r="HAV451" s="268"/>
      <c r="HAW451" s="268"/>
      <c r="HAX451" s="268"/>
      <c r="HAY451" s="268"/>
      <c r="HAZ451" s="268"/>
      <c r="HBA451" s="268"/>
      <c r="HBB451" s="268"/>
      <c r="HBC451" s="268"/>
      <c r="HBD451" s="268"/>
      <c r="HBE451" s="268"/>
      <c r="HBF451" s="268"/>
      <c r="HBG451" s="268"/>
      <c r="HBH451" s="268"/>
      <c r="HBI451" s="268"/>
      <c r="HBJ451" s="268"/>
      <c r="HBK451" s="268"/>
      <c r="HBL451" s="268"/>
      <c r="HBM451" s="268"/>
      <c r="HBN451" s="268"/>
      <c r="HBO451" s="268"/>
      <c r="HBP451" s="268"/>
      <c r="HBQ451" s="268"/>
      <c r="HBR451" s="268"/>
      <c r="HBS451" s="268"/>
      <c r="HBT451" s="268"/>
      <c r="HBU451" s="268"/>
      <c r="HBV451" s="268"/>
      <c r="HBW451" s="268"/>
      <c r="HBX451" s="268"/>
      <c r="HBY451" s="268"/>
      <c r="HBZ451" s="268"/>
      <c r="HCA451" s="268"/>
      <c r="HCB451" s="268"/>
      <c r="HCC451" s="268"/>
      <c r="HCD451" s="268"/>
      <c r="HCE451" s="268"/>
      <c r="HCF451" s="268"/>
      <c r="HCG451" s="268"/>
      <c r="HCH451" s="268"/>
      <c r="HCI451" s="268"/>
      <c r="HCJ451" s="268"/>
      <c r="HCK451" s="268"/>
      <c r="HCL451" s="268"/>
      <c r="HCM451" s="268"/>
      <c r="HCN451" s="268"/>
      <c r="HCO451" s="268"/>
      <c r="HCP451" s="268"/>
      <c r="HCQ451" s="268"/>
      <c r="HCR451" s="268"/>
      <c r="HCS451" s="268"/>
      <c r="HCT451" s="268"/>
      <c r="HCU451" s="268"/>
      <c r="HCV451" s="268"/>
      <c r="HCW451" s="268"/>
      <c r="HCX451" s="268"/>
      <c r="HCY451" s="268"/>
      <c r="HCZ451" s="268"/>
      <c r="HDA451" s="268"/>
      <c r="HDB451" s="268"/>
      <c r="HDC451" s="268"/>
      <c r="HDD451" s="268"/>
      <c r="HDE451" s="268"/>
      <c r="HDF451" s="268"/>
      <c r="HDG451" s="268"/>
      <c r="HDH451" s="268"/>
      <c r="HDI451" s="268"/>
      <c r="HDJ451" s="268"/>
      <c r="HDK451" s="268"/>
      <c r="HDL451" s="268"/>
      <c r="HDM451" s="268"/>
      <c r="HDN451" s="268"/>
      <c r="HDO451" s="268"/>
      <c r="HDP451" s="268"/>
      <c r="HDQ451" s="268"/>
      <c r="HDR451" s="268"/>
      <c r="HDS451" s="268"/>
      <c r="HDT451" s="268"/>
      <c r="HDU451" s="268"/>
      <c r="HDV451" s="268"/>
      <c r="HDW451" s="268"/>
      <c r="HDX451" s="268"/>
      <c r="HDY451" s="268"/>
      <c r="HDZ451" s="268"/>
      <c r="HEA451" s="268"/>
      <c r="HEB451" s="268"/>
      <c r="HEC451" s="268"/>
      <c r="HED451" s="268"/>
      <c r="HEE451" s="268"/>
      <c r="HEF451" s="268"/>
      <c r="HEG451" s="268"/>
      <c r="HEH451" s="268"/>
      <c r="HEI451" s="268"/>
      <c r="HEJ451" s="268"/>
      <c r="HEK451" s="268"/>
      <c r="HEL451" s="268"/>
      <c r="HEM451" s="268"/>
      <c r="HEN451" s="268"/>
      <c r="HEO451" s="268"/>
      <c r="HEP451" s="268"/>
      <c r="HEQ451" s="268"/>
      <c r="HER451" s="268"/>
      <c r="HES451" s="268"/>
      <c r="HET451" s="268"/>
      <c r="HEU451" s="268"/>
      <c r="HEV451" s="268"/>
      <c r="HEW451" s="268"/>
      <c r="HEX451" s="268"/>
      <c r="HEY451" s="268"/>
      <c r="HEZ451" s="268"/>
      <c r="HFA451" s="268"/>
      <c r="HFB451" s="268"/>
      <c r="HFC451" s="268"/>
      <c r="HFD451" s="268"/>
      <c r="HFE451" s="268"/>
      <c r="HFF451" s="268"/>
      <c r="HFG451" s="268"/>
      <c r="HFH451" s="268"/>
      <c r="HFI451" s="268"/>
      <c r="HFJ451" s="268"/>
      <c r="HFK451" s="268"/>
      <c r="HFL451" s="268"/>
      <c r="HFM451" s="268"/>
      <c r="HFN451" s="268"/>
      <c r="HFO451" s="268"/>
      <c r="HFP451" s="268"/>
      <c r="HFQ451" s="268"/>
      <c r="HFR451" s="268"/>
      <c r="HFS451" s="268"/>
      <c r="HFT451" s="268"/>
      <c r="HFU451" s="268"/>
      <c r="HFV451" s="268"/>
      <c r="HFW451" s="268"/>
      <c r="HFX451" s="268"/>
      <c r="HFY451" s="268"/>
      <c r="HFZ451" s="268"/>
      <c r="HGA451" s="268"/>
      <c r="HGB451" s="268"/>
      <c r="HGC451" s="268"/>
      <c r="HGD451" s="268"/>
      <c r="HGE451" s="268"/>
      <c r="HGF451" s="268"/>
      <c r="HGG451" s="268"/>
      <c r="HGH451" s="268"/>
      <c r="HGI451" s="268"/>
      <c r="HGJ451" s="268"/>
      <c r="HGK451" s="268"/>
      <c r="HGL451" s="268"/>
      <c r="HGM451" s="268"/>
      <c r="HGN451" s="268"/>
      <c r="HGO451" s="268"/>
      <c r="HGP451" s="268"/>
      <c r="HGQ451" s="268"/>
      <c r="HGR451" s="268"/>
      <c r="HGS451" s="268"/>
      <c r="HGT451" s="268"/>
      <c r="HGU451" s="268"/>
      <c r="HGV451" s="268"/>
      <c r="HGW451" s="268"/>
      <c r="HGX451" s="268"/>
      <c r="HGY451" s="268"/>
      <c r="HGZ451" s="268"/>
      <c r="HHA451" s="268"/>
      <c r="HHB451" s="268"/>
      <c r="HHC451" s="268"/>
      <c r="HHD451" s="268"/>
      <c r="HHE451" s="268"/>
      <c r="HHF451" s="268"/>
      <c r="HHG451" s="268"/>
      <c r="HHU451" s="268"/>
      <c r="HHV451" s="268"/>
      <c r="HHW451" s="268"/>
      <c r="HIK451" s="268"/>
      <c r="HIM451" s="268"/>
      <c r="HIN451" s="268"/>
      <c r="HIO451" s="268"/>
      <c r="HIP451" s="268"/>
      <c r="HIQ451" s="268"/>
      <c r="HIR451" s="268"/>
      <c r="HIS451" s="268"/>
      <c r="HIT451" s="268"/>
      <c r="HIU451" s="268"/>
      <c r="HIV451" s="268"/>
      <c r="HIW451" s="268"/>
      <c r="HIX451" s="268"/>
      <c r="HIY451" s="268"/>
      <c r="HIZ451" s="268"/>
      <c r="HJA451" s="268"/>
      <c r="HJB451" s="268"/>
      <c r="HJC451" s="268"/>
      <c r="HJD451" s="268"/>
      <c r="HJE451" s="268"/>
      <c r="HJF451" s="268"/>
      <c r="HJG451" s="268"/>
      <c r="HJH451" s="268"/>
      <c r="HJI451" s="268"/>
      <c r="HJJ451" s="268"/>
      <c r="HJK451" s="268"/>
      <c r="HJL451" s="268"/>
      <c r="HJM451" s="268"/>
      <c r="HJN451" s="268"/>
      <c r="HJO451" s="268"/>
      <c r="HJP451" s="268"/>
      <c r="HJQ451" s="268"/>
      <c r="HJR451" s="268"/>
      <c r="HJS451" s="268"/>
      <c r="HJT451" s="268"/>
      <c r="HJU451" s="268"/>
      <c r="HJV451" s="268"/>
      <c r="HJW451" s="268"/>
      <c r="HJX451" s="268"/>
      <c r="HJY451" s="268"/>
      <c r="HJZ451" s="268"/>
      <c r="HKA451" s="268"/>
      <c r="HKB451" s="268"/>
      <c r="HKC451" s="268"/>
      <c r="HKD451" s="268"/>
      <c r="HKE451" s="268"/>
      <c r="HKF451" s="268"/>
      <c r="HKG451" s="268"/>
      <c r="HKH451" s="268"/>
      <c r="HKI451" s="268"/>
      <c r="HKJ451" s="268"/>
      <c r="HKK451" s="268"/>
      <c r="HKL451" s="268"/>
      <c r="HKM451" s="268"/>
      <c r="HKN451" s="268"/>
      <c r="HKO451" s="268"/>
      <c r="HKP451" s="268"/>
      <c r="HKQ451" s="268"/>
      <c r="HKR451" s="268"/>
      <c r="HKS451" s="268"/>
      <c r="HKT451" s="268"/>
      <c r="HKU451" s="268"/>
      <c r="HKV451" s="268"/>
      <c r="HKW451" s="268"/>
      <c r="HKX451" s="268"/>
      <c r="HKY451" s="268"/>
      <c r="HKZ451" s="268"/>
      <c r="HLA451" s="268"/>
      <c r="HLB451" s="268"/>
      <c r="HLC451" s="268"/>
      <c r="HLD451" s="268"/>
      <c r="HLE451" s="268"/>
      <c r="HLF451" s="268"/>
      <c r="HLG451" s="268"/>
      <c r="HLH451" s="268"/>
      <c r="HLI451" s="268"/>
      <c r="HLJ451" s="268"/>
      <c r="HLK451" s="268"/>
      <c r="HLL451" s="268"/>
      <c r="HLM451" s="268"/>
      <c r="HLN451" s="268"/>
      <c r="HLO451" s="268"/>
      <c r="HLP451" s="268"/>
      <c r="HLQ451" s="268"/>
      <c r="HLR451" s="268"/>
      <c r="HLS451" s="268"/>
      <c r="HLT451" s="268"/>
      <c r="HLU451" s="268"/>
      <c r="HLV451" s="268"/>
      <c r="HLW451" s="268"/>
      <c r="HLX451" s="268"/>
      <c r="HLY451" s="268"/>
      <c r="HLZ451" s="268"/>
      <c r="HMA451" s="268"/>
      <c r="HMB451" s="268"/>
      <c r="HMC451" s="268"/>
      <c r="HMD451" s="268"/>
      <c r="HME451" s="268"/>
      <c r="HMF451" s="268"/>
      <c r="HMG451" s="268"/>
      <c r="HMH451" s="268"/>
      <c r="HMI451" s="268"/>
      <c r="HMJ451" s="268"/>
      <c r="HMK451" s="268"/>
      <c r="HML451" s="268"/>
      <c r="HMM451" s="268"/>
      <c r="HMN451" s="268"/>
      <c r="HMO451" s="268"/>
      <c r="HMP451" s="268"/>
      <c r="HMQ451" s="268"/>
      <c r="HMR451" s="268"/>
      <c r="HMS451" s="268"/>
      <c r="HMT451" s="268"/>
      <c r="HMU451" s="268"/>
      <c r="HMV451" s="268"/>
      <c r="HMW451" s="268"/>
      <c r="HMX451" s="268"/>
      <c r="HMY451" s="268"/>
      <c r="HMZ451" s="268"/>
      <c r="HNA451" s="268"/>
      <c r="HNB451" s="268"/>
      <c r="HNC451" s="268"/>
      <c r="HND451" s="268"/>
      <c r="HNE451" s="268"/>
      <c r="HNF451" s="268"/>
      <c r="HNG451" s="268"/>
      <c r="HNH451" s="268"/>
      <c r="HNI451" s="268"/>
      <c r="HNJ451" s="268"/>
      <c r="HNK451" s="268"/>
      <c r="HNL451" s="268"/>
      <c r="HNM451" s="268"/>
      <c r="HNN451" s="268"/>
      <c r="HNO451" s="268"/>
      <c r="HNP451" s="268"/>
      <c r="HNQ451" s="268"/>
      <c r="HNR451" s="268"/>
      <c r="HNS451" s="268"/>
      <c r="HNT451" s="268"/>
      <c r="HNU451" s="268"/>
      <c r="HNV451" s="268"/>
      <c r="HNW451" s="268"/>
      <c r="HNX451" s="268"/>
      <c r="HNY451" s="268"/>
      <c r="HNZ451" s="268"/>
      <c r="HOA451" s="268"/>
      <c r="HOB451" s="268"/>
      <c r="HOC451" s="268"/>
      <c r="HOD451" s="268"/>
      <c r="HOE451" s="268"/>
      <c r="HOF451" s="268"/>
      <c r="HOG451" s="268"/>
      <c r="HOH451" s="268"/>
      <c r="HOI451" s="268"/>
      <c r="HOJ451" s="268"/>
      <c r="HOK451" s="268"/>
      <c r="HOL451" s="268"/>
      <c r="HOM451" s="268"/>
      <c r="HON451" s="268"/>
      <c r="HOO451" s="268"/>
      <c r="HOP451" s="268"/>
      <c r="HOQ451" s="268"/>
      <c r="HOR451" s="268"/>
      <c r="HOS451" s="268"/>
      <c r="HOT451" s="268"/>
      <c r="HOU451" s="268"/>
      <c r="HOV451" s="268"/>
      <c r="HOW451" s="268"/>
      <c r="HOX451" s="268"/>
      <c r="HOY451" s="268"/>
      <c r="HOZ451" s="268"/>
      <c r="HPA451" s="268"/>
      <c r="HPB451" s="268"/>
      <c r="HPC451" s="268"/>
      <c r="HPD451" s="268"/>
      <c r="HPE451" s="268"/>
      <c r="HPF451" s="268"/>
      <c r="HPG451" s="268"/>
      <c r="HPH451" s="268"/>
      <c r="HPI451" s="268"/>
      <c r="HPJ451" s="268"/>
      <c r="HPK451" s="268"/>
      <c r="HPL451" s="268"/>
      <c r="HPM451" s="268"/>
      <c r="HPN451" s="268"/>
      <c r="HPO451" s="268"/>
      <c r="HPP451" s="268"/>
      <c r="HPQ451" s="268"/>
      <c r="HPR451" s="268"/>
      <c r="HPS451" s="268"/>
      <c r="HPT451" s="268"/>
      <c r="HPU451" s="268"/>
      <c r="HPV451" s="268"/>
      <c r="HPW451" s="268"/>
      <c r="HPX451" s="268"/>
      <c r="HPY451" s="268"/>
      <c r="HPZ451" s="268"/>
      <c r="HQA451" s="268"/>
      <c r="HQB451" s="268"/>
      <c r="HQC451" s="268"/>
      <c r="HQD451" s="268"/>
      <c r="HQE451" s="268"/>
      <c r="HQF451" s="268"/>
      <c r="HQG451" s="268"/>
      <c r="HQH451" s="268"/>
      <c r="HQI451" s="268"/>
      <c r="HQJ451" s="268"/>
      <c r="HQK451" s="268"/>
      <c r="HQL451" s="268"/>
      <c r="HQM451" s="268"/>
      <c r="HQN451" s="268"/>
      <c r="HQO451" s="268"/>
      <c r="HQP451" s="268"/>
      <c r="HQQ451" s="268"/>
      <c r="HQR451" s="268"/>
      <c r="HQS451" s="268"/>
      <c r="HQT451" s="268"/>
      <c r="HQU451" s="268"/>
      <c r="HQV451" s="268"/>
      <c r="HQW451" s="268"/>
      <c r="HQX451" s="268"/>
      <c r="HQY451" s="268"/>
      <c r="HQZ451" s="268"/>
      <c r="HRA451" s="268"/>
      <c r="HRB451" s="268"/>
      <c r="HRC451" s="268"/>
      <c r="HRQ451" s="268"/>
      <c r="HRR451" s="268"/>
      <c r="HRS451" s="268"/>
      <c r="HSG451" s="268"/>
      <c r="HSI451" s="268"/>
      <c r="HSJ451" s="268"/>
      <c r="HSK451" s="268"/>
      <c r="HSL451" s="268"/>
      <c r="HSM451" s="268"/>
      <c r="HSN451" s="268"/>
      <c r="HSO451" s="268"/>
      <c r="HSP451" s="268"/>
      <c r="HSQ451" s="268"/>
      <c r="HSR451" s="268"/>
      <c r="HSS451" s="268"/>
      <c r="HST451" s="268"/>
      <c r="HSU451" s="268"/>
      <c r="HSV451" s="268"/>
      <c r="HSW451" s="268"/>
      <c r="HSX451" s="268"/>
      <c r="HSY451" s="268"/>
      <c r="HSZ451" s="268"/>
      <c r="HTA451" s="268"/>
      <c r="HTB451" s="268"/>
      <c r="HTC451" s="268"/>
      <c r="HTD451" s="268"/>
      <c r="HTE451" s="268"/>
      <c r="HTF451" s="268"/>
      <c r="HTG451" s="268"/>
      <c r="HTH451" s="268"/>
      <c r="HTI451" s="268"/>
      <c r="HTJ451" s="268"/>
      <c r="HTK451" s="268"/>
      <c r="HTL451" s="268"/>
      <c r="HTM451" s="268"/>
      <c r="HTN451" s="268"/>
      <c r="HTO451" s="268"/>
      <c r="HTP451" s="268"/>
      <c r="HTQ451" s="268"/>
      <c r="HTR451" s="268"/>
      <c r="HTS451" s="268"/>
      <c r="HTT451" s="268"/>
      <c r="HTU451" s="268"/>
      <c r="HTV451" s="268"/>
      <c r="HTW451" s="268"/>
      <c r="HTX451" s="268"/>
      <c r="HTY451" s="268"/>
      <c r="HTZ451" s="268"/>
      <c r="HUA451" s="268"/>
      <c r="HUB451" s="268"/>
      <c r="HUC451" s="268"/>
      <c r="HUD451" s="268"/>
      <c r="HUE451" s="268"/>
      <c r="HUF451" s="268"/>
      <c r="HUG451" s="268"/>
      <c r="HUH451" s="268"/>
      <c r="HUI451" s="268"/>
      <c r="HUJ451" s="268"/>
      <c r="HUK451" s="268"/>
      <c r="HUL451" s="268"/>
      <c r="HUM451" s="268"/>
      <c r="HUN451" s="268"/>
      <c r="HUO451" s="268"/>
      <c r="HUP451" s="268"/>
      <c r="HUQ451" s="268"/>
      <c r="HUR451" s="268"/>
      <c r="HUS451" s="268"/>
      <c r="HUT451" s="268"/>
      <c r="HUU451" s="268"/>
      <c r="HUV451" s="268"/>
      <c r="HUW451" s="268"/>
      <c r="HUX451" s="268"/>
      <c r="HUY451" s="268"/>
      <c r="HUZ451" s="268"/>
      <c r="HVA451" s="268"/>
      <c r="HVB451" s="268"/>
      <c r="HVC451" s="268"/>
      <c r="HVD451" s="268"/>
      <c r="HVE451" s="268"/>
      <c r="HVF451" s="268"/>
      <c r="HVG451" s="268"/>
      <c r="HVH451" s="268"/>
      <c r="HVI451" s="268"/>
      <c r="HVJ451" s="268"/>
      <c r="HVK451" s="268"/>
      <c r="HVL451" s="268"/>
      <c r="HVM451" s="268"/>
      <c r="HVN451" s="268"/>
      <c r="HVO451" s="268"/>
      <c r="HVP451" s="268"/>
      <c r="HVQ451" s="268"/>
      <c r="HVR451" s="268"/>
      <c r="HVS451" s="268"/>
      <c r="HVT451" s="268"/>
      <c r="HVU451" s="268"/>
      <c r="HVV451" s="268"/>
      <c r="HVW451" s="268"/>
      <c r="HVX451" s="268"/>
      <c r="HVY451" s="268"/>
      <c r="HVZ451" s="268"/>
      <c r="HWA451" s="268"/>
      <c r="HWB451" s="268"/>
      <c r="HWC451" s="268"/>
      <c r="HWD451" s="268"/>
      <c r="HWE451" s="268"/>
      <c r="HWF451" s="268"/>
      <c r="HWG451" s="268"/>
      <c r="HWH451" s="268"/>
      <c r="HWI451" s="268"/>
      <c r="HWJ451" s="268"/>
      <c r="HWK451" s="268"/>
      <c r="HWL451" s="268"/>
      <c r="HWM451" s="268"/>
      <c r="HWN451" s="268"/>
      <c r="HWO451" s="268"/>
      <c r="HWP451" s="268"/>
      <c r="HWQ451" s="268"/>
      <c r="HWR451" s="268"/>
      <c r="HWS451" s="268"/>
      <c r="HWT451" s="268"/>
      <c r="HWU451" s="268"/>
      <c r="HWV451" s="268"/>
      <c r="HWW451" s="268"/>
      <c r="HWX451" s="268"/>
      <c r="HWY451" s="268"/>
      <c r="HWZ451" s="268"/>
      <c r="HXA451" s="268"/>
      <c r="HXB451" s="268"/>
      <c r="HXC451" s="268"/>
      <c r="HXD451" s="268"/>
      <c r="HXE451" s="268"/>
      <c r="HXF451" s="268"/>
      <c r="HXG451" s="268"/>
      <c r="HXH451" s="268"/>
      <c r="HXI451" s="268"/>
      <c r="HXJ451" s="268"/>
      <c r="HXK451" s="268"/>
      <c r="HXL451" s="268"/>
      <c r="HXM451" s="268"/>
      <c r="HXN451" s="268"/>
      <c r="HXO451" s="268"/>
      <c r="HXP451" s="268"/>
      <c r="HXQ451" s="268"/>
      <c r="HXR451" s="268"/>
      <c r="HXS451" s="268"/>
      <c r="HXT451" s="268"/>
      <c r="HXU451" s="268"/>
      <c r="HXV451" s="268"/>
      <c r="HXW451" s="268"/>
      <c r="HXX451" s="268"/>
      <c r="HXY451" s="268"/>
      <c r="HXZ451" s="268"/>
      <c r="HYA451" s="268"/>
      <c r="HYB451" s="268"/>
      <c r="HYC451" s="268"/>
      <c r="HYD451" s="268"/>
      <c r="HYE451" s="268"/>
      <c r="HYF451" s="268"/>
      <c r="HYG451" s="268"/>
      <c r="HYH451" s="268"/>
      <c r="HYI451" s="268"/>
      <c r="HYJ451" s="268"/>
      <c r="HYK451" s="268"/>
      <c r="HYL451" s="268"/>
      <c r="HYM451" s="268"/>
      <c r="HYN451" s="268"/>
      <c r="HYO451" s="268"/>
      <c r="HYP451" s="268"/>
      <c r="HYQ451" s="268"/>
      <c r="HYR451" s="268"/>
      <c r="HYS451" s="268"/>
      <c r="HYT451" s="268"/>
      <c r="HYU451" s="268"/>
      <c r="HYV451" s="268"/>
      <c r="HYW451" s="268"/>
      <c r="HYX451" s="268"/>
      <c r="HYY451" s="268"/>
      <c r="HYZ451" s="268"/>
      <c r="HZA451" s="268"/>
      <c r="HZB451" s="268"/>
      <c r="HZC451" s="268"/>
      <c r="HZD451" s="268"/>
      <c r="HZE451" s="268"/>
      <c r="HZF451" s="268"/>
      <c r="HZG451" s="268"/>
      <c r="HZH451" s="268"/>
      <c r="HZI451" s="268"/>
      <c r="HZJ451" s="268"/>
      <c r="HZK451" s="268"/>
      <c r="HZL451" s="268"/>
      <c r="HZM451" s="268"/>
      <c r="HZN451" s="268"/>
      <c r="HZO451" s="268"/>
      <c r="HZP451" s="268"/>
      <c r="HZQ451" s="268"/>
      <c r="HZR451" s="268"/>
      <c r="HZS451" s="268"/>
      <c r="HZT451" s="268"/>
      <c r="HZU451" s="268"/>
      <c r="HZV451" s="268"/>
      <c r="HZW451" s="268"/>
      <c r="HZX451" s="268"/>
      <c r="HZY451" s="268"/>
      <c r="HZZ451" s="268"/>
      <c r="IAA451" s="268"/>
      <c r="IAB451" s="268"/>
      <c r="IAC451" s="268"/>
      <c r="IAD451" s="268"/>
      <c r="IAE451" s="268"/>
      <c r="IAF451" s="268"/>
      <c r="IAG451" s="268"/>
      <c r="IAH451" s="268"/>
      <c r="IAI451" s="268"/>
      <c r="IAJ451" s="268"/>
      <c r="IAK451" s="268"/>
      <c r="IAL451" s="268"/>
      <c r="IAM451" s="268"/>
      <c r="IAN451" s="268"/>
      <c r="IAO451" s="268"/>
      <c r="IAP451" s="268"/>
      <c r="IAQ451" s="268"/>
      <c r="IAR451" s="268"/>
      <c r="IAS451" s="268"/>
      <c r="IAT451" s="268"/>
      <c r="IAU451" s="268"/>
      <c r="IAV451" s="268"/>
      <c r="IAW451" s="268"/>
      <c r="IAX451" s="268"/>
      <c r="IAY451" s="268"/>
      <c r="IBM451" s="268"/>
      <c r="IBN451" s="268"/>
      <c r="IBO451" s="268"/>
      <c r="ICC451" s="268"/>
      <c r="ICE451" s="268"/>
      <c r="ICF451" s="268"/>
      <c r="ICG451" s="268"/>
      <c r="ICH451" s="268"/>
      <c r="ICI451" s="268"/>
      <c r="ICJ451" s="268"/>
      <c r="ICK451" s="268"/>
      <c r="ICL451" s="268"/>
      <c r="ICM451" s="268"/>
      <c r="ICN451" s="268"/>
      <c r="ICO451" s="268"/>
      <c r="ICP451" s="268"/>
      <c r="ICQ451" s="268"/>
      <c r="ICR451" s="268"/>
      <c r="ICS451" s="268"/>
      <c r="ICT451" s="268"/>
      <c r="ICU451" s="268"/>
      <c r="ICV451" s="268"/>
      <c r="ICW451" s="268"/>
      <c r="ICX451" s="268"/>
      <c r="ICY451" s="268"/>
      <c r="ICZ451" s="268"/>
      <c r="IDA451" s="268"/>
      <c r="IDB451" s="268"/>
      <c r="IDC451" s="268"/>
      <c r="IDD451" s="268"/>
      <c r="IDE451" s="268"/>
      <c r="IDF451" s="268"/>
      <c r="IDG451" s="268"/>
      <c r="IDH451" s="268"/>
      <c r="IDI451" s="268"/>
      <c r="IDJ451" s="268"/>
      <c r="IDK451" s="268"/>
      <c r="IDL451" s="268"/>
      <c r="IDM451" s="268"/>
      <c r="IDN451" s="268"/>
      <c r="IDO451" s="268"/>
      <c r="IDP451" s="268"/>
      <c r="IDQ451" s="268"/>
      <c r="IDR451" s="268"/>
      <c r="IDS451" s="268"/>
      <c r="IDT451" s="268"/>
      <c r="IDU451" s="268"/>
      <c r="IDV451" s="268"/>
      <c r="IDW451" s="268"/>
      <c r="IDX451" s="268"/>
      <c r="IDY451" s="268"/>
      <c r="IDZ451" s="268"/>
      <c r="IEA451" s="268"/>
      <c r="IEB451" s="268"/>
      <c r="IEC451" s="268"/>
      <c r="IED451" s="268"/>
      <c r="IEE451" s="268"/>
      <c r="IEF451" s="268"/>
      <c r="IEG451" s="268"/>
      <c r="IEH451" s="268"/>
      <c r="IEI451" s="268"/>
      <c r="IEJ451" s="268"/>
      <c r="IEK451" s="268"/>
      <c r="IEL451" s="268"/>
      <c r="IEM451" s="268"/>
      <c r="IEN451" s="268"/>
      <c r="IEO451" s="268"/>
      <c r="IEP451" s="268"/>
      <c r="IEQ451" s="268"/>
      <c r="IER451" s="268"/>
      <c r="IES451" s="268"/>
      <c r="IET451" s="268"/>
      <c r="IEU451" s="268"/>
      <c r="IEV451" s="268"/>
      <c r="IEW451" s="268"/>
      <c r="IEX451" s="268"/>
      <c r="IEY451" s="268"/>
      <c r="IEZ451" s="268"/>
      <c r="IFA451" s="268"/>
      <c r="IFB451" s="268"/>
      <c r="IFC451" s="268"/>
      <c r="IFD451" s="268"/>
      <c r="IFE451" s="268"/>
      <c r="IFF451" s="268"/>
      <c r="IFG451" s="268"/>
      <c r="IFH451" s="268"/>
      <c r="IFI451" s="268"/>
      <c r="IFJ451" s="268"/>
      <c r="IFK451" s="268"/>
      <c r="IFL451" s="268"/>
      <c r="IFM451" s="268"/>
      <c r="IFN451" s="268"/>
      <c r="IFO451" s="268"/>
      <c r="IFP451" s="268"/>
      <c r="IFQ451" s="268"/>
      <c r="IFR451" s="268"/>
      <c r="IFS451" s="268"/>
      <c r="IFT451" s="268"/>
      <c r="IFU451" s="268"/>
      <c r="IFV451" s="268"/>
      <c r="IFW451" s="268"/>
      <c r="IFX451" s="268"/>
      <c r="IFY451" s="268"/>
      <c r="IFZ451" s="268"/>
      <c r="IGA451" s="268"/>
      <c r="IGB451" s="268"/>
      <c r="IGC451" s="268"/>
      <c r="IGD451" s="268"/>
      <c r="IGE451" s="268"/>
      <c r="IGF451" s="268"/>
      <c r="IGG451" s="268"/>
      <c r="IGH451" s="268"/>
      <c r="IGI451" s="268"/>
      <c r="IGJ451" s="268"/>
      <c r="IGK451" s="268"/>
      <c r="IGL451" s="268"/>
      <c r="IGM451" s="268"/>
      <c r="IGN451" s="268"/>
      <c r="IGO451" s="268"/>
      <c r="IGP451" s="268"/>
      <c r="IGQ451" s="268"/>
      <c r="IGR451" s="268"/>
      <c r="IGS451" s="268"/>
      <c r="IGT451" s="268"/>
      <c r="IGU451" s="268"/>
      <c r="IGV451" s="268"/>
      <c r="IGW451" s="268"/>
      <c r="IGX451" s="268"/>
      <c r="IGY451" s="268"/>
      <c r="IGZ451" s="268"/>
      <c r="IHA451" s="268"/>
      <c r="IHB451" s="268"/>
      <c r="IHC451" s="268"/>
      <c r="IHD451" s="268"/>
      <c r="IHE451" s="268"/>
      <c r="IHF451" s="268"/>
      <c r="IHG451" s="268"/>
      <c r="IHH451" s="268"/>
      <c r="IHI451" s="268"/>
      <c r="IHJ451" s="268"/>
      <c r="IHK451" s="268"/>
      <c r="IHL451" s="268"/>
      <c r="IHM451" s="268"/>
      <c r="IHN451" s="268"/>
      <c r="IHO451" s="268"/>
      <c r="IHP451" s="268"/>
      <c r="IHQ451" s="268"/>
      <c r="IHR451" s="268"/>
      <c r="IHS451" s="268"/>
      <c r="IHT451" s="268"/>
      <c r="IHU451" s="268"/>
      <c r="IHV451" s="268"/>
      <c r="IHW451" s="268"/>
      <c r="IHX451" s="268"/>
      <c r="IHY451" s="268"/>
      <c r="IHZ451" s="268"/>
      <c r="IIA451" s="268"/>
      <c r="IIB451" s="268"/>
      <c r="IIC451" s="268"/>
      <c r="IID451" s="268"/>
      <c r="IIE451" s="268"/>
      <c r="IIF451" s="268"/>
      <c r="IIG451" s="268"/>
      <c r="IIH451" s="268"/>
      <c r="III451" s="268"/>
      <c r="IIJ451" s="268"/>
      <c r="IIK451" s="268"/>
      <c r="IIL451" s="268"/>
      <c r="IIM451" s="268"/>
      <c r="IIN451" s="268"/>
      <c r="IIO451" s="268"/>
      <c r="IIP451" s="268"/>
      <c r="IIQ451" s="268"/>
      <c r="IIR451" s="268"/>
      <c r="IIS451" s="268"/>
      <c r="IIT451" s="268"/>
      <c r="IIU451" s="268"/>
      <c r="IIV451" s="268"/>
      <c r="IIW451" s="268"/>
      <c r="IIX451" s="268"/>
      <c r="IIY451" s="268"/>
      <c r="IIZ451" s="268"/>
      <c r="IJA451" s="268"/>
      <c r="IJB451" s="268"/>
      <c r="IJC451" s="268"/>
      <c r="IJD451" s="268"/>
      <c r="IJE451" s="268"/>
      <c r="IJF451" s="268"/>
      <c r="IJG451" s="268"/>
      <c r="IJH451" s="268"/>
      <c r="IJI451" s="268"/>
      <c r="IJJ451" s="268"/>
      <c r="IJK451" s="268"/>
      <c r="IJL451" s="268"/>
      <c r="IJM451" s="268"/>
      <c r="IJN451" s="268"/>
      <c r="IJO451" s="268"/>
      <c r="IJP451" s="268"/>
      <c r="IJQ451" s="268"/>
      <c r="IJR451" s="268"/>
      <c r="IJS451" s="268"/>
      <c r="IJT451" s="268"/>
      <c r="IJU451" s="268"/>
      <c r="IJV451" s="268"/>
      <c r="IJW451" s="268"/>
      <c r="IJX451" s="268"/>
      <c r="IJY451" s="268"/>
      <c r="IJZ451" s="268"/>
      <c r="IKA451" s="268"/>
      <c r="IKB451" s="268"/>
      <c r="IKC451" s="268"/>
      <c r="IKD451" s="268"/>
      <c r="IKE451" s="268"/>
      <c r="IKF451" s="268"/>
      <c r="IKG451" s="268"/>
      <c r="IKH451" s="268"/>
      <c r="IKI451" s="268"/>
      <c r="IKJ451" s="268"/>
      <c r="IKK451" s="268"/>
      <c r="IKL451" s="268"/>
      <c r="IKM451" s="268"/>
      <c r="IKN451" s="268"/>
      <c r="IKO451" s="268"/>
      <c r="IKP451" s="268"/>
      <c r="IKQ451" s="268"/>
      <c r="IKR451" s="268"/>
      <c r="IKS451" s="268"/>
      <c r="IKT451" s="268"/>
      <c r="IKU451" s="268"/>
      <c r="ILI451" s="268"/>
      <c r="ILJ451" s="268"/>
      <c r="ILK451" s="268"/>
      <c r="ILY451" s="268"/>
      <c r="IMA451" s="268"/>
      <c r="IMB451" s="268"/>
      <c r="IMC451" s="268"/>
      <c r="IMD451" s="268"/>
      <c r="IME451" s="268"/>
      <c r="IMF451" s="268"/>
      <c r="IMG451" s="268"/>
      <c r="IMH451" s="268"/>
      <c r="IMI451" s="268"/>
      <c r="IMJ451" s="268"/>
      <c r="IMK451" s="268"/>
      <c r="IML451" s="268"/>
      <c r="IMM451" s="268"/>
      <c r="IMN451" s="268"/>
      <c r="IMO451" s="268"/>
      <c r="IMP451" s="268"/>
      <c r="IMQ451" s="268"/>
      <c r="IMR451" s="268"/>
      <c r="IMS451" s="268"/>
      <c r="IMT451" s="268"/>
      <c r="IMU451" s="268"/>
      <c r="IMV451" s="268"/>
      <c r="IMW451" s="268"/>
      <c r="IMX451" s="268"/>
      <c r="IMY451" s="268"/>
      <c r="IMZ451" s="268"/>
      <c r="INA451" s="268"/>
      <c r="INB451" s="268"/>
      <c r="INC451" s="268"/>
      <c r="IND451" s="268"/>
      <c r="INE451" s="268"/>
      <c r="INF451" s="268"/>
      <c r="ING451" s="268"/>
      <c r="INH451" s="268"/>
      <c r="INI451" s="268"/>
      <c r="INJ451" s="268"/>
      <c r="INK451" s="268"/>
      <c r="INL451" s="268"/>
      <c r="INM451" s="268"/>
      <c r="INN451" s="268"/>
      <c r="INO451" s="268"/>
      <c r="INP451" s="268"/>
      <c r="INQ451" s="268"/>
      <c r="INR451" s="268"/>
      <c r="INS451" s="268"/>
      <c r="INT451" s="268"/>
      <c r="INU451" s="268"/>
      <c r="INV451" s="268"/>
      <c r="INW451" s="268"/>
      <c r="INX451" s="268"/>
      <c r="INY451" s="268"/>
      <c r="INZ451" s="268"/>
      <c r="IOA451" s="268"/>
      <c r="IOB451" s="268"/>
      <c r="IOC451" s="268"/>
      <c r="IOD451" s="268"/>
      <c r="IOE451" s="268"/>
      <c r="IOF451" s="268"/>
      <c r="IOG451" s="268"/>
      <c r="IOH451" s="268"/>
      <c r="IOI451" s="268"/>
      <c r="IOJ451" s="268"/>
      <c r="IOK451" s="268"/>
      <c r="IOL451" s="268"/>
      <c r="IOM451" s="268"/>
      <c r="ION451" s="268"/>
      <c r="IOO451" s="268"/>
      <c r="IOP451" s="268"/>
      <c r="IOQ451" s="268"/>
      <c r="IOR451" s="268"/>
      <c r="IOS451" s="268"/>
      <c r="IOT451" s="268"/>
      <c r="IOU451" s="268"/>
      <c r="IOV451" s="268"/>
      <c r="IOW451" s="268"/>
      <c r="IOX451" s="268"/>
      <c r="IOY451" s="268"/>
      <c r="IOZ451" s="268"/>
      <c r="IPA451" s="268"/>
      <c r="IPB451" s="268"/>
      <c r="IPC451" s="268"/>
      <c r="IPD451" s="268"/>
      <c r="IPE451" s="268"/>
      <c r="IPF451" s="268"/>
      <c r="IPG451" s="268"/>
      <c r="IPH451" s="268"/>
      <c r="IPI451" s="268"/>
      <c r="IPJ451" s="268"/>
      <c r="IPK451" s="268"/>
      <c r="IPL451" s="268"/>
      <c r="IPM451" s="268"/>
      <c r="IPN451" s="268"/>
      <c r="IPO451" s="268"/>
      <c r="IPP451" s="268"/>
      <c r="IPQ451" s="268"/>
      <c r="IPR451" s="268"/>
      <c r="IPS451" s="268"/>
      <c r="IPT451" s="268"/>
      <c r="IPU451" s="268"/>
      <c r="IPV451" s="268"/>
      <c r="IPW451" s="268"/>
      <c r="IPX451" s="268"/>
      <c r="IPY451" s="268"/>
      <c r="IPZ451" s="268"/>
      <c r="IQA451" s="268"/>
      <c r="IQB451" s="268"/>
      <c r="IQC451" s="268"/>
      <c r="IQD451" s="268"/>
      <c r="IQE451" s="268"/>
      <c r="IQF451" s="268"/>
      <c r="IQG451" s="268"/>
      <c r="IQH451" s="268"/>
      <c r="IQI451" s="268"/>
      <c r="IQJ451" s="268"/>
      <c r="IQK451" s="268"/>
      <c r="IQL451" s="268"/>
      <c r="IQM451" s="268"/>
      <c r="IQN451" s="268"/>
      <c r="IQO451" s="268"/>
      <c r="IQP451" s="268"/>
      <c r="IQQ451" s="268"/>
      <c r="IQR451" s="268"/>
      <c r="IQS451" s="268"/>
      <c r="IQT451" s="268"/>
      <c r="IQU451" s="268"/>
      <c r="IQV451" s="268"/>
      <c r="IQW451" s="268"/>
      <c r="IQX451" s="268"/>
      <c r="IQY451" s="268"/>
      <c r="IQZ451" s="268"/>
      <c r="IRA451" s="268"/>
      <c r="IRB451" s="268"/>
      <c r="IRC451" s="268"/>
      <c r="IRD451" s="268"/>
      <c r="IRE451" s="268"/>
      <c r="IRF451" s="268"/>
      <c r="IRG451" s="268"/>
      <c r="IRH451" s="268"/>
      <c r="IRI451" s="268"/>
      <c r="IRJ451" s="268"/>
      <c r="IRK451" s="268"/>
      <c r="IRL451" s="268"/>
      <c r="IRM451" s="268"/>
      <c r="IRN451" s="268"/>
      <c r="IRO451" s="268"/>
      <c r="IRP451" s="268"/>
      <c r="IRQ451" s="268"/>
      <c r="IRR451" s="268"/>
      <c r="IRS451" s="268"/>
      <c r="IRT451" s="268"/>
      <c r="IRU451" s="268"/>
      <c r="IRV451" s="268"/>
      <c r="IRW451" s="268"/>
      <c r="IRX451" s="268"/>
      <c r="IRY451" s="268"/>
      <c r="IRZ451" s="268"/>
      <c r="ISA451" s="268"/>
      <c r="ISB451" s="268"/>
      <c r="ISC451" s="268"/>
      <c r="ISD451" s="268"/>
      <c r="ISE451" s="268"/>
      <c r="ISF451" s="268"/>
      <c r="ISG451" s="268"/>
      <c r="ISH451" s="268"/>
      <c r="ISI451" s="268"/>
      <c r="ISJ451" s="268"/>
      <c r="ISK451" s="268"/>
      <c r="ISL451" s="268"/>
      <c r="ISM451" s="268"/>
      <c r="ISN451" s="268"/>
      <c r="ISO451" s="268"/>
      <c r="ISP451" s="268"/>
      <c r="ISQ451" s="268"/>
      <c r="ISR451" s="268"/>
      <c r="ISS451" s="268"/>
      <c r="IST451" s="268"/>
      <c r="ISU451" s="268"/>
      <c r="ISV451" s="268"/>
      <c r="ISW451" s="268"/>
      <c r="ISX451" s="268"/>
      <c r="ISY451" s="268"/>
      <c r="ISZ451" s="268"/>
      <c r="ITA451" s="268"/>
      <c r="ITB451" s="268"/>
      <c r="ITC451" s="268"/>
      <c r="ITD451" s="268"/>
      <c r="ITE451" s="268"/>
      <c r="ITF451" s="268"/>
      <c r="ITG451" s="268"/>
      <c r="ITH451" s="268"/>
      <c r="ITI451" s="268"/>
      <c r="ITJ451" s="268"/>
      <c r="ITK451" s="268"/>
      <c r="ITL451" s="268"/>
      <c r="ITM451" s="268"/>
      <c r="ITN451" s="268"/>
      <c r="ITO451" s="268"/>
      <c r="ITP451" s="268"/>
      <c r="ITQ451" s="268"/>
      <c r="ITR451" s="268"/>
      <c r="ITS451" s="268"/>
      <c r="ITT451" s="268"/>
      <c r="ITU451" s="268"/>
      <c r="ITV451" s="268"/>
      <c r="ITW451" s="268"/>
      <c r="ITX451" s="268"/>
      <c r="ITY451" s="268"/>
      <c r="ITZ451" s="268"/>
      <c r="IUA451" s="268"/>
      <c r="IUB451" s="268"/>
      <c r="IUC451" s="268"/>
      <c r="IUD451" s="268"/>
      <c r="IUE451" s="268"/>
      <c r="IUF451" s="268"/>
      <c r="IUG451" s="268"/>
      <c r="IUH451" s="268"/>
      <c r="IUI451" s="268"/>
      <c r="IUJ451" s="268"/>
      <c r="IUK451" s="268"/>
      <c r="IUL451" s="268"/>
      <c r="IUM451" s="268"/>
      <c r="IUN451" s="268"/>
      <c r="IUO451" s="268"/>
      <c r="IUP451" s="268"/>
      <c r="IUQ451" s="268"/>
      <c r="IVE451" s="268"/>
      <c r="IVF451" s="268"/>
      <c r="IVG451" s="268"/>
      <c r="IVU451" s="268"/>
      <c r="IVW451" s="268"/>
      <c r="IVX451" s="268"/>
      <c r="IVY451" s="268"/>
      <c r="IVZ451" s="268"/>
      <c r="IWA451" s="268"/>
      <c r="IWB451" s="268"/>
      <c r="IWC451" s="268"/>
      <c r="IWD451" s="268"/>
      <c r="IWE451" s="268"/>
      <c r="IWF451" s="268"/>
      <c r="IWG451" s="268"/>
      <c r="IWH451" s="268"/>
      <c r="IWI451" s="268"/>
      <c r="IWJ451" s="268"/>
      <c r="IWK451" s="268"/>
      <c r="IWL451" s="268"/>
      <c r="IWM451" s="268"/>
      <c r="IWN451" s="268"/>
      <c r="IWO451" s="268"/>
      <c r="IWP451" s="268"/>
      <c r="IWQ451" s="268"/>
      <c r="IWR451" s="268"/>
      <c r="IWS451" s="268"/>
      <c r="IWT451" s="268"/>
      <c r="IWU451" s="268"/>
      <c r="IWV451" s="268"/>
      <c r="IWW451" s="268"/>
      <c r="IWX451" s="268"/>
      <c r="IWY451" s="268"/>
      <c r="IWZ451" s="268"/>
      <c r="IXA451" s="268"/>
      <c r="IXB451" s="268"/>
      <c r="IXC451" s="268"/>
      <c r="IXD451" s="268"/>
      <c r="IXE451" s="268"/>
      <c r="IXF451" s="268"/>
      <c r="IXG451" s="268"/>
      <c r="IXH451" s="268"/>
      <c r="IXI451" s="268"/>
      <c r="IXJ451" s="268"/>
      <c r="IXK451" s="268"/>
      <c r="IXL451" s="268"/>
      <c r="IXM451" s="268"/>
      <c r="IXN451" s="268"/>
      <c r="IXO451" s="268"/>
      <c r="IXP451" s="268"/>
      <c r="IXQ451" s="268"/>
      <c r="IXR451" s="268"/>
      <c r="IXS451" s="268"/>
      <c r="IXT451" s="268"/>
      <c r="IXU451" s="268"/>
      <c r="IXV451" s="268"/>
      <c r="IXW451" s="268"/>
      <c r="IXX451" s="268"/>
      <c r="IXY451" s="268"/>
      <c r="IXZ451" s="268"/>
      <c r="IYA451" s="268"/>
      <c r="IYB451" s="268"/>
      <c r="IYC451" s="268"/>
      <c r="IYD451" s="268"/>
      <c r="IYE451" s="268"/>
      <c r="IYF451" s="268"/>
      <c r="IYG451" s="268"/>
      <c r="IYH451" s="268"/>
      <c r="IYI451" s="268"/>
      <c r="IYJ451" s="268"/>
      <c r="IYK451" s="268"/>
      <c r="IYL451" s="268"/>
      <c r="IYM451" s="268"/>
      <c r="IYN451" s="268"/>
      <c r="IYO451" s="268"/>
      <c r="IYP451" s="268"/>
      <c r="IYQ451" s="268"/>
      <c r="IYR451" s="268"/>
      <c r="IYS451" s="268"/>
      <c r="IYT451" s="268"/>
      <c r="IYU451" s="268"/>
      <c r="IYV451" s="268"/>
      <c r="IYW451" s="268"/>
      <c r="IYX451" s="268"/>
      <c r="IYY451" s="268"/>
      <c r="IYZ451" s="268"/>
      <c r="IZA451" s="268"/>
      <c r="IZB451" s="268"/>
      <c r="IZC451" s="268"/>
      <c r="IZD451" s="268"/>
      <c r="IZE451" s="268"/>
      <c r="IZF451" s="268"/>
      <c r="IZG451" s="268"/>
      <c r="IZH451" s="268"/>
      <c r="IZI451" s="268"/>
      <c r="IZJ451" s="268"/>
      <c r="IZK451" s="268"/>
      <c r="IZL451" s="268"/>
      <c r="IZM451" s="268"/>
      <c r="IZN451" s="268"/>
      <c r="IZO451" s="268"/>
      <c r="IZP451" s="268"/>
      <c r="IZQ451" s="268"/>
      <c r="IZR451" s="268"/>
      <c r="IZS451" s="268"/>
      <c r="IZT451" s="268"/>
      <c r="IZU451" s="268"/>
      <c r="IZV451" s="268"/>
      <c r="IZW451" s="268"/>
      <c r="IZX451" s="268"/>
      <c r="IZY451" s="268"/>
      <c r="IZZ451" s="268"/>
      <c r="JAA451" s="268"/>
      <c r="JAB451" s="268"/>
      <c r="JAC451" s="268"/>
      <c r="JAD451" s="268"/>
      <c r="JAE451" s="268"/>
      <c r="JAF451" s="268"/>
      <c r="JAG451" s="268"/>
      <c r="JAH451" s="268"/>
      <c r="JAI451" s="268"/>
      <c r="JAJ451" s="268"/>
      <c r="JAK451" s="268"/>
      <c r="JAL451" s="268"/>
      <c r="JAM451" s="268"/>
      <c r="JAN451" s="268"/>
      <c r="JAO451" s="268"/>
      <c r="JAP451" s="268"/>
      <c r="JAQ451" s="268"/>
      <c r="JAR451" s="268"/>
      <c r="JAS451" s="268"/>
      <c r="JAT451" s="268"/>
      <c r="JAU451" s="268"/>
      <c r="JAV451" s="268"/>
      <c r="JAW451" s="268"/>
      <c r="JAX451" s="268"/>
      <c r="JAY451" s="268"/>
      <c r="JAZ451" s="268"/>
      <c r="JBA451" s="268"/>
      <c r="JBB451" s="268"/>
      <c r="JBC451" s="268"/>
      <c r="JBD451" s="268"/>
      <c r="JBE451" s="268"/>
      <c r="JBF451" s="268"/>
      <c r="JBG451" s="268"/>
      <c r="JBH451" s="268"/>
      <c r="JBI451" s="268"/>
      <c r="JBJ451" s="268"/>
      <c r="JBK451" s="268"/>
      <c r="JBL451" s="268"/>
      <c r="JBM451" s="268"/>
      <c r="JBN451" s="268"/>
      <c r="JBO451" s="268"/>
      <c r="JBP451" s="268"/>
      <c r="JBQ451" s="268"/>
      <c r="JBR451" s="268"/>
      <c r="JBS451" s="268"/>
      <c r="JBT451" s="268"/>
      <c r="JBU451" s="268"/>
      <c r="JBV451" s="268"/>
      <c r="JBW451" s="268"/>
      <c r="JBX451" s="268"/>
      <c r="JBY451" s="268"/>
      <c r="JBZ451" s="268"/>
      <c r="JCA451" s="268"/>
      <c r="JCB451" s="268"/>
      <c r="JCC451" s="268"/>
      <c r="JCD451" s="268"/>
      <c r="JCE451" s="268"/>
      <c r="JCF451" s="268"/>
      <c r="JCG451" s="268"/>
      <c r="JCH451" s="268"/>
      <c r="JCI451" s="268"/>
      <c r="JCJ451" s="268"/>
      <c r="JCK451" s="268"/>
      <c r="JCL451" s="268"/>
      <c r="JCM451" s="268"/>
      <c r="JCN451" s="268"/>
      <c r="JCO451" s="268"/>
      <c r="JCP451" s="268"/>
      <c r="JCQ451" s="268"/>
      <c r="JCR451" s="268"/>
      <c r="JCS451" s="268"/>
      <c r="JCT451" s="268"/>
      <c r="JCU451" s="268"/>
      <c r="JCV451" s="268"/>
      <c r="JCW451" s="268"/>
      <c r="JCX451" s="268"/>
      <c r="JCY451" s="268"/>
      <c r="JCZ451" s="268"/>
      <c r="JDA451" s="268"/>
      <c r="JDB451" s="268"/>
      <c r="JDC451" s="268"/>
      <c r="JDD451" s="268"/>
      <c r="JDE451" s="268"/>
      <c r="JDF451" s="268"/>
      <c r="JDG451" s="268"/>
      <c r="JDH451" s="268"/>
      <c r="JDI451" s="268"/>
      <c r="JDJ451" s="268"/>
      <c r="JDK451" s="268"/>
      <c r="JDL451" s="268"/>
      <c r="JDM451" s="268"/>
      <c r="JDN451" s="268"/>
      <c r="JDO451" s="268"/>
      <c r="JDP451" s="268"/>
      <c r="JDQ451" s="268"/>
      <c r="JDR451" s="268"/>
      <c r="JDS451" s="268"/>
      <c r="JDT451" s="268"/>
      <c r="JDU451" s="268"/>
      <c r="JDV451" s="268"/>
      <c r="JDW451" s="268"/>
      <c r="JDX451" s="268"/>
      <c r="JDY451" s="268"/>
      <c r="JDZ451" s="268"/>
      <c r="JEA451" s="268"/>
      <c r="JEB451" s="268"/>
      <c r="JEC451" s="268"/>
      <c r="JED451" s="268"/>
      <c r="JEE451" s="268"/>
      <c r="JEF451" s="268"/>
      <c r="JEG451" s="268"/>
      <c r="JEH451" s="268"/>
      <c r="JEI451" s="268"/>
      <c r="JEJ451" s="268"/>
      <c r="JEK451" s="268"/>
      <c r="JEL451" s="268"/>
      <c r="JEM451" s="268"/>
      <c r="JFA451" s="268"/>
      <c r="JFB451" s="268"/>
      <c r="JFC451" s="268"/>
      <c r="JFQ451" s="268"/>
      <c r="JFS451" s="268"/>
      <c r="JFT451" s="268"/>
      <c r="JFU451" s="268"/>
      <c r="JFV451" s="268"/>
      <c r="JFW451" s="268"/>
      <c r="JFX451" s="268"/>
      <c r="JFY451" s="268"/>
      <c r="JFZ451" s="268"/>
      <c r="JGA451" s="268"/>
      <c r="JGB451" s="268"/>
      <c r="JGC451" s="268"/>
      <c r="JGD451" s="268"/>
      <c r="JGE451" s="268"/>
      <c r="JGF451" s="268"/>
      <c r="JGG451" s="268"/>
      <c r="JGH451" s="268"/>
      <c r="JGI451" s="268"/>
      <c r="JGJ451" s="268"/>
      <c r="JGK451" s="268"/>
      <c r="JGL451" s="268"/>
      <c r="JGM451" s="268"/>
      <c r="JGN451" s="268"/>
      <c r="JGO451" s="268"/>
      <c r="JGP451" s="268"/>
      <c r="JGQ451" s="268"/>
      <c r="JGR451" s="268"/>
      <c r="JGS451" s="268"/>
      <c r="JGT451" s="268"/>
      <c r="JGU451" s="268"/>
      <c r="JGV451" s="268"/>
      <c r="JGW451" s="268"/>
      <c r="JGX451" s="268"/>
      <c r="JGY451" s="268"/>
      <c r="JGZ451" s="268"/>
      <c r="JHA451" s="268"/>
      <c r="JHB451" s="268"/>
      <c r="JHC451" s="268"/>
      <c r="JHD451" s="268"/>
      <c r="JHE451" s="268"/>
      <c r="JHF451" s="268"/>
      <c r="JHG451" s="268"/>
      <c r="JHH451" s="268"/>
      <c r="JHI451" s="268"/>
      <c r="JHJ451" s="268"/>
      <c r="JHK451" s="268"/>
      <c r="JHL451" s="268"/>
      <c r="JHM451" s="268"/>
      <c r="JHN451" s="268"/>
      <c r="JHO451" s="268"/>
      <c r="JHP451" s="268"/>
      <c r="JHQ451" s="268"/>
      <c r="JHR451" s="268"/>
      <c r="JHS451" s="268"/>
      <c r="JHT451" s="268"/>
      <c r="JHU451" s="268"/>
      <c r="JHV451" s="268"/>
      <c r="JHW451" s="268"/>
      <c r="JHX451" s="268"/>
      <c r="JHY451" s="268"/>
      <c r="JHZ451" s="268"/>
      <c r="JIA451" s="268"/>
      <c r="JIB451" s="268"/>
      <c r="JIC451" s="268"/>
      <c r="JID451" s="268"/>
      <c r="JIE451" s="268"/>
      <c r="JIF451" s="268"/>
      <c r="JIG451" s="268"/>
      <c r="JIH451" s="268"/>
      <c r="JII451" s="268"/>
      <c r="JIJ451" s="268"/>
      <c r="JIK451" s="268"/>
      <c r="JIL451" s="268"/>
      <c r="JIM451" s="268"/>
      <c r="JIN451" s="268"/>
      <c r="JIO451" s="268"/>
      <c r="JIP451" s="268"/>
      <c r="JIQ451" s="268"/>
      <c r="JIR451" s="268"/>
      <c r="JIS451" s="268"/>
      <c r="JIT451" s="268"/>
      <c r="JIU451" s="268"/>
      <c r="JIV451" s="268"/>
      <c r="JIW451" s="268"/>
      <c r="JIX451" s="268"/>
      <c r="JIY451" s="268"/>
      <c r="JIZ451" s="268"/>
      <c r="JJA451" s="268"/>
      <c r="JJB451" s="268"/>
      <c r="JJC451" s="268"/>
      <c r="JJD451" s="268"/>
      <c r="JJE451" s="268"/>
      <c r="JJF451" s="268"/>
      <c r="JJG451" s="268"/>
      <c r="JJH451" s="268"/>
      <c r="JJI451" s="268"/>
      <c r="JJJ451" s="268"/>
      <c r="JJK451" s="268"/>
      <c r="JJL451" s="268"/>
      <c r="JJM451" s="268"/>
      <c r="JJN451" s="268"/>
      <c r="JJO451" s="268"/>
      <c r="JJP451" s="268"/>
      <c r="JJQ451" s="268"/>
      <c r="JJR451" s="268"/>
      <c r="JJS451" s="268"/>
      <c r="JJT451" s="268"/>
      <c r="JJU451" s="268"/>
      <c r="JJV451" s="268"/>
      <c r="JJW451" s="268"/>
      <c r="JJX451" s="268"/>
      <c r="JJY451" s="268"/>
      <c r="JJZ451" s="268"/>
      <c r="JKA451" s="268"/>
      <c r="JKB451" s="268"/>
      <c r="JKC451" s="268"/>
      <c r="JKD451" s="268"/>
      <c r="JKE451" s="268"/>
      <c r="JKF451" s="268"/>
      <c r="JKG451" s="268"/>
      <c r="JKH451" s="268"/>
      <c r="JKI451" s="268"/>
      <c r="JKJ451" s="268"/>
      <c r="JKK451" s="268"/>
      <c r="JKL451" s="268"/>
      <c r="JKM451" s="268"/>
      <c r="JKN451" s="268"/>
      <c r="JKO451" s="268"/>
      <c r="JKP451" s="268"/>
      <c r="JKQ451" s="268"/>
      <c r="JKR451" s="268"/>
      <c r="JKS451" s="268"/>
      <c r="JKT451" s="268"/>
      <c r="JKU451" s="268"/>
      <c r="JKV451" s="268"/>
      <c r="JKW451" s="268"/>
      <c r="JKX451" s="268"/>
      <c r="JKY451" s="268"/>
      <c r="JKZ451" s="268"/>
      <c r="JLA451" s="268"/>
      <c r="JLB451" s="268"/>
      <c r="JLC451" s="268"/>
      <c r="JLD451" s="268"/>
      <c r="JLE451" s="268"/>
      <c r="JLF451" s="268"/>
      <c r="JLG451" s="268"/>
      <c r="JLH451" s="268"/>
      <c r="JLI451" s="268"/>
      <c r="JLJ451" s="268"/>
      <c r="JLK451" s="268"/>
      <c r="JLL451" s="268"/>
      <c r="JLM451" s="268"/>
      <c r="JLN451" s="268"/>
      <c r="JLO451" s="268"/>
      <c r="JLP451" s="268"/>
      <c r="JLQ451" s="268"/>
      <c r="JLR451" s="268"/>
      <c r="JLS451" s="268"/>
      <c r="JLT451" s="268"/>
      <c r="JLU451" s="268"/>
      <c r="JLV451" s="268"/>
      <c r="JLW451" s="268"/>
      <c r="JLX451" s="268"/>
      <c r="JLY451" s="268"/>
      <c r="JLZ451" s="268"/>
      <c r="JMA451" s="268"/>
      <c r="JMB451" s="268"/>
      <c r="JMC451" s="268"/>
      <c r="JMD451" s="268"/>
      <c r="JME451" s="268"/>
      <c r="JMF451" s="268"/>
      <c r="JMG451" s="268"/>
      <c r="JMH451" s="268"/>
      <c r="JMI451" s="268"/>
      <c r="JMJ451" s="268"/>
      <c r="JMK451" s="268"/>
      <c r="JML451" s="268"/>
      <c r="JMM451" s="268"/>
      <c r="JMN451" s="268"/>
      <c r="JMO451" s="268"/>
      <c r="JMP451" s="268"/>
      <c r="JMQ451" s="268"/>
      <c r="JMR451" s="268"/>
      <c r="JMS451" s="268"/>
      <c r="JMT451" s="268"/>
      <c r="JMU451" s="268"/>
      <c r="JMV451" s="268"/>
      <c r="JMW451" s="268"/>
      <c r="JMX451" s="268"/>
      <c r="JMY451" s="268"/>
      <c r="JMZ451" s="268"/>
      <c r="JNA451" s="268"/>
      <c r="JNB451" s="268"/>
      <c r="JNC451" s="268"/>
      <c r="JND451" s="268"/>
      <c r="JNE451" s="268"/>
      <c r="JNF451" s="268"/>
      <c r="JNG451" s="268"/>
      <c r="JNH451" s="268"/>
      <c r="JNI451" s="268"/>
      <c r="JNJ451" s="268"/>
      <c r="JNK451" s="268"/>
      <c r="JNL451" s="268"/>
      <c r="JNM451" s="268"/>
      <c r="JNN451" s="268"/>
      <c r="JNO451" s="268"/>
      <c r="JNP451" s="268"/>
      <c r="JNQ451" s="268"/>
      <c r="JNR451" s="268"/>
      <c r="JNS451" s="268"/>
      <c r="JNT451" s="268"/>
      <c r="JNU451" s="268"/>
      <c r="JNV451" s="268"/>
      <c r="JNW451" s="268"/>
      <c r="JNX451" s="268"/>
      <c r="JNY451" s="268"/>
      <c r="JNZ451" s="268"/>
      <c r="JOA451" s="268"/>
      <c r="JOB451" s="268"/>
      <c r="JOC451" s="268"/>
      <c r="JOD451" s="268"/>
      <c r="JOE451" s="268"/>
      <c r="JOF451" s="268"/>
      <c r="JOG451" s="268"/>
      <c r="JOH451" s="268"/>
      <c r="JOI451" s="268"/>
      <c r="JOW451" s="268"/>
      <c r="JOX451" s="268"/>
      <c r="JOY451" s="268"/>
      <c r="JPM451" s="268"/>
      <c r="JPO451" s="268"/>
      <c r="JPP451" s="268"/>
      <c r="JPQ451" s="268"/>
      <c r="JPR451" s="268"/>
      <c r="JPS451" s="268"/>
      <c r="JPT451" s="268"/>
      <c r="JPU451" s="268"/>
      <c r="JPV451" s="268"/>
      <c r="JPW451" s="268"/>
      <c r="JPX451" s="268"/>
      <c r="JPY451" s="268"/>
      <c r="JPZ451" s="268"/>
      <c r="JQA451" s="268"/>
      <c r="JQB451" s="268"/>
      <c r="JQC451" s="268"/>
      <c r="JQD451" s="268"/>
      <c r="JQE451" s="268"/>
      <c r="JQF451" s="268"/>
      <c r="JQG451" s="268"/>
      <c r="JQH451" s="268"/>
      <c r="JQI451" s="268"/>
      <c r="JQJ451" s="268"/>
      <c r="JQK451" s="268"/>
      <c r="JQL451" s="268"/>
      <c r="JQM451" s="268"/>
      <c r="JQN451" s="268"/>
      <c r="JQO451" s="268"/>
      <c r="JQP451" s="268"/>
      <c r="JQQ451" s="268"/>
      <c r="JQR451" s="268"/>
      <c r="JQS451" s="268"/>
      <c r="JQT451" s="268"/>
      <c r="JQU451" s="268"/>
      <c r="JQV451" s="268"/>
      <c r="JQW451" s="268"/>
      <c r="JQX451" s="268"/>
      <c r="JQY451" s="268"/>
      <c r="JQZ451" s="268"/>
      <c r="JRA451" s="268"/>
      <c r="JRB451" s="268"/>
      <c r="JRC451" s="268"/>
      <c r="JRD451" s="268"/>
      <c r="JRE451" s="268"/>
      <c r="JRF451" s="268"/>
      <c r="JRG451" s="268"/>
      <c r="JRH451" s="268"/>
      <c r="JRI451" s="268"/>
      <c r="JRJ451" s="268"/>
      <c r="JRK451" s="268"/>
      <c r="JRL451" s="268"/>
      <c r="JRM451" s="268"/>
      <c r="JRN451" s="268"/>
      <c r="JRO451" s="268"/>
      <c r="JRP451" s="268"/>
      <c r="JRQ451" s="268"/>
      <c r="JRR451" s="268"/>
      <c r="JRS451" s="268"/>
      <c r="JRT451" s="268"/>
      <c r="JRU451" s="268"/>
      <c r="JRV451" s="268"/>
      <c r="JRW451" s="268"/>
      <c r="JRX451" s="268"/>
      <c r="JRY451" s="268"/>
      <c r="JRZ451" s="268"/>
      <c r="JSA451" s="268"/>
      <c r="JSB451" s="268"/>
      <c r="JSC451" s="268"/>
      <c r="JSD451" s="268"/>
      <c r="JSE451" s="268"/>
      <c r="JSF451" s="268"/>
      <c r="JSG451" s="268"/>
      <c r="JSH451" s="268"/>
      <c r="JSI451" s="268"/>
      <c r="JSJ451" s="268"/>
      <c r="JSK451" s="268"/>
      <c r="JSL451" s="268"/>
      <c r="JSM451" s="268"/>
      <c r="JSN451" s="268"/>
      <c r="JSO451" s="268"/>
      <c r="JSP451" s="268"/>
      <c r="JSQ451" s="268"/>
      <c r="JSR451" s="268"/>
      <c r="JSS451" s="268"/>
      <c r="JST451" s="268"/>
      <c r="JSU451" s="268"/>
      <c r="JSV451" s="268"/>
      <c r="JSW451" s="268"/>
      <c r="JSX451" s="268"/>
      <c r="JSY451" s="268"/>
      <c r="JSZ451" s="268"/>
      <c r="JTA451" s="268"/>
      <c r="JTB451" s="268"/>
      <c r="JTC451" s="268"/>
      <c r="JTD451" s="268"/>
      <c r="JTE451" s="268"/>
      <c r="JTF451" s="268"/>
      <c r="JTG451" s="268"/>
      <c r="JTH451" s="268"/>
      <c r="JTI451" s="268"/>
      <c r="JTJ451" s="268"/>
      <c r="JTK451" s="268"/>
      <c r="JTL451" s="268"/>
      <c r="JTM451" s="268"/>
      <c r="JTN451" s="268"/>
      <c r="JTO451" s="268"/>
      <c r="JTP451" s="268"/>
      <c r="JTQ451" s="268"/>
      <c r="JTR451" s="268"/>
      <c r="JTS451" s="268"/>
      <c r="JTT451" s="268"/>
      <c r="JTU451" s="268"/>
      <c r="JTV451" s="268"/>
      <c r="JTW451" s="268"/>
      <c r="JTX451" s="268"/>
      <c r="JTY451" s="268"/>
      <c r="JTZ451" s="268"/>
      <c r="JUA451" s="268"/>
      <c r="JUB451" s="268"/>
      <c r="JUC451" s="268"/>
      <c r="JUD451" s="268"/>
      <c r="JUE451" s="268"/>
      <c r="JUF451" s="268"/>
      <c r="JUG451" s="268"/>
      <c r="JUH451" s="268"/>
      <c r="JUI451" s="268"/>
      <c r="JUJ451" s="268"/>
      <c r="JUK451" s="268"/>
      <c r="JUL451" s="268"/>
      <c r="JUM451" s="268"/>
      <c r="JUN451" s="268"/>
      <c r="JUO451" s="268"/>
      <c r="JUP451" s="268"/>
      <c r="JUQ451" s="268"/>
      <c r="JUR451" s="268"/>
      <c r="JUS451" s="268"/>
      <c r="JUT451" s="268"/>
      <c r="JUU451" s="268"/>
      <c r="JUV451" s="268"/>
      <c r="JUW451" s="268"/>
      <c r="JUX451" s="268"/>
      <c r="JUY451" s="268"/>
      <c r="JUZ451" s="268"/>
      <c r="JVA451" s="268"/>
      <c r="JVB451" s="268"/>
      <c r="JVC451" s="268"/>
      <c r="JVD451" s="268"/>
      <c r="JVE451" s="268"/>
      <c r="JVF451" s="268"/>
      <c r="JVG451" s="268"/>
      <c r="JVH451" s="268"/>
      <c r="JVI451" s="268"/>
      <c r="JVJ451" s="268"/>
      <c r="JVK451" s="268"/>
      <c r="JVL451" s="268"/>
      <c r="JVM451" s="268"/>
      <c r="JVN451" s="268"/>
      <c r="JVO451" s="268"/>
      <c r="JVP451" s="268"/>
      <c r="JVQ451" s="268"/>
      <c r="JVR451" s="268"/>
      <c r="JVS451" s="268"/>
      <c r="JVT451" s="268"/>
      <c r="JVU451" s="268"/>
      <c r="JVV451" s="268"/>
      <c r="JVW451" s="268"/>
      <c r="JVX451" s="268"/>
      <c r="JVY451" s="268"/>
      <c r="JVZ451" s="268"/>
      <c r="JWA451" s="268"/>
      <c r="JWB451" s="268"/>
      <c r="JWC451" s="268"/>
      <c r="JWD451" s="268"/>
      <c r="JWE451" s="268"/>
      <c r="JWF451" s="268"/>
      <c r="JWG451" s="268"/>
      <c r="JWH451" s="268"/>
      <c r="JWI451" s="268"/>
      <c r="JWJ451" s="268"/>
      <c r="JWK451" s="268"/>
      <c r="JWL451" s="268"/>
      <c r="JWM451" s="268"/>
      <c r="JWN451" s="268"/>
      <c r="JWO451" s="268"/>
      <c r="JWP451" s="268"/>
      <c r="JWQ451" s="268"/>
      <c r="JWR451" s="268"/>
      <c r="JWS451" s="268"/>
      <c r="JWT451" s="268"/>
      <c r="JWU451" s="268"/>
      <c r="JWV451" s="268"/>
      <c r="JWW451" s="268"/>
      <c r="JWX451" s="268"/>
      <c r="JWY451" s="268"/>
      <c r="JWZ451" s="268"/>
      <c r="JXA451" s="268"/>
      <c r="JXB451" s="268"/>
      <c r="JXC451" s="268"/>
      <c r="JXD451" s="268"/>
      <c r="JXE451" s="268"/>
      <c r="JXF451" s="268"/>
      <c r="JXG451" s="268"/>
      <c r="JXH451" s="268"/>
      <c r="JXI451" s="268"/>
      <c r="JXJ451" s="268"/>
      <c r="JXK451" s="268"/>
      <c r="JXL451" s="268"/>
      <c r="JXM451" s="268"/>
      <c r="JXN451" s="268"/>
      <c r="JXO451" s="268"/>
      <c r="JXP451" s="268"/>
      <c r="JXQ451" s="268"/>
      <c r="JXR451" s="268"/>
      <c r="JXS451" s="268"/>
      <c r="JXT451" s="268"/>
      <c r="JXU451" s="268"/>
      <c r="JXV451" s="268"/>
      <c r="JXW451" s="268"/>
      <c r="JXX451" s="268"/>
      <c r="JXY451" s="268"/>
      <c r="JXZ451" s="268"/>
      <c r="JYA451" s="268"/>
      <c r="JYB451" s="268"/>
      <c r="JYC451" s="268"/>
      <c r="JYD451" s="268"/>
      <c r="JYE451" s="268"/>
      <c r="JYS451" s="268"/>
      <c r="JYT451" s="268"/>
      <c r="JYU451" s="268"/>
      <c r="JZI451" s="268"/>
      <c r="JZK451" s="268"/>
      <c r="JZL451" s="268"/>
      <c r="JZM451" s="268"/>
      <c r="JZN451" s="268"/>
      <c r="JZO451" s="268"/>
      <c r="JZP451" s="268"/>
      <c r="JZQ451" s="268"/>
      <c r="JZR451" s="268"/>
      <c r="JZS451" s="268"/>
      <c r="JZT451" s="268"/>
      <c r="JZU451" s="268"/>
      <c r="JZV451" s="268"/>
      <c r="JZW451" s="268"/>
      <c r="JZX451" s="268"/>
      <c r="JZY451" s="268"/>
      <c r="JZZ451" s="268"/>
      <c r="KAA451" s="268"/>
      <c r="KAB451" s="268"/>
      <c r="KAC451" s="268"/>
      <c r="KAD451" s="268"/>
      <c r="KAE451" s="268"/>
      <c r="KAF451" s="268"/>
      <c r="KAG451" s="268"/>
      <c r="KAH451" s="268"/>
      <c r="KAI451" s="268"/>
      <c r="KAJ451" s="268"/>
      <c r="KAK451" s="268"/>
      <c r="KAL451" s="268"/>
      <c r="KAM451" s="268"/>
      <c r="KAN451" s="268"/>
      <c r="KAO451" s="268"/>
      <c r="KAP451" s="268"/>
      <c r="KAQ451" s="268"/>
      <c r="KAR451" s="268"/>
      <c r="KAS451" s="268"/>
      <c r="KAT451" s="268"/>
      <c r="KAU451" s="268"/>
      <c r="KAV451" s="268"/>
      <c r="KAW451" s="268"/>
      <c r="KAX451" s="268"/>
      <c r="KAY451" s="268"/>
      <c r="KAZ451" s="268"/>
      <c r="KBA451" s="268"/>
      <c r="KBB451" s="268"/>
      <c r="KBC451" s="268"/>
      <c r="KBD451" s="268"/>
      <c r="KBE451" s="268"/>
      <c r="KBF451" s="268"/>
      <c r="KBG451" s="268"/>
      <c r="KBH451" s="268"/>
      <c r="KBI451" s="268"/>
      <c r="KBJ451" s="268"/>
      <c r="KBK451" s="268"/>
      <c r="KBL451" s="268"/>
      <c r="KBM451" s="268"/>
      <c r="KBN451" s="268"/>
      <c r="KBO451" s="268"/>
      <c r="KBP451" s="268"/>
      <c r="KBQ451" s="268"/>
      <c r="KBR451" s="268"/>
      <c r="KBS451" s="268"/>
      <c r="KBT451" s="268"/>
      <c r="KBU451" s="268"/>
      <c r="KBV451" s="268"/>
      <c r="KBW451" s="268"/>
      <c r="KBX451" s="268"/>
      <c r="KBY451" s="268"/>
      <c r="KBZ451" s="268"/>
      <c r="KCA451" s="268"/>
      <c r="KCB451" s="268"/>
      <c r="KCC451" s="268"/>
      <c r="KCD451" s="268"/>
      <c r="KCE451" s="268"/>
      <c r="KCF451" s="268"/>
      <c r="KCG451" s="268"/>
      <c r="KCH451" s="268"/>
      <c r="KCI451" s="268"/>
      <c r="KCJ451" s="268"/>
      <c r="KCK451" s="268"/>
      <c r="KCL451" s="268"/>
      <c r="KCM451" s="268"/>
      <c r="KCN451" s="268"/>
      <c r="KCO451" s="268"/>
      <c r="KCP451" s="268"/>
      <c r="KCQ451" s="268"/>
      <c r="KCR451" s="268"/>
      <c r="KCS451" s="268"/>
      <c r="KCT451" s="268"/>
      <c r="KCU451" s="268"/>
      <c r="KCV451" s="268"/>
      <c r="KCW451" s="268"/>
      <c r="KCX451" s="268"/>
      <c r="KCY451" s="268"/>
      <c r="KCZ451" s="268"/>
      <c r="KDA451" s="268"/>
      <c r="KDB451" s="268"/>
      <c r="KDC451" s="268"/>
      <c r="KDD451" s="268"/>
      <c r="KDE451" s="268"/>
      <c r="KDF451" s="268"/>
      <c r="KDG451" s="268"/>
      <c r="KDH451" s="268"/>
      <c r="KDI451" s="268"/>
      <c r="KDJ451" s="268"/>
      <c r="KDK451" s="268"/>
      <c r="KDL451" s="268"/>
      <c r="KDM451" s="268"/>
      <c r="KDN451" s="268"/>
      <c r="KDO451" s="268"/>
      <c r="KDP451" s="268"/>
      <c r="KDQ451" s="268"/>
      <c r="KDR451" s="268"/>
      <c r="KDS451" s="268"/>
      <c r="KDT451" s="268"/>
      <c r="KDU451" s="268"/>
      <c r="KDV451" s="268"/>
      <c r="KDW451" s="268"/>
      <c r="KDX451" s="268"/>
      <c r="KDY451" s="268"/>
      <c r="KDZ451" s="268"/>
      <c r="KEA451" s="268"/>
      <c r="KEB451" s="268"/>
      <c r="KEC451" s="268"/>
      <c r="KED451" s="268"/>
      <c r="KEE451" s="268"/>
      <c r="KEF451" s="268"/>
      <c r="KEG451" s="268"/>
      <c r="KEH451" s="268"/>
      <c r="KEI451" s="268"/>
      <c r="KEJ451" s="268"/>
      <c r="KEK451" s="268"/>
      <c r="KEL451" s="268"/>
      <c r="KEM451" s="268"/>
      <c r="KEN451" s="268"/>
      <c r="KEO451" s="268"/>
      <c r="KEP451" s="268"/>
      <c r="KEQ451" s="268"/>
      <c r="KER451" s="268"/>
      <c r="KES451" s="268"/>
      <c r="KET451" s="268"/>
      <c r="KEU451" s="268"/>
      <c r="KEV451" s="268"/>
      <c r="KEW451" s="268"/>
      <c r="KEX451" s="268"/>
      <c r="KEY451" s="268"/>
      <c r="KEZ451" s="268"/>
      <c r="KFA451" s="268"/>
      <c r="KFB451" s="268"/>
      <c r="KFC451" s="268"/>
      <c r="KFD451" s="268"/>
      <c r="KFE451" s="268"/>
      <c r="KFF451" s="268"/>
      <c r="KFG451" s="268"/>
      <c r="KFH451" s="268"/>
      <c r="KFI451" s="268"/>
      <c r="KFJ451" s="268"/>
      <c r="KFK451" s="268"/>
      <c r="KFL451" s="268"/>
      <c r="KFM451" s="268"/>
      <c r="KFN451" s="268"/>
      <c r="KFO451" s="268"/>
      <c r="KFP451" s="268"/>
      <c r="KFQ451" s="268"/>
      <c r="KFR451" s="268"/>
      <c r="KFS451" s="268"/>
      <c r="KFT451" s="268"/>
      <c r="KFU451" s="268"/>
      <c r="KFV451" s="268"/>
      <c r="KFW451" s="268"/>
      <c r="KFX451" s="268"/>
      <c r="KFY451" s="268"/>
      <c r="KFZ451" s="268"/>
      <c r="KGA451" s="268"/>
      <c r="KGB451" s="268"/>
      <c r="KGC451" s="268"/>
      <c r="KGD451" s="268"/>
      <c r="KGE451" s="268"/>
      <c r="KGF451" s="268"/>
      <c r="KGG451" s="268"/>
      <c r="KGH451" s="268"/>
      <c r="KGI451" s="268"/>
      <c r="KGJ451" s="268"/>
      <c r="KGK451" s="268"/>
      <c r="KGL451" s="268"/>
      <c r="KGM451" s="268"/>
      <c r="KGN451" s="268"/>
      <c r="KGO451" s="268"/>
      <c r="KGP451" s="268"/>
      <c r="KGQ451" s="268"/>
      <c r="KGR451" s="268"/>
      <c r="KGS451" s="268"/>
      <c r="KGT451" s="268"/>
      <c r="KGU451" s="268"/>
      <c r="KGV451" s="268"/>
      <c r="KGW451" s="268"/>
      <c r="KGX451" s="268"/>
      <c r="KGY451" s="268"/>
      <c r="KGZ451" s="268"/>
      <c r="KHA451" s="268"/>
      <c r="KHB451" s="268"/>
      <c r="KHC451" s="268"/>
      <c r="KHD451" s="268"/>
      <c r="KHE451" s="268"/>
      <c r="KHF451" s="268"/>
      <c r="KHG451" s="268"/>
      <c r="KHH451" s="268"/>
      <c r="KHI451" s="268"/>
      <c r="KHJ451" s="268"/>
      <c r="KHK451" s="268"/>
      <c r="KHL451" s="268"/>
      <c r="KHM451" s="268"/>
      <c r="KHN451" s="268"/>
      <c r="KHO451" s="268"/>
      <c r="KHP451" s="268"/>
      <c r="KHQ451" s="268"/>
      <c r="KHR451" s="268"/>
      <c r="KHS451" s="268"/>
      <c r="KHT451" s="268"/>
      <c r="KHU451" s="268"/>
      <c r="KHV451" s="268"/>
      <c r="KHW451" s="268"/>
      <c r="KHX451" s="268"/>
      <c r="KHY451" s="268"/>
      <c r="KHZ451" s="268"/>
      <c r="KIA451" s="268"/>
      <c r="KIO451" s="268"/>
      <c r="KIP451" s="268"/>
      <c r="KIQ451" s="268"/>
      <c r="KJE451" s="268"/>
      <c r="KJG451" s="268"/>
      <c r="KJH451" s="268"/>
      <c r="KJI451" s="268"/>
      <c r="KJJ451" s="268"/>
      <c r="KJK451" s="268"/>
      <c r="KJL451" s="268"/>
      <c r="KJM451" s="268"/>
      <c r="KJN451" s="268"/>
      <c r="KJO451" s="268"/>
      <c r="KJP451" s="268"/>
      <c r="KJQ451" s="268"/>
      <c r="KJR451" s="268"/>
      <c r="KJS451" s="268"/>
      <c r="KJT451" s="268"/>
      <c r="KJU451" s="268"/>
      <c r="KJV451" s="268"/>
      <c r="KJW451" s="268"/>
      <c r="KJX451" s="268"/>
      <c r="KJY451" s="268"/>
      <c r="KJZ451" s="268"/>
      <c r="KKA451" s="268"/>
      <c r="KKB451" s="268"/>
      <c r="KKC451" s="268"/>
      <c r="KKD451" s="268"/>
      <c r="KKE451" s="268"/>
      <c r="KKF451" s="268"/>
      <c r="KKG451" s="268"/>
      <c r="KKH451" s="268"/>
      <c r="KKI451" s="268"/>
      <c r="KKJ451" s="268"/>
      <c r="KKK451" s="268"/>
      <c r="KKL451" s="268"/>
      <c r="KKM451" s="268"/>
      <c r="KKN451" s="268"/>
      <c r="KKO451" s="268"/>
      <c r="KKP451" s="268"/>
      <c r="KKQ451" s="268"/>
      <c r="KKR451" s="268"/>
      <c r="KKS451" s="268"/>
      <c r="KKT451" s="268"/>
      <c r="KKU451" s="268"/>
      <c r="KKV451" s="268"/>
      <c r="KKW451" s="268"/>
      <c r="KKX451" s="268"/>
      <c r="KKY451" s="268"/>
      <c r="KKZ451" s="268"/>
      <c r="KLA451" s="268"/>
      <c r="KLB451" s="268"/>
      <c r="KLC451" s="268"/>
      <c r="KLD451" s="268"/>
      <c r="KLE451" s="268"/>
      <c r="KLF451" s="268"/>
      <c r="KLG451" s="268"/>
      <c r="KLH451" s="268"/>
      <c r="KLI451" s="268"/>
      <c r="KLJ451" s="268"/>
      <c r="KLK451" s="268"/>
      <c r="KLL451" s="268"/>
      <c r="KLM451" s="268"/>
      <c r="KLN451" s="268"/>
      <c r="KLO451" s="268"/>
      <c r="KLP451" s="268"/>
      <c r="KLQ451" s="268"/>
      <c r="KLR451" s="268"/>
      <c r="KLS451" s="268"/>
      <c r="KLT451" s="268"/>
      <c r="KLU451" s="268"/>
      <c r="KLV451" s="268"/>
      <c r="KLW451" s="268"/>
      <c r="KLX451" s="268"/>
      <c r="KLY451" s="268"/>
      <c r="KLZ451" s="268"/>
      <c r="KMA451" s="268"/>
      <c r="KMB451" s="268"/>
      <c r="KMC451" s="268"/>
      <c r="KMD451" s="268"/>
      <c r="KME451" s="268"/>
      <c r="KMF451" s="268"/>
      <c r="KMG451" s="268"/>
      <c r="KMH451" s="268"/>
      <c r="KMI451" s="268"/>
      <c r="KMJ451" s="268"/>
      <c r="KMK451" s="268"/>
      <c r="KML451" s="268"/>
      <c r="KMM451" s="268"/>
      <c r="KMN451" s="268"/>
      <c r="KMO451" s="268"/>
      <c r="KMP451" s="268"/>
      <c r="KMQ451" s="268"/>
      <c r="KMR451" s="268"/>
      <c r="KMS451" s="268"/>
      <c r="KMT451" s="268"/>
      <c r="KMU451" s="268"/>
      <c r="KMV451" s="268"/>
      <c r="KMW451" s="268"/>
      <c r="KMX451" s="268"/>
      <c r="KMY451" s="268"/>
      <c r="KMZ451" s="268"/>
      <c r="KNA451" s="268"/>
      <c r="KNB451" s="268"/>
      <c r="KNC451" s="268"/>
      <c r="KND451" s="268"/>
      <c r="KNE451" s="268"/>
      <c r="KNF451" s="268"/>
      <c r="KNG451" s="268"/>
      <c r="KNH451" s="268"/>
      <c r="KNI451" s="268"/>
      <c r="KNJ451" s="268"/>
      <c r="KNK451" s="268"/>
      <c r="KNL451" s="268"/>
      <c r="KNM451" s="268"/>
      <c r="KNN451" s="268"/>
      <c r="KNO451" s="268"/>
      <c r="KNP451" s="268"/>
      <c r="KNQ451" s="268"/>
      <c r="KNR451" s="268"/>
      <c r="KNS451" s="268"/>
      <c r="KNT451" s="268"/>
      <c r="KNU451" s="268"/>
      <c r="KNV451" s="268"/>
      <c r="KNW451" s="268"/>
      <c r="KNX451" s="268"/>
      <c r="KNY451" s="268"/>
      <c r="KNZ451" s="268"/>
      <c r="KOA451" s="268"/>
      <c r="KOB451" s="268"/>
      <c r="KOC451" s="268"/>
      <c r="KOD451" s="268"/>
      <c r="KOE451" s="268"/>
      <c r="KOF451" s="268"/>
      <c r="KOG451" s="268"/>
      <c r="KOH451" s="268"/>
      <c r="KOI451" s="268"/>
      <c r="KOJ451" s="268"/>
      <c r="KOK451" s="268"/>
      <c r="KOL451" s="268"/>
      <c r="KOM451" s="268"/>
      <c r="KON451" s="268"/>
      <c r="KOO451" s="268"/>
      <c r="KOP451" s="268"/>
      <c r="KOQ451" s="268"/>
      <c r="KOR451" s="268"/>
      <c r="KOS451" s="268"/>
      <c r="KOT451" s="268"/>
      <c r="KOU451" s="268"/>
      <c r="KOV451" s="268"/>
      <c r="KOW451" s="268"/>
      <c r="KOX451" s="268"/>
      <c r="KOY451" s="268"/>
      <c r="KOZ451" s="268"/>
      <c r="KPA451" s="268"/>
      <c r="KPB451" s="268"/>
      <c r="KPC451" s="268"/>
      <c r="KPD451" s="268"/>
      <c r="KPE451" s="268"/>
      <c r="KPF451" s="268"/>
      <c r="KPG451" s="268"/>
      <c r="KPH451" s="268"/>
      <c r="KPI451" s="268"/>
      <c r="KPJ451" s="268"/>
      <c r="KPK451" s="268"/>
      <c r="KPL451" s="268"/>
      <c r="KPM451" s="268"/>
      <c r="KPN451" s="268"/>
      <c r="KPO451" s="268"/>
      <c r="KPP451" s="268"/>
      <c r="KPQ451" s="268"/>
      <c r="KPR451" s="268"/>
      <c r="KPS451" s="268"/>
      <c r="KPT451" s="268"/>
      <c r="KPU451" s="268"/>
      <c r="KPV451" s="268"/>
      <c r="KPW451" s="268"/>
      <c r="KPX451" s="268"/>
      <c r="KPY451" s="268"/>
      <c r="KPZ451" s="268"/>
      <c r="KQA451" s="268"/>
      <c r="KQB451" s="268"/>
      <c r="KQC451" s="268"/>
      <c r="KQD451" s="268"/>
      <c r="KQE451" s="268"/>
      <c r="KQF451" s="268"/>
      <c r="KQG451" s="268"/>
      <c r="KQH451" s="268"/>
      <c r="KQI451" s="268"/>
      <c r="KQJ451" s="268"/>
      <c r="KQK451" s="268"/>
      <c r="KQL451" s="268"/>
      <c r="KQM451" s="268"/>
      <c r="KQN451" s="268"/>
      <c r="KQO451" s="268"/>
      <c r="KQP451" s="268"/>
      <c r="KQQ451" s="268"/>
      <c r="KQR451" s="268"/>
      <c r="KQS451" s="268"/>
      <c r="KQT451" s="268"/>
      <c r="KQU451" s="268"/>
      <c r="KQV451" s="268"/>
      <c r="KQW451" s="268"/>
      <c r="KQX451" s="268"/>
      <c r="KQY451" s="268"/>
      <c r="KQZ451" s="268"/>
      <c r="KRA451" s="268"/>
      <c r="KRB451" s="268"/>
      <c r="KRC451" s="268"/>
      <c r="KRD451" s="268"/>
      <c r="KRE451" s="268"/>
      <c r="KRF451" s="268"/>
      <c r="KRG451" s="268"/>
      <c r="KRH451" s="268"/>
      <c r="KRI451" s="268"/>
      <c r="KRJ451" s="268"/>
      <c r="KRK451" s="268"/>
      <c r="KRL451" s="268"/>
      <c r="KRM451" s="268"/>
      <c r="KRN451" s="268"/>
      <c r="KRO451" s="268"/>
      <c r="KRP451" s="268"/>
      <c r="KRQ451" s="268"/>
      <c r="KRR451" s="268"/>
      <c r="KRS451" s="268"/>
      <c r="KRT451" s="268"/>
      <c r="KRU451" s="268"/>
      <c r="KRV451" s="268"/>
      <c r="KRW451" s="268"/>
      <c r="KSK451" s="268"/>
      <c r="KSL451" s="268"/>
      <c r="KSM451" s="268"/>
      <c r="KTA451" s="268"/>
      <c r="KTC451" s="268"/>
      <c r="KTD451" s="268"/>
      <c r="KTE451" s="268"/>
      <c r="KTF451" s="268"/>
      <c r="KTG451" s="268"/>
      <c r="KTH451" s="268"/>
      <c r="KTI451" s="268"/>
      <c r="KTJ451" s="268"/>
      <c r="KTK451" s="268"/>
      <c r="KTL451" s="268"/>
      <c r="KTM451" s="268"/>
      <c r="KTN451" s="268"/>
      <c r="KTO451" s="268"/>
      <c r="KTP451" s="268"/>
      <c r="KTQ451" s="268"/>
      <c r="KTR451" s="268"/>
      <c r="KTS451" s="268"/>
      <c r="KTT451" s="268"/>
      <c r="KTU451" s="268"/>
      <c r="KTV451" s="268"/>
      <c r="KTW451" s="268"/>
      <c r="KTX451" s="268"/>
      <c r="KTY451" s="268"/>
      <c r="KTZ451" s="268"/>
      <c r="KUA451" s="268"/>
      <c r="KUB451" s="268"/>
      <c r="KUC451" s="268"/>
      <c r="KUD451" s="268"/>
      <c r="KUE451" s="268"/>
      <c r="KUF451" s="268"/>
      <c r="KUG451" s="268"/>
      <c r="KUH451" s="268"/>
      <c r="KUI451" s="268"/>
      <c r="KUJ451" s="268"/>
      <c r="KUK451" s="268"/>
      <c r="KUL451" s="268"/>
      <c r="KUM451" s="268"/>
      <c r="KUN451" s="268"/>
      <c r="KUO451" s="268"/>
      <c r="KUP451" s="268"/>
      <c r="KUQ451" s="268"/>
      <c r="KUR451" s="268"/>
      <c r="KUS451" s="268"/>
      <c r="KUT451" s="268"/>
      <c r="KUU451" s="268"/>
      <c r="KUV451" s="268"/>
      <c r="KUW451" s="268"/>
      <c r="KUX451" s="268"/>
      <c r="KUY451" s="268"/>
      <c r="KUZ451" s="268"/>
      <c r="KVA451" s="268"/>
      <c r="KVB451" s="268"/>
      <c r="KVC451" s="268"/>
      <c r="KVD451" s="268"/>
      <c r="KVE451" s="268"/>
      <c r="KVF451" s="268"/>
      <c r="KVG451" s="268"/>
      <c r="KVH451" s="268"/>
      <c r="KVI451" s="268"/>
      <c r="KVJ451" s="268"/>
      <c r="KVK451" s="268"/>
      <c r="KVL451" s="268"/>
      <c r="KVM451" s="268"/>
      <c r="KVN451" s="268"/>
      <c r="KVO451" s="268"/>
      <c r="KVP451" s="268"/>
      <c r="KVQ451" s="268"/>
      <c r="KVR451" s="268"/>
      <c r="KVS451" s="268"/>
      <c r="KVT451" s="268"/>
      <c r="KVU451" s="268"/>
      <c r="KVV451" s="268"/>
      <c r="KVW451" s="268"/>
      <c r="KVX451" s="268"/>
      <c r="KVY451" s="268"/>
      <c r="KVZ451" s="268"/>
      <c r="KWA451" s="268"/>
      <c r="KWB451" s="268"/>
      <c r="KWC451" s="268"/>
      <c r="KWD451" s="268"/>
      <c r="KWE451" s="268"/>
      <c r="KWF451" s="268"/>
      <c r="KWG451" s="268"/>
      <c r="KWH451" s="268"/>
      <c r="KWI451" s="268"/>
      <c r="KWJ451" s="268"/>
      <c r="KWK451" s="268"/>
      <c r="KWL451" s="268"/>
      <c r="KWM451" s="268"/>
      <c r="KWN451" s="268"/>
      <c r="KWO451" s="268"/>
      <c r="KWP451" s="268"/>
      <c r="KWQ451" s="268"/>
      <c r="KWR451" s="268"/>
      <c r="KWS451" s="268"/>
      <c r="KWT451" s="268"/>
      <c r="KWU451" s="268"/>
      <c r="KWV451" s="268"/>
      <c r="KWW451" s="268"/>
      <c r="KWX451" s="268"/>
      <c r="KWY451" s="268"/>
      <c r="KWZ451" s="268"/>
      <c r="KXA451" s="268"/>
      <c r="KXB451" s="268"/>
      <c r="KXC451" s="268"/>
      <c r="KXD451" s="268"/>
      <c r="KXE451" s="268"/>
      <c r="KXF451" s="268"/>
      <c r="KXG451" s="268"/>
      <c r="KXH451" s="268"/>
      <c r="KXI451" s="268"/>
      <c r="KXJ451" s="268"/>
      <c r="KXK451" s="268"/>
      <c r="KXL451" s="268"/>
      <c r="KXM451" s="268"/>
      <c r="KXN451" s="268"/>
      <c r="KXO451" s="268"/>
      <c r="KXP451" s="268"/>
      <c r="KXQ451" s="268"/>
      <c r="KXR451" s="268"/>
      <c r="KXS451" s="268"/>
      <c r="KXT451" s="268"/>
      <c r="KXU451" s="268"/>
      <c r="KXV451" s="268"/>
      <c r="KXW451" s="268"/>
      <c r="KXX451" s="268"/>
      <c r="KXY451" s="268"/>
      <c r="KXZ451" s="268"/>
      <c r="KYA451" s="268"/>
      <c r="KYB451" s="268"/>
      <c r="KYC451" s="268"/>
      <c r="KYD451" s="268"/>
      <c r="KYE451" s="268"/>
      <c r="KYF451" s="268"/>
      <c r="KYG451" s="268"/>
      <c r="KYH451" s="268"/>
      <c r="KYI451" s="268"/>
      <c r="KYJ451" s="268"/>
      <c r="KYK451" s="268"/>
      <c r="KYL451" s="268"/>
      <c r="KYM451" s="268"/>
      <c r="KYN451" s="268"/>
      <c r="KYO451" s="268"/>
      <c r="KYP451" s="268"/>
      <c r="KYQ451" s="268"/>
      <c r="KYR451" s="268"/>
      <c r="KYS451" s="268"/>
      <c r="KYT451" s="268"/>
      <c r="KYU451" s="268"/>
      <c r="KYV451" s="268"/>
      <c r="KYW451" s="268"/>
      <c r="KYX451" s="268"/>
      <c r="KYY451" s="268"/>
      <c r="KYZ451" s="268"/>
      <c r="KZA451" s="268"/>
      <c r="KZB451" s="268"/>
      <c r="KZC451" s="268"/>
      <c r="KZD451" s="268"/>
      <c r="KZE451" s="268"/>
      <c r="KZF451" s="268"/>
      <c r="KZG451" s="268"/>
      <c r="KZH451" s="268"/>
      <c r="KZI451" s="268"/>
      <c r="KZJ451" s="268"/>
      <c r="KZK451" s="268"/>
      <c r="KZL451" s="268"/>
      <c r="KZM451" s="268"/>
      <c r="KZN451" s="268"/>
      <c r="KZO451" s="268"/>
      <c r="KZP451" s="268"/>
      <c r="KZQ451" s="268"/>
      <c r="KZR451" s="268"/>
      <c r="KZS451" s="268"/>
      <c r="KZT451" s="268"/>
      <c r="KZU451" s="268"/>
      <c r="KZV451" s="268"/>
      <c r="KZW451" s="268"/>
      <c r="KZX451" s="268"/>
      <c r="KZY451" s="268"/>
      <c r="KZZ451" s="268"/>
      <c r="LAA451" s="268"/>
      <c r="LAB451" s="268"/>
      <c r="LAC451" s="268"/>
      <c r="LAD451" s="268"/>
      <c r="LAE451" s="268"/>
      <c r="LAF451" s="268"/>
      <c r="LAG451" s="268"/>
      <c r="LAH451" s="268"/>
      <c r="LAI451" s="268"/>
      <c r="LAJ451" s="268"/>
      <c r="LAK451" s="268"/>
      <c r="LAL451" s="268"/>
      <c r="LAM451" s="268"/>
      <c r="LAN451" s="268"/>
      <c r="LAO451" s="268"/>
      <c r="LAP451" s="268"/>
      <c r="LAQ451" s="268"/>
      <c r="LAR451" s="268"/>
      <c r="LAS451" s="268"/>
      <c r="LAT451" s="268"/>
      <c r="LAU451" s="268"/>
      <c r="LAV451" s="268"/>
      <c r="LAW451" s="268"/>
      <c r="LAX451" s="268"/>
      <c r="LAY451" s="268"/>
      <c r="LAZ451" s="268"/>
      <c r="LBA451" s="268"/>
      <c r="LBB451" s="268"/>
      <c r="LBC451" s="268"/>
      <c r="LBD451" s="268"/>
      <c r="LBE451" s="268"/>
      <c r="LBF451" s="268"/>
      <c r="LBG451" s="268"/>
      <c r="LBH451" s="268"/>
      <c r="LBI451" s="268"/>
      <c r="LBJ451" s="268"/>
      <c r="LBK451" s="268"/>
      <c r="LBL451" s="268"/>
      <c r="LBM451" s="268"/>
      <c r="LBN451" s="268"/>
      <c r="LBO451" s="268"/>
      <c r="LBP451" s="268"/>
      <c r="LBQ451" s="268"/>
      <c r="LBR451" s="268"/>
      <c r="LBS451" s="268"/>
      <c r="LCG451" s="268"/>
      <c r="LCH451" s="268"/>
      <c r="LCI451" s="268"/>
      <c r="LCW451" s="268"/>
      <c r="LCY451" s="268"/>
      <c r="LCZ451" s="268"/>
      <c r="LDA451" s="268"/>
      <c r="LDB451" s="268"/>
      <c r="LDC451" s="268"/>
      <c r="LDD451" s="268"/>
      <c r="LDE451" s="268"/>
      <c r="LDF451" s="268"/>
      <c r="LDG451" s="268"/>
      <c r="LDH451" s="268"/>
      <c r="LDI451" s="268"/>
      <c r="LDJ451" s="268"/>
      <c r="LDK451" s="268"/>
      <c r="LDL451" s="268"/>
      <c r="LDM451" s="268"/>
      <c r="LDN451" s="268"/>
      <c r="LDO451" s="268"/>
      <c r="LDP451" s="268"/>
      <c r="LDQ451" s="268"/>
      <c r="LDR451" s="268"/>
      <c r="LDS451" s="268"/>
      <c r="LDT451" s="268"/>
      <c r="LDU451" s="268"/>
      <c r="LDV451" s="268"/>
      <c r="LDW451" s="268"/>
      <c r="LDX451" s="268"/>
      <c r="LDY451" s="268"/>
      <c r="LDZ451" s="268"/>
      <c r="LEA451" s="268"/>
      <c r="LEB451" s="268"/>
      <c r="LEC451" s="268"/>
      <c r="LED451" s="268"/>
      <c r="LEE451" s="268"/>
      <c r="LEF451" s="268"/>
      <c r="LEG451" s="268"/>
      <c r="LEH451" s="268"/>
      <c r="LEI451" s="268"/>
      <c r="LEJ451" s="268"/>
      <c r="LEK451" s="268"/>
      <c r="LEL451" s="268"/>
      <c r="LEM451" s="268"/>
      <c r="LEN451" s="268"/>
      <c r="LEO451" s="268"/>
      <c r="LEP451" s="268"/>
      <c r="LEQ451" s="268"/>
      <c r="LER451" s="268"/>
      <c r="LES451" s="268"/>
      <c r="LET451" s="268"/>
      <c r="LEU451" s="268"/>
      <c r="LEV451" s="268"/>
      <c r="LEW451" s="268"/>
      <c r="LEX451" s="268"/>
      <c r="LEY451" s="268"/>
      <c r="LEZ451" s="268"/>
      <c r="LFA451" s="268"/>
      <c r="LFB451" s="268"/>
      <c r="LFC451" s="268"/>
      <c r="LFD451" s="268"/>
      <c r="LFE451" s="268"/>
      <c r="LFF451" s="268"/>
      <c r="LFG451" s="268"/>
      <c r="LFH451" s="268"/>
      <c r="LFI451" s="268"/>
      <c r="LFJ451" s="268"/>
      <c r="LFK451" s="268"/>
      <c r="LFL451" s="268"/>
      <c r="LFM451" s="268"/>
      <c r="LFN451" s="268"/>
      <c r="LFO451" s="268"/>
      <c r="LFP451" s="268"/>
      <c r="LFQ451" s="268"/>
      <c r="LFR451" s="268"/>
      <c r="LFS451" s="268"/>
      <c r="LFT451" s="268"/>
      <c r="LFU451" s="268"/>
      <c r="LFV451" s="268"/>
      <c r="LFW451" s="268"/>
      <c r="LFX451" s="268"/>
      <c r="LFY451" s="268"/>
      <c r="LFZ451" s="268"/>
      <c r="LGA451" s="268"/>
      <c r="LGB451" s="268"/>
      <c r="LGC451" s="268"/>
      <c r="LGD451" s="268"/>
      <c r="LGE451" s="268"/>
      <c r="LGF451" s="268"/>
      <c r="LGG451" s="268"/>
      <c r="LGH451" s="268"/>
      <c r="LGI451" s="268"/>
      <c r="LGJ451" s="268"/>
      <c r="LGK451" s="268"/>
      <c r="LGL451" s="268"/>
      <c r="LGM451" s="268"/>
      <c r="LGN451" s="268"/>
      <c r="LGO451" s="268"/>
      <c r="LGP451" s="268"/>
      <c r="LGQ451" s="268"/>
      <c r="LGR451" s="268"/>
      <c r="LGS451" s="268"/>
      <c r="LGT451" s="268"/>
      <c r="LGU451" s="268"/>
      <c r="LGV451" s="268"/>
      <c r="LGW451" s="268"/>
      <c r="LGX451" s="268"/>
      <c r="LGY451" s="268"/>
      <c r="LGZ451" s="268"/>
      <c r="LHA451" s="268"/>
      <c r="LHB451" s="268"/>
      <c r="LHC451" s="268"/>
      <c r="LHD451" s="268"/>
      <c r="LHE451" s="268"/>
      <c r="LHF451" s="268"/>
      <c r="LHG451" s="268"/>
      <c r="LHH451" s="268"/>
      <c r="LHI451" s="268"/>
      <c r="LHJ451" s="268"/>
      <c r="LHK451" s="268"/>
      <c r="LHL451" s="268"/>
      <c r="LHM451" s="268"/>
      <c r="LHN451" s="268"/>
      <c r="LHO451" s="268"/>
      <c r="LHP451" s="268"/>
      <c r="LHQ451" s="268"/>
      <c r="LHR451" s="268"/>
      <c r="LHS451" s="268"/>
      <c r="LHT451" s="268"/>
      <c r="LHU451" s="268"/>
      <c r="LHV451" s="268"/>
      <c r="LHW451" s="268"/>
      <c r="LHX451" s="268"/>
      <c r="LHY451" s="268"/>
      <c r="LHZ451" s="268"/>
      <c r="LIA451" s="268"/>
      <c r="LIB451" s="268"/>
      <c r="LIC451" s="268"/>
      <c r="LID451" s="268"/>
      <c r="LIE451" s="268"/>
      <c r="LIF451" s="268"/>
      <c r="LIG451" s="268"/>
      <c r="LIH451" s="268"/>
      <c r="LII451" s="268"/>
      <c r="LIJ451" s="268"/>
      <c r="LIK451" s="268"/>
      <c r="LIL451" s="268"/>
      <c r="LIM451" s="268"/>
      <c r="LIN451" s="268"/>
      <c r="LIO451" s="268"/>
      <c r="LIP451" s="268"/>
      <c r="LIQ451" s="268"/>
      <c r="LIR451" s="268"/>
      <c r="LIS451" s="268"/>
      <c r="LIT451" s="268"/>
      <c r="LIU451" s="268"/>
      <c r="LIV451" s="268"/>
      <c r="LIW451" s="268"/>
      <c r="LIX451" s="268"/>
      <c r="LIY451" s="268"/>
      <c r="LIZ451" s="268"/>
      <c r="LJA451" s="268"/>
      <c r="LJB451" s="268"/>
      <c r="LJC451" s="268"/>
      <c r="LJD451" s="268"/>
      <c r="LJE451" s="268"/>
      <c r="LJF451" s="268"/>
      <c r="LJG451" s="268"/>
      <c r="LJH451" s="268"/>
      <c r="LJI451" s="268"/>
      <c r="LJJ451" s="268"/>
      <c r="LJK451" s="268"/>
      <c r="LJL451" s="268"/>
      <c r="LJM451" s="268"/>
      <c r="LJN451" s="268"/>
      <c r="LJO451" s="268"/>
      <c r="LJP451" s="268"/>
      <c r="LJQ451" s="268"/>
      <c r="LJR451" s="268"/>
      <c r="LJS451" s="268"/>
      <c r="LJT451" s="268"/>
      <c r="LJU451" s="268"/>
      <c r="LJV451" s="268"/>
      <c r="LJW451" s="268"/>
      <c r="LJX451" s="268"/>
      <c r="LJY451" s="268"/>
      <c r="LJZ451" s="268"/>
      <c r="LKA451" s="268"/>
      <c r="LKB451" s="268"/>
      <c r="LKC451" s="268"/>
      <c r="LKD451" s="268"/>
      <c r="LKE451" s="268"/>
      <c r="LKF451" s="268"/>
      <c r="LKG451" s="268"/>
      <c r="LKH451" s="268"/>
      <c r="LKI451" s="268"/>
      <c r="LKJ451" s="268"/>
      <c r="LKK451" s="268"/>
      <c r="LKL451" s="268"/>
      <c r="LKM451" s="268"/>
      <c r="LKN451" s="268"/>
      <c r="LKO451" s="268"/>
      <c r="LKP451" s="268"/>
      <c r="LKQ451" s="268"/>
      <c r="LKR451" s="268"/>
      <c r="LKS451" s="268"/>
      <c r="LKT451" s="268"/>
      <c r="LKU451" s="268"/>
      <c r="LKV451" s="268"/>
      <c r="LKW451" s="268"/>
      <c r="LKX451" s="268"/>
      <c r="LKY451" s="268"/>
      <c r="LKZ451" s="268"/>
      <c r="LLA451" s="268"/>
      <c r="LLB451" s="268"/>
      <c r="LLC451" s="268"/>
      <c r="LLD451" s="268"/>
      <c r="LLE451" s="268"/>
      <c r="LLF451" s="268"/>
      <c r="LLG451" s="268"/>
      <c r="LLH451" s="268"/>
      <c r="LLI451" s="268"/>
      <c r="LLJ451" s="268"/>
      <c r="LLK451" s="268"/>
      <c r="LLL451" s="268"/>
      <c r="LLM451" s="268"/>
      <c r="LLN451" s="268"/>
      <c r="LLO451" s="268"/>
      <c r="LMC451" s="268"/>
      <c r="LMD451" s="268"/>
      <c r="LME451" s="268"/>
      <c r="LMS451" s="268"/>
      <c r="LMU451" s="268"/>
      <c r="LMV451" s="268"/>
      <c r="LMW451" s="268"/>
      <c r="LMX451" s="268"/>
      <c r="LMY451" s="268"/>
      <c r="LMZ451" s="268"/>
      <c r="LNA451" s="268"/>
      <c r="LNB451" s="268"/>
      <c r="LNC451" s="268"/>
      <c r="LND451" s="268"/>
      <c r="LNE451" s="268"/>
      <c r="LNF451" s="268"/>
      <c r="LNG451" s="268"/>
      <c r="LNH451" s="268"/>
      <c r="LNI451" s="268"/>
      <c r="LNJ451" s="268"/>
      <c r="LNK451" s="268"/>
      <c r="LNL451" s="268"/>
      <c r="LNM451" s="268"/>
      <c r="LNN451" s="268"/>
      <c r="LNO451" s="268"/>
      <c r="LNP451" s="268"/>
      <c r="LNQ451" s="268"/>
      <c r="LNR451" s="268"/>
      <c r="LNS451" s="268"/>
      <c r="LNT451" s="268"/>
      <c r="LNU451" s="268"/>
      <c r="LNV451" s="268"/>
      <c r="LNW451" s="268"/>
      <c r="LNX451" s="268"/>
      <c r="LNY451" s="268"/>
      <c r="LNZ451" s="268"/>
      <c r="LOA451" s="268"/>
      <c r="LOB451" s="268"/>
      <c r="LOC451" s="268"/>
      <c r="LOD451" s="268"/>
      <c r="LOE451" s="268"/>
      <c r="LOF451" s="268"/>
      <c r="LOG451" s="268"/>
      <c r="LOH451" s="268"/>
      <c r="LOI451" s="268"/>
      <c r="LOJ451" s="268"/>
      <c r="LOK451" s="268"/>
      <c r="LOL451" s="268"/>
      <c r="LOM451" s="268"/>
      <c r="LON451" s="268"/>
      <c r="LOO451" s="268"/>
      <c r="LOP451" s="268"/>
      <c r="LOQ451" s="268"/>
      <c r="LOR451" s="268"/>
      <c r="LOS451" s="268"/>
      <c r="LOT451" s="268"/>
      <c r="LOU451" s="268"/>
      <c r="LOV451" s="268"/>
      <c r="LOW451" s="268"/>
      <c r="LOX451" s="268"/>
      <c r="LOY451" s="268"/>
      <c r="LOZ451" s="268"/>
      <c r="LPA451" s="268"/>
      <c r="LPB451" s="268"/>
      <c r="LPC451" s="268"/>
      <c r="LPD451" s="268"/>
      <c r="LPE451" s="268"/>
      <c r="LPF451" s="268"/>
      <c r="LPG451" s="268"/>
      <c r="LPH451" s="268"/>
      <c r="LPI451" s="268"/>
      <c r="LPJ451" s="268"/>
      <c r="LPK451" s="268"/>
      <c r="LPL451" s="268"/>
      <c r="LPM451" s="268"/>
      <c r="LPN451" s="268"/>
      <c r="LPO451" s="268"/>
      <c r="LPP451" s="268"/>
      <c r="LPQ451" s="268"/>
      <c r="LPR451" s="268"/>
      <c r="LPS451" s="268"/>
      <c r="LPT451" s="268"/>
      <c r="LPU451" s="268"/>
      <c r="LPV451" s="268"/>
      <c r="LPW451" s="268"/>
      <c r="LPX451" s="268"/>
      <c r="LPY451" s="268"/>
      <c r="LPZ451" s="268"/>
      <c r="LQA451" s="268"/>
      <c r="LQB451" s="268"/>
      <c r="LQC451" s="268"/>
      <c r="LQD451" s="268"/>
      <c r="LQE451" s="268"/>
      <c r="LQF451" s="268"/>
      <c r="LQG451" s="268"/>
      <c r="LQH451" s="268"/>
      <c r="LQI451" s="268"/>
      <c r="LQJ451" s="268"/>
      <c r="LQK451" s="268"/>
      <c r="LQL451" s="268"/>
      <c r="LQM451" s="268"/>
      <c r="LQN451" s="268"/>
      <c r="LQO451" s="268"/>
      <c r="LQP451" s="268"/>
      <c r="LQQ451" s="268"/>
      <c r="LQR451" s="268"/>
      <c r="LQS451" s="268"/>
      <c r="LQT451" s="268"/>
      <c r="LQU451" s="268"/>
      <c r="LQV451" s="268"/>
      <c r="LQW451" s="268"/>
      <c r="LQX451" s="268"/>
      <c r="LQY451" s="268"/>
      <c r="LQZ451" s="268"/>
      <c r="LRA451" s="268"/>
      <c r="LRB451" s="268"/>
      <c r="LRC451" s="268"/>
      <c r="LRD451" s="268"/>
      <c r="LRE451" s="268"/>
      <c r="LRF451" s="268"/>
      <c r="LRG451" s="268"/>
      <c r="LRH451" s="268"/>
      <c r="LRI451" s="268"/>
      <c r="LRJ451" s="268"/>
      <c r="LRK451" s="268"/>
      <c r="LRL451" s="268"/>
      <c r="LRM451" s="268"/>
      <c r="LRN451" s="268"/>
      <c r="LRO451" s="268"/>
      <c r="LRP451" s="268"/>
      <c r="LRQ451" s="268"/>
      <c r="LRR451" s="268"/>
      <c r="LRS451" s="268"/>
      <c r="LRT451" s="268"/>
      <c r="LRU451" s="268"/>
      <c r="LRV451" s="268"/>
      <c r="LRW451" s="268"/>
      <c r="LRX451" s="268"/>
      <c r="LRY451" s="268"/>
      <c r="LRZ451" s="268"/>
      <c r="LSA451" s="268"/>
      <c r="LSB451" s="268"/>
      <c r="LSC451" s="268"/>
      <c r="LSD451" s="268"/>
      <c r="LSE451" s="268"/>
      <c r="LSF451" s="268"/>
      <c r="LSG451" s="268"/>
      <c r="LSH451" s="268"/>
      <c r="LSI451" s="268"/>
      <c r="LSJ451" s="268"/>
      <c r="LSK451" s="268"/>
      <c r="LSL451" s="268"/>
      <c r="LSM451" s="268"/>
      <c r="LSN451" s="268"/>
      <c r="LSO451" s="268"/>
      <c r="LSP451" s="268"/>
      <c r="LSQ451" s="268"/>
      <c r="LSR451" s="268"/>
      <c r="LSS451" s="268"/>
      <c r="LST451" s="268"/>
      <c r="LSU451" s="268"/>
      <c r="LSV451" s="268"/>
      <c r="LSW451" s="268"/>
      <c r="LSX451" s="268"/>
      <c r="LSY451" s="268"/>
      <c r="LSZ451" s="268"/>
      <c r="LTA451" s="268"/>
      <c r="LTB451" s="268"/>
      <c r="LTC451" s="268"/>
      <c r="LTD451" s="268"/>
      <c r="LTE451" s="268"/>
      <c r="LTF451" s="268"/>
      <c r="LTG451" s="268"/>
      <c r="LTH451" s="268"/>
      <c r="LTI451" s="268"/>
      <c r="LTJ451" s="268"/>
      <c r="LTK451" s="268"/>
      <c r="LTL451" s="268"/>
      <c r="LTM451" s="268"/>
      <c r="LTN451" s="268"/>
      <c r="LTO451" s="268"/>
      <c r="LTP451" s="268"/>
      <c r="LTQ451" s="268"/>
      <c r="LTR451" s="268"/>
      <c r="LTS451" s="268"/>
      <c r="LTT451" s="268"/>
      <c r="LTU451" s="268"/>
      <c r="LTV451" s="268"/>
      <c r="LTW451" s="268"/>
      <c r="LTX451" s="268"/>
      <c r="LTY451" s="268"/>
      <c r="LTZ451" s="268"/>
      <c r="LUA451" s="268"/>
      <c r="LUB451" s="268"/>
      <c r="LUC451" s="268"/>
      <c r="LUD451" s="268"/>
      <c r="LUE451" s="268"/>
      <c r="LUF451" s="268"/>
      <c r="LUG451" s="268"/>
      <c r="LUH451" s="268"/>
      <c r="LUI451" s="268"/>
      <c r="LUJ451" s="268"/>
      <c r="LUK451" s="268"/>
      <c r="LUL451" s="268"/>
      <c r="LUM451" s="268"/>
      <c r="LUN451" s="268"/>
      <c r="LUO451" s="268"/>
      <c r="LUP451" s="268"/>
      <c r="LUQ451" s="268"/>
      <c r="LUR451" s="268"/>
      <c r="LUS451" s="268"/>
      <c r="LUT451" s="268"/>
      <c r="LUU451" s="268"/>
      <c r="LUV451" s="268"/>
      <c r="LUW451" s="268"/>
      <c r="LUX451" s="268"/>
      <c r="LUY451" s="268"/>
      <c r="LUZ451" s="268"/>
      <c r="LVA451" s="268"/>
      <c r="LVB451" s="268"/>
      <c r="LVC451" s="268"/>
      <c r="LVD451" s="268"/>
      <c r="LVE451" s="268"/>
      <c r="LVF451" s="268"/>
      <c r="LVG451" s="268"/>
      <c r="LVH451" s="268"/>
      <c r="LVI451" s="268"/>
      <c r="LVJ451" s="268"/>
      <c r="LVK451" s="268"/>
      <c r="LVY451" s="268"/>
      <c r="LVZ451" s="268"/>
      <c r="LWA451" s="268"/>
      <c r="LWO451" s="268"/>
      <c r="LWQ451" s="268"/>
      <c r="LWR451" s="268"/>
      <c r="LWS451" s="268"/>
      <c r="LWT451" s="268"/>
      <c r="LWU451" s="268"/>
      <c r="LWV451" s="268"/>
      <c r="LWW451" s="268"/>
      <c r="LWX451" s="268"/>
      <c r="LWY451" s="268"/>
      <c r="LWZ451" s="268"/>
      <c r="LXA451" s="268"/>
      <c r="LXB451" s="268"/>
      <c r="LXC451" s="268"/>
      <c r="LXD451" s="268"/>
      <c r="LXE451" s="268"/>
      <c r="LXF451" s="268"/>
      <c r="LXG451" s="268"/>
      <c r="LXH451" s="268"/>
      <c r="LXI451" s="268"/>
      <c r="LXJ451" s="268"/>
      <c r="LXK451" s="268"/>
      <c r="LXL451" s="268"/>
      <c r="LXM451" s="268"/>
      <c r="LXN451" s="268"/>
      <c r="LXO451" s="268"/>
      <c r="LXP451" s="268"/>
      <c r="LXQ451" s="268"/>
      <c r="LXR451" s="268"/>
      <c r="LXS451" s="268"/>
      <c r="LXT451" s="268"/>
      <c r="LXU451" s="268"/>
      <c r="LXV451" s="268"/>
      <c r="LXW451" s="268"/>
      <c r="LXX451" s="268"/>
      <c r="LXY451" s="268"/>
      <c r="LXZ451" s="268"/>
      <c r="LYA451" s="268"/>
      <c r="LYB451" s="268"/>
      <c r="LYC451" s="268"/>
      <c r="LYD451" s="268"/>
      <c r="LYE451" s="268"/>
      <c r="LYF451" s="268"/>
      <c r="LYG451" s="268"/>
      <c r="LYH451" s="268"/>
      <c r="LYI451" s="268"/>
      <c r="LYJ451" s="268"/>
      <c r="LYK451" s="268"/>
      <c r="LYL451" s="268"/>
      <c r="LYM451" s="268"/>
      <c r="LYN451" s="268"/>
      <c r="LYO451" s="268"/>
      <c r="LYP451" s="268"/>
      <c r="LYQ451" s="268"/>
      <c r="LYR451" s="268"/>
      <c r="LYS451" s="268"/>
      <c r="LYT451" s="268"/>
      <c r="LYU451" s="268"/>
      <c r="LYV451" s="268"/>
      <c r="LYW451" s="268"/>
      <c r="LYX451" s="268"/>
      <c r="LYY451" s="268"/>
      <c r="LYZ451" s="268"/>
      <c r="LZA451" s="268"/>
      <c r="LZB451" s="268"/>
      <c r="LZC451" s="268"/>
      <c r="LZD451" s="268"/>
      <c r="LZE451" s="268"/>
      <c r="LZF451" s="268"/>
      <c r="LZG451" s="268"/>
      <c r="LZH451" s="268"/>
      <c r="LZI451" s="268"/>
      <c r="LZJ451" s="268"/>
      <c r="LZK451" s="268"/>
      <c r="LZL451" s="268"/>
      <c r="LZM451" s="268"/>
      <c r="LZN451" s="268"/>
      <c r="LZO451" s="268"/>
      <c r="LZP451" s="268"/>
      <c r="LZQ451" s="268"/>
      <c r="LZR451" s="268"/>
      <c r="LZS451" s="268"/>
      <c r="LZT451" s="268"/>
      <c r="LZU451" s="268"/>
      <c r="LZV451" s="268"/>
      <c r="LZW451" s="268"/>
      <c r="LZX451" s="268"/>
      <c r="LZY451" s="268"/>
      <c r="LZZ451" s="268"/>
      <c r="MAA451" s="268"/>
      <c r="MAB451" s="268"/>
      <c r="MAC451" s="268"/>
      <c r="MAD451" s="268"/>
      <c r="MAE451" s="268"/>
      <c r="MAF451" s="268"/>
      <c r="MAG451" s="268"/>
      <c r="MAH451" s="268"/>
      <c r="MAI451" s="268"/>
      <c r="MAJ451" s="268"/>
      <c r="MAK451" s="268"/>
      <c r="MAL451" s="268"/>
      <c r="MAM451" s="268"/>
      <c r="MAN451" s="268"/>
      <c r="MAO451" s="268"/>
      <c r="MAP451" s="268"/>
      <c r="MAQ451" s="268"/>
      <c r="MAR451" s="268"/>
      <c r="MAS451" s="268"/>
      <c r="MAT451" s="268"/>
      <c r="MAU451" s="268"/>
      <c r="MAV451" s="268"/>
      <c r="MAW451" s="268"/>
      <c r="MAX451" s="268"/>
      <c r="MAY451" s="268"/>
      <c r="MAZ451" s="268"/>
      <c r="MBA451" s="268"/>
      <c r="MBB451" s="268"/>
      <c r="MBC451" s="268"/>
      <c r="MBD451" s="268"/>
      <c r="MBE451" s="268"/>
      <c r="MBF451" s="268"/>
      <c r="MBG451" s="268"/>
      <c r="MBH451" s="268"/>
      <c r="MBI451" s="268"/>
      <c r="MBJ451" s="268"/>
      <c r="MBK451" s="268"/>
      <c r="MBL451" s="268"/>
      <c r="MBM451" s="268"/>
      <c r="MBN451" s="268"/>
      <c r="MBO451" s="268"/>
      <c r="MBP451" s="268"/>
      <c r="MBQ451" s="268"/>
      <c r="MBR451" s="268"/>
      <c r="MBS451" s="268"/>
      <c r="MBT451" s="268"/>
      <c r="MBU451" s="268"/>
      <c r="MBV451" s="268"/>
      <c r="MBW451" s="268"/>
      <c r="MBX451" s="268"/>
      <c r="MBY451" s="268"/>
      <c r="MBZ451" s="268"/>
      <c r="MCA451" s="268"/>
      <c r="MCB451" s="268"/>
      <c r="MCC451" s="268"/>
      <c r="MCD451" s="268"/>
      <c r="MCE451" s="268"/>
      <c r="MCF451" s="268"/>
      <c r="MCG451" s="268"/>
      <c r="MCH451" s="268"/>
      <c r="MCI451" s="268"/>
      <c r="MCJ451" s="268"/>
      <c r="MCK451" s="268"/>
      <c r="MCL451" s="268"/>
      <c r="MCM451" s="268"/>
      <c r="MCN451" s="268"/>
      <c r="MCO451" s="268"/>
      <c r="MCP451" s="268"/>
      <c r="MCQ451" s="268"/>
      <c r="MCR451" s="268"/>
      <c r="MCS451" s="268"/>
      <c r="MCT451" s="268"/>
      <c r="MCU451" s="268"/>
      <c r="MCV451" s="268"/>
      <c r="MCW451" s="268"/>
      <c r="MCX451" s="268"/>
      <c r="MCY451" s="268"/>
      <c r="MCZ451" s="268"/>
      <c r="MDA451" s="268"/>
      <c r="MDB451" s="268"/>
      <c r="MDC451" s="268"/>
      <c r="MDD451" s="268"/>
      <c r="MDE451" s="268"/>
      <c r="MDF451" s="268"/>
      <c r="MDG451" s="268"/>
      <c r="MDH451" s="268"/>
      <c r="MDI451" s="268"/>
      <c r="MDJ451" s="268"/>
      <c r="MDK451" s="268"/>
      <c r="MDL451" s="268"/>
      <c r="MDM451" s="268"/>
      <c r="MDN451" s="268"/>
      <c r="MDO451" s="268"/>
      <c r="MDP451" s="268"/>
      <c r="MDQ451" s="268"/>
      <c r="MDR451" s="268"/>
      <c r="MDS451" s="268"/>
      <c r="MDT451" s="268"/>
      <c r="MDU451" s="268"/>
      <c r="MDV451" s="268"/>
      <c r="MDW451" s="268"/>
      <c r="MDX451" s="268"/>
      <c r="MDY451" s="268"/>
      <c r="MDZ451" s="268"/>
      <c r="MEA451" s="268"/>
      <c r="MEB451" s="268"/>
      <c r="MEC451" s="268"/>
      <c r="MED451" s="268"/>
      <c r="MEE451" s="268"/>
      <c r="MEF451" s="268"/>
      <c r="MEG451" s="268"/>
      <c r="MEH451" s="268"/>
      <c r="MEI451" s="268"/>
      <c r="MEJ451" s="268"/>
      <c r="MEK451" s="268"/>
      <c r="MEL451" s="268"/>
      <c r="MEM451" s="268"/>
      <c r="MEN451" s="268"/>
      <c r="MEO451" s="268"/>
      <c r="MEP451" s="268"/>
      <c r="MEQ451" s="268"/>
      <c r="MER451" s="268"/>
      <c r="MES451" s="268"/>
      <c r="MET451" s="268"/>
      <c r="MEU451" s="268"/>
      <c r="MEV451" s="268"/>
      <c r="MEW451" s="268"/>
      <c r="MEX451" s="268"/>
      <c r="MEY451" s="268"/>
      <c r="MEZ451" s="268"/>
      <c r="MFA451" s="268"/>
      <c r="MFB451" s="268"/>
      <c r="MFC451" s="268"/>
      <c r="MFD451" s="268"/>
      <c r="MFE451" s="268"/>
      <c r="MFF451" s="268"/>
      <c r="MFG451" s="268"/>
      <c r="MFU451" s="268"/>
      <c r="MFV451" s="268"/>
      <c r="MFW451" s="268"/>
      <c r="MGK451" s="268"/>
      <c r="MGM451" s="268"/>
      <c r="MGN451" s="268"/>
      <c r="MGO451" s="268"/>
      <c r="MGP451" s="268"/>
      <c r="MGQ451" s="268"/>
      <c r="MGR451" s="268"/>
      <c r="MGS451" s="268"/>
      <c r="MGT451" s="268"/>
      <c r="MGU451" s="268"/>
      <c r="MGV451" s="268"/>
      <c r="MGW451" s="268"/>
      <c r="MGX451" s="268"/>
      <c r="MGY451" s="268"/>
      <c r="MGZ451" s="268"/>
      <c r="MHA451" s="268"/>
      <c r="MHB451" s="268"/>
      <c r="MHC451" s="268"/>
      <c r="MHD451" s="268"/>
      <c r="MHE451" s="268"/>
      <c r="MHF451" s="268"/>
      <c r="MHG451" s="268"/>
      <c r="MHH451" s="268"/>
      <c r="MHI451" s="268"/>
      <c r="MHJ451" s="268"/>
      <c r="MHK451" s="268"/>
      <c r="MHL451" s="268"/>
      <c r="MHM451" s="268"/>
      <c r="MHN451" s="268"/>
      <c r="MHO451" s="268"/>
      <c r="MHP451" s="268"/>
      <c r="MHQ451" s="268"/>
      <c r="MHR451" s="268"/>
      <c r="MHS451" s="268"/>
      <c r="MHT451" s="268"/>
      <c r="MHU451" s="268"/>
      <c r="MHV451" s="268"/>
      <c r="MHW451" s="268"/>
      <c r="MHX451" s="268"/>
      <c r="MHY451" s="268"/>
      <c r="MHZ451" s="268"/>
      <c r="MIA451" s="268"/>
      <c r="MIB451" s="268"/>
      <c r="MIC451" s="268"/>
      <c r="MID451" s="268"/>
      <c r="MIE451" s="268"/>
      <c r="MIF451" s="268"/>
      <c r="MIG451" s="268"/>
      <c r="MIH451" s="268"/>
      <c r="MII451" s="268"/>
      <c r="MIJ451" s="268"/>
      <c r="MIK451" s="268"/>
      <c r="MIL451" s="268"/>
      <c r="MIM451" s="268"/>
      <c r="MIN451" s="268"/>
      <c r="MIO451" s="268"/>
      <c r="MIP451" s="268"/>
      <c r="MIQ451" s="268"/>
      <c r="MIR451" s="268"/>
      <c r="MIS451" s="268"/>
      <c r="MIT451" s="268"/>
      <c r="MIU451" s="268"/>
      <c r="MIV451" s="268"/>
      <c r="MIW451" s="268"/>
      <c r="MIX451" s="268"/>
      <c r="MIY451" s="268"/>
      <c r="MIZ451" s="268"/>
      <c r="MJA451" s="268"/>
      <c r="MJB451" s="268"/>
      <c r="MJC451" s="268"/>
      <c r="MJD451" s="268"/>
      <c r="MJE451" s="268"/>
      <c r="MJF451" s="268"/>
      <c r="MJG451" s="268"/>
      <c r="MJH451" s="268"/>
      <c r="MJI451" s="268"/>
      <c r="MJJ451" s="268"/>
      <c r="MJK451" s="268"/>
      <c r="MJL451" s="268"/>
      <c r="MJM451" s="268"/>
      <c r="MJN451" s="268"/>
      <c r="MJO451" s="268"/>
      <c r="MJP451" s="268"/>
      <c r="MJQ451" s="268"/>
      <c r="MJR451" s="268"/>
      <c r="MJS451" s="268"/>
      <c r="MJT451" s="268"/>
      <c r="MJU451" s="268"/>
      <c r="MJV451" s="268"/>
      <c r="MJW451" s="268"/>
      <c r="MJX451" s="268"/>
      <c r="MJY451" s="268"/>
      <c r="MJZ451" s="268"/>
      <c r="MKA451" s="268"/>
      <c r="MKB451" s="268"/>
      <c r="MKC451" s="268"/>
      <c r="MKD451" s="268"/>
      <c r="MKE451" s="268"/>
      <c r="MKF451" s="268"/>
      <c r="MKG451" s="268"/>
      <c r="MKH451" s="268"/>
      <c r="MKI451" s="268"/>
      <c r="MKJ451" s="268"/>
      <c r="MKK451" s="268"/>
      <c r="MKL451" s="268"/>
      <c r="MKM451" s="268"/>
      <c r="MKN451" s="268"/>
      <c r="MKO451" s="268"/>
      <c r="MKP451" s="268"/>
      <c r="MKQ451" s="268"/>
      <c r="MKR451" s="268"/>
      <c r="MKS451" s="268"/>
      <c r="MKT451" s="268"/>
      <c r="MKU451" s="268"/>
      <c r="MKV451" s="268"/>
      <c r="MKW451" s="268"/>
      <c r="MKX451" s="268"/>
      <c r="MKY451" s="268"/>
      <c r="MKZ451" s="268"/>
      <c r="MLA451" s="268"/>
      <c r="MLB451" s="268"/>
      <c r="MLC451" s="268"/>
      <c r="MLD451" s="268"/>
      <c r="MLE451" s="268"/>
      <c r="MLF451" s="268"/>
      <c r="MLG451" s="268"/>
      <c r="MLH451" s="268"/>
      <c r="MLI451" s="268"/>
      <c r="MLJ451" s="268"/>
      <c r="MLK451" s="268"/>
      <c r="MLL451" s="268"/>
      <c r="MLM451" s="268"/>
      <c r="MLN451" s="268"/>
      <c r="MLO451" s="268"/>
      <c r="MLP451" s="268"/>
      <c r="MLQ451" s="268"/>
      <c r="MLR451" s="268"/>
      <c r="MLS451" s="268"/>
      <c r="MLT451" s="268"/>
      <c r="MLU451" s="268"/>
      <c r="MLV451" s="268"/>
      <c r="MLW451" s="268"/>
      <c r="MLX451" s="268"/>
      <c r="MLY451" s="268"/>
      <c r="MLZ451" s="268"/>
      <c r="MMA451" s="268"/>
      <c r="MMB451" s="268"/>
      <c r="MMC451" s="268"/>
      <c r="MMD451" s="268"/>
      <c r="MME451" s="268"/>
      <c r="MMF451" s="268"/>
      <c r="MMG451" s="268"/>
      <c r="MMH451" s="268"/>
      <c r="MMI451" s="268"/>
      <c r="MMJ451" s="268"/>
      <c r="MMK451" s="268"/>
      <c r="MML451" s="268"/>
      <c r="MMM451" s="268"/>
      <c r="MMN451" s="268"/>
      <c r="MMO451" s="268"/>
      <c r="MMP451" s="268"/>
      <c r="MMQ451" s="268"/>
      <c r="MMR451" s="268"/>
      <c r="MMS451" s="268"/>
      <c r="MMT451" s="268"/>
      <c r="MMU451" s="268"/>
      <c r="MMV451" s="268"/>
      <c r="MMW451" s="268"/>
      <c r="MMX451" s="268"/>
      <c r="MMY451" s="268"/>
      <c r="MMZ451" s="268"/>
      <c r="MNA451" s="268"/>
      <c r="MNB451" s="268"/>
      <c r="MNC451" s="268"/>
      <c r="MND451" s="268"/>
      <c r="MNE451" s="268"/>
      <c r="MNF451" s="268"/>
      <c r="MNG451" s="268"/>
      <c r="MNH451" s="268"/>
      <c r="MNI451" s="268"/>
      <c r="MNJ451" s="268"/>
      <c r="MNK451" s="268"/>
      <c r="MNL451" s="268"/>
      <c r="MNM451" s="268"/>
      <c r="MNN451" s="268"/>
      <c r="MNO451" s="268"/>
      <c r="MNP451" s="268"/>
      <c r="MNQ451" s="268"/>
      <c r="MNR451" s="268"/>
      <c r="MNS451" s="268"/>
      <c r="MNT451" s="268"/>
      <c r="MNU451" s="268"/>
      <c r="MNV451" s="268"/>
      <c r="MNW451" s="268"/>
      <c r="MNX451" s="268"/>
      <c r="MNY451" s="268"/>
      <c r="MNZ451" s="268"/>
      <c r="MOA451" s="268"/>
      <c r="MOB451" s="268"/>
      <c r="MOC451" s="268"/>
      <c r="MOD451" s="268"/>
      <c r="MOE451" s="268"/>
      <c r="MOF451" s="268"/>
      <c r="MOG451" s="268"/>
      <c r="MOH451" s="268"/>
      <c r="MOI451" s="268"/>
      <c r="MOJ451" s="268"/>
      <c r="MOK451" s="268"/>
      <c r="MOL451" s="268"/>
      <c r="MOM451" s="268"/>
      <c r="MON451" s="268"/>
      <c r="MOO451" s="268"/>
      <c r="MOP451" s="268"/>
      <c r="MOQ451" s="268"/>
      <c r="MOR451" s="268"/>
      <c r="MOS451" s="268"/>
      <c r="MOT451" s="268"/>
      <c r="MOU451" s="268"/>
      <c r="MOV451" s="268"/>
      <c r="MOW451" s="268"/>
      <c r="MOX451" s="268"/>
      <c r="MOY451" s="268"/>
      <c r="MOZ451" s="268"/>
      <c r="MPA451" s="268"/>
      <c r="MPB451" s="268"/>
      <c r="MPC451" s="268"/>
      <c r="MPQ451" s="268"/>
      <c r="MPR451" s="268"/>
      <c r="MPS451" s="268"/>
      <c r="MQG451" s="268"/>
      <c r="MQI451" s="268"/>
      <c r="MQJ451" s="268"/>
      <c r="MQK451" s="268"/>
      <c r="MQL451" s="268"/>
      <c r="MQM451" s="268"/>
      <c r="MQN451" s="268"/>
      <c r="MQO451" s="268"/>
      <c r="MQP451" s="268"/>
      <c r="MQQ451" s="268"/>
      <c r="MQR451" s="268"/>
      <c r="MQS451" s="268"/>
      <c r="MQT451" s="268"/>
      <c r="MQU451" s="268"/>
      <c r="MQV451" s="268"/>
      <c r="MQW451" s="268"/>
      <c r="MQX451" s="268"/>
      <c r="MQY451" s="268"/>
      <c r="MQZ451" s="268"/>
      <c r="MRA451" s="268"/>
      <c r="MRB451" s="268"/>
      <c r="MRC451" s="268"/>
      <c r="MRD451" s="268"/>
      <c r="MRE451" s="268"/>
      <c r="MRF451" s="268"/>
      <c r="MRG451" s="268"/>
      <c r="MRH451" s="268"/>
      <c r="MRI451" s="268"/>
      <c r="MRJ451" s="268"/>
      <c r="MRK451" s="268"/>
      <c r="MRL451" s="268"/>
      <c r="MRM451" s="268"/>
      <c r="MRN451" s="268"/>
      <c r="MRO451" s="268"/>
      <c r="MRP451" s="268"/>
      <c r="MRQ451" s="268"/>
      <c r="MRR451" s="268"/>
      <c r="MRS451" s="268"/>
      <c r="MRT451" s="268"/>
      <c r="MRU451" s="268"/>
      <c r="MRV451" s="268"/>
      <c r="MRW451" s="268"/>
      <c r="MRX451" s="268"/>
      <c r="MRY451" s="268"/>
      <c r="MRZ451" s="268"/>
      <c r="MSA451" s="268"/>
      <c r="MSB451" s="268"/>
      <c r="MSC451" s="268"/>
      <c r="MSD451" s="268"/>
      <c r="MSE451" s="268"/>
      <c r="MSF451" s="268"/>
      <c r="MSG451" s="268"/>
      <c r="MSH451" s="268"/>
      <c r="MSI451" s="268"/>
      <c r="MSJ451" s="268"/>
      <c r="MSK451" s="268"/>
      <c r="MSL451" s="268"/>
      <c r="MSM451" s="268"/>
      <c r="MSN451" s="268"/>
      <c r="MSO451" s="268"/>
      <c r="MSP451" s="268"/>
      <c r="MSQ451" s="268"/>
      <c r="MSR451" s="268"/>
      <c r="MSS451" s="268"/>
      <c r="MST451" s="268"/>
      <c r="MSU451" s="268"/>
      <c r="MSV451" s="268"/>
      <c r="MSW451" s="268"/>
      <c r="MSX451" s="268"/>
      <c r="MSY451" s="268"/>
      <c r="MSZ451" s="268"/>
      <c r="MTA451" s="268"/>
      <c r="MTB451" s="268"/>
      <c r="MTC451" s="268"/>
      <c r="MTD451" s="268"/>
      <c r="MTE451" s="268"/>
      <c r="MTF451" s="268"/>
      <c r="MTG451" s="268"/>
      <c r="MTH451" s="268"/>
      <c r="MTI451" s="268"/>
      <c r="MTJ451" s="268"/>
      <c r="MTK451" s="268"/>
      <c r="MTL451" s="268"/>
      <c r="MTM451" s="268"/>
      <c r="MTN451" s="268"/>
      <c r="MTO451" s="268"/>
      <c r="MTP451" s="268"/>
      <c r="MTQ451" s="268"/>
      <c r="MTR451" s="268"/>
      <c r="MTS451" s="268"/>
      <c r="MTT451" s="268"/>
      <c r="MTU451" s="268"/>
      <c r="MTV451" s="268"/>
      <c r="MTW451" s="268"/>
      <c r="MTX451" s="268"/>
      <c r="MTY451" s="268"/>
      <c r="MTZ451" s="268"/>
      <c r="MUA451" s="268"/>
      <c r="MUB451" s="268"/>
      <c r="MUC451" s="268"/>
      <c r="MUD451" s="268"/>
      <c r="MUE451" s="268"/>
      <c r="MUF451" s="268"/>
      <c r="MUG451" s="268"/>
      <c r="MUH451" s="268"/>
      <c r="MUI451" s="268"/>
      <c r="MUJ451" s="268"/>
      <c r="MUK451" s="268"/>
      <c r="MUL451" s="268"/>
      <c r="MUM451" s="268"/>
      <c r="MUN451" s="268"/>
      <c r="MUO451" s="268"/>
      <c r="MUP451" s="268"/>
      <c r="MUQ451" s="268"/>
      <c r="MUR451" s="268"/>
      <c r="MUS451" s="268"/>
      <c r="MUT451" s="268"/>
      <c r="MUU451" s="268"/>
      <c r="MUV451" s="268"/>
      <c r="MUW451" s="268"/>
      <c r="MUX451" s="268"/>
      <c r="MUY451" s="268"/>
      <c r="MUZ451" s="268"/>
      <c r="MVA451" s="268"/>
      <c r="MVB451" s="268"/>
      <c r="MVC451" s="268"/>
      <c r="MVD451" s="268"/>
      <c r="MVE451" s="268"/>
      <c r="MVF451" s="268"/>
      <c r="MVG451" s="268"/>
      <c r="MVH451" s="268"/>
      <c r="MVI451" s="268"/>
      <c r="MVJ451" s="268"/>
      <c r="MVK451" s="268"/>
      <c r="MVL451" s="268"/>
      <c r="MVM451" s="268"/>
      <c r="MVN451" s="268"/>
      <c r="MVO451" s="268"/>
      <c r="MVP451" s="268"/>
      <c r="MVQ451" s="268"/>
      <c r="MVR451" s="268"/>
      <c r="MVS451" s="268"/>
      <c r="MVT451" s="268"/>
      <c r="MVU451" s="268"/>
      <c r="MVV451" s="268"/>
      <c r="MVW451" s="268"/>
      <c r="MVX451" s="268"/>
      <c r="MVY451" s="268"/>
      <c r="MVZ451" s="268"/>
      <c r="MWA451" s="268"/>
      <c r="MWB451" s="268"/>
      <c r="MWC451" s="268"/>
      <c r="MWD451" s="268"/>
      <c r="MWE451" s="268"/>
      <c r="MWF451" s="268"/>
      <c r="MWG451" s="268"/>
      <c r="MWH451" s="268"/>
      <c r="MWI451" s="268"/>
      <c r="MWJ451" s="268"/>
      <c r="MWK451" s="268"/>
      <c r="MWL451" s="268"/>
      <c r="MWM451" s="268"/>
      <c r="MWN451" s="268"/>
      <c r="MWO451" s="268"/>
      <c r="MWP451" s="268"/>
      <c r="MWQ451" s="268"/>
      <c r="MWR451" s="268"/>
      <c r="MWS451" s="268"/>
      <c r="MWT451" s="268"/>
      <c r="MWU451" s="268"/>
      <c r="MWV451" s="268"/>
      <c r="MWW451" s="268"/>
      <c r="MWX451" s="268"/>
      <c r="MWY451" s="268"/>
      <c r="MWZ451" s="268"/>
      <c r="MXA451" s="268"/>
      <c r="MXB451" s="268"/>
      <c r="MXC451" s="268"/>
      <c r="MXD451" s="268"/>
      <c r="MXE451" s="268"/>
      <c r="MXF451" s="268"/>
      <c r="MXG451" s="268"/>
      <c r="MXH451" s="268"/>
      <c r="MXI451" s="268"/>
      <c r="MXJ451" s="268"/>
      <c r="MXK451" s="268"/>
      <c r="MXL451" s="268"/>
      <c r="MXM451" s="268"/>
      <c r="MXN451" s="268"/>
      <c r="MXO451" s="268"/>
      <c r="MXP451" s="268"/>
      <c r="MXQ451" s="268"/>
      <c r="MXR451" s="268"/>
      <c r="MXS451" s="268"/>
      <c r="MXT451" s="268"/>
      <c r="MXU451" s="268"/>
      <c r="MXV451" s="268"/>
      <c r="MXW451" s="268"/>
      <c r="MXX451" s="268"/>
      <c r="MXY451" s="268"/>
      <c r="MXZ451" s="268"/>
      <c r="MYA451" s="268"/>
      <c r="MYB451" s="268"/>
      <c r="MYC451" s="268"/>
      <c r="MYD451" s="268"/>
      <c r="MYE451" s="268"/>
      <c r="MYF451" s="268"/>
      <c r="MYG451" s="268"/>
      <c r="MYH451" s="268"/>
      <c r="MYI451" s="268"/>
      <c r="MYJ451" s="268"/>
      <c r="MYK451" s="268"/>
      <c r="MYL451" s="268"/>
      <c r="MYM451" s="268"/>
      <c r="MYN451" s="268"/>
      <c r="MYO451" s="268"/>
      <c r="MYP451" s="268"/>
      <c r="MYQ451" s="268"/>
      <c r="MYR451" s="268"/>
      <c r="MYS451" s="268"/>
      <c r="MYT451" s="268"/>
      <c r="MYU451" s="268"/>
      <c r="MYV451" s="268"/>
      <c r="MYW451" s="268"/>
      <c r="MYX451" s="268"/>
      <c r="MYY451" s="268"/>
      <c r="MZM451" s="268"/>
      <c r="MZN451" s="268"/>
      <c r="MZO451" s="268"/>
      <c r="NAC451" s="268"/>
      <c r="NAE451" s="268"/>
      <c r="NAF451" s="268"/>
      <c r="NAG451" s="268"/>
      <c r="NAH451" s="268"/>
      <c r="NAI451" s="268"/>
      <c r="NAJ451" s="268"/>
      <c r="NAK451" s="268"/>
      <c r="NAL451" s="268"/>
      <c r="NAM451" s="268"/>
      <c r="NAN451" s="268"/>
      <c r="NAO451" s="268"/>
      <c r="NAP451" s="268"/>
      <c r="NAQ451" s="268"/>
      <c r="NAR451" s="268"/>
      <c r="NAS451" s="268"/>
      <c r="NAT451" s="268"/>
      <c r="NAU451" s="268"/>
      <c r="NAV451" s="268"/>
      <c r="NAW451" s="268"/>
      <c r="NAX451" s="268"/>
      <c r="NAY451" s="268"/>
      <c r="NAZ451" s="268"/>
      <c r="NBA451" s="268"/>
      <c r="NBB451" s="268"/>
      <c r="NBC451" s="268"/>
      <c r="NBD451" s="268"/>
      <c r="NBE451" s="268"/>
      <c r="NBF451" s="268"/>
      <c r="NBG451" s="268"/>
      <c r="NBH451" s="268"/>
      <c r="NBI451" s="268"/>
      <c r="NBJ451" s="268"/>
      <c r="NBK451" s="268"/>
      <c r="NBL451" s="268"/>
      <c r="NBM451" s="268"/>
      <c r="NBN451" s="268"/>
      <c r="NBO451" s="268"/>
      <c r="NBP451" s="268"/>
      <c r="NBQ451" s="268"/>
      <c r="NBR451" s="268"/>
      <c r="NBS451" s="268"/>
      <c r="NBT451" s="268"/>
      <c r="NBU451" s="268"/>
      <c r="NBV451" s="268"/>
      <c r="NBW451" s="268"/>
      <c r="NBX451" s="268"/>
      <c r="NBY451" s="268"/>
      <c r="NBZ451" s="268"/>
      <c r="NCA451" s="268"/>
      <c r="NCB451" s="268"/>
      <c r="NCC451" s="268"/>
      <c r="NCD451" s="268"/>
      <c r="NCE451" s="268"/>
      <c r="NCF451" s="268"/>
      <c r="NCG451" s="268"/>
      <c r="NCH451" s="268"/>
      <c r="NCI451" s="268"/>
      <c r="NCJ451" s="268"/>
      <c r="NCK451" s="268"/>
      <c r="NCL451" s="268"/>
      <c r="NCM451" s="268"/>
      <c r="NCN451" s="268"/>
      <c r="NCO451" s="268"/>
      <c r="NCP451" s="268"/>
      <c r="NCQ451" s="268"/>
      <c r="NCR451" s="268"/>
      <c r="NCS451" s="268"/>
      <c r="NCT451" s="268"/>
      <c r="NCU451" s="268"/>
      <c r="NCV451" s="268"/>
      <c r="NCW451" s="268"/>
      <c r="NCX451" s="268"/>
      <c r="NCY451" s="268"/>
      <c r="NCZ451" s="268"/>
      <c r="NDA451" s="268"/>
      <c r="NDB451" s="268"/>
      <c r="NDC451" s="268"/>
      <c r="NDD451" s="268"/>
      <c r="NDE451" s="268"/>
      <c r="NDF451" s="268"/>
      <c r="NDG451" s="268"/>
      <c r="NDH451" s="268"/>
      <c r="NDI451" s="268"/>
      <c r="NDJ451" s="268"/>
      <c r="NDK451" s="268"/>
      <c r="NDL451" s="268"/>
      <c r="NDM451" s="268"/>
      <c r="NDN451" s="268"/>
      <c r="NDO451" s="268"/>
      <c r="NDP451" s="268"/>
      <c r="NDQ451" s="268"/>
      <c r="NDR451" s="268"/>
      <c r="NDS451" s="268"/>
      <c r="NDT451" s="268"/>
      <c r="NDU451" s="268"/>
      <c r="NDV451" s="268"/>
      <c r="NDW451" s="268"/>
      <c r="NDX451" s="268"/>
      <c r="NDY451" s="268"/>
      <c r="NDZ451" s="268"/>
      <c r="NEA451" s="268"/>
      <c r="NEB451" s="268"/>
      <c r="NEC451" s="268"/>
      <c r="NED451" s="268"/>
      <c r="NEE451" s="268"/>
      <c r="NEF451" s="268"/>
      <c r="NEG451" s="268"/>
      <c r="NEH451" s="268"/>
      <c r="NEI451" s="268"/>
      <c r="NEJ451" s="268"/>
      <c r="NEK451" s="268"/>
      <c r="NEL451" s="268"/>
      <c r="NEM451" s="268"/>
      <c r="NEN451" s="268"/>
      <c r="NEO451" s="268"/>
      <c r="NEP451" s="268"/>
      <c r="NEQ451" s="268"/>
      <c r="NER451" s="268"/>
      <c r="NES451" s="268"/>
      <c r="NET451" s="268"/>
      <c r="NEU451" s="268"/>
      <c r="NEV451" s="268"/>
      <c r="NEW451" s="268"/>
      <c r="NEX451" s="268"/>
      <c r="NEY451" s="268"/>
      <c r="NEZ451" s="268"/>
      <c r="NFA451" s="268"/>
      <c r="NFB451" s="268"/>
      <c r="NFC451" s="268"/>
      <c r="NFD451" s="268"/>
      <c r="NFE451" s="268"/>
      <c r="NFF451" s="268"/>
      <c r="NFG451" s="268"/>
      <c r="NFH451" s="268"/>
      <c r="NFI451" s="268"/>
      <c r="NFJ451" s="268"/>
      <c r="NFK451" s="268"/>
      <c r="NFL451" s="268"/>
      <c r="NFM451" s="268"/>
      <c r="NFN451" s="268"/>
      <c r="NFO451" s="268"/>
      <c r="NFP451" s="268"/>
      <c r="NFQ451" s="268"/>
      <c r="NFR451" s="268"/>
      <c r="NFS451" s="268"/>
      <c r="NFT451" s="268"/>
      <c r="NFU451" s="268"/>
      <c r="NFV451" s="268"/>
      <c r="NFW451" s="268"/>
      <c r="NFX451" s="268"/>
      <c r="NFY451" s="268"/>
      <c r="NFZ451" s="268"/>
      <c r="NGA451" s="268"/>
      <c r="NGB451" s="268"/>
      <c r="NGC451" s="268"/>
      <c r="NGD451" s="268"/>
      <c r="NGE451" s="268"/>
      <c r="NGF451" s="268"/>
      <c r="NGG451" s="268"/>
      <c r="NGH451" s="268"/>
      <c r="NGI451" s="268"/>
      <c r="NGJ451" s="268"/>
      <c r="NGK451" s="268"/>
      <c r="NGL451" s="268"/>
      <c r="NGM451" s="268"/>
      <c r="NGN451" s="268"/>
      <c r="NGO451" s="268"/>
      <c r="NGP451" s="268"/>
      <c r="NGQ451" s="268"/>
      <c r="NGR451" s="268"/>
      <c r="NGS451" s="268"/>
      <c r="NGT451" s="268"/>
      <c r="NGU451" s="268"/>
      <c r="NGV451" s="268"/>
      <c r="NGW451" s="268"/>
      <c r="NGX451" s="268"/>
      <c r="NGY451" s="268"/>
      <c r="NGZ451" s="268"/>
      <c r="NHA451" s="268"/>
      <c r="NHB451" s="268"/>
      <c r="NHC451" s="268"/>
      <c r="NHD451" s="268"/>
      <c r="NHE451" s="268"/>
      <c r="NHF451" s="268"/>
      <c r="NHG451" s="268"/>
      <c r="NHH451" s="268"/>
      <c r="NHI451" s="268"/>
      <c r="NHJ451" s="268"/>
      <c r="NHK451" s="268"/>
      <c r="NHL451" s="268"/>
      <c r="NHM451" s="268"/>
      <c r="NHN451" s="268"/>
      <c r="NHO451" s="268"/>
      <c r="NHP451" s="268"/>
      <c r="NHQ451" s="268"/>
      <c r="NHR451" s="268"/>
      <c r="NHS451" s="268"/>
      <c r="NHT451" s="268"/>
      <c r="NHU451" s="268"/>
      <c r="NHV451" s="268"/>
      <c r="NHW451" s="268"/>
      <c r="NHX451" s="268"/>
      <c r="NHY451" s="268"/>
      <c r="NHZ451" s="268"/>
      <c r="NIA451" s="268"/>
      <c r="NIB451" s="268"/>
      <c r="NIC451" s="268"/>
      <c r="NID451" s="268"/>
      <c r="NIE451" s="268"/>
      <c r="NIF451" s="268"/>
      <c r="NIG451" s="268"/>
      <c r="NIH451" s="268"/>
      <c r="NII451" s="268"/>
      <c r="NIJ451" s="268"/>
      <c r="NIK451" s="268"/>
      <c r="NIL451" s="268"/>
      <c r="NIM451" s="268"/>
      <c r="NIN451" s="268"/>
      <c r="NIO451" s="268"/>
      <c r="NIP451" s="268"/>
      <c r="NIQ451" s="268"/>
      <c r="NIR451" s="268"/>
      <c r="NIS451" s="268"/>
      <c r="NIT451" s="268"/>
      <c r="NIU451" s="268"/>
      <c r="NJI451" s="268"/>
      <c r="NJJ451" s="268"/>
      <c r="NJK451" s="268"/>
      <c r="NJY451" s="268"/>
      <c r="NKA451" s="268"/>
      <c r="NKB451" s="268"/>
      <c r="NKC451" s="268"/>
      <c r="NKD451" s="268"/>
      <c r="NKE451" s="268"/>
      <c r="NKF451" s="268"/>
      <c r="NKG451" s="268"/>
      <c r="NKH451" s="268"/>
      <c r="NKI451" s="268"/>
      <c r="NKJ451" s="268"/>
      <c r="NKK451" s="268"/>
      <c r="NKL451" s="268"/>
      <c r="NKM451" s="268"/>
      <c r="NKN451" s="268"/>
      <c r="NKO451" s="268"/>
      <c r="NKP451" s="268"/>
      <c r="NKQ451" s="268"/>
      <c r="NKR451" s="268"/>
      <c r="NKS451" s="268"/>
      <c r="NKT451" s="268"/>
      <c r="NKU451" s="268"/>
      <c r="NKV451" s="268"/>
      <c r="NKW451" s="268"/>
      <c r="NKX451" s="268"/>
      <c r="NKY451" s="268"/>
      <c r="NKZ451" s="268"/>
      <c r="NLA451" s="268"/>
      <c r="NLB451" s="268"/>
      <c r="NLC451" s="268"/>
      <c r="NLD451" s="268"/>
      <c r="NLE451" s="268"/>
      <c r="NLF451" s="268"/>
      <c r="NLG451" s="268"/>
      <c r="NLH451" s="268"/>
      <c r="NLI451" s="268"/>
      <c r="NLJ451" s="268"/>
      <c r="NLK451" s="268"/>
      <c r="NLL451" s="268"/>
      <c r="NLM451" s="268"/>
      <c r="NLN451" s="268"/>
      <c r="NLO451" s="268"/>
      <c r="NLP451" s="268"/>
      <c r="NLQ451" s="268"/>
      <c r="NLR451" s="268"/>
      <c r="NLS451" s="268"/>
      <c r="NLT451" s="268"/>
      <c r="NLU451" s="268"/>
      <c r="NLV451" s="268"/>
      <c r="NLW451" s="268"/>
      <c r="NLX451" s="268"/>
      <c r="NLY451" s="268"/>
      <c r="NLZ451" s="268"/>
      <c r="NMA451" s="268"/>
      <c r="NMB451" s="268"/>
      <c r="NMC451" s="268"/>
      <c r="NMD451" s="268"/>
      <c r="NME451" s="268"/>
      <c r="NMF451" s="268"/>
      <c r="NMG451" s="268"/>
      <c r="NMH451" s="268"/>
      <c r="NMI451" s="268"/>
      <c r="NMJ451" s="268"/>
      <c r="NMK451" s="268"/>
      <c r="NML451" s="268"/>
      <c r="NMM451" s="268"/>
      <c r="NMN451" s="268"/>
      <c r="NMO451" s="268"/>
      <c r="NMP451" s="268"/>
      <c r="NMQ451" s="268"/>
      <c r="NMR451" s="268"/>
      <c r="NMS451" s="268"/>
      <c r="NMT451" s="268"/>
      <c r="NMU451" s="268"/>
      <c r="NMV451" s="268"/>
      <c r="NMW451" s="268"/>
      <c r="NMX451" s="268"/>
      <c r="NMY451" s="268"/>
      <c r="NMZ451" s="268"/>
      <c r="NNA451" s="268"/>
      <c r="NNB451" s="268"/>
      <c r="NNC451" s="268"/>
      <c r="NND451" s="268"/>
      <c r="NNE451" s="268"/>
      <c r="NNF451" s="268"/>
      <c r="NNG451" s="268"/>
      <c r="NNH451" s="268"/>
      <c r="NNI451" s="268"/>
      <c r="NNJ451" s="268"/>
      <c r="NNK451" s="268"/>
      <c r="NNL451" s="268"/>
      <c r="NNM451" s="268"/>
      <c r="NNN451" s="268"/>
      <c r="NNO451" s="268"/>
      <c r="NNP451" s="268"/>
      <c r="NNQ451" s="268"/>
      <c r="NNR451" s="268"/>
      <c r="NNS451" s="268"/>
      <c r="NNT451" s="268"/>
      <c r="NNU451" s="268"/>
      <c r="NNV451" s="268"/>
      <c r="NNW451" s="268"/>
      <c r="NNX451" s="268"/>
      <c r="NNY451" s="268"/>
      <c r="NNZ451" s="268"/>
      <c r="NOA451" s="268"/>
      <c r="NOB451" s="268"/>
      <c r="NOC451" s="268"/>
      <c r="NOD451" s="268"/>
      <c r="NOE451" s="268"/>
      <c r="NOF451" s="268"/>
      <c r="NOG451" s="268"/>
      <c r="NOH451" s="268"/>
      <c r="NOI451" s="268"/>
      <c r="NOJ451" s="268"/>
      <c r="NOK451" s="268"/>
      <c r="NOL451" s="268"/>
      <c r="NOM451" s="268"/>
      <c r="NON451" s="268"/>
      <c r="NOO451" s="268"/>
      <c r="NOP451" s="268"/>
      <c r="NOQ451" s="268"/>
      <c r="NOR451" s="268"/>
      <c r="NOS451" s="268"/>
      <c r="NOT451" s="268"/>
      <c r="NOU451" s="268"/>
      <c r="NOV451" s="268"/>
      <c r="NOW451" s="268"/>
      <c r="NOX451" s="268"/>
      <c r="NOY451" s="268"/>
      <c r="NOZ451" s="268"/>
      <c r="NPA451" s="268"/>
      <c r="NPB451" s="268"/>
      <c r="NPC451" s="268"/>
      <c r="NPD451" s="268"/>
      <c r="NPE451" s="268"/>
      <c r="NPF451" s="268"/>
      <c r="NPG451" s="268"/>
      <c r="NPH451" s="268"/>
      <c r="NPI451" s="268"/>
      <c r="NPJ451" s="268"/>
      <c r="NPK451" s="268"/>
      <c r="NPL451" s="268"/>
      <c r="NPM451" s="268"/>
      <c r="NPN451" s="268"/>
      <c r="NPO451" s="268"/>
      <c r="NPP451" s="268"/>
      <c r="NPQ451" s="268"/>
      <c r="NPR451" s="268"/>
      <c r="NPS451" s="268"/>
      <c r="NPT451" s="268"/>
      <c r="NPU451" s="268"/>
      <c r="NPV451" s="268"/>
      <c r="NPW451" s="268"/>
      <c r="NPX451" s="268"/>
      <c r="NPY451" s="268"/>
      <c r="NPZ451" s="268"/>
      <c r="NQA451" s="268"/>
      <c r="NQB451" s="268"/>
      <c r="NQC451" s="268"/>
      <c r="NQD451" s="268"/>
      <c r="NQE451" s="268"/>
      <c r="NQF451" s="268"/>
      <c r="NQG451" s="268"/>
      <c r="NQH451" s="268"/>
      <c r="NQI451" s="268"/>
      <c r="NQJ451" s="268"/>
      <c r="NQK451" s="268"/>
      <c r="NQL451" s="268"/>
      <c r="NQM451" s="268"/>
      <c r="NQN451" s="268"/>
      <c r="NQO451" s="268"/>
      <c r="NQP451" s="268"/>
      <c r="NQQ451" s="268"/>
      <c r="NQR451" s="268"/>
      <c r="NQS451" s="268"/>
      <c r="NQT451" s="268"/>
      <c r="NQU451" s="268"/>
      <c r="NQV451" s="268"/>
      <c r="NQW451" s="268"/>
      <c r="NQX451" s="268"/>
      <c r="NQY451" s="268"/>
      <c r="NQZ451" s="268"/>
      <c r="NRA451" s="268"/>
      <c r="NRB451" s="268"/>
      <c r="NRC451" s="268"/>
      <c r="NRD451" s="268"/>
      <c r="NRE451" s="268"/>
      <c r="NRF451" s="268"/>
      <c r="NRG451" s="268"/>
      <c r="NRH451" s="268"/>
      <c r="NRI451" s="268"/>
      <c r="NRJ451" s="268"/>
      <c r="NRK451" s="268"/>
      <c r="NRL451" s="268"/>
      <c r="NRM451" s="268"/>
      <c r="NRN451" s="268"/>
      <c r="NRO451" s="268"/>
      <c r="NRP451" s="268"/>
      <c r="NRQ451" s="268"/>
      <c r="NRR451" s="268"/>
      <c r="NRS451" s="268"/>
      <c r="NRT451" s="268"/>
      <c r="NRU451" s="268"/>
      <c r="NRV451" s="268"/>
      <c r="NRW451" s="268"/>
      <c r="NRX451" s="268"/>
      <c r="NRY451" s="268"/>
      <c r="NRZ451" s="268"/>
      <c r="NSA451" s="268"/>
      <c r="NSB451" s="268"/>
      <c r="NSC451" s="268"/>
      <c r="NSD451" s="268"/>
      <c r="NSE451" s="268"/>
      <c r="NSF451" s="268"/>
      <c r="NSG451" s="268"/>
      <c r="NSH451" s="268"/>
      <c r="NSI451" s="268"/>
      <c r="NSJ451" s="268"/>
      <c r="NSK451" s="268"/>
      <c r="NSL451" s="268"/>
      <c r="NSM451" s="268"/>
      <c r="NSN451" s="268"/>
      <c r="NSO451" s="268"/>
      <c r="NSP451" s="268"/>
      <c r="NSQ451" s="268"/>
      <c r="NTE451" s="268"/>
      <c r="NTF451" s="268"/>
      <c r="NTG451" s="268"/>
      <c r="NTU451" s="268"/>
      <c r="NTW451" s="268"/>
      <c r="NTX451" s="268"/>
      <c r="NTY451" s="268"/>
      <c r="NTZ451" s="268"/>
      <c r="NUA451" s="268"/>
      <c r="NUB451" s="268"/>
      <c r="NUC451" s="268"/>
      <c r="NUD451" s="268"/>
      <c r="NUE451" s="268"/>
      <c r="NUF451" s="268"/>
      <c r="NUG451" s="268"/>
      <c r="NUH451" s="268"/>
      <c r="NUI451" s="268"/>
      <c r="NUJ451" s="268"/>
      <c r="NUK451" s="268"/>
      <c r="NUL451" s="268"/>
      <c r="NUM451" s="268"/>
      <c r="NUN451" s="268"/>
      <c r="NUO451" s="268"/>
      <c r="NUP451" s="268"/>
      <c r="NUQ451" s="268"/>
      <c r="NUR451" s="268"/>
      <c r="NUS451" s="268"/>
      <c r="NUT451" s="268"/>
      <c r="NUU451" s="268"/>
      <c r="NUV451" s="268"/>
      <c r="NUW451" s="268"/>
      <c r="NUX451" s="268"/>
      <c r="NUY451" s="268"/>
      <c r="NUZ451" s="268"/>
      <c r="NVA451" s="268"/>
      <c r="NVB451" s="268"/>
      <c r="NVC451" s="268"/>
      <c r="NVD451" s="268"/>
      <c r="NVE451" s="268"/>
      <c r="NVF451" s="268"/>
      <c r="NVG451" s="268"/>
      <c r="NVH451" s="268"/>
      <c r="NVI451" s="268"/>
      <c r="NVJ451" s="268"/>
      <c r="NVK451" s="268"/>
      <c r="NVL451" s="268"/>
      <c r="NVM451" s="268"/>
      <c r="NVN451" s="268"/>
      <c r="NVO451" s="268"/>
      <c r="NVP451" s="268"/>
      <c r="NVQ451" s="268"/>
      <c r="NVR451" s="268"/>
      <c r="NVS451" s="268"/>
      <c r="NVT451" s="268"/>
      <c r="NVU451" s="268"/>
      <c r="NVV451" s="268"/>
      <c r="NVW451" s="268"/>
      <c r="NVX451" s="268"/>
      <c r="NVY451" s="268"/>
      <c r="NVZ451" s="268"/>
      <c r="NWA451" s="268"/>
      <c r="NWB451" s="268"/>
      <c r="NWC451" s="268"/>
      <c r="NWD451" s="268"/>
      <c r="NWE451" s="268"/>
      <c r="NWF451" s="268"/>
      <c r="NWG451" s="268"/>
      <c r="NWH451" s="268"/>
      <c r="NWI451" s="268"/>
      <c r="NWJ451" s="268"/>
      <c r="NWK451" s="268"/>
      <c r="NWL451" s="268"/>
      <c r="NWM451" s="268"/>
      <c r="NWN451" s="268"/>
      <c r="NWO451" s="268"/>
      <c r="NWP451" s="268"/>
      <c r="NWQ451" s="268"/>
      <c r="NWR451" s="268"/>
      <c r="NWS451" s="268"/>
      <c r="NWT451" s="268"/>
      <c r="NWU451" s="268"/>
      <c r="NWV451" s="268"/>
      <c r="NWW451" s="268"/>
      <c r="NWX451" s="268"/>
      <c r="NWY451" s="268"/>
      <c r="NWZ451" s="268"/>
      <c r="NXA451" s="268"/>
      <c r="NXB451" s="268"/>
      <c r="NXC451" s="268"/>
      <c r="NXD451" s="268"/>
      <c r="NXE451" s="268"/>
      <c r="NXF451" s="268"/>
      <c r="NXG451" s="268"/>
      <c r="NXH451" s="268"/>
      <c r="NXI451" s="268"/>
      <c r="NXJ451" s="268"/>
      <c r="NXK451" s="268"/>
      <c r="NXL451" s="268"/>
      <c r="NXM451" s="268"/>
      <c r="NXN451" s="268"/>
      <c r="NXO451" s="268"/>
      <c r="NXP451" s="268"/>
      <c r="NXQ451" s="268"/>
      <c r="NXR451" s="268"/>
      <c r="NXS451" s="268"/>
      <c r="NXT451" s="268"/>
      <c r="NXU451" s="268"/>
      <c r="NXV451" s="268"/>
      <c r="NXW451" s="268"/>
      <c r="NXX451" s="268"/>
      <c r="NXY451" s="268"/>
      <c r="NXZ451" s="268"/>
      <c r="NYA451" s="268"/>
      <c r="NYB451" s="268"/>
      <c r="NYC451" s="268"/>
      <c r="NYD451" s="268"/>
      <c r="NYE451" s="268"/>
      <c r="NYF451" s="268"/>
      <c r="NYG451" s="268"/>
      <c r="NYH451" s="268"/>
      <c r="NYI451" s="268"/>
      <c r="NYJ451" s="268"/>
      <c r="NYK451" s="268"/>
      <c r="NYL451" s="268"/>
      <c r="NYM451" s="268"/>
      <c r="NYN451" s="268"/>
      <c r="NYO451" s="268"/>
      <c r="NYP451" s="268"/>
      <c r="NYQ451" s="268"/>
      <c r="NYR451" s="268"/>
      <c r="NYS451" s="268"/>
      <c r="NYT451" s="268"/>
      <c r="NYU451" s="268"/>
      <c r="NYV451" s="268"/>
      <c r="NYW451" s="268"/>
      <c r="NYX451" s="268"/>
      <c r="NYY451" s="268"/>
      <c r="NYZ451" s="268"/>
      <c r="NZA451" s="268"/>
      <c r="NZB451" s="268"/>
      <c r="NZC451" s="268"/>
      <c r="NZD451" s="268"/>
      <c r="NZE451" s="268"/>
      <c r="NZF451" s="268"/>
      <c r="NZG451" s="268"/>
      <c r="NZH451" s="268"/>
      <c r="NZI451" s="268"/>
      <c r="NZJ451" s="268"/>
      <c r="NZK451" s="268"/>
      <c r="NZL451" s="268"/>
      <c r="NZM451" s="268"/>
      <c r="NZN451" s="268"/>
      <c r="NZO451" s="268"/>
      <c r="NZP451" s="268"/>
      <c r="NZQ451" s="268"/>
      <c r="NZR451" s="268"/>
      <c r="NZS451" s="268"/>
      <c r="NZT451" s="268"/>
      <c r="NZU451" s="268"/>
      <c r="NZV451" s="268"/>
      <c r="NZW451" s="268"/>
      <c r="NZX451" s="268"/>
      <c r="NZY451" s="268"/>
      <c r="NZZ451" s="268"/>
      <c r="OAA451" s="268"/>
      <c r="OAB451" s="268"/>
      <c r="OAC451" s="268"/>
      <c r="OAD451" s="268"/>
      <c r="OAE451" s="268"/>
      <c r="OAF451" s="268"/>
      <c r="OAG451" s="268"/>
      <c r="OAH451" s="268"/>
      <c r="OAI451" s="268"/>
      <c r="OAJ451" s="268"/>
      <c r="OAK451" s="268"/>
      <c r="OAL451" s="268"/>
      <c r="OAM451" s="268"/>
      <c r="OAN451" s="268"/>
      <c r="OAO451" s="268"/>
      <c r="OAP451" s="268"/>
      <c r="OAQ451" s="268"/>
      <c r="OAR451" s="268"/>
      <c r="OAS451" s="268"/>
      <c r="OAT451" s="268"/>
      <c r="OAU451" s="268"/>
      <c r="OAV451" s="268"/>
      <c r="OAW451" s="268"/>
      <c r="OAX451" s="268"/>
      <c r="OAY451" s="268"/>
      <c r="OAZ451" s="268"/>
      <c r="OBA451" s="268"/>
      <c r="OBB451" s="268"/>
      <c r="OBC451" s="268"/>
      <c r="OBD451" s="268"/>
      <c r="OBE451" s="268"/>
      <c r="OBF451" s="268"/>
      <c r="OBG451" s="268"/>
      <c r="OBH451" s="268"/>
      <c r="OBI451" s="268"/>
      <c r="OBJ451" s="268"/>
      <c r="OBK451" s="268"/>
      <c r="OBL451" s="268"/>
      <c r="OBM451" s="268"/>
      <c r="OBN451" s="268"/>
      <c r="OBO451" s="268"/>
      <c r="OBP451" s="268"/>
      <c r="OBQ451" s="268"/>
      <c r="OBR451" s="268"/>
      <c r="OBS451" s="268"/>
      <c r="OBT451" s="268"/>
      <c r="OBU451" s="268"/>
      <c r="OBV451" s="268"/>
      <c r="OBW451" s="268"/>
      <c r="OBX451" s="268"/>
      <c r="OBY451" s="268"/>
      <c r="OBZ451" s="268"/>
      <c r="OCA451" s="268"/>
      <c r="OCB451" s="268"/>
      <c r="OCC451" s="268"/>
      <c r="OCD451" s="268"/>
      <c r="OCE451" s="268"/>
      <c r="OCF451" s="268"/>
      <c r="OCG451" s="268"/>
      <c r="OCH451" s="268"/>
      <c r="OCI451" s="268"/>
      <c r="OCJ451" s="268"/>
      <c r="OCK451" s="268"/>
      <c r="OCL451" s="268"/>
      <c r="OCM451" s="268"/>
      <c r="ODA451" s="268"/>
      <c r="ODB451" s="268"/>
      <c r="ODC451" s="268"/>
      <c r="ODQ451" s="268"/>
      <c r="ODS451" s="268"/>
      <c r="ODT451" s="268"/>
      <c r="ODU451" s="268"/>
      <c r="ODV451" s="268"/>
      <c r="ODW451" s="268"/>
      <c r="ODX451" s="268"/>
      <c r="ODY451" s="268"/>
      <c r="ODZ451" s="268"/>
      <c r="OEA451" s="268"/>
      <c r="OEB451" s="268"/>
      <c r="OEC451" s="268"/>
      <c r="OED451" s="268"/>
      <c r="OEE451" s="268"/>
      <c r="OEF451" s="268"/>
      <c r="OEG451" s="268"/>
      <c r="OEH451" s="268"/>
      <c r="OEI451" s="268"/>
      <c r="OEJ451" s="268"/>
      <c r="OEK451" s="268"/>
      <c r="OEL451" s="268"/>
      <c r="OEM451" s="268"/>
      <c r="OEN451" s="268"/>
      <c r="OEO451" s="268"/>
      <c r="OEP451" s="268"/>
      <c r="OEQ451" s="268"/>
      <c r="OER451" s="268"/>
      <c r="OES451" s="268"/>
      <c r="OET451" s="268"/>
      <c r="OEU451" s="268"/>
      <c r="OEV451" s="268"/>
      <c r="OEW451" s="268"/>
      <c r="OEX451" s="268"/>
      <c r="OEY451" s="268"/>
      <c r="OEZ451" s="268"/>
      <c r="OFA451" s="268"/>
      <c r="OFB451" s="268"/>
      <c r="OFC451" s="268"/>
      <c r="OFD451" s="268"/>
      <c r="OFE451" s="268"/>
      <c r="OFF451" s="268"/>
      <c r="OFG451" s="268"/>
      <c r="OFH451" s="268"/>
      <c r="OFI451" s="268"/>
      <c r="OFJ451" s="268"/>
      <c r="OFK451" s="268"/>
      <c r="OFL451" s="268"/>
      <c r="OFM451" s="268"/>
      <c r="OFN451" s="268"/>
      <c r="OFO451" s="268"/>
      <c r="OFP451" s="268"/>
      <c r="OFQ451" s="268"/>
      <c r="OFR451" s="268"/>
      <c r="OFS451" s="268"/>
      <c r="OFT451" s="268"/>
      <c r="OFU451" s="268"/>
      <c r="OFV451" s="268"/>
      <c r="OFW451" s="268"/>
      <c r="OFX451" s="268"/>
      <c r="OFY451" s="268"/>
      <c r="OFZ451" s="268"/>
      <c r="OGA451" s="268"/>
      <c r="OGB451" s="268"/>
      <c r="OGC451" s="268"/>
      <c r="OGD451" s="268"/>
      <c r="OGE451" s="268"/>
      <c r="OGF451" s="268"/>
      <c r="OGG451" s="268"/>
      <c r="OGH451" s="268"/>
      <c r="OGI451" s="268"/>
      <c r="OGJ451" s="268"/>
      <c r="OGK451" s="268"/>
      <c r="OGL451" s="268"/>
      <c r="OGM451" s="268"/>
      <c r="OGN451" s="268"/>
      <c r="OGO451" s="268"/>
      <c r="OGP451" s="268"/>
      <c r="OGQ451" s="268"/>
      <c r="OGR451" s="268"/>
      <c r="OGS451" s="268"/>
      <c r="OGT451" s="268"/>
      <c r="OGU451" s="268"/>
      <c r="OGV451" s="268"/>
      <c r="OGW451" s="268"/>
      <c r="OGX451" s="268"/>
      <c r="OGY451" s="268"/>
      <c r="OGZ451" s="268"/>
      <c r="OHA451" s="268"/>
      <c r="OHB451" s="268"/>
      <c r="OHC451" s="268"/>
      <c r="OHD451" s="268"/>
      <c r="OHE451" s="268"/>
      <c r="OHF451" s="268"/>
      <c r="OHG451" s="268"/>
      <c r="OHH451" s="268"/>
      <c r="OHI451" s="268"/>
      <c r="OHJ451" s="268"/>
      <c r="OHK451" s="268"/>
      <c r="OHL451" s="268"/>
      <c r="OHM451" s="268"/>
      <c r="OHN451" s="268"/>
      <c r="OHO451" s="268"/>
      <c r="OHP451" s="268"/>
      <c r="OHQ451" s="268"/>
      <c r="OHR451" s="268"/>
      <c r="OHS451" s="268"/>
      <c r="OHT451" s="268"/>
      <c r="OHU451" s="268"/>
      <c r="OHV451" s="268"/>
      <c r="OHW451" s="268"/>
      <c r="OHX451" s="268"/>
      <c r="OHY451" s="268"/>
      <c r="OHZ451" s="268"/>
      <c r="OIA451" s="268"/>
      <c r="OIB451" s="268"/>
      <c r="OIC451" s="268"/>
      <c r="OID451" s="268"/>
      <c r="OIE451" s="268"/>
      <c r="OIF451" s="268"/>
      <c r="OIG451" s="268"/>
      <c r="OIH451" s="268"/>
      <c r="OII451" s="268"/>
      <c r="OIJ451" s="268"/>
      <c r="OIK451" s="268"/>
      <c r="OIL451" s="268"/>
      <c r="OIM451" s="268"/>
      <c r="OIN451" s="268"/>
      <c r="OIO451" s="268"/>
      <c r="OIP451" s="268"/>
      <c r="OIQ451" s="268"/>
      <c r="OIR451" s="268"/>
      <c r="OIS451" s="268"/>
      <c r="OIT451" s="268"/>
      <c r="OIU451" s="268"/>
      <c r="OIV451" s="268"/>
      <c r="OIW451" s="268"/>
      <c r="OIX451" s="268"/>
      <c r="OIY451" s="268"/>
      <c r="OIZ451" s="268"/>
      <c r="OJA451" s="268"/>
      <c r="OJB451" s="268"/>
      <c r="OJC451" s="268"/>
      <c r="OJD451" s="268"/>
      <c r="OJE451" s="268"/>
      <c r="OJF451" s="268"/>
      <c r="OJG451" s="268"/>
      <c r="OJH451" s="268"/>
      <c r="OJI451" s="268"/>
      <c r="OJJ451" s="268"/>
      <c r="OJK451" s="268"/>
      <c r="OJL451" s="268"/>
      <c r="OJM451" s="268"/>
      <c r="OJN451" s="268"/>
      <c r="OJO451" s="268"/>
      <c r="OJP451" s="268"/>
      <c r="OJQ451" s="268"/>
      <c r="OJR451" s="268"/>
      <c r="OJS451" s="268"/>
      <c r="OJT451" s="268"/>
      <c r="OJU451" s="268"/>
      <c r="OJV451" s="268"/>
      <c r="OJW451" s="268"/>
      <c r="OJX451" s="268"/>
      <c r="OJY451" s="268"/>
      <c r="OJZ451" s="268"/>
      <c r="OKA451" s="268"/>
      <c r="OKB451" s="268"/>
      <c r="OKC451" s="268"/>
      <c r="OKD451" s="268"/>
      <c r="OKE451" s="268"/>
      <c r="OKF451" s="268"/>
      <c r="OKG451" s="268"/>
      <c r="OKH451" s="268"/>
      <c r="OKI451" s="268"/>
      <c r="OKJ451" s="268"/>
      <c r="OKK451" s="268"/>
      <c r="OKL451" s="268"/>
      <c r="OKM451" s="268"/>
      <c r="OKN451" s="268"/>
      <c r="OKO451" s="268"/>
      <c r="OKP451" s="268"/>
      <c r="OKQ451" s="268"/>
      <c r="OKR451" s="268"/>
      <c r="OKS451" s="268"/>
      <c r="OKT451" s="268"/>
      <c r="OKU451" s="268"/>
      <c r="OKV451" s="268"/>
      <c r="OKW451" s="268"/>
      <c r="OKX451" s="268"/>
      <c r="OKY451" s="268"/>
      <c r="OKZ451" s="268"/>
      <c r="OLA451" s="268"/>
      <c r="OLB451" s="268"/>
      <c r="OLC451" s="268"/>
      <c r="OLD451" s="268"/>
      <c r="OLE451" s="268"/>
      <c r="OLF451" s="268"/>
      <c r="OLG451" s="268"/>
      <c r="OLH451" s="268"/>
      <c r="OLI451" s="268"/>
      <c r="OLJ451" s="268"/>
      <c r="OLK451" s="268"/>
      <c r="OLL451" s="268"/>
      <c r="OLM451" s="268"/>
      <c r="OLN451" s="268"/>
      <c r="OLO451" s="268"/>
      <c r="OLP451" s="268"/>
      <c r="OLQ451" s="268"/>
      <c r="OLR451" s="268"/>
      <c r="OLS451" s="268"/>
      <c r="OLT451" s="268"/>
      <c r="OLU451" s="268"/>
      <c r="OLV451" s="268"/>
      <c r="OLW451" s="268"/>
      <c r="OLX451" s="268"/>
      <c r="OLY451" s="268"/>
      <c r="OLZ451" s="268"/>
      <c r="OMA451" s="268"/>
      <c r="OMB451" s="268"/>
      <c r="OMC451" s="268"/>
      <c r="OMD451" s="268"/>
      <c r="OME451" s="268"/>
      <c r="OMF451" s="268"/>
      <c r="OMG451" s="268"/>
      <c r="OMH451" s="268"/>
      <c r="OMI451" s="268"/>
      <c r="OMW451" s="268"/>
      <c r="OMX451" s="268"/>
      <c r="OMY451" s="268"/>
      <c r="ONM451" s="268"/>
      <c r="ONO451" s="268"/>
      <c r="ONP451" s="268"/>
      <c r="ONQ451" s="268"/>
      <c r="ONR451" s="268"/>
      <c r="ONS451" s="268"/>
      <c r="ONT451" s="268"/>
      <c r="ONU451" s="268"/>
      <c r="ONV451" s="268"/>
      <c r="ONW451" s="268"/>
      <c r="ONX451" s="268"/>
      <c r="ONY451" s="268"/>
      <c r="ONZ451" s="268"/>
      <c r="OOA451" s="268"/>
      <c r="OOB451" s="268"/>
      <c r="OOC451" s="268"/>
      <c r="OOD451" s="268"/>
      <c r="OOE451" s="268"/>
      <c r="OOF451" s="268"/>
      <c r="OOG451" s="268"/>
      <c r="OOH451" s="268"/>
      <c r="OOI451" s="268"/>
      <c r="OOJ451" s="268"/>
      <c r="OOK451" s="268"/>
      <c r="OOL451" s="268"/>
      <c r="OOM451" s="268"/>
      <c r="OON451" s="268"/>
      <c r="OOO451" s="268"/>
      <c r="OOP451" s="268"/>
      <c r="OOQ451" s="268"/>
      <c r="OOR451" s="268"/>
      <c r="OOS451" s="268"/>
      <c r="OOT451" s="268"/>
      <c r="OOU451" s="268"/>
      <c r="OOV451" s="268"/>
      <c r="OOW451" s="268"/>
      <c r="OOX451" s="268"/>
      <c r="OOY451" s="268"/>
      <c r="OOZ451" s="268"/>
      <c r="OPA451" s="268"/>
      <c r="OPB451" s="268"/>
      <c r="OPC451" s="268"/>
      <c r="OPD451" s="268"/>
      <c r="OPE451" s="268"/>
      <c r="OPF451" s="268"/>
      <c r="OPG451" s="268"/>
      <c r="OPH451" s="268"/>
      <c r="OPI451" s="268"/>
      <c r="OPJ451" s="268"/>
      <c r="OPK451" s="268"/>
      <c r="OPL451" s="268"/>
      <c r="OPM451" s="268"/>
      <c r="OPN451" s="268"/>
      <c r="OPO451" s="268"/>
      <c r="OPP451" s="268"/>
      <c r="OPQ451" s="268"/>
      <c r="OPR451" s="268"/>
      <c r="OPS451" s="268"/>
      <c r="OPT451" s="268"/>
      <c r="OPU451" s="268"/>
      <c r="OPV451" s="268"/>
      <c r="OPW451" s="268"/>
      <c r="OPX451" s="268"/>
      <c r="OPY451" s="268"/>
      <c r="OPZ451" s="268"/>
      <c r="OQA451" s="268"/>
      <c r="OQB451" s="268"/>
      <c r="OQC451" s="268"/>
      <c r="OQD451" s="268"/>
      <c r="OQE451" s="268"/>
      <c r="OQF451" s="268"/>
      <c r="OQG451" s="268"/>
      <c r="OQH451" s="268"/>
      <c r="OQI451" s="268"/>
      <c r="OQJ451" s="268"/>
      <c r="OQK451" s="268"/>
      <c r="OQL451" s="268"/>
      <c r="OQM451" s="268"/>
      <c r="OQN451" s="268"/>
      <c r="OQO451" s="268"/>
      <c r="OQP451" s="268"/>
      <c r="OQQ451" s="268"/>
      <c r="OQR451" s="268"/>
      <c r="OQS451" s="268"/>
      <c r="OQT451" s="268"/>
      <c r="OQU451" s="268"/>
      <c r="OQV451" s="268"/>
      <c r="OQW451" s="268"/>
      <c r="OQX451" s="268"/>
      <c r="OQY451" s="268"/>
      <c r="OQZ451" s="268"/>
      <c r="ORA451" s="268"/>
      <c r="ORB451" s="268"/>
      <c r="ORC451" s="268"/>
      <c r="ORD451" s="268"/>
      <c r="ORE451" s="268"/>
      <c r="ORF451" s="268"/>
      <c r="ORG451" s="268"/>
      <c r="ORH451" s="268"/>
      <c r="ORI451" s="268"/>
      <c r="ORJ451" s="268"/>
      <c r="ORK451" s="268"/>
      <c r="ORL451" s="268"/>
      <c r="ORM451" s="268"/>
      <c r="ORN451" s="268"/>
      <c r="ORO451" s="268"/>
      <c r="ORP451" s="268"/>
      <c r="ORQ451" s="268"/>
      <c r="ORR451" s="268"/>
      <c r="ORS451" s="268"/>
      <c r="ORT451" s="268"/>
      <c r="ORU451" s="268"/>
      <c r="ORV451" s="268"/>
      <c r="ORW451" s="268"/>
      <c r="ORX451" s="268"/>
      <c r="ORY451" s="268"/>
      <c r="ORZ451" s="268"/>
      <c r="OSA451" s="268"/>
      <c r="OSB451" s="268"/>
      <c r="OSC451" s="268"/>
      <c r="OSD451" s="268"/>
      <c r="OSE451" s="268"/>
      <c r="OSF451" s="268"/>
      <c r="OSG451" s="268"/>
      <c r="OSH451" s="268"/>
      <c r="OSI451" s="268"/>
      <c r="OSJ451" s="268"/>
      <c r="OSK451" s="268"/>
      <c r="OSL451" s="268"/>
      <c r="OSM451" s="268"/>
      <c r="OSN451" s="268"/>
      <c r="OSO451" s="268"/>
      <c r="OSP451" s="268"/>
      <c r="OSQ451" s="268"/>
      <c r="OSR451" s="268"/>
      <c r="OSS451" s="268"/>
      <c r="OST451" s="268"/>
      <c r="OSU451" s="268"/>
      <c r="OSV451" s="268"/>
      <c r="OSW451" s="268"/>
      <c r="OSX451" s="268"/>
      <c r="OSY451" s="268"/>
      <c r="OSZ451" s="268"/>
      <c r="OTA451" s="268"/>
      <c r="OTB451" s="268"/>
      <c r="OTC451" s="268"/>
      <c r="OTD451" s="268"/>
      <c r="OTE451" s="268"/>
      <c r="OTF451" s="268"/>
      <c r="OTG451" s="268"/>
      <c r="OTH451" s="268"/>
      <c r="OTI451" s="268"/>
      <c r="OTJ451" s="268"/>
      <c r="OTK451" s="268"/>
      <c r="OTL451" s="268"/>
      <c r="OTM451" s="268"/>
      <c r="OTN451" s="268"/>
      <c r="OTO451" s="268"/>
      <c r="OTP451" s="268"/>
      <c r="OTQ451" s="268"/>
      <c r="OTR451" s="268"/>
      <c r="OTS451" s="268"/>
      <c r="OTT451" s="268"/>
      <c r="OTU451" s="268"/>
      <c r="OTV451" s="268"/>
      <c r="OTW451" s="268"/>
      <c r="OTX451" s="268"/>
      <c r="OTY451" s="268"/>
      <c r="OTZ451" s="268"/>
      <c r="OUA451" s="268"/>
      <c r="OUB451" s="268"/>
      <c r="OUC451" s="268"/>
      <c r="OUD451" s="268"/>
      <c r="OUE451" s="268"/>
      <c r="OUF451" s="268"/>
      <c r="OUG451" s="268"/>
      <c r="OUH451" s="268"/>
      <c r="OUI451" s="268"/>
      <c r="OUJ451" s="268"/>
      <c r="OUK451" s="268"/>
      <c r="OUL451" s="268"/>
      <c r="OUM451" s="268"/>
      <c r="OUN451" s="268"/>
      <c r="OUO451" s="268"/>
      <c r="OUP451" s="268"/>
      <c r="OUQ451" s="268"/>
      <c r="OUR451" s="268"/>
      <c r="OUS451" s="268"/>
      <c r="OUT451" s="268"/>
      <c r="OUU451" s="268"/>
      <c r="OUV451" s="268"/>
      <c r="OUW451" s="268"/>
      <c r="OUX451" s="268"/>
      <c r="OUY451" s="268"/>
      <c r="OUZ451" s="268"/>
      <c r="OVA451" s="268"/>
      <c r="OVB451" s="268"/>
      <c r="OVC451" s="268"/>
      <c r="OVD451" s="268"/>
      <c r="OVE451" s="268"/>
      <c r="OVF451" s="268"/>
      <c r="OVG451" s="268"/>
      <c r="OVH451" s="268"/>
      <c r="OVI451" s="268"/>
      <c r="OVJ451" s="268"/>
      <c r="OVK451" s="268"/>
      <c r="OVL451" s="268"/>
      <c r="OVM451" s="268"/>
      <c r="OVN451" s="268"/>
      <c r="OVO451" s="268"/>
      <c r="OVP451" s="268"/>
      <c r="OVQ451" s="268"/>
      <c r="OVR451" s="268"/>
      <c r="OVS451" s="268"/>
      <c r="OVT451" s="268"/>
      <c r="OVU451" s="268"/>
      <c r="OVV451" s="268"/>
      <c r="OVW451" s="268"/>
      <c r="OVX451" s="268"/>
      <c r="OVY451" s="268"/>
      <c r="OVZ451" s="268"/>
      <c r="OWA451" s="268"/>
      <c r="OWB451" s="268"/>
      <c r="OWC451" s="268"/>
      <c r="OWD451" s="268"/>
      <c r="OWE451" s="268"/>
      <c r="OWS451" s="268"/>
      <c r="OWT451" s="268"/>
      <c r="OWU451" s="268"/>
      <c r="OXI451" s="268"/>
      <c r="OXK451" s="268"/>
      <c r="OXL451" s="268"/>
      <c r="OXM451" s="268"/>
      <c r="OXN451" s="268"/>
      <c r="OXO451" s="268"/>
      <c r="OXP451" s="268"/>
      <c r="OXQ451" s="268"/>
      <c r="OXR451" s="268"/>
      <c r="OXS451" s="268"/>
      <c r="OXT451" s="268"/>
      <c r="OXU451" s="268"/>
      <c r="OXV451" s="268"/>
      <c r="OXW451" s="268"/>
      <c r="OXX451" s="268"/>
      <c r="OXY451" s="268"/>
      <c r="OXZ451" s="268"/>
      <c r="OYA451" s="268"/>
      <c r="OYB451" s="268"/>
      <c r="OYC451" s="268"/>
      <c r="OYD451" s="268"/>
      <c r="OYE451" s="268"/>
      <c r="OYF451" s="268"/>
      <c r="OYG451" s="268"/>
      <c r="OYH451" s="268"/>
      <c r="OYI451" s="268"/>
      <c r="OYJ451" s="268"/>
      <c r="OYK451" s="268"/>
      <c r="OYL451" s="268"/>
      <c r="OYM451" s="268"/>
      <c r="OYN451" s="268"/>
      <c r="OYO451" s="268"/>
      <c r="OYP451" s="268"/>
      <c r="OYQ451" s="268"/>
      <c r="OYR451" s="268"/>
      <c r="OYS451" s="268"/>
      <c r="OYT451" s="268"/>
      <c r="OYU451" s="268"/>
      <c r="OYV451" s="268"/>
      <c r="OYW451" s="268"/>
      <c r="OYX451" s="268"/>
      <c r="OYY451" s="268"/>
      <c r="OYZ451" s="268"/>
      <c r="OZA451" s="268"/>
      <c r="OZB451" s="268"/>
      <c r="OZC451" s="268"/>
      <c r="OZD451" s="268"/>
      <c r="OZE451" s="268"/>
      <c r="OZF451" s="268"/>
      <c r="OZG451" s="268"/>
      <c r="OZH451" s="268"/>
      <c r="OZI451" s="268"/>
      <c r="OZJ451" s="268"/>
      <c r="OZK451" s="268"/>
      <c r="OZL451" s="268"/>
      <c r="OZM451" s="268"/>
      <c r="OZN451" s="268"/>
      <c r="OZO451" s="268"/>
      <c r="OZP451" s="268"/>
      <c r="OZQ451" s="268"/>
      <c r="OZR451" s="268"/>
      <c r="OZS451" s="268"/>
      <c r="OZT451" s="268"/>
      <c r="OZU451" s="268"/>
      <c r="OZV451" s="268"/>
      <c r="OZW451" s="268"/>
      <c r="OZX451" s="268"/>
      <c r="OZY451" s="268"/>
      <c r="OZZ451" s="268"/>
      <c r="PAA451" s="268"/>
      <c r="PAB451" s="268"/>
      <c r="PAC451" s="268"/>
      <c r="PAD451" s="268"/>
      <c r="PAE451" s="268"/>
      <c r="PAF451" s="268"/>
      <c r="PAG451" s="268"/>
      <c r="PAH451" s="268"/>
      <c r="PAI451" s="268"/>
      <c r="PAJ451" s="268"/>
      <c r="PAK451" s="268"/>
      <c r="PAL451" s="268"/>
      <c r="PAM451" s="268"/>
      <c r="PAN451" s="268"/>
      <c r="PAO451" s="268"/>
      <c r="PAP451" s="268"/>
      <c r="PAQ451" s="268"/>
      <c r="PAR451" s="268"/>
      <c r="PAS451" s="268"/>
      <c r="PAT451" s="268"/>
      <c r="PAU451" s="268"/>
      <c r="PAV451" s="268"/>
      <c r="PAW451" s="268"/>
      <c r="PAX451" s="268"/>
      <c r="PAY451" s="268"/>
      <c r="PAZ451" s="268"/>
      <c r="PBA451" s="268"/>
      <c r="PBB451" s="268"/>
      <c r="PBC451" s="268"/>
      <c r="PBD451" s="268"/>
      <c r="PBE451" s="268"/>
      <c r="PBF451" s="268"/>
      <c r="PBG451" s="268"/>
      <c r="PBH451" s="268"/>
      <c r="PBI451" s="268"/>
      <c r="PBJ451" s="268"/>
      <c r="PBK451" s="268"/>
      <c r="PBL451" s="268"/>
      <c r="PBM451" s="268"/>
      <c r="PBN451" s="268"/>
      <c r="PBO451" s="268"/>
      <c r="PBP451" s="268"/>
      <c r="PBQ451" s="268"/>
      <c r="PBR451" s="268"/>
      <c r="PBS451" s="268"/>
      <c r="PBT451" s="268"/>
      <c r="PBU451" s="268"/>
      <c r="PBV451" s="268"/>
      <c r="PBW451" s="268"/>
      <c r="PBX451" s="268"/>
      <c r="PBY451" s="268"/>
      <c r="PBZ451" s="268"/>
      <c r="PCA451" s="268"/>
      <c r="PCB451" s="268"/>
      <c r="PCC451" s="268"/>
      <c r="PCD451" s="268"/>
      <c r="PCE451" s="268"/>
      <c r="PCF451" s="268"/>
      <c r="PCG451" s="268"/>
      <c r="PCH451" s="268"/>
      <c r="PCI451" s="268"/>
      <c r="PCJ451" s="268"/>
      <c r="PCK451" s="268"/>
      <c r="PCL451" s="268"/>
      <c r="PCM451" s="268"/>
      <c r="PCN451" s="268"/>
      <c r="PCO451" s="268"/>
      <c r="PCP451" s="268"/>
      <c r="PCQ451" s="268"/>
      <c r="PCR451" s="268"/>
      <c r="PCS451" s="268"/>
      <c r="PCT451" s="268"/>
      <c r="PCU451" s="268"/>
      <c r="PCV451" s="268"/>
      <c r="PCW451" s="268"/>
      <c r="PCX451" s="268"/>
      <c r="PCY451" s="268"/>
      <c r="PCZ451" s="268"/>
      <c r="PDA451" s="268"/>
      <c r="PDB451" s="268"/>
      <c r="PDC451" s="268"/>
      <c r="PDD451" s="268"/>
      <c r="PDE451" s="268"/>
      <c r="PDF451" s="268"/>
      <c r="PDG451" s="268"/>
      <c r="PDH451" s="268"/>
      <c r="PDI451" s="268"/>
      <c r="PDJ451" s="268"/>
      <c r="PDK451" s="268"/>
      <c r="PDL451" s="268"/>
      <c r="PDM451" s="268"/>
      <c r="PDN451" s="268"/>
      <c r="PDO451" s="268"/>
      <c r="PDP451" s="268"/>
      <c r="PDQ451" s="268"/>
      <c r="PDR451" s="268"/>
      <c r="PDS451" s="268"/>
      <c r="PDT451" s="268"/>
      <c r="PDU451" s="268"/>
      <c r="PDV451" s="268"/>
      <c r="PDW451" s="268"/>
      <c r="PDX451" s="268"/>
      <c r="PDY451" s="268"/>
      <c r="PDZ451" s="268"/>
      <c r="PEA451" s="268"/>
      <c r="PEB451" s="268"/>
      <c r="PEC451" s="268"/>
      <c r="PED451" s="268"/>
      <c r="PEE451" s="268"/>
      <c r="PEF451" s="268"/>
      <c r="PEG451" s="268"/>
      <c r="PEH451" s="268"/>
      <c r="PEI451" s="268"/>
      <c r="PEJ451" s="268"/>
      <c r="PEK451" s="268"/>
      <c r="PEL451" s="268"/>
      <c r="PEM451" s="268"/>
      <c r="PEN451" s="268"/>
      <c r="PEO451" s="268"/>
      <c r="PEP451" s="268"/>
      <c r="PEQ451" s="268"/>
      <c r="PER451" s="268"/>
      <c r="PES451" s="268"/>
      <c r="PET451" s="268"/>
      <c r="PEU451" s="268"/>
      <c r="PEV451" s="268"/>
      <c r="PEW451" s="268"/>
      <c r="PEX451" s="268"/>
      <c r="PEY451" s="268"/>
      <c r="PEZ451" s="268"/>
      <c r="PFA451" s="268"/>
      <c r="PFB451" s="268"/>
      <c r="PFC451" s="268"/>
      <c r="PFD451" s="268"/>
      <c r="PFE451" s="268"/>
      <c r="PFF451" s="268"/>
      <c r="PFG451" s="268"/>
      <c r="PFH451" s="268"/>
      <c r="PFI451" s="268"/>
      <c r="PFJ451" s="268"/>
      <c r="PFK451" s="268"/>
      <c r="PFL451" s="268"/>
      <c r="PFM451" s="268"/>
      <c r="PFN451" s="268"/>
      <c r="PFO451" s="268"/>
      <c r="PFP451" s="268"/>
      <c r="PFQ451" s="268"/>
      <c r="PFR451" s="268"/>
      <c r="PFS451" s="268"/>
      <c r="PFT451" s="268"/>
      <c r="PFU451" s="268"/>
      <c r="PFV451" s="268"/>
      <c r="PFW451" s="268"/>
      <c r="PFX451" s="268"/>
      <c r="PFY451" s="268"/>
      <c r="PFZ451" s="268"/>
      <c r="PGA451" s="268"/>
      <c r="PGO451" s="268"/>
      <c r="PGP451" s="268"/>
      <c r="PGQ451" s="268"/>
      <c r="PHE451" s="268"/>
      <c r="PHG451" s="268"/>
      <c r="PHH451" s="268"/>
      <c r="PHI451" s="268"/>
      <c r="PHJ451" s="268"/>
      <c r="PHK451" s="268"/>
      <c r="PHL451" s="268"/>
      <c r="PHM451" s="268"/>
      <c r="PHN451" s="268"/>
      <c r="PHO451" s="268"/>
      <c r="PHP451" s="268"/>
      <c r="PHQ451" s="268"/>
      <c r="PHR451" s="268"/>
      <c r="PHS451" s="268"/>
      <c r="PHT451" s="268"/>
      <c r="PHU451" s="268"/>
      <c r="PHV451" s="268"/>
      <c r="PHW451" s="268"/>
      <c r="PHX451" s="268"/>
      <c r="PHY451" s="268"/>
      <c r="PHZ451" s="268"/>
      <c r="PIA451" s="268"/>
      <c r="PIB451" s="268"/>
      <c r="PIC451" s="268"/>
      <c r="PID451" s="268"/>
      <c r="PIE451" s="268"/>
      <c r="PIF451" s="268"/>
      <c r="PIG451" s="268"/>
      <c r="PIH451" s="268"/>
      <c r="PII451" s="268"/>
      <c r="PIJ451" s="268"/>
      <c r="PIK451" s="268"/>
      <c r="PIL451" s="268"/>
      <c r="PIM451" s="268"/>
      <c r="PIN451" s="268"/>
      <c r="PIO451" s="268"/>
      <c r="PIP451" s="268"/>
      <c r="PIQ451" s="268"/>
      <c r="PIR451" s="268"/>
      <c r="PIS451" s="268"/>
      <c r="PIT451" s="268"/>
      <c r="PIU451" s="268"/>
      <c r="PIV451" s="268"/>
      <c r="PIW451" s="268"/>
      <c r="PIX451" s="268"/>
      <c r="PIY451" s="268"/>
      <c r="PIZ451" s="268"/>
      <c r="PJA451" s="268"/>
      <c r="PJB451" s="268"/>
      <c r="PJC451" s="268"/>
      <c r="PJD451" s="268"/>
      <c r="PJE451" s="268"/>
      <c r="PJF451" s="268"/>
      <c r="PJG451" s="268"/>
      <c r="PJH451" s="268"/>
      <c r="PJI451" s="268"/>
      <c r="PJJ451" s="268"/>
      <c r="PJK451" s="268"/>
      <c r="PJL451" s="268"/>
      <c r="PJM451" s="268"/>
      <c r="PJN451" s="268"/>
      <c r="PJO451" s="268"/>
      <c r="PJP451" s="268"/>
      <c r="PJQ451" s="268"/>
      <c r="PJR451" s="268"/>
      <c r="PJS451" s="268"/>
      <c r="PJT451" s="268"/>
      <c r="PJU451" s="268"/>
      <c r="PJV451" s="268"/>
      <c r="PJW451" s="268"/>
      <c r="PJX451" s="268"/>
      <c r="PJY451" s="268"/>
      <c r="PJZ451" s="268"/>
      <c r="PKA451" s="268"/>
      <c r="PKB451" s="268"/>
      <c r="PKC451" s="268"/>
      <c r="PKD451" s="268"/>
      <c r="PKE451" s="268"/>
      <c r="PKF451" s="268"/>
      <c r="PKG451" s="268"/>
      <c r="PKH451" s="268"/>
      <c r="PKI451" s="268"/>
      <c r="PKJ451" s="268"/>
      <c r="PKK451" s="268"/>
      <c r="PKL451" s="268"/>
      <c r="PKM451" s="268"/>
      <c r="PKN451" s="268"/>
      <c r="PKO451" s="268"/>
      <c r="PKP451" s="268"/>
      <c r="PKQ451" s="268"/>
      <c r="PKR451" s="268"/>
      <c r="PKS451" s="268"/>
      <c r="PKT451" s="268"/>
      <c r="PKU451" s="268"/>
      <c r="PKV451" s="268"/>
      <c r="PKW451" s="268"/>
      <c r="PKX451" s="268"/>
      <c r="PKY451" s="268"/>
      <c r="PKZ451" s="268"/>
      <c r="PLA451" s="268"/>
      <c r="PLB451" s="268"/>
      <c r="PLC451" s="268"/>
      <c r="PLD451" s="268"/>
      <c r="PLE451" s="268"/>
      <c r="PLF451" s="268"/>
      <c r="PLG451" s="268"/>
      <c r="PLH451" s="268"/>
      <c r="PLI451" s="268"/>
      <c r="PLJ451" s="268"/>
      <c r="PLK451" s="268"/>
      <c r="PLL451" s="268"/>
      <c r="PLM451" s="268"/>
      <c r="PLN451" s="268"/>
      <c r="PLO451" s="268"/>
      <c r="PLP451" s="268"/>
      <c r="PLQ451" s="268"/>
      <c r="PLR451" s="268"/>
      <c r="PLS451" s="268"/>
      <c r="PLT451" s="268"/>
      <c r="PLU451" s="268"/>
      <c r="PLV451" s="268"/>
      <c r="PLW451" s="268"/>
      <c r="PLX451" s="268"/>
      <c r="PLY451" s="268"/>
      <c r="PLZ451" s="268"/>
      <c r="PMA451" s="268"/>
      <c r="PMB451" s="268"/>
      <c r="PMC451" s="268"/>
      <c r="PMD451" s="268"/>
      <c r="PME451" s="268"/>
      <c r="PMF451" s="268"/>
      <c r="PMG451" s="268"/>
      <c r="PMH451" s="268"/>
      <c r="PMI451" s="268"/>
      <c r="PMJ451" s="268"/>
      <c r="PMK451" s="268"/>
      <c r="PML451" s="268"/>
      <c r="PMM451" s="268"/>
      <c r="PMN451" s="268"/>
      <c r="PMO451" s="268"/>
      <c r="PMP451" s="268"/>
      <c r="PMQ451" s="268"/>
      <c r="PMR451" s="268"/>
      <c r="PMS451" s="268"/>
      <c r="PMT451" s="268"/>
      <c r="PMU451" s="268"/>
      <c r="PMV451" s="268"/>
      <c r="PMW451" s="268"/>
      <c r="PMX451" s="268"/>
      <c r="PMY451" s="268"/>
      <c r="PMZ451" s="268"/>
      <c r="PNA451" s="268"/>
      <c r="PNB451" s="268"/>
      <c r="PNC451" s="268"/>
      <c r="PND451" s="268"/>
      <c r="PNE451" s="268"/>
      <c r="PNF451" s="268"/>
      <c r="PNG451" s="268"/>
      <c r="PNH451" s="268"/>
      <c r="PNI451" s="268"/>
      <c r="PNJ451" s="268"/>
      <c r="PNK451" s="268"/>
      <c r="PNL451" s="268"/>
      <c r="PNM451" s="268"/>
      <c r="PNN451" s="268"/>
      <c r="PNO451" s="268"/>
      <c r="PNP451" s="268"/>
      <c r="PNQ451" s="268"/>
      <c r="PNR451" s="268"/>
      <c r="PNS451" s="268"/>
      <c r="PNT451" s="268"/>
      <c r="PNU451" s="268"/>
      <c r="PNV451" s="268"/>
      <c r="PNW451" s="268"/>
      <c r="PNX451" s="268"/>
      <c r="PNY451" s="268"/>
      <c r="PNZ451" s="268"/>
      <c r="POA451" s="268"/>
      <c r="POB451" s="268"/>
      <c r="POC451" s="268"/>
      <c r="POD451" s="268"/>
      <c r="POE451" s="268"/>
      <c r="POF451" s="268"/>
      <c r="POG451" s="268"/>
      <c r="POH451" s="268"/>
      <c r="POI451" s="268"/>
      <c r="POJ451" s="268"/>
      <c r="POK451" s="268"/>
      <c r="POL451" s="268"/>
      <c r="POM451" s="268"/>
      <c r="PON451" s="268"/>
      <c r="POO451" s="268"/>
      <c r="POP451" s="268"/>
      <c r="POQ451" s="268"/>
      <c r="POR451" s="268"/>
      <c r="POS451" s="268"/>
      <c r="POT451" s="268"/>
      <c r="POU451" s="268"/>
      <c r="POV451" s="268"/>
      <c r="POW451" s="268"/>
      <c r="POX451" s="268"/>
      <c r="POY451" s="268"/>
      <c r="POZ451" s="268"/>
      <c r="PPA451" s="268"/>
      <c r="PPB451" s="268"/>
      <c r="PPC451" s="268"/>
      <c r="PPD451" s="268"/>
      <c r="PPE451" s="268"/>
      <c r="PPF451" s="268"/>
      <c r="PPG451" s="268"/>
      <c r="PPH451" s="268"/>
      <c r="PPI451" s="268"/>
      <c r="PPJ451" s="268"/>
      <c r="PPK451" s="268"/>
      <c r="PPL451" s="268"/>
      <c r="PPM451" s="268"/>
      <c r="PPN451" s="268"/>
      <c r="PPO451" s="268"/>
      <c r="PPP451" s="268"/>
      <c r="PPQ451" s="268"/>
      <c r="PPR451" s="268"/>
      <c r="PPS451" s="268"/>
      <c r="PPT451" s="268"/>
      <c r="PPU451" s="268"/>
      <c r="PPV451" s="268"/>
      <c r="PPW451" s="268"/>
      <c r="PQK451" s="268"/>
      <c r="PQL451" s="268"/>
      <c r="PQM451" s="268"/>
      <c r="PRA451" s="268"/>
      <c r="PRC451" s="268"/>
      <c r="PRD451" s="268"/>
      <c r="PRE451" s="268"/>
      <c r="PRF451" s="268"/>
      <c r="PRG451" s="268"/>
      <c r="PRH451" s="268"/>
      <c r="PRI451" s="268"/>
      <c r="PRJ451" s="268"/>
      <c r="PRK451" s="268"/>
      <c r="PRL451" s="268"/>
      <c r="PRM451" s="268"/>
      <c r="PRN451" s="268"/>
      <c r="PRO451" s="268"/>
      <c r="PRP451" s="268"/>
      <c r="PRQ451" s="268"/>
      <c r="PRR451" s="268"/>
      <c r="PRS451" s="268"/>
      <c r="PRT451" s="268"/>
      <c r="PRU451" s="268"/>
      <c r="PRV451" s="268"/>
      <c r="PRW451" s="268"/>
      <c r="PRX451" s="268"/>
      <c r="PRY451" s="268"/>
      <c r="PRZ451" s="268"/>
      <c r="PSA451" s="268"/>
      <c r="PSB451" s="268"/>
      <c r="PSC451" s="268"/>
      <c r="PSD451" s="268"/>
      <c r="PSE451" s="268"/>
      <c r="PSF451" s="268"/>
      <c r="PSG451" s="268"/>
      <c r="PSH451" s="268"/>
      <c r="PSI451" s="268"/>
      <c r="PSJ451" s="268"/>
      <c r="PSK451" s="268"/>
      <c r="PSL451" s="268"/>
      <c r="PSM451" s="268"/>
      <c r="PSN451" s="268"/>
      <c r="PSO451" s="268"/>
      <c r="PSP451" s="268"/>
      <c r="PSQ451" s="268"/>
      <c r="PSR451" s="268"/>
      <c r="PSS451" s="268"/>
      <c r="PST451" s="268"/>
      <c r="PSU451" s="268"/>
      <c r="PSV451" s="268"/>
      <c r="PSW451" s="268"/>
      <c r="PSX451" s="268"/>
      <c r="PSY451" s="268"/>
      <c r="PSZ451" s="268"/>
      <c r="PTA451" s="268"/>
      <c r="PTB451" s="268"/>
      <c r="PTC451" s="268"/>
      <c r="PTD451" s="268"/>
      <c r="PTE451" s="268"/>
      <c r="PTF451" s="268"/>
      <c r="PTG451" s="268"/>
      <c r="PTH451" s="268"/>
      <c r="PTI451" s="268"/>
      <c r="PTJ451" s="268"/>
      <c r="PTK451" s="268"/>
      <c r="PTL451" s="268"/>
      <c r="PTM451" s="268"/>
      <c r="PTN451" s="268"/>
      <c r="PTO451" s="268"/>
      <c r="PTP451" s="268"/>
      <c r="PTQ451" s="268"/>
      <c r="PTR451" s="268"/>
      <c r="PTS451" s="268"/>
      <c r="PTT451" s="268"/>
      <c r="PTU451" s="268"/>
      <c r="PTV451" s="268"/>
      <c r="PTW451" s="268"/>
      <c r="PTX451" s="268"/>
      <c r="PTY451" s="268"/>
      <c r="PTZ451" s="268"/>
      <c r="PUA451" s="268"/>
      <c r="PUB451" s="268"/>
      <c r="PUC451" s="268"/>
      <c r="PUD451" s="268"/>
      <c r="PUE451" s="268"/>
      <c r="PUF451" s="268"/>
      <c r="PUG451" s="268"/>
      <c r="PUH451" s="268"/>
      <c r="PUI451" s="268"/>
      <c r="PUJ451" s="268"/>
      <c r="PUK451" s="268"/>
      <c r="PUL451" s="268"/>
      <c r="PUM451" s="268"/>
      <c r="PUN451" s="268"/>
      <c r="PUO451" s="268"/>
      <c r="PUP451" s="268"/>
      <c r="PUQ451" s="268"/>
      <c r="PUR451" s="268"/>
      <c r="PUS451" s="268"/>
      <c r="PUT451" s="268"/>
      <c r="PUU451" s="268"/>
      <c r="PUV451" s="268"/>
      <c r="PUW451" s="268"/>
      <c r="PUX451" s="268"/>
      <c r="PUY451" s="268"/>
      <c r="PUZ451" s="268"/>
      <c r="PVA451" s="268"/>
      <c r="PVB451" s="268"/>
      <c r="PVC451" s="268"/>
      <c r="PVD451" s="268"/>
      <c r="PVE451" s="268"/>
      <c r="PVF451" s="268"/>
      <c r="PVG451" s="268"/>
      <c r="PVH451" s="268"/>
      <c r="PVI451" s="268"/>
      <c r="PVJ451" s="268"/>
      <c r="PVK451" s="268"/>
      <c r="PVL451" s="268"/>
      <c r="PVM451" s="268"/>
      <c r="PVN451" s="268"/>
      <c r="PVO451" s="268"/>
      <c r="PVP451" s="268"/>
      <c r="PVQ451" s="268"/>
      <c r="PVR451" s="268"/>
      <c r="PVS451" s="268"/>
      <c r="PVT451" s="268"/>
      <c r="PVU451" s="268"/>
      <c r="PVV451" s="268"/>
      <c r="PVW451" s="268"/>
      <c r="PVX451" s="268"/>
      <c r="PVY451" s="268"/>
      <c r="PVZ451" s="268"/>
      <c r="PWA451" s="268"/>
      <c r="PWB451" s="268"/>
      <c r="PWC451" s="268"/>
      <c r="PWD451" s="268"/>
      <c r="PWE451" s="268"/>
      <c r="PWF451" s="268"/>
      <c r="PWG451" s="268"/>
      <c r="PWH451" s="268"/>
      <c r="PWI451" s="268"/>
      <c r="PWJ451" s="268"/>
      <c r="PWK451" s="268"/>
      <c r="PWL451" s="268"/>
      <c r="PWM451" s="268"/>
      <c r="PWN451" s="268"/>
      <c r="PWO451" s="268"/>
      <c r="PWP451" s="268"/>
      <c r="PWQ451" s="268"/>
      <c r="PWR451" s="268"/>
      <c r="PWS451" s="268"/>
      <c r="PWT451" s="268"/>
      <c r="PWU451" s="268"/>
      <c r="PWV451" s="268"/>
      <c r="PWW451" s="268"/>
      <c r="PWX451" s="268"/>
      <c r="PWY451" s="268"/>
      <c r="PWZ451" s="268"/>
      <c r="PXA451" s="268"/>
      <c r="PXB451" s="268"/>
      <c r="PXC451" s="268"/>
      <c r="PXD451" s="268"/>
      <c r="PXE451" s="268"/>
      <c r="PXF451" s="268"/>
      <c r="PXG451" s="268"/>
      <c r="PXH451" s="268"/>
      <c r="PXI451" s="268"/>
      <c r="PXJ451" s="268"/>
      <c r="PXK451" s="268"/>
      <c r="PXL451" s="268"/>
      <c r="PXM451" s="268"/>
      <c r="PXN451" s="268"/>
      <c r="PXO451" s="268"/>
      <c r="PXP451" s="268"/>
      <c r="PXQ451" s="268"/>
      <c r="PXR451" s="268"/>
      <c r="PXS451" s="268"/>
      <c r="PXT451" s="268"/>
      <c r="PXU451" s="268"/>
      <c r="PXV451" s="268"/>
      <c r="PXW451" s="268"/>
      <c r="PXX451" s="268"/>
      <c r="PXY451" s="268"/>
      <c r="PXZ451" s="268"/>
      <c r="PYA451" s="268"/>
      <c r="PYB451" s="268"/>
      <c r="PYC451" s="268"/>
      <c r="PYD451" s="268"/>
      <c r="PYE451" s="268"/>
      <c r="PYF451" s="268"/>
      <c r="PYG451" s="268"/>
      <c r="PYH451" s="268"/>
      <c r="PYI451" s="268"/>
      <c r="PYJ451" s="268"/>
      <c r="PYK451" s="268"/>
      <c r="PYL451" s="268"/>
      <c r="PYM451" s="268"/>
      <c r="PYN451" s="268"/>
      <c r="PYO451" s="268"/>
      <c r="PYP451" s="268"/>
      <c r="PYQ451" s="268"/>
      <c r="PYR451" s="268"/>
      <c r="PYS451" s="268"/>
      <c r="PYT451" s="268"/>
      <c r="PYU451" s="268"/>
      <c r="PYV451" s="268"/>
      <c r="PYW451" s="268"/>
      <c r="PYX451" s="268"/>
      <c r="PYY451" s="268"/>
      <c r="PYZ451" s="268"/>
      <c r="PZA451" s="268"/>
      <c r="PZB451" s="268"/>
      <c r="PZC451" s="268"/>
      <c r="PZD451" s="268"/>
      <c r="PZE451" s="268"/>
      <c r="PZF451" s="268"/>
      <c r="PZG451" s="268"/>
      <c r="PZH451" s="268"/>
      <c r="PZI451" s="268"/>
      <c r="PZJ451" s="268"/>
      <c r="PZK451" s="268"/>
      <c r="PZL451" s="268"/>
      <c r="PZM451" s="268"/>
      <c r="PZN451" s="268"/>
      <c r="PZO451" s="268"/>
      <c r="PZP451" s="268"/>
      <c r="PZQ451" s="268"/>
      <c r="PZR451" s="268"/>
      <c r="PZS451" s="268"/>
      <c r="QAG451" s="268"/>
      <c r="QAH451" s="268"/>
      <c r="QAI451" s="268"/>
      <c r="QAW451" s="268"/>
      <c r="QAY451" s="268"/>
      <c r="QAZ451" s="268"/>
      <c r="QBA451" s="268"/>
      <c r="QBB451" s="268"/>
      <c r="QBC451" s="268"/>
      <c r="QBD451" s="268"/>
      <c r="QBE451" s="268"/>
      <c r="QBF451" s="268"/>
      <c r="QBG451" s="268"/>
      <c r="QBH451" s="268"/>
      <c r="QBI451" s="268"/>
      <c r="QBJ451" s="268"/>
      <c r="QBK451" s="268"/>
      <c r="QBL451" s="268"/>
      <c r="QBM451" s="268"/>
      <c r="QBN451" s="268"/>
      <c r="QBO451" s="268"/>
      <c r="QBP451" s="268"/>
      <c r="QBQ451" s="268"/>
      <c r="QBR451" s="268"/>
      <c r="QBS451" s="268"/>
      <c r="QBT451" s="268"/>
      <c r="QBU451" s="268"/>
      <c r="QBV451" s="268"/>
      <c r="QBW451" s="268"/>
      <c r="QBX451" s="268"/>
      <c r="QBY451" s="268"/>
      <c r="QBZ451" s="268"/>
      <c r="QCA451" s="268"/>
      <c r="QCB451" s="268"/>
      <c r="QCC451" s="268"/>
      <c r="QCD451" s="268"/>
      <c r="QCE451" s="268"/>
      <c r="QCF451" s="268"/>
      <c r="QCG451" s="268"/>
      <c r="QCH451" s="268"/>
      <c r="QCI451" s="268"/>
      <c r="QCJ451" s="268"/>
      <c r="QCK451" s="268"/>
      <c r="QCL451" s="268"/>
      <c r="QCM451" s="268"/>
      <c r="QCN451" s="268"/>
      <c r="QCO451" s="268"/>
      <c r="QCP451" s="268"/>
      <c r="QCQ451" s="268"/>
      <c r="QCR451" s="268"/>
      <c r="QCS451" s="268"/>
      <c r="QCT451" s="268"/>
      <c r="QCU451" s="268"/>
      <c r="QCV451" s="268"/>
      <c r="QCW451" s="268"/>
      <c r="QCX451" s="268"/>
      <c r="QCY451" s="268"/>
      <c r="QCZ451" s="268"/>
      <c r="QDA451" s="268"/>
      <c r="QDB451" s="268"/>
      <c r="QDC451" s="268"/>
      <c r="QDD451" s="268"/>
      <c r="QDE451" s="268"/>
      <c r="QDF451" s="268"/>
      <c r="QDG451" s="268"/>
      <c r="QDH451" s="268"/>
      <c r="QDI451" s="268"/>
      <c r="QDJ451" s="268"/>
      <c r="QDK451" s="268"/>
      <c r="QDL451" s="268"/>
      <c r="QDM451" s="268"/>
      <c r="QDN451" s="268"/>
      <c r="QDO451" s="268"/>
      <c r="QDP451" s="268"/>
      <c r="QDQ451" s="268"/>
      <c r="QDR451" s="268"/>
      <c r="QDS451" s="268"/>
      <c r="QDT451" s="268"/>
      <c r="QDU451" s="268"/>
      <c r="QDV451" s="268"/>
      <c r="QDW451" s="268"/>
      <c r="QDX451" s="268"/>
      <c r="QDY451" s="268"/>
      <c r="QDZ451" s="268"/>
      <c r="QEA451" s="268"/>
      <c r="QEB451" s="268"/>
      <c r="QEC451" s="268"/>
      <c r="QED451" s="268"/>
      <c r="QEE451" s="268"/>
      <c r="QEF451" s="268"/>
      <c r="QEG451" s="268"/>
      <c r="QEH451" s="268"/>
      <c r="QEI451" s="268"/>
      <c r="QEJ451" s="268"/>
      <c r="QEK451" s="268"/>
      <c r="QEL451" s="268"/>
      <c r="QEM451" s="268"/>
      <c r="QEN451" s="268"/>
      <c r="QEO451" s="268"/>
      <c r="QEP451" s="268"/>
      <c r="QEQ451" s="268"/>
      <c r="QER451" s="268"/>
      <c r="QES451" s="268"/>
      <c r="QET451" s="268"/>
      <c r="QEU451" s="268"/>
      <c r="QEV451" s="268"/>
      <c r="QEW451" s="268"/>
      <c r="QEX451" s="268"/>
      <c r="QEY451" s="268"/>
      <c r="QEZ451" s="268"/>
      <c r="QFA451" s="268"/>
      <c r="QFB451" s="268"/>
      <c r="QFC451" s="268"/>
      <c r="QFD451" s="268"/>
      <c r="QFE451" s="268"/>
      <c r="QFF451" s="268"/>
      <c r="QFG451" s="268"/>
      <c r="QFH451" s="268"/>
      <c r="QFI451" s="268"/>
      <c r="QFJ451" s="268"/>
      <c r="QFK451" s="268"/>
      <c r="QFL451" s="268"/>
      <c r="QFM451" s="268"/>
      <c r="QFN451" s="268"/>
      <c r="QFO451" s="268"/>
      <c r="QFP451" s="268"/>
      <c r="QFQ451" s="268"/>
      <c r="QFR451" s="268"/>
      <c r="QFS451" s="268"/>
      <c r="QFT451" s="268"/>
      <c r="QFU451" s="268"/>
      <c r="QFV451" s="268"/>
      <c r="QFW451" s="268"/>
      <c r="QFX451" s="268"/>
      <c r="QFY451" s="268"/>
      <c r="QFZ451" s="268"/>
      <c r="QGA451" s="268"/>
      <c r="QGB451" s="268"/>
      <c r="QGC451" s="268"/>
      <c r="QGD451" s="268"/>
      <c r="QGE451" s="268"/>
      <c r="QGF451" s="268"/>
      <c r="QGG451" s="268"/>
      <c r="QGH451" s="268"/>
      <c r="QGI451" s="268"/>
      <c r="QGJ451" s="268"/>
      <c r="QGK451" s="268"/>
      <c r="QGL451" s="268"/>
      <c r="QGM451" s="268"/>
      <c r="QGN451" s="268"/>
      <c r="QGO451" s="268"/>
      <c r="QGP451" s="268"/>
      <c r="QGQ451" s="268"/>
      <c r="QGR451" s="268"/>
      <c r="QGS451" s="268"/>
      <c r="QGT451" s="268"/>
      <c r="QGU451" s="268"/>
      <c r="QGV451" s="268"/>
      <c r="QGW451" s="268"/>
      <c r="QGX451" s="268"/>
      <c r="QGY451" s="268"/>
      <c r="QGZ451" s="268"/>
      <c r="QHA451" s="268"/>
      <c r="QHB451" s="268"/>
      <c r="QHC451" s="268"/>
      <c r="QHD451" s="268"/>
      <c r="QHE451" s="268"/>
      <c r="QHF451" s="268"/>
      <c r="QHG451" s="268"/>
      <c r="QHH451" s="268"/>
      <c r="QHI451" s="268"/>
      <c r="QHJ451" s="268"/>
      <c r="QHK451" s="268"/>
      <c r="QHL451" s="268"/>
      <c r="QHM451" s="268"/>
      <c r="QHN451" s="268"/>
      <c r="QHO451" s="268"/>
      <c r="QHP451" s="268"/>
      <c r="QHQ451" s="268"/>
      <c r="QHR451" s="268"/>
      <c r="QHS451" s="268"/>
      <c r="QHT451" s="268"/>
      <c r="QHU451" s="268"/>
      <c r="QHV451" s="268"/>
      <c r="QHW451" s="268"/>
      <c r="QHX451" s="268"/>
      <c r="QHY451" s="268"/>
      <c r="QHZ451" s="268"/>
      <c r="QIA451" s="268"/>
      <c r="QIB451" s="268"/>
      <c r="QIC451" s="268"/>
      <c r="QID451" s="268"/>
      <c r="QIE451" s="268"/>
      <c r="QIF451" s="268"/>
      <c r="QIG451" s="268"/>
      <c r="QIH451" s="268"/>
      <c r="QII451" s="268"/>
      <c r="QIJ451" s="268"/>
      <c r="QIK451" s="268"/>
      <c r="QIL451" s="268"/>
      <c r="QIM451" s="268"/>
      <c r="QIN451" s="268"/>
      <c r="QIO451" s="268"/>
      <c r="QIP451" s="268"/>
      <c r="QIQ451" s="268"/>
      <c r="QIR451" s="268"/>
      <c r="QIS451" s="268"/>
      <c r="QIT451" s="268"/>
      <c r="QIU451" s="268"/>
      <c r="QIV451" s="268"/>
      <c r="QIW451" s="268"/>
      <c r="QIX451" s="268"/>
      <c r="QIY451" s="268"/>
      <c r="QIZ451" s="268"/>
      <c r="QJA451" s="268"/>
      <c r="QJB451" s="268"/>
      <c r="QJC451" s="268"/>
      <c r="QJD451" s="268"/>
      <c r="QJE451" s="268"/>
      <c r="QJF451" s="268"/>
      <c r="QJG451" s="268"/>
      <c r="QJH451" s="268"/>
      <c r="QJI451" s="268"/>
      <c r="QJJ451" s="268"/>
      <c r="QJK451" s="268"/>
      <c r="QJL451" s="268"/>
      <c r="QJM451" s="268"/>
      <c r="QJN451" s="268"/>
      <c r="QJO451" s="268"/>
      <c r="QKC451" s="268"/>
      <c r="QKD451" s="268"/>
      <c r="QKE451" s="268"/>
      <c r="QKS451" s="268"/>
      <c r="QKU451" s="268"/>
      <c r="QKV451" s="268"/>
      <c r="QKW451" s="268"/>
      <c r="QKX451" s="268"/>
      <c r="QKY451" s="268"/>
      <c r="QKZ451" s="268"/>
      <c r="QLA451" s="268"/>
      <c r="QLB451" s="268"/>
      <c r="QLC451" s="268"/>
      <c r="QLD451" s="268"/>
      <c r="QLE451" s="268"/>
      <c r="QLF451" s="268"/>
      <c r="QLG451" s="268"/>
      <c r="QLH451" s="268"/>
      <c r="QLI451" s="268"/>
      <c r="QLJ451" s="268"/>
      <c r="QLK451" s="268"/>
      <c r="QLL451" s="268"/>
      <c r="QLM451" s="268"/>
      <c r="QLN451" s="268"/>
      <c r="QLO451" s="268"/>
      <c r="QLP451" s="268"/>
      <c r="QLQ451" s="268"/>
      <c r="QLR451" s="268"/>
      <c r="QLS451" s="268"/>
      <c r="QLT451" s="268"/>
      <c r="QLU451" s="268"/>
      <c r="QLV451" s="268"/>
      <c r="QLW451" s="268"/>
      <c r="QLX451" s="268"/>
      <c r="QLY451" s="268"/>
      <c r="QLZ451" s="268"/>
      <c r="QMA451" s="268"/>
      <c r="QMB451" s="268"/>
      <c r="QMC451" s="268"/>
      <c r="QMD451" s="268"/>
      <c r="QME451" s="268"/>
      <c r="QMF451" s="268"/>
      <c r="QMG451" s="268"/>
      <c r="QMH451" s="268"/>
      <c r="QMI451" s="268"/>
      <c r="QMJ451" s="268"/>
      <c r="QMK451" s="268"/>
      <c r="QML451" s="268"/>
      <c r="QMM451" s="268"/>
      <c r="QMN451" s="268"/>
      <c r="QMO451" s="268"/>
      <c r="QMP451" s="268"/>
      <c r="QMQ451" s="268"/>
      <c r="QMR451" s="268"/>
      <c r="QMS451" s="268"/>
      <c r="QMT451" s="268"/>
      <c r="QMU451" s="268"/>
      <c r="QMV451" s="268"/>
      <c r="QMW451" s="268"/>
      <c r="QMX451" s="268"/>
      <c r="QMY451" s="268"/>
      <c r="QMZ451" s="268"/>
      <c r="QNA451" s="268"/>
      <c r="QNB451" s="268"/>
      <c r="QNC451" s="268"/>
      <c r="QND451" s="268"/>
      <c r="QNE451" s="268"/>
      <c r="QNF451" s="268"/>
      <c r="QNG451" s="268"/>
      <c r="QNH451" s="268"/>
      <c r="QNI451" s="268"/>
      <c r="QNJ451" s="268"/>
      <c r="QNK451" s="268"/>
      <c r="QNL451" s="268"/>
      <c r="QNM451" s="268"/>
      <c r="QNN451" s="268"/>
      <c r="QNO451" s="268"/>
      <c r="QNP451" s="268"/>
      <c r="QNQ451" s="268"/>
      <c r="QNR451" s="268"/>
      <c r="QNS451" s="268"/>
      <c r="QNT451" s="268"/>
      <c r="QNU451" s="268"/>
      <c r="QNV451" s="268"/>
      <c r="QNW451" s="268"/>
      <c r="QNX451" s="268"/>
      <c r="QNY451" s="268"/>
      <c r="QNZ451" s="268"/>
      <c r="QOA451" s="268"/>
      <c r="QOB451" s="268"/>
      <c r="QOC451" s="268"/>
      <c r="QOD451" s="268"/>
      <c r="QOE451" s="268"/>
      <c r="QOF451" s="268"/>
      <c r="QOG451" s="268"/>
      <c r="QOH451" s="268"/>
      <c r="QOI451" s="268"/>
      <c r="QOJ451" s="268"/>
      <c r="QOK451" s="268"/>
      <c r="QOL451" s="268"/>
      <c r="QOM451" s="268"/>
      <c r="QON451" s="268"/>
      <c r="QOO451" s="268"/>
      <c r="QOP451" s="268"/>
      <c r="QOQ451" s="268"/>
      <c r="QOR451" s="268"/>
      <c r="QOS451" s="268"/>
      <c r="QOT451" s="268"/>
      <c r="QOU451" s="268"/>
      <c r="QOV451" s="268"/>
      <c r="QOW451" s="268"/>
      <c r="QOX451" s="268"/>
      <c r="QOY451" s="268"/>
      <c r="QOZ451" s="268"/>
      <c r="QPA451" s="268"/>
      <c r="QPB451" s="268"/>
      <c r="QPC451" s="268"/>
      <c r="QPD451" s="268"/>
      <c r="QPE451" s="268"/>
      <c r="QPF451" s="268"/>
      <c r="QPG451" s="268"/>
      <c r="QPH451" s="268"/>
      <c r="QPI451" s="268"/>
      <c r="QPJ451" s="268"/>
      <c r="QPK451" s="268"/>
      <c r="QPL451" s="268"/>
      <c r="QPM451" s="268"/>
      <c r="QPN451" s="268"/>
      <c r="QPO451" s="268"/>
      <c r="QPP451" s="268"/>
      <c r="QPQ451" s="268"/>
      <c r="QPR451" s="268"/>
      <c r="QPS451" s="268"/>
      <c r="QPT451" s="268"/>
      <c r="QPU451" s="268"/>
      <c r="QPV451" s="268"/>
      <c r="QPW451" s="268"/>
      <c r="QPX451" s="268"/>
      <c r="QPY451" s="268"/>
      <c r="QPZ451" s="268"/>
      <c r="QQA451" s="268"/>
      <c r="QQB451" s="268"/>
      <c r="QQC451" s="268"/>
      <c r="QQD451" s="268"/>
      <c r="QQE451" s="268"/>
      <c r="QQF451" s="268"/>
      <c r="QQG451" s="268"/>
      <c r="QQH451" s="268"/>
      <c r="QQI451" s="268"/>
      <c r="QQJ451" s="268"/>
      <c r="QQK451" s="268"/>
      <c r="QQL451" s="268"/>
      <c r="QQM451" s="268"/>
      <c r="QQN451" s="268"/>
      <c r="QQO451" s="268"/>
      <c r="QQP451" s="268"/>
      <c r="QQQ451" s="268"/>
      <c r="QQR451" s="268"/>
      <c r="QQS451" s="268"/>
      <c r="QQT451" s="268"/>
      <c r="QQU451" s="268"/>
      <c r="QQV451" s="268"/>
      <c r="QQW451" s="268"/>
      <c r="QQX451" s="268"/>
      <c r="QQY451" s="268"/>
      <c r="QQZ451" s="268"/>
      <c r="QRA451" s="268"/>
      <c r="QRB451" s="268"/>
      <c r="QRC451" s="268"/>
      <c r="QRD451" s="268"/>
      <c r="QRE451" s="268"/>
      <c r="QRF451" s="268"/>
      <c r="QRG451" s="268"/>
      <c r="QRH451" s="268"/>
      <c r="QRI451" s="268"/>
      <c r="QRJ451" s="268"/>
      <c r="QRK451" s="268"/>
      <c r="QRL451" s="268"/>
      <c r="QRM451" s="268"/>
      <c r="QRN451" s="268"/>
      <c r="QRO451" s="268"/>
      <c r="QRP451" s="268"/>
      <c r="QRQ451" s="268"/>
      <c r="QRR451" s="268"/>
      <c r="QRS451" s="268"/>
      <c r="QRT451" s="268"/>
      <c r="QRU451" s="268"/>
      <c r="QRV451" s="268"/>
      <c r="QRW451" s="268"/>
      <c r="QRX451" s="268"/>
      <c r="QRY451" s="268"/>
      <c r="QRZ451" s="268"/>
      <c r="QSA451" s="268"/>
      <c r="QSB451" s="268"/>
      <c r="QSC451" s="268"/>
      <c r="QSD451" s="268"/>
      <c r="QSE451" s="268"/>
      <c r="QSF451" s="268"/>
      <c r="QSG451" s="268"/>
      <c r="QSH451" s="268"/>
      <c r="QSI451" s="268"/>
      <c r="QSJ451" s="268"/>
      <c r="QSK451" s="268"/>
      <c r="QSL451" s="268"/>
      <c r="QSM451" s="268"/>
      <c r="QSN451" s="268"/>
      <c r="QSO451" s="268"/>
      <c r="QSP451" s="268"/>
      <c r="QSQ451" s="268"/>
      <c r="QSR451" s="268"/>
      <c r="QSS451" s="268"/>
      <c r="QST451" s="268"/>
      <c r="QSU451" s="268"/>
      <c r="QSV451" s="268"/>
      <c r="QSW451" s="268"/>
      <c r="QSX451" s="268"/>
      <c r="QSY451" s="268"/>
      <c r="QSZ451" s="268"/>
      <c r="QTA451" s="268"/>
      <c r="QTB451" s="268"/>
      <c r="QTC451" s="268"/>
      <c r="QTD451" s="268"/>
      <c r="QTE451" s="268"/>
      <c r="QTF451" s="268"/>
      <c r="QTG451" s="268"/>
      <c r="QTH451" s="268"/>
      <c r="QTI451" s="268"/>
      <c r="QTJ451" s="268"/>
      <c r="QTK451" s="268"/>
      <c r="QTY451" s="268"/>
      <c r="QTZ451" s="268"/>
      <c r="QUA451" s="268"/>
      <c r="QUO451" s="268"/>
      <c r="QUQ451" s="268"/>
      <c r="QUR451" s="268"/>
      <c r="QUS451" s="268"/>
      <c r="QUT451" s="268"/>
      <c r="QUU451" s="268"/>
      <c r="QUV451" s="268"/>
      <c r="QUW451" s="268"/>
      <c r="QUX451" s="268"/>
      <c r="QUY451" s="268"/>
      <c r="QUZ451" s="268"/>
      <c r="QVA451" s="268"/>
      <c r="QVB451" s="268"/>
      <c r="QVC451" s="268"/>
      <c r="QVD451" s="268"/>
      <c r="QVE451" s="268"/>
      <c r="QVF451" s="268"/>
      <c r="QVG451" s="268"/>
      <c r="QVH451" s="268"/>
      <c r="QVI451" s="268"/>
      <c r="QVJ451" s="268"/>
      <c r="QVK451" s="268"/>
      <c r="QVL451" s="268"/>
      <c r="QVM451" s="268"/>
      <c r="QVN451" s="268"/>
      <c r="QVO451" s="268"/>
      <c r="QVP451" s="268"/>
      <c r="QVQ451" s="268"/>
      <c r="QVR451" s="268"/>
      <c r="QVS451" s="268"/>
      <c r="QVT451" s="268"/>
      <c r="QVU451" s="268"/>
      <c r="QVV451" s="268"/>
      <c r="QVW451" s="268"/>
      <c r="QVX451" s="268"/>
      <c r="QVY451" s="268"/>
      <c r="QVZ451" s="268"/>
      <c r="QWA451" s="268"/>
      <c r="QWB451" s="268"/>
      <c r="QWC451" s="268"/>
      <c r="QWD451" s="268"/>
      <c r="QWE451" s="268"/>
      <c r="QWF451" s="268"/>
      <c r="QWG451" s="268"/>
      <c r="QWH451" s="268"/>
      <c r="QWI451" s="268"/>
      <c r="QWJ451" s="268"/>
      <c r="QWK451" s="268"/>
      <c r="QWL451" s="268"/>
      <c r="QWM451" s="268"/>
      <c r="QWN451" s="268"/>
      <c r="QWO451" s="268"/>
      <c r="QWP451" s="268"/>
      <c r="QWQ451" s="268"/>
      <c r="QWR451" s="268"/>
      <c r="QWS451" s="268"/>
      <c r="QWT451" s="268"/>
      <c r="QWU451" s="268"/>
      <c r="QWV451" s="268"/>
      <c r="QWW451" s="268"/>
      <c r="QWX451" s="268"/>
      <c r="QWY451" s="268"/>
      <c r="QWZ451" s="268"/>
      <c r="QXA451" s="268"/>
      <c r="QXB451" s="268"/>
      <c r="QXC451" s="268"/>
      <c r="QXD451" s="268"/>
      <c r="QXE451" s="268"/>
      <c r="QXF451" s="268"/>
      <c r="QXG451" s="268"/>
      <c r="QXH451" s="268"/>
      <c r="QXI451" s="268"/>
      <c r="QXJ451" s="268"/>
      <c r="QXK451" s="268"/>
      <c r="QXL451" s="268"/>
      <c r="QXM451" s="268"/>
      <c r="QXN451" s="268"/>
      <c r="QXO451" s="268"/>
      <c r="QXP451" s="268"/>
      <c r="QXQ451" s="268"/>
      <c r="QXR451" s="268"/>
      <c r="QXS451" s="268"/>
      <c r="QXT451" s="268"/>
      <c r="QXU451" s="268"/>
      <c r="QXV451" s="268"/>
      <c r="QXW451" s="268"/>
      <c r="QXX451" s="268"/>
      <c r="QXY451" s="268"/>
      <c r="QXZ451" s="268"/>
      <c r="QYA451" s="268"/>
      <c r="QYB451" s="268"/>
      <c r="QYC451" s="268"/>
      <c r="QYD451" s="268"/>
      <c r="QYE451" s="268"/>
      <c r="QYF451" s="268"/>
      <c r="QYG451" s="268"/>
      <c r="QYH451" s="268"/>
      <c r="QYI451" s="268"/>
      <c r="QYJ451" s="268"/>
      <c r="QYK451" s="268"/>
      <c r="QYL451" s="268"/>
      <c r="QYM451" s="268"/>
      <c r="QYN451" s="268"/>
      <c r="QYO451" s="268"/>
      <c r="QYP451" s="268"/>
      <c r="QYQ451" s="268"/>
      <c r="QYR451" s="268"/>
      <c r="QYS451" s="268"/>
      <c r="QYT451" s="268"/>
      <c r="QYU451" s="268"/>
      <c r="QYV451" s="268"/>
      <c r="QYW451" s="268"/>
      <c r="QYX451" s="268"/>
      <c r="QYY451" s="268"/>
      <c r="QYZ451" s="268"/>
      <c r="QZA451" s="268"/>
      <c r="QZB451" s="268"/>
      <c r="QZC451" s="268"/>
      <c r="QZD451" s="268"/>
      <c r="QZE451" s="268"/>
      <c r="QZF451" s="268"/>
      <c r="QZG451" s="268"/>
      <c r="QZH451" s="268"/>
      <c r="QZI451" s="268"/>
      <c r="QZJ451" s="268"/>
      <c r="QZK451" s="268"/>
      <c r="QZL451" s="268"/>
      <c r="QZM451" s="268"/>
      <c r="QZN451" s="268"/>
      <c r="QZO451" s="268"/>
      <c r="QZP451" s="268"/>
      <c r="QZQ451" s="268"/>
      <c r="QZR451" s="268"/>
      <c r="QZS451" s="268"/>
      <c r="QZT451" s="268"/>
      <c r="QZU451" s="268"/>
      <c r="QZV451" s="268"/>
      <c r="QZW451" s="268"/>
      <c r="QZX451" s="268"/>
      <c r="QZY451" s="268"/>
      <c r="QZZ451" s="268"/>
      <c r="RAA451" s="268"/>
      <c r="RAB451" s="268"/>
      <c r="RAC451" s="268"/>
      <c r="RAD451" s="268"/>
      <c r="RAE451" s="268"/>
      <c r="RAF451" s="268"/>
      <c r="RAG451" s="268"/>
      <c r="RAH451" s="268"/>
      <c r="RAI451" s="268"/>
      <c r="RAJ451" s="268"/>
      <c r="RAK451" s="268"/>
      <c r="RAL451" s="268"/>
      <c r="RAM451" s="268"/>
      <c r="RAN451" s="268"/>
      <c r="RAO451" s="268"/>
      <c r="RAP451" s="268"/>
      <c r="RAQ451" s="268"/>
      <c r="RAR451" s="268"/>
      <c r="RAS451" s="268"/>
      <c r="RAT451" s="268"/>
      <c r="RAU451" s="268"/>
      <c r="RAV451" s="268"/>
      <c r="RAW451" s="268"/>
      <c r="RAX451" s="268"/>
      <c r="RAY451" s="268"/>
      <c r="RAZ451" s="268"/>
      <c r="RBA451" s="268"/>
      <c r="RBB451" s="268"/>
      <c r="RBC451" s="268"/>
      <c r="RBD451" s="268"/>
      <c r="RBE451" s="268"/>
      <c r="RBF451" s="268"/>
      <c r="RBG451" s="268"/>
      <c r="RBH451" s="268"/>
      <c r="RBI451" s="268"/>
      <c r="RBJ451" s="268"/>
      <c r="RBK451" s="268"/>
      <c r="RBL451" s="268"/>
      <c r="RBM451" s="268"/>
      <c r="RBN451" s="268"/>
      <c r="RBO451" s="268"/>
      <c r="RBP451" s="268"/>
      <c r="RBQ451" s="268"/>
      <c r="RBR451" s="268"/>
      <c r="RBS451" s="268"/>
      <c r="RBT451" s="268"/>
      <c r="RBU451" s="268"/>
      <c r="RBV451" s="268"/>
      <c r="RBW451" s="268"/>
      <c r="RBX451" s="268"/>
      <c r="RBY451" s="268"/>
      <c r="RBZ451" s="268"/>
      <c r="RCA451" s="268"/>
      <c r="RCB451" s="268"/>
      <c r="RCC451" s="268"/>
      <c r="RCD451" s="268"/>
      <c r="RCE451" s="268"/>
      <c r="RCF451" s="268"/>
      <c r="RCG451" s="268"/>
      <c r="RCH451" s="268"/>
      <c r="RCI451" s="268"/>
      <c r="RCJ451" s="268"/>
      <c r="RCK451" s="268"/>
      <c r="RCL451" s="268"/>
      <c r="RCM451" s="268"/>
      <c r="RCN451" s="268"/>
      <c r="RCO451" s="268"/>
      <c r="RCP451" s="268"/>
      <c r="RCQ451" s="268"/>
      <c r="RCR451" s="268"/>
      <c r="RCS451" s="268"/>
      <c r="RCT451" s="268"/>
      <c r="RCU451" s="268"/>
      <c r="RCV451" s="268"/>
      <c r="RCW451" s="268"/>
      <c r="RCX451" s="268"/>
      <c r="RCY451" s="268"/>
      <c r="RCZ451" s="268"/>
      <c r="RDA451" s="268"/>
      <c r="RDB451" s="268"/>
      <c r="RDC451" s="268"/>
      <c r="RDD451" s="268"/>
      <c r="RDE451" s="268"/>
      <c r="RDF451" s="268"/>
      <c r="RDG451" s="268"/>
      <c r="RDU451" s="268"/>
      <c r="RDV451" s="268"/>
      <c r="RDW451" s="268"/>
      <c r="REK451" s="268"/>
      <c r="REM451" s="268"/>
      <c r="REN451" s="268"/>
      <c r="REO451" s="268"/>
      <c r="REP451" s="268"/>
      <c r="REQ451" s="268"/>
      <c r="RER451" s="268"/>
      <c r="RES451" s="268"/>
      <c r="RET451" s="268"/>
      <c r="REU451" s="268"/>
      <c r="REV451" s="268"/>
      <c r="REW451" s="268"/>
      <c r="REX451" s="268"/>
      <c r="REY451" s="268"/>
      <c r="REZ451" s="268"/>
      <c r="RFA451" s="268"/>
      <c r="RFB451" s="268"/>
      <c r="RFC451" s="268"/>
      <c r="RFD451" s="268"/>
      <c r="RFE451" s="268"/>
      <c r="RFF451" s="268"/>
      <c r="RFG451" s="268"/>
      <c r="RFH451" s="268"/>
      <c r="RFI451" s="268"/>
      <c r="RFJ451" s="268"/>
      <c r="RFK451" s="268"/>
      <c r="RFL451" s="268"/>
      <c r="RFM451" s="268"/>
      <c r="RFN451" s="268"/>
      <c r="RFO451" s="268"/>
      <c r="RFP451" s="268"/>
      <c r="RFQ451" s="268"/>
      <c r="RFR451" s="268"/>
      <c r="RFS451" s="268"/>
      <c r="RFT451" s="268"/>
      <c r="RFU451" s="268"/>
      <c r="RFV451" s="268"/>
      <c r="RFW451" s="268"/>
      <c r="RFX451" s="268"/>
      <c r="RFY451" s="268"/>
      <c r="RFZ451" s="268"/>
      <c r="RGA451" s="268"/>
      <c r="RGB451" s="268"/>
      <c r="RGC451" s="268"/>
      <c r="RGD451" s="268"/>
      <c r="RGE451" s="268"/>
      <c r="RGF451" s="268"/>
      <c r="RGG451" s="268"/>
      <c r="RGH451" s="268"/>
      <c r="RGI451" s="268"/>
      <c r="RGJ451" s="268"/>
      <c r="RGK451" s="268"/>
      <c r="RGL451" s="268"/>
      <c r="RGM451" s="268"/>
      <c r="RGN451" s="268"/>
      <c r="RGO451" s="268"/>
      <c r="RGP451" s="268"/>
      <c r="RGQ451" s="268"/>
      <c r="RGR451" s="268"/>
      <c r="RGS451" s="268"/>
      <c r="RGT451" s="268"/>
      <c r="RGU451" s="268"/>
      <c r="RGV451" s="268"/>
      <c r="RGW451" s="268"/>
      <c r="RGX451" s="268"/>
      <c r="RGY451" s="268"/>
      <c r="RGZ451" s="268"/>
      <c r="RHA451" s="268"/>
      <c r="RHB451" s="268"/>
      <c r="RHC451" s="268"/>
      <c r="RHD451" s="268"/>
      <c r="RHE451" s="268"/>
      <c r="RHF451" s="268"/>
      <c r="RHG451" s="268"/>
      <c r="RHH451" s="268"/>
      <c r="RHI451" s="268"/>
      <c r="RHJ451" s="268"/>
      <c r="RHK451" s="268"/>
      <c r="RHL451" s="268"/>
      <c r="RHM451" s="268"/>
      <c r="RHN451" s="268"/>
      <c r="RHO451" s="268"/>
      <c r="RHP451" s="268"/>
      <c r="RHQ451" s="268"/>
      <c r="RHR451" s="268"/>
      <c r="RHS451" s="268"/>
      <c r="RHT451" s="268"/>
      <c r="RHU451" s="268"/>
      <c r="RHV451" s="268"/>
      <c r="RHW451" s="268"/>
      <c r="RHX451" s="268"/>
      <c r="RHY451" s="268"/>
      <c r="RHZ451" s="268"/>
      <c r="RIA451" s="268"/>
      <c r="RIB451" s="268"/>
      <c r="RIC451" s="268"/>
      <c r="RID451" s="268"/>
      <c r="RIE451" s="268"/>
      <c r="RIF451" s="268"/>
      <c r="RIG451" s="268"/>
      <c r="RIH451" s="268"/>
      <c r="RII451" s="268"/>
      <c r="RIJ451" s="268"/>
      <c r="RIK451" s="268"/>
      <c r="RIL451" s="268"/>
      <c r="RIM451" s="268"/>
      <c r="RIN451" s="268"/>
      <c r="RIO451" s="268"/>
      <c r="RIP451" s="268"/>
      <c r="RIQ451" s="268"/>
      <c r="RIR451" s="268"/>
      <c r="RIS451" s="268"/>
      <c r="RIT451" s="268"/>
      <c r="RIU451" s="268"/>
      <c r="RIV451" s="268"/>
      <c r="RIW451" s="268"/>
      <c r="RIX451" s="268"/>
      <c r="RIY451" s="268"/>
      <c r="RIZ451" s="268"/>
      <c r="RJA451" s="268"/>
      <c r="RJB451" s="268"/>
      <c r="RJC451" s="268"/>
      <c r="RJD451" s="268"/>
      <c r="RJE451" s="268"/>
      <c r="RJF451" s="268"/>
      <c r="RJG451" s="268"/>
      <c r="RJH451" s="268"/>
      <c r="RJI451" s="268"/>
      <c r="RJJ451" s="268"/>
      <c r="RJK451" s="268"/>
      <c r="RJL451" s="268"/>
      <c r="RJM451" s="268"/>
      <c r="RJN451" s="268"/>
      <c r="RJO451" s="268"/>
      <c r="RJP451" s="268"/>
      <c r="RJQ451" s="268"/>
      <c r="RJR451" s="268"/>
      <c r="RJS451" s="268"/>
      <c r="RJT451" s="268"/>
      <c r="RJU451" s="268"/>
      <c r="RJV451" s="268"/>
      <c r="RJW451" s="268"/>
      <c r="RJX451" s="268"/>
      <c r="RJY451" s="268"/>
      <c r="RJZ451" s="268"/>
      <c r="RKA451" s="268"/>
      <c r="RKB451" s="268"/>
      <c r="RKC451" s="268"/>
      <c r="RKD451" s="268"/>
      <c r="RKE451" s="268"/>
      <c r="RKF451" s="268"/>
      <c r="RKG451" s="268"/>
      <c r="RKH451" s="268"/>
      <c r="RKI451" s="268"/>
      <c r="RKJ451" s="268"/>
      <c r="RKK451" s="268"/>
      <c r="RKL451" s="268"/>
      <c r="RKM451" s="268"/>
      <c r="RKN451" s="268"/>
      <c r="RKO451" s="268"/>
      <c r="RKP451" s="268"/>
      <c r="RKQ451" s="268"/>
      <c r="RKR451" s="268"/>
      <c r="RKS451" s="268"/>
      <c r="RKT451" s="268"/>
      <c r="RKU451" s="268"/>
      <c r="RKV451" s="268"/>
      <c r="RKW451" s="268"/>
      <c r="RKX451" s="268"/>
      <c r="RKY451" s="268"/>
      <c r="RKZ451" s="268"/>
      <c r="RLA451" s="268"/>
      <c r="RLB451" s="268"/>
      <c r="RLC451" s="268"/>
      <c r="RLD451" s="268"/>
      <c r="RLE451" s="268"/>
      <c r="RLF451" s="268"/>
      <c r="RLG451" s="268"/>
      <c r="RLH451" s="268"/>
      <c r="RLI451" s="268"/>
      <c r="RLJ451" s="268"/>
      <c r="RLK451" s="268"/>
      <c r="RLL451" s="268"/>
      <c r="RLM451" s="268"/>
      <c r="RLN451" s="268"/>
      <c r="RLO451" s="268"/>
      <c r="RLP451" s="268"/>
      <c r="RLQ451" s="268"/>
      <c r="RLR451" s="268"/>
      <c r="RLS451" s="268"/>
      <c r="RLT451" s="268"/>
      <c r="RLU451" s="268"/>
      <c r="RLV451" s="268"/>
      <c r="RLW451" s="268"/>
      <c r="RLX451" s="268"/>
      <c r="RLY451" s="268"/>
      <c r="RLZ451" s="268"/>
      <c r="RMA451" s="268"/>
      <c r="RMB451" s="268"/>
      <c r="RMC451" s="268"/>
      <c r="RMD451" s="268"/>
      <c r="RME451" s="268"/>
      <c r="RMF451" s="268"/>
      <c r="RMG451" s="268"/>
      <c r="RMH451" s="268"/>
      <c r="RMI451" s="268"/>
      <c r="RMJ451" s="268"/>
      <c r="RMK451" s="268"/>
      <c r="RML451" s="268"/>
      <c r="RMM451" s="268"/>
      <c r="RMN451" s="268"/>
      <c r="RMO451" s="268"/>
      <c r="RMP451" s="268"/>
      <c r="RMQ451" s="268"/>
      <c r="RMR451" s="268"/>
      <c r="RMS451" s="268"/>
      <c r="RMT451" s="268"/>
      <c r="RMU451" s="268"/>
      <c r="RMV451" s="268"/>
      <c r="RMW451" s="268"/>
      <c r="RMX451" s="268"/>
      <c r="RMY451" s="268"/>
      <c r="RMZ451" s="268"/>
      <c r="RNA451" s="268"/>
      <c r="RNB451" s="268"/>
      <c r="RNC451" s="268"/>
      <c r="RNQ451" s="268"/>
      <c r="RNR451" s="268"/>
      <c r="RNS451" s="268"/>
      <c r="ROG451" s="268"/>
      <c r="ROI451" s="268"/>
      <c r="ROJ451" s="268"/>
      <c r="ROK451" s="268"/>
      <c r="ROL451" s="268"/>
      <c r="ROM451" s="268"/>
      <c r="RON451" s="268"/>
      <c r="ROO451" s="268"/>
      <c r="ROP451" s="268"/>
      <c r="ROQ451" s="268"/>
      <c r="ROR451" s="268"/>
      <c r="ROS451" s="268"/>
      <c r="ROT451" s="268"/>
      <c r="ROU451" s="268"/>
      <c r="ROV451" s="268"/>
      <c r="ROW451" s="268"/>
      <c r="ROX451" s="268"/>
      <c r="ROY451" s="268"/>
      <c r="ROZ451" s="268"/>
      <c r="RPA451" s="268"/>
      <c r="RPB451" s="268"/>
      <c r="RPC451" s="268"/>
      <c r="RPD451" s="268"/>
      <c r="RPE451" s="268"/>
      <c r="RPF451" s="268"/>
      <c r="RPG451" s="268"/>
      <c r="RPH451" s="268"/>
      <c r="RPI451" s="268"/>
      <c r="RPJ451" s="268"/>
      <c r="RPK451" s="268"/>
      <c r="RPL451" s="268"/>
      <c r="RPM451" s="268"/>
      <c r="RPN451" s="268"/>
      <c r="RPO451" s="268"/>
      <c r="RPP451" s="268"/>
      <c r="RPQ451" s="268"/>
      <c r="RPR451" s="268"/>
      <c r="RPS451" s="268"/>
      <c r="RPT451" s="268"/>
      <c r="RPU451" s="268"/>
      <c r="RPV451" s="268"/>
      <c r="RPW451" s="268"/>
      <c r="RPX451" s="268"/>
      <c r="RPY451" s="268"/>
      <c r="RPZ451" s="268"/>
      <c r="RQA451" s="268"/>
      <c r="RQB451" s="268"/>
      <c r="RQC451" s="268"/>
      <c r="RQD451" s="268"/>
      <c r="RQE451" s="268"/>
      <c r="RQF451" s="268"/>
      <c r="RQG451" s="268"/>
      <c r="RQH451" s="268"/>
      <c r="RQI451" s="268"/>
      <c r="RQJ451" s="268"/>
      <c r="RQK451" s="268"/>
      <c r="RQL451" s="268"/>
      <c r="RQM451" s="268"/>
      <c r="RQN451" s="268"/>
      <c r="RQO451" s="268"/>
      <c r="RQP451" s="268"/>
      <c r="RQQ451" s="268"/>
      <c r="RQR451" s="268"/>
      <c r="RQS451" s="268"/>
      <c r="RQT451" s="268"/>
      <c r="RQU451" s="268"/>
      <c r="RQV451" s="268"/>
      <c r="RQW451" s="268"/>
      <c r="RQX451" s="268"/>
      <c r="RQY451" s="268"/>
      <c r="RQZ451" s="268"/>
      <c r="RRA451" s="268"/>
      <c r="RRB451" s="268"/>
      <c r="RRC451" s="268"/>
      <c r="RRD451" s="268"/>
      <c r="RRE451" s="268"/>
      <c r="RRF451" s="268"/>
      <c r="RRG451" s="268"/>
      <c r="RRH451" s="268"/>
      <c r="RRI451" s="268"/>
      <c r="RRJ451" s="268"/>
      <c r="RRK451" s="268"/>
      <c r="RRL451" s="268"/>
      <c r="RRM451" s="268"/>
      <c r="RRN451" s="268"/>
      <c r="RRO451" s="268"/>
      <c r="RRP451" s="268"/>
      <c r="RRQ451" s="268"/>
      <c r="RRR451" s="268"/>
      <c r="RRS451" s="268"/>
      <c r="RRT451" s="268"/>
      <c r="RRU451" s="268"/>
      <c r="RRV451" s="268"/>
      <c r="RRW451" s="268"/>
      <c r="RRX451" s="268"/>
      <c r="RRY451" s="268"/>
      <c r="RRZ451" s="268"/>
      <c r="RSA451" s="268"/>
      <c r="RSB451" s="268"/>
      <c r="RSC451" s="268"/>
      <c r="RSD451" s="268"/>
      <c r="RSE451" s="268"/>
      <c r="RSF451" s="268"/>
      <c r="RSG451" s="268"/>
      <c r="RSH451" s="268"/>
      <c r="RSI451" s="268"/>
      <c r="RSJ451" s="268"/>
      <c r="RSK451" s="268"/>
      <c r="RSL451" s="268"/>
      <c r="RSM451" s="268"/>
      <c r="RSN451" s="268"/>
      <c r="RSO451" s="268"/>
      <c r="RSP451" s="268"/>
      <c r="RSQ451" s="268"/>
      <c r="RSR451" s="268"/>
      <c r="RSS451" s="268"/>
      <c r="RST451" s="268"/>
      <c r="RSU451" s="268"/>
      <c r="RSV451" s="268"/>
      <c r="RSW451" s="268"/>
      <c r="RSX451" s="268"/>
      <c r="RSY451" s="268"/>
      <c r="RSZ451" s="268"/>
      <c r="RTA451" s="268"/>
      <c r="RTB451" s="268"/>
      <c r="RTC451" s="268"/>
      <c r="RTD451" s="268"/>
      <c r="RTE451" s="268"/>
      <c r="RTF451" s="268"/>
      <c r="RTG451" s="268"/>
      <c r="RTH451" s="268"/>
      <c r="RTI451" s="268"/>
      <c r="RTJ451" s="268"/>
      <c r="RTK451" s="268"/>
      <c r="RTL451" s="268"/>
      <c r="RTM451" s="268"/>
      <c r="RTN451" s="268"/>
      <c r="RTO451" s="268"/>
      <c r="RTP451" s="268"/>
      <c r="RTQ451" s="268"/>
      <c r="RTR451" s="268"/>
      <c r="RTS451" s="268"/>
      <c r="RTT451" s="268"/>
      <c r="RTU451" s="268"/>
      <c r="RTV451" s="268"/>
      <c r="RTW451" s="268"/>
      <c r="RTX451" s="268"/>
      <c r="RTY451" s="268"/>
      <c r="RTZ451" s="268"/>
      <c r="RUA451" s="268"/>
      <c r="RUB451" s="268"/>
      <c r="RUC451" s="268"/>
      <c r="RUD451" s="268"/>
      <c r="RUE451" s="268"/>
      <c r="RUF451" s="268"/>
      <c r="RUG451" s="268"/>
      <c r="RUH451" s="268"/>
      <c r="RUI451" s="268"/>
      <c r="RUJ451" s="268"/>
      <c r="RUK451" s="268"/>
      <c r="RUL451" s="268"/>
      <c r="RUM451" s="268"/>
      <c r="RUN451" s="268"/>
      <c r="RUO451" s="268"/>
      <c r="RUP451" s="268"/>
      <c r="RUQ451" s="268"/>
      <c r="RUR451" s="268"/>
      <c r="RUS451" s="268"/>
      <c r="RUT451" s="268"/>
      <c r="RUU451" s="268"/>
      <c r="RUV451" s="268"/>
      <c r="RUW451" s="268"/>
      <c r="RUX451" s="268"/>
      <c r="RUY451" s="268"/>
      <c r="RUZ451" s="268"/>
      <c r="RVA451" s="268"/>
      <c r="RVB451" s="268"/>
      <c r="RVC451" s="268"/>
      <c r="RVD451" s="268"/>
      <c r="RVE451" s="268"/>
      <c r="RVF451" s="268"/>
      <c r="RVG451" s="268"/>
      <c r="RVH451" s="268"/>
      <c r="RVI451" s="268"/>
      <c r="RVJ451" s="268"/>
      <c r="RVK451" s="268"/>
      <c r="RVL451" s="268"/>
      <c r="RVM451" s="268"/>
      <c r="RVN451" s="268"/>
      <c r="RVO451" s="268"/>
      <c r="RVP451" s="268"/>
      <c r="RVQ451" s="268"/>
      <c r="RVR451" s="268"/>
      <c r="RVS451" s="268"/>
      <c r="RVT451" s="268"/>
      <c r="RVU451" s="268"/>
      <c r="RVV451" s="268"/>
      <c r="RVW451" s="268"/>
      <c r="RVX451" s="268"/>
      <c r="RVY451" s="268"/>
      <c r="RVZ451" s="268"/>
      <c r="RWA451" s="268"/>
      <c r="RWB451" s="268"/>
      <c r="RWC451" s="268"/>
      <c r="RWD451" s="268"/>
      <c r="RWE451" s="268"/>
      <c r="RWF451" s="268"/>
      <c r="RWG451" s="268"/>
      <c r="RWH451" s="268"/>
      <c r="RWI451" s="268"/>
      <c r="RWJ451" s="268"/>
      <c r="RWK451" s="268"/>
      <c r="RWL451" s="268"/>
      <c r="RWM451" s="268"/>
      <c r="RWN451" s="268"/>
      <c r="RWO451" s="268"/>
      <c r="RWP451" s="268"/>
      <c r="RWQ451" s="268"/>
      <c r="RWR451" s="268"/>
      <c r="RWS451" s="268"/>
      <c r="RWT451" s="268"/>
      <c r="RWU451" s="268"/>
      <c r="RWV451" s="268"/>
      <c r="RWW451" s="268"/>
      <c r="RWX451" s="268"/>
      <c r="RWY451" s="268"/>
      <c r="RXM451" s="268"/>
      <c r="RXN451" s="268"/>
      <c r="RXO451" s="268"/>
      <c r="RYC451" s="268"/>
      <c r="RYE451" s="268"/>
      <c r="RYF451" s="268"/>
      <c r="RYG451" s="268"/>
      <c r="RYH451" s="268"/>
      <c r="RYI451" s="268"/>
      <c r="RYJ451" s="268"/>
      <c r="RYK451" s="268"/>
      <c r="RYL451" s="268"/>
      <c r="RYM451" s="268"/>
      <c r="RYN451" s="268"/>
      <c r="RYO451" s="268"/>
      <c r="RYP451" s="268"/>
      <c r="RYQ451" s="268"/>
      <c r="RYR451" s="268"/>
      <c r="RYS451" s="268"/>
      <c r="RYT451" s="268"/>
      <c r="RYU451" s="268"/>
      <c r="RYV451" s="268"/>
      <c r="RYW451" s="268"/>
      <c r="RYX451" s="268"/>
      <c r="RYY451" s="268"/>
      <c r="RYZ451" s="268"/>
      <c r="RZA451" s="268"/>
      <c r="RZB451" s="268"/>
      <c r="RZC451" s="268"/>
      <c r="RZD451" s="268"/>
      <c r="RZE451" s="268"/>
      <c r="RZF451" s="268"/>
      <c r="RZG451" s="268"/>
      <c r="RZH451" s="268"/>
      <c r="RZI451" s="268"/>
      <c r="RZJ451" s="268"/>
      <c r="RZK451" s="268"/>
      <c r="RZL451" s="268"/>
      <c r="RZM451" s="268"/>
      <c r="RZN451" s="268"/>
      <c r="RZO451" s="268"/>
      <c r="RZP451" s="268"/>
      <c r="RZQ451" s="268"/>
      <c r="RZR451" s="268"/>
      <c r="RZS451" s="268"/>
      <c r="RZT451" s="268"/>
      <c r="RZU451" s="268"/>
      <c r="RZV451" s="268"/>
      <c r="RZW451" s="268"/>
      <c r="RZX451" s="268"/>
      <c r="RZY451" s="268"/>
      <c r="RZZ451" s="268"/>
      <c r="SAA451" s="268"/>
      <c r="SAB451" s="268"/>
      <c r="SAC451" s="268"/>
      <c r="SAD451" s="268"/>
      <c r="SAE451" s="268"/>
      <c r="SAF451" s="268"/>
      <c r="SAG451" s="268"/>
      <c r="SAH451" s="268"/>
      <c r="SAI451" s="268"/>
      <c r="SAJ451" s="268"/>
      <c r="SAK451" s="268"/>
      <c r="SAL451" s="268"/>
      <c r="SAM451" s="268"/>
      <c r="SAN451" s="268"/>
      <c r="SAO451" s="268"/>
      <c r="SAP451" s="268"/>
      <c r="SAQ451" s="268"/>
      <c r="SAR451" s="268"/>
      <c r="SAS451" s="268"/>
      <c r="SAT451" s="268"/>
      <c r="SAU451" s="268"/>
      <c r="SAV451" s="268"/>
      <c r="SAW451" s="268"/>
      <c r="SAX451" s="268"/>
      <c r="SAY451" s="268"/>
      <c r="SAZ451" s="268"/>
      <c r="SBA451" s="268"/>
      <c r="SBB451" s="268"/>
      <c r="SBC451" s="268"/>
      <c r="SBD451" s="268"/>
      <c r="SBE451" s="268"/>
      <c r="SBF451" s="268"/>
      <c r="SBG451" s="268"/>
      <c r="SBH451" s="268"/>
      <c r="SBI451" s="268"/>
      <c r="SBJ451" s="268"/>
      <c r="SBK451" s="268"/>
      <c r="SBL451" s="268"/>
      <c r="SBM451" s="268"/>
      <c r="SBN451" s="268"/>
      <c r="SBO451" s="268"/>
      <c r="SBP451" s="268"/>
      <c r="SBQ451" s="268"/>
      <c r="SBR451" s="268"/>
      <c r="SBS451" s="268"/>
      <c r="SBT451" s="268"/>
      <c r="SBU451" s="268"/>
      <c r="SBV451" s="268"/>
      <c r="SBW451" s="268"/>
      <c r="SBX451" s="268"/>
      <c r="SBY451" s="268"/>
      <c r="SBZ451" s="268"/>
      <c r="SCA451" s="268"/>
      <c r="SCB451" s="268"/>
      <c r="SCC451" s="268"/>
      <c r="SCD451" s="268"/>
      <c r="SCE451" s="268"/>
      <c r="SCF451" s="268"/>
      <c r="SCG451" s="268"/>
      <c r="SCH451" s="268"/>
      <c r="SCI451" s="268"/>
      <c r="SCJ451" s="268"/>
      <c r="SCK451" s="268"/>
      <c r="SCL451" s="268"/>
      <c r="SCM451" s="268"/>
      <c r="SCN451" s="268"/>
      <c r="SCO451" s="268"/>
      <c r="SCP451" s="268"/>
      <c r="SCQ451" s="268"/>
      <c r="SCR451" s="268"/>
      <c r="SCS451" s="268"/>
      <c r="SCT451" s="268"/>
      <c r="SCU451" s="268"/>
      <c r="SCV451" s="268"/>
      <c r="SCW451" s="268"/>
      <c r="SCX451" s="268"/>
      <c r="SCY451" s="268"/>
      <c r="SCZ451" s="268"/>
      <c r="SDA451" s="268"/>
      <c r="SDB451" s="268"/>
      <c r="SDC451" s="268"/>
      <c r="SDD451" s="268"/>
      <c r="SDE451" s="268"/>
      <c r="SDF451" s="268"/>
      <c r="SDG451" s="268"/>
      <c r="SDH451" s="268"/>
      <c r="SDI451" s="268"/>
      <c r="SDJ451" s="268"/>
      <c r="SDK451" s="268"/>
      <c r="SDL451" s="268"/>
      <c r="SDM451" s="268"/>
      <c r="SDN451" s="268"/>
      <c r="SDO451" s="268"/>
      <c r="SDP451" s="268"/>
      <c r="SDQ451" s="268"/>
      <c r="SDR451" s="268"/>
      <c r="SDS451" s="268"/>
      <c r="SDT451" s="268"/>
      <c r="SDU451" s="268"/>
      <c r="SDV451" s="268"/>
      <c r="SDW451" s="268"/>
      <c r="SDX451" s="268"/>
      <c r="SDY451" s="268"/>
      <c r="SDZ451" s="268"/>
      <c r="SEA451" s="268"/>
      <c r="SEB451" s="268"/>
      <c r="SEC451" s="268"/>
      <c r="SED451" s="268"/>
      <c r="SEE451" s="268"/>
      <c r="SEF451" s="268"/>
      <c r="SEG451" s="268"/>
      <c r="SEH451" s="268"/>
      <c r="SEI451" s="268"/>
      <c r="SEJ451" s="268"/>
      <c r="SEK451" s="268"/>
      <c r="SEL451" s="268"/>
      <c r="SEM451" s="268"/>
      <c r="SEN451" s="268"/>
      <c r="SEO451" s="268"/>
      <c r="SEP451" s="268"/>
      <c r="SEQ451" s="268"/>
      <c r="SER451" s="268"/>
      <c r="SES451" s="268"/>
      <c r="SET451" s="268"/>
      <c r="SEU451" s="268"/>
      <c r="SEV451" s="268"/>
      <c r="SEW451" s="268"/>
      <c r="SEX451" s="268"/>
      <c r="SEY451" s="268"/>
      <c r="SEZ451" s="268"/>
      <c r="SFA451" s="268"/>
      <c r="SFB451" s="268"/>
      <c r="SFC451" s="268"/>
      <c r="SFD451" s="268"/>
      <c r="SFE451" s="268"/>
      <c r="SFF451" s="268"/>
      <c r="SFG451" s="268"/>
      <c r="SFH451" s="268"/>
      <c r="SFI451" s="268"/>
      <c r="SFJ451" s="268"/>
      <c r="SFK451" s="268"/>
      <c r="SFL451" s="268"/>
      <c r="SFM451" s="268"/>
      <c r="SFN451" s="268"/>
      <c r="SFO451" s="268"/>
      <c r="SFP451" s="268"/>
      <c r="SFQ451" s="268"/>
      <c r="SFR451" s="268"/>
      <c r="SFS451" s="268"/>
      <c r="SFT451" s="268"/>
      <c r="SFU451" s="268"/>
      <c r="SFV451" s="268"/>
      <c r="SFW451" s="268"/>
      <c r="SFX451" s="268"/>
      <c r="SFY451" s="268"/>
      <c r="SFZ451" s="268"/>
      <c r="SGA451" s="268"/>
      <c r="SGB451" s="268"/>
      <c r="SGC451" s="268"/>
      <c r="SGD451" s="268"/>
      <c r="SGE451" s="268"/>
      <c r="SGF451" s="268"/>
      <c r="SGG451" s="268"/>
      <c r="SGH451" s="268"/>
      <c r="SGI451" s="268"/>
      <c r="SGJ451" s="268"/>
      <c r="SGK451" s="268"/>
      <c r="SGL451" s="268"/>
      <c r="SGM451" s="268"/>
      <c r="SGN451" s="268"/>
      <c r="SGO451" s="268"/>
      <c r="SGP451" s="268"/>
      <c r="SGQ451" s="268"/>
      <c r="SGR451" s="268"/>
      <c r="SGS451" s="268"/>
      <c r="SGT451" s="268"/>
      <c r="SGU451" s="268"/>
      <c r="SHI451" s="268"/>
      <c r="SHJ451" s="268"/>
      <c r="SHK451" s="268"/>
      <c r="SHY451" s="268"/>
      <c r="SIA451" s="268"/>
      <c r="SIB451" s="268"/>
      <c r="SIC451" s="268"/>
      <c r="SID451" s="268"/>
      <c r="SIE451" s="268"/>
      <c r="SIF451" s="268"/>
      <c r="SIG451" s="268"/>
      <c r="SIH451" s="268"/>
      <c r="SII451" s="268"/>
      <c r="SIJ451" s="268"/>
      <c r="SIK451" s="268"/>
      <c r="SIL451" s="268"/>
      <c r="SIM451" s="268"/>
      <c r="SIN451" s="268"/>
      <c r="SIO451" s="268"/>
      <c r="SIP451" s="268"/>
      <c r="SIQ451" s="268"/>
      <c r="SIR451" s="268"/>
      <c r="SIS451" s="268"/>
      <c r="SIT451" s="268"/>
      <c r="SIU451" s="268"/>
      <c r="SIV451" s="268"/>
      <c r="SIW451" s="268"/>
      <c r="SIX451" s="268"/>
      <c r="SIY451" s="268"/>
      <c r="SIZ451" s="268"/>
      <c r="SJA451" s="268"/>
      <c r="SJB451" s="268"/>
      <c r="SJC451" s="268"/>
      <c r="SJD451" s="268"/>
      <c r="SJE451" s="268"/>
      <c r="SJF451" s="268"/>
      <c r="SJG451" s="268"/>
      <c r="SJH451" s="268"/>
      <c r="SJI451" s="268"/>
      <c r="SJJ451" s="268"/>
      <c r="SJK451" s="268"/>
      <c r="SJL451" s="268"/>
      <c r="SJM451" s="268"/>
      <c r="SJN451" s="268"/>
      <c r="SJO451" s="268"/>
      <c r="SJP451" s="268"/>
      <c r="SJQ451" s="268"/>
      <c r="SJR451" s="268"/>
      <c r="SJS451" s="268"/>
      <c r="SJT451" s="268"/>
      <c r="SJU451" s="268"/>
      <c r="SJV451" s="268"/>
      <c r="SJW451" s="268"/>
      <c r="SJX451" s="268"/>
      <c r="SJY451" s="268"/>
      <c r="SJZ451" s="268"/>
      <c r="SKA451" s="268"/>
      <c r="SKB451" s="268"/>
      <c r="SKC451" s="268"/>
      <c r="SKD451" s="268"/>
      <c r="SKE451" s="268"/>
      <c r="SKF451" s="268"/>
      <c r="SKG451" s="268"/>
      <c r="SKH451" s="268"/>
      <c r="SKI451" s="268"/>
      <c r="SKJ451" s="268"/>
      <c r="SKK451" s="268"/>
      <c r="SKL451" s="268"/>
      <c r="SKM451" s="268"/>
      <c r="SKN451" s="268"/>
      <c r="SKO451" s="268"/>
      <c r="SKP451" s="268"/>
      <c r="SKQ451" s="268"/>
      <c r="SKR451" s="268"/>
      <c r="SKS451" s="268"/>
      <c r="SKT451" s="268"/>
      <c r="SKU451" s="268"/>
      <c r="SKV451" s="268"/>
      <c r="SKW451" s="268"/>
      <c r="SKX451" s="268"/>
      <c r="SKY451" s="268"/>
      <c r="SKZ451" s="268"/>
      <c r="SLA451" s="268"/>
      <c r="SLB451" s="268"/>
      <c r="SLC451" s="268"/>
      <c r="SLD451" s="268"/>
      <c r="SLE451" s="268"/>
      <c r="SLF451" s="268"/>
      <c r="SLG451" s="268"/>
      <c r="SLH451" s="268"/>
      <c r="SLI451" s="268"/>
      <c r="SLJ451" s="268"/>
      <c r="SLK451" s="268"/>
      <c r="SLL451" s="268"/>
      <c r="SLM451" s="268"/>
      <c r="SLN451" s="268"/>
      <c r="SLO451" s="268"/>
      <c r="SLP451" s="268"/>
      <c r="SLQ451" s="268"/>
      <c r="SLR451" s="268"/>
      <c r="SLS451" s="268"/>
      <c r="SLT451" s="268"/>
      <c r="SLU451" s="268"/>
      <c r="SLV451" s="268"/>
      <c r="SLW451" s="268"/>
      <c r="SLX451" s="268"/>
      <c r="SLY451" s="268"/>
      <c r="SLZ451" s="268"/>
      <c r="SMA451" s="268"/>
      <c r="SMB451" s="268"/>
      <c r="SMC451" s="268"/>
      <c r="SMD451" s="268"/>
      <c r="SME451" s="268"/>
      <c r="SMF451" s="268"/>
      <c r="SMG451" s="268"/>
      <c r="SMH451" s="268"/>
      <c r="SMI451" s="268"/>
      <c r="SMJ451" s="268"/>
      <c r="SMK451" s="268"/>
      <c r="SML451" s="268"/>
      <c r="SMM451" s="268"/>
      <c r="SMN451" s="268"/>
      <c r="SMO451" s="268"/>
      <c r="SMP451" s="268"/>
      <c r="SMQ451" s="268"/>
      <c r="SMR451" s="268"/>
      <c r="SMS451" s="268"/>
      <c r="SMT451" s="268"/>
      <c r="SMU451" s="268"/>
      <c r="SMV451" s="268"/>
      <c r="SMW451" s="268"/>
      <c r="SMX451" s="268"/>
      <c r="SMY451" s="268"/>
      <c r="SMZ451" s="268"/>
      <c r="SNA451" s="268"/>
      <c r="SNB451" s="268"/>
      <c r="SNC451" s="268"/>
      <c r="SND451" s="268"/>
      <c r="SNE451" s="268"/>
      <c r="SNF451" s="268"/>
      <c r="SNG451" s="268"/>
      <c r="SNH451" s="268"/>
      <c r="SNI451" s="268"/>
      <c r="SNJ451" s="268"/>
      <c r="SNK451" s="268"/>
      <c r="SNL451" s="268"/>
      <c r="SNM451" s="268"/>
      <c r="SNN451" s="268"/>
      <c r="SNO451" s="268"/>
      <c r="SNP451" s="268"/>
      <c r="SNQ451" s="268"/>
      <c r="SNR451" s="268"/>
      <c r="SNS451" s="268"/>
      <c r="SNT451" s="268"/>
      <c r="SNU451" s="268"/>
      <c r="SNV451" s="268"/>
      <c r="SNW451" s="268"/>
      <c r="SNX451" s="268"/>
      <c r="SNY451" s="268"/>
      <c r="SNZ451" s="268"/>
      <c r="SOA451" s="268"/>
      <c r="SOB451" s="268"/>
      <c r="SOC451" s="268"/>
      <c r="SOD451" s="268"/>
      <c r="SOE451" s="268"/>
      <c r="SOF451" s="268"/>
      <c r="SOG451" s="268"/>
      <c r="SOH451" s="268"/>
      <c r="SOI451" s="268"/>
      <c r="SOJ451" s="268"/>
      <c r="SOK451" s="268"/>
      <c r="SOL451" s="268"/>
      <c r="SOM451" s="268"/>
      <c r="SON451" s="268"/>
      <c r="SOO451" s="268"/>
      <c r="SOP451" s="268"/>
      <c r="SOQ451" s="268"/>
      <c r="SOR451" s="268"/>
      <c r="SOS451" s="268"/>
      <c r="SOT451" s="268"/>
      <c r="SOU451" s="268"/>
      <c r="SOV451" s="268"/>
      <c r="SOW451" s="268"/>
      <c r="SOX451" s="268"/>
      <c r="SOY451" s="268"/>
      <c r="SOZ451" s="268"/>
      <c r="SPA451" s="268"/>
      <c r="SPB451" s="268"/>
      <c r="SPC451" s="268"/>
      <c r="SPD451" s="268"/>
      <c r="SPE451" s="268"/>
      <c r="SPF451" s="268"/>
      <c r="SPG451" s="268"/>
      <c r="SPH451" s="268"/>
      <c r="SPI451" s="268"/>
      <c r="SPJ451" s="268"/>
      <c r="SPK451" s="268"/>
      <c r="SPL451" s="268"/>
      <c r="SPM451" s="268"/>
      <c r="SPN451" s="268"/>
      <c r="SPO451" s="268"/>
      <c r="SPP451" s="268"/>
      <c r="SPQ451" s="268"/>
      <c r="SPR451" s="268"/>
      <c r="SPS451" s="268"/>
      <c r="SPT451" s="268"/>
      <c r="SPU451" s="268"/>
      <c r="SPV451" s="268"/>
      <c r="SPW451" s="268"/>
      <c r="SPX451" s="268"/>
      <c r="SPY451" s="268"/>
      <c r="SPZ451" s="268"/>
      <c r="SQA451" s="268"/>
      <c r="SQB451" s="268"/>
      <c r="SQC451" s="268"/>
      <c r="SQD451" s="268"/>
      <c r="SQE451" s="268"/>
      <c r="SQF451" s="268"/>
      <c r="SQG451" s="268"/>
      <c r="SQH451" s="268"/>
      <c r="SQI451" s="268"/>
      <c r="SQJ451" s="268"/>
      <c r="SQK451" s="268"/>
      <c r="SQL451" s="268"/>
      <c r="SQM451" s="268"/>
      <c r="SQN451" s="268"/>
      <c r="SQO451" s="268"/>
      <c r="SQP451" s="268"/>
      <c r="SQQ451" s="268"/>
      <c r="SRE451" s="268"/>
      <c r="SRF451" s="268"/>
      <c r="SRG451" s="268"/>
      <c r="SRU451" s="268"/>
      <c r="SRW451" s="268"/>
      <c r="SRX451" s="268"/>
      <c r="SRY451" s="268"/>
      <c r="SRZ451" s="268"/>
      <c r="SSA451" s="268"/>
      <c r="SSB451" s="268"/>
      <c r="SSC451" s="268"/>
      <c r="SSD451" s="268"/>
      <c r="SSE451" s="268"/>
      <c r="SSF451" s="268"/>
      <c r="SSG451" s="268"/>
      <c r="SSH451" s="268"/>
      <c r="SSI451" s="268"/>
      <c r="SSJ451" s="268"/>
      <c r="SSK451" s="268"/>
      <c r="SSL451" s="268"/>
      <c r="SSM451" s="268"/>
      <c r="SSN451" s="268"/>
      <c r="SSO451" s="268"/>
      <c r="SSP451" s="268"/>
      <c r="SSQ451" s="268"/>
      <c r="SSR451" s="268"/>
      <c r="SSS451" s="268"/>
      <c r="SST451" s="268"/>
      <c r="SSU451" s="268"/>
      <c r="SSV451" s="268"/>
      <c r="SSW451" s="268"/>
      <c r="SSX451" s="268"/>
      <c r="SSY451" s="268"/>
      <c r="SSZ451" s="268"/>
      <c r="STA451" s="268"/>
      <c r="STB451" s="268"/>
      <c r="STC451" s="268"/>
      <c r="STD451" s="268"/>
      <c r="STE451" s="268"/>
      <c r="STF451" s="268"/>
      <c r="STG451" s="268"/>
      <c r="STH451" s="268"/>
      <c r="STI451" s="268"/>
      <c r="STJ451" s="268"/>
      <c r="STK451" s="268"/>
      <c r="STL451" s="268"/>
      <c r="STM451" s="268"/>
      <c r="STN451" s="268"/>
      <c r="STO451" s="268"/>
      <c r="STP451" s="268"/>
      <c r="STQ451" s="268"/>
      <c r="STR451" s="268"/>
      <c r="STS451" s="268"/>
      <c r="STT451" s="268"/>
      <c r="STU451" s="268"/>
      <c r="STV451" s="268"/>
      <c r="STW451" s="268"/>
      <c r="STX451" s="268"/>
      <c r="STY451" s="268"/>
      <c r="STZ451" s="268"/>
      <c r="SUA451" s="268"/>
      <c r="SUB451" s="268"/>
      <c r="SUC451" s="268"/>
      <c r="SUD451" s="268"/>
      <c r="SUE451" s="268"/>
      <c r="SUF451" s="268"/>
      <c r="SUG451" s="268"/>
      <c r="SUH451" s="268"/>
      <c r="SUI451" s="268"/>
      <c r="SUJ451" s="268"/>
      <c r="SUK451" s="268"/>
      <c r="SUL451" s="268"/>
      <c r="SUM451" s="268"/>
      <c r="SUN451" s="268"/>
      <c r="SUO451" s="268"/>
      <c r="SUP451" s="268"/>
      <c r="SUQ451" s="268"/>
      <c r="SUR451" s="268"/>
      <c r="SUS451" s="268"/>
      <c r="SUT451" s="268"/>
      <c r="SUU451" s="268"/>
      <c r="SUV451" s="268"/>
      <c r="SUW451" s="268"/>
      <c r="SUX451" s="268"/>
      <c r="SUY451" s="268"/>
      <c r="SUZ451" s="268"/>
      <c r="SVA451" s="268"/>
      <c r="SVB451" s="268"/>
      <c r="SVC451" s="268"/>
      <c r="SVD451" s="268"/>
      <c r="SVE451" s="268"/>
      <c r="SVF451" s="268"/>
      <c r="SVG451" s="268"/>
      <c r="SVH451" s="268"/>
      <c r="SVI451" s="268"/>
      <c r="SVJ451" s="268"/>
      <c r="SVK451" s="268"/>
      <c r="SVL451" s="268"/>
      <c r="SVM451" s="268"/>
      <c r="SVN451" s="268"/>
      <c r="SVO451" s="268"/>
      <c r="SVP451" s="268"/>
      <c r="SVQ451" s="268"/>
      <c r="SVR451" s="268"/>
      <c r="SVS451" s="268"/>
      <c r="SVT451" s="268"/>
      <c r="SVU451" s="268"/>
      <c r="SVV451" s="268"/>
      <c r="SVW451" s="268"/>
      <c r="SVX451" s="268"/>
      <c r="SVY451" s="268"/>
      <c r="SVZ451" s="268"/>
      <c r="SWA451" s="268"/>
      <c r="SWB451" s="268"/>
      <c r="SWC451" s="268"/>
      <c r="SWD451" s="268"/>
      <c r="SWE451" s="268"/>
      <c r="SWF451" s="268"/>
      <c r="SWG451" s="268"/>
      <c r="SWH451" s="268"/>
      <c r="SWI451" s="268"/>
      <c r="SWJ451" s="268"/>
      <c r="SWK451" s="268"/>
      <c r="SWL451" s="268"/>
      <c r="SWM451" s="268"/>
      <c r="SWN451" s="268"/>
      <c r="SWO451" s="268"/>
      <c r="SWP451" s="268"/>
      <c r="SWQ451" s="268"/>
      <c r="SWR451" s="268"/>
      <c r="SWS451" s="268"/>
      <c r="SWT451" s="268"/>
      <c r="SWU451" s="268"/>
      <c r="SWV451" s="268"/>
      <c r="SWW451" s="268"/>
      <c r="SWX451" s="268"/>
      <c r="SWY451" s="268"/>
      <c r="SWZ451" s="268"/>
      <c r="SXA451" s="268"/>
      <c r="SXB451" s="268"/>
      <c r="SXC451" s="268"/>
      <c r="SXD451" s="268"/>
      <c r="SXE451" s="268"/>
      <c r="SXF451" s="268"/>
      <c r="SXG451" s="268"/>
      <c r="SXH451" s="268"/>
      <c r="SXI451" s="268"/>
      <c r="SXJ451" s="268"/>
      <c r="SXK451" s="268"/>
      <c r="SXL451" s="268"/>
      <c r="SXM451" s="268"/>
      <c r="SXN451" s="268"/>
      <c r="SXO451" s="268"/>
      <c r="SXP451" s="268"/>
      <c r="SXQ451" s="268"/>
      <c r="SXR451" s="268"/>
      <c r="SXS451" s="268"/>
      <c r="SXT451" s="268"/>
      <c r="SXU451" s="268"/>
      <c r="SXV451" s="268"/>
      <c r="SXW451" s="268"/>
      <c r="SXX451" s="268"/>
      <c r="SXY451" s="268"/>
      <c r="SXZ451" s="268"/>
      <c r="SYA451" s="268"/>
      <c r="SYB451" s="268"/>
      <c r="SYC451" s="268"/>
      <c r="SYD451" s="268"/>
      <c r="SYE451" s="268"/>
      <c r="SYF451" s="268"/>
      <c r="SYG451" s="268"/>
      <c r="SYH451" s="268"/>
      <c r="SYI451" s="268"/>
      <c r="SYJ451" s="268"/>
      <c r="SYK451" s="268"/>
      <c r="SYL451" s="268"/>
      <c r="SYM451" s="268"/>
      <c r="SYN451" s="268"/>
      <c r="SYO451" s="268"/>
      <c r="SYP451" s="268"/>
      <c r="SYQ451" s="268"/>
      <c r="SYR451" s="268"/>
      <c r="SYS451" s="268"/>
      <c r="SYT451" s="268"/>
      <c r="SYU451" s="268"/>
      <c r="SYV451" s="268"/>
      <c r="SYW451" s="268"/>
      <c r="SYX451" s="268"/>
      <c r="SYY451" s="268"/>
      <c r="SYZ451" s="268"/>
      <c r="SZA451" s="268"/>
      <c r="SZB451" s="268"/>
      <c r="SZC451" s="268"/>
      <c r="SZD451" s="268"/>
      <c r="SZE451" s="268"/>
      <c r="SZF451" s="268"/>
      <c r="SZG451" s="268"/>
      <c r="SZH451" s="268"/>
      <c r="SZI451" s="268"/>
      <c r="SZJ451" s="268"/>
      <c r="SZK451" s="268"/>
      <c r="SZL451" s="268"/>
      <c r="SZM451" s="268"/>
      <c r="SZN451" s="268"/>
      <c r="SZO451" s="268"/>
      <c r="SZP451" s="268"/>
      <c r="SZQ451" s="268"/>
      <c r="SZR451" s="268"/>
      <c r="SZS451" s="268"/>
      <c r="SZT451" s="268"/>
      <c r="SZU451" s="268"/>
      <c r="SZV451" s="268"/>
      <c r="SZW451" s="268"/>
      <c r="SZX451" s="268"/>
      <c r="SZY451" s="268"/>
      <c r="SZZ451" s="268"/>
      <c r="TAA451" s="268"/>
      <c r="TAB451" s="268"/>
      <c r="TAC451" s="268"/>
      <c r="TAD451" s="268"/>
      <c r="TAE451" s="268"/>
      <c r="TAF451" s="268"/>
      <c r="TAG451" s="268"/>
      <c r="TAH451" s="268"/>
      <c r="TAI451" s="268"/>
      <c r="TAJ451" s="268"/>
      <c r="TAK451" s="268"/>
      <c r="TAL451" s="268"/>
      <c r="TAM451" s="268"/>
      <c r="TBA451" s="268"/>
      <c r="TBB451" s="268"/>
      <c r="TBC451" s="268"/>
      <c r="TBQ451" s="268"/>
      <c r="TBS451" s="268"/>
      <c r="TBT451" s="268"/>
      <c r="TBU451" s="268"/>
      <c r="TBV451" s="268"/>
      <c r="TBW451" s="268"/>
      <c r="TBX451" s="268"/>
      <c r="TBY451" s="268"/>
      <c r="TBZ451" s="268"/>
      <c r="TCA451" s="268"/>
      <c r="TCB451" s="268"/>
      <c r="TCC451" s="268"/>
      <c r="TCD451" s="268"/>
      <c r="TCE451" s="268"/>
      <c r="TCF451" s="268"/>
      <c r="TCG451" s="268"/>
      <c r="TCH451" s="268"/>
      <c r="TCI451" s="268"/>
      <c r="TCJ451" s="268"/>
      <c r="TCK451" s="268"/>
      <c r="TCL451" s="268"/>
      <c r="TCM451" s="268"/>
      <c r="TCN451" s="268"/>
      <c r="TCO451" s="268"/>
      <c r="TCP451" s="268"/>
      <c r="TCQ451" s="268"/>
      <c r="TCR451" s="268"/>
      <c r="TCS451" s="268"/>
      <c r="TCT451" s="268"/>
      <c r="TCU451" s="268"/>
      <c r="TCV451" s="268"/>
      <c r="TCW451" s="268"/>
      <c r="TCX451" s="268"/>
      <c r="TCY451" s="268"/>
      <c r="TCZ451" s="268"/>
      <c r="TDA451" s="268"/>
      <c r="TDB451" s="268"/>
      <c r="TDC451" s="268"/>
      <c r="TDD451" s="268"/>
      <c r="TDE451" s="268"/>
      <c r="TDF451" s="268"/>
      <c r="TDG451" s="268"/>
      <c r="TDH451" s="268"/>
      <c r="TDI451" s="268"/>
      <c r="TDJ451" s="268"/>
      <c r="TDK451" s="268"/>
      <c r="TDL451" s="268"/>
      <c r="TDM451" s="268"/>
      <c r="TDN451" s="268"/>
      <c r="TDO451" s="268"/>
      <c r="TDP451" s="268"/>
      <c r="TDQ451" s="268"/>
      <c r="TDR451" s="268"/>
      <c r="TDS451" s="268"/>
      <c r="TDT451" s="268"/>
      <c r="TDU451" s="268"/>
      <c r="TDV451" s="268"/>
      <c r="TDW451" s="268"/>
      <c r="TDX451" s="268"/>
      <c r="TDY451" s="268"/>
      <c r="TDZ451" s="268"/>
      <c r="TEA451" s="268"/>
      <c r="TEB451" s="268"/>
      <c r="TEC451" s="268"/>
      <c r="TED451" s="268"/>
      <c r="TEE451" s="268"/>
      <c r="TEF451" s="268"/>
      <c r="TEG451" s="268"/>
      <c r="TEH451" s="268"/>
      <c r="TEI451" s="268"/>
      <c r="TEJ451" s="268"/>
      <c r="TEK451" s="268"/>
      <c r="TEL451" s="268"/>
      <c r="TEM451" s="268"/>
      <c r="TEN451" s="268"/>
      <c r="TEO451" s="268"/>
      <c r="TEP451" s="268"/>
      <c r="TEQ451" s="268"/>
      <c r="TER451" s="268"/>
      <c r="TES451" s="268"/>
      <c r="TET451" s="268"/>
      <c r="TEU451" s="268"/>
      <c r="TEV451" s="268"/>
      <c r="TEW451" s="268"/>
      <c r="TEX451" s="268"/>
      <c r="TEY451" s="268"/>
      <c r="TEZ451" s="268"/>
      <c r="TFA451" s="268"/>
      <c r="TFB451" s="268"/>
      <c r="TFC451" s="268"/>
      <c r="TFD451" s="268"/>
      <c r="TFE451" s="268"/>
      <c r="TFF451" s="268"/>
      <c r="TFG451" s="268"/>
      <c r="TFH451" s="268"/>
      <c r="TFI451" s="268"/>
      <c r="TFJ451" s="268"/>
      <c r="TFK451" s="268"/>
      <c r="TFL451" s="268"/>
      <c r="TFM451" s="268"/>
      <c r="TFN451" s="268"/>
      <c r="TFO451" s="268"/>
      <c r="TFP451" s="268"/>
      <c r="TFQ451" s="268"/>
      <c r="TFR451" s="268"/>
      <c r="TFS451" s="268"/>
      <c r="TFT451" s="268"/>
      <c r="TFU451" s="268"/>
      <c r="TFV451" s="268"/>
      <c r="TFW451" s="268"/>
      <c r="TFX451" s="268"/>
      <c r="TFY451" s="268"/>
      <c r="TFZ451" s="268"/>
      <c r="TGA451" s="268"/>
      <c r="TGB451" s="268"/>
      <c r="TGC451" s="268"/>
      <c r="TGD451" s="268"/>
      <c r="TGE451" s="268"/>
      <c r="TGF451" s="268"/>
      <c r="TGG451" s="268"/>
      <c r="TGH451" s="268"/>
      <c r="TGI451" s="268"/>
      <c r="TGJ451" s="268"/>
      <c r="TGK451" s="268"/>
      <c r="TGL451" s="268"/>
      <c r="TGM451" s="268"/>
      <c r="TGN451" s="268"/>
      <c r="TGO451" s="268"/>
      <c r="TGP451" s="268"/>
      <c r="TGQ451" s="268"/>
      <c r="TGR451" s="268"/>
      <c r="TGS451" s="268"/>
      <c r="TGT451" s="268"/>
      <c r="TGU451" s="268"/>
      <c r="TGV451" s="268"/>
      <c r="TGW451" s="268"/>
      <c r="TGX451" s="268"/>
      <c r="TGY451" s="268"/>
      <c r="TGZ451" s="268"/>
      <c r="THA451" s="268"/>
      <c r="THB451" s="268"/>
      <c r="THC451" s="268"/>
      <c r="THD451" s="268"/>
      <c r="THE451" s="268"/>
      <c r="THF451" s="268"/>
      <c r="THG451" s="268"/>
      <c r="THH451" s="268"/>
      <c r="THI451" s="268"/>
      <c r="THJ451" s="268"/>
      <c r="THK451" s="268"/>
      <c r="THL451" s="268"/>
      <c r="THM451" s="268"/>
      <c r="THN451" s="268"/>
      <c r="THO451" s="268"/>
      <c r="THP451" s="268"/>
      <c r="THQ451" s="268"/>
      <c r="THR451" s="268"/>
      <c r="THS451" s="268"/>
      <c r="THT451" s="268"/>
      <c r="THU451" s="268"/>
      <c r="THV451" s="268"/>
      <c r="THW451" s="268"/>
      <c r="THX451" s="268"/>
      <c r="THY451" s="268"/>
      <c r="THZ451" s="268"/>
      <c r="TIA451" s="268"/>
      <c r="TIB451" s="268"/>
      <c r="TIC451" s="268"/>
      <c r="TID451" s="268"/>
      <c r="TIE451" s="268"/>
      <c r="TIF451" s="268"/>
      <c r="TIG451" s="268"/>
      <c r="TIH451" s="268"/>
      <c r="TII451" s="268"/>
      <c r="TIJ451" s="268"/>
      <c r="TIK451" s="268"/>
      <c r="TIL451" s="268"/>
      <c r="TIM451" s="268"/>
      <c r="TIN451" s="268"/>
      <c r="TIO451" s="268"/>
      <c r="TIP451" s="268"/>
      <c r="TIQ451" s="268"/>
      <c r="TIR451" s="268"/>
      <c r="TIS451" s="268"/>
      <c r="TIT451" s="268"/>
      <c r="TIU451" s="268"/>
      <c r="TIV451" s="268"/>
      <c r="TIW451" s="268"/>
      <c r="TIX451" s="268"/>
      <c r="TIY451" s="268"/>
      <c r="TIZ451" s="268"/>
      <c r="TJA451" s="268"/>
      <c r="TJB451" s="268"/>
      <c r="TJC451" s="268"/>
      <c r="TJD451" s="268"/>
      <c r="TJE451" s="268"/>
      <c r="TJF451" s="268"/>
      <c r="TJG451" s="268"/>
      <c r="TJH451" s="268"/>
      <c r="TJI451" s="268"/>
      <c r="TJJ451" s="268"/>
      <c r="TJK451" s="268"/>
      <c r="TJL451" s="268"/>
      <c r="TJM451" s="268"/>
      <c r="TJN451" s="268"/>
      <c r="TJO451" s="268"/>
      <c r="TJP451" s="268"/>
      <c r="TJQ451" s="268"/>
      <c r="TJR451" s="268"/>
      <c r="TJS451" s="268"/>
      <c r="TJT451" s="268"/>
      <c r="TJU451" s="268"/>
      <c r="TJV451" s="268"/>
      <c r="TJW451" s="268"/>
      <c r="TJX451" s="268"/>
      <c r="TJY451" s="268"/>
      <c r="TJZ451" s="268"/>
      <c r="TKA451" s="268"/>
      <c r="TKB451" s="268"/>
      <c r="TKC451" s="268"/>
      <c r="TKD451" s="268"/>
      <c r="TKE451" s="268"/>
      <c r="TKF451" s="268"/>
      <c r="TKG451" s="268"/>
      <c r="TKH451" s="268"/>
      <c r="TKI451" s="268"/>
      <c r="TKW451" s="268"/>
      <c r="TKX451" s="268"/>
      <c r="TKY451" s="268"/>
      <c r="TLM451" s="268"/>
      <c r="TLO451" s="268"/>
      <c r="TLP451" s="268"/>
      <c r="TLQ451" s="268"/>
      <c r="TLR451" s="268"/>
      <c r="TLS451" s="268"/>
      <c r="TLT451" s="268"/>
      <c r="TLU451" s="268"/>
      <c r="TLV451" s="268"/>
      <c r="TLW451" s="268"/>
      <c r="TLX451" s="268"/>
      <c r="TLY451" s="268"/>
      <c r="TLZ451" s="268"/>
      <c r="TMA451" s="268"/>
      <c r="TMB451" s="268"/>
      <c r="TMC451" s="268"/>
      <c r="TMD451" s="268"/>
      <c r="TME451" s="268"/>
      <c r="TMF451" s="268"/>
      <c r="TMG451" s="268"/>
      <c r="TMH451" s="268"/>
      <c r="TMI451" s="268"/>
      <c r="TMJ451" s="268"/>
      <c r="TMK451" s="268"/>
      <c r="TML451" s="268"/>
      <c r="TMM451" s="268"/>
      <c r="TMN451" s="268"/>
      <c r="TMO451" s="268"/>
      <c r="TMP451" s="268"/>
      <c r="TMQ451" s="268"/>
      <c r="TMR451" s="268"/>
      <c r="TMS451" s="268"/>
      <c r="TMT451" s="268"/>
      <c r="TMU451" s="268"/>
      <c r="TMV451" s="268"/>
      <c r="TMW451" s="268"/>
      <c r="TMX451" s="268"/>
      <c r="TMY451" s="268"/>
      <c r="TMZ451" s="268"/>
      <c r="TNA451" s="268"/>
      <c r="TNB451" s="268"/>
      <c r="TNC451" s="268"/>
      <c r="TND451" s="268"/>
      <c r="TNE451" s="268"/>
      <c r="TNF451" s="268"/>
      <c r="TNG451" s="268"/>
      <c r="TNH451" s="268"/>
      <c r="TNI451" s="268"/>
      <c r="TNJ451" s="268"/>
      <c r="TNK451" s="268"/>
      <c r="TNL451" s="268"/>
      <c r="TNM451" s="268"/>
      <c r="TNN451" s="268"/>
      <c r="TNO451" s="268"/>
      <c r="TNP451" s="268"/>
      <c r="TNQ451" s="268"/>
      <c r="TNR451" s="268"/>
      <c r="TNS451" s="268"/>
      <c r="TNT451" s="268"/>
      <c r="TNU451" s="268"/>
      <c r="TNV451" s="268"/>
      <c r="TNW451" s="268"/>
      <c r="TNX451" s="268"/>
      <c r="TNY451" s="268"/>
      <c r="TNZ451" s="268"/>
      <c r="TOA451" s="268"/>
      <c r="TOB451" s="268"/>
      <c r="TOC451" s="268"/>
      <c r="TOD451" s="268"/>
      <c r="TOE451" s="268"/>
      <c r="TOF451" s="268"/>
      <c r="TOG451" s="268"/>
      <c r="TOH451" s="268"/>
      <c r="TOI451" s="268"/>
      <c r="TOJ451" s="268"/>
      <c r="TOK451" s="268"/>
      <c r="TOL451" s="268"/>
      <c r="TOM451" s="268"/>
      <c r="TON451" s="268"/>
      <c r="TOO451" s="268"/>
      <c r="TOP451" s="268"/>
      <c r="TOQ451" s="268"/>
      <c r="TOR451" s="268"/>
      <c r="TOS451" s="268"/>
      <c r="TOT451" s="268"/>
      <c r="TOU451" s="268"/>
      <c r="TOV451" s="268"/>
      <c r="TOW451" s="268"/>
      <c r="TOX451" s="268"/>
      <c r="TOY451" s="268"/>
      <c r="TOZ451" s="268"/>
      <c r="TPA451" s="268"/>
      <c r="TPB451" s="268"/>
      <c r="TPC451" s="268"/>
      <c r="TPD451" s="268"/>
      <c r="TPE451" s="268"/>
      <c r="TPF451" s="268"/>
      <c r="TPG451" s="268"/>
      <c r="TPH451" s="268"/>
      <c r="TPI451" s="268"/>
      <c r="TPJ451" s="268"/>
      <c r="TPK451" s="268"/>
      <c r="TPL451" s="268"/>
      <c r="TPM451" s="268"/>
      <c r="TPN451" s="268"/>
      <c r="TPO451" s="268"/>
      <c r="TPP451" s="268"/>
      <c r="TPQ451" s="268"/>
      <c r="TPR451" s="268"/>
      <c r="TPS451" s="268"/>
      <c r="TPT451" s="268"/>
      <c r="TPU451" s="268"/>
      <c r="TPV451" s="268"/>
      <c r="TPW451" s="268"/>
      <c r="TPX451" s="268"/>
      <c r="TPY451" s="268"/>
      <c r="TPZ451" s="268"/>
      <c r="TQA451" s="268"/>
      <c r="TQB451" s="268"/>
      <c r="TQC451" s="268"/>
      <c r="TQD451" s="268"/>
      <c r="TQE451" s="268"/>
      <c r="TQF451" s="268"/>
      <c r="TQG451" s="268"/>
      <c r="TQH451" s="268"/>
      <c r="TQI451" s="268"/>
      <c r="TQJ451" s="268"/>
      <c r="TQK451" s="268"/>
      <c r="TQL451" s="268"/>
      <c r="TQM451" s="268"/>
      <c r="TQN451" s="268"/>
      <c r="TQO451" s="268"/>
      <c r="TQP451" s="268"/>
      <c r="TQQ451" s="268"/>
      <c r="TQR451" s="268"/>
      <c r="TQS451" s="268"/>
      <c r="TQT451" s="268"/>
      <c r="TQU451" s="268"/>
      <c r="TQV451" s="268"/>
      <c r="TQW451" s="268"/>
      <c r="TQX451" s="268"/>
      <c r="TQY451" s="268"/>
      <c r="TQZ451" s="268"/>
      <c r="TRA451" s="268"/>
      <c r="TRB451" s="268"/>
      <c r="TRC451" s="268"/>
      <c r="TRD451" s="268"/>
      <c r="TRE451" s="268"/>
      <c r="TRF451" s="268"/>
      <c r="TRG451" s="268"/>
      <c r="TRH451" s="268"/>
      <c r="TRI451" s="268"/>
      <c r="TRJ451" s="268"/>
      <c r="TRK451" s="268"/>
      <c r="TRL451" s="268"/>
      <c r="TRM451" s="268"/>
      <c r="TRN451" s="268"/>
      <c r="TRO451" s="268"/>
      <c r="TRP451" s="268"/>
      <c r="TRQ451" s="268"/>
      <c r="TRR451" s="268"/>
      <c r="TRS451" s="268"/>
      <c r="TRT451" s="268"/>
      <c r="TRU451" s="268"/>
      <c r="TRV451" s="268"/>
      <c r="TRW451" s="268"/>
      <c r="TRX451" s="268"/>
      <c r="TRY451" s="268"/>
      <c r="TRZ451" s="268"/>
      <c r="TSA451" s="268"/>
      <c r="TSB451" s="268"/>
      <c r="TSC451" s="268"/>
      <c r="TSD451" s="268"/>
      <c r="TSE451" s="268"/>
      <c r="TSF451" s="268"/>
      <c r="TSG451" s="268"/>
      <c r="TSH451" s="268"/>
      <c r="TSI451" s="268"/>
      <c r="TSJ451" s="268"/>
      <c r="TSK451" s="268"/>
      <c r="TSL451" s="268"/>
      <c r="TSM451" s="268"/>
      <c r="TSN451" s="268"/>
      <c r="TSO451" s="268"/>
      <c r="TSP451" s="268"/>
      <c r="TSQ451" s="268"/>
      <c r="TSR451" s="268"/>
      <c r="TSS451" s="268"/>
      <c r="TST451" s="268"/>
      <c r="TSU451" s="268"/>
      <c r="TSV451" s="268"/>
      <c r="TSW451" s="268"/>
      <c r="TSX451" s="268"/>
      <c r="TSY451" s="268"/>
      <c r="TSZ451" s="268"/>
      <c r="TTA451" s="268"/>
      <c r="TTB451" s="268"/>
      <c r="TTC451" s="268"/>
      <c r="TTD451" s="268"/>
      <c r="TTE451" s="268"/>
      <c r="TTF451" s="268"/>
      <c r="TTG451" s="268"/>
      <c r="TTH451" s="268"/>
      <c r="TTI451" s="268"/>
      <c r="TTJ451" s="268"/>
      <c r="TTK451" s="268"/>
      <c r="TTL451" s="268"/>
      <c r="TTM451" s="268"/>
      <c r="TTN451" s="268"/>
      <c r="TTO451" s="268"/>
      <c r="TTP451" s="268"/>
      <c r="TTQ451" s="268"/>
      <c r="TTR451" s="268"/>
      <c r="TTS451" s="268"/>
      <c r="TTT451" s="268"/>
      <c r="TTU451" s="268"/>
      <c r="TTV451" s="268"/>
      <c r="TTW451" s="268"/>
      <c r="TTX451" s="268"/>
      <c r="TTY451" s="268"/>
      <c r="TTZ451" s="268"/>
      <c r="TUA451" s="268"/>
      <c r="TUB451" s="268"/>
      <c r="TUC451" s="268"/>
      <c r="TUD451" s="268"/>
      <c r="TUE451" s="268"/>
      <c r="TUS451" s="268"/>
      <c r="TUT451" s="268"/>
      <c r="TUU451" s="268"/>
      <c r="TVI451" s="268"/>
      <c r="TVK451" s="268"/>
      <c r="TVL451" s="268"/>
      <c r="TVM451" s="268"/>
      <c r="TVN451" s="268"/>
      <c r="TVO451" s="268"/>
      <c r="TVP451" s="268"/>
      <c r="TVQ451" s="268"/>
      <c r="TVR451" s="268"/>
      <c r="TVS451" s="268"/>
      <c r="TVT451" s="268"/>
      <c r="TVU451" s="268"/>
      <c r="TVV451" s="268"/>
      <c r="TVW451" s="268"/>
      <c r="TVX451" s="268"/>
      <c r="TVY451" s="268"/>
      <c r="TVZ451" s="268"/>
      <c r="TWA451" s="268"/>
      <c r="TWB451" s="268"/>
      <c r="TWC451" s="268"/>
      <c r="TWD451" s="268"/>
      <c r="TWE451" s="268"/>
      <c r="TWF451" s="268"/>
      <c r="TWG451" s="268"/>
      <c r="TWH451" s="268"/>
      <c r="TWI451" s="268"/>
      <c r="TWJ451" s="268"/>
      <c r="TWK451" s="268"/>
      <c r="TWL451" s="268"/>
      <c r="TWM451" s="268"/>
      <c r="TWN451" s="268"/>
      <c r="TWO451" s="268"/>
      <c r="TWP451" s="268"/>
      <c r="TWQ451" s="268"/>
      <c r="TWR451" s="268"/>
      <c r="TWS451" s="268"/>
      <c r="TWT451" s="268"/>
      <c r="TWU451" s="268"/>
      <c r="TWV451" s="268"/>
      <c r="TWW451" s="268"/>
      <c r="TWX451" s="268"/>
      <c r="TWY451" s="268"/>
      <c r="TWZ451" s="268"/>
      <c r="TXA451" s="268"/>
      <c r="TXB451" s="268"/>
      <c r="TXC451" s="268"/>
      <c r="TXD451" s="268"/>
      <c r="TXE451" s="268"/>
      <c r="TXF451" s="268"/>
      <c r="TXG451" s="268"/>
      <c r="TXH451" s="268"/>
      <c r="TXI451" s="268"/>
      <c r="TXJ451" s="268"/>
      <c r="TXK451" s="268"/>
      <c r="TXL451" s="268"/>
      <c r="TXM451" s="268"/>
      <c r="TXN451" s="268"/>
      <c r="TXO451" s="268"/>
      <c r="TXP451" s="268"/>
      <c r="TXQ451" s="268"/>
      <c r="TXR451" s="268"/>
      <c r="TXS451" s="268"/>
      <c r="TXT451" s="268"/>
      <c r="TXU451" s="268"/>
      <c r="TXV451" s="268"/>
      <c r="TXW451" s="268"/>
      <c r="TXX451" s="268"/>
      <c r="TXY451" s="268"/>
      <c r="TXZ451" s="268"/>
      <c r="TYA451" s="268"/>
      <c r="TYB451" s="268"/>
      <c r="TYC451" s="268"/>
      <c r="TYD451" s="268"/>
      <c r="TYE451" s="268"/>
      <c r="TYF451" s="268"/>
      <c r="TYG451" s="268"/>
      <c r="TYH451" s="268"/>
      <c r="TYI451" s="268"/>
      <c r="TYJ451" s="268"/>
      <c r="TYK451" s="268"/>
      <c r="TYL451" s="268"/>
      <c r="TYM451" s="268"/>
      <c r="TYN451" s="268"/>
      <c r="TYO451" s="268"/>
      <c r="TYP451" s="268"/>
      <c r="TYQ451" s="268"/>
      <c r="TYR451" s="268"/>
      <c r="TYS451" s="268"/>
      <c r="TYT451" s="268"/>
      <c r="TYU451" s="268"/>
      <c r="TYV451" s="268"/>
      <c r="TYW451" s="268"/>
      <c r="TYX451" s="268"/>
      <c r="TYY451" s="268"/>
      <c r="TYZ451" s="268"/>
      <c r="TZA451" s="268"/>
      <c r="TZB451" s="268"/>
      <c r="TZC451" s="268"/>
      <c r="TZD451" s="268"/>
      <c r="TZE451" s="268"/>
      <c r="TZF451" s="268"/>
      <c r="TZG451" s="268"/>
      <c r="TZH451" s="268"/>
      <c r="TZI451" s="268"/>
      <c r="TZJ451" s="268"/>
      <c r="TZK451" s="268"/>
      <c r="TZL451" s="268"/>
      <c r="TZM451" s="268"/>
      <c r="TZN451" s="268"/>
      <c r="TZO451" s="268"/>
      <c r="TZP451" s="268"/>
      <c r="TZQ451" s="268"/>
      <c r="TZR451" s="268"/>
      <c r="TZS451" s="268"/>
      <c r="TZT451" s="268"/>
      <c r="TZU451" s="268"/>
      <c r="TZV451" s="268"/>
      <c r="TZW451" s="268"/>
      <c r="TZX451" s="268"/>
      <c r="TZY451" s="268"/>
      <c r="TZZ451" s="268"/>
      <c r="UAA451" s="268"/>
      <c r="UAB451" s="268"/>
      <c r="UAC451" s="268"/>
      <c r="UAD451" s="268"/>
      <c r="UAE451" s="268"/>
      <c r="UAF451" s="268"/>
      <c r="UAG451" s="268"/>
      <c r="UAH451" s="268"/>
      <c r="UAI451" s="268"/>
      <c r="UAJ451" s="268"/>
      <c r="UAK451" s="268"/>
      <c r="UAL451" s="268"/>
      <c r="UAM451" s="268"/>
      <c r="UAN451" s="268"/>
      <c r="UAO451" s="268"/>
      <c r="UAP451" s="268"/>
      <c r="UAQ451" s="268"/>
      <c r="UAR451" s="268"/>
      <c r="UAS451" s="268"/>
      <c r="UAT451" s="268"/>
      <c r="UAU451" s="268"/>
      <c r="UAV451" s="268"/>
      <c r="UAW451" s="268"/>
      <c r="UAX451" s="268"/>
      <c r="UAY451" s="268"/>
      <c r="UAZ451" s="268"/>
      <c r="UBA451" s="268"/>
      <c r="UBB451" s="268"/>
      <c r="UBC451" s="268"/>
      <c r="UBD451" s="268"/>
      <c r="UBE451" s="268"/>
      <c r="UBF451" s="268"/>
      <c r="UBG451" s="268"/>
      <c r="UBH451" s="268"/>
      <c r="UBI451" s="268"/>
      <c r="UBJ451" s="268"/>
      <c r="UBK451" s="268"/>
      <c r="UBL451" s="268"/>
      <c r="UBM451" s="268"/>
      <c r="UBN451" s="268"/>
      <c r="UBO451" s="268"/>
      <c r="UBP451" s="268"/>
      <c r="UBQ451" s="268"/>
      <c r="UBR451" s="268"/>
      <c r="UBS451" s="268"/>
      <c r="UBT451" s="268"/>
      <c r="UBU451" s="268"/>
      <c r="UBV451" s="268"/>
      <c r="UBW451" s="268"/>
      <c r="UBX451" s="268"/>
      <c r="UBY451" s="268"/>
      <c r="UBZ451" s="268"/>
      <c r="UCA451" s="268"/>
      <c r="UCB451" s="268"/>
      <c r="UCC451" s="268"/>
      <c r="UCD451" s="268"/>
      <c r="UCE451" s="268"/>
      <c r="UCF451" s="268"/>
      <c r="UCG451" s="268"/>
      <c r="UCH451" s="268"/>
      <c r="UCI451" s="268"/>
      <c r="UCJ451" s="268"/>
      <c r="UCK451" s="268"/>
      <c r="UCL451" s="268"/>
      <c r="UCM451" s="268"/>
      <c r="UCN451" s="268"/>
      <c r="UCO451" s="268"/>
      <c r="UCP451" s="268"/>
      <c r="UCQ451" s="268"/>
      <c r="UCR451" s="268"/>
      <c r="UCS451" s="268"/>
      <c r="UCT451" s="268"/>
      <c r="UCU451" s="268"/>
      <c r="UCV451" s="268"/>
      <c r="UCW451" s="268"/>
      <c r="UCX451" s="268"/>
      <c r="UCY451" s="268"/>
      <c r="UCZ451" s="268"/>
      <c r="UDA451" s="268"/>
      <c r="UDB451" s="268"/>
      <c r="UDC451" s="268"/>
      <c r="UDD451" s="268"/>
      <c r="UDE451" s="268"/>
      <c r="UDF451" s="268"/>
      <c r="UDG451" s="268"/>
      <c r="UDH451" s="268"/>
      <c r="UDI451" s="268"/>
      <c r="UDJ451" s="268"/>
      <c r="UDK451" s="268"/>
      <c r="UDL451" s="268"/>
      <c r="UDM451" s="268"/>
      <c r="UDN451" s="268"/>
      <c r="UDO451" s="268"/>
      <c r="UDP451" s="268"/>
      <c r="UDQ451" s="268"/>
      <c r="UDR451" s="268"/>
      <c r="UDS451" s="268"/>
      <c r="UDT451" s="268"/>
      <c r="UDU451" s="268"/>
      <c r="UDV451" s="268"/>
      <c r="UDW451" s="268"/>
      <c r="UDX451" s="268"/>
      <c r="UDY451" s="268"/>
      <c r="UDZ451" s="268"/>
      <c r="UEA451" s="268"/>
      <c r="UEO451" s="268"/>
      <c r="UEP451" s="268"/>
      <c r="UEQ451" s="268"/>
      <c r="UFE451" s="268"/>
      <c r="UFG451" s="268"/>
      <c r="UFH451" s="268"/>
      <c r="UFI451" s="268"/>
      <c r="UFJ451" s="268"/>
      <c r="UFK451" s="268"/>
      <c r="UFL451" s="268"/>
      <c r="UFM451" s="268"/>
      <c r="UFN451" s="268"/>
      <c r="UFO451" s="268"/>
      <c r="UFP451" s="268"/>
      <c r="UFQ451" s="268"/>
      <c r="UFR451" s="268"/>
      <c r="UFS451" s="268"/>
      <c r="UFT451" s="268"/>
      <c r="UFU451" s="268"/>
      <c r="UFV451" s="268"/>
      <c r="UFW451" s="268"/>
      <c r="UFX451" s="268"/>
      <c r="UFY451" s="268"/>
      <c r="UFZ451" s="268"/>
      <c r="UGA451" s="268"/>
      <c r="UGB451" s="268"/>
      <c r="UGC451" s="268"/>
      <c r="UGD451" s="268"/>
      <c r="UGE451" s="268"/>
      <c r="UGF451" s="268"/>
      <c r="UGG451" s="268"/>
      <c r="UGH451" s="268"/>
      <c r="UGI451" s="268"/>
      <c r="UGJ451" s="268"/>
      <c r="UGK451" s="268"/>
      <c r="UGL451" s="268"/>
      <c r="UGM451" s="268"/>
      <c r="UGN451" s="268"/>
      <c r="UGO451" s="268"/>
      <c r="UGP451" s="268"/>
      <c r="UGQ451" s="268"/>
      <c r="UGR451" s="268"/>
      <c r="UGS451" s="268"/>
      <c r="UGT451" s="268"/>
      <c r="UGU451" s="268"/>
      <c r="UGV451" s="268"/>
      <c r="UGW451" s="268"/>
      <c r="UGX451" s="268"/>
      <c r="UGY451" s="268"/>
      <c r="UGZ451" s="268"/>
      <c r="UHA451" s="268"/>
      <c r="UHB451" s="268"/>
      <c r="UHC451" s="268"/>
      <c r="UHD451" s="268"/>
      <c r="UHE451" s="268"/>
      <c r="UHF451" s="268"/>
      <c r="UHG451" s="268"/>
      <c r="UHH451" s="268"/>
      <c r="UHI451" s="268"/>
      <c r="UHJ451" s="268"/>
      <c r="UHK451" s="268"/>
      <c r="UHL451" s="268"/>
      <c r="UHM451" s="268"/>
      <c r="UHN451" s="268"/>
      <c r="UHO451" s="268"/>
      <c r="UHP451" s="268"/>
      <c r="UHQ451" s="268"/>
      <c r="UHR451" s="268"/>
      <c r="UHS451" s="268"/>
      <c r="UHT451" s="268"/>
      <c r="UHU451" s="268"/>
      <c r="UHV451" s="268"/>
      <c r="UHW451" s="268"/>
      <c r="UHX451" s="268"/>
      <c r="UHY451" s="268"/>
      <c r="UHZ451" s="268"/>
      <c r="UIA451" s="268"/>
      <c r="UIB451" s="268"/>
      <c r="UIC451" s="268"/>
      <c r="UID451" s="268"/>
      <c r="UIE451" s="268"/>
      <c r="UIF451" s="268"/>
      <c r="UIG451" s="268"/>
      <c r="UIH451" s="268"/>
      <c r="UII451" s="268"/>
      <c r="UIJ451" s="268"/>
      <c r="UIK451" s="268"/>
      <c r="UIL451" s="268"/>
      <c r="UIM451" s="268"/>
      <c r="UIN451" s="268"/>
      <c r="UIO451" s="268"/>
      <c r="UIP451" s="268"/>
      <c r="UIQ451" s="268"/>
      <c r="UIR451" s="268"/>
      <c r="UIS451" s="268"/>
      <c r="UIT451" s="268"/>
      <c r="UIU451" s="268"/>
      <c r="UIV451" s="268"/>
      <c r="UIW451" s="268"/>
      <c r="UIX451" s="268"/>
      <c r="UIY451" s="268"/>
      <c r="UIZ451" s="268"/>
      <c r="UJA451" s="268"/>
      <c r="UJB451" s="268"/>
      <c r="UJC451" s="268"/>
      <c r="UJD451" s="268"/>
      <c r="UJE451" s="268"/>
      <c r="UJF451" s="268"/>
      <c r="UJG451" s="268"/>
      <c r="UJH451" s="268"/>
      <c r="UJI451" s="268"/>
      <c r="UJJ451" s="268"/>
      <c r="UJK451" s="268"/>
      <c r="UJL451" s="268"/>
      <c r="UJM451" s="268"/>
      <c r="UJN451" s="268"/>
      <c r="UJO451" s="268"/>
      <c r="UJP451" s="268"/>
      <c r="UJQ451" s="268"/>
      <c r="UJR451" s="268"/>
      <c r="UJS451" s="268"/>
      <c r="UJT451" s="268"/>
      <c r="UJU451" s="268"/>
      <c r="UJV451" s="268"/>
      <c r="UJW451" s="268"/>
      <c r="UJX451" s="268"/>
      <c r="UJY451" s="268"/>
      <c r="UJZ451" s="268"/>
      <c r="UKA451" s="268"/>
      <c r="UKB451" s="268"/>
      <c r="UKC451" s="268"/>
      <c r="UKD451" s="268"/>
      <c r="UKE451" s="268"/>
      <c r="UKF451" s="268"/>
      <c r="UKG451" s="268"/>
      <c r="UKH451" s="268"/>
      <c r="UKI451" s="268"/>
      <c r="UKJ451" s="268"/>
      <c r="UKK451" s="268"/>
      <c r="UKL451" s="268"/>
      <c r="UKM451" s="268"/>
      <c r="UKN451" s="268"/>
      <c r="UKO451" s="268"/>
      <c r="UKP451" s="268"/>
      <c r="UKQ451" s="268"/>
      <c r="UKR451" s="268"/>
      <c r="UKS451" s="268"/>
      <c r="UKT451" s="268"/>
      <c r="UKU451" s="268"/>
      <c r="UKV451" s="268"/>
      <c r="UKW451" s="268"/>
      <c r="UKX451" s="268"/>
      <c r="UKY451" s="268"/>
      <c r="UKZ451" s="268"/>
      <c r="ULA451" s="268"/>
      <c r="ULB451" s="268"/>
      <c r="ULC451" s="268"/>
      <c r="ULD451" s="268"/>
      <c r="ULE451" s="268"/>
      <c r="ULF451" s="268"/>
      <c r="ULG451" s="268"/>
      <c r="ULH451" s="268"/>
      <c r="ULI451" s="268"/>
      <c r="ULJ451" s="268"/>
      <c r="ULK451" s="268"/>
      <c r="ULL451" s="268"/>
      <c r="ULM451" s="268"/>
      <c r="ULN451" s="268"/>
      <c r="ULO451" s="268"/>
      <c r="ULP451" s="268"/>
      <c r="ULQ451" s="268"/>
      <c r="ULR451" s="268"/>
      <c r="ULS451" s="268"/>
      <c r="ULT451" s="268"/>
      <c r="ULU451" s="268"/>
      <c r="ULV451" s="268"/>
      <c r="ULW451" s="268"/>
      <c r="ULX451" s="268"/>
      <c r="ULY451" s="268"/>
      <c r="ULZ451" s="268"/>
      <c r="UMA451" s="268"/>
      <c r="UMB451" s="268"/>
      <c r="UMC451" s="268"/>
      <c r="UMD451" s="268"/>
      <c r="UME451" s="268"/>
      <c r="UMF451" s="268"/>
      <c r="UMG451" s="268"/>
      <c r="UMH451" s="268"/>
      <c r="UMI451" s="268"/>
      <c r="UMJ451" s="268"/>
      <c r="UMK451" s="268"/>
      <c r="UML451" s="268"/>
      <c r="UMM451" s="268"/>
      <c r="UMN451" s="268"/>
      <c r="UMO451" s="268"/>
      <c r="UMP451" s="268"/>
      <c r="UMQ451" s="268"/>
      <c r="UMR451" s="268"/>
      <c r="UMS451" s="268"/>
      <c r="UMT451" s="268"/>
      <c r="UMU451" s="268"/>
      <c r="UMV451" s="268"/>
      <c r="UMW451" s="268"/>
      <c r="UMX451" s="268"/>
      <c r="UMY451" s="268"/>
      <c r="UMZ451" s="268"/>
      <c r="UNA451" s="268"/>
      <c r="UNB451" s="268"/>
      <c r="UNC451" s="268"/>
      <c r="UND451" s="268"/>
      <c r="UNE451" s="268"/>
      <c r="UNF451" s="268"/>
      <c r="UNG451" s="268"/>
      <c r="UNH451" s="268"/>
      <c r="UNI451" s="268"/>
      <c r="UNJ451" s="268"/>
      <c r="UNK451" s="268"/>
      <c r="UNL451" s="268"/>
      <c r="UNM451" s="268"/>
      <c r="UNN451" s="268"/>
      <c r="UNO451" s="268"/>
      <c r="UNP451" s="268"/>
      <c r="UNQ451" s="268"/>
      <c r="UNR451" s="268"/>
      <c r="UNS451" s="268"/>
      <c r="UNT451" s="268"/>
      <c r="UNU451" s="268"/>
      <c r="UNV451" s="268"/>
      <c r="UNW451" s="268"/>
      <c r="UOK451" s="268"/>
      <c r="UOL451" s="268"/>
      <c r="UOM451" s="268"/>
      <c r="UPA451" s="268"/>
      <c r="UPC451" s="268"/>
      <c r="UPD451" s="268"/>
      <c r="UPE451" s="268"/>
      <c r="UPF451" s="268"/>
      <c r="UPG451" s="268"/>
      <c r="UPH451" s="268"/>
      <c r="UPI451" s="268"/>
      <c r="UPJ451" s="268"/>
      <c r="UPK451" s="268"/>
      <c r="UPL451" s="268"/>
      <c r="UPM451" s="268"/>
      <c r="UPN451" s="268"/>
      <c r="UPO451" s="268"/>
      <c r="UPP451" s="268"/>
      <c r="UPQ451" s="268"/>
      <c r="UPR451" s="268"/>
      <c r="UPS451" s="268"/>
      <c r="UPT451" s="268"/>
      <c r="UPU451" s="268"/>
      <c r="UPV451" s="268"/>
      <c r="UPW451" s="268"/>
      <c r="UPX451" s="268"/>
      <c r="UPY451" s="268"/>
      <c r="UPZ451" s="268"/>
      <c r="UQA451" s="268"/>
      <c r="UQB451" s="268"/>
      <c r="UQC451" s="268"/>
      <c r="UQD451" s="268"/>
      <c r="UQE451" s="268"/>
      <c r="UQF451" s="268"/>
      <c r="UQG451" s="268"/>
      <c r="UQH451" s="268"/>
      <c r="UQI451" s="268"/>
      <c r="UQJ451" s="268"/>
      <c r="UQK451" s="268"/>
      <c r="UQL451" s="268"/>
      <c r="UQM451" s="268"/>
      <c r="UQN451" s="268"/>
      <c r="UQO451" s="268"/>
      <c r="UQP451" s="268"/>
      <c r="UQQ451" s="268"/>
      <c r="UQR451" s="268"/>
      <c r="UQS451" s="268"/>
      <c r="UQT451" s="268"/>
      <c r="UQU451" s="268"/>
      <c r="UQV451" s="268"/>
      <c r="UQW451" s="268"/>
      <c r="UQX451" s="268"/>
      <c r="UQY451" s="268"/>
      <c r="UQZ451" s="268"/>
      <c r="URA451" s="268"/>
      <c r="URB451" s="268"/>
      <c r="URC451" s="268"/>
      <c r="URD451" s="268"/>
      <c r="URE451" s="268"/>
      <c r="URF451" s="268"/>
      <c r="URG451" s="268"/>
      <c r="URH451" s="268"/>
      <c r="URI451" s="268"/>
      <c r="URJ451" s="268"/>
      <c r="URK451" s="268"/>
      <c r="URL451" s="268"/>
      <c r="URM451" s="268"/>
      <c r="URN451" s="268"/>
      <c r="URO451" s="268"/>
      <c r="URP451" s="268"/>
      <c r="URQ451" s="268"/>
      <c r="URR451" s="268"/>
      <c r="URS451" s="268"/>
      <c r="URT451" s="268"/>
      <c r="URU451" s="268"/>
      <c r="URV451" s="268"/>
      <c r="URW451" s="268"/>
      <c r="URX451" s="268"/>
      <c r="URY451" s="268"/>
      <c r="URZ451" s="268"/>
      <c r="USA451" s="268"/>
      <c r="USB451" s="268"/>
      <c r="USC451" s="268"/>
      <c r="USD451" s="268"/>
      <c r="USE451" s="268"/>
      <c r="USF451" s="268"/>
      <c r="USG451" s="268"/>
      <c r="USH451" s="268"/>
      <c r="USI451" s="268"/>
      <c r="USJ451" s="268"/>
      <c r="USK451" s="268"/>
      <c r="USL451" s="268"/>
      <c r="USM451" s="268"/>
      <c r="USN451" s="268"/>
      <c r="USO451" s="268"/>
      <c r="USP451" s="268"/>
      <c r="USQ451" s="268"/>
      <c r="USR451" s="268"/>
      <c r="USS451" s="268"/>
      <c r="UST451" s="268"/>
      <c r="USU451" s="268"/>
      <c r="USV451" s="268"/>
      <c r="USW451" s="268"/>
      <c r="USX451" s="268"/>
      <c r="USY451" s="268"/>
      <c r="USZ451" s="268"/>
      <c r="UTA451" s="268"/>
      <c r="UTB451" s="268"/>
      <c r="UTC451" s="268"/>
      <c r="UTD451" s="268"/>
      <c r="UTE451" s="268"/>
      <c r="UTF451" s="268"/>
      <c r="UTG451" s="268"/>
      <c r="UTH451" s="268"/>
      <c r="UTI451" s="268"/>
      <c r="UTJ451" s="268"/>
      <c r="UTK451" s="268"/>
      <c r="UTL451" s="268"/>
      <c r="UTM451" s="268"/>
      <c r="UTN451" s="268"/>
      <c r="UTO451" s="268"/>
      <c r="UTP451" s="268"/>
      <c r="UTQ451" s="268"/>
      <c r="UTR451" s="268"/>
      <c r="UTS451" s="268"/>
      <c r="UTT451" s="268"/>
      <c r="UTU451" s="268"/>
      <c r="UTV451" s="268"/>
      <c r="UTW451" s="268"/>
      <c r="UTX451" s="268"/>
      <c r="UTY451" s="268"/>
      <c r="UTZ451" s="268"/>
      <c r="UUA451" s="268"/>
      <c r="UUB451" s="268"/>
      <c r="UUC451" s="268"/>
      <c r="UUD451" s="268"/>
      <c r="UUE451" s="268"/>
      <c r="UUF451" s="268"/>
      <c r="UUG451" s="268"/>
      <c r="UUH451" s="268"/>
      <c r="UUI451" s="268"/>
      <c r="UUJ451" s="268"/>
      <c r="UUK451" s="268"/>
      <c r="UUL451" s="268"/>
      <c r="UUM451" s="268"/>
      <c r="UUN451" s="268"/>
      <c r="UUO451" s="268"/>
      <c r="UUP451" s="268"/>
      <c r="UUQ451" s="268"/>
      <c r="UUR451" s="268"/>
      <c r="UUS451" s="268"/>
      <c r="UUT451" s="268"/>
      <c r="UUU451" s="268"/>
      <c r="UUV451" s="268"/>
      <c r="UUW451" s="268"/>
      <c r="UUX451" s="268"/>
      <c r="UUY451" s="268"/>
      <c r="UUZ451" s="268"/>
      <c r="UVA451" s="268"/>
      <c r="UVB451" s="268"/>
      <c r="UVC451" s="268"/>
      <c r="UVD451" s="268"/>
      <c r="UVE451" s="268"/>
      <c r="UVF451" s="268"/>
      <c r="UVG451" s="268"/>
      <c r="UVH451" s="268"/>
      <c r="UVI451" s="268"/>
      <c r="UVJ451" s="268"/>
      <c r="UVK451" s="268"/>
      <c r="UVL451" s="268"/>
      <c r="UVM451" s="268"/>
      <c r="UVN451" s="268"/>
      <c r="UVO451" s="268"/>
      <c r="UVP451" s="268"/>
      <c r="UVQ451" s="268"/>
      <c r="UVR451" s="268"/>
      <c r="UVS451" s="268"/>
      <c r="UVT451" s="268"/>
      <c r="UVU451" s="268"/>
      <c r="UVV451" s="268"/>
      <c r="UVW451" s="268"/>
      <c r="UVX451" s="268"/>
      <c r="UVY451" s="268"/>
      <c r="UVZ451" s="268"/>
      <c r="UWA451" s="268"/>
      <c r="UWB451" s="268"/>
      <c r="UWC451" s="268"/>
      <c r="UWD451" s="268"/>
      <c r="UWE451" s="268"/>
      <c r="UWF451" s="268"/>
      <c r="UWG451" s="268"/>
      <c r="UWH451" s="268"/>
      <c r="UWI451" s="268"/>
      <c r="UWJ451" s="268"/>
      <c r="UWK451" s="268"/>
      <c r="UWL451" s="268"/>
      <c r="UWM451" s="268"/>
      <c r="UWN451" s="268"/>
      <c r="UWO451" s="268"/>
      <c r="UWP451" s="268"/>
      <c r="UWQ451" s="268"/>
      <c r="UWR451" s="268"/>
      <c r="UWS451" s="268"/>
      <c r="UWT451" s="268"/>
      <c r="UWU451" s="268"/>
      <c r="UWV451" s="268"/>
      <c r="UWW451" s="268"/>
      <c r="UWX451" s="268"/>
      <c r="UWY451" s="268"/>
      <c r="UWZ451" s="268"/>
      <c r="UXA451" s="268"/>
      <c r="UXB451" s="268"/>
      <c r="UXC451" s="268"/>
      <c r="UXD451" s="268"/>
      <c r="UXE451" s="268"/>
      <c r="UXF451" s="268"/>
      <c r="UXG451" s="268"/>
      <c r="UXH451" s="268"/>
      <c r="UXI451" s="268"/>
      <c r="UXJ451" s="268"/>
      <c r="UXK451" s="268"/>
      <c r="UXL451" s="268"/>
      <c r="UXM451" s="268"/>
      <c r="UXN451" s="268"/>
      <c r="UXO451" s="268"/>
      <c r="UXP451" s="268"/>
      <c r="UXQ451" s="268"/>
      <c r="UXR451" s="268"/>
      <c r="UXS451" s="268"/>
      <c r="UYG451" s="268"/>
      <c r="UYH451" s="268"/>
      <c r="UYI451" s="268"/>
      <c r="UYW451" s="268"/>
      <c r="UYY451" s="268"/>
      <c r="UYZ451" s="268"/>
      <c r="UZA451" s="268"/>
      <c r="UZB451" s="268"/>
      <c r="UZC451" s="268"/>
      <c r="UZD451" s="268"/>
      <c r="UZE451" s="268"/>
      <c r="UZF451" s="268"/>
      <c r="UZG451" s="268"/>
      <c r="UZH451" s="268"/>
      <c r="UZI451" s="268"/>
      <c r="UZJ451" s="268"/>
      <c r="UZK451" s="268"/>
      <c r="UZL451" s="268"/>
      <c r="UZM451" s="268"/>
      <c r="UZN451" s="268"/>
      <c r="UZO451" s="268"/>
      <c r="UZP451" s="268"/>
      <c r="UZQ451" s="268"/>
      <c r="UZR451" s="268"/>
      <c r="UZS451" s="268"/>
      <c r="UZT451" s="268"/>
      <c r="UZU451" s="268"/>
      <c r="UZV451" s="268"/>
      <c r="UZW451" s="268"/>
      <c r="UZX451" s="268"/>
      <c r="UZY451" s="268"/>
      <c r="UZZ451" s="268"/>
      <c r="VAA451" s="268"/>
      <c r="VAB451" s="268"/>
      <c r="VAC451" s="268"/>
      <c r="VAD451" s="268"/>
      <c r="VAE451" s="268"/>
      <c r="VAF451" s="268"/>
      <c r="VAG451" s="268"/>
      <c r="VAH451" s="268"/>
      <c r="VAI451" s="268"/>
      <c r="VAJ451" s="268"/>
      <c r="VAK451" s="268"/>
      <c r="VAL451" s="268"/>
      <c r="VAM451" s="268"/>
      <c r="VAN451" s="268"/>
      <c r="VAO451" s="268"/>
      <c r="VAP451" s="268"/>
      <c r="VAQ451" s="268"/>
      <c r="VAR451" s="268"/>
      <c r="VAS451" s="268"/>
      <c r="VAT451" s="268"/>
      <c r="VAU451" s="268"/>
      <c r="VAV451" s="268"/>
      <c r="VAW451" s="268"/>
      <c r="VAX451" s="268"/>
      <c r="VAY451" s="268"/>
      <c r="VAZ451" s="268"/>
      <c r="VBA451" s="268"/>
      <c r="VBB451" s="268"/>
      <c r="VBC451" s="268"/>
      <c r="VBD451" s="268"/>
      <c r="VBE451" s="268"/>
      <c r="VBF451" s="268"/>
      <c r="VBG451" s="268"/>
      <c r="VBH451" s="268"/>
      <c r="VBI451" s="268"/>
      <c r="VBJ451" s="268"/>
      <c r="VBK451" s="268"/>
      <c r="VBL451" s="268"/>
      <c r="VBM451" s="268"/>
      <c r="VBN451" s="268"/>
      <c r="VBO451" s="268"/>
      <c r="VBP451" s="268"/>
      <c r="VBQ451" s="268"/>
      <c r="VBR451" s="268"/>
      <c r="VBS451" s="268"/>
      <c r="VBT451" s="268"/>
      <c r="VBU451" s="268"/>
      <c r="VBV451" s="268"/>
      <c r="VBW451" s="268"/>
      <c r="VBX451" s="268"/>
      <c r="VBY451" s="268"/>
      <c r="VBZ451" s="268"/>
      <c r="VCA451" s="268"/>
      <c r="VCB451" s="268"/>
      <c r="VCC451" s="268"/>
      <c r="VCD451" s="268"/>
      <c r="VCE451" s="268"/>
      <c r="VCF451" s="268"/>
      <c r="VCG451" s="268"/>
      <c r="VCH451" s="268"/>
      <c r="VCI451" s="268"/>
      <c r="VCJ451" s="268"/>
      <c r="VCK451" s="268"/>
      <c r="VCL451" s="268"/>
      <c r="VCM451" s="268"/>
      <c r="VCN451" s="268"/>
      <c r="VCO451" s="268"/>
      <c r="VCP451" s="268"/>
      <c r="VCQ451" s="268"/>
      <c r="VCR451" s="268"/>
      <c r="VCS451" s="268"/>
      <c r="VCT451" s="268"/>
      <c r="VCU451" s="268"/>
      <c r="VCV451" s="268"/>
      <c r="VCW451" s="268"/>
      <c r="VCX451" s="268"/>
      <c r="VCY451" s="268"/>
      <c r="VCZ451" s="268"/>
      <c r="VDA451" s="268"/>
      <c r="VDB451" s="268"/>
      <c r="VDC451" s="268"/>
      <c r="VDD451" s="268"/>
      <c r="VDE451" s="268"/>
      <c r="VDF451" s="268"/>
      <c r="VDG451" s="268"/>
      <c r="VDH451" s="268"/>
      <c r="VDI451" s="268"/>
      <c r="VDJ451" s="268"/>
      <c r="VDK451" s="268"/>
      <c r="VDL451" s="268"/>
      <c r="VDM451" s="268"/>
      <c r="VDN451" s="268"/>
      <c r="VDO451" s="268"/>
      <c r="VDP451" s="268"/>
      <c r="VDQ451" s="268"/>
      <c r="VDR451" s="268"/>
      <c r="VDS451" s="268"/>
      <c r="VDT451" s="268"/>
      <c r="VDU451" s="268"/>
      <c r="VDV451" s="268"/>
      <c r="VDW451" s="268"/>
      <c r="VDX451" s="268"/>
      <c r="VDY451" s="268"/>
      <c r="VDZ451" s="268"/>
      <c r="VEA451" s="268"/>
      <c r="VEB451" s="268"/>
      <c r="VEC451" s="268"/>
      <c r="VED451" s="268"/>
      <c r="VEE451" s="268"/>
      <c r="VEF451" s="268"/>
      <c r="VEG451" s="268"/>
      <c r="VEH451" s="268"/>
      <c r="VEI451" s="268"/>
      <c r="VEJ451" s="268"/>
      <c r="VEK451" s="268"/>
      <c r="VEL451" s="268"/>
      <c r="VEM451" s="268"/>
      <c r="VEN451" s="268"/>
      <c r="VEO451" s="268"/>
      <c r="VEP451" s="268"/>
      <c r="VEQ451" s="268"/>
      <c r="VER451" s="268"/>
      <c r="VES451" s="268"/>
      <c r="VET451" s="268"/>
      <c r="VEU451" s="268"/>
      <c r="VEV451" s="268"/>
      <c r="VEW451" s="268"/>
      <c r="VEX451" s="268"/>
      <c r="VEY451" s="268"/>
      <c r="VEZ451" s="268"/>
      <c r="VFA451" s="268"/>
      <c r="VFB451" s="268"/>
      <c r="VFC451" s="268"/>
      <c r="VFD451" s="268"/>
      <c r="VFE451" s="268"/>
      <c r="VFF451" s="268"/>
      <c r="VFG451" s="268"/>
      <c r="VFH451" s="268"/>
      <c r="VFI451" s="268"/>
      <c r="VFJ451" s="268"/>
      <c r="VFK451" s="268"/>
      <c r="VFL451" s="268"/>
      <c r="VFM451" s="268"/>
      <c r="VFN451" s="268"/>
      <c r="VFO451" s="268"/>
      <c r="VFP451" s="268"/>
      <c r="VFQ451" s="268"/>
      <c r="VFR451" s="268"/>
      <c r="VFS451" s="268"/>
      <c r="VFT451" s="268"/>
      <c r="VFU451" s="268"/>
      <c r="VFV451" s="268"/>
      <c r="VFW451" s="268"/>
      <c r="VFX451" s="268"/>
      <c r="VFY451" s="268"/>
      <c r="VFZ451" s="268"/>
      <c r="VGA451" s="268"/>
      <c r="VGB451" s="268"/>
      <c r="VGC451" s="268"/>
      <c r="VGD451" s="268"/>
      <c r="VGE451" s="268"/>
      <c r="VGF451" s="268"/>
      <c r="VGG451" s="268"/>
      <c r="VGH451" s="268"/>
      <c r="VGI451" s="268"/>
      <c r="VGJ451" s="268"/>
      <c r="VGK451" s="268"/>
      <c r="VGL451" s="268"/>
      <c r="VGM451" s="268"/>
      <c r="VGN451" s="268"/>
      <c r="VGO451" s="268"/>
      <c r="VGP451" s="268"/>
      <c r="VGQ451" s="268"/>
      <c r="VGR451" s="268"/>
      <c r="VGS451" s="268"/>
      <c r="VGT451" s="268"/>
      <c r="VGU451" s="268"/>
      <c r="VGV451" s="268"/>
      <c r="VGW451" s="268"/>
      <c r="VGX451" s="268"/>
      <c r="VGY451" s="268"/>
      <c r="VGZ451" s="268"/>
      <c r="VHA451" s="268"/>
      <c r="VHB451" s="268"/>
      <c r="VHC451" s="268"/>
      <c r="VHD451" s="268"/>
      <c r="VHE451" s="268"/>
      <c r="VHF451" s="268"/>
      <c r="VHG451" s="268"/>
      <c r="VHH451" s="268"/>
      <c r="VHI451" s="268"/>
      <c r="VHJ451" s="268"/>
      <c r="VHK451" s="268"/>
      <c r="VHL451" s="268"/>
      <c r="VHM451" s="268"/>
      <c r="VHN451" s="268"/>
      <c r="VHO451" s="268"/>
      <c r="VIC451" s="268"/>
      <c r="VID451" s="268"/>
      <c r="VIE451" s="268"/>
      <c r="VIS451" s="268"/>
      <c r="VIU451" s="268"/>
      <c r="VIV451" s="268"/>
      <c r="VIW451" s="268"/>
      <c r="VIX451" s="268"/>
      <c r="VIY451" s="268"/>
      <c r="VIZ451" s="268"/>
      <c r="VJA451" s="268"/>
      <c r="VJB451" s="268"/>
      <c r="VJC451" s="268"/>
      <c r="VJD451" s="268"/>
      <c r="VJE451" s="268"/>
      <c r="VJF451" s="268"/>
      <c r="VJG451" s="268"/>
      <c r="VJH451" s="268"/>
      <c r="VJI451" s="268"/>
      <c r="VJJ451" s="268"/>
      <c r="VJK451" s="268"/>
      <c r="VJL451" s="268"/>
      <c r="VJM451" s="268"/>
      <c r="VJN451" s="268"/>
      <c r="VJO451" s="268"/>
      <c r="VJP451" s="268"/>
      <c r="VJQ451" s="268"/>
      <c r="VJR451" s="268"/>
      <c r="VJS451" s="268"/>
      <c r="VJT451" s="268"/>
      <c r="VJU451" s="268"/>
      <c r="VJV451" s="268"/>
      <c r="VJW451" s="268"/>
      <c r="VJX451" s="268"/>
      <c r="VJY451" s="268"/>
      <c r="VJZ451" s="268"/>
      <c r="VKA451" s="268"/>
      <c r="VKB451" s="268"/>
      <c r="VKC451" s="268"/>
      <c r="VKD451" s="268"/>
      <c r="VKE451" s="268"/>
      <c r="VKF451" s="268"/>
      <c r="VKG451" s="268"/>
      <c r="VKH451" s="268"/>
      <c r="VKI451" s="268"/>
      <c r="VKJ451" s="268"/>
      <c r="VKK451" s="268"/>
      <c r="VKL451" s="268"/>
      <c r="VKM451" s="268"/>
      <c r="VKN451" s="268"/>
      <c r="VKO451" s="268"/>
      <c r="VKP451" s="268"/>
      <c r="VKQ451" s="268"/>
      <c r="VKR451" s="268"/>
      <c r="VKS451" s="268"/>
      <c r="VKT451" s="268"/>
      <c r="VKU451" s="268"/>
      <c r="VKV451" s="268"/>
      <c r="VKW451" s="268"/>
      <c r="VKX451" s="268"/>
      <c r="VKY451" s="268"/>
      <c r="VKZ451" s="268"/>
      <c r="VLA451" s="268"/>
      <c r="VLB451" s="268"/>
      <c r="VLC451" s="268"/>
      <c r="VLD451" s="268"/>
      <c r="VLE451" s="268"/>
      <c r="VLF451" s="268"/>
      <c r="VLG451" s="268"/>
      <c r="VLH451" s="268"/>
      <c r="VLI451" s="268"/>
      <c r="VLJ451" s="268"/>
      <c r="VLK451" s="268"/>
      <c r="VLL451" s="268"/>
      <c r="VLM451" s="268"/>
      <c r="VLN451" s="268"/>
      <c r="VLO451" s="268"/>
      <c r="VLP451" s="268"/>
      <c r="VLQ451" s="268"/>
      <c r="VLR451" s="268"/>
      <c r="VLS451" s="268"/>
      <c r="VLT451" s="268"/>
      <c r="VLU451" s="268"/>
      <c r="VLV451" s="268"/>
      <c r="VLW451" s="268"/>
      <c r="VLX451" s="268"/>
      <c r="VLY451" s="268"/>
      <c r="VLZ451" s="268"/>
      <c r="VMA451" s="268"/>
      <c r="VMB451" s="268"/>
      <c r="VMC451" s="268"/>
      <c r="VMD451" s="268"/>
      <c r="VME451" s="268"/>
      <c r="VMF451" s="268"/>
      <c r="VMG451" s="268"/>
      <c r="VMH451" s="268"/>
      <c r="VMI451" s="268"/>
      <c r="VMJ451" s="268"/>
      <c r="VMK451" s="268"/>
      <c r="VML451" s="268"/>
      <c r="VMM451" s="268"/>
      <c r="VMN451" s="268"/>
      <c r="VMO451" s="268"/>
      <c r="VMP451" s="268"/>
      <c r="VMQ451" s="268"/>
      <c r="VMR451" s="268"/>
      <c r="VMS451" s="268"/>
      <c r="VMT451" s="268"/>
      <c r="VMU451" s="268"/>
      <c r="VMV451" s="268"/>
      <c r="VMW451" s="268"/>
      <c r="VMX451" s="268"/>
      <c r="VMY451" s="268"/>
      <c r="VMZ451" s="268"/>
      <c r="VNA451" s="268"/>
      <c r="VNB451" s="268"/>
      <c r="VNC451" s="268"/>
      <c r="VND451" s="268"/>
      <c r="VNE451" s="268"/>
      <c r="VNF451" s="268"/>
      <c r="VNG451" s="268"/>
      <c r="VNH451" s="268"/>
      <c r="VNI451" s="268"/>
      <c r="VNJ451" s="268"/>
      <c r="VNK451" s="268"/>
      <c r="VNL451" s="268"/>
      <c r="VNM451" s="268"/>
      <c r="VNN451" s="268"/>
      <c r="VNO451" s="268"/>
      <c r="VNP451" s="268"/>
      <c r="VNQ451" s="268"/>
      <c r="VNR451" s="268"/>
      <c r="VNS451" s="268"/>
      <c r="VNT451" s="268"/>
      <c r="VNU451" s="268"/>
      <c r="VNV451" s="268"/>
      <c r="VNW451" s="268"/>
      <c r="VNX451" s="268"/>
      <c r="VNY451" s="268"/>
      <c r="VNZ451" s="268"/>
      <c r="VOA451" s="268"/>
      <c r="VOB451" s="268"/>
      <c r="VOC451" s="268"/>
      <c r="VOD451" s="268"/>
      <c r="VOE451" s="268"/>
      <c r="VOF451" s="268"/>
      <c r="VOG451" s="268"/>
      <c r="VOH451" s="268"/>
      <c r="VOI451" s="268"/>
      <c r="VOJ451" s="268"/>
      <c r="VOK451" s="268"/>
      <c r="VOL451" s="268"/>
      <c r="VOM451" s="268"/>
      <c r="VON451" s="268"/>
      <c r="VOO451" s="268"/>
      <c r="VOP451" s="268"/>
      <c r="VOQ451" s="268"/>
      <c r="VOR451" s="268"/>
      <c r="VOS451" s="268"/>
      <c r="VOT451" s="268"/>
      <c r="VOU451" s="268"/>
      <c r="VOV451" s="268"/>
      <c r="VOW451" s="268"/>
      <c r="VOX451" s="268"/>
      <c r="VOY451" s="268"/>
      <c r="VOZ451" s="268"/>
      <c r="VPA451" s="268"/>
      <c r="VPB451" s="268"/>
      <c r="VPC451" s="268"/>
      <c r="VPD451" s="268"/>
      <c r="VPE451" s="268"/>
      <c r="VPF451" s="268"/>
      <c r="VPG451" s="268"/>
      <c r="VPH451" s="268"/>
      <c r="VPI451" s="268"/>
      <c r="VPJ451" s="268"/>
      <c r="VPK451" s="268"/>
      <c r="VPL451" s="268"/>
      <c r="VPM451" s="268"/>
      <c r="VPN451" s="268"/>
      <c r="VPO451" s="268"/>
      <c r="VPP451" s="268"/>
      <c r="VPQ451" s="268"/>
      <c r="VPR451" s="268"/>
      <c r="VPS451" s="268"/>
      <c r="VPT451" s="268"/>
      <c r="VPU451" s="268"/>
      <c r="VPV451" s="268"/>
      <c r="VPW451" s="268"/>
      <c r="VPX451" s="268"/>
      <c r="VPY451" s="268"/>
      <c r="VPZ451" s="268"/>
      <c r="VQA451" s="268"/>
      <c r="VQB451" s="268"/>
      <c r="VQC451" s="268"/>
      <c r="VQD451" s="268"/>
      <c r="VQE451" s="268"/>
      <c r="VQF451" s="268"/>
      <c r="VQG451" s="268"/>
      <c r="VQH451" s="268"/>
      <c r="VQI451" s="268"/>
      <c r="VQJ451" s="268"/>
      <c r="VQK451" s="268"/>
      <c r="VQL451" s="268"/>
      <c r="VQM451" s="268"/>
      <c r="VQN451" s="268"/>
      <c r="VQO451" s="268"/>
      <c r="VQP451" s="268"/>
      <c r="VQQ451" s="268"/>
      <c r="VQR451" s="268"/>
      <c r="VQS451" s="268"/>
      <c r="VQT451" s="268"/>
      <c r="VQU451" s="268"/>
      <c r="VQV451" s="268"/>
      <c r="VQW451" s="268"/>
      <c r="VQX451" s="268"/>
      <c r="VQY451" s="268"/>
      <c r="VQZ451" s="268"/>
      <c r="VRA451" s="268"/>
      <c r="VRB451" s="268"/>
      <c r="VRC451" s="268"/>
      <c r="VRD451" s="268"/>
      <c r="VRE451" s="268"/>
      <c r="VRF451" s="268"/>
      <c r="VRG451" s="268"/>
      <c r="VRH451" s="268"/>
      <c r="VRI451" s="268"/>
      <c r="VRJ451" s="268"/>
      <c r="VRK451" s="268"/>
      <c r="VRY451" s="268"/>
      <c r="VRZ451" s="268"/>
      <c r="VSA451" s="268"/>
      <c r="VSO451" s="268"/>
      <c r="VSQ451" s="268"/>
      <c r="VSR451" s="268"/>
      <c r="VSS451" s="268"/>
      <c r="VST451" s="268"/>
      <c r="VSU451" s="268"/>
      <c r="VSV451" s="268"/>
      <c r="VSW451" s="268"/>
      <c r="VSX451" s="268"/>
      <c r="VSY451" s="268"/>
      <c r="VSZ451" s="268"/>
      <c r="VTA451" s="268"/>
      <c r="VTB451" s="268"/>
      <c r="VTC451" s="268"/>
      <c r="VTD451" s="268"/>
      <c r="VTE451" s="268"/>
      <c r="VTF451" s="268"/>
      <c r="VTG451" s="268"/>
      <c r="VTH451" s="268"/>
      <c r="VTI451" s="268"/>
      <c r="VTJ451" s="268"/>
      <c r="VTK451" s="268"/>
      <c r="VTL451" s="268"/>
      <c r="VTM451" s="268"/>
      <c r="VTN451" s="268"/>
      <c r="VTO451" s="268"/>
      <c r="VTP451" s="268"/>
      <c r="VTQ451" s="268"/>
      <c r="VTR451" s="268"/>
      <c r="VTS451" s="268"/>
      <c r="VTT451" s="268"/>
      <c r="VTU451" s="268"/>
      <c r="VTV451" s="268"/>
      <c r="VTW451" s="268"/>
      <c r="VTX451" s="268"/>
      <c r="VTY451" s="268"/>
      <c r="VTZ451" s="268"/>
      <c r="VUA451" s="268"/>
      <c r="VUB451" s="268"/>
      <c r="VUC451" s="268"/>
      <c r="VUD451" s="268"/>
      <c r="VUE451" s="268"/>
      <c r="VUF451" s="268"/>
      <c r="VUG451" s="268"/>
      <c r="VUH451" s="268"/>
      <c r="VUI451" s="268"/>
      <c r="VUJ451" s="268"/>
      <c r="VUK451" s="268"/>
      <c r="VUL451" s="268"/>
      <c r="VUM451" s="268"/>
      <c r="VUN451" s="268"/>
      <c r="VUO451" s="268"/>
      <c r="VUP451" s="268"/>
      <c r="VUQ451" s="268"/>
      <c r="VUR451" s="268"/>
      <c r="VUS451" s="268"/>
      <c r="VUT451" s="268"/>
      <c r="VUU451" s="268"/>
      <c r="VUV451" s="268"/>
      <c r="VUW451" s="268"/>
      <c r="VUX451" s="268"/>
      <c r="VUY451" s="268"/>
      <c r="VUZ451" s="268"/>
      <c r="VVA451" s="268"/>
      <c r="VVB451" s="268"/>
      <c r="VVC451" s="268"/>
      <c r="VVD451" s="268"/>
      <c r="VVE451" s="268"/>
      <c r="VVF451" s="268"/>
      <c r="VVG451" s="268"/>
      <c r="VVH451" s="268"/>
      <c r="VVI451" s="268"/>
      <c r="VVJ451" s="268"/>
      <c r="VVK451" s="268"/>
      <c r="VVL451" s="268"/>
      <c r="VVM451" s="268"/>
      <c r="VVN451" s="268"/>
      <c r="VVO451" s="268"/>
      <c r="VVP451" s="268"/>
      <c r="VVQ451" s="268"/>
      <c r="VVR451" s="268"/>
      <c r="VVS451" s="268"/>
      <c r="VVT451" s="268"/>
      <c r="VVU451" s="268"/>
      <c r="VVV451" s="268"/>
      <c r="VVW451" s="268"/>
      <c r="VVX451" s="268"/>
      <c r="VVY451" s="268"/>
      <c r="VVZ451" s="268"/>
      <c r="VWA451" s="268"/>
      <c r="VWB451" s="268"/>
      <c r="VWC451" s="268"/>
      <c r="VWD451" s="268"/>
      <c r="VWE451" s="268"/>
      <c r="VWF451" s="268"/>
      <c r="VWG451" s="268"/>
      <c r="VWH451" s="268"/>
      <c r="VWI451" s="268"/>
      <c r="VWJ451" s="268"/>
      <c r="VWK451" s="268"/>
      <c r="VWL451" s="268"/>
      <c r="VWM451" s="268"/>
      <c r="VWN451" s="268"/>
      <c r="VWO451" s="268"/>
      <c r="VWP451" s="268"/>
      <c r="VWQ451" s="268"/>
      <c r="VWR451" s="268"/>
      <c r="VWS451" s="268"/>
      <c r="VWT451" s="268"/>
      <c r="VWU451" s="268"/>
      <c r="VWV451" s="268"/>
      <c r="VWW451" s="268"/>
      <c r="VWX451" s="268"/>
      <c r="VWY451" s="268"/>
      <c r="VWZ451" s="268"/>
      <c r="VXA451" s="268"/>
      <c r="VXB451" s="268"/>
      <c r="VXC451" s="268"/>
      <c r="VXD451" s="268"/>
      <c r="VXE451" s="268"/>
      <c r="VXF451" s="268"/>
      <c r="VXG451" s="268"/>
      <c r="VXH451" s="268"/>
      <c r="VXI451" s="268"/>
      <c r="VXJ451" s="268"/>
      <c r="VXK451" s="268"/>
      <c r="VXL451" s="268"/>
      <c r="VXM451" s="268"/>
      <c r="VXN451" s="268"/>
      <c r="VXO451" s="268"/>
      <c r="VXP451" s="268"/>
      <c r="VXQ451" s="268"/>
      <c r="VXR451" s="268"/>
      <c r="VXS451" s="268"/>
      <c r="VXT451" s="268"/>
      <c r="VXU451" s="268"/>
      <c r="VXV451" s="268"/>
      <c r="VXW451" s="268"/>
      <c r="VXX451" s="268"/>
      <c r="VXY451" s="268"/>
      <c r="VXZ451" s="268"/>
      <c r="VYA451" s="268"/>
      <c r="VYB451" s="268"/>
      <c r="VYC451" s="268"/>
      <c r="VYD451" s="268"/>
      <c r="VYE451" s="268"/>
      <c r="VYF451" s="268"/>
      <c r="VYG451" s="268"/>
      <c r="VYH451" s="268"/>
      <c r="VYI451" s="268"/>
      <c r="VYJ451" s="268"/>
      <c r="VYK451" s="268"/>
      <c r="VYL451" s="268"/>
      <c r="VYM451" s="268"/>
      <c r="VYN451" s="268"/>
      <c r="VYO451" s="268"/>
      <c r="VYP451" s="268"/>
      <c r="VYQ451" s="268"/>
      <c r="VYR451" s="268"/>
      <c r="VYS451" s="268"/>
      <c r="VYT451" s="268"/>
      <c r="VYU451" s="268"/>
      <c r="VYV451" s="268"/>
      <c r="VYW451" s="268"/>
      <c r="VYX451" s="268"/>
      <c r="VYY451" s="268"/>
      <c r="VYZ451" s="268"/>
      <c r="VZA451" s="268"/>
      <c r="VZB451" s="268"/>
      <c r="VZC451" s="268"/>
      <c r="VZD451" s="268"/>
      <c r="VZE451" s="268"/>
      <c r="VZF451" s="268"/>
      <c r="VZG451" s="268"/>
      <c r="VZH451" s="268"/>
      <c r="VZI451" s="268"/>
      <c r="VZJ451" s="268"/>
      <c r="VZK451" s="268"/>
      <c r="VZL451" s="268"/>
      <c r="VZM451" s="268"/>
      <c r="VZN451" s="268"/>
      <c r="VZO451" s="268"/>
      <c r="VZP451" s="268"/>
      <c r="VZQ451" s="268"/>
      <c r="VZR451" s="268"/>
      <c r="VZS451" s="268"/>
      <c r="VZT451" s="268"/>
      <c r="VZU451" s="268"/>
      <c r="VZV451" s="268"/>
      <c r="VZW451" s="268"/>
      <c r="VZX451" s="268"/>
      <c r="VZY451" s="268"/>
      <c r="VZZ451" s="268"/>
      <c r="WAA451" s="268"/>
      <c r="WAB451" s="268"/>
      <c r="WAC451" s="268"/>
      <c r="WAD451" s="268"/>
      <c r="WAE451" s="268"/>
      <c r="WAF451" s="268"/>
      <c r="WAG451" s="268"/>
      <c r="WAH451" s="268"/>
      <c r="WAI451" s="268"/>
      <c r="WAJ451" s="268"/>
      <c r="WAK451" s="268"/>
      <c r="WAL451" s="268"/>
      <c r="WAM451" s="268"/>
      <c r="WAN451" s="268"/>
      <c r="WAO451" s="268"/>
      <c r="WAP451" s="268"/>
      <c r="WAQ451" s="268"/>
      <c r="WAR451" s="268"/>
      <c r="WAS451" s="268"/>
      <c r="WAT451" s="268"/>
      <c r="WAU451" s="268"/>
      <c r="WAV451" s="268"/>
      <c r="WAW451" s="268"/>
      <c r="WAX451" s="268"/>
      <c r="WAY451" s="268"/>
      <c r="WAZ451" s="268"/>
      <c r="WBA451" s="268"/>
      <c r="WBB451" s="268"/>
      <c r="WBC451" s="268"/>
      <c r="WBD451" s="268"/>
      <c r="WBE451" s="268"/>
      <c r="WBF451" s="268"/>
      <c r="WBG451" s="268"/>
      <c r="WBU451" s="268"/>
      <c r="WBV451" s="268"/>
      <c r="WBW451" s="268"/>
      <c r="WCK451" s="268"/>
      <c r="WCM451" s="268"/>
      <c r="WCN451" s="268"/>
      <c r="WCO451" s="268"/>
      <c r="WCP451" s="268"/>
      <c r="WCQ451" s="268"/>
      <c r="WCR451" s="268"/>
      <c r="WCS451" s="268"/>
      <c r="WCT451" s="268"/>
      <c r="WCU451" s="268"/>
      <c r="WCV451" s="268"/>
      <c r="WCW451" s="268"/>
      <c r="WCX451" s="268"/>
      <c r="WCY451" s="268"/>
      <c r="WCZ451" s="268"/>
      <c r="WDA451" s="268"/>
      <c r="WDB451" s="268"/>
      <c r="WDC451" s="268"/>
      <c r="WDD451" s="268"/>
      <c r="WDE451" s="268"/>
      <c r="WDF451" s="268"/>
      <c r="WDG451" s="268"/>
      <c r="WDH451" s="268"/>
      <c r="WDI451" s="268"/>
      <c r="WDJ451" s="268"/>
      <c r="WDK451" s="268"/>
      <c r="WDL451" s="268"/>
      <c r="WDM451" s="268"/>
      <c r="WDN451" s="268"/>
      <c r="WDO451" s="268"/>
      <c r="WDP451" s="268"/>
      <c r="WDQ451" s="268"/>
      <c r="WDR451" s="268"/>
      <c r="WDS451" s="268"/>
      <c r="WDT451" s="268"/>
      <c r="WDU451" s="268"/>
      <c r="WDV451" s="268"/>
      <c r="WDW451" s="268"/>
      <c r="WDX451" s="268"/>
      <c r="WDY451" s="268"/>
      <c r="WDZ451" s="268"/>
      <c r="WEA451" s="268"/>
      <c r="WEB451" s="268"/>
      <c r="WEC451" s="268"/>
      <c r="WED451" s="268"/>
      <c r="WEE451" s="268"/>
      <c r="WEF451" s="268"/>
      <c r="WEG451" s="268"/>
      <c r="WEH451" s="268"/>
      <c r="WEI451" s="268"/>
      <c r="WEJ451" s="268"/>
      <c r="WEK451" s="268"/>
      <c r="WEL451" s="268"/>
      <c r="WEM451" s="268"/>
      <c r="WEN451" s="268"/>
      <c r="WEO451" s="268"/>
      <c r="WEP451" s="268"/>
      <c r="WEQ451" s="268"/>
      <c r="WER451" s="268"/>
      <c r="WES451" s="268"/>
      <c r="WET451" s="268"/>
      <c r="WEU451" s="268"/>
      <c r="WEV451" s="268"/>
      <c r="WEW451" s="268"/>
      <c r="WEX451" s="268"/>
      <c r="WEY451" s="268"/>
      <c r="WEZ451" s="268"/>
      <c r="WFA451" s="268"/>
      <c r="WFB451" s="268"/>
      <c r="WFC451" s="268"/>
      <c r="WFD451" s="268"/>
      <c r="WFE451" s="268"/>
      <c r="WFF451" s="268"/>
      <c r="WFG451" s="268"/>
      <c r="WFH451" s="268"/>
      <c r="WFI451" s="268"/>
      <c r="WFJ451" s="268"/>
      <c r="WFK451" s="268"/>
      <c r="WFL451" s="268"/>
      <c r="WFM451" s="268"/>
      <c r="WFN451" s="268"/>
      <c r="WFO451" s="268"/>
      <c r="WFP451" s="268"/>
      <c r="WFQ451" s="268"/>
      <c r="WFR451" s="268"/>
      <c r="WFS451" s="268"/>
      <c r="WFT451" s="268"/>
      <c r="WFU451" s="268"/>
      <c r="WFV451" s="268"/>
      <c r="WFW451" s="268"/>
      <c r="WFX451" s="268"/>
      <c r="WFY451" s="268"/>
      <c r="WFZ451" s="268"/>
      <c r="WGA451" s="268"/>
      <c r="WGB451" s="268"/>
      <c r="WGC451" s="268"/>
      <c r="WGD451" s="268"/>
      <c r="WGE451" s="268"/>
      <c r="WGF451" s="268"/>
      <c r="WGG451" s="268"/>
      <c r="WGH451" s="268"/>
      <c r="WGI451" s="268"/>
      <c r="WGJ451" s="268"/>
      <c r="WGK451" s="268"/>
      <c r="WGL451" s="268"/>
      <c r="WGM451" s="268"/>
      <c r="WGN451" s="268"/>
      <c r="WGO451" s="268"/>
      <c r="WGP451" s="268"/>
      <c r="WGQ451" s="268"/>
      <c r="WGR451" s="268"/>
      <c r="WGS451" s="268"/>
      <c r="WGT451" s="268"/>
      <c r="WGU451" s="268"/>
      <c r="WGV451" s="268"/>
      <c r="WGW451" s="268"/>
      <c r="WGX451" s="268"/>
      <c r="WGY451" s="268"/>
      <c r="WGZ451" s="268"/>
      <c r="WHA451" s="268"/>
      <c r="WHB451" s="268"/>
      <c r="WHC451" s="268"/>
      <c r="WHD451" s="268"/>
      <c r="WHE451" s="268"/>
      <c r="WHF451" s="268"/>
      <c r="WHG451" s="268"/>
      <c r="WHH451" s="268"/>
      <c r="WHI451" s="268"/>
      <c r="WHJ451" s="268"/>
      <c r="WHK451" s="268"/>
      <c r="WHL451" s="268"/>
      <c r="WHM451" s="268"/>
      <c r="WHN451" s="268"/>
      <c r="WHO451" s="268"/>
      <c r="WHP451" s="268"/>
      <c r="WHQ451" s="268"/>
      <c r="WHR451" s="268"/>
      <c r="WHS451" s="268"/>
      <c r="WHT451" s="268"/>
      <c r="WHU451" s="268"/>
      <c r="WHV451" s="268"/>
      <c r="WHW451" s="268"/>
      <c r="WHX451" s="268"/>
      <c r="WHY451" s="268"/>
      <c r="WHZ451" s="268"/>
      <c r="WIA451" s="268"/>
      <c r="WIB451" s="268"/>
      <c r="WIC451" s="268"/>
      <c r="WID451" s="268"/>
      <c r="WIE451" s="268"/>
      <c r="WIF451" s="268"/>
      <c r="WIG451" s="268"/>
      <c r="WIH451" s="268"/>
      <c r="WII451" s="268"/>
      <c r="WIJ451" s="268"/>
      <c r="WIK451" s="268"/>
      <c r="WIL451" s="268"/>
      <c r="WIM451" s="268"/>
      <c r="WIN451" s="268"/>
      <c r="WIO451" s="268"/>
      <c r="WIP451" s="268"/>
      <c r="WIQ451" s="268"/>
      <c r="WIR451" s="268"/>
      <c r="WIS451" s="268"/>
      <c r="WIT451" s="268"/>
      <c r="WIU451" s="268"/>
      <c r="WIV451" s="268"/>
      <c r="WIW451" s="268"/>
      <c r="WIX451" s="268"/>
      <c r="WIY451" s="268"/>
      <c r="WIZ451" s="268"/>
      <c r="WJA451" s="268"/>
      <c r="WJB451" s="268"/>
      <c r="WJC451" s="268"/>
      <c r="WJD451" s="268"/>
      <c r="WJE451" s="268"/>
      <c r="WJF451" s="268"/>
      <c r="WJG451" s="268"/>
      <c r="WJH451" s="268"/>
      <c r="WJI451" s="268"/>
      <c r="WJJ451" s="268"/>
      <c r="WJK451" s="268"/>
      <c r="WJL451" s="268"/>
      <c r="WJM451" s="268"/>
      <c r="WJN451" s="268"/>
      <c r="WJO451" s="268"/>
      <c r="WJP451" s="268"/>
      <c r="WJQ451" s="268"/>
      <c r="WJR451" s="268"/>
      <c r="WJS451" s="268"/>
      <c r="WJT451" s="268"/>
      <c r="WJU451" s="268"/>
      <c r="WJV451" s="268"/>
      <c r="WJW451" s="268"/>
      <c r="WJX451" s="268"/>
      <c r="WJY451" s="268"/>
      <c r="WJZ451" s="268"/>
      <c r="WKA451" s="268"/>
      <c r="WKB451" s="268"/>
      <c r="WKC451" s="268"/>
      <c r="WKD451" s="268"/>
      <c r="WKE451" s="268"/>
      <c r="WKF451" s="268"/>
      <c r="WKG451" s="268"/>
      <c r="WKH451" s="268"/>
      <c r="WKI451" s="268"/>
      <c r="WKJ451" s="268"/>
      <c r="WKK451" s="268"/>
      <c r="WKL451" s="268"/>
      <c r="WKM451" s="268"/>
      <c r="WKN451" s="268"/>
      <c r="WKO451" s="268"/>
      <c r="WKP451" s="268"/>
      <c r="WKQ451" s="268"/>
      <c r="WKR451" s="268"/>
      <c r="WKS451" s="268"/>
      <c r="WKT451" s="268"/>
      <c r="WKU451" s="268"/>
      <c r="WKV451" s="268"/>
      <c r="WKW451" s="268"/>
      <c r="WKX451" s="268"/>
      <c r="WKY451" s="268"/>
      <c r="WKZ451" s="268"/>
      <c r="WLA451" s="268"/>
      <c r="WLB451" s="268"/>
      <c r="WLC451" s="268"/>
      <c r="WLQ451" s="268"/>
      <c r="WLR451" s="268"/>
      <c r="WLS451" s="268"/>
      <c r="WMG451" s="268"/>
      <c r="WMI451" s="268"/>
      <c r="WMJ451" s="268"/>
      <c r="WMK451" s="268"/>
      <c r="WML451" s="268"/>
      <c r="WMM451" s="268"/>
      <c r="WMN451" s="268"/>
      <c r="WMO451" s="268"/>
      <c r="WMP451" s="268"/>
      <c r="WMQ451" s="268"/>
      <c r="WMR451" s="268"/>
      <c r="WMS451" s="268"/>
      <c r="WMT451" s="268"/>
      <c r="WMU451" s="268"/>
      <c r="WMV451" s="268"/>
      <c r="WMW451" s="268"/>
      <c r="WMX451" s="268"/>
      <c r="WMY451" s="268"/>
      <c r="WMZ451" s="268"/>
      <c r="WNA451" s="268"/>
      <c r="WNB451" s="268"/>
      <c r="WNC451" s="268"/>
      <c r="WND451" s="268"/>
      <c r="WNE451" s="268"/>
      <c r="WNF451" s="268"/>
      <c r="WNG451" s="268"/>
      <c r="WNH451" s="268"/>
      <c r="WNI451" s="268"/>
      <c r="WNJ451" s="268"/>
      <c r="WNK451" s="268"/>
      <c r="WNL451" s="268"/>
      <c r="WNM451" s="268"/>
      <c r="WNN451" s="268"/>
      <c r="WNO451" s="268"/>
      <c r="WNP451" s="268"/>
      <c r="WNQ451" s="268"/>
      <c r="WNR451" s="268"/>
      <c r="WNS451" s="268"/>
      <c r="WNT451" s="268"/>
      <c r="WNU451" s="268"/>
      <c r="WNV451" s="268"/>
      <c r="WNW451" s="268"/>
      <c r="WNX451" s="268"/>
      <c r="WNY451" s="268"/>
      <c r="WNZ451" s="268"/>
      <c r="WOA451" s="268"/>
      <c r="WOB451" s="268"/>
      <c r="WOC451" s="268"/>
      <c r="WOD451" s="268"/>
      <c r="WOE451" s="268"/>
      <c r="WOF451" s="268"/>
      <c r="WOG451" s="268"/>
      <c r="WOH451" s="268"/>
      <c r="WOI451" s="268"/>
      <c r="WOJ451" s="268"/>
      <c r="WOK451" s="268"/>
      <c r="WOL451" s="268"/>
      <c r="WOM451" s="268"/>
      <c r="WON451" s="268"/>
      <c r="WOO451" s="268"/>
      <c r="WOP451" s="268"/>
      <c r="WOQ451" s="268"/>
      <c r="WOR451" s="268"/>
      <c r="WOS451" s="268"/>
      <c r="WOT451" s="268"/>
      <c r="WOU451" s="268"/>
      <c r="WOV451" s="268"/>
      <c r="WOW451" s="268"/>
      <c r="WOX451" s="268"/>
      <c r="WOY451" s="268"/>
      <c r="WOZ451" s="268"/>
      <c r="WPA451" s="268"/>
      <c r="WPB451" s="268"/>
      <c r="WPC451" s="268"/>
      <c r="WPD451" s="268"/>
      <c r="WPE451" s="268"/>
      <c r="WPF451" s="268"/>
      <c r="WPG451" s="268"/>
      <c r="WPH451" s="268"/>
      <c r="WPI451" s="268"/>
      <c r="WPJ451" s="268"/>
      <c r="WPK451" s="268"/>
      <c r="WPL451" s="268"/>
      <c r="WPM451" s="268"/>
      <c r="WPN451" s="268"/>
      <c r="WPO451" s="268"/>
      <c r="WPP451" s="268"/>
      <c r="WPQ451" s="268"/>
      <c r="WPR451" s="268"/>
      <c r="WPS451" s="268"/>
      <c r="WPT451" s="268"/>
      <c r="WPU451" s="268"/>
      <c r="WPV451" s="268"/>
      <c r="WPW451" s="268"/>
      <c r="WPX451" s="268"/>
      <c r="WPY451" s="268"/>
      <c r="WPZ451" s="268"/>
      <c r="WQA451" s="268"/>
      <c r="WQB451" s="268"/>
      <c r="WQC451" s="268"/>
      <c r="WQD451" s="268"/>
      <c r="WQE451" s="268"/>
      <c r="WQF451" s="268"/>
      <c r="WQG451" s="268"/>
      <c r="WQH451" s="268"/>
      <c r="WQI451" s="268"/>
      <c r="WQJ451" s="268"/>
      <c r="WQK451" s="268"/>
      <c r="WQL451" s="268"/>
      <c r="WQM451" s="268"/>
      <c r="WQN451" s="268"/>
      <c r="WQO451" s="268"/>
      <c r="WQP451" s="268"/>
      <c r="WQQ451" s="268"/>
      <c r="WQR451" s="268"/>
      <c r="WQS451" s="268"/>
      <c r="WQT451" s="268"/>
      <c r="WQU451" s="268"/>
      <c r="WQV451" s="268"/>
      <c r="WQW451" s="268"/>
      <c r="WQX451" s="268"/>
      <c r="WQY451" s="268"/>
      <c r="WQZ451" s="268"/>
      <c r="WRA451" s="268"/>
      <c r="WRB451" s="268"/>
      <c r="WRC451" s="268"/>
      <c r="WRD451" s="268"/>
      <c r="WRE451" s="268"/>
      <c r="WRF451" s="268"/>
      <c r="WRG451" s="268"/>
      <c r="WRH451" s="268"/>
      <c r="WRI451" s="268"/>
      <c r="WRJ451" s="268"/>
      <c r="WRK451" s="268"/>
      <c r="WRL451" s="268"/>
      <c r="WRM451" s="268"/>
      <c r="WRN451" s="268"/>
      <c r="WRO451" s="268"/>
      <c r="WRP451" s="268"/>
      <c r="WRQ451" s="268"/>
      <c r="WRR451" s="268"/>
      <c r="WRS451" s="268"/>
      <c r="WRT451" s="268"/>
      <c r="WRU451" s="268"/>
      <c r="WRV451" s="268"/>
      <c r="WRW451" s="268"/>
      <c r="WRX451" s="268"/>
      <c r="WRY451" s="268"/>
      <c r="WRZ451" s="268"/>
      <c r="WSA451" s="268"/>
      <c r="WSB451" s="268"/>
      <c r="WSC451" s="268"/>
      <c r="WSD451" s="268"/>
      <c r="WSE451" s="268"/>
      <c r="WSF451" s="268"/>
      <c r="WSG451" s="268"/>
      <c r="WSH451" s="268"/>
      <c r="WSI451" s="268"/>
      <c r="WSJ451" s="268"/>
      <c r="WSK451" s="268"/>
      <c r="WSL451" s="268"/>
      <c r="WSM451" s="268"/>
      <c r="WSN451" s="268"/>
      <c r="WSO451" s="268"/>
      <c r="WSP451" s="268"/>
      <c r="WSQ451" s="268"/>
      <c r="WSR451" s="268"/>
      <c r="WSS451" s="268"/>
      <c r="WST451" s="268"/>
      <c r="WSU451" s="268"/>
      <c r="WSV451" s="268"/>
      <c r="WSW451" s="268"/>
      <c r="WSX451" s="268"/>
      <c r="WSY451" s="268"/>
      <c r="WSZ451" s="268"/>
      <c r="WTA451" s="268"/>
      <c r="WTB451" s="268"/>
      <c r="WTC451" s="268"/>
      <c r="WTD451" s="268"/>
      <c r="WTE451" s="268"/>
      <c r="WTF451" s="268"/>
      <c r="WTG451" s="268"/>
      <c r="WTH451" s="268"/>
      <c r="WTI451" s="268"/>
      <c r="WTJ451" s="268"/>
      <c r="WTK451" s="268"/>
      <c r="WTL451" s="268"/>
      <c r="WTM451" s="268"/>
      <c r="WTN451" s="268"/>
      <c r="WTO451" s="268"/>
      <c r="WTP451" s="268"/>
      <c r="WTQ451" s="268"/>
      <c r="WTR451" s="268"/>
      <c r="WTS451" s="268"/>
      <c r="WTT451" s="268"/>
      <c r="WTU451" s="268"/>
      <c r="WTV451" s="268"/>
      <c r="WTW451" s="268"/>
      <c r="WTX451" s="268"/>
      <c r="WTY451" s="268"/>
      <c r="WTZ451" s="268"/>
      <c r="WUA451" s="268"/>
      <c r="WUB451" s="268"/>
      <c r="WUC451" s="268"/>
      <c r="WUD451" s="268"/>
      <c r="WUE451" s="268"/>
      <c r="WUF451" s="268"/>
      <c r="WUG451" s="268"/>
      <c r="WUH451" s="268"/>
      <c r="WUI451" s="268"/>
      <c r="WUJ451" s="268"/>
      <c r="WUK451" s="268"/>
      <c r="WUL451" s="268"/>
      <c r="WUM451" s="268"/>
      <c r="WUN451" s="268"/>
      <c r="WUO451" s="268"/>
      <c r="WUP451" s="268"/>
      <c r="WUQ451" s="268"/>
      <c r="WUR451" s="268"/>
      <c r="WUS451" s="268"/>
      <c r="WUT451" s="268"/>
      <c r="WUU451" s="268"/>
      <c r="WUV451" s="268"/>
      <c r="WUW451" s="268"/>
      <c r="WUX451" s="268"/>
      <c r="WUY451" s="268"/>
      <c r="WVM451" s="268"/>
      <c r="WVN451" s="268"/>
      <c r="WVO451" s="268"/>
      <c r="WWC451" s="268"/>
      <c r="WWE451" s="268"/>
      <c r="WWF451" s="268"/>
      <c r="WWG451" s="268"/>
      <c r="WWH451" s="268"/>
      <c r="WWI451" s="268"/>
      <c r="WWJ451" s="268"/>
      <c r="WWK451" s="268"/>
      <c r="WWL451" s="268"/>
      <c r="WWM451" s="268"/>
      <c r="WWN451" s="268"/>
      <c r="WWO451" s="268"/>
      <c r="WWP451" s="268"/>
      <c r="WWQ451" s="268"/>
      <c r="WWR451" s="268"/>
      <c r="WWS451" s="268"/>
      <c r="WWT451" s="268"/>
      <c r="WWU451" s="268"/>
      <c r="WWV451" s="268"/>
      <c r="WWW451" s="268"/>
      <c r="WWX451" s="268"/>
      <c r="WWY451" s="268"/>
      <c r="WWZ451" s="268"/>
      <c r="WXA451" s="268"/>
      <c r="WXB451" s="268"/>
      <c r="WXC451" s="268"/>
      <c r="WXD451" s="268"/>
      <c r="WXE451" s="268"/>
      <c r="WXF451" s="268"/>
      <c r="WXG451" s="268"/>
      <c r="WXH451" s="268"/>
      <c r="WXI451" s="268"/>
      <c r="WXJ451" s="268"/>
      <c r="WXK451" s="268"/>
      <c r="WXL451" s="268"/>
      <c r="WXM451" s="268"/>
      <c r="WXN451" s="268"/>
      <c r="WXO451" s="268"/>
      <c r="WXP451" s="268"/>
      <c r="WXQ451" s="268"/>
      <c r="WXR451" s="268"/>
      <c r="WXS451" s="268"/>
      <c r="WXT451" s="268"/>
      <c r="WXU451" s="268"/>
      <c r="WXV451" s="268"/>
      <c r="WXW451" s="268"/>
      <c r="WXX451" s="268"/>
      <c r="WXY451" s="268"/>
      <c r="WXZ451" s="268"/>
      <c r="WYA451" s="268"/>
      <c r="WYB451" s="268"/>
      <c r="WYC451" s="268"/>
      <c r="WYD451" s="268"/>
      <c r="WYE451" s="268"/>
      <c r="WYF451" s="268"/>
      <c r="WYG451" s="268"/>
      <c r="WYH451" s="268"/>
      <c r="WYI451" s="268"/>
      <c r="WYJ451" s="268"/>
      <c r="WYK451" s="268"/>
      <c r="WYL451" s="268"/>
      <c r="WYM451" s="268"/>
      <c r="WYN451" s="268"/>
      <c r="WYO451" s="268"/>
      <c r="WYP451" s="268"/>
      <c r="WYQ451" s="268"/>
      <c r="WYR451" s="268"/>
      <c r="WYS451" s="268"/>
      <c r="WYT451" s="268"/>
      <c r="WYU451" s="268"/>
      <c r="WYV451" s="268"/>
      <c r="WYW451" s="268"/>
      <c r="WYX451" s="268"/>
      <c r="WYY451" s="268"/>
      <c r="WYZ451" s="268"/>
      <c r="WZA451" s="268"/>
      <c r="WZB451" s="268"/>
      <c r="WZC451" s="268"/>
      <c r="WZD451" s="268"/>
      <c r="WZE451" s="268"/>
      <c r="WZF451" s="268"/>
      <c r="WZG451" s="268"/>
      <c r="WZH451" s="268"/>
      <c r="WZI451" s="268"/>
      <c r="WZJ451" s="268"/>
      <c r="WZK451" s="268"/>
      <c r="WZL451" s="268"/>
      <c r="WZM451" s="268"/>
      <c r="WZN451" s="268"/>
      <c r="WZO451" s="268"/>
      <c r="WZP451" s="268"/>
      <c r="WZQ451" s="268"/>
      <c r="WZR451" s="268"/>
      <c r="WZS451" s="268"/>
      <c r="WZT451" s="268"/>
      <c r="WZU451" s="268"/>
      <c r="WZV451" s="268"/>
      <c r="WZW451" s="268"/>
      <c r="WZX451" s="268"/>
      <c r="WZY451" s="268"/>
      <c r="WZZ451" s="268"/>
      <c r="XAA451" s="268"/>
      <c r="XAB451" s="268"/>
      <c r="XAC451" s="268"/>
      <c r="XAD451" s="268"/>
      <c r="XAE451" s="268"/>
      <c r="XAF451" s="268"/>
      <c r="XAG451" s="268"/>
      <c r="XAH451" s="268"/>
      <c r="XAI451" s="268"/>
      <c r="XAJ451" s="268"/>
      <c r="XAK451" s="268"/>
      <c r="XAL451" s="268"/>
      <c r="XAM451" s="268"/>
      <c r="XAN451" s="268"/>
      <c r="XAO451" s="268"/>
      <c r="XAP451" s="268"/>
      <c r="XAQ451" s="268"/>
      <c r="XAR451" s="268"/>
      <c r="XAS451" s="268"/>
      <c r="XAT451" s="268"/>
      <c r="XAU451" s="268"/>
      <c r="XAV451" s="268"/>
      <c r="XAW451" s="268"/>
      <c r="XAX451" s="268"/>
      <c r="XAY451" s="268"/>
      <c r="XAZ451" s="268"/>
      <c r="XBA451" s="268"/>
      <c r="XBB451" s="268"/>
      <c r="XBC451" s="268"/>
      <c r="XBD451" s="268"/>
      <c r="XBE451" s="268"/>
      <c r="XBF451" s="268"/>
      <c r="XBG451" s="268"/>
      <c r="XBH451" s="268"/>
      <c r="XBI451" s="268"/>
      <c r="XBJ451" s="268"/>
      <c r="XBK451" s="268"/>
      <c r="XBL451" s="268"/>
      <c r="XBM451" s="268"/>
      <c r="XBN451" s="268"/>
      <c r="XBO451" s="268"/>
      <c r="XBP451" s="268"/>
      <c r="XBQ451" s="268"/>
      <c r="XBR451" s="268"/>
      <c r="XBS451" s="268"/>
      <c r="XBT451" s="268"/>
      <c r="XBU451" s="268"/>
      <c r="XBV451" s="268"/>
      <c r="XBW451" s="268"/>
      <c r="XBX451" s="268"/>
      <c r="XBY451" s="268"/>
      <c r="XBZ451" s="268"/>
      <c r="XCA451" s="268"/>
      <c r="XCB451" s="268"/>
      <c r="XCC451" s="268"/>
      <c r="XCD451" s="268"/>
      <c r="XCE451" s="268"/>
      <c r="XCF451" s="268"/>
      <c r="XCG451" s="268"/>
      <c r="XCH451" s="268"/>
      <c r="XCI451" s="268"/>
      <c r="XCJ451" s="268"/>
      <c r="XCK451" s="268"/>
      <c r="XCL451" s="268"/>
      <c r="XCM451" s="268"/>
      <c r="XCN451" s="268"/>
      <c r="XCO451" s="268"/>
      <c r="XCP451" s="268"/>
      <c r="XCQ451" s="268"/>
      <c r="XCR451" s="268"/>
      <c r="XCS451" s="268"/>
      <c r="XCT451" s="268"/>
      <c r="XCU451" s="268"/>
      <c r="XCV451" s="268"/>
      <c r="XCW451" s="268"/>
      <c r="XCX451" s="268"/>
      <c r="XCY451" s="268"/>
      <c r="XCZ451" s="268"/>
      <c r="XDA451" s="268"/>
      <c r="XDB451" s="268"/>
      <c r="XDC451" s="268"/>
      <c r="XDD451" s="268"/>
      <c r="XDE451" s="268"/>
      <c r="XDF451" s="268"/>
      <c r="XDG451" s="268"/>
      <c r="XDH451" s="268"/>
      <c r="XDI451" s="268"/>
      <c r="XDJ451" s="268"/>
      <c r="XDK451" s="268"/>
      <c r="XDL451" s="268"/>
      <c r="XDM451" s="268"/>
      <c r="XDN451" s="268"/>
      <c r="XDO451" s="268"/>
      <c r="XDP451" s="268"/>
      <c r="XDQ451" s="268"/>
      <c r="XDR451" s="268"/>
      <c r="XDS451" s="268"/>
      <c r="XDT451" s="268"/>
      <c r="XDU451" s="268"/>
      <c r="XDV451" s="268"/>
      <c r="XDW451" s="268"/>
      <c r="XDX451" s="268"/>
      <c r="XDY451" s="268"/>
      <c r="XDZ451" s="268"/>
      <c r="XEA451" s="268"/>
      <c r="XEB451" s="268"/>
      <c r="XEC451" s="268"/>
      <c r="XED451" s="268"/>
      <c r="XEE451" s="268"/>
      <c r="XEF451" s="268"/>
      <c r="XEG451" s="268"/>
      <c r="XEH451" s="268"/>
      <c r="XEI451" s="268"/>
      <c r="XEJ451" s="268"/>
      <c r="XEK451" s="268"/>
      <c r="XEL451" s="268"/>
      <c r="XEM451" s="268"/>
      <c r="XEN451" s="268"/>
      <c r="XEO451" s="268"/>
      <c r="XEP451" s="268"/>
      <c r="XEQ451" s="268"/>
      <c r="XER451" s="268"/>
      <c r="XES451" s="268"/>
    </row>
    <row r="452" spans="1:1015 1029:2039 2053:3063 3077:4087 4101:5111 5125:6135 6149:7159 7173:8183 8197:9207 9221:10231 10245:11255 11269:12279 12293:13303 13317:14327 14341:15351 15365:16373" hidden="1" outlineLevel="1" x14ac:dyDescent="0.25">
      <c r="A452" s="3" t="s">
        <v>369</v>
      </c>
      <c r="B452" s="3">
        <v>2000</v>
      </c>
      <c r="D452" s="3">
        <v>0</v>
      </c>
      <c r="E452" s="3">
        <f t="shared" si="275"/>
        <v>2000</v>
      </c>
      <c r="F452" s="3">
        <v>2000</v>
      </c>
      <c r="H452" s="3">
        <f t="shared" si="276"/>
        <v>0</v>
      </c>
      <c r="J452" s="3">
        <v>0</v>
      </c>
      <c r="K452" s="4">
        <f t="shared" si="258"/>
        <v>2000</v>
      </c>
      <c r="L452" s="4">
        <v>2000</v>
      </c>
      <c r="N452" s="4">
        <f t="shared" si="259"/>
        <v>0</v>
      </c>
      <c r="P452" s="3">
        <f>L452*1.0281+44</f>
        <v>2100.1999999999998</v>
      </c>
      <c r="R452" s="3">
        <v>0</v>
      </c>
      <c r="S452" s="3">
        <f t="shared" si="260"/>
        <v>2100</v>
      </c>
      <c r="T452" s="3">
        <v>2100</v>
      </c>
      <c r="U452" s="3">
        <f t="shared" si="261"/>
        <v>-0.1999999999998181</v>
      </c>
      <c r="V452" s="3">
        <v>1549</v>
      </c>
      <c r="W452" s="3">
        <f t="shared" si="262"/>
        <v>551</v>
      </c>
      <c r="Y452" s="3">
        <v>2100</v>
      </c>
      <c r="Z452" s="3">
        <f t="shared" si="263"/>
        <v>0</v>
      </c>
      <c r="AC452" s="3">
        <v>1549</v>
      </c>
      <c r="AD452" s="3">
        <f t="shared" si="274"/>
        <v>551</v>
      </c>
      <c r="AE452" s="3">
        <v>2100</v>
      </c>
      <c r="AF452" s="3">
        <f t="shared" si="264"/>
        <v>0</v>
      </c>
      <c r="AI452" s="3">
        <f>AE452*1.03+37+50</f>
        <v>2250</v>
      </c>
      <c r="AK452" s="3">
        <f>AI452*1.03</f>
        <v>2317.5</v>
      </c>
      <c r="AM452" s="3">
        <f t="shared" ref="AM452:AQ453" si="279">AK452*1.03</f>
        <v>2387.0250000000001</v>
      </c>
      <c r="AN452" s="3">
        <f t="shared" si="279"/>
        <v>0</v>
      </c>
      <c r="AO452" s="3">
        <f t="shared" si="279"/>
        <v>2458.6357500000004</v>
      </c>
      <c r="AP452" s="4">
        <f t="shared" si="279"/>
        <v>0</v>
      </c>
      <c r="AQ452" s="3">
        <f t="shared" si="279"/>
        <v>2532.3948225000004</v>
      </c>
      <c r="AR452" s="3"/>
      <c r="AS452" s="3">
        <f t="shared" ref="AS452:AW453" si="280">AQ452*1.03</f>
        <v>2608.3666671750007</v>
      </c>
      <c r="AT452" s="3">
        <f t="shared" si="280"/>
        <v>0</v>
      </c>
      <c r="AU452" s="3">
        <f t="shared" si="280"/>
        <v>2686.6176671902508</v>
      </c>
      <c r="AV452" s="3">
        <f t="shared" si="280"/>
        <v>0</v>
      </c>
      <c r="AW452" s="3">
        <f t="shared" si="280"/>
        <v>2767.2161972059585</v>
      </c>
      <c r="AX452" s="3"/>
      <c r="AY452" s="3">
        <f t="shared" ref="AY452:BE453" si="281">AW452*1.03</f>
        <v>2850.2326831221371</v>
      </c>
      <c r="AZ452" s="3">
        <f t="shared" si="281"/>
        <v>0</v>
      </c>
      <c r="BA452" s="3">
        <f t="shared" si="281"/>
        <v>2935.7396636158014</v>
      </c>
      <c r="BC452" s="3">
        <f t="shared" si="281"/>
        <v>3023.8118535242756</v>
      </c>
      <c r="BE452" s="3">
        <f t="shared" si="281"/>
        <v>3114.5262091300042</v>
      </c>
    </row>
    <row r="453" spans="1:1015 1029:2039 2053:3063 3077:4087 4101:5111 5125:6135 6149:7159 7173:8183 8197:9207 9221:10231 10245:11255 11269:12279 12293:13303 13317:14327 14341:15351 15365:16373" hidden="1" outlineLevel="1" x14ac:dyDescent="0.25">
      <c r="A453" s="3" t="s">
        <v>370</v>
      </c>
      <c r="B453" s="3">
        <v>200</v>
      </c>
      <c r="E453" s="3">
        <f t="shared" si="275"/>
        <v>200</v>
      </c>
      <c r="F453" s="3">
        <v>200</v>
      </c>
      <c r="H453" s="3">
        <f t="shared" si="276"/>
        <v>0</v>
      </c>
      <c r="J453" s="3">
        <v>0</v>
      </c>
      <c r="K453" s="4">
        <f t="shared" si="258"/>
        <v>200</v>
      </c>
      <c r="L453" s="4">
        <v>200</v>
      </c>
      <c r="N453" s="4">
        <f t="shared" si="259"/>
        <v>0</v>
      </c>
      <c r="P453" s="3">
        <f>L453*1.0281+44</f>
        <v>249.62</v>
      </c>
      <c r="S453" s="3">
        <f t="shared" si="260"/>
        <v>250</v>
      </c>
      <c r="T453" s="3">
        <v>250</v>
      </c>
      <c r="U453" s="3">
        <f t="shared" si="261"/>
        <v>0.37999999999999545</v>
      </c>
      <c r="W453" s="3">
        <f t="shared" si="262"/>
        <v>250</v>
      </c>
      <c r="Y453" s="3">
        <v>250</v>
      </c>
      <c r="Z453" s="3">
        <f t="shared" si="263"/>
        <v>0</v>
      </c>
      <c r="AD453" s="3">
        <f t="shared" si="274"/>
        <v>250</v>
      </c>
      <c r="AE453" s="3">
        <v>250</v>
      </c>
      <c r="AF453" s="3">
        <f>AE453-Y453</f>
        <v>0</v>
      </c>
      <c r="AI453" s="3">
        <f>AE453*1.03+42</f>
        <v>299.5</v>
      </c>
      <c r="AK453" s="3">
        <f>AI453*1.03</f>
        <v>308.48500000000001</v>
      </c>
      <c r="AL453" s="3">
        <f>AJ453*1.0281</f>
        <v>0</v>
      </c>
      <c r="AM453" s="3">
        <f t="shared" si="279"/>
        <v>317.73955000000001</v>
      </c>
      <c r="AN453" s="3">
        <f t="shared" si="279"/>
        <v>0</v>
      </c>
      <c r="AO453" s="3">
        <f t="shared" si="279"/>
        <v>327.27173650000003</v>
      </c>
      <c r="AP453" s="4">
        <f t="shared" si="279"/>
        <v>0</v>
      </c>
      <c r="AQ453" s="3">
        <f t="shared" si="279"/>
        <v>337.08988859500005</v>
      </c>
      <c r="AR453" s="3"/>
      <c r="AS453" s="3">
        <f t="shared" si="280"/>
        <v>347.20258525285004</v>
      </c>
      <c r="AT453" s="3">
        <f t="shared" si="280"/>
        <v>0</v>
      </c>
      <c r="AU453" s="3">
        <f t="shared" si="280"/>
        <v>357.61866281043558</v>
      </c>
      <c r="AV453" s="3">
        <f t="shared" si="280"/>
        <v>0</v>
      </c>
      <c r="AW453" s="3">
        <f t="shared" si="280"/>
        <v>368.34722269474867</v>
      </c>
      <c r="AX453" s="3"/>
      <c r="AY453" s="3">
        <f t="shared" si="281"/>
        <v>379.39763937559115</v>
      </c>
      <c r="AZ453" s="3">
        <f t="shared" si="281"/>
        <v>0</v>
      </c>
      <c r="BA453" s="3">
        <f t="shared" si="281"/>
        <v>390.77956855685892</v>
      </c>
      <c r="BC453" s="3">
        <f t="shared" si="281"/>
        <v>402.50295561356472</v>
      </c>
      <c r="BE453" s="3">
        <f t="shared" si="281"/>
        <v>414.5780442819717</v>
      </c>
    </row>
    <row r="454" spans="1:1015 1029:2039 2053:3063 3077:4087 4101:5111 5125:6135 6149:7159 7173:8183 8197:9207 9221:10231 10245:11255 11269:12279 12293:13303 13317:14327 14341:15351 15365:16373" hidden="1" outlineLevel="1" x14ac:dyDescent="0.25">
      <c r="A454" s="3"/>
      <c r="B454" s="62">
        <f>SUM(B424:B453)+1</f>
        <v>647546</v>
      </c>
      <c r="C454" s="32"/>
      <c r="D454" s="62">
        <f>SUM(D424:D453)+1</f>
        <v>164639</v>
      </c>
      <c r="E454" s="62">
        <f>SUM(E424:E453)+1</f>
        <v>419128</v>
      </c>
      <c r="F454" s="62">
        <f>SUM(F424:F453)+1</f>
        <v>583766</v>
      </c>
      <c r="G454" s="32"/>
      <c r="H454" s="62">
        <f>SUM(H424:H453)+1</f>
        <v>-63779</v>
      </c>
      <c r="I454" s="32"/>
      <c r="J454" s="62">
        <f>SUM(J424:J453)+1</f>
        <v>268182</v>
      </c>
      <c r="K454" s="62">
        <f>SUM(K424:K453)+1</f>
        <v>327385</v>
      </c>
      <c r="L454" s="62">
        <f>SUM(L424:L453)+1</f>
        <v>595566</v>
      </c>
      <c r="M454" s="32"/>
      <c r="N454" s="62">
        <f>SUM(N424:N453)+1</f>
        <v>11801</v>
      </c>
      <c r="P454" s="62">
        <f>SUM(P424:P453)</f>
        <v>649748.70499999984</v>
      </c>
      <c r="R454" s="62">
        <f t="shared" ref="R454:W454" si="282">SUM(R424:R453)</f>
        <v>214087</v>
      </c>
      <c r="S454" s="62">
        <f t="shared" si="282"/>
        <v>481048</v>
      </c>
      <c r="T454" s="62">
        <f t="shared" si="282"/>
        <v>695135</v>
      </c>
      <c r="U454" s="62">
        <f t="shared" si="282"/>
        <v>45386.295000000006</v>
      </c>
      <c r="V454" s="62">
        <f t="shared" si="282"/>
        <v>301447</v>
      </c>
      <c r="W454" s="62">
        <f t="shared" si="282"/>
        <v>397838</v>
      </c>
      <c r="X454" s="62"/>
      <c r="Y454" s="62">
        <f>SUM(Y424:Y453)</f>
        <v>699285</v>
      </c>
      <c r="Z454" s="62">
        <f>SUM(Z424:Z453)</f>
        <v>4150</v>
      </c>
      <c r="AC454" s="62">
        <f>SUM(AC424:AC453)</f>
        <v>530417</v>
      </c>
      <c r="AD454" s="62">
        <f>SUM(AD424:AD453)</f>
        <v>196268</v>
      </c>
      <c r="AE454" s="62">
        <f>SUM(AE424:AE453)</f>
        <v>726685</v>
      </c>
      <c r="AF454" s="62">
        <f>SUM(AF424:AF453)</f>
        <v>27400</v>
      </c>
      <c r="AG454" s="32"/>
      <c r="AI454" s="62">
        <f>SUM(AI424:AI453)</f>
        <v>772547.51249999995</v>
      </c>
      <c r="AK454" s="62">
        <f>SUM(AK424:AK453)</f>
        <v>796608.608825</v>
      </c>
      <c r="AM454" s="62">
        <f>SUM(AM424:AM453)</f>
        <v>820557.00069344474</v>
      </c>
      <c r="AO454" s="62">
        <f>SUM(AO424:AO453)</f>
        <v>845236.52467220731</v>
      </c>
      <c r="AP454" s="32"/>
      <c r="AQ454" s="62">
        <f>SUM(AQ424:AQ453)</f>
        <v>870669.46341130079</v>
      </c>
      <c r="AS454" s="62">
        <f>SUM(AS424:AS453)</f>
        <v>896878.7776284779</v>
      </c>
      <c r="AU454" s="62">
        <f>SUM(AU424:AU453)</f>
        <v>923888.12671491783</v>
      </c>
      <c r="AW454" s="62">
        <f>SUM(AW424:AW453)</f>
        <v>951721.88996633992</v>
      </c>
      <c r="AY454" s="62">
        <f>SUM(AY424:AY453)</f>
        <v>980405.18845849577</v>
      </c>
      <c r="BA454" s="62">
        <f>SUM(BA424:BA453)</f>
        <v>1009963.9075865836</v>
      </c>
      <c r="BC454" s="62">
        <f>SUM(BC424:BC453)</f>
        <v>1040424.7202887097</v>
      </c>
      <c r="BE454" s="62">
        <f>SUM(BE424:BE453)</f>
        <v>1071815.1109741309</v>
      </c>
    </row>
    <row r="455" spans="1:1015 1029:2039 2053:3063 3077:4087 4101:5111 5125:6135 6149:7159 7173:8183 8197:9207 9221:10231 10245:11255 11269:12279 12293:13303 13317:14327 14341:15351 15365:16373" ht="15.75" collapsed="1" thickBot="1" x14ac:dyDescent="0.3">
      <c r="A455" s="7" t="s">
        <v>1173</v>
      </c>
      <c r="B455" s="44">
        <f>B454+B422+B373-1</f>
        <v>2098740</v>
      </c>
      <c r="C455" s="32"/>
      <c r="D455" s="44">
        <f>D454+D422+D373-1</f>
        <v>649771</v>
      </c>
      <c r="E455" s="44">
        <f>E454+E422+E373-1</f>
        <v>1392088</v>
      </c>
      <c r="F455" s="44">
        <f>F454+F422+F373-1</f>
        <v>2041856</v>
      </c>
      <c r="G455" s="32"/>
      <c r="H455" s="44">
        <f>H454+H422+H373-1</f>
        <v>-56883</v>
      </c>
      <c r="I455" s="32"/>
      <c r="J455" s="44">
        <f>J454+J422+J373-1</f>
        <v>1110480</v>
      </c>
      <c r="K455" s="44">
        <f>K454+K422+K373-1</f>
        <v>981054</v>
      </c>
      <c r="L455" s="44">
        <f>L454+L422+L373-1</f>
        <v>2091531</v>
      </c>
      <c r="M455" s="32"/>
      <c r="N455" s="44">
        <f>N454+N422+N373-1</f>
        <v>49677</v>
      </c>
      <c r="P455" s="44">
        <f>P454+P422+P373</f>
        <v>2144658.1229999997</v>
      </c>
      <c r="R455" s="44">
        <f t="shared" ref="R455:W455" si="283">R454+R422+R373</f>
        <v>688626</v>
      </c>
      <c r="S455" s="44">
        <f t="shared" si="283"/>
        <v>1554474</v>
      </c>
      <c r="T455" s="44">
        <f t="shared" si="283"/>
        <v>2243100</v>
      </c>
      <c r="U455" s="44">
        <f t="shared" si="283"/>
        <v>98442.877000000008</v>
      </c>
      <c r="V455" s="44">
        <f t="shared" si="283"/>
        <v>1084081</v>
      </c>
      <c r="W455" s="44">
        <f t="shared" si="283"/>
        <v>1160869</v>
      </c>
      <c r="X455" s="44"/>
      <c r="Y455" s="44">
        <f>Y454+Y422+Y373</f>
        <v>2244950</v>
      </c>
      <c r="Z455" s="44">
        <f>Z454+Z422+Z373</f>
        <v>1850</v>
      </c>
      <c r="AC455" s="44">
        <f>AC454+AC422+AC373</f>
        <v>1496546</v>
      </c>
      <c r="AD455" s="44">
        <f>AD454+AD422+AD373</f>
        <v>789504</v>
      </c>
      <c r="AE455" s="44">
        <f>AE454+AE422+AE373</f>
        <v>2286050</v>
      </c>
      <c r="AF455" s="44">
        <f>AF454+AF422+AF373</f>
        <v>41100</v>
      </c>
      <c r="AG455" s="32"/>
      <c r="AI455" s="44">
        <f>AI454+AI422+AI373</f>
        <v>2362088.6625000001</v>
      </c>
      <c r="AK455" s="44">
        <f>AK454+AK422+AK373</f>
        <v>2413491.3792750002</v>
      </c>
      <c r="AM455" s="44">
        <f>AM454+AM422+AM373</f>
        <v>2471960.6366821397</v>
      </c>
      <c r="AO455" s="44">
        <f>AO454+AO422+AO373</f>
        <v>2545611.8062986657</v>
      </c>
      <c r="AP455" s="32"/>
      <c r="AQ455" s="44">
        <f>AQ454+AQ422+AQ373</f>
        <v>2569554.5306216781</v>
      </c>
      <c r="AS455" s="44">
        <f>AS454+AS422+AS373</f>
        <v>2645909.7855187147</v>
      </c>
      <c r="AU455" s="44">
        <f>AU454+AU422+AU373</f>
        <v>2731980.1448197546</v>
      </c>
      <c r="AW455" s="44">
        <f>AW454+AW422+AW373</f>
        <v>2845193.924082628</v>
      </c>
      <c r="AY455" s="44">
        <f>AY454+AY422+AY373</f>
        <v>2885711.6010132032</v>
      </c>
      <c r="BA455" s="44">
        <f>BA454+BA422+BA373</f>
        <v>2970516.2706232732</v>
      </c>
      <c r="BC455" s="44">
        <f>BC454+BC422+BC373</f>
        <v>3057879.5833414579</v>
      </c>
      <c r="BE455" s="44">
        <f>BE454+BE422+BE373</f>
        <v>3147878.8753867741</v>
      </c>
    </row>
    <row r="456" spans="1:1015 1029:2039 2053:3063 3077:4087 4101:5111 5125:6135 6149:7159 7173:8183 8197:9207 9221:10231 10245:11255 11269:12279 12293:13303 13317:14327 14341:15351 15365:16373" ht="15.75" thickTop="1" x14ac:dyDescent="0.25">
      <c r="A456" s="7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P456" s="32"/>
      <c r="R456" s="32"/>
      <c r="S456" s="32"/>
      <c r="T456" s="32"/>
      <c r="U456" s="32"/>
      <c r="V456" s="32"/>
      <c r="W456" s="32"/>
      <c r="X456" s="32"/>
      <c r="Y456" s="32"/>
      <c r="Z456" s="32"/>
      <c r="AC456" s="32"/>
      <c r="AD456" s="32"/>
      <c r="AE456" s="32"/>
      <c r="AF456" s="32"/>
      <c r="AG456" s="32"/>
      <c r="AI456" s="32"/>
      <c r="AK456" s="32"/>
      <c r="AM456" s="32"/>
      <c r="AO456" s="32"/>
      <c r="AP456" s="32"/>
      <c r="AQ456" s="32"/>
      <c r="AS456" s="32"/>
      <c r="AU456" s="32"/>
      <c r="AW456" s="32"/>
      <c r="AY456" s="32"/>
      <c r="BA456" s="32"/>
      <c r="BC456" s="32"/>
      <c r="BE456" s="32"/>
    </row>
    <row r="457" spans="1:1015 1029:2039 2053:3063 3077:4087 4101:5111 5125:6135 6149:7159 7173:8183 8197:9207 9221:10231 10245:11255 11269:12279 12293:13303 13317:14327 14341:15351 15365:16373" s="42" customFormat="1" x14ac:dyDescent="0.25">
      <c r="A457" s="7" t="s">
        <v>77</v>
      </c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4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4"/>
      <c r="AH457" s="4"/>
      <c r="AI457" s="3"/>
      <c r="AJ457" s="3"/>
      <c r="AK457" s="3"/>
      <c r="AL457" s="3"/>
      <c r="AM457" s="3"/>
      <c r="AN457" s="3"/>
      <c r="AO457" s="3"/>
      <c r="AP457" s="4"/>
      <c r="AQ457" s="3"/>
      <c r="AS457" s="3"/>
      <c r="AU457" s="3"/>
      <c r="AW457" s="3"/>
      <c r="AY457" s="3"/>
      <c r="BA457" s="3"/>
      <c r="BC457" s="3"/>
      <c r="BE457" s="3"/>
    </row>
    <row r="458" spans="1:1015 1029:2039 2053:3063 3077:4087 4101:5111 5125:6135 6149:7159 7173:8183 8197:9207 9221:10231 10245:11255 11269:12279 12293:13303 13317:14327 14341:15351 15365:16373" s="42" customFormat="1" hidden="1" outlineLevel="1" x14ac:dyDescent="0.25">
      <c r="A458" s="7" t="s">
        <v>78</v>
      </c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4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4"/>
      <c r="AH458" s="4"/>
      <c r="AI458" s="3"/>
      <c r="AJ458" s="3"/>
      <c r="AK458" s="3"/>
      <c r="AL458" s="3"/>
      <c r="AM458" s="3"/>
      <c r="AN458" s="3"/>
      <c r="AO458" s="3"/>
      <c r="AP458" s="4"/>
      <c r="AQ458" s="3"/>
      <c r="AS458" s="3"/>
      <c r="AU458" s="3"/>
      <c r="AW458" s="3"/>
      <c r="AY458" s="3"/>
      <c r="BA458" s="3"/>
      <c r="BC458" s="3"/>
      <c r="BE458" s="3"/>
    </row>
    <row r="459" spans="1:1015 1029:2039 2053:3063 3077:4087 4101:5111 5125:6135 6149:7159 7173:8183 8197:9207 9221:10231 10245:11255 11269:12279 12293:13303 13317:14327 14341:15351 15365:16373" hidden="1" outlineLevel="1" x14ac:dyDescent="0.25">
      <c r="A459" s="3" t="s">
        <v>371</v>
      </c>
      <c r="B459" s="3">
        <v>116540</v>
      </c>
      <c r="D459" s="3">
        <v>0</v>
      </c>
      <c r="E459" s="3">
        <f t="shared" ref="E459:E467" si="284">F459-D459</f>
        <v>116540</v>
      </c>
      <c r="F459" s="3">
        <v>116540</v>
      </c>
      <c r="H459" s="3">
        <f t="shared" ref="H459:H467" si="285">F459-B459</f>
        <v>0</v>
      </c>
      <c r="J459" s="3">
        <v>138933</v>
      </c>
      <c r="K459" s="4">
        <f t="shared" ref="K459:K467" si="286">L459-J459</f>
        <v>2</v>
      </c>
      <c r="L459" s="4">
        <v>138935</v>
      </c>
      <c r="N459" s="4">
        <f t="shared" ref="N459:N467" si="287">L459-F459</f>
        <v>22395</v>
      </c>
      <c r="P459" s="3">
        <v>155250</v>
      </c>
      <c r="R459" s="3">
        <v>35255</v>
      </c>
      <c r="S459" s="3">
        <f t="shared" ref="S459:S467" si="288">T459-R459</f>
        <v>119995</v>
      </c>
      <c r="T459" s="3">
        <v>155250</v>
      </c>
      <c r="U459" s="3">
        <f t="shared" ref="U459:U467" si="289">T459-P459</f>
        <v>0</v>
      </c>
      <c r="V459" s="3">
        <v>35255</v>
      </c>
      <c r="W459" s="3">
        <f t="shared" ref="W459:W467" si="290">Y459-V459</f>
        <v>119995</v>
      </c>
      <c r="Y459" s="3">
        <v>155250</v>
      </c>
      <c r="Z459" s="3">
        <f t="shared" ref="Z459:Z467" si="291">Y459-T459</f>
        <v>0</v>
      </c>
      <c r="AC459" s="3">
        <v>35256</v>
      </c>
      <c r="AD459" s="3">
        <f t="shared" ref="AD459:AD467" si="292">AE459-AC459</f>
        <v>119994</v>
      </c>
      <c r="AE459" s="3">
        <v>155250</v>
      </c>
      <c r="AF459" s="3">
        <f t="shared" ref="AF459:AF467" si="293">AE459-Y459</f>
        <v>0</v>
      </c>
      <c r="AI459" s="3">
        <v>140000</v>
      </c>
      <c r="AK459" s="3">
        <f t="shared" ref="AK459:AK464" si="294">AI459*1.03</f>
        <v>144200</v>
      </c>
      <c r="AM459" s="3">
        <f t="shared" ref="AM459:AQ464" si="295">AK459*1.03</f>
        <v>148526</v>
      </c>
      <c r="AN459" s="3">
        <f t="shared" si="295"/>
        <v>0</v>
      </c>
      <c r="AO459" s="3">
        <f t="shared" si="295"/>
        <v>152981.78</v>
      </c>
      <c r="AP459" s="4">
        <f t="shared" si="295"/>
        <v>0</v>
      </c>
      <c r="AQ459" s="3">
        <f t="shared" si="295"/>
        <v>157571.2334</v>
      </c>
      <c r="AR459" s="3"/>
      <c r="AS459" s="3">
        <f t="shared" ref="AS459:AW464" si="296">AQ459*1.03</f>
        <v>162298.370402</v>
      </c>
      <c r="AT459" s="3">
        <f t="shared" si="296"/>
        <v>0</v>
      </c>
      <c r="AU459" s="3">
        <f t="shared" si="296"/>
        <v>167167.32151405999</v>
      </c>
      <c r="AV459" s="3">
        <f t="shared" si="296"/>
        <v>0</v>
      </c>
      <c r="AW459" s="3">
        <f t="shared" si="296"/>
        <v>172182.34115948179</v>
      </c>
      <c r="AX459" s="3"/>
      <c r="AY459" s="3">
        <f t="shared" ref="AY459:BE464" si="297">AW459*1.03</f>
        <v>177347.81139426626</v>
      </c>
      <c r="AZ459" s="3">
        <f t="shared" si="297"/>
        <v>0</v>
      </c>
      <c r="BA459" s="3">
        <f t="shared" si="297"/>
        <v>182668.24573609425</v>
      </c>
      <c r="BC459" s="3">
        <f t="shared" si="297"/>
        <v>188148.29310817708</v>
      </c>
      <c r="BE459" s="3">
        <f t="shared" si="297"/>
        <v>193792.74190142239</v>
      </c>
    </row>
    <row r="460" spans="1:1015 1029:2039 2053:3063 3077:4087 4101:5111 5125:6135 6149:7159 7173:8183 8197:9207 9221:10231 10245:11255 11269:12279 12293:13303 13317:14327 14341:15351 15365:16373" hidden="1" outlineLevel="1" x14ac:dyDescent="0.25">
      <c r="A460" s="3" t="s">
        <v>372</v>
      </c>
      <c r="E460" s="3">
        <f t="shared" si="284"/>
        <v>0</v>
      </c>
      <c r="H460" s="3">
        <f t="shared" si="285"/>
        <v>0</v>
      </c>
      <c r="K460" s="4">
        <f t="shared" si="286"/>
        <v>0</v>
      </c>
      <c r="L460" s="4"/>
      <c r="N460" s="4">
        <f t="shared" si="287"/>
        <v>0</v>
      </c>
      <c r="S460" s="3">
        <f t="shared" si="288"/>
        <v>0</v>
      </c>
      <c r="U460" s="3">
        <f t="shared" si="289"/>
        <v>0</v>
      </c>
      <c r="W460" s="3">
        <f t="shared" si="290"/>
        <v>0</v>
      </c>
      <c r="Z460" s="3">
        <f t="shared" si="291"/>
        <v>0</v>
      </c>
      <c r="AD460" s="3">
        <f t="shared" si="292"/>
        <v>0</v>
      </c>
      <c r="AF460" s="3">
        <f t="shared" si="293"/>
        <v>0</v>
      </c>
      <c r="AI460" s="3">
        <f>P460*1.0281</f>
        <v>0</v>
      </c>
      <c r="AK460" s="3">
        <f t="shared" si="294"/>
        <v>0</v>
      </c>
      <c r="AM460" s="3">
        <f t="shared" si="295"/>
        <v>0</v>
      </c>
      <c r="AN460" s="3">
        <f t="shared" si="295"/>
        <v>0</v>
      </c>
      <c r="AO460" s="3">
        <f t="shared" si="295"/>
        <v>0</v>
      </c>
      <c r="AP460" s="4">
        <f t="shared" si="295"/>
        <v>0</v>
      </c>
      <c r="AQ460" s="3">
        <f t="shared" si="295"/>
        <v>0</v>
      </c>
      <c r="AR460" s="3"/>
      <c r="AS460" s="3">
        <f t="shared" si="296"/>
        <v>0</v>
      </c>
      <c r="AT460" s="3">
        <f t="shared" si="296"/>
        <v>0</v>
      </c>
      <c r="AU460" s="3">
        <f t="shared" si="296"/>
        <v>0</v>
      </c>
      <c r="AV460" s="3">
        <f t="shared" si="296"/>
        <v>0</v>
      </c>
      <c r="AW460" s="3">
        <f t="shared" si="296"/>
        <v>0</v>
      </c>
      <c r="AX460" s="3"/>
      <c r="AY460" s="3">
        <f t="shared" si="297"/>
        <v>0</v>
      </c>
      <c r="AZ460" s="3">
        <f t="shared" si="297"/>
        <v>0</v>
      </c>
      <c r="BA460" s="3">
        <f t="shared" si="297"/>
        <v>0</v>
      </c>
      <c r="BC460" s="3">
        <f t="shared" si="297"/>
        <v>0</v>
      </c>
      <c r="BE460" s="3">
        <f t="shared" si="297"/>
        <v>0</v>
      </c>
    </row>
    <row r="461" spans="1:1015 1029:2039 2053:3063 3077:4087 4101:5111 5125:6135 6149:7159 7173:8183 8197:9207 9221:10231 10245:11255 11269:12279 12293:13303 13317:14327 14341:15351 15365:16373" hidden="1" outlineLevel="1" x14ac:dyDescent="0.25">
      <c r="A461" s="3" t="s">
        <v>373</v>
      </c>
      <c r="B461" s="3">
        <v>-43740</v>
      </c>
      <c r="D461" s="3">
        <v>0</v>
      </c>
      <c r="E461" s="3">
        <f t="shared" si="284"/>
        <v>-43740</v>
      </c>
      <c r="F461" s="3">
        <v>-43740</v>
      </c>
      <c r="H461" s="3">
        <f t="shared" si="285"/>
        <v>0</v>
      </c>
      <c r="J461" s="3">
        <v>-43736</v>
      </c>
      <c r="K461" s="4">
        <f t="shared" si="286"/>
        <v>-4</v>
      </c>
      <c r="L461" s="4">
        <v>-43740</v>
      </c>
      <c r="N461" s="4">
        <f t="shared" si="287"/>
        <v>0</v>
      </c>
      <c r="P461" s="3" t="s">
        <v>374</v>
      </c>
      <c r="R461" s="3">
        <v>0</v>
      </c>
      <c r="S461" s="3">
        <f t="shared" si="288"/>
        <v>-60040</v>
      </c>
      <c r="T461" s="3">
        <v>-60040</v>
      </c>
      <c r="U461" s="3" t="e">
        <f t="shared" si="289"/>
        <v>#VALUE!</v>
      </c>
      <c r="W461" s="3">
        <f t="shared" si="290"/>
        <v>-60040</v>
      </c>
      <c r="Y461" s="3">
        <v>-60040</v>
      </c>
      <c r="Z461" s="3">
        <f t="shared" si="291"/>
        <v>0</v>
      </c>
      <c r="AC461" s="3">
        <v>0</v>
      </c>
      <c r="AD461" s="3">
        <f t="shared" si="292"/>
        <v>-60040</v>
      </c>
      <c r="AE461" s="3">
        <v>-60040</v>
      </c>
      <c r="AF461" s="3">
        <f t="shared" si="293"/>
        <v>0</v>
      </c>
      <c r="AI461" s="3">
        <f>-52180-20</f>
        <v>-52200</v>
      </c>
      <c r="AK461" s="3">
        <f t="shared" si="294"/>
        <v>-53766</v>
      </c>
      <c r="AM461" s="3">
        <f t="shared" si="295"/>
        <v>-55378.98</v>
      </c>
      <c r="AN461" s="3">
        <f t="shared" si="295"/>
        <v>0</v>
      </c>
      <c r="AO461" s="3">
        <f t="shared" si="295"/>
        <v>-57040.349400000006</v>
      </c>
      <c r="AP461" s="4">
        <f t="shared" si="295"/>
        <v>0</v>
      </c>
      <c r="AQ461" s="3">
        <f t="shared" si="295"/>
        <v>-58751.559882000009</v>
      </c>
      <c r="AR461" s="3"/>
      <c r="AS461" s="3">
        <f t="shared" si="296"/>
        <v>-60514.106678460012</v>
      </c>
      <c r="AT461" s="3">
        <f t="shared" si="296"/>
        <v>0</v>
      </c>
      <c r="AU461" s="3">
        <f t="shared" si="296"/>
        <v>-62329.529878813817</v>
      </c>
      <c r="AV461" s="3">
        <f t="shared" si="296"/>
        <v>0</v>
      </c>
      <c r="AW461" s="3">
        <f t="shared" si="296"/>
        <v>-64199.415775178233</v>
      </c>
      <c r="AX461" s="3"/>
      <c r="AY461" s="3">
        <f t="shared" si="297"/>
        <v>-66125.398248433587</v>
      </c>
      <c r="AZ461" s="3">
        <f t="shared" si="297"/>
        <v>0</v>
      </c>
      <c r="BA461" s="3">
        <f t="shared" si="297"/>
        <v>-68109.160195886594</v>
      </c>
      <c r="BC461" s="3">
        <f t="shared" si="297"/>
        <v>-70152.435001763195</v>
      </c>
      <c r="BE461" s="3">
        <f t="shared" si="297"/>
        <v>-72257.008051816098</v>
      </c>
    </row>
    <row r="462" spans="1:1015 1029:2039 2053:3063 3077:4087 4101:5111 5125:6135 6149:7159 7173:8183 8197:9207 9221:10231 10245:11255 11269:12279 12293:13303 13317:14327 14341:15351 15365:16373" s="42" customFormat="1" hidden="1" outlineLevel="1" x14ac:dyDescent="0.25">
      <c r="A462" s="3" t="s">
        <v>90</v>
      </c>
      <c r="B462" s="3">
        <v>4000</v>
      </c>
      <c r="C462" s="3"/>
      <c r="D462" s="3"/>
      <c r="E462" s="3">
        <f t="shared" si="284"/>
        <v>4000</v>
      </c>
      <c r="F462" s="3">
        <v>4000</v>
      </c>
      <c r="G462" s="3"/>
      <c r="H462" s="3">
        <f t="shared" si="285"/>
        <v>0</v>
      </c>
      <c r="I462" s="3"/>
      <c r="J462" s="3">
        <v>0</v>
      </c>
      <c r="K462" s="4">
        <f t="shared" si="286"/>
        <v>2000</v>
      </c>
      <c r="L462" s="4">
        <v>2000</v>
      </c>
      <c r="M462" s="4"/>
      <c r="N462" s="4">
        <f t="shared" si="287"/>
        <v>-2000</v>
      </c>
      <c r="O462" s="3"/>
      <c r="P462" s="3">
        <v>3000</v>
      </c>
      <c r="Q462" s="3"/>
      <c r="R462" s="3">
        <v>0</v>
      </c>
      <c r="S462" s="3">
        <f t="shared" si="288"/>
        <v>3000</v>
      </c>
      <c r="T462" s="3">
        <v>3000</v>
      </c>
      <c r="U462" s="3">
        <f t="shared" si="289"/>
        <v>0</v>
      </c>
      <c r="V462" s="3"/>
      <c r="W462" s="3">
        <f t="shared" si="290"/>
        <v>3000</v>
      </c>
      <c r="X462" s="3"/>
      <c r="Y462" s="3">
        <v>3000</v>
      </c>
      <c r="Z462" s="3">
        <f t="shared" si="291"/>
        <v>0</v>
      </c>
      <c r="AA462" s="3"/>
      <c r="AB462" s="3"/>
      <c r="AC462" s="3">
        <v>0</v>
      </c>
      <c r="AD462" s="3">
        <f t="shared" si="292"/>
        <v>3000</v>
      </c>
      <c r="AE462" s="3">
        <v>3000</v>
      </c>
      <c r="AF462" s="3">
        <f t="shared" si="293"/>
        <v>0</v>
      </c>
      <c r="AG462" s="4"/>
      <c r="AH462" s="4"/>
      <c r="AI462" s="3">
        <f>AE462*1.03+10</f>
        <v>3100</v>
      </c>
      <c r="AJ462" s="3"/>
      <c r="AK462" s="3">
        <f t="shared" si="294"/>
        <v>3193</v>
      </c>
      <c r="AL462" s="3"/>
      <c r="AM462" s="3">
        <f t="shared" si="295"/>
        <v>3288.79</v>
      </c>
      <c r="AN462" s="3">
        <f t="shared" si="295"/>
        <v>0</v>
      </c>
      <c r="AO462" s="3">
        <f t="shared" si="295"/>
        <v>3387.4537</v>
      </c>
      <c r="AP462" s="4">
        <f t="shared" si="295"/>
        <v>0</v>
      </c>
      <c r="AQ462" s="3">
        <f t="shared" si="295"/>
        <v>3489.077311</v>
      </c>
      <c r="AR462" s="3"/>
      <c r="AS462" s="3">
        <f t="shared" si="296"/>
        <v>3593.7496303299999</v>
      </c>
      <c r="AT462" s="3">
        <f t="shared" si="296"/>
        <v>0</v>
      </c>
      <c r="AU462" s="3">
        <f t="shared" si="296"/>
        <v>3701.5621192398999</v>
      </c>
      <c r="AV462" s="3">
        <f t="shared" si="296"/>
        <v>0</v>
      </c>
      <c r="AW462" s="3">
        <f t="shared" si="296"/>
        <v>3812.6089828170971</v>
      </c>
      <c r="AX462" s="3"/>
      <c r="AY462" s="3">
        <f t="shared" si="297"/>
        <v>3926.9872523016102</v>
      </c>
      <c r="AZ462" s="3">
        <f t="shared" si="297"/>
        <v>0</v>
      </c>
      <c r="BA462" s="3">
        <f t="shared" si="297"/>
        <v>4044.7968698706586</v>
      </c>
      <c r="BC462" s="3">
        <f t="shared" si="297"/>
        <v>4166.1407759667782</v>
      </c>
      <c r="BE462" s="3">
        <f t="shared" si="297"/>
        <v>4291.1249992457815</v>
      </c>
    </row>
    <row r="463" spans="1:1015 1029:2039 2053:3063 3077:4087 4101:5111 5125:6135 6149:7159 7173:8183 8197:9207 9221:10231 10245:11255 11269:12279 12293:13303 13317:14327 14341:15351 15365:16373" s="42" customFormat="1" hidden="1" outlineLevel="1" x14ac:dyDescent="0.25">
      <c r="A463" s="3" t="s">
        <v>375</v>
      </c>
      <c r="B463" s="3"/>
      <c r="C463" s="3"/>
      <c r="D463" s="3"/>
      <c r="E463" s="3"/>
      <c r="F463" s="3"/>
      <c r="G463" s="3"/>
      <c r="H463" s="3"/>
      <c r="I463" s="3"/>
      <c r="J463" s="3"/>
      <c r="K463" s="4"/>
      <c r="L463" s="4"/>
      <c r="M463" s="4"/>
      <c r="N463" s="4"/>
      <c r="O463" s="3"/>
      <c r="P463" s="3">
        <v>13480</v>
      </c>
      <c r="Q463" s="3"/>
      <c r="R463" s="3">
        <v>0</v>
      </c>
      <c r="S463" s="3">
        <f t="shared" si="288"/>
        <v>13480</v>
      </c>
      <c r="T463" s="3">
        <v>13480</v>
      </c>
      <c r="U463" s="3">
        <f t="shared" si="289"/>
        <v>0</v>
      </c>
      <c r="V463" s="3"/>
      <c r="W463" s="3">
        <f t="shared" si="290"/>
        <v>13480</v>
      </c>
      <c r="X463" s="3"/>
      <c r="Y463" s="3">
        <v>13480</v>
      </c>
      <c r="Z463" s="3">
        <f t="shared" si="291"/>
        <v>0</v>
      </c>
      <c r="AA463" s="3"/>
      <c r="AB463" s="3"/>
      <c r="AC463" s="3">
        <v>0</v>
      </c>
      <c r="AD463" s="3">
        <f t="shared" si="292"/>
        <v>13480</v>
      </c>
      <c r="AE463" s="3">
        <v>13480</v>
      </c>
      <c r="AF463" s="3">
        <f t="shared" si="293"/>
        <v>0</v>
      </c>
      <c r="AG463" s="4"/>
      <c r="AH463" s="4"/>
      <c r="AI463" s="3">
        <v>14800</v>
      </c>
      <c r="AJ463" s="3"/>
      <c r="AK463" s="3">
        <f t="shared" si="294"/>
        <v>15244</v>
      </c>
      <c r="AL463" s="3"/>
      <c r="AM463" s="3">
        <f t="shared" si="295"/>
        <v>15701.32</v>
      </c>
      <c r="AN463" s="3">
        <f t="shared" si="295"/>
        <v>0</v>
      </c>
      <c r="AO463" s="3">
        <f t="shared" si="295"/>
        <v>16172.3596</v>
      </c>
      <c r="AP463" s="4">
        <f t="shared" si="295"/>
        <v>0</v>
      </c>
      <c r="AQ463" s="3">
        <f t="shared" si="295"/>
        <v>16657.530387999999</v>
      </c>
      <c r="AR463" s="3"/>
      <c r="AS463" s="3">
        <f t="shared" si="296"/>
        <v>17157.256299640001</v>
      </c>
      <c r="AT463" s="3">
        <f t="shared" si="296"/>
        <v>0</v>
      </c>
      <c r="AU463" s="3">
        <f t="shared" si="296"/>
        <v>17671.973988629201</v>
      </c>
      <c r="AV463" s="3">
        <f t="shared" si="296"/>
        <v>0</v>
      </c>
      <c r="AW463" s="3">
        <f t="shared" si="296"/>
        <v>18202.133208288076</v>
      </c>
      <c r="AX463" s="3"/>
      <c r="AY463" s="3">
        <f t="shared" si="297"/>
        <v>18748.197204536718</v>
      </c>
      <c r="AZ463" s="3">
        <f t="shared" si="297"/>
        <v>0</v>
      </c>
      <c r="BA463" s="3">
        <f t="shared" si="297"/>
        <v>19310.643120672819</v>
      </c>
      <c r="BC463" s="3">
        <f t="shared" si="297"/>
        <v>19889.962414293004</v>
      </c>
      <c r="BE463" s="3">
        <f t="shared" si="297"/>
        <v>20486.661286721795</v>
      </c>
    </row>
    <row r="464" spans="1:1015 1029:2039 2053:3063 3077:4087 4101:5111 5125:6135 6149:7159 7173:8183 8197:9207 9221:10231 10245:11255 11269:12279 12293:13303 13317:14327 14341:15351 15365:16373" hidden="1" outlineLevel="1" x14ac:dyDescent="0.25">
      <c r="A464" s="3" t="s">
        <v>376</v>
      </c>
      <c r="B464" s="3">
        <v>75500</v>
      </c>
      <c r="D464" s="3">
        <v>13522</v>
      </c>
      <c r="E464" s="3">
        <f t="shared" si="284"/>
        <v>61978</v>
      </c>
      <c r="F464" s="3">
        <v>75500</v>
      </c>
      <c r="H464" s="3">
        <f t="shared" si="285"/>
        <v>0</v>
      </c>
      <c r="J464" s="3">
        <v>24415</v>
      </c>
      <c r="K464" s="4">
        <f t="shared" si="286"/>
        <v>51085</v>
      </c>
      <c r="L464" s="4">
        <v>75500</v>
      </c>
      <c r="N464" s="4">
        <f t="shared" si="287"/>
        <v>0</v>
      </c>
      <c r="P464" s="3">
        <v>71050</v>
      </c>
      <c r="R464" s="3">
        <v>7574</v>
      </c>
      <c r="S464" s="3">
        <f t="shared" si="288"/>
        <v>63476</v>
      </c>
      <c r="T464" s="3">
        <v>71050</v>
      </c>
      <c r="U464" s="3">
        <f t="shared" si="289"/>
        <v>0</v>
      </c>
      <c r="V464" s="3">
        <v>24408</v>
      </c>
      <c r="W464" s="3">
        <f t="shared" si="290"/>
        <v>46642</v>
      </c>
      <c r="Y464" s="3">
        <v>71050</v>
      </c>
      <c r="Z464" s="3">
        <f t="shared" si="291"/>
        <v>0</v>
      </c>
      <c r="AC464" s="3">
        <v>43235</v>
      </c>
      <c r="AD464" s="3">
        <f t="shared" si="292"/>
        <v>27815</v>
      </c>
      <c r="AE464" s="3">
        <v>71050</v>
      </c>
      <c r="AF464" s="3">
        <f t="shared" si="293"/>
        <v>0</v>
      </c>
      <c r="AI464" s="3">
        <v>78650</v>
      </c>
      <c r="AK464" s="3">
        <f t="shared" si="294"/>
        <v>81009.5</v>
      </c>
      <c r="AM464" s="3">
        <f t="shared" si="295"/>
        <v>83439.785000000003</v>
      </c>
      <c r="AN464" s="3">
        <f t="shared" si="295"/>
        <v>0</v>
      </c>
      <c r="AO464" s="3">
        <f t="shared" si="295"/>
        <v>85942.97855</v>
      </c>
      <c r="AP464" s="4">
        <f t="shared" si="295"/>
        <v>0</v>
      </c>
      <c r="AQ464" s="3">
        <f t="shared" si="295"/>
        <v>88521.267906499997</v>
      </c>
      <c r="AR464" s="3"/>
      <c r="AS464" s="3">
        <f t="shared" si="296"/>
        <v>91176.905943695005</v>
      </c>
      <c r="AT464" s="3">
        <f t="shared" si="296"/>
        <v>0</v>
      </c>
      <c r="AU464" s="3">
        <f t="shared" si="296"/>
        <v>93912.213122005851</v>
      </c>
      <c r="AV464" s="3">
        <f t="shared" si="296"/>
        <v>0</v>
      </c>
      <c r="AW464" s="3">
        <f t="shared" si="296"/>
        <v>96729.579515666032</v>
      </c>
      <c r="AX464" s="3"/>
      <c r="AY464" s="3">
        <f t="shared" si="297"/>
        <v>99631.466901136009</v>
      </c>
      <c r="AZ464" s="3">
        <f t="shared" si="297"/>
        <v>0</v>
      </c>
      <c r="BA464" s="3">
        <f t="shared" si="297"/>
        <v>102620.41090817009</v>
      </c>
      <c r="BC464" s="3">
        <f t="shared" si="297"/>
        <v>105699.0232354152</v>
      </c>
      <c r="BE464" s="3">
        <f t="shared" si="297"/>
        <v>108869.99393247765</v>
      </c>
    </row>
    <row r="465" spans="1:1015 1029:2039 2053:3063 3077:4087 4101:5111 5125:6135 6149:7159 7173:8183 8197:9207 9221:10231 10245:11255 11269:12279 12293:13303 13317:14327 14341:15351 15365:16373" hidden="1" outlineLevel="1" x14ac:dyDescent="0.25">
      <c r="A465" s="3" t="s">
        <v>377</v>
      </c>
      <c r="E465" s="3">
        <f t="shared" si="284"/>
        <v>0</v>
      </c>
      <c r="H465" s="3">
        <f t="shared" si="285"/>
        <v>0</v>
      </c>
      <c r="K465" s="4">
        <f t="shared" si="286"/>
        <v>0</v>
      </c>
      <c r="L465" s="4"/>
      <c r="N465" s="4">
        <f t="shared" si="287"/>
        <v>0</v>
      </c>
      <c r="S465" s="3">
        <f t="shared" si="288"/>
        <v>0</v>
      </c>
      <c r="U465" s="3">
        <f t="shared" si="289"/>
        <v>0</v>
      </c>
      <c r="W465" s="3">
        <f t="shared" si="290"/>
        <v>0</v>
      </c>
      <c r="Z465" s="3">
        <f t="shared" si="291"/>
        <v>0</v>
      </c>
      <c r="AD465" s="3">
        <f t="shared" si="292"/>
        <v>0</v>
      </c>
      <c r="AF465" s="3">
        <f t="shared" si="293"/>
        <v>0</v>
      </c>
      <c r="BC465" s="3"/>
      <c r="BE465" s="3"/>
    </row>
    <row r="466" spans="1:1015 1029:2039 2053:3063 3077:4087 4101:5111 5125:6135 6149:7159 7173:8183 8197:9207 9221:10231 10245:11255 11269:12279 12293:13303 13317:14327 14341:15351 15365:16373" hidden="1" outlineLevel="1" x14ac:dyDescent="0.25">
      <c r="A466" s="3" t="s">
        <v>378</v>
      </c>
      <c r="B466" s="3">
        <v>8000</v>
      </c>
      <c r="D466" s="3">
        <v>0</v>
      </c>
      <c r="E466" s="3">
        <f t="shared" si="284"/>
        <v>8000</v>
      </c>
      <c r="F466" s="3">
        <v>8000</v>
      </c>
      <c r="H466" s="3">
        <f t="shared" si="285"/>
        <v>0</v>
      </c>
      <c r="J466" s="3">
        <v>0</v>
      </c>
      <c r="K466" s="4">
        <f t="shared" si="286"/>
        <v>8000</v>
      </c>
      <c r="L466" s="4">
        <v>8000</v>
      </c>
      <c r="N466" s="4">
        <f t="shared" si="287"/>
        <v>0</v>
      </c>
      <c r="P466" s="3">
        <v>9000</v>
      </c>
      <c r="R466" s="3">
        <v>0</v>
      </c>
      <c r="S466" s="3">
        <f t="shared" si="288"/>
        <v>9000</v>
      </c>
      <c r="T466" s="3">
        <v>9000</v>
      </c>
      <c r="U466" s="3">
        <f t="shared" si="289"/>
        <v>0</v>
      </c>
      <c r="V466" s="3">
        <v>0</v>
      </c>
      <c r="W466" s="3">
        <f t="shared" si="290"/>
        <v>8000</v>
      </c>
      <c r="Y466" s="3">
        <v>8000</v>
      </c>
      <c r="Z466" s="3">
        <f t="shared" si="291"/>
        <v>-1000</v>
      </c>
      <c r="AC466" s="3">
        <v>383</v>
      </c>
      <c r="AD466" s="3">
        <f t="shared" si="292"/>
        <v>2617</v>
      </c>
      <c r="AE466" s="3">
        <v>3000</v>
      </c>
      <c r="AF466" s="3">
        <f t="shared" si="293"/>
        <v>-5000</v>
      </c>
      <c r="AI466" s="3">
        <v>9000</v>
      </c>
      <c r="AK466" s="3">
        <v>9000</v>
      </c>
      <c r="AM466" s="3">
        <v>9000</v>
      </c>
      <c r="AO466" s="3">
        <v>9000</v>
      </c>
      <c r="AQ466" s="3">
        <v>10000</v>
      </c>
      <c r="AS466" s="3">
        <v>10000</v>
      </c>
      <c r="AU466" s="3">
        <v>10000</v>
      </c>
      <c r="AW466" s="3">
        <v>10000</v>
      </c>
      <c r="AY466" s="3">
        <v>10000</v>
      </c>
      <c r="BA466" s="3">
        <v>10000</v>
      </c>
      <c r="BC466" s="3">
        <v>10000</v>
      </c>
      <c r="BE466" s="3">
        <v>10000</v>
      </c>
    </row>
    <row r="467" spans="1:1015 1029:2039 2053:3063 3077:4087 4101:5111 5125:6135 6149:7159 7173:8183 8197:9207 9221:10231 10245:11255 11269:12279 12293:13303 13317:14327 14341:15351 15365:16373" hidden="1" outlineLevel="1" x14ac:dyDescent="0.25">
      <c r="A467" s="267" t="s">
        <v>289</v>
      </c>
      <c r="B467" s="3">
        <v>7500</v>
      </c>
      <c r="D467" s="3">
        <v>0</v>
      </c>
      <c r="E467" s="3">
        <f t="shared" si="284"/>
        <v>7500</v>
      </c>
      <c r="F467" s="3">
        <v>7500</v>
      </c>
      <c r="H467" s="3">
        <f t="shared" si="285"/>
        <v>0</v>
      </c>
      <c r="J467" s="3">
        <v>0</v>
      </c>
      <c r="K467" s="4">
        <f t="shared" si="286"/>
        <v>7500</v>
      </c>
      <c r="L467" s="4">
        <v>7500</v>
      </c>
      <c r="N467" s="4">
        <f t="shared" si="287"/>
        <v>0</v>
      </c>
      <c r="P467" s="3">
        <v>7500</v>
      </c>
      <c r="R467" s="3">
        <v>0</v>
      </c>
      <c r="S467" s="3">
        <f t="shared" si="288"/>
        <v>7500</v>
      </c>
      <c r="T467" s="3">
        <v>7500</v>
      </c>
      <c r="U467" s="3">
        <f t="shared" si="289"/>
        <v>0</v>
      </c>
      <c r="W467" s="3">
        <f t="shared" si="290"/>
        <v>7500</v>
      </c>
      <c r="Y467" s="3">
        <v>7500</v>
      </c>
      <c r="Z467" s="3">
        <f t="shared" si="291"/>
        <v>0</v>
      </c>
      <c r="AC467" s="3">
        <v>0</v>
      </c>
      <c r="AD467" s="3">
        <f t="shared" si="292"/>
        <v>7500</v>
      </c>
      <c r="AE467" s="3">
        <v>7500</v>
      </c>
      <c r="AF467" s="3">
        <f t="shared" si="293"/>
        <v>0</v>
      </c>
      <c r="AI467" s="3">
        <v>7500</v>
      </c>
      <c r="AK467" s="3">
        <v>7500</v>
      </c>
      <c r="AM467" s="3">
        <v>7500</v>
      </c>
      <c r="AO467" s="3">
        <v>7500</v>
      </c>
      <c r="AQ467" s="3">
        <v>7500</v>
      </c>
      <c r="AS467" s="3">
        <v>7500</v>
      </c>
      <c r="AU467" s="3">
        <v>7500</v>
      </c>
      <c r="AW467" s="3">
        <v>7500</v>
      </c>
      <c r="AY467" s="3">
        <v>7500</v>
      </c>
      <c r="BA467" s="3">
        <v>7500</v>
      </c>
      <c r="BC467" s="3">
        <v>7500</v>
      </c>
      <c r="BE467" s="3">
        <v>7500</v>
      </c>
      <c r="BI467" s="268"/>
      <c r="BJ467" s="268"/>
      <c r="BK467" s="268"/>
      <c r="BL467" s="268"/>
      <c r="BM467" s="268"/>
      <c r="BN467" s="268"/>
      <c r="BO467" s="268"/>
      <c r="BP467" s="268"/>
      <c r="BQ467" s="268"/>
      <c r="BR467" s="268"/>
      <c r="BS467" s="268"/>
      <c r="BT467" s="268"/>
      <c r="BU467" s="268"/>
      <c r="BV467" s="268"/>
      <c r="BW467" s="268"/>
      <c r="BX467" s="268"/>
      <c r="BY467" s="268"/>
      <c r="BZ467" s="268"/>
      <c r="CA467" s="268"/>
      <c r="CB467" s="268"/>
      <c r="CC467" s="268"/>
      <c r="CD467" s="268"/>
      <c r="CE467" s="268"/>
      <c r="CF467" s="268"/>
      <c r="CG467" s="268"/>
      <c r="CH467" s="268"/>
      <c r="CI467" s="268"/>
      <c r="CJ467" s="268"/>
      <c r="CK467" s="268"/>
      <c r="CL467" s="268"/>
      <c r="CM467" s="268"/>
      <c r="CN467" s="268"/>
      <c r="CO467" s="268"/>
      <c r="CP467" s="268"/>
      <c r="CQ467" s="268"/>
      <c r="CR467" s="268"/>
      <c r="CS467" s="268"/>
      <c r="CT467" s="268"/>
      <c r="CU467" s="268"/>
      <c r="CV467" s="268"/>
      <c r="CW467" s="268"/>
      <c r="CX467" s="268"/>
      <c r="CY467" s="268"/>
      <c r="CZ467" s="268"/>
      <c r="DA467" s="268"/>
      <c r="DB467" s="268"/>
      <c r="DC467" s="268"/>
      <c r="DD467" s="268"/>
      <c r="DE467" s="268"/>
      <c r="DF467" s="268"/>
      <c r="DG467" s="268"/>
      <c r="DH467" s="268"/>
      <c r="DI467" s="268"/>
      <c r="DJ467" s="268"/>
      <c r="DK467" s="268"/>
      <c r="DL467" s="268"/>
      <c r="DM467" s="268"/>
      <c r="DN467" s="268"/>
      <c r="DO467" s="268"/>
      <c r="DP467" s="268"/>
      <c r="DQ467" s="268"/>
      <c r="DR467" s="268"/>
      <c r="DS467" s="268"/>
      <c r="DT467" s="268"/>
      <c r="DU467" s="268"/>
      <c r="DV467" s="268"/>
      <c r="DW467" s="268"/>
      <c r="DX467" s="268"/>
      <c r="DY467" s="268"/>
      <c r="DZ467" s="268"/>
      <c r="EA467" s="268"/>
      <c r="EB467" s="268"/>
      <c r="EC467" s="268"/>
      <c r="ED467" s="268"/>
      <c r="EE467" s="268"/>
      <c r="EF467" s="268"/>
      <c r="EG467" s="268"/>
      <c r="EH467" s="268"/>
      <c r="EI467" s="268"/>
      <c r="EJ467" s="268"/>
      <c r="EK467" s="268"/>
      <c r="EL467" s="268"/>
      <c r="EM467" s="268"/>
      <c r="EN467" s="268"/>
      <c r="EO467" s="268"/>
      <c r="EP467" s="268"/>
      <c r="EQ467" s="268"/>
      <c r="ER467" s="268"/>
      <c r="ES467" s="268"/>
      <c r="ET467" s="268"/>
      <c r="EU467" s="268"/>
      <c r="EV467" s="268"/>
      <c r="EW467" s="268"/>
      <c r="EX467" s="268"/>
      <c r="EY467" s="268"/>
      <c r="EZ467" s="268"/>
      <c r="FA467" s="268"/>
      <c r="FB467" s="268"/>
      <c r="FC467" s="268"/>
      <c r="FD467" s="268"/>
      <c r="FE467" s="268"/>
      <c r="FF467" s="268"/>
      <c r="FG467" s="268"/>
      <c r="FH467" s="268"/>
      <c r="FI467" s="268"/>
      <c r="FJ467" s="268"/>
      <c r="FK467" s="268"/>
      <c r="FL467" s="268"/>
      <c r="FM467" s="268"/>
      <c r="FN467" s="268"/>
      <c r="FO467" s="268"/>
      <c r="FP467" s="268"/>
      <c r="FQ467" s="268"/>
      <c r="FR467" s="268"/>
      <c r="FS467" s="268"/>
      <c r="FT467" s="268"/>
      <c r="FU467" s="268"/>
      <c r="FV467" s="268"/>
      <c r="FW467" s="268"/>
      <c r="FX467" s="268"/>
      <c r="FY467" s="268"/>
      <c r="FZ467" s="268"/>
      <c r="GA467" s="268"/>
      <c r="GB467" s="268"/>
      <c r="GC467" s="268"/>
      <c r="GD467" s="268"/>
      <c r="GE467" s="268"/>
      <c r="GF467" s="268"/>
      <c r="GG467" s="268"/>
      <c r="GH467" s="268"/>
      <c r="GI467" s="268"/>
      <c r="GJ467" s="268"/>
      <c r="GK467" s="268"/>
      <c r="GL467" s="268"/>
      <c r="GM467" s="268"/>
      <c r="GN467" s="268"/>
      <c r="GO467" s="268"/>
      <c r="GP467" s="268"/>
      <c r="GQ467" s="268"/>
      <c r="GR467" s="268"/>
      <c r="GS467" s="268"/>
      <c r="GT467" s="268"/>
      <c r="GU467" s="268"/>
      <c r="GV467" s="268"/>
      <c r="GW467" s="268"/>
      <c r="GX467" s="268"/>
      <c r="GY467" s="268"/>
      <c r="GZ467" s="268"/>
      <c r="HA467" s="268"/>
      <c r="HB467" s="268"/>
      <c r="HC467" s="268"/>
      <c r="HD467" s="268"/>
      <c r="HE467" s="268"/>
      <c r="HF467" s="268"/>
      <c r="HG467" s="268"/>
      <c r="HH467" s="268"/>
      <c r="HI467" s="268"/>
      <c r="HJ467" s="268"/>
      <c r="HK467" s="268"/>
      <c r="HL467" s="268"/>
      <c r="HM467" s="268"/>
      <c r="HN467" s="268"/>
      <c r="HO467" s="268"/>
      <c r="HP467" s="268"/>
      <c r="HQ467" s="268"/>
      <c r="HR467" s="268"/>
      <c r="HS467" s="268"/>
      <c r="HT467" s="268"/>
      <c r="HU467" s="268"/>
      <c r="HV467" s="268"/>
      <c r="HW467" s="268"/>
      <c r="HX467" s="268"/>
      <c r="HY467" s="268"/>
      <c r="HZ467" s="268"/>
      <c r="IA467" s="268"/>
      <c r="IB467" s="268"/>
      <c r="IC467" s="268"/>
      <c r="ID467" s="268"/>
      <c r="IE467" s="268"/>
      <c r="IF467" s="268"/>
      <c r="IG467" s="268"/>
      <c r="IH467" s="268"/>
      <c r="II467" s="268"/>
      <c r="IJ467" s="268"/>
      <c r="IK467" s="268"/>
      <c r="IL467" s="268"/>
      <c r="IM467" s="268"/>
      <c r="JA467" s="268"/>
      <c r="JB467" s="268"/>
      <c r="JC467" s="268"/>
      <c r="JQ467" s="268"/>
      <c r="JS467" s="268"/>
      <c r="JT467" s="268"/>
      <c r="JU467" s="268"/>
      <c r="JV467" s="268"/>
      <c r="JW467" s="268"/>
      <c r="JX467" s="268"/>
      <c r="JY467" s="268"/>
      <c r="JZ467" s="268"/>
      <c r="KA467" s="268"/>
      <c r="KB467" s="268"/>
      <c r="KC467" s="268"/>
      <c r="KD467" s="268"/>
      <c r="KE467" s="268"/>
      <c r="KF467" s="268"/>
      <c r="KG467" s="268"/>
      <c r="KH467" s="268"/>
      <c r="KI467" s="268"/>
      <c r="KJ467" s="268"/>
      <c r="KK467" s="268"/>
      <c r="KL467" s="268"/>
      <c r="KM467" s="268"/>
      <c r="KN467" s="268"/>
      <c r="KO467" s="268"/>
      <c r="KP467" s="268"/>
      <c r="KQ467" s="268"/>
      <c r="KR467" s="268"/>
      <c r="KS467" s="268"/>
      <c r="KT467" s="268"/>
      <c r="KU467" s="268"/>
      <c r="KV467" s="268"/>
      <c r="KW467" s="268"/>
      <c r="KX467" s="268"/>
      <c r="KY467" s="268"/>
      <c r="KZ467" s="268"/>
      <c r="LA467" s="268"/>
      <c r="LB467" s="268"/>
      <c r="LC467" s="268"/>
      <c r="LD467" s="268"/>
      <c r="LE467" s="268"/>
      <c r="LF467" s="268"/>
      <c r="LG467" s="268"/>
      <c r="LH467" s="268"/>
      <c r="LI467" s="268"/>
      <c r="LJ467" s="268"/>
      <c r="LK467" s="268"/>
      <c r="LL467" s="268"/>
      <c r="LM467" s="268"/>
      <c r="LN467" s="268"/>
      <c r="LO467" s="268"/>
      <c r="LP467" s="268"/>
      <c r="LQ467" s="268"/>
      <c r="LR467" s="268"/>
      <c r="LS467" s="268"/>
      <c r="LT467" s="268"/>
      <c r="LU467" s="268"/>
      <c r="LV467" s="268"/>
      <c r="LW467" s="268"/>
      <c r="LX467" s="268"/>
      <c r="LY467" s="268"/>
      <c r="LZ467" s="268"/>
      <c r="MA467" s="268"/>
      <c r="MB467" s="268"/>
      <c r="MC467" s="268"/>
      <c r="MD467" s="268"/>
      <c r="ME467" s="268"/>
      <c r="MF467" s="268"/>
      <c r="MG467" s="268"/>
      <c r="MH467" s="268"/>
      <c r="MI467" s="268"/>
      <c r="MJ467" s="268"/>
      <c r="MK467" s="268"/>
      <c r="ML467" s="268"/>
      <c r="MM467" s="268"/>
      <c r="MN467" s="268"/>
      <c r="MO467" s="268"/>
      <c r="MP467" s="268"/>
      <c r="MQ467" s="268"/>
      <c r="MR467" s="268"/>
      <c r="MS467" s="268"/>
      <c r="MT467" s="268"/>
      <c r="MU467" s="268"/>
      <c r="MV467" s="268"/>
      <c r="MW467" s="268"/>
      <c r="MX467" s="268"/>
      <c r="MY467" s="268"/>
      <c r="MZ467" s="268"/>
      <c r="NA467" s="268"/>
      <c r="NB467" s="268"/>
      <c r="NC467" s="268"/>
      <c r="ND467" s="268"/>
      <c r="NE467" s="268"/>
      <c r="NF467" s="268"/>
      <c r="NG467" s="268"/>
      <c r="NH467" s="268"/>
      <c r="NI467" s="268"/>
      <c r="NJ467" s="268"/>
      <c r="NK467" s="268"/>
      <c r="NL467" s="268"/>
      <c r="NM467" s="268"/>
      <c r="NN467" s="268"/>
      <c r="NO467" s="268"/>
      <c r="NP467" s="268"/>
      <c r="NQ467" s="268"/>
      <c r="NR467" s="268"/>
      <c r="NS467" s="268"/>
      <c r="NT467" s="268"/>
      <c r="NU467" s="268"/>
      <c r="NV467" s="268"/>
      <c r="NW467" s="268"/>
      <c r="NX467" s="268"/>
      <c r="NY467" s="268"/>
      <c r="NZ467" s="268"/>
      <c r="OA467" s="268"/>
      <c r="OB467" s="268"/>
      <c r="OC467" s="268"/>
      <c r="OD467" s="268"/>
      <c r="OE467" s="268"/>
      <c r="OF467" s="268"/>
      <c r="OG467" s="268"/>
      <c r="OH467" s="268"/>
      <c r="OI467" s="268"/>
      <c r="OJ467" s="268"/>
      <c r="OK467" s="268"/>
      <c r="OL467" s="268"/>
      <c r="OM467" s="268"/>
      <c r="ON467" s="268"/>
      <c r="OO467" s="268"/>
      <c r="OP467" s="268"/>
      <c r="OQ467" s="268"/>
      <c r="OR467" s="268"/>
      <c r="OS467" s="268"/>
      <c r="OT467" s="268"/>
      <c r="OU467" s="268"/>
      <c r="OV467" s="268"/>
      <c r="OW467" s="268"/>
      <c r="OX467" s="268"/>
      <c r="OY467" s="268"/>
      <c r="OZ467" s="268"/>
      <c r="PA467" s="268"/>
      <c r="PB467" s="268"/>
      <c r="PC467" s="268"/>
      <c r="PD467" s="268"/>
      <c r="PE467" s="268"/>
      <c r="PF467" s="268"/>
      <c r="PG467" s="268"/>
      <c r="PH467" s="268"/>
      <c r="PI467" s="268"/>
      <c r="PJ467" s="268"/>
      <c r="PK467" s="268"/>
      <c r="PL467" s="268"/>
      <c r="PM467" s="268"/>
      <c r="PN467" s="268"/>
      <c r="PO467" s="268"/>
      <c r="PP467" s="268"/>
      <c r="PQ467" s="268"/>
      <c r="PR467" s="268"/>
      <c r="PS467" s="268"/>
      <c r="PT467" s="268"/>
      <c r="PU467" s="268"/>
      <c r="PV467" s="268"/>
      <c r="PW467" s="268"/>
      <c r="PX467" s="268"/>
      <c r="PY467" s="268"/>
      <c r="PZ467" s="268"/>
      <c r="QA467" s="268"/>
      <c r="QB467" s="268"/>
      <c r="QC467" s="268"/>
      <c r="QD467" s="268"/>
      <c r="QE467" s="268"/>
      <c r="QF467" s="268"/>
      <c r="QG467" s="268"/>
      <c r="QH467" s="268"/>
      <c r="QI467" s="268"/>
      <c r="QJ467" s="268"/>
      <c r="QK467" s="268"/>
      <c r="QL467" s="268"/>
      <c r="QM467" s="268"/>
      <c r="QN467" s="268"/>
      <c r="QO467" s="268"/>
      <c r="QP467" s="268"/>
      <c r="QQ467" s="268"/>
      <c r="QR467" s="268"/>
      <c r="QS467" s="268"/>
      <c r="QT467" s="268"/>
      <c r="QU467" s="268"/>
      <c r="QV467" s="268"/>
      <c r="QW467" s="268"/>
      <c r="QX467" s="268"/>
      <c r="QY467" s="268"/>
      <c r="QZ467" s="268"/>
      <c r="RA467" s="268"/>
      <c r="RB467" s="268"/>
      <c r="RC467" s="268"/>
      <c r="RD467" s="268"/>
      <c r="RE467" s="268"/>
      <c r="RF467" s="268"/>
      <c r="RG467" s="268"/>
      <c r="RH467" s="268"/>
      <c r="RI467" s="268"/>
      <c r="RJ467" s="268"/>
      <c r="RK467" s="268"/>
      <c r="RL467" s="268"/>
      <c r="RM467" s="268"/>
      <c r="RN467" s="268"/>
      <c r="RO467" s="268"/>
      <c r="RP467" s="268"/>
      <c r="RQ467" s="268"/>
      <c r="RR467" s="268"/>
      <c r="RS467" s="268"/>
      <c r="RT467" s="268"/>
      <c r="RU467" s="268"/>
      <c r="RV467" s="268"/>
      <c r="RW467" s="268"/>
      <c r="RX467" s="268"/>
      <c r="RY467" s="268"/>
      <c r="RZ467" s="268"/>
      <c r="SA467" s="268"/>
      <c r="SB467" s="268"/>
      <c r="SC467" s="268"/>
      <c r="SD467" s="268"/>
      <c r="SE467" s="268"/>
      <c r="SF467" s="268"/>
      <c r="SG467" s="268"/>
      <c r="SH467" s="268"/>
      <c r="SI467" s="268"/>
      <c r="SW467" s="268"/>
      <c r="SX467" s="268"/>
      <c r="SY467" s="268"/>
      <c r="TM467" s="268"/>
      <c r="TO467" s="268"/>
      <c r="TP467" s="268"/>
      <c r="TQ467" s="268"/>
      <c r="TR467" s="268"/>
      <c r="TS467" s="268"/>
      <c r="TT467" s="268"/>
      <c r="TU467" s="268"/>
      <c r="TV467" s="268"/>
      <c r="TW467" s="268"/>
      <c r="TX467" s="268"/>
      <c r="TY467" s="268"/>
      <c r="TZ467" s="268"/>
      <c r="UA467" s="268"/>
      <c r="UB467" s="268"/>
      <c r="UC467" s="268"/>
      <c r="UD467" s="268"/>
      <c r="UE467" s="268"/>
      <c r="UF467" s="268"/>
      <c r="UG467" s="268"/>
      <c r="UH467" s="268"/>
      <c r="UI467" s="268"/>
      <c r="UJ467" s="268"/>
      <c r="UK467" s="268"/>
      <c r="UL467" s="268"/>
      <c r="UM467" s="268"/>
      <c r="UN467" s="268"/>
      <c r="UO467" s="268"/>
      <c r="UP467" s="268"/>
      <c r="UQ467" s="268"/>
      <c r="UR467" s="268"/>
      <c r="US467" s="268"/>
      <c r="UT467" s="268"/>
      <c r="UU467" s="268"/>
      <c r="UV467" s="268"/>
      <c r="UW467" s="268"/>
      <c r="UX467" s="268"/>
      <c r="UY467" s="268"/>
      <c r="UZ467" s="268"/>
      <c r="VA467" s="268"/>
      <c r="VB467" s="268"/>
      <c r="VC467" s="268"/>
      <c r="VD467" s="268"/>
      <c r="VE467" s="268"/>
      <c r="VF467" s="268"/>
      <c r="VG467" s="268"/>
      <c r="VH467" s="268"/>
      <c r="VI467" s="268"/>
      <c r="VJ467" s="268"/>
      <c r="VK467" s="268"/>
      <c r="VL467" s="268"/>
      <c r="VM467" s="268"/>
      <c r="VN467" s="268"/>
      <c r="VO467" s="268"/>
      <c r="VP467" s="268"/>
      <c r="VQ467" s="268"/>
      <c r="VR467" s="268"/>
      <c r="VS467" s="268"/>
      <c r="VT467" s="268"/>
      <c r="VU467" s="268"/>
      <c r="VV467" s="268"/>
      <c r="VW467" s="268"/>
      <c r="VX467" s="268"/>
      <c r="VY467" s="268"/>
      <c r="VZ467" s="268"/>
      <c r="WA467" s="268"/>
      <c r="WB467" s="268"/>
      <c r="WC467" s="268"/>
      <c r="WD467" s="268"/>
      <c r="WE467" s="268"/>
      <c r="WF467" s="268"/>
      <c r="WG467" s="268"/>
      <c r="WH467" s="268"/>
      <c r="WI467" s="268"/>
      <c r="WJ467" s="268"/>
      <c r="WK467" s="268"/>
      <c r="WL467" s="268"/>
      <c r="WM467" s="268"/>
      <c r="WN467" s="268"/>
      <c r="WO467" s="268"/>
      <c r="WP467" s="268"/>
      <c r="WQ467" s="268"/>
      <c r="WR467" s="268"/>
      <c r="WS467" s="268"/>
      <c r="WT467" s="268"/>
      <c r="WU467" s="268"/>
      <c r="WV467" s="268"/>
      <c r="WW467" s="268"/>
      <c r="WX467" s="268"/>
      <c r="WY467" s="268"/>
      <c r="WZ467" s="268"/>
      <c r="XA467" s="268"/>
      <c r="XB467" s="268"/>
      <c r="XC467" s="268"/>
      <c r="XD467" s="268"/>
      <c r="XE467" s="268"/>
      <c r="XF467" s="268"/>
      <c r="XG467" s="268"/>
      <c r="XH467" s="268"/>
      <c r="XI467" s="268"/>
      <c r="XJ467" s="268"/>
      <c r="XK467" s="268"/>
      <c r="XL467" s="268"/>
      <c r="XM467" s="268"/>
      <c r="XN467" s="268"/>
      <c r="XO467" s="268"/>
      <c r="XP467" s="268"/>
      <c r="XQ467" s="268"/>
      <c r="XR467" s="268"/>
      <c r="XS467" s="268"/>
      <c r="XT467" s="268"/>
      <c r="XU467" s="268"/>
      <c r="XV467" s="268"/>
      <c r="XW467" s="268"/>
      <c r="XX467" s="268"/>
      <c r="XY467" s="268"/>
      <c r="XZ467" s="268"/>
      <c r="YA467" s="268"/>
      <c r="YB467" s="268"/>
      <c r="YC467" s="268"/>
      <c r="YD467" s="268"/>
      <c r="YE467" s="268"/>
      <c r="YF467" s="268"/>
      <c r="YG467" s="268"/>
      <c r="YH467" s="268"/>
      <c r="YI467" s="268"/>
      <c r="YJ467" s="268"/>
      <c r="YK467" s="268"/>
      <c r="YL467" s="268"/>
      <c r="YM467" s="268"/>
      <c r="YN467" s="268"/>
      <c r="YO467" s="268"/>
      <c r="YP467" s="268"/>
      <c r="YQ467" s="268"/>
      <c r="YR467" s="268"/>
      <c r="YS467" s="268"/>
      <c r="YT467" s="268"/>
      <c r="YU467" s="268"/>
      <c r="YV467" s="268"/>
      <c r="YW467" s="268"/>
      <c r="YX467" s="268"/>
      <c r="YY467" s="268"/>
      <c r="YZ467" s="268"/>
      <c r="ZA467" s="268"/>
      <c r="ZB467" s="268"/>
      <c r="ZC467" s="268"/>
      <c r="ZD467" s="268"/>
      <c r="ZE467" s="268"/>
      <c r="ZF467" s="268"/>
      <c r="ZG467" s="268"/>
      <c r="ZH467" s="268"/>
      <c r="ZI467" s="268"/>
      <c r="ZJ467" s="268"/>
      <c r="ZK467" s="268"/>
      <c r="ZL467" s="268"/>
      <c r="ZM467" s="268"/>
      <c r="ZN467" s="268"/>
      <c r="ZO467" s="268"/>
      <c r="ZP467" s="268"/>
      <c r="ZQ467" s="268"/>
      <c r="ZR467" s="268"/>
      <c r="ZS467" s="268"/>
      <c r="ZT467" s="268"/>
      <c r="ZU467" s="268"/>
      <c r="ZV467" s="268"/>
      <c r="ZW467" s="268"/>
      <c r="ZX467" s="268"/>
      <c r="ZY467" s="268"/>
      <c r="ZZ467" s="268"/>
      <c r="AAA467" s="268"/>
      <c r="AAB467" s="268"/>
      <c r="AAC467" s="268"/>
      <c r="AAD467" s="268"/>
      <c r="AAE467" s="268"/>
      <c r="AAF467" s="268"/>
      <c r="AAG467" s="268"/>
      <c r="AAH467" s="268"/>
      <c r="AAI467" s="268"/>
      <c r="AAJ467" s="268"/>
      <c r="AAK467" s="268"/>
      <c r="AAL467" s="268"/>
      <c r="AAM467" s="268"/>
      <c r="AAN467" s="268"/>
      <c r="AAO467" s="268"/>
      <c r="AAP467" s="268"/>
      <c r="AAQ467" s="268"/>
      <c r="AAR467" s="268"/>
      <c r="AAS467" s="268"/>
      <c r="AAT467" s="268"/>
      <c r="AAU467" s="268"/>
      <c r="AAV467" s="268"/>
      <c r="AAW467" s="268"/>
      <c r="AAX467" s="268"/>
      <c r="AAY467" s="268"/>
      <c r="AAZ467" s="268"/>
      <c r="ABA467" s="268"/>
      <c r="ABB467" s="268"/>
      <c r="ABC467" s="268"/>
      <c r="ABD467" s="268"/>
      <c r="ABE467" s="268"/>
      <c r="ABF467" s="268"/>
      <c r="ABG467" s="268"/>
      <c r="ABH467" s="268"/>
      <c r="ABI467" s="268"/>
      <c r="ABJ467" s="268"/>
      <c r="ABK467" s="268"/>
      <c r="ABL467" s="268"/>
      <c r="ABM467" s="268"/>
      <c r="ABN467" s="268"/>
      <c r="ABO467" s="268"/>
      <c r="ABP467" s="268"/>
      <c r="ABQ467" s="268"/>
      <c r="ABR467" s="268"/>
      <c r="ABS467" s="268"/>
      <c r="ABT467" s="268"/>
      <c r="ABU467" s="268"/>
      <c r="ABV467" s="268"/>
      <c r="ABW467" s="268"/>
      <c r="ABX467" s="268"/>
      <c r="ABY467" s="268"/>
      <c r="ABZ467" s="268"/>
      <c r="ACA467" s="268"/>
      <c r="ACB467" s="268"/>
      <c r="ACC467" s="268"/>
      <c r="ACD467" s="268"/>
      <c r="ACE467" s="268"/>
      <c r="ACS467" s="268"/>
      <c r="ACT467" s="268"/>
      <c r="ACU467" s="268"/>
      <c r="ADI467" s="268"/>
      <c r="ADK467" s="268"/>
      <c r="ADL467" s="268"/>
      <c r="ADM467" s="268"/>
      <c r="ADN467" s="268"/>
      <c r="ADO467" s="268"/>
      <c r="ADP467" s="268"/>
      <c r="ADQ467" s="268"/>
      <c r="ADR467" s="268"/>
      <c r="ADS467" s="268"/>
      <c r="ADT467" s="268"/>
      <c r="ADU467" s="268"/>
      <c r="ADV467" s="268"/>
      <c r="ADW467" s="268"/>
      <c r="ADX467" s="268"/>
      <c r="ADY467" s="268"/>
      <c r="ADZ467" s="268"/>
      <c r="AEA467" s="268"/>
      <c r="AEB467" s="268"/>
      <c r="AEC467" s="268"/>
      <c r="AED467" s="268"/>
      <c r="AEE467" s="268"/>
      <c r="AEF467" s="268"/>
      <c r="AEG467" s="268"/>
      <c r="AEH467" s="268"/>
      <c r="AEI467" s="268"/>
      <c r="AEJ467" s="268"/>
      <c r="AEK467" s="268"/>
      <c r="AEL467" s="268"/>
      <c r="AEM467" s="268"/>
      <c r="AEN467" s="268"/>
      <c r="AEO467" s="268"/>
      <c r="AEP467" s="268"/>
      <c r="AEQ467" s="268"/>
      <c r="AER467" s="268"/>
      <c r="AES467" s="268"/>
      <c r="AET467" s="268"/>
      <c r="AEU467" s="268"/>
      <c r="AEV467" s="268"/>
      <c r="AEW467" s="268"/>
      <c r="AEX467" s="268"/>
      <c r="AEY467" s="268"/>
      <c r="AEZ467" s="268"/>
      <c r="AFA467" s="268"/>
      <c r="AFB467" s="268"/>
      <c r="AFC467" s="268"/>
      <c r="AFD467" s="268"/>
      <c r="AFE467" s="268"/>
      <c r="AFF467" s="268"/>
      <c r="AFG467" s="268"/>
      <c r="AFH467" s="268"/>
      <c r="AFI467" s="268"/>
      <c r="AFJ467" s="268"/>
      <c r="AFK467" s="268"/>
      <c r="AFL467" s="268"/>
      <c r="AFM467" s="268"/>
      <c r="AFN467" s="268"/>
      <c r="AFO467" s="268"/>
      <c r="AFP467" s="268"/>
      <c r="AFQ467" s="268"/>
      <c r="AFR467" s="268"/>
      <c r="AFS467" s="268"/>
      <c r="AFT467" s="268"/>
      <c r="AFU467" s="268"/>
      <c r="AFV467" s="268"/>
      <c r="AFW467" s="268"/>
      <c r="AFX467" s="268"/>
      <c r="AFY467" s="268"/>
      <c r="AFZ467" s="268"/>
      <c r="AGA467" s="268"/>
      <c r="AGB467" s="268"/>
      <c r="AGC467" s="268"/>
      <c r="AGD467" s="268"/>
      <c r="AGE467" s="268"/>
      <c r="AGF467" s="268"/>
      <c r="AGG467" s="268"/>
      <c r="AGH467" s="268"/>
      <c r="AGI467" s="268"/>
      <c r="AGJ467" s="268"/>
      <c r="AGK467" s="268"/>
      <c r="AGL467" s="268"/>
      <c r="AGM467" s="268"/>
      <c r="AGN467" s="268"/>
      <c r="AGO467" s="268"/>
      <c r="AGP467" s="268"/>
      <c r="AGQ467" s="268"/>
      <c r="AGR467" s="268"/>
      <c r="AGS467" s="268"/>
      <c r="AGT467" s="268"/>
      <c r="AGU467" s="268"/>
      <c r="AGV467" s="268"/>
      <c r="AGW467" s="268"/>
      <c r="AGX467" s="268"/>
      <c r="AGY467" s="268"/>
      <c r="AGZ467" s="268"/>
      <c r="AHA467" s="268"/>
      <c r="AHB467" s="268"/>
      <c r="AHC467" s="268"/>
      <c r="AHD467" s="268"/>
      <c r="AHE467" s="268"/>
      <c r="AHF467" s="268"/>
      <c r="AHG467" s="268"/>
      <c r="AHH467" s="268"/>
      <c r="AHI467" s="268"/>
      <c r="AHJ467" s="268"/>
      <c r="AHK467" s="268"/>
      <c r="AHL467" s="268"/>
      <c r="AHM467" s="268"/>
      <c r="AHN467" s="268"/>
      <c r="AHO467" s="268"/>
      <c r="AHP467" s="268"/>
      <c r="AHQ467" s="268"/>
      <c r="AHR467" s="268"/>
      <c r="AHS467" s="268"/>
      <c r="AHT467" s="268"/>
      <c r="AHU467" s="268"/>
      <c r="AHV467" s="268"/>
      <c r="AHW467" s="268"/>
      <c r="AHX467" s="268"/>
      <c r="AHY467" s="268"/>
      <c r="AHZ467" s="268"/>
      <c r="AIA467" s="268"/>
      <c r="AIB467" s="268"/>
      <c r="AIC467" s="268"/>
      <c r="AID467" s="268"/>
      <c r="AIE467" s="268"/>
      <c r="AIF467" s="268"/>
      <c r="AIG467" s="268"/>
      <c r="AIH467" s="268"/>
      <c r="AII467" s="268"/>
      <c r="AIJ467" s="268"/>
      <c r="AIK467" s="268"/>
      <c r="AIL467" s="268"/>
      <c r="AIM467" s="268"/>
      <c r="AIN467" s="268"/>
      <c r="AIO467" s="268"/>
      <c r="AIP467" s="268"/>
      <c r="AIQ467" s="268"/>
      <c r="AIR467" s="268"/>
      <c r="AIS467" s="268"/>
      <c r="AIT467" s="268"/>
      <c r="AIU467" s="268"/>
      <c r="AIV467" s="268"/>
      <c r="AIW467" s="268"/>
      <c r="AIX467" s="268"/>
      <c r="AIY467" s="268"/>
      <c r="AIZ467" s="268"/>
      <c r="AJA467" s="268"/>
      <c r="AJB467" s="268"/>
      <c r="AJC467" s="268"/>
      <c r="AJD467" s="268"/>
      <c r="AJE467" s="268"/>
      <c r="AJF467" s="268"/>
      <c r="AJG467" s="268"/>
      <c r="AJH467" s="268"/>
      <c r="AJI467" s="268"/>
      <c r="AJJ467" s="268"/>
      <c r="AJK467" s="268"/>
      <c r="AJL467" s="268"/>
      <c r="AJM467" s="268"/>
      <c r="AJN467" s="268"/>
      <c r="AJO467" s="268"/>
      <c r="AJP467" s="268"/>
      <c r="AJQ467" s="268"/>
      <c r="AJR467" s="268"/>
      <c r="AJS467" s="268"/>
      <c r="AJT467" s="268"/>
      <c r="AJU467" s="268"/>
      <c r="AJV467" s="268"/>
      <c r="AJW467" s="268"/>
      <c r="AJX467" s="268"/>
      <c r="AJY467" s="268"/>
      <c r="AJZ467" s="268"/>
      <c r="AKA467" s="268"/>
      <c r="AKB467" s="268"/>
      <c r="AKC467" s="268"/>
      <c r="AKD467" s="268"/>
      <c r="AKE467" s="268"/>
      <c r="AKF467" s="268"/>
      <c r="AKG467" s="268"/>
      <c r="AKH467" s="268"/>
      <c r="AKI467" s="268"/>
      <c r="AKJ467" s="268"/>
      <c r="AKK467" s="268"/>
      <c r="AKL467" s="268"/>
      <c r="AKM467" s="268"/>
      <c r="AKN467" s="268"/>
      <c r="AKO467" s="268"/>
      <c r="AKP467" s="268"/>
      <c r="AKQ467" s="268"/>
      <c r="AKR467" s="268"/>
      <c r="AKS467" s="268"/>
      <c r="AKT467" s="268"/>
      <c r="AKU467" s="268"/>
      <c r="AKV467" s="268"/>
      <c r="AKW467" s="268"/>
      <c r="AKX467" s="268"/>
      <c r="AKY467" s="268"/>
      <c r="AKZ467" s="268"/>
      <c r="ALA467" s="268"/>
      <c r="ALB467" s="268"/>
      <c r="ALC467" s="268"/>
      <c r="ALD467" s="268"/>
      <c r="ALE467" s="268"/>
      <c r="ALF467" s="268"/>
      <c r="ALG467" s="268"/>
      <c r="ALH467" s="268"/>
      <c r="ALI467" s="268"/>
      <c r="ALJ467" s="268"/>
      <c r="ALK467" s="268"/>
      <c r="ALL467" s="268"/>
      <c r="ALM467" s="268"/>
      <c r="ALN467" s="268"/>
      <c r="ALO467" s="268"/>
      <c r="ALP467" s="268"/>
      <c r="ALQ467" s="268"/>
      <c r="ALR467" s="268"/>
      <c r="ALS467" s="268"/>
      <c r="ALT467" s="268"/>
      <c r="ALU467" s="268"/>
      <c r="ALV467" s="268"/>
      <c r="ALW467" s="268"/>
      <c r="ALX467" s="268"/>
      <c r="ALY467" s="268"/>
      <c r="ALZ467" s="268"/>
      <c r="AMA467" s="268"/>
      <c r="AMO467" s="268"/>
      <c r="AMP467" s="268"/>
      <c r="AMQ467" s="268"/>
      <c r="ANE467" s="268"/>
      <c r="ANG467" s="268"/>
      <c r="ANH467" s="268"/>
      <c r="ANI467" s="268"/>
      <c r="ANJ467" s="268"/>
      <c r="ANK467" s="268"/>
      <c r="ANL467" s="268"/>
      <c r="ANM467" s="268"/>
      <c r="ANN467" s="268"/>
      <c r="ANO467" s="268"/>
      <c r="ANP467" s="268"/>
      <c r="ANQ467" s="268"/>
      <c r="ANR467" s="268"/>
      <c r="ANS467" s="268"/>
      <c r="ANT467" s="268"/>
      <c r="ANU467" s="268"/>
      <c r="ANV467" s="268"/>
      <c r="ANW467" s="268"/>
      <c r="ANX467" s="268"/>
      <c r="ANY467" s="268"/>
      <c r="ANZ467" s="268"/>
      <c r="AOA467" s="268"/>
      <c r="AOB467" s="268"/>
      <c r="AOC467" s="268"/>
      <c r="AOD467" s="268"/>
      <c r="AOE467" s="268"/>
      <c r="AOF467" s="268"/>
      <c r="AOG467" s="268"/>
      <c r="AOH467" s="268"/>
      <c r="AOI467" s="268"/>
      <c r="AOJ467" s="268"/>
      <c r="AOK467" s="268"/>
      <c r="AOL467" s="268"/>
      <c r="AOM467" s="268"/>
      <c r="AON467" s="268"/>
      <c r="AOO467" s="268"/>
      <c r="AOP467" s="268"/>
      <c r="AOQ467" s="268"/>
      <c r="AOR467" s="268"/>
      <c r="AOS467" s="268"/>
      <c r="AOT467" s="268"/>
      <c r="AOU467" s="268"/>
      <c r="AOV467" s="268"/>
      <c r="AOW467" s="268"/>
      <c r="AOX467" s="268"/>
      <c r="AOY467" s="268"/>
      <c r="AOZ467" s="268"/>
      <c r="APA467" s="268"/>
      <c r="APB467" s="268"/>
      <c r="APC467" s="268"/>
      <c r="APD467" s="268"/>
      <c r="APE467" s="268"/>
      <c r="APF467" s="268"/>
      <c r="APG467" s="268"/>
      <c r="APH467" s="268"/>
      <c r="API467" s="268"/>
      <c r="APJ467" s="268"/>
      <c r="APK467" s="268"/>
      <c r="APL467" s="268"/>
      <c r="APM467" s="268"/>
      <c r="APN467" s="268"/>
      <c r="APO467" s="268"/>
      <c r="APP467" s="268"/>
      <c r="APQ467" s="268"/>
      <c r="APR467" s="268"/>
      <c r="APS467" s="268"/>
      <c r="APT467" s="268"/>
      <c r="APU467" s="268"/>
      <c r="APV467" s="268"/>
      <c r="APW467" s="268"/>
      <c r="APX467" s="268"/>
      <c r="APY467" s="268"/>
      <c r="APZ467" s="268"/>
      <c r="AQA467" s="268"/>
      <c r="AQB467" s="268"/>
      <c r="AQC467" s="268"/>
      <c r="AQD467" s="268"/>
      <c r="AQE467" s="268"/>
      <c r="AQF467" s="268"/>
      <c r="AQG467" s="268"/>
      <c r="AQH467" s="268"/>
      <c r="AQI467" s="268"/>
      <c r="AQJ467" s="268"/>
      <c r="AQK467" s="268"/>
      <c r="AQL467" s="268"/>
      <c r="AQM467" s="268"/>
      <c r="AQN467" s="268"/>
      <c r="AQO467" s="268"/>
      <c r="AQP467" s="268"/>
      <c r="AQQ467" s="268"/>
      <c r="AQR467" s="268"/>
      <c r="AQS467" s="268"/>
      <c r="AQT467" s="268"/>
      <c r="AQU467" s="268"/>
      <c r="AQV467" s="268"/>
      <c r="AQW467" s="268"/>
      <c r="AQX467" s="268"/>
      <c r="AQY467" s="268"/>
      <c r="AQZ467" s="268"/>
      <c r="ARA467" s="268"/>
      <c r="ARB467" s="268"/>
      <c r="ARC467" s="268"/>
      <c r="ARD467" s="268"/>
      <c r="ARE467" s="268"/>
      <c r="ARF467" s="268"/>
      <c r="ARG467" s="268"/>
      <c r="ARH467" s="268"/>
      <c r="ARI467" s="268"/>
      <c r="ARJ467" s="268"/>
      <c r="ARK467" s="268"/>
      <c r="ARL467" s="268"/>
      <c r="ARM467" s="268"/>
      <c r="ARN467" s="268"/>
      <c r="ARO467" s="268"/>
      <c r="ARP467" s="268"/>
      <c r="ARQ467" s="268"/>
      <c r="ARR467" s="268"/>
      <c r="ARS467" s="268"/>
      <c r="ART467" s="268"/>
      <c r="ARU467" s="268"/>
      <c r="ARV467" s="268"/>
      <c r="ARW467" s="268"/>
      <c r="ARX467" s="268"/>
      <c r="ARY467" s="268"/>
      <c r="ARZ467" s="268"/>
      <c r="ASA467" s="268"/>
      <c r="ASB467" s="268"/>
      <c r="ASC467" s="268"/>
      <c r="ASD467" s="268"/>
      <c r="ASE467" s="268"/>
      <c r="ASF467" s="268"/>
      <c r="ASG467" s="268"/>
      <c r="ASH467" s="268"/>
      <c r="ASI467" s="268"/>
      <c r="ASJ467" s="268"/>
      <c r="ASK467" s="268"/>
      <c r="ASL467" s="268"/>
      <c r="ASM467" s="268"/>
      <c r="ASN467" s="268"/>
      <c r="ASO467" s="268"/>
      <c r="ASP467" s="268"/>
      <c r="ASQ467" s="268"/>
      <c r="ASR467" s="268"/>
      <c r="ASS467" s="268"/>
      <c r="AST467" s="268"/>
      <c r="ASU467" s="268"/>
      <c r="ASV467" s="268"/>
      <c r="ASW467" s="268"/>
      <c r="ASX467" s="268"/>
      <c r="ASY467" s="268"/>
      <c r="ASZ467" s="268"/>
      <c r="ATA467" s="268"/>
      <c r="ATB467" s="268"/>
      <c r="ATC467" s="268"/>
      <c r="ATD467" s="268"/>
      <c r="ATE467" s="268"/>
      <c r="ATF467" s="268"/>
      <c r="ATG467" s="268"/>
      <c r="ATH467" s="268"/>
      <c r="ATI467" s="268"/>
      <c r="ATJ467" s="268"/>
      <c r="ATK467" s="268"/>
      <c r="ATL467" s="268"/>
      <c r="ATM467" s="268"/>
      <c r="ATN467" s="268"/>
      <c r="ATO467" s="268"/>
      <c r="ATP467" s="268"/>
      <c r="ATQ467" s="268"/>
      <c r="ATR467" s="268"/>
      <c r="ATS467" s="268"/>
      <c r="ATT467" s="268"/>
      <c r="ATU467" s="268"/>
      <c r="ATV467" s="268"/>
      <c r="ATW467" s="268"/>
      <c r="ATX467" s="268"/>
      <c r="ATY467" s="268"/>
      <c r="ATZ467" s="268"/>
      <c r="AUA467" s="268"/>
      <c r="AUB467" s="268"/>
      <c r="AUC467" s="268"/>
      <c r="AUD467" s="268"/>
      <c r="AUE467" s="268"/>
      <c r="AUF467" s="268"/>
      <c r="AUG467" s="268"/>
      <c r="AUH467" s="268"/>
      <c r="AUI467" s="268"/>
      <c r="AUJ467" s="268"/>
      <c r="AUK467" s="268"/>
      <c r="AUL467" s="268"/>
      <c r="AUM467" s="268"/>
      <c r="AUN467" s="268"/>
      <c r="AUO467" s="268"/>
      <c r="AUP467" s="268"/>
      <c r="AUQ467" s="268"/>
      <c r="AUR467" s="268"/>
      <c r="AUS467" s="268"/>
      <c r="AUT467" s="268"/>
      <c r="AUU467" s="268"/>
      <c r="AUV467" s="268"/>
      <c r="AUW467" s="268"/>
      <c r="AUX467" s="268"/>
      <c r="AUY467" s="268"/>
      <c r="AUZ467" s="268"/>
      <c r="AVA467" s="268"/>
      <c r="AVB467" s="268"/>
      <c r="AVC467" s="268"/>
      <c r="AVD467" s="268"/>
      <c r="AVE467" s="268"/>
      <c r="AVF467" s="268"/>
      <c r="AVG467" s="268"/>
      <c r="AVH467" s="268"/>
      <c r="AVI467" s="268"/>
      <c r="AVJ467" s="268"/>
      <c r="AVK467" s="268"/>
      <c r="AVL467" s="268"/>
      <c r="AVM467" s="268"/>
      <c r="AVN467" s="268"/>
      <c r="AVO467" s="268"/>
      <c r="AVP467" s="268"/>
      <c r="AVQ467" s="268"/>
      <c r="AVR467" s="268"/>
      <c r="AVS467" s="268"/>
      <c r="AVT467" s="268"/>
      <c r="AVU467" s="268"/>
      <c r="AVV467" s="268"/>
      <c r="AVW467" s="268"/>
      <c r="AWK467" s="268"/>
      <c r="AWL467" s="268"/>
      <c r="AWM467" s="268"/>
      <c r="AXA467" s="268"/>
      <c r="AXC467" s="268"/>
      <c r="AXD467" s="268"/>
      <c r="AXE467" s="268"/>
      <c r="AXF467" s="268"/>
      <c r="AXG467" s="268"/>
      <c r="AXH467" s="268"/>
      <c r="AXI467" s="268"/>
      <c r="AXJ467" s="268"/>
      <c r="AXK467" s="268"/>
      <c r="AXL467" s="268"/>
      <c r="AXM467" s="268"/>
      <c r="AXN467" s="268"/>
      <c r="AXO467" s="268"/>
      <c r="AXP467" s="268"/>
      <c r="AXQ467" s="268"/>
      <c r="AXR467" s="268"/>
      <c r="AXS467" s="268"/>
      <c r="AXT467" s="268"/>
      <c r="AXU467" s="268"/>
      <c r="AXV467" s="268"/>
      <c r="AXW467" s="268"/>
      <c r="AXX467" s="268"/>
      <c r="AXY467" s="268"/>
      <c r="AXZ467" s="268"/>
      <c r="AYA467" s="268"/>
      <c r="AYB467" s="268"/>
      <c r="AYC467" s="268"/>
      <c r="AYD467" s="268"/>
      <c r="AYE467" s="268"/>
      <c r="AYF467" s="268"/>
      <c r="AYG467" s="268"/>
      <c r="AYH467" s="268"/>
      <c r="AYI467" s="268"/>
      <c r="AYJ467" s="268"/>
      <c r="AYK467" s="268"/>
      <c r="AYL467" s="268"/>
      <c r="AYM467" s="268"/>
      <c r="AYN467" s="268"/>
      <c r="AYO467" s="268"/>
      <c r="AYP467" s="268"/>
      <c r="AYQ467" s="268"/>
      <c r="AYR467" s="268"/>
      <c r="AYS467" s="268"/>
      <c r="AYT467" s="268"/>
      <c r="AYU467" s="268"/>
      <c r="AYV467" s="268"/>
      <c r="AYW467" s="268"/>
      <c r="AYX467" s="268"/>
      <c r="AYY467" s="268"/>
      <c r="AYZ467" s="268"/>
      <c r="AZA467" s="268"/>
      <c r="AZB467" s="268"/>
      <c r="AZC467" s="268"/>
      <c r="AZD467" s="268"/>
      <c r="AZE467" s="268"/>
      <c r="AZF467" s="268"/>
      <c r="AZG467" s="268"/>
      <c r="AZH467" s="268"/>
      <c r="AZI467" s="268"/>
      <c r="AZJ467" s="268"/>
      <c r="AZK467" s="268"/>
      <c r="AZL467" s="268"/>
      <c r="AZM467" s="268"/>
      <c r="AZN467" s="268"/>
      <c r="AZO467" s="268"/>
      <c r="AZP467" s="268"/>
      <c r="AZQ467" s="268"/>
      <c r="AZR467" s="268"/>
      <c r="AZS467" s="268"/>
      <c r="AZT467" s="268"/>
      <c r="AZU467" s="268"/>
      <c r="AZV467" s="268"/>
      <c r="AZW467" s="268"/>
      <c r="AZX467" s="268"/>
      <c r="AZY467" s="268"/>
      <c r="AZZ467" s="268"/>
      <c r="BAA467" s="268"/>
      <c r="BAB467" s="268"/>
      <c r="BAC467" s="268"/>
      <c r="BAD467" s="268"/>
      <c r="BAE467" s="268"/>
      <c r="BAF467" s="268"/>
      <c r="BAG467" s="268"/>
      <c r="BAH467" s="268"/>
      <c r="BAI467" s="268"/>
      <c r="BAJ467" s="268"/>
      <c r="BAK467" s="268"/>
      <c r="BAL467" s="268"/>
      <c r="BAM467" s="268"/>
      <c r="BAN467" s="268"/>
      <c r="BAO467" s="268"/>
      <c r="BAP467" s="268"/>
      <c r="BAQ467" s="268"/>
      <c r="BAR467" s="268"/>
      <c r="BAS467" s="268"/>
      <c r="BAT467" s="268"/>
      <c r="BAU467" s="268"/>
      <c r="BAV467" s="268"/>
      <c r="BAW467" s="268"/>
      <c r="BAX467" s="268"/>
      <c r="BAY467" s="268"/>
      <c r="BAZ467" s="268"/>
      <c r="BBA467" s="268"/>
      <c r="BBB467" s="268"/>
      <c r="BBC467" s="268"/>
      <c r="BBD467" s="268"/>
      <c r="BBE467" s="268"/>
      <c r="BBF467" s="268"/>
      <c r="BBG467" s="268"/>
      <c r="BBH467" s="268"/>
      <c r="BBI467" s="268"/>
      <c r="BBJ467" s="268"/>
      <c r="BBK467" s="268"/>
      <c r="BBL467" s="268"/>
      <c r="BBM467" s="268"/>
      <c r="BBN467" s="268"/>
      <c r="BBO467" s="268"/>
      <c r="BBP467" s="268"/>
      <c r="BBQ467" s="268"/>
      <c r="BBR467" s="268"/>
      <c r="BBS467" s="268"/>
      <c r="BBT467" s="268"/>
      <c r="BBU467" s="268"/>
      <c r="BBV467" s="268"/>
      <c r="BBW467" s="268"/>
      <c r="BBX467" s="268"/>
      <c r="BBY467" s="268"/>
      <c r="BBZ467" s="268"/>
      <c r="BCA467" s="268"/>
      <c r="BCB467" s="268"/>
      <c r="BCC467" s="268"/>
      <c r="BCD467" s="268"/>
      <c r="BCE467" s="268"/>
      <c r="BCF467" s="268"/>
      <c r="BCG467" s="268"/>
      <c r="BCH467" s="268"/>
      <c r="BCI467" s="268"/>
      <c r="BCJ467" s="268"/>
      <c r="BCK467" s="268"/>
      <c r="BCL467" s="268"/>
      <c r="BCM467" s="268"/>
      <c r="BCN467" s="268"/>
      <c r="BCO467" s="268"/>
      <c r="BCP467" s="268"/>
      <c r="BCQ467" s="268"/>
      <c r="BCR467" s="268"/>
      <c r="BCS467" s="268"/>
      <c r="BCT467" s="268"/>
      <c r="BCU467" s="268"/>
      <c r="BCV467" s="268"/>
      <c r="BCW467" s="268"/>
      <c r="BCX467" s="268"/>
      <c r="BCY467" s="268"/>
      <c r="BCZ467" s="268"/>
      <c r="BDA467" s="268"/>
      <c r="BDB467" s="268"/>
      <c r="BDC467" s="268"/>
      <c r="BDD467" s="268"/>
      <c r="BDE467" s="268"/>
      <c r="BDF467" s="268"/>
      <c r="BDG467" s="268"/>
      <c r="BDH467" s="268"/>
      <c r="BDI467" s="268"/>
      <c r="BDJ467" s="268"/>
      <c r="BDK467" s="268"/>
      <c r="BDL467" s="268"/>
      <c r="BDM467" s="268"/>
      <c r="BDN467" s="268"/>
      <c r="BDO467" s="268"/>
      <c r="BDP467" s="268"/>
      <c r="BDQ467" s="268"/>
      <c r="BDR467" s="268"/>
      <c r="BDS467" s="268"/>
      <c r="BDT467" s="268"/>
      <c r="BDU467" s="268"/>
      <c r="BDV467" s="268"/>
      <c r="BDW467" s="268"/>
      <c r="BDX467" s="268"/>
      <c r="BDY467" s="268"/>
      <c r="BDZ467" s="268"/>
      <c r="BEA467" s="268"/>
      <c r="BEB467" s="268"/>
      <c r="BEC467" s="268"/>
      <c r="BED467" s="268"/>
      <c r="BEE467" s="268"/>
      <c r="BEF467" s="268"/>
      <c r="BEG467" s="268"/>
      <c r="BEH467" s="268"/>
      <c r="BEI467" s="268"/>
      <c r="BEJ467" s="268"/>
      <c r="BEK467" s="268"/>
      <c r="BEL467" s="268"/>
      <c r="BEM467" s="268"/>
      <c r="BEN467" s="268"/>
      <c r="BEO467" s="268"/>
      <c r="BEP467" s="268"/>
      <c r="BEQ467" s="268"/>
      <c r="BER467" s="268"/>
      <c r="BES467" s="268"/>
      <c r="BET467" s="268"/>
      <c r="BEU467" s="268"/>
      <c r="BEV467" s="268"/>
      <c r="BEW467" s="268"/>
      <c r="BEX467" s="268"/>
      <c r="BEY467" s="268"/>
      <c r="BEZ467" s="268"/>
      <c r="BFA467" s="268"/>
      <c r="BFB467" s="268"/>
      <c r="BFC467" s="268"/>
      <c r="BFD467" s="268"/>
      <c r="BFE467" s="268"/>
      <c r="BFF467" s="268"/>
      <c r="BFG467" s="268"/>
      <c r="BFH467" s="268"/>
      <c r="BFI467" s="268"/>
      <c r="BFJ467" s="268"/>
      <c r="BFK467" s="268"/>
      <c r="BFL467" s="268"/>
      <c r="BFM467" s="268"/>
      <c r="BFN467" s="268"/>
      <c r="BFO467" s="268"/>
      <c r="BFP467" s="268"/>
      <c r="BFQ467" s="268"/>
      <c r="BFR467" s="268"/>
      <c r="BFS467" s="268"/>
      <c r="BGG467" s="268"/>
      <c r="BGH467" s="268"/>
      <c r="BGI467" s="268"/>
      <c r="BGW467" s="268"/>
      <c r="BGY467" s="268"/>
      <c r="BGZ467" s="268"/>
      <c r="BHA467" s="268"/>
      <c r="BHB467" s="268"/>
      <c r="BHC467" s="268"/>
      <c r="BHD467" s="268"/>
      <c r="BHE467" s="268"/>
      <c r="BHF467" s="268"/>
      <c r="BHG467" s="268"/>
      <c r="BHH467" s="268"/>
      <c r="BHI467" s="268"/>
      <c r="BHJ467" s="268"/>
      <c r="BHK467" s="268"/>
      <c r="BHL467" s="268"/>
      <c r="BHM467" s="268"/>
      <c r="BHN467" s="268"/>
      <c r="BHO467" s="268"/>
      <c r="BHP467" s="268"/>
      <c r="BHQ467" s="268"/>
      <c r="BHR467" s="268"/>
      <c r="BHS467" s="268"/>
      <c r="BHT467" s="268"/>
      <c r="BHU467" s="268"/>
      <c r="BHV467" s="268"/>
      <c r="BHW467" s="268"/>
      <c r="BHX467" s="268"/>
      <c r="BHY467" s="268"/>
      <c r="BHZ467" s="268"/>
      <c r="BIA467" s="268"/>
      <c r="BIB467" s="268"/>
      <c r="BIC467" s="268"/>
      <c r="BID467" s="268"/>
      <c r="BIE467" s="268"/>
      <c r="BIF467" s="268"/>
      <c r="BIG467" s="268"/>
      <c r="BIH467" s="268"/>
      <c r="BII467" s="268"/>
      <c r="BIJ467" s="268"/>
      <c r="BIK467" s="268"/>
      <c r="BIL467" s="268"/>
      <c r="BIM467" s="268"/>
      <c r="BIN467" s="268"/>
      <c r="BIO467" s="268"/>
      <c r="BIP467" s="268"/>
      <c r="BIQ467" s="268"/>
      <c r="BIR467" s="268"/>
      <c r="BIS467" s="268"/>
      <c r="BIT467" s="268"/>
      <c r="BIU467" s="268"/>
      <c r="BIV467" s="268"/>
      <c r="BIW467" s="268"/>
      <c r="BIX467" s="268"/>
      <c r="BIY467" s="268"/>
      <c r="BIZ467" s="268"/>
      <c r="BJA467" s="268"/>
      <c r="BJB467" s="268"/>
      <c r="BJC467" s="268"/>
      <c r="BJD467" s="268"/>
      <c r="BJE467" s="268"/>
      <c r="BJF467" s="268"/>
      <c r="BJG467" s="268"/>
      <c r="BJH467" s="268"/>
      <c r="BJI467" s="268"/>
      <c r="BJJ467" s="268"/>
      <c r="BJK467" s="268"/>
      <c r="BJL467" s="268"/>
      <c r="BJM467" s="268"/>
      <c r="BJN467" s="268"/>
      <c r="BJO467" s="268"/>
      <c r="BJP467" s="268"/>
      <c r="BJQ467" s="268"/>
      <c r="BJR467" s="268"/>
      <c r="BJS467" s="268"/>
      <c r="BJT467" s="268"/>
      <c r="BJU467" s="268"/>
      <c r="BJV467" s="268"/>
      <c r="BJW467" s="268"/>
      <c r="BJX467" s="268"/>
      <c r="BJY467" s="268"/>
      <c r="BJZ467" s="268"/>
      <c r="BKA467" s="268"/>
      <c r="BKB467" s="268"/>
      <c r="BKC467" s="268"/>
      <c r="BKD467" s="268"/>
      <c r="BKE467" s="268"/>
      <c r="BKF467" s="268"/>
      <c r="BKG467" s="268"/>
      <c r="BKH467" s="268"/>
      <c r="BKI467" s="268"/>
      <c r="BKJ467" s="268"/>
      <c r="BKK467" s="268"/>
      <c r="BKL467" s="268"/>
      <c r="BKM467" s="268"/>
      <c r="BKN467" s="268"/>
      <c r="BKO467" s="268"/>
      <c r="BKP467" s="268"/>
      <c r="BKQ467" s="268"/>
      <c r="BKR467" s="268"/>
      <c r="BKS467" s="268"/>
      <c r="BKT467" s="268"/>
      <c r="BKU467" s="268"/>
      <c r="BKV467" s="268"/>
      <c r="BKW467" s="268"/>
      <c r="BKX467" s="268"/>
      <c r="BKY467" s="268"/>
      <c r="BKZ467" s="268"/>
      <c r="BLA467" s="268"/>
      <c r="BLB467" s="268"/>
      <c r="BLC467" s="268"/>
      <c r="BLD467" s="268"/>
      <c r="BLE467" s="268"/>
      <c r="BLF467" s="268"/>
      <c r="BLG467" s="268"/>
      <c r="BLH467" s="268"/>
      <c r="BLI467" s="268"/>
      <c r="BLJ467" s="268"/>
      <c r="BLK467" s="268"/>
      <c r="BLL467" s="268"/>
      <c r="BLM467" s="268"/>
      <c r="BLN467" s="268"/>
      <c r="BLO467" s="268"/>
      <c r="BLP467" s="268"/>
      <c r="BLQ467" s="268"/>
      <c r="BLR467" s="268"/>
      <c r="BLS467" s="268"/>
      <c r="BLT467" s="268"/>
      <c r="BLU467" s="268"/>
      <c r="BLV467" s="268"/>
      <c r="BLW467" s="268"/>
      <c r="BLX467" s="268"/>
      <c r="BLY467" s="268"/>
      <c r="BLZ467" s="268"/>
      <c r="BMA467" s="268"/>
      <c r="BMB467" s="268"/>
      <c r="BMC467" s="268"/>
      <c r="BMD467" s="268"/>
      <c r="BME467" s="268"/>
      <c r="BMF467" s="268"/>
      <c r="BMG467" s="268"/>
      <c r="BMH467" s="268"/>
      <c r="BMI467" s="268"/>
      <c r="BMJ467" s="268"/>
      <c r="BMK467" s="268"/>
      <c r="BML467" s="268"/>
      <c r="BMM467" s="268"/>
      <c r="BMN467" s="268"/>
      <c r="BMO467" s="268"/>
      <c r="BMP467" s="268"/>
      <c r="BMQ467" s="268"/>
      <c r="BMR467" s="268"/>
      <c r="BMS467" s="268"/>
      <c r="BMT467" s="268"/>
      <c r="BMU467" s="268"/>
      <c r="BMV467" s="268"/>
      <c r="BMW467" s="268"/>
      <c r="BMX467" s="268"/>
      <c r="BMY467" s="268"/>
      <c r="BMZ467" s="268"/>
      <c r="BNA467" s="268"/>
      <c r="BNB467" s="268"/>
      <c r="BNC467" s="268"/>
      <c r="BND467" s="268"/>
      <c r="BNE467" s="268"/>
      <c r="BNF467" s="268"/>
      <c r="BNG467" s="268"/>
      <c r="BNH467" s="268"/>
      <c r="BNI467" s="268"/>
      <c r="BNJ467" s="268"/>
      <c r="BNK467" s="268"/>
      <c r="BNL467" s="268"/>
      <c r="BNM467" s="268"/>
      <c r="BNN467" s="268"/>
      <c r="BNO467" s="268"/>
      <c r="BNP467" s="268"/>
      <c r="BNQ467" s="268"/>
      <c r="BNR467" s="268"/>
      <c r="BNS467" s="268"/>
      <c r="BNT467" s="268"/>
      <c r="BNU467" s="268"/>
      <c r="BNV467" s="268"/>
      <c r="BNW467" s="268"/>
      <c r="BNX467" s="268"/>
      <c r="BNY467" s="268"/>
      <c r="BNZ467" s="268"/>
      <c r="BOA467" s="268"/>
      <c r="BOB467" s="268"/>
      <c r="BOC467" s="268"/>
      <c r="BOD467" s="268"/>
      <c r="BOE467" s="268"/>
      <c r="BOF467" s="268"/>
      <c r="BOG467" s="268"/>
      <c r="BOH467" s="268"/>
      <c r="BOI467" s="268"/>
      <c r="BOJ467" s="268"/>
      <c r="BOK467" s="268"/>
      <c r="BOL467" s="268"/>
      <c r="BOM467" s="268"/>
      <c r="BON467" s="268"/>
      <c r="BOO467" s="268"/>
      <c r="BOP467" s="268"/>
      <c r="BOQ467" s="268"/>
      <c r="BOR467" s="268"/>
      <c r="BOS467" s="268"/>
      <c r="BOT467" s="268"/>
      <c r="BOU467" s="268"/>
      <c r="BOV467" s="268"/>
      <c r="BOW467" s="268"/>
      <c r="BOX467" s="268"/>
      <c r="BOY467" s="268"/>
      <c r="BOZ467" s="268"/>
      <c r="BPA467" s="268"/>
      <c r="BPB467" s="268"/>
      <c r="BPC467" s="268"/>
      <c r="BPD467" s="268"/>
      <c r="BPE467" s="268"/>
      <c r="BPF467" s="268"/>
      <c r="BPG467" s="268"/>
      <c r="BPH467" s="268"/>
      <c r="BPI467" s="268"/>
      <c r="BPJ467" s="268"/>
      <c r="BPK467" s="268"/>
      <c r="BPL467" s="268"/>
      <c r="BPM467" s="268"/>
      <c r="BPN467" s="268"/>
      <c r="BPO467" s="268"/>
      <c r="BQC467" s="268"/>
      <c r="BQD467" s="268"/>
      <c r="BQE467" s="268"/>
      <c r="BQS467" s="268"/>
      <c r="BQU467" s="268"/>
      <c r="BQV467" s="268"/>
      <c r="BQW467" s="268"/>
      <c r="BQX467" s="268"/>
      <c r="BQY467" s="268"/>
      <c r="BQZ467" s="268"/>
      <c r="BRA467" s="268"/>
      <c r="BRB467" s="268"/>
      <c r="BRC467" s="268"/>
      <c r="BRD467" s="268"/>
      <c r="BRE467" s="268"/>
      <c r="BRF467" s="268"/>
      <c r="BRG467" s="268"/>
      <c r="BRH467" s="268"/>
      <c r="BRI467" s="268"/>
      <c r="BRJ467" s="268"/>
      <c r="BRK467" s="268"/>
      <c r="BRL467" s="268"/>
      <c r="BRM467" s="268"/>
      <c r="BRN467" s="268"/>
      <c r="BRO467" s="268"/>
      <c r="BRP467" s="268"/>
      <c r="BRQ467" s="268"/>
      <c r="BRR467" s="268"/>
      <c r="BRS467" s="268"/>
      <c r="BRT467" s="268"/>
      <c r="BRU467" s="268"/>
      <c r="BRV467" s="268"/>
      <c r="BRW467" s="268"/>
      <c r="BRX467" s="268"/>
      <c r="BRY467" s="268"/>
      <c r="BRZ467" s="268"/>
      <c r="BSA467" s="268"/>
      <c r="BSB467" s="268"/>
      <c r="BSC467" s="268"/>
      <c r="BSD467" s="268"/>
      <c r="BSE467" s="268"/>
      <c r="BSF467" s="268"/>
      <c r="BSG467" s="268"/>
      <c r="BSH467" s="268"/>
      <c r="BSI467" s="268"/>
      <c r="BSJ467" s="268"/>
      <c r="BSK467" s="268"/>
      <c r="BSL467" s="268"/>
      <c r="BSM467" s="268"/>
      <c r="BSN467" s="268"/>
      <c r="BSO467" s="268"/>
      <c r="BSP467" s="268"/>
      <c r="BSQ467" s="268"/>
      <c r="BSR467" s="268"/>
      <c r="BSS467" s="268"/>
      <c r="BST467" s="268"/>
      <c r="BSU467" s="268"/>
      <c r="BSV467" s="268"/>
      <c r="BSW467" s="268"/>
      <c r="BSX467" s="268"/>
      <c r="BSY467" s="268"/>
      <c r="BSZ467" s="268"/>
      <c r="BTA467" s="268"/>
      <c r="BTB467" s="268"/>
      <c r="BTC467" s="268"/>
      <c r="BTD467" s="268"/>
      <c r="BTE467" s="268"/>
      <c r="BTF467" s="268"/>
      <c r="BTG467" s="268"/>
      <c r="BTH467" s="268"/>
      <c r="BTI467" s="268"/>
      <c r="BTJ467" s="268"/>
      <c r="BTK467" s="268"/>
      <c r="BTL467" s="268"/>
      <c r="BTM467" s="268"/>
      <c r="BTN467" s="268"/>
      <c r="BTO467" s="268"/>
      <c r="BTP467" s="268"/>
      <c r="BTQ467" s="268"/>
      <c r="BTR467" s="268"/>
      <c r="BTS467" s="268"/>
      <c r="BTT467" s="268"/>
      <c r="BTU467" s="268"/>
      <c r="BTV467" s="268"/>
      <c r="BTW467" s="268"/>
      <c r="BTX467" s="268"/>
      <c r="BTY467" s="268"/>
      <c r="BTZ467" s="268"/>
      <c r="BUA467" s="268"/>
      <c r="BUB467" s="268"/>
      <c r="BUC467" s="268"/>
      <c r="BUD467" s="268"/>
      <c r="BUE467" s="268"/>
      <c r="BUF467" s="268"/>
      <c r="BUG467" s="268"/>
      <c r="BUH467" s="268"/>
      <c r="BUI467" s="268"/>
      <c r="BUJ467" s="268"/>
      <c r="BUK467" s="268"/>
      <c r="BUL467" s="268"/>
      <c r="BUM467" s="268"/>
      <c r="BUN467" s="268"/>
      <c r="BUO467" s="268"/>
      <c r="BUP467" s="268"/>
      <c r="BUQ467" s="268"/>
      <c r="BUR467" s="268"/>
      <c r="BUS467" s="268"/>
      <c r="BUT467" s="268"/>
      <c r="BUU467" s="268"/>
      <c r="BUV467" s="268"/>
      <c r="BUW467" s="268"/>
      <c r="BUX467" s="268"/>
      <c r="BUY467" s="268"/>
      <c r="BUZ467" s="268"/>
      <c r="BVA467" s="268"/>
      <c r="BVB467" s="268"/>
      <c r="BVC467" s="268"/>
      <c r="BVD467" s="268"/>
      <c r="BVE467" s="268"/>
      <c r="BVF467" s="268"/>
      <c r="BVG467" s="268"/>
      <c r="BVH467" s="268"/>
      <c r="BVI467" s="268"/>
      <c r="BVJ467" s="268"/>
      <c r="BVK467" s="268"/>
      <c r="BVL467" s="268"/>
      <c r="BVM467" s="268"/>
      <c r="BVN467" s="268"/>
      <c r="BVO467" s="268"/>
      <c r="BVP467" s="268"/>
      <c r="BVQ467" s="268"/>
      <c r="BVR467" s="268"/>
      <c r="BVS467" s="268"/>
      <c r="BVT467" s="268"/>
      <c r="BVU467" s="268"/>
      <c r="BVV467" s="268"/>
      <c r="BVW467" s="268"/>
      <c r="BVX467" s="268"/>
      <c r="BVY467" s="268"/>
      <c r="BVZ467" s="268"/>
      <c r="BWA467" s="268"/>
      <c r="BWB467" s="268"/>
      <c r="BWC467" s="268"/>
      <c r="BWD467" s="268"/>
      <c r="BWE467" s="268"/>
      <c r="BWF467" s="268"/>
      <c r="BWG467" s="268"/>
      <c r="BWH467" s="268"/>
      <c r="BWI467" s="268"/>
      <c r="BWJ467" s="268"/>
      <c r="BWK467" s="268"/>
      <c r="BWL467" s="268"/>
      <c r="BWM467" s="268"/>
      <c r="BWN467" s="268"/>
      <c r="BWO467" s="268"/>
      <c r="BWP467" s="268"/>
      <c r="BWQ467" s="268"/>
      <c r="BWR467" s="268"/>
      <c r="BWS467" s="268"/>
      <c r="BWT467" s="268"/>
      <c r="BWU467" s="268"/>
      <c r="BWV467" s="268"/>
      <c r="BWW467" s="268"/>
      <c r="BWX467" s="268"/>
      <c r="BWY467" s="268"/>
      <c r="BWZ467" s="268"/>
      <c r="BXA467" s="268"/>
      <c r="BXB467" s="268"/>
      <c r="BXC467" s="268"/>
      <c r="BXD467" s="268"/>
      <c r="BXE467" s="268"/>
      <c r="BXF467" s="268"/>
      <c r="BXG467" s="268"/>
      <c r="BXH467" s="268"/>
      <c r="BXI467" s="268"/>
      <c r="BXJ467" s="268"/>
      <c r="BXK467" s="268"/>
      <c r="BXL467" s="268"/>
      <c r="BXM467" s="268"/>
      <c r="BXN467" s="268"/>
      <c r="BXO467" s="268"/>
      <c r="BXP467" s="268"/>
      <c r="BXQ467" s="268"/>
      <c r="BXR467" s="268"/>
      <c r="BXS467" s="268"/>
      <c r="BXT467" s="268"/>
      <c r="BXU467" s="268"/>
      <c r="BXV467" s="268"/>
      <c r="BXW467" s="268"/>
      <c r="BXX467" s="268"/>
      <c r="BXY467" s="268"/>
      <c r="BXZ467" s="268"/>
      <c r="BYA467" s="268"/>
      <c r="BYB467" s="268"/>
      <c r="BYC467" s="268"/>
      <c r="BYD467" s="268"/>
      <c r="BYE467" s="268"/>
      <c r="BYF467" s="268"/>
      <c r="BYG467" s="268"/>
      <c r="BYH467" s="268"/>
      <c r="BYI467" s="268"/>
      <c r="BYJ467" s="268"/>
      <c r="BYK467" s="268"/>
      <c r="BYL467" s="268"/>
      <c r="BYM467" s="268"/>
      <c r="BYN467" s="268"/>
      <c r="BYO467" s="268"/>
      <c r="BYP467" s="268"/>
      <c r="BYQ467" s="268"/>
      <c r="BYR467" s="268"/>
      <c r="BYS467" s="268"/>
      <c r="BYT467" s="268"/>
      <c r="BYU467" s="268"/>
      <c r="BYV467" s="268"/>
      <c r="BYW467" s="268"/>
      <c r="BYX467" s="268"/>
      <c r="BYY467" s="268"/>
      <c r="BYZ467" s="268"/>
      <c r="BZA467" s="268"/>
      <c r="BZB467" s="268"/>
      <c r="BZC467" s="268"/>
      <c r="BZD467" s="268"/>
      <c r="BZE467" s="268"/>
      <c r="BZF467" s="268"/>
      <c r="BZG467" s="268"/>
      <c r="BZH467" s="268"/>
      <c r="BZI467" s="268"/>
      <c r="BZJ467" s="268"/>
      <c r="BZK467" s="268"/>
      <c r="BZY467" s="268"/>
      <c r="BZZ467" s="268"/>
      <c r="CAA467" s="268"/>
      <c r="CAO467" s="268"/>
      <c r="CAQ467" s="268"/>
      <c r="CAR467" s="268"/>
      <c r="CAS467" s="268"/>
      <c r="CAT467" s="268"/>
      <c r="CAU467" s="268"/>
      <c r="CAV467" s="268"/>
      <c r="CAW467" s="268"/>
      <c r="CAX467" s="268"/>
      <c r="CAY467" s="268"/>
      <c r="CAZ467" s="268"/>
      <c r="CBA467" s="268"/>
      <c r="CBB467" s="268"/>
      <c r="CBC467" s="268"/>
      <c r="CBD467" s="268"/>
      <c r="CBE467" s="268"/>
      <c r="CBF467" s="268"/>
      <c r="CBG467" s="268"/>
      <c r="CBH467" s="268"/>
      <c r="CBI467" s="268"/>
      <c r="CBJ467" s="268"/>
      <c r="CBK467" s="268"/>
      <c r="CBL467" s="268"/>
      <c r="CBM467" s="268"/>
      <c r="CBN467" s="268"/>
      <c r="CBO467" s="268"/>
      <c r="CBP467" s="268"/>
      <c r="CBQ467" s="268"/>
      <c r="CBR467" s="268"/>
      <c r="CBS467" s="268"/>
      <c r="CBT467" s="268"/>
      <c r="CBU467" s="268"/>
      <c r="CBV467" s="268"/>
      <c r="CBW467" s="268"/>
      <c r="CBX467" s="268"/>
      <c r="CBY467" s="268"/>
      <c r="CBZ467" s="268"/>
      <c r="CCA467" s="268"/>
      <c r="CCB467" s="268"/>
      <c r="CCC467" s="268"/>
      <c r="CCD467" s="268"/>
      <c r="CCE467" s="268"/>
      <c r="CCF467" s="268"/>
      <c r="CCG467" s="268"/>
      <c r="CCH467" s="268"/>
      <c r="CCI467" s="268"/>
      <c r="CCJ467" s="268"/>
      <c r="CCK467" s="268"/>
      <c r="CCL467" s="268"/>
      <c r="CCM467" s="268"/>
      <c r="CCN467" s="268"/>
      <c r="CCO467" s="268"/>
      <c r="CCP467" s="268"/>
      <c r="CCQ467" s="268"/>
      <c r="CCR467" s="268"/>
      <c r="CCS467" s="268"/>
      <c r="CCT467" s="268"/>
      <c r="CCU467" s="268"/>
      <c r="CCV467" s="268"/>
      <c r="CCW467" s="268"/>
      <c r="CCX467" s="268"/>
      <c r="CCY467" s="268"/>
      <c r="CCZ467" s="268"/>
      <c r="CDA467" s="268"/>
      <c r="CDB467" s="268"/>
      <c r="CDC467" s="268"/>
      <c r="CDD467" s="268"/>
      <c r="CDE467" s="268"/>
      <c r="CDF467" s="268"/>
      <c r="CDG467" s="268"/>
      <c r="CDH467" s="268"/>
      <c r="CDI467" s="268"/>
      <c r="CDJ467" s="268"/>
      <c r="CDK467" s="268"/>
      <c r="CDL467" s="268"/>
      <c r="CDM467" s="268"/>
      <c r="CDN467" s="268"/>
      <c r="CDO467" s="268"/>
      <c r="CDP467" s="268"/>
      <c r="CDQ467" s="268"/>
      <c r="CDR467" s="268"/>
      <c r="CDS467" s="268"/>
      <c r="CDT467" s="268"/>
      <c r="CDU467" s="268"/>
      <c r="CDV467" s="268"/>
      <c r="CDW467" s="268"/>
      <c r="CDX467" s="268"/>
      <c r="CDY467" s="268"/>
      <c r="CDZ467" s="268"/>
      <c r="CEA467" s="268"/>
      <c r="CEB467" s="268"/>
      <c r="CEC467" s="268"/>
      <c r="CED467" s="268"/>
      <c r="CEE467" s="268"/>
      <c r="CEF467" s="268"/>
      <c r="CEG467" s="268"/>
      <c r="CEH467" s="268"/>
      <c r="CEI467" s="268"/>
      <c r="CEJ467" s="268"/>
      <c r="CEK467" s="268"/>
      <c r="CEL467" s="268"/>
      <c r="CEM467" s="268"/>
      <c r="CEN467" s="268"/>
      <c r="CEO467" s="268"/>
      <c r="CEP467" s="268"/>
      <c r="CEQ467" s="268"/>
      <c r="CER467" s="268"/>
      <c r="CES467" s="268"/>
      <c r="CET467" s="268"/>
      <c r="CEU467" s="268"/>
      <c r="CEV467" s="268"/>
      <c r="CEW467" s="268"/>
      <c r="CEX467" s="268"/>
      <c r="CEY467" s="268"/>
      <c r="CEZ467" s="268"/>
      <c r="CFA467" s="268"/>
      <c r="CFB467" s="268"/>
      <c r="CFC467" s="268"/>
      <c r="CFD467" s="268"/>
      <c r="CFE467" s="268"/>
      <c r="CFF467" s="268"/>
      <c r="CFG467" s="268"/>
      <c r="CFH467" s="268"/>
      <c r="CFI467" s="268"/>
      <c r="CFJ467" s="268"/>
      <c r="CFK467" s="268"/>
      <c r="CFL467" s="268"/>
      <c r="CFM467" s="268"/>
      <c r="CFN467" s="268"/>
      <c r="CFO467" s="268"/>
      <c r="CFP467" s="268"/>
      <c r="CFQ467" s="268"/>
      <c r="CFR467" s="268"/>
      <c r="CFS467" s="268"/>
      <c r="CFT467" s="268"/>
      <c r="CFU467" s="268"/>
      <c r="CFV467" s="268"/>
      <c r="CFW467" s="268"/>
      <c r="CFX467" s="268"/>
      <c r="CFY467" s="268"/>
      <c r="CFZ467" s="268"/>
      <c r="CGA467" s="268"/>
      <c r="CGB467" s="268"/>
      <c r="CGC467" s="268"/>
      <c r="CGD467" s="268"/>
      <c r="CGE467" s="268"/>
      <c r="CGF467" s="268"/>
      <c r="CGG467" s="268"/>
      <c r="CGH467" s="268"/>
      <c r="CGI467" s="268"/>
      <c r="CGJ467" s="268"/>
      <c r="CGK467" s="268"/>
      <c r="CGL467" s="268"/>
      <c r="CGM467" s="268"/>
      <c r="CGN467" s="268"/>
      <c r="CGO467" s="268"/>
      <c r="CGP467" s="268"/>
      <c r="CGQ467" s="268"/>
      <c r="CGR467" s="268"/>
      <c r="CGS467" s="268"/>
      <c r="CGT467" s="268"/>
      <c r="CGU467" s="268"/>
      <c r="CGV467" s="268"/>
      <c r="CGW467" s="268"/>
      <c r="CGX467" s="268"/>
      <c r="CGY467" s="268"/>
      <c r="CGZ467" s="268"/>
      <c r="CHA467" s="268"/>
      <c r="CHB467" s="268"/>
      <c r="CHC467" s="268"/>
      <c r="CHD467" s="268"/>
      <c r="CHE467" s="268"/>
      <c r="CHF467" s="268"/>
      <c r="CHG467" s="268"/>
      <c r="CHH467" s="268"/>
      <c r="CHI467" s="268"/>
      <c r="CHJ467" s="268"/>
      <c r="CHK467" s="268"/>
      <c r="CHL467" s="268"/>
      <c r="CHM467" s="268"/>
      <c r="CHN467" s="268"/>
      <c r="CHO467" s="268"/>
      <c r="CHP467" s="268"/>
      <c r="CHQ467" s="268"/>
      <c r="CHR467" s="268"/>
      <c r="CHS467" s="268"/>
      <c r="CHT467" s="268"/>
      <c r="CHU467" s="268"/>
      <c r="CHV467" s="268"/>
      <c r="CHW467" s="268"/>
      <c r="CHX467" s="268"/>
      <c r="CHY467" s="268"/>
      <c r="CHZ467" s="268"/>
      <c r="CIA467" s="268"/>
      <c r="CIB467" s="268"/>
      <c r="CIC467" s="268"/>
      <c r="CID467" s="268"/>
      <c r="CIE467" s="268"/>
      <c r="CIF467" s="268"/>
      <c r="CIG467" s="268"/>
      <c r="CIH467" s="268"/>
      <c r="CII467" s="268"/>
      <c r="CIJ467" s="268"/>
      <c r="CIK467" s="268"/>
      <c r="CIL467" s="268"/>
      <c r="CIM467" s="268"/>
      <c r="CIN467" s="268"/>
      <c r="CIO467" s="268"/>
      <c r="CIP467" s="268"/>
      <c r="CIQ467" s="268"/>
      <c r="CIR467" s="268"/>
      <c r="CIS467" s="268"/>
      <c r="CIT467" s="268"/>
      <c r="CIU467" s="268"/>
      <c r="CIV467" s="268"/>
      <c r="CIW467" s="268"/>
      <c r="CIX467" s="268"/>
      <c r="CIY467" s="268"/>
      <c r="CIZ467" s="268"/>
      <c r="CJA467" s="268"/>
      <c r="CJB467" s="268"/>
      <c r="CJC467" s="268"/>
      <c r="CJD467" s="268"/>
      <c r="CJE467" s="268"/>
      <c r="CJF467" s="268"/>
      <c r="CJG467" s="268"/>
      <c r="CJU467" s="268"/>
      <c r="CJV467" s="268"/>
      <c r="CJW467" s="268"/>
      <c r="CKK467" s="268"/>
      <c r="CKM467" s="268"/>
      <c r="CKN467" s="268"/>
      <c r="CKO467" s="268"/>
      <c r="CKP467" s="268"/>
      <c r="CKQ467" s="268"/>
      <c r="CKR467" s="268"/>
      <c r="CKS467" s="268"/>
      <c r="CKT467" s="268"/>
      <c r="CKU467" s="268"/>
      <c r="CKV467" s="268"/>
      <c r="CKW467" s="268"/>
      <c r="CKX467" s="268"/>
      <c r="CKY467" s="268"/>
      <c r="CKZ467" s="268"/>
      <c r="CLA467" s="268"/>
      <c r="CLB467" s="268"/>
      <c r="CLC467" s="268"/>
      <c r="CLD467" s="268"/>
      <c r="CLE467" s="268"/>
      <c r="CLF467" s="268"/>
      <c r="CLG467" s="268"/>
      <c r="CLH467" s="268"/>
      <c r="CLI467" s="268"/>
      <c r="CLJ467" s="268"/>
      <c r="CLK467" s="268"/>
      <c r="CLL467" s="268"/>
      <c r="CLM467" s="268"/>
      <c r="CLN467" s="268"/>
      <c r="CLO467" s="268"/>
      <c r="CLP467" s="268"/>
      <c r="CLQ467" s="268"/>
      <c r="CLR467" s="268"/>
      <c r="CLS467" s="268"/>
      <c r="CLT467" s="268"/>
      <c r="CLU467" s="268"/>
      <c r="CLV467" s="268"/>
      <c r="CLW467" s="268"/>
      <c r="CLX467" s="268"/>
      <c r="CLY467" s="268"/>
      <c r="CLZ467" s="268"/>
      <c r="CMA467" s="268"/>
      <c r="CMB467" s="268"/>
      <c r="CMC467" s="268"/>
      <c r="CMD467" s="268"/>
      <c r="CME467" s="268"/>
      <c r="CMF467" s="268"/>
      <c r="CMG467" s="268"/>
      <c r="CMH467" s="268"/>
      <c r="CMI467" s="268"/>
      <c r="CMJ467" s="268"/>
      <c r="CMK467" s="268"/>
      <c r="CML467" s="268"/>
      <c r="CMM467" s="268"/>
      <c r="CMN467" s="268"/>
      <c r="CMO467" s="268"/>
      <c r="CMP467" s="268"/>
      <c r="CMQ467" s="268"/>
      <c r="CMR467" s="268"/>
      <c r="CMS467" s="268"/>
      <c r="CMT467" s="268"/>
      <c r="CMU467" s="268"/>
      <c r="CMV467" s="268"/>
      <c r="CMW467" s="268"/>
      <c r="CMX467" s="268"/>
      <c r="CMY467" s="268"/>
      <c r="CMZ467" s="268"/>
      <c r="CNA467" s="268"/>
      <c r="CNB467" s="268"/>
      <c r="CNC467" s="268"/>
      <c r="CND467" s="268"/>
      <c r="CNE467" s="268"/>
      <c r="CNF467" s="268"/>
      <c r="CNG467" s="268"/>
      <c r="CNH467" s="268"/>
      <c r="CNI467" s="268"/>
      <c r="CNJ467" s="268"/>
      <c r="CNK467" s="268"/>
      <c r="CNL467" s="268"/>
      <c r="CNM467" s="268"/>
      <c r="CNN467" s="268"/>
      <c r="CNO467" s="268"/>
      <c r="CNP467" s="268"/>
      <c r="CNQ467" s="268"/>
      <c r="CNR467" s="268"/>
      <c r="CNS467" s="268"/>
      <c r="CNT467" s="268"/>
      <c r="CNU467" s="268"/>
      <c r="CNV467" s="268"/>
      <c r="CNW467" s="268"/>
      <c r="CNX467" s="268"/>
      <c r="CNY467" s="268"/>
      <c r="CNZ467" s="268"/>
      <c r="COA467" s="268"/>
      <c r="COB467" s="268"/>
      <c r="COC467" s="268"/>
      <c r="COD467" s="268"/>
      <c r="COE467" s="268"/>
      <c r="COF467" s="268"/>
      <c r="COG467" s="268"/>
      <c r="COH467" s="268"/>
      <c r="COI467" s="268"/>
      <c r="COJ467" s="268"/>
      <c r="COK467" s="268"/>
      <c r="COL467" s="268"/>
      <c r="COM467" s="268"/>
      <c r="CON467" s="268"/>
      <c r="COO467" s="268"/>
      <c r="COP467" s="268"/>
      <c r="COQ467" s="268"/>
      <c r="COR467" s="268"/>
      <c r="COS467" s="268"/>
      <c r="COT467" s="268"/>
      <c r="COU467" s="268"/>
      <c r="COV467" s="268"/>
      <c r="COW467" s="268"/>
      <c r="COX467" s="268"/>
      <c r="COY467" s="268"/>
      <c r="COZ467" s="268"/>
      <c r="CPA467" s="268"/>
      <c r="CPB467" s="268"/>
      <c r="CPC467" s="268"/>
      <c r="CPD467" s="268"/>
      <c r="CPE467" s="268"/>
      <c r="CPF467" s="268"/>
      <c r="CPG467" s="268"/>
      <c r="CPH467" s="268"/>
      <c r="CPI467" s="268"/>
      <c r="CPJ467" s="268"/>
      <c r="CPK467" s="268"/>
      <c r="CPL467" s="268"/>
      <c r="CPM467" s="268"/>
      <c r="CPN467" s="268"/>
      <c r="CPO467" s="268"/>
      <c r="CPP467" s="268"/>
      <c r="CPQ467" s="268"/>
      <c r="CPR467" s="268"/>
      <c r="CPS467" s="268"/>
      <c r="CPT467" s="268"/>
      <c r="CPU467" s="268"/>
      <c r="CPV467" s="268"/>
      <c r="CPW467" s="268"/>
      <c r="CPX467" s="268"/>
      <c r="CPY467" s="268"/>
      <c r="CPZ467" s="268"/>
      <c r="CQA467" s="268"/>
      <c r="CQB467" s="268"/>
      <c r="CQC467" s="268"/>
      <c r="CQD467" s="268"/>
      <c r="CQE467" s="268"/>
      <c r="CQF467" s="268"/>
      <c r="CQG467" s="268"/>
      <c r="CQH467" s="268"/>
      <c r="CQI467" s="268"/>
      <c r="CQJ467" s="268"/>
      <c r="CQK467" s="268"/>
      <c r="CQL467" s="268"/>
      <c r="CQM467" s="268"/>
      <c r="CQN467" s="268"/>
      <c r="CQO467" s="268"/>
      <c r="CQP467" s="268"/>
      <c r="CQQ467" s="268"/>
      <c r="CQR467" s="268"/>
      <c r="CQS467" s="268"/>
      <c r="CQT467" s="268"/>
      <c r="CQU467" s="268"/>
      <c r="CQV467" s="268"/>
      <c r="CQW467" s="268"/>
      <c r="CQX467" s="268"/>
      <c r="CQY467" s="268"/>
      <c r="CQZ467" s="268"/>
      <c r="CRA467" s="268"/>
      <c r="CRB467" s="268"/>
      <c r="CRC467" s="268"/>
      <c r="CRD467" s="268"/>
      <c r="CRE467" s="268"/>
      <c r="CRF467" s="268"/>
      <c r="CRG467" s="268"/>
      <c r="CRH467" s="268"/>
      <c r="CRI467" s="268"/>
      <c r="CRJ467" s="268"/>
      <c r="CRK467" s="268"/>
      <c r="CRL467" s="268"/>
      <c r="CRM467" s="268"/>
      <c r="CRN467" s="268"/>
      <c r="CRO467" s="268"/>
      <c r="CRP467" s="268"/>
      <c r="CRQ467" s="268"/>
      <c r="CRR467" s="268"/>
      <c r="CRS467" s="268"/>
      <c r="CRT467" s="268"/>
      <c r="CRU467" s="268"/>
      <c r="CRV467" s="268"/>
      <c r="CRW467" s="268"/>
      <c r="CRX467" s="268"/>
      <c r="CRY467" s="268"/>
      <c r="CRZ467" s="268"/>
      <c r="CSA467" s="268"/>
      <c r="CSB467" s="268"/>
      <c r="CSC467" s="268"/>
      <c r="CSD467" s="268"/>
      <c r="CSE467" s="268"/>
      <c r="CSF467" s="268"/>
      <c r="CSG467" s="268"/>
      <c r="CSH467" s="268"/>
      <c r="CSI467" s="268"/>
      <c r="CSJ467" s="268"/>
      <c r="CSK467" s="268"/>
      <c r="CSL467" s="268"/>
      <c r="CSM467" s="268"/>
      <c r="CSN467" s="268"/>
      <c r="CSO467" s="268"/>
      <c r="CSP467" s="268"/>
      <c r="CSQ467" s="268"/>
      <c r="CSR467" s="268"/>
      <c r="CSS467" s="268"/>
      <c r="CST467" s="268"/>
      <c r="CSU467" s="268"/>
      <c r="CSV467" s="268"/>
      <c r="CSW467" s="268"/>
      <c r="CSX467" s="268"/>
      <c r="CSY467" s="268"/>
      <c r="CSZ467" s="268"/>
      <c r="CTA467" s="268"/>
      <c r="CTB467" s="268"/>
      <c r="CTC467" s="268"/>
      <c r="CTQ467" s="268"/>
      <c r="CTR467" s="268"/>
      <c r="CTS467" s="268"/>
      <c r="CUG467" s="268"/>
      <c r="CUI467" s="268"/>
      <c r="CUJ467" s="268"/>
      <c r="CUK467" s="268"/>
      <c r="CUL467" s="268"/>
      <c r="CUM467" s="268"/>
      <c r="CUN467" s="268"/>
      <c r="CUO467" s="268"/>
      <c r="CUP467" s="268"/>
      <c r="CUQ467" s="268"/>
      <c r="CUR467" s="268"/>
      <c r="CUS467" s="268"/>
      <c r="CUT467" s="268"/>
      <c r="CUU467" s="268"/>
      <c r="CUV467" s="268"/>
      <c r="CUW467" s="268"/>
      <c r="CUX467" s="268"/>
      <c r="CUY467" s="268"/>
      <c r="CUZ467" s="268"/>
      <c r="CVA467" s="268"/>
      <c r="CVB467" s="268"/>
      <c r="CVC467" s="268"/>
      <c r="CVD467" s="268"/>
      <c r="CVE467" s="268"/>
      <c r="CVF467" s="268"/>
      <c r="CVG467" s="268"/>
      <c r="CVH467" s="268"/>
      <c r="CVI467" s="268"/>
      <c r="CVJ467" s="268"/>
      <c r="CVK467" s="268"/>
      <c r="CVL467" s="268"/>
      <c r="CVM467" s="268"/>
      <c r="CVN467" s="268"/>
      <c r="CVO467" s="268"/>
      <c r="CVP467" s="268"/>
      <c r="CVQ467" s="268"/>
      <c r="CVR467" s="268"/>
      <c r="CVS467" s="268"/>
      <c r="CVT467" s="268"/>
      <c r="CVU467" s="268"/>
      <c r="CVV467" s="268"/>
      <c r="CVW467" s="268"/>
      <c r="CVX467" s="268"/>
      <c r="CVY467" s="268"/>
      <c r="CVZ467" s="268"/>
      <c r="CWA467" s="268"/>
      <c r="CWB467" s="268"/>
      <c r="CWC467" s="268"/>
      <c r="CWD467" s="268"/>
      <c r="CWE467" s="268"/>
      <c r="CWF467" s="268"/>
      <c r="CWG467" s="268"/>
      <c r="CWH467" s="268"/>
      <c r="CWI467" s="268"/>
      <c r="CWJ467" s="268"/>
      <c r="CWK467" s="268"/>
      <c r="CWL467" s="268"/>
      <c r="CWM467" s="268"/>
      <c r="CWN467" s="268"/>
      <c r="CWO467" s="268"/>
      <c r="CWP467" s="268"/>
      <c r="CWQ467" s="268"/>
      <c r="CWR467" s="268"/>
      <c r="CWS467" s="268"/>
      <c r="CWT467" s="268"/>
      <c r="CWU467" s="268"/>
      <c r="CWV467" s="268"/>
      <c r="CWW467" s="268"/>
      <c r="CWX467" s="268"/>
      <c r="CWY467" s="268"/>
      <c r="CWZ467" s="268"/>
      <c r="CXA467" s="268"/>
      <c r="CXB467" s="268"/>
      <c r="CXC467" s="268"/>
      <c r="CXD467" s="268"/>
      <c r="CXE467" s="268"/>
      <c r="CXF467" s="268"/>
      <c r="CXG467" s="268"/>
      <c r="CXH467" s="268"/>
      <c r="CXI467" s="268"/>
      <c r="CXJ467" s="268"/>
      <c r="CXK467" s="268"/>
      <c r="CXL467" s="268"/>
      <c r="CXM467" s="268"/>
      <c r="CXN467" s="268"/>
      <c r="CXO467" s="268"/>
      <c r="CXP467" s="268"/>
      <c r="CXQ467" s="268"/>
      <c r="CXR467" s="268"/>
      <c r="CXS467" s="268"/>
      <c r="CXT467" s="268"/>
      <c r="CXU467" s="268"/>
      <c r="CXV467" s="268"/>
      <c r="CXW467" s="268"/>
      <c r="CXX467" s="268"/>
      <c r="CXY467" s="268"/>
      <c r="CXZ467" s="268"/>
      <c r="CYA467" s="268"/>
      <c r="CYB467" s="268"/>
      <c r="CYC467" s="268"/>
      <c r="CYD467" s="268"/>
      <c r="CYE467" s="268"/>
      <c r="CYF467" s="268"/>
      <c r="CYG467" s="268"/>
      <c r="CYH467" s="268"/>
      <c r="CYI467" s="268"/>
      <c r="CYJ467" s="268"/>
      <c r="CYK467" s="268"/>
      <c r="CYL467" s="268"/>
      <c r="CYM467" s="268"/>
      <c r="CYN467" s="268"/>
      <c r="CYO467" s="268"/>
      <c r="CYP467" s="268"/>
      <c r="CYQ467" s="268"/>
      <c r="CYR467" s="268"/>
      <c r="CYS467" s="268"/>
      <c r="CYT467" s="268"/>
      <c r="CYU467" s="268"/>
      <c r="CYV467" s="268"/>
      <c r="CYW467" s="268"/>
      <c r="CYX467" s="268"/>
      <c r="CYY467" s="268"/>
      <c r="CYZ467" s="268"/>
      <c r="CZA467" s="268"/>
      <c r="CZB467" s="268"/>
      <c r="CZC467" s="268"/>
      <c r="CZD467" s="268"/>
      <c r="CZE467" s="268"/>
      <c r="CZF467" s="268"/>
      <c r="CZG467" s="268"/>
      <c r="CZH467" s="268"/>
      <c r="CZI467" s="268"/>
      <c r="CZJ467" s="268"/>
      <c r="CZK467" s="268"/>
      <c r="CZL467" s="268"/>
      <c r="CZM467" s="268"/>
      <c r="CZN467" s="268"/>
      <c r="CZO467" s="268"/>
      <c r="CZP467" s="268"/>
      <c r="CZQ467" s="268"/>
      <c r="CZR467" s="268"/>
      <c r="CZS467" s="268"/>
      <c r="CZT467" s="268"/>
      <c r="CZU467" s="268"/>
      <c r="CZV467" s="268"/>
      <c r="CZW467" s="268"/>
      <c r="CZX467" s="268"/>
      <c r="CZY467" s="268"/>
      <c r="CZZ467" s="268"/>
      <c r="DAA467" s="268"/>
      <c r="DAB467" s="268"/>
      <c r="DAC467" s="268"/>
      <c r="DAD467" s="268"/>
      <c r="DAE467" s="268"/>
      <c r="DAF467" s="268"/>
      <c r="DAG467" s="268"/>
      <c r="DAH467" s="268"/>
      <c r="DAI467" s="268"/>
      <c r="DAJ467" s="268"/>
      <c r="DAK467" s="268"/>
      <c r="DAL467" s="268"/>
      <c r="DAM467" s="268"/>
      <c r="DAN467" s="268"/>
      <c r="DAO467" s="268"/>
      <c r="DAP467" s="268"/>
      <c r="DAQ467" s="268"/>
      <c r="DAR467" s="268"/>
      <c r="DAS467" s="268"/>
      <c r="DAT467" s="268"/>
      <c r="DAU467" s="268"/>
      <c r="DAV467" s="268"/>
      <c r="DAW467" s="268"/>
      <c r="DAX467" s="268"/>
      <c r="DAY467" s="268"/>
      <c r="DAZ467" s="268"/>
      <c r="DBA467" s="268"/>
      <c r="DBB467" s="268"/>
      <c r="DBC467" s="268"/>
      <c r="DBD467" s="268"/>
      <c r="DBE467" s="268"/>
      <c r="DBF467" s="268"/>
      <c r="DBG467" s="268"/>
      <c r="DBH467" s="268"/>
      <c r="DBI467" s="268"/>
      <c r="DBJ467" s="268"/>
      <c r="DBK467" s="268"/>
      <c r="DBL467" s="268"/>
      <c r="DBM467" s="268"/>
      <c r="DBN467" s="268"/>
      <c r="DBO467" s="268"/>
      <c r="DBP467" s="268"/>
      <c r="DBQ467" s="268"/>
      <c r="DBR467" s="268"/>
      <c r="DBS467" s="268"/>
      <c r="DBT467" s="268"/>
      <c r="DBU467" s="268"/>
      <c r="DBV467" s="268"/>
      <c r="DBW467" s="268"/>
      <c r="DBX467" s="268"/>
      <c r="DBY467" s="268"/>
      <c r="DBZ467" s="268"/>
      <c r="DCA467" s="268"/>
      <c r="DCB467" s="268"/>
      <c r="DCC467" s="268"/>
      <c r="DCD467" s="268"/>
      <c r="DCE467" s="268"/>
      <c r="DCF467" s="268"/>
      <c r="DCG467" s="268"/>
      <c r="DCH467" s="268"/>
      <c r="DCI467" s="268"/>
      <c r="DCJ467" s="268"/>
      <c r="DCK467" s="268"/>
      <c r="DCL467" s="268"/>
      <c r="DCM467" s="268"/>
      <c r="DCN467" s="268"/>
      <c r="DCO467" s="268"/>
      <c r="DCP467" s="268"/>
      <c r="DCQ467" s="268"/>
      <c r="DCR467" s="268"/>
      <c r="DCS467" s="268"/>
      <c r="DCT467" s="268"/>
      <c r="DCU467" s="268"/>
      <c r="DCV467" s="268"/>
      <c r="DCW467" s="268"/>
      <c r="DCX467" s="268"/>
      <c r="DCY467" s="268"/>
      <c r="DDM467" s="268"/>
      <c r="DDN467" s="268"/>
      <c r="DDO467" s="268"/>
      <c r="DEC467" s="268"/>
      <c r="DEE467" s="268"/>
      <c r="DEF467" s="268"/>
      <c r="DEG467" s="268"/>
      <c r="DEH467" s="268"/>
      <c r="DEI467" s="268"/>
      <c r="DEJ467" s="268"/>
      <c r="DEK467" s="268"/>
      <c r="DEL467" s="268"/>
      <c r="DEM467" s="268"/>
      <c r="DEN467" s="268"/>
      <c r="DEO467" s="268"/>
      <c r="DEP467" s="268"/>
      <c r="DEQ467" s="268"/>
      <c r="DER467" s="268"/>
      <c r="DES467" s="268"/>
      <c r="DET467" s="268"/>
      <c r="DEU467" s="268"/>
      <c r="DEV467" s="268"/>
      <c r="DEW467" s="268"/>
      <c r="DEX467" s="268"/>
      <c r="DEY467" s="268"/>
      <c r="DEZ467" s="268"/>
      <c r="DFA467" s="268"/>
      <c r="DFB467" s="268"/>
      <c r="DFC467" s="268"/>
      <c r="DFD467" s="268"/>
      <c r="DFE467" s="268"/>
      <c r="DFF467" s="268"/>
      <c r="DFG467" s="268"/>
      <c r="DFH467" s="268"/>
      <c r="DFI467" s="268"/>
      <c r="DFJ467" s="268"/>
      <c r="DFK467" s="268"/>
      <c r="DFL467" s="268"/>
      <c r="DFM467" s="268"/>
      <c r="DFN467" s="268"/>
      <c r="DFO467" s="268"/>
      <c r="DFP467" s="268"/>
      <c r="DFQ467" s="268"/>
      <c r="DFR467" s="268"/>
      <c r="DFS467" s="268"/>
      <c r="DFT467" s="268"/>
      <c r="DFU467" s="268"/>
      <c r="DFV467" s="268"/>
      <c r="DFW467" s="268"/>
      <c r="DFX467" s="268"/>
      <c r="DFY467" s="268"/>
      <c r="DFZ467" s="268"/>
      <c r="DGA467" s="268"/>
      <c r="DGB467" s="268"/>
      <c r="DGC467" s="268"/>
      <c r="DGD467" s="268"/>
      <c r="DGE467" s="268"/>
      <c r="DGF467" s="268"/>
      <c r="DGG467" s="268"/>
      <c r="DGH467" s="268"/>
      <c r="DGI467" s="268"/>
      <c r="DGJ467" s="268"/>
      <c r="DGK467" s="268"/>
      <c r="DGL467" s="268"/>
      <c r="DGM467" s="268"/>
      <c r="DGN467" s="268"/>
      <c r="DGO467" s="268"/>
      <c r="DGP467" s="268"/>
      <c r="DGQ467" s="268"/>
      <c r="DGR467" s="268"/>
      <c r="DGS467" s="268"/>
      <c r="DGT467" s="268"/>
      <c r="DGU467" s="268"/>
      <c r="DGV467" s="268"/>
      <c r="DGW467" s="268"/>
      <c r="DGX467" s="268"/>
      <c r="DGY467" s="268"/>
      <c r="DGZ467" s="268"/>
      <c r="DHA467" s="268"/>
      <c r="DHB467" s="268"/>
      <c r="DHC467" s="268"/>
      <c r="DHD467" s="268"/>
      <c r="DHE467" s="268"/>
      <c r="DHF467" s="268"/>
      <c r="DHG467" s="268"/>
      <c r="DHH467" s="268"/>
      <c r="DHI467" s="268"/>
      <c r="DHJ467" s="268"/>
      <c r="DHK467" s="268"/>
      <c r="DHL467" s="268"/>
      <c r="DHM467" s="268"/>
      <c r="DHN467" s="268"/>
      <c r="DHO467" s="268"/>
      <c r="DHP467" s="268"/>
      <c r="DHQ467" s="268"/>
      <c r="DHR467" s="268"/>
      <c r="DHS467" s="268"/>
      <c r="DHT467" s="268"/>
      <c r="DHU467" s="268"/>
      <c r="DHV467" s="268"/>
      <c r="DHW467" s="268"/>
      <c r="DHX467" s="268"/>
      <c r="DHY467" s="268"/>
      <c r="DHZ467" s="268"/>
      <c r="DIA467" s="268"/>
      <c r="DIB467" s="268"/>
      <c r="DIC467" s="268"/>
      <c r="DID467" s="268"/>
      <c r="DIE467" s="268"/>
      <c r="DIF467" s="268"/>
      <c r="DIG467" s="268"/>
      <c r="DIH467" s="268"/>
      <c r="DII467" s="268"/>
      <c r="DIJ467" s="268"/>
      <c r="DIK467" s="268"/>
      <c r="DIL467" s="268"/>
      <c r="DIM467" s="268"/>
      <c r="DIN467" s="268"/>
      <c r="DIO467" s="268"/>
      <c r="DIP467" s="268"/>
      <c r="DIQ467" s="268"/>
      <c r="DIR467" s="268"/>
      <c r="DIS467" s="268"/>
      <c r="DIT467" s="268"/>
      <c r="DIU467" s="268"/>
      <c r="DIV467" s="268"/>
      <c r="DIW467" s="268"/>
      <c r="DIX467" s="268"/>
      <c r="DIY467" s="268"/>
      <c r="DIZ467" s="268"/>
      <c r="DJA467" s="268"/>
      <c r="DJB467" s="268"/>
      <c r="DJC467" s="268"/>
      <c r="DJD467" s="268"/>
      <c r="DJE467" s="268"/>
      <c r="DJF467" s="268"/>
      <c r="DJG467" s="268"/>
      <c r="DJH467" s="268"/>
      <c r="DJI467" s="268"/>
      <c r="DJJ467" s="268"/>
      <c r="DJK467" s="268"/>
      <c r="DJL467" s="268"/>
      <c r="DJM467" s="268"/>
      <c r="DJN467" s="268"/>
      <c r="DJO467" s="268"/>
      <c r="DJP467" s="268"/>
      <c r="DJQ467" s="268"/>
      <c r="DJR467" s="268"/>
      <c r="DJS467" s="268"/>
      <c r="DJT467" s="268"/>
      <c r="DJU467" s="268"/>
      <c r="DJV467" s="268"/>
      <c r="DJW467" s="268"/>
      <c r="DJX467" s="268"/>
      <c r="DJY467" s="268"/>
      <c r="DJZ467" s="268"/>
      <c r="DKA467" s="268"/>
      <c r="DKB467" s="268"/>
      <c r="DKC467" s="268"/>
      <c r="DKD467" s="268"/>
      <c r="DKE467" s="268"/>
      <c r="DKF467" s="268"/>
      <c r="DKG467" s="268"/>
      <c r="DKH467" s="268"/>
      <c r="DKI467" s="268"/>
      <c r="DKJ467" s="268"/>
      <c r="DKK467" s="268"/>
      <c r="DKL467" s="268"/>
      <c r="DKM467" s="268"/>
      <c r="DKN467" s="268"/>
      <c r="DKO467" s="268"/>
      <c r="DKP467" s="268"/>
      <c r="DKQ467" s="268"/>
      <c r="DKR467" s="268"/>
      <c r="DKS467" s="268"/>
      <c r="DKT467" s="268"/>
      <c r="DKU467" s="268"/>
      <c r="DKV467" s="268"/>
      <c r="DKW467" s="268"/>
      <c r="DKX467" s="268"/>
      <c r="DKY467" s="268"/>
      <c r="DKZ467" s="268"/>
      <c r="DLA467" s="268"/>
      <c r="DLB467" s="268"/>
      <c r="DLC467" s="268"/>
      <c r="DLD467" s="268"/>
      <c r="DLE467" s="268"/>
      <c r="DLF467" s="268"/>
      <c r="DLG467" s="268"/>
      <c r="DLH467" s="268"/>
      <c r="DLI467" s="268"/>
      <c r="DLJ467" s="268"/>
      <c r="DLK467" s="268"/>
      <c r="DLL467" s="268"/>
      <c r="DLM467" s="268"/>
      <c r="DLN467" s="268"/>
      <c r="DLO467" s="268"/>
      <c r="DLP467" s="268"/>
      <c r="DLQ467" s="268"/>
      <c r="DLR467" s="268"/>
      <c r="DLS467" s="268"/>
      <c r="DLT467" s="268"/>
      <c r="DLU467" s="268"/>
      <c r="DLV467" s="268"/>
      <c r="DLW467" s="268"/>
      <c r="DLX467" s="268"/>
      <c r="DLY467" s="268"/>
      <c r="DLZ467" s="268"/>
      <c r="DMA467" s="268"/>
      <c r="DMB467" s="268"/>
      <c r="DMC467" s="268"/>
      <c r="DMD467" s="268"/>
      <c r="DME467" s="268"/>
      <c r="DMF467" s="268"/>
      <c r="DMG467" s="268"/>
      <c r="DMH467" s="268"/>
      <c r="DMI467" s="268"/>
      <c r="DMJ467" s="268"/>
      <c r="DMK467" s="268"/>
      <c r="DML467" s="268"/>
      <c r="DMM467" s="268"/>
      <c r="DMN467" s="268"/>
      <c r="DMO467" s="268"/>
      <c r="DMP467" s="268"/>
      <c r="DMQ467" s="268"/>
      <c r="DMR467" s="268"/>
      <c r="DMS467" s="268"/>
      <c r="DMT467" s="268"/>
      <c r="DMU467" s="268"/>
      <c r="DNI467" s="268"/>
      <c r="DNJ467" s="268"/>
      <c r="DNK467" s="268"/>
      <c r="DNY467" s="268"/>
      <c r="DOA467" s="268"/>
      <c r="DOB467" s="268"/>
      <c r="DOC467" s="268"/>
      <c r="DOD467" s="268"/>
      <c r="DOE467" s="268"/>
      <c r="DOF467" s="268"/>
      <c r="DOG467" s="268"/>
      <c r="DOH467" s="268"/>
      <c r="DOI467" s="268"/>
      <c r="DOJ467" s="268"/>
      <c r="DOK467" s="268"/>
      <c r="DOL467" s="268"/>
      <c r="DOM467" s="268"/>
      <c r="DON467" s="268"/>
      <c r="DOO467" s="268"/>
      <c r="DOP467" s="268"/>
      <c r="DOQ467" s="268"/>
      <c r="DOR467" s="268"/>
      <c r="DOS467" s="268"/>
      <c r="DOT467" s="268"/>
      <c r="DOU467" s="268"/>
      <c r="DOV467" s="268"/>
      <c r="DOW467" s="268"/>
      <c r="DOX467" s="268"/>
      <c r="DOY467" s="268"/>
      <c r="DOZ467" s="268"/>
      <c r="DPA467" s="268"/>
      <c r="DPB467" s="268"/>
      <c r="DPC467" s="268"/>
      <c r="DPD467" s="268"/>
      <c r="DPE467" s="268"/>
      <c r="DPF467" s="268"/>
      <c r="DPG467" s="268"/>
      <c r="DPH467" s="268"/>
      <c r="DPI467" s="268"/>
      <c r="DPJ467" s="268"/>
      <c r="DPK467" s="268"/>
      <c r="DPL467" s="268"/>
      <c r="DPM467" s="268"/>
      <c r="DPN467" s="268"/>
      <c r="DPO467" s="268"/>
      <c r="DPP467" s="268"/>
      <c r="DPQ467" s="268"/>
      <c r="DPR467" s="268"/>
      <c r="DPS467" s="268"/>
      <c r="DPT467" s="268"/>
      <c r="DPU467" s="268"/>
      <c r="DPV467" s="268"/>
      <c r="DPW467" s="268"/>
      <c r="DPX467" s="268"/>
      <c r="DPY467" s="268"/>
      <c r="DPZ467" s="268"/>
      <c r="DQA467" s="268"/>
      <c r="DQB467" s="268"/>
      <c r="DQC467" s="268"/>
      <c r="DQD467" s="268"/>
      <c r="DQE467" s="268"/>
      <c r="DQF467" s="268"/>
      <c r="DQG467" s="268"/>
      <c r="DQH467" s="268"/>
      <c r="DQI467" s="268"/>
      <c r="DQJ467" s="268"/>
      <c r="DQK467" s="268"/>
      <c r="DQL467" s="268"/>
      <c r="DQM467" s="268"/>
      <c r="DQN467" s="268"/>
      <c r="DQO467" s="268"/>
      <c r="DQP467" s="268"/>
      <c r="DQQ467" s="268"/>
      <c r="DQR467" s="268"/>
      <c r="DQS467" s="268"/>
      <c r="DQT467" s="268"/>
      <c r="DQU467" s="268"/>
      <c r="DQV467" s="268"/>
      <c r="DQW467" s="268"/>
      <c r="DQX467" s="268"/>
      <c r="DQY467" s="268"/>
      <c r="DQZ467" s="268"/>
      <c r="DRA467" s="268"/>
      <c r="DRB467" s="268"/>
      <c r="DRC467" s="268"/>
      <c r="DRD467" s="268"/>
      <c r="DRE467" s="268"/>
      <c r="DRF467" s="268"/>
      <c r="DRG467" s="268"/>
      <c r="DRH467" s="268"/>
      <c r="DRI467" s="268"/>
      <c r="DRJ467" s="268"/>
      <c r="DRK467" s="268"/>
      <c r="DRL467" s="268"/>
      <c r="DRM467" s="268"/>
      <c r="DRN467" s="268"/>
      <c r="DRO467" s="268"/>
      <c r="DRP467" s="268"/>
      <c r="DRQ467" s="268"/>
      <c r="DRR467" s="268"/>
      <c r="DRS467" s="268"/>
      <c r="DRT467" s="268"/>
      <c r="DRU467" s="268"/>
      <c r="DRV467" s="268"/>
      <c r="DRW467" s="268"/>
      <c r="DRX467" s="268"/>
      <c r="DRY467" s="268"/>
      <c r="DRZ467" s="268"/>
      <c r="DSA467" s="268"/>
      <c r="DSB467" s="268"/>
      <c r="DSC467" s="268"/>
      <c r="DSD467" s="268"/>
      <c r="DSE467" s="268"/>
      <c r="DSF467" s="268"/>
      <c r="DSG467" s="268"/>
      <c r="DSH467" s="268"/>
      <c r="DSI467" s="268"/>
      <c r="DSJ467" s="268"/>
      <c r="DSK467" s="268"/>
      <c r="DSL467" s="268"/>
      <c r="DSM467" s="268"/>
      <c r="DSN467" s="268"/>
      <c r="DSO467" s="268"/>
      <c r="DSP467" s="268"/>
      <c r="DSQ467" s="268"/>
      <c r="DSR467" s="268"/>
      <c r="DSS467" s="268"/>
      <c r="DST467" s="268"/>
      <c r="DSU467" s="268"/>
      <c r="DSV467" s="268"/>
      <c r="DSW467" s="268"/>
      <c r="DSX467" s="268"/>
      <c r="DSY467" s="268"/>
      <c r="DSZ467" s="268"/>
      <c r="DTA467" s="268"/>
      <c r="DTB467" s="268"/>
      <c r="DTC467" s="268"/>
      <c r="DTD467" s="268"/>
      <c r="DTE467" s="268"/>
      <c r="DTF467" s="268"/>
      <c r="DTG467" s="268"/>
      <c r="DTH467" s="268"/>
      <c r="DTI467" s="268"/>
      <c r="DTJ467" s="268"/>
      <c r="DTK467" s="268"/>
      <c r="DTL467" s="268"/>
      <c r="DTM467" s="268"/>
      <c r="DTN467" s="268"/>
      <c r="DTO467" s="268"/>
      <c r="DTP467" s="268"/>
      <c r="DTQ467" s="268"/>
      <c r="DTR467" s="268"/>
      <c r="DTS467" s="268"/>
      <c r="DTT467" s="268"/>
      <c r="DTU467" s="268"/>
      <c r="DTV467" s="268"/>
      <c r="DTW467" s="268"/>
      <c r="DTX467" s="268"/>
      <c r="DTY467" s="268"/>
      <c r="DTZ467" s="268"/>
      <c r="DUA467" s="268"/>
      <c r="DUB467" s="268"/>
      <c r="DUC467" s="268"/>
      <c r="DUD467" s="268"/>
      <c r="DUE467" s="268"/>
      <c r="DUF467" s="268"/>
      <c r="DUG467" s="268"/>
      <c r="DUH467" s="268"/>
      <c r="DUI467" s="268"/>
      <c r="DUJ467" s="268"/>
      <c r="DUK467" s="268"/>
      <c r="DUL467" s="268"/>
      <c r="DUM467" s="268"/>
      <c r="DUN467" s="268"/>
      <c r="DUO467" s="268"/>
      <c r="DUP467" s="268"/>
      <c r="DUQ467" s="268"/>
      <c r="DUR467" s="268"/>
      <c r="DUS467" s="268"/>
      <c r="DUT467" s="268"/>
      <c r="DUU467" s="268"/>
      <c r="DUV467" s="268"/>
      <c r="DUW467" s="268"/>
      <c r="DUX467" s="268"/>
      <c r="DUY467" s="268"/>
      <c r="DUZ467" s="268"/>
      <c r="DVA467" s="268"/>
      <c r="DVB467" s="268"/>
      <c r="DVC467" s="268"/>
      <c r="DVD467" s="268"/>
      <c r="DVE467" s="268"/>
      <c r="DVF467" s="268"/>
      <c r="DVG467" s="268"/>
      <c r="DVH467" s="268"/>
      <c r="DVI467" s="268"/>
      <c r="DVJ467" s="268"/>
      <c r="DVK467" s="268"/>
      <c r="DVL467" s="268"/>
      <c r="DVM467" s="268"/>
      <c r="DVN467" s="268"/>
      <c r="DVO467" s="268"/>
      <c r="DVP467" s="268"/>
      <c r="DVQ467" s="268"/>
      <c r="DVR467" s="268"/>
      <c r="DVS467" s="268"/>
      <c r="DVT467" s="268"/>
      <c r="DVU467" s="268"/>
      <c r="DVV467" s="268"/>
      <c r="DVW467" s="268"/>
      <c r="DVX467" s="268"/>
      <c r="DVY467" s="268"/>
      <c r="DVZ467" s="268"/>
      <c r="DWA467" s="268"/>
      <c r="DWB467" s="268"/>
      <c r="DWC467" s="268"/>
      <c r="DWD467" s="268"/>
      <c r="DWE467" s="268"/>
      <c r="DWF467" s="268"/>
      <c r="DWG467" s="268"/>
      <c r="DWH467" s="268"/>
      <c r="DWI467" s="268"/>
      <c r="DWJ467" s="268"/>
      <c r="DWK467" s="268"/>
      <c r="DWL467" s="268"/>
      <c r="DWM467" s="268"/>
      <c r="DWN467" s="268"/>
      <c r="DWO467" s="268"/>
      <c r="DWP467" s="268"/>
      <c r="DWQ467" s="268"/>
      <c r="DXE467" s="268"/>
      <c r="DXF467" s="268"/>
      <c r="DXG467" s="268"/>
      <c r="DXU467" s="268"/>
      <c r="DXW467" s="268"/>
      <c r="DXX467" s="268"/>
      <c r="DXY467" s="268"/>
      <c r="DXZ467" s="268"/>
      <c r="DYA467" s="268"/>
      <c r="DYB467" s="268"/>
      <c r="DYC467" s="268"/>
      <c r="DYD467" s="268"/>
      <c r="DYE467" s="268"/>
      <c r="DYF467" s="268"/>
      <c r="DYG467" s="268"/>
      <c r="DYH467" s="268"/>
      <c r="DYI467" s="268"/>
      <c r="DYJ467" s="268"/>
      <c r="DYK467" s="268"/>
      <c r="DYL467" s="268"/>
      <c r="DYM467" s="268"/>
      <c r="DYN467" s="268"/>
      <c r="DYO467" s="268"/>
      <c r="DYP467" s="268"/>
      <c r="DYQ467" s="268"/>
      <c r="DYR467" s="268"/>
      <c r="DYS467" s="268"/>
      <c r="DYT467" s="268"/>
      <c r="DYU467" s="268"/>
      <c r="DYV467" s="268"/>
      <c r="DYW467" s="268"/>
      <c r="DYX467" s="268"/>
      <c r="DYY467" s="268"/>
      <c r="DYZ467" s="268"/>
      <c r="DZA467" s="268"/>
      <c r="DZB467" s="268"/>
      <c r="DZC467" s="268"/>
      <c r="DZD467" s="268"/>
      <c r="DZE467" s="268"/>
      <c r="DZF467" s="268"/>
      <c r="DZG467" s="268"/>
      <c r="DZH467" s="268"/>
      <c r="DZI467" s="268"/>
      <c r="DZJ467" s="268"/>
      <c r="DZK467" s="268"/>
      <c r="DZL467" s="268"/>
      <c r="DZM467" s="268"/>
      <c r="DZN467" s="268"/>
      <c r="DZO467" s="268"/>
      <c r="DZP467" s="268"/>
      <c r="DZQ467" s="268"/>
      <c r="DZR467" s="268"/>
      <c r="DZS467" s="268"/>
      <c r="DZT467" s="268"/>
      <c r="DZU467" s="268"/>
      <c r="DZV467" s="268"/>
      <c r="DZW467" s="268"/>
      <c r="DZX467" s="268"/>
      <c r="DZY467" s="268"/>
      <c r="DZZ467" s="268"/>
      <c r="EAA467" s="268"/>
      <c r="EAB467" s="268"/>
      <c r="EAC467" s="268"/>
      <c r="EAD467" s="268"/>
      <c r="EAE467" s="268"/>
      <c r="EAF467" s="268"/>
      <c r="EAG467" s="268"/>
      <c r="EAH467" s="268"/>
      <c r="EAI467" s="268"/>
      <c r="EAJ467" s="268"/>
      <c r="EAK467" s="268"/>
      <c r="EAL467" s="268"/>
      <c r="EAM467" s="268"/>
      <c r="EAN467" s="268"/>
      <c r="EAO467" s="268"/>
      <c r="EAP467" s="268"/>
      <c r="EAQ467" s="268"/>
      <c r="EAR467" s="268"/>
      <c r="EAS467" s="268"/>
      <c r="EAT467" s="268"/>
      <c r="EAU467" s="268"/>
      <c r="EAV467" s="268"/>
      <c r="EAW467" s="268"/>
      <c r="EAX467" s="268"/>
      <c r="EAY467" s="268"/>
      <c r="EAZ467" s="268"/>
      <c r="EBA467" s="268"/>
      <c r="EBB467" s="268"/>
      <c r="EBC467" s="268"/>
      <c r="EBD467" s="268"/>
      <c r="EBE467" s="268"/>
      <c r="EBF467" s="268"/>
      <c r="EBG467" s="268"/>
      <c r="EBH467" s="268"/>
      <c r="EBI467" s="268"/>
      <c r="EBJ467" s="268"/>
      <c r="EBK467" s="268"/>
      <c r="EBL467" s="268"/>
      <c r="EBM467" s="268"/>
      <c r="EBN467" s="268"/>
      <c r="EBO467" s="268"/>
      <c r="EBP467" s="268"/>
      <c r="EBQ467" s="268"/>
      <c r="EBR467" s="268"/>
      <c r="EBS467" s="268"/>
      <c r="EBT467" s="268"/>
      <c r="EBU467" s="268"/>
      <c r="EBV467" s="268"/>
      <c r="EBW467" s="268"/>
      <c r="EBX467" s="268"/>
      <c r="EBY467" s="268"/>
      <c r="EBZ467" s="268"/>
      <c r="ECA467" s="268"/>
      <c r="ECB467" s="268"/>
      <c r="ECC467" s="268"/>
      <c r="ECD467" s="268"/>
      <c r="ECE467" s="268"/>
      <c r="ECF467" s="268"/>
      <c r="ECG467" s="268"/>
      <c r="ECH467" s="268"/>
      <c r="ECI467" s="268"/>
      <c r="ECJ467" s="268"/>
      <c r="ECK467" s="268"/>
      <c r="ECL467" s="268"/>
      <c r="ECM467" s="268"/>
      <c r="ECN467" s="268"/>
      <c r="ECO467" s="268"/>
      <c r="ECP467" s="268"/>
      <c r="ECQ467" s="268"/>
      <c r="ECR467" s="268"/>
      <c r="ECS467" s="268"/>
      <c r="ECT467" s="268"/>
      <c r="ECU467" s="268"/>
      <c r="ECV467" s="268"/>
      <c r="ECW467" s="268"/>
      <c r="ECX467" s="268"/>
      <c r="ECY467" s="268"/>
      <c r="ECZ467" s="268"/>
      <c r="EDA467" s="268"/>
      <c r="EDB467" s="268"/>
      <c r="EDC467" s="268"/>
      <c r="EDD467" s="268"/>
      <c r="EDE467" s="268"/>
      <c r="EDF467" s="268"/>
      <c r="EDG467" s="268"/>
      <c r="EDH467" s="268"/>
      <c r="EDI467" s="268"/>
      <c r="EDJ467" s="268"/>
      <c r="EDK467" s="268"/>
      <c r="EDL467" s="268"/>
      <c r="EDM467" s="268"/>
      <c r="EDN467" s="268"/>
      <c r="EDO467" s="268"/>
      <c r="EDP467" s="268"/>
      <c r="EDQ467" s="268"/>
      <c r="EDR467" s="268"/>
      <c r="EDS467" s="268"/>
      <c r="EDT467" s="268"/>
      <c r="EDU467" s="268"/>
      <c r="EDV467" s="268"/>
      <c r="EDW467" s="268"/>
      <c r="EDX467" s="268"/>
      <c r="EDY467" s="268"/>
      <c r="EDZ467" s="268"/>
      <c r="EEA467" s="268"/>
      <c r="EEB467" s="268"/>
      <c r="EEC467" s="268"/>
      <c r="EED467" s="268"/>
      <c r="EEE467" s="268"/>
      <c r="EEF467" s="268"/>
      <c r="EEG467" s="268"/>
      <c r="EEH467" s="268"/>
      <c r="EEI467" s="268"/>
      <c r="EEJ467" s="268"/>
      <c r="EEK467" s="268"/>
      <c r="EEL467" s="268"/>
      <c r="EEM467" s="268"/>
      <c r="EEN467" s="268"/>
      <c r="EEO467" s="268"/>
      <c r="EEP467" s="268"/>
      <c r="EEQ467" s="268"/>
      <c r="EER467" s="268"/>
      <c r="EES467" s="268"/>
      <c r="EET467" s="268"/>
      <c r="EEU467" s="268"/>
      <c r="EEV467" s="268"/>
      <c r="EEW467" s="268"/>
      <c r="EEX467" s="268"/>
      <c r="EEY467" s="268"/>
      <c r="EEZ467" s="268"/>
      <c r="EFA467" s="268"/>
      <c r="EFB467" s="268"/>
      <c r="EFC467" s="268"/>
      <c r="EFD467" s="268"/>
      <c r="EFE467" s="268"/>
      <c r="EFF467" s="268"/>
      <c r="EFG467" s="268"/>
      <c r="EFH467" s="268"/>
      <c r="EFI467" s="268"/>
      <c r="EFJ467" s="268"/>
      <c r="EFK467" s="268"/>
      <c r="EFL467" s="268"/>
      <c r="EFM467" s="268"/>
      <c r="EFN467" s="268"/>
      <c r="EFO467" s="268"/>
      <c r="EFP467" s="268"/>
      <c r="EFQ467" s="268"/>
      <c r="EFR467" s="268"/>
      <c r="EFS467" s="268"/>
      <c r="EFT467" s="268"/>
      <c r="EFU467" s="268"/>
      <c r="EFV467" s="268"/>
      <c r="EFW467" s="268"/>
      <c r="EFX467" s="268"/>
      <c r="EFY467" s="268"/>
      <c r="EFZ467" s="268"/>
      <c r="EGA467" s="268"/>
      <c r="EGB467" s="268"/>
      <c r="EGC467" s="268"/>
      <c r="EGD467" s="268"/>
      <c r="EGE467" s="268"/>
      <c r="EGF467" s="268"/>
      <c r="EGG467" s="268"/>
      <c r="EGH467" s="268"/>
      <c r="EGI467" s="268"/>
      <c r="EGJ467" s="268"/>
      <c r="EGK467" s="268"/>
      <c r="EGL467" s="268"/>
      <c r="EGM467" s="268"/>
      <c r="EHA467" s="268"/>
      <c r="EHB467" s="268"/>
      <c r="EHC467" s="268"/>
      <c r="EHQ467" s="268"/>
      <c r="EHS467" s="268"/>
      <c r="EHT467" s="268"/>
      <c r="EHU467" s="268"/>
      <c r="EHV467" s="268"/>
      <c r="EHW467" s="268"/>
      <c r="EHX467" s="268"/>
      <c r="EHY467" s="268"/>
      <c r="EHZ467" s="268"/>
      <c r="EIA467" s="268"/>
      <c r="EIB467" s="268"/>
      <c r="EIC467" s="268"/>
      <c r="EID467" s="268"/>
      <c r="EIE467" s="268"/>
      <c r="EIF467" s="268"/>
      <c r="EIG467" s="268"/>
      <c r="EIH467" s="268"/>
      <c r="EII467" s="268"/>
      <c r="EIJ467" s="268"/>
      <c r="EIK467" s="268"/>
      <c r="EIL467" s="268"/>
      <c r="EIM467" s="268"/>
      <c r="EIN467" s="268"/>
      <c r="EIO467" s="268"/>
      <c r="EIP467" s="268"/>
      <c r="EIQ467" s="268"/>
      <c r="EIR467" s="268"/>
      <c r="EIS467" s="268"/>
      <c r="EIT467" s="268"/>
      <c r="EIU467" s="268"/>
      <c r="EIV467" s="268"/>
      <c r="EIW467" s="268"/>
      <c r="EIX467" s="268"/>
      <c r="EIY467" s="268"/>
      <c r="EIZ467" s="268"/>
      <c r="EJA467" s="268"/>
      <c r="EJB467" s="268"/>
      <c r="EJC467" s="268"/>
      <c r="EJD467" s="268"/>
      <c r="EJE467" s="268"/>
      <c r="EJF467" s="268"/>
      <c r="EJG467" s="268"/>
      <c r="EJH467" s="268"/>
      <c r="EJI467" s="268"/>
      <c r="EJJ467" s="268"/>
      <c r="EJK467" s="268"/>
      <c r="EJL467" s="268"/>
      <c r="EJM467" s="268"/>
      <c r="EJN467" s="268"/>
      <c r="EJO467" s="268"/>
      <c r="EJP467" s="268"/>
      <c r="EJQ467" s="268"/>
      <c r="EJR467" s="268"/>
      <c r="EJS467" s="268"/>
      <c r="EJT467" s="268"/>
      <c r="EJU467" s="268"/>
      <c r="EJV467" s="268"/>
      <c r="EJW467" s="268"/>
      <c r="EJX467" s="268"/>
      <c r="EJY467" s="268"/>
      <c r="EJZ467" s="268"/>
      <c r="EKA467" s="268"/>
      <c r="EKB467" s="268"/>
      <c r="EKC467" s="268"/>
      <c r="EKD467" s="268"/>
      <c r="EKE467" s="268"/>
      <c r="EKF467" s="268"/>
      <c r="EKG467" s="268"/>
      <c r="EKH467" s="268"/>
      <c r="EKI467" s="268"/>
      <c r="EKJ467" s="268"/>
      <c r="EKK467" s="268"/>
      <c r="EKL467" s="268"/>
      <c r="EKM467" s="268"/>
      <c r="EKN467" s="268"/>
      <c r="EKO467" s="268"/>
      <c r="EKP467" s="268"/>
      <c r="EKQ467" s="268"/>
      <c r="EKR467" s="268"/>
      <c r="EKS467" s="268"/>
      <c r="EKT467" s="268"/>
      <c r="EKU467" s="268"/>
      <c r="EKV467" s="268"/>
      <c r="EKW467" s="268"/>
      <c r="EKX467" s="268"/>
      <c r="EKY467" s="268"/>
      <c r="EKZ467" s="268"/>
      <c r="ELA467" s="268"/>
      <c r="ELB467" s="268"/>
      <c r="ELC467" s="268"/>
      <c r="ELD467" s="268"/>
      <c r="ELE467" s="268"/>
      <c r="ELF467" s="268"/>
      <c r="ELG467" s="268"/>
      <c r="ELH467" s="268"/>
      <c r="ELI467" s="268"/>
      <c r="ELJ467" s="268"/>
      <c r="ELK467" s="268"/>
      <c r="ELL467" s="268"/>
      <c r="ELM467" s="268"/>
      <c r="ELN467" s="268"/>
      <c r="ELO467" s="268"/>
      <c r="ELP467" s="268"/>
      <c r="ELQ467" s="268"/>
      <c r="ELR467" s="268"/>
      <c r="ELS467" s="268"/>
      <c r="ELT467" s="268"/>
      <c r="ELU467" s="268"/>
      <c r="ELV467" s="268"/>
      <c r="ELW467" s="268"/>
      <c r="ELX467" s="268"/>
      <c r="ELY467" s="268"/>
      <c r="ELZ467" s="268"/>
      <c r="EMA467" s="268"/>
      <c r="EMB467" s="268"/>
      <c r="EMC467" s="268"/>
      <c r="EMD467" s="268"/>
      <c r="EME467" s="268"/>
      <c r="EMF467" s="268"/>
      <c r="EMG467" s="268"/>
      <c r="EMH467" s="268"/>
      <c r="EMI467" s="268"/>
      <c r="EMJ467" s="268"/>
      <c r="EMK467" s="268"/>
      <c r="EML467" s="268"/>
      <c r="EMM467" s="268"/>
      <c r="EMN467" s="268"/>
      <c r="EMO467" s="268"/>
      <c r="EMP467" s="268"/>
      <c r="EMQ467" s="268"/>
      <c r="EMR467" s="268"/>
      <c r="EMS467" s="268"/>
      <c r="EMT467" s="268"/>
      <c r="EMU467" s="268"/>
      <c r="EMV467" s="268"/>
      <c r="EMW467" s="268"/>
      <c r="EMX467" s="268"/>
      <c r="EMY467" s="268"/>
      <c r="EMZ467" s="268"/>
      <c r="ENA467" s="268"/>
      <c r="ENB467" s="268"/>
      <c r="ENC467" s="268"/>
      <c r="END467" s="268"/>
      <c r="ENE467" s="268"/>
      <c r="ENF467" s="268"/>
      <c r="ENG467" s="268"/>
      <c r="ENH467" s="268"/>
      <c r="ENI467" s="268"/>
      <c r="ENJ467" s="268"/>
      <c r="ENK467" s="268"/>
      <c r="ENL467" s="268"/>
      <c r="ENM467" s="268"/>
      <c r="ENN467" s="268"/>
      <c r="ENO467" s="268"/>
      <c r="ENP467" s="268"/>
      <c r="ENQ467" s="268"/>
      <c r="ENR467" s="268"/>
      <c r="ENS467" s="268"/>
      <c r="ENT467" s="268"/>
      <c r="ENU467" s="268"/>
      <c r="ENV467" s="268"/>
      <c r="ENW467" s="268"/>
      <c r="ENX467" s="268"/>
      <c r="ENY467" s="268"/>
      <c r="ENZ467" s="268"/>
      <c r="EOA467" s="268"/>
      <c r="EOB467" s="268"/>
      <c r="EOC467" s="268"/>
      <c r="EOD467" s="268"/>
      <c r="EOE467" s="268"/>
      <c r="EOF467" s="268"/>
      <c r="EOG467" s="268"/>
      <c r="EOH467" s="268"/>
      <c r="EOI467" s="268"/>
      <c r="EOJ467" s="268"/>
      <c r="EOK467" s="268"/>
      <c r="EOL467" s="268"/>
      <c r="EOM467" s="268"/>
      <c r="EON467" s="268"/>
      <c r="EOO467" s="268"/>
      <c r="EOP467" s="268"/>
      <c r="EOQ467" s="268"/>
      <c r="EOR467" s="268"/>
      <c r="EOS467" s="268"/>
      <c r="EOT467" s="268"/>
      <c r="EOU467" s="268"/>
      <c r="EOV467" s="268"/>
      <c r="EOW467" s="268"/>
      <c r="EOX467" s="268"/>
      <c r="EOY467" s="268"/>
      <c r="EOZ467" s="268"/>
      <c r="EPA467" s="268"/>
      <c r="EPB467" s="268"/>
      <c r="EPC467" s="268"/>
      <c r="EPD467" s="268"/>
      <c r="EPE467" s="268"/>
      <c r="EPF467" s="268"/>
      <c r="EPG467" s="268"/>
      <c r="EPH467" s="268"/>
      <c r="EPI467" s="268"/>
      <c r="EPJ467" s="268"/>
      <c r="EPK467" s="268"/>
      <c r="EPL467" s="268"/>
      <c r="EPM467" s="268"/>
      <c r="EPN467" s="268"/>
      <c r="EPO467" s="268"/>
      <c r="EPP467" s="268"/>
      <c r="EPQ467" s="268"/>
      <c r="EPR467" s="268"/>
      <c r="EPS467" s="268"/>
      <c r="EPT467" s="268"/>
      <c r="EPU467" s="268"/>
      <c r="EPV467" s="268"/>
      <c r="EPW467" s="268"/>
      <c r="EPX467" s="268"/>
      <c r="EPY467" s="268"/>
      <c r="EPZ467" s="268"/>
      <c r="EQA467" s="268"/>
      <c r="EQB467" s="268"/>
      <c r="EQC467" s="268"/>
      <c r="EQD467" s="268"/>
      <c r="EQE467" s="268"/>
      <c r="EQF467" s="268"/>
      <c r="EQG467" s="268"/>
      <c r="EQH467" s="268"/>
      <c r="EQI467" s="268"/>
      <c r="EQW467" s="268"/>
      <c r="EQX467" s="268"/>
      <c r="EQY467" s="268"/>
      <c r="ERM467" s="268"/>
      <c r="ERO467" s="268"/>
      <c r="ERP467" s="268"/>
      <c r="ERQ467" s="268"/>
      <c r="ERR467" s="268"/>
      <c r="ERS467" s="268"/>
      <c r="ERT467" s="268"/>
      <c r="ERU467" s="268"/>
      <c r="ERV467" s="268"/>
      <c r="ERW467" s="268"/>
      <c r="ERX467" s="268"/>
      <c r="ERY467" s="268"/>
      <c r="ERZ467" s="268"/>
      <c r="ESA467" s="268"/>
      <c r="ESB467" s="268"/>
      <c r="ESC467" s="268"/>
      <c r="ESD467" s="268"/>
      <c r="ESE467" s="268"/>
      <c r="ESF467" s="268"/>
      <c r="ESG467" s="268"/>
      <c r="ESH467" s="268"/>
      <c r="ESI467" s="268"/>
      <c r="ESJ467" s="268"/>
      <c r="ESK467" s="268"/>
      <c r="ESL467" s="268"/>
      <c r="ESM467" s="268"/>
      <c r="ESN467" s="268"/>
      <c r="ESO467" s="268"/>
      <c r="ESP467" s="268"/>
      <c r="ESQ467" s="268"/>
      <c r="ESR467" s="268"/>
      <c r="ESS467" s="268"/>
      <c r="EST467" s="268"/>
      <c r="ESU467" s="268"/>
      <c r="ESV467" s="268"/>
      <c r="ESW467" s="268"/>
      <c r="ESX467" s="268"/>
      <c r="ESY467" s="268"/>
      <c r="ESZ467" s="268"/>
      <c r="ETA467" s="268"/>
      <c r="ETB467" s="268"/>
      <c r="ETC467" s="268"/>
      <c r="ETD467" s="268"/>
      <c r="ETE467" s="268"/>
      <c r="ETF467" s="268"/>
      <c r="ETG467" s="268"/>
      <c r="ETH467" s="268"/>
      <c r="ETI467" s="268"/>
      <c r="ETJ467" s="268"/>
      <c r="ETK467" s="268"/>
      <c r="ETL467" s="268"/>
      <c r="ETM467" s="268"/>
      <c r="ETN467" s="268"/>
      <c r="ETO467" s="268"/>
      <c r="ETP467" s="268"/>
      <c r="ETQ467" s="268"/>
      <c r="ETR467" s="268"/>
      <c r="ETS467" s="268"/>
      <c r="ETT467" s="268"/>
      <c r="ETU467" s="268"/>
      <c r="ETV467" s="268"/>
      <c r="ETW467" s="268"/>
      <c r="ETX467" s="268"/>
      <c r="ETY467" s="268"/>
      <c r="ETZ467" s="268"/>
      <c r="EUA467" s="268"/>
      <c r="EUB467" s="268"/>
      <c r="EUC467" s="268"/>
      <c r="EUD467" s="268"/>
      <c r="EUE467" s="268"/>
      <c r="EUF467" s="268"/>
      <c r="EUG467" s="268"/>
      <c r="EUH467" s="268"/>
      <c r="EUI467" s="268"/>
      <c r="EUJ467" s="268"/>
      <c r="EUK467" s="268"/>
      <c r="EUL467" s="268"/>
      <c r="EUM467" s="268"/>
      <c r="EUN467" s="268"/>
      <c r="EUO467" s="268"/>
      <c r="EUP467" s="268"/>
      <c r="EUQ467" s="268"/>
      <c r="EUR467" s="268"/>
      <c r="EUS467" s="268"/>
      <c r="EUT467" s="268"/>
      <c r="EUU467" s="268"/>
      <c r="EUV467" s="268"/>
      <c r="EUW467" s="268"/>
      <c r="EUX467" s="268"/>
      <c r="EUY467" s="268"/>
      <c r="EUZ467" s="268"/>
      <c r="EVA467" s="268"/>
      <c r="EVB467" s="268"/>
      <c r="EVC467" s="268"/>
      <c r="EVD467" s="268"/>
      <c r="EVE467" s="268"/>
      <c r="EVF467" s="268"/>
      <c r="EVG467" s="268"/>
      <c r="EVH467" s="268"/>
      <c r="EVI467" s="268"/>
      <c r="EVJ467" s="268"/>
      <c r="EVK467" s="268"/>
      <c r="EVL467" s="268"/>
      <c r="EVM467" s="268"/>
      <c r="EVN467" s="268"/>
      <c r="EVO467" s="268"/>
      <c r="EVP467" s="268"/>
      <c r="EVQ467" s="268"/>
      <c r="EVR467" s="268"/>
      <c r="EVS467" s="268"/>
      <c r="EVT467" s="268"/>
      <c r="EVU467" s="268"/>
      <c r="EVV467" s="268"/>
      <c r="EVW467" s="268"/>
      <c r="EVX467" s="268"/>
      <c r="EVY467" s="268"/>
      <c r="EVZ467" s="268"/>
      <c r="EWA467" s="268"/>
      <c r="EWB467" s="268"/>
      <c r="EWC467" s="268"/>
      <c r="EWD467" s="268"/>
      <c r="EWE467" s="268"/>
      <c r="EWF467" s="268"/>
      <c r="EWG467" s="268"/>
      <c r="EWH467" s="268"/>
      <c r="EWI467" s="268"/>
      <c r="EWJ467" s="268"/>
      <c r="EWK467" s="268"/>
      <c r="EWL467" s="268"/>
      <c r="EWM467" s="268"/>
      <c r="EWN467" s="268"/>
      <c r="EWO467" s="268"/>
      <c r="EWP467" s="268"/>
      <c r="EWQ467" s="268"/>
      <c r="EWR467" s="268"/>
      <c r="EWS467" s="268"/>
      <c r="EWT467" s="268"/>
      <c r="EWU467" s="268"/>
      <c r="EWV467" s="268"/>
      <c r="EWW467" s="268"/>
      <c r="EWX467" s="268"/>
      <c r="EWY467" s="268"/>
      <c r="EWZ467" s="268"/>
      <c r="EXA467" s="268"/>
      <c r="EXB467" s="268"/>
      <c r="EXC467" s="268"/>
      <c r="EXD467" s="268"/>
      <c r="EXE467" s="268"/>
      <c r="EXF467" s="268"/>
      <c r="EXG467" s="268"/>
      <c r="EXH467" s="268"/>
      <c r="EXI467" s="268"/>
      <c r="EXJ467" s="268"/>
      <c r="EXK467" s="268"/>
      <c r="EXL467" s="268"/>
      <c r="EXM467" s="268"/>
      <c r="EXN467" s="268"/>
      <c r="EXO467" s="268"/>
      <c r="EXP467" s="268"/>
      <c r="EXQ467" s="268"/>
      <c r="EXR467" s="268"/>
      <c r="EXS467" s="268"/>
      <c r="EXT467" s="268"/>
      <c r="EXU467" s="268"/>
      <c r="EXV467" s="268"/>
      <c r="EXW467" s="268"/>
      <c r="EXX467" s="268"/>
      <c r="EXY467" s="268"/>
      <c r="EXZ467" s="268"/>
      <c r="EYA467" s="268"/>
      <c r="EYB467" s="268"/>
      <c r="EYC467" s="268"/>
      <c r="EYD467" s="268"/>
      <c r="EYE467" s="268"/>
      <c r="EYF467" s="268"/>
      <c r="EYG467" s="268"/>
      <c r="EYH467" s="268"/>
      <c r="EYI467" s="268"/>
      <c r="EYJ467" s="268"/>
      <c r="EYK467" s="268"/>
      <c r="EYL467" s="268"/>
      <c r="EYM467" s="268"/>
      <c r="EYN467" s="268"/>
      <c r="EYO467" s="268"/>
      <c r="EYP467" s="268"/>
      <c r="EYQ467" s="268"/>
      <c r="EYR467" s="268"/>
      <c r="EYS467" s="268"/>
      <c r="EYT467" s="268"/>
      <c r="EYU467" s="268"/>
      <c r="EYV467" s="268"/>
      <c r="EYW467" s="268"/>
      <c r="EYX467" s="268"/>
      <c r="EYY467" s="268"/>
      <c r="EYZ467" s="268"/>
      <c r="EZA467" s="268"/>
      <c r="EZB467" s="268"/>
      <c r="EZC467" s="268"/>
      <c r="EZD467" s="268"/>
      <c r="EZE467" s="268"/>
      <c r="EZF467" s="268"/>
      <c r="EZG467" s="268"/>
      <c r="EZH467" s="268"/>
      <c r="EZI467" s="268"/>
      <c r="EZJ467" s="268"/>
      <c r="EZK467" s="268"/>
      <c r="EZL467" s="268"/>
      <c r="EZM467" s="268"/>
      <c r="EZN467" s="268"/>
      <c r="EZO467" s="268"/>
      <c r="EZP467" s="268"/>
      <c r="EZQ467" s="268"/>
      <c r="EZR467" s="268"/>
      <c r="EZS467" s="268"/>
      <c r="EZT467" s="268"/>
      <c r="EZU467" s="268"/>
      <c r="EZV467" s="268"/>
      <c r="EZW467" s="268"/>
      <c r="EZX467" s="268"/>
      <c r="EZY467" s="268"/>
      <c r="EZZ467" s="268"/>
      <c r="FAA467" s="268"/>
      <c r="FAB467" s="268"/>
      <c r="FAC467" s="268"/>
      <c r="FAD467" s="268"/>
      <c r="FAE467" s="268"/>
      <c r="FAS467" s="268"/>
      <c r="FAT467" s="268"/>
      <c r="FAU467" s="268"/>
      <c r="FBI467" s="268"/>
      <c r="FBK467" s="268"/>
      <c r="FBL467" s="268"/>
      <c r="FBM467" s="268"/>
      <c r="FBN467" s="268"/>
      <c r="FBO467" s="268"/>
      <c r="FBP467" s="268"/>
      <c r="FBQ467" s="268"/>
      <c r="FBR467" s="268"/>
      <c r="FBS467" s="268"/>
      <c r="FBT467" s="268"/>
      <c r="FBU467" s="268"/>
      <c r="FBV467" s="268"/>
      <c r="FBW467" s="268"/>
      <c r="FBX467" s="268"/>
      <c r="FBY467" s="268"/>
      <c r="FBZ467" s="268"/>
      <c r="FCA467" s="268"/>
      <c r="FCB467" s="268"/>
      <c r="FCC467" s="268"/>
      <c r="FCD467" s="268"/>
      <c r="FCE467" s="268"/>
      <c r="FCF467" s="268"/>
      <c r="FCG467" s="268"/>
      <c r="FCH467" s="268"/>
      <c r="FCI467" s="268"/>
      <c r="FCJ467" s="268"/>
      <c r="FCK467" s="268"/>
      <c r="FCL467" s="268"/>
      <c r="FCM467" s="268"/>
      <c r="FCN467" s="268"/>
      <c r="FCO467" s="268"/>
      <c r="FCP467" s="268"/>
      <c r="FCQ467" s="268"/>
      <c r="FCR467" s="268"/>
      <c r="FCS467" s="268"/>
      <c r="FCT467" s="268"/>
      <c r="FCU467" s="268"/>
      <c r="FCV467" s="268"/>
      <c r="FCW467" s="268"/>
      <c r="FCX467" s="268"/>
      <c r="FCY467" s="268"/>
      <c r="FCZ467" s="268"/>
      <c r="FDA467" s="268"/>
      <c r="FDB467" s="268"/>
      <c r="FDC467" s="268"/>
      <c r="FDD467" s="268"/>
      <c r="FDE467" s="268"/>
      <c r="FDF467" s="268"/>
      <c r="FDG467" s="268"/>
      <c r="FDH467" s="268"/>
      <c r="FDI467" s="268"/>
      <c r="FDJ467" s="268"/>
      <c r="FDK467" s="268"/>
      <c r="FDL467" s="268"/>
      <c r="FDM467" s="268"/>
      <c r="FDN467" s="268"/>
      <c r="FDO467" s="268"/>
      <c r="FDP467" s="268"/>
      <c r="FDQ467" s="268"/>
      <c r="FDR467" s="268"/>
      <c r="FDS467" s="268"/>
      <c r="FDT467" s="268"/>
      <c r="FDU467" s="268"/>
      <c r="FDV467" s="268"/>
      <c r="FDW467" s="268"/>
      <c r="FDX467" s="268"/>
      <c r="FDY467" s="268"/>
      <c r="FDZ467" s="268"/>
      <c r="FEA467" s="268"/>
      <c r="FEB467" s="268"/>
      <c r="FEC467" s="268"/>
      <c r="FED467" s="268"/>
      <c r="FEE467" s="268"/>
      <c r="FEF467" s="268"/>
      <c r="FEG467" s="268"/>
      <c r="FEH467" s="268"/>
      <c r="FEI467" s="268"/>
      <c r="FEJ467" s="268"/>
      <c r="FEK467" s="268"/>
      <c r="FEL467" s="268"/>
      <c r="FEM467" s="268"/>
      <c r="FEN467" s="268"/>
      <c r="FEO467" s="268"/>
      <c r="FEP467" s="268"/>
      <c r="FEQ467" s="268"/>
      <c r="FER467" s="268"/>
      <c r="FES467" s="268"/>
      <c r="FET467" s="268"/>
      <c r="FEU467" s="268"/>
      <c r="FEV467" s="268"/>
      <c r="FEW467" s="268"/>
      <c r="FEX467" s="268"/>
      <c r="FEY467" s="268"/>
      <c r="FEZ467" s="268"/>
      <c r="FFA467" s="268"/>
      <c r="FFB467" s="268"/>
      <c r="FFC467" s="268"/>
      <c r="FFD467" s="268"/>
      <c r="FFE467" s="268"/>
      <c r="FFF467" s="268"/>
      <c r="FFG467" s="268"/>
      <c r="FFH467" s="268"/>
      <c r="FFI467" s="268"/>
      <c r="FFJ467" s="268"/>
      <c r="FFK467" s="268"/>
      <c r="FFL467" s="268"/>
      <c r="FFM467" s="268"/>
      <c r="FFN467" s="268"/>
      <c r="FFO467" s="268"/>
      <c r="FFP467" s="268"/>
      <c r="FFQ467" s="268"/>
      <c r="FFR467" s="268"/>
      <c r="FFS467" s="268"/>
      <c r="FFT467" s="268"/>
      <c r="FFU467" s="268"/>
      <c r="FFV467" s="268"/>
      <c r="FFW467" s="268"/>
      <c r="FFX467" s="268"/>
      <c r="FFY467" s="268"/>
      <c r="FFZ467" s="268"/>
      <c r="FGA467" s="268"/>
      <c r="FGB467" s="268"/>
      <c r="FGC467" s="268"/>
      <c r="FGD467" s="268"/>
      <c r="FGE467" s="268"/>
      <c r="FGF467" s="268"/>
      <c r="FGG467" s="268"/>
      <c r="FGH467" s="268"/>
      <c r="FGI467" s="268"/>
      <c r="FGJ467" s="268"/>
      <c r="FGK467" s="268"/>
      <c r="FGL467" s="268"/>
      <c r="FGM467" s="268"/>
      <c r="FGN467" s="268"/>
      <c r="FGO467" s="268"/>
      <c r="FGP467" s="268"/>
      <c r="FGQ467" s="268"/>
      <c r="FGR467" s="268"/>
      <c r="FGS467" s="268"/>
      <c r="FGT467" s="268"/>
      <c r="FGU467" s="268"/>
      <c r="FGV467" s="268"/>
      <c r="FGW467" s="268"/>
      <c r="FGX467" s="268"/>
      <c r="FGY467" s="268"/>
      <c r="FGZ467" s="268"/>
      <c r="FHA467" s="268"/>
      <c r="FHB467" s="268"/>
      <c r="FHC467" s="268"/>
      <c r="FHD467" s="268"/>
      <c r="FHE467" s="268"/>
      <c r="FHF467" s="268"/>
      <c r="FHG467" s="268"/>
      <c r="FHH467" s="268"/>
      <c r="FHI467" s="268"/>
      <c r="FHJ467" s="268"/>
      <c r="FHK467" s="268"/>
      <c r="FHL467" s="268"/>
      <c r="FHM467" s="268"/>
      <c r="FHN467" s="268"/>
      <c r="FHO467" s="268"/>
      <c r="FHP467" s="268"/>
      <c r="FHQ467" s="268"/>
      <c r="FHR467" s="268"/>
      <c r="FHS467" s="268"/>
      <c r="FHT467" s="268"/>
      <c r="FHU467" s="268"/>
      <c r="FHV467" s="268"/>
      <c r="FHW467" s="268"/>
      <c r="FHX467" s="268"/>
      <c r="FHY467" s="268"/>
      <c r="FHZ467" s="268"/>
      <c r="FIA467" s="268"/>
      <c r="FIB467" s="268"/>
      <c r="FIC467" s="268"/>
      <c r="FID467" s="268"/>
      <c r="FIE467" s="268"/>
      <c r="FIF467" s="268"/>
      <c r="FIG467" s="268"/>
      <c r="FIH467" s="268"/>
      <c r="FII467" s="268"/>
      <c r="FIJ467" s="268"/>
      <c r="FIK467" s="268"/>
      <c r="FIL467" s="268"/>
      <c r="FIM467" s="268"/>
      <c r="FIN467" s="268"/>
      <c r="FIO467" s="268"/>
      <c r="FIP467" s="268"/>
      <c r="FIQ467" s="268"/>
      <c r="FIR467" s="268"/>
      <c r="FIS467" s="268"/>
      <c r="FIT467" s="268"/>
      <c r="FIU467" s="268"/>
      <c r="FIV467" s="268"/>
      <c r="FIW467" s="268"/>
      <c r="FIX467" s="268"/>
      <c r="FIY467" s="268"/>
      <c r="FIZ467" s="268"/>
      <c r="FJA467" s="268"/>
      <c r="FJB467" s="268"/>
      <c r="FJC467" s="268"/>
      <c r="FJD467" s="268"/>
      <c r="FJE467" s="268"/>
      <c r="FJF467" s="268"/>
      <c r="FJG467" s="268"/>
      <c r="FJH467" s="268"/>
      <c r="FJI467" s="268"/>
      <c r="FJJ467" s="268"/>
      <c r="FJK467" s="268"/>
      <c r="FJL467" s="268"/>
      <c r="FJM467" s="268"/>
      <c r="FJN467" s="268"/>
      <c r="FJO467" s="268"/>
      <c r="FJP467" s="268"/>
      <c r="FJQ467" s="268"/>
      <c r="FJR467" s="268"/>
      <c r="FJS467" s="268"/>
      <c r="FJT467" s="268"/>
      <c r="FJU467" s="268"/>
      <c r="FJV467" s="268"/>
      <c r="FJW467" s="268"/>
      <c r="FJX467" s="268"/>
      <c r="FJY467" s="268"/>
      <c r="FJZ467" s="268"/>
      <c r="FKA467" s="268"/>
      <c r="FKO467" s="268"/>
      <c r="FKP467" s="268"/>
      <c r="FKQ467" s="268"/>
      <c r="FLE467" s="268"/>
      <c r="FLG467" s="268"/>
      <c r="FLH467" s="268"/>
      <c r="FLI467" s="268"/>
      <c r="FLJ467" s="268"/>
      <c r="FLK467" s="268"/>
      <c r="FLL467" s="268"/>
      <c r="FLM467" s="268"/>
      <c r="FLN467" s="268"/>
      <c r="FLO467" s="268"/>
      <c r="FLP467" s="268"/>
      <c r="FLQ467" s="268"/>
      <c r="FLR467" s="268"/>
      <c r="FLS467" s="268"/>
      <c r="FLT467" s="268"/>
      <c r="FLU467" s="268"/>
      <c r="FLV467" s="268"/>
      <c r="FLW467" s="268"/>
      <c r="FLX467" s="268"/>
      <c r="FLY467" s="268"/>
      <c r="FLZ467" s="268"/>
      <c r="FMA467" s="268"/>
      <c r="FMB467" s="268"/>
      <c r="FMC467" s="268"/>
      <c r="FMD467" s="268"/>
      <c r="FME467" s="268"/>
      <c r="FMF467" s="268"/>
      <c r="FMG467" s="268"/>
      <c r="FMH467" s="268"/>
      <c r="FMI467" s="268"/>
      <c r="FMJ467" s="268"/>
      <c r="FMK467" s="268"/>
      <c r="FML467" s="268"/>
      <c r="FMM467" s="268"/>
      <c r="FMN467" s="268"/>
      <c r="FMO467" s="268"/>
      <c r="FMP467" s="268"/>
      <c r="FMQ467" s="268"/>
      <c r="FMR467" s="268"/>
      <c r="FMS467" s="268"/>
      <c r="FMT467" s="268"/>
      <c r="FMU467" s="268"/>
      <c r="FMV467" s="268"/>
      <c r="FMW467" s="268"/>
      <c r="FMX467" s="268"/>
      <c r="FMY467" s="268"/>
      <c r="FMZ467" s="268"/>
      <c r="FNA467" s="268"/>
      <c r="FNB467" s="268"/>
      <c r="FNC467" s="268"/>
      <c r="FND467" s="268"/>
      <c r="FNE467" s="268"/>
      <c r="FNF467" s="268"/>
      <c r="FNG467" s="268"/>
      <c r="FNH467" s="268"/>
      <c r="FNI467" s="268"/>
      <c r="FNJ467" s="268"/>
      <c r="FNK467" s="268"/>
      <c r="FNL467" s="268"/>
      <c r="FNM467" s="268"/>
      <c r="FNN467" s="268"/>
      <c r="FNO467" s="268"/>
      <c r="FNP467" s="268"/>
      <c r="FNQ467" s="268"/>
      <c r="FNR467" s="268"/>
      <c r="FNS467" s="268"/>
      <c r="FNT467" s="268"/>
      <c r="FNU467" s="268"/>
      <c r="FNV467" s="268"/>
      <c r="FNW467" s="268"/>
      <c r="FNX467" s="268"/>
      <c r="FNY467" s="268"/>
      <c r="FNZ467" s="268"/>
      <c r="FOA467" s="268"/>
      <c r="FOB467" s="268"/>
      <c r="FOC467" s="268"/>
      <c r="FOD467" s="268"/>
      <c r="FOE467" s="268"/>
      <c r="FOF467" s="268"/>
      <c r="FOG467" s="268"/>
      <c r="FOH467" s="268"/>
      <c r="FOI467" s="268"/>
      <c r="FOJ467" s="268"/>
      <c r="FOK467" s="268"/>
      <c r="FOL467" s="268"/>
      <c r="FOM467" s="268"/>
      <c r="FON467" s="268"/>
      <c r="FOO467" s="268"/>
      <c r="FOP467" s="268"/>
      <c r="FOQ467" s="268"/>
      <c r="FOR467" s="268"/>
      <c r="FOS467" s="268"/>
      <c r="FOT467" s="268"/>
      <c r="FOU467" s="268"/>
      <c r="FOV467" s="268"/>
      <c r="FOW467" s="268"/>
      <c r="FOX467" s="268"/>
      <c r="FOY467" s="268"/>
      <c r="FOZ467" s="268"/>
      <c r="FPA467" s="268"/>
      <c r="FPB467" s="268"/>
      <c r="FPC467" s="268"/>
      <c r="FPD467" s="268"/>
      <c r="FPE467" s="268"/>
      <c r="FPF467" s="268"/>
      <c r="FPG467" s="268"/>
      <c r="FPH467" s="268"/>
      <c r="FPI467" s="268"/>
      <c r="FPJ467" s="268"/>
      <c r="FPK467" s="268"/>
      <c r="FPL467" s="268"/>
      <c r="FPM467" s="268"/>
      <c r="FPN467" s="268"/>
      <c r="FPO467" s="268"/>
      <c r="FPP467" s="268"/>
      <c r="FPQ467" s="268"/>
      <c r="FPR467" s="268"/>
      <c r="FPS467" s="268"/>
      <c r="FPT467" s="268"/>
      <c r="FPU467" s="268"/>
      <c r="FPV467" s="268"/>
      <c r="FPW467" s="268"/>
      <c r="FPX467" s="268"/>
      <c r="FPY467" s="268"/>
      <c r="FPZ467" s="268"/>
      <c r="FQA467" s="268"/>
      <c r="FQB467" s="268"/>
      <c r="FQC467" s="268"/>
      <c r="FQD467" s="268"/>
      <c r="FQE467" s="268"/>
      <c r="FQF467" s="268"/>
      <c r="FQG467" s="268"/>
      <c r="FQH467" s="268"/>
      <c r="FQI467" s="268"/>
      <c r="FQJ467" s="268"/>
      <c r="FQK467" s="268"/>
      <c r="FQL467" s="268"/>
      <c r="FQM467" s="268"/>
      <c r="FQN467" s="268"/>
      <c r="FQO467" s="268"/>
      <c r="FQP467" s="268"/>
      <c r="FQQ467" s="268"/>
      <c r="FQR467" s="268"/>
      <c r="FQS467" s="268"/>
      <c r="FQT467" s="268"/>
      <c r="FQU467" s="268"/>
      <c r="FQV467" s="268"/>
      <c r="FQW467" s="268"/>
      <c r="FQX467" s="268"/>
      <c r="FQY467" s="268"/>
      <c r="FQZ467" s="268"/>
      <c r="FRA467" s="268"/>
      <c r="FRB467" s="268"/>
      <c r="FRC467" s="268"/>
      <c r="FRD467" s="268"/>
      <c r="FRE467" s="268"/>
      <c r="FRF467" s="268"/>
      <c r="FRG467" s="268"/>
      <c r="FRH467" s="268"/>
      <c r="FRI467" s="268"/>
      <c r="FRJ467" s="268"/>
      <c r="FRK467" s="268"/>
      <c r="FRL467" s="268"/>
      <c r="FRM467" s="268"/>
      <c r="FRN467" s="268"/>
      <c r="FRO467" s="268"/>
      <c r="FRP467" s="268"/>
      <c r="FRQ467" s="268"/>
      <c r="FRR467" s="268"/>
      <c r="FRS467" s="268"/>
      <c r="FRT467" s="268"/>
      <c r="FRU467" s="268"/>
      <c r="FRV467" s="268"/>
      <c r="FRW467" s="268"/>
      <c r="FRX467" s="268"/>
      <c r="FRY467" s="268"/>
      <c r="FRZ467" s="268"/>
      <c r="FSA467" s="268"/>
      <c r="FSB467" s="268"/>
      <c r="FSC467" s="268"/>
      <c r="FSD467" s="268"/>
      <c r="FSE467" s="268"/>
      <c r="FSF467" s="268"/>
      <c r="FSG467" s="268"/>
      <c r="FSH467" s="268"/>
      <c r="FSI467" s="268"/>
      <c r="FSJ467" s="268"/>
      <c r="FSK467" s="268"/>
      <c r="FSL467" s="268"/>
      <c r="FSM467" s="268"/>
      <c r="FSN467" s="268"/>
      <c r="FSO467" s="268"/>
      <c r="FSP467" s="268"/>
      <c r="FSQ467" s="268"/>
      <c r="FSR467" s="268"/>
      <c r="FSS467" s="268"/>
      <c r="FST467" s="268"/>
      <c r="FSU467" s="268"/>
      <c r="FSV467" s="268"/>
      <c r="FSW467" s="268"/>
      <c r="FSX467" s="268"/>
      <c r="FSY467" s="268"/>
      <c r="FSZ467" s="268"/>
      <c r="FTA467" s="268"/>
      <c r="FTB467" s="268"/>
      <c r="FTC467" s="268"/>
      <c r="FTD467" s="268"/>
      <c r="FTE467" s="268"/>
      <c r="FTF467" s="268"/>
      <c r="FTG467" s="268"/>
      <c r="FTH467" s="268"/>
      <c r="FTI467" s="268"/>
      <c r="FTJ467" s="268"/>
      <c r="FTK467" s="268"/>
      <c r="FTL467" s="268"/>
      <c r="FTM467" s="268"/>
      <c r="FTN467" s="268"/>
      <c r="FTO467" s="268"/>
      <c r="FTP467" s="268"/>
      <c r="FTQ467" s="268"/>
      <c r="FTR467" s="268"/>
      <c r="FTS467" s="268"/>
      <c r="FTT467" s="268"/>
      <c r="FTU467" s="268"/>
      <c r="FTV467" s="268"/>
      <c r="FTW467" s="268"/>
      <c r="FUK467" s="268"/>
      <c r="FUL467" s="268"/>
      <c r="FUM467" s="268"/>
      <c r="FVA467" s="268"/>
      <c r="FVC467" s="268"/>
      <c r="FVD467" s="268"/>
      <c r="FVE467" s="268"/>
      <c r="FVF467" s="268"/>
      <c r="FVG467" s="268"/>
      <c r="FVH467" s="268"/>
      <c r="FVI467" s="268"/>
      <c r="FVJ467" s="268"/>
      <c r="FVK467" s="268"/>
      <c r="FVL467" s="268"/>
      <c r="FVM467" s="268"/>
      <c r="FVN467" s="268"/>
      <c r="FVO467" s="268"/>
      <c r="FVP467" s="268"/>
      <c r="FVQ467" s="268"/>
      <c r="FVR467" s="268"/>
      <c r="FVS467" s="268"/>
      <c r="FVT467" s="268"/>
      <c r="FVU467" s="268"/>
      <c r="FVV467" s="268"/>
      <c r="FVW467" s="268"/>
      <c r="FVX467" s="268"/>
      <c r="FVY467" s="268"/>
      <c r="FVZ467" s="268"/>
      <c r="FWA467" s="268"/>
      <c r="FWB467" s="268"/>
      <c r="FWC467" s="268"/>
      <c r="FWD467" s="268"/>
      <c r="FWE467" s="268"/>
      <c r="FWF467" s="268"/>
      <c r="FWG467" s="268"/>
      <c r="FWH467" s="268"/>
      <c r="FWI467" s="268"/>
      <c r="FWJ467" s="268"/>
      <c r="FWK467" s="268"/>
      <c r="FWL467" s="268"/>
      <c r="FWM467" s="268"/>
      <c r="FWN467" s="268"/>
      <c r="FWO467" s="268"/>
      <c r="FWP467" s="268"/>
      <c r="FWQ467" s="268"/>
      <c r="FWR467" s="268"/>
      <c r="FWS467" s="268"/>
      <c r="FWT467" s="268"/>
      <c r="FWU467" s="268"/>
      <c r="FWV467" s="268"/>
      <c r="FWW467" s="268"/>
      <c r="FWX467" s="268"/>
      <c r="FWY467" s="268"/>
      <c r="FWZ467" s="268"/>
      <c r="FXA467" s="268"/>
      <c r="FXB467" s="268"/>
      <c r="FXC467" s="268"/>
      <c r="FXD467" s="268"/>
      <c r="FXE467" s="268"/>
      <c r="FXF467" s="268"/>
      <c r="FXG467" s="268"/>
      <c r="FXH467" s="268"/>
      <c r="FXI467" s="268"/>
      <c r="FXJ467" s="268"/>
      <c r="FXK467" s="268"/>
      <c r="FXL467" s="268"/>
      <c r="FXM467" s="268"/>
      <c r="FXN467" s="268"/>
      <c r="FXO467" s="268"/>
      <c r="FXP467" s="268"/>
      <c r="FXQ467" s="268"/>
      <c r="FXR467" s="268"/>
      <c r="FXS467" s="268"/>
      <c r="FXT467" s="268"/>
      <c r="FXU467" s="268"/>
      <c r="FXV467" s="268"/>
      <c r="FXW467" s="268"/>
      <c r="FXX467" s="268"/>
      <c r="FXY467" s="268"/>
      <c r="FXZ467" s="268"/>
      <c r="FYA467" s="268"/>
      <c r="FYB467" s="268"/>
      <c r="FYC467" s="268"/>
      <c r="FYD467" s="268"/>
      <c r="FYE467" s="268"/>
      <c r="FYF467" s="268"/>
      <c r="FYG467" s="268"/>
      <c r="FYH467" s="268"/>
      <c r="FYI467" s="268"/>
      <c r="FYJ467" s="268"/>
      <c r="FYK467" s="268"/>
      <c r="FYL467" s="268"/>
      <c r="FYM467" s="268"/>
      <c r="FYN467" s="268"/>
      <c r="FYO467" s="268"/>
      <c r="FYP467" s="268"/>
      <c r="FYQ467" s="268"/>
      <c r="FYR467" s="268"/>
      <c r="FYS467" s="268"/>
      <c r="FYT467" s="268"/>
      <c r="FYU467" s="268"/>
      <c r="FYV467" s="268"/>
      <c r="FYW467" s="268"/>
      <c r="FYX467" s="268"/>
      <c r="FYY467" s="268"/>
      <c r="FYZ467" s="268"/>
      <c r="FZA467" s="268"/>
      <c r="FZB467" s="268"/>
      <c r="FZC467" s="268"/>
      <c r="FZD467" s="268"/>
      <c r="FZE467" s="268"/>
      <c r="FZF467" s="268"/>
      <c r="FZG467" s="268"/>
      <c r="FZH467" s="268"/>
      <c r="FZI467" s="268"/>
      <c r="FZJ467" s="268"/>
      <c r="FZK467" s="268"/>
      <c r="FZL467" s="268"/>
      <c r="FZM467" s="268"/>
      <c r="FZN467" s="268"/>
      <c r="FZO467" s="268"/>
      <c r="FZP467" s="268"/>
      <c r="FZQ467" s="268"/>
      <c r="FZR467" s="268"/>
      <c r="FZS467" s="268"/>
      <c r="FZT467" s="268"/>
      <c r="FZU467" s="268"/>
      <c r="FZV467" s="268"/>
      <c r="FZW467" s="268"/>
      <c r="FZX467" s="268"/>
      <c r="FZY467" s="268"/>
      <c r="FZZ467" s="268"/>
      <c r="GAA467" s="268"/>
      <c r="GAB467" s="268"/>
      <c r="GAC467" s="268"/>
      <c r="GAD467" s="268"/>
      <c r="GAE467" s="268"/>
      <c r="GAF467" s="268"/>
      <c r="GAG467" s="268"/>
      <c r="GAH467" s="268"/>
      <c r="GAI467" s="268"/>
      <c r="GAJ467" s="268"/>
      <c r="GAK467" s="268"/>
      <c r="GAL467" s="268"/>
      <c r="GAM467" s="268"/>
      <c r="GAN467" s="268"/>
      <c r="GAO467" s="268"/>
      <c r="GAP467" s="268"/>
      <c r="GAQ467" s="268"/>
      <c r="GAR467" s="268"/>
      <c r="GAS467" s="268"/>
      <c r="GAT467" s="268"/>
      <c r="GAU467" s="268"/>
      <c r="GAV467" s="268"/>
      <c r="GAW467" s="268"/>
      <c r="GAX467" s="268"/>
      <c r="GAY467" s="268"/>
      <c r="GAZ467" s="268"/>
      <c r="GBA467" s="268"/>
      <c r="GBB467" s="268"/>
      <c r="GBC467" s="268"/>
      <c r="GBD467" s="268"/>
      <c r="GBE467" s="268"/>
      <c r="GBF467" s="268"/>
      <c r="GBG467" s="268"/>
      <c r="GBH467" s="268"/>
      <c r="GBI467" s="268"/>
      <c r="GBJ467" s="268"/>
      <c r="GBK467" s="268"/>
      <c r="GBL467" s="268"/>
      <c r="GBM467" s="268"/>
      <c r="GBN467" s="268"/>
      <c r="GBO467" s="268"/>
      <c r="GBP467" s="268"/>
      <c r="GBQ467" s="268"/>
      <c r="GBR467" s="268"/>
      <c r="GBS467" s="268"/>
      <c r="GBT467" s="268"/>
      <c r="GBU467" s="268"/>
      <c r="GBV467" s="268"/>
      <c r="GBW467" s="268"/>
      <c r="GBX467" s="268"/>
      <c r="GBY467" s="268"/>
      <c r="GBZ467" s="268"/>
      <c r="GCA467" s="268"/>
      <c r="GCB467" s="268"/>
      <c r="GCC467" s="268"/>
      <c r="GCD467" s="268"/>
      <c r="GCE467" s="268"/>
      <c r="GCF467" s="268"/>
      <c r="GCG467" s="268"/>
      <c r="GCH467" s="268"/>
      <c r="GCI467" s="268"/>
      <c r="GCJ467" s="268"/>
      <c r="GCK467" s="268"/>
      <c r="GCL467" s="268"/>
      <c r="GCM467" s="268"/>
      <c r="GCN467" s="268"/>
      <c r="GCO467" s="268"/>
      <c r="GCP467" s="268"/>
      <c r="GCQ467" s="268"/>
      <c r="GCR467" s="268"/>
      <c r="GCS467" s="268"/>
      <c r="GCT467" s="268"/>
      <c r="GCU467" s="268"/>
      <c r="GCV467" s="268"/>
      <c r="GCW467" s="268"/>
      <c r="GCX467" s="268"/>
      <c r="GCY467" s="268"/>
      <c r="GCZ467" s="268"/>
      <c r="GDA467" s="268"/>
      <c r="GDB467" s="268"/>
      <c r="GDC467" s="268"/>
      <c r="GDD467" s="268"/>
      <c r="GDE467" s="268"/>
      <c r="GDF467" s="268"/>
      <c r="GDG467" s="268"/>
      <c r="GDH467" s="268"/>
      <c r="GDI467" s="268"/>
      <c r="GDJ467" s="268"/>
      <c r="GDK467" s="268"/>
      <c r="GDL467" s="268"/>
      <c r="GDM467" s="268"/>
      <c r="GDN467" s="268"/>
      <c r="GDO467" s="268"/>
      <c r="GDP467" s="268"/>
      <c r="GDQ467" s="268"/>
      <c r="GDR467" s="268"/>
      <c r="GDS467" s="268"/>
      <c r="GEG467" s="268"/>
      <c r="GEH467" s="268"/>
      <c r="GEI467" s="268"/>
      <c r="GEW467" s="268"/>
      <c r="GEY467" s="268"/>
      <c r="GEZ467" s="268"/>
      <c r="GFA467" s="268"/>
      <c r="GFB467" s="268"/>
      <c r="GFC467" s="268"/>
      <c r="GFD467" s="268"/>
      <c r="GFE467" s="268"/>
      <c r="GFF467" s="268"/>
      <c r="GFG467" s="268"/>
      <c r="GFH467" s="268"/>
      <c r="GFI467" s="268"/>
      <c r="GFJ467" s="268"/>
      <c r="GFK467" s="268"/>
      <c r="GFL467" s="268"/>
      <c r="GFM467" s="268"/>
      <c r="GFN467" s="268"/>
      <c r="GFO467" s="268"/>
      <c r="GFP467" s="268"/>
      <c r="GFQ467" s="268"/>
      <c r="GFR467" s="268"/>
      <c r="GFS467" s="268"/>
      <c r="GFT467" s="268"/>
      <c r="GFU467" s="268"/>
      <c r="GFV467" s="268"/>
      <c r="GFW467" s="268"/>
      <c r="GFX467" s="268"/>
      <c r="GFY467" s="268"/>
      <c r="GFZ467" s="268"/>
      <c r="GGA467" s="268"/>
      <c r="GGB467" s="268"/>
      <c r="GGC467" s="268"/>
      <c r="GGD467" s="268"/>
      <c r="GGE467" s="268"/>
      <c r="GGF467" s="268"/>
      <c r="GGG467" s="268"/>
      <c r="GGH467" s="268"/>
      <c r="GGI467" s="268"/>
      <c r="GGJ467" s="268"/>
      <c r="GGK467" s="268"/>
      <c r="GGL467" s="268"/>
      <c r="GGM467" s="268"/>
      <c r="GGN467" s="268"/>
      <c r="GGO467" s="268"/>
      <c r="GGP467" s="268"/>
      <c r="GGQ467" s="268"/>
      <c r="GGR467" s="268"/>
      <c r="GGS467" s="268"/>
      <c r="GGT467" s="268"/>
      <c r="GGU467" s="268"/>
      <c r="GGV467" s="268"/>
      <c r="GGW467" s="268"/>
      <c r="GGX467" s="268"/>
      <c r="GGY467" s="268"/>
      <c r="GGZ467" s="268"/>
      <c r="GHA467" s="268"/>
      <c r="GHB467" s="268"/>
      <c r="GHC467" s="268"/>
      <c r="GHD467" s="268"/>
      <c r="GHE467" s="268"/>
      <c r="GHF467" s="268"/>
      <c r="GHG467" s="268"/>
      <c r="GHH467" s="268"/>
      <c r="GHI467" s="268"/>
      <c r="GHJ467" s="268"/>
      <c r="GHK467" s="268"/>
      <c r="GHL467" s="268"/>
      <c r="GHM467" s="268"/>
      <c r="GHN467" s="268"/>
      <c r="GHO467" s="268"/>
      <c r="GHP467" s="268"/>
      <c r="GHQ467" s="268"/>
      <c r="GHR467" s="268"/>
      <c r="GHS467" s="268"/>
      <c r="GHT467" s="268"/>
      <c r="GHU467" s="268"/>
      <c r="GHV467" s="268"/>
      <c r="GHW467" s="268"/>
      <c r="GHX467" s="268"/>
      <c r="GHY467" s="268"/>
      <c r="GHZ467" s="268"/>
      <c r="GIA467" s="268"/>
      <c r="GIB467" s="268"/>
      <c r="GIC467" s="268"/>
      <c r="GID467" s="268"/>
      <c r="GIE467" s="268"/>
      <c r="GIF467" s="268"/>
      <c r="GIG467" s="268"/>
      <c r="GIH467" s="268"/>
      <c r="GII467" s="268"/>
      <c r="GIJ467" s="268"/>
      <c r="GIK467" s="268"/>
      <c r="GIL467" s="268"/>
      <c r="GIM467" s="268"/>
      <c r="GIN467" s="268"/>
      <c r="GIO467" s="268"/>
      <c r="GIP467" s="268"/>
      <c r="GIQ467" s="268"/>
      <c r="GIR467" s="268"/>
      <c r="GIS467" s="268"/>
      <c r="GIT467" s="268"/>
      <c r="GIU467" s="268"/>
      <c r="GIV467" s="268"/>
      <c r="GIW467" s="268"/>
      <c r="GIX467" s="268"/>
      <c r="GIY467" s="268"/>
      <c r="GIZ467" s="268"/>
      <c r="GJA467" s="268"/>
      <c r="GJB467" s="268"/>
      <c r="GJC467" s="268"/>
      <c r="GJD467" s="268"/>
      <c r="GJE467" s="268"/>
      <c r="GJF467" s="268"/>
      <c r="GJG467" s="268"/>
      <c r="GJH467" s="268"/>
      <c r="GJI467" s="268"/>
      <c r="GJJ467" s="268"/>
      <c r="GJK467" s="268"/>
      <c r="GJL467" s="268"/>
      <c r="GJM467" s="268"/>
      <c r="GJN467" s="268"/>
      <c r="GJO467" s="268"/>
      <c r="GJP467" s="268"/>
      <c r="GJQ467" s="268"/>
      <c r="GJR467" s="268"/>
      <c r="GJS467" s="268"/>
      <c r="GJT467" s="268"/>
      <c r="GJU467" s="268"/>
      <c r="GJV467" s="268"/>
      <c r="GJW467" s="268"/>
      <c r="GJX467" s="268"/>
      <c r="GJY467" s="268"/>
      <c r="GJZ467" s="268"/>
      <c r="GKA467" s="268"/>
      <c r="GKB467" s="268"/>
      <c r="GKC467" s="268"/>
      <c r="GKD467" s="268"/>
      <c r="GKE467" s="268"/>
      <c r="GKF467" s="268"/>
      <c r="GKG467" s="268"/>
      <c r="GKH467" s="268"/>
      <c r="GKI467" s="268"/>
      <c r="GKJ467" s="268"/>
      <c r="GKK467" s="268"/>
      <c r="GKL467" s="268"/>
      <c r="GKM467" s="268"/>
      <c r="GKN467" s="268"/>
      <c r="GKO467" s="268"/>
      <c r="GKP467" s="268"/>
      <c r="GKQ467" s="268"/>
      <c r="GKR467" s="268"/>
      <c r="GKS467" s="268"/>
      <c r="GKT467" s="268"/>
      <c r="GKU467" s="268"/>
      <c r="GKV467" s="268"/>
      <c r="GKW467" s="268"/>
      <c r="GKX467" s="268"/>
      <c r="GKY467" s="268"/>
      <c r="GKZ467" s="268"/>
      <c r="GLA467" s="268"/>
      <c r="GLB467" s="268"/>
      <c r="GLC467" s="268"/>
      <c r="GLD467" s="268"/>
      <c r="GLE467" s="268"/>
      <c r="GLF467" s="268"/>
      <c r="GLG467" s="268"/>
      <c r="GLH467" s="268"/>
      <c r="GLI467" s="268"/>
      <c r="GLJ467" s="268"/>
      <c r="GLK467" s="268"/>
      <c r="GLL467" s="268"/>
      <c r="GLM467" s="268"/>
      <c r="GLN467" s="268"/>
      <c r="GLO467" s="268"/>
      <c r="GLP467" s="268"/>
      <c r="GLQ467" s="268"/>
      <c r="GLR467" s="268"/>
      <c r="GLS467" s="268"/>
      <c r="GLT467" s="268"/>
      <c r="GLU467" s="268"/>
      <c r="GLV467" s="268"/>
      <c r="GLW467" s="268"/>
      <c r="GLX467" s="268"/>
      <c r="GLY467" s="268"/>
      <c r="GLZ467" s="268"/>
      <c r="GMA467" s="268"/>
      <c r="GMB467" s="268"/>
      <c r="GMC467" s="268"/>
      <c r="GMD467" s="268"/>
      <c r="GME467" s="268"/>
      <c r="GMF467" s="268"/>
      <c r="GMG467" s="268"/>
      <c r="GMH467" s="268"/>
      <c r="GMI467" s="268"/>
      <c r="GMJ467" s="268"/>
      <c r="GMK467" s="268"/>
      <c r="GML467" s="268"/>
      <c r="GMM467" s="268"/>
      <c r="GMN467" s="268"/>
      <c r="GMO467" s="268"/>
      <c r="GMP467" s="268"/>
      <c r="GMQ467" s="268"/>
      <c r="GMR467" s="268"/>
      <c r="GMS467" s="268"/>
      <c r="GMT467" s="268"/>
      <c r="GMU467" s="268"/>
      <c r="GMV467" s="268"/>
      <c r="GMW467" s="268"/>
      <c r="GMX467" s="268"/>
      <c r="GMY467" s="268"/>
      <c r="GMZ467" s="268"/>
      <c r="GNA467" s="268"/>
      <c r="GNB467" s="268"/>
      <c r="GNC467" s="268"/>
      <c r="GND467" s="268"/>
      <c r="GNE467" s="268"/>
      <c r="GNF467" s="268"/>
      <c r="GNG467" s="268"/>
      <c r="GNH467" s="268"/>
      <c r="GNI467" s="268"/>
      <c r="GNJ467" s="268"/>
      <c r="GNK467" s="268"/>
      <c r="GNL467" s="268"/>
      <c r="GNM467" s="268"/>
      <c r="GNN467" s="268"/>
      <c r="GNO467" s="268"/>
      <c r="GOC467" s="268"/>
      <c r="GOD467" s="268"/>
      <c r="GOE467" s="268"/>
      <c r="GOS467" s="268"/>
      <c r="GOU467" s="268"/>
      <c r="GOV467" s="268"/>
      <c r="GOW467" s="268"/>
      <c r="GOX467" s="268"/>
      <c r="GOY467" s="268"/>
      <c r="GOZ467" s="268"/>
      <c r="GPA467" s="268"/>
      <c r="GPB467" s="268"/>
      <c r="GPC467" s="268"/>
      <c r="GPD467" s="268"/>
      <c r="GPE467" s="268"/>
      <c r="GPF467" s="268"/>
      <c r="GPG467" s="268"/>
      <c r="GPH467" s="268"/>
      <c r="GPI467" s="268"/>
      <c r="GPJ467" s="268"/>
      <c r="GPK467" s="268"/>
      <c r="GPL467" s="268"/>
      <c r="GPM467" s="268"/>
      <c r="GPN467" s="268"/>
      <c r="GPO467" s="268"/>
      <c r="GPP467" s="268"/>
      <c r="GPQ467" s="268"/>
      <c r="GPR467" s="268"/>
      <c r="GPS467" s="268"/>
      <c r="GPT467" s="268"/>
      <c r="GPU467" s="268"/>
      <c r="GPV467" s="268"/>
      <c r="GPW467" s="268"/>
      <c r="GPX467" s="268"/>
      <c r="GPY467" s="268"/>
      <c r="GPZ467" s="268"/>
      <c r="GQA467" s="268"/>
      <c r="GQB467" s="268"/>
      <c r="GQC467" s="268"/>
      <c r="GQD467" s="268"/>
      <c r="GQE467" s="268"/>
      <c r="GQF467" s="268"/>
      <c r="GQG467" s="268"/>
      <c r="GQH467" s="268"/>
      <c r="GQI467" s="268"/>
      <c r="GQJ467" s="268"/>
      <c r="GQK467" s="268"/>
      <c r="GQL467" s="268"/>
      <c r="GQM467" s="268"/>
      <c r="GQN467" s="268"/>
      <c r="GQO467" s="268"/>
      <c r="GQP467" s="268"/>
      <c r="GQQ467" s="268"/>
      <c r="GQR467" s="268"/>
      <c r="GQS467" s="268"/>
      <c r="GQT467" s="268"/>
      <c r="GQU467" s="268"/>
      <c r="GQV467" s="268"/>
      <c r="GQW467" s="268"/>
      <c r="GQX467" s="268"/>
      <c r="GQY467" s="268"/>
      <c r="GQZ467" s="268"/>
      <c r="GRA467" s="268"/>
      <c r="GRB467" s="268"/>
      <c r="GRC467" s="268"/>
      <c r="GRD467" s="268"/>
      <c r="GRE467" s="268"/>
      <c r="GRF467" s="268"/>
      <c r="GRG467" s="268"/>
      <c r="GRH467" s="268"/>
      <c r="GRI467" s="268"/>
      <c r="GRJ467" s="268"/>
      <c r="GRK467" s="268"/>
      <c r="GRL467" s="268"/>
      <c r="GRM467" s="268"/>
      <c r="GRN467" s="268"/>
      <c r="GRO467" s="268"/>
      <c r="GRP467" s="268"/>
      <c r="GRQ467" s="268"/>
      <c r="GRR467" s="268"/>
      <c r="GRS467" s="268"/>
      <c r="GRT467" s="268"/>
      <c r="GRU467" s="268"/>
      <c r="GRV467" s="268"/>
      <c r="GRW467" s="268"/>
      <c r="GRX467" s="268"/>
      <c r="GRY467" s="268"/>
      <c r="GRZ467" s="268"/>
      <c r="GSA467" s="268"/>
      <c r="GSB467" s="268"/>
      <c r="GSC467" s="268"/>
      <c r="GSD467" s="268"/>
      <c r="GSE467" s="268"/>
      <c r="GSF467" s="268"/>
      <c r="GSG467" s="268"/>
      <c r="GSH467" s="268"/>
      <c r="GSI467" s="268"/>
      <c r="GSJ467" s="268"/>
      <c r="GSK467" s="268"/>
      <c r="GSL467" s="268"/>
      <c r="GSM467" s="268"/>
      <c r="GSN467" s="268"/>
      <c r="GSO467" s="268"/>
      <c r="GSP467" s="268"/>
      <c r="GSQ467" s="268"/>
      <c r="GSR467" s="268"/>
      <c r="GSS467" s="268"/>
      <c r="GST467" s="268"/>
      <c r="GSU467" s="268"/>
      <c r="GSV467" s="268"/>
      <c r="GSW467" s="268"/>
      <c r="GSX467" s="268"/>
      <c r="GSY467" s="268"/>
      <c r="GSZ467" s="268"/>
      <c r="GTA467" s="268"/>
      <c r="GTB467" s="268"/>
      <c r="GTC467" s="268"/>
      <c r="GTD467" s="268"/>
      <c r="GTE467" s="268"/>
      <c r="GTF467" s="268"/>
      <c r="GTG467" s="268"/>
      <c r="GTH467" s="268"/>
      <c r="GTI467" s="268"/>
      <c r="GTJ467" s="268"/>
      <c r="GTK467" s="268"/>
      <c r="GTL467" s="268"/>
      <c r="GTM467" s="268"/>
      <c r="GTN467" s="268"/>
      <c r="GTO467" s="268"/>
      <c r="GTP467" s="268"/>
      <c r="GTQ467" s="268"/>
      <c r="GTR467" s="268"/>
      <c r="GTS467" s="268"/>
      <c r="GTT467" s="268"/>
      <c r="GTU467" s="268"/>
      <c r="GTV467" s="268"/>
      <c r="GTW467" s="268"/>
      <c r="GTX467" s="268"/>
      <c r="GTY467" s="268"/>
      <c r="GTZ467" s="268"/>
      <c r="GUA467" s="268"/>
      <c r="GUB467" s="268"/>
      <c r="GUC467" s="268"/>
      <c r="GUD467" s="268"/>
      <c r="GUE467" s="268"/>
      <c r="GUF467" s="268"/>
      <c r="GUG467" s="268"/>
      <c r="GUH467" s="268"/>
      <c r="GUI467" s="268"/>
      <c r="GUJ467" s="268"/>
      <c r="GUK467" s="268"/>
      <c r="GUL467" s="268"/>
      <c r="GUM467" s="268"/>
      <c r="GUN467" s="268"/>
      <c r="GUO467" s="268"/>
      <c r="GUP467" s="268"/>
      <c r="GUQ467" s="268"/>
      <c r="GUR467" s="268"/>
      <c r="GUS467" s="268"/>
      <c r="GUT467" s="268"/>
      <c r="GUU467" s="268"/>
      <c r="GUV467" s="268"/>
      <c r="GUW467" s="268"/>
      <c r="GUX467" s="268"/>
      <c r="GUY467" s="268"/>
      <c r="GUZ467" s="268"/>
      <c r="GVA467" s="268"/>
      <c r="GVB467" s="268"/>
      <c r="GVC467" s="268"/>
      <c r="GVD467" s="268"/>
      <c r="GVE467" s="268"/>
      <c r="GVF467" s="268"/>
      <c r="GVG467" s="268"/>
      <c r="GVH467" s="268"/>
      <c r="GVI467" s="268"/>
      <c r="GVJ467" s="268"/>
      <c r="GVK467" s="268"/>
      <c r="GVL467" s="268"/>
      <c r="GVM467" s="268"/>
      <c r="GVN467" s="268"/>
      <c r="GVO467" s="268"/>
      <c r="GVP467" s="268"/>
      <c r="GVQ467" s="268"/>
      <c r="GVR467" s="268"/>
      <c r="GVS467" s="268"/>
      <c r="GVT467" s="268"/>
      <c r="GVU467" s="268"/>
      <c r="GVV467" s="268"/>
      <c r="GVW467" s="268"/>
      <c r="GVX467" s="268"/>
      <c r="GVY467" s="268"/>
      <c r="GVZ467" s="268"/>
      <c r="GWA467" s="268"/>
      <c r="GWB467" s="268"/>
      <c r="GWC467" s="268"/>
      <c r="GWD467" s="268"/>
      <c r="GWE467" s="268"/>
      <c r="GWF467" s="268"/>
      <c r="GWG467" s="268"/>
      <c r="GWH467" s="268"/>
      <c r="GWI467" s="268"/>
      <c r="GWJ467" s="268"/>
      <c r="GWK467" s="268"/>
      <c r="GWL467" s="268"/>
      <c r="GWM467" s="268"/>
      <c r="GWN467" s="268"/>
      <c r="GWO467" s="268"/>
      <c r="GWP467" s="268"/>
      <c r="GWQ467" s="268"/>
      <c r="GWR467" s="268"/>
      <c r="GWS467" s="268"/>
      <c r="GWT467" s="268"/>
      <c r="GWU467" s="268"/>
      <c r="GWV467" s="268"/>
      <c r="GWW467" s="268"/>
      <c r="GWX467" s="268"/>
      <c r="GWY467" s="268"/>
      <c r="GWZ467" s="268"/>
      <c r="GXA467" s="268"/>
      <c r="GXB467" s="268"/>
      <c r="GXC467" s="268"/>
      <c r="GXD467" s="268"/>
      <c r="GXE467" s="268"/>
      <c r="GXF467" s="268"/>
      <c r="GXG467" s="268"/>
      <c r="GXH467" s="268"/>
      <c r="GXI467" s="268"/>
      <c r="GXJ467" s="268"/>
      <c r="GXK467" s="268"/>
      <c r="GXY467" s="268"/>
      <c r="GXZ467" s="268"/>
      <c r="GYA467" s="268"/>
      <c r="GYO467" s="268"/>
      <c r="GYQ467" s="268"/>
      <c r="GYR467" s="268"/>
      <c r="GYS467" s="268"/>
      <c r="GYT467" s="268"/>
      <c r="GYU467" s="268"/>
      <c r="GYV467" s="268"/>
      <c r="GYW467" s="268"/>
      <c r="GYX467" s="268"/>
      <c r="GYY467" s="268"/>
      <c r="GYZ467" s="268"/>
      <c r="GZA467" s="268"/>
      <c r="GZB467" s="268"/>
      <c r="GZC467" s="268"/>
      <c r="GZD467" s="268"/>
      <c r="GZE467" s="268"/>
      <c r="GZF467" s="268"/>
      <c r="GZG467" s="268"/>
      <c r="GZH467" s="268"/>
      <c r="GZI467" s="268"/>
      <c r="GZJ467" s="268"/>
      <c r="GZK467" s="268"/>
      <c r="GZL467" s="268"/>
      <c r="GZM467" s="268"/>
      <c r="GZN467" s="268"/>
      <c r="GZO467" s="268"/>
      <c r="GZP467" s="268"/>
      <c r="GZQ467" s="268"/>
      <c r="GZR467" s="268"/>
      <c r="GZS467" s="268"/>
      <c r="GZT467" s="268"/>
      <c r="GZU467" s="268"/>
      <c r="GZV467" s="268"/>
      <c r="GZW467" s="268"/>
      <c r="GZX467" s="268"/>
      <c r="GZY467" s="268"/>
      <c r="GZZ467" s="268"/>
      <c r="HAA467" s="268"/>
      <c r="HAB467" s="268"/>
      <c r="HAC467" s="268"/>
      <c r="HAD467" s="268"/>
      <c r="HAE467" s="268"/>
      <c r="HAF467" s="268"/>
      <c r="HAG467" s="268"/>
      <c r="HAH467" s="268"/>
      <c r="HAI467" s="268"/>
      <c r="HAJ467" s="268"/>
      <c r="HAK467" s="268"/>
      <c r="HAL467" s="268"/>
      <c r="HAM467" s="268"/>
      <c r="HAN467" s="268"/>
      <c r="HAO467" s="268"/>
      <c r="HAP467" s="268"/>
      <c r="HAQ467" s="268"/>
      <c r="HAR467" s="268"/>
      <c r="HAS467" s="268"/>
      <c r="HAT467" s="268"/>
      <c r="HAU467" s="268"/>
      <c r="HAV467" s="268"/>
      <c r="HAW467" s="268"/>
      <c r="HAX467" s="268"/>
      <c r="HAY467" s="268"/>
      <c r="HAZ467" s="268"/>
      <c r="HBA467" s="268"/>
      <c r="HBB467" s="268"/>
      <c r="HBC467" s="268"/>
      <c r="HBD467" s="268"/>
      <c r="HBE467" s="268"/>
      <c r="HBF467" s="268"/>
      <c r="HBG467" s="268"/>
      <c r="HBH467" s="268"/>
      <c r="HBI467" s="268"/>
      <c r="HBJ467" s="268"/>
      <c r="HBK467" s="268"/>
      <c r="HBL467" s="268"/>
      <c r="HBM467" s="268"/>
      <c r="HBN467" s="268"/>
      <c r="HBO467" s="268"/>
      <c r="HBP467" s="268"/>
      <c r="HBQ467" s="268"/>
      <c r="HBR467" s="268"/>
      <c r="HBS467" s="268"/>
      <c r="HBT467" s="268"/>
      <c r="HBU467" s="268"/>
      <c r="HBV467" s="268"/>
      <c r="HBW467" s="268"/>
      <c r="HBX467" s="268"/>
      <c r="HBY467" s="268"/>
      <c r="HBZ467" s="268"/>
      <c r="HCA467" s="268"/>
      <c r="HCB467" s="268"/>
      <c r="HCC467" s="268"/>
      <c r="HCD467" s="268"/>
      <c r="HCE467" s="268"/>
      <c r="HCF467" s="268"/>
      <c r="HCG467" s="268"/>
      <c r="HCH467" s="268"/>
      <c r="HCI467" s="268"/>
      <c r="HCJ467" s="268"/>
      <c r="HCK467" s="268"/>
      <c r="HCL467" s="268"/>
      <c r="HCM467" s="268"/>
      <c r="HCN467" s="268"/>
      <c r="HCO467" s="268"/>
      <c r="HCP467" s="268"/>
      <c r="HCQ467" s="268"/>
      <c r="HCR467" s="268"/>
      <c r="HCS467" s="268"/>
      <c r="HCT467" s="268"/>
      <c r="HCU467" s="268"/>
      <c r="HCV467" s="268"/>
      <c r="HCW467" s="268"/>
      <c r="HCX467" s="268"/>
      <c r="HCY467" s="268"/>
      <c r="HCZ467" s="268"/>
      <c r="HDA467" s="268"/>
      <c r="HDB467" s="268"/>
      <c r="HDC467" s="268"/>
      <c r="HDD467" s="268"/>
      <c r="HDE467" s="268"/>
      <c r="HDF467" s="268"/>
      <c r="HDG467" s="268"/>
      <c r="HDH467" s="268"/>
      <c r="HDI467" s="268"/>
      <c r="HDJ467" s="268"/>
      <c r="HDK467" s="268"/>
      <c r="HDL467" s="268"/>
      <c r="HDM467" s="268"/>
      <c r="HDN467" s="268"/>
      <c r="HDO467" s="268"/>
      <c r="HDP467" s="268"/>
      <c r="HDQ467" s="268"/>
      <c r="HDR467" s="268"/>
      <c r="HDS467" s="268"/>
      <c r="HDT467" s="268"/>
      <c r="HDU467" s="268"/>
      <c r="HDV467" s="268"/>
      <c r="HDW467" s="268"/>
      <c r="HDX467" s="268"/>
      <c r="HDY467" s="268"/>
      <c r="HDZ467" s="268"/>
      <c r="HEA467" s="268"/>
      <c r="HEB467" s="268"/>
      <c r="HEC467" s="268"/>
      <c r="HED467" s="268"/>
      <c r="HEE467" s="268"/>
      <c r="HEF467" s="268"/>
      <c r="HEG467" s="268"/>
      <c r="HEH467" s="268"/>
      <c r="HEI467" s="268"/>
      <c r="HEJ467" s="268"/>
      <c r="HEK467" s="268"/>
      <c r="HEL467" s="268"/>
      <c r="HEM467" s="268"/>
      <c r="HEN467" s="268"/>
      <c r="HEO467" s="268"/>
      <c r="HEP467" s="268"/>
      <c r="HEQ467" s="268"/>
      <c r="HER467" s="268"/>
      <c r="HES467" s="268"/>
      <c r="HET467" s="268"/>
      <c r="HEU467" s="268"/>
      <c r="HEV467" s="268"/>
      <c r="HEW467" s="268"/>
      <c r="HEX467" s="268"/>
      <c r="HEY467" s="268"/>
      <c r="HEZ467" s="268"/>
      <c r="HFA467" s="268"/>
      <c r="HFB467" s="268"/>
      <c r="HFC467" s="268"/>
      <c r="HFD467" s="268"/>
      <c r="HFE467" s="268"/>
      <c r="HFF467" s="268"/>
      <c r="HFG467" s="268"/>
      <c r="HFH467" s="268"/>
      <c r="HFI467" s="268"/>
      <c r="HFJ467" s="268"/>
      <c r="HFK467" s="268"/>
      <c r="HFL467" s="268"/>
      <c r="HFM467" s="268"/>
      <c r="HFN467" s="268"/>
      <c r="HFO467" s="268"/>
      <c r="HFP467" s="268"/>
      <c r="HFQ467" s="268"/>
      <c r="HFR467" s="268"/>
      <c r="HFS467" s="268"/>
      <c r="HFT467" s="268"/>
      <c r="HFU467" s="268"/>
      <c r="HFV467" s="268"/>
      <c r="HFW467" s="268"/>
      <c r="HFX467" s="268"/>
      <c r="HFY467" s="268"/>
      <c r="HFZ467" s="268"/>
      <c r="HGA467" s="268"/>
      <c r="HGB467" s="268"/>
      <c r="HGC467" s="268"/>
      <c r="HGD467" s="268"/>
      <c r="HGE467" s="268"/>
      <c r="HGF467" s="268"/>
      <c r="HGG467" s="268"/>
      <c r="HGH467" s="268"/>
      <c r="HGI467" s="268"/>
      <c r="HGJ467" s="268"/>
      <c r="HGK467" s="268"/>
      <c r="HGL467" s="268"/>
      <c r="HGM467" s="268"/>
      <c r="HGN467" s="268"/>
      <c r="HGO467" s="268"/>
      <c r="HGP467" s="268"/>
      <c r="HGQ467" s="268"/>
      <c r="HGR467" s="268"/>
      <c r="HGS467" s="268"/>
      <c r="HGT467" s="268"/>
      <c r="HGU467" s="268"/>
      <c r="HGV467" s="268"/>
      <c r="HGW467" s="268"/>
      <c r="HGX467" s="268"/>
      <c r="HGY467" s="268"/>
      <c r="HGZ467" s="268"/>
      <c r="HHA467" s="268"/>
      <c r="HHB467" s="268"/>
      <c r="HHC467" s="268"/>
      <c r="HHD467" s="268"/>
      <c r="HHE467" s="268"/>
      <c r="HHF467" s="268"/>
      <c r="HHG467" s="268"/>
      <c r="HHU467" s="268"/>
      <c r="HHV467" s="268"/>
      <c r="HHW467" s="268"/>
      <c r="HIK467" s="268"/>
      <c r="HIM467" s="268"/>
      <c r="HIN467" s="268"/>
      <c r="HIO467" s="268"/>
      <c r="HIP467" s="268"/>
      <c r="HIQ467" s="268"/>
      <c r="HIR467" s="268"/>
      <c r="HIS467" s="268"/>
      <c r="HIT467" s="268"/>
      <c r="HIU467" s="268"/>
      <c r="HIV467" s="268"/>
      <c r="HIW467" s="268"/>
      <c r="HIX467" s="268"/>
      <c r="HIY467" s="268"/>
      <c r="HIZ467" s="268"/>
      <c r="HJA467" s="268"/>
      <c r="HJB467" s="268"/>
      <c r="HJC467" s="268"/>
      <c r="HJD467" s="268"/>
      <c r="HJE467" s="268"/>
      <c r="HJF467" s="268"/>
      <c r="HJG467" s="268"/>
      <c r="HJH467" s="268"/>
      <c r="HJI467" s="268"/>
      <c r="HJJ467" s="268"/>
      <c r="HJK467" s="268"/>
      <c r="HJL467" s="268"/>
      <c r="HJM467" s="268"/>
      <c r="HJN467" s="268"/>
      <c r="HJO467" s="268"/>
      <c r="HJP467" s="268"/>
      <c r="HJQ467" s="268"/>
      <c r="HJR467" s="268"/>
      <c r="HJS467" s="268"/>
      <c r="HJT467" s="268"/>
      <c r="HJU467" s="268"/>
      <c r="HJV467" s="268"/>
      <c r="HJW467" s="268"/>
      <c r="HJX467" s="268"/>
      <c r="HJY467" s="268"/>
      <c r="HJZ467" s="268"/>
      <c r="HKA467" s="268"/>
      <c r="HKB467" s="268"/>
      <c r="HKC467" s="268"/>
      <c r="HKD467" s="268"/>
      <c r="HKE467" s="268"/>
      <c r="HKF467" s="268"/>
      <c r="HKG467" s="268"/>
      <c r="HKH467" s="268"/>
      <c r="HKI467" s="268"/>
      <c r="HKJ467" s="268"/>
      <c r="HKK467" s="268"/>
      <c r="HKL467" s="268"/>
      <c r="HKM467" s="268"/>
      <c r="HKN467" s="268"/>
      <c r="HKO467" s="268"/>
      <c r="HKP467" s="268"/>
      <c r="HKQ467" s="268"/>
      <c r="HKR467" s="268"/>
      <c r="HKS467" s="268"/>
      <c r="HKT467" s="268"/>
      <c r="HKU467" s="268"/>
      <c r="HKV467" s="268"/>
      <c r="HKW467" s="268"/>
      <c r="HKX467" s="268"/>
      <c r="HKY467" s="268"/>
      <c r="HKZ467" s="268"/>
      <c r="HLA467" s="268"/>
      <c r="HLB467" s="268"/>
      <c r="HLC467" s="268"/>
      <c r="HLD467" s="268"/>
      <c r="HLE467" s="268"/>
      <c r="HLF467" s="268"/>
      <c r="HLG467" s="268"/>
      <c r="HLH467" s="268"/>
      <c r="HLI467" s="268"/>
      <c r="HLJ467" s="268"/>
      <c r="HLK467" s="268"/>
      <c r="HLL467" s="268"/>
      <c r="HLM467" s="268"/>
      <c r="HLN467" s="268"/>
      <c r="HLO467" s="268"/>
      <c r="HLP467" s="268"/>
      <c r="HLQ467" s="268"/>
      <c r="HLR467" s="268"/>
      <c r="HLS467" s="268"/>
      <c r="HLT467" s="268"/>
      <c r="HLU467" s="268"/>
      <c r="HLV467" s="268"/>
      <c r="HLW467" s="268"/>
      <c r="HLX467" s="268"/>
      <c r="HLY467" s="268"/>
      <c r="HLZ467" s="268"/>
      <c r="HMA467" s="268"/>
      <c r="HMB467" s="268"/>
      <c r="HMC467" s="268"/>
      <c r="HMD467" s="268"/>
      <c r="HME467" s="268"/>
      <c r="HMF467" s="268"/>
      <c r="HMG467" s="268"/>
      <c r="HMH467" s="268"/>
      <c r="HMI467" s="268"/>
      <c r="HMJ467" s="268"/>
      <c r="HMK467" s="268"/>
      <c r="HML467" s="268"/>
      <c r="HMM467" s="268"/>
      <c r="HMN467" s="268"/>
      <c r="HMO467" s="268"/>
      <c r="HMP467" s="268"/>
      <c r="HMQ467" s="268"/>
      <c r="HMR467" s="268"/>
      <c r="HMS467" s="268"/>
      <c r="HMT467" s="268"/>
      <c r="HMU467" s="268"/>
      <c r="HMV467" s="268"/>
      <c r="HMW467" s="268"/>
      <c r="HMX467" s="268"/>
      <c r="HMY467" s="268"/>
      <c r="HMZ467" s="268"/>
      <c r="HNA467" s="268"/>
      <c r="HNB467" s="268"/>
      <c r="HNC467" s="268"/>
      <c r="HND467" s="268"/>
      <c r="HNE467" s="268"/>
      <c r="HNF467" s="268"/>
      <c r="HNG467" s="268"/>
      <c r="HNH467" s="268"/>
      <c r="HNI467" s="268"/>
      <c r="HNJ467" s="268"/>
      <c r="HNK467" s="268"/>
      <c r="HNL467" s="268"/>
      <c r="HNM467" s="268"/>
      <c r="HNN467" s="268"/>
      <c r="HNO467" s="268"/>
      <c r="HNP467" s="268"/>
      <c r="HNQ467" s="268"/>
      <c r="HNR467" s="268"/>
      <c r="HNS467" s="268"/>
      <c r="HNT467" s="268"/>
      <c r="HNU467" s="268"/>
      <c r="HNV467" s="268"/>
      <c r="HNW467" s="268"/>
      <c r="HNX467" s="268"/>
      <c r="HNY467" s="268"/>
      <c r="HNZ467" s="268"/>
      <c r="HOA467" s="268"/>
      <c r="HOB467" s="268"/>
      <c r="HOC467" s="268"/>
      <c r="HOD467" s="268"/>
      <c r="HOE467" s="268"/>
      <c r="HOF467" s="268"/>
      <c r="HOG467" s="268"/>
      <c r="HOH467" s="268"/>
      <c r="HOI467" s="268"/>
      <c r="HOJ467" s="268"/>
      <c r="HOK467" s="268"/>
      <c r="HOL467" s="268"/>
      <c r="HOM467" s="268"/>
      <c r="HON467" s="268"/>
      <c r="HOO467" s="268"/>
      <c r="HOP467" s="268"/>
      <c r="HOQ467" s="268"/>
      <c r="HOR467" s="268"/>
      <c r="HOS467" s="268"/>
      <c r="HOT467" s="268"/>
      <c r="HOU467" s="268"/>
      <c r="HOV467" s="268"/>
      <c r="HOW467" s="268"/>
      <c r="HOX467" s="268"/>
      <c r="HOY467" s="268"/>
      <c r="HOZ467" s="268"/>
      <c r="HPA467" s="268"/>
      <c r="HPB467" s="268"/>
      <c r="HPC467" s="268"/>
      <c r="HPD467" s="268"/>
      <c r="HPE467" s="268"/>
      <c r="HPF467" s="268"/>
      <c r="HPG467" s="268"/>
      <c r="HPH467" s="268"/>
      <c r="HPI467" s="268"/>
      <c r="HPJ467" s="268"/>
      <c r="HPK467" s="268"/>
      <c r="HPL467" s="268"/>
      <c r="HPM467" s="268"/>
      <c r="HPN467" s="268"/>
      <c r="HPO467" s="268"/>
      <c r="HPP467" s="268"/>
      <c r="HPQ467" s="268"/>
      <c r="HPR467" s="268"/>
      <c r="HPS467" s="268"/>
      <c r="HPT467" s="268"/>
      <c r="HPU467" s="268"/>
      <c r="HPV467" s="268"/>
      <c r="HPW467" s="268"/>
      <c r="HPX467" s="268"/>
      <c r="HPY467" s="268"/>
      <c r="HPZ467" s="268"/>
      <c r="HQA467" s="268"/>
      <c r="HQB467" s="268"/>
      <c r="HQC467" s="268"/>
      <c r="HQD467" s="268"/>
      <c r="HQE467" s="268"/>
      <c r="HQF467" s="268"/>
      <c r="HQG467" s="268"/>
      <c r="HQH467" s="268"/>
      <c r="HQI467" s="268"/>
      <c r="HQJ467" s="268"/>
      <c r="HQK467" s="268"/>
      <c r="HQL467" s="268"/>
      <c r="HQM467" s="268"/>
      <c r="HQN467" s="268"/>
      <c r="HQO467" s="268"/>
      <c r="HQP467" s="268"/>
      <c r="HQQ467" s="268"/>
      <c r="HQR467" s="268"/>
      <c r="HQS467" s="268"/>
      <c r="HQT467" s="268"/>
      <c r="HQU467" s="268"/>
      <c r="HQV467" s="268"/>
      <c r="HQW467" s="268"/>
      <c r="HQX467" s="268"/>
      <c r="HQY467" s="268"/>
      <c r="HQZ467" s="268"/>
      <c r="HRA467" s="268"/>
      <c r="HRB467" s="268"/>
      <c r="HRC467" s="268"/>
      <c r="HRQ467" s="268"/>
      <c r="HRR467" s="268"/>
      <c r="HRS467" s="268"/>
      <c r="HSG467" s="268"/>
      <c r="HSI467" s="268"/>
      <c r="HSJ467" s="268"/>
      <c r="HSK467" s="268"/>
      <c r="HSL467" s="268"/>
      <c r="HSM467" s="268"/>
      <c r="HSN467" s="268"/>
      <c r="HSO467" s="268"/>
      <c r="HSP467" s="268"/>
      <c r="HSQ467" s="268"/>
      <c r="HSR467" s="268"/>
      <c r="HSS467" s="268"/>
      <c r="HST467" s="268"/>
      <c r="HSU467" s="268"/>
      <c r="HSV467" s="268"/>
      <c r="HSW467" s="268"/>
      <c r="HSX467" s="268"/>
      <c r="HSY467" s="268"/>
      <c r="HSZ467" s="268"/>
      <c r="HTA467" s="268"/>
      <c r="HTB467" s="268"/>
      <c r="HTC467" s="268"/>
      <c r="HTD467" s="268"/>
      <c r="HTE467" s="268"/>
      <c r="HTF467" s="268"/>
      <c r="HTG467" s="268"/>
      <c r="HTH467" s="268"/>
      <c r="HTI467" s="268"/>
      <c r="HTJ467" s="268"/>
      <c r="HTK467" s="268"/>
      <c r="HTL467" s="268"/>
      <c r="HTM467" s="268"/>
      <c r="HTN467" s="268"/>
      <c r="HTO467" s="268"/>
      <c r="HTP467" s="268"/>
      <c r="HTQ467" s="268"/>
      <c r="HTR467" s="268"/>
      <c r="HTS467" s="268"/>
      <c r="HTT467" s="268"/>
      <c r="HTU467" s="268"/>
      <c r="HTV467" s="268"/>
      <c r="HTW467" s="268"/>
      <c r="HTX467" s="268"/>
      <c r="HTY467" s="268"/>
      <c r="HTZ467" s="268"/>
      <c r="HUA467" s="268"/>
      <c r="HUB467" s="268"/>
      <c r="HUC467" s="268"/>
      <c r="HUD467" s="268"/>
      <c r="HUE467" s="268"/>
      <c r="HUF467" s="268"/>
      <c r="HUG467" s="268"/>
      <c r="HUH467" s="268"/>
      <c r="HUI467" s="268"/>
      <c r="HUJ467" s="268"/>
      <c r="HUK467" s="268"/>
      <c r="HUL467" s="268"/>
      <c r="HUM467" s="268"/>
      <c r="HUN467" s="268"/>
      <c r="HUO467" s="268"/>
      <c r="HUP467" s="268"/>
      <c r="HUQ467" s="268"/>
      <c r="HUR467" s="268"/>
      <c r="HUS467" s="268"/>
      <c r="HUT467" s="268"/>
      <c r="HUU467" s="268"/>
      <c r="HUV467" s="268"/>
      <c r="HUW467" s="268"/>
      <c r="HUX467" s="268"/>
      <c r="HUY467" s="268"/>
      <c r="HUZ467" s="268"/>
      <c r="HVA467" s="268"/>
      <c r="HVB467" s="268"/>
      <c r="HVC467" s="268"/>
      <c r="HVD467" s="268"/>
      <c r="HVE467" s="268"/>
      <c r="HVF467" s="268"/>
      <c r="HVG467" s="268"/>
      <c r="HVH467" s="268"/>
      <c r="HVI467" s="268"/>
      <c r="HVJ467" s="268"/>
      <c r="HVK467" s="268"/>
      <c r="HVL467" s="268"/>
      <c r="HVM467" s="268"/>
      <c r="HVN467" s="268"/>
      <c r="HVO467" s="268"/>
      <c r="HVP467" s="268"/>
      <c r="HVQ467" s="268"/>
      <c r="HVR467" s="268"/>
      <c r="HVS467" s="268"/>
      <c r="HVT467" s="268"/>
      <c r="HVU467" s="268"/>
      <c r="HVV467" s="268"/>
      <c r="HVW467" s="268"/>
      <c r="HVX467" s="268"/>
      <c r="HVY467" s="268"/>
      <c r="HVZ467" s="268"/>
      <c r="HWA467" s="268"/>
      <c r="HWB467" s="268"/>
      <c r="HWC467" s="268"/>
      <c r="HWD467" s="268"/>
      <c r="HWE467" s="268"/>
      <c r="HWF467" s="268"/>
      <c r="HWG467" s="268"/>
      <c r="HWH467" s="268"/>
      <c r="HWI467" s="268"/>
      <c r="HWJ467" s="268"/>
      <c r="HWK467" s="268"/>
      <c r="HWL467" s="268"/>
      <c r="HWM467" s="268"/>
      <c r="HWN467" s="268"/>
      <c r="HWO467" s="268"/>
      <c r="HWP467" s="268"/>
      <c r="HWQ467" s="268"/>
      <c r="HWR467" s="268"/>
      <c r="HWS467" s="268"/>
      <c r="HWT467" s="268"/>
      <c r="HWU467" s="268"/>
      <c r="HWV467" s="268"/>
      <c r="HWW467" s="268"/>
      <c r="HWX467" s="268"/>
      <c r="HWY467" s="268"/>
      <c r="HWZ467" s="268"/>
      <c r="HXA467" s="268"/>
      <c r="HXB467" s="268"/>
      <c r="HXC467" s="268"/>
      <c r="HXD467" s="268"/>
      <c r="HXE467" s="268"/>
      <c r="HXF467" s="268"/>
      <c r="HXG467" s="268"/>
      <c r="HXH467" s="268"/>
      <c r="HXI467" s="268"/>
      <c r="HXJ467" s="268"/>
      <c r="HXK467" s="268"/>
      <c r="HXL467" s="268"/>
      <c r="HXM467" s="268"/>
      <c r="HXN467" s="268"/>
      <c r="HXO467" s="268"/>
      <c r="HXP467" s="268"/>
      <c r="HXQ467" s="268"/>
      <c r="HXR467" s="268"/>
      <c r="HXS467" s="268"/>
      <c r="HXT467" s="268"/>
      <c r="HXU467" s="268"/>
      <c r="HXV467" s="268"/>
      <c r="HXW467" s="268"/>
      <c r="HXX467" s="268"/>
      <c r="HXY467" s="268"/>
      <c r="HXZ467" s="268"/>
      <c r="HYA467" s="268"/>
      <c r="HYB467" s="268"/>
      <c r="HYC467" s="268"/>
      <c r="HYD467" s="268"/>
      <c r="HYE467" s="268"/>
      <c r="HYF467" s="268"/>
      <c r="HYG467" s="268"/>
      <c r="HYH467" s="268"/>
      <c r="HYI467" s="268"/>
      <c r="HYJ467" s="268"/>
      <c r="HYK467" s="268"/>
      <c r="HYL467" s="268"/>
      <c r="HYM467" s="268"/>
      <c r="HYN467" s="268"/>
      <c r="HYO467" s="268"/>
      <c r="HYP467" s="268"/>
      <c r="HYQ467" s="268"/>
      <c r="HYR467" s="268"/>
      <c r="HYS467" s="268"/>
      <c r="HYT467" s="268"/>
      <c r="HYU467" s="268"/>
      <c r="HYV467" s="268"/>
      <c r="HYW467" s="268"/>
      <c r="HYX467" s="268"/>
      <c r="HYY467" s="268"/>
      <c r="HYZ467" s="268"/>
      <c r="HZA467" s="268"/>
      <c r="HZB467" s="268"/>
      <c r="HZC467" s="268"/>
      <c r="HZD467" s="268"/>
      <c r="HZE467" s="268"/>
      <c r="HZF467" s="268"/>
      <c r="HZG467" s="268"/>
      <c r="HZH467" s="268"/>
      <c r="HZI467" s="268"/>
      <c r="HZJ467" s="268"/>
      <c r="HZK467" s="268"/>
      <c r="HZL467" s="268"/>
      <c r="HZM467" s="268"/>
      <c r="HZN467" s="268"/>
      <c r="HZO467" s="268"/>
      <c r="HZP467" s="268"/>
      <c r="HZQ467" s="268"/>
      <c r="HZR467" s="268"/>
      <c r="HZS467" s="268"/>
      <c r="HZT467" s="268"/>
      <c r="HZU467" s="268"/>
      <c r="HZV467" s="268"/>
      <c r="HZW467" s="268"/>
      <c r="HZX467" s="268"/>
      <c r="HZY467" s="268"/>
      <c r="HZZ467" s="268"/>
      <c r="IAA467" s="268"/>
      <c r="IAB467" s="268"/>
      <c r="IAC467" s="268"/>
      <c r="IAD467" s="268"/>
      <c r="IAE467" s="268"/>
      <c r="IAF467" s="268"/>
      <c r="IAG467" s="268"/>
      <c r="IAH467" s="268"/>
      <c r="IAI467" s="268"/>
      <c r="IAJ467" s="268"/>
      <c r="IAK467" s="268"/>
      <c r="IAL467" s="268"/>
      <c r="IAM467" s="268"/>
      <c r="IAN467" s="268"/>
      <c r="IAO467" s="268"/>
      <c r="IAP467" s="268"/>
      <c r="IAQ467" s="268"/>
      <c r="IAR467" s="268"/>
      <c r="IAS467" s="268"/>
      <c r="IAT467" s="268"/>
      <c r="IAU467" s="268"/>
      <c r="IAV467" s="268"/>
      <c r="IAW467" s="268"/>
      <c r="IAX467" s="268"/>
      <c r="IAY467" s="268"/>
      <c r="IBM467" s="268"/>
      <c r="IBN467" s="268"/>
      <c r="IBO467" s="268"/>
      <c r="ICC467" s="268"/>
      <c r="ICE467" s="268"/>
      <c r="ICF467" s="268"/>
      <c r="ICG467" s="268"/>
      <c r="ICH467" s="268"/>
      <c r="ICI467" s="268"/>
      <c r="ICJ467" s="268"/>
      <c r="ICK467" s="268"/>
      <c r="ICL467" s="268"/>
      <c r="ICM467" s="268"/>
      <c r="ICN467" s="268"/>
      <c r="ICO467" s="268"/>
      <c r="ICP467" s="268"/>
      <c r="ICQ467" s="268"/>
      <c r="ICR467" s="268"/>
      <c r="ICS467" s="268"/>
      <c r="ICT467" s="268"/>
      <c r="ICU467" s="268"/>
      <c r="ICV467" s="268"/>
      <c r="ICW467" s="268"/>
      <c r="ICX467" s="268"/>
      <c r="ICY467" s="268"/>
      <c r="ICZ467" s="268"/>
      <c r="IDA467" s="268"/>
      <c r="IDB467" s="268"/>
      <c r="IDC467" s="268"/>
      <c r="IDD467" s="268"/>
      <c r="IDE467" s="268"/>
      <c r="IDF467" s="268"/>
      <c r="IDG467" s="268"/>
      <c r="IDH467" s="268"/>
      <c r="IDI467" s="268"/>
      <c r="IDJ467" s="268"/>
      <c r="IDK467" s="268"/>
      <c r="IDL467" s="268"/>
      <c r="IDM467" s="268"/>
      <c r="IDN467" s="268"/>
      <c r="IDO467" s="268"/>
      <c r="IDP467" s="268"/>
      <c r="IDQ467" s="268"/>
      <c r="IDR467" s="268"/>
      <c r="IDS467" s="268"/>
      <c r="IDT467" s="268"/>
      <c r="IDU467" s="268"/>
      <c r="IDV467" s="268"/>
      <c r="IDW467" s="268"/>
      <c r="IDX467" s="268"/>
      <c r="IDY467" s="268"/>
      <c r="IDZ467" s="268"/>
      <c r="IEA467" s="268"/>
      <c r="IEB467" s="268"/>
      <c r="IEC467" s="268"/>
      <c r="IED467" s="268"/>
      <c r="IEE467" s="268"/>
      <c r="IEF467" s="268"/>
      <c r="IEG467" s="268"/>
      <c r="IEH467" s="268"/>
      <c r="IEI467" s="268"/>
      <c r="IEJ467" s="268"/>
      <c r="IEK467" s="268"/>
      <c r="IEL467" s="268"/>
      <c r="IEM467" s="268"/>
      <c r="IEN467" s="268"/>
      <c r="IEO467" s="268"/>
      <c r="IEP467" s="268"/>
      <c r="IEQ467" s="268"/>
      <c r="IER467" s="268"/>
      <c r="IES467" s="268"/>
      <c r="IET467" s="268"/>
      <c r="IEU467" s="268"/>
      <c r="IEV467" s="268"/>
      <c r="IEW467" s="268"/>
      <c r="IEX467" s="268"/>
      <c r="IEY467" s="268"/>
      <c r="IEZ467" s="268"/>
      <c r="IFA467" s="268"/>
      <c r="IFB467" s="268"/>
      <c r="IFC467" s="268"/>
      <c r="IFD467" s="268"/>
      <c r="IFE467" s="268"/>
      <c r="IFF467" s="268"/>
      <c r="IFG467" s="268"/>
      <c r="IFH467" s="268"/>
      <c r="IFI467" s="268"/>
      <c r="IFJ467" s="268"/>
      <c r="IFK467" s="268"/>
      <c r="IFL467" s="268"/>
      <c r="IFM467" s="268"/>
      <c r="IFN467" s="268"/>
      <c r="IFO467" s="268"/>
      <c r="IFP467" s="268"/>
      <c r="IFQ467" s="268"/>
      <c r="IFR467" s="268"/>
      <c r="IFS467" s="268"/>
      <c r="IFT467" s="268"/>
      <c r="IFU467" s="268"/>
      <c r="IFV467" s="268"/>
      <c r="IFW467" s="268"/>
      <c r="IFX467" s="268"/>
      <c r="IFY467" s="268"/>
      <c r="IFZ467" s="268"/>
      <c r="IGA467" s="268"/>
      <c r="IGB467" s="268"/>
      <c r="IGC467" s="268"/>
      <c r="IGD467" s="268"/>
      <c r="IGE467" s="268"/>
      <c r="IGF467" s="268"/>
      <c r="IGG467" s="268"/>
      <c r="IGH467" s="268"/>
      <c r="IGI467" s="268"/>
      <c r="IGJ467" s="268"/>
      <c r="IGK467" s="268"/>
      <c r="IGL467" s="268"/>
      <c r="IGM467" s="268"/>
      <c r="IGN467" s="268"/>
      <c r="IGO467" s="268"/>
      <c r="IGP467" s="268"/>
      <c r="IGQ467" s="268"/>
      <c r="IGR467" s="268"/>
      <c r="IGS467" s="268"/>
      <c r="IGT467" s="268"/>
      <c r="IGU467" s="268"/>
      <c r="IGV467" s="268"/>
      <c r="IGW467" s="268"/>
      <c r="IGX467" s="268"/>
      <c r="IGY467" s="268"/>
      <c r="IGZ467" s="268"/>
      <c r="IHA467" s="268"/>
      <c r="IHB467" s="268"/>
      <c r="IHC467" s="268"/>
      <c r="IHD467" s="268"/>
      <c r="IHE467" s="268"/>
      <c r="IHF467" s="268"/>
      <c r="IHG467" s="268"/>
      <c r="IHH467" s="268"/>
      <c r="IHI467" s="268"/>
      <c r="IHJ467" s="268"/>
      <c r="IHK467" s="268"/>
      <c r="IHL467" s="268"/>
      <c r="IHM467" s="268"/>
      <c r="IHN467" s="268"/>
      <c r="IHO467" s="268"/>
      <c r="IHP467" s="268"/>
      <c r="IHQ467" s="268"/>
      <c r="IHR467" s="268"/>
      <c r="IHS467" s="268"/>
      <c r="IHT467" s="268"/>
      <c r="IHU467" s="268"/>
      <c r="IHV467" s="268"/>
      <c r="IHW467" s="268"/>
      <c r="IHX467" s="268"/>
      <c r="IHY467" s="268"/>
      <c r="IHZ467" s="268"/>
      <c r="IIA467" s="268"/>
      <c r="IIB467" s="268"/>
      <c r="IIC467" s="268"/>
      <c r="IID467" s="268"/>
      <c r="IIE467" s="268"/>
      <c r="IIF467" s="268"/>
      <c r="IIG467" s="268"/>
      <c r="IIH467" s="268"/>
      <c r="III467" s="268"/>
      <c r="IIJ467" s="268"/>
      <c r="IIK467" s="268"/>
      <c r="IIL467" s="268"/>
      <c r="IIM467" s="268"/>
      <c r="IIN467" s="268"/>
      <c r="IIO467" s="268"/>
      <c r="IIP467" s="268"/>
      <c r="IIQ467" s="268"/>
      <c r="IIR467" s="268"/>
      <c r="IIS467" s="268"/>
      <c r="IIT467" s="268"/>
      <c r="IIU467" s="268"/>
      <c r="IIV467" s="268"/>
      <c r="IIW467" s="268"/>
      <c r="IIX467" s="268"/>
      <c r="IIY467" s="268"/>
      <c r="IIZ467" s="268"/>
      <c r="IJA467" s="268"/>
      <c r="IJB467" s="268"/>
      <c r="IJC467" s="268"/>
      <c r="IJD467" s="268"/>
      <c r="IJE467" s="268"/>
      <c r="IJF467" s="268"/>
      <c r="IJG467" s="268"/>
      <c r="IJH467" s="268"/>
      <c r="IJI467" s="268"/>
      <c r="IJJ467" s="268"/>
      <c r="IJK467" s="268"/>
      <c r="IJL467" s="268"/>
      <c r="IJM467" s="268"/>
      <c r="IJN467" s="268"/>
      <c r="IJO467" s="268"/>
      <c r="IJP467" s="268"/>
      <c r="IJQ467" s="268"/>
      <c r="IJR467" s="268"/>
      <c r="IJS467" s="268"/>
      <c r="IJT467" s="268"/>
      <c r="IJU467" s="268"/>
      <c r="IJV467" s="268"/>
      <c r="IJW467" s="268"/>
      <c r="IJX467" s="268"/>
      <c r="IJY467" s="268"/>
      <c r="IJZ467" s="268"/>
      <c r="IKA467" s="268"/>
      <c r="IKB467" s="268"/>
      <c r="IKC467" s="268"/>
      <c r="IKD467" s="268"/>
      <c r="IKE467" s="268"/>
      <c r="IKF467" s="268"/>
      <c r="IKG467" s="268"/>
      <c r="IKH467" s="268"/>
      <c r="IKI467" s="268"/>
      <c r="IKJ467" s="268"/>
      <c r="IKK467" s="268"/>
      <c r="IKL467" s="268"/>
      <c r="IKM467" s="268"/>
      <c r="IKN467" s="268"/>
      <c r="IKO467" s="268"/>
      <c r="IKP467" s="268"/>
      <c r="IKQ467" s="268"/>
      <c r="IKR467" s="268"/>
      <c r="IKS467" s="268"/>
      <c r="IKT467" s="268"/>
      <c r="IKU467" s="268"/>
      <c r="ILI467" s="268"/>
      <c r="ILJ467" s="268"/>
      <c r="ILK467" s="268"/>
      <c r="ILY467" s="268"/>
      <c r="IMA467" s="268"/>
      <c r="IMB467" s="268"/>
      <c r="IMC467" s="268"/>
      <c r="IMD467" s="268"/>
      <c r="IME467" s="268"/>
      <c r="IMF467" s="268"/>
      <c r="IMG467" s="268"/>
      <c r="IMH467" s="268"/>
      <c r="IMI467" s="268"/>
      <c r="IMJ467" s="268"/>
      <c r="IMK467" s="268"/>
      <c r="IML467" s="268"/>
      <c r="IMM467" s="268"/>
      <c r="IMN467" s="268"/>
      <c r="IMO467" s="268"/>
      <c r="IMP467" s="268"/>
      <c r="IMQ467" s="268"/>
      <c r="IMR467" s="268"/>
      <c r="IMS467" s="268"/>
      <c r="IMT467" s="268"/>
      <c r="IMU467" s="268"/>
      <c r="IMV467" s="268"/>
      <c r="IMW467" s="268"/>
      <c r="IMX467" s="268"/>
      <c r="IMY467" s="268"/>
      <c r="IMZ467" s="268"/>
      <c r="INA467" s="268"/>
      <c r="INB467" s="268"/>
      <c r="INC467" s="268"/>
      <c r="IND467" s="268"/>
      <c r="INE467" s="268"/>
      <c r="INF467" s="268"/>
      <c r="ING467" s="268"/>
      <c r="INH467" s="268"/>
      <c r="INI467" s="268"/>
      <c r="INJ467" s="268"/>
      <c r="INK467" s="268"/>
      <c r="INL467" s="268"/>
      <c r="INM467" s="268"/>
      <c r="INN467" s="268"/>
      <c r="INO467" s="268"/>
      <c r="INP467" s="268"/>
      <c r="INQ467" s="268"/>
      <c r="INR467" s="268"/>
      <c r="INS467" s="268"/>
      <c r="INT467" s="268"/>
      <c r="INU467" s="268"/>
      <c r="INV467" s="268"/>
      <c r="INW467" s="268"/>
      <c r="INX467" s="268"/>
      <c r="INY467" s="268"/>
      <c r="INZ467" s="268"/>
      <c r="IOA467" s="268"/>
      <c r="IOB467" s="268"/>
      <c r="IOC467" s="268"/>
      <c r="IOD467" s="268"/>
      <c r="IOE467" s="268"/>
      <c r="IOF467" s="268"/>
      <c r="IOG467" s="268"/>
      <c r="IOH467" s="268"/>
      <c r="IOI467" s="268"/>
      <c r="IOJ467" s="268"/>
      <c r="IOK467" s="268"/>
      <c r="IOL467" s="268"/>
      <c r="IOM467" s="268"/>
      <c r="ION467" s="268"/>
      <c r="IOO467" s="268"/>
      <c r="IOP467" s="268"/>
      <c r="IOQ467" s="268"/>
      <c r="IOR467" s="268"/>
      <c r="IOS467" s="268"/>
      <c r="IOT467" s="268"/>
      <c r="IOU467" s="268"/>
      <c r="IOV467" s="268"/>
      <c r="IOW467" s="268"/>
      <c r="IOX467" s="268"/>
      <c r="IOY467" s="268"/>
      <c r="IOZ467" s="268"/>
      <c r="IPA467" s="268"/>
      <c r="IPB467" s="268"/>
      <c r="IPC467" s="268"/>
      <c r="IPD467" s="268"/>
      <c r="IPE467" s="268"/>
      <c r="IPF467" s="268"/>
      <c r="IPG467" s="268"/>
      <c r="IPH467" s="268"/>
      <c r="IPI467" s="268"/>
      <c r="IPJ467" s="268"/>
      <c r="IPK467" s="268"/>
      <c r="IPL467" s="268"/>
      <c r="IPM467" s="268"/>
      <c r="IPN467" s="268"/>
      <c r="IPO467" s="268"/>
      <c r="IPP467" s="268"/>
      <c r="IPQ467" s="268"/>
      <c r="IPR467" s="268"/>
      <c r="IPS467" s="268"/>
      <c r="IPT467" s="268"/>
      <c r="IPU467" s="268"/>
      <c r="IPV467" s="268"/>
      <c r="IPW467" s="268"/>
      <c r="IPX467" s="268"/>
      <c r="IPY467" s="268"/>
      <c r="IPZ467" s="268"/>
      <c r="IQA467" s="268"/>
      <c r="IQB467" s="268"/>
      <c r="IQC467" s="268"/>
      <c r="IQD467" s="268"/>
      <c r="IQE467" s="268"/>
      <c r="IQF467" s="268"/>
      <c r="IQG467" s="268"/>
      <c r="IQH467" s="268"/>
      <c r="IQI467" s="268"/>
      <c r="IQJ467" s="268"/>
      <c r="IQK467" s="268"/>
      <c r="IQL467" s="268"/>
      <c r="IQM467" s="268"/>
      <c r="IQN467" s="268"/>
      <c r="IQO467" s="268"/>
      <c r="IQP467" s="268"/>
      <c r="IQQ467" s="268"/>
      <c r="IQR467" s="268"/>
      <c r="IQS467" s="268"/>
      <c r="IQT467" s="268"/>
      <c r="IQU467" s="268"/>
      <c r="IQV467" s="268"/>
      <c r="IQW467" s="268"/>
      <c r="IQX467" s="268"/>
      <c r="IQY467" s="268"/>
      <c r="IQZ467" s="268"/>
      <c r="IRA467" s="268"/>
      <c r="IRB467" s="268"/>
      <c r="IRC467" s="268"/>
      <c r="IRD467" s="268"/>
      <c r="IRE467" s="268"/>
      <c r="IRF467" s="268"/>
      <c r="IRG467" s="268"/>
      <c r="IRH467" s="268"/>
      <c r="IRI467" s="268"/>
      <c r="IRJ467" s="268"/>
      <c r="IRK467" s="268"/>
      <c r="IRL467" s="268"/>
      <c r="IRM467" s="268"/>
      <c r="IRN467" s="268"/>
      <c r="IRO467" s="268"/>
      <c r="IRP467" s="268"/>
      <c r="IRQ467" s="268"/>
      <c r="IRR467" s="268"/>
      <c r="IRS467" s="268"/>
      <c r="IRT467" s="268"/>
      <c r="IRU467" s="268"/>
      <c r="IRV467" s="268"/>
      <c r="IRW467" s="268"/>
      <c r="IRX467" s="268"/>
      <c r="IRY467" s="268"/>
      <c r="IRZ467" s="268"/>
      <c r="ISA467" s="268"/>
      <c r="ISB467" s="268"/>
      <c r="ISC467" s="268"/>
      <c r="ISD467" s="268"/>
      <c r="ISE467" s="268"/>
      <c r="ISF467" s="268"/>
      <c r="ISG467" s="268"/>
      <c r="ISH467" s="268"/>
      <c r="ISI467" s="268"/>
      <c r="ISJ467" s="268"/>
      <c r="ISK467" s="268"/>
      <c r="ISL467" s="268"/>
      <c r="ISM467" s="268"/>
      <c r="ISN467" s="268"/>
      <c r="ISO467" s="268"/>
      <c r="ISP467" s="268"/>
      <c r="ISQ467" s="268"/>
      <c r="ISR467" s="268"/>
      <c r="ISS467" s="268"/>
      <c r="IST467" s="268"/>
      <c r="ISU467" s="268"/>
      <c r="ISV467" s="268"/>
      <c r="ISW467" s="268"/>
      <c r="ISX467" s="268"/>
      <c r="ISY467" s="268"/>
      <c r="ISZ467" s="268"/>
      <c r="ITA467" s="268"/>
      <c r="ITB467" s="268"/>
      <c r="ITC467" s="268"/>
      <c r="ITD467" s="268"/>
      <c r="ITE467" s="268"/>
      <c r="ITF467" s="268"/>
      <c r="ITG467" s="268"/>
      <c r="ITH467" s="268"/>
      <c r="ITI467" s="268"/>
      <c r="ITJ467" s="268"/>
      <c r="ITK467" s="268"/>
      <c r="ITL467" s="268"/>
      <c r="ITM467" s="268"/>
      <c r="ITN467" s="268"/>
      <c r="ITO467" s="268"/>
      <c r="ITP467" s="268"/>
      <c r="ITQ467" s="268"/>
      <c r="ITR467" s="268"/>
      <c r="ITS467" s="268"/>
      <c r="ITT467" s="268"/>
      <c r="ITU467" s="268"/>
      <c r="ITV467" s="268"/>
      <c r="ITW467" s="268"/>
      <c r="ITX467" s="268"/>
      <c r="ITY467" s="268"/>
      <c r="ITZ467" s="268"/>
      <c r="IUA467" s="268"/>
      <c r="IUB467" s="268"/>
      <c r="IUC467" s="268"/>
      <c r="IUD467" s="268"/>
      <c r="IUE467" s="268"/>
      <c r="IUF467" s="268"/>
      <c r="IUG467" s="268"/>
      <c r="IUH467" s="268"/>
      <c r="IUI467" s="268"/>
      <c r="IUJ467" s="268"/>
      <c r="IUK467" s="268"/>
      <c r="IUL467" s="268"/>
      <c r="IUM467" s="268"/>
      <c r="IUN467" s="268"/>
      <c r="IUO467" s="268"/>
      <c r="IUP467" s="268"/>
      <c r="IUQ467" s="268"/>
      <c r="IVE467" s="268"/>
      <c r="IVF467" s="268"/>
      <c r="IVG467" s="268"/>
      <c r="IVU467" s="268"/>
      <c r="IVW467" s="268"/>
      <c r="IVX467" s="268"/>
      <c r="IVY467" s="268"/>
      <c r="IVZ467" s="268"/>
      <c r="IWA467" s="268"/>
      <c r="IWB467" s="268"/>
      <c r="IWC467" s="268"/>
      <c r="IWD467" s="268"/>
      <c r="IWE467" s="268"/>
      <c r="IWF467" s="268"/>
      <c r="IWG467" s="268"/>
      <c r="IWH467" s="268"/>
      <c r="IWI467" s="268"/>
      <c r="IWJ467" s="268"/>
      <c r="IWK467" s="268"/>
      <c r="IWL467" s="268"/>
      <c r="IWM467" s="268"/>
      <c r="IWN467" s="268"/>
      <c r="IWO467" s="268"/>
      <c r="IWP467" s="268"/>
      <c r="IWQ467" s="268"/>
      <c r="IWR467" s="268"/>
      <c r="IWS467" s="268"/>
      <c r="IWT467" s="268"/>
      <c r="IWU467" s="268"/>
      <c r="IWV467" s="268"/>
      <c r="IWW467" s="268"/>
      <c r="IWX467" s="268"/>
      <c r="IWY467" s="268"/>
      <c r="IWZ467" s="268"/>
      <c r="IXA467" s="268"/>
      <c r="IXB467" s="268"/>
      <c r="IXC467" s="268"/>
      <c r="IXD467" s="268"/>
      <c r="IXE467" s="268"/>
      <c r="IXF467" s="268"/>
      <c r="IXG467" s="268"/>
      <c r="IXH467" s="268"/>
      <c r="IXI467" s="268"/>
      <c r="IXJ467" s="268"/>
      <c r="IXK467" s="268"/>
      <c r="IXL467" s="268"/>
      <c r="IXM467" s="268"/>
      <c r="IXN467" s="268"/>
      <c r="IXO467" s="268"/>
      <c r="IXP467" s="268"/>
      <c r="IXQ467" s="268"/>
      <c r="IXR467" s="268"/>
      <c r="IXS467" s="268"/>
      <c r="IXT467" s="268"/>
      <c r="IXU467" s="268"/>
      <c r="IXV467" s="268"/>
      <c r="IXW467" s="268"/>
      <c r="IXX467" s="268"/>
      <c r="IXY467" s="268"/>
      <c r="IXZ467" s="268"/>
      <c r="IYA467" s="268"/>
      <c r="IYB467" s="268"/>
      <c r="IYC467" s="268"/>
      <c r="IYD467" s="268"/>
      <c r="IYE467" s="268"/>
      <c r="IYF467" s="268"/>
      <c r="IYG467" s="268"/>
      <c r="IYH467" s="268"/>
      <c r="IYI467" s="268"/>
      <c r="IYJ467" s="268"/>
      <c r="IYK467" s="268"/>
      <c r="IYL467" s="268"/>
      <c r="IYM467" s="268"/>
      <c r="IYN467" s="268"/>
      <c r="IYO467" s="268"/>
      <c r="IYP467" s="268"/>
      <c r="IYQ467" s="268"/>
      <c r="IYR467" s="268"/>
      <c r="IYS467" s="268"/>
      <c r="IYT467" s="268"/>
      <c r="IYU467" s="268"/>
      <c r="IYV467" s="268"/>
      <c r="IYW467" s="268"/>
      <c r="IYX467" s="268"/>
      <c r="IYY467" s="268"/>
      <c r="IYZ467" s="268"/>
      <c r="IZA467" s="268"/>
      <c r="IZB467" s="268"/>
      <c r="IZC467" s="268"/>
      <c r="IZD467" s="268"/>
      <c r="IZE467" s="268"/>
      <c r="IZF467" s="268"/>
      <c r="IZG467" s="268"/>
      <c r="IZH467" s="268"/>
      <c r="IZI467" s="268"/>
      <c r="IZJ467" s="268"/>
      <c r="IZK467" s="268"/>
      <c r="IZL467" s="268"/>
      <c r="IZM467" s="268"/>
      <c r="IZN467" s="268"/>
      <c r="IZO467" s="268"/>
      <c r="IZP467" s="268"/>
      <c r="IZQ467" s="268"/>
      <c r="IZR467" s="268"/>
      <c r="IZS467" s="268"/>
      <c r="IZT467" s="268"/>
      <c r="IZU467" s="268"/>
      <c r="IZV467" s="268"/>
      <c r="IZW467" s="268"/>
      <c r="IZX467" s="268"/>
      <c r="IZY467" s="268"/>
      <c r="IZZ467" s="268"/>
      <c r="JAA467" s="268"/>
      <c r="JAB467" s="268"/>
      <c r="JAC467" s="268"/>
      <c r="JAD467" s="268"/>
      <c r="JAE467" s="268"/>
      <c r="JAF467" s="268"/>
      <c r="JAG467" s="268"/>
      <c r="JAH467" s="268"/>
      <c r="JAI467" s="268"/>
      <c r="JAJ467" s="268"/>
      <c r="JAK467" s="268"/>
      <c r="JAL467" s="268"/>
      <c r="JAM467" s="268"/>
      <c r="JAN467" s="268"/>
      <c r="JAO467" s="268"/>
      <c r="JAP467" s="268"/>
      <c r="JAQ467" s="268"/>
      <c r="JAR467" s="268"/>
      <c r="JAS467" s="268"/>
      <c r="JAT467" s="268"/>
      <c r="JAU467" s="268"/>
      <c r="JAV467" s="268"/>
      <c r="JAW467" s="268"/>
      <c r="JAX467" s="268"/>
      <c r="JAY467" s="268"/>
      <c r="JAZ467" s="268"/>
      <c r="JBA467" s="268"/>
      <c r="JBB467" s="268"/>
      <c r="JBC467" s="268"/>
      <c r="JBD467" s="268"/>
      <c r="JBE467" s="268"/>
      <c r="JBF467" s="268"/>
      <c r="JBG467" s="268"/>
      <c r="JBH467" s="268"/>
      <c r="JBI467" s="268"/>
      <c r="JBJ467" s="268"/>
      <c r="JBK467" s="268"/>
      <c r="JBL467" s="268"/>
      <c r="JBM467" s="268"/>
      <c r="JBN467" s="268"/>
      <c r="JBO467" s="268"/>
      <c r="JBP467" s="268"/>
      <c r="JBQ467" s="268"/>
      <c r="JBR467" s="268"/>
      <c r="JBS467" s="268"/>
      <c r="JBT467" s="268"/>
      <c r="JBU467" s="268"/>
      <c r="JBV467" s="268"/>
      <c r="JBW467" s="268"/>
      <c r="JBX467" s="268"/>
      <c r="JBY467" s="268"/>
      <c r="JBZ467" s="268"/>
      <c r="JCA467" s="268"/>
      <c r="JCB467" s="268"/>
      <c r="JCC467" s="268"/>
      <c r="JCD467" s="268"/>
      <c r="JCE467" s="268"/>
      <c r="JCF467" s="268"/>
      <c r="JCG467" s="268"/>
      <c r="JCH467" s="268"/>
      <c r="JCI467" s="268"/>
      <c r="JCJ467" s="268"/>
      <c r="JCK467" s="268"/>
      <c r="JCL467" s="268"/>
      <c r="JCM467" s="268"/>
      <c r="JCN467" s="268"/>
      <c r="JCO467" s="268"/>
      <c r="JCP467" s="268"/>
      <c r="JCQ467" s="268"/>
      <c r="JCR467" s="268"/>
      <c r="JCS467" s="268"/>
      <c r="JCT467" s="268"/>
      <c r="JCU467" s="268"/>
      <c r="JCV467" s="268"/>
      <c r="JCW467" s="268"/>
      <c r="JCX467" s="268"/>
      <c r="JCY467" s="268"/>
      <c r="JCZ467" s="268"/>
      <c r="JDA467" s="268"/>
      <c r="JDB467" s="268"/>
      <c r="JDC467" s="268"/>
      <c r="JDD467" s="268"/>
      <c r="JDE467" s="268"/>
      <c r="JDF467" s="268"/>
      <c r="JDG467" s="268"/>
      <c r="JDH467" s="268"/>
      <c r="JDI467" s="268"/>
      <c r="JDJ467" s="268"/>
      <c r="JDK467" s="268"/>
      <c r="JDL467" s="268"/>
      <c r="JDM467" s="268"/>
      <c r="JDN467" s="268"/>
      <c r="JDO467" s="268"/>
      <c r="JDP467" s="268"/>
      <c r="JDQ467" s="268"/>
      <c r="JDR467" s="268"/>
      <c r="JDS467" s="268"/>
      <c r="JDT467" s="268"/>
      <c r="JDU467" s="268"/>
      <c r="JDV467" s="268"/>
      <c r="JDW467" s="268"/>
      <c r="JDX467" s="268"/>
      <c r="JDY467" s="268"/>
      <c r="JDZ467" s="268"/>
      <c r="JEA467" s="268"/>
      <c r="JEB467" s="268"/>
      <c r="JEC467" s="268"/>
      <c r="JED467" s="268"/>
      <c r="JEE467" s="268"/>
      <c r="JEF467" s="268"/>
      <c r="JEG467" s="268"/>
      <c r="JEH467" s="268"/>
      <c r="JEI467" s="268"/>
      <c r="JEJ467" s="268"/>
      <c r="JEK467" s="268"/>
      <c r="JEL467" s="268"/>
      <c r="JEM467" s="268"/>
      <c r="JFA467" s="268"/>
      <c r="JFB467" s="268"/>
      <c r="JFC467" s="268"/>
      <c r="JFQ467" s="268"/>
      <c r="JFS467" s="268"/>
      <c r="JFT467" s="268"/>
      <c r="JFU467" s="268"/>
      <c r="JFV467" s="268"/>
      <c r="JFW467" s="268"/>
      <c r="JFX467" s="268"/>
      <c r="JFY467" s="268"/>
      <c r="JFZ467" s="268"/>
      <c r="JGA467" s="268"/>
      <c r="JGB467" s="268"/>
      <c r="JGC467" s="268"/>
      <c r="JGD467" s="268"/>
      <c r="JGE467" s="268"/>
      <c r="JGF467" s="268"/>
      <c r="JGG467" s="268"/>
      <c r="JGH467" s="268"/>
      <c r="JGI467" s="268"/>
      <c r="JGJ467" s="268"/>
      <c r="JGK467" s="268"/>
      <c r="JGL467" s="268"/>
      <c r="JGM467" s="268"/>
      <c r="JGN467" s="268"/>
      <c r="JGO467" s="268"/>
      <c r="JGP467" s="268"/>
      <c r="JGQ467" s="268"/>
      <c r="JGR467" s="268"/>
      <c r="JGS467" s="268"/>
      <c r="JGT467" s="268"/>
      <c r="JGU467" s="268"/>
      <c r="JGV467" s="268"/>
      <c r="JGW467" s="268"/>
      <c r="JGX467" s="268"/>
      <c r="JGY467" s="268"/>
      <c r="JGZ467" s="268"/>
      <c r="JHA467" s="268"/>
      <c r="JHB467" s="268"/>
      <c r="JHC467" s="268"/>
      <c r="JHD467" s="268"/>
      <c r="JHE467" s="268"/>
      <c r="JHF467" s="268"/>
      <c r="JHG467" s="268"/>
      <c r="JHH467" s="268"/>
      <c r="JHI467" s="268"/>
      <c r="JHJ467" s="268"/>
      <c r="JHK467" s="268"/>
      <c r="JHL467" s="268"/>
      <c r="JHM467" s="268"/>
      <c r="JHN467" s="268"/>
      <c r="JHO467" s="268"/>
      <c r="JHP467" s="268"/>
      <c r="JHQ467" s="268"/>
      <c r="JHR467" s="268"/>
      <c r="JHS467" s="268"/>
      <c r="JHT467" s="268"/>
      <c r="JHU467" s="268"/>
      <c r="JHV467" s="268"/>
      <c r="JHW467" s="268"/>
      <c r="JHX467" s="268"/>
      <c r="JHY467" s="268"/>
      <c r="JHZ467" s="268"/>
      <c r="JIA467" s="268"/>
      <c r="JIB467" s="268"/>
      <c r="JIC467" s="268"/>
      <c r="JID467" s="268"/>
      <c r="JIE467" s="268"/>
      <c r="JIF467" s="268"/>
      <c r="JIG467" s="268"/>
      <c r="JIH467" s="268"/>
      <c r="JII467" s="268"/>
      <c r="JIJ467" s="268"/>
      <c r="JIK467" s="268"/>
      <c r="JIL467" s="268"/>
      <c r="JIM467" s="268"/>
      <c r="JIN467" s="268"/>
      <c r="JIO467" s="268"/>
      <c r="JIP467" s="268"/>
      <c r="JIQ467" s="268"/>
      <c r="JIR467" s="268"/>
      <c r="JIS467" s="268"/>
      <c r="JIT467" s="268"/>
      <c r="JIU467" s="268"/>
      <c r="JIV467" s="268"/>
      <c r="JIW467" s="268"/>
      <c r="JIX467" s="268"/>
      <c r="JIY467" s="268"/>
      <c r="JIZ467" s="268"/>
      <c r="JJA467" s="268"/>
      <c r="JJB467" s="268"/>
      <c r="JJC467" s="268"/>
      <c r="JJD467" s="268"/>
      <c r="JJE467" s="268"/>
      <c r="JJF467" s="268"/>
      <c r="JJG467" s="268"/>
      <c r="JJH467" s="268"/>
      <c r="JJI467" s="268"/>
      <c r="JJJ467" s="268"/>
      <c r="JJK467" s="268"/>
      <c r="JJL467" s="268"/>
      <c r="JJM467" s="268"/>
      <c r="JJN467" s="268"/>
      <c r="JJO467" s="268"/>
      <c r="JJP467" s="268"/>
      <c r="JJQ467" s="268"/>
      <c r="JJR467" s="268"/>
      <c r="JJS467" s="268"/>
      <c r="JJT467" s="268"/>
      <c r="JJU467" s="268"/>
      <c r="JJV467" s="268"/>
      <c r="JJW467" s="268"/>
      <c r="JJX467" s="268"/>
      <c r="JJY467" s="268"/>
      <c r="JJZ467" s="268"/>
      <c r="JKA467" s="268"/>
      <c r="JKB467" s="268"/>
      <c r="JKC467" s="268"/>
      <c r="JKD467" s="268"/>
      <c r="JKE467" s="268"/>
      <c r="JKF467" s="268"/>
      <c r="JKG467" s="268"/>
      <c r="JKH467" s="268"/>
      <c r="JKI467" s="268"/>
      <c r="JKJ467" s="268"/>
      <c r="JKK467" s="268"/>
      <c r="JKL467" s="268"/>
      <c r="JKM467" s="268"/>
      <c r="JKN467" s="268"/>
      <c r="JKO467" s="268"/>
      <c r="JKP467" s="268"/>
      <c r="JKQ467" s="268"/>
      <c r="JKR467" s="268"/>
      <c r="JKS467" s="268"/>
      <c r="JKT467" s="268"/>
      <c r="JKU467" s="268"/>
      <c r="JKV467" s="268"/>
      <c r="JKW467" s="268"/>
      <c r="JKX467" s="268"/>
      <c r="JKY467" s="268"/>
      <c r="JKZ467" s="268"/>
      <c r="JLA467" s="268"/>
      <c r="JLB467" s="268"/>
      <c r="JLC467" s="268"/>
      <c r="JLD467" s="268"/>
      <c r="JLE467" s="268"/>
      <c r="JLF467" s="268"/>
      <c r="JLG467" s="268"/>
      <c r="JLH467" s="268"/>
      <c r="JLI467" s="268"/>
      <c r="JLJ467" s="268"/>
      <c r="JLK467" s="268"/>
      <c r="JLL467" s="268"/>
      <c r="JLM467" s="268"/>
      <c r="JLN467" s="268"/>
      <c r="JLO467" s="268"/>
      <c r="JLP467" s="268"/>
      <c r="JLQ467" s="268"/>
      <c r="JLR467" s="268"/>
      <c r="JLS467" s="268"/>
      <c r="JLT467" s="268"/>
      <c r="JLU467" s="268"/>
      <c r="JLV467" s="268"/>
      <c r="JLW467" s="268"/>
      <c r="JLX467" s="268"/>
      <c r="JLY467" s="268"/>
      <c r="JLZ467" s="268"/>
      <c r="JMA467" s="268"/>
      <c r="JMB467" s="268"/>
      <c r="JMC467" s="268"/>
      <c r="JMD467" s="268"/>
      <c r="JME467" s="268"/>
      <c r="JMF467" s="268"/>
      <c r="JMG467" s="268"/>
      <c r="JMH467" s="268"/>
      <c r="JMI467" s="268"/>
      <c r="JMJ467" s="268"/>
      <c r="JMK467" s="268"/>
      <c r="JML467" s="268"/>
      <c r="JMM467" s="268"/>
      <c r="JMN467" s="268"/>
      <c r="JMO467" s="268"/>
      <c r="JMP467" s="268"/>
      <c r="JMQ467" s="268"/>
      <c r="JMR467" s="268"/>
      <c r="JMS467" s="268"/>
      <c r="JMT467" s="268"/>
      <c r="JMU467" s="268"/>
      <c r="JMV467" s="268"/>
      <c r="JMW467" s="268"/>
      <c r="JMX467" s="268"/>
      <c r="JMY467" s="268"/>
      <c r="JMZ467" s="268"/>
      <c r="JNA467" s="268"/>
      <c r="JNB467" s="268"/>
      <c r="JNC467" s="268"/>
      <c r="JND467" s="268"/>
      <c r="JNE467" s="268"/>
      <c r="JNF467" s="268"/>
      <c r="JNG467" s="268"/>
      <c r="JNH467" s="268"/>
      <c r="JNI467" s="268"/>
      <c r="JNJ467" s="268"/>
      <c r="JNK467" s="268"/>
      <c r="JNL467" s="268"/>
      <c r="JNM467" s="268"/>
      <c r="JNN467" s="268"/>
      <c r="JNO467" s="268"/>
      <c r="JNP467" s="268"/>
      <c r="JNQ467" s="268"/>
      <c r="JNR467" s="268"/>
      <c r="JNS467" s="268"/>
      <c r="JNT467" s="268"/>
      <c r="JNU467" s="268"/>
      <c r="JNV467" s="268"/>
      <c r="JNW467" s="268"/>
      <c r="JNX467" s="268"/>
      <c r="JNY467" s="268"/>
      <c r="JNZ467" s="268"/>
      <c r="JOA467" s="268"/>
      <c r="JOB467" s="268"/>
      <c r="JOC467" s="268"/>
      <c r="JOD467" s="268"/>
      <c r="JOE467" s="268"/>
      <c r="JOF467" s="268"/>
      <c r="JOG467" s="268"/>
      <c r="JOH467" s="268"/>
      <c r="JOI467" s="268"/>
      <c r="JOW467" s="268"/>
      <c r="JOX467" s="268"/>
      <c r="JOY467" s="268"/>
      <c r="JPM467" s="268"/>
      <c r="JPO467" s="268"/>
      <c r="JPP467" s="268"/>
      <c r="JPQ467" s="268"/>
      <c r="JPR467" s="268"/>
      <c r="JPS467" s="268"/>
      <c r="JPT467" s="268"/>
      <c r="JPU467" s="268"/>
      <c r="JPV467" s="268"/>
      <c r="JPW467" s="268"/>
      <c r="JPX467" s="268"/>
      <c r="JPY467" s="268"/>
      <c r="JPZ467" s="268"/>
      <c r="JQA467" s="268"/>
      <c r="JQB467" s="268"/>
      <c r="JQC467" s="268"/>
      <c r="JQD467" s="268"/>
      <c r="JQE467" s="268"/>
      <c r="JQF467" s="268"/>
      <c r="JQG467" s="268"/>
      <c r="JQH467" s="268"/>
      <c r="JQI467" s="268"/>
      <c r="JQJ467" s="268"/>
      <c r="JQK467" s="268"/>
      <c r="JQL467" s="268"/>
      <c r="JQM467" s="268"/>
      <c r="JQN467" s="268"/>
      <c r="JQO467" s="268"/>
      <c r="JQP467" s="268"/>
      <c r="JQQ467" s="268"/>
      <c r="JQR467" s="268"/>
      <c r="JQS467" s="268"/>
      <c r="JQT467" s="268"/>
      <c r="JQU467" s="268"/>
      <c r="JQV467" s="268"/>
      <c r="JQW467" s="268"/>
      <c r="JQX467" s="268"/>
      <c r="JQY467" s="268"/>
      <c r="JQZ467" s="268"/>
      <c r="JRA467" s="268"/>
      <c r="JRB467" s="268"/>
      <c r="JRC467" s="268"/>
      <c r="JRD467" s="268"/>
      <c r="JRE467" s="268"/>
      <c r="JRF467" s="268"/>
      <c r="JRG467" s="268"/>
      <c r="JRH467" s="268"/>
      <c r="JRI467" s="268"/>
      <c r="JRJ467" s="268"/>
      <c r="JRK467" s="268"/>
      <c r="JRL467" s="268"/>
      <c r="JRM467" s="268"/>
      <c r="JRN467" s="268"/>
      <c r="JRO467" s="268"/>
      <c r="JRP467" s="268"/>
      <c r="JRQ467" s="268"/>
      <c r="JRR467" s="268"/>
      <c r="JRS467" s="268"/>
      <c r="JRT467" s="268"/>
      <c r="JRU467" s="268"/>
      <c r="JRV467" s="268"/>
      <c r="JRW467" s="268"/>
      <c r="JRX467" s="268"/>
      <c r="JRY467" s="268"/>
      <c r="JRZ467" s="268"/>
      <c r="JSA467" s="268"/>
      <c r="JSB467" s="268"/>
      <c r="JSC467" s="268"/>
      <c r="JSD467" s="268"/>
      <c r="JSE467" s="268"/>
      <c r="JSF467" s="268"/>
      <c r="JSG467" s="268"/>
      <c r="JSH467" s="268"/>
      <c r="JSI467" s="268"/>
      <c r="JSJ467" s="268"/>
      <c r="JSK467" s="268"/>
      <c r="JSL467" s="268"/>
      <c r="JSM467" s="268"/>
      <c r="JSN467" s="268"/>
      <c r="JSO467" s="268"/>
      <c r="JSP467" s="268"/>
      <c r="JSQ467" s="268"/>
      <c r="JSR467" s="268"/>
      <c r="JSS467" s="268"/>
      <c r="JST467" s="268"/>
      <c r="JSU467" s="268"/>
      <c r="JSV467" s="268"/>
      <c r="JSW467" s="268"/>
      <c r="JSX467" s="268"/>
      <c r="JSY467" s="268"/>
      <c r="JSZ467" s="268"/>
      <c r="JTA467" s="268"/>
      <c r="JTB467" s="268"/>
      <c r="JTC467" s="268"/>
      <c r="JTD467" s="268"/>
      <c r="JTE467" s="268"/>
      <c r="JTF467" s="268"/>
      <c r="JTG467" s="268"/>
      <c r="JTH467" s="268"/>
      <c r="JTI467" s="268"/>
      <c r="JTJ467" s="268"/>
      <c r="JTK467" s="268"/>
      <c r="JTL467" s="268"/>
      <c r="JTM467" s="268"/>
      <c r="JTN467" s="268"/>
      <c r="JTO467" s="268"/>
      <c r="JTP467" s="268"/>
      <c r="JTQ467" s="268"/>
      <c r="JTR467" s="268"/>
      <c r="JTS467" s="268"/>
      <c r="JTT467" s="268"/>
      <c r="JTU467" s="268"/>
      <c r="JTV467" s="268"/>
      <c r="JTW467" s="268"/>
      <c r="JTX467" s="268"/>
      <c r="JTY467" s="268"/>
      <c r="JTZ467" s="268"/>
      <c r="JUA467" s="268"/>
      <c r="JUB467" s="268"/>
      <c r="JUC467" s="268"/>
      <c r="JUD467" s="268"/>
      <c r="JUE467" s="268"/>
      <c r="JUF467" s="268"/>
      <c r="JUG467" s="268"/>
      <c r="JUH467" s="268"/>
      <c r="JUI467" s="268"/>
      <c r="JUJ467" s="268"/>
      <c r="JUK467" s="268"/>
      <c r="JUL467" s="268"/>
      <c r="JUM467" s="268"/>
      <c r="JUN467" s="268"/>
      <c r="JUO467" s="268"/>
      <c r="JUP467" s="268"/>
      <c r="JUQ467" s="268"/>
      <c r="JUR467" s="268"/>
      <c r="JUS467" s="268"/>
      <c r="JUT467" s="268"/>
      <c r="JUU467" s="268"/>
      <c r="JUV467" s="268"/>
      <c r="JUW467" s="268"/>
      <c r="JUX467" s="268"/>
      <c r="JUY467" s="268"/>
      <c r="JUZ467" s="268"/>
      <c r="JVA467" s="268"/>
      <c r="JVB467" s="268"/>
      <c r="JVC467" s="268"/>
      <c r="JVD467" s="268"/>
      <c r="JVE467" s="268"/>
      <c r="JVF467" s="268"/>
      <c r="JVG467" s="268"/>
      <c r="JVH467" s="268"/>
      <c r="JVI467" s="268"/>
      <c r="JVJ467" s="268"/>
      <c r="JVK467" s="268"/>
      <c r="JVL467" s="268"/>
      <c r="JVM467" s="268"/>
      <c r="JVN467" s="268"/>
      <c r="JVO467" s="268"/>
      <c r="JVP467" s="268"/>
      <c r="JVQ467" s="268"/>
      <c r="JVR467" s="268"/>
      <c r="JVS467" s="268"/>
      <c r="JVT467" s="268"/>
      <c r="JVU467" s="268"/>
      <c r="JVV467" s="268"/>
      <c r="JVW467" s="268"/>
      <c r="JVX467" s="268"/>
      <c r="JVY467" s="268"/>
      <c r="JVZ467" s="268"/>
      <c r="JWA467" s="268"/>
      <c r="JWB467" s="268"/>
      <c r="JWC467" s="268"/>
      <c r="JWD467" s="268"/>
      <c r="JWE467" s="268"/>
      <c r="JWF467" s="268"/>
      <c r="JWG467" s="268"/>
      <c r="JWH467" s="268"/>
      <c r="JWI467" s="268"/>
      <c r="JWJ467" s="268"/>
      <c r="JWK467" s="268"/>
      <c r="JWL467" s="268"/>
      <c r="JWM467" s="268"/>
      <c r="JWN467" s="268"/>
      <c r="JWO467" s="268"/>
      <c r="JWP467" s="268"/>
      <c r="JWQ467" s="268"/>
      <c r="JWR467" s="268"/>
      <c r="JWS467" s="268"/>
      <c r="JWT467" s="268"/>
      <c r="JWU467" s="268"/>
      <c r="JWV467" s="268"/>
      <c r="JWW467" s="268"/>
      <c r="JWX467" s="268"/>
      <c r="JWY467" s="268"/>
      <c r="JWZ467" s="268"/>
      <c r="JXA467" s="268"/>
      <c r="JXB467" s="268"/>
      <c r="JXC467" s="268"/>
      <c r="JXD467" s="268"/>
      <c r="JXE467" s="268"/>
      <c r="JXF467" s="268"/>
      <c r="JXG467" s="268"/>
      <c r="JXH467" s="268"/>
      <c r="JXI467" s="268"/>
      <c r="JXJ467" s="268"/>
      <c r="JXK467" s="268"/>
      <c r="JXL467" s="268"/>
      <c r="JXM467" s="268"/>
      <c r="JXN467" s="268"/>
      <c r="JXO467" s="268"/>
      <c r="JXP467" s="268"/>
      <c r="JXQ467" s="268"/>
      <c r="JXR467" s="268"/>
      <c r="JXS467" s="268"/>
      <c r="JXT467" s="268"/>
      <c r="JXU467" s="268"/>
      <c r="JXV467" s="268"/>
      <c r="JXW467" s="268"/>
      <c r="JXX467" s="268"/>
      <c r="JXY467" s="268"/>
      <c r="JXZ467" s="268"/>
      <c r="JYA467" s="268"/>
      <c r="JYB467" s="268"/>
      <c r="JYC467" s="268"/>
      <c r="JYD467" s="268"/>
      <c r="JYE467" s="268"/>
      <c r="JYS467" s="268"/>
      <c r="JYT467" s="268"/>
      <c r="JYU467" s="268"/>
      <c r="JZI467" s="268"/>
      <c r="JZK467" s="268"/>
      <c r="JZL467" s="268"/>
      <c r="JZM467" s="268"/>
      <c r="JZN467" s="268"/>
      <c r="JZO467" s="268"/>
      <c r="JZP467" s="268"/>
      <c r="JZQ467" s="268"/>
      <c r="JZR467" s="268"/>
      <c r="JZS467" s="268"/>
      <c r="JZT467" s="268"/>
      <c r="JZU467" s="268"/>
      <c r="JZV467" s="268"/>
      <c r="JZW467" s="268"/>
      <c r="JZX467" s="268"/>
      <c r="JZY467" s="268"/>
      <c r="JZZ467" s="268"/>
      <c r="KAA467" s="268"/>
      <c r="KAB467" s="268"/>
      <c r="KAC467" s="268"/>
      <c r="KAD467" s="268"/>
      <c r="KAE467" s="268"/>
      <c r="KAF467" s="268"/>
      <c r="KAG467" s="268"/>
      <c r="KAH467" s="268"/>
      <c r="KAI467" s="268"/>
      <c r="KAJ467" s="268"/>
      <c r="KAK467" s="268"/>
      <c r="KAL467" s="268"/>
      <c r="KAM467" s="268"/>
      <c r="KAN467" s="268"/>
      <c r="KAO467" s="268"/>
      <c r="KAP467" s="268"/>
      <c r="KAQ467" s="268"/>
      <c r="KAR467" s="268"/>
      <c r="KAS467" s="268"/>
      <c r="KAT467" s="268"/>
      <c r="KAU467" s="268"/>
      <c r="KAV467" s="268"/>
      <c r="KAW467" s="268"/>
      <c r="KAX467" s="268"/>
      <c r="KAY467" s="268"/>
      <c r="KAZ467" s="268"/>
      <c r="KBA467" s="268"/>
      <c r="KBB467" s="268"/>
      <c r="KBC467" s="268"/>
      <c r="KBD467" s="268"/>
      <c r="KBE467" s="268"/>
      <c r="KBF467" s="268"/>
      <c r="KBG467" s="268"/>
      <c r="KBH467" s="268"/>
      <c r="KBI467" s="268"/>
      <c r="KBJ467" s="268"/>
      <c r="KBK467" s="268"/>
      <c r="KBL467" s="268"/>
      <c r="KBM467" s="268"/>
      <c r="KBN467" s="268"/>
      <c r="KBO467" s="268"/>
      <c r="KBP467" s="268"/>
      <c r="KBQ467" s="268"/>
      <c r="KBR467" s="268"/>
      <c r="KBS467" s="268"/>
      <c r="KBT467" s="268"/>
      <c r="KBU467" s="268"/>
      <c r="KBV467" s="268"/>
      <c r="KBW467" s="268"/>
      <c r="KBX467" s="268"/>
      <c r="KBY467" s="268"/>
      <c r="KBZ467" s="268"/>
      <c r="KCA467" s="268"/>
      <c r="KCB467" s="268"/>
      <c r="KCC467" s="268"/>
      <c r="KCD467" s="268"/>
      <c r="KCE467" s="268"/>
      <c r="KCF467" s="268"/>
      <c r="KCG467" s="268"/>
      <c r="KCH467" s="268"/>
      <c r="KCI467" s="268"/>
      <c r="KCJ467" s="268"/>
      <c r="KCK467" s="268"/>
      <c r="KCL467" s="268"/>
      <c r="KCM467" s="268"/>
      <c r="KCN467" s="268"/>
      <c r="KCO467" s="268"/>
      <c r="KCP467" s="268"/>
      <c r="KCQ467" s="268"/>
      <c r="KCR467" s="268"/>
      <c r="KCS467" s="268"/>
      <c r="KCT467" s="268"/>
      <c r="KCU467" s="268"/>
      <c r="KCV467" s="268"/>
      <c r="KCW467" s="268"/>
      <c r="KCX467" s="268"/>
      <c r="KCY467" s="268"/>
      <c r="KCZ467" s="268"/>
      <c r="KDA467" s="268"/>
      <c r="KDB467" s="268"/>
      <c r="KDC467" s="268"/>
      <c r="KDD467" s="268"/>
      <c r="KDE467" s="268"/>
      <c r="KDF467" s="268"/>
      <c r="KDG467" s="268"/>
      <c r="KDH467" s="268"/>
      <c r="KDI467" s="268"/>
      <c r="KDJ467" s="268"/>
      <c r="KDK467" s="268"/>
      <c r="KDL467" s="268"/>
      <c r="KDM467" s="268"/>
      <c r="KDN467" s="268"/>
      <c r="KDO467" s="268"/>
      <c r="KDP467" s="268"/>
      <c r="KDQ467" s="268"/>
      <c r="KDR467" s="268"/>
      <c r="KDS467" s="268"/>
      <c r="KDT467" s="268"/>
      <c r="KDU467" s="268"/>
      <c r="KDV467" s="268"/>
      <c r="KDW467" s="268"/>
      <c r="KDX467" s="268"/>
      <c r="KDY467" s="268"/>
      <c r="KDZ467" s="268"/>
      <c r="KEA467" s="268"/>
      <c r="KEB467" s="268"/>
      <c r="KEC467" s="268"/>
      <c r="KED467" s="268"/>
      <c r="KEE467" s="268"/>
      <c r="KEF467" s="268"/>
      <c r="KEG467" s="268"/>
      <c r="KEH467" s="268"/>
      <c r="KEI467" s="268"/>
      <c r="KEJ467" s="268"/>
      <c r="KEK467" s="268"/>
      <c r="KEL467" s="268"/>
      <c r="KEM467" s="268"/>
      <c r="KEN467" s="268"/>
      <c r="KEO467" s="268"/>
      <c r="KEP467" s="268"/>
      <c r="KEQ467" s="268"/>
      <c r="KER467" s="268"/>
      <c r="KES467" s="268"/>
      <c r="KET467" s="268"/>
      <c r="KEU467" s="268"/>
      <c r="KEV467" s="268"/>
      <c r="KEW467" s="268"/>
      <c r="KEX467" s="268"/>
      <c r="KEY467" s="268"/>
      <c r="KEZ467" s="268"/>
      <c r="KFA467" s="268"/>
      <c r="KFB467" s="268"/>
      <c r="KFC467" s="268"/>
      <c r="KFD467" s="268"/>
      <c r="KFE467" s="268"/>
      <c r="KFF467" s="268"/>
      <c r="KFG467" s="268"/>
      <c r="KFH467" s="268"/>
      <c r="KFI467" s="268"/>
      <c r="KFJ467" s="268"/>
      <c r="KFK467" s="268"/>
      <c r="KFL467" s="268"/>
      <c r="KFM467" s="268"/>
      <c r="KFN467" s="268"/>
      <c r="KFO467" s="268"/>
      <c r="KFP467" s="268"/>
      <c r="KFQ467" s="268"/>
      <c r="KFR467" s="268"/>
      <c r="KFS467" s="268"/>
      <c r="KFT467" s="268"/>
      <c r="KFU467" s="268"/>
      <c r="KFV467" s="268"/>
      <c r="KFW467" s="268"/>
      <c r="KFX467" s="268"/>
      <c r="KFY467" s="268"/>
      <c r="KFZ467" s="268"/>
      <c r="KGA467" s="268"/>
      <c r="KGB467" s="268"/>
      <c r="KGC467" s="268"/>
      <c r="KGD467" s="268"/>
      <c r="KGE467" s="268"/>
      <c r="KGF467" s="268"/>
      <c r="KGG467" s="268"/>
      <c r="KGH467" s="268"/>
      <c r="KGI467" s="268"/>
      <c r="KGJ467" s="268"/>
      <c r="KGK467" s="268"/>
      <c r="KGL467" s="268"/>
      <c r="KGM467" s="268"/>
      <c r="KGN467" s="268"/>
      <c r="KGO467" s="268"/>
      <c r="KGP467" s="268"/>
      <c r="KGQ467" s="268"/>
      <c r="KGR467" s="268"/>
      <c r="KGS467" s="268"/>
      <c r="KGT467" s="268"/>
      <c r="KGU467" s="268"/>
      <c r="KGV467" s="268"/>
      <c r="KGW467" s="268"/>
      <c r="KGX467" s="268"/>
      <c r="KGY467" s="268"/>
      <c r="KGZ467" s="268"/>
      <c r="KHA467" s="268"/>
      <c r="KHB467" s="268"/>
      <c r="KHC467" s="268"/>
      <c r="KHD467" s="268"/>
      <c r="KHE467" s="268"/>
      <c r="KHF467" s="268"/>
      <c r="KHG467" s="268"/>
      <c r="KHH467" s="268"/>
      <c r="KHI467" s="268"/>
      <c r="KHJ467" s="268"/>
      <c r="KHK467" s="268"/>
      <c r="KHL467" s="268"/>
      <c r="KHM467" s="268"/>
      <c r="KHN467" s="268"/>
      <c r="KHO467" s="268"/>
      <c r="KHP467" s="268"/>
      <c r="KHQ467" s="268"/>
      <c r="KHR467" s="268"/>
      <c r="KHS467" s="268"/>
      <c r="KHT467" s="268"/>
      <c r="KHU467" s="268"/>
      <c r="KHV467" s="268"/>
      <c r="KHW467" s="268"/>
      <c r="KHX467" s="268"/>
      <c r="KHY467" s="268"/>
      <c r="KHZ467" s="268"/>
      <c r="KIA467" s="268"/>
      <c r="KIO467" s="268"/>
      <c r="KIP467" s="268"/>
      <c r="KIQ467" s="268"/>
      <c r="KJE467" s="268"/>
      <c r="KJG467" s="268"/>
      <c r="KJH467" s="268"/>
      <c r="KJI467" s="268"/>
      <c r="KJJ467" s="268"/>
      <c r="KJK467" s="268"/>
      <c r="KJL467" s="268"/>
      <c r="KJM467" s="268"/>
      <c r="KJN467" s="268"/>
      <c r="KJO467" s="268"/>
      <c r="KJP467" s="268"/>
      <c r="KJQ467" s="268"/>
      <c r="KJR467" s="268"/>
      <c r="KJS467" s="268"/>
      <c r="KJT467" s="268"/>
      <c r="KJU467" s="268"/>
      <c r="KJV467" s="268"/>
      <c r="KJW467" s="268"/>
      <c r="KJX467" s="268"/>
      <c r="KJY467" s="268"/>
      <c r="KJZ467" s="268"/>
      <c r="KKA467" s="268"/>
      <c r="KKB467" s="268"/>
      <c r="KKC467" s="268"/>
      <c r="KKD467" s="268"/>
      <c r="KKE467" s="268"/>
      <c r="KKF467" s="268"/>
      <c r="KKG467" s="268"/>
      <c r="KKH467" s="268"/>
      <c r="KKI467" s="268"/>
      <c r="KKJ467" s="268"/>
      <c r="KKK467" s="268"/>
      <c r="KKL467" s="268"/>
      <c r="KKM467" s="268"/>
      <c r="KKN467" s="268"/>
      <c r="KKO467" s="268"/>
      <c r="KKP467" s="268"/>
      <c r="KKQ467" s="268"/>
      <c r="KKR467" s="268"/>
      <c r="KKS467" s="268"/>
      <c r="KKT467" s="268"/>
      <c r="KKU467" s="268"/>
      <c r="KKV467" s="268"/>
      <c r="KKW467" s="268"/>
      <c r="KKX467" s="268"/>
      <c r="KKY467" s="268"/>
      <c r="KKZ467" s="268"/>
      <c r="KLA467" s="268"/>
      <c r="KLB467" s="268"/>
      <c r="KLC467" s="268"/>
      <c r="KLD467" s="268"/>
      <c r="KLE467" s="268"/>
      <c r="KLF467" s="268"/>
      <c r="KLG467" s="268"/>
      <c r="KLH467" s="268"/>
      <c r="KLI467" s="268"/>
      <c r="KLJ467" s="268"/>
      <c r="KLK467" s="268"/>
      <c r="KLL467" s="268"/>
      <c r="KLM467" s="268"/>
      <c r="KLN467" s="268"/>
      <c r="KLO467" s="268"/>
      <c r="KLP467" s="268"/>
      <c r="KLQ467" s="268"/>
      <c r="KLR467" s="268"/>
      <c r="KLS467" s="268"/>
      <c r="KLT467" s="268"/>
      <c r="KLU467" s="268"/>
      <c r="KLV467" s="268"/>
      <c r="KLW467" s="268"/>
      <c r="KLX467" s="268"/>
      <c r="KLY467" s="268"/>
      <c r="KLZ467" s="268"/>
      <c r="KMA467" s="268"/>
      <c r="KMB467" s="268"/>
      <c r="KMC467" s="268"/>
      <c r="KMD467" s="268"/>
      <c r="KME467" s="268"/>
      <c r="KMF467" s="268"/>
      <c r="KMG467" s="268"/>
      <c r="KMH467" s="268"/>
      <c r="KMI467" s="268"/>
      <c r="KMJ467" s="268"/>
      <c r="KMK467" s="268"/>
      <c r="KML467" s="268"/>
      <c r="KMM467" s="268"/>
      <c r="KMN467" s="268"/>
      <c r="KMO467" s="268"/>
      <c r="KMP467" s="268"/>
      <c r="KMQ467" s="268"/>
      <c r="KMR467" s="268"/>
      <c r="KMS467" s="268"/>
      <c r="KMT467" s="268"/>
      <c r="KMU467" s="268"/>
      <c r="KMV467" s="268"/>
      <c r="KMW467" s="268"/>
      <c r="KMX467" s="268"/>
      <c r="KMY467" s="268"/>
      <c r="KMZ467" s="268"/>
      <c r="KNA467" s="268"/>
      <c r="KNB467" s="268"/>
      <c r="KNC467" s="268"/>
      <c r="KND467" s="268"/>
      <c r="KNE467" s="268"/>
      <c r="KNF467" s="268"/>
      <c r="KNG467" s="268"/>
      <c r="KNH467" s="268"/>
      <c r="KNI467" s="268"/>
      <c r="KNJ467" s="268"/>
      <c r="KNK467" s="268"/>
      <c r="KNL467" s="268"/>
      <c r="KNM467" s="268"/>
      <c r="KNN467" s="268"/>
      <c r="KNO467" s="268"/>
      <c r="KNP467" s="268"/>
      <c r="KNQ467" s="268"/>
      <c r="KNR467" s="268"/>
      <c r="KNS467" s="268"/>
      <c r="KNT467" s="268"/>
      <c r="KNU467" s="268"/>
      <c r="KNV467" s="268"/>
      <c r="KNW467" s="268"/>
      <c r="KNX467" s="268"/>
      <c r="KNY467" s="268"/>
      <c r="KNZ467" s="268"/>
      <c r="KOA467" s="268"/>
      <c r="KOB467" s="268"/>
      <c r="KOC467" s="268"/>
      <c r="KOD467" s="268"/>
      <c r="KOE467" s="268"/>
      <c r="KOF467" s="268"/>
      <c r="KOG467" s="268"/>
      <c r="KOH467" s="268"/>
      <c r="KOI467" s="268"/>
      <c r="KOJ467" s="268"/>
      <c r="KOK467" s="268"/>
      <c r="KOL467" s="268"/>
      <c r="KOM467" s="268"/>
      <c r="KON467" s="268"/>
      <c r="KOO467" s="268"/>
      <c r="KOP467" s="268"/>
      <c r="KOQ467" s="268"/>
      <c r="KOR467" s="268"/>
      <c r="KOS467" s="268"/>
      <c r="KOT467" s="268"/>
      <c r="KOU467" s="268"/>
      <c r="KOV467" s="268"/>
      <c r="KOW467" s="268"/>
      <c r="KOX467" s="268"/>
      <c r="KOY467" s="268"/>
      <c r="KOZ467" s="268"/>
      <c r="KPA467" s="268"/>
      <c r="KPB467" s="268"/>
      <c r="KPC467" s="268"/>
      <c r="KPD467" s="268"/>
      <c r="KPE467" s="268"/>
      <c r="KPF467" s="268"/>
      <c r="KPG467" s="268"/>
      <c r="KPH467" s="268"/>
      <c r="KPI467" s="268"/>
      <c r="KPJ467" s="268"/>
      <c r="KPK467" s="268"/>
      <c r="KPL467" s="268"/>
      <c r="KPM467" s="268"/>
      <c r="KPN467" s="268"/>
      <c r="KPO467" s="268"/>
      <c r="KPP467" s="268"/>
      <c r="KPQ467" s="268"/>
      <c r="KPR467" s="268"/>
      <c r="KPS467" s="268"/>
      <c r="KPT467" s="268"/>
      <c r="KPU467" s="268"/>
      <c r="KPV467" s="268"/>
      <c r="KPW467" s="268"/>
      <c r="KPX467" s="268"/>
      <c r="KPY467" s="268"/>
      <c r="KPZ467" s="268"/>
      <c r="KQA467" s="268"/>
      <c r="KQB467" s="268"/>
      <c r="KQC467" s="268"/>
      <c r="KQD467" s="268"/>
      <c r="KQE467" s="268"/>
      <c r="KQF467" s="268"/>
      <c r="KQG467" s="268"/>
      <c r="KQH467" s="268"/>
      <c r="KQI467" s="268"/>
      <c r="KQJ467" s="268"/>
      <c r="KQK467" s="268"/>
      <c r="KQL467" s="268"/>
      <c r="KQM467" s="268"/>
      <c r="KQN467" s="268"/>
      <c r="KQO467" s="268"/>
      <c r="KQP467" s="268"/>
      <c r="KQQ467" s="268"/>
      <c r="KQR467" s="268"/>
      <c r="KQS467" s="268"/>
      <c r="KQT467" s="268"/>
      <c r="KQU467" s="268"/>
      <c r="KQV467" s="268"/>
      <c r="KQW467" s="268"/>
      <c r="KQX467" s="268"/>
      <c r="KQY467" s="268"/>
      <c r="KQZ467" s="268"/>
      <c r="KRA467" s="268"/>
      <c r="KRB467" s="268"/>
      <c r="KRC467" s="268"/>
      <c r="KRD467" s="268"/>
      <c r="KRE467" s="268"/>
      <c r="KRF467" s="268"/>
      <c r="KRG467" s="268"/>
      <c r="KRH467" s="268"/>
      <c r="KRI467" s="268"/>
      <c r="KRJ467" s="268"/>
      <c r="KRK467" s="268"/>
      <c r="KRL467" s="268"/>
      <c r="KRM467" s="268"/>
      <c r="KRN467" s="268"/>
      <c r="KRO467" s="268"/>
      <c r="KRP467" s="268"/>
      <c r="KRQ467" s="268"/>
      <c r="KRR467" s="268"/>
      <c r="KRS467" s="268"/>
      <c r="KRT467" s="268"/>
      <c r="KRU467" s="268"/>
      <c r="KRV467" s="268"/>
      <c r="KRW467" s="268"/>
      <c r="KSK467" s="268"/>
      <c r="KSL467" s="268"/>
      <c r="KSM467" s="268"/>
      <c r="KTA467" s="268"/>
      <c r="KTC467" s="268"/>
      <c r="KTD467" s="268"/>
      <c r="KTE467" s="268"/>
      <c r="KTF467" s="268"/>
      <c r="KTG467" s="268"/>
      <c r="KTH467" s="268"/>
      <c r="KTI467" s="268"/>
      <c r="KTJ467" s="268"/>
      <c r="KTK467" s="268"/>
      <c r="KTL467" s="268"/>
      <c r="KTM467" s="268"/>
      <c r="KTN467" s="268"/>
      <c r="KTO467" s="268"/>
      <c r="KTP467" s="268"/>
      <c r="KTQ467" s="268"/>
      <c r="KTR467" s="268"/>
      <c r="KTS467" s="268"/>
      <c r="KTT467" s="268"/>
      <c r="KTU467" s="268"/>
      <c r="KTV467" s="268"/>
      <c r="KTW467" s="268"/>
      <c r="KTX467" s="268"/>
      <c r="KTY467" s="268"/>
      <c r="KTZ467" s="268"/>
      <c r="KUA467" s="268"/>
      <c r="KUB467" s="268"/>
      <c r="KUC467" s="268"/>
      <c r="KUD467" s="268"/>
      <c r="KUE467" s="268"/>
      <c r="KUF467" s="268"/>
      <c r="KUG467" s="268"/>
      <c r="KUH467" s="268"/>
      <c r="KUI467" s="268"/>
      <c r="KUJ467" s="268"/>
      <c r="KUK467" s="268"/>
      <c r="KUL467" s="268"/>
      <c r="KUM467" s="268"/>
      <c r="KUN467" s="268"/>
      <c r="KUO467" s="268"/>
      <c r="KUP467" s="268"/>
      <c r="KUQ467" s="268"/>
      <c r="KUR467" s="268"/>
      <c r="KUS467" s="268"/>
      <c r="KUT467" s="268"/>
      <c r="KUU467" s="268"/>
      <c r="KUV467" s="268"/>
      <c r="KUW467" s="268"/>
      <c r="KUX467" s="268"/>
      <c r="KUY467" s="268"/>
      <c r="KUZ467" s="268"/>
      <c r="KVA467" s="268"/>
      <c r="KVB467" s="268"/>
      <c r="KVC467" s="268"/>
      <c r="KVD467" s="268"/>
      <c r="KVE467" s="268"/>
      <c r="KVF467" s="268"/>
      <c r="KVG467" s="268"/>
      <c r="KVH467" s="268"/>
      <c r="KVI467" s="268"/>
      <c r="KVJ467" s="268"/>
      <c r="KVK467" s="268"/>
      <c r="KVL467" s="268"/>
      <c r="KVM467" s="268"/>
      <c r="KVN467" s="268"/>
      <c r="KVO467" s="268"/>
      <c r="KVP467" s="268"/>
      <c r="KVQ467" s="268"/>
      <c r="KVR467" s="268"/>
      <c r="KVS467" s="268"/>
      <c r="KVT467" s="268"/>
      <c r="KVU467" s="268"/>
      <c r="KVV467" s="268"/>
      <c r="KVW467" s="268"/>
      <c r="KVX467" s="268"/>
      <c r="KVY467" s="268"/>
      <c r="KVZ467" s="268"/>
      <c r="KWA467" s="268"/>
      <c r="KWB467" s="268"/>
      <c r="KWC467" s="268"/>
      <c r="KWD467" s="268"/>
      <c r="KWE467" s="268"/>
      <c r="KWF467" s="268"/>
      <c r="KWG467" s="268"/>
      <c r="KWH467" s="268"/>
      <c r="KWI467" s="268"/>
      <c r="KWJ467" s="268"/>
      <c r="KWK467" s="268"/>
      <c r="KWL467" s="268"/>
      <c r="KWM467" s="268"/>
      <c r="KWN467" s="268"/>
      <c r="KWO467" s="268"/>
      <c r="KWP467" s="268"/>
      <c r="KWQ467" s="268"/>
      <c r="KWR467" s="268"/>
      <c r="KWS467" s="268"/>
      <c r="KWT467" s="268"/>
      <c r="KWU467" s="268"/>
      <c r="KWV467" s="268"/>
      <c r="KWW467" s="268"/>
      <c r="KWX467" s="268"/>
      <c r="KWY467" s="268"/>
      <c r="KWZ467" s="268"/>
      <c r="KXA467" s="268"/>
      <c r="KXB467" s="268"/>
      <c r="KXC467" s="268"/>
      <c r="KXD467" s="268"/>
      <c r="KXE467" s="268"/>
      <c r="KXF467" s="268"/>
      <c r="KXG467" s="268"/>
      <c r="KXH467" s="268"/>
      <c r="KXI467" s="268"/>
      <c r="KXJ467" s="268"/>
      <c r="KXK467" s="268"/>
      <c r="KXL467" s="268"/>
      <c r="KXM467" s="268"/>
      <c r="KXN467" s="268"/>
      <c r="KXO467" s="268"/>
      <c r="KXP467" s="268"/>
      <c r="KXQ467" s="268"/>
      <c r="KXR467" s="268"/>
      <c r="KXS467" s="268"/>
      <c r="KXT467" s="268"/>
      <c r="KXU467" s="268"/>
      <c r="KXV467" s="268"/>
      <c r="KXW467" s="268"/>
      <c r="KXX467" s="268"/>
      <c r="KXY467" s="268"/>
      <c r="KXZ467" s="268"/>
      <c r="KYA467" s="268"/>
      <c r="KYB467" s="268"/>
      <c r="KYC467" s="268"/>
      <c r="KYD467" s="268"/>
      <c r="KYE467" s="268"/>
      <c r="KYF467" s="268"/>
      <c r="KYG467" s="268"/>
      <c r="KYH467" s="268"/>
      <c r="KYI467" s="268"/>
      <c r="KYJ467" s="268"/>
      <c r="KYK467" s="268"/>
      <c r="KYL467" s="268"/>
      <c r="KYM467" s="268"/>
      <c r="KYN467" s="268"/>
      <c r="KYO467" s="268"/>
      <c r="KYP467" s="268"/>
      <c r="KYQ467" s="268"/>
      <c r="KYR467" s="268"/>
      <c r="KYS467" s="268"/>
      <c r="KYT467" s="268"/>
      <c r="KYU467" s="268"/>
      <c r="KYV467" s="268"/>
      <c r="KYW467" s="268"/>
      <c r="KYX467" s="268"/>
      <c r="KYY467" s="268"/>
      <c r="KYZ467" s="268"/>
      <c r="KZA467" s="268"/>
      <c r="KZB467" s="268"/>
      <c r="KZC467" s="268"/>
      <c r="KZD467" s="268"/>
      <c r="KZE467" s="268"/>
      <c r="KZF467" s="268"/>
      <c r="KZG467" s="268"/>
      <c r="KZH467" s="268"/>
      <c r="KZI467" s="268"/>
      <c r="KZJ467" s="268"/>
      <c r="KZK467" s="268"/>
      <c r="KZL467" s="268"/>
      <c r="KZM467" s="268"/>
      <c r="KZN467" s="268"/>
      <c r="KZO467" s="268"/>
      <c r="KZP467" s="268"/>
      <c r="KZQ467" s="268"/>
      <c r="KZR467" s="268"/>
      <c r="KZS467" s="268"/>
      <c r="KZT467" s="268"/>
      <c r="KZU467" s="268"/>
      <c r="KZV467" s="268"/>
      <c r="KZW467" s="268"/>
      <c r="KZX467" s="268"/>
      <c r="KZY467" s="268"/>
      <c r="KZZ467" s="268"/>
      <c r="LAA467" s="268"/>
      <c r="LAB467" s="268"/>
      <c r="LAC467" s="268"/>
      <c r="LAD467" s="268"/>
      <c r="LAE467" s="268"/>
      <c r="LAF467" s="268"/>
      <c r="LAG467" s="268"/>
      <c r="LAH467" s="268"/>
      <c r="LAI467" s="268"/>
      <c r="LAJ467" s="268"/>
      <c r="LAK467" s="268"/>
      <c r="LAL467" s="268"/>
      <c r="LAM467" s="268"/>
      <c r="LAN467" s="268"/>
      <c r="LAO467" s="268"/>
      <c r="LAP467" s="268"/>
      <c r="LAQ467" s="268"/>
      <c r="LAR467" s="268"/>
      <c r="LAS467" s="268"/>
      <c r="LAT467" s="268"/>
      <c r="LAU467" s="268"/>
      <c r="LAV467" s="268"/>
      <c r="LAW467" s="268"/>
      <c r="LAX467" s="268"/>
      <c r="LAY467" s="268"/>
      <c r="LAZ467" s="268"/>
      <c r="LBA467" s="268"/>
      <c r="LBB467" s="268"/>
      <c r="LBC467" s="268"/>
      <c r="LBD467" s="268"/>
      <c r="LBE467" s="268"/>
      <c r="LBF467" s="268"/>
      <c r="LBG467" s="268"/>
      <c r="LBH467" s="268"/>
      <c r="LBI467" s="268"/>
      <c r="LBJ467" s="268"/>
      <c r="LBK467" s="268"/>
      <c r="LBL467" s="268"/>
      <c r="LBM467" s="268"/>
      <c r="LBN467" s="268"/>
      <c r="LBO467" s="268"/>
      <c r="LBP467" s="268"/>
      <c r="LBQ467" s="268"/>
      <c r="LBR467" s="268"/>
      <c r="LBS467" s="268"/>
      <c r="LCG467" s="268"/>
      <c r="LCH467" s="268"/>
      <c r="LCI467" s="268"/>
      <c r="LCW467" s="268"/>
      <c r="LCY467" s="268"/>
      <c r="LCZ467" s="268"/>
      <c r="LDA467" s="268"/>
      <c r="LDB467" s="268"/>
      <c r="LDC467" s="268"/>
      <c r="LDD467" s="268"/>
      <c r="LDE467" s="268"/>
      <c r="LDF467" s="268"/>
      <c r="LDG467" s="268"/>
      <c r="LDH467" s="268"/>
      <c r="LDI467" s="268"/>
      <c r="LDJ467" s="268"/>
      <c r="LDK467" s="268"/>
      <c r="LDL467" s="268"/>
      <c r="LDM467" s="268"/>
      <c r="LDN467" s="268"/>
      <c r="LDO467" s="268"/>
      <c r="LDP467" s="268"/>
      <c r="LDQ467" s="268"/>
      <c r="LDR467" s="268"/>
      <c r="LDS467" s="268"/>
      <c r="LDT467" s="268"/>
      <c r="LDU467" s="268"/>
      <c r="LDV467" s="268"/>
      <c r="LDW467" s="268"/>
      <c r="LDX467" s="268"/>
      <c r="LDY467" s="268"/>
      <c r="LDZ467" s="268"/>
      <c r="LEA467" s="268"/>
      <c r="LEB467" s="268"/>
      <c r="LEC467" s="268"/>
      <c r="LED467" s="268"/>
      <c r="LEE467" s="268"/>
      <c r="LEF467" s="268"/>
      <c r="LEG467" s="268"/>
      <c r="LEH467" s="268"/>
      <c r="LEI467" s="268"/>
      <c r="LEJ467" s="268"/>
      <c r="LEK467" s="268"/>
      <c r="LEL467" s="268"/>
      <c r="LEM467" s="268"/>
      <c r="LEN467" s="268"/>
      <c r="LEO467" s="268"/>
      <c r="LEP467" s="268"/>
      <c r="LEQ467" s="268"/>
      <c r="LER467" s="268"/>
      <c r="LES467" s="268"/>
      <c r="LET467" s="268"/>
      <c r="LEU467" s="268"/>
      <c r="LEV467" s="268"/>
      <c r="LEW467" s="268"/>
      <c r="LEX467" s="268"/>
      <c r="LEY467" s="268"/>
      <c r="LEZ467" s="268"/>
      <c r="LFA467" s="268"/>
      <c r="LFB467" s="268"/>
      <c r="LFC467" s="268"/>
      <c r="LFD467" s="268"/>
      <c r="LFE467" s="268"/>
      <c r="LFF467" s="268"/>
      <c r="LFG467" s="268"/>
      <c r="LFH467" s="268"/>
      <c r="LFI467" s="268"/>
      <c r="LFJ467" s="268"/>
      <c r="LFK467" s="268"/>
      <c r="LFL467" s="268"/>
      <c r="LFM467" s="268"/>
      <c r="LFN467" s="268"/>
      <c r="LFO467" s="268"/>
      <c r="LFP467" s="268"/>
      <c r="LFQ467" s="268"/>
      <c r="LFR467" s="268"/>
      <c r="LFS467" s="268"/>
      <c r="LFT467" s="268"/>
      <c r="LFU467" s="268"/>
      <c r="LFV467" s="268"/>
      <c r="LFW467" s="268"/>
      <c r="LFX467" s="268"/>
      <c r="LFY467" s="268"/>
      <c r="LFZ467" s="268"/>
      <c r="LGA467" s="268"/>
      <c r="LGB467" s="268"/>
      <c r="LGC467" s="268"/>
      <c r="LGD467" s="268"/>
      <c r="LGE467" s="268"/>
      <c r="LGF467" s="268"/>
      <c r="LGG467" s="268"/>
      <c r="LGH467" s="268"/>
      <c r="LGI467" s="268"/>
      <c r="LGJ467" s="268"/>
      <c r="LGK467" s="268"/>
      <c r="LGL467" s="268"/>
      <c r="LGM467" s="268"/>
      <c r="LGN467" s="268"/>
      <c r="LGO467" s="268"/>
      <c r="LGP467" s="268"/>
      <c r="LGQ467" s="268"/>
      <c r="LGR467" s="268"/>
      <c r="LGS467" s="268"/>
      <c r="LGT467" s="268"/>
      <c r="LGU467" s="268"/>
      <c r="LGV467" s="268"/>
      <c r="LGW467" s="268"/>
      <c r="LGX467" s="268"/>
      <c r="LGY467" s="268"/>
      <c r="LGZ467" s="268"/>
      <c r="LHA467" s="268"/>
      <c r="LHB467" s="268"/>
      <c r="LHC467" s="268"/>
      <c r="LHD467" s="268"/>
      <c r="LHE467" s="268"/>
      <c r="LHF467" s="268"/>
      <c r="LHG467" s="268"/>
      <c r="LHH467" s="268"/>
      <c r="LHI467" s="268"/>
      <c r="LHJ467" s="268"/>
      <c r="LHK467" s="268"/>
      <c r="LHL467" s="268"/>
      <c r="LHM467" s="268"/>
      <c r="LHN467" s="268"/>
      <c r="LHO467" s="268"/>
      <c r="LHP467" s="268"/>
      <c r="LHQ467" s="268"/>
      <c r="LHR467" s="268"/>
      <c r="LHS467" s="268"/>
      <c r="LHT467" s="268"/>
      <c r="LHU467" s="268"/>
      <c r="LHV467" s="268"/>
      <c r="LHW467" s="268"/>
      <c r="LHX467" s="268"/>
      <c r="LHY467" s="268"/>
      <c r="LHZ467" s="268"/>
      <c r="LIA467" s="268"/>
      <c r="LIB467" s="268"/>
      <c r="LIC467" s="268"/>
      <c r="LID467" s="268"/>
      <c r="LIE467" s="268"/>
      <c r="LIF467" s="268"/>
      <c r="LIG467" s="268"/>
      <c r="LIH467" s="268"/>
      <c r="LII467" s="268"/>
      <c r="LIJ467" s="268"/>
      <c r="LIK467" s="268"/>
      <c r="LIL467" s="268"/>
      <c r="LIM467" s="268"/>
      <c r="LIN467" s="268"/>
      <c r="LIO467" s="268"/>
      <c r="LIP467" s="268"/>
      <c r="LIQ467" s="268"/>
      <c r="LIR467" s="268"/>
      <c r="LIS467" s="268"/>
      <c r="LIT467" s="268"/>
      <c r="LIU467" s="268"/>
      <c r="LIV467" s="268"/>
      <c r="LIW467" s="268"/>
      <c r="LIX467" s="268"/>
      <c r="LIY467" s="268"/>
      <c r="LIZ467" s="268"/>
      <c r="LJA467" s="268"/>
      <c r="LJB467" s="268"/>
      <c r="LJC467" s="268"/>
      <c r="LJD467" s="268"/>
      <c r="LJE467" s="268"/>
      <c r="LJF467" s="268"/>
      <c r="LJG467" s="268"/>
      <c r="LJH467" s="268"/>
      <c r="LJI467" s="268"/>
      <c r="LJJ467" s="268"/>
      <c r="LJK467" s="268"/>
      <c r="LJL467" s="268"/>
      <c r="LJM467" s="268"/>
      <c r="LJN467" s="268"/>
      <c r="LJO467" s="268"/>
      <c r="LJP467" s="268"/>
      <c r="LJQ467" s="268"/>
      <c r="LJR467" s="268"/>
      <c r="LJS467" s="268"/>
      <c r="LJT467" s="268"/>
      <c r="LJU467" s="268"/>
      <c r="LJV467" s="268"/>
      <c r="LJW467" s="268"/>
      <c r="LJX467" s="268"/>
      <c r="LJY467" s="268"/>
      <c r="LJZ467" s="268"/>
      <c r="LKA467" s="268"/>
      <c r="LKB467" s="268"/>
      <c r="LKC467" s="268"/>
      <c r="LKD467" s="268"/>
      <c r="LKE467" s="268"/>
      <c r="LKF467" s="268"/>
      <c r="LKG467" s="268"/>
      <c r="LKH467" s="268"/>
      <c r="LKI467" s="268"/>
      <c r="LKJ467" s="268"/>
      <c r="LKK467" s="268"/>
      <c r="LKL467" s="268"/>
      <c r="LKM467" s="268"/>
      <c r="LKN467" s="268"/>
      <c r="LKO467" s="268"/>
      <c r="LKP467" s="268"/>
      <c r="LKQ467" s="268"/>
      <c r="LKR467" s="268"/>
      <c r="LKS467" s="268"/>
      <c r="LKT467" s="268"/>
      <c r="LKU467" s="268"/>
      <c r="LKV467" s="268"/>
      <c r="LKW467" s="268"/>
      <c r="LKX467" s="268"/>
      <c r="LKY467" s="268"/>
      <c r="LKZ467" s="268"/>
      <c r="LLA467" s="268"/>
      <c r="LLB467" s="268"/>
      <c r="LLC467" s="268"/>
      <c r="LLD467" s="268"/>
      <c r="LLE467" s="268"/>
      <c r="LLF467" s="268"/>
      <c r="LLG467" s="268"/>
      <c r="LLH467" s="268"/>
      <c r="LLI467" s="268"/>
      <c r="LLJ467" s="268"/>
      <c r="LLK467" s="268"/>
      <c r="LLL467" s="268"/>
      <c r="LLM467" s="268"/>
      <c r="LLN467" s="268"/>
      <c r="LLO467" s="268"/>
      <c r="LMC467" s="268"/>
      <c r="LMD467" s="268"/>
      <c r="LME467" s="268"/>
      <c r="LMS467" s="268"/>
      <c r="LMU467" s="268"/>
      <c r="LMV467" s="268"/>
      <c r="LMW467" s="268"/>
      <c r="LMX467" s="268"/>
      <c r="LMY467" s="268"/>
      <c r="LMZ467" s="268"/>
      <c r="LNA467" s="268"/>
      <c r="LNB467" s="268"/>
      <c r="LNC467" s="268"/>
      <c r="LND467" s="268"/>
      <c r="LNE467" s="268"/>
      <c r="LNF467" s="268"/>
      <c r="LNG467" s="268"/>
      <c r="LNH467" s="268"/>
      <c r="LNI467" s="268"/>
      <c r="LNJ467" s="268"/>
      <c r="LNK467" s="268"/>
      <c r="LNL467" s="268"/>
      <c r="LNM467" s="268"/>
      <c r="LNN467" s="268"/>
      <c r="LNO467" s="268"/>
      <c r="LNP467" s="268"/>
      <c r="LNQ467" s="268"/>
      <c r="LNR467" s="268"/>
      <c r="LNS467" s="268"/>
      <c r="LNT467" s="268"/>
      <c r="LNU467" s="268"/>
      <c r="LNV467" s="268"/>
      <c r="LNW467" s="268"/>
      <c r="LNX467" s="268"/>
      <c r="LNY467" s="268"/>
      <c r="LNZ467" s="268"/>
      <c r="LOA467" s="268"/>
      <c r="LOB467" s="268"/>
      <c r="LOC467" s="268"/>
      <c r="LOD467" s="268"/>
      <c r="LOE467" s="268"/>
      <c r="LOF467" s="268"/>
      <c r="LOG467" s="268"/>
      <c r="LOH467" s="268"/>
      <c r="LOI467" s="268"/>
      <c r="LOJ467" s="268"/>
      <c r="LOK467" s="268"/>
      <c r="LOL467" s="268"/>
      <c r="LOM467" s="268"/>
      <c r="LON467" s="268"/>
      <c r="LOO467" s="268"/>
      <c r="LOP467" s="268"/>
      <c r="LOQ467" s="268"/>
      <c r="LOR467" s="268"/>
      <c r="LOS467" s="268"/>
      <c r="LOT467" s="268"/>
      <c r="LOU467" s="268"/>
      <c r="LOV467" s="268"/>
      <c r="LOW467" s="268"/>
      <c r="LOX467" s="268"/>
      <c r="LOY467" s="268"/>
      <c r="LOZ467" s="268"/>
      <c r="LPA467" s="268"/>
      <c r="LPB467" s="268"/>
      <c r="LPC467" s="268"/>
      <c r="LPD467" s="268"/>
      <c r="LPE467" s="268"/>
      <c r="LPF467" s="268"/>
      <c r="LPG467" s="268"/>
      <c r="LPH467" s="268"/>
      <c r="LPI467" s="268"/>
      <c r="LPJ467" s="268"/>
      <c r="LPK467" s="268"/>
      <c r="LPL467" s="268"/>
      <c r="LPM467" s="268"/>
      <c r="LPN467" s="268"/>
      <c r="LPO467" s="268"/>
      <c r="LPP467" s="268"/>
      <c r="LPQ467" s="268"/>
      <c r="LPR467" s="268"/>
      <c r="LPS467" s="268"/>
      <c r="LPT467" s="268"/>
      <c r="LPU467" s="268"/>
      <c r="LPV467" s="268"/>
      <c r="LPW467" s="268"/>
      <c r="LPX467" s="268"/>
      <c r="LPY467" s="268"/>
      <c r="LPZ467" s="268"/>
      <c r="LQA467" s="268"/>
      <c r="LQB467" s="268"/>
      <c r="LQC467" s="268"/>
      <c r="LQD467" s="268"/>
      <c r="LQE467" s="268"/>
      <c r="LQF467" s="268"/>
      <c r="LQG467" s="268"/>
      <c r="LQH467" s="268"/>
      <c r="LQI467" s="268"/>
      <c r="LQJ467" s="268"/>
      <c r="LQK467" s="268"/>
      <c r="LQL467" s="268"/>
      <c r="LQM467" s="268"/>
      <c r="LQN467" s="268"/>
      <c r="LQO467" s="268"/>
      <c r="LQP467" s="268"/>
      <c r="LQQ467" s="268"/>
      <c r="LQR467" s="268"/>
      <c r="LQS467" s="268"/>
      <c r="LQT467" s="268"/>
      <c r="LQU467" s="268"/>
      <c r="LQV467" s="268"/>
      <c r="LQW467" s="268"/>
      <c r="LQX467" s="268"/>
      <c r="LQY467" s="268"/>
      <c r="LQZ467" s="268"/>
      <c r="LRA467" s="268"/>
      <c r="LRB467" s="268"/>
      <c r="LRC467" s="268"/>
      <c r="LRD467" s="268"/>
      <c r="LRE467" s="268"/>
      <c r="LRF467" s="268"/>
      <c r="LRG467" s="268"/>
      <c r="LRH467" s="268"/>
      <c r="LRI467" s="268"/>
      <c r="LRJ467" s="268"/>
      <c r="LRK467" s="268"/>
      <c r="LRL467" s="268"/>
      <c r="LRM467" s="268"/>
      <c r="LRN467" s="268"/>
      <c r="LRO467" s="268"/>
      <c r="LRP467" s="268"/>
      <c r="LRQ467" s="268"/>
      <c r="LRR467" s="268"/>
      <c r="LRS467" s="268"/>
      <c r="LRT467" s="268"/>
      <c r="LRU467" s="268"/>
      <c r="LRV467" s="268"/>
      <c r="LRW467" s="268"/>
      <c r="LRX467" s="268"/>
      <c r="LRY467" s="268"/>
      <c r="LRZ467" s="268"/>
      <c r="LSA467" s="268"/>
      <c r="LSB467" s="268"/>
      <c r="LSC467" s="268"/>
      <c r="LSD467" s="268"/>
      <c r="LSE467" s="268"/>
      <c r="LSF467" s="268"/>
      <c r="LSG467" s="268"/>
      <c r="LSH467" s="268"/>
      <c r="LSI467" s="268"/>
      <c r="LSJ467" s="268"/>
      <c r="LSK467" s="268"/>
      <c r="LSL467" s="268"/>
      <c r="LSM467" s="268"/>
      <c r="LSN467" s="268"/>
      <c r="LSO467" s="268"/>
      <c r="LSP467" s="268"/>
      <c r="LSQ467" s="268"/>
      <c r="LSR467" s="268"/>
      <c r="LSS467" s="268"/>
      <c r="LST467" s="268"/>
      <c r="LSU467" s="268"/>
      <c r="LSV467" s="268"/>
      <c r="LSW467" s="268"/>
      <c r="LSX467" s="268"/>
      <c r="LSY467" s="268"/>
      <c r="LSZ467" s="268"/>
      <c r="LTA467" s="268"/>
      <c r="LTB467" s="268"/>
      <c r="LTC467" s="268"/>
      <c r="LTD467" s="268"/>
      <c r="LTE467" s="268"/>
      <c r="LTF467" s="268"/>
      <c r="LTG467" s="268"/>
      <c r="LTH467" s="268"/>
      <c r="LTI467" s="268"/>
      <c r="LTJ467" s="268"/>
      <c r="LTK467" s="268"/>
      <c r="LTL467" s="268"/>
      <c r="LTM467" s="268"/>
      <c r="LTN467" s="268"/>
      <c r="LTO467" s="268"/>
      <c r="LTP467" s="268"/>
      <c r="LTQ467" s="268"/>
      <c r="LTR467" s="268"/>
      <c r="LTS467" s="268"/>
      <c r="LTT467" s="268"/>
      <c r="LTU467" s="268"/>
      <c r="LTV467" s="268"/>
      <c r="LTW467" s="268"/>
      <c r="LTX467" s="268"/>
      <c r="LTY467" s="268"/>
      <c r="LTZ467" s="268"/>
      <c r="LUA467" s="268"/>
      <c r="LUB467" s="268"/>
      <c r="LUC467" s="268"/>
      <c r="LUD467" s="268"/>
      <c r="LUE467" s="268"/>
      <c r="LUF467" s="268"/>
      <c r="LUG467" s="268"/>
      <c r="LUH467" s="268"/>
      <c r="LUI467" s="268"/>
      <c r="LUJ467" s="268"/>
      <c r="LUK467" s="268"/>
      <c r="LUL467" s="268"/>
      <c r="LUM467" s="268"/>
      <c r="LUN467" s="268"/>
      <c r="LUO467" s="268"/>
      <c r="LUP467" s="268"/>
      <c r="LUQ467" s="268"/>
      <c r="LUR467" s="268"/>
      <c r="LUS467" s="268"/>
      <c r="LUT467" s="268"/>
      <c r="LUU467" s="268"/>
      <c r="LUV467" s="268"/>
      <c r="LUW467" s="268"/>
      <c r="LUX467" s="268"/>
      <c r="LUY467" s="268"/>
      <c r="LUZ467" s="268"/>
      <c r="LVA467" s="268"/>
      <c r="LVB467" s="268"/>
      <c r="LVC467" s="268"/>
      <c r="LVD467" s="268"/>
      <c r="LVE467" s="268"/>
      <c r="LVF467" s="268"/>
      <c r="LVG467" s="268"/>
      <c r="LVH467" s="268"/>
      <c r="LVI467" s="268"/>
      <c r="LVJ467" s="268"/>
      <c r="LVK467" s="268"/>
      <c r="LVY467" s="268"/>
      <c r="LVZ467" s="268"/>
      <c r="LWA467" s="268"/>
      <c r="LWO467" s="268"/>
      <c r="LWQ467" s="268"/>
      <c r="LWR467" s="268"/>
      <c r="LWS467" s="268"/>
      <c r="LWT467" s="268"/>
      <c r="LWU467" s="268"/>
      <c r="LWV467" s="268"/>
      <c r="LWW467" s="268"/>
      <c r="LWX467" s="268"/>
      <c r="LWY467" s="268"/>
      <c r="LWZ467" s="268"/>
      <c r="LXA467" s="268"/>
      <c r="LXB467" s="268"/>
      <c r="LXC467" s="268"/>
      <c r="LXD467" s="268"/>
      <c r="LXE467" s="268"/>
      <c r="LXF467" s="268"/>
      <c r="LXG467" s="268"/>
      <c r="LXH467" s="268"/>
      <c r="LXI467" s="268"/>
      <c r="LXJ467" s="268"/>
      <c r="LXK467" s="268"/>
      <c r="LXL467" s="268"/>
      <c r="LXM467" s="268"/>
      <c r="LXN467" s="268"/>
      <c r="LXO467" s="268"/>
      <c r="LXP467" s="268"/>
      <c r="LXQ467" s="268"/>
      <c r="LXR467" s="268"/>
      <c r="LXS467" s="268"/>
      <c r="LXT467" s="268"/>
      <c r="LXU467" s="268"/>
      <c r="LXV467" s="268"/>
      <c r="LXW467" s="268"/>
      <c r="LXX467" s="268"/>
      <c r="LXY467" s="268"/>
      <c r="LXZ467" s="268"/>
      <c r="LYA467" s="268"/>
      <c r="LYB467" s="268"/>
      <c r="LYC467" s="268"/>
      <c r="LYD467" s="268"/>
      <c r="LYE467" s="268"/>
      <c r="LYF467" s="268"/>
      <c r="LYG467" s="268"/>
      <c r="LYH467" s="268"/>
      <c r="LYI467" s="268"/>
      <c r="LYJ467" s="268"/>
      <c r="LYK467" s="268"/>
      <c r="LYL467" s="268"/>
      <c r="LYM467" s="268"/>
      <c r="LYN467" s="268"/>
      <c r="LYO467" s="268"/>
      <c r="LYP467" s="268"/>
      <c r="LYQ467" s="268"/>
      <c r="LYR467" s="268"/>
      <c r="LYS467" s="268"/>
      <c r="LYT467" s="268"/>
      <c r="LYU467" s="268"/>
      <c r="LYV467" s="268"/>
      <c r="LYW467" s="268"/>
      <c r="LYX467" s="268"/>
      <c r="LYY467" s="268"/>
      <c r="LYZ467" s="268"/>
      <c r="LZA467" s="268"/>
      <c r="LZB467" s="268"/>
      <c r="LZC467" s="268"/>
      <c r="LZD467" s="268"/>
      <c r="LZE467" s="268"/>
      <c r="LZF467" s="268"/>
      <c r="LZG467" s="268"/>
      <c r="LZH467" s="268"/>
      <c r="LZI467" s="268"/>
      <c r="LZJ467" s="268"/>
      <c r="LZK467" s="268"/>
      <c r="LZL467" s="268"/>
      <c r="LZM467" s="268"/>
      <c r="LZN467" s="268"/>
      <c r="LZO467" s="268"/>
      <c r="LZP467" s="268"/>
      <c r="LZQ467" s="268"/>
      <c r="LZR467" s="268"/>
      <c r="LZS467" s="268"/>
      <c r="LZT467" s="268"/>
      <c r="LZU467" s="268"/>
      <c r="LZV467" s="268"/>
      <c r="LZW467" s="268"/>
      <c r="LZX467" s="268"/>
      <c r="LZY467" s="268"/>
      <c r="LZZ467" s="268"/>
      <c r="MAA467" s="268"/>
      <c r="MAB467" s="268"/>
      <c r="MAC467" s="268"/>
      <c r="MAD467" s="268"/>
      <c r="MAE467" s="268"/>
      <c r="MAF467" s="268"/>
      <c r="MAG467" s="268"/>
      <c r="MAH467" s="268"/>
      <c r="MAI467" s="268"/>
      <c r="MAJ467" s="268"/>
      <c r="MAK467" s="268"/>
      <c r="MAL467" s="268"/>
      <c r="MAM467" s="268"/>
      <c r="MAN467" s="268"/>
      <c r="MAO467" s="268"/>
      <c r="MAP467" s="268"/>
      <c r="MAQ467" s="268"/>
      <c r="MAR467" s="268"/>
      <c r="MAS467" s="268"/>
      <c r="MAT467" s="268"/>
      <c r="MAU467" s="268"/>
      <c r="MAV467" s="268"/>
      <c r="MAW467" s="268"/>
      <c r="MAX467" s="268"/>
      <c r="MAY467" s="268"/>
      <c r="MAZ467" s="268"/>
      <c r="MBA467" s="268"/>
      <c r="MBB467" s="268"/>
      <c r="MBC467" s="268"/>
      <c r="MBD467" s="268"/>
      <c r="MBE467" s="268"/>
      <c r="MBF467" s="268"/>
      <c r="MBG467" s="268"/>
      <c r="MBH467" s="268"/>
      <c r="MBI467" s="268"/>
      <c r="MBJ467" s="268"/>
      <c r="MBK467" s="268"/>
      <c r="MBL467" s="268"/>
      <c r="MBM467" s="268"/>
      <c r="MBN467" s="268"/>
      <c r="MBO467" s="268"/>
      <c r="MBP467" s="268"/>
      <c r="MBQ467" s="268"/>
      <c r="MBR467" s="268"/>
      <c r="MBS467" s="268"/>
      <c r="MBT467" s="268"/>
      <c r="MBU467" s="268"/>
      <c r="MBV467" s="268"/>
      <c r="MBW467" s="268"/>
      <c r="MBX467" s="268"/>
      <c r="MBY467" s="268"/>
      <c r="MBZ467" s="268"/>
      <c r="MCA467" s="268"/>
      <c r="MCB467" s="268"/>
      <c r="MCC467" s="268"/>
      <c r="MCD467" s="268"/>
      <c r="MCE467" s="268"/>
      <c r="MCF467" s="268"/>
      <c r="MCG467" s="268"/>
      <c r="MCH467" s="268"/>
      <c r="MCI467" s="268"/>
      <c r="MCJ467" s="268"/>
      <c r="MCK467" s="268"/>
      <c r="MCL467" s="268"/>
      <c r="MCM467" s="268"/>
      <c r="MCN467" s="268"/>
      <c r="MCO467" s="268"/>
      <c r="MCP467" s="268"/>
      <c r="MCQ467" s="268"/>
      <c r="MCR467" s="268"/>
      <c r="MCS467" s="268"/>
      <c r="MCT467" s="268"/>
      <c r="MCU467" s="268"/>
      <c r="MCV467" s="268"/>
      <c r="MCW467" s="268"/>
      <c r="MCX467" s="268"/>
      <c r="MCY467" s="268"/>
      <c r="MCZ467" s="268"/>
      <c r="MDA467" s="268"/>
      <c r="MDB467" s="268"/>
      <c r="MDC467" s="268"/>
      <c r="MDD467" s="268"/>
      <c r="MDE467" s="268"/>
      <c r="MDF467" s="268"/>
      <c r="MDG467" s="268"/>
      <c r="MDH467" s="268"/>
      <c r="MDI467" s="268"/>
      <c r="MDJ467" s="268"/>
      <c r="MDK467" s="268"/>
      <c r="MDL467" s="268"/>
      <c r="MDM467" s="268"/>
      <c r="MDN467" s="268"/>
      <c r="MDO467" s="268"/>
      <c r="MDP467" s="268"/>
      <c r="MDQ467" s="268"/>
      <c r="MDR467" s="268"/>
      <c r="MDS467" s="268"/>
      <c r="MDT467" s="268"/>
      <c r="MDU467" s="268"/>
      <c r="MDV467" s="268"/>
      <c r="MDW467" s="268"/>
      <c r="MDX467" s="268"/>
      <c r="MDY467" s="268"/>
      <c r="MDZ467" s="268"/>
      <c r="MEA467" s="268"/>
      <c r="MEB467" s="268"/>
      <c r="MEC467" s="268"/>
      <c r="MED467" s="268"/>
      <c r="MEE467" s="268"/>
      <c r="MEF467" s="268"/>
      <c r="MEG467" s="268"/>
      <c r="MEH467" s="268"/>
      <c r="MEI467" s="268"/>
      <c r="MEJ467" s="268"/>
      <c r="MEK467" s="268"/>
      <c r="MEL467" s="268"/>
      <c r="MEM467" s="268"/>
      <c r="MEN467" s="268"/>
      <c r="MEO467" s="268"/>
      <c r="MEP467" s="268"/>
      <c r="MEQ467" s="268"/>
      <c r="MER467" s="268"/>
      <c r="MES467" s="268"/>
      <c r="MET467" s="268"/>
      <c r="MEU467" s="268"/>
      <c r="MEV467" s="268"/>
      <c r="MEW467" s="268"/>
      <c r="MEX467" s="268"/>
      <c r="MEY467" s="268"/>
      <c r="MEZ467" s="268"/>
      <c r="MFA467" s="268"/>
      <c r="MFB467" s="268"/>
      <c r="MFC467" s="268"/>
      <c r="MFD467" s="268"/>
      <c r="MFE467" s="268"/>
      <c r="MFF467" s="268"/>
      <c r="MFG467" s="268"/>
      <c r="MFU467" s="268"/>
      <c r="MFV467" s="268"/>
      <c r="MFW467" s="268"/>
      <c r="MGK467" s="268"/>
      <c r="MGM467" s="268"/>
      <c r="MGN467" s="268"/>
      <c r="MGO467" s="268"/>
      <c r="MGP467" s="268"/>
      <c r="MGQ467" s="268"/>
      <c r="MGR467" s="268"/>
      <c r="MGS467" s="268"/>
      <c r="MGT467" s="268"/>
      <c r="MGU467" s="268"/>
      <c r="MGV467" s="268"/>
      <c r="MGW467" s="268"/>
      <c r="MGX467" s="268"/>
      <c r="MGY467" s="268"/>
      <c r="MGZ467" s="268"/>
      <c r="MHA467" s="268"/>
      <c r="MHB467" s="268"/>
      <c r="MHC467" s="268"/>
      <c r="MHD467" s="268"/>
      <c r="MHE467" s="268"/>
      <c r="MHF467" s="268"/>
      <c r="MHG467" s="268"/>
      <c r="MHH467" s="268"/>
      <c r="MHI467" s="268"/>
      <c r="MHJ467" s="268"/>
      <c r="MHK467" s="268"/>
      <c r="MHL467" s="268"/>
      <c r="MHM467" s="268"/>
      <c r="MHN467" s="268"/>
      <c r="MHO467" s="268"/>
      <c r="MHP467" s="268"/>
      <c r="MHQ467" s="268"/>
      <c r="MHR467" s="268"/>
      <c r="MHS467" s="268"/>
      <c r="MHT467" s="268"/>
      <c r="MHU467" s="268"/>
      <c r="MHV467" s="268"/>
      <c r="MHW467" s="268"/>
      <c r="MHX467" s="268"/>
      <c r="MHY467" s="268"/>
      <c r="MHZ467" s="268"/>
      <c r="MIA467" s="268"/>
      <c r="MIB467" s="268"/>
      <c r="MIC467" s="268"/>
      <c r="MID467" s="268"/>
      <c r="MIE467" s="268"/>
      <c r="MIF467" s="268"/>
      <c r="MIG467" s="268"/>
      <c r="MIH467" s="268"/>
      <c r="MII467" s="268"/>
      <c r="MIJ467" s="268"/>
      <c r="MIK467" s="268"/>
      <c r="MIL467" s="268"/>
      <c r="MIM467" s="268"/>
      <c r="MIN467" s="268"/>
      <c r="MIO467" s="268"/>
      <c r="MIP467" s="268"/>
      <c r="MIQ467" s="268"/>
      <c r="MIR467" s="268"/>
      <c r="MIS467" s="268"/>
      <c r="MIT467" s="268"/>
      <c r="MIU467" s="268"/>
      <c r="MIV467" s="268"/>
      <c r="MIW467" s="268"/>
      <c r="MIX467" s="268"/>
      <c r="MIY467" s="268"/>
      <c r="MIZ467" s="268"/>
      <c r="MJA467" s="268"/>
      <c r="MJB467" s="268"/>
      <c r="MJC467" s="268"/>
      <c r="MJD467" s="268"/>
      <c r="MJE467" s="268"/>
      <c r="MJF467" s="268"/>
      <c r="MJG467" s="268"/>
      <c r="MJH467" s="268"/>
      <c r="MJI467" s="268"/>
      <c r="MJJ467" s="268"/>
      <c r="MJK467" s="268"/>
      <c r="MJL467" s="268"/>
      <c r="MJM467" s="268"/>
      <c r="MJN467" s="268"/>
      <c r="MJO467" s="268"/>
      <c r="MJP467" s="268"/>
      <c r="MJQ467" s="268"/>
      <c r="MJR467" s="268"/>
      <c r="MJS467" s="268"/>
      <c r="MJT467" s="268"/>
      <c r="MJU467" s="268"/>
      <c r="MJV467" s="268"/>
      <c r="MJW467" s="268"/>
      <c r="MJX467" s="268"/>
      <c r="MJY467" s="268"/>
      <c r="MJZ467" s="268"/>
      <c r="MKA467" s="268"/>
      <c r="MKB467" s="268"/>
      <c r="MKC467" s="268"/>
      <c r="MKD467" s="268"/>
      <c r="MKE467" s="268"/>
      <c r="MKF467" s="268"/>
      <c r="MKG467" s="268"/>
      <c r="MKH467" s="268"/>
      <c r="MKI467" s="268"/>
      <c r="MKJ467" s="268"/>
      <c r="MKK467" s="268"/>
      <c r="MKL467" s="268"/>
      <c r="MKM467" s="268"/>
      <c r="MKN467" s="268"/>
      <c r="MKO467" s="268"/>
      <c r="MKP467" s="268"/>
      <c r="MKQ467" s="268"/>
      <c r="MKR467" s="268"/>
      <c r="MKS467" s="268"/>
      <c r="MKT467" s="268"/>
      <c r="MKU467" s="268"/>
      <c r="MKV467" s="268"/>
      <c r="MKW467" s="268"/>
      <c r="MKX467" s="268"/>
      <c r="MKY467" s="268"/>
      <c r="MKZ467" s="268"/>
      <c r="MLA467" s="268"/>
      <c r="MLB467" s="268"/>
      <c r="MLC467" s="268"/>
      <c r="MLD467" s="268"/>
      <c r="MLE467" s="268"/>
      <c r="MLF467" s="268"/>
      <c r="MLG467" s="268"/>
      <c r="MLH467" s="268"/>
      <c r="MLI467" s="268"/>
      <c r="MLJ467" s="268"/>
      <c r="MLK467" s="268"/>
      <c r="MLL467" s="268"/>
      <c r="MLM467" s="268"/>
      <c r="MLN467" s="268"/>
      <c r="MLO467" s="268"/>
      <c r="MLP467" s="268"/>
      <c r="MLQ467" s="268"/>
      <c r="MLR467" s="268"/>
      <c r="MLS467" s="268"/>
      <c r="MLT467" s="268"/>
      <c r="MLU467" s="268"/>
      <c r="MLV467" s="268"/>
      <c r="MLW467" s="268"/>
      <c r="MLX467" s="268"/>
      <c r="MLY467" s="268"/>
      <c r="MLZ467" s="268"/>
      <c r="MMA467" s="268"/>
      <c r="MMB467" s="268"/>
      <c r="MMC467" s="268"/>
      <c r="MMD467" s="268"/>
      <c r="MME467" s="268"/>
      <c r="MMF467" s="268"/>
      <c r="MMG467" s="268"/>
      <c r="MMH467" s="268"/>
      <c r="MMI467" s="268"/>
      <c r="MMJ467" s="268"/>
      <c r="MMK467" s="268"/>
      <c r="MML467" s="268"/>
      <c r="MMM467" s="268"/>
      <c r="MMN467" s="268"/>
      <c r="MMO467" s="268"/>
      <c r="MMP467" s="268"/>
      <c r="MMQ467" s="268"/>
      <c r="MMR467" s="268"/>
      <c r="MMS467" s="268"/>
      <c r="MMT467" s="268"/>
      <c r="MMU467" s="268"/>
      <c r="MMV467" s="268"/>
      <c r="MMW467" s="268"/>
      <c r="MMX467" s="268"/>
      <c r="MMY467" s="268"/>
      <c r="MMZ467" s="268"/>
      <c r="MNA467" s="268"/>
      <c r="MNB467" s="268"/>
      <c r="MNC467" s="268"/>
      <c r="MND467" s="268"/>
      <c r="MNE467" s="268"/>
      <c r="MNF467" s="268"/>
      <c r="MNG467" s="268"/>
      <c r="MNH467" s="268"/>
      <c r="MNI467" s="268"/>
      <c r="MNJ467" s="268"/>
      <c r="MNK467" s="268"/>
      <c r="MNL467" s="268"/>
      <c r="MNM467" s="268"/>
      <c r="MNN467" s="268"/>
      <c r="MNO467" s="268"/>
      <c r="MNP467" s="268"/>
      <c r="MNQ467" s="268"/>
      <c r="MNR467" s="268"/>
      <c r="MNS467" s="268"/>
      <c r="MNT467" s="268"/>
      <c r="MNU467" s="268"/>
      <c r="MNV467" s="268"/>
      <c r="MNW467" s="268"/>
      <c r="MNX467" s="268"/>
      <c r="MNY467" s="268"/>
      <c r="MNZ467" s="268"/>
      <c r="MOA467" s="268"/>
      <c r="MOB467" s="268"/>
      <c r="MOC467" s="268"/>
      <c r="MOD467" s="268"/>
      <c r="MOE467" s="268"/>
      <c r="MOF467" s="268"/>
      <c r="MOG467" s="268"/>
      <c r="MOH467" s="268"/>
      <c r="MOI467" s="268"/>
      <c r="MOJ467" s="268"/>
      <c r="MOK467" s="268"/>
      <c r="MOL467" s="268"/>
      <c r="MOM467" s="268"/>
      <c r="MON467" s="268"/>
      <c r="MOO467" s="268"/>
      <c r="MOP467" s="268"/>
      <c r="MOQ467" s="268"/>
      <c r="MOR467" s="268"/>
      <c r="MOS467" s="268"/>
      <c r="MOT467" s="268"/>
      <c r="MOU467" s="268"/>
      <c r="MOV467" s="268"/>
      <c r="MOW467" s="268"/>
      <c r="MOX467" s="268"/>
      <c r="MOY467" s="268"/>
      <c r="MOZ467" s="268"/>
      <c r="MPA467" s="268"/>
      <c r="MPB467" s="268"/>
      <c r="MPC467" s="268"/>
      <c r="MPQ467" s="268"/>
      <c r="MPR467" s="268"/>
      <c r="MPS467" s="268"/>
      <c r="MQG467" s="268"/>
      <c r="MQI467" s="268"/>
      <c r="MQJ467" s="268"/>
      <c r="MQK467" s="268"/>
      <c r="MQL467" s="268"/>
      <c r="MQM467" s="268"/>
      <c r="MQN467" s="268"/>
      <c r="MQO467" s="268"/>
      <c r="MQP467" s="268"/>
      <c r="MQQ467" s="268"/>
      <c r="MQR467" s="268"/>
      <c r="MQS467" s="268"/>
      <c r="MQT467" s="268"/>
      <c r="MQU467" s="268"/>
      <c r="MQV467" s="268"/>
      <c r="MQW467" s="268"/>
      <c r="MQX467" s="268"/>
      <c r="MQY467" s="268"/>
      <c r="MQZ467" s="268"/>
      <c r="MRA467" s="268"/>
      <c r="MRB467" s="268"/>
      <c r="MRC467" s="268"/>
      <c r="MRD467" s="268"/>
      <c r="MRE467" s="268"/>
      <c r="MRF467" s="268"/>
      <c r="MRG467" s="268"/>
      <c r="MRH467" s="268"/>
      <c r="MRI467" s="268"/>
      <c r="MRJ467" s="268"/>
      <c r="MRK467" s="268"/>
      <c r="MRL467" s="268"/>
      <c r="MRM467" s="268"/>
      <c r="MRN467" s="268"/>
      <c r="MRO467" s="268"/>
      <c r="MRP467" s="268"/>
      <c r="MRQ467" s="268"/>
      <c r="MRR467" s="268"/>
      <c r="MRS467" s="268"/>
      <c r="MRT467" s="268"/>
      <c r="MRU467" s="268"/>
      <c r="MRV467" s="268"/>
      <c r="MRW467" s="268"/>
      <c r="MRX467" s="268"/>
      <c r="MRY467" s="268"/>
      <c r="MRZ467" s="268"/>
      <c r="MSA467" s="268"/>
      <c r="MSB467" s="268"/>
      <c r="MSC467" s="268"/>
      <c r="MSD467" s="268"/>
      <c r="MSE467" s="268"/>
      <c r="MSF467" s="268"/>
      <c r="MSG467" s="268"/>
      <c r="MSH467" s="268"/>
      <c r="MSI467" s="268"/>
      <c r="MSJ467" s="268"/>
      <c r="MSK467" s="268"/>
      <c r="MSL467" s="268"/>
      <c r="MSM467" s="268"/>
      <c r="MSN467" s="268"/>
      <c r="MSO467" s="268"/>
      <c r="MSP467" s="268"/>
      <c r="MSQ467" s="268"/>
      <c r="MSR467" s="268"/>
      <c r="MSS467" s="268"/>
      <c r="MST467" s="268"/>
      <c r="MSU467" s="268"/>
      <c r="MSV467" s="268"/>
      <c r="MSW467" s="268"/>
      <c r="MSX467" s="268"/>
      <c r="MSY467" s="268"/>
      <c r="MSZ467" s="268"/>
      <c r="MTA467" s="268"/>
      <c r="MTB467" s="268"/>
      <c r="MTC467" s="268"/>
      <c r="MTD467" s="268"/>
      <c r="MTE467" s="268"/>
      <c r="MTF467" s="268"/>
      <c r="MTG467" s="268"/>
      <c r="MTH467" s="268"/>
      <c r="MTI467" s="268"/>
      <c r="MTJ467" s="268"/>
      <c r="MTK467" s="268"/>
      <c r="MTL467" s="268"/>
      <c r="MTM467" s="268"/>
      <c r="MTN467" s="268"/>
      <c r="MTO467" s="268"/>
      <c r="MTP467" s="268"/>
      <c r="MTQ467" s="268"/>
      <c r="MTR467" s="268"/>
      <c r="MTS467" s="268"/>
      <c r="MTT467" s="268"/>
      <c r="MTU467" s="268"/>
      <c r="MTV467" s="268"/>
      <c r="MTW467" s="268"/>
      <c r="MTX467" s="268"/>
      <c r="MTY467" s="268"/>
      <c r="MTZ467" s="268"/>
      <c r="MUA467" s="268"/>
      <c r="MUB467" s="268"/>
      <c r="MUC467" s="268"/>
      <c r="MUD467" s="268"/>
      <c r="MUE467" s="268"/>
      <c r="MUF467" s="268"/>
      <c r="MUG467" s="268"/>
      <c r="MUH467" s="268"/>
      <c r="MUI467" s="268"/>
      <c r="MUJ467" s="268"/>
      <c r="MUK467" s="268"/>
      <c r="MUL467" s="268"/>
      <c r="MUM467" s="268"/>
      <c r="MUN467" s="268"/>
      <c r="MUO467" s="268"/>
      <c r="MUP467" s="268"/>
      <c r="MUQ467" s="268"/>
      <c r="MUR467" s="268"/>
      <c r="MUS467" s="268"/>
      <c r="MUT467" s="268"/>
      <c r="MUU467" s="268"/>
      <c r="MUV467" s="268"/>
      <c r="MUW467" s="268"/>
      <c r="MUX467" s="268"/>
      <c r="MUY467" s="268"/>
      <c r="MUZ467" s="268"/>
      <c r="MVA467" s="268"/>
      <c r="MVB467" s="268"/>
      <c r="MVC467" s="268"/>
      <c r="MVD467" s="268"/>
      <c r="MVE467" s="268"/>
      <c r="MVF467" s="268"/>
      <c r="MVG467" s="268"/>
      <c r="MVH467" s="268"/>
      <c r="MVI467" s="268"/>
      <c r="MVJ467" s="268"/>
      <c r="MVK467" s="268"/>
      <c r="MVL467" s="268"/>
      <c r="MVM467" s="268"/>
      <c r="MVN467" s="268"/>
      <c r="MVO467" s="268"/>
      <c r="MVP467" s="268"/>
      <c r="MVQ467" s="268"/>
      <c r="MVR467" s="268"/>
      <c r="MVS467" s="268"/>
      <c r="MVT467" s="268"/>
      <c r="MVU467" s="268"/>
      <c r="MVV467" s="268"/>
      <c r="MVW467" s="268"/>
      <c r="MVX467" s="268"/>
      <c r="MVY467" s="268"/>
      <c r="MVZ467" s="268"/>
      <c r="MWA467" s="268"/>
      <c r="MWB467" s="268"/>
      <c r="MWC467" s="268"/>
      <c r="MWD467" s="268"/>
      <c r="MWE467" s="268"/>
      <c r="MWF467" s="268"/>
      <c r="MWG467" s="268"/>
      <c r="MWH467" s="268"/>
      <c r="MWI467" s="268"/>
      <c r="MWJ467" s="268"/>
      <c r="MWK467" s="268"/>
      <c r="MWL467" s="268"/>
      <c r="MWM467" s="268"/>
      <c r="MWN467" s="268"/>
      <c r="MWO467" s="268"/>
      <c r="MWP467" s="268"/>
      <c r="MWQ467" s="268"/>
      <c r="MWR467" s="268"/>
      <c r="MWS467" s="268"/>
      <c r="MWT467" s="268"/>
      <c r="MWU467" s="268"/>
      <c r="MWV467" s="268"/>
      <c r="MWW467" s="268"/>
      <c r="MWX467" s="268"/>
      <c r="MWY467" s="268"/>
      <c r="MWZ467" s="268"/>
      <c r="MXA467" s="268"/>
      <c r="MXB467" s="268"/>
      <c r="MXC467" s="268"/>
      <c r="MXD467" s="268"/>
      <c r="MXE467" s="268"/>
      <c r="MXF467" s="268"/>
      <c r="MXG467" s="268"/>
      <c r="MXH467" s="268"/>
      <c r="MXI467" s="268"/>
      <c r="MXJ467" s="268"/>
      <c r="MXK467" s="268"/>
      <c r="MXL467" s="268"/>
      <c r="MXM467" s="268"/>
      <c r="MXN467" s="268"/>
      <c r="MXO467" s="268"/>
      <c r="MXP467" s="268"/>
      <c r="MXQ467" s="268"/>
      <c r="MXR467" s="268"/>
      <c r="MXS467" s="268"/>
      <c r="MXT467" s="268"/>
      <c r="MXU467" s="268"/>
      <c r="MXV467" s="268"/>
      <c r="MXW467" s="268"/>
      <c r="MXX467" s="268"/>
      <c r="MXY467" s="268"/>
      <c r="MXZ467" s="268"/>
      <c r="MYA467" s="268"/>
      <c r="MYB467" s="268"/>
      <c r="MYC467" s="268"/>
      <c r="MYD467" s="268"/>
      <c r="MYE467" s="268"/>
      <c r="MYF467" s="268"/>
      <c r="MYG467" s="268"/>
      <c r="MYH467" s="268"/>
      <c r="MYI467" s="268"/>
      <c r="MYJ467" s="268"/>
      <c r="MYK467" s="268"/>
      <c r="MYL467" s="268"/>
      <c r="MYM467" s="268"/>
      <c r="MYN467" s="268"/>
      <c r="MYO467" s="268"/>
      <c r="MYP467" s="268"/>
      <c r="MYQ467" s="268"/>
      <c r="MYR467" s="268"/>
      <c r="MYS467" s="268"/>
      <c r="MYT467" s="268"/>
      <c r="MYU467" s="268"/>
      <c r="MYV467" s="268"/>
      <c r="MYW467" s="268"/>
      <c r="MYX467" s="268"/>
      <c r="MYY467" s="268"/>
      <c r="MZM467" s="268"/>
      <c r="MZN467" s="268"/>
      <c r="MZO467" s="268"/>
      <c r="NAC467" s="268"/>
      <c r="NAE467" s="268"/>
      <c r="NAF467" s="268"/>
      <c r="NAG467" s="268"/>
      <c r="NAH467" s="268"/>
      <c r="NAI467" s="268"/>
      <c r="NAJ467" s="268"/>
      <c r="NAK467" s="268"/>
      <c r="NAL467" s="268"/>
      <c r="NAM467" s="268"/>
      <c r="NAN467" s="268"/>
      <c r="NAO467" s="268"/>
      <c r="NAP467" s="268"/>
      <c r="NAQ467" s="268"/>
      <c r="NAR467" s="268"/>
      <c r="NAS467" s="268"/>
      <c r="NAT467" s="268"/>
      <c r="NAU467" s="268"/>
      <c r="NAV467" s="268"/>
      <c r="NAW467" s="268"/>
      <c r="NAX467" s="268"/>
      <c r="NAY467" s="268"/>
      <c r="NAZ467" s="268"/>
      <c r="NBA467" s="268"/>
      <c r="NBB467" s="268"/>
      <c r="NBC467" s="268"/>
      <c r="NBD467" s="268"/>
      <c r="NBE467" s="268"/>
      <c r="NBF467" s="268"/>
      <c r="NBG467" s="268"/>
      <c r="NBH467" s="268"/>
      <c r="NBI467" s="268"/>
      <c r="NBJ467" s="268"/>
      <c r="NBK467" s="268"/>
      <c r="NBL467" s="268"/>
      <c r="NBM467" s="268"/>
      <c r="NBN467" s="268"/>
      <c r="NBO467" s="268"/>
      <c r="NBP467" s="268"/>
      <c r="NBQ467" s="268"/>
      <c r="NBR467" s="268"/>
      <c r="NBS467" s="268"/>
      <c r="NBT467" s="268"/>
      <c r="NBU467" s="268"/>
      <c r="NBV467" s="268"/>
      <c r="NBW467" s="268"/>
      <c r="NBX467" s="268"/>
      <c r="NBY467" s="268"/>
      <c r="NBZ467" s="268"/>
      <c r="NCA467" s="268"/>
      <c r="NCB467" s="268"/>
      <c r="NCC467" s="268"/>
      <c r="NCD467" s="268"/>
      <c r="NCE467" s="268"/>
      <c r="NCF467" s="268"/>
      <c r="NCG467" s="268"/>
      <c r="NCH467" s="268"/>
      <c r="NCI467" s="268"/>
      <c r="NCJ467" s="268"/>
      <c r="NCK467" s="268"/>
      <c r="NCL467" s="268"/>
      <c r="NCM467" s="268"/>
      <c r="NCN467" s="268"/>
      <c r="NCO467" s="268"/>
      <c r="NCP467" s="268"/>
      <c r="NCQ467" s="268"/>
      <c r="NCR467" s="268"/>
      <c r="NCS467" s="268"/>
      <c r="NCT467" s="268"/>
      <c r="NCU467" s="268"/>
      <c r="NCV467" s="268"/>
      <c r="NCW467" s="268"/>
      <c r="NCX467" s="268"/>
      <c r="NCY467" s="268"/>
      <c r="NCZ467" s="268"/>
      <c r="NDA467" s="268"/>
      <c r="NDB467" s="268"/>
      <c r="NDC467" s="268"/>
      <c r="NDD467" s="268"/>
      <c r="NDE467" s="268"/>
      <c r="NDF467" s="268"/>
      <c r="NDG467" s="268"/>
      <c r="NDH467" s="268"/>
      <c r="NDI467" s="268"/>
      <c r="NDJ467" s="268"/>
      <c r="NDK467" s="268"/>
      <c r="NDL467" s="268"/>
      <c r="NDM467" s="268"/>
      <c r="NDN467" s="268"/>
      <c r="NDO467" s="268"/>
      <c r="NDP467" s="268"/>
      <c r="NDQ467" s="268"/>
      <c r="NDR467" s="268"/>
      <c r="NDS467" s="268"/>
      <c r="NDT467" s="268"/>
      <c r="NDU467" s="268"/>
      <c r="NDV467" s="268"/>
      <c r="NDW467" s="268"/>
      <c r="NDX467" s="268"/>
      <c r="NDY467" s="268"/>
      <c r="NDZ467" s="268"/>
      <c r="NEA467" s="268"/>
      <c r="NEB467" s="268"/>
      <c r="NEC467" s="268"/>
      <c r="NED467" s="268"/>
      <c r="NEE467" s="268"/>
      <c r="NEF467" s="268"/>
      <c r="NEG467" s="268"/>
      <c r="NEH467" s="268"/>
      <c r="NEI467" s="268"/>
      <c r="NEJ467" s="268"/>
      <c r="NEK467" s="268"/>
      <c r="NEL467" s="268"/>
      <c r="NEM467" s="268"/>
      <c r="NEN467" s="268"/>
      <c r="NEO467" s="268"/>
      <c r="NEP467" s="268"/>
      <c r="NEQ467" s="268"/>
      <c r="NER467" s="268"/>
      <c r="NES467" s="268"/>
      <c r="NET467" s="268"/>
      <c r="NEU467" s="268"/>
      <c r="NEV467" s="268"/>
      <c r="NEW467" s="268"/>
      <c r="NEX467" s="268"/>
      <c r="NEY467" s="268"/>
      <c r="NEZ467" s="268"/>
      <c r="NFA467" s="268"/>
      <c r="NFB467" s="268"/>
      <c r="NFC467" s="268"/>
      <c r="NFD467" s="268"/>
      <c r="NFE467" s="268"/>
      <c r="NFF467" s="268"/>
      <c r="NFG467" s="268"/>
      <c r="NFH467" s="268"/>
      <c r="NFI467" s="268"/>
      <c r="NFJ467" s="268"/>
      <c r="NFK467" s="268"/>
      <c r="NFL467" s="268"/>
      <c r="NFM467" s="268"/>
      <c r="NFN467" s="268"/>
      <c r="NFO467" s="268"/>
      <c r="NFP467" s="268"/>
      <c r="NFQ467" s="268"/>
      <c r="NFR467" s="268"/>
      <c r="NFS467" s="268"/>
      <c r="NFT467" s="268"/>
      <c r="NFU467" s="268"/>
      <c r="NFV467" s="268"/>
      <c r="NFW467" s="268"/>
      <c r="NFX467" s="268"/>
      <c r="NFY467" s="268"/>
      <c r="NFZ467" s="268"/>
      <c r="NGA467" s="268"/>
      <c r="NGB467" s="268"/>
      <c r="NGC467" s="268"/>
      <c r="NGD467" s="268"/>
      <c r="NGE467" s="268"/>
      <c r="NGF467" s="268"/>
      <c r="NGG467" s="268"/>
      <c r="NGH467" s="268"/>
      <c r="NGI467" s="268"/>
      <c r="NGJ467" s="268"/>
      <c r="NGK467" s="268"/>
      <c r="NGL467" s="268"/>
      <c r="NGM467" s="268"/>
      <c r="NGN467" s="268"/>
      <c r="NGO467" s="268"/>
      <c r="NGP467" s="268"/>
      <c r="NGQ467" s="268"/>
      <c r="NGR467" s="268"/>
      <c r="NGS467" s="268"/>
      <c r="NGT467" s="268"/>
      <c r="NGU467" s="268"/>
      <c r="NGV467" s="268"/>
      <c r="NGW467" s="268"/>
      <c r="NGX467" s="268"/>
      <c r="NGY467" s="268"/>
      <c r="NGZ467" s="268"/>
      <c r="NHA467" s="268"/>
      <c r="NHB467" s="268"/>
      <c r="NHC467" s="268"/>
      <c r="NHD467" s="268"/>
      <c r="NHE467" s="268"/>
      <c r="NHF467" s="268"/>
      <c r="NHG467" s="268"/>
      <c r="NHH467" s="268"/>
      <c r="NHI467" s="268"/>
      <c r="NHJ467" s="268"/>
      <c r="NHK467" s="268"/>
      <c r="NHL467" s="268"/>
      <c r="NHM467" s="268"/>
      <c r="NHN467" s="268"/>
      <c r="NHO467" s="268"/>
      <c r="NHP467" s="268"/>
      <c r="NHQ467" s="268"/>
      <c r="NHR467" s="268"/>
      <c r="NHS467" s="268"/>
      <c r="NHT467" s="268"/>
      <c r="NHU467" s="268"/>
      <c r="NHV467" s="268"/>
      <c r="NHW467" s="268"/>
      <c r="NHX467" s="268"/>
      <c r="NHY467" s="268"/>
      <c r="NHZ467" s="268"/>
      <c r="NIA467" s="268"/>
      <c r="NIB467" s="268"/>
      <c r="NIC467" s="268"/>
      <c r="NID467" s="268"/>
      <c r="NIE467" s="268"/>
      <c r="NIF467" s="268"/>
      <c r="NIG467" s="268"/>
      <c r="NIH467" s="268"/>
      <c r="NII467" s="268"/>
      <c r="NIJ467" s="268"/>
      <c r="NIK467" s="268"/>
      <c r="NIL467" s="268"/>
      <c r="NIM467" s="268"/>
      <c r="NIN467" s="268"/>
      <c r="NIO467" s="268"/>
      <c r="NIP467" s="268"/>
      <c r="NIQ467" s="268"/>
      <c r="NIR467" s="268"/>
      <c r="NIS467" s="268"/>
      <c r="NIT467" s="268"/>
      <c r="NIU467" s="268"/>
      <c r="NJI467" s="268"/>
      <c r="NJJ467" s="268"/>
      <c r="NJK467" s="268"/>
      <c r="NJY467" s="268"/>
      <c r="NKA467" s="268"/>
      <c r="NKB467" s="268"/>
      <c r="NKC467" s="268"/>
      <c r="NKD467" s="268"/>
      <c r="NKE467" s="268"/>
      <c r="NKF467" s="268"/>
      <c r="NKG467" s="268"/>
      <c r="NKH467" s="268"/>
      <c r="NKI467" s="268"/>
      <c r="NKJ467" s="268"/>
      <c r="NKK467" s="268"/>
      <c r="NKL467" s="268"/>
      <c r="NKM467" s="268"/>
      <c r="NKN467" s="268"/>
      <c r="NKO467" s="268"/>
      <c r="NKP467" s="268"/>
      <c r="NKQ467" s="268"/>
      <c r="NKR467" s="268"/>
      <c r="NKS467" s="268"/>
      <c r="NKT467" s="268"/>
      <c r="NKU467" s="268"/>
      <c r="NKV467" s="268"/>
      <c r="NKW467" s="268"/>
      <c r="NKX467" s="268"/>
      <c r="NKY467" s="268"/>
      <c r="NKZ467" s="268"/>
      <c r="NLA467" s="268"/>
      <c r="NLB467" s="268"/>
      <c r="NLC467" s="268"/>
      <c r="NLD467" s="268"/>
      <c r="NLE467" s="268"/>
      <c r="NLF467" s="268"/>
      <c r="NLG467" s="268"/>
      <c r="NLH467" s="268"/>
      <c r="NLI467" s="268"/>
      <c r="NLJ467" s="268"/>
      <c r="NLK467" s="268"/>
      <c r="NLL467" s="268"/>
      <c r="NLM467" s="268"/>
      <c r="NLN467" s="268"/>
      <c r="NLO467" s="268"/>
      <c r="NLP467" s="268"/>
      <c r="NLQ467" s="268"/>
      <c r="NLR467" s="268"/>
      <c r="NLS467" s="268"/>
      <c r="NLT467" s="268"/>
      <c r="NLU467" s="268"/>
      <c r="NLV467" s="268"/>
      <c r="NLW467" s="268"/>
      <c r="NLX467" s="268"/>
      <c r="NLY467" s="268"/>
      <c r="NLZ467" s="268"/>
      <c r="NMA467" s="268"/>
      <c r="NMB467" s="268"/>
      <c r="NMC467" s="268"/>
      <c r="NMD467" s="268"/>
      <c r="NME467" s="268"/>
      <c r="NMF467" s="268"/>
      <c r="NMG467" s="268"/>
      <c r="NMH467" s="268"/>
      <c r="NMI467" s="268"/>
      <c r="NMJ467" s="268"/>
      <c r="NMK467" s="268"/>
      <c r="NML467" s="268"/>
      <c r="NMM467" s="268"/>
      <c r="NMN467" s="268"/>
      <c r="NMO467" s="268"/>
      <c r="NMP467" s="268"/>
      <c r="NMQ467" s="268"/>
      <c r="NMR467" s="268"/>
      <c r="NMS467" s="268"/>
      <c r="NMT467" s="268"/>
      <c r="NMU467" s="268"/>
      <c r="NMV467" s="268"/>
      <c r="NMW467" s="268"/>
      <c r="NMX467" s="268"/>
      <c r="NMY467" s="268"/>
      <c r="NMZ467" s="268"/>
      <c r="NNA467" s="268"/>
      <c r="NNB467" s="268"/>
      <c r="NNC467" s="268"/>
      <c r="NND467" s="268"/>
      <c r="NNE467" s="268"/>
      <c r="NNF467" s="268"/>
      <c r="NNG467" s="268"/>
      <c r="NNH467" s="268"/>
      <c r="NNI467" s="268"/>
      <c r="NNJ467" s="268"/>
      <c r="NNK467" s="268"/>
      <c r="NNL467" s="268"/>
      <c r="NNM467" s="268"/>
      <c r="NNN467" s="268"/>
      <c r="NNO467" s="268"/>
      <c r="NNP467" s="268"/>
      <c r="NNQ467" s="268"/>
      <c r="NNR467" s="268"/>
      <c r="NNS467" s="268"/>
      <c r="NNT467" s="268"/>
      <c r="NNU467" s="268"/>
      <c r="NNV467" s="268"/>
      <c r="NNW467" s="268"/>
      <c r="NNX467" s="268"/>
      <c r="NNY467" s="268"/>
      <c r="NNZ467" s="268"/>
      <c r="NOA467" s="268"/>
      <c r="NOB467" s="268"/>
      <c r="NOC467" s="268"/>
      <c r="NOD467" s="268"/>
      <c r="NOE467" s="268"/>
      <c r="NOF467" s="268"/>
      <c r="NOG467" s="268"/>
      <c r="NOH467" s="268"/>
      <c r="NOI467" s="268"/>
      <c r="NOJ467" s="268"/>
      <c r="NOK467" s="268"/>
      <c r="NOL467" s="268"/>
      <c r="NOM467" s="268"/>
      <c r="NON467" s="268"/>
      <c r="NOO467" s="268"/>
      <c r="NOP467" s="268"/>
      <c r="NOQ467" s="268"/>
      <c r="NOR467" s="268"/>
      <c r="NOS467" s="268"/>
      <c r="NOT467" s="268"/>
      <c r="NOU467" s="268"/>
      <c r="NOV467" s="268"/>
      <c r="NOW467" s="268"/>
      <c r="NOX467" s="268"/>
      <c r="NOY467" s="268"/>
      <c r="NOZ467" s="268"/>
      <c r="NPA467" s="268"/>
      <c r="NPB467" s="268"/>
      <c r="NPC467" s="268"/>
      <c r="NPD467" s="268"/>
      <c r="NPE467" s="268"/>
      <c r="NPF467" s="268"/>
      <c r="NPG467" s="268"/>
      <c r="NPH467" s="268"/>
      <c r="NPI467" s="268"/>
      <c r="NPJ467" s="268"/>
      <c r="NPK467" s="268"/>
      <c r="NPL467" s="268"/>
      <c r="NPM467" s="268"/>
      <c r="NPN467" s="268"/>
      <c r="NPO467" s="268"/>
      <c r="NPP467" s="268"/>
      <c r="NPQ467" s="268"/>
      <c r="NPR467" s="268"/>
      <c r="NPS467" s="268"/>
      <c r="NPT467" s="268"/>
      <c r="NPU467" s="268"/>
      <c r="NPV467" s="268"/>
      <c r="NPW467" s="268"/>
      <c r="NPX467" s="268"/>
      <c r="NPY467" s="268"/>
      <c r="NPZ467" s="268"/>
      <c r="NQA467" s="268"/>
      <c r="NQB467" s="268"/>
      <c r="NQC467" s="268"/>
      <c r="NQD467" s="268"/>
      <c r="NQE467" s="268"/>
      <c r="NQF467" s="268"/>
      <c r="NQG467" s="268"/>
      <c r="NQH467" s="268"/>
      <c r="NQI467" s="268"/>
      <c r="NQJ467" s="268"/>
      <c r="NQK467" s="268"/>
      <c r="NQL467" s="268"/>
      <c r="NQM467" s="268"/>
      <c r="NQN467" s="268"/>
      <c r="NQO467" s="268"/>
      <c r="NQP467" s="268"/>
      <c r="NQQ467" s="268"/>
      <c r="NQR467" s="268"/>
      <c r="NQS467" s="268"/>
      <c r="NQT467" s="268"/>
      <c r="NQU467" s="268"/>
      <c r="NQV467" s="268"/>
      <c r="NQW467" s="268"/>
      <c r="NQX467" s="268"/>
      <c r="NQY467" s="268"/>
      <c r="NQZ467" s="268"/>
      <c r="NRA467" s="268"/>
      <c r="NRB467" s="268"/>
      <c r="NRC467" s="268"/>
      <c r="NRD467" s="268"/>
      <c r="NRE467" s="268"/>
      <c r="NRF467" s="268"/>
      <c r="NRG467" s="268"/>
      <c r="NRH467" s="268"/>
      <c r="NRI467" s="268"/>
      <c r="NRJ467" s="268"/>
      <c r="NRK467" s="268"/>
      <c r="NRL467" s="268"/>
      <c r="NRM467" s="268"/>
      <c r="NRN467" s="268"/>
      <c r="NRO467" s="268"/>
      <c r="NRP467" s="268"/>
      <c r="NRQ467" s="268"/>
      <c r="NRR467" s="268"/>
      <c r="NRS467" s="268"/>
      <c r="NRT467" s="268"/>
      <c r="NRU467" s="268"/>
      <c r="NRV467" s="268"/>
      <c r="NRW467" s="268"/>
      <c r="NRX467" s="268"/>
      <c r="NRY467" s="268"/>
      <c r="NRZ467" s="268"/>
      <c r="NSA467" s="268"/>
      <c r="NSB467" s="268"/>
      <c r="NSC467" s="268"/>
      <c r="NSD467" s="268"/>
      <c r="NSE467" s="268"/>
      <c r="NSF467" s="268"/>
      <c r="NSG467" s="268"/>
      <c r="NSH467" s="268"/>
      <c r="NSI467" s="268"/>
      <c r="NSJ467" s="268"/>
      <c r="NSK467" s="268"/>
      <c r="NSL467" s="268"/>
      <c r="NSM467" s="268"/>
      <c r="NSN467" s="268"/>
      <c r="NSO467" s="268"/>
      <c r="NSP467" s="268"/>
      <c r="NSQ467" s="268"/>
      <c r="NTE467" s="268"/>
      <c r="NTF467" s="268"/>
      <c r="NTG467" s="268"/>
      <c r="NTU467" s="268"/>
      <c r="NTW467" s="268"/>
      <c r="NTX467" s="268"/>
      <c r="NTY467" s="268"/>
      <c r="NTZ467" s="268"/>
      <c r="NUA467" s="268"/>
      <c r="NUB467" s="268"/>
      <c r="NUC467" s="268"/>
      <c r="NUD467" s="268"/>
      <c r="NUE467" s="268"/>
      <c r="NUF467" s="268"/>
      <c r="NUG467" s="268"/>
      <c r="NUH467" s="268"/>
      <c r="NUI467" s="268"/>
      <c r="NUJ467" s="268"/>
      <c r="NUK467" s="268"/>
      <c r="NUL467" s="268"/>
      <c r="NUM467" s="268"/>
      <c r="NUN467" s="268"/>
      <c r="NUO467" s="268"/>
      <c r="NUP467" s="268"/>
      <c r="NUQ467" s="268"/>
      <c r="NUR467" s="268"/>
      <c r="NUS467" s="268"/>
      <c r="NUT467" s="268"/>
      <c r="NUU467" s="268"/>
      <c r="NUV467" s="268"/>
      <c r="NUW467" s="268"/>
      <c r="NUX467" s="268"/>
      <c r="NUY467" s="268"/>
      <c r="NUZ467" s="268"/>
      <c r="NVA467" s="268"/>
      <c r="NVB467" s="268"/>
      <c r="NVC467" s="268"/>
      <c r="NVD467" s="268"/>
      <c r="NVE467" s="268"/>
      <c r="NVF467" s="268"/>
      <c r="NVG467" s="268"/>
      <c r="NVH467" s="268"/>
      <c r="NVI467" s="268"/>
      <c r="NVJ467" s="268"/>
      <c r="NVK467" s="268"/>
      <c r="NVL467" s="268"/>
      <c r="NVM467" s="268"/>
      <c r="NVN467" s="268"/>
      <c r="NVO467" s="268"/>
      <c r="NVP467" s="268"/>
      <c r="NVQ467" s="268"/>
      <c r="NVR467" s="268"/>
      <c r="NVS467" s="268"/>
      <c r="NVT467" s="268"/>
      <c r="NVU467" s="268"/>
      <c r="NVV467" s="268"/>
      <c r="NVW467" s="268"/>
      <c r="NVX467" s="268"/>
      <c r="NVY467" s="268"/>
      <c r="NVZ467" s="268"/>
      <c r="NWA467" s="268"/>
      <c r="NWB467" s="268"/>
      <c r="NWC467" s="268"/>
      <c r="NWD467" s="268"/>
      <c r="NWE467" s="268"/>
      <c r="NWF467" s="268"/>
      <c r="NWG467" s="268"/>
      <c r="NWH467" s="268"/>
      <c r="NWI467" s="268"/>
      <c r="NWJ467" s="268"/>
      <c r="NWK467" s="268"/>
      <c r="NWL467" s="268"/>
      <c r="NWM467" s="268"/>
      <c r="NWN467" s="268"/>
      <c r="NWO467" s="268"/>
      <c r="NWP467" s="268"/>
      <c r="NWQ467" s="268"/>
      <c r="NWR467" s="268"/>
      <c r="NWS467" s="268"/>
      <c r="NWT467" s="268"/>
      <c r="NWU467" s="268"/>
      <c r="NWV467" s="268"/>
      <c r="NWW467" s="268"/>
      <c r="NWX467" s="268"/>
      <c r="NWY467" s="268"/>
      <c r="NWZ467" s="268"/>
      <c r="NXA467" s="268"/>
      <c r="NXB467" s="268"/>
      <c r="NXC467" s="268"/>
      <c r="NXD467" s="268"/>
      <c r="NXE467" s="268"/>
      <c r="NXF467" s="268"/>
      <c r="NXG467" s="268"/>
      <c r="NXH467" s="268"/>
      <c r="NXI467" s="268"/>
      <c r="NXJ467" s="268"/>
      <c r="NXK467" s="268"/>
      <c r="NXL467" s="268"/>
      <c r="NXM467" s="268"/>
      <c r="NXN467" s="268"/>
      <c r="NXO467" s="268"/>
      <c r="NXP467" s="268"/>
      <c r="NXQ467" s="268"/>
      <c r="NXR467" s="268"/>
      <c r="NXS467" s="268"/>
      <c r="NXT467" s="268"/>
      <c r="NXU467" s="268"/>
      <c r="NXV467" s="268"/>
      <c r="NXW467" s="268"/>
      <c r="NXX467" s="268"/>
      <c r="NXY467" s="268"/>
      <c r="NXZ467" s="268"/>
      <c r="NYA467" s="268"/>
      <c r="NYB467" s="268"/>
      <c r="NYC467" s="268"/>
      <c r="NYD467" s="268"/>
      <c r="NYE467" s="268"/>
      <c r="NYF467" s="268"/>
      <c r="NYG467" s="268"/>
      <c r="NYH467" s="268"/>
      <c r="NYI467" s="268"/>
      <c r="NYJ467" s="268"/>
      <c r="NYK467" s="268"/>
      <c r="NYL467" s="268"/>
      <c r="NYM467" s="268"/>
      <c r="NYN467" s="268"/>
      <c r="NYO467" s="268"/>
      <c r="NYP467" s="268"/>
      <c r="NYQ467" s="268"/>
      <c r="NYR467" s="268"/>
      <c r="NYS467" s="268"/>
      <c r="NYT467" s="268"/>
      <c r="NYU467" s="268"/>
      <c r="NYV467" s="268"/>
      <c r="NYW467" s="268"/>
      <c r="NYX467" s="268"/>
      <c r="NYY467" s="268"/>
      <c r="NYZ467" s="268"/>
      <c r="NZA467" s="268"/>
      <c r="NZB467" s="268"/>
      <c r="NZC467" s="268"/>
      <c r="NZD467" s="268"/>
      <c r="NZE467" s="268"/>
      <c r="NZF467" s="268"/>
      <c r="NZG467" s="268"/>
      <c r="NZH467" s="268"/>
      <c r="NZI467" s="268"/>
      <c r="NZJ467" s="268"/>
      <c r="NZK467" s="268"/>
      <c r="NZL467" s="268"/>
      <c r="NZM467" s="268"/>
      <c r="NZN467" s="268"/>
      <c r="NZO467" s="268"/>
      <c r="NZP467" s="268"/>
      <c r="NZQ467" s="268"/>
      <c r="NZR467" s="268"/>
      <c r="NZS467" s="268"/>
      <c r="NZT467" s="268"/>
      <c r="NZU467" s="268"/>
      <c r="NZV467" s="268"/>
      <c r="NZW467" s="268"/>
      <c r="NZX467" s="268"/>
      <c r="NZY467" s="268"/>
      <c r="NZZ467" s="268"/>
      <c r="OAA467" s="268"/>
      <c r="OAB467" s="268"/>
      <c r="OAC467" s="268"/>
      <c r="OAD467" s="268"/>
      <c r="OAE467" s="268"/>
      <c r="OAF467" s="268"/>
      <c r="OAG467" s="268"/>
      <c r="OAH467" s="268"/>
      <c r="OAI467" s="268"/>
      <c r="OAJ467" s="268"/>
      <c r="OAK467" s="268"/>
      <c r="OAL467" s="268"/>
      <c r="OAM467" s="268"/>
      <c r="OAN467" s="268"/>
      <c r="OAO467" s="268"/>
      <c r="OAP467" s="268"/>
      <c r="OAQ467" s="268"/>
      <c r="OAR467" s="268"/>
      <c r="OAS467" s="268"/>
      <c r="OAT467" s="268"/>
      <c r="OAU467" s="268"/>
      <c r="OAV467" s="268"/>
      <c r="OAW467" s="268"/>
      <c r="OAX467" s="268"/>
      <c r="OAY467" s="268"/>
      <c r="OAZ467" s="268"/>
      <c r="OBA467" s="268"/>
      <c r="OBB467" s="268"/>
      <c r="OBC467" s="268"/>
      <c r="OBD467" s="268"/>
      <c r="OBE467" s="268"/>
      <c r="OBF467" s="268"/>
      <c r="OBG467" s="268"/>
      <c r="OBH467" s="268"/>
      <c r="OBI467" s="268"/>
      <c r="OBJ467" s="268"/>
      <c r="OBK467" s="268"/>
      <c r="OBL467" s="268"/>
      <c r="OBM467" s="268"/>
      <c r="OBN467" s="268"/>
      <c r="OBO467" s="268"/>
      <c r="OBP467" s="268"/>
      <c r="OBQ467" s="268"/>
      <c r="OBR467" s="268"/>
      <c r="OBS467" s="268"/>
      <c r="OBT467" s="268"/>
      <c r="OBU467" s="268"/>
      <c r="OBV467" s="268"/>
      <c r="OBW467" s="268"/>
      <c r="OBX467" s="268"/>
      <c r="OBY467" s="268"/>
      <c r="OBZ467" s="268"/>
      <c r="OCA467" s="268"/>
      <c r="OCB467" s="268"/>
      <c r="OCC467" s="268"/>
      <c r="OCD467" s="268"/>
      <c r="OCE467" s="268"/>
      <c r="OCF467" s="268"/>
      <c r="OCG467" s="268"/>
      <c r="OCH467" s="268"/>
      <c r="OCI467" s="268"/>
      <c r="OCJ467" s="268"/>
      <c r="OCK467" s="268"/>
      <c r="OCL467" s="268"/>
      <c r="OCM467" s="268"/>
      <c r="ODA467" s="268"/>
      <c r="ODB467" s="268"/>
      <c r="ODC467" s="268"/>
      <c r="ODQ467" s="268"/>
      <c r="ODS467" s="268"/>
      <c r="ODT467" s="268"/>
      <c r="ODU467" s="268"/>
      <c r="ODV467" s="268"/>
      <c r="ODW467" s="268"/>
      <c r="ODX467" s="268"/>
      <c r="ODY467" s="268"/>
      <c r="ODZ467" s="268"/>
      <c r="OEA467" s="268"/>
      <c r="OEB467" s="268"/>
      <c r="OEC467" s="268"/>
      <c r="OED467" s="268"/>
      <c r="OEE467" s="268"/>
      <c r="OEF467" s="268"/>
      <c r="OEG467" s="268"/>
      <c r="OEH467" s="268"/>
      <c r="OEI467" s="268"/>
      <c r="OEJ467" s="268"/>
      <c r="OEK467" s="268"/>
      <c r="OEL467" s="268"/>
      <c r="OEM467" s="268"/>
      <c r="OEN467" s="268"/>
      <c r="OEO467" s="268"/>
      <c r="OEP467" s="268"/>
      <c r="OEQ467" s="268"/>
      <c r="OER467" s="268"/>
      <c r="OES467" s="268"/>
      <c r="OET467" s="268"/>
      <c r="OEU467" s="268"/>
      <c r="OEV467" s="268"/>
      <c r="OEW467" s="268"/>
      <c r="OEX467" s="268"/>
      <c r="OEY467" s="268"/>
      <c r="OEZ467" s="268"/>
      <c r="OFA467" s="268"/>
      <c r="OFB467" s="268"/>
      <c r="OFC467" s="268"/>
      <c r="OFD467" s="268"/>
      <c r="OFE467" s="268"/>
      <c r="OFF467" s="268"/>
      <c r="OFG467" s="268"/>
      <c r="OFH467" s="268"/>
      <c r="OFI467" s="268"/>
      <c r="OFJ467" s="268"/>
      <c r="OFK467" s="268"/>
      <c r="OFL467" s="268"/>
      <c r="OFM467" s="268"/>
      <c r="OFN467" s="268"/>
      <c r="OFO467" s="268"/>
      <c r="OFP467" s="268"/>
      <c r="OFQ467" s="268"/>
      <c r="OFR467" s="268"/>
      <c r="OFS467" s="268"/>
      <c r="OFT467" s="268"/>
      <c r="OFU467" s="268"/>
      <c r="OFV467" s="268"/>
      <c r="OFW467" s="268"/>
      <c r="OFX467" s="268"/>
      <c r="OFY467" s="268"/>
      <c r="OFZ467" s="268"/>
      <c r="OGA467" s="268"/>
      <c r="OGB467" s="268"/>
      <c r="OGC467" s="268"/>
      <c r="OGD467" s="268"/>
      <c r="OGE467" s="268"/>
      <c r="OGF467" s="268"/>
      <c r="OGG467" s="268"/>
      <c r="OGH467" s="268"/>
      <c r="OGI467" s="268"/>
      <c r="OGJ467" s="268"/>
      <c r="OGK467" s="268"/>
      <c r="OGL467" s="268"/>
      <c r="OGM467" s="268"/>
      <c r="OGN467" s="268"/>
      <c r="OGO467" s="268"/>
      <c r="OGP467" s="268"/>
      <c r="OGQ467" s="268"/>
      <c r="OGR467" s="268"/>
      <c r="OGS467" s="268"/>
      <c r="OGT467" s="268"/>
      <c r="OGU467" s="268"/>
      <c r="OGV467" s="268"/>
      <c r="OGW467" s="268"/>
      <c r="OGX467" s="268"/>
      <c r="OGY467" s="268"/>
      <c r="OGZ467" s="268"/>
      <c r="OHA467" s="268"/>
      <c r="OHB467" s="268"/>
      <c r="OHC467" s="268"/>
      <c r="OHD467" s="268"/>
      <c r="OHE467" s="268"/>
      <c r="OHF467" s="268"/>
      <c r="OHG467" s="268"/>
      <c r="OHH467" s="268"/>
      <c r="OHI467" s="268"/>
      <c r="OHJ467" s="268"/>
      <c r="OHK467" s="268"/>
      <c r="OHL467" s="268"/>
      <c r="OHM467" s="268"/>
      <c r="OHN467" s="268"/>
      <c r="OHO467" s="268"/>
      <c r="OHP467" s="268"/>
      <c r="OHQ467" s="268"/>
      <c r="OHR467" s="268"/>
      <c r="OHS467" s="268"/>
      <c r="OHT467" s="268"/>
      <c r="OHU467" s="268"/>
      <c r="OHV467" s="268"/>
      <c r="OHW467" s="268"/>
      <c r="OHX467" s="268"/>
      <c r="OHY467" s="268"/>
      <c r="OHZ467" s="268"/>
      <c r="OIA467" s="268"/>
      <c r="OIB467" s="268"/>
      <c r="OIC467" s="268"/>
      <c r="OID467" s="268"/>
      <c r="OIE467" s="268"/>
      <c r="OIF467" s="268"/>
      <c r="OIG467" s="268"/>
      <c r="OIH467" s="268"/>
      <c r="OII467" s="268"/>
      <c r="OIJ467" s="268"/>
      <c r="OIK467" s="268"/>
      <c r="OIL467" s="268"/>
      <c r="OIM467" s="268"/>
      <c r="OIN467" s="268"/>
      <c r="OIO467" s="268"/>
      <c r="OIP467" s="268"/>
      <c r="OIQ467" s="268"/>
      <c r="OIR467" s="268"/>
      <c r="OIS467" s="268"/>
      <c r="OIT467" s="268"/>
      <c r="OIU467" s="268"/>
      <c r="OIV467" s="268"/>
      <c r="OIW467" s="268"/>
      <c r="OIX467" s="268"/>
      <c r="OIY467" s="268"/>
      <c r="OIZ467" s="268"/>
      <c r="OJA467" s="268"/>
      <c r="OJB467" s="268"/>
      <c r="OJC467" s="268"/>
      <c r="OJD467" s="268"/>
      <c r="OJE467" s="268"/>
      <c r="OJF467" s="268"/>
      <c r="OJG467" s="268"/>
      <c r="OJH467" s="268"/>
      <c r="OJI467" s="268"/>
      <c r="OJJ467" s="268"/>
      <c r="OJK467" s="268"/>
      <c r="OJL467" s="268"/>
      <c r="OJM467" s="268"/>
      <c r="OJN467" s="268"/>
      <c r="OJO467" s="268"/>
      <c r="OJP467" s="268"/>
      <c r="OJQ467" s="268"/>
      <c r="OJR467" s="268"/>
      <c r="OJS467" s="268"/>
      <c r="OJT467" s="268"/>
      <c r="OJU467" s="268"/>
      <c r="OJV467" s="268"/>
      <c r="OJW467" s="268"/>
      <c r="OJX467" s="268"/>
      <c r="OJY467" s="268"/>
      <c r="OJZ467" s="268"/>
      <c r="OKA467" s="268"/>
      <c r="OKB467" s="268"/>
      <c r="OKC467" s="268"/>
      <c r="OKD467" s="268"/>
      <c r="OKE467" s="268"/>
      <c r="OKF467" s="268"/>
      <c r="OKG467" s="268"/>
      <c r="OKH467" s="268"/>
      <c r="OKI467" s="268"/>
      <c r="OKJ467" s="268"/>
      <c r="OKK467" s="268"/>
      <c r="OKL467" s="268"/>
      <c r="OKM467" s="268"/>
      <c r="OKN467" s="268"/>
      <c r="OKO467" s="268"/>
      <c r="OKP467" s="268"/>
      <c r="OKQ467" s="268"/>
      <c r="OKR467" s="268"/>
      <c r="OKS467" s="268"/>
      <c r="OKT467" s="268"/>
      <c r="OKU467" s="268"/>
      <c r="OKV467" s="268"/>
      <c r="OKW467" s="268"/>
      <c r="OKX467" s="268"/>
      <c r="OKY467" s="268"/>
      <c r="OKZ467" s="268"/>
      <c r="OLA467" s="268"/>
      <c r="OLB467" s="268"/>
      <c r="OLC467" s="268"/>
      <c r="OLD467" s="268"/>
      <c r="OLE467" s="268"/>
      <c r="OLF467" s="268"/>
      <c r="OLG467" s="268"/>
      <c r="OLH467" s="268"/>
      <c r="OLI467" s="268"/>
      <c r="OLJ467" s="268"/>
      <c r="OLK467" s="268"/>
      <c r="OLL467" s="268"/>
      <c r="OLM467" s="268"/>
      <c r="OLN467" s="268"/>
      <c r="OLO467" s="268"/>
      <c r="OLP467" s="268"/>
      <c r="OLQ467" s="268"/>
      <c r="OLR467" s="268"/>
      <c r="OLS467" s="268"/>
      <c r="OLT467" s="268"/>
      <c r="OLU467" s="268"/>
      <c r="OLV467" s="268"/>
      <c r="OLW467" s="268"/>
      <c r="OLX467" s="268"/>
      <c r="OLY467" s="268"/>
      <c r="OLZ467" s="268"/>
      <c r="OMA467" s="268"/>
      <c r="OMB467" s="268"/>
      <c r="OMC467" s="268"/>
      <c r="OMD467" s="268"/>
      <c r="OME467" s="268"/>
      <c r="OMF467" s="268"/>
      <c r="OMG467" s="268"/>
      <c r="OMH467" s="268"/>
      <c r="OMI467" s="268"/>
      <c r="OMW467" s="268"/>
      <c r="OMX467" s="268"/>
      <c r="OMY467" s="268"/>
      <c r="ONM467" s="268"/>
      <c r="ONO467" s="268"/>
      <c r="ONP467" s="268"/>
      <c r="ONQ467" s="268"/>
      <c r="ONR467" s="268"/>
      <c r="ONS467" s="268"/>
      <c r="ONT467" s="268"/>
      <c r="ONU467" s="268"/>
      <c r="ONV467" s="268"/>
      <c r="ONW467" s="268"/>
      <c r="ONX467" s="268"/>
      <c r="ONY467" s="268"/>
      <c r="ONZ467" s="268"/>
      <c r="OOA467" s="268"/>
      <c r="OOB467" s="268"/>
      <c r="OOC467" s="268"/>
      <c r="OOD467" s="268"/>
      <c r="OOE467" s="268"/>
      <c r="OOF467" s="268"/>
      <c r="OOG467" s="268"/>
      <c r="OOH467" s="268"/>
      <c r="OOI467" s="268"/>
      <c r="OOJ467" s="268"/>
      <c r="OOK467" s="268"/>
      <c r="OOL467" s="268"/>
      <c r="OOM467" s="268"/>
      <c r="OON467" s="268"/>
      <c r="OOO467" s="268"/>
      <c r="OOP467" s="268"/>
      <c r="OOQ467" s="268"/>
      <c r="OOR467" s="268"/>
      <c r="OOS467" s="268"/>
      <c r="OOT467" s="268"/>
      <c r="OOU467" s="268"/>
      <c r="OOV467" s="268"/>
      <c r="OOW467" s="268"/>
      <c r="OOX467" s="268"/>
      <c r="OOY467" s="268"/>
      <c r="OOZ467" s="268"/>
      <c r="OPA467" s="268"/>
      <c r="OPB467" s="268"/>
      <c r="OPC467" s="268"/>
      <c r="OPD467" s="268"/>
      <c r="OPE467" s="268"/>
      <c r="OPF467" s="268"/>
      <c r="OPG467" s="268"/>
      <c r="OPH467" s="268"/>
      <c r="OPI467" s="268"/>
      <c r="OPJ467" s="268"/>
      <c r="OPK467" s="268"/>
      <c r="OPL467" s="268"/>
      <c r="OPM467" s="268"/>
      <c r="OPN467" s="268"/>
      <c r="OPO467" s="268"/>
      <c r="OPP467" s="268"/>
      <c r="OPQ467" s="268"/>
      <c r="OPR467" s="268"/>
      <c r="OPS467" s="268"/>
      <c r="OPT467" s="268"/>
      <c r="OPU467" s="268"/>
      <c r="OPV467" s="268"/>
      <c r="OPW467" s="268"/>
      <c r="OPX467" s="268"/>
      <c r="OPY467" s="268"/>
      <c r="OPZ467" s="268"/>
      <c r="OQA467" s="268"/>
      <c r="OQB467" s="268"/>
      <c r="OQC467" s="268"/>
      <c r="OQD467" s="268"/>
      <c r="OQE467" s="268"/>
      <c r="OQF467" s="268"/>
      <c r="OQG467" s="268"/>
      <c r="OQH467" s="268"/>
      <c r="OQI467" s="268"/>
      <c r="OQJ467" s="268"/>
      <c r="OQK467" s="268"/>
      <c r="OQL467" s="268"/>
      <c r="OQM467" s="268"/>
      <c r="OQN467" s="268"/>
      <c r="OQO467" s="268"/>
      <c r="OQP467" s="268"/>
      <c r="OQQ467" s="268"/>
      <c r="OQR467" s="268"/>
      <c r="OQS467" s="268"/>
      <c r="OQT467" s="268"/>
      <c r="OQU467" s="268"/>
      <c r="OQV467" s="268"/>
      <c r="OQW467" s="268"/>
      <c r="OQX467" s="268"/>
      <c r="OQY467" s="268"/>
      <c r="OQZ467" s="268"/>
      <c r="ORA467" s="268"/>
      <c r="ORB467" s="268"/>
      <c r="ORC467" s="268"/>
      <c r="ORD467" s="268"/>
      <c r="ORE467" s="268"/>
      <c r="ORF467" s="268"/>
      <c r="ORG467" s="268"/>
      <c r="ORH467" s="268"/>
      <c r="ORI467" s="268"/>
      <c r="ORJ467" s="268"/>
      <c r="ORK467" s="268"/>
      <c r="ORL467" s="268"/>
      <c r="ORM467" s="268"/>
      <c r="ORN467" s="268"/>
      <c r="ORO467" s="268"/>
      <c r="ORP467" s="268"/>
      <c r="ORQ467" s="268"/>
      <c r="ORR467" s="268"/>
      <c r="ORS467" s="268"/>
      <c r="ORT467" s="268"/>
      <c r="ORU467" s="268"/>
      <c r="ORV467" s="268"/>
      <c r="ORW467" s="268"/>
      <c r="ORX467" s="268"/>
      <c r="ORY467" s="268"/>
      <c r="ORZ467" s="268"/>
      <c r="OSA467" s="268"/>
      <c r="OSB467" s="268"/>
      <c r="OSC467" s="268"/>
      <c r="OSD467" s="268"/>
      <c r="OSE467" s="268"/>
      <c r="OSF467" s="268"/>
      <c r="OSG467" s="268"/>
      <c r="OSH467" s="268"/>
      <c r="OSI467" s="268"/>
      <c r="OSJ467" s="268"/>
      <c r="OSK467" s="268"/>
      <c r="OSL467" s="268"/>
      <c r="OSM467" s="268"/>
      <c r="OSN467" s="268"/>
      <c r="OSO467" s="268"/>
      <c r="OSP467" s="268"/>
      <c r="OSQ467" s="268"/>
      <c r="OSR467" s="268"/>
      <c r="OSS467" s="268"/>
      <c r="OST467" s="268"/>
      <c r="OSU467" s="268"/>
      <c r="OSV467" s="268"/>
      <c r="OSW467" s="268"/>
      <c r="OSX467" s="268"/>
      <c r="OSY467" s="268"/>
      <c r="OSZ467" s="268"/>
      <c r="OTA467" s="268"/>
      <c r="OTB467" s="268"/>
      <c r="OTC467" s="268"/>
      <c r="OTD467" s="268"/>
      <c r="OTE467" s="268"/>
      <c r="OTF467" s="268"/>
      <c r="OTG467" s="268"/>
      <c r="OTH467" s="268"/>
      <c r="OTI467" s="268"/>
      <c r="OTJ467" s="268"/>
      <c r="OTK467" s="268"/>
      <c r="OTL467" s="268"/>
      <c r="OTM467" s="268"/>
      <c r="OTN467" s="268"/>
      <c r="OTO467" s="268"/>
      <c r="OTP467" s="268"/>
      <c r="OTQ467" s="268"/>
      <c r="OTR467" s="268"/>
      <c r="OTS467" s="268"/>
      <c r="OTT467" s="268"/>
      <c r="OTU467" s="268"/>
      <c r="OTV467" s="268"/>
      <c r="OTW467" s="268"/>
      <c r="OTX467" s="268"/>
      <c r="OTY467" s="268"/>
      <c r="OTZ467" s="268"/>
      <c r="OUA467" s="268"/>
      <c r="OUB467" s="268"/>
      <c r="OUC467" s="268"/>
      <c r="OUD467" s="268"/>
      <c r="OUE467" s="268"/>
      <c r="OUF467" s="268"/>
      <c r="OUG467" s="268"/>
      <c r="OUH467" s="268"/>
      <c r="OUI467" s="268"/>
      <c r="OUJ467" s="268"/>
      <c r="OUK467" s="268"/>
      <c r="OUL467" s="268"/>
      <c r="OUM467" s="268"/>
      <c r="OUN467" s="268"/>
      <c r="OUO467" s="268"/>
      <c r="OUP467" s="268"/>
      <c r="OUQ467" s="268"/>
      <c r="OUR467" s="268"/>
      <c r="OUS467" s="268"/>
      <c r="OUT467" s="268"/>
      <c r="OUU467" s="268"/>
      <c r="OUV467" s="268"/>
      <c r="OUW467" s="268"/>
      <c r="OUX467" s="268"/>
      <c r="OUY467" s="268"/>
      <c r="OUZ467" s="268"/>
      <c r="OVA467" s="268"/>
      <c r="OVB467" s="268"/>
      <c r="OVC467" s="268"/>
      <c r="OVD467" s="268"/>
      <c r="OVE467" s="268"/>
      <c r="OVF467" s="268"/>
      <c r="OVG467" s="268"/>
      <c r="OVH467" s="268"/>
      <c r="OVI467" s="268"/>
      <c r="OVJ467" s="268"/>
      <c r="OVK467" s="268"/>
      <c r="OVL467" s="268"/>
      <c r="OVM467" s="268"/>
      <c r="OVN467" s="268"/>
      <c r="OVO467" s="268"/>
      <c r="OVP467" s="268"/>
      <c r="OVQ467" s="268"/>
      <c r="OVR467" s="268"/>
      <c r="OVS467" s="268"/>
      <c r="OVT467" s="268"/>
      <c r="OVU467" s="268"/>
      <c r="OVV467" s="268"/>
      <c r="OVW467" s="268"/>
      <c r="OVX467" s="268"/>
      <c r="OVY467" s="268"/>
      <c r="OVZ467" s="268"/>
      <c r="OWA467" s="268"/>
      <c r="OWB467" s="268"/>
      <c r="OWC467" s="268"/>
      <c r="OWD467" s="268"/>
      <c r="OWE467" s="268"/>
      <c r="OWS467" s="268"/>
      <c r="OWT467" s="268"/>
      <c r="OWU467" s="268"/>
      <c r="OXI467" s="268"/>
      <c r="OXK467" s="268"/>
      <c r="OXL467" s="268"/>
      <c r="OXM467" s="268"/>
      <c r="OXN467" s="268"/>
      <c r="OXO467" s="268"/>
      <c r="OXP467" s="268"/>
      <c r="OXQ467" s="268"/>
      <c r="OXR467" s="268"/>
      <c r="OXS467" s="268"/>
      <c r="OXT467" s="268"/>
      <c r="OXU467" s="268"/>
      <c r="OXV467" s="268"/>
      <c r="OXW467" s="268"/>
      <c r="OXX467" s="268"/>
      <c r="OXY467" s="268"/>
      <c r="OXZ467" s="268"/>
      <c r="OYA467" s="268"/>
      <c r="OYB467" s="268"/>
      <c r="OYC467" s="268"/>
      <c r="OYD467" s="268"/>
      <c r="OYE467" s="268"/>
      <c r="OYF467" s="268"/>
      <c r="OYG467" s="268"/>
      <c r="OYH467" s="268"/>
      <c r="OYI467" s="268"/>
      <c r="OYJ467" s="268"/>
      <c r="OYK467" s="268"/>
      <c r="OYL467" s="268"/>
      <c r="OYM467" s="268"/>
      <c r="OYN467" s="268"/>
      <c r="OYO467" s="268"/>
      <c r="OYP467" s="268"/>
      <c r="OYQ467" s="268"/>
      <c r="OYR467" s="268"/>
      <c r="OYS467" s="268"/>
      <c r="OYT467" s="268"/>
      <c r="OYU467" s="268"/>
      <c r="OYV467" s="268"/>
      <c r="OYW467" s="268"/>
      <c r="OYX467" s="268"/>
      <c r="OYY467" s="268"/>
      <c r="OYZ467" s="268"/>
      <c r="OZA467" s="268"/>
      <c r="OZB467" s="268"/>
      <c r="OZC467" s="268"/>
      <c r="OZD467" s="268"/>
      <c r="OZE467" s="268"/>
      <c r="OZF467" s="268"/>
      <c r="OZG467" s="268"/>
      <c r="OZH467" s="268"/>
      <c r="OZI467" s="268"/>
      <c r="OZJ467" s="268"/>
      <c r="OZK467" s="268"/>
      <c r="OZL467" s="268"/>
      <c r="OZM467" s="268"/>
      <c r="OZN467" s="268"/>
      <c r="OZO467" s="268"/>
      <c r="OZP467" s="268"/>
      <c r="OZQ467" s="268"/>
      <c r="OZR467" s="268"/>
      <c r="OZS467" s="268"/>
      <c r="OZT467" s="268"/>
      <c r="OZU467" s="268"/>
      <c r="OZV467" s="268"/>
      <c r="OZW467" s="268"/>
      <c r="OZX467" s="268"/>
      <c r="OZY467" s="268"/>
      <c r="OZZ467" s="268"/>
      <c r="PAA467" s="268"/>
      <c r="PAB467" s="268"/>
      <c r="PAC467" s="268"/>
      <c r="PAD467" s="268"/>
      <c r="PAE467" s="268"/>
      <c r="PAF467" s="268"/>
      <c r="PAG467" s="268"/>
      <c r="PAH467" s="268"/>
      <c r="PAI467" s="268"/>
      <c r="PAJ467" s="268"/>
      <c r="PAK467" s="268"/>
      <c r="PAL467" s="268"/>
      <c r="PAM467" s="268"/>
      <c r="PAN467" s="268"/>
      <c r="PAO467" s="268"/>
      <c r="PAP467" s="268"/>
      <c r="PAQ467" s="268"/>
      <c r="PAR467" s="268"/>
      <c r="PAS467" s="268"/>
      <c r="PAT467" s="268"/>
      <c r="PAU467" s="268"/>
      <c r="PAV467" s="268"/>
      <c r="PAW467" s="268"/>
      <c r="PAX467" s="268"/>
      <c r="PAY467" s="268"/>
      <c r="PAZ467" s="268"/>
      <c r="PBA467" s="268"/>
      <c r="PBB467" s="268"/>
      <c r="PBC467" s="268"/>
      <c r="PBD467" s="268"/>
      <c r="PBE467" s="268"/>
      <c r="PBF467" s="268"/>
      <c r="PBG467" s="268"/>
      <c r="PBH467" s="268"/>
      <c r="PBI467" s="268"/>
      <c r="PBJ467" s="268"/>
      <c r="PBK467" s="268"/>
      <c r="PBL467" s="268"/>
      <c r="PBM467" s="268"/>
      <c r="PBN467" s="268"/>
      <c r="PBO467" s="268"/>
      <c r="PBP467" s="268"/>
      <c r="PBQ467" s="268"/>
      <c r="PBR467" s="268"/>
      <c r="PBS467" s="268"/>
      <c r="PBT467" s="268"/>
      <c r="PBU467" s="268"/>
      <c r="PBV467" s="268"/>
      <c r="PBW467" s="268"/>
      <c r="PBX467" s="268"/>
      <c r="PBY467" s="268"/>
      <c r="PBZ467" s="268"/>
      <c r="PCA467" s="268"/>
      <c r="PCB467" s="268"/>
      <c r="PCC467" s="268"/>
      <c r="PCD467" s="268"/>
      <c r="PCE467" s="268"/>
      <c r="PCF467" s="268"/>
      <c r="PCG467" s="268"/>
      <c r="PCH467" s="268"/>
      <c r="PCI467" s="268"/>
      <c r="PCJ467" s="268"/>
      <c r="PCK467" s="268"/>
      <c r="PCL467" s="268"/>
      <c r="PCM467" s="268"/>
      <c r="PCN467" s="268"/>
      <c r="PCO467" s="268"/>
      <c r="PCP467" s="268"/>
      <c r="PCQ467" s="268"/>
      <c r="PCR467" s="268"/>
      <c r="PCS467" s="268"/>
      <c r="PCT467" s="268"/>
      <c r="PCU467" s="268"/>
      <c r="PCV467" s="268"/>
      <c r="PCW467" s="268"/>
      <c r="PCX467" s="268"/>
      <c r="PCY467" s="268"/>
      <c r="PCZ467" s="268"/>
      <c r="PDA467" s="268"/>
      <c r="PDB467" s="268"/>
      <c r="PDC467" s="268"/>
      <c r="PDD467" s="268"/>
      <c r="PDE467" s="268"/>
      <c r="PDF467" s="268"/>
      <c r="PDG467" s="268"/>
      <c r="PDH467" s="268"/>
      <c r="PDI467" s="268"/>
      <c r="PDJ467" s="268"/>
      <c r="PDK467" s="268"/>
      <c r="PDL467" s="268"/>
      <c r="PDM467" s="268"/>
      <c r="PDN467" s="268"/>
      <c r="PDO467" s="268"/>
      <c r="PDP467" s="268"/>
      <c r="PDQ467" s="268"/>
      <c r="PDR467" s="268"/>
      <c r="PDS467" s="268"/>
      <c r="PDT467" s="268"/>
      <c r="PDU467" s="268"/>
      <c r="PDV467" s="268"/>
      <c r="PDW467" s="268"/>
      <c r="PDX467" s="268"/>
      <c r="PDY467" s="268"/>
      <c r="PDZ467" s="268"/>
      <c r="PEA467" s="268"/>
      <c r="PEB467" s="268"/>
      <c r="PEC467" s="268"/>
      <c r="PED467" s="268"/>
      <c r="PEE467" s="268"/>
      <c r="PEF467" s="268"/>
      <c r="PEG467" s="268"/>
      <c r="PEH467" s="268"/>
      <c r="PEI467" s="268"/>
      <c r="PEJ467" s="268"/>
      <c r="PEK467" s="268"/>
      <c r="PEL467" s="268"/>
      <c r="PEM467" s="268"/>
      <c r="PEN467" s="268"/>
      <c r="PEO467" s="268"/>
      <c r="PEP467" s="268"/>
      <c r="PEQ467" s="268"/>
      <c r="PER467" s="268"/>
      <c r="PES467" s="268"/>
      <c r="PET467" s="268"/>
      <c r="PEU467" s="268"/>
      <c r="PEV467" s="268"/>
      <c r="PEW467" s="268"/>
      <c r="PEX467" s="268"/>
      <c r="PEY467" s="268"/>
      <c r="PEZ467" s="268"/>
      <c r="PFA467" s="268"/>
      <c r="PFB467" s="268"/>
      <c r="PFC467" s="268"/>
      <c r="PFD467" s="268"/>
      <c r="PFE467" s="268"/>
      <c r="PFF467" s="268"/>
      <c r="PFG467" s="268"/>
      <c r="PFH467" s="268"/>
      <c r="PFI467" s="268"/>
      <c r="PFJ467" s="268"/>
      <c r="PFK467" s="268"/>
      <c r="PFL467" s="268"/>
      <c r="PFM467" s="268"/>
      <c r="PFN467" s="268"/>
      <c r="PFO467" s="268"/>
      <c r="PFP467" s="268"/>
      <c r="PFQ467" s="268"/>
      <c r="PFR467" s="268"/>
      <c r="PFS467" s="268"/>
      <c r="PFT467" s="268"/>
      <c r="PFU467" s="268"/>
      <c r="PFV467" s="268"/>
      <c r="PFW467" s="268"/>
      <c r="PFX467" s="268"/>
      <c r="PFY467" s="268"/>
      <c r="PFZ467" s="268"/>
      <c r="PGA467" s="268"/>
      <c r="PGO467" s="268"/>
      <c r="PGP467" s="268"/>
      <c r="PGQ467" s="268"/>
      <c r="PHE467" s="268"/>
      <c r="PHG467" s="268"/>
      <c r="PHH467" s="268"/>
      <c r="PHI467" s="268"/>
      <c r="PHJ467" s="268"/>
      <c r="PHK467" s="268"/>
      <c r="PHL467" s="268"/>
      <c r="PHM467" s="268"/>
      <c r="PHN467" s="268"/>
      <c r="PHO467" s="268"/>
      <c r="PHP467" s="268"/>
      <c r="PHQ467" s="268"/>
      <c r="PHR467" s="268"/>
      <c r="PHS467" s="268"/>
      <c r="PHT467" s="268"/>
      <c r="PHU467" s="268"/>
      <c r="PHV467" s="268"/>
      <c r="PHW467" s="268"/>
      <c r="PHX467" s="268"/>
      <c r="PHY467" s="268"/>
      <c r="PHZ467" s="268"/>
      <c r="PIA467" s="268"/>
      <c r="PIB467" s="268"/>
      <c r="PIC467" s="268"/>
      <c r="PID467" s="268"/>
      <c r="PIE467" s="268"/>
      <c r="PIF467" s="268"/>
      <c r="PIG467" s="268"/>
      <c r="PIH467" s="268"/>
      <c r="PII467" s="268"/>
      <c r="PIJ467" s="268"/>
      <c r="PIK467" s="268"/>
      <c r="PIL467" s="268"/>
      <c r="PIM467" s="268"/>
      <c r="PIN467" s="268"/>
      <c r="PIO467" s="268"/>
      <c r="PIP467" s="268"/>
      <c r="PIQ467" s="268"/>
      <c r="PIR467" s="268"/>
      <c r="PIS467" s="268"/>
      <c r="PIT467" s="268"/>
      <c r="PIU467" s="268"/>
      <c r="PIV467" s="268"/>
      <c r="PIW467" s="268"/>
      <c r="PIX467" s="268"/>
      <c r="PIY467" s="268"/>
      <c r="PIZ467" s="268"/>
      <c r="PJA467" s="268"/>
      <c r="PJB467" s="268"/>
      <c r="PJC467" s="268"/>
      <c r="PJD467" s="268"/>
      <c r="PJE467" s="268"/>
      <c r="PJF467" s="268"/>
      <c r="PJG467" s="268"/>
      <c r="PJH467" s="268"/>
      <c r="PJI467" s="268"/>
      <c r="PJJ467" s="268"/>
      <c r="PJK467" s="268"/>
      <c r="PJL467" s="268"/>
      <c r="PJM467" s="268"/>
      <c r="PJN467" s="268"/>
      <c r="PJO467" s="268"/>
      <c r="PJP467" s="268"/>
      <c r="PJQ467" s="268"/>
      <c r="PJR467" s="268"/>
      <c r="PJS467" s="268"/>
      <c r="PJT467" s="268"/>
      <c r="PJU467" s="268"/>
      <c r="PJV467" s="268"/>
      <c r="PJW467" s="268"/>
      <c r="PJX467" s="268"/>
      <c r="PJY467" s="268"/>
      <c r="PJZ467" s="268"/>
      <c r="PKA467" s="268"/>
      <c r="PKB467" s="268"/>
      <c r="PKC467" s="268"/>
      <c r="PKD467" s="268"/>
      <c r="PKE467" s="268"/>
      <c r="PKF467" s="268"/>
      <c r="PKG467" s="268"/>
      <c r="PKH467" s="268"/>
      <c r="PKI467" s="268"/>
      <c r="PKJ467" s="268"/>
      <c r="PKK467" s="268"/>
      <c r="PKL467" s="268"/>
      <c r="PKM467" s="268"/>
      <c r="PKN467" s="268"/>
      <c r="PKO467" s="268"/>
      <c r="PKP467" s="268"/>
      <c r="PKQ467" s="268"/>
      <c r="PKR467" s="268"/>
      <c r="PKS467" s="268"/>
      <c r="PKT467" s="268"/>
      <c r="PKU467" s="268"/>
      <c r="PKV467" s="268"/>
      <c r="PKW467" s="268"/>
      <c r="PKX467" s="268"/>
      <c r="PKY467" s="268"/>
      <c r="PKZ467" s="268"/>
      <c r="PLA467" s="268"/>
      <c r="PLB467" s="268"/>
      <c r="PLC467" s="268"/>
      <c r="PLD467" s="268"/>
      <c r="PLE467" s="268"/>
      <c r="PLF467" s="268"/>
      <c r="PLG467" s="268"/>
      <c r="PLH467" s="268"/>
      <c r="PLI467" s="268"/>
      <c r="PLJ467" s="268"/>
      <c r="PLK467" s="268"/>
      <c r="PLL467" s="268"/>
      <c r="PLM467" s="268"/>
      <c r="PLN467" s="268"/>
      <c r="PLO467" s="268"/>
      <c r="PLP467" s="268"/>
      <c r="PLQ467" s="268"/>
      <c r="PLR467" s="268"/>
      <c r="PLS467" s="268"/>
      <c r="PLT467" s="268"/>
      <c r="PLU467" s="268"/>
      <c r="PLV467" s="268"/>
      <c r="PLW467" s="268"/>
      <c r="PLX467" s="268"/>
      <c r="PLY467" s="268"/>
      <c r="PLZ467" s="268"/>
      <c r="PMA467" s="268"/>
      <c r="PMB467" s="268"/>
      <c r="PMC467" s="268"/>
      <c r="PMD467" s="268"/>
      <c r="PME467" s="268"/>
      <c r="PMF467" s="268"/>
      <c r="PMG467" s="268"/>
      <c r="PMH467" s="268"/>
      <c r="PMI467" s="268"/>
      <c r="PMJ467" s="268"/>
      <c r="PMK467" s="268"/>
      <c r="PML467" s="268"/>
      <c r="PMM467" s="268"/>
      <c r="PMN467" s="268"/>
      <c r="PMO467" s="268"/>
      <c r="PMP467" s="268"/>
      <c r="PMQ467" s="268"/>
      <c r="PMR467" s="268"/>
      <c r="PMS467" s="268"/>
      <c r="PMT467" s="268"/>
      <c r="PMU467" s="268"/>
      <c r="PMV467" s="268"/>
      <c r="PMW467" s="268"/>
      <c r="PMX467" s="268"/>
      <c r="PMY467" s="268"/>
      <c r="PMZ467" s="268"/>
      <c r="PNA467" s="268"/>
      <c r="PNB467" s="268"/>
      <c r="PNC467" s="268"/>
      <c r="PND467" s="268"/>
      <c r="PNE467" s="268"/>
      <c r="PNF467" s="268"/>
      <c r="PNG467" s="268"/>
      <c r="PNH467" s="268"/>
      <c r="PNI467" s="268"/>
      <c r="PNJ467" s="268"/>
      <c r="PNK467" s="268"/>
      <c r="PNL467" s="268"/>
      <c r="PNM467" s="268"/>
      <c r="PNN467" s="268"/>
      <c r="PNO467" s="268"/>
      <c r="PNP467" s="268"/>
      <c r="PNQ467" s="268"/>
      <c r="PNR467" s="268"/>
      <c r="PNS467" s="268"/>
      <c r="PNT467" s="268"/>
      <c r="PNU467" s="268"/>
      <c r="PNV467" s="268"/>
      <c r="PNW467" s="268"/>
      <c r="PNX467" s="268"/>
      <c r="PNY467" s="268"/>
      <c r="PNZ467" s="268"/>
      <c r="POA467" s="268"/>
      <c r="POB467" s="268"/>
      <c r="POC467" s="268"/>
      <c r="POD467" s="268"/>
      <c r="POE467" s="268"/>
      <c r="POF467" s="268"/>
      <c r="POG467" s="268"/>
      <c r="POH467" s="268"/>
      <c r="POI467" s="268"/>
      <c r="POJ467" s="268"/>
      <c r="POK467" s="268"/>
      <c r="POL467" s="268"/>
      <c r="POM467" s="268"/>
      <c r="PON467" s="268"/>
      <c r="POO467" s="268"/>
      <c r="POP467" s="268"/>
      <c r="POQ467" s="268"/>
      <c r="POR467" s="268"/>
      <c r="POS467" s="268"/>
      <c r="POT467" s="268"/>
      <c r="POU467" s="268"/>
      <c r="POV467" s="268"/>
      <c r="POW467" s="268"/>
      <c r="POX467" s="268"/>
      <c r="POY467" s="268"/>
      <c r="POZ467" s="268"/>
      <c r="PPA467" s="268"/>
      <c r="PPB467" s="268"/>
      <c r="PPC467" s="268"/>
      <c r="PPD467" s="268"/>
      <c r="PPE467" s="268"/>
      <c r="PPF467" s="268"/>
      <c r="PPG467" s="268"/>
      <c r="PPH467" s="268"/>
      <c r="PPI467" s="268"/>
      <c r="PPJ467" s="268"/>
      <c r="PPK467" s="268"/>
      <c r="PPL467" s="268"/>
      <c r="PPM467" s="268"/>
      <c r="PPN467" s="268"/>
      <c r="PPO467" s="268"/>
      <c r="PPP467" s="268"/>
      <c r="PPQ467" s="268"/>
      <c r="PPR467" s="268"/>
      <c r="PPS467" s="268"/>
      <c r="PPT467" s="268"/>
      <c r="PPU467" s="268"/>
      <c r="PPV467" s="268"/>
      <c r="PPW467" s="268"/>
      <c r="PQK467" s="268"/>
      <c r="PQL467" s="268"/>
      <c r="PQM467" s="268"/>
      <c r="PRA467" s="268"/>
      <c r="PRC467" s="268"/>
      <c r="PRD467" s="268"/>
      <c r="PRE467" s="268"/>
      <c r="PRF467" s="268"/>
      <c r="PRG467" s="268"/>
      <c r="PRH467" s="268"/>
      <c r="PRI467" s="268"/>
      <c r="PRJ467" s="268"/>
      <c r="PRK467" s="268"/>
      <c r="PRL467" s="268"/>
      <c r="PRM467" s="268"/>
      <c r="PRN467" s="268"/>
      <c r="PRO467" s="268"/>
      <c r="PRP467" s="268"/>
      <c r="PRQ467" s="268"/>
      <c r="PRR467" s="268"/>
      <c r="PRS467" s="268"/>
      <c r="PRT467" s="268"/>
      <c r="PRU467" s="268"/>
      <c r="PRV467" s="268"/>
      <c r="PRW467" s="268"/>
      <c r="PRX467" s="268"/>
      <c r="PRY467" s="268"/>
      <c r="PRZ467" s="268"/>
      <c r="PSA467" s="268"/>
      <c r="PSB467" s="268"/>
      <c r="PSC467" s="268"/>
      <c r="PSD467" s="268"/>
      <c r="PSE467" s="268"/>
      <c r="PSF467" s="268"/>
      <c r="PSG467" s="268"/>
      <c r="PSH467" s="268"/>
      <c r="PSI467" s="268"/>
      <c r="PSJ467" s="268"/>
      <c r="PSK467" s="268"/>
      <c r="PSL467" s="268"/>
      <c r="PSM467" s="268"/>
      <c r="PSN467" s="268"/>
      <c r="PSO467" s="268"/>
      <c r="PSP467" s="268"/>
      <c r="PSQ467" s="268"/>
      <c r="PSR467" s="268"/>
      <c r="PSS467" s="268"/>
      <c r="PST467" s="268"/>
      <c r="PSU467" s="268"/>
      <c r="PSV467" s="268"/>
      <c r="PSW467" s="268"/>
      <c r="PSX467" s="268"/>
      <c r="PSY467" s="268"/>
      <c r="PSZ467" s="268"/>
      <c r="PTA467" s="268"/>
      <c r="PTB467" s="268"/>
      <c r="PTC467" s="268"/>
      <c r="PTD467" s="268"/>
      <c r="PTE467" s="268"/>
      <c r="PTF467" s="268"/>
      <c r="PTG467" s="268"/>
      <c r="PTH467" s="268"/>
      <c r="PTI467" s="268"/>
      <c r="PTJ467" s="268"/>
      <c r="PTK467" s="268"/>
      <c r="PTL467" s="268"/>
      <c r="PTM467" s="268"/>
      <c r="PTN467" s="268"/>
      <c r="PTO467" s="268"/>
      <c r="PTP467" s="268"/>
      <c r="PTQ467" s="268"/>
      <c r="PTR467" s="268"/>
      <c r="PTS467" s="268"/>
      <c r="PTT467" s="268"/>
      <c r="PTU467" s="268"/>
      <c r="PTV467" s="268"/>
      <c r="PTW467" s="268"/>
      <c r="PTX467" s="268"/>
      <c r="PTY467" s="268"/>
      <c r="PTZ467" s="268"/>
      <c r="PUA467" s="268"/>
      <c r="PUB467" s="268"/>
      <c r="PUC467" s="268"/>
      <c r="PUD467" s="268"/>
      <c r="PUE467" s="268"/>
      <c r="PUF467" s="268"/>
      <c r="PUG467" s="268"/>
      <c r="PUH467" s="268"/>
      <c r="PUI467" s="268"/>
      <c r="PUJ467" s="268"/>
      <c r="PUK467" s="268"/>
      <c r="PUL467" s="268"/>
      <c r="PUM467" s="268"/>
      <c r="PUN467" s="268"/>
      <c r="PUO467" s="268"/>
      <c r="PUP467" s="268"/>
      <c r="PUQ467" s="268"/>
      <c r="PUR467" s="268"/>
      <c r="PUS467" s="268"/>
      <c r="PUT467" s="268"/>
      <c r="PUU467" s="268"/>
      <c r="PUV467" s="268"/>
      <c r="PUW467" s="268"/>
      <c r="PUX467" s="268"/>
      <c r="PUY467" s="268"/>
      <c r="PUZ467" s="268"/>
      <c r="PVA467" s="268"/>
      <c r="PVB467" s="268"/>
      <c r="PVC467" s="268"/>
      <c r="PVD467" s="268"/>
      <c r="PVE467" s="268"/>
      <c r="PVF467" s="268"/>
      <c r="PVG467" s="268"/>
      <c r="PVH467" s="268"/>
      <c r="PVI467" s="268"/>
      <c r="PVJ467" s="268"/>
      <c r="PVK467" s="268"/>
      <c r="PVL467" s="268"/>
      <c r="PVM467" s="268"/>
      <c r="PVN467" s="268"/>
      <c r="PVO467" s="268"/>
      <c r="PVP467" s="268"/>
      <c r="PVQ467" s="268"/>
      <c r="PVR467" s="268"/>
      <c r="PVS467" s="268"/>
      <c r="PVT467" s="268"/>
      <c r="PVU467" s="268"/>
      <c r="PVV467" s="268"/>
      <c r="PVW467" s="268"/>
      <c r="PVX467" s="268"/>
      <c r="PVY467" s="268"/>
      <c r="PVZ467" s="268"/>
      <c r="PWA467" s="268"/>
      <c r="PWB467" s="268"/>
      <c r="PWC467" s="268"/>
      <c r="PWD467" s="268"/>
      <c r="PWE467" s="268"/>
      <c r="PWF467" s="268"/>
      <c r="PWG467" s="268"/>
      <c r="PWH467" s="268"/>
      <c r="PWI467" s="268"/>
      <c r="PWJ467" s="268"/>
      <c r="PWK467" s="268"/>
      <c r="PWL467" s="268"/>
      <c r="PWM467" s="268"/>
      <c r="PWN467" s="268"/>
      <c r="PWO467" s="268"/>
      <c r="PWP467" s="268"/>
      <c r="PWQ467" s="268"/>
      <c r="PWR467" s="268"/>
      <c r="PWS467" s="268"/>
      <c r="PWT467" s="268"/>
      <c r="PWU467" s="268"/>
      <c r="PWV467" s="268"/>
      <c r="PWW467" s="268"/>
      <c r="PWX467" s="268"/>
      <c r="PWY467" s="268"/>
      <c r="PWZ467" s="268"/>
      <c r="PXA467" s="268"/>
      <c r="PXB467" s="268"/>
      <c r="PXC467" s="268"/>
      <c r="PXD467" s="268"/>
      <c r="PXE467" s="268"/>
      <c r="PXF467" s="268"/>
      <c r="PXG467" s="268"/>
      <c r="PXH467" s="268"/>
      <c r="PXI467" s="268"/>
      <c r="PXJ467" s="268"/>
      <c r="PXK467" s="268"/>
      <c r="PXL467" s="268"/>
      <c r="PXM467" s="268"/>
      <c r="PXN467" s="268"/>
      <c r="PXO467" s="268"/>
      <c r="PXP467" s="268"/>
      <c r="PXQ467" s="268"/>
      <c r="PXR467" s="268"/>
      <c r="PXS467" s="268"/>
      <c r="PXT467" s="268"/>
      <c r="PXU467" s="268"/>
      <c r="PXV467" s="268"/>
      <c r="PXW467" s="268"/>
      <c r="PXX467" s="268"/>
      <c r="PXY467" s="268"/>
      <c r="PXZ467" s="268"/>
      <c r="PYA467" s="268"/>
      <c r="PYB467" s="268"/>
      <c r="PYC467" s="268"/>
      <c r="PYD467" s="268"/>
      <c r="PYE467" s="268"/>
      <c r="PYF467" s="268"/>
      <c r="PYG467" s="268"/>
      <c r="PYH467" s="268"/>
      <c r="PYI467" s="268"/>
      <c r="PYJ467" s="268"/>
      <c r="PYK467" s="268"/>
      <c r="PYL467" s="268"/>
      <c r="PYM467" s="268"/>
      <c r="PYN467" s="268"/>
      <c r="PYO467" s="268"/>
      <c r="PYP467" s="268"/>
      <c r="PYQ467" s="268"/>
      <c r="PYR467" s="268"/>
      <c r="PYS467" s="268"/>
      <c r="PYT467" s="268"/>
      <c r="PYU467" s="268"/>
      <c r="PYV467" s="268"/>
      <c r="PYW467" s="268"/>
      <c r="PYX467" s="268"/>
      <c r="PYY467" s="268"/>
      <c r="PYZ467" s="268"/>
      <c r="PZA467" s="268"/>
      <c r="PZB467" s="268"/>
      <c r="PZC467" s="268"/>
      <c r="PZD467" s="268"/>
      <c r="PZE467" s="268"/>
      <c r="PZF467" s="268"/>
      <c r="PZG467" s="268"/>
      <c r="PZH467" s="268"/>
      <c r="PZI467" s="268"/>
      <c r="PZJ467" s="268"/>
      <c r="PZK467" s="268"/>
      <c r="PZL467" s="268"/>
      <c r="PZM467" s="268"/>
      <c r="PZN467" s="268"/>
      <c r="PZO467" s="268"/>
      <c r="PZP467" s="268"/>
      <c r="PZQ467" s="268"/>
      <c r="PZR467" s="268"/>
      <c r="PZS467" s="268"/>
      <c r="QAG467" s="268"/>
      <c r="QAH467" s="268"/>
      <c r="QAI467" s="268"/>
      <c r="QAW467" s="268"/>
      <c r="QAY467" s="268"/>
      <c r="QAZ467" s="268"/>
      <c r="QBA467" s="268"/>
      <c r="QBB467" s="268"/>
      <c r="QBC467" s="268"/>
      <c r="QBD467" s="268"/>
      <c r="QBE467" s="268"/>
      <c r="QBF467" s="268"/>
      <c r="QBG467" s="268"/>
      <c r="QBH467" s="268"/>
      <c r="QBI467" s="268"/>
      <c r="QBJ467" s="268"/>
      <c r="QBK467" s="268"/>
      <c r="QBL467" s="268"/>
      <c r="QBM467" s="268"/>
      <c r="QBN467" s="268"/>
      <c r="QBO467" s="268"/>
      <c r="QBP467" s="268"/>
      <c r="QBQ467" s="268"/>
      <c r="QBR467" s="268"/>
      <c r="QBS467" s="268"/>
      <c r="QBT467" s="268"/>
      <c r="QBU467" s="268"/>
      <c r="QBV467" s="268"/>
      <c r="QBW467" s="268"/>
      <c r="QBX467" s="268"/>
      <c r="QBY467" s="268"/>
      <c r="QBZ467" s="268"/>
      <c r="QCA467" s="268"/>
      <c r="QCB467" s="268"/>
      <c r="QCC467" s="268"/>
      <c r="QCD467" s="268"/>
      <c r="QCE467" s="268"/>
      <c r="QCF467" s="268"/>
      <c r="QCG467" s="268"/>
      <c r="QCH467" s="268"/>
      <c r="QCI467" s="268"/>
      <c r="QCJ467" s="268"/>
      <c r="QCK467" s="268"/>
      <c r="QCL467" s="268"/>
      <c r="QCM467" s="268"/>
      <c r="QCN467" s="268"/>
      <c r="QCO467" s="268"/>
      <c r="QCP467" s="268"/>
      <c r="QCQ467" s="268"/>
      <c r="QCR467" s="268"/>
      <c r="QCS467" s="268"/>
      <c r="QCT467" s="268"/>
      <c r="QCU467" s="268"/>
      <c r="QCV467" s="268"/>
      <c r="QCW467" s="268"/>
      <c r="QCX467" s="268"/>
      <c r="QCY467" s="268"/>
      <c r="QCZ467" s="268"/>
      <c r="QDA467" s="268"/>
      <c r="QDB467" s="268"/>
      <c r="QDC467" s="268"/>
      <c r="QDD467" s="268"/>
      <c r="QDE467" s="268"/>
      <c r="QDF467" s="268"/>
      <c r="QDG467" s="268"/>
      <c r="QDH467" s="268"/>
      <c r="QDI467" s="268"/>
      <c r="QDJ467" s="268"/>
      <c r="QDK467" s="268"/>
      <c r="QDL467" s="268"/>
      <c r="QDM467" s="268"/>
      <c r="QDN467" s="268"/>
      <c r="QDO467" s="268"/>
      <c r="QDP467" s="268"/>
      <c r="QDQ467" s="268"/>
      <c r="QDR467" s="268"/>
      <c r="QDS467" s="268"/>
      <c r="QDT467" s="268"/>
      <c r="QDU467" s="268"/>
      <c r="QDV467" s="268"/>
      <c r="QDW467" s="268"/>
      <c r="QDX467" s="268"/>
      <c r="QDY467" s="268"/>
      <c r="QDZ467" s="268"/>
      <c r="QEA467" s="268"/>
      <c r="QEB467" s="268"/>
      <c r="QEC467" s="268"/>
      <c r="QED467" s="268"/>
      <c r="QEE467" s="268"/>
      <c r="QEF467" s="268"/>
      <c r="QEG467" s="268"/>
      <c r="QEH467" s="268"/>
      <c r="QEI467" s="268"/>
      <c r="QEJ467" s="268"/>
      <c r="QEK467" s="268"/>
      <c r="QEL467" s="268"/>
      <c r="QEM467" s="268"/>
      <c r="QEN467" s="268"/>
      <c r="QEO467" s="268"/>
      <c r="QEP467" s="268"/>
      <c r="QEQ467" s="268"/>
      <c r="QER467" s="268"/>
      <c r="QES467" s="268"/>
      <c r="QET467" s="268"/>
      <c r="QEU467" s="268"/>
      <c r="QEV467" s="268"/>
      <c r="QEW467" s="268"/>
      <c r="QEX467" s="268"/>
      <c r="QEY467" s="268"/>
      <c r="QEZ467" s="268"/>
      <c r="QFA467" s="268"/>
      <c r="QFB467" s="268"/>
      <c r="QFC467" s="268"/>
      <c r="QFD467" s="268"/>
      <c r="QFE467" s="268"/>
      <c r="QFF467" s="268"/>
      <c r="QFG467" s="268"/>
      <c r="QFH467" s="268"/>
      <c r="QFI467" s="268"/>
      <c r="QFJ467" s="268"/>
      <c r="QFK467" s="268"/>
      <c r="QFL467" s="268"/>
      <c r="QFM467" s="268"/>
      <c r="QFN467" s="268"/>
      <c r="QFO467" s="268"/>
      <c r="QFP467" s="268"/>
      <c r="QFQ467" s="268"/>
      <c r="QFR467" s="268"/>
      <c r="QFS467" s="268"/>
      <c r="QFT467" s="268"/>
      <c r="QFU467" s="268"/>
      <c r="QFV467" s="268"/>
      <c r="QFW467" s="268"/>
      <c r="QFX467" s="268"/>
      <c r="QFY467" s="268"/>
      <c r="QFZ467" s="268"/>
      <c r="QGA467" s="268"/>
      <c r="QGB467" s="268"/>
      <c r="QGC467" s="268"/>
      <c r="QGD467" s="268"/>
      <c r="QGE467" s="268"/>
      <c r="QGF467" s="268"/>
      <c r="QGG467" s="268"/>
      <c r="QGH467" s="268"/>
      <c r="QGI467" s="268"/>
      <c r="QGJ467" s="268"/>
      <c r="QGK467" s="268"/>
      <c r="QGL467" s="268"/>
      <c r="QGM467" s="268"/>
      <c r="QGN467" s="268"/>
      <c r="QGO467" s="268"/>
      <c r="QGP467" s="268"/>
      <c r="QGQ467" s="268"/>
      <c r="QGR467" s="268"/>
      <c r="QGS467" s="268"/>
      <c r="QGT467" s="268"/>
      <c r="QGU467" s="268"/>
      <c r="QGV467" s="268"/>
      <c r="QGW467" s="268"/>
      <c r="QGX467" s="268"/>
      <c r="QGY467" s="268"/>
      <c r="QGZ467" s="268"/>
      <c r="QHA467" s="268"/>
      <c r="QHB467" s="268"/>
      <c r="QHC467" s="268"/>
      <c r="QHD467" s="268"/>
      <c r="QHE467" s="268"/>
      <c r="QHF467" s="268"/>
      <c r="QHG467" s="268"/>
      <c r="QHH467" s="268"/>
      <c r="QHI467" s="268"/>
      <c r="QHJ467" s="268"/>
      <c r="QHK467" s="268"/>
      <c r="QHL467" s="268"/>
      <c r="QHM467" s="268"/>
      <c r="QHN467" s="268"/>
      <c r="QHO467" s="268"/>
      <c r="QHP467" s="268"/>
      <c r="QHQ467" s="268"/>
      <c r="QHR467" s="268"/>
      <c r="QHS467" s="268"/>
      <c r="QHT467" s="268"/>
      <c r="QHU467" s="268"/>
      <c r="QHV467" s="268"/>
      <c r="QHW467" s="268"/>
      <c r="QHX467" s="268"/>
      <c r="QHY467" s="268"/>
      <c r="QHZ467" s="268"/>
      <c r="QIA467" s="268"/>
      <c r="QIB467" s="268"/>
      <c r="QIC467" s="268"/>
      <c r="QID467" s="268"/>
      <c r="QIE467" s="268"/>
      <c r="QIF467" s="268"/>
      <c r="QIG467" s="268"/>
      <c r="QIH467" s="268"/>
      <c r="QII467" s="268"/>
      <c r="QIJ467" s="268"/>
      <c r="QIK467" s="268"/>
      <c r="QIL467" s="268"/>
      <c r="QIM467" s="268"/>
      <c r="QIN467" s="268"/>
      <c r="QIO467" s="268"/>
      <c r="QIP467" s="268"/>
      <c r="QIQ467" s="268"/>
      <c r="QIR467" s="268"/>
      <c r="QIS467" s="268"/>
      <c r="QIT467" s="268"/>
      <c r="QIU467" s="268"/>
      <c r="QIV467" s="268"/>
      <c r="QIW467" s="268"/>
      <c r="QIX467" s="268"/>
      <c r="QIY467" s="268"/>
      <c r="QIZ467" s="268"/>
      <c r="QJA467" s="268"/>
      <c r="QJB467" s="268"/>
      <c r="QJC467" s="268"/>
      <c r="QJD467" s="268"/>
      <c r="QJE467" s="268"/>
      <c r="QJF467" s="268"/>
      <c r="QJG467" s="268"/>
      <c r="QJH467" s="268"/>
      <c r="QJI467" s="268"/>
      <c r="QJJ467" s="268"/>
      <c r="QJK467" s="268"/>
      <c r="QJL467" s="268"/>
      <c r="QJM467" s="268"/>
      <c r="QJN467" s="268"/>
      <c r="QJO467" s="268"/>
      <c r="QKC467" s="268"/>
      <c r="QKD467" s="268"/>
      <c r="QKE467" s="268"/>
      <c r="QKS467" s="268"/>
      <c r="QKU467" s="268"/>
      <c r="QKV467" s="268"/>
      <c r="QKW467" s="268"/>
      <c r="QKX467" s="268"/>
      <c r="QKY467" s="268"/>
      <c r="QKZ467" s="268"/>
      <c r="QLA467" s="268"/>
      <c r="QLB467" s="268"/>
      <c r="QLC467" s="268"/>
      <c r="QLD467" s="268"/>
      <c r="QLE467" s="268"/>
      <c r="QLF467" s="268"/>
      <c r="QLG467" s="268"/>
      <c r="QLH467" s="268"/>
      <c r="QLI467" s="268"/>
      <c r="QLJ467" s="268"/>
      <c r="QLK467" s="268"/>
      <c r="QLL467" s="268"/>
      <c r="QLM467" s="268"/>
      <c r="QLN467" s="268"/>
      <c r="QLO467" s="268"/>
      <c r="QLP467" s="268"/>
      <c r="QLQ467" s="268"/>
      <c r="QLR467" s="268"/>
      <c r="QLS467" s="268"/>
      <c r="QLT467" s="268"/>
      <c r="QLU467" s="268"/>
      <c r="QLV467" s="268"/>
      <c r="QLW467" s="268"/>
      <c r="QLX467" s="268"/>
      <c r="QLY467" s="268"/>
      <c r="QLZ467" s="268"/>
      <c r="QMA467" s="268"/>
      <c r="QMB467" s="268"/>
      <c r="QMC467" s="268"/>
      <c r="QMD467" s="268"/>
      <c r="QME467" s="268"/>
      <c r="QMF467" s="268"/>
      <c r="QMG467" s="268"/>
      <c r="QMH467" s="268"/>
      <c r="QMI467" s="268"/>
      <c r="QMJ467" s="268"/>
      <c r="QMK467" s="268"/>
      <c r="QML467" s="268"/>
      <c r="QMM467" s="268"/>
      <c r="QMN467" s="268"/>
      <c r="QMO467" s="268"/>
      <c r="QMP467" s="268"/>
      <c r="QMQ467" s="268"/>
      <c r="QMR467" s="268"/>
      <c r="QMS467" s="268"/>
      <c r="QMT467" s="268"/>
      <c r="QMU467" s="268"/>
      <c r="QMV467" s="268"/>
      <c r="QMW467" s="268"/>
      <c r="QMX467" s="268"/>
      <c r="QMY467" s="268"/>
      <c r="QMZ467" s="268"/>
      <c r="QNA467" s="268"/>
      <c r="QNB467" s="268"/>
      <c r="QNC467" s="268"/>
      <c r="QND467" s="268"/>
      <c r="QNE467" s="268"/>
      <c r="QNF467" s="268"/>
      <c r="QNG467" s="268"/>
      <c r="QNH467" s="268"/>
      <c r="QNI467" s="268"/>
      <c r="QNJ467" s="268"/>
      <c r="QNK467" s="268"/>
      <c r="QNL467" s="268"/>
      <c r="QNM467" s="268"/>
      <c r="QNN467" s="268"/>
      <c r="QNO467" s="268"/>
      <c r="QNP467" s="268"/>
      <c r="QNQ467" s="268"/>
      <c r="QNR467" s="268"/>
      <c r="QNS467" s="268"/>
      <c r="QNT467" s="268"/>
      <c r="QNU467" s="268"/>
      <c r="QNV467" s="268"/>
      <c r="QNW467" s="268"/>
      <c r="QNX467" s="268"/>
      <c r="QNY467" s="268"/>
      <c r="QNZ467" s="268"/>
      <c r="QOA467" s="268"/>
      <c r="QOB467" s="268"/>
      <c r="QOC467" s="268"/>
      <c r="QOD467" s="268"/>
      <c r="QOE467" s="268"/>
      <c r="QOF467" s="268"/>
      <c r="QOG467" s="268"/>
      <c r="QOH467" s="268"/>
      <c r="QOI467" s="268"/>
      <c r="QOJ467" s="268"/>
      <c r="QOK467" s="268"/>
      <c r="QOL467" s="268"/>
      <c r="QOM467" s="268"/>
      <c r="QON467" s="268"/>
      <c r="QOO467" s="268"/>
      <c r="QOP467" s="268"/>
      <c r="QOQ467" s="268"/>
      <c r="QOR467" s="268"/>
      <c r="QOS467" s="268"/>
      <c r="QOT467" s="268"/>
      <c r="QOU467" s="268"/>
      <c r="QOV467" s="268"/>
      <c r="QOW467" s="268"/>
      <c r="QOX467" s="268"/>
      <c r="QOY467" s="268"/>
      <c r="QOZ467" s="268"/>
      <c r="QPA467" s="268"/>
      <c r="QPB467" s="268"/>
      <c r="QPC467" s="268"/>
      <c r="QPD467" s="268"/>
      <c r="QPE467" s="268"/>
      <c r="QPF467" s="268"/>
      <c r="QPG467" s="268"/>
      <c r="QPH467" s="268"/>
      <c r="QPI467" s="268"/>
      <c r="QPJ467" s="268"/>
      <c r="QPK467" s="268"/>
      <c r="QPL467" s="268"/>
      <c r="QPM467" s="268"/>
      <c r="QPN467" s="268"/>
      <c r="QPO467" s="268"/>
      <c r="QPP467" s="268"/>
      <c r="QPQ467" s="268"/>
      <c r="QPR467" s="268"/>
      <c r="QPS467" s="268"/>
      <c r="QPT467" s="268"/>
      <c r="QPU467" s="268"/>
      <c r="QPV467" s="268"/>
      <c r="QPW467" s="268"/>
      <c r="QPX467" s="268"/>
      <c r="QPY467" s="268"/>
      <c r="QPZ467" s="268"/>
      <c r="QQA467" s="268"/>
      <c r="QQB467" s="268"/>
      <c r="QQC467" s="268"/>
      <c r="QQD467" s="268"/>
      <c r="QQE467" s="268"/>
      <c r="QQF467" s="268"/>
      <c r="QQG467" s="268"/>
      <c r="QQH467" s="268"/>
      <c r="QQI467" s="268"/>
      <c r="QQJ467" s="268"/>
      <c r="QQK467" s="268"/>
      <c r="QQL467" s="268"/>
      <c r="QQM467" s="268"/>
      <c r="QQN467" s="268"/>
      <c r="QQO467" s="268"/>
      <c r="QQP467" s="268"/>
      <c r="QQQ467" s="268"/>
      <c r="QQR467" s="268"/>
      <c r="QQS467" s="268"/>
      <c r="QQT467" s="268"/>
      <c r="QQU467" s="268"/>
      <c r="QQV467" s="268"/>
      <c r="QQW467" s="268"/>
      <c r="QQX467" s="268"/>
      <c r="QQY467" s="268"/>
      <c r="QQZ467" s="268"/>
      <c r="QRA467" s="268"/>
      <c r="QRB467" s="268"/>
      <c r="QRC467" s="268"/>
      <c r="QRD467" s="268"/>
      <c r="QRE467" s="268"/>
      <c r="QRF467" s="268"/>
      <c r="QRG467" s="268"/>
      <c r="QRH467" s="268"/>
      <c r="QRI467" s="268"/>
      <c r="QRJ467" s="268"/>
      <c r="QRK467" s="268"/>
      <c r="QRL467" s="268"/>
      <c r="QRM467" s="268"/>
      <c r="QRN467" s="268"/>
      <c r="QRO467" s="268"/>
      <c r="QRP467" s="268"/>
      <c r="QRQ467" s="268"/>
      <c r="QRR467" s="268"/>
      <c r="QRS467" s="268"/>
      <c r="QRT467" s="268"/>
      <c r="QRU467" s="268"/>
      <c r="QRV467" s="268"/>
      <c r="QRW467" s="268"/>
      <c r="QRX467" s="268"/>
      <c r="QRY467" s="268"/>
      <c r="QRZ467" s="268"/>
      <c r="QSA467" s="268"/>
      <c r="QSB467" s="268"/>
      <c r="QSC467" s="268"/>
      <c r="QSD467" s="268"/>
      <c r="QSE467" s="268"/>
      <c r="QSF467" s="268"/>
      <c r="QSG467" s="268"/>
      <c r="QSH467" s="268"/>
      <c r="QSI467" s="268"/>
      <c r="QSJ467" s="268"/>
      <c r="QSK467" s="268"/>
      <c r="QSL467" s="268"/>
      <c r="QSM467" s="268"/>
      <c r="QSN467" s="268"/>
      <c r="QSO467" s="268"/>
      <c r="QSP467" s="268"/>
      <c r="QSQ467" s="268"/>
      <c r="QSR467" s="268"/>
      <c r="QSS467" s="268"/>
      <c r="QST467" s="268"/>
      <c r="QSU467" s="268"/>
      <c r="QSV467" s="268"/>
      <c r="QSW467" s="268"/>
      <c r="QSX467" s="268"/>
      <c r="QSY467" s="268"/>
      <c r="QSZ467" s="268"/>
      <c r="QTA467" s="268"/>
      <c r="QTB467" s="268"/>
      <c r="QTC467" s="268"/>
      <c r="QTD467" s="268"/>
      <c r="QTE467" s="268"/>
      <c r="QTF467" s="268"/>
      <c r="QTG467" s="268"/>
      <c r="QTH467" s="268"/>
      <c r="QTI467" s="268"/>
      <c r="QTJ467" s="268"/>
      <c r="QTK467" s="268"/>
      <c r="QTY467" s="268"/>
      <c r="QTZ467" s="268"/>
      <c r="QUA467" s="268"/>
      <c r="QUO467" s="268"/>
      <c r="QUQ467" s="268"/>
      <c r="QUR467" s="268"/>
      <c r="QUS467" s="268"/>
      <c r="QUT467" s="268"/>
      <c r="QUU467" s="268"/>
      <c r="QUV467" s="268"/>
      <c r="QUW467" s="268"/>
      <c r="QUX467" s="268"/>
      <c r="QUY467" s="268"/>
      <c r="QUZ467" s="268"/>
      <c r="QVA467" s="268"/>
      <c r="QVB467" s="268"/>
      <c r="QVC467" s="268"/>
      <c r="QVD467" s="268"/>
      <c r="QVE467" s="268"/>
      <c r="QVF467" s="268"/>
      <c r="QVG467" s="268"/>
      <c r="QVH467" s="268"/>
      <c r="QVI467" s="268"/>
      <c r="QVJ467" s="268"/>
      <c r="QVK467" s="268"/>
      <c r="QVL467" s="268"/>
      <c r="QVM467" s="268"/>
      <c r="QVN467" s="268"/>
      <c r="QVO467" s="268"/>
      <c r="QVP467" s="268"/>
      <c r="QVQ467" s="268"/>
      <c r="QVR467" s="268"/>
      <c r="QVS467" s="268"/>
      <c r="QVT467" s="268"/>
      <c r="QVU467" s="268"/>
      <c r="QVV467" s="268"/>
      <c r="QVW467" s="268"/>
      <c r="QVX467" s="268"/>
      <c r="QVY467" s="268"/>
      <c r="QVZ467" s="268"/>
      <c r="QWA467" s="268"/>
      <c r="QWB467" s="268"/>
      <c r="QWC467" s="268"/>
      <c r="QWD467" s="268"/>
      <c r="QWE467" s="268"/>
      <c r="QWF467" s="268"/>
      <c r="QWG467" s="268"/>
      <c r="QWH467" s="268"/>
      <c r="QWI467" s="268"/>
      <c r="QWJ467" s="268"/>
      <c r="QWK467" s="268"/>
      <c r="QWL467" s="268"/>
      <c r="QWM467" s="268"/>
      <c r="QWN467" s="268"/>
      <c r="QWO467" s="268"/>
      <c r="QWP467" s="268"/>
      <c r="QWQ467" s="268"/>
      <c r="QWR467" s="268"/>
      <c r="QWS467" s="268"/>
      <c r="QWT467" s="268"/>
      <c r="QWU467" s="268"/>
      <c r="QWV467" s="268"/>
      <c r="QWW467" s="268"/>
      <c r="QWX467" s="268"/>
      <c r="QWY467" s="268"/>
      <c r="QWZ467" s="268"/>
      <c r="QXA467" s="268"/>
      <c r="QXB467" s="268"/>
      <c r="QXC467" s="268"/>
      <c r="QXD467" s="268"/>
      <c r="QXE467" s="268"/>
      <c r="QXF467" s="268"/>
      <c r="QXG467" s="268"/>
      <c r="QXH467" s="268"/>
      <c r="QXI467" s="268"/>
      <c r="QXJ467" s="268"/>
      <c r="QXK467" s="268"/>
      <c r="QXL467" s="268"/>
      <c r="QXM467" s="268"/>
      <c r="QXN467" s="268"/>
      <c r="QXO467" s="268"/>
      <c r="QXP467" s="268"/>
      <c r="QXQ467" s="268"/>
      <c r="QXR467" s="268"/>
      <c r="QXS467" s="268"/>
      <c r="QXT467" s="268"/>
      <c r="QXU467" s="268"/>
      <c r="QXV467" s="268"/>
      <c r="QXW467" s="268"/>
      <c r="QXX467" s="268"/>
      <c r="QXY467" s="268"/>
      <c r="QXZ467" s="268"/>
      <c r="QYA467" s="268"/>
      <c r="QYB467" s="268"/>
      <c r="QYC467" s="268"/>
      <c r="QYD467" s="268"/>
      <c r="QYE467" s="268"/>
      <c r="QYF467" s="268"/>
      <c r="QYG467" s="268"/>
      <c r="QYH467" s="268"/>
      <c r="QYI467" s="268"/>
      <c r="QYJ467" s="268"/>
      <c r="QYK467" s="268"/>
      <c r="QYL467" s="268"/>
      <c r="QYM467" s="268"/>
      <c r="QYN467" s="268"/>
      <c r="QYO467" s="268"/>
      <c r="QYP467" s="268"/>
      <c r="QYQ467" s="268"/>
      <c r="QYR467" s="268"/>
      <c r="QYS467" s="268"/>
      <c r="QYT467" s="268"/>
      <c r="QYU467" s="268"/>
      <c r="QYV467" s="268"/>
      <c r="QYW467" s="268"/>
      <c r="QYX467" s="268"/>
      <c r="QYY467" s="268"/>
      <c r="QYZ467" s="268"/>
      <c r="QZA467" s="268"/>
      <c r="QZB467" s="268"/>
      <c r="QZC467" s="268"/>
      <c r="QZD467" s="268"/>
      <c r="QZE467" s="268"/>
      <c r="QZF467" s="268"/>
      <c r="QZG467" s="268"/>
      <c r="QZH467" s="268"/>
      <c r="QZI467" s="268"/>
      <c r="QZJ467" s="268"/>
      <c r="QZK467" s="268"/>
      <c r="QZL467" s="268"/>
      <c r="QZM467" s="268"/>
      <c r="QZN467" s="268"/>
      <c r="QZO467" s="268"/>
      <c r="QZP467" s="268"/>
      <c r="QZQ467" s="268"/>
      <c r="QZR467" s="268"/>
      <c r="QZS467" s="268"/>
      <c r="QZT467" s="268"/>
      <c r="QZU467" s="268"/>
      <c r="QZV467" s="268"/>
      <c r="QZW467" s="268"/>
      <c r="QZX467" s="268"/>
      <c r="QZY467" s="268"/>
      <c r="QZZ467" s="268"/>
      <c r="RAA467" s="268"/>
      <c r="RAB467" s="268"/>
      <c r="RAC467" s="268"/>
      <c r="RAD467" s="268"/>
      <c r="RAE467" s="268"/>
      <c r="RAF467" s="268"/>
      <c r="RAG467" s="268"/>
      <c r="RAH467" s="268"/>
      <c r="RAI467" s="268"/>
      <c r="RAJ467" s="268"/>
      <c r="RAK467" s="268"/>
      <c r="RAL467" s="268"/>
      <c r="RAM467" s="268"/>
      <c r="RAN467" s="268"/>
      <c r="RAO467" s="268"/>
      <c r="RAP467" s="268"/>
      <c r="RAQ467" s="268"/>
      <c r="RAR467" s="268"/>
      <c r="RAS467" s="268"/>
      <c r="RAT467" s="268"/>
      <c r="RAU467" s="268"/>
      <c r="RAV467" s="268"/>
      <c r="RAW467" s="268"/>
      <c r="RAX467" s="268"/>
      <c r="RAY467" s="268"/>
      <c r="RAZ467" s="268"/>
      <c r="RBA467" s="268"/>
      <c r="RBB467" s="268"/>
      <c r="RBC467" s="268"/>
      <c r="RBD467" s="268"/>
      <c r="RBE467" s="268"/>
      <c r="RBF467" s="268"/>
      <c r="RBG467" s="268"/>
      <c r="RBH467" s="268"/>
      <c r="RBI467" s="268"/>
      <c r="RBJ467" s="268"/>
      <c r="RBK467" s="268"/>
      <c r="RBL467" s="268"/>
      <c r="RBM467" s="268"/>
      <c r="RBN467" s="268"/>
      <c r="RBO467" s="268"/>
      <c r="RBP467" s="268"/>
      <c r="RBQ467" s="268"/>
      <c r="RBR467" s="268"/>
      <c r="RBS467" s="268"/>
      <c r="RBT467" s="268"/>
      <c r="RBU467" s="268"/>
      <c r="RBV467" s="268"/>
      <c r="RBW467" s="268"/>
      <c r="RBX467" s="268"/>
      <c r="RBY467" s="268"/>
      <c r="RBZ467" s="268"/>
      <c r="RCA467" s="268"/>
      <c r="RCB467" s="268"/>
      <c r="RCC467" s="268"/>
      <c r="RCD467" s="268"/>
      <c r="RCE467" s="268"/>
      <c r="RCF467" s="268"/>
      <c r="RCG467" s="268"/>
      <c r="RCH467" s="268"/>
      <c r="RCI467" s="268"/>
      <c r="RCJ467" s="268"/>
      <c r="RCK467" s="268"/>
      <c r="RCL467" s="268"/>
      <c r="RCM467" s="268"/>
      <c r="RCN467" s="268"/>
      <c r="RCO467" s="268"/>
      <c r="RCP467" s="268"/>
      <c r="RCQ467" s="268"/>
      <c r="RCR467" s="268"/>
      <c r="RCS467" s="268"/>
      <c r="RCT467" s="268"/>
      <c r="RCU467" s="268"/>
      <c r="RCV467" s="268"/>
      <c r="RCW467" s="268"/>
      <c r="RCX467" s="268"/>
      <c r="RCY467" s="268"/>
      <c r="RCZ467" s="268"/>
      <c r="RDA467" s="268"/>
      <c r="RDB467" s="268"/>
      <c r="RDC467" s="268"/>
      <c r="RDD467" s="268"/>
      <c r="RDE467" s="268"/>
      <c r="RDF467" s="268"/>
      <c r="RDG467" s="268"/>
      <c r="RDU467" s="268"/>
      <c r="RDV467" s="268"/>
      <c r="RDW467" s="268"/>
      <c r="REK467" s="268"/>
      <c r="REM467" s="268"/>
      <c r="REN467" s="268"/>
      <c r="REO467" s="268"/>
      <c r="REP467" s="268"/>
      <c r="REQ467" s="268"/>
      <c r="RER467" s="268"/>
      <c r="RES467" s="268"/>
      <c r="RET467" s="268"/>
      <c r="REU467" s="268"/>
      <c r="REV467" s="268"/>
      <c r="REW467" s="268"/>
      <c r="REX467" s="268"/>
      <c r="REY467" s="268"/>
      <c r="REZ467" s="268"/>
      <c r="RFA467" s="268"/>
      <c r="RFB467" s="268"/>
      <c r="RFC467" s="268"/>
      <c r="RFD467" s="268"/>
      <c r="RFE467" s="268"/>
      <c r="RFF467" s="268"/>
      <c r="RFG467" s="268"/>
      <c r="RFH467" s="268"/>
      <c r="RFI467" s="268"/>
      <c r="RFJ467" s="268"/>
      <c r="RFK467" s="268"/>
      <c r="RFL467" s="268"/>
      <c r="RFM467" s="268"/>
      <c r="RFN467" s="268"/>
      <c r="RFO467" s="268"/>
      <c r="RFP467" s="268"/>
      <c r="RFQ467" s="268"/>
      <c r="RFR467" s="268"/>
      <c r="RFS467" s="268"/>
      <c r="RFT467" s="268"/>
      <c r="RFU467" s="268"/>
      <c r="RFV467" s="268"/>
      <c r="RFW467" s="268"/>
      <c r="RFX467" s="268"/>
      <c r="RFY467" s="268"/>
      <c r="RFZ467" s="268"/>
      <c r="RGA467" s="268"/>
      <c r="RGB467" s="268"/>
      <c r="RGC467" s="268"/>
      <c r="RGD467" s="268"/>
      <c r="RGE467" s="268"/>
      <c r="RGF467" s="268"/>
      <c r="RGG467" s="268"/>
      <c r="RGH467" s="268"/>
      <c r="RGI467" s="268"/>
      <c r="RGJ467" s="268"/>
      <c r="RGK467" s="268"/>
      <c r="RGL467" s="268"/>
      <c r="RGM467" s="268"/>
      <c r="RGN467" s="268"/>
      <c r="RGO467" s="268"/>
      <c r="RGP467" s="268"/>
      <c r="RGQ467" s="268"/>
      <c r="RGR467" s="268"/>
      <c r="RGS467" s="268"/>
      <c r="RGT467" s="268"/>
      <c r="RGU467" s="268"/>
      <c r="RGV467" s="268"/>
      <c r="RGW467" s="268"/>
      <c r="RGX467" s="268"/>
      <c r="RGY467" s="268"/>
      <c r="RGZ467" s="268"/>
      <c r="RHA467" s="268"/>
      <c r="RHB467" s="268"/>
      <c r="RHC467" s="268"/>
      <c r="RHD467" s="268"/>
      <c r="RHE467" s="268"/>
      <c r="RHF467" s="268"/>
      <c r="RHG467" s="268"/>
      <c r="RHH467" s="268"/>
      <c r="RHI467" s="268"/>
      <c r="RHJ467" s="268"/>
      <c r="RHK467" s="268"/>
      <c r="RHL467" s="268"/>
      <c r="RHM467" s="268"/>
      <c r="RHN467" s="268"/>
      <c r="RHO467" s="268"/>
      <c r="RHP467" s="268"/>
      <c r="RHQ467" s="268"/>
      <c r="RHR467" s="268"/>
      <c r="RHS467" s="268"/>
      <c r="RHT467" s="268"/>
      <c r="RHU467" s="268"/>
      <c r="RHV467" s="268"/>
      <c r="RHW467" s="268"/>
      <c r="RHX467" s="268"/>
      <c r="RHY467" s="268"/>
      <c r="RHZ467" s="268"/>
      <c r="RIA467" s="268"/>
      <c r="RIB467" s="268"/>
      <c r="RIC467" s="268"/>
      <c r="RID467" s="268"/>
      <c r="RIE467" s="268"/>
      <c r="RIF467" s="268"/>
      <c r="RIG467" s="268"/>
      <c r="RIH467" s="268"/>
      <c r="RII467" s="268"/>
      <c r="RIJ467" s="268"/>
      <c r="RIK467" s="268"/>
      <c r="RIL467" s="268"/>
      <c r="RIM467" s="268"/>
      <c r="RIN467" s="268"/>
      <c r="RIO467" s="268"/>
      <c r="RIP467" s="268"/>
      <c r="RIQ467" s="268"/>
      <c r="RIR467" s="268"/>
      <c r="RIS467" s="268"/>
      <c r="RIT467" s="268"/>
      <c r="RIU467" s="268"/>
      <c r="RIV467" s="268"/>
      <c r="RIW467" s="268"/>
      <c r="RIX467" s="268"/>
      <c r="RIY467" s="268"/>
      <c r="RIZ467" s="268"/>
      <c r="RJA467" s="268"/>
      <c r="RJB467" s="268"/>
      <c r="RJC467" s="268"/>
      <c r="RJD467" s="268"/>
      <c r="RJE467" s="268"/>
      <c r="RJF467" s="268"/>
      <c r="RJG467" s="268"/>
      <c r="RJH467" s="268"/>
      <c r="RJI467" s="268"/>
      <c r="RJJ467" s="268"/>
      <c r="RJK467" s="268"/>
      <c r="RJL467" s="268"/>
      <c r="RJM467" s="268"/>
      <c r="RJN467" s="268"/>
      <c r="RJO467" s="268"/>
      <c r="RJP467" s="268"/>
      <c r="RJQ467" s="268"/>
      <c r="RJR467" s="268"/>
      <c r="RJS467" s="268"/>
      <c r="RJT467" s="268"/>
      <c r="RJU467" s="268"/>
      <c r="RJV467" s="268"/>
      <c r="RJW467" s="268"/>
      <c r="RJX467" s="268"/>
      <c r="RJY467" s="268"/>
      <c r="RJZ467" s="268"/>
      <c r="RKA467" s="268"/>
      <c r="RKB467" s="268"/>
      <c r="RKC467" s="268"/>
      <c r="RKD467" s="268"/>
      <c r="RKE467" s="268"/>
      <c r="RKF467" s="268"/>
      <c r="RKG467" s="268"/>
      <c r="RKH467" s="268"/>
      <c r="RKI467" s="268"/>
      <c r="RKJ467" s="268"/>
      <c r="RKK467" s="268"/>
      <c r="RKL467" s="268"/>
      <c r="RKM467" s="268"/>
      <c r="RKN467" s="268"/>
      <c r="RKO467" s="268"/>
      <c r="RKP467" s="268"/>
      <c r="RKQ467" s="268"/>
      <c r="RKR467" s="268"/>
      <c r="RKS467" s="268"/>
      <c r="RKT467" s="268"/>
      <c r="RKU467" s="268"/>
      <c r="RKV467" s="268"/>
      <c r="RKW467" s="268"/>
      <c r="RKX467" s="268"/>
      <c r="RKY467" s="268"/>
      <c r="RKZ467" s="268"/>
      <c r="RLA467" s="268"/>
      <c r="RLB467" s="268"/>
      <c r="RLC467" s="268"/>
      <c r="RLD467" s="268"/>
      <c r="RLE467" s="268"/>
      <c r="RLF467" s="268"/>
      <c r="RLG467" s="268"/>
      <c r="RLH467" s="268"/>
      <c r="RLI467" s="268"/>
      <c r="RLJ467" s="268"/>
      <c r="RLK467" s="268"/>
      <c r="RLL467" s="268"/>
      <c r="RLM467" s="268"/>
      <c r="RLN467" s="268"/>
      <c r="RLO467" s="268"/>
      <c r="RLP467" s="268"/>
      <c r="RLQ467" s="268"/>
      <c r="RLR467" s="268"/>
      <c r="RLS467" s="268"/>
      <c r="RLT467" s="268"/>
      <c r="RLU467" s="268"/>
      <c r="RLV467" s="268"/>
      <c r="RLW467" s="268"/>
      <c r="RLX467" s="268"/>
      <c r="RLY467" s="268"/>
      <c r="RLZ467" s="268"/>
      <c r="RMA467" s="268"/>
      <c r="RMB467" s="268"/>
      <c r="RMC467" s="268"/>
      <c r="RMD467" s="268"/>
      <c r="RME467" s="268"/>
      <c r="RMF467" s="268"/>
      <c r="RMG467" s="268"/>
      <c r="RMH467" s="268"/>
      <c r="RMI467" s="268"/>
      <c r="RMJ467" s="268"/>
      <c r="RMK467" s="268"/>
      <c r="RML467" s="268"/>
      <c r="RMM467" s="268"/>
      <c r="RMN467" s="268"/>
      <c r="RMO467" s="268"/>
      <c r="RMP467" s="268"/>
      <c r="RMQ467" s="268"/>
      <c r="RMR467" s="268"/>
      <c r="RMS467" s="268"/>
      <c r="RMT467" s="268"/>
      <c r="RMU467" s="268"/>
      <c r="RMV467" s="268"/>
      <c r="RMW467" s="268"/>
      <c r="RMX467" s="268"/>
      <c r="RMY467" s="268"/>
      <c r="RMZ467" s="268"/>
      <c r="RNA467" s="268"/>
      <c r="RNB467" s="268"/>
      <c r="RNC467" s="268"/>
      <c r="RNQ467" s="268"/>
      <c r="RNR467" s="268"/>
      <c r="RNS467" s="268"/>
      <c r="ROG467" s="268"/>
      <c r="ROI467" s="268"/>
      <c r="ROJ467" s="268"/>
      <c r="ROK467" s="268"/>
      <c r="ROL467" s="268"/>
      <c r="ROM467" s="268"/>
      <c r="RON467" s="268"/>
      <c r="ROO467" s="268"/>
      <c r="ROP467" s="268"/>
      <c r="ROQ467" s="268"/>
      <c r="ROR467" s="268"/>
      <c r="ROS467" s="268"/>
      <c r="ROT467" s="268"/>
      <c r="ROU467" s="268"/>
      <c r="ROV467" s="268"/>
      <c r="ROW467" s="268"/>
      <c r="ROX467" s="268"/>
      <c r="ROY467" s="268"/>
      <c r="ROZ467" s="268"/>
      <c r="RPA467" s="268"/>
      <c r="RPB467" s="268"/>
      <c r="RPC467" s="268"/>
      <c r="RPD467" s="268"/>
      <c r="RPE467" s="268"/>
      <c r="RPF467" s="268"/>
      <c r="RPG467" s="268"/>
      <c r="RPH467" s="268"/>
      <c r="RPI467" s="268"/>
      <c r="RPJ467" s="268"/>
      <c r="RPK467" s="268"/>
      <c r="RPL467" s="268"/>
      <c r="RPM467" s="268"/>
      <c r="RPN467" s="268"/>
      <c r="RPO467" s="268"/>
      <c r="RPP467" s="268"/>
      <c r="RPQ467" s="268"/>
      <c r="RPR467" s="268"/>
      <c r="RPS467" s="268"/>
      <c r="RPT467" s="268"/>
      <c r="RPU467" s="268"/>
      <c r="RPV467" s="268"/>
      <c r="RPW467" s="268"/>
      <c r="RPX467" s="268"/>
      <c r="RPY467" s="268"/>
      <c r="RPZ467" s="268"/>
      <c r="RQA467" s="268"/>
      <c r="RQB467" s="268"/>
      <c r="RQC467" s="268"/>
      <c r="RQD467" s="268"/>
      <c r="RQE467" s="268"/>
      <c r="RQF467" s="268"/>
      <c r="RQG467" s="268"/>
      <c r="RQH467" s="268"/>
      <c r="RQI467" s="268"/>
      <c r="RQJ467" s="268"/>
      <c r="RQK467" s="268"/>
      <c r="RQL467" s="268"/>
      <c r="RQM467" s="268"/>
      <c r="RQN467" s="268"/>
      <c r="RQO467" s="268"/>
      <c r="RQP467" s="268"/>
      <c r="RQQ467" s="268"/>
      <c r="RQR467" s="268"/>
      <c r="RQS467" s="268"/>
      <c r="RQT467" s="268"/>
      <c r="RQU467" s="268"/>
      <c r="RQV467" s="268"/>
      <c r="RQW467" s="268"/>
      <c r="RQX467" s="268"/>
      <c r="RQY467" s="268"/>
      <c r="RQZ467" s="268"/>
      <c r="RRA467" s="268"/>
      <c r="RRB467" s="268"/>
      <c r="RRC467" s="268"/>
      <c r="RRD467" s="268"/>
      <c r="RRE467" s="268"/>
      <c r="RRF467" s="268"/>
      <c r="RRG467" s="268"/>
      <c r="RRH467" s="268"/>
      <c r="RRI467" s="268"/>
      <c r="RRJ467" s="268"/>
      <c r="RRK467" s="268"/>
      <c r="RRL467" s="268"/>
      <c r="RRM467" s="268"/>
      <c r="RRN467" s="268"/>
      <c r="RRO467" s="268"/>
      <c r="RRP467" s="268"/>
      <c r="RRQ467" s="268"/>
      <c r="RRR467" s="268"/>
      <c r="RRS467" s="268"/>
      <c r="RRT467" s="268"/>
      <c r="RRU467" s="268"/>
      <c r="RRV467" s="268"/>
      <c r="RRW467" s="268"/>
      <c r="RRX467" s="268"/>
      <c r="RRY467" s="268"/>
      <c r="RRZ467" s="268"/>
      <c r="RSA467" s="268"/>
      <c r="RSB467" s="268"/>
      <c r="RSC467" s="268"/>
      <c r="RSD467" s="268"/>
      <c r="RSE467" s="268"/>
      <c r="RSF467" s="268"/>
      <c r="RSG467" s="268"/>
      <c r="RSH467" s="268"/>
      <c r="RSI467" s="268"/>
      <c r="RSJ467" s="268"/>
      <c r="RSK467" s="268"/>
      <c r="RSL467" s="268"/>
      <c r="RSM467" s="268"/>
      <c r="RSN467" s="268"/>
      <c r="RSO467" s="268"/>
      <c r="RSP467" s="268"/>
      <c r="RSQ467" s="268"/>
      <c r="RSR467" s="268"/>
      <c r="RSS467" s="268"/>
      <c r="RST467" s="268"/>
      <c r="RSU467" s="268"/>
      <c r="RSV467" s="268"/>
      <c r="RSW467" s="268"/>
      <c r="RSX467" s="268"/>
      <c r="RSY467" s="268"/>
      <c r="RSZ467" s="268"/>
      <c r="RTA467" s="268"/>
      <c r="RTB467" s="268"/>
      <c r="RTC467" s="268"/>
      <c r="RTD467" s="268"/>
      <c r="RTE467" s="268"/>
      <c r="RTF467" s="268"/>
      <c r="RTG467" s="268"/>
      <c r="RTH467" s="268"/>
      <c r="RTI467" s="268"/>
      <c r="RTJ467" s="268"/>
      <c r="RTK467" s="268"/>
      <c r="RTL467" s="268"/>
      <c r="RTM467" s="268"/>
      <c r="RTN467" s="268"/>
      <c r="RTO467" s="268"/>
      <c r="RTP467" s="268"/>
      <c r="RTQ467" s="268"/>
      <c r="RTR467" s="268"/>
      <c r="RTS467" s="268"/>
      <c r="RTT467" s="268"/>
      <c r="RTU467" s="268"/>
      <c r="RTV467" s="268"/>
      <c r="RTW467" s="268"/>
      <c r="RTX467" s="268"/>
      <c r="RTY467" s="268"/>
      <c r="RTZ467" s="268"/>
      <c r="RUA467" s="268"/>
      <c r="RUB467" s="268"/>
      <c r="RUC467" s="268"/>
      <c r="RUD467" s="268"/>
      <c r="RUE467" s="268"/>
      <c r="RUF467" s="268"/>
      <c r="RUG467" s="268"/>
      <c r="RUH467" s="268"/>
      <c r="RUI467" s="268"/>
      <c r="RUJ467" s="268"/>
      <c r="RUK467" s="268"/>
      <c r="RUL467" s="268"/>
      <c r="RUM467" s="268"/>
      <c r="RUN467" s="268"/>
      <c r="RUO467" s="268"/>
      <c r="RUP467" s="268"/>
      <c r="RUQ467" s="268"/>
      <c r="RUR467" s="268"/>
      <c r="RUS467" s="268"/>
      <c r="RUT467" s="268"/>
      <c r="RUU467" s="268"/>
      <c r="RUV467" s="268"/>
      <c r="RUW467" s="268"/>
      <c r="RUX467" s="268"/>
      <c r="RUY467" s="268"/>
      <c r="RUZ467" s="268"/>
      <c r="RVA467" s="268"/>
      <c r="RVB467" s="268"/>
      <c r="RVC467" s="268"/>
      <c r="RVD467" s="268"/>
      <c r="RVE467" s="268"/>
      <c r="RVF467" s="268"/>
      <c r="RVG467" s="268"/>
      <c r="RVH467" s="268"/>
      <c r="RVI467" s="268"/>
      <c r="RVJ467" s="268"/>
      <c r="RVK467" s="268"/>
      <c r="RVL467" s="268"/>
      <c r="RVM467" s="268"/>
      <c r="RVN467" s="268"/>
      <c r="RVO467" s="268"/>
      <c r="RVP467" s="268"/>
      <c r="RVQ467" s="268"/>
      <c r="RVR467" s="268"/>
      <c r="RVS467" s="268"/>
      <c r="RVT467" s="268"/>
      <c r="RVU467" s="268"/>
      <c r="RVV467" s="268"/>
      <c r="RVW467" s="268"/>
      <c r="RVX467" s="268"/>
      <c r="RVY467" s="268"/>
      <c r="RVZ467" s="268"/>
      <c r="RWA467" s="268"/>
      <c r="RWB467" s="268"/>
      <c r="RWC467" s="268"/>
      <c r="RWD467" s="268"/>
      <c r="RWE467" s="268"/>
      <c r="RWF467" s="268"/>
      <c r="RWG467" s="268"/>
      <c r="RWH467" s="268"/>
      <c r="RWI467" s="268"/>
      <c r="RWJ467" s="268"/>
      <c r="RWK467" s="268"/>
      <c r="RWL467" s="268"/>
      <c r="RWM467" s="268"/>
      <c r="RWN467" s="268"/>
      <c r="RWO467" s="268"/>
      <c r="RWP467" s="268"/>
      <c r="RWQ467" s="268"/>
      <c r="RWR467" s="268"/>
      <c r="RWS467" s="268"/>
      <c r="RWT467" s="268"/>
      <c r="RWU467" s="268"/>
      <c r="RWV467" s="268"/>
      <c r="RWW467" s="268"/>
      <c r="RWX467" s="268"/>
      <c r="RWY467" s="268"/>
      <c r="RXM467" s="268"/>
      <c r="RXN467" s="268"/>
      <c r="RXO467" s="268"/>
      <c r="RYC467" s="268"/>
      <c r="RYE467" s="268"/>
      <c r="RYF467" s="268"/>
      <c r="RYG467" s="268"/>
      <c r="RYH467" s="268"/>
      <c r="RYI467" s="268"/>
      <c r="RYJ467" s="268"/>
      <c r="RYK467" s="268"/>
      <c r="RYL467" s="268"/>
      <c r="RYM467" s="268"/>
      <c r="RYN467" s="268"/>
      <c r="RYO467" s="268"/>
      <c r="RYP467" s="268"/>
      <c r="RYQ467" s="268"/>
      <c r="RYR467" s="268"/>
      <c r="RYS467" s="268"/>
      <c r="RYT467" s="268"/>
      <c r="RYU467" s="268"/>
      <c r="RYV467" s="268"/>
      <c r="RYW467" s="268"/>
      <c r="RYX467" s="268"/>
      <c r="RYY467" s="268"/>
      <c r="RYZ467" s="268"/>
      <c r="RZA467" s="268"/>
      <c r="RZB467" s="268"/>
      <c r="RZC467" s="268"/>
      <c r="RZD467" s="268"/>
      <c r="RZE467" s="268"/>
      <c r="RZF467" s="268"/>
      <c r="RZG467" s="268"/>
      <c r="RZH467" s="268"/>
      <c r="RZI467" s="268"/>
      <c r="RZJ467" s="268"/>
      <c r="RZK467" s="268"/>
      <c r="RZL467" s="268"/>
      <c r="RZM467" s="268"/>
      <c r="RZN467" s="268"/>
      <c r="RZO467" s="268"/>
      <c r="RZP467" s="268"/>
      <c r="RZQ467" s="268"/>
      <c r="RZR467" s="268"/>
      <c r="RZS467" s="268"/>
      <c r="RZT467" s="268"/>
      <c r="RZU467" s="268"/>
      <c r="RZV467" s="268"/>
      <c r="RZW467" s="268"/>
      <c r="RZX467" s="268"/>
      <c r="RZY467" s="268"/>
      <c r="RZZ467" s="268"/>
      <c r="SAA467" s="268"/>
      <c r="SAB467" s="268"/>
      <c r="SAC467" s="268"/>
      <c r="SAD467" s="268"/>
      <c r="SAE467" s="268"/>
      <c r="SAF467" s="268"/>
      <c r="SAG467" s="268"/>
      <c r="SAH467" s="268"/>
      <c r="SAI467" s="268"/>
      <c r="SAJ467" s="268"/>
      <c r="SAK467" s="268"/>
      <c r="SAL467" s="268"/>
      <c r="SAM467" s="268"/>
      <c r="SAN467" s="268"/>
      <c r="SAO467" s="268"/>
      <c r="SAP467" s="268"/>
      <c r="SAQ467" s="268"/>
      <c r="SAR467" s="268"/>
      <c r="SAS467" s="268"/>
      <c r="SAT467" s="268"/>
      <c r="SAU467" s="268"/>
      <c r="SAV467" s="268"/>
      <c r="SAW467" s="268"/>
      <c r="SAX467" s="268"/>
      <c r="SAY467" s="268"/>
      <c r="SAZ467" s="268"/>
      <c r="SBA467" s="268"/>
      <c r="SBB467" s="268"/>
      <c r="SBC467" s="268"/>
      <c r="SBD467" s="268"/>
      <c r="SBE467" s="268"/>
      <c r="SBF467" s="268"/>
      <c r="SBG467" s="268"/>
      <c r="SBH467" s="268"/>
      <c r="SBI467" s="268"/>
      <c r="SBJ467" s="268"/>
      <c r="SBK467" s="268"/>
      <c r="SBL467" s="268"/>
      <c r="SBM467" s="268"/>
      <c r="SBN467" s="268"/>
      <c r="SBO467" s="268"/>
      <c r="SBP467" s="268"/>
      <c r="SBQ467" s="268"/>
      <c r="SBR467" s="268"/>
      <c r="SBS467" s="268"/>
      <c r="SBT467" s="268"/>
      <c r="SBU467" s="268"/>
      <c r="SBV467" s="268"/>
      <c r="SBW467" s="268"/>
      <c r="SBX467" s="268"/>
      <c r="SBY467" s="268"/>
      <c r="SBZ467" s="268"/>
      <c r="SCA467" s="268"/>
      <c r="SCB467" s="268"/>
      <c r="SCC467" s="268"/>
      <c r="SCD467" s="268"/>
      <c r="SCE467" s="268"/>
      <c r="SCF467" s="268"/>
      <c r="SCG467" s="268"/>
      <c r="SCH467" s="268"/>
      <c r="SCI467" s="268"/>
      <c r="SCJ467" s="268"/>
      <c r="SCK467" s="268"/>
      <c r="SCL467" s="268"/>
      <c r="SCM467" s="268"/>
      <c r="SCN467" s="268"/>
      <c r="SCO467" s="268"/>
      <c r="SCP467" s="268"/>
      <c r="SCQ467" s="268"/>
      <c r="SCR467" s="268"/>
      <c r="SCS467" s="268"/>
      <c r="SCT467" s="268"/>
      <c r="SCU467" s="268"/>
      <c r="SCV467" s="268"/>
      <c r="SCW467" s="268"/>
      <c r="SCX467" s="268"/>
      <c r="SCY467" s="268"/>
      <c r="SCZ467" s="268"/>
      <c r="SDA467" s="268"/>
      <c r="SDB467" s="268"/>
      <c r="SDC467" s="268"/>
      <c r="SDD467" s="268"/>
      <c r="SDE467" s="268"/>
      <c r="SDF467" s="268"/>
      <c r="SDG467" s="268"/>
      <c r="SDH467" s="268"/>
      <c r="SDI467" s="268"/>
      <c r="SDJ467" s="268"/>
      <c r="SDK467" s="268"/>
      <c r="SDL467" s="268"/>
      <c r="SDM467" s="268"/>
      <c r="SDN467" s="268"/>
      <c r="SDO467" s="268"/>
      <c r="SDP467" s="268"/>
      <c r="SDQ467" s="268"/>
      <c r="SDR467" s="268"/>
      <c r="SDS467" s="268"/>
      <c r="SDT467" s="268"/>
      <c r="SDU467" s="268"/>
      <c r="SDV467" s="268"/>
      <c r="SDW467" s="268"/>
      <c r="SDX467" s="268"/>
      <c r="SDY467" s="268"/>
      <c r="SDZ467" s="268"/>
      <c r="SEA467" s="268"/>
      <c r="SEB467" s="268"/>
      <c r="SEC467" s="268"/>
      <c r="SED467" s="268"/>
      <c r="SEE467" s="268"/>
      <c r="SEF467" s="268"/>
      <c r="SEG467" s="268"/>
      <c r="SEH467" s="268"/>
      <c r="SEI467" s="268"/>
      <c r="SEJ467" s="268"/>
      <c r="SEK467" s="268"/>
      <c r="SEL467" s="268"/>
      <c r="SEM467" s="268"/>
      <c r="SEN467" s="268"/>
      <c r="SEO467" s="268"/>
      <c r="SEP467" s="268"/>
      <c r="SEQ467" s="268"/>
      <c r="SER467" s="268"/>
      <c r="SES467" s="268"/>
      <c r="SET467" s="268"/>
      <c r="SEU467" s="268"/>
      <c r="SEV467" s="268"/>
      <c r="SEW467" s="268"/>
      <c r="SEX467" s="268"/>
      <c r="SEY467" s="268"/>
      <c r="SEZ467" s="268"/>
      <c r="SFA467" s="268"/>
      <c r="SFB467" s="268"/>
      <c r="SFC467" s="268"/>
      <c r="SFD467" s="268"/>
      <c r="SFE467" s="268"/>
      <c r="SFF467" s="268"/>
      <c r="SFG467" s="268"/>
      <c r="SFH467" s="268"/>
      <c r="SFI467" s="268"/>
      <c r="SFJ467" s="268"/>
      <c r="SFK467" s="268"/>
      <c r="SFL467" s="268"/>
      <c r="SFM467" s="268"/>
      <c r="SFN467" s="268"/>
      <c r="SFO467" s="268"/>
      <c r="SFP467" s="268"/>
      <c r="SFQ467" s="268"/>
      <c r="SFR467" s="268"/>
      <c r="SFS467" s="268"/>
      <c r="SFT467" s="268"/>
      <c r="SFU467" s="268"/>
      <c r="SFV467" s="268"/>
      <c r="SFW467" s="268"/>
      <c r="SFX467" s="268"/>
      <c r="SFY467" s="268"/>
      <c r="SFZ467" s="268"/>
      <c r="SGA467" s="268"/>
      <c r="SGB467" s="268"/>
      <c r="SGC467" s="268"/>
      <c r="SGD467" s="268"/>
      <c r="SGE467" s="268"/>
      <c r="SGF467" s="268"/>
      <c r="SGG467" s="268"/>
      <c r="SGH467" s="268"/>
      <c r="SGI467" s="268"/>
      <c r="SGJ467" s="268"/>
      <c r="SGK467" s="268"/>
      <c r="SGL467" s="268"/>
      <c r="SGM467" s="268"/>
      <c r="SGN467" s="268"/>
      <c r="SGO467" s="268"/>
      <c r="SGP467" s="268"/>
      <c r="SGQ467" s="268"/>
      <c r="SGR467" s="268"/>
      <c r="SGS467" s="268"/>
      <c r="SGT467" s="268"/>
      <c r="SGU467" s="268"/>
      <c r="SHI467" s="268"/>
      <c r="SHJ467" s="268"/>
      <c r="SHK467" s="268"/>
      <c r="SHY467" s="268"/>
      <c r="SIA467" s="268"/>
      <c r="SIB467" s="268"/>
      <c r="SIC467" s="268"/>
      <c r="SID467" s="268"/>
      <c r="SIE467" s="268"/>
      <c r="SIF467" s="268"/>
      <c r="SIG467" s="268"/>
      <c r="SIH467" s="268"/>
      <c r="SII467" s="268"/>
      <c r="SIJ467" s="268"/>
      <c r="SIK467" s="268"/>
      <c r="SIL467" s="268"/>
      <c r="SIM467" s="268"/>
      <c r="SIN467" s="268"/>
      <c r="SIO467" s="268"/>
      <c r="SIP467" s="268"/>
      <c r="SIQ467" s="268"/>
      <c r="SIR467" s="268"/>
      <c r="SIS467" s="268"/>
      <c r="SIT467" s="268"/>
      <c r="SIU467" s="268"/>
      <c r="SIV467" s="268"/>
      <c r="SIW467" s="268"/>
      <c r="SIX467" s="268"/>
      <c r="SIY467" s="268"/>
      <c r="SIZ467" s="268"/>
      <c r="SJA467" s="268"/>
      <c r="SJB467" s="268"/>
      <c r="SJC467" s="268"/>
      <c r="SJD467" s="268"/>
      <c r="SJE467" s="268"/>
      <c r="SJF467" s="268"/>
      <c r="SJG467" s="268"/>
      <c r="SJH467" s="268"/>
      <c r="SJI467" s="268"/>
      <c r="SJJ467" s="268"/>
      <c r="SJK467" s="268"/>
      <c r="SJL467" s="268"/>
      <c r="SJM467" s="268"/>
      <c r="SJN467" s="268"/>
      <c r="SJO467" s="268"/>
      <c r="SJP467" s="268"/>
      <c r="SJQ467" s="268"/>
      <c r="SJR467" s="268"/>
      <c r="SJS467" s="268"/>
      <c r="SJT467" s="268"/>
      <c r="SJU467" s="268"/>
      <c r="SJV467" s="268"/>
      <c r="SJW467" s="268"/>
      <c r="SJX467" s="268"/>
      <c r="SJY467" s="268"/>
      <c r="SJZ467" s="268"/>
      <c r="SKA467" s="268"/>
      <c r="SKB467" s="268"/>
      <c r="SKC467" s="268"/>
      <c r="SKD467" s="268"/>
      <c r="SKE467" s="268"/>
      <c r="SKF467" s="268"/>
      <c r="SKG467" s="268"/>
      <c r="SKH467" s="268"/>
      <c r="SKI467" s="268"/>
      <c r="SKJ467" s="268"/>
      <c r="SKK467" s="268"/>
      <c r="SKL467" s="268"/>
      <c r="SKM467" s="268"/>
      <c r="SKN467" s="268"/>
      <c r="SKO467" s="268"/>
      <c r="SKP467" s="268"/>
      <c r="SKQ467" s="268"/>
      <c r="SKR467" s="268"/>
      <c r="SKS467" s="268"/>
      <c r="SKT467" s="268"/>
      <c r="SKU467" s="268"/>
      <c r="SKV467" s="268"/>
      <c r="SKW467" s="268"/>
      <c r="SKX467" s="268"/>
      <c r="SKY467" s="268"/>
      <c r="SKZ467" s="268"/>
      <c r="SLA467" s="268"/>
      <c r="SLB467" s="268"/>
      <c r="SLC467" s="268"/>
      <c r="SLD467" s="268"/>
      <c r="SLE467" s="268"/>
      <c r="SLF467" s="268"/>
      <c r="SLG467" s="268"/>
      <c r="SLH467" s="268"/>
      <c r="SLI467" s="268"/>
      <c r="SLJ467" s="268"/>
      <c r="SLK467" s="268"/>
      <c r="SLL467" s="268"/>
      <c r="SLM467" s="268"/>
      <c r="SLN467" s="268"/>
      <c r="SLO467" s="268"/>
      <c r="SLP467" s="268"/>
      <c r="SLQ467" s="268"/>
      <c r="SLR467" s="268"/>
      <c r="SLS467" s="268"/>
      <c r="SLT467" s="268"/>
      <c r="SLU467" s="268"/>
      <c r="SLV467" s="268"/>
      <c r="SLW467" s="268"/>
      <c r="SLX467" s="268"/>
      <c r="SLY467" s="268"/>
      <c r="SLZ467" s="268"/>
      <c r="SMA467" s="268"/>
      <c r="SMB467" s="268"/>
      <c r="SMC467" s="268"/>
      <c r="SMD467" s="268"/>
      <c r="SME467" s="268"/>
      <c r="SMF467" s="268"/>
      <c r="SMG467" s="268"/>
      <c r="SMH467" s="268"/>
      <c r="SMI467" s="268"/>
      <c r="SMJ467" s="268"/>
      <c r="SMK467" s="268"/>
      <c r="SML467" s="268"/>
      <c r="SMM467" s="268"/>
      <c r="SMN467" s="268"/>
      <c r="SMO467" s="268"/>
      <c r="SMP467" s="268"/>
      <c r="SMQ467" s="268"/>
      <c r="SMR467" s="268"/>
      <c r="SMS467" s="268"/>
      <c r="SMT467" s="268"/>
      <c r="SMU467" s="268"/>
      <c r="SMV467" s="268"/>
      <c r="SMW467" s="268"/>
      <c r="SMX467" s="268"/>
      <c r="SMY467" s="268"/>
      <c r="SMZ467" s="268"/>
      <c r="SNA467" s="268"/>
      <c r="SNB467" s="268"/>
      <c r="SNC467" s="268"/>
      <c r="SND467" s="268"/>
      <c r="SNE467" s="268"/>
      <c r="SNF467" s="268"/>
      <c r="SNG467" s="268"/>
      <c r="SNH467" s="268"/>
      <c r="SNI467" s="268"/>
      <c r="SNJ467" s="268"/>
      <c r="SNK467" s="268"/>
      <c r="SNL467" s="268"/>
      <c r="SNM467" s="268"/>
      <c r="SNN467" s="268"/>
      <c r="SNO467" s="268"/>
      <c r="SNP467" s="268"/>
      <c r="SNQ467" s="268"/>
      <c r="SNR467" s="268"/>
      <c r="SNS467" s="268"/>
      <c r="SNT467" s="268"/>
      <c r="SNU467" s="268"/>
      <c r="SNV467" s="268"/>
      <c r="SNW467" s="268"/>
      <c r="SNX467" s="268"/>
      <c r="SNY467" s="268"/>
      <c r="SNZ467" s="268"/>
      <c r="SOA467" s="268"/>
      <c r="SOB467" s="268"/>
      <c r="SOC467" s="268"/>
      <c r="SOD467" s="268"/>
      <c r="SOE467" s="268"/>
      <c r="SOF467" s="268"/>
      <c r="SOG467" s="268"/>
      <c r="SOH467" s="268"/>
      <c r="SOI467" s="268"/>
      <c r="SOJ467" s="268"/>
      <c r="SOK467" s="268"/>
      <c r="SOL467" s="268"/>
      <c r="SOM467" s="268"/>
      <c r="SON467" s="268"/>
      <c r="SOO467" s="268"/>
      <c r="SOP467" s="268"/>
      <c r="SOQ467" s="268"/>
      <c r="SOR467" s="268"/>
      <c r="SOS467" s="268"/>
      <c r="SOT467" s="268"/>
      <c r="SOU467" s="268"/>
      <c r="SOV467" s="268"/>
      <c r="SOW467" s="268"/>
      <c r="SOX467" s="268"/>
      <c r="SOY467" s="268"/>
      <c r="SOZ467" s="268"/>
      <c r="SPA467" s="268"/>
      <c r="SPB467" s="268"/>
      <c r="SPC467" s="268"/>
      <c r="SPD467" s="268"/>
      <c r="SPE467" s="268"/>
      <c r="SPF467" s="268"/>
      <c r="SPG467" s="268"/>
      <c r="SPH467" s="268"/>
      <c r="SPI467" s="268"/>
      <c r="SPJ467" s="268"/>
      <c r="SPK467" s="268"/>
      <c r="SPL467" s="268"/>
      <c r="SPM467" s="268"/>
      <c r="SPN467" s="268"/>
      <c r="SPO467" s="268"/>
      <c r="SPP467" s="268"/>
      <c r="SPQ467" s="268"/>
      <c r="SPR467" s="268"/>
      <c r="SPS467" s="268"/>
      <c r="SPT467" s="268"/>
      <c r="SPU467" s="268"/>
      <c r="SPV467" s="268"/>
      <c r="SPW467" s="268"/>
      <c r="SPX467" s="268"/>
      <c r="SPY467" s="268"/>
      <c r="SPZ467" s="268"/>
      <c r="SQA467" s="268"/>
      <c r="SQB467" s="268"/>
      <c r="SQC467" s="268"/>
      <c r="SQD467" s="268"/>
      <c r="SQE467" s="268"/>
      <c r="SQF467" s="268"/>
      <c r="SQG467" s="268"/>
      <c r="SQH467" s="268"/>
      <c r="SQI467" s="268"/>
      <c r="SQJ467" s="268"/>
      <c r="SQK467" s="268"/>
      <c r="SQL467" s="268"/>
      <c r="SQM467" s="268"/>
      <c r="SQN467" s="268"/>
      <c r="SQO467" s="268"/>
      <c r="SQP467" s="268"/>
      <c r="SQQ467" s="268"/>
      <c r="SRE467" s="268"/>
      <c r="SRF467" s="268"/>
      <c r="SRG467" s="268"/>
      <c r="SRU467" s="268"/>
      <c r="SRW467" s="268"/>
      <c r="SRX467" s="268"/>
      <c r="SRY467" s="268"/>
      <c r="SRZ467" s="268"/>
      <c r="SSA467" s="268"/>
      <c r="SSB467" s="268"/>
      <c r="SSC467" s="268"/>
      <c r="SSD467" s="268"/>
      <c r="SSE467" s="268"/>
      <c r="SSF467" s="268"/>
      <c r="SSG467" s="268"/>
      <c r="SSH467" s="268"/>
      <c r="SSI467" s="268"/>
      <c r="SSJ467" s="268"/>
      <c r="SSK467" s="268"/>
      <c r="SSL467" s="268"/>
      <c r="SSM467" s="268"/>
      <c r="SSN467" s="268"/>
      <c r="SSO467" s="268"/>
      <c r="SSP467" s="268"/>
      <c r="SSQ467" s="268"/>
      <c r="SSR467" s="268"/>
      <c r="SSS467" s="268"/>
      <c r="SST467" s="268"/>
      <c r="SSU467" s="268"/>
      <c r="SSV467" s="268"/>
      <c r="SSW467" s="268"/>
      <c r="SSX467" s="268"/>
      <c r="SSY467" s="268"/>
      <c r="SSZ467" s="268"/>
      <c r="STA467" s="268"/>
      <c r="STB467" s="268"/>
      <c r="STC467" s="268"/>
      <c r="STD467" s="268"/>
      <c r="STE467" s="268"/>
      <c r="STF467" s="268"/>
      <c r="STG467" s="268"/>
      <c r="STH467" s="268"/>
      <c r="STI467" s="268"/>
      <c r="STJ467" s="268"/>
      <c r="STK467" s="268"/>
      <c r="STL467" s="268"/>
      <c r="STM467" s="268"/>
      <c r="STN467" s="268"/>
      <c r="STO467" s="268"/>
      <c r="STP467" s="268"/>
      <c r="STQ467" s="268"/>
      <c r="STR467" s="268"/>
      <c r="STS467" s="268"/>
      <c r="STT467" s="268"/>
      <c r="STU467" s="268"/>
      <c r="STV467" s="268"/>
      <c r="STW467" s="268"/>
      <c r="STX467" s="268"/>
      <c r="STY467" s="268"/>
      <c r="STZ467" s="268"/>
      <c r="SUA467" s="268"/>
      <c r="SUB467" s="268"/>
      <c r="SUC467" s="268"/>
      <c r="SUD467" s="268"/>
      <c r="SUE467" s="268"/>
      <c r="SUF467" s="268"/>
      <c r="SUG467" s="268"/>
      <c r="SUH467" s="268"/>
      <c r="SUI467" s="268"/>
      <c r="SUJ467" s="268"/>
      <c r="SUK467" s="268"/>
      <c r="SUL467" s="268"/>
      <c r="SUM467" s="268"/>
      <c r="SUN467" s="268"/>
      <c r="SUO467" s="268"/>
      <c r="SUP467" s="268"/>
      <c r="SUQ467" s="268"/>
      <c r="SUR467" s="268"/>
      <c r="SUS467" s="268"/>
      <c r="SUT467" s="268"/>
      <c r="SUU467" s="268"/>
      <c r="SUV467" s="268"/>
      <c r="SUW467" s="268"/>
      <c r="SUX467" s="268"/>
      <c r="SUY467" s="268"/>
      <c r="SUZ467" s="268"/>
      <c r="SVA467" s="268"/>
      <c r="SVB467" s="268"/>
      <c r="SVC467" s="268"/>
      <c r="SVD467" s="268"/>
      <c r="SVE467" s="268"/>
      <c r="SVF467" s="268"/>
      <c r="SVG467" s="268"/>
      <c r="SVH467" s="268"/>
      <c r="SVI467" s="268"/>
      <c r="SVJ467" s="268"/>
      <c r="SVK467" s="268"/>
      <c r="SVL467" s="268"/>
      <c r="SVM467" s="268"/>
      <c r="SVN467" s="268"/>
      <c r="SVO467" s="268"/>
      <c r="SVP467" s="268"/>
      <c r="SVQ467" s="268"/>
      <c r="SVR467" s="268"/>
      <c r="SVS467" s="268"/>
      <c r="SVT467" s="268"/>
      <c r="SVU467" s="268"/>
      <c r="SVV467" s="268"/>
      <c r="SVW467" s="268"/>
      <c r="SVX467" s="268"/>
      <c r="SVY467" s="268"/>
      <c r="SVZ467" s="268"/>
      <c r="SWA467" s="268"/>
      <c r="SWB467" s="268"/>
      <c r="SWC467" s="268"/>
      <c r="SWD467" s="268"/>
      <c r="SWE467" s="268"/>
      <c r="SWF467" s="268"/>
      <c r="SWG467" s="268"/>
      <c r="SWH467" s="268"/>
      <c r="SWI467" s="268"/>
      <c r="SWJ467" s="268"/>
      <c r="SWK467" s="268"/>
      <c r="SWL467" s="268"/>
      <c r="SWM467" s="268"/>
      <c r="SWN467" s="268"/>
      <c r="SWO467" s="268"/>
      <c r="SWP467" s="268"/>
      <c r="SWQ467" s="268"/>
      <c r="SWR467" s="268"/>
      <c r="SWS467" s="268"/>
      <c r="SWT467" s="268"/>
      <c r="SWU467" s="268"/>
      <c r="SWV467" s="268"/>
      <c r="SWW467" s="268"/>
      <c r="SWX467" s="268"/>
      <c r="SWY467" s="268"/>
      <c r="SWZ467" s="268"/>
      <c r="SXA467" s="268"/>
      <c r="SXB467" s="268"/>
      <c r="SXC467" s="268"/>
      <c r="SXD467" s="268"/>
      <c r="SXE467" s="268"/>
      <c r="SXF467" s="268"/>
      <c r="SXG467" s="268"/>
      <c r="SXH467" s="268"/>
      <c r="SXI467" s="268"/>
      <c r="SXJ467" s="268"/>
      <c r="SXK467" s="268"/>
      <c r="SXL467" s="268"/>
      <c r="SXM467" s="268"/>
      <c r="SXN467" s="268"/>
      <c r="SXO467" s="268"/>
      <c r="SXP467" s="268"/>
      <c r="SXQ467" s="268"/>
      <c r="SXR467" s="268"/>
      <c r="SXS467" s="268"/>
      <c r="SXT467" s="268"/>
      <c r="SXU467" s="268"/>
      <c r="SXV467" s="268"/>
      <c r="SXW467" s="268"/>
      <c r="SXX467" s="268"/>
      <c r="SXY467" s="268"/>
      <c r="SXZ467" s="268"/>
      <c r="SYA467" s="268"/>
      <c r="SYB467" s="268"/>
      <c r="SYC467" s="268"/>
      <c r="SYD467" s="268"/>
      <c r="SYE467" s="268"/>
      <c r="SYF467" s="268"/>
      <c r="SYG467" s="268"/>
      <c r="SYH467" s="268"/>
      <c r="SYI467" s="268"/>
      <c r="SYJ467" s="268"/>
      <c r="SYK467" s="268"/>
      <c r="SYL467" s="268"/>
      <c r="SYM467" s="268"/>
      <c r="SYN467" s="268"/>
      <c r="SYO467" s="268"/>
      <c r="SYP467" s="268"/>
      <c r="SYQ467" s="268"/>
      <c r="SYR467" s="268"/>
      <c r="SYS467" s="268"/>
      <c r="SYT467" s="268"/>
      <c r="SYU467" s="268"/>
      <c r="SYV467" s="268"/>
      <c r="SYW467" s="268"/>
      <c r="SYX467" s="268"/>
      <c r="SYY467" s="268"/>
      <c r="SYZ467" s="268"/>
      <c r="SZA467" s="268"/>
      <c r="SZB467" s="268"/>
      <c r="SZC467" s="268"/>
      <c r="SZD467" s="268"/>
      <c r="SZE467" s="268"/>
      <c r="SZF467" s="268"/>
      <c r="SZG467" s="268"/>
      <c r="SZH467" s="268"/>
      <c r="SZI467" s="268"/>
      <c r="SZJ467" s="268"/>
      <c r="SZK467" s="268"/>
      <c r="SZL467" s="268"/>
      <c r="SZM467" s="268"/>
      <c r="SZN467" s="268"/>
      <c r="SZO467" s="268"/>
      <c r="SZP467" s="268"/>
      <c r="SZQ467" s="268"/>
      <c r="SZR467" s="268"/>
      <c r="SZS467" s="268"/>
      <c r="SZT467" s="268"/>
      <c r="SZU467" s="268"/>
      <c r="SZV467" s="268"/>
      <c r="SZW467" s="268"/>
      <c r="SZX467" s="268"/>
      <c r="SZY467" s="268"/>
      <c r="SZZ467" s="268"/>
      <c r="TAA467" s="268"/>
      <c r="TAB467" s="268"/>
      <c r="TAC467" s="268"/>
      <c r="TAD467" s="268"/>
      <c r="TAE467" s="268"/>
      <c r="TAF467" s="268"/>
      <c r="TAG467" s="268"/>
      <c r="TAH467" s="268"/>
      <c r="TAI467" s="268"/>
      <c r="TAJ467" s="268"/>
      <c r="TAK467" s="268"/>
      <c r="TAL467" s="268"/>
      <c r="TAM467" s="268"/>
      <c r="TBA467" s="268"/>
      <c r="TBB467" s="268"/>
      <c r="TBC467" s="268"/>
      <c r="TBQ467" s="268"/>
      <c r="TBS467" s="268"/>
      <c r="TBT467" s="268"/>
      <c r="TBU467" s="268"/>
      <c r="TBV467" s="268"/>
      <c r="TBW467" s="268"/>
      <c r="TBX467" s="268"/>
      <c r="TBY467" s="268"/>
      <c r="TBZ467" s="268"/>
      <c r="TCA467" s="268"/>
      <c r="TCB467" s="268"/>
      <c r="TCC467" s="268"/>
      <c r="TCD467" s="268"/>
      <c r="TCE467" s="268"/>
      <c r="TCF467" s="268"/>
      <c r="TCG467" s="268"/>
      <c r="TCH467" s="268"/>
      <c r="TCI467" s="268"/>
      <c r="TCJ467" s="268"/>
      <c r="TCK467" s="268"/>
      <c r="TCL467" s="268"/>
      <c r="TCM467" s="268"/>
      <c r="TCN467" s="268"/>
      <c r="TCO467" s="268"/>
      <c r="TCP467" s="268"/>
      <c r="TCQ467" s="268"/>
      <c r="TCR467" s="268"/>
      <c r="TCS467" s="268"/>
      <c r="TCT467" s="268"/>
      <c r="TCU467" s="268"/>
      <c r="TCV467" s="268"/>
      <c r="TCW467" s="268"/>
      <c r="TCX467" s="268"/>
      <c r="TCY467" s="268"/>
      <c r="TCZ467" s="268"/>
      <c r="TDA467" s="268"/>
      <c r="TDB467" s="268"/>
      <c r="TDC467" s="268"/>
      <c r="TDD467" s="268"/>
      <c r="TDE467" s="268"/>
      <c r="TDF467" s="268"/>
      <c r="TDG467" s="268"/>
      <c r="TDH467" s="268"/>
      <c r="TDI467" s="268"/>
      <c r="TDJ467" s="268"/>
      <c r="TDK467" s="268"/>
      <c r="TDL467" s="268"/>
      <c r="TDM467" s="268"/>
      <c r="TDN467" s="268"/>
      <c r="TDO467" s="268"/>
      <c r="TDP467" s="268"/>
      <c r="TDQ467" s="268"/>
      <c r="TDR467" s="268"/>
      <c r="TDS467" s="268"/>
      <c r="TDT467" s="268"/>
      <c r="TDU467" s="268"/>
      <c r="TDV467" s="268"/>
      <c r="TDW467" s="268"/>
      <c r="TDX467" s="268"/>
      <c r="TDY467" s="268"/>
      <c r="TDZ467" s="268"/>
      <c r="TEA467" s="268"/>
      <c r="TEB467" s="268"/>
      <c r="TEC467" s="268"/>
      <c r="TED467" s="268"/>
      <c r="TEE467" s="268"/>
      <c r="TEF467" s="268"/>
      <c r="TEG467" s="268"/>
      <c r="TEH467" s="268"/>
      <c r="TEI467" s="268"/>
      <c r="TEJ467" s="268"/>
      <c r="TEK467" s="268"/>
      <c r="TEL467" s="268"/>
      <c r="TEM467" s="268"/>
      <c r="TEN467" s="268"/>
      <c r="TEO467" s="268"/>
      <c r="TEP467" s="268"/>
      <c r="TEQ467" s="268"/>
      <c r="TER467" s="268"/>
      <c r="TES467" s="268"/>
      <c r="TET467" s="268"/>
      <c r="TEU467" s="268"/>
      <c r="TEV467" s="268"/>
      <c r="TEW467" s="268"/>
      <c r="TEX467" s="268"/>
      <c r="TEY467" s="268"/>
      <c r="TEZ467" s="268"/>
      <c r="TFA467" s="268"/>
      <c r="TFB467" s="268"/>
      <c r="TFC467" s="268"/>
      <c r="TFD467" s="268"/>
      <c r="TFE467" s="268"/>
      <c r="TFF467" s="268"/>
      <c r="TFG467" s="268"/>
      <c r="TFH467" s="268"/>
      <c r="TFI467" s="268"/>
      <c r="TFJ467" s="268"/>
      <c r="TFK467" s="268"/>
      <c r="TFL467" s="268"/>
      <c r="TFM467" s="268"/>
      <c r="TFN467" s="268"/>
      <c r="TFO467" s="268"/>
      <c r="TFP467" s="268"/>
      <c r="TFQ467" s="268"/>
      <c r="TFR467" s="268"/>
      <c r="TFS467" s="268"/>
      <c r="TFT467" s="268"/>
      <c r="TFU467" s="268"/>
      <c r="TFV467" s="268"/>
      <c r="TFW467" s="268"/>
      <c r="TFX467" s="268"/>
      <c r="TFY467" s="268"/>
      <c r="TFZ467" s="268"/>
      <c r="TGA467" s="268"/>
      <c r="TGB467" s="268"/>
      <c r="TGC467" s="268"/>
      <c r="TGD467" s="268"/>
      <c r="TGE467" s="268"/>
      <c r="TGF467" s="268"/>
      <c r="TGG467" s="268"/>
      <c r="TGH467" s="268"/>
      <c r="TGI467" s="268"/>
      <c r="TGJ467" s="268"/>
      <c r="TGK467" s="268"/>
      <c r="TGL467" s="268"/>
      <c r="TGM467" s="268"/>
      <c r="TGN467" s="268"/>
      <c r="TGO467" s="268"/>
      <c r="TGP467" s="268"/>
      <c r="TGQ467" s="268"/>
      <c r="TGR467" s="268"/>
      <c r="TGS467" s="268"/>
      <c r="TGT467" s="268"/>
      <c r="TGU467" s="268"/>
      <c r="TGV467" s="268"/>
      <c r="TGW467" s="268"/>
      <c r="TGX467" s="268"/>
      <c r="TGY467" s="268"/>
      <c r="TGZ467" s="268"/>
      <c r="THA467" s="268"/>
      <c r="THB467" s="268"/>
      <c r="THC467" s="268"/>
      <c r="THD467" s="268"/>
      <c r="THE467" s="268"/>
      <c r="THF467" s="268"/>
      <c r="THG467" s="268"/>
      <c r="THH467" s="268"/>
      <c r="THI467" s="268"/>
      <c r="THJ467" s="268"/>
      <c r="THK467" s="268"/>
      <c r="THL467" s="268"/>
      <c r="THM467" s="268"/>
      <c r="THN467" s="268"/>
      <c r="THO467" s="268"/>
      <c r="THP467" s="268"/>
      <c r="THQ467" s="268"/>
      <c r="THR467" s="268"/>
      <c r="THS467" s="268"/>
      <c r="THT467" s="268"/>
      <c r="THU467" s="268"/>
      <c r="THV467" s="268"/>
      <c r="THW467" s="268"/>
      <c r="THX467" s="268"/>
      <c r="THY467" s="268"/>
      <c r="THZ467" s="268"/>
      <c r="TIA467" s="268"/>
      <c r="TIB467" s="268"/>
      <c r="TIC467" s="268"/>
      <c r="TID467" s="268"/>
      <c r="TIE467" s="268"/>
      <c r="TIF467" s="268"/>
      <c r="TIG467" s="268"/>
      <c r="TIH467" s="268"/>
      <c r="TII467" s="268"/>
      <c r="TIJ467" s="268"/>
      <c r="TIK467" s="268"/>
      <c r="TIL467" s="268"/>
      <c r="TIM467" s="268"/>
      <c r="TIN467" s="268"/>
      <c r="TIO467" s="268"/>
      <c r="TIP467" s="268"/>
      <c r="TIQ467" s="268"/>
      <c r="TIR467" s="268"/>
      <c r="TIS467" s="268"/>
      <c r="TIT467" s="268"/>
      <c r="TIU467" s="268"/>
      <c r="TIV467" s="268"/>
      <c r="TIW467" s="268"/>
      <c r="TIX467" s="268"/>
      <c r="TIY467" s="268"/>
      <c r="TIZ467" s="268"/>
      <c r="TJA467" s="268"/>
      <c r="TJB467" s="268"/>
      <c r="TJC467" s="268"/>
      <c r="TJD467" s="268"/>
      <c r="TJE467" s="268"/>
      <c r="TJF467" s="268"/>
      <c r="TJG467" s="268"/>
      <c r="TJH467" s="268"/>
      <c r="TJI467" s="268"/>
      <c r="TJJ467" s="268"/>
      <c r="TJK467" s="268"/>
      <c r="TJL467" s="268"/>
      <c r="TJM467" s="268"/>
      <c r="TJN467" s="268"/>
      <c r="TJO467" s="268"/>
      <c r="TJP467" s="268"/>
      <c r="TJQ467" s="268"/>
      <c r="TJR467" s="268"/>
      <c r="TJS467" s="268"/>
      <c r="TJT467" s="268"/>
      <c r="TJU467" s="268"/>
      <c r="TJV467" s="268"/>
      <c r="TJW467" s="268"/>
      <c r="TJX467" s="268"/>
      <c r="TJY467" s="268"/>
      <c r="TJZ467" s="268"/>
      <c r="TKA467" s="268"/>
      <c r="TKB467" s="268"/>
      <c r="TKC467" s="268"/>
      <c r="TKD467" s="268"/>
      <c r="TKE467" s="268"/>
      <c r="TKF467" s="268"/>
      <c r="TKG467" s="268"/>
      <c r="TKH467" s="268"/>
      <c r="TKI467" s="268"/>
      <c r="TKW467" s="268"/>
      <c r="TKX467" s="268"/>
      <c r="TKY467" s="268"/>
      <c r="TLM467" s="268"/>
      <c r="TLO467" s="268"/>
      <c r="TLP467" s="268"/>
      <c r="TLQ467" s="268"/>
      <c r="TLR467" s="268"/>
      <c r="TLS467" s="268"/>
      <c r="TLT467" s="268"/>
      <c r="TLU467" s="268"/>
      <c r="TLV467" s="268"/>
      <c r="TLW467" s="268"/>
      <c r="TLX467" s="268"/>
      <c r="TLY467" s="268"/>
      <c r="TLZ467" s="268"/>
      <c r="TMA467" s="268"/>
      <c r="TMB467" s="268"/>
      <c r="TMC467" s="268"/>
      <c r="TMD467" s="268"/>
      <c r="TME467" s="268"/>
      <c r="TMF467" s="268"/>
      <c r="TMG467" s="268"/>
      <c r="TMH467" s="268"/>
      <c r="TMI467" s="268"/>
      <c r="TMJ467" s="268"/>
      <c r="TMK467" s="268"/>
      <c r="TML467" s="268"/>
      <c r="TMM467" s="268"/>
      <c r="TMN467" s="268"/>
      <c r="TMO467" s="268"/>
      <c r="TMP467" s="268"/>
      <c r="TMQ467" s="268"/>
      <c r="TMR467" s="268"/>
      <c r="TMS467" s="268"/>
      <c r="TMT467" s="268"/>
      <c r="TMU467" s="268"/>
      <c r="TMV467" s="268"/>
      <c r="TMW467" s="268"/>
      <c r="TMX467" s="268"/>
      <c r="TMY467" s="268"/>
      <c r="TMZ467" s="268"/>
      <c r="TNA467" s="268"/>
      <c r="TNB467" s="268"/>
      <c r="TNC467" s="268"/>
      <c r="TND467" s="268"/>
      <c r="TNE467" s="268"/>
      <c r="TNF467" s="268"/>
      <c r="TNG467" s="268"/>
      <c r="TNH467" s="268"/>
      <c r="TNI467" s="268"/>
      <c r="TNJ467" s="268"/>
      <c r="TNK467" s="268"/>
      <c r="TNL467" s="268"/>
      <c r="TNM467" s="268"/>
      <c r="TNN467" s="268"/>
      <c r="TNO467" s="268"/>
      <c r="TNP467" s="268"/>
      <c r="TNQ467" s="268"/>
      <c r="TNR467" s="268"/>
      <c r="TNS467" s="268"/>
      <c r="TNT467" s="268"/>
      <c r="TNU467" s="268"/>
      <c r="TNV467" s="268"/>
      <c r="TNW467" s="268"/>
      <c r="TNX467" s="268"/>
      <c r="TNY467" s="268"/>
      <c r="TNZ467" s="268"/>
      <c r="TOA467" s="268"/>
      <c r="TOB467" s="268"/>
      <c r="TOC467" s="268"/>
      <c r="TOD467" s="268"/>
      <c r="TOE467" s="268"/>
      <c r="TOF467" s="268"/>
      <c r="TOG467" s="268"/>
      <c r="TOH467" s="268"/>
      <c r="TOI467" s="268"/>
      <c r="TOJ467" s="268"/>
      <c r="TOK467" s="268"/>
      <c r="TOL467" s="268"/>
      <c r="TOM467" s="268"/>
      <c r="TON467" s="268"/>
      <c r="TOO467" s="268"/>
      <c r="TOP467" s="268"/>
      <c r="TOQ467" s="268"/>
      <c r="TOR467" s="268"/>
      <c r="TOS467" s="268"/>
      <c r="TOT467" s="268"/>
      <c r="TOU467" s="268"/>
      <c r="TOV467" s="268"/>
      <c r="TOW467" s="268"/>
      <c r="TOX467" s="268"/>
      <c r="TOY467" s="268"/>
      <c r="TOZ467" s="268"/>
      <c r="TPA467" s="268"/>
      <c r="TPB467" s="268"/>
      <c r="TPC467" s="268"/>
      <c r="TPD467" s="268"/>
      <c r="TPE467" s="268"/>
      <c r="TPF467" s="268"/>
      <c r="TPG467" s="268"/>
      <c r="TPH467" s="268"/>
      <c r="TPI467" s="268"/>
      <c r="TPJ467" s="268"/>
      <c r="TPK467" s="268"/>
      <c r="TPL467" s="268"/>
      <c r="TPM467" s="268"/>
      <c r="TPN467" s="268"/>
      <c r="TPO467" s="268"/>
      <c r="TPP467" s="268"/>
      <c r="TPQ467" s="268"/>
      <c r="TPR467" s="268"/>
      <c r="TPS467" s="268"/>
      <c r="TPT467" s="268"/>
      <c r="TPU467" s="268"/>
      <c r="TPV467" s="268"/>
      <c r="TPW467" s="268"/>
      <c r="TPX467" s="268"/>
      <c r="TPY467" s="268"/>
      <c r="TPZ467" s="268"/>
      <c r="TQA467" s="268"/>
      <c r="TQB467" s="268"/>
      <c r="TQC467" s="268"/>
      <c r="TQD467" s="268"/>
      <c r="TQE467" s="268"/>
      <c r="TQF467" s="268"/>
      <c r="TQG467" s="268"/>
      <c r="TQH467" s="268"/>
      <c r="TQI467" s="268"/>
      <c r="TQJ467" s="268"/>
      <c r="TQK467" s="268"/>
      <c r="TQL467" s="268"/>
      <c r="TQM467" s="268"/>
      <c r="TQN467" s="268"/>
      <c r="TQO467" s="268"/>
      <c r="TQP467" s="268"/>
      <c r="TQQ467" s="268"/>
      <c r="TQR467" s="268"/>
      <c r="TQS467" s="268"/>
      <c r="TQT467" s="268"/>
      <c r="TQU467" s="268"/>
      <c r="TQV467" s="268"/>
      <c r="TQW467" s="268"/>
      <c r="TQX467" s="268"/>
      <c r="TQY467" s="268"/>
      <c r="TQZ467" s="268"/>
      <c r="TRA467" s="268"/>
      <c r="TRB467" s="268"/>
      <c r="TRC467" s="268"/>
      <c r="TRD467" s="268"/>
      <c r="TRE467" s="268"/>
      <c r="TRF467" s="268"/>
      <c r="TRG467" s="268"/>
      <c r="TRH467" s="268"/>
      <c r="TRI467" s="268"/>
      <c r="TRJ467" s="268"/>
      <c r="TRK467" s="268"/>
      <c r="TRL467" s="268"/>
      <c r="TRM467" s="268"/>
      <c r="TRN467" s="268"/>
      <c r="TRO467" s="268"/>
      <c r="TRP467" s="268"/>
      <c r="TRQ467" s="268"/>
      <c r="TRR467" s="268"/>
      <c r="TRS467" s="268"/>
      <c r="TRT467" s="268"/>
      <c r="TRU467" s="268"/>
      <c r="TRV467" s="268"/>
      <c r="TRW467" s="268"/>
      <c r="TRX467" s="268"/>
      <c r="TRY467" s="268"/>
      <c r="TRZ467" s="268"/>
      <c r="TSA467" s="268"/>
      <c r="TSB467" s="268"/>
      <c r="TSC467" s="268"/>
      <c r="TSD467" s="268"/>
      <c r="TSE467" s="268"/>
      <c r="TSF467" s="268"/>
      <c r="TSG467" s="268"/>
      <c r="TSH467" s="268"/>
      <c r="TSI467" s="268"/>
      <c r="TSJ467" s="268"/>
      <c r="TSK467" s="268"/>
      <c r="TSL467" s="268"/>
      <c r="TSM467" s="268"/>
      <c r="TSN467" s="268"/>
      <c r="TSO467" s="268"/>
      <c r="TSP467" s="268"/>
      <c r="TSQ467" s="268"/>
      <c r="TSR467" s="268"/>
      <c r="TSS467" s="268"/>
      <c r="TST467" s="268"/>
      <c r="TSU467" s="268"/>
      <c r="TSV467" s="268"/>
      <c r="TSW467" s="268"/>
      <c r="TSX467" s="268"/>
      <c r="TSY467" s="268"/>
      <c r="TSZ467" s="268"/>
      <c r="TTA467" s="268"/>
      <c r="TTB467" s="268"/>
      <c r="TTC467" s="268"/>
      <c r="TTD467" s="268"/>
      <c r="TTE467" s="268"/>
      <c r="TTF467" s="268"/>
      <c r="TTG467" s="268"/>
      <c r="TTH467" s="268"/>
      <c r="TTI467" s="268"/>
      <c r="TTJ467" s="268"/>
      <c r="TTK467" s="268"/>
      <c r="TTL467" s="268"/>
      <c r="TTM467" s="268"/>
      <c r="TTN467" s="268"/>
      <c r="TTO467" s="268"/>
      <c r="TTP467" s="268"/>
      <c r="TTQ467" s="268"/>
      <c r="TTR467" s="268"/>
      <c r="TTS467" s="268"/>
      <c r="TTT467" s="268"/>
      <c r="TTU467" s="268"/>
      <c r="TTV467" s="268"/>
      <c r="TTW467" s="268"/>
      <c r="TTX467" s="268"/>
      <c r="TTY467" s="268"/>
      <c r="TTZ467" s="268"/>
      <c r="TUA467" s="268"/>
      <c r="TUB467" s="268"/>
      <c r="TUC467" s="268"/>
      <c r="TUD467" s="268"/>
      <c r="TUE467" s="268"/>
      <c r="TUS467" s="268"/>
      <c r="TUT467" s="268"/>
      <c r="TUU467" s="268"/>
      <c r="TVI467" s="268"/>
      <c r="TVK467" s="268"/>
      <c r="TVL467" s="268"/>
      <c r="TVM467" s="268"/>
      <c r="TVN467" s="268"/>
      <c r="TVO467" s="268"/>
      <c r="TVP467" s="268"/>
      <c r="TVQ467" s="268"/>
      <c r="TVR467" s="268"/>
      <c r="TVS467" s="268"/>
      <c r="TVT467" s="268"/>
      <c r="TVU467" s="268"/>
      <c r="TVV467" s="268"/>
      <c r="TVW467" s="268"/>
      <c r="TVX467" s="268"/>
      <c r="TVY467" s="268"/>
      <c r="TVZ467" s="268"/>
      <c r="TWA467" s="268"/>
      <c r="TWB467" s="268"/>
      <c r="TWC467" s="268"/>
      <c r="TWD467" s="268"/>
      <c r="TWE467" s="268"/>
      <c r="TWF467" s="268"/>
      <c r="TWG467" s="268"/>
      <c r="TWH467" s="268"/>
      <c r="TWI467" s="268"/>
      <c r="TWJ467" s="268"/>
      <c r="TWK467" s="268"/>
      <c r="TWL467" s="268"/>
      <c r="TWM467" s="268"/>
      <c r="TWN467" s="268"/>
      <c r="TWO467" s="268"/>
      <c r="TWP467" s="268"/>
      <c r="TWQ467" s="268"/>
      <c r="TWR467" s="268"/>
      <c r="TWS467" s="268"/>
      <c r="TWT467" s="268"/>
      <c r="TWU467" s="268"/>
      <c r="TWV467" s="268"/>
      <c r="TWW467" s="268"/>
      <c r="TWX467" s="268"/>
      <c r="TWY467" s="268"/>
      <c r="TWZ467" s="268"/>
      <c r="TXA467" s="268"/>
      <c r="TXB467" s="268"/>
      <c r="TXC467" s="268"/>
      <c r="TXD467" s="268"/>
      <c r="TXE467" s="268"/>
      <c r="TXF467" s="268"/>
      <c r="TXG467" s="268"/>
      <c r="TXH467" s="268"/>
      <c r="TXI467" s="268"/>
      <c r="TXJ467" s="268"/>
      <c r="TXK467" s="268"/>
      <c r="TXL467" s="268"/>
      <c r="TXM467" s="268"/>
      <c r="TXN467" s="268"/>
      <c r="TXO467" s="268"/>
      <c r="TXP467" s="268"/>
      <c r="TXQ467" s="268"/>
      <c r="TXR467" s="268"/>
      <c r="TXS467" s="268"/>
      <c r="TXT467" s="268"/>
      <c r="TXU467" s="268"/>
      <c r="TXV467" s="268"/>
      <c r="TXW467" s="268"/>
      <c r="TXX467" s="268"/>
      <c r="TXY467" s="268"/>
      <c r="TXZ467" s="268"/>
      <c r="TYA467" s="268"/>
      <c r="TYB467" s="268"/>
      <c r="TYC467" s="268"/>
      <c r="TYD467" s="268"/>
      <c r="TYE467" s="268"/>
      <c r="TYF467" s="268"/>
      <c r="TYG467" s="268"/>
      <c r="TYH467" s="268"/>
      <c r="TYI467" s="268"/>
      <c r="TYJ467" s="268"/>
      <c r="TYK467" s="268"/>
      <c r="TYL467" s="268"/>
      <c r="TYM467" s="268"/>
      <c r="TYN467" s="268"/>
      <c r="TYO467" s="268"/>
      <c r="TYP467" s="268"/>
      <c r="TYQ467" s="268"/>
      <c r="TYR467" s="268"/>
      <c r="TYS467" s="268"/>
      <c r="TYT467" s="268"/>
      <c r="TYU467" s="268"/>
      <c r="TYV467" s="268"/>
      <c r="TYW467" s="268"/>
      <c r="TYX467" s="268"/>
      <c r="TYY467" s="268"/>
      <c r="TYZ467" s="268"/>
      <c r="TZA467" s="268"/>
      <c r="TZB467" s="268"/>
      <c r="TZC467" s="268"/>
      <c r="TZD467" s="268"/>
      <c r="TZE467" s="268"/>
      <c r="TZF467" s="268"/>
      <c r="TZG467" s="268"/>
      <c r="TZH467" s="268"/>
      <c r="TZI467" s="268"/>
      <c r="TZJ467" s="268"/>
      <c r="TZK467" s="268"/>
      <c r="TZL467" s="268"/>
      <c r="TZM467" s="268"/>
      <c r="TZN467" s="268"/>
      <c r="TZO467" s="268"/>
      <c r="TZP467" s="268"/>
      <c r="TZQ467" s="268"/>
      <c r="TZR467" s="268"/>
      <c r="TZS467" s="268"/>
      <c r="TZT467" s="268"/>
      <c r="TZU467" s="268"/>
      <c r="TZV467" s="268"/>
      <c r="TZW467" s="268"/>
      <c r="TZX467" s="268"/>
      <c r="TZY467" s="268"/>
      <c r="TZZ467" s="268"/>
      <c r="UAA467" s="268"/>
      <c r="UAB467" s="268"/>
      <c r="UAC467" s="268"/>
      <c r="UAD467" s="268"/>
      <c r="UAE467" s="268"/>
      <c r="UAF467" s="268"/>
      <c r="UAG467" s="268"/>
      <c r="UAH467" s="268"/>
      <c r="UAI467" s="268"/>
      <c r="UAJ467" s="268"/>
      <c r="UAK467" s="268"/>
      <c r="UAL467" s="268"/>
      <c r="UAM467" s="268"/>
      <c r="UAN467" s="268"/>
      <c r="UAO467" s="268"/>
      <c r="UAP467" s="268"/>
      <c r="UAQ467" s="268"/>
      <c r="UAR467" s="268"/>
      <c r="UAS467" s="268"/>
      <c r="UAT467" s="268"/>
      <c r="UAU467" s="268"/>
      <c r="UAV467" s="268"/>
      <c r="UAW467" s="268"/>
      <c r="UAX467" s="268"/>
      <c r="UAY467" s="268"/>
      <c r="UAZ467" s="268"/>
      <c r="UBA467" s="268"/>
      <c r="UBB467" s="268"/>
      <c r="UBC467" s="268"/>
      <c r="UBD467" s="268"/>
      <c r="UBE467" s="268"/>
      <c r="UBF467" s="268"/>
      <c r="UBG467" s="268"/>
      <c r="UBH467" s="268"/>
      <c r="UBI467" s="268"/>
      <c r="UBJ467" s="268"/>
      <c r="UBK467" s="268"/>
      <c r="UBL467" s="268"/>
      <c r="UBM467" s="268"/>
      <c r="UBN467" s="268"/>
      <c r="UBO467" s="268"/>
      <c r="UBP467" s="268"/>
      <c r="UBQ467" s="268"/>
      <c r="UBR467" s="268"/>
      <c r="UBS467" s="268"/>
      <c r="UBT467" s="268"/>
      <c r="UBU467" s="268"/>
      <c r="UBV467" s="268"/>
      <c r="UBW467" s="268"/>
      <c r="UBX467" s="268"/>
      <c r="UBY467" s="268"/>
      <c r="UBZ467" s="268"/>
      <c r="UCA467" s="268"/>
      <c r="UCB467" s="268"/>
      <c r="UCC467" s="268"/>
      <c r="UCD467" s="268"/>
      <c r="UCE467" s="268"/>
      <c r="UCF467" s="268"/>
      <c r="UCG467" s="268"/>
      <c r="UCH467" s="268"/>
      <c r="UCI467" s="268"/>
      <c r="UCJ467" s="268"/>
      <c r="UCK467" s="268"/>
      <c r="UCL467" s="268"/>
      <c r="UCM467" s="268"/>
      <c r="UCN467" s="268"/>
      <c r="UCO467" s="268"/>
      <c r="UCP467" s="268"/>
      <c r="UCQ467" s="268"/>
      <c r="UCR467" s="268"/>
      <c r="UCS467" s="268"/>
      <c r="UCT467" s="268"/>
      <c r="UCU467" s="268"/>
      <c r="UCV467" s="268"/>
      <c r="UCW467" s="268"/>
      <c r="UCX467" s="268"/>
      <c r="UCY467" s="268"/>
      <c r="UCZ467" s="268"/>
      <c r="UDA467" s="268"/>
      <c r="UDB467" s="268"/>
      <c r="UDC467" s="268"/>
      <c r="UDD467" s="268"/>
      <c r="UDE467" s="268"/>
      <c r="UDF467" s="268"/>
      <c r="UDG467" s="268"/>
      <c r="UDH467" s="268"/>
      <c r="UDI467" s="268"/>
      <c r="UDJ467" s="268"/>
      <c r="UDK467" s="268"/>
      <c r="UDL467" s="268"/>
      <c r="UDM467" s="268"/>
      <c r="UDN467" s="268"/>
      <c r="UDO467" s="268"/>
      <c r="UDP467" s="268"/>
      <c r="UDQ467" s="268"/>
      <c r="UDR467" s="268"/>
      <c r="UDS467" s="268"/>
      <c r="UDT467" s="268"/>
      <c r="UDU467" s="268"/>
      <c r="UDV467" s="268"/>
      <c r="UDW467" s="268"/>
      <c r="UDX467" s="268"/>
      <c r="UDY467" s="268"/>
      <c r="UDZ467" s="268"/>
      <c r="UEA467" s="268"/>
      <c r="UEO467" s="268"/>
      <c r="UEP467" s="268"/>
      <c r="UEQ467" s="268"/>
      <c r="UFE467" s="268"/>
      <c r="UFG467" s="268"/>
      <c r="UFH467" s="268"/>
      <c r="UFI467" s="268"/>
      <c r="UFJ467" s="268"/>
      <c r="UFK467" s="268"/>
      <c r="UFL467" s="268"/>
      <c r="UFM467" s="268"/>
      <c r="UFN467" s="268"/>
      <c r="UFO467" s="268"/>
      <c r="UFP467" s="268"/>
      <c r="UFQ467" s="268"/>
      <c r="UFR467" s="268"/>
      <c r="UFS467" s="268"/>
      <c r="UFT467" s="268"/>
      <c r="UFU467" s="268"/>
      <c r="UFV467" s="268"/>
      <c r="UFW467" s="268"/>
      <c r="UFX467" s="268"/>
      <c r="UFY467" s="268"/>
      <c r="UFZ467" s="268"/>
      <c r="UGA467" s="268"/>
      <c r="UGB467" s="268"/>
      <c r="UGC467" s="268"/>
      <c r="UGD467" s="268"/>
      <c r="UGE467" s="268"/>
      <c r="UGF467" s="268"/>
      <c r="UGG467" s="268"/>
      <c r="UGH467" s="268"/>
      <c r="UGI467" s="268"/>
      <c r="UGJ467" s="268"/>
      <c r="UGK467" s="268"/>
      <c r="UGL467" s="268"/>
      <c r="UGM467" s="268"/>
      <c r="UGN467" s="268"/>
      <c r="UGO467" s="268"/>
      <c r="UGP467" s="268"/>
      <c r="UGQ467" s="268"/>
      <c r="UGR467" s="268"/>
      <c r="UGS467" s="268"/>
      <c r="UGT467" s="268"/>
      <c r="UGU467" s="268"/>
      <c r="UGV467" s="268"/>
      <c r="UGW467" s="268"/>
      <c r="UGX467" s="268"/>
      <c r="UGY467" s="268"/>
      <c r="UGZ467" s="268"/>
      <c r="UHA467" s="268"/>
      <c r="UHB467" s="268"/>
      <c r="UHC467" s="268"/>
      <c r="UHD467" s="268"/>
      <c r="UHE467" s="268"/>
      <c r="UHF467" s="268"/>
      <c r="UHG467" s="268"/>
      <c r="UHH467" s="268"/>
      <c r="UHI467" s="268"/>
      <c r="UHJ467" s="268"/>
      <c r="UHK467" s="268"/>
      <c r="UHL467" s="268"/>
      <c r="UHM467" s="268"/>
      <c r="UHN467" s="268"/>
      <c r="UHO467" s="268"/>
      <c r="UHP467" s="268"/>
      <c r="UHQ467" s="268"/>
      <c r="UHR467" s="268"/>
      <c r="UHS467" s="268"/>
      <c r="UHT467" s="268"/>
      <c r="UHU467" s="268"/>
      <c r="UHV467" s="268"/>
      <c r="UHW467" s="268"/>
      <c r="UHX467" s="268"/>
      <c r="UHY467" s="268"/>
      <c r="UHZ467" s="268"/>
      <c r="UIA467" s="268"/>
      <c r="UIB467" s="268"/>
      <c r="UIC467" s="268"/>
      <c r="UID467" s="268"/>
      <c r="UIE467" s="268"/>
      <c r="UIF467" s="268"/>
      <c r="UIG467" s="268"/>
      <c r="UIH467" s="268"/>
      <c r="UII467" s="268"/>
      <c r="UIJ467" s="268"/>
      <c r="UIK467" s="268"/>
      <c r="UIL467" s="268"/>
      <c r="UIM467" s="268"/>
      <c r="UIN467" s="268"/>
      <c r="UIO467" s="268"/>
      <c r="UIP467" s="268"/>
      <c r="UIQ467" s="268"/>
      <c r="UIR467" s="268"/>
      <c r="UIS467" s="268"/>
      <c r="UIT467" s="268"/>
      <c r="UIU467" s="268"/>
      <c r="UIV467" s="268"/>
      <c r="UIW467" s="268"/>
      <c r="UIX467" s="268"/>
      <c r="UIY467" s="268"/>
      <c r="UIZ467" s="268"/>
      <c r="UJA467" s="268"/>
      <c r="UJB467" s="268"/>
      <c r="UJC467" s="268"/>
      <c r="UJD467" s="268"/>
      <c r="UJE467" s="268"/>
      <c r="UJF467" s="268"/>
      <c r="UJG467" s="268"/>
      <c r="UJH467" s="268"/>
      <c r="UJI467" s="268"/>
      <c r="UJJ467" s="268"/>
      <c r="UJK467" s="268"/>
      <c r="UJL467" s="268"/>
      <c r="UJM467" s="268"/>
      <c r="UJN467" s="268"/>
      <c r="UJO467" s="268"/>
      <c r="UJP467" s="268"/>
      <c r="UJQ467" s="268"/>
      <c r="UJR467" s="268"/>
      <c r="UJS467" s="268"/>
      <c r="UJT467" s="268"/>
      <c r="UJU467" s="268"/>
      <c r="UJV467" s="268"/>
      <c r="UJW467" s="268"/>
      <c r="UJX467" s="268"/>
      <c r="UJY467" s="268"/>
      <c r="UJZ467" s="268"/>
      <c r="UKA467" s="268"/>
      <c r="UKB467" s="268"/>
      <c r="UKC467" s="268"/>
      <c r="UKD467" s="268"/>
      <c r="UKE467" s="268"/>
      <c r="UKF467" s="268"/>
      <c r="UKG467" s="268"/>
      <c r="UKH467" s="268"/>
      <c r="UKI467" s="268"/>
      <c r="UKJ467" s="268"/>
      <c r="UKK467" s="268"/>
      <c r="UKL467" s="268"/>
      <c r="UKM467" s="268"/>
      <c r="UKN467" s="268"/>
      <c r="UKO467" s="268"/>
      <c r="UKP467" s="268"/>
      <c r="UKQ467" s="268"/>
      <c r="UKR467" s="268"/>
      <c r="UKS467" s="268"/>
      <c r="UKT467" s="268"/>
      <c r="UKU467" s="268"/>
      <c r="UKV467" s="268"/>
      <c r="UKW467" s="268"/>
      <c r="UKX467" s="268"/>
      <c r="UKY467" s="268"/>
      <c r="UKZ467" s="268"/>
      <c r="ULA467" s="268"/>
      <c r="ULB467" s="268"/>
      <c r="ULC467" s="268"/>
      <c r="ULD467" s="268"/>
      <c r="ULE467" s="268"/>
      <c r="ULF467" s="268"/>
      <c r="ULG467" s="268"/>
      <c r="ULH467" s="268"/>
      <c r="ULI467" s="268"/>
      <c r="ULJ467" s="268"/>
      <c r="ULK467" s="268"/>
      <c r="ULL467" s="268"/>
      <c r="ULM467" s="268"/>
      <c r="ULN467" s="268"/>
      <c r="ULO467" s="268"/>
      <c r="ULP467" s="268"/>
      <c r="ULQ467" s="268"/>
      <c r="ULR467" s="268"/>
      <c r="ULS467" s="268"/>
      <c r="ULT467" s="268"/>
      <c r="ULU467" s="268"/>
      <c r="ULV467" s="268"/>
      <c r="ULW467" s="268"/>
      <c r="ULX467" s="268"/>
      <c r="ULY467" s="268"/>
      <c r="ULZ467" s="268"/>
      <c r="UMA467" s="268"/>
      <c r="UMB467" s="268"/>
      <c r="UMC467" s="268"/>
      <c r="UMD467" s="268"/>
      <c r="UME467" s="268"/>
      <c r="UMF467" s="268"/>
      <c r="UMG467" s="268"/>
      <c r="UMH467" s="268"/>
      <c r="UMI467" s="268"/>
      <c r="UMJ467" s="268"/>
      <c r="UMK467" s="268"/>
      <c r="UML467" s="268"/>
      <c r="UMM467" s="268"/>
      <c r="UMN467" s="268"/>
      <c r="UMO467" s="268"/>
      <c r="UMP467" s="268"/>
      <c r="UMQ467" s="268"/>
      <c r="UMR467" s="268"/>
      <c r="UMS467" s="268"/>
      <c r="UMT467" s="268"/>
      <c r="UMU467" s="268"/>
      <c r="UMV467" s="268"/>
      <c r="UMW467" s="268"/>
      <c r="UMX467" s="268"/>
      <c r="UMY467" s="268"/>
      <c r="UMZ467" s="268"/>
      <c r="UNA467" s="268"/>
      <c r="UNB467" s="268"/>
      <c r="UNC467" s="268"/>
      <c r="UND467" s="268"/>
      <c r="UNE467" s="268"/>
      <c r="UNF467" s="268"/>
      <c r="UNG467" s="268"/>
      <c r="UNH467" s="268"/>
      <c r="UNI467" s="268"/>
      <c r="UNJ467" s="268"/>
      <c r="UNK467" s="268"/>
      <c r="UNL467" s="268"/>
      <c r="UNM467" s="268"/>
      <c r="UNN467" s="268"/>
      <c r="UNO467" s="268"/>
      <c r="UNP467" s="268"/>
      <c r="UNQ467" s="268"/>
      <c r="UNR467" s="268"/>
      <c r="UNS467" s="268"/>
      <c r="UNT467" s="268"/>
      <c r="UNU467" s="268"/>
      <c r="UNV467" s="268"/>
      <c r="UNW467" s="268"/>
      <c r="UOK467" s="268"/>
      <c r="UOL467" s="268"/>
      <c r="UOM467" s="268"/>
      <c r="UPA467" s="268"/>
      <c r="UPC467" s="268"/>
      <c r="UPD467" s="268"/>
      <c r="UPE467" s="268"/>
      <c r="UPF467" s="268"/>
      <c r="UPG467" s="268"/>
      <c r="UPH467" s="268"/>
      <c r="UPI467" s="268"/>
      <c r="UPJ467" s="268"/>
      <c r="UPK467" s="268"/>
      <c r="UPL467" s="268"/>
      <c r="UPM467" s="268"/>
      <c r="UPN467" s="268"/>
      <c r="UPO467" s="268"/>
      <c r="UPP467" s="268"/>
      <c r="UPQ467" s="268"/>
      <c r="UPR467" s="268"/>
      <c r="UPS467" s="268"/>
      <c r="UPT467" s="268"/>
      <c r="UPU467" s="268"/>
      <c r="UPV467" s="268"/>
      <c r="UPW467" s="268"/>
      <c r="UPX467" s="268"/>
      <c r="UPY467" s="268"/>
      <c r="UPZ467" s="268"/>
      <c r="UQA467" s="268"/>
      <c r="UQB467" s="268"/>
      <c r="UQC467" s="268"/>
      <c r="UQD467" s="268"/>
      <c r="UQE467" s="268"/>
      <c r="UQF467" s="268"/>
      <c r="UQG467" s="268"/>
      <c r="UQH467" s="268"/>
      <c r="UQI467" s="268"/>
      <c r="UQJ467" s="268"/>
      <c r="UQK467" s="268"/>
      <c r="UQL467" s="268"/>
      <c r="UQM467" s="268"/>
      <c r="UQN467" s="268"/>
      <c r="UQO467" s="268"/>
      <c r="UQP467" s="268"/>
      <c r="UQQ467" s="268"/>
      <c r="UQR467" s="268"/>
      <c r="UQS467" s="268"/>
      <c r="UQT467" s="268"/>
      <c r="UQU467" s="268"/>
      <c r="UQV467" s="268"/>
      <c r="UQW467" s="268"/>
      <c r="UQX467" s="268"/>
      <c r="UQY467" s="268"/>
      <c r="UQZ467" s="268"/>
      <c r="URA467" s="268"/>
      <c r="URB467" s="268"/>
      <c r="URC467" s="268"/>
      <c r="URD467" s="268"/>
      <c r="URE467" s="268"/>
      <c r="URF467" s="268"/>
      <c r="URG467" s="268"/>
      <c r="URH467" s="268"/>
      <c r="URI467" s="268"/>
      <c r="URJ467" s="268"/>
      <c r="URK467" s="268"/>
      <c r="URL467" s="268"/>
      <c r="URM467" s="268"/>
      <c r="URN467" s="268"/>
      <c r="URO467" s="268"/>
      <c r="URP467" s="268"/>
      <c r="URQ467" s="268"/>
      <c r="URR467" s="268"/>
      <c r="URS467" s="268"/>
      <c r="URT467" s="268"/>
      <c r="URU467" s="268"/>
      <c r="URV467" s="268"/>
      <c r="URW467" s="268"/>
      <c r="URX467" s="268"/>
      <c r="URY467" s="268"/>
      <c r="URZ467" s="268"/>
      <c r="USA467" s="268"/>
      <c r="USB467" s="268"/>
      <c r="USC467" s="268"/>
      <c r="USD467" s="268"/>
      <c r="USE467" s="268"/>
      <c r="USF467" s="268"/>
      <c r="USG467" s="268"/>
      <c r="USH467" s="268"/>
      <c r="USI467" s="268"/>
      <c r="USJ467" s="268"/>
      <c r="USK467" s="268"/>
      <c r="USL467" s="268"/>
      <c r="USM467" s="268"/>
      <c r="USN467" s="268"/>
      <c r="USO467" s="268"/>
      <c r="USP467" s="268"/>
      <c r="USQ467" s="268"/>
      <c r="USR467" s="268"/>
      <c r="USS467" s="268"/>
      <c r="UST467" s="268"/>
      <c r="USU467" s="268"/>
      <c r="USV467" s="268"/>
      <c r="USW467" s="268"/>
      <c r="USX467" s="268"/>
      <c r="USY467" s="268"/>
      <c r="USZ467" s="268"/>
      <c r="UTA467" s="268"/>
      <c r="UTB467" s="268"/>
      <c r="UTC467" s="268"/>
      <c r="UTD467" s="268"/>
      <c r="UTE467" s="268"/>
      <c r="UTF467" s="268"/>
      <c r="UTG467" s="268"/>
      <c r="UTH467" s="268"/>
      <c r="UTI467" s="268"/>
      <c r="UTJ467" s="268"/>
      <c r="UTK467" s="268"/>
      <c r="UTL467" s="268"/>
      <c r="UTM467" s="268"/>
      <c r="UTN467" s="268"/>
      <c r="UTO467" s="268"/>
      <c r="UTP467" s="268"/>
      <c r="UTQ467" s="268"/>
      <c r="UTR467" s="268"/>
      <c r="UTS467" s="268"/>
      <c r="UTT467" s="268"/>
      <c r="UTU467" s="268"/>
      <c r="UTV467" s="268"/>
      <c r="UTW467" s="268"/>
      <c r="UTX467" s="268"/>
      <c r="UTY467" s="268"/>
      <c r="UTZ467" s="268"/>
      <c r="UUA467" s="268"/>
      <c r="UUB467" s="268"/>
      <c r="UUC467" s="268"/>
      <c r="UUD467" s="268"/>
      <c r="UUE467" s="268"/>
      <c r="UUF467" s="268"/>
      <c r="UUG467" s="268"/>
      <c r="UUH467" s="268"/>
      <c r="UUI467" s="268"/>
      <c r="UUJ467" s="268"/>
      <c r="UUK467" s="268"/>
      <c r="UUL467" s="268"/>
      <c r="UUM467" s="268"/>
      <c r="UUN467" s="268"/>
      <c r="UUO467" s="268"/>
      <c r="UUP467" s="268"/>
      <c r="UUQ467" s="268"/>
      <c r="UUR467" s="268"/>
      <c r="UUS467" s="268"/>
      <c r="UUT467" s="268"/>
      <c r="UUU467" s="268"/>
      <c r="UUV467" s="268"/>
      <c r="UUW467" s="268"/>
      <c r="UUX467" s="268"/>
      <c r="UUY467" s="268"/>
      <c r="UUZ467" s="268"/>
      <c r="UVA467" s="268"/>
      <c r="UVB467" s="268"/>
      <c r="UVC467" s="268"/>
      <c r="UVD467" s="268"/>
      <c r="UVE467" s="268"/>
      <c r="UVF467" s="268"/>
      <c r="UVG467" s="268"/>
      <c r="UVH467" s="268"/>
      <c r="UVI467" s="268"/>
      <c r="UVJ467" s="268"/>
      <c r="UVK467" s="268"/>
      <c r="UVL467" s="268"/>
      <c r="UVM467" s="268"/>
      <c r="UVN467" s="268"/>
      <c r="UVO467" s="268"/>
      <c r="UVP467" s="268"/>
      <c r="UVQ467" s="268"/>
      <c r="UVR467" s="268"/>
      <c r="UVS467" s="268"/>
      <c r="UVT467" s="268"/>
      <c r="UVU467" s="268"/>
      <c r="UVV467" s="268"/>
      <c r="UVW467" s="268"/>
      <c r="UVX467" s="268"/>
      <c r="UVY467" s="268"/>
      <c r="UVZ467" s="268"/>
      <c r="UWA467" s="268"/>
      <c r="UWB467" s="268"/>
      <c r="UWC467" s="268"/>
      <c r="UWD467" s="268"/>
      <c r="UWE467" s="268"/>
      <c r="UWF467" s="268"/>
      <c r="UWG467" s="268"/>
      <c r="UWH467" s="268"/>
      <c r="UWI467" s="268"/>
      <c r="UWJ467" s="268"/>
      <c r="UWK467" s="268"/>
      <c r="UWL467" s="268"/>
      <c r="UWM467" s="268"/>
      <c r="UWN467" s="268"/>
      <c r="UWO467" s="268"/>
      <c r="UWP467" s="268"/>
      <c r="UWQ467" s="268"/>
      <c r="UWR467" s="268"/>
      <c r="UWS467" s="268"/>
      <c r="UWT467" s="268"/>
      <c r="UWU467" s="268"/>
      <c r="UWV467" s="268"/>
      <c r="UWW467" s="268"/>
      <c r="UWX467" s="268"/>
      <c r="UWY467" s="268"/>
      <c r="UWZ467" s="268"/>
      <c r="UXA467" s="268"/>
      <c r="UXB467" s="268"/>
      <c r="UXC467" s="268"/>
      <c r="UXD467" s="268"/>
      <c r="UXE467" s="268"/>
      <c r="UXF467" s="268"/>
      <c r="UXG467" s="268"/>
      <c r="UXH467" s="268"/>
      <c r="UXI467" s="268"/>
      <c r="UXJ467" s="268"/>
      <c r="UXK467" s="268"/>
      <c r="UXL467" s="268"/>
      <c r="UXM467" s="268"/>
      <c r="UXN467" s="268"/>
      <c r="UXO467" s="268"/>
      <c r="UXP467" s="268"/>
      <c r="UXQ467" s="268"/>
      <c r="UXR467" s="268"/>
      <c r="UXS467" s="268"/>
      <c r="UYG467" s="268"/>
      <c r="UYH467" s="268"/>
      <c r="UYI467" s="268"/>
      <c r="UYW467" s="268"/>
      <c r="UYY467" s="268"/>
      <c r="UYZ467" s="268"/>
      <c r="UZA467" s="268"/>
      <c r="UZB467" s="268"/>
      <c r="UZC467" s="268"/>
      <c r="UZD467" s="268"/>
      <c r="UZE467" s="268"/>
      <c r="UZF467" s="268"/>
      <c r="UZG467" s="268"/>
      <c r="UZH467" s="268"/>
      <c r="UZI467" s="268"/>
      <c r="UZJ467" s="268"/>
      <c r="UZK467" s="268"/>
      <c r="UZL467" s="268"/>
      <c r="UZM467" s="268"/>
      <c r="UZN467" s="268"/>
      <c r="UZO467" s="268"/>
      <c r="UZP467" s="268"/>
      <c r="UZQ467" s="268"/>
      <c r="UZR467" s="268"/>
      <c r="UZS467" s="268"/>
      <c r="UZT467" s="268"/>
      <c r="UZU467" s="268"/>
      <c r="UZV467" s="268"/>
      <c r="UZW467" s="268"/>
      <c r="UZX467" s="268"/>
      <c r="UZY467" s="268"/>
      <c r="UZZ467" s="268"/>
      <c r="VAA467" s="268"/>
      <c r="VAB467" s="268"/>
      <c r="VAC467" s="268"/>
      <c r="VAD467" s="268"/>
      <c r="VAE467" s="268"/>
      <c r="VAF467" s="268"/>
      <c r="VAG467" s="268"/>
      <c r="VAH467" s="268"/>
      <c r="VAI467" s="268"/>
      <c r="VAJ467" s="268"/>
      <c r="VAK467" s="268"/>
      <c r="VAL467" s="268"/>
      <c r="VAM467" s="268"/>
      <c r="VAN467" s="268"/>
      <c r="VAO467" s="268"/>
      <c r="VAP467" s="268"/>
      <c r="VAQ467" s="268"/>
      <c r="VAR467" s="268"/>
      <c r="VAS467" s="268"/>
      <c r="VAT467" s="268"/>
      <c r="VAU467" s="268"/>
      <c r="VAV467" s="268"/>
      <c r="VAW467" s="268"/>
      <c r="VAX467" s="268"/>
      <c r="VAY467" s="268"/>
      <c r="VAZ467" s="268"/>
      <c r="VBA467" s="268"/>
      <c r="VBB467" s="268"/>
      <c r="VBC467" s="268"/>
      <c r="VBD467" s="268"/>
      <c r="VBE467" s="268"/>
      <c r="VBF467" s="268"/>
      <c r="VBG467" s="268"/>
      <c r="VBH467" s="268"/>
      <c r="VBI467" s="268"/>
      <c r="VBJ467" s="268"/>
      <c r="VBK467" s="268"/>
      <c r="VBL467" s="268"/>
      <c r="VBM467" s="268"/>
      <c r="VBN467" s="268"/>
      <c r="VBO467" s="268"/>
      <c r="VBP467" s="268"/>
      <c r="VBQ467" s="268"/>
      <c r="VBR467" s="268"/>
      <c r="VBS467" s="268"/>
      <c r="VBT467" s="268"/>
      <c r="VBU467" s="268"/>
      <c r="VBV467" s="268"/>
      <c r="VBW467" s="268"/>
      <c r="VBX467" s="268"/>
      <c r="VBY467" s="268"/>
      <c r="VBZ467" s="268"/>
      <c r="VCA467" s="268"/>
      <c r="VCB467" s="268"/>
      <c r="VCC467" s="268"/>
      <c r="VCD467" s="268"/>
      <c r="VCE467" s="268"/>
      <c r="VCF467" s="268"/>
      <c r="VCG467" s="268"/>
      <c r="VCH467" s="268"/>
      <c r="VCI467" s="268"/>
      <c r="VCJ467" s="268"/>
      <c r="VCK467" s="268"/>
      <c r="VCL467" s="268"/>
      <c r="VCM467" s="268"/>
      <c r="VCN467" s="268"/>
      <c r="VCO467" s="268"/>
      <c r="VCP467" s="268"/>
      <c r="VCQ467" s="268"/>
      <c r="VCR467" s="268"/>
      <c r="VCS467" s="268"/>
      <c r="VCT467" s="268"/>
      <c r="VCU467" s="268"/>
      <c r="VCV467" s="268"/>
      <c r="VCW467" s="268"/>
      <c r="VCX467" s="268"/>
      <c r="VCY467" s="268"/>
      <c r="VCZ467" s="268"/>
      <c r="VDA467" s="268"/>
      <c r="VDB467" s="268"/>
      <c r="VDC467" s="268"/>
      <c r="VDD467" s="268"/>
      <c r="VDE467" s="268"/>
      <c r="VDF467" s="268"/>
      <c r="VDG467" s="268"/>
      <c r="VDH467" s="268"/>
      <c r="VDI467" s="268"/>
      <c r="VDJ467" s="268"/>
      <c r="VDK467" s="268"/>
      <c r="VDL467" s="268"/>
      <c r="VDM467" s="268"/>
      <c r="VDN467" s="268"/>
      <c r="VDO467" s="268"/>
      <c r="VDP467" s="268"/>
      <c r="VDQ467" s="268"/>
      <c r="VDR467" s="268"/>
      <c r="VDS467" s="268"/>
      <c r="VDT467" s="268"/>
      <c r="VDU467" s="268"/>
      <c r="VDV467" s="268"/>
      <c r="VDW467" s="268"/>
      <c r="VDX467" s="268"/>
      <c r="VDY467" s="268"/>
      <c r="VDZ467" s="268"/>
      <c r="VEA467" s="268"/>
      <c r="VEB467" s="268"/>
      <c r="VEC467" s="268"/>
      <c r="VED467" s="268"/>
      <c r="VEE467" s="268"/>
      <c r="VEF467" s="268"/>
      <c r="VEG467" s="268"/>
      <c r="VEH467" s="268"/>
      <c r="VEI467" s="268"/>
      <c r="VEJ467" s="268"/>
      <c r="VEK467" s="268"/>
      <c r="VEL467" s="268"/>
      <c r="VEM467" s="268"/>
      <c r="VEN467" s="268"/>
      <c r="VEO467" s="268"/>
      <c r="VEP467" s="268"/>
      <c r="VEQ467" s="268"/>
      <c r="VER467" s="268"/>
      <c r="VES467" s="268"/>
      <c r="VET467" s="268"/>
      <c r="VEU467" s="268"/>
      <c r="VEV467" s="268"/>
      <c r="VEW467" s="268"/>
      <c r="VEX467" s="268"/>
      <c r="VEY467" s="268"/>
      <c r="VEZ467" s="268"/>
      <c r="VFA467" s="268"/>
      <c r="VFB467" s="268"/>
      <c r="VFC467" s="268"/>
      <c r="VFD467" s="268"/>
      <c r="VFE467" s="268"/>
      <c r="VFF467" s="268"/>
      <c r="VFG467" s="268"/>
      <c r="VFH467" s="268"/>
      <c r="VFI467" s="268"/>
      <c r="VFJ467" s="268"/>
      <c r="VFK467" s="268"/>
      <c r="VFL467" s="268"/>
      <c r="VFM467" s="268"/>
      <c r="VFN467" s="268"/>
      <c r="VFO467" s="268"/>
      <c r="VFP467" s="268"/>
      <c r="VFQ467" s="268"/>
      <c r="VFR467" s="268"/>
      <c r="VFS467" s="268"/>
      <c r="VFT467" s="268"/>
      <c r="VFU467" s="268"/>
      <c r="VFV467" s="268"/>
      <c r="VFW467" s="268"/>
      <c r="VFX467" s="268"/>
      <c r="VFY467" s="268"/>
      <c r="VFZ467" s="268"/>
      <c r="VGA467" s="268"/>
      <c r="VGB467" s="268"/>
      <c r="VGC467" s="268"/>
      <c r="VGD467" s="268"/>
      <c r="VGE467" s="268"/>
      <c r="VGF467" s="268"/>
      <c r="VGG467" s="268"/>
      <c r="VGH467" s="268"/>
      <c r="VGI467" s="268"/>
      <c r="VGJ467" s="268"/>
      <c r="VGK467" s="268"/>
      <c r="VGL467" s="268"/>
      <c r="VGM467" s="268"/>
      <c r="VGN467" s="268"/>
      <c r="VGO467" s="268"/>
      <c r="VGP467" s="268"/>
      <c r="VGQ467" s="268"/>
      <c r="VGR467" s="268"/>
      <c r="VGS467" s="268"/>
      <c r="VGT467" s="268"/>
      <c r="VGU467" s="268"/>
      <c r="VGV467" s="268"/>
      <c r="VGW467" s="268"/>
      <c r="VGX467" s="268"/>
      <c r="VGY467" s="268"/>
      <c r="VGZ467" s="268"/>
      <c r="VHA467" s="268"/>
      <c r="VHB467" s="268"/>
      <c r="VHC467" s="268"/>
      <c r="VHD467" s="268"/>
      <c r="VHE467" s="268"/>
      <c r="VHF467" s="268"/>
      <c r="VHG467" s="268"/>
      <c r="VHH467" s="268"/>
      <c r="VHI467" s="268"/>
      <c r="VHJ467" s="268"/>
      <c r="VHK467" s="268"/>
      <c r="VHL467" s="268"/>
      <c r="VHM467" s="268"/>
      <c r="VHN467" s="268"/>
      <c r="VHO467" s="268"/>
      <c r="VIC467" s="268"/>
      <c r="VID467" s="268"/>
      <c r="VIE467" s="268"/>
      <c r="VIS467" s="268"/>
      <c r="VIU467" s="268"/>
      <c r="VIV467" s="268"/>
      <c r="VIW467" s="268"/>
      <c r="VIX467" s="268"/>
      <c r="VIY467" s="268"/>
      <c r="VIZ467" s="268"/>
      <c r="VJA467" s="268"/>
      <c r="VJB467" s="268"/>
      <c r="VJC467" s="268"/>
      <c r="VJD467" s="268"/>
      <c r="VJE467" s="268"/>
      <c r="VJF467" s="268"/>
      <c r="VJG467" s="268"/>
      <c r="VJH467" s="268"/>
      <c r="VJI467" s="268"/>
      <c r="VJJ467" s="268"/>
      <c r="VJK467" s="268"/>
      <c r="VJL467" s="268"/>
      <c r="VJM467" s="268"/>
      <c r="VJN467" s="268"/>
      <c r="VJO467" s="268"/>
      <c r="VJP467" s="268"/>
      <c r="VJQ467" s="268"/>
      <c r="VJR467" s="268"/>
      <c r="VJS467" s="268"/>
      <c r="VJT467" s="268"/>
      <c r="VJU467" s="268"/>
      <c r="VJV467" s="268"/>
      <c r="VJW467" s="268"/>
      <c r="VJX467" s="268"/>
      <c r="VJY467" s="268"/>
      <c r="VJZ467" s="268"/>
      <c r="VKA467" s="268"/>
      <c r="VKB467" s="268"/>
      <c r="VKC467" s="268"/>
      <c r="VKD467" s="268"/>
      <c r="VKE467" s="268"/>
      <c r="VKF467" s="268"/>
      <c r="VKG467" s="268"/>
      <c r="VKH467" s="268"/>
      <c r="VKI467" s="268"/>
      <c r="VKJ467" s="268"/>
      <c r="VKK467" s="268"/>
      <c r="VKL467" s="268"/>
      <c r="VKM467" s="268"/>
      <c r="VKN467" s="268"/>
      <c r="VKO467" s="268"/>
      <c r="VKP467" s="268"/>
      <c r="VKQ467" s="268"/>
      <c r="VKR467" s="268"/>
      <c r="VKS467" s="268"/>
      <c r="VKT467" s="268"/>
      <c r="VKU467" s="268"/>
      <c r="VKV467" s="268"/>
      <c r="VKW467" s="268"/>
      <c r="VKX467" s="268"/>
      <c r="VKY467" s="268"/>
      <c r="VKZ467" s="268"/>
      <c r="VLA467" s="268"/>
      <c r="VLB467" s="268"/>
      <c r="VLC467" s="268"/>
      <c r="VLD467" s="268"/>
      <c r="VLE467" s="268"/>
      <c r="VLF467" s="268"/>
      <c r="VLG467" s="268"/>
      <c r="VLH467" s="268"/>
      <c r="VLI467" s="268"/>
      <c r="VLJ467" s="268"/>
      <c r="VLK467" s="268"/>
      <c r="VLL467" s="268"/>
      <c r="VLM467" s="268"/>
      <c r="VLN467" s="268"/>
      <c r="VLO467" s="268"/>
      <c r="VLP467" s="268"/>
      <c r="VLQ467" s="268"/>
      <c r="VLR467" s="268"/>
      <c r="VLS467" s="268"/>
      <c r="VLT467" s="268"/>
      <c r="VLU467" s="268"/>
      <c r="VLV467" s="268"/>
      <c r="VLW467" s="268"/>
      <c r="VLX467" s="268"/>
      <c r="VLY467" s="268"/>
      <c r="VLZ467" s="268"/>
      <c r="VMA467" s="268"/>
      <c r="VMB467" s="268"/>
      <c r="VMC467" s="268"/>
      <c r="VMD467" s="268"/>
      <c r="VME467" s="268"/>
      <c r="VMF467" s="268"/>
      <c r="VMG467" s="268"/>
      <c r="VMH467" s="268"/>
      <c r="VMI467" s="268"/>
      <c r="VMJ467" s="268"/>
      <c r="VMK467" s="268"/>
      <c r="VML467" s="268"/>
      <c r="VMM467" s="268"/>
      <c r="VMN467" s="268"/>
      <c r="VMO467" s="268"/>
      <c r="VMP467" s="268"/>
      <c r="VMQ467" s="268"/>
      <c r="VMR467" s="268"/>
      <c r="VMS467" s="268"/>
      <c r="VMT467" s="268"/>
      <c r="VMU467" s="268"/>
      <c r="VMV467" s="268"/>
      <c r="VMW467" s="268"/>
      <c r="VMX467" s="268"/>
      <c r="VMY467" s="268"/>
      <c r="VMZ467" s="268"/>
      <c r="VNA467" s="268"/>
      <c r="VNB467" s="268"/>
      <c r="VNC467" s="268"/>
      <c r="VND467" s="268"/>
      <c r="VNE467" s="268"/>
      <c r="VNF467" s="268"/>
      <c r="VNG467" s="268"/>
      <c r="VNH467" s="268"/>
      <c r="VNI467" s="268"/>
      <c r="VNJ467" s="268"/>
      <c r="VNK467" s="268"/>
      <c r="VNL467" s="268"/>
      <c r="VNM467" s="268"/>
      <c r="VNN467" s="268"/>
      <c r="VNO467" s="268"/>
      <c r="VNP467" s="268"/>
      <c r="VNQ467" s="268"/>
      <c r="VNR467" s="268"/>
      <c r="VNS467" s="268"/>
      <c r="VNT467" s="268"/>
      <c r="VNU467" s="268"/>
      <c r="VNV467" s="268"/>
      <c r="VNW467" s="268"/>
      <c r="VNX467" s="268"/>
      <c r="VNY467" s="268"/>
      <c r="VNZ467" s="268"/>
      <c r="VOA467" s="268"/>
      <c r="VOB467" s="268"/>
      <c r="VOC467" s="268"/>
      <c r="VOD467" s="268"/>
      <c r="VOE467" s="268"/>
      <c r="VOF467" s="268"/>
      <c r="VOG467" s="268"/>
      <c r="VOH467" s="268"/>
      <c r="VOI467" s="268"/>
      <c r="VOJ467" s="268"/>
      <c r="VOK467" s="268"/>
      <c r="VOL467" s="268"/>
      <c r="VOM467" s="268"/>
      <c r="VON467" s="268"/>
      <c r="VOO467" s="268"/>
      <c r="VOP467" s="268"/>
      <c r="VOQ467" s="268"/>
      <c r="VOR467" s="268"/>
      <c r="VOS467" s="268"/>
      <c r="VOT467" s="268"/>
      <c r="VOU467" s="268"/>
      <c r="VOV467" s="268"/>
      <c r="VOW467" s="268"/>
      <c r="VOX467" s="268"/>
      <c r="VOY467" s="268"/>
      <c r="VOZ467" s="268"/>
      <c r="VPA467" s="268"/>
      <c r="VPB467" s="268"/>
      <c r="VPC467" s="268"/>
      <c r="VPD467" s="268"/>
      <c r="VPE467" s="268"/>
      <c r="VPF467" s="268"/>
      <c r="VPG467" s="268"/>
      <c r="VPH467" s="268"/>
      <c r="VPI467" s="268"/>
      <c r="VPJ467" s="268"/>
      <c r="VPK467" s="268"/>
      <c r="VPL467" s="268"/>
      <c r="VPM467" s="268"/>
      <c r="VPN467" s="268"/>
      <c r="VPO467" s="268"/>
      <c r="VPP467" s="268"/>
      <c r="VPQ467" s="268"/>
      <c r="VPR467" s="268"/>
      <c r="VPS467" s="268"/>
      <c r="VPT467" s="268"/>
      <c r="VPU467" s="268"/>
      <c r="VPV467" s="268"/>
      <c r="VPW467" s="268"/>
      <c r="VPX467" s="268"/>
      <c r="VPY467" s="268"/>
      <c r="VPZ467" s="268"/>
      <c r="VQA467" s="268"/>
      <c r="VQB467" s="268"/>
      <c r="VQC467" s="268"/>
      <c r="VQD467" s="268"/>
      <c r="VQE467" s="268"/>
      <c r="VQF467" s="268"/>
      <c r="VQG467" s="268"/>
      <c r="VQH467" s="268"/>
      <c r="VQI467" s="268"/>
      <c r="VQJ467" s="268"/>
      <c r="VQK467" s="268"/>
      <c r="VQL467" s="268"/>
      <c r="VQM467" s="268"/>
      <c r="VQN467" s="268"/>
      <c r="VQO467" s="268"/>
      <c r="VQP467" s="268"/>
      <c r="VQQ467" s="268"/>
      <c r="VQR467" s="268"/>
      <c r="VQS467" s="268"/>
      <c r="VQT467" s="268"/>
      <c r="VQU467" s="268"/>
      <c r="VQV467" s="268"/>
      <c r="VQW467" s="268"/>
      <c r="VQX467" s="268"/>
      <c r="VQY467" s="268"/>
      <c r="VQZ467" s="268"/>
      <c r="VRA467" s="268"/>
      <c r="VRB467" s="268"/>
      <c r="VRC467" s="268"/>
      <c r="VRD467" s="268"/>
      <c r="VRE467" s="268"/>
      <c r="VRF467" s="268"/>
      <c r="VRG467" s="268"/>
      <c r="VRH467" s="268"/>
      <c r="VRI467" s="268"/>
      <c r="VRJ467" s="268"/>
      <c r="VRK467" s="268"/>
      <c r="VRY467" s="268"/>
      <c r="VRZ467" s="268"/>
      <c r="VSA467" s="268"/>
      <c r="VSO467" s="268"/>
      <c r="VSQ467" s="268"/>
      <c r="VSR467" s="268"/>
      <c r="VSS467" s="268"/>
      <c r="VST467" s="268"/>
      <c r="VSU467" s="268"/>
      <c r="VSV467" s="268"/>
      <c r="VSW467" s="268"/>
      <c r="VSX467" s="268"/>
      <c r="VSY467" s="268"/>
      <c r="VSZ467" s="268"/>
      <c r="VTA467" s="268"/>
      <c r="VTB467" s="268"/>
      <c r="VTC467" s="268"/>
      <c r="VTD467" s="268"/>
      <c r="VTE467" s="268"/>
      <c r="VTF467" s="268"/>
      <c r="VTG467" s="268"/>
      <c r="VTH467" s="268"/>
      <c r="VTI467" s="268"/>
      <c r="VTJ467" s="268"/>
      <c r="VTK467" s="268"/>
      <c r="VTL467" s="268"/>
      <c r="VTM467" s="268"/>
      <c r="VTN467" s="268"/>
      <c r="VTO467" s="268"/>
      <c r="VTP467" s="268"/>
      <c r="VTQ467" s="268"/>
      <c r="VTR467" s="268"/>
      <c r="VTS467" s="268"/>
      <c r="VTT467" s="268"/>
      <c r="VTU467" s="268"/>
      <c r="VTV467" s="268"/>
      <c r="VTW467" s="268"/>
      <c r="VTX467" s="268"/>
      <c r="VTY467" s="268"/>
      <c r="VTZ467" s="268"/>
      <c r="VUA467" s="268"/>
      <c r="VUB467" s="268"/>
      <c r="VUC467" s="268"/>
      <c r="VUD467" s="268"/>
      <c r="VUE467" s="268"/>
      <c r="VUF467" s="268"/>
      <c r="VUG467" s="268"/>
      <c r="VUH467" s="268"/>
      <c r="VUI467" s="268"/>
      <c r="VUJ467" s="268"/>
      <c r="VUK467" s="268"/>
      <c r="VUL467" s="268"/>
      <c r="VUM467" s="268"/>
      <c r="VUN467" s="268"/>
      <c r="VUO467" s="268"/>
      <c r="VUP467" s="268"/>
      <c r="VUQ467" s="268"/>
      <c r="VUR467" s="268"/>
      <c r="VUS467" s="268"/>
      <c r="VUT467" s="268"/>
      <c r="VUU467" s="268"/>
      <c r="VUV467" s="268"/>
      <c r="VUW467" s="268"/>
      <c r="VUX467" s="268"/>
      <c r="VUY467" s="268"/>
      <c r="VUZ467" s="268"/>
      <c r="VVA467" s="268"/>
      <c r="VVB467" s="268"/>
      <c r="VVC467" s="268"/>
      <c r="VVD467" s="268"/>
      <c r="VVE467" s="268"/>
      <c r="VVF467" s="268"/>
      <c r="VVG467" s="268"/>
      <c r="VVH467" s="268"/>
      <c r="VVI467" s="268"/>
      <c r="VVJ467" s="268"/>
      <c r="VVK467" s="268"/>
      <c r="VVL467" s="268"/>
      <c r="VVM467" s="268"/>
      <c r="VVN467" s="268"/>
      <c r="VVO467" s="268"/>
      <c r="VVP467" s="268"/>
      <c r="VVQ467" s="268"/>
      <c r="VVR467" s="268"/>
      <c r="VVS467" s="268"/>
      <c r="VVT467" s="268"/>
      <c r="VVU467" s="268"/>
      <c r="VVV467" s="268"/>
      <c r="VVW467" s="268"/>
      <c r="VVX467" s="268"/>
      <c r="VVY467" s="268"/>
      <c r="VVZ467" s="268"/>
      <c r="VWA467" s="268"/>
      <c r="VWB467" s="268"/>
      <c r="VWC467" s="268"/>
      <c r="VWD467" s="268"/>
      <c r="VWE467" s="268"/>
      <c r="VWF467" s="268"/>
      <c r="VWG467" s="268"/>
      <c r="VWH467" s="268"/>
      <c r="VWI467" s="268"/>
      <c r="VWJ467" s="268"/>
      <c r="VWK467" s="268"/>
      <c r="VWL467" s="268"/>
      <c r="VWM467" s="268"/>
      <c r="VWN467" s="268"/>
      <c r="VWO467" s="268"/>
      <c r="VWP467" s="268"/>
      <c r="VWQ467" s="268"/>
      <c r="VWR467" s="268"/>
      <c r="VWS467" s="268"/>
      <c r="VWT467" s="268"/>
      <c r="VWU467" s="268"/>
      <c r="VWV467" s="268"/>
      <c r="VWW467" s="268"/>
      <c r="VWX467" s="268"/>
      <c r="VWY467" s="268"/>
      <c r="VWZ467" s="268"/>
      <c r="VXA467" s="268"/>
      <c r="VXB467" s="268"/>
      <c r="VXC467" s="268"/>
      <c r="VXD467" s="268"/>
      <c r="VXE467" s="268"/>
      <c r="VXF467" s="268"/>
      <c r="VXG467" s="268"/>
      <c r="VXH467" s="268"/>
      <c r="VXI467" s="268"/>
      <c r="VXJ467" s="268"/>
      <c r="VXK467" s="268"/>
      <c r="VXL467" s="268"/>
      <c r="VXM467" s="268"/>
      <c r="VXN467" s="268"/>
      <c r="VXO467" s="268"/>
      <c r="VXP467" s="268"/>
      <c r="VXQ467" s="268"/>
      <c r="VXR467" s="268"/>
      <c r="VXS467" s="268"/>
      <c r="VXT467" s="268"/>
      <c r="VXU467" s="268"/>
      <c r="VXV467" s="268"/>
      <c r="VXW467" s="268"/>
      <c r="VXX467" s="268"/>
      <c r="VXY467" s="268"/>
      <c r="VXZ467" s="268"/>
      <c r="VYA467" s="268"/>
      <c r="VYB467" s="268"/>
      <c r="VYC467" s="268"/>
      <c r="VYD467" s="268"/>
      <c r="VYE467" s="268"/>
      <c r="VYF467" s="268"/>
      <c r="VYG467" s="268"/>
      <c r="VYH467" s="268"/>
      <c r="VYI467" s="268"/>
      <c r="VYJ467" s="268"/>
      <c r="VYK467" s="268"/>
      <c r="VYL467" s="268"/>
      <c r="VYM467" s="268"/>
      <c r="VYN467" s="268"/>
      <c r="VYO467" s="268"/>
      <c r="VYP467" s="268"/>
      <c r="VYQ467" s="268"/>
      <c r="VYR467" s="268"/>
      <c r="VYS467" s="268"/>
      <c r="VYT467" s="268"/>
      <c r="VYU467" s="268"/>
      <c r="VYV467" s="268"/>
      <c r="VYW467" s="268"/>
      <c r="VYX467" s="268"/>
      <c r="VYY467" s="268"/>
      <c r="VYZ467" s="268"/>
      <c r="VZA467" s="268"/>
      <c r="VZB467" s="268"/>
      <c r="VZC467" s="268"/>
      <c r="VZD467" s="268"/>
      <c r="VZE467" s="268"/>
      <c r="VZF467" s="268"/>
      <c r="VZG467" s="268"/>
      <c r="VZH467" s="268"/>
      <c r="VZI467" s="268"/>
      <c r="VZJ467" s="268"/>
      <c r="VZK467" s="268"/>
      <c r="VZL467" s="268"/>
      <c r="VZM467" s="268"/>
      <c r="VZN467" s="268"/>
      <c r="VZO467" s="268"/>
      <c r="VZP467" s="268"/>
      <c r="VZQ467" s="268"/>
      <c r="VZR467" s="268"/>
      <c r="VZS467" s="268"/>
      <c r="VZT467" s="268"/>
      <c r="VZU467" s="268"/>
      <c r="VZV467" s="268"/>
      <c r="VZW467" s="268"/>
      <c r="VZX467" s="268"/>
      <c r="VZY467" s="268"/>
      <c r="VZZ467" s="268"/>
      <c r="WAA467" s="268"/>
      <c r="WAB467" s="268"/>
      <c r="WAC467" s="268"/>
      <c r="WAD467" s="268"/>
      <c r="WAE467" s="268"/>
      <c r="WAF467" s="268"/>
      <c r="WAG467" s="268"/>
      <c r="WAH467" s="268"/>
      <c r="WAI467" s="268"/>
      <c r="WAJ467" s="268"/>
      <c r="WAK467" s="268"/>
      <c r="WAL467" s="268"/>
      <c r="WAM467" s="268"/>
      <c r="WAN467" s="268"/>
      <c r="WAO467" s="268"/>
      <c r="WAP467" s="268"/>
      <c r="WAQ467" s="268"/>
      <c r="WAR467" s="268"/>
      <c r="WAS467" s="268"/>
      <c r="WAT467" s="268"/>
      <c r="WAU467" s="268"/>
      <c r="WAV467" s="268"/>
      <c r="WAW467" s="268"/>
      <c r="WAX467" s="268"/>
      <c r="WAY467" s="268"/>
      <c r="WAZ467" s="268"/>
      <c r="WBA467" s="268"/>
      <c r="WBB467" s="268"/>
      <c r="WBC467" s="268"/>
      <c r="WBD467" s="268"/>
      <c r="WBE467" s="268"/>
      <c r="WBF467" s="268"/>
      <c r="WBG467" s="268"/>
      <c r="WBU467" s="268"/>
      <c r="WBV467" s="268"/>
      <c r="WBW467" s="268"/>
      <c r="WCK467" s="268"/>
      <c r="WCM467" s="268"/>
      <c r="WCN467" s="268"/>
      <c r="WCO467" s="268"/>
      <c r="WCP467" s="268"/>
      <c r="WCQ467" s="268"/>
      <c r="WCR467" s="268"/>
      <c r="WCS467" s="268"/>
      <c r="WCT467" s="268"/>
      <c r="WCU467" s="268"/>
      <c r="WCV467" s="268"/>
      <c r="WCW467" s="268"/>
      <c r="WCX467" s="268"/>
      <c r="WCY467" s="268"/>
      <c r="WCZ467" s="268"/>
      <c r="WDA467" s="268"/>
      <c r="WDB467" s="268"/>
      <c r="WDC467" s="268"/>
      <c r="WDD467" s="268"/>
      <c r="WDE467" s="268"/>
      <c r="WDF467" s="268"/>
      <c r="WDG467" s="268"/>
      <c r="WDH467" s="268"/>
      <c r="WDI467" s="268"/>
      <c r="WDJ467" s="268"/>
      <c r="WDK467" s="268"/>
      <c r="WDL467" s="268"/>
      <c r="WDM467" s="268"/>
      <c r="WDN467" s="268"/>
      <c r="WDO467" s="268"/>
      <c r="WDP467" s="268"/>
      <c r="WDQ467" s="268"/>
      <c r="WDR467" s="268"/>
      <c r="WDS467" s="268"/>
      <c r="WDT467" s="268"/>
      <c r="WDU467" s="268"/>
      <c r="WDV467" s="268"/>
      <c r="WDW467" s="268"/>
      <c r="WDX467" s="268"/>
      <c r="WDY467" s="268"/>
      <c r="WDZ467" s="268"/>
      <c r="WEA467" s="268"/>
      <c r="WEB467" s="268"/>
      <c r="WEC467" s="268"/>
      <c r="WED467" s="268"/>
      <c r="WEE467" s="268"/>
      <c r="WEF467" s="268"/>
      <c r="WEG467" s="268"/>
      <c r="WEH467" s="268"/>
      <c r="WEI467" s="268"/>
      <c r="WEJ467" s="268"/>
      <c r="WEK467" s="268"/>
      <c r="WEL467" s="268"/>
      <c r="WEM467" s="268"/>
      <c r="WEN467" s="268"/>
      <c r="WEO467" s="268"/>
      <c r="WEP467" s="268"/>
      <c r="WEQ467" s="268"/>
      <c r="WER467" s="268"/>
      <c r="WES467" s="268"/>
      <c r="WET467" s="268"/>
      <c r="WEU467" s="268"/>
      <c r="WEV467" s="268"/>
      <c r="WEW467" s="268"/>
      <c r="WEX467" s="268"/>
      <c r="WEY467" s="268"/>
      <c r="WEZ467" s="268"/>
      <c r="WFA467" s="268"/>
      <c r="WFB467" s="268"/>
      <c r="WFC467" s="268"/>
      <c r="WFD467" s="268"/>
      <c r="WFE467" s="268"/>
      <c r="WFF467" s="268"/>
      <c r="WFG467" s="268"/>
      <c r="WFH467" s="268"/>
      <c r="WFI467" s="268"/>
      <c r="WFJ467" s="268"/>
      <c r="WFK467" s="268"/>
      <c r="WFL467" s="268"/>
      <c r="WFM467" s="268"/>
      <c r="WFN467" s="268"/>
      <c r="WFO467" s="268"/>
      <c r="WFP467" s="268"/>
      <c r="WFQ467" s="268"/>
      <c r="WFR467" s="268"/>
      <c r="WFS467" s="268"/>
      <c r="WFT467" s="268"/>
      <c r="WFU467" s="268"/>
      <c r="WFV467" s="268"/>
      <c r="WFW467" s="268"/>
      <c r="WFX467" s="268"/>
      <c r="WFY467" s="268"/>
      <c r="WFZ467" s="268"/>
      <c r="WGA467" s="268"/>
      <c r="WGB467" s="268"/>
      <c r="WGC467" s="268"/>
      <c r="WGD467" s="268"/>
      <c r="WGE467" s="268"/>
      <c r="WGF467" s="268"/>
      <c r="WGG467" s="268"/>
      <c r="WGH467" s="268"/>
      <c r="WGI467" s="268"/>
      <c r="WGJ467" s="268"/>
      <c r="WGK467" s="268"/>
      <c r="WGL467" s="268"/>
      <c r="WGM467" s="268"/>
      <c r="WGN467" s="268"/>
      <c r="WGO467" s="268"/>
      <c r="WGP467" s="268"/>
      <c r="WGQ467" s="268"/>
      <c r="WGR467" s="268"/>
      <c r="WGS467" s="268"/>
      <c r="WGT467" s="268"/>
      <c r="WGU467" s="268"/>
      <c r="WGV467" s="268"/>
      <c r="WGW467" s="268"/>
      <c r="WGX467" s="268"/>
      <c r="WGY467" s="268"/>
      <c r="WGZ467" s="268"/>
      <c r="WHA467" s="268"/>
      <c r="WHB467" s="268"/>
      <c r="WHC467" s="268"/>
      <c r="WHD467" s="268"/>
      <c r="WHE467" s="268"/>
      <c r="WHF467" s="268"/>
      <c r="WHG467" s="268"/>
      <c r="WHH467" s="268"/>
      <c r="WHI467" s="268"/>
      <c r="WHJ467" s="268"/>
      <c r="WHK467" s="268"/>
      <c r="WHL467" s="268"/>
      <c r="WHM467" s="268"/>
      <c r="WHN467" s="268"/>
      <c r="WHO467" s="268"/>
      <c r="WHP467" s="268"/>
      <c r="WHQ467" s="268"/>
      <c r="WHR467" s="268"/>
      <c r="WHS467" s="268"/>
      <c r="WHT467" s="268"/>
      <c r="WHU467" s="268"/>
      <c r="WHV467" s="268"/>
      <c r="WHW467" s="268"/>
      <c r="WHX467" s="268"/>
      <c r="WHY467" s="268"/>
      <c r="WHZ467" s="268"/>
      <c r="WIA467" s="268"/>
      <c r="WIB467" s="268"/>
      <c r="WIC467" s="268"/>
      <c r="WID467" s="268"/>
      <c r="WIE467" s="268"/>
      <c r="WIF467" s="268"/>
      <c r="WIG467" s="268"/>
      <c r="WIH467" s="268"/>
      <c r="WII467" s="268"/>
      <c r="WIJ467" s="268"/>
      <c r="WIK467" s="268"/>
      <c r="WIL467" s="268"/>
      <c r="WIM467" s="268"/>
      <c r="WIN467" s="268"/>
      <c r="WIO467" s="268"/>
      <c r="WIP467" s="268"/>
      <c r="WIQ467" s="268"/>
      <c r="WIR467" s="268"/>
      <c r="WIS467" s="268"/>
      <c r="WIT467" s="268"/>
      <c r="WIU467" s="268"/>
      <c r="WIV467" s="268"/>
      <c r="WIW467" s="268"/>
      <c r="WIX467" s="268"/>
      <c r="WIY467" s="268"/>
      <c r="WIZ467" s="268"/>
      <c r="WJA467" s="268"/>
      <c r="WJB467" s="268"/>
      <c r="WJC467" s="268"/>
      <c r="WJD467" s="268"/>
      <c r="WJE467" s="268"/>
      <c r="WJF467" s="268"/>
      <c r="WJG467" s="268"/>
      <c r="WJH467" s="268"/>
      <c r="WJI467" s="268"/>
      <c r="WJJ467" s="268"/>
      <c r="WJK467" s="268"/>
      <c r="WJL467" s="268"/>
      <c r="WJM467" s="268"/>
      <c r="WJN467" s="268"/>
      <c r="WJO467" s="268"/>
      <c r="WJP467" s="268"/>
      <c r="WJQ467" s="268"/>
      <c r="WJR467" s="268"/>
      <c r="WJS467" s="268"/>
      <c r="WJT467" s="268"/>
      <c r="WJU467" s="268"/>
      <c r="WJV467" s="268"/>
      <c r="WJW467" s="268"/>
      <c r="WJX467" s="268"/>
      <c r="WJY467" s="268"/>
      <c r="WJZ467" s="268"/>
      <c r="WKA467" s="268"/>
      <c r="WKB467" s="268"/>
      <c r="WKC467" s="268"/>
      <c r="WKD467" s="268"/>
      <c r="WKE467" s="268"/>
      <c r="WKF467" s="268"/>
      <c r="WKG467" s="268"/>
      <c r="WKH467" s="268"/>
      <c r="WKI467" s="268"/>
      <c r="WKJ467" s="268"/>
      <c r="WKK467" s="268"/>
      <c r="WKL467" s="268"/>
      <c r="WKM467" s="268"/>
      <c r="WKN467" s="268"/>
      <c r="WKO467" s="268"/>
      <c r="WKP467" s="268"/>
      <c r="WKQ467" s="268"/>
      <c r="WKR467" s="268"/>
      <c r="WKS467" s="268"/>
      <c r="WKT467" s="268"/>
      <c r="WKU467" s="268"/>
      <c r="WKV467" s="268"/>
      <c r="WKW467" s="268"/>
      <c r="WKX467" s="268"/>
      <c r="WKY467" s="268"/>
      <c r="WKZ467" s="268"/>
      <c r="WLA467" s="268"/>
      <c r="WLB467" s="268"/>
      <c r="WLC467" s="268"/>
      <c r="WLQ467" s="268"/>
      <c r="WLR467" s="268"/>
      <c r="WLS467" s="268"/>
      <c r="WMG467" s="268"/>
      <c r="WMI467" s="268"/>
      <c r="WMJ467" s="268"/>
      <c r="WMK467" s="268"/>
      <c r="WML467" s="268"/>
      <c r="WMM467" s="268"/>
      <c r="WMN467" s="268"/>
      <c r="WMO467" s="268"/>
      <c r="WMP467" s="268"/>
      <c r="WMQ467" s="268"/>
      <c r="WMR467" s="268"/>
      <c r="WMS467" s="268"/>
      <c r="WMT467" s="268"/>
      <c r="WMU467" s="268"/>
      <c r="WMV467" s="268"/>
      <c r="WMW467" s="268"/>
      <c r="WMX467" s="268"/>
      <c r="WMY467" s="268"/>
      <c r="WMZ467" s="268"/>
      <c r="WNA467" s="268"/>
      <c r="WNB467" s="268"/>
      <c r="WNC467" s="268"/>
      <c r="WND467" s="268"/>
      <c r="WNE467" s="268"/>
      <c r="WNF467" s="268"/>
      <c r="WNG467" s="268"/>
      <c r="WNH467" s="268"/>
      <c r="WNI467" s="268"/>
      <c r="WNJ467" s="268"/>
      <c r="WNK467" s="268"/>
      <c r="WNL467" s="268"/>
      <c r="WNM467" s="268"/>
      <c r="WNN467" s="268"/>
      <c r="WNO467" s="268"/>
      <c r="WNP467" s="268"/>
      <c r="WNQ467" s="268"/>
      <c r="WNR467" s="268"/>
      <c r="WNS467" s="268"/>
      <c r="WNT467" s="268"/>
      <c r="WNU467" s="268"/>
      <c r="WNV467" s="268"/>
      <c r="WNW467" s="268"/>
      <c r="WNX467" s="268"/>
      <c r="WNY467" s="268"/>
      <c r="WNZ467" s="268"/>
      <c r="WOA467" s="268"/>
      <c r="WOB467" s="268"/>
      <c r="WOC467" s="268"/>
      <c r="WOD467" s="268"/>
      <c r="WOE467" s="268"/>
      <c r="WOF467" s="268"/>
      <c r="WOG467" s="268"/>
      <c r="WOH467" s="268"/>
      <c r="WOI467" s="268"/>
      <c r="WOJ467" s="268"/>
      <c r="WOK467" s="268"/>
      <c r="WOL467" s="268"/>
      <c r="WOM467" s="268"/>
      <c r="WON467" s="268"/>
      <c r="WOO467" s="268"/>
      <c r="WOP467" s="268"/>
      <c r="WOQ467" s="268"/>
      <c r="WOR467" s="268"/>
      <c r="WOS467" s="268"/>
      <c r="WOT467" s="268"/>
      <c r="WOU467" s="268"/>
      <c r="WOV467" s="268"/>
      <c r="WOW467" s="268"/>
      <c r="WOX467" s="268"/>
      <c r="WOY467" s="268"/>
      <c r="WOZ467" s="268"/>
      <c r="WPA467" s="268"/>
      <c r="WPB467" s="268"/>
      <c r="WPC467" s="268"/>
      <c r="WPD467" s="268"/>
      <c r="WPE467" s="268"/>
      <c r="WPF467" s="268"/>
      <c r="WPG467" s="268"/>
      <c r="WPH467" s="268"/>
      <c r="WPI467" s="268"/>
      <c r="WPJ467" s="268"/>
      <c r="WPK467" s="268"/>
      <c r="WPL467" s="268"/>
      <c r="WPM467" s="268"/>
      <c r="WPN467" s="268"/>
      <c r="WPO467" s="268"/>
      <c r="WPP467" s="268"/>
      <c r="WPQ467" s="268"/>
      <c r="WPR467" s="268"/>
      <c r="WPS467" s="268"/>
      <c r="WPT467" s="268"/>
      <c r="WPU467" s="268"/>
      <c r="WPV467" s="268"/>
      <c r="WPW467" s="268"/>
      <c r="WPX467" s="268"/>
      <c r="WPY467" s="268"/>
      <c r="WPZ467" s="268"/>
      <c r="WQA467" s="268"/>
      <c r="WQB467" s="268"/>
      <c r="WQC467" s="268"/>
      <c r="WQD467" s="268"/>
      <c r="WQE467" s="268"/>
      <c r="WQF467" s="268"/>
      <c r="WQG467" s="268"/>
      <c r="WQH467" s="268"/>
      <c r="WQI467" s="268"/>
      <c r="WQJ467" s="268"/>
      <c r="WQK467" s="268"/>
      <c r="WQL467" s="268"/>
      <c r="WQM467" s="268"/>
      <c r="WQN467" s="268"/>
      <c r="WQO467" s="268"/>
      <c r="WQP467" s="268"/>
      <c r="WQQ467" s="268"/>
      <c r="WQR467" s="268"/>
      <c r="WQS467" s="268"/>
      <c r="WQT467" s="268"/>
      <c r="WQU467" s="268"/>
      <c r="WQV467" s="268"/>
      <c r="WQW467" s="268"/>
      <c r="WQX467" s="268"/>
      <c r="WQY467" s="268"/>
      <c r="WQZ467" s="268"/>
      <c r="WRA467" s="268"/>
      <c r="WRB467" s="268"/>
      <c r="WRC467" s="268"/>
      <c r="WRD467" s="268"/>
      <c r="WRE467" s="268"/>
      <c r="WRF467" s="268"/>
      <c r="WRG467" s="268"/>
      <c r="WRH467" s="268"/>
      <c r="WRI467" s="268"/>
      <c r="WRJ467" s="268"/>
      <c r="WRK467" s="268"/>
      <c r="WRL467" s="268"/>
      <c r="WRM467" s="268"/>
      <c r="WRN467" s="268"/>
      <c r="WRO467" s="268"/>
      <c r="WRP467" s="268"/>
      <c r="WRQ467" s="268"/>
      <c r="WRR467" s="268"/>
      <c r="WRS467" s="268"/>
      <c r="WRT467" s="268"/>
      <c r="WRU467" s="268"/>
      <c r="WRV467" s="268"/>
      <c r="WRW467" s="268"/>
      <c r="WRX467" s="268"/>
      <c r="WRY467" s="268"/>
      <c r="WRZ467" s="268"/>
      <c r="WSA467" s="268"/>
      <c r="WSB467" s="268"/>
      <c r="WSC467" s="268"/>
      <c r="WSD467" s="268"/>
      <c r="WSE467" s="268"/>
      <c r="WSF467" s="268"/>
      <c r="WSG467" s="268"/>
      <c r="WSH467" s="268"/>
      <c r="WSI467" s="268"/>
      <c r="WSJ467" s="268"/>
      <c r="WSK467" s="268"/>
      <c r="WSL467" s="268"/>
      <c r="WSM467" s="268"/>
      <c r="WSN467" s="268"/>
      <c r="WSO467" s="268"/>
      <c r="WSP467" s="268"/>
      <c r="WSQ467" s="268"/>
      <c r="WSR467" s="268"/>
      <c r="WSS467" s="268"/>
      <c r="WST467" s="268"/>
      <c r="WSU467" s="268"/>
      <c r="WSV467" s="268"/>
      <c r="WSW467" s="268"/>
      <c r="WSX467" s="268"/>
      <c r="WSY467" s="268"/>
      <c r="WSZ467" s="268"/>
      <c r="WTA467" s="268"/>
      <c r="WTB467" s="268"/>
      <c r="WTC467" s="268"/>
      <c r="WTD467" s="268"/>
      <c r="WTE467" s="268"/>
      <c r="WTF467" s="268"/>
      <c r="WTG467" s="268"/>
      <c r="WTH467" s="268"/>
      <c r="WTI467" s="268"/>
      <c r="WTJ467" s="268"/>
      <c r="WTK467" s="268"/>
      <c r="WTL467" s="268"/>
      <c r="WTM467" s="268"/>
      <c r="WTN467" s="268"/>
      <c r="WTO467" s="268"/>
      <c r="WTP467" s="268"/>
      <c r="WTQ467" s="268"/>
      <c r="WTR467" s="268"/>
      <c r="WTS467" s="268"/>
      <c r="WTT467" s="268"/>
      <c r="WTU467" s="268"/>
      <c r="WTV467" s="268"/>
      <c r="WTW467" s="268"/>
      <c r="WTX467" s="268"/>
      <c r="WTY467" s="268"/>
      <c r="WTZ467" s="268"/>
      <c r="WUA467" s="268"/>
      <c r="WUB467" s="268"/>
      <c r="WUC467" s="268"/>
      <c r="WUD467" s="268"/>
      <c r="WUE467" s="268"/>
      <c r="WUF467" s="268"/>
      <c r="WUG467" s="268"/>
      <c r="WUH467" s="268"/>
      <c r="WUI467" s="268"/>
      <c r="WUJ467" s="268"/>
      <c r="WUK467" s="268"/>
      <c r="WUL467" s="268"/>
      <c r="WUM467" s="268"/>
      <c r="WUN467" s="268"/>
      <c r="WUO467" s="268"/>
      <c r="WUP467" s="268"/>
      <c r="WUQ467" s="268"/>
      <c r="WUR467" s="268"/>
      <c r="WUS467" s="268"/>
      <c r="WUT467" s="268"/>
      <c r="WUU467" s="268"/>
      <c r="WUV467" s="268"/>
      <c r="WUW467" s="268"/>
      <c r="WUX467" s="268"/>
      <c r="WUY467" s="268"/>
      <c r="WVM467" s="268"/>
      <c r="WVN467" s="268"/>
      <c r="WVO467" s="268"/>
      <c r="WWC467" s="268"/>
      <c r="WWE467" s="268"/>
      <c r="WWF467" s="268"/>
      <c r="WWG467" s="268"/>
      <c r="WWH467" s="268"/>
      <c r="WWI467" s="268"/>
      <c r="WWJ467" s="268"/>
      <c r="WWK467" s="268"/>
      <c r="WWL467" s="268"/>
      <c r="WWM467" s="268"/>
      <c r="WWN467" s="268"/>
      <c r="WWO467" s="268"/>
      <c r="WWP467" s="268"/>
      <c r="WWQ467" s="268"/>
      <c r="WWR467" s="268"/>
      <c r="WWS467" s="268"/>
      <c r="WWT467" s="268"/>
      <c r="WWU467" s="268"/>
      <c r="WWV467" s="268"/>
      <c r="WWW467" s="268"/>
      <c r="WWX467" s="268"/>
      <c r="WWY467" s="268"/>
      <c r="WWZ467" s="268"/>
      <c r="WXA467" s="268"/>
      <c r="WXB467" s="268"/>
      <c r="WXC467" s="268"/>
      <c r="WXD467" s="268"/>
      <c r="WXE467" s="268"/>
      <c r="WXF467" s="268"/>
      <c r="WXG467" s="268"/>
      <c r="WXH467" s="268"/>
      <c r="WXI467" s="268"/>
      <c r="WXJ467" s="268"/>
      <c r="WXK467" s="268"/>
      <c r="WXL467" s="268"/>
      <c r="WXM467" s="268"/>
      <c r="WXN467" s="268"/>
      <c r="WXO467" s="268"/>
      <c r="WXP467" s="268"/>
      <c r="WXQ467" s="268"/>
      <c r="WXR467" s="268"/>
      <c r="WXS467" s="268"/>
      <c r="WXT467" s="268"/>
      <c r="WXU467" s="268"/>
      <c r="WXV467" s="268"/>
      <c r="WXW467" s="268"/>
      <c r="WXX467" s="268"/>
      <c r="WXY467" s="268"/>
      <c r="WXZ467" s="268"/>
      <c r="WYA467" s="268"/>
      <c r="WYB467" s="268"/>
      <c r="WYC467" s="268"/>
      <c r="WYD467" s="268"/>
      <c r="WYE467" s="268"/>
      <c r="WYF467" s="268"/>
      <c r="WYG467" s="268"/>
      <c r="WYH467" s="268"/>
      <c r="WYI467" s="268"/>
      <c r="WYJ467" s="268"/>
      <c r="WYK467" s="268"/>
      <c r="WYL467" s="268"/>
      <c r="WYM467" s="268"/>
      <c r="WYN467" s="268"/>
      <c r="WYO467" s="268"/>
      <c r="WYP467" s="268"/>
      <c r="WYQ467" s="268"/>
      <c r="WYR467" s="268"/>
      <c r="WYS467" s="268"/>
      <c r="WYT467" s="268"/>
      <c r="WYU467" s="268"/>
      <c r="WYV467" s="268"/>
      <c r="WYW467" s="268"/>
      <c r="WYX467" s="268"/>
      <c r="WYY467" s="268"/>
      <c r="WYZ467" s="268"/>
      <c r="WZA467" s="268"/>
      <c r="WZB467" s="268"/>
      <c r="WZC467" s="268"/>
      <c r="WZD467" s="268"/>
      <c r="WZE467" s="268"/>
      <c r="WZF467" s="268"/>
      <c r="WZG467" s="268"/>
      <c r="WZH467" s="268"/>
      <c r="WZI467" s="268"/>
      <c r="WZJ467" s="268"/>
      <c r="WZK467" s="268"/>
      <c r="WZL467" s="268"/>
      <c r="WZM467" s="268"/>
      <c r="WZN467" s="268"/>
      <c r="WZO467" s="268"/>
      <c r="WZP467" s="268"/>
      <c r="WZQ467" s="268"/>
      <c r="WZR467" s="268"/>
      <c r="WZS467" s="268"/>
      <c r="WZT467" s="268"/>
      <c r="WZU467" s="268"/>
      <c r="WZV467" s="268"/>
      <c r="WZW467" s="268"/>
      <c r="WZX467" s="268"/>
      <c r="WZY467" s="268"/>
      <c r="WZZ467" s="268"/>
      <c r="XAA467" s="268"/>
      <c r="XAB467" s="268"/>
      <c r="XAC467" s="268"/>
      <c r="XAD467" s="268"/>
      <c r="XAE467" s="268"/>
      <c r="XAF467" s="268"/>
      <c r="XAG467" s="268"/>
      <c r="XAH467" s="268"/>
      <c r="XAI467" s="268"/>
      <c r="XAJ467" s="268"/>
      <c r="XAK467" s="268"/>
      <c r="XAL467" s="268"/>
      <c r="XAM467" s="268"/>
      <c r="XAN467" s="268"/>
      <c r="XAO467" s="268"/>
      <c r="XAP467" s="268"/>
      <c r="XAQ467" s="268"/>
      <c r="XAR467" s="268"/>
      <c r="XAS467" s="268"/>
      <c r="XAT467" s="268"/>
      <c r="XAU467" s="268"/>
      <c r="XAV467" s="268"/>
      <c r="XAW467" s="268"/>
      <c r="XAX467" s="268"/>
      <c r="XAY467" s="268"/>
      <c r="XAZ467" s="268"/>
      <c r="XBA467" s="268"/>
      <c r="XBB467" s="268"/>
      <c r="XBC467" s="268"/>
      <c r="XBD467" s="268"/>
      <c r="XBE467" s="268"/>
      <c r="XBF467" s="268"/>
      <c r="XBG467" s="268"/>
      <c r="XBH467" s="268"/>
      <c r="XBI467" s="268"/>
      <c r="XBJ467" s="268"/>
      <c r="XBK467" s="268"/>
      <c r="XBL467" s="268"/>
      <c r="XBM467" s="268"/>
      <c r="XBN467" s="268"/>
      <c r="XBO467" s="268"/>
      <c r="XBP467" s="268"/>
      <c r="XBQ467" s="268"/>
      <c r="XBR467" s="268"/>
      <c r="XBS467" s="268"/>
      <c r="XBT467" s="268"/>
      <c r="XBU467" s="268"/>
      <c r="XBV467" s="268"/>
      <c r="XBW467" s="268"/>
      <c r="XBX467" s="268"/>
      <c r="XBY467" s="268"/>
      <c r="XBZ467" s="268"/>
      <c r="XCA467" s="268"/>
      <c r="XCB467" s="268"/>
      <c r="XCC467" s="268"/>
      <c r="XCD467" s="268"/>
      <c r="XCE467" s="268"/>
      <c r="XCF467" s="268"/>
      <c r="XCG467" s="268"/>
      <c r="XCH467" s="268"/>
      <c r="XCI467" s="268"/>
      <c r="XCJ467" s="268"/>
      <c r="XCK467" s="268"/>
      <c r="XCL467" s="268"/>
      <c r="XCM467" s="268"/>
      <c r="XCN467" s="268"/>
      <c r="XCO467" s="268"/>
      <c r="XCP467" s="268"/>
      <c r="XCQ467" s="268"/>
      <c r="XCR467" s="268"/>
      <c r="XCS467" s="268"/>
      <c r="XCT467" s="268"/>
      <c r="XCU467" s="268"/>
      <c r="XCV467" s="268"/>
      <c r="XCW467" s="268"/>
      <c r="XCX467" s="268"/>
      <c r="XCY467" s="268"/>
      <c r="XCZ467" s="268"/>
      <c r="XDA467" s="268"/>
      <c r="XDB467" s="268"/>
      <c r="XDC467" s="268"/>
      <c r="XDD467" s="268"/>
      <c r="XDE467" s="268"/>
      <c r="XDF467" s="268"/>
      <c r="XDG467" s="268"/>
      <c r="XDH467" s="268"/>
      <c r="XDI467" s="268"/>
      <c r="XDJ467" s="268"/>
      <c r="XDK467" s="268"/>
      <c r="XDL467" s="268"/>
      <c r="XDM467" s="268"/>
      <c r="XDN467" s="268"/>
      <c r="XDO467" s="268"/>
      <c r="XDP467" s="268"/>
      <c r="XDQ467" s="268"/>
      <c r="XDR467" s="268"/>
      <c r="XDS467" s="268"/>
      <c r="XDT467" s="268"/>
      <c r="XDU467" s="268"/>
      <c r="XDV467" s="268"/>
      <c r="XDW467" s="268"/>
      <c r="XDX467" s="268"/>
      <c r="XDY467" s="268"/>
      <c r="XDZ467" s="268"/>
      <c r="XEA467" s="268"/>
      <c r="XEB467" s="268"/>
      <c r="XEC467" s="268"/>
      <c r="XED467" s="268"/>
      <c r="XEE467" s="268"/>
      <c r="XEF467" s="268"/>
      <c r="XEG467" s="268"/>
      <c r="XEH467" s="268"/>
      <c r="XEI467" s="268"/>
      <c r="XEJ467" s="268"/>
      <c r="XEK467" s="268"/>
      <c r="XEL467" s="268"/>
      <c r="XEM467" s="268"/>
      <c r="XEN467" s="268"/>
      <c r="XEO467" s="268"/>
      <c r="XEP467" s="268"/>
      <c r="XEQ467" s="268"/>
      <c r="XER467" s="268"/>
      <c r="XES467" s="268"/>
    </row>
    <row r="468" spans="1:1015 1029:2039 2053:3063 3077:4087 4101:5111 5125:6135 6149:7159 7173:8183 8197:9207 9221:10231 10245:11255 11269:12279 12293:13303 13317:14327 14341:15351 15365:16373" hidden="1" outlineLevel="1" x14ac:dyDescent="0.25">
      <c r="A468" s="3"/>
      <c r="B468" s="62">
        <f>SUM(B459:B467)</f>
        <v>167800</v>
      </c>
      <c r="C468" s="32"/>
      <c r="D468" s="62">
        <f>SUM(D459:D467)</f>
        <v>13522</v>
      </c>
      <c r="E468" s="62">
        <f>SUM(E459:E467)</f>
        <v>154278</v>
      </c>
      <c r="F468" s="62">
        <f>SUM(F459:F467)</f>
        <v>167800</v>
      </c>
      <c r="G468" s="32"/>
      <c r="H468" s="62">
        <f>SUM(H459:H467)</f>
        <v>0</v>
      </c>
      <c r="I468" s="32"/>
      <c r="J468" s="62">
        <f>SUM(J459:J467)</f>
        <v>119612</v>
      </c>
      <c r="K468" s="62">
        <f>SUM(K459:K467)</f>
        <v>68583</v>
      </c>
      <c r="L468" s="62">
        <f>SUM(L459:L467)</f>
        <v>188195</v>
      </c>
      <c r="M468" s="32"/>
      <c r="N468" s="62">
        <f>SUM(N459:N467)</f>
        <v>20395</v>
      </c>
      <c r="P468" s="62">
        <f>SUM(P459:P467)</f>
        <v>259280</v>
      </c>
      <c r="R468" s="62">
        <f t="shared" ref="R468:Z468" si="298">SUM(R459:R467)</f>
        <v>42829</v>
      </c>
      <c r="S468" s="62">
        <f t="shared" si="298"/>
        <v>156411</v>
      </c>
      <c r="T468" s="62">
        <f t="shared" si="298"/>
        <v>199240</v>
      </c>
      <c r="U468" s="62" t="e">
        <f t="shared" si="298"/>
        <v>#VALUE!</v>
      </c>
      <c r="V468" s="62">
        <f t="shared" si="298"/>
        <v>59663</v>
      </c>
      <c r="W468" s="62">
        <f t="shared" si="298"/>
        <v>138577</v>
      </c>
      <c r="X468" s="62"/>
      <c r="Y468" s="62">
        <f t="shared" si="298"/>
        <v>198240</v>
      </c>
      <c r="Z468" s="62">
        <f t="shared" si="298"/>
        <v>-1000</v>
      </c>
      <c r="AC468" s="62">
        <f>SUM(AC459:AC467)</f>
        <v>78874</v>
      </c>
      <c r="AD468" s="62">
        <f>SUM(AD459:AD467)</f>
        <v>114366</v>
      </c>
      <c r="AE468" s="62">
        <f>SUM(AE459:AE467)</f>
        <v>193240</v>
      </c>
      <c r="AF468" s="62">
        <f>SUM(AF459:AF467)</f>
        <v>-5000</v>
      </c>
      <c r="AG468" s="32"/>
      <c r="AI468" s="62">
        <f>SUM(AI459:AI467)</f>
        <v>200850</v>
      </c>
      <c r="AK468" s="62">
        <f>SUM(AK459:AK467)</f>
        <v>206380.5</v>
      </c>
      <c r="AM468" s="62">
        <f>SUM(AM459:AM467)</f>
        <v>212076.91499999998</v>
      </c>
      <c r="AO468" s="62">
        <f>SUM(AO459:AO467)</f>
        <v>217944.22245</v>
      </c>
      <c r="AP468" s="32"/>
      <c r="AQ468" s="62">
        <f>SUM(AQ459:AQ467)</f>
        <v>224987.54912350001</v>
      </c>
      <c r="AS468" s="62">
        <f>SUM(AS459:AS467)</f>
        <v>231212.175597205</v>
      </c>
      <c r="AU468" s="62">
        <f>SUM(AU459:AU467)</f>
        <v>237623.54086512112</v>
      </c>
      <c r="AW468" s="62">
        <f>SUM(AW459:AW467)</f>
        <v>244227.24709107477</v>
      </c>
      <c r="AY468" s="62">
        <f>SUM(AY459:AY467)</f>
        <v>251029.06450380702</v>
      </c>
      <c r="BA468" s="62">
        <f>SUM(BA459:BA467)</f>
        <v>258034.9364389212</v>
      </c>
      <c r="BC468" s="62">
        <f>SUM(BC459:BC467)</f>
        <v>265250.98453208886</v>
      </c>
      <c r="BE468" s="62">
        <f>SUM(BE459:BE467)</f>
        <v>272683.51406805153</v>
      </c>
    </row>
    <row r="469" spans="1:1015 1029:2039 2053:3063 3077:4087 4101:5111 5125:6135 6149:7159 7173:8183 8197:9207 9221:10231 10245:11255 11269:12279 12293:13303 13317:14327 14341:15351 15365:16373" s="42" customFormat="1" hidden="1" outlineLevel="1" x14ac:dyDescent="0.25">
      <c r="A469" s="7" t="s">
        <v>88</v>
      </c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4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4"/>
      <c r="AH469" s="4"/>
      <c r="AI469" s="3"/>
      <c r="AJ469" s="3"/>
      <c r="AK469" s="3"/>
      <c r="AL469" s="3"/>
      <c r="AM469" s="3"/>
      <c r="AN469" s="3"/>
      <c r="AO469" s="3"/>
      <c r="AP469" s="4"/>
      <c r="AQ469" s="3"/>
      <c r="AS469" s="3"/>
      <c r="AU469" s="3"/>
      <c r="AW469" s="3"/>
      <c r="AY469" s="3"/>
      <c r="BA469" s="3"/>
      <c r="BC469" s="3"/>
      <c r="BE469" s="3"/>
    </row>
    <row r="470" spans="1:1015 1029:2039 2053:3063 3077:4087 4101:5111 5125:6135 6149:7159 7173:8183 8197:9207 9221:10231 10245:11255 11269:12279 12293:13303 13317:14327 14341:15351 15365:16373" hidden="1" outlineLevel="1" x14ac:dyDescent="0.25">
      <c r="A470" s="3" t="s">
        <v>379</v>
      </c>
      <c r="BC470" s="3"/>
      <c r="BE470" s="3"/>
    </row>
    <row r="471" spans="1:1015 1029:2039 2053:3063 3077:4087 4101:5111 5125:6135 6149:7159 7173:8183 8197:9207 9221:10231 10245:11255 11269:12279 12293:13303 13317:14327 14341:15351 15365:16373" hidden="1" outlineLevel="1" x14ac:dyDescent="0.25">
      <c r="A471" s="320" t="s">
        <v>380</v>
      </c>
      <c r="B471" s="3">
        <v>56000</v>
      </c>
      <c r="D471" s="3">
        <v>14405</v>
      </c>
      <c r="E471" s="3">
        <f>F471-D471</f>
        <v>43095</v>
      </c>
      <c r="F471" s="3">
        <v>57500</v>
      </c>
      <c r="H471" s="3">
        <f>F471-B471</f>
        <v>1500</v>
      </c>
      <c r="J471" s="3">
        <v>20851</v>
      </c>
      <c r="K471" s="4">
        <f>L471-J471</f>
        <v>36649</v>
      </c>
      <c r="L471" s="4">
        <v>57500</v>
      </c>
      <c r="N471" s="4">
        <f>L471-F471</f>
        <v>0</v>
      </c>
      <c r="P471" s="3">
        <f>L471*1.0275+919</f>
        <v>60000.250000000007</v>
      </c>
      <c r="R471" s="3">
        <v>13867</v>
      </c>
      <c r="S471" s="3">
        <f>T471-R471</f>
        <v>46133</v>
      </c>
      <c r="T471" s="3">
        <v>60000</v>
      </c>
      <c r="U471" s="3">
        <f>T471-P471</f>
        <v>-0.25000000000727596</v>
      </c>
      <c r="V471" s="3">
        <v>25350</v>
      </c>
      <c r="W471" s="3">
        <f>Y471-V471</f>
        <v>34650</v>
      </c>
      <c r="Y471" s="3">
        <v>60000</v>
      </c>
      <c r="Z471" s="3">
        <f>Y471-T471</f>
        <v>0</v>
      </c>
      <c r="AC471" s="3">
        <v>36410</v>
      </c>
      <c r="AD471" s="3">
        <f>AE471-AC471</f>
        <v>13590</v>
      </c>
      <c r="AE471" s="3">
        <v>50000</v>
      </c>
      <c r="AF471" s="3">
        <f>AE471-Y471</f>
        <v>-10000</v>
      </c>
      <c r="AI471" s="3">
        <v>74000</v>
      </c>
      <c r="AK471" s="3">
        <f t="shared" ref="AK471:AK476" si="299">AI471*1.03</f>
        <v>76220</v>
      </c>
      <c r="AM471" s="3">
        <f t="shared" ref="AM471:AQ476" si="300">AK471*1.03</f>
        <v>78506.600000000006</v>
      </c>
      <c r="AN471" s="3">
        <f t="shared" si="300"/>
        <v>0</v>
      </c>
      <c r="AO471" s="3">
        <f t="shared" si="300"/>
        <v>80861.79800000001</v>
      </c>
      <c r="AP471" s="4">
        <f t="shared" si="300"/>
        <v>0</v>
      </c>
      <c r="AQ471" s="3">
        <f t="shared" si="300"/>
        <v>83287.651940000011</v>
      </c>
      <c r="AR471" s="3"/>
      <c r="AS471" s="3">
        <f t="shared" ref="AS471:AW476" si="301">AQ471*1.03</f>
        <v>85786.281498200013</v>
      </c>
      <c r="AT471" s="3">
        <f t="shared" si="301"/>
        <v>0</v>
      </c>
      <c r="AU471" s="3">
        <f t="shared" si="301"/>
        <v>88359.869943146012</v>
      </c>
      <c r="AV471" s="3">
        <f t="shared" si="301"/>
        <v>0</v>
      </c>
      <c r="AW471" s="3">
        <f t="shared" si="301"/>
        <v>91010.666041440389</v>
      </c>
      <c r="AX471" s="3"/>
      <c r="AY471" s="3">
        <f t="shared" ref="AY471:BE476" si="302">AW471*1.03</f>
        <v>93740.986022683603</v>
      </c>
      <c r="AZ471" s="3">
        <f t="shared" si="302"/>
        <v>0</v>
      </c>
      <c r="BA471" s="3">
        <f t="shared" si="302"/>
        <v>96553.215603364108</v>
      </c>
      <c r="BC471" s="3">
        <f t="shared" si="302"/>
        <v>99449.812071465029</v>
      </c>
      <c r="BE471" s="3">
        <f t="shared" si="302"/>
        <v>102433.30643360899</v>
      </c>
    </row>
    <row r="472" spans="1:1015 1029:2039 2053:3063 3077:4087 4101:5111 5125:6135 6149:7159 7173:8183 8197:9207 9221:10231 10245:11255 11269:12279 12293:13303 13317:14327 14341:15351 15365:16373" hidden="1" outlineLevel="1" x14ac:dyDescent="0.25">
      <c r="A472" s="3" t="s">
        <v>381</v>
      </c>
      <c r="B472" s="3">
        <v>23500</v>
      </c>
      <c r="D472" s="3">
        <v>6695</v>
      </c>
      <c r="E472" s="3">
        <f>F472-D472</f>
        <v>18305</v>
      </c>
      <c r="F472" s="3">
        <v>25000</v>
      </c>
      <c r="H472" s="3">
        <f>F472-B472</f>
        <v>1500</v>
      </c>
      <c r="J472" s="3">
        <v>20283</v>
      </c>
      <c r="K472" s="4">
        <f>L472-J472</f>
        <v>7217</v>
      </c>
      <c r="L472" s="4">
        <v>27500</v>
      </c>
      <c r="N472" s="4">
        <f>L472-F472</f>
        <v>2500</v>
      </c>
      <c r="P472" s="3">
        <f>L472*1.0325+6</f>
        <v>28399.75</v>
      </c>
      <c r="R472" s="3">
        <v>3874</v>
      </c>
      <c r="S472" s="3">
        <f>T472-R472</f>
        <v>24526</v>
      </c>
      <c r="T472" s="3">
        <v>28400</v>
      </c>
      <c r="U472" s="3">
        <f>T472-P472</f>
        <v>0.25</v>
      </c>
      <c r="V472" s="3">
        <v>7328</v>
      </c>
      <c r="W472" s="3">
        <f>Y472-V472</f>
        <v>20672</v>
      </c>
      <c r="Y472" s="3">
        <v>28000</v>
      </c>
      <c r="Z472" s="3">
        <f>Y472-T472</f>
        <v>-400</v>
      </c>
      <c r="AC472" s="3">
        <v>9919</v>
      </c>
      <c r="AD472" s="3">
        <f>AE472-AC472</f>
        <v>10081</v>
      </c>
      <c r="AE472" s="3">
        <v>20000</v>
      </c>
      <c r="AF472" s="3">
        <f>AE472-Y472</f>
        <v>-8000</v>
      </c>
      <c r="AI472" s="3">
        <f>29000-6500</f>
        <v>22500</v>
      </c>
      <c r="AK472" s="3">
        <f t="shared" si="299"/>
        <v>23175</v>
      </c>
      <c r="AM472" s="3">
        <f t="shared" si="300"/>
        <v>23870.25</v>
      </c>
      <c r="AN472" s="3">
        <f t="shared" si="300"/>
        <v>0</v>
      </c>
      <c r="AO472" s="3">
        <f t="shared" si="300"/>
        <v>24586.357500000002</v>
      </c>
      <c r="AP472" s="4">
        <f t="shared" si="300"/>
        <v>0</v>
      </c>
      <c r="AQ472" s="3">
        <f t="shared" si="300"/>
        <v>25323.948225000004</v>
      </c>
      <c r="AR472" s="3"/>
      <c r="AS472" s="3">
        <f t="shared" si="301"/>
        <v>26083.666671750005</v>
      </c>
      <c r="AT472" s="3">
        <f t="shared" si="301"/>
        <v>0</v>
      </c>
      <c r="AU472" s="3">
        <f t="shared" si="301"/>
        <v>26866.176671902507</v>
      </c>
      <c r="AV472" s="3">
        <f t="shared" si="301"/>
        <v>0</v>
      </c>
      <c r="AW472" s="3">
        <f t="shared" si="301"/>
        <v>27672.161972059585</v>
      </c>
      <c r="AX472" s="3"/>
      <c r="AY472" s="3">
        <f t="shared" si="302"/>
        <v>28502.326831221373</v>
      </c>
      <c r="AZ472" s="3">
        <f t="shared" si="302"/>
        <v>0</v>
      </c>
      <c r="BA472" s="3">
        <f t="shared" si="302"/>
        <v>29357.396636158013</v>
      </c>
      <c r="BC472" s="3">
        <f t="shared" si="302"/>
        <v>30238.118535242753</v>
      </c>
      <c r="BE472" s="3">
        <f t="shared" si="302"/>
        <v>31145.262091300036</v>
      </c>
    </row>
    <row r="473" spans="1:1015 1029:2039 2053:3063 3077:4087 4101:5111 5125:6135 6149:7159 7173:8183 8197:9207 9221:10231 10245:11255 11269:12279 12293:13303 13317:14327 14341:15351 15365:16373" hidden="1" outlineLevel="1" x14ac:dyDescent="0.25">
      <c r="A473" s="3" t="s">
        <v>382</v>
      </c>
      <c r="B473" s="3">
        <v>0</v>
      </c>
      <c r="E473" s="3">
        <f>F473-D473</f>
        <v>0</v>
      </c>
      <c r="H473" s="3">
        <f>F473-B473</f>
        <v>0</v>
      </c>
      <c r="K473" s="4">
        <f>L473-J473</f>
        <v>0</v>
      </c>
      <c r="L473" s="4"/>
      <c r="N473" s="4">
        <f>L473-F473</f>
        <v>0</v>
      </c>
      <c r="P473" s="3">
        <f>B473*1.03</f>
        <v>0</v>
      </c>
      <c r="S473" s="3">
        <f>T473-R473</f>
        <v>0</v>
      </c>
      <c r="U473" s="3">
        <f>T473-P473</f>
        <v>0</v>
      </c>
      <c r="W473" s="3">
        <f>Y473-V473</f>
        <v>0</v>
      </c>
      <c r="Z473" s="3">
        <f>Y473-T473</f>
        <v>0</v>
      </c>
      <c r="AC473" s="3">
        <v>11322</v>
      </c>
      <c r="AD473" s="3">
        <f>AE473-AC473</f>
        <v>3678</v>
      </c>
      <c r="AE473" s="3">
        <v>15000</v>
      </c>
      <c r="AF473" s="3">
        <f>AE473-Y473</f>
        <v>15000</v>
      </c>
      <c r="AI473" s="3">
        <f>12000-4000</f>
        <v>8000</v>
      </c>
      <c r="AK473" s="3">
        <f t="shared" si="299"/>
        <v>8240</v>
      </c>
      <c r="AM473" s="3">
        <f t="shared" si="300"/>
        <v>8487.2000000000007</v>
      </c>
      <c r="AN473" s="3">
        <f t="shared" si="300"/>
        <v>0</v>
      </c>
      <c r="AO473" s="3">
        <f t="shared" si="300"/>
        <v>8741.8160000000007</v>
      </c>
      <c r="AP473" s="4">
        <f t="shared" si="300"/>
        <v>0</v>
      </c>
      <c r="AQ473" s="3">
        <f t="shared" si="300"/>
        <v>9004.0704800000003</v>
      </c>
      <c r="AR473" s="3"/>
      <c r="AS473" s="3">
        <f t="shared" si="301"/>
        <v>9274.1925944000013</v>
      </c>
      <c r="AT473" s="3">
        <f t="shared" si="301"/>
        <v>0</v>
      </c>
      <c r="AU473" s="3">
        <f t="shared" si="301"/>
        <v>9552.4183722320013</v>
      </c>
      <c r="AV473" s="3">
        <f t="shared" si="301"/>
        <v>0</v>
      </c>
      <c r="AW473" s="3">
        <f t="shared" si="301"/>
        <v>9838.990923398962</v>
      </c>
      <c r="AX473" s="3"/>
      <c r="AY473" s="3">
        <f t="shared" si="302"/>
        <v>10134.16065110093</v>
      </c>
      <c r="AZ473" s="3">
        <f t="shared" si="302"/>
        <v>0</v>
      </c>
      <c r="BA473" s="3">
        <f t="shared" si="302"/>
        <v>10438.185470633958</v>
      </c>
      <c r="BC473" s="3">
        <f t="shared" si="302"/>
        <v>10751.331034752977</v>
      </c>
      <c r="BE473" s="3">
        <f t="shared" si="302"/>
        <v>11073.870965795566</v>
      </c>
    </row>
    <row r="474" spans="1:1015 1029:2039 2053:3063 3077:4087 4101:5111 5125:6135 6149:7159 7173:8183 8197:9207 9221:10231 10245:11255 11269:12279 12293:13303 13317:14327 14341:15351 15365:16373" hidden="1" outlineLevel="1" x14ac:dyDescent="0.25">
      <c r="A474" s="3" t="s">
        <v>57</v>
      </c>
      <c r="E474" s="3">
        <f>F474-D474</f>
        <v>0</v>
      </c>
      <c r="H474" s="3">
        <f>F474-B474</f>
        <v>0</v>
      </c>
      <c r="K474" s="4">
        <f>L474-J474</f>
        <v>0</v>
      </c>
      <c r="L474" s="4"/>
      <c r="N474" s="4">
        <f>L474-F474</f>
        <v>0</v>
      </c>
      <c r="S474" s="3">
        <f>T474-R474</f>
        <v>0</v>
      </c>
      <c r="U474" s="3">
        <f>T474-P474</f>
        <v>0</v>
      </c>
      <c r="W474" s="3">
        <f>Y474-V474</f>
        <v>0</v>
      </c>
      <c r="Z474" s="3">
        <f>Y474-T474</f>
        <v>0</v>
      </c>
      <c r="AD474" s="3">
        <f>AE474-AC474</f>
        <v>0</v>
      </c>
      <c r="AF474" s="3">
        <f>AE474-Y474</f>
        <v>0</v>
      </c>
      <c r="AK474" s="3">
        <f t="shared" si="299"/>
        <v>0</v>
      </c>
      <c r="AM474" s="3">
        <f t="shared" si="300"/>
        <v>0</v>
      </c>
      <c r="AN474" s="3">
        <f t="shared" si="300"/>
        <v>0</v>
      </c>
      <c r="AO474" s="3">
        <f t="shared" si="300"/>
        <v>0</v>
      </c>
      <c r="AP474" s="4">
        <f t="shared" si="300"/>
        <v>0</v>
      </c>
      <c r="AQ474" s="3">
        <f t="shared" si="300"/>
        <v>0</v>
      </c>
      <c r="AR474" s="3"/>
      <c r="AS474" s="3">
        <f t="shared" si="301"/>
        <v>0</v>
      </c>
      <c r="AT474" s="3">
        <f t="shared" si="301"/>
        <v>0</v>
      </c>
      <c r="AU474" s="3">
        <f t="shared" si="301"/>
        <v>0</v>
      </c>
      <c r="AV474" s="3">
        <f t="shared" si="301"/>
        <v>0</v>
      </c>
      <c r="AW474" s="3">
        <f t="shared" si="301"/>
        <v>0</v>
      </c>
      <c r="AX474" s="3"/>
      <c r="AY474" s="3">
        <f t="shared" si="302"/>
        <v>0</v>
      </c>
      <c r="AZ474" s="3">
        <f t="shared" si="302"/>
        <v>0</v>
      </c>
      <c r="BA474" s="3">
        <f t="shared" si="302"/>
        <v>0</v>
      </c>
      <c r="BC474" s="3">
        <f t="shared" si="302"/>
        <v>0</v>
      </c>
      <c r="BE474" s="3">
        <f t="shared" si="302"/>
        <v>0</v>
      </c>
    </row>
    <row r="475" spans="1:1015 1029:2039 2053:3063 3077:4087 4101:5111 5125:6135 6149:7159 7173:8183 8197:9207 9221:10231 10245:11255 11269:12279 12293:13303 13317:14327 14341:15351 15365:16373" hidden="1" outlineLevel="1" x14ac:dyDescent="0.25">
      <c r="A475" s="3" t="s">
        <v>299</v>
      </c>
      <c r="K475" s="4"/>
      <c r="L475" s="4"/>
      <c r="N475" s="4"/>
      <c r="AI475" s="3">
        <f>5000-2500</f>
        <v>2500</v>
      </c>
      <c r="AK475" s="3">
        <f t="shared" si="299"/>
        <v>2575</v>
      </c>
      <c r="AM475" s="3">
        <f>AK475*1.03</f>
        <v>2652.25</v>
      </c>
      <c r="AN475" s="3">
        <f>AL475*1.03</f>
        <v>0</v>
      </c>
      <c r="AO475" s="3">
        <f>AM475*1.03</f>
        <v>2731.8175000000001</v>
      </c>
      <c r="AP475" s="4">
        <f>AN475*1.03</f>
        <v>0</v>
      </c>
      <c r="AQ475" s="3">
        <f>AO475*1.03</f>
        <v>2813.7720250000002</v>
      </c>
      <c r="AR475" s="3"/>
      <c r="AS475" s="3">
        <f>AQ475*1.03</f>
        <v>2898.1851857500001</v>
      </c>
      <c r="AT475" s="3">
        <f>AR475*1.03</f>
        <v>0</v>
      </c>
      <c r="AU475" s="3">
        <f>AS475*1.03</f>
        <v>2985.1307413224999</v>
      </c>
      <c r="AV475" s="3">
        <f>AT475*1.03</f>
        <v>0</v>
      </c>
      <c r="AW475" s="3">
        <f>AU475*1.03</f>
        <v>3074.684663562175</v>
      </c>
      <c r="AX475" s="3"/>
      <c r="AY475" s="3">
        <f>AW475*1.03</f>
        <v>3166.9252034690403</v>
      </c>
      <c r="AZ475" s="3">
        <f>AX475*1.03</f>
        <v>0</v>
      </c>
      <c r="BA475" s="3">
        <f>AY475*1.03</f>
        <v>3261.9329595731115</v>
      </c>
      <c r="BC475" s="3">
        <f>BA475*1.03</f>
        <v>3359.7909483603048</v>
      </c>
      <c r="BE475" s="3">
        <f>BC475*1.03</f>
        <v>3460.5846768111142</v>
      </c>
    </row>
    <row r="476" spans="1:1015 1029:2039 2053:3063 3077:4087 4101:5111 5125:6135 6149:7159 7173:8183 8197:9207 9221:10231 10245:11255 11269:12279 12293:13303 13317:14327 14341:15351 15365:16373" hidden="1" outlineLevel="1" x14ac:dyDescent="0.25">
      <c r="A476" s="3" t="s">
        <v>383</v>
      </c>
      <c r="B476" s="3">
        <v>500</v>
      </c>
      <c r="E476" s="3">
        <f>F476-D476</f>
        <v>500</v>
      </c>
      <c r="F476" s="3">
        <v>500</v>
      </c>
      <c r="H476" s="3">
        <f>F476-B476</f>
        <v>0</v>
      </c>
      <c r="K476" s="4">
        <f>L476-J476</f>
        <v>500</v>
      </c>
      <c r="L476" s="4">
        <v>500</v>
      </c>
      <c r="N476" s="4">
        <f>L476-F476</f>
        <v>0</v>
      </c>
      <c r="P476" s="3">
        <f>L476*1.0281+36</f>
        <v>550.04999999999995</v>
      </c>
      <c r="R476" s="3">
        <v>0</v>
      </c>
      <c r="S476" s="3">
        <f>T476-R476</f>
        <v>550</v>
      </c>
      <c r="T476" s="3">
        <v>550</v>
      </c>
      <c r="U476" s="3">
        <f>T476-P476</f>
        <v>-4.9999999999954525E-2</v>
      </c>
      <c r="W476" s="3">
        <f>Y476-V476</f>
        <v>550</v>
      </c>
      <c r="Y476" s="3">
        <v>550</v>
      </c>
      <c r="Z476" s="3">
        <f>Y476-T476</f>
        <v>0</v>
      </c>
      <c r="AD476" s="3">
        <f>AE476-AC476</f>
        <v>550</v>
      </c>
      <c r="AE476" s="3">
        <v>550</v>
      </c>
      <c r="AF476" s="3">
        <f>AE476-Y476</f>
        <v>0</v>
      </c>
      <c r="AI476" s="3">
        <f>P476*1.03+33</f>
        <v>599.55149999999992</v>
      </c>
      <c r="AK476" s="3">
        <f t="shared" si="299"/>
        <v>617.5380449999999</v>
      </c>
      <c r="AM476" s="3">
        <f t="shared" si="300"/>
        <v>636.06418634999989</v>
      </c>
      <c r="AN476" s="3">
        <f t="shared" si="300"/>
        <v>0</v>
      </c>
      <c r="AO476" s="3">
        <f t="shared" si="300"/>
        <v>655.14611194049985</v>
      </c>
      <c r="AP476" s="4">
        <f t="shared" si="300"/>
        <v>0</v>
      </c>
      <c r="AQ476" s="3">
        <f t="shared" si="300"/>
        <v>674.80049529871485</v>
      </c>
      <c r="AR476" s="3"/>
      <c r="AS476" s="3">
        <f t="shared" si="301"/>
        <v>695.04451015767631</v>
      </c>
      <c r="AT476" s="3">
        <f t="shared" si="301"/>
        <v>0</v>
      </c>
      <c r="AU476" s="3">
        <f t="shared" si="301"/>
        <v>715.89584546240667</v>
      </c>
      <c r="AV476" s="3">
        <f t="shared" si="301"/>
        <v>0</v>
      </c>
      <c r="AW476" s="3">
        <f t="shared" si="301"/>
        <v>737.37272082627885</v>
      </c>
      <c r="AX476" s="3"/>
      <c r="AY476" s="3">
        <f t="shared" si="302"/>
        <v>759.49390245106724</v>
      </c>
      <c r="AZ476" s="3">
        <f t="shared" si="302"/>
        <v>0</v>
      </c>
      <c r="BA476" s="3">
        <f t="shared" si="302"/>
        <v>782.2787195245993</v>
      </c>
      <c r="BC476" s="3">
        <f t="shared" si="302"/>
        <v>805.74708111033726</v>
      </c>
      <c r="BE476" s="3">
        <f t="shared" si="302"/>
        <v>829.91949354364738</v>
      </c>
    </row>
    <row r="477" spans="1:1015 1029:2039 2053:3063 3077:4087 4101:5111 5125:6135 6149:7159 7173:8183 8197:9207 9221:10231 10245:11255 11269:12279 12293:13303 13317:14327 14341:15351 15365:16373" hidden="1" outlineLevel="1" x14ac:dyDescent="0.25">
      <c r="A477" s="3"/>
      <c r="B477" s="62">
        <f>SUM(B470:B476)</f>
        <v>80000</v>
      </c>
      <c r="C477" s="32"/>
      <c r="D477" s="62">
        <f>SUM(D470:D476)</f>
        <v>21100</v>
      </c>
      <c r="E477" s="62">
        <f>SUM(E470:E476)</f>
        <v>61900</v>
      </c>
      <c r="F477" s="62">
        <f>SUM(F470:F476)</f>
        <v>83000</v>
      </c>
      <c r="G477" s="32"/>
      <c r="H477" s="62">
        <f>SUM(H470:H476)</f>
        <v>3000</v>
      </c>
      <c r="I477" s="32"/>
      <c r="J477" s="62">
        <f>SUM(J470:J476)</f>
        <v>41134</v>
      </c>
      <c r="K477" s="62">
        <f>SUM(K470:K476)</f>
        <v>44366</v>
      </c>
      <c r="L477" s="62">
        <f>SUM(L470:L476)</f>
        <v>85500</v>
      </c>
      <c r="M477" s="32"/>
      <c r="N477" s="62">
        <f>SUM(N470:N476)</f>
        <v>2500</v>
      </c>
      <c r="P477" s="62">
        <f>SUM(P470:P476)</f>
        <v>88950.05</v>
      </c>
      <c r="R477" s="62">
        <f t="shared" ref="R477:Z477" si="303">SUM(R470:R476)</f>
        <v>17741</v>
      </c>
      <c r="S477" s="62">
        <f t="shared" si="303"/>
        <v>71209</v>
      </c>
      <c r="T477" s="62">
        <f t="shared" si="303"/>
        <v>88950</v>
      </c>
      <c r="U477" s="62">
        <f t="shared" si="303"/>
        <v>-5.0000000007230483E-2</v>
      </c>
      <c r="V477" s="62">
        <f t="shared" si="303"/>
        <v>32678</v>
      </c>
      <c r="W477" s="62">
        <f t="shared" si="303"/>
        <v>55872</v>
      </c>
      <c r="X477" s="62"/>
      <c r="Y477" s="62">
        <f t="shared" si="303"/>
        <v>88550</v>
      </c>
      <c r="Z477" s="62">
        <f t="shared" si="303"/>
        <v>-400</v>
      </c>
      <c r="AC477" s="62">
        <f>SUM(AC470:AC476)</f>
        <v>57651</v>
      </c>
      <c r="AD477" s="62">
        <f>SUM(AD470:AD476)</f>
        <v>27899</v>
      </c>
      <c r="AE477" s="62">
        <f>SUM(AE470:AE476)</f>
        <v>85550</v>
      </c>
      <c r="AF477" s="62">
        <f>SUM(AF470:AF476)</f>
        <v>-3000</v>
      </c>
      <c r="AG477" s="32"/>
      <c r="AI477" s="62">
        <f>SUM(AI470:AI476)</f>
        <v>107599.5515</v>
      </c>
      <c r="AK477" s="62">
        <f>SUM(AK470:AK476)</f>
        <v>110827.53804499999</v>
      </c>
      <c r="AM477" s="62">
        <f>SUM(AM470:AM476)</f>
        <v>114152.36418635001</v>
      </c>
      <c r="AO477" s="62">
        <f>SUM(AO470:AO476)</f>
        <v>117576.93511194052</v>
      </c>
      <c r="AP477" s="32"/>
      <c r="AQ477" s="62">
        <f>SUM(AQ470:AQ476)</f>
        <v>121104.24316529871</v>
      </c>
      <c r="AS477" s="62">
        <f>SUM(AS470:AS476)</f>
        <v>124737.37046025769</v>
      </c>
      <c r="AU477" s="62">
        <f>SUM(AU470:AU476)</f>
        <v>128479.49157406543</v>
      </c>
      <c r="AW477" s="62">
        <f>SUM(AW470:AW476)</f>
        <v>132333.87632128736</v>
      </c>
      <c r="AY477" s="62">
        <f>SUM(AY470:AY476)</f>
        <v>136303.89261092601</v>
      </c>
      <c r="BA477" s="62">
        <f>SUM(BA470:BA476)</f>
        <v>140393.00938925377</v>
      </c>
      <c r="BC477" s="62">
        <f>SUM(BC470:BC476)</f>
        <v>144604.79967093142</v>
      </c>
      <c r="BE477" s="62">
        <f>SUM(BE470:BE476)</f>
        <v>148942.94366105937</v>
      </c>
    </row>
    <row r="478" spans="1:1015 1029:2039 2053:3063 3077:4087 4101:5111 5125:6135 6149:7159 7173:8183 8197:9207 9221:10231 10245:11255 11269:12279 12293:13303 13317:14327 14341:15351 15365:16373" hidden="1" outlineLevel="1" x14ac:dyDescent="0.25">
      <c r="A478" s="7" t="s">
        <v>92</v>
      </c>
      <c r="BC478" s="3"/>
      <c r="BE478" s="3"/>
    </row>
    <row r="479" spans="1:1015 1029:2039 2053:3063 3077:4087 4101:5111 5125:6135 6149:7159 7173:8183 8197:9207 9221:10231 10245:11255 11269:12279 12293:13303 13317:14327 14341:15351 15365:16373" hidden="1" outlineLevel="1" x14ac:dyDescent="0.25">
      <c r="A479" s="267" t="s">
        <v>289</v>
      </c>
      <c r="B479" s="3">
        <v>3000</v>
      </c>
      <c r="D479" s="3">
        <v>0</v>
      </c>
      <c r="E479" s="3">
        <f>F479-D479</f>
        <v>3000</v>
      </c>
      <c r="F479" s="3">
        <v>3000</v>
      </c>
      <c r="H479" s="3">
        <f>F479-B479</f>
        <v>0</v>
      </c>
      <c r="J479" s="3">
        <v>0</v>
      </c>
      <c r="K479" s="4">
        <f>L479-J479</f>
        <v>3000</v>
      </c>
      <c r="L479" s="4">
        <v>3000</v>
      </c>
      <c r="N479" s="4">
        <f>L479-F479</f>
        <v>0</v>
      </c>
      <c r="P479" s="3">
        <v>3000</v>
      </c>
      <c r="R479" s="3">
        <v>0</v>
      </c>
      <c r="S479" s="3">
        <f>T479-R479</f>
        <v>3000</v>
      </c>
      <c r="T479" s="3">
        <v>3000</v>
      </c>
      <c r="U479" s="3">
        <f>T479-P479</f>
        <v>0</v>
      </c>
      <c r="V479" s="3">
        <v>0</v>
      </c>
      <c r="W479" s="3">
        <f>Y479-V479</f>
        <v>3000</v>
      </c>
      <c r="Y479" s="3">
        <v>3000</v>
      </c>
      <c r="Z479" s="3">
        <f>Y479-T479</f>
        <v>0</v>
      </c>
      <c r="AC479" s="3">
        <v>0</v>
      </c>
      <c r="AD479" s="3">
        <f>AE479-AC479</f>
        <v>3000</v>
      </c>
      <c r="AE479" s="3">
        <v>3000</v>
      </c>
      <c r="AF479" s="3">
        <f>AE479-Y479</f>
        <v>0</v>
      </c>
      <c r="AI479" s="3">
        <v>3000</v>
      </c>
      <c r="AK479" s="3">
        <v>3000</v>
      </c>
      <c r="AM479" s="3">
        <v>3000</v>
      </c>
      <c r="AO479" s="3">
        <v>3000</v>
      </c>
      <c r="AQ479" s="3">
        <v>3000</v>
      </c>
      <c r="AS479" s="3">
        <v>3000</v>
      </c>
      <c r="AU479" s="3">
        <v>3000</v>
      </c>
      <c r="AW479" s="3">
        <v>3000</v>
      </c>
      <c r="AY479" s="3">
        <v>3000</v>
      </c>
      <c r="BA479" s="3">
        <v>3000</v>
      </c>
      <c r="BC479" s="3">
        <v>3000</v>
      </c>
      <c r="BE479" s="3">
        <v>3000</v>
      </c>
      <c r="BI479" s="268"/>
      <c r="BJ479" s="268"/>
      <c r="BK479" s="268"/>
      <c r="BL479" s="268"/>
      <c r="BM479" s="268"/>
      <c r="BN479" s="268"/>
      <c r="BO479" s="268"/>
      <c r="BP479" s="268"/>
      <c r="BQ479" s="268"/>
      <c r="BR479" s="268"/>
      <c r="BS479" s="268"/>
      <c r="BT479" s="268"/>
      <c r="BU479" s="268"/>
      <c r="BV479" s="268"/>
      <c r="BW479" s="268"/>
      <c r="BX479" s="268"/>
      <c r="BY479" s="268"/>
      <c r="BZ479" s="268"/>
      <c r="CA479" s="268"/>
      <c r="CB479" s="268"/>
      <c r="CC479" s="268"/>
      <c r="CD479" s="268"/>
      <c r="CE479" s="268"/>
      <c r="CF479" s="268"/>
      <c r="CG479" s="268"/>
      <c r="CH479" s="268"/>
      <c r="CI479" s="268"/>
      <c r="CJ479" s="268"/>
      <c r="CK479" s="268"/>
      <c r="CL479" s="268"/>
      <c r="CM479" s="268"/>
      <c r="CN479" s="268"/>
      <c r="CO479" s="268"/>
      <c r="CP479" s="268"/>
      <c r="CQ479" s="268"/>
      <c r="CR479" s="268"/>
      <c r="CS479" s="268"/>
      <c r="CT479" s="268"/>
      <c r="CU479" s="268"/>
      <c r="CV479" s="268"/>
      <c r="CW479" s="268"/>
      <c r="CX479" s="268"/>
      <c r="CY479" s="268"/>
      <c r="CZ479" s="268"/>
      <c r="DA479" s="268"/>
      <c r="DB479" s="268"/>
      <c r="DC479" s="268"/>
      <c r="DD479" s="268"/>
      <c r="DE479" s="268"/>
      <c r="DF479" s="268"/>
      <c r="DG479" s="268"/>
      <c r="DH479" s="268"/>
      <c r="DI479" s="268"/>
      <c r="DJ479" s="268"/>
      <c r="DK479" s="268"/>
      <c r="DL479" s="268"/>
      <c r="DM479" s="268"/>
      <c r="DN479" s="268"/>
      <c r="DO479" s="268"/>
      <c r="DP479" s="268"/>
      <c r="DQ479" s="268"/>
      <c r="DR479" s="268"/>
      <c r="DS479" s="268"/>
      <c r="DT479" s="268"/>
      <c r="DU479" s="268"/>
      <c r="DV479" s="268"/>
      <c r="DW479" s="268"/>
      <c r="DX479" s="268"/>
      <c r="DY479" s="268"/>
      <c r="DZ479" s="268"/>
      <c r="EA479" s="268"/>
      <c r="EB479" s="268"/>
      <c r="EC479" s="268"/>
      <c r="ED479" s="268"/>
      <c r="EE479" s="268"/>
      <c r="EF479" s="268"/>
      <c r="EG479" s="268"/>
      <c r="EH479" s="268"/>
      <c r="EI479" s="268"/>
      <c r="EJ479" s="268"/>
      <c r="EK479" s="268"/>
      <c r="EL479" s="268"/>
      <c r="EM479" s="268"/>
      <c r="EN479" s="268"/>
      <c r="EO479" s="268"/>
      <c r="EP479" s="268"/>
      <c r="EQ479" s="268"/>
      <c r="ER479" s="268"/>
      <c r="ES479" s="268"/>
      <c r="ET479" s="268"/>
      <c r="EU479" s="268"/>
      <c r="EV479" s="268"/>
      <c r="EW479" s="268"/>
      <c r="EX479" s="268"/>
      <c r="EY479" s="268"/>
      <c r="EZ479" s="268"/>
      <c r="FA479" s="268"/>
      <c r="FB479" s="268"/>
      <c r="FC479" s="268"/>
      <c r="FD479" s="268"/>
      <c r="FE479" s="268"/>
      <c r="FF479" s="268"/>
      <c r="FG479" s="268"/>
      <c r="FH479" s="268"/>
      <c r="FI479" s="268"/>
      <c r="FJ479" s="268"/>
      <c r="FK479" s="268"/>
      <c r="FL479" s="268"/>
      <c r="FM479" s="268"/>
      <c r="FN479" s="268"/>
      <c r="FO479" s="268"/>
      <c r="FP479" s="268"/>
      <c r="FQ479" s="268"/>
      <c r="FR479" s="268"/>
      <c r="FS479" s="268"/>
      <c r="FT479" s="268"/>
      <c r="FU479" s="268"/>
      <c r="FV479" s="268"/>
      <c r="FW479" s="268"/>
      <c r="FX479" s="268"/>
      <c r="FY479" s="268"/>
      <c r="FZ479" s="268"/>
      <c r="GA479" s="268"/>
      <c r="GB479" s="268"/>
      <c r="GC479" s="268"/>
      <c r="GD479" s="268"/>
      <c r="GE479" s="268"/>
      <c r="GF479" s="268"/>
      <c r="GG479" s="268"/>
      <c r="GH479" s="268"/>
      <c r="GI479" s="268"/>
      <c r="GJ479" s="268"/>
      <c r="GK479" s="268"/>
      <c r="GL479" s="268"/>
      <c r="GM479" s="268"/>
      <c r="GN479" s="268"/>
      <c r="GO479" s="268"/>
      <c r="GP479" s="268"/>
      <c r="GQ479" s="268"/>
      <c r="GR479" s="268"/>
      <c r="GS479" s="268"/>
      <c r="GT479" s="268"/>
      <c r="GU479" s="268"/>
      <c r="GV479" s="268"/>
      <c r="GW479" s="268"/>
      <c r="GX479" s="268"/>
      <c r="GY479" s="268"/>
      <c r="GZ479" s="268"/>
      <c r="HA479" s="268"/>
      <c r="HB479" s="268"/>
      <c r="HC479" s="268"/>
      <c r="HD479" s="268"/>
      <c r="HE479" s="268"/>
      <c r="HF479" s="268"/>
      <c r="HG479" s="268"/>
      <c r="HH479" s="268"/>
      <c r="HI479" s="268"/>
      <c r="HJ479" s="268"/>
      <c r="HK479" s="268"/>
      <c r="HL479" s="268"/>
      <c r="HM479" s="268"/>
      <c r="HN479" s="268"/>
      <c r="HO479" s="268"/>
      <c r="HP479" s="268"/>
      <c r="HQ479" s="268"/>
      <c r="HR479" s="268"/>
      <c r="HS479" s="268"/>
      <c r="HT479" s="268"/>
      <c r="HU479" s="268"/>
      <c r="HV479" s="268"/>
      <c r="HW479" s="268"/>
      <c r="HX479" s="268"/>
      <c r="HY479" s="268"/>
      <c r="HZ479" s="268"/>
      <c r="IA479" s="268"/>
      <c r="IB479" s="268"/>
      <c r="IC479" s="268"/>
      <c r="ID479" s="268"/>
      <c r="IE479" s="268"/>
      <c r="IF479" s="268"/>
      <c r="IG479" s="268"/>
      <c r="IH479" s="268"/>
      <c r="II479" s="268"/>
      <c r="IJ479" s="268"/>
      <c r="IK479" s="268"/>
      <c r="IL479" s="268"/>
      <c r="IM479" s="268"/>
      <c r="JA479" s="268"/>
      <c r="JB479" s="268"/>
      <c r="JC479" s="268"/>
      <c r="JQ479" s="268"/>
      <c r="JS479" s="268"/>
      <c r="JT479" s="268"/>
      <c r="JU479" s="268"/>
      <c r="JV479" s="268"/>
      <c r="JW479" s="268"/>
      <c r="JX479" s="268"/>
      <c r="JY479" s="268"/>
      <c r="JZ479" s="268"/>
      <c r="KA479" s="268"/>
      <c r="KB479" s="268"/>
      <c r="KC479" s="268"/>
      <c r="KD479" s="268"/>
      <c r="KE479" s="268"/>
      <c r="KF479" s="268"/>
      <c r="KG479" s="268"/>
      <c r="KH479" s="268"/>
      <c r="KI479" s="268"/>
      <c r="KJ479" s="268"/>
      <c r="KK479" s="268"/>
      <c r="KL479" s="268"/>
      <c r="KM479" s="268"/>
      <c r="KN479" s="268"/>
      <c r="KO479" s="268"/>
      <c r="KP479" s="268"/>
      <c r="KQ479" s="268"/>
      <c r="KR479" s="268"/>
      <c r="KS479" s="268"/>
      <c r="KT479" s="268"/>
      <c r="KU479" s="268"/>
      <c r="KV479" s="268"/>
      <c r="KW479" s="268"/>
      <c r="KX479" s="268"/>
      <c r="KY479" s="268"/>
      <c r="KZ479" s="268"/>
      <c r="LA479" s="268"/>
      <c r="LB479" s="268"/>
      <c r="LC479" s="268"/>
      <c r="LD479" s="268"/>
      <c r="LE479" s="268"/>
      <c r="LF479" s="268"/>
      <c r="LG479" s="268"/>
      <c r="LH479" s="268"/>
      <c r="LI479" s="268"/>
      <c r="LJ479" s="268"/>
      <c r="LK479" s="268"/>
      <c r="LL479" s="268"/>
      <c r="LM479" s="268"/>
      <c r="LN479" s="268"/>
      <c r="LO479" s="268"/>
      <c r="LP479" s="268"/>
      <c r="LQ479" s="268"/>
      <c r="LR479" s="268"/>
      <c r="LS479" s="268"/>
      <c r="LT479" s="268"/>
      <c r="LU479" s="268"/>
      <c r="LV479" s="268"/>
      <c r="LW479" s="268"/>
      <c r="LX479" s="268"/>
      <c r="LY479" s="268"/>
      <c r="LZ479" s="268"/>
      <c r="MA479" s="268"/>
      <c r="MB479" s="268"/>
      <c r="MC479" s="268"/>
      <c r="MD479" s="268"/>
      <c r="ME479" s="268"/>
      <c r="MF479" s="268"/>
      <c r="MG479" s="268"/>
      <c r="MH479" s="268"/>
      <c r="MI479" s="268"/>
      <c r="MJ479" s="268"/>
      <c r="MK479" s="268"/>
      <c r="ML479" s="268"/>
      <c r="MM479" s="268"/>
      <c r="MN479" s="268"/>
      <c r="MO479" s="268"/>
      <c r="MP479" s="268"/>
      <c r="MQ479" s="268"/>
      <c r="MR479" s="268"/>
      <c r="MS479" s="268"/>
      <c r="MT479" s="268"/>
      <c r="MU479" s="268"/>
      <c r="MV479" s="268"/>
      <c r="MW479" s="268"/>
      <c r="MX479" s="268"/>
      <c r="MY479" s="268"/>
      <c r="MZ479" s="268"/>
      <c r="NA479" s="268"/>
      <c r="NB479" s="268"/>
      <c r="NC479" s="268"/>
      <c r="ND479" s="268"/>
      <c r="NE479" s="268"/>
      <c r="NF479" s="268"/>
      <c r="NG479" s="268"/>
      <c r="NH479" s="268"/>
      <c r="NI479" s="268"/>
      <c r="NJ479" s="268"/>
      <c r="NK479" s="268"/>
      <c r="NL479" s="268"/>
      <c r="NM479" s="268"/>
      <c r="NN479" s="268"/>
      <c r="NO479" s="268"/>
      <c r="NP479" s="268"/>
      <c r="NQ479" s="268"/>
      <c r="NR479" s="268"/>
      <c r="NS479" s="268"/>
      <c r="NT479" s="268"/>
      <c r="NU479" s="268"/>
      <c r="NV479" s="268"/>
      <c r="NW479" s="268"/>
      <c r="NX479" s="268"/>
      <c r="NY479" s="268"/>
      <c r="NZ479" s="268"/>
      <c r="OA479" s="268"/>
      <c r="OB479" s="268"/>
      <c r="OC479" s="268"/>
      <c r="OD479" s="268"/>
      <c r="OE479" s="268"/>
      <c r="OF479" s="268"/>
      <c r="OG479" s="268"/>
      <c r="OH479" s="268"/>
      <c r="OI479" s="268"/>
      <c r="OJ479" s="268"/>
      <c r="OK479" s="268"/>
      <c r="OL479" s="268"/>
      <c r="OM479" s="268"/>
      <c r="ON479" s="268"/>
      <c r="OO479" s="268"/>
      <c r="OP479" s="268"/>
      <c r="OQ479" s="268"/>
      <c r="OR479" s="268"/>
      <c r="OS479" s="268"/>
      <c r="OT479" s="268"/>
      <c r="OU479" s="268"/>
      <c r="OV479" s="268"/>
      <c r="OW479" s="268"/>
      <c r="OX479" s="268"/>
      <c r="OY479" s="268"/>
      <c r="OZ479" s="268"/>
      <c r="PA479" s="268"/>
      <c r="PB479" s="268"/>
      <c r="PC479" s="268"/>
      <c r="PD479" s="268"/>
      <c r="PE479" s="268"/>
      <c r="PF479" s="268"/>
      <c r="PG479" s="268"/>
      <c r="PH479" s="268"/>
      <c r="PI479" s="268"/>
      <c r="PJ479" s="268"/>
      <c r="PK479" s="268"/>
      <c r="PL479" s="268"/>
      <c r="PM479" s="268"/>
      <c r="PN479" s="268"/>
      <c r="PO479" s="268"/>
      <c r="PP479" s="268"/>
      <c r="PQ479" s="268"/>
      <c r="PR479" s="268"/>
      <c r="PS479" s="268"/>
      <c r="PT479" s="268"/>
      <c r="PU479" s="268"/>
      <c r="PV479" s="268"/>
      <c r="PW479" s="268"/>
      <c r="PX479" s="268"/>
      <c r="PY479" s="268"/>
      <c r="PZ479" s="268"/>
      <c r="QA479" s="268"/>
      <c r="QB479" s="268"/>
      <c r="QC479" s="268"/>
      <c r="QD479" s="268"/>
      <c r="QE479" s="268"/>
      <c r="QF479" s="268"/>
      <c r="QG479" s="268"/>
      <c r="QH479" s="268"/>
      <c r="QI479" s="268"/>
      <c r="QJ479" s="268"/>
      <c r="QK479" s="268"/>
      <c r="QL479" s="268"/>
      <c r="QM479" s="268"/>
      <c r="QN479" s="268"/>
      <c r="QO479" s="268"/>
      <c r="QP479" s="268"/>
      <c r="QQ479" s="268"/>
      <c r="QR479" s="268"/>
      <c r="QS479" s="268"/>
      <c r="QT479" s="268"/>
      <c r="QU479" s="268"/>
      <c r="QV479" s="268"/>
      <c r="QW479" s="268"/>
      <c r="QX479" s="268"/>
      <c r="QY479" s="268"/>
      <c r="QZ479" s="268"/>
      <c r="RA479" s="268"/>
      <c r="RB479" s="268"/>
      <c r="RC479" s="268"/>
      <c r="RD479" s="268"/>
      <c r="RE479" s="268"/>
      <c r="RF479" s="268"/>
      <c r="RG479" s="268"/>
      <c r="RH479" s="268"/>
      <c r="RI479" s="268"/>
      <c r="RJ479" s="268"/>
      <c r="RK479" s="268"/>
      <c r="RL479" s="268"/>
      <c r="RM479" s="268"/>
      <c r="RN479" s="268"/>
      <c r="RO479" s="268"/>
      <c r="RP479" s="268"/>
      <c r="RQ479" s="268"/>
      <c r="RR479" s="268"/>
      <c r="RS479" s="268"/>
      <c r="RT479" s="268"/>
      <c r="RU479" s="268"/>
      <c r="RV479" s="268"/>
      <c r="RW479" s="268"/>
      <c r="RX479" s="268"/>
      <c r="RY479" s="268"/>
      <c r="RZ479" s="268"/>
      <c r="SA479" s="268"/>
      <c r="SB479" s="268"/>
      <c r="SC479" s="268"/>
      <c r="SD479" s="268"/>
      <c r="SE479" s="268"/>
      <c r="SF479" s="268"/>
      <c r="SG479" s="268"/>
      <c r="SH479" s="268"/>
      <c r="SI479" s="268"/>
      <c r="SW479" s="268"/>
      <c r="SX479" s="268"/>
      <c r="SY479" s="268"/>
      <c r="TM479" s="268"/>
      <c r="TO479" s="268"/>
      <c r="TP479" s="268"/>
      <c r="TQ479" s="268"/>
      <c r="TR479" s="268"/>
      <c r="TS479" s="268"/>
      <c r="TT479" s="268"/>
      <c r="TU479" s="268"/>
      <c r="TV479" s="268"/>
      <c r="TW479" s="268"/>
      <c r="TX479" s="268"/>
      <c r="TY479" s="268"/>
      <c r="TZ479" s="268"/>
      <c r="UA479" s="268"/>
      <c r="UB479" s="268"/>
      <c r="UC479" s="268"/>
      <c r="UD479" s="268"/>
      <c r="UE479" s="268"/>
      <c r="UF479" s="268"/>
      <c r="UG479" s="268"/>
      <c r="UH479" s="268"/>
      <c r="UI479" s="268"/>
      <c r="UJ479" s="268"/>
      <c r="UK479" s="268"/>
      <c r="UL479" s="268"/>
      <c r="UM479" s="268"/>
      <c r="UN479" s="268"/>
      <c r="UO479" s="268"/>
      <c r="UP479" s="268"/>
      <c r="UQ479" s="268"/>
      <c r="UR479" s="268"/>
      <c r="US479" s="268"/>
      <c r="UT479" s="268"/>
      <c r="UU479" s="268"/>
      <c r="UV479" s="268"/>
      <c r="UW479" s="268"/>
      <c r="UX479" s="268"/>
      <c r="UY479" s="268"/>
      <c r="UZ479" s="268"/>
      <c r="VA479" s="268"/>
      <c r="VB479" s="268"/>
      <c r="VC479" s="268"/>
      <c r="VD479" s="268"/>
      <c r="VE479" s="268"/>
      <c r="VF479" s="268"/>
      <c r="VG479" s="268"/>
      <c r="VH479" s="268"/>
      <c r="VI479" s="268"/>
      <c r="VJ479" s="268"/>
      <c r="VK479" s="268"/>
      <c r="VL479" s="268"/>
      <c r="VM479" s="268"/>
      <c r="VN479" s="268"/>
      <c r="VO479" s="268"/>
      <c r="VP479" s="268"/>
      <c r="VQ479" s="268"/>
      <c r="VR479" s="268"/>
      <c r="VS479" s="268"/>
      <c r="VT479" s="268"/>
      <c r="VU479" s="268"/>
      <c r="VV479" s="268"/>
      <c r="VW479" s="268"/>
      <c r="VX479" s="268"/>
      <c r="VY479" s="268"/>
      <c r="VZ479" s="268"/>
      <c r="WA479" s="268"/>
      <c r="WB479" s="268"/>
      <c r="WC479" s="268"/>
      <c r="WD479" s="268"/>
      <c r="WE479" s="268"/>
      <c r="WF479" s="268"/>
      <c r="WG479" s="268"/>
      <c r="WH479" s="268"/>
      <c r="WI479" s="268"/>
      <c r="WJ479" s="268"/>
      <c r="WK479" s="268"/>
      <c r="WL479" s="268"/>
      <c r="WM479" s="268"/>
      <c r="WN479" s="268"/>
      <c r="WO479" s="268"/>
      <c r="WP479" s="268"/>
      <c r="WQ479" s="268"/>
      <c r="WR479" s="268"/>
      <c r="WS479" s="268"/>
      <c r="WT479" s="268"/>
      <c r="WU479" s="268"/>
      <c r="WV479" s="268"/>
      <c r="WW479" s="268"/>
      <c r="WX479" s="268"/>
      <c r="WY479" s="268"/>
      <c r="WZ479" s="268"/>
      <c r="XA479" s="268"/>
      <c r="XB479" s="268"/>
      <c r="XC479" s="268"/>
      <c r="XD479" s="268"/>
      <c r="XE479" s="268"/>
      <c r="XF479" s="268"/>
      <c r="XG479" s="268"/>
      <c r="XH479" s="268"/>
      <c r="XI479" s="268"/>
      <c r="XJ479" s="268"/>
      <c r="XK479" s="268"/>
      <c r="XL479" s="268"/>
      <c r="XM479" s="268"/>
      <c r="XN479" s="268"/>
      <c r="XO479" s="268"/>
      <c r="XP479" s="268"/>
      <c r="XQ479" s="268"/>
      <c r="XR479" s="268"/>
      <c r="XS479" s="268"/>
      <c r="XT479" s="268"/>
      <c r="XU479" s="268"/>
      <c r="XV479" s="268"/>
      <c r="XW479" s="268"/>
      <c r="XX479" s="268"/>
      <c r="XY479" s="268"/>
      <c r="XZ479" s="268"/>
      <c r="YA479" s="268"/>
      <c r="YB479" s="268"/>
      <c r="YC479" s="268"/>
      <c r="YD479" s="268"/>
      <c r="YE479" s="268"/>
      <c r="YF479" s="268"/>
      <c r="YG479" s="268"/>
      <c r="YH479" s="268"/>
      <c r="YI479" s="268"/>
      <c r="YJ479" s="268"/>
      <c r="YK479" s="268"/>
      <c r="YL479" s="268"/>
      <c r="YM479" s="268"/>
      <c r="YN479" s="268"/>
      <c r="YO479" s="268"/>
      <c r="YP479" s="268"/>
      <c r="YQ479" s="268"/>
      <c r="YR479" s="268"/>
      <c r="YS479" s="268"/>
      <c r="YT479" s="268"/>
      <c r="YU479" s="268"/>
      <c r="YV479" s="268"/>
      <c r="YW479" s="268"/>
      <c r="YX479" s="268"/>
      <c r="YY479" s="268"/>
      <c r="YZ479" s="268"/>
      <c r="ZA479" s="268"/>
      <c r="ZB479" s="268"/>
      <c r="ZC479" s="268"/>
      <c r="ZD479" s="268"/>
      <c r="ZE479" s="268"/>
      <c r="ZF479" s="268"/>
      <c r="ZG479" s="268"/>
      <c r="ZH479" s="268"/>
      <c r="ZI479" s="268"/>
      <c r="ZJ479" s="268"/>
      <c r="ZK479" s="268"/>
      <c r="ZL479" s="268"/>
      <c r="ZM479" s="268"/>
      <c r="ZN479" s="268"/>
      <c r="ZO479" s="268"/>
      <c r="ZP479" s="268"/>
      <c r="ZQ479" s="268"/>
      <c r="ZR479" s="268"/>
      <c r="ZS479" s="268"/>
      <c r="ZT479" s="268"/>
      <c r="ZU479" s="268"/>
      <c r="ZV479" s="268"/>
      <c r="ZW479" s="268"/>
      <c r="ZX479" s="268"/>
      <c r="ZY479" s="268"/>
      <c r="ZZ479" s="268"/>
      <c r="AAA479" s="268"/>
      <c r="AAB479" s="268"/>
      <c r="AAC479" s="268"/>
      <c r="AAD479" s="268"/>
      <c r="AAE479" s="268"/>
      <c r="AAF479" s="268"/>
      <c r="AAG479" s="268"/>
      <c r="AAH479" s="268"/>
      <c r="AAI479" s="268"/>
      <c r="AAJ479" s="268"/>
      <c r="AAK479" s="268"/>
      <c r="AAL479" s="268"/>
      <c r="AAM479" s="268"/>
      <c r="AAN479" s="268"/>
      <c r="AAO479" s="268"/>
      <c r="AAP479" s="268"/>
      <c r="AAQ479" s="268"/>
      <c r="AAR479" s="268"/>
      <c r="AAS479" s="268"/>
      <c r="AAT479" s="268"/>
      <c r="AAU479" s="268"/>
      <c r="AAV479" s="268"/>
      <c r="AAW479" s="268"/>
      <c r="AAX479" s="268"/>
      <c r="AAY479" s="268"/>
      <c r="AAZ479" s="268"/>
      <c r="ABA479" s="268"/>
      <c r="ABB479" s="268"/>
      <c r="ABC479" s="268"/>
      <c r="ABD479" s="268"/>
      <c r="ABE479" s="268"/>
      <c r="ABF479" s="268"/>
      <c r="ABG479" s="268"/>
      <c r="ABH479" s="268"/>
      <c r="ABI479" s="268"/>
      <c r="ABJ479" s="268"/>
      <c r="ABK479" s="268"/>
      <c r="ABL479" s="268"/>
      <c r="ABM479" s="268"/>
      <c r="ABN479" s="268"/>
      <c r="ABO479" s="268"/>
      <c r="ABP479" s="268"/>
      <c r="ABQ479" s="268"/>
      <c r="ABR479" s="268"/>
      <c r="ABS479" s="268"/>
      <c r="ABT479" s="268"/>
      <c r="ABU479" s="268"/>
      <c r="ABV479" s="268"/>
      <c r="ABW479" s="268"/>
      <c r="ABX479" s="268"/>
      <c r="ABY479" s="268"/>
      <c r="ABZ479" s="268"/>
      <c r="ACA479" s="268"/>
      <c r="ACB479" s="268"/>
      <c r="ACC479" s="268"/>
      <c r="ACD479" s="268"/>
      <c r="ACE479" s="268"/>
      <c r="ACS479" s="268"/>
      <c r="ACT479" s="268"/>
      <c r="ACU479" s="268"/>
      <c r="ADI479" s="268"/>
      <c r="ADK479" s="268"/>
      <c r="ADL479" s="268"/>
      <c r="ADM479" s="268"/>
      <c r="ADN479" s="268"/>
      <c r="ADO479" s="268"/>
      <c r="ADP479" s="268"/>
      <c r="ADQ479" s="268"/>
      <c r="ADR479" s="268"/>
      <c r="ADS479" s="268"/>
      <c r="ADT479" s="268"/>
      <c r="ADU479" s="268"/>
      <c r="ADV479" s="268"/>
      <c r="ADW479" s="268"/>
      <c r="ADX479" s="268"/>
      <c r="ADY479" s="268"/>
      <c r="ADZ479" s="268"/>
      <c r="AEA479" s="268"/>
      <c r="AEB479" s="268"/>
      <c r="AEC479" s="268"/>
      <c r="AED479" s="268"/>
      <c r="AEE479" s="268"/>
      <c r="AEF479" s="268"/>
      <c r="AEG479" s="268"/>
      <c r="AEH479" s="268"/>
      <c r="AEI479" s="268"/>
      <c r="AEJ479" s="268"/>
      <c r="AEK479" s="268"/>
      <c r="AEL479" s="268"/>
      <c r="AEM479" s="268"/>
      <c r="AEN479" s="268"/>
      <c r="AEO479" s="268"/>
      <c r="AEP479" s="268"/>
      <c r="AEQ479" s="268"/>
      <c r="AER479" s="268"/>
      <c r="AES479" s="268"/>
      <c r="AET479" s="268"/>
      <c r="AEU479" s="268"/>
      <c r="AEV479" s="268"/>
      <c r="AEW479" s="268"/>
      <c r="AEX479" s="268"/>
      <c r="AEY479" s="268"/>
      <c r="AEZ479" s="268"/>
      <c r="AFA479" s="268"/>
      <c r="AFB479" s="268"/>
      <c r="AFC479" s="268"/>
      <c r="AFD479" s="268"/>
      <c r="AFE479" s="268"/>
      <c r="AFF479" s="268"/>
      <c r="AFG479" s="268"/>
      <c r="AFH479" s="268"/>
      <c r="AFI479" s="268"/>
      <c r="AFJ479" s="268"/>
      <c r="AFK479" s="268"/>
      <c r="AFL479" s="268"/>
      <c r="AFM479" s="268"/>
      <c r="AFN479" s="268"/>
      <c r="AFO479" s="268"/>
      <c r="AFP479" s="268"/>
      <c r="AFQ479" s="268"/>
      <c r="AFR479" s="268"/>
      <c r="AFS479" s="268"/>
      <c r="AFT479" s="268"/>
      <c r="AFU479" s="268"/>
      <c r="AFV479" s="268"/>
      <c r="AFW479" s="268"/>
      <c r="AFX479" s="268"/>
      <c r="AFY479" s="268"/>
      <c r="AFZ479" s="268"/>
      <c r="AGA479" s="268"/>
      <c r="AGB479" s="268"/>
      <c r="AGC479" s="268"/>
      <c r="AGD479" s="268"/>
      <c r="AGE479" s="268"/>
      <c r="AGF479" s="268"/>
      <c r="AGG479" s="268"/>
      <c r="AGH479" s="268"/>
      <c r="AGI479" s="268"/>
      <c r="AGJ479" s="268"/>
      <c r="AGK479" s="268"/>
      <c r="AGL479" s="268"/>
      <c r="AGM479" s="268"/>
      <c r="AGN479" s="268"/>
      <c r="AGO479" s="268"/>
      <c r="AGP479" s="268"/>
      <c r="AGQ479" s="268"/>
      <c r="AGR479" s="268"/>
      <c r="AGS479" s="268"/>
      <c r="AGT479" s="268"/>
      <c r="AGU479" s="268"/>
      <c r="AGV479" s="268"/>
      <c r="AGW479" s="268"/>
      <c r="AGX479" s="268"/>
      <c r="AGY479" s="268"/>
      <c r="AGZ479" s="268"/>
      <c r="AHA479" s="268"/>
      <c r="AHB479" s="268"/>
      <c r="AHC479" s="268"/>
      <c r="AHD479" s="268"/>
      <c r="AHE479" s="268"/>
      <c r="AHF479" s="268"/>
      <c r="AHG479" s="268"/>
      <c r="AHH479" s="268"/>
      <c r="AHI479" s="268"/>
      <c r="AHJ479" s="268"/>
      <c r="AHK479" s="268"/>
      <c r="AHL479" s="268"/>
      <c r="AHM479" s="268"/>
      <c r="AHN479" s="268"/>
      <c r="AHO479" s="268"/>
      <c r="AHP479" s="268"/>
      <c r="AHQ479" s="268"/>
      <c r="AHR479" s="268"/>
      <c r="AHS479" s="268"/>
      <c r="AHT479" s="268"/>
      <c r="AHU479" s="268"/>
      <c r="AHV479" s="268"/>
      <c r="AHW479" s="268"/>
      <c r="AHX479" s="268"/>
      <c r="AHY479" s="268"/>
      <c r="AHZ479" s="268"/>
      <c r="AIA479" s="268"/>
      <c r="AIB479" s="268"/>
      <c r="AIC479" s="268"/>
      <c r="AID479" s="268"/>
      <c r="AIE479" s="268"/>
      <c r="AIF479" s="268"/>
      <c r="AIG479" s="268"/>
      <c r="AIH479" s="268"/>
      <c r="AII479" s="268"/>
      <c r="AIJ479" s="268"/>
      <c r="AIK479" s="268"/>
      <c r="AIL479" s="268"/>
      <c r="AIM479" s="268"/>
      <c r="AIN479" s="268"/>
      <c r="AIO479" s="268"/>
      <c r="AIP479" s="268"/>
      <c r="AIQ479" s="268"/>
      <c r="AIR479" s="268"/>
      <c r="AIS479" s="268"/>
      <c r="AIT479" s="268"/>
      <c r="AIU479" s="268"/>
      <c r="AIV479" s="268"/>
      <c r="AIW479" s="268"/>
      <c r="AIX479" s="268"/>
      <c r="AIY479" s="268"/>
      <c r="AIZ479" s="268"/>
      <c r="AJA479" s="268"/>
      <c r="AJB479" s="268"/>
      <c r="AJC479" s="268"/>
      <c r="AJD479" s="268"/>
      <c r="AJE479" s="268"/>
      <c r="AJF479" s="268"/>
      <c r="AJG479" s="268"/>
      <c r="AJH479" s="268"/>
      <c r="AJI479" s="268"/>
      <c r="AJJ479" s="268"/>
      <c r="AJK479" s="268"/>
      <c r="AJL479" s="268"/>
      <c r="AJM479" s="268"/>
      <c r="AJN479" s="268"/>
      <c r="AJO479" s="268"/>
      <c r="AJP479" s="268"/>
      <c r="AJQ479" s="268"/>
      <c r="AJR479" s="268"/>
      <c r="AJS479" s="268"/>
      <c r="AJT479" s="268"/>
      <c r="AJU479" s="268"/>
      <c r="AJV479" s="268"/>
      <c r="AJW479" s="268"/>
      <c r="AJX479" s="268"/>
      <c r="AJY479" s="268"/>
      <c r="AJZ479" s="268"/>
      <c r="AKA479" s="268"/>
      <c r="AKB479" s="268"/>
      <c r="AKC479" s="268"/>
      <c r="AKD479" s="268"/>
      <c r="AKE479" s="268"/>
      <c r="AKF479" s="268"/>
      <c r="AKG479" s="268"/>
      <c r="AKH479" s="268"/>
      <c r="AKI479" s="268"/>
      <c r="AKJ479" s="268"/>
      <c r="AKK479" s="268"/>
      <c r="AKL479" s="268"/>
      <c r="AKM479" s="268"/>
      <c r="AKN479" s="268"/>
      <c r="AKO479" s="268"/>
      <c r="AKP479" s="268"/>
      <c r="AKQ479" s="268"/>
      <c r="AKR479" s="268"/>
      <c r="AKS479" s="268"/>
      <c r="AKT479" s="268"/>
      <c r="AKU479" s="268"/>
      <c r="AKV479" s="268"/>
      <c r="AKW479" s="268"/>
      <c r="AKX479" s="268"/>
      <c r="AKY479" s="268"/>
      <c r="AKZ479" s="268"/>
      <c r="ALA479" s="268"/>
      <c r="ALB479" s="268"/>
      <c r="ALC479" s="268"/>
      <c r="ALD479" s="268"/>
      <c r="ALE479" s="268"/>
      <c r="ALF479" s="268"/>
      <c r="ALG479" s="268"/>
      <c r="ALH479" s="268"/>
      <c r="ALI479" s="268"/>
      <c r="ALJ479" s="268"/>
      <c r="ALK479" s="268"/>
      <c r="ALL479" s="268"/>
      <c r="ALM479" s="268"/>
      <c r="ALN479" s="268"/>
      <c r="ALO479" s="268"/>
      <c r="ALP479" s="268"/>
      <c r="ALQ479" s="268"/>
      <c r="ALR479" s="268"/>
      <c r="ALS479" s="268"/>
      <c r="ALT479" s="268"/>
      <c r="ALU479" s="268"/>
      <c r="ALV479" s="268"/>
      <c r="ALW479" s="268"/>
      <c r="ALX479" s="268"/>
      <c r="ALY479" s="268"/>
      <c r="ALZ479" s="268"/>
      <c r="AMA479" s="268"/>
      <c r="AMO479" s="268"/>
      <c r="AMP479" s="268"/>
      <c r="AMQ479" s="268"/>
      <c r="ANE479" s="268"/>
      <c r="ANG479" s="268"/>
      <c r="ANH479" s="268"/>
      <c r="ANI479" s="268"/>
      <c r="ANJ479" s="268"/>
      <c r="ANK479" s="268"/>
      <c r="ANL479" s="268"/>
      <c r="ANM479" s="268"/>
      <c r="ANN479" s="268"/>
      <c r="ANO479" s="268"/>
      <c r="ANP479" s="268"/>
      <c r="ANQ479" s="268"/>
      <c r="ANR479" s="268"/>
      <c r="ANS479" s="268"/>
      <c r="ANT479" s="268"/>
      <c r="ANU479" s="268"/>
      <c r="ANV479" s="268"/>
      <c r="ANW479" s="268"/>
      <c r="ANX479" s="268"/>
      <c r="ANY479" s="268"/>
      <c r="ANZ479" s="268"/>
      <c r="AOA479" s="268"/>
      <c r="AOB479" s="268"/>
      <c r="AOC479" s="268"/>
      <c r="AOD479" s="268"/>
      <c r="AOE479" s="268"/>
      <c r="AOF479" s="268"/>
      <c r="AOG479" s="268"/>
      <c r="AOH479" s="268"/>
      <c r="AOI479" s="268"/>
      <c r="AOJ479" s="268"/>
      <c r="AOK479" s="268"/>
      <c r="AOL479" s="268"/>
      <c r="AOM479" s="268"/>
      <c r="AON479" s="268"/>
      <c r="AOO479" s="268"/>
      <c r="AOP479" s="268"/>
      <c r="AOQ479" s="268"/>
      <c r="AOR479" s="268"/>
      <c r="AOS479" s="268"/>
      <c r="AOT479" s="268"/>
      <c r="AOU479" s="268"/>
      <c r="AOV479" s="268"/>
      <c r="AOW479" s="268"/>
      <c r="AOX479" s="268"/>
      <c r="AOY479" s="268"/>
      <c r="AOZ479" s="268"/>
      <c r="APA479" s="268"/>
      <c r="APB479" s="268"/>
      <c r="APC479" s="268"/>
      <c r="APD479" s="268"/>
      <c r="APE479" s="268"/>
      <c r="APF479" s="268"/>
      <c r="APG479" s="268"/>
      <c r="APH479" s="268"/>
      <c r="API479" s="268"/>
      <c r="APJ479" s="268"/>
      <c r="APK479" s="268"/>
      <c r="APL479" s="268"/>
      <c r="APM479" s="268"/>
      <c r="APN479" s="268"/>
      <c r="APO479" s="268"/>
      <c r="APP479" s="268"/>
      <c r="APQ479" s="268"/>
      <c r="APR479" s="268"/>
      <c r="APS479" s="268"/>
      <c r="APT479" s="268"/>
      <c r="APU479" s="268"/>
      <c r="APV479" s="268"/>
      <c r="APW479" s="268"/>
      <c r="APX479" s="268"/>
      <c r="APY479" s="268"/>
      <c r="APZ479" s="268"/>
      <c r="AQA479" s="268"/>
      <c r="AQB479" s="268"/>
      <c r="AQC479" s="268"/>
      <c r="AQD479" s="268"/>
      <c r="AQE479" s="268"/>
      <c r="AQF479" s="268"/>
      <c r="AQG479" s="268"/>
      <c r="AQH479" s="268"/>
      <c r="AQI479" s="268"/>
      <c r="AQJ479" s="268"/>
      <c r="AQK479" s="268"/>
      <c r="AQL479" s="268"/>
      <c r="AQM479" s="268"/>
      <c r="AQN479" s="268"/>
      <c r="AQO479" s="268"/>
      <c r="AQP479" s="268"/>
      <c r="AQQ479" s="268"/>
      <c r="AQR479" s="268"/>
      <c r="AQS479" s="268"/>
      <c r="AQT479" s="268"/>
      <c r="AQU479" s="268"/>
      <c r="AQV479" s="268"/>
      <c r="AQW479" s="268"/>
      <c r="AQX479" s="268"/>
      <c r="AQY479" s="268"/>
      <c r="AQZ479" s="268"/>
      <c r="ARA479" s="268"/>
      <c r="ARB479" s="268"/>
      <c r="ARC479" s="268"/>
      <c r="ARD479" s="268"/>
      <c r="ARE479" s="268"/>
      <c r="ARF479" s="268"/>
      <c r="ARG479" s="268"/>
      <c r="ARH479" s="268"/>
      <c r="ARI479" s="268"/>
      <c r="ARJ479" s="268"/>
      <c r="ARK479" s="268"/>
      <c r="ARL479" s="268"/>
      <c r="ARM479" s="268"/>
      <c r="ARN479" s="268"/>
      <c r="ARO479" s="268"/>
      <c r="ARP479" s="268"/>
      <c r="ARQ479" s="268"/>
      <c r="ARR479" s="268"/>
      <c r="ARS479" s="268"/>
      <c r="ART479" s="268"/>
      <c r="ARU479" s="268"/>
      <c r="ARV479" s="268"/>
      <c r="ARW479" s="268"/>
      <c r="ARX479" s="268"/>
      <c r="ARY479" s="268"/>
      <c r="ARZ479" s="268"/>
      <c r="ASA479" s="268"/>
      <c r="ASB479" s="268"/>
      <c r="ASC479" s="268"/>
      <c r="ASD479" s="268"/>
      <c r="ASE479" s="268"/>
      <c r="ASF479" s="268"/>
      <c r="ASG479" s="268"/>
      <c r="ASH479" s="268"/>
      <c r="ASI479" s="268"/>
      <c r="ASJ479" s="268"/>
      <c r="ASK479" s="268"/>
      <c r="ASL479" s="268"/>
      <c r="ASM479" s="268"/>
      <c r="ASN479" s="268"/>
      <c r="ASO479" s="268"/>
      <c r="ASP479" s="268"/>
      <c r="ASQ479" s="268"/>
      <c r="ASR479" s="268"/>
      <c r="ASS479" s="268"/>
      <c r="AST479" s="268"/>
      <c r="ASU479" s="268"/>
      <c r="ASV479" s="268"/>
      <c r="ASW479" s="268"/>
      <c r="ASX479" s="268"/>
      <c r="ASY479" s="268"/>
      <c r="ASZ479" s="268"/>
      <c r="ATA479" s="268"/>
      <c r="ATB479" s="268"/>
      <c r="ATC479" s="268"/>
      <c r="ATD479" s="268"/>
      <c r="ATE479" s="268"/>
      <c r="ATF479" s="268"/>
      <c r="ATG479" s="268"/>
      <c r="ATH479" s="268"/>
      <c r="ATI479" s="268"/>
      <c r="ATJ479" s="268"/>
      <c r="ATK479" s="268"/>
      <c r="ATL479" s="268"/>
      <c r="ATM479" s="268"/>
      <c r="ATN479" s="268"/>
      <c r="ATO479" s="268"/>
      <c r="ATP479" s="268"/>
      <c r="ATQ479" s="268"/>
      <c r="ATR479" s="268"/>
      <c r="ATS479" s="268"/>
      <c r="ATT479" s="268"/>
      <c r="ATU479" s="268"/>
      <c r="ATV479" s="268"/>
      <c r="ATW479" s="268"/>
      <c r="ATX479" s="268"/>
      <c r="ATY479" s="268"/>
      <c r="ATZ479" s="268"/>
      <c r="AUA479" s="268"/>
      <c r="AUB479" s="268"/>
      <c r="AUC479" s="268"/>
      <c r="AUD479" s="268"/>
      <c r="AUE479" s="268"/>
      <c r="AUF479" s="268"/>
      <c r="AUG479" s="268"/>
      <c r="AUH479" s="268"/>
      <c r="AUI479" s="268"/>
      <c r="AUJ479" s="268"/>
      <c r="AUK479" s="268"/>
      <c r="AUL479" s="268"/>
      <c r="AUM479" s="268"/>
      <c r="AUN479" s="268"/>
      <c r="AUO479" s="268"/>
      <c r="AUP479" s="268"/>
      <c r="AUQ479" s="268"/>
      <c r="AUR479" s="268"/>
      <c r="AUS479" s="268"/>
      <c r="AUT479" s="268"/>
      <c r="AUU479" s="268"/>
      <c r="AUV479" s="268"/>
      <c r="AUW479" s="268"/>
      <c r="AUX479" s="268"/>
      <c r="AUY479" s="268"/>
      <c r="AUZ479" s="268"/>
      <c r="AVA479" s="268"/>
      <c r="AVB479" s="268"/>
      <c r="AVC479" s="268"/>
      <c r="AVD479" s="268"/>
      <c r="AVE479" s="268"/>
      <c r="AVF479" s="268"/>
      <c r="AVG479" s="268"/>
      <c r="AVH479" s="268"/>
      <c r="AVI479" s="268"/>
      <c r="AVJ479" s="268"/>
      <c r="AVK479" s="268"/>
      <c r="AVL479" s="268"/>
      <c r="AVM479" s="268"/>
      <c r="AVN479" s="268"/>
      <c r="AVO479" s="268"/>
      <c r="AVP479" s="268"/>
      <c r="AVQ479" s="268"/>
      <c r="AVR479" s="268"/>
      <c r="AVS479" s="268"/>
      <c r="AVT479" s="268"/>
      <c r="AVU479" s="268"/>
      <c r="AVV479" s="268"/>
      <c r="AVW479" s="268"/>
      <c r="AWK479" s="268"/>
      <c r="AWL479" s="268"/>
      <c r="AWM479" s="268"/>
      <c r="AXA479" s="268"/>
      <c r="AXC479" s="268"/>
      <c r="AXD479" s="268"/>
      <c r="AXE479" s="268"/>
      <c r="AXF479" s="268"/>
      <c r="AXG479" s="268"/>
      <c r="AXH479" s="268"/>
      <c r="AXI479" s="268"/>
      <c r="AXJ479" s="268"/>
      <c r="AXK479" s="268"/>
      <c r="AXL479" s="268"/>
      <c r="AXM479" s="268"/>
      <c r="AXN479" s="268"/>
      <c r="AXO479" s="268"/>
      <c r="AXP479" s="268"/>
      <c r="AXQ479" s="268"/>
      <c r="AXR479" s="268"/>
      <c r="AXS479" s="268"/>
      <c r="AXT479" s="268"/>
      <c r="AXU479" s="268"/>
      <c r="AXV479" s="268"/>
      <c r="AXW479" s="268"/>
      <c r="AXX479" s="268"/>
      <c r="AXY479" s="268"/>
      <c r="AXZ479" s="268"/>
      <c r="AYA479" s="268"/>
      <c r="AYB479" s="268"/>
      <c r="AYC479" s="268"/>
      <c r="AYD479" s="268"/>
      <c r="AYE479" s="268"/>
      <c r="AYF479" s="268"/>
      <c r="AYG479" s="268"/>
      <c r="AYH479" s="268"/>
      <c r="AYI479" s="268"/>
      <c r="AYJ479" s="268"/>
      <c r="AYK479" s="268"/>
      <c r="AYL479" s="268"/>
      <c r="AYM479" s="268"/>
      <c r="AYN479" s="268"/>
      <c r="AYO479" s="268"/>
      <c r="AYP479" s="268"/>
      <c r="AYQ479" s="268"/>
      <c r="AYR479" s="268"/>
      <c r="AYS479" s="268"/>
      <c r="AYT479" s="268"/>
      <c r="AYU479" s="268"/>
      <c r="AYV479" s="268"/>
      <c r="AYW479" s="268"/>
      <c r="AYX479" s="268"/>
      <c r="AYY479" s="268"/>
      <c r="AYZ479" s="268"/>
      <c r="AZA479" s="268"/>
      <c r="AZB479" s="268"/>
      <c r="AZC479" s="268"/>
      <c r="AZD479" s="268"/>
      <c r="AZE479" s="268"/>
      <c r="AZF479" s="268"/>
      <c r="AZG479" s="268"/>
      <c r="AZH479" s="268"/>
      <c r="AZI479" s="268"/>
      <c r="AZJ479" s="268"/>
      <c r="AZK479" s="268"/>
      <c r="AZL479" s="268"/>
      <c r="AZM479" s="268"/>
      <c r="AZN479" s="268"/>
      <c r="AZO479" s="268"/>
      <c r="AZP479" s="268"/>
      <c r="AZQ479" s="268"/>
      <c r="AZR479" s="268"/>
      <c r="AZS479" s="268"/>
      <c r="AZT479" s="268"/>
      <c r="AZU479" s="268"/>
      <c r="AZV479" s="268"/>
      <c r="AZW479" s="268"/>
      <c r="AZX479" s="268"/>
      <c r="AZY479" s="268"/>
      <c r="AZZ479" s="268"/>
      <c r="BAA479" s="268"/>
      <c r="BAB479" s="268"/>
      <c r="BAC479" s="268"/>
      <c r="BAD479" s="268"/>
      <c r="BAE479" s="268"/>
      <c r="BAF479" s="268"/>
      <c r="BAG479" s="268"/>
      <c r="BAH479" s="268"/>
      <c r="BAI479" s="268"/>
      <c r="BAJ479" s="268"/>
      <c r="BAK479" s="268"/>
      <c r="BAL479" s="268"/>
      <c r="BAM479" s="268"/>
      <c r="BAN479" s="268"/>
      <c r="BAO479" s="268"/>
      <c r="BAP479" s="268"/>
      <c r="BAQ479" s="268"/>
      <c r="BAR479" s="268"/>
      <c r="BAS479" s="268"/>
      <c r="BAT479" s="268"/>
      <c r="BAU479" s="268"/>
      <c r="BAV479" s="268"/>
      <c r="BAW479" s="268"/>
      <c r="BAX479" s="268"/>
      <c r="BAY479" s="268"/>
      <c r="BAZ479" s="268"/>
      <c r="BBA479" s="268"/>
      <c r="BBB479" s="268"/>
      <c r="BBC479" s="268"/>
      <c r="BBD479" s="268"/>
      <c r="BBE479" s="268"/>
      <c r="BBF479" s="268"/>
      <c r="BBG479" s="268"/>
      <c r="BBH479" s="268"/>
      <c r="BBI479" s="268"/>
      <c r="BBJ479" s="268"/>
      <c r="BBK479" s="268"/>
      <c r="BBL479" s="268"/>
      <c r="BBM479" s="268"/>
      <c r="BBN479" s="268"/>
      <c r="BBO479" s="268"/>
      <c r="BBP479" s="268"/>
      <c r="BBQ479" s="268"/>
      <c r="BBR479" s="268"/>
      <c r="BBS479" s="268"/>
      <c r="BBT479" s="268"/>
      <c r="BBU479" s="268"/>
      <c r="BBV479" s="268"/>
      <c r="BBW479" s="268"/>
      <c r="BBX479" s="268"/>
      <c r="BBY479" s="268"/>
      <c r="BBZ479" s="268"/>
      <c r="BCA479" s="268"/>
      <c r="BCB479" s="268"/>
      <c r="BCC479" s="268"/>
      <c r="BCD479" s="268"/>
      <c r="BCE479" s="268"/>
      <c r="BCF479" s="268"/>
      <c r="BCG479" s="268"/>
      <c r="BCH479" s="268"/>
      <c r="BCI479" s="268"/>
      <c r="BCJ479" s="268"/>
      <c r="BCK479" s="268"/>
      <c r="BCL479" s="268"/>
      <c r="BCM479" s="268"/>
      <c r="BCN479" s="268"/>
      <c r="BCO479" s="268"/>
      <c r="BCP479" s="268"/>
      <c r="BCQ479" s="268"/>
      <c r="BCR479" s="268"/>
      <c r="BCS479" s="268"/>
      <c r="BCT479" s="268"/>
      <c r="BCU479" s="268"/>
      <c r="BCV479" s="268"/>
      <c r="BCW479" s="268"/>
      <c r="BCX479" s="268"/>
      <c r="BCY479" s="268"/>
      <c r="BCZ479" s="268"/>
      <c r="BDA479" s="268"/>
      <c r="BDB479" s="268"/>
      <c r="BDC479" s="268"/>
      <c r="BDD479" s="268"/>
      <c r="BDE479" s="268"/>
      <c r="BDF479" s="268"/>
      <c r="BDG479" s="268"/>
      <c r="BDH479" s="268"/>
      <c r="BDI479" s="268"/>
      <c r="BDJ479" s="268"/>
      <c r="BDK479" s="268"/>
      <c r="BDL479" s="268"/>
      <c r="BDM479" s="268"/>
      <c r="BDN479" s="268"/>
      <c r="BDO479" s="268"/>
      <c r="BDP479" s="268"/>
      <c r="BDQ479" s="268"/>
      <c r="BDR479" s="268"/>
      <c r="BDS479" s="268"/>
      <c r="BDT479" s="268"/>
      <c r="BDU479" s="268"/>
      <c r="BDV479" s="268"/>
      <c r="BDW479" s="268"/>
      <c r="BDX479" s="268"/>
      <c r="BDY479" s="268"/>
      <c r="BDZ479" s="268"/>
      <c r="BEA479" s="268"/>
      <c r="BEB479" s="268"/>
      <c r="BEC479" s="268"/>
      <c r="BED479" s="268"/>
      <c r="BEE479" s="268"/>
      <c r="BEF479" s="268"/>
      <c r="BEG479" s="268"/>
      <c r="BEH479" s="268"/>
      <c r="BEI479" s="268"/>
      <c r="BEJ479" s="268"/>
      <c r="BEK479" s="268"/>
      <c r="BEL479" s="268"/>
      <c r="BEM479" s="268"/>
      <c r="BEN479" s="268"/>
      <c r="BEO479" s="268"/>
      <c r="BEP479" s="268"/>
      <c r="BEQ479" s="268"/>
      <c r="BER479" s="268"/>
      <c r="BES479" s="268"/>
      <c r="BET479" s="268"/>
      <c r="BEU479" s="268"/>
      <c r="BEV479" s="268"/>
      <c r="BEW479" s="268"/>
      <c r="BEX479" s="268"/>
      <c r="BEY479" s="268"/>
      <c r="BEZ479" s="268"/>
      <c r="BFA479" s="268"/>
      <c r="BFB479" s="268"/>
      <c r="BFC479" s="268"/>
      <c r="BFD479" s="268"/>
      <c r="BFE479" s="268"/>
      <c r="BFF479" s="268"/>
      <c r="BFG479" s="268"/>
      <c r="BFH479" s="268"/>
      <c r="BFI479" s="268"/>
      <c r="BFJ479" s="268"/>
      <c r="BFK479" s="268"/>
      <c r="BFL479" s="268"/>
      <c r="BFM479" s="268"/>
      <c r="BFN479" s="268"/>
      <c r="BFO479" s="268"/>
      <c r="BFP479" s="268"/>
      <c r="BFQ479" s="268"/>
      <c r="BFR479" s="268"/>
      <c r="BFS479" s="268"/>
      <c r="BGG479" s="268"/>
      <c r="BGH479" s="268"/>
      <c r="BGI479" s="268"/>
      <c r="BGW479" s="268"/>
      <c r="BGY479" s="268"/>
      <c r="BGZ479" s="268"/>
      <c r="BHA479" s="268"/>
      <c r="BHB479" s="268"/>
      <c r="BHC479" s="268"/>
      <c r="BHD479" s="268"/>
      <c r="BHE479" s="268"/>
      <c r="BHF479" s="268"/>
      <c r="BHG479" s="268"/>
      <c r="BHH479" s="268"/>
      <c r="BHI479" s="268"/>
      <c r="BHJ479" s="268"/>
      <c r="BHK479" s="268"/>
      <c r="BHL479" s="268"/>
      <c r="BHM479" s="268"/>
      <c r="BHN479" s="268"/>
      <c r="BHO479" s="268"/>
      <c r="BHP479" s="268"/>
      <c r="BHQ479" s="268"/>
      <c r="BHR479" s="268"/>
      <c r="BHS479" s="268"/>
      <c r="BHT479" s="268"/>
      <c r="BHU479" s="268"/>
      <c r="BHV479" s="268"/>
      <c r="BHW479" s="268"/>
      <c r="BHX479" s="268"/>
      <c r="BHY479" s="268"/>
      <c r="BHZ479" s="268"/>
      <c r="BIA479" s="268"/>
      <c r="BIB479" s="268"/>
      <c r="BIC479" s="268"/>
      <c r="BID479" s="268"/>
      <c r="BIE479" s="268"/>
      <c r="BIF479" s="268"/>
      <c r="BIG479" s="268"/>
      <c r="BIH479" s="268"/>
      <c r="BII479" s="268"/>
      <c r="BIJ479" s="268"/>
      <c r="BIK479" s="268"/>
      <c r="BIL479" s="268"/>
      <c r="BIM479" s="268"/>
      <c r="BIN479" s="268"/>
      <c r="BIO479" s="268"/>
      <c r="BIP479" s="268"/>
      <c r="BIQ479" s="268"/>
      <c r="BIR479" s="268"/>
      <c r="BIS479" s="268"/>
      <c r="BIT479" s="268"/>
      <c r="BIU479" s="268"/>
      <c r="BIV479" s="268"/>
      <c r="BIW479" s="268"/>
      <c r="BIX479" s="268"/>
      <c r="BIY479" s="268"/>
      <c r="BIZ479" s="268"/>
      <c r="BJA479" s="268"/>
      <c r="BJB479" s="268"/>
      <c r="BJC479" s="268"/>
      <c r="BJD479" s="268"/>
      <c r="BJE479" s="268"/>
      <c r="BJF479" s="268"/>
      <c r="BJG479" s="268"/>
      <c r="BJH479" s="268"/>
      <c r="BJI479" s="268"/>
      <c r="BJJ479" s="268"/>
      <c r="BJK479" s="268"/>
      <c r="BJL479" s="268"/>
      <c r="BJM479" s="268"/>
      <c r="BJN479" s="268"/>
      <c r="BJO479" s="268"/>
      <c r="BJP479" s="268"/>
      <c r="BJQ479" s="268"/>
      <c r="BJR479" s="268"/>
      <c r="BJS479" s="268"/>
      <c r="BJT479" s="268"/>
      <c r="BJU479" s="268"/>
      <c r="BJV479" s="268"/>
      <c r="BJW479" s="268"/>
      <c r="BJX479" s="268"/>
      <c r="BJY479" s="268"/>
      <c r="BJZ479" s="268"/>
      <c r="BKA479" s="268"/>
      <c r="BKB479" s="268"/>
      <c r="BKC479" s="268"/>
      <c r="BKD479" s="268"/>
      <c r="BKE479" s="268"/>
      <c r="BKF479" s="268"/>
      <c r="BKG479" s="268"/>
      <c r="BKH479" s="268"/>
      <c r="BKI479" s="268"/>
      <c r="BKJ479" s="268"/>
      <c r="BKK479" s="268"/>
      <c r="BKL479" s="268"/>
      <c r="BKM479" s="268"/>
      <c r="BKN479" s="268"/>
      <c r="BKO479" s="268"/>
      <c r="BKP479" s="268"/>
      <c r="BKQ479" s="268"/>
      <c r="BKR479" s="268"/>
      <c r="BKS479" s="268"/>
      <c r="BKT479" s="268"/>
      <c r="BKU479" s="268"/>
      <c r="BKV479" s="268"/>
      <c r="BKW479" s="268"/>
      <c r="BKX479" s="268"/>
      <c r="BKY479" s="268"/>
      <c r="BKZ479" s="268"/>
      <c r="BLA479" s="268"/>
      <c r="BLB479" s="268"/>
      <c r="BLC479" s="268"/>
      <c r="BLD479" s="268"/>
      <c r="BLE479" s="268"/>
      <c r="BLF479" s="268"/>
      <c r="BLG479" s="268"/>
      <c r="BLH479" s="268"/>
      <c r="BLI479" s="268"/>
      <c r="BLJ479" s="268"/>
      <c r="BLK479" s="268"/>
      <c r="BLL479" s="268"/>
      <c r="BLM479" s="268"/>
      <c r="BLN479" s="268"/>
      <c r="BLO479" s="268"/>
      <c r="BLP479" s="268"/>
      <c r="BLQ479" s="268"/>
      <c r="BLR479" s="268"/>
      <c r="BLS479" s="268"/>
      <c r="BLT479" s="268"/>
      <c r="BLU479" s="268"/>
      <c r="BLV479" s="268"/>
      <c r="BLW479" s="268"/>
      <c r="BLX479" s="268"/>
      <c r="BLY479" s="268"/>
      <c r="BLZ479" s="268"/>
      <c r="BMA479" s="268"/>
      <c r="BMB479" s="268"/>
      <c r="BMC479" s="268"/>
      <c r="BMD479" s="268"/>
      <c r="BME479" s="268"/>
      <c r="BMF479" s="268"/>
      <c r="BMG479" s="268"/>
      <c r="BMH479" s="268"/>
      <c r="BMI479" s="268"/>
      <c r="BMJ479" s="268"/>
      <c r="BMK479" s="268"/>
      <c r="BML479" s="268"/>
      <c r="BMM479" s="268"/>
      <c r="BMN479" s="268"/>
      <c r="BMO479" s="268"/>
      <c r="BMP479" s="268"/>
      <c r="BMQ479" s="268"/>
      <c r="BMR479" s="268"/>
      <c r="BMS479" s="268"/>
      <c r="BMT479" s="268"/>
      <c r="BMU479" s="268"/>
      <c r="BMV479" s="268"/>
      <c r="BMW479" s="268"/>
      <c r="BMX479" s="268"/>
      <c r="BMY479" s="268"/>
      <c r="BMZ479" s="268"/>
      <c r="BNA479" s="268"/>
      <c r="BNB479" s="268"/>
      <c r="BNC479" s="268"/>
      <c r="BND479" s="268"/>
      <c r="BNE479" s="268"/>
      <c r="BNF479" s="268"/>
      <c r="BNG479" s="268"/>
      <c r="BNH479" s="268"/>
      <c r="BNI479" s="268"/>
      <c r="BNJ479" s="268"/>
      <c r="BNK479" s="268"/>
      <c r="BNL479" s="268"/>
      <c r="BNM479" s="268"/>
      <c r="BNN479" s="268"/>
      <c r="BNO479" s="268"/>
      <c r="BNP479" s="268"/>
      <c r="BNQ479" s="268"/>
      <c r="BNR479" s="268"/>
      <c r="BNS479" s="268"/>
      <c r="BNT479" s="268"/>
      <c r="BNU479" s="268"/>
      <c r="BNV479" s="268"/>
      <c r="BNW479" s="268"/>
      <c r="BNX479" s="268"/>
      <c r="BNY479" s="268"/>
      <c r="BNZ479" s="268"/>
      <c r="BOA479" s="268"/>
      <c r="BOB479" s="268"/>
      <c r="BOC479" s="268"/>
      <c r="BOD479" s="268"/>
      <c r="BOE479" s="268"/>
      <c r="BOF479" s="268"/>
      <c r="BOG479" s="268"/>
      <c r="BOH479" s="268"/>
      <c r="BOI479" s="268"/>
      <c r="BOJ479" s="268"/>
      <c r="BOK479" s="268"/>
      <c r="BOL479" s="268"/>
      <c r="BOM479" s="268"/>
      <c r="BON479" s="268"/>
      <c r="BOO479" s="268"/>
      <c r="BOP479" s="268"/>
      <c r="BOQ479" s="268"/>
      <c r="BOR479" s="268"/>
      <c r="BOS479" s="268"/>
      <c r="BOT479" s="268"/>
      <c r="BOU479" s="268"/>
      <c r="BOV479" s="268"/>
      <c r="BOW479" s="268"/>
      <c r="BOX479" s="268"/>
      <c r="BOY479" s="268"/>
      <c r="BOZ479" s="268"/>
      <c r="BPA479" s="268"/>
      <c r="BPB479" s="268"/>
      <c r="BPC479" s="268"/>
      <c r="BPD479" s="268"/>
      <c r="BPE479" s="268"/>
      <c r="BPF479" s="268"/>
      <c r="BPG479" s="268"/>
      <c r="BPH479" s="268"/>
      <c r="BPI479" s="268"/>
      <c r="BPJ479" s="268"/>
      <c r="BPK479" s="268"/>
      <c r="BPL479" s="268"/>
      <c r="BPM479" s="268"/>
      <c r="BPN479" s="268"/>
      <c r="BPO479" s="268"/>
      <c r="BQC479" s="268"/>
      <c r="BQD479" s="268"/>
      <c r="BQE479" s="268"/>
      <c r="BQS479" s="268"/>
      <c r="BQU479" s="268"/>
      <c r="BQV479" s="268"/>
      <c r="BQW479" s="268"/>
      <c r="BQX479" s="268"/>
      <c r="BQY479" s="268"/>
      <c r="BQZ479" s="268"/>
      <c r="BRA479" s="268"/>
      <c r="BRB479" s="268"/>
      <c r="BRC479" s="268"/>
      <c r="BRD479" s="268"/>
      <c r="BRE479" s="268"/>
      <c r="BRF479" s="268"/>
      <c r="BRG479" s="268"/>
      <c r="BRH479" s="268"/>
      <c r="BRI479" s="268"/>
      <c r="BRJ479" s="268"/>
      <c r="BRK479" s="268"/>
      <c r="BRL479" s="268"/>
      <c r="BRM479" s="268"/>
      <c r="BRN479" s="268"/>
      <c r="BRO479" s="268"/>
      <c r="BRP479" s="268"/>
      <c r="BRQ479" s="268"/>
      <c r="BRR479" s="268"/>
      <c r="BRS479" s="268"/>
      <c r="BRT479" s="268"/>
      <c r="BRU479" s="268"/>
      <c r="BRV479" s="268"/>
      <c r="BRW479" s="268"/>
      <c r="BRX479" s="268"/>
      <c r="BRY479" s="268"/>
      <c r="BRZ479" s="268"/>
      <c r="BSA479" s="268"/>
      <c r="BSB479" s="268"/>
      <c r="BSC479" s="268"/>
      <c r="BSD479" s="268"/>
      <c r="BSE479" s="268"/>
      <c r="BSF479" s="268"/>
      <c r="BSG479" s="268"/>
      <c r="BSH479" s="268"/>
      <c r="BSI479" s="268"/>
      <c r="BSJ479" s="268"/>
      <c r="BSK479" s="268"/>
      <c r="BSL479" s="268"/>
      <c r="BSM479" s="268"/>
      <c r="BSN479" s="268"/>
      <c r="BSO479" s="268"/>
      <c r="BSP479" s="268"/>
      <c r="BSQ479" s="268"/>
      <c r="BSR479" s="268"/>
      <c r="BSS479" s="268"/>
      <c r="BST479" s="268"/>
      <c r="BSU479" s="268"/>
      <c r="BSV479" s="268"/>
      <c r="BSW479" s="268"/>
      <c r="BSX479" s="268"/>
      <c r="BSY479" s="268"/>
      <c r="BSZ479" s="268"/>
      <c r="BTA479" s="268"/>
      <c r="BTB479" s="268"/>
      <c r="BTC479" s="268"/>
      <c r="BTD479" s="268"/>
      <c r="BTE479" s="268"/>
      <c r="BTF479" s="268"/>
      <c r="BTG479" s="268"/>
      <c r="BTH479" s="268"/>
      <c r="BTI479" s="268"/>
      <c r="BTJ479" s="268"/>
      <c r="BTK479" s="268"/>
      <c r="BTL479" s="268"/>
      <c r="BTM479" s="268"/>
      <c r="BTN479" s="268"/>
      <c r="BTO479" s="268"/>
      <c r="BTP479" s="268"/>
      <c r="BTQ479" s="268"/>
      <c r="BTR479" s="268"/>
      <c r="BTS479" s="268"/>
      <c r="BTT479" s="268"/>
      <c r="BTU479" s="268"/>
      <c r="BTV479" s="268"/>
      <c r="BTW479" s="268"/>
      <c r="BTX479" s="268"/>
      <c r="BTY479" s="268"/>
      <c r="BTZ479" s="268"/>
      <c r="BUA479" s="268"/>
      <c r="BUB479" s="268"/>
      <c r="BUC479" s="268"/>
      <c r="BUD479" s="268"/>
      <c r="BUE479" s="268"/>
      <c r="BUF479" s="268"/>
      <c r="BUG479" s="268"/>
      <c r="BUH479" s="268"/>
      <c r="BUI479" s="268"/>
      <c r="BUJ479" s="268"/>
      <c r="BUK479" s="268"/>
      <c r="BUL479" s="268"/>
      <c r="BUM479" s="268"/>
      <c r="BUN479" s="268"/>
      <c r="BUO479" s="268"/>
      <c r="BUP479" s="268"/>
      <c r="BUQ479" s="268"/>
      <c r="BUR479" s="268"/>
      <c r="BUS479" s="268"/>
      <c r="BUT479" s="268"/>
      <c r="BUU479" s="268"/>
      <c r="BUV479" s="268"/>
      <c r="BUW479" s="268"/>
      <c r="BUX479" s="268"/>
      <c r="BUY479" s="268"/>
      <c r="BUZ479" s="268"/>
      <c r="BVA479" s="268"/>
      <c r="BVB479" s="268"/>
      <c r="BVC479" s="268"/>
      <c r="BVD479" s="268"/>
      <c r="BVE479" s="268"/>
      <c r="BVF479" s="268"/>
      <c r="BVG479" s="268"/>
      <c r="BVH479" s="268"/>
      <c r="BVI479" s="268"/>
      <c r="BVJ479" s="268"/>
      <c r="BVK479" s="268"/>
      <c r="BVL479" s="268"/>
      <c r="BVM479" s="268"/>
      <c r="BVN479" s="268"/>
      <c r="BVO479" s="268"/>
      <c r="BVP479" s="268"/>
      <c r="BVQ479" s="268"/>
      <c r="BVR479" s="268"/>
      <c r="BVS479" s="268"/>
      <c r="BVT479" s="268"/>
      <c r="BVU479" s="268"/>
      <c r="BVV479" s="268"/>
      <c r="BVW479" s="268"/>
      <c r="BVX479" s="268"/>
      <c r="BVY479" s="268"/>
      <c r="BVZ479" s="268"/>
      <c r="BWA479" s="268"/>
      <c r="BWB479" s="268"/>
      <c r="BWC479" s="268"/>
      <c r="BWD479" s="268"/>
      <c r="BWE479" s="268"/>
      <c r="BWF479" s="268"/>
      <c r="BWG479" s="268"/>
      <c r="BWH479" s="268"/>
      <c r="BWI479" s="268"/>
      <c r="BWJ479" s="268"/>
      <c r="BWK479" s="268"/>
      <c r="BWL479" s="268"/>
      <c r="BWM479" s="268"/>
      <c r="BWN479" s="268"/>
      <c r="BWO479" s="268"/>
      <c r="BWP479" s="268"/>
      <c r="BWQ479" s="268"/>
      <c r="BWR479" s="268"/>
      <c r="BWS479" s="268"/>
      <c r="BWT479" s="268"/>
      <c r="BWU479" s="268"/>
      <c r="BWV479" s="268"/>
      <c r="BWW479" s="268"/>
      <c r="BWX479" s="268"/>
      <c r="BWY479" s="268"/>
      <c r="BWZ479" s="268"/>
      <c r="BXA479" s="268"/>
      <c r="BXB479" s="268"/>
      <c r="BXC479" s="268"/>
      <c r="BXD479" s="268"/>
      <c r="BXE479" s="268"/>
      <c r="BXF479" s="268"/>
      <c r="BXG479" s="268"/>
      <c r="BXH479" s="268"/>
      <c r="BXI479" s="268"/>
      <c r="BXJ479" s="268"/>
      <c r="BXK479" s="268"/>
      <c r="BXL479" s="268"/>
      <c r="BXM479" s="268"/>
      <c r="BXN479" s="268"/>
      <c r="BXO479" s="268"/>
      <c r="BXP479" s="268"/>
      <c r="BXQ479" s="268"/>
      <c r="BXR479" s="268"/>
      <c r="BXS479" s="268"/>
      <c r="BXT479" s="268"/>
      <c r="BXU479" s="268"/>
      <c r="BXV479" s="268"/>
      <c r="BXW479" s="268"/>
      <c r="BXX479" s="268"/>
      <c r="BXY479" s="268"/>
      <c r="BXZ479" s="268"/>
      <c r="BYA479" s="268"/>
      <c r="BYB479" s="268"/>
      <c r="BYC479" s="268"/>
      <c r="BYD479" s="268"/>
      <c r="BYE479" s="268"/>
      <c r="BYF479" s="268"/>
      <c r="BYG479" s="268"/>
      <c r="BYH479" s="268"/>
      <c r="BYI479" s="268"/>
      <c r="BYJ479" s="268"/>
      <c r="BYK479" s="268"/>
      <c r="BYL479" s="268"/>
      <c r="BYM479" s="268"/>
      <c r="BYN479" s="268"/>
      <c r="BYO479" s="268"/>
      <c r="BYP479" s="268"/>
      <c r="BYQ479" s="268"/>
      <c r="BYR479" s="268"/>
      <c r="BYS479" s="268"/>
      <c r="BYT479" s="268"/>
      <c r="BYU479" s="268"/>
      <c r="BYV479" s="268"/>
      <c r="BYW479" s="268"/>
      <c r="BYX479" s="268"/>
      <c r="BYY479" s="268"/>
      <c r="BYZ479" s="268"/>
      <c r="BZA479" s="268"/>
      <c r="BZB479" s="268"/>
      <c r="BZC479" s="268"/>
      <c r="BZD479" s="268"/>
      <c r="BZE479" s="268"/>
      <c r="BZF479" s="268"/>
      <c r="BZG479" s="268"/>
      <c r="BZH479" s="268"/>
      <c r="BZI479" s="268"/>
      <c r="BZJ479" s="268"/>
      <c r="BZK479" s="268"/>
      <c r="BZY479" s="268"/>
      <c r="BZZ479" s="268"/>
      <c r="CAA479" s="268"/>
      <c r="CAO479" s="268"/>
      <c r="CAQ479" s="268"/>
      <c r="CAR479" s="268"/>
      <c r="CAS479" s="268"/>
      <c r="CAT479" s="268"/>
      <c r="CAU479" s="268"/>
      <c r="CAV479" s="268"/>
      <c r="CAW479" s="268"/>
      <c r="CAX479" s="268"/>
      <c r="CAY479" s="268"/>
      <c r="CAZ479" s="268"/>
      <c r="CBA479" s="268"/>
      <c r="CBB479" s="268"/>
      <c r="CBC479" s="268"/>
      <c r="CBD479" s="268"/>
      <c r="CBE479" s="268"/>
      <c r="CBF479" s="268"/>
      <c r="CBG479" s="268"/>
      <c r="CBH479" s="268"/>
      <c r="CBI479" s="268"/>
      <c r="CBJ479" s="268"/>
      <c r="CBK479" s="268"/>
      <c r="CBL479" s="268"/>
      <c r="CBM479" s="268"/>
      <c r="CBN479" s="268"/>
      <c r="CBO479" s="268"/>
      <c r="CBP479" s="268"/>
      <c r="CBQ479" s="268"/>
      <c r="CBR479" s="268"/>
      <c r="CBS479" s="268"/>
      <c r="CBT479" s="268"/>
      <c r="CBU479" s="268"/>
      <c r="CBV479" s="268"/>
      <c r="CBW479" s="268"/>
      <c r="CBX479" s="268"/>
      <c r="CBY479" s="268"/>
      <c r="CBZ479" s="268"/>
      <c r="CCA479" s="268"/>
      <c r="CCB479" s="268"/>
      <c r="CCC479" s="268"/>
      <c r="CCD479" s="268"/>
      <c r="CCE479" s="268"/>
      <c r="CCF479" s="268"/>
      <c r="CCG479" s="268"/>
      <c r="CCH479" s="268"/>
      <c r="CCI479" s="268"/>
      <c r="CCJ479" s="268"/>
      <c r="CCK479" s="268"/>
      <c r="CCL479" s="268"/>
      <c r="CCM479" s="268"/>
      <c r="CCN479" s="268"/>
      <c r="CCO479" s="268"/>
      <c r="CCP479" s="268"/>
      <c r="CCQ479" s="268"/>
      <c r="CCR479" s="268"/>
      <c r="CCS479" s="268"/>
      <c r="CCT479" s="268"/>
      <c r="CCU479" s="268"/>
      <c r="CCV479" s="268"/>
      <c r="CCW479" s="268"/>
      <c r="CCX479" s="268"/>
      <c r="CCY479" s="268"/>
      <c r="CCZ479" s="268"/>
      <c r="CDA479" s="268"/>
      <c r="CDB479" s="268"/>
      <c r="CDC479" s="268"/>
      <c r="CDD479" s="268"/>
      <c r="CDE479" s="268"/>
      <c r="CDF479" s="268"/>
      <c r="CDG479" s="268"/>
      <c r="CDH479" s="268"/>
      <c r="CDI479" s="268"/>
      <c r="CDJ479" s="268"/>
      <c r="CDK479" s="268"/>
      <c r="CDL479" s="268"/>
      <c r="CDM479" s="268"/>
      <c r="CDN479" s="268"/>
      <c r="CDO479" s="268"/>
      <c r="CDP479" s="268"/>
      <c r="CDQ479" s="268"/>
      <c r="CDR479" s="268"/>
      <c r="CDS479" s="268"/>
      <c r="CDT479" s="268"/>
      <c r="CDU479" s="268"/>
      <c r="CDV479" s="268"/>
      <c r="CDW479" s="268"/>
      <c r="CDX479" s="268"/>
      <c r="CDY479" s="268"/>
      <c r="CDZ479" s="268"/>
      <c r="CEA479" s="268"/>
      <c r="CEB479" s="268"/>
      <c r="CEC479" s="268"/>
      <c r="CED479" s="268"/>
      <c r="CEE479" s="268"/>
      <c r="CEF479" s="268"/>
      <c r="CEG479" s="268"/>
      <c r="CEH479" s="268"/>
      <c r="CEI479" s="268"/>
      <c r="CEJ479" s="268"/>
      <c r="CEK479" s="268"/>
      <c r="CEL479" s="268"/>
      <c r="CEM479" s="268"/>
      <c r="CEN479" s="268"/>
      <c r="CEO479" s="268"/>
      <c r="CEP479" s="268"/>
      <c r="CEQ479" s="268"/>
      <c r="CER479" s="268"/>
      <c r="CES479" s="268"/>
      <c r="CET479" s="268"/>
      <c r="CEU479" s="268"/>
      <c r="CEV479" s="268"/>
      <c r="CEW479" s="268"/>
      <c r="CEX479" s="268"/>
      <c r="CEY479" s="268"/>
      <c r="CEZ479" s="268"/>
      <c r="CFA479" s="268"/>
      <c r="CFB479" s="268"/>
      <c r="CFC479" s="268"/>
      <c r="CFD479" s="268"/>
      <c r="CFE479" s="268"/>
      <c r="CFF479" s="268"/>
      <c r="CFG479" s="268"/>
      <c r="CFH479" s="268"/>
      <c r="CFI479" s="268"/>
      <c r="CFJ479" s="268"/>
      <c r="CFK479" s="268"/>
      <c r="CFL479" s="268"/>
      <c r="CFM479" s="268"/>
      <c r="CFN479" s="268"/>
      <c r="CFO479" s="268"/>
      <c r="CFP479" s="268"/>
      <c r="CFQ479" s="268"/>
      <c r="CFR479" s="268"/>
      <c r="CFS479" s="268"/>
      <c r="CFT479" s="268"/>
      <c r="CFU479" s="268"/>
      <c r="CFV479" s="268"/>
      <c r="CFW479" s="268"/>
      <c r="CFX479" s="268"/>
      <c r="CFY479" s="268"/>
      <c r="CFZ479" s="268"/>
      <c r="CGA479" s="268"/>
      <c r="CGB479" s="268"/>
      <c r="CGC479" s="268"/>
      <c r="CGD479" s="268"/>
      <c r="CGE479" s="268"/>
      <c r="CGF479" s="268"/>
      <c r="CGG479" s="268"/>
      <c r="CGH479" s="268"/>
      <c r="CGI479" s="268"/>
      <c r="CGJ479" s="268"/>
      <c r="CGK479" s="268"/>
      <c r="CGL479" s="268"/>
      <c r="CGM479" s="268"/>
      <c r="CGN479" s="268"/>
      <c r="CGO479" s="268"/>
      <c r="CGP479" s="268"/>
      <c r="CGQ479" s="268"/>
      <c r="CGR479" s="268"/>
      <c r="CGS479" s="268"/>
      <c r="CGT479" s="268"/>
      <c r="CGU479" s="268"/>
      <c r="CGV479" s="268"/>
      <c r="CGW479" s="268"/>
      <c r="CGX479" s="268"/>
      <c r="CGY479" s="268"/>
      <c r="CGZ479" s="268"/>
      <c r="CHA479" s="268"/>
      <c r="CHB479" s="268"/>
      <c r="CHC479" s="268"/>
      <c r="CHD479" s="268"/>
      <c r="CHE479" s="268"/>
      <c r="CHF479" s="268"/>
      <c r="CHG479" s="268"/>
      <c r="CHH479" s="268"/>
      <c r="CHI479" s="268"/>
      <c r="CHJ479" s="268"/>
      <c r="CHK479" s="268"/>
      <c r="CHL479" s="268"/>
      <c r="CHM479" s="268"/>
      <c r="CHN479" s="268"/>
      <c r="CHO479" s="268"/>
      <c r="CHP479" s="268"/>
      <c r="CHQ479" s="268"/>
      <c r="CHR479" s="268"/>
      <c r="CHS479" s="268"/>
      <c r="CHT479" s="268"/>
      <c r="CHU479" s="268"/>
      <c r="CHV479" s="268"/>
      <c r="CHW479" s="268"/>
      <c r="CHX479" s="268"/>
      <c r="CHY479" s="268"/>
      <c r="CHZ479" s="268"/>
      <c r="CIA479" s="268"/>
      <c r="CIB479" s="268"/>
      <c r="CIC479" s="268"/>
      <c r="CID479" s="268"/>
      <c r="CIE479" s="268"/>
      <c r="CIF479" s="268"/>
      <c r="CIG479" s="268"/>
      <c r="CIH479" s="268"/>
      <c r="CII479" s="268"/>
      <c r="CIJ479" s="268"/>
      <c r="CIK479" s="268"/>
      <c r="CIL479" s="268"/>
      <c r="CIM479" s="268"/>
      <c r="CIN479" s="268"/>
      <c r="CIO479" s="268"/>
      <c r="CIP479" s="268"/>
      <c r="CIQ479" s="268"/>
      <c r="CIR479" s="268"/>
      <c r="CIS479" s="268"/>
      <c r="CIT479" s="268"/>
      <c r="CIU479" s="268"/>
      <c r="CIV479" s="268"/>
      <c r="CIW479" s="268"/>
      <c r="CIX479" s="268"/>
      <c r="CIY479" s="268"/>
      <c r="CIZ479" s="268"/>
      <c r="CJA479" s="268"/>
      <c r="CJB479" s="268"/>
      <c r="CJC479" s="268"/>
      <c r="CJD479" s="268"/>
      <c r="CJE479" s="268"/>
      <c r="CJF479" s="268"/>
      <c r="CJG479" s="268"/>
      <c r="CJU479" s="268"/>
      <c r="CJV479" s="268"/>
      <c r="CJW479" s="268"/>
      <c r="CKK479" s="268"/>
      <c r="CKM479" s="268"/>
      <c r="CKN479" s="268"/>
      <c r="CKO479" s="268"/>
      <c r="CKP479" s="268"/>
      <c r="CKQ479" s="268"/>
      <c r="CKR479" s="268"/>
      <c r="CKS479" s="268"/>
      <c r="CKT479" s="268"/>
      <c r="CKU479" s="268"/>
      <c r="CKV479" s="268"/>
      <c r="CKW479" s="268"/>
      <c r="CKX479" s="268"/>
      <c r="CKY479" s="268"/>
      <c r="CKZ479" s="268"/>
      <c r="CLA479" s="268"/>
      <c r="CLB479" s="268"/>
      <c r="CLC479" s="268"/>
      <c r="CLD479" s="268"/>
      <c r="CLE479" s="268"/>
      <c r="CLF479" s="268"/>
      <c r="CLG479" s="268"/>
      <c r="CLH479" s="268"/>
      <c r="CLI479" s="268"/>
      <c r="CLJ479" s="268"/>
      <c r="CLK479" s="268"/>
      <c r="CLL479" s="268"/>
      <c r="CLM479" s="268"/>
      <c r="CLN479" s="268"/>
      <c r="CLO479" s="268"/>
      <c r="CLP479" s="268"/>
      <c r="CLQ479" s="268"/>
      <c r="CLR479" s="268"/>
      <c r="CLS479" s="268"/>
      <c r="CLT479" s="268"/>
      <c r="CLU479" s="268"/>
      <c r="CLV479" s="268"/>
      <c r="CLW479" s="268"/>
      <c r="CLX479" s="268"/>
      <c r="CLY479" s="268"/>
      <c r="CLZ479" s="268"/>
      <c r="CMA479" s="268"/>
      <c r="CMB479" s="268"/>
      <c r="CMC479" s="268"/>
      <c r="CMD479" s="268"/>
      <c r="CME479" s="268"/>
      <c r="CMF479" s="268"/>
      <c r="CMG479" s="268"/>
      <c r="CMH479" s="268"/>
      <c r="CMI479" s="268"/>
      <c r="CMJ479" s="268"/>
      <c r="CMK479" s="268"/>
      <c r="CML479" s="268"/>
      <c r="CMM479" s="268"/>
      <c r="CMN479" s="268"/>
      <c r="CMO479" s="268"/>
      <c r="CMP479" s="268"/>
      <c r="CMQ479" s="268"/>
      <c r="CMR479" s="268"/>
      <c r="CMS479" s="268"/>
      <c r="CMT479" s="268"/>
      <c r="CMU479" s="268"/>
      <c r="CMV479" s="268"/>
      <c r="CMW479" s="268"/>
      <c r="CMX479" s="268"/>
      <c r="CMY479" s="268"/>
      <c r="CMZ479" s="268"/>
      <c r="CNA479" s="268"/>
      <c r="CNB479" s="268"/>
      <c r="CNC479" s="268"/>
      <c r="CND479" s="268"/>
      <c r="CNE479" s="268"/>
      <c r="CNF479" s="268"/>
      <c r="CNG479" s="268"/>
      <c r="CNH479" s="268"/>
      <c r="CNI479" s="268"/>
      <c r="CNJ479" s="268"/>
      <c r="CNK479" s="268"/>
      <c r="CNL479" s="268"/>
      <c r="CNM479" s="268"/>
      <c r="CNN479" s="268"/>
      <c r="CNO479" s="268"/>
      <c r="CNP479" s="268"/>
      <c r="CNQ479" s="268"/>
      <c r="CNR479" s="268"/>
      <c r="CNS479" s="268"/>
      <c r="CNT479" s="268"/>
      <c r="CNU479" s="268"/>
      <c r="CNV479" s="268"/>
      <c r="CNW479" s="268"/>
      <c r="CNX479" s="268"/>
      <c r="CNY479" s="268"/>
      <c r="CNZ479" s="268"/>
      <c r="COA479" s="268"/>
      <c r="COB479" s="268"/>
      <c r="COC479" s="268"/>
      <c r="COD479" s="268"/>
      <c r="COE479" s="268"/>
      <c r="COF479" s="268"/>
      <c r="COG479" s="268"/>
      <c r="COH479" s="268"/>
      <c r="COI479" s="268"/>
      <c r="COJ479" s="268"/>
      <c r="COK479" s="268"/>
      <c r="COL479" s="268"/>
      <c r="COM479" s="268"/>
      <c r="CON479" s="268"/>
      <c r="COO479" s="268"/>
      <c r="COP479" s="268"/>
      <c r="COQ479" s="268"/>
      <c r="COR479" s="268"/>
      <c r="COS479" s="268"/>
      <c r="COT479" s="268"/>
      <c r="COU479" s="268"/>
      <c r="COV479" s="268"/>
      <c r="COW479" s="268"/>
      <c r="COX479" s="268"/>
      <c r="COY479" s="268"/>
      <c r="COZ479" s="268"/>
      <c r="CPA479" s="268"/>
      <c r="CPB479" s="268"/>
      <c r="CPC479" s="268"/>
      <c r="CPD479" s="268"/>
      <c r="CPE479" s="268"/>
      <c r="CPF479" s="268"/>
      <c r="CPG479" s="268"/>
      <c r="CPH479" s="268"/>
      <c r="CPI479" s="268"/>
      <c r="CPJ479" s="268"/>
      <c r="CPK479" s="268"/>
      <c r="CPL479" s="268"/>
      <c r="CPM479" s="268"/>
      <c r="CPN479" s="268"/>
      <c r="CPO479" s="268"/>
      <c r="CPP479" s="268"/>
      <c r="CPQ479" s="268"/>
      <c r="CPR479" s="268"/>
      <c r="CPS479" s="268"/>
      <c r="CPT479" s="268"/>
      <c r="CPU479" s="268"/>
      <c r="CPV479" s="268"/>
      <c r="CPW479" s="268"/>
      <c r="CPX479" s="268"/>
      <c r="CPY479" s="268"/>
      <c r="CPZ479" s="268"/>
      <c r="CQA479" s="268"/>
      <c r="CQB479" s="268"/>
      <c r="CQC479" s="268"/>
      <c r="CQD479" s="268"/>
      <c r="CQE479" s="268"/>
      <c r="CQF479" s="268"/>
      <c r="CQG479" s="268"/>
      <c r="CQH479" s="268"/>
      <c r="CQI479" s="268"/>
      <c r="CQJ479" s="268"/>
      <c r="CQK479" s="268"/>
      <c r="CQL479" s="268"/>
      <c r="CQM479" s="268"/>
      <c r="CQN479" s="268"/>
      <c r="CQO479" s="268"/>
      <c r="CQP479" s="268"/>
      <c r="CQQ479" s="268"/>
      <c r="CQR479" s="268"/>
      <c r="CQS479" s="268"/>
      <c r="CQT479" s="268"/>
      <c r="CQU479" s="268"/>
      <c r="CQV479" s="268"/>
      <c r="CQW479" s="268"/>
      <c r="CQX479" s="268"/>
      <c r="CQY479" s="268"/>
      <c r="CQZ479" s="268"/>
      <c r="CRA479" s="268"/>
      <c r="CRB479" s="268"/>
      <c r="CRC479" s="268"/>
      <c r="CRD479" s="268"/>
      <c r="CRE479" s="268"/>
      <c r="CRF479" s="268"/>
      <c r="CRG479" s="268"/>
      <c r="CRH479" s="268"/>
      <c r="CRI479" s="268"/>
      <c r="CRJ479" s="268"/>
      <c r="CRK479" s="268"/>
      <c r="CRL479" s="268"/>
      <c r="CRM479" s="268"/>
      <c r="CRN479" s="268"/>
      <c r="CRO479" s="268"/>
      <c r="CRP479" s="268"/>
      <c r="CRQ479" s="268"/>
      <c r="CRR479" s="268"/>
      <c r="CRS479" s="268"/>
      <c r="CRT479" s="268"/>
      <c r="CRU479" s="268"/>
      <c r="CRV479" s="268"/>
      <c r="CRW479" s="268"/>
      <c r="CRX479" s="268"/>
      <c r="CRY479" s="268"/>
      <c r="CRZ479" s="268"/>
      <c r="CSA479" s="268"/>
      <c r="CSB479" s="268"/>
      <c r="CSC479" s="268"/>
      <c r="CSD479" s="268"/>
      <c r="CSE479" s="268"/>
      <c r="CSF479" s="268"/>
      <c r="CSG479" s="268"/>
      <c r="CSH479" s="268"/>
      <c r="CSI479" s="268"/>
      <c r="CSJ479" s="268"/>
      <c r="CSK479" s="268"/>
      <c r="CSL479" s="268"/>
      <c r="CSM479" s="268"/>
      <c r="CSN479" s="268"/>
      <c r="CSO479" s="268"/>
      <c r="CSP479" s="268"/>
      <c r="CSQ479" s="268"/>
      <c r="CSR479" s="268"/>
      <c r="CSS479" s="268"/>
      <c r="CST479" s="268"/>
      <c r="CSU479" s="268"/>
      <c r="CSV479" s="268"/>
      <c r="CSW479" s="268"/>
      <c r="CSX479" s="268"/>
      <c r="CSY479" s="268"/>
      <c r="CSZ479" s="268"/>
      <c r="CTA479" s="268"/>
      <c r="CTB479" s="268"/>
      <c r="CTC479" s="268"/>
      <c r="CTQ479" s="268"/>
      <c r="CTR479" s="268"/>
      <c r="CTS479" s="268"/>
      <c r="CUG479" s="268"/>
      <c r="CUI479" s="268"/>
      <c r="CUJ479" s="268"/>
      <c r="CUK479" s="268"/>
      <c r="CUL479" s="268"/>
      <c r="CUM479" s="268"/>
      <c r="CUN479" s="268"/>
      <c r="CUO479" s="268"/>
      <c r="CUP479" s="268"/>
      <c r="CUQ479" s="268"/>
      <c r="CUR479" s="268"/>
      <c r="CUS479" s="268"/>
      <c r="CUT479" s="268"/>
      <c r="CUU479" s="268"/>
      <c r="CUV479" s="268"/>
      <c r="CUW479" s="268"/>
      <c r="CUX479" s="268"/>
      <c r="CUY479" s="268"/>
      <c r="CUZ479" s="268"/>
      <c r="CVA479" s="268"/>
      <c r="CVB479" s="268"/>
      <c r="CVC479" s="268"/>
      <c r="CVD479" s="268"/>
      <c r="CVE479" s="268"/>
      <c r="CVF479" s="268"/>
      <c r="CVG479" s="268"/>
      <c r="CVH479" s="268"/>
      <c r="CVI479" s="268"/>
      <c r="CVJ479" s="268"/>
      <c r="CVK479" s="268"/>
      <c r="CVL479" s="268"/>
      <c r="CVM479" s="268"/>
      <c r="CVN479" s="268"/>
      <c r="CVO479" s="268"/>
      <c r="CVP479" s="268"/>
      <c r="CVQ479" s="268"/>
      <c r="CVR479" s="268"/>
      <c r="CVS479" s="268"/>
      <c r="CVT479" s="268"/>
      <c r="CVU479" s="268"/>
      <c r="CVV479" s="268"/>
      <c r="CVW479" s="268"/>
      <c r="CVX479" s="268"/>
      <c r="CVY479" s="268"/>
      <c r="CVZ479" s="268"/>
      <c r="CWA479" s="268"/>
      <c r="CWB479" s="268"/>
      <c r="CWC479" s="268"/>
      <c r="CWD479" s="268"/>
      <c r="CWE479" s="268"/>
      <c r="CWF479" s="268"/>
      <c r="CWG479" s="268"/>
      <c r="CWH479" s="268"/>
      <c r="CWI479" s="268"/>
      <c r="CWJ479" s="268"/>
      <c r="CWK479" s="268"/>
      <c r="CWL479" s="268"/>
      <c r="CWM479" s="268"/>
      <c r="CWN479" s="268"/>
      <c r="CWO479" s="268"/>
      <c r="CWP479" s="268"/>
      <c r="CWQ479" s="268"/>
      <c r="CWR479" s="268"/>
      <c r="CWS479" s="268"/>
      <c r="CWT479" s="268"/>
      <c r="CWU479" s="268"/>
      <c r="CWV479" s="268"/>
      <c r="CWW479" s="268"/>
      <c r="CWX479" s="268"/>
      <c r="CWY479" s="268"/>
      <c r="CWZ479" s="268"/>
      <c r="CXA479" s="268"/>
      <c r="CXB479" s="268"/>
      <c r="CXC479" s="268"/>
      <c r="CXD479" s="268"/>
      <c r="CXE479" s="268"/>
      <c r="CXF479" s="268"/>
      <c r="CXG479" s="268"/>
      <c r="CXH479" s="268"/>
      <c r="CXI479" s="268"/>
      <c r="CXJ479" s="268"/>
      <c r="CXK479" s="268"/>
      <c r="CXL479" s="268"/>
      <c r="CXM479" s="268"/>
      <c r="CXN479" s="268"/>
      <c r="CXO479" s="268"/>
      <c r="CXP479" s="268"/>
      <c r="CXQ479" s="268"/>
      <c r="CXR479" s="268"/>
      <c r="CXS479" s="268"/>
      <c r="CXT479" s="268"/>
      <c r="CXU479" s="268"/>
      <c r="CXV479" s="268"/>
      <c r="CXW479" s="268"/>
      <c r="CXX479" s="268"/>
      <c r="CXY479" s="268"/>
      <c r="CXZ479" s="268"/>
      <c r="CYA479" s="268"/>
      <c r="CYB479" s="268"/>
      <c r="CYC479" s="268"/>
      <c r="CYD479" s="268"/>
      <c r="CYE479" s="268"/>
      <c r="CYF479" s="268"/>
      <c r="CYG479" s="268"/>
      <c r="CYH479" s="268"/>
      <c r="CYI479" s="268"/>
      <c r="CYJ479" s="268"/>
      <c r="CYK479" s="268"/>
      <c r="CYL479" s="268"/>
      <c r="CYM479" s="268"/>
      <c r="CYN479" s="268"/>
      <c r="CYO479" s="268"/>
      <c r="CYP479" s="268"/>
      <c r="CYQ479" s="268"/>
      <c r="CYR479" s="268"/>
      <c r="CYS479" s="268"/>
      <c r="CYT479" s="268"/>
      <c r="CYU479" s="268"/>
      <c r="CYV479" s="268"/>
      <c r="CYW479" s="268"/>
      <c r="CYX479" s="268"/>
      <c r="CYY479" s="268"/>
      <c r="CYZ479" s="268"/>
      <c r="CZA479" s="268"/>
      <c r="CZB479" s="268"/>
      <c r="CZC479" s="268"/>
      <c r="CZD479" s="268"/>
      <c r="CZE479" s="268"/>
      <c r="CZF479" s="268"/>
      <c r="CZG479" s="268"/>
      <c r="CZH479" s="268"/>
      <c r="CZI479" s="268"/>
      <c r="CZJ479" s="268"/>
      <c r="CZK479" s="268"/>
      <c r="CZL479" s="268"/>
      <c r="CZM479" s="268"/>
      <c r="CZN479" s="268"/>
      <c r="CZO479" s="268"/>
      <c r="CZP479" s="268"/>
      <c r="CZQ479" s="268"/>
      <c r="CZR479" s="268"/>
      <c r="CZS479" s="268"/>
      <c r="CZT479" s="268"/>
      <c r="CZU479" s="268"/>
      <c r="CZV479" s="268"/>
      <c r="CZW479" s="268"/>
      <c r="CZX479" s="268"/>
      <c r="CZY479" s="268"/>
      <c r="CZZ479" s="268"/>
      <c r="DAA479" s="268"/>
      <c r="DAB479" s="268"/>
      <c r="DAC479" s="268"/>
      <c r="DAD479" s="268"/>
      <c r="DAE479" s="268"/>
      <c r="DAF479" s="268"/>
      <c r="DAG479" s="268"/>
      <c r="DAH479" s="268"/>
      <c r="DAI479" s="268"/>
      <c r="DAJ479" s="268"/>
      <c r="DAK479" s="268"/>
      <c r="DAL479" s="268"/>
      <c r="DAM479" s="268"/>
      <c r="DAN479" s="268"/>
      <c r="DAO479" s="268"/>
      <c r="DAP479" s="268"/>
      <c r="DAQ479" s="268"/>
      <c r="DAR479" s="268"/>
      <c r="DAS479" s="268"/>
      <c r="DAT479" s="268"/>
      <c r="DAU479" s="268"/>
      <c r="DAV479" s="268"/>
      <c r="DAW479" s="268"/>
      <c r="DAX479" s="268"/>
      <c r="DAY479" s="268"/>
      <c r="DAZ479" s="268"/>
      <c r="DBA479" s="268"/>
      <c r="DBB479" s="268"/>
      <c r="DBC479" s="268"/>
      <c r="DBD479" s="268"/>
      <c r="DBE479" s="268"/>
      <c r="DBF479" s="268"/>
      <c r="DBG479" s="268"/>
      <c r="DBH479" s="268"/>
      <c r="DBI479" s="268"/>
      <c r="DBJ479" s="268"/>
      <c r="DBK479" s="268"/>
      <c r="DBL479" s="268"/>
      <c r="DBM479" s="268"/>
      <c r="DBN479" s="268"/>
      <c r="DBO479" s="268"/>
      <c r="DBP479" s="268"/>
      <c r="DBQ479" s="268"/>
      <c r="DBR479" s="268"/>
      <c r="DBS479" s="268"/>
      <c r="DBT479" s="268"/>
      <c r="DBU479" s="268"/>
      <c r="DBV479" s="268"/>
      <c r="DBW479" s="268"/>
      <c r="DBX479" s="268"/>
      <c r="DBY479" s="268"/>
      <c r="DBZ479" s="268"/>
      <c r="DCA479" s="268"/>
      <c r="DCB479" s="268"/>
      <c r="DCC479" s="268"/>
      <c r="DCD479" s="268"/>
      <c r="DCE479" s="268"/>
      <c r="DCF479" s="268"/>
      <c r="DCG479" s="268"/>
      <c r="DCH479" s="268"/>
      <c r="DCI479" s="268"/>
      <c r="DCJ479" s="268"/>
      <c r="DCK479" s="268"/>
      <c r="DCL479" s="268"/>
      <c r="DCM479" s="268"/>
      <c r="DCN479" s="268"/>
      <c r="DCO479" s="268"/>
      <c r="DCP479" s="268"/>
      <c r="DCQ479" s="268"/>
      <c r="DCR479" s="268"/>
      <c r="DCS479" s="268"/>
      <c r="DCT479" s="268"/>
      <c r="DCU479" s="268"/>
      <c r="DCV479" s="268"/>
      <c r="DCW479" s="268"/>
      <c r="DCX479" s="268"/>
      <c r="DCY479" s="268"/>
      <c r="DDM479" s="268"/>
      <c r="DDN479" s="268"/>
      <c r="DDO479" s="268"/>
      <c r="DEC479" s="268"/>
      <c r="DEE479" s="268"/>
      <c r="DEF479" s="268"/>
      <c r="DEG479" s="268"/>
      <c r="DEH479" s="268"/>
      <c r="DEI479" s="268"/>
      <c r="DEJ479" s="268"/>
      <c r="DEK479" s="268"/>
      <c r="DEL479" s="268"/>
      <c r="DEM479" s="268"/>
      <c r="DEN479" s="268"/>
      <c r="DEO479" s="268"/>
      <c r="DEP479" s="268"/>
      <c r="DEQ479" s="268"/>
      <c r="DER479" s="268"/>
      <c r="DES479" s="268"/>
      <c r="DET479" s="268"/>
      <c r="DEU479" s="268"/>
      <c r="DEV479" s="268"/>
      <c r="DEW479" s="268"/>
      <c r="DEX479" s="268"/>
      <c r="DEY479" s="268"/>
      <c r="DEZ479" s="268"/>
      <c r="DFA479" s="268"/>
      <c r="DFB479" s="268"/>
      <c r="DFC479" s="268"/>
      <c r="DFD479" s="268"/>
      <c r="DFE479" s="268"/>
      <c r="DFF479" s="268"/>
      <c r="DFG479" s="268"/>
      <c r="DFH479" s="268"/>
      <c r="DFI479" s="268"/>
      <c r="DFJ479" s="268"/>
      <c r="DFK479" s="268"/>
      <c r="DFL479" s="268"/>
      <c r="DFM479" s="268"/>
      <c r="DFN479" s="268"/>
      <c r="DFO479" s="268"/>
      <c r="DFP479" s="268"/>
      <c r="DFQ479" s="268"/>
      <c r="DFR479" s="268"/>
      <c r="DFS479" s="268"/>
      <c r="DFT479" s="268"/>
      <c r="DFU479" s="268"/>
      <c r="DFV479" s="268"/>
      <c r="DFW479" s="268"/>
      <c r="DFX479" s="268"/>
      <c r="DFY479" s="268"/>
      <c r="DFZ479" s="268"/>
      <c r="DGA479" s="268"/>
      <c r="DGB479" s="268"/>
      <c r="DGC479" s="268"/>
      <c r="DGD479" s="268"/>
      <c r="DGE479" s="268"/>
      <c r="DGF479" s="268"/>
      <c r="DGG479" s="268"/>
      <c r="DGH479" s="268"/>
      <c r="DGI479" s="268"/>
      <c r="DGJ479" s="268"/>
      <c r="DGK479" s="268"/>
      <c r="DGL479" s="268"/>
      <c r="DGM479" s="268"/>
      <c r="DGN479" s="268"/>
      <c r="DGO479" s="268"/>
      <c r="DGP479" s="268"/>
      <c r="DGQ479" s="268"/>
      <c r="DGR479" s="268"/>
      <c r="DGS479" s="268"/>
      <c r="DGT479" s="268"/>
      <c r="DGU479" s="268"/>
      <c r="DGV479" s="268"/>
      <c r="DGW479" s="268"/>
      <c r="DGX479" s="268"/>
      <c r="DGY479" s="268"/>
      <c r="DGZ479" s="268"/>
      <c r="DHA479" s="268"/>
      <c r="DHB479" s="268"/>
      <c r="DHC479" s="268"/>
      <c r="DHD479" s="268"/>
      <c r="DHE479" s="268"/>
      <c r="DHF479" s="268"/>
      <c r="DHG479" s="268"/>
      <c r="DHH479" s="268"/>
      <c r="DHI479" s="268"/>
      <c r="DHJ479" s="268"/>
      <c r="DHK479" s="268"/>
      <c r="DHL479" s="268"/>
      <c r="DHM479" s="268"/>
      <c r="DHN479" s="268"/>
      <c r="DHO479" s="268"/>
      <c r="DHP479" s="268"/>
      <c r="DHQ479" s="268"/>
      <c r="DHR479" s="268"/>
      <c r="DHS479" s="268"/>
      <c r="DHT479" s="268"/>
      <c r="DHU479" s="268"/>
      <c r="DHV479" s="268"/>
      <c r="DHW479" s="268"/>
      <c r="DHX479" s="268"/>
      <c r="DHY479" s="268"/>
      <c r="DHZ479" s="268"/>
      <c r="DIA479" s="268"/>
      <c r="DIB479" s="268"/>
      <c r="DIC479" s="268"/>
      <c r="DID479" s="268"/>
      <c r="DIE479" s="268"/>
      <c r="DIF479" s="268"/>
      <c r="DIG479" s="268"/>
      <c r="DIH479" s="268"/>
      <c r="DII479" s="268"/>
      <c r="DIJ479" s="268"/>
      <c r="DIK479" s="268"/>
      <c r="DIL479" s="268"/>
      <c r="DIM479" s="268"/>
      <c r="DIN479" s="268"/>
      <c r="DIO479" s="268"/>
      <c r="DIP479" s="268"/>
      <c r="DIQ479" s="268"/>
      <c r="DIR479" s="268"/>
      <c r="DIS479" s="268"/>
      <c r="DIT479" s="268"/>
      <c r="DIU479" s="268"/>
      <c r="DIV479" s="268"/>
      <c r="DIW479" s="268"/>
      <c r="DIX479" s="268"/>
      <c r="DIY479" s="268"/>
      <c r="DIZ479" s="268"/>
      <c r="DJA479" s="268"/>
      <c r="DJB479" s="268"/>
      <c r="DJC479" s="268"/>
      <c r="DJD479" s="268"/>
      <c r="DJE479" s="268"/>
      <c r="DJF479" s="268"/>
      <c r="DJG479" s="268"/>
      <c r="DJH479" s="268"/>
      <c r="DJI479" s="268"/>
      <c r="DJJ479" s="268"/>
      <c r="DJK479" s="268"/>
      <c r="DJL479" s="268"/>
      <c r="DJM479" s="268"/>
      <c r="DJN479" s="268"/>
      <c r="DJO479" s="268"/>
      <c r="DJP479" s="268"/>
      <c r="DJQ479" s="268"/>
      <c r="DJR479" s="268"/>
      <c r="DJS479" s="268"/>
      <c r="DJT479" s="268"/>
      <c r="DJU479" s="268"/>
      <c r="DJV479" s="268"/>
      <c r="DJW479" s="268"/>
      <c r="DJX479" s="268"/>
      <c r="DJY479" s="268"/>
      <c r="DJZ479" s="268"/>
      <c r="DKA479" s="268"/>
      <c r="DKB479" s="268"/>
      <c r="DKC479" s="268"/>
      <c r="DKD479" s="268"/>
      <c r="DKE479" s="268"/>
      <c r="DKF479" s="268"/>
      <c r="DKG479" s="268"/>
      <c r="DKH479" s="268"/>
      <c r="DKI479" s="268"/>
      <c r="DKJ479" s="268"/>
      <c r="DKK479" s="268"/>
      <c r="DKL479" s="268"/>
      <c r="DKM479" s="268"/>
      <c r="DKN479" s="268"/>
      <c r="DKO479" s="268"/>
      <c r="DKP479" s="268"/>
      <c r="DKQ479" s="268"/>
      <c r="DKR479" s="268"/>
      <c r="DKS479" s="268"/>
      <c r="DKT479" s="268"/>
      <c r="DKU479" s="268"/>
      <c r="DKV479" s="268"/>
      <c r="DKW479" s="268"/>
      <c r="DKX479" s="268"/>
      <c r="DKY479" s="268"/>
      <c r="DKZ479" s="268"/>
      <c r="DLA479" s="268"/>
      <c r="DLB479" s="268"/>
      <c r="DLC479" s="268"/>
      <c r="DLD479" s="268"/>
      <c r="DLE479" s="268"/>
      <c r="DLF479" s="268"/>
      <c r="DLG479" s="268"/>
      <c r="DLH479" s="268"/>
      <c r="DLI479" s="268"/>
      <c r="DLJ479" s="268"/>
      <c r="DLK479" s="268"/>
      <c r="DLL479" s="268"/>
      <c r="DLM479" s="268"/>
      <c r="DLN479" s="268"/>
      <c r="DLO479" s="268"/>
      <c r="DLP479" s="268"/>
      <c r="DLQ479" s="268"/>
      <c r="DLR479" s="268"/>
      <c r="DLS479" s="268"/>
      <c r="DLT479" s="268"/>
      <c r="DLU479" s="268"/>
      <c r="DLV479" s="268"/>
      <c r="DLW479" s="268"/>
      <c r="DLX479" s="268"/>
      <c r="DLY479" s="268"/>
      <c r="DLZ479" s="268"/>
      <c r="DMA479" s="268"/>
      <c r="DMB479" s="268"/>
      <c r="DMC479" s="268"/>
      <c r="DMD479" s="268"/>
      <c r="DME479" s="268"/>
      <c r="DMF479" s="268"/>
      <c r="DMG479" s="268"/>
      <c r="DMH479" s="268"/>
      <c r="DMI479" s="268"/>
      <c r="DMJ479" s="268"/>
      <c r="DMK479" s="268"/>
      <c r="DML479" s="268"/>
      <c r="DMM479" s="268"/>
      <c r="DMN479" s="268"/>
      <c r="DMO479" s="268"/>
      <c r="DMP479" s="268"/>
      <c r="DMQ479" s="268"/>
      <c r="DMR479" s="268"/>
      <c r="DMS479" s="268"/>
      <c r="DMT479" s="268"/>
      <c r="DMU479" s="268"/>
      <c r="DNI479" s="268"/>
      <c r="DNJ479" s="268"/>
      <c r="DNK479" s="268"/>
      <c r="DNY479" s="268"/>
      <c r="DOA479" s="268"/>
      <c r="DOB479" s="268"/>
      <c r="DOC479" s="268"/>
      <c r="DOD479" s="268"/>
      <c r="DOE479" s="268"/>
      <c r="DOF479" s="268"/>
      <c r="DOG479" s="268"/>
      <c r="DOH479" s="268"/>
      <c r="DOI479" s="268"/>
      <c r="DOJ479" s="268"/>
      <c r="DOK479" s="268"/>
      <c r="DOL479" s="268"/>
      <c r="DOM479" s="268"/>
      <c r="DON479" s="268"/>
      <c r="DOO479" s="268"/>
      <c r="DOP479" s="268"/>
      <c r="DOQ479" s="268"/>
      <c r="DOR479" s="268"/>
      <c r="DOS479" s="268"/>
      <c r="DOT479" s="268"/>
      <c r="DOU479" s="268"/>
      <c r="DOV479" s="268"/>
      <c r="DOW479" s="268"/>
      <c r="DOX479" s="268"/>
      <c r="DOY479" s="268"/>
      <c r="DOZ479" s="268"/>
      <c r="DPA479" s="268"/>
      <c r="DPB479" s="268"/>
      <c r="DPC479" s="268"/>
      <c r="DPD479" s="268"/>
      <c r="DPE479" s="268"/>
      <c r="DPF479" s="268"/>
      <c r="DPG479" s="268"/>
      <c r="DPH479" s="268"/>
      <c r="DPI479" s="268"/>
      <c r="DPJ479" s="268"/>
      <c r="DPK479" s="268"/>
      <c r="DPL479" s="268"/>
      <c r="DPM479" s="268"/>
      <c r="DPN479" s="268"/>
      <c r="DPO479" s="268"/>
      <c r="DPP479" s="268"/>
      <c r="DPQ479" s="268"/>
      <c r="DPR479" s="268"/>
      <c r="DPS479" s="268"/>
      <c r="DPT479" s="268"/>
      <c r="DPU479" s="268"/>
      <c r="DPV479" s="268"/>
      <c r="DPW479" s="268"/>
      <c r="DPX479" s="268"/>
      <c r="DPY479" s="268"/>
      <c r="DPZ479" s="268"/>
      <c r="DQA479" s="268"/>
      <c r="DQB479" s="268"/>
      <c r="DQC479" s="268"/>
      <c r="DQD479" s="268"/>
      <c r="DQE479" s="268"/>
      <c r="DQF479" s="268"/>
      <c r="DQG479" s="268"/>
      <c r="DQH479" s="268"/>
      <c r="DQI479" s="268"/>
      <c r="DQJ479" s="268"/>
      <c r="DQK479" s="268"/>
      <c r="DQL479" s="268"/>
      <c r="DQM479" s="268"/>
      <c r="DQN479" s="268"/>
      <c r="DQO479" s="268"/>
      <c r="DQP479" s="268"/>
      <c r="DQQ479" s="268"/>
      <c r="DQR479" s="268"/>
      <c r="DQS479" s="268"/>
      <c r="DQT479" s="268"/>
      <c r="DQU479" s="268"/>
      <c r="DQV479" s="268"/>
      <c r="DQW479" s="268"/>
      <c r="DQX479" s="268"/>
      <c r="DQY479" s="268"/>
      <c r="DQZ479" s="268"/>
      <c r="DRA479" s="268"/>
      <c r="DRB479" s="268"/>
      <c r="DRC479" s="268"/>
      <c r="DRD479" s="268"/>
      <c r="DRE479" s="268"/>
      <c r="DRF479" s="268"/>
      <c r="DRG479" s="268"/>
      <c r="DRH479" s="268"/>
      <c r="DRI479" s="268"/>
      <c r="DRJ479" s="268"/>
      <c r="DRK479" s="268"/>
      <c r="DRL479" s="268"/>
      <c r="DRM479" s="268"/>
      <c r="DRN479" s="268"/>
      <c r="DRO479" s="268"/>
      <c r="DRP479" s="268"/>
      <c r="DRQ479" s="268"/>
      <c r="DRR479" s="268"/>
      <c r="DRS479" s="268"/>
      <c r="DRT479" s="268"/>
      <c r="DRU479" s="268"/>
      <c r="DRV479" s="268"/>
      <c r="DRW479" s="268"/>
      <c r="DRX479" s="268"/>
      <c r="DRY479" s="268"/>
      <c r="DRZ479" s="268"/>
      <c r="DSA479" s="268"/>
      <c r="DSB479" s="268"/>
      <c r="DSC479" s="268"/>
      <c r="DSD479" s="268"/>
      <c r="DSE479" s="268"/>
      <c r="DSF479" s="268"/>
      <c r="DSG479" s="268"/>
      <c r="DSH479" s="268"/>
      <c r="DSI479" s="268"/>
      <c r="DSJ479" s="268"/>
      <c r="DSK479" s="268"/>
      <c r="DSL479" s="268"/>
      <c r="DSM479" s="268"/>
      <c r="DSN479" s="268"/>
      <c r="DSO479" s="268"/>
      <c r="DSP479" s="268"/>
      <c r="DSQ479" s="268"/>
      <c r="DSR479" s="268"/>
      <c r="DSS479" s="268"/>
      <c r="DST479" s="268"/>
      <c r="DSU479" s="268"/>
      <c r="DSV479" s="268"/>
      <c r="DSW479" s="268"/>
      <c r="DSX479" s="268"/>
      <c r="DSY479" s="268"/>
      <c r="DSZ479" s="268"/>
      <c r="DTA479" s="268"/>
      <c r="DTB479" s="268"/>
      <c r="DTC479" s="268"/>
      <c r="DTD479" s="268"/>
      <c r="DTE479" s="268"/>
      <c r="DTF479" s="268"/>
      <c r="DTG479" s="268"/>
      <c r="DTH479" s="268"/>
      <c r="DTI479" s="268"/>
      <c r="DTJ479" s="268"/>
      <c r="DTK479" s="268"/>
      <c r="DTL479" s="268"/>
      <c r="DTM479" s="268"/>
      <c r="DTN479" s="268"/>
      <c r="DTO479" s="268"/>
      <c r="DTP479" s="268"/>
      <c r="DTQ479" s="268"/>
      <c r="DTR479" s="268"/>
      <c r="DTS479" s="268"/>
      <c r="DTT479" s="268"/>
      <c r="DTU479" s="268"/>
      <c r="DTV479" s="268"/>
      <c r="DTW479" s="268"/>
      <c r="DTX479" s="268"/>
      <c r="DTY479" s="268"/>
      <c r="DTZ479" s="268"/>
      <c r="DUA479" s="268"/>
      <c r="DUB479" s="268"/>
      <c r="DUC479" s="268"/>
      <c r="DUD479" s="268"/>
      <c r="DUE479" s="268"/>
      <c r="DUF479" s="268"/>
      <c r="DUG479" s="268"/>
      <c r="DUH479" s="268"/>
      <c r="DUI479" s="268"/>
      <c r="DUJ479" s="268"/>
      <c r="DUK479" s="268"/>
      <c r="DUL479" s="268"/>
      <c r="DUM479" s="268"/>
      <c r="DUN479" s="268"/>
      <c r="DUO479" s="268"/>
      <c r="DUP479" s="268"/>
      <c r="DUQ479" s="268"/>
      <c r="DUR479" s="268"/>
      <c r="DUS479" s="268"/>
      <c r="DUT479" s="268"/>
      <c r="DUU479" s="268"/>
      <c r="DUV479" s="268"/>
      <c r="DUW479" s="268"/>
      <c r="DUX479" s="268"/>
      <c r="DUY479" s="268"/>
      <c r="DUZ479" s="268"/>
      <c r="DVA479" s="268"/>
      <c r="DVB479" s="268"/>
      <c r="DVC479" s="268"/>
      <c r="DVD479" s="268"/>
      <c r="DVE479" s="268"/>
      <c r="DVF479" s="268"/>
      <c r="DVG479" s="268"/>
      <c r="DVH479" s="268"/>
      <c r="DVI479" s="268"/>
      <c r="DVJ479" s="268"/>
      <c r="DVK479" s="268"/>
      <c r="DVL479" s="268"/>
      <c r="DVM479" s="268"/>
      <c r="DVN479" s="268"/>
      <c r="DVO479" s="268"/>
      <c r="DVP479" s="268"/>
      <c r="DVQ479" s="268"/>
      <c r="DVR479" s="268"/>
      <c r="DVS479" s="268"/>
      <c r="DVT479" s="268"/>
      <c r="DVU479" s="268"/>
      <c r="DVV479" s="268"/>
      <c r="DVW479" s="268"/>
      <c r="DVX479" s="268"/>
      <c r="DVY479" s="268"/>
      <c r="DVZ479" s="268"/>
      <c r="DWA479" s="268"/>
      <c r="DWB479" s="268"/>
      <c r="DWC479" s="268"/>
      <c r="DWD479" s="268"/>
      <c r="DWE479" s="268"/>
      <c r="DWF479" s="268"/>
      <c r="DWG479" s="268"/>
      <c r="DWH479" s="268"/>
      <c r="DWI479" s="268"/>
      <c r="DWJ479" s="268"/>
      <c r="DWK479" s="268"/>
      <c r="DWL479" s="268"/>
      <c r="DWM479" s="268"/>
      <c r="DWN479" s="268"/>
      <c r="DWO479" s="268"/>
      <c r="DWP479" s="268"/>
      <c r="DWQ479" s="268"/>
      <c r="DXE479" s="268"/>
      <c r="DXF479" s="268"/>
      <c r="DXG479" s="268"/>
      <c r="DXU479" s="268"/>
      <c r="DXW479" s="268"/>
      <c r="DXX479" s="268"/>
      <c r="DXY479" s="268"/>
      <c r="DXZ479" s="268"/>
      <c r="DYA479" s="268"/>
      <c r="DYB479" s="268"/>
      <c r="DYC479" s="268"/>
      <c r="DYD479" s="268"/>
      <c r="DYE479" s="268"/>
      <c r="DYF479" s="268"/>
      <c r="DYG479" s="268"/>
      <c r="DYH479" s="268"/>
      <c r="DYI479" s="268"/>
      <c r="DYJ479" s="268"/>
      <c r="DYK479" s="268"/>
      <c r="DYL479" s="268"/>
      <c r="DYM479" s="268"/>
      <c r="DYN479" s="268"/>
      <c r="DYO479" s="268"/>
      <c r="DYP479" s="268"/>
      <c r="DYQ479" s="268"/>
      <c r="DYR479" s="268"/>
      <c r="DYS479" s="268"/>
      <c r="DYT479" s="268"/>
      <c r="DYU479" s="268"/>
      <c r="DYV479" s="268"/>
      <c r="DYW479" s="268"/>
      <c r="DYX479" s="268"/>
      <c r="DYY479" s="268"/>
      <c r="DYZ479" s="268"/>
      <c r="DZA479" s="268"/>
      <c r="DZB479" s="268"/>
      <c r="DZC479" s="268"/>
      <c r="DZD479" s="268"/>
      <c r="DZE479" s="268"/>
      <c r="DZF479" s="268"/>
      <c r="DZG479" s="268"/>
      <c r="DZH479" s="268"/>
      <c r="DZI479" s="268"/>
      <c r="DZJ479" s="268"/>
      <c r="DZK479" s="268"/>
      <c r="DZL479" s="268"/>
      <c r="DZM479" s="268"/>
      <c r="DZN479" s="268"/>
      <c r="DZO479" s="268"/>
      <c r="DZP479" s="268"/>
      <c r="DZQ479" s="268"/>
      <c r="DZR479" s="268"/>
      <c r="DZS479" s="268"/>
      <c r="DZT479" s="268"/>
      <c r="DZU479" s="268"/>
      <c r="DZV479" s="268"/>
      <c r="DZW479" s="268"/>
      <c r="DZX479" s="268"/>
      <c r="DZY479" s="268"/>
      <c r="DZZ479" s="268"/>
      <c r="EAA479" s="268"/>
      <c r="EAB479" s="268"/>
      <c r="EAC479" s="268"/>
      <c r="EAD479" s="268"/>
      <c r="EAE479" s="268"/>
      <c r="EAF479" s="268"/>
      <c r="EAG479" s="268"/>
      <c r="EAH479" s="268"/>
      <c r="EAI479" s="268"/>
      <c r="EAJ479" s="268"/>
      <c r="EAK479" s="268"/>
      <c r="EAL479" s="268"/>
      <c r="EAM479" s="268"/>
      <c r="EAN479" s="268"/>
      <c r="EAO479" s="268"/>
      <c r="EAP479" s="268"/>
      <c r="EAQ479" s="268"/>
      <c r="EAR479" s="268"/>
      <c r="EAS479" s="268"/>
      <c r="EAT479" s="268"/>
      <c r="EAU479" s="268"/>
      <c r="EAV479" s="268"/>
      <c r="EAW479" s="268"/>
      <c r="EAX479" s="268"/>
      <c r="EAY479" s="268"/>
      <c r="EAZ479" s="268"/>
      <c r="EBA479" s="268"/>
      <c r="EBB479" s="268"/>
      <c r="EBC479" s="268"/>
      <c r="EBD479" s="268"/>
      <c r="EBE479" s="268"/>
      <c r="EBF479" s="268"/>
      <c r="EBG479" s="268"/>
      <c r="EBH479" s="268"/>
      <c r="EBI479" s="268"/>
      <c r="EBJ479" s="268"/>
      <c r="EBK479" s="268"/>
      <c r="EBL479" s="268"/>
      <c r="EBM479" s="268"/>
      <c r="EBN479" s="268"/>
      <c r="EBO479" s="268"/>
      <c r="EBP479" s="268"/>
      <c r="EBQ479" s="268"/>
      <c r="EBR479" s="268"/>
      <c r="EBS479" s="268"/>
      <c r="EBT479" s="268"/>
      <c r="EBU479" s="268"/>
      <c r="EBV479" s="268"/>
      <c r="EBW479" s="268"/>
      <c r="EBX479" s="268"/>
      <c r="EBY479" s="268"/>
      <c r="EBZ479" s="268"/>
      <c r="ECA479" s="268"/>
      <c r="ECB479" s="268"/>
      <c r="ECC479" s="268"/>
      <c r="ECD479" s="268"/>
      <c r="ECE479" s="268"/>
      <c r="ECF479" s="268"/>
      <c r="ECG479" s="268"/>
      <c r="ECH479" s="268"/>
      <c r="ECI479" s="268"/>
      <c r="ECJ479" s="268"/>
      <c r="ECK479" s="268"/>
      <c r="ECL479" s="268"/>
      <c r="ECM479" s="268"/>
      <c r="ECN479" s="268"/>
      <c r="ECO479" s="268"/>
      <c r="ECP479" s="268"/>
      <c r="ECQ479" s="268"/>
      <c r="ECR479" s="268"/>
      <c r="ECS479" s="268"/>
      <c r="ECT479" s="268"/>
      <c r="ECU479" s="268"/>
      <c r="ECV479" s="268"/>
      <c r="ECW479" s="268"/>
      <c r="ECX479" s="268"/>
      <c r="ECY479" s="268"/>
      <c r="ECZ479" s="268"/>
      <c r="EDA479" s="268"/>
      <c r="EDB479" s="268"/>
      <c r="EDC479" s="268"/>
      <c r="EDD479" s="268"/>
      <c r="EDE479" s="268"/>
      <c r="EDF479" s="268"/>
      <c r="EDG479" s="268"/>
      <c r="EDH479" s="268"/>
      <c r="EDI479" s="268"/>
      <c r="EDJ479" s="268"/>
      <c r="EDK479" s="268"/>
      <c r="EDL479" s="268"/>
      <c r="EDM479" s="268"/>
      <c r="EDN479" s="268"/>
      <c r="EDO479" s="268"/>
      <c r="EDP479" s="268"/>
      <c r="EDQ479" s="268"/>
      <c r="EDR479" s="268"/>
      <c r="EDS479" s="268"/>
      <c r="EDT479" s="268"/>
      <c r="EDU479" s="268"/>
      <c r="EDV479" s="268"/>
      <c r="EDW479" s="268"/>
      <c r="EDX479" s="268"/>
      <c r="EDY479" s="268"/>
      <c r="EDZ479" s="268"/>
      <c r="EEA479" s="268"/>
      <c r="EEB479" s="268"/>
      <c r="EEC479" s="268"/>
      <c r="EED479" s="268"/>
      <c r="EEE479" s="268"/>
      <c r="EEF479" s="268"/>
      <c r="EEG479" s="268"/>
      <c r="EEH479" s="268"/>
      <c r="EEI479" s="268"/>
      <c r="EEJ479" s="268"/>
      <c r="EEK479" s="268"/>
      <c r="EEL479" s="268"/>
      <c r="EEM479" s="268"/>
      <c r="EEN479" s="268"/>
      <c r="EEO479" s="268"/>
      <c r="EEP479" s="268"/>
      <c r="EEQ479" s="268"/>
      <c r="EER479" s="268"/>
      <c r="EES479" s="268"/>
      <c r="EET479" s="268"/>
      <c r="EEU479" s="268"/>
      <c r="EEV479" s="268"/>
      <c r="EEW479" s="268"/>
      <c r="EEX479" s="268"/>
      <c r="EEY479" s="268"/>
      <c r="EEZ479" s="268"/>
      <c r="EFA479" s="268"/>
      <c r="EFB479" s="268"/>
      <c r="EFC479" s="268"/>
      <c r="EFD479" s="268"/>
      <c r="EFE479" s="268"/>
      <c r="EFF479" s="268"/>
      <c r="EFG479" s="268"/>
      <c r="EFH479" s="268"/>
      <c r="EFI479" s="268"/>
      <c r="EFJ479" s="268"/>
      <c r="EFK479" s="268"/>
      <c r="EFL479" s="268"/>
      <c r="EFM479" s="268"/>
      <c r="EFN479" s="268"/>
      <c r="EFO479" s="268"/>
      <c r="EFP479" s="268"/>
      <c r="EFQ479" s="268"/>
      <c r="EFR479" s="268"/>
      <c r="EFS479" s="268"/>
      <c r="EFT479" s="268"/>
      <c r="EFU479" s="268"/>
      <c r="EFV479" s="268"/>
      <c r="EFW479" s="268"/>
      <c r="EFX479" s="268"/>
      <c r="EFY479" s="268"/>
      <c r="EFZ479" s="268"/>
      <c r="EGA479" s="268"/>
      <c r="EGB479" s="268"/>
      <c r="EGC479" s="268"/>
      <c r="EGD479" s="268"/>
      <c r="EGE479" s="268"/>
      <c r="EGF479" s="268"/>
      <c r="EGG479" s="268"/>
      <c r="EGH479" s="268"/>
      <c r="EGI479" s="268"/>
      <c r="EGJ479" s="268"/>
      <c r="EGK479" s="268"/>
      <c r="EGL479" s="268"/>
      <c r="EGM479" s="268"/>
      <c r="EHA479" s="268"/>
      <c r="EHB479" s="268"/>
      <c r="EHC479" s="268"/>
      <c r="EHQ479" s="268"/>
      <c r="EHS479" s="268"/>
      <c r="EHT479" s="268"/>
      <c r="EHU479" s="268"/>
      <c r="EHV479" s="268"/>
      <c r="EHW479" s="268"/>
      <c r="EHX479" s="268"/>
      <c r="EHY479" s="268"/>
      <c r="EHZ479" s="268"/>
      <c r="EIA479" s="268"/>
      <c r="EIB479" s="268"/>
      <c r="EIC479" s="268"/>
      <c r="EID479" s="268"/>
      <c r="EIE479" s="268"/>
      <c r="EIF479" s="268"/>
      <c r="EIG479" s="268"/>
      <c r="EIH479" s="268"/>
      <c r="EII479" s="268"/>
      <c r="EIJ479" s="268"/>
      <c r="EIK479" s="268"/>
      <c r="EIL479" s="268"/>
      <c r="EIM479" s="268"/>
      <c r="EIN479" s="268"/>
      <c r="EIO479" s="268"/>
      <c r="EIP479" s="268"/>
      <c r="EIQ479" s="268"/>
      <c r="EIR479" s="268"/>
      <c r="EIS479" s="268"/>
      <c r="EIT479" s="268"/>
      <c r="EIU479" s="268"/>
      <c r="EIV479" s="268"/>
      <c r="EIW479" s="268"/>
      <c r="EIX479" s="268"/>
      <c r="EIY479" s="268"/>
      <c r="EIZ479" s="268"/>
      <c r="EJA479" s="268"/>
      <c r="EJB479" s="268"/>
      <c r="EJC479" s="268"/>
      <c r="EJD479" s="268"/>
      <c r="EJE479" s="268"/>
      <c r="EJF479" s="268"/>
      <c r="EJG479" s="268"/>
      <c r="EJH479" s="268"/>
      <c r="EJI479" s="268"/>
      <c r="EJJ479" s="268"/>
      <c r="EJK479" s="268"/>
      <c r="EJL479" s="268"/>
      <c r="EJM479" s="268"/>
      <c r="EJN479" s="268"/>
      <c r="EJO479" s="268"/>
      <c r="EJP479" s="268"/>
      <c r="EJQ479" s="268"/>
      <c r="EJR479" s="268"/>
      <c r="EJS479" s="268"/>
      <c r="EJT479" s="268"/>
      <c r="EJU479" s="268"/>
      <c r="EJV479" s="268"/>
      <c r="EJW479" s="268"/>
      <c r="EJX479" s="268"/>
      <c r="EJY479" s="268"/>
      <c r="EJZ479" s="268"/>
      <c r="EKA479" s="268"/>
      <c r="EKB479" s="268"/>
      <c r="EKC479" s="268"/>
      <c r="EKD479" s="268"/>
      <c r="EKE479" s="268"/>
      <c r="EKF479" s="268"/>
      <c r="EKG479" s="268"/>
      <c r="EKH479" s="268"/>
      <c r="EKI479" s="268"/>
      <c r="EKJ479" s="268"/>
      <c r="EKK479" s="268"/>
      <c r="EKL479" s="268"/>
      <c r="EKM479" s="268"/>
      <c r="EKN479" s="268"/>
      <c r="EKO479" s="268"/>
      <c r="EKP479" s="268"/>
      <c r="EKQ479" s="268"/>
      <c r="EKR479" s="268"/>
      <c r="EKS479" s="268"/>
      <c r="EKT479" s="268"/>
      <c r="EKU479" s="268"/>
      <c r="EKV479" s="268"/>
      <c r="EKW479" s="268"/>
      <c r="EKX479" s="268"/>
      <c r="EKY479" s="268"/>
      <c r="EKZ479" s="268"/>
      <c r="ELA479" s="268"/>
      <c r="ELB479" s="268"/>
      <c r="ELC479" s="268"/>
      <c r="ELD479" s="268"/>
      <c r="ELE479" s="268"/>
      <c r="ELF479" s="268"/>
      <c r="ELG479" s="268"/>
      <c r="ELH479" s="268"/>
      <c r="ELI479" s="268"/>
      <c r="ELJ479" s="268"/>
      <c r="ELK479" s="268"/>
      <c r="ELL479" s="268"/>
      <c r="ELM479" s="268"/>
      <c r="ELN479" s="268"/>
      <c r="ELO479" s="268"/>
      <c r="ELP479" s="268"/>
      <c r="ELQ479" s="268"/>
      <c r="ELR479" s="268"/>
      <c r="ELS479" s="268"/>
      <c r="ELT479" s="268"/>
      <c r="ELU479" s="268"/>
      <c r="ELV479" s="268"/>
      <c r="ELW479" s="268"/>
      <c r="ELX479" s="268"/>
      <c r="ELY479" s="268"/>
      <c r="ELZ479" s="268"/>
      <c r="EMA479" s="268"/>
      <c r="EMB479" s="268"/>
      <c r="EMC479" s="268"/>
      <c r="EMD479" s="268"/>
      <c r="EME479" s="268"/>
      <c r="EMF479" s="268"/>
      <c r="EMG479" s="268"/>
      <c r="EMH479" s="268"/>
      <c r="EMI479" s="268"/>
      <c r="EMJ479" s="268"/>
      <c r="EMK479" s="268"/>
      <c r="EML479" s="268"/>
      <c r="EMM479" s="268"/>
      <c r="EMN479" s="268"/>
      <c r="EMO479" s="268"/>
      <c r="EMP479" s="268"/>
      <c r="EMQ479" s="268"/>
      <c r="EMR479" s="268"/>
      <c r="EMS479" s="268"/>
      <c r="EMT479" s="268"/>
      <c r="EMU479" s="268"/>
      <c r="EMV479" s="268"/>
      <c r="EMW479" s="268"/>
      <c r="EMX479" s="268"/>
      <c r="EMY479" s="268"/>
      <c r="EMZ479" s="268"/>
      <c r="ENA479" s="268"/>
      <c r="ENB479" s="268"/>
      <c r="ENC479" s="268"/>
      <c r="END479" s="268"/>
      <c r="ENE479" s="268"/>
      <c r="ENF479" s="268"/>
      <c r="ENG479" s="268"/>
      <c r="ENH479" s="268"/>
      <c r="ENI479" s="268"/>
      <c r="ENJ479" s="268"/>
      <c r="ENK479" s="268"/>
      <c r="ENL479" s="268"/>
      <c r="ENM479" s="268"/>
      <c r="ENN479" s="268"/>
      <c r="ENO479" s="268"/>
      <c r="ENP479" s="268"/>
      <c r="ENQ479" s="268"/>
      <c r="ENR479" s="268"/>
      <c r="ENS479" s="268"/>
      <c r="ENT479" s="268"/>
      <c r="ENU479" s="268"/>
      <c r="ENV479" s="268"/>
      <c r="ENW479" s="268"/>
      <c r="ENX479" s="268"/>
      <c r="ENY479" s="268"/>
      <c r="ENZ479" s="268"/>
      <c r="EOA479" s="268"/>
      <c r="EOB479" s="268"/>
      <c r="EOC479" s="268"/>
      <c r="EOD479" s="268"/>
      <c r="EOE479" s="268"/>
      <c r="EOF479" s="268"/>
      <c r="EOG479" s="268"/>
      <c r="EOH479" s="268"/>
      <c r="EOI479" s="268"/>
      <c r="EOJ479" s="268"/>
      <c r="EOK479" s="268"/>
      <c r="EOL479" s="268"/>
      <c r="EOM479" s="268"/>
      <c r="EON479" s="268"/>
      <c r="EOO479" s="268"/>
      <c r="EOP479" s="268"/>
      <c r="EOQ479" s="268"/>
      <c r="EOR479" s="268"/>
      <c r="EOS479" s="268"/>
      <c r="EOT479" s="268"/>
      <c r="EOU479" s="268"/>
      <c r="EOV479" s="268"/>
      <c r="EOW479" s="268"/>
      <c r="EOX479" s="268"/>
      <c r="EOY479" s="268"/>
      <c r="EOZ479" s="268"/>
      <c r="EPA479" s="268"/>
      <c r="EPB479" s="268"/>
      <c r="EPC479" s="268"/>
      <c r="EPD479" s="268"/>
      <c r="EPE479" s="268"/>
      <c r="EPF479" s="268"/>
      <c r="EPG479" s="268"/>
      <c r="EPH479" s="268"/>
      <c r="EPI479" s="268"/>
      <c r="EPJ479" s="268"/>
      <c r="EPK479" s="268"/>
      <c r="EPL479" s="268"/>
      <c r="EPM479" s="268"/>
      <c r="EPN479" s="268"/>
      <c r="EPO479" s="268"/>
      <c r="EPP479" s="268"/>
      <c r="EPQ479" s="268"/>
      <c r="EPR479" s="268"/>
      <c r="EPS479" s="268"/>
      <c r="EPT479" s="268"/>
      <c r="EPU479" s="268"/>
      <c r="EPV479" s="268"/>
      <c r="EPW479" s="268"/>
      <c r="EPX479" s="268"/>
      <c r="EPY479" s="268"/>
      <c r="EPZ479" s="268"/>
      <c r="EQA479" s="268"/>
      <c r="EQB479" s="268"/>
      <c r="EQC479" s="268"/>
      <c r="EQD479" s="268"/>
      <c r="EQE479" s="268"/>
      <c r="EQF479" s="268"/>
      <c r="EQG479" s="268"/>
      <c r="EQH479" s="268"/>
      <c r="EQI479" s="268"/>
      <c r="EQW479" s="268"/>
      <c r="EQX479" s="268"/>
      <c r="EQY479" s="268"/>
      <c r="ERM479" s="268"/>
      <c r="ERO479" s="268"/>
      <c r="ERP479" s="268"/>
      <c r="ERQ479" s="268"/>
      <c r="ERR479" s="268"/>
      <c r="ERS479" s="268"/>
      <c r="ERT479" s="268"/>
      <c r="ERU479" s="268"/>
      <c r="ERV479" s="268"/>
      <c r="ERW479" s="268"/>
      <c r="ERX479" s="268"/>
      <c r="ERY479" s="268"/>
      <c r="ERZ479" s="268"/>
      <c r="ESA479" s="268"/>
      <c r="ESB479" s="268"/>
      <c r="ESC479" s="268"/>
      <c r="ESD479" s="268"/>
      <c r="ESE479" s="268"/>
      <c r="ESF479" s="268"/>
      <c r="ESG479" s="268"/>
      <c r="ESH479" s="268"/>
      <c r="ESI479" s="268"/>
      <c r="ESJ479" s="268"/>
      <c r="ESK479" s="268"/>
      <c r="ESL479" s="268"/>
      <c r="ESM479" s="268"/>
      <c r="ESN479" s="268"/>
      <c r="ESO479" s="268"/>
      <c r="ESP479" s="268"/>
      <c r="ESQ479" s="268"/>
      <c r="ESR479" s="268"/>
      <c r="ESS479" s="268"/>
      <c r="EST479" s="268"/>
      <c r="ESU479" s="268"/>
      <c r="ESV479" s="268"/>
      <c r="ESW479" s="268"/>
      <c r="ESX479" s="268"/>
      <c r="ESY479" s="268"/>
      <c r="ESZ479" s="268"/>
      <c r="ETA479" s="268"/>
      <c r="ETB479" s="268"/>
      <c r="ETC479" s="268"/>
      <c r="ETD479" s="268"/>
      <c r="ETE479" s="268"/>
      <c r="ETF479" s="268"/>
      <c r="ETG479" s="268"/>
      <c r="ETH479" s="268"/>
      <c r="ETI479" s="268"/>
      <c r="ETJ479" s="268"/>
      <c r="ETK479" s="268"/>
      <c r="ETL479" s="268"/>
      <c r="ETM479" s="268"/>
      <c r="ETN479" s="268"/>
      <c r="ETO479" s="268"/>
      <c r="ETP479" s="268"/>
      <c r="ETQ479" s="268"/>
      <c r="ETR479" s="268"/>
      <c r="ETS479" s="268"/>
      <c r="ETT479" s="268"/>
      <c r="ETU479" s="268"/>
      <c r="ETV479" s="268"/>
      <c r="ETW479" s="268"/>
      <c r="ETX479" s="268"/>
      <c r="ETY479" s="268"/>
      <c r="ETZ479" s="268"/>
      <c r="EUA479" s="268"/>
      <c r="EUB479" s="268"/>
      <c r="EUC479" s="268"/>
      <c r="EUD479" s="268"/>
      <c r="EUE479" s="268"/>
      <c r="EUF479" s="268"/>
      <c r="EUG479" s="268"/>
      <c r="EUH479" s="268"/>
      <c r="EUI479" s="268"/>
      <c r="EUJ479" s="268"/>
      <c r="EUK479" s="268"/>
      <c r="EUL479" s="268"/>
      <c r="EUM479" s="268"/>
      <c r="EUN479" s="268"/>
      <c r="EUO479" s="268"/>
      <c r="EUP479" s="268"/>
      <c r="EUQ479" s="268"/>
      <c r="EUR479" s="268"/>
      <c r="EUS479" s="268"/>
      <c r="EUT479" s="268"/>
      <c r="EUU479" s="268"/>
      <c r="EUV479" s="268"/>
      <c r="EUW479" s="268"/>
      <c r="EUX479" s="268"/>
      <c r="EUY479" s="268"/>
      <c r="EUZ479" s="268"/>
      <c r="EVA479" s="268"/>
      <c r="EVB479" s="268"/>
      <c r="EVC479" s="268"/>
      <c r="EVD479" s="268"/>
      <c r="EVE479" s="268"/>
      <c r="EVF479" s="268"/>
      <c r="EVG479" s="268"/>
      <c r="EVH479" s="268"/>
      <c r="EVI479" s="268"/>
      <c r="EVJ479" s="268"/>
      <c r="EVK479" s="268"/>
      <c r="EVL479" s="268"/>
      <c r="EVM479" s="268"/>
      <c r="EVN479" s="268"/>
      <c r="EVO479" s="268"/>
      <c r="EVP479" s="268"/>
      <c r="EVQ479" s="268"/>
      <c r="EVR479" s="268"/>
      <c r="EVS479" s="268"/>
      <c r="EVT479" s="268"/>
      <c r="EVU479" s="268"/>
      <c r="EVV479" s="268"/>
      <c r="EVW479" s="268"/>
      <c r="EVX479" s="268"/>
      <c r="EVY479" s="268"/>
      <c r="EVZ479" s="268"/>
      <c r="EWA479" s="268"/>
      <c r="EWB479" s="268"/>
      <c r="EWC479" s="268"/>
      <c r="EWD479" s="268"/>
      <c r="EWE479" s="268"/>
      <c r="EWF479" s="268"/>
      <c r="EWG479" s="268"/>
      <c r="EWH479" s="268"/>
      <c r="EWI479" s="268"/>
      <c r="EWJ479" s="268"/>
      <c r="EWK479" s="268"/>
      <c r="EWL479" s="268"/>
      <c r="EWM479" s="268"/>
      <c r="EWN479" s="268"/>
      <c r="EWO479" s="268"/>
      <c r="EWP479" s="268"/>
      <c r="EWQ479" s="268"/>
      <c r="EWR479" s="268"/>
      <c r="EWS479" s="268"/>
      <c r="EWT479" s="268"/>
      <c r="EWU479" s="268"/>
      <c r="EWV479" s="268"/>
      <c r="EWW479" s="268"/>
      <c r="EWX479" s="268"/>
      <c r="EWY479" s="268"/>
      <c r="EWZ479" s="268"/>
      <c r="EXA479" s="268"/>
      <c r="EXB479" s="268"/>
      <c r="EXC479" s="268"/>
      <c r="EXD479" s="268"/>
      <c r="EXE479" s="268"/>
      <c r="EXF479" s="268"/>
      <c r="EXG479" s="268"/>
      <c r="EXH479" s="268"/>
      <c r="EXI479" s="268"/>
      <c r="EXJ479" s="268"/>
      <c r="EXK479" s="268"/>
      <c r="EXL479" s="268"/>
      <c r="EXM479" s="268"/>
      <c r="EXN479" s="268"/>
      <c r="EXO479" s="268"/>
      <c r="EXP479" s="268"/>
      <c r="EXQ479" s="268"/>
      <c r="EXR479" s="268"/>
      <c r="EXS479" s="268"/>
      <c r="EXT479" s="268"/>
      <c r="EXU479" s="268"/>
      <c r="EXV479" s="268"/>
      <c r="EXW479" s="268"/>
      <c r="EXX479" s="268"/>
      <c r="EXY479" s="268"/>
      <c r="EXZ479" s="268"/>
      <c r="EYA479" s="268"/>
      <c r="EYB479" s="268"/>
      <c r="EYC479" s="268"/>
      <c r="EYD479" s="268"/>
      <c r="EYE479" s="268"/>
      <c r="EYF479" s="268"/>
      <c r="EYG479" s="268"/>
      <c r="EYH479" s="268"/>
      <c r="EYI479" s="268"/>
      <c r="EYJ479" s="268"/>
      <c r="EYK479" s="268"/>
      <c r="EYL479" s="268"/>
      <c r="EYM479" s="268"/>
      <c r="EYN479" s="268"/>
      <c r="EYO479" s="268"/>
      <c r="EYP479" s="268"/>
      <c r="EYQ479" s="268"/>
      <c r="EYR479" s="268"/>
      <c r="EYS479" s="268"/>
      <c r="EYT479" s="268"/>
      <c r="EYU479" s="268"/>
      <c r="EYV479" s="268"/>
      <c r="EYW479" s="268"/>
      <c r="EYX479" s="268"/>
      <c r="EYY479" s="268"/>
      <c r="EYZ479" s="268"/>
      <c r="EZA479" s="268"/>
      <c r="EZB479" s="268"/>
      <c r="EZC479" s="268"/>
      <c r="EZD479" s="268"/>
      <c r="EZE479" s="268"/>
      <c r="EZF479" s="268"/>
      <c r="EZG479" s="268"/>
      <c r="EZH479" s="268"/>
      <c r="EZI479" s="268"/>
      <c r="EZJ479" s="268"/>
      <c r="EZK479" s="268"/>
      <c r="EZL479" s="268"/>
      <c r="EZM479" s="268"/>
      <c r="EZN479" s="268"/>
      <c r="EZO479" s="268"/>
      <c r="EZP479" s="268"/>
      <c r="EZQ479" s="268"/>
      <c r="EZR479" s="268"/>
      <c r="EZS479" s="268"/>
      <c r="EZT479" s="268"/>
      <c r="EZU479" s="268"/>
      <c r="EZV479" s="268"/>
      <c r="EZW479" s="268"/>
      <c r="EZX479" s="268"/>
      <c r="EZY479" s="268"/>
      <c r="EZZ479" s="268"/>
      <c r="FAA479" s="268"/>
      <c r="FAB479" s="268"/>
      <c r="FAC479" s="268"/>
      <c r="FAD479" s="268"/>
      <c r="FAE479" s="268"/>
      <c r="FAS479" s="268"/>
      <c r="FAT479" s="268"/>
      <c r="FAU479" s="268"/>
      <c r="FBI479" s="268"/>
      <c r="FBK479" s="268"/>
      <c r="FBL479" s="268"/>
      <c r="FBM479" s="268"/>
      <c r="FBN479" s="268"/>
      <c r="FBO479" s="268"/>
      <c r="FBP479" s="268"/>
      <c r="FBQ479" s="268"/>
      <c r="FBR479" s="268"/>
      <c r="FBS479" s="268"/>
      <c r="FBT479" s="268"/>
      <c r="FBU479" s="268"/>
      <c r="FBV479" s="268"/>
      <c r="FBW479" s="268"/>
      <c r="FBX479" s="268"/>
      <c r="FBY479" s="268"/>
      <c r="FBZ479" s="268"/>
      <c r="FCA479" s="268"/>
      <c r="FCB479" s="268"/>
      <c r="FCC479" s="268"/>
      <c r="FCD479" s="268"/>
      <c r="FCE479" s="268"/>
      <c r="FCF479" s="268"/>
      <c r="FCG479" s="268"/>
      <c r="FCH479" s="268"/>
      <c r="FCI479" s="268"/>
      <c r="FCJ479" s="268"/>
      <c r="FCK479" s="268"/>
      <c r="FCL479" s="268"/>
      <c r="FCM479" s="268"/>
      <c r="FCN479" s="268"/>
      <c r="FCO479" s="268"/>
      <c r="FCP479" s="268"/>
      <c r="FCQ479" s="268"/>
      <c r="FCR479" s="268"/>
      <c r="FCS479" s="268"/>
      <c r="FCT479" s="268"/>
      <c r="FCU479" s="268"/>
      <c r="FCV479" s="268"/>
      <c r="FCW479" s="268"/>
      <c r="FCX479" s="268"/>
      <c r="FCY479" s="268"/>
      <c r="FCZ479" s="268"/>
      <c r="FDA479" s="268"/>
      <c r="FDB479" s="268"/>
      <c r="FDC479" s="268"/>
      <c r="FDD479" s="268"/>
      <c r="FDE479" s="268"/>
      <c r="FDF479" s="268"/>
      <c r="FDG479" s="268"/>
      <c r="FDH479" s="268"/>
      <c r="FDI479" s="268"/>
      <c r="FDJ479" s="268"/>
      <c r="FDK479" s="268"/>
      <c r="FDL479" s="268"/>
      <c r="FDM479" s="268"/>
      <c r="FDN479" s="268"/>
      <c r="FDO479" s="268"/>
      <c r="FDP479" s="268"/>
      <c r="FDQ479" s="268"/>
      <c r="FDR479" s="268"/>
      <c r="FDS479" s="268"/>
      <c r="FDT479" s="268"/>
      <c r="FDU479" s="268"/>
      <c r="FDV479" s="268"/>
      <c r="FDW479" s="268"/>
      <c r="FDX479" s="268"/>
      <c r="FDY479" s="268"/>
      <c r="FDZ479" s="268"/>
      <c r="FEA479" s="268"/>
      <c r="FEB479" s="268"/>
      <c r="FEC479" s="268"/>
      <c r="FED479" s="268"/>
      <c r="FEE479" s="268"/>
      <c r="FEF479" s="268"/>
      <c r="FEG479" s="268"/>
      <c r="FEH479" s="268"/>
      <c r="FEI479" s="268"/>
      <c r="FEJ479" s="268"/>
      <c r="FEK479" s="268"/>
      <c r="FEL479" s="268"/>
      <c r="FEM479" s="268"/>
      <c r="FEN479" s="268"/>
      <c r="FEO479" s="268"/>
      <c r="FEP479" s="268"/>
      <c r="FEQ479" s="268"/>
      <c r="FER479" s="268"/>
      <c r="FES479" s="268"/>
      <c r="FET479" s="268"/>
      <c r="FEU479" s="268"/>
      <c r="FEV479" s="268"/>
      <c r="FEW479" s="268"/>
      <c r="FEX479" s="268"/>
      <c r="FEY479" s="268"/>
      <c r="FEZ479" s="268"/>
      <c r="FFA479" s="268"/>
      <c r="FFB479" s="268"/>
      <c r="FFC479" s="268"/>
      <c r="FFD479" s="268"/>
      <c r="FFE479" s="268"/>
      <c r="FFF479" s="268"/>
      <c r="FFG479" s="268"/>
      <c r="FFH479" s="268"/>
      <c r="FFI479" s="268"/>
      <c r="FFJ479" s="268"/>
      <c r="FFK479" s="268"/>
      <c r="FFL479" s="268"/>
      <c r="FFM479" s="268"/>
      <c r="FFN479" s="268"/>
      <c r="FFO479" s="268"/>
      <c r="FFP479" s="268"/>
      <c r="FFQ479" s="268"/>
      <c r="FFR479" s="268"/>
      <c r="FFS479" s="268"/>
      <c r="FFT479" s="268"/>
      <c r="FFU479" s="268"/>
      <c r="FFV479" s="268"/>
      <c r="FFW479" s="268"/>
      <c r="FFX479" s="268"/>
      <c r="FFY479" s="268"/>
      <c r="FFZ479" s="268"/>
      <c r="FGA479" s="268"/>
      <c r="FGB479" s="268"/>
      <c r="FGC479" s="268"/>
      <c r="FGD479" s="268"/>
      <c r="FGE479" s="268"/>
      <c r="FGF479" s="268"/>
      <c r="FGG479" s="268"/>
      <c r="FGH479" s="268"/>
      <c r="FGI479" s="268"/>
      <c r="FGJ479" s="268"/>
      <c r="FGK479" s="268"/>
      <c r="FGL479" s="268"/>
      <c r="FGM479" s="268"/>
      <c r="FGN479" s="268"/>
      <c r="FGO479" s="268"/>
      <c r="FGP479" s="268"/>
      <c r="FGQ479" s="268"/>
      <c r="FGR479" s="268"/>
      <c r="FGS479" s="268"/>
      <c r="FGT479" s="268"/>
      <c r="FGU479" s="268"/>
      <c r="FGV479" s="268"/>
      <c r="FGW479" s="268"/>
      <c r="FGX479" s="268"/>
      <c r="FGY479" s="268"/>
      <c r="FGZ479" s="268"/>
      <c r="FHA479" s="268"/>
      <c r="FHB479" s="268"/>
      <c r="FHC479" s="268"/>
      <c r="FHD479" s="268"/>
      <c r="FHE479" s="268"/>
      <c r="FHF479" s="268"/>
      <c r="FHG479" s="268"/>
      <c r="FHH479" s="268"/>
      <c r="FHI479" s="268"/>
      <c r="FHJ479" s="268"/>
      <c r="FHK479" s="268"/>
      <c r="FHL479" s="268"/>
      <c r="FHM479" s="268"/>
      <c r="FHN479" s="268"/>
      <c r="FHO479" s="268"/>
      <c r="FHP479" s="268"/>
      <c r="FHQ479" s="268"/>
      <c r="FHR479" s="268"/>
      <c r="FHS479" s="268"/>
      <c r="FHT479" s="268"/>
      <c r="FHU479" s="268"/>
      <c r="FHV479" s="268"/>
      <c r="FHW479" s="268"/>
      <c r="FHX479" s="268"/>
      <c r="FHY479" s="268"/>
      <c r="FHZ479" s="268"/>
      <c r="FIA479" s="268"/>
      <c r="FIB479" s="268"/>
      <c r="FIC479" s="268"/>
      <c r="FID479" s="268"/>
      <c r="FIE479" s="268"/>
      <c r="FIF479" s="268"/>
      <c r="FIG479" s="268"/>
      <c r="FIH479" s="268"/>
      <c r="FII479" s="268"/>
      <c r="FIJ479" s="268"/>
      <c r="FIK479" s="268"/>
      <c r="FIL479" s="268"/>
      <c r="FIM479" s="268"/>
      <c r="FIN479" s="268"/>
      <c r="FIO479" s="268"/>
      <c r="FIP479" s="268"/>
      <c r="FIQ479" s="268"/>
      <c r="FIR479" s="268"/>
      <c r="FIS479" s="268"/>
      <c r="FIT479" s="268"/>
      <c r="FIU479" s="268"/>
      <c r="FIV479" s="268"/>
      <c r="FIW479" s="268"/>
      <c r="FIX479" s="268"/>
      <c r="FIY479" s="268"/>
      <c r="FIZ479" s="268"/>
      <c r="FJA479" s="268"/>
      <c r="FJB479" s="268"/>
      <c r="FJC479" s="268"/>
      <c r="FJD479" s="268"/>
      <c r="FJE479" s="268"/>
      <c r="FJF479" s="268"/>
      <c r="FJG479" s="268"/>
      <c r="FJH479" s="268"/>
      <c r="FJI479" s="268"/>
      <c r="FJJ479" s="268"/>
      <c r="FJK479" s="268"/>
      <c r="FJL479" s="268"/>
      <c r="FJM479" s="268"/>
      <c r="FJN479" s="268"/>
      <c r="FJO479" s="268"/>
      <c r="FJP479" s="268"/>
      <c r="FJQ479" s="268"/>
      <c r="FJR479" s="268"/>
      <c r="FJS479" s="268"/>
      <c r="FJT479" s="268"/>
      <c r="FJU479" s="268"/>
      <c r="FJV479" s="268"/>
      <c r="FJW479" s="268"/>
      <c r="FJX479" s="268"/>
      <c r="FJY479" s="268"/>
      <c r="FJZ479" s="268"/>
      <c r="FKA479" s="268"/>
      <c r="FKO479" s="268"/>
      <c r="FKP479" s="268"/>
      <c r="FKQ479" s="268"/>
      <c r="FLE479" s="268"/>
      <c r="FLG479" s="268"/>
      <c r="FLH479" s="268"/>
      <c r="FLI479" s="268"/>
      <c r="FLJ479" s="268"/>
      <c r="FLK479" s="268"/>
      <c r="FLL479" s="268"/>
      <c r="FLM479" s="268"/>
      <c r="FLN479" s="268"/>
      <c r="FLO479" s="268"/>
      <c r="FLP479" s="268"/>
      <c r="FLQ479" s="268"/>
      <c r="FLR479" s="268"/>
      <c r="FLS479" s="268"/>
      <c r="FLT479" s="268"/>
      <c r="FLU479" s="268"/>
      <c r="FLV479" s="268"/>
      <c r="FLW479" s="268"/>
      <c r="FLX479" s="268"/>
      <c r="FLY479" s="268"/>
      <c r="FLZ479" s="268"/>
      <c r="FMA479" s="268"/>
      <c r="FMB479" s="268"/>
      <c r="FMC479" s="268"/>
      <c r="FMD479" s="268"/>
      <c r="FME479" s="268"/>
      <c r="FMF479" s="268"/>
      <c r="FMG479" s="268"/>
      <c r="FMH479" s="268"/>
      <c r="FMI479" s="268"/>
      <c r="FMJ479" s="268"/>
      <c r="FMK479" s="268"/>
      <c r="FML479" s="268"/>
      <c r="FMM479" s="268"/>
      <c r="FMN479" s="268"/>
      <c r="FMO479" s="268"/>
      <c r="FMP479" s="268"/>
      <c r="FMQ479" s="268"/>
      <c r="FMR479" s="268"/>
      <c r="FMS479" s="268"/>
      <c r="FMT479" s="268"/>
      <c r="FMU479" s="268"/>
      <c r="FMV479" s="268"/>
      <c r="FMW479" s="268"/>
      <c r="FMX479" s="268"/>
      <c r="FMY479" s="268"/>
      <c r="FMZ479" s="268"/>
      <c r="FNA479" s="268"/>
      <c r="FNB479" s="268"/>
      <c r="FNC479" s="268"/>
      <c r="FND479" s="268"/>
      <c r="FNE479" s="268"/>
      <c r="FNF479" s="268"/>
      <c r="FNG479" s="268"/>
      <c r="FNH479" s="268"/>
      <c r="FNI479" s="268"/>
      <c r="FNJ479" s="268"/>
      <c r="FNK479" s="268"/>
      <c r="FNL479" s="268"/>
      <c r="FNM479" s="268"/>
      <c r="FNN479" s="268"/>
      <c r="FNO479" s="268"/>
      <c r="FNP479" s="268"/>
      <c r="FNQ479" s="268"/>
      <c r="FNR479" s="268"/>
      <c r="FNS479" s="268"/>
      <c r="FNT479" s="268"/>
      <c r="FNU479" s="268"/>
      <c r="FNV479" s="268"/>
      <c r="FNW479" s="268"/>
      <c r="FNX479" s="268"/>
      <c r="FNY479" s="268"/>
      <c r="FNZ479" s="268"/>
      <c r="FOA479" s="268"/>
      <c r="FOB479" s="268"/>
      <c r="FOC479" s="268"/>
      <c r="FOD479" s="268"/>
      <c r="FOE479" s="268"/>
      <c r="FOF479" s="268"/>
      <c r="FOG479" s="268"/>
      <c r="FOH479" s="268"/>
      <c r="FOI479" s="268"/>
      <c r="FOJ479" s="268"/>
      <c r="FOK479" s="268"/>
      <c r="FOL479" s="268"/>
      <c r="FOM479" s="268"/>
      <c r="FON479" s="268"/>
      <c r="FOO479" s="268"/>
      <c r="FOP479" s="268"/>
      <c r="FOQ479" s="268"/>
      <c r="FOR479" s="268"/>
      <c r="FOS479" s="268"/>
      <c r="FOT479" s="268"/>
      <c r="FOU479" s="268"/>
      <c r="FOV479" s="268"/>
      <c r="FOW479" s="268"/>
      <c r="FOX479" s="268"/>
      <c r="FOY479" s="268"/>
      <c r="FOZ479" s="268"/>
      <c r="FPA479" s="268"/>
      <c r="FPB479" s="268"/>
      <c r="FPC479" s="268"/>
      <c r="FPD479" s="268"/>
      <c r="FPE479" s="268"/>
      <c r="FPF479" s="268"/>
      <c r="FPG479" s="268"/>
      <c r="FPH479" s="268"/>
      <c r="FPI479" s="268"/>
      <c r="FPJ479" s="268"/>
      <c r="FPK479" s="268"/>
      <c r="FPL479" s="268"/>
      <c r="FPM479" s="268"/>
      <c r="FPN479" s="268"/>
      <c r="FPO479" s="268"/>
      <c r="FPP479" s="268"/>
      <c r="FPQ479" s="268"/>
      <c r="FPR479" s="268"/>
      <c r="FPS479" s="268"/>
      <c r="FPT479" s="268"/>
      <c r="FPU479" s="268"/>
      <c r="FPV479" s="268"/>
      <c r="FPW479" s="268"/>
      <c r="FPX479" s="268"/>
      <c r="FPY479" s="268"/>
      <c r="FPZ479" s="268"/>
      <c r="FQA479" s="268"/>
      <c r="FQB479" s="268"/>
      <c r="FQC479" s="268"/>
      <c r="FQD479" s="268"/>
      <c r="FQE479" s="268"/>
      <c r="FQF479" s="268"/>
      <c r="FQG479" s="268"/>
      <c r="FQH479" s="268"/>
      <c r="FQI479" s="268"/>
      <c r="FQJ479" s="268"/>
      <c r="FQK479" s="268"/>
      <c r="FQL479" s="268"/>
      <c r="FQM479" s="268"/>
      <c r="FQN479" s="268"/>
      <c r="FQO479" s="268"/>
      <c r="FQP479" s="268"/>
      <c r="FQQ479" s="268"/>
      <c r="FQR479" s="268"/>
      <c r="FQS479" s="268"/>
      <c r="FQT479" s="268"/>
      <c r="FQU479" s="268"/>
      <c r="FQV479" s="268"/>
      <c r="FQW479" s="268"/>
      <c r="FQX479" s="268"/>
      <c r="FQY479" s="268"/>
      <c r="FQZ479" s="268"/>
      <c r="FRA479" s="268"/>
      <c r="FRB479" s="268"/>
      <c r="FRC479" s="268"/>
      <c r="FRD479" s="268"/>
      <c r="FRE479" s="268"/>
      <c r="FRF479" s="268"/>
      <c r="FRG479" s="268"/>
      <c r="FRH479" s="268"/>
      <c r="FRI479" s="268"/>
      <c r="FRJ479" s="268"/>
      <c r="FRK479" s="268"/>
      <c r="FRL479" s="268"/>
      <c r="FRM479" s="268"/>
      <c r="FRN479" s="268"/>
      <c r="FRO479" s="268"/>
      <c r="FRP479" s="268"/>
      <c r="FRQ479" s="268"/>
      <c r="FRR479" s="268"/>
      <c r="FRS479" s="268"/>
      <c r="FRT479" s="268"/>
      <c r="FRU479" s="268"/>
      <c r="FRV479" s="268"/>
      <c r="FRW479" s="268"/>
      <c r="FRX479" s="268"/>
      <c r="FRY479" s="268"/>
      <c r="FRZ479" s="268"/>
      <c r="FSA479" s="268"/>
      <c r="FSB479" s="268"/>
      <c r="FSC479" s="268"/>
      <c r="FSD479" s="268"/>
      <c r="FSE479" s="268"/>
      <c r="FSF479" s="268"/>
      <c r="FSG479" s="268"/>
      <c r="FSH479" s="268"/>
      <c r="FSI479" s="268"/>
      <c r="FSJ479" s="268"/>
      <c r="FSK479" s="268"/>
      <c r="FSL479" s="268"/>
      <c r="FSM479" s="268"/>
      <c r="FSN479" s="268"/>
      <c r="FSO479" s="268"/>
      <c r="FSP479" s="268"/>
      <c r="FSQ479" s="268"/>
      <c r="FSR479" s="268"/>
      <c r="FSS479" s="268"/>
      <c r="FST479" s="268"/>
      <c r="FSU479" s="268"/>
      <c r="FSV479" s="268"/>
      <c r="FSW479" s="268"/>
      <c r="FSX479" s="268"/>
      <c r="FSY479" s="268"/>
      <c r="FSZ479" s="268"/>
      <c r="FTA479" s="268"/>
      <c r="FTB479" s="268"/>
      <c r="FTC479" s="268"/>
      <c r="FTD479" s="268"/>
      <c r="FTE479" s="268"/>
      <c r="FTF479" s="268"/>
      <c r="FTG479" s="268"/>
      <c r="FTH479" s="268"/>
      <c r="FTI479" s="268"/>
      <c r="FTJ479" s="268"/>
      <c r="FTK479" s="268"/>
      <c r="FTL479" s="268"/>
      <c r="FTM479" s="268"/>
      <c r="FTN479" s="268"/>
      <c r="FTO479" s="268"/>
      <c r="FTP479" s="268"/>
      <c r="FTQ479" s="268"/>
      <c r="FTR479" s="268"/>
      <c r="FTS479" s="268"/>
      <c r="FTT479" s="268"/>
      <c r="FTU479" s="268"/>
      <c r="FTV479" s="268"/>
      <c r="FTW479" s="268"/>
      <c r="FUK479" s="268"/>
      <c r="FUL479" s="268"/>
      <c r="FUM479" s="268"/>
      <c r="FVA479" s="268"/>
      <c r="FVC479" s="268"/>
      <c r="FVD479" s="268"/>
      <c r="FVE479" s="268"/>
      <c r="FVF479" s="268"/>
      <c r="FVG479" s="268"/>
      <c r="FVH479" s="268"/>
      <c r="FVI479" s="268"/>
      <c r="FVJ479" s="268"/>
      <c r="FVK479" s="268"/>
      <c r="FVL479" s="268"/>
      <c r="FVM479" s="268"/>
      <c r="FVN479" s="268"/>
      <c r="FVO479" s="268"/>
      <c r="FVP479" s="268"/>
      <c r="FVQ479" s="268"/>
      <c r="FVR479" s="268"/>
      <c r="FVS479" s="268"/>
      <c r="FVT479" s="268"/>
      <c r="FVU479" s="268"/>
      <c r="FVV479" s="268"/>
      <c r="FVW479" s="268"/>
      <c r="FVX479" s="268"/>
      <c r="FVY479" s="268"/>
      <c r="FVZ479" s="268"/>
      <c r="FWA479" s="268"/>
      <c r="FWB479" s="268"/>
      <c r="FWC479" s="268"/>
      <c r="FWD479" s="268"/>
      <c r="FWE479" s="268"/>
      <c r="FWF479" s="268"/>
      <c r="FWG479" s="268"/>
      <c r="FWH479" s="268"/>
      <c r="FWI479" s="268"/>
      <c r="FWJ479" s="268"/>
      <c r="FWK479" s="268"/>
      <c r="FWL479" s="268"/>
      <c r="FWM479" s="268"/>
      <c r="FWN479" s="268"/>
      <c r="FWO479" s="268"/>
      <c r="FWP479" s="268"/>
      <c r="FWQ479" s="268"/>
      <c r="FWR479" s="268"/>
      <c r="FWS479" s="268"/>
      <c r="FWT479" s="268"/>
      <c r="FWU479" s="268"/>
      <c r="FWV479" s="268"/>
      <c r="FWW479" s="268"/>
      <c r="FWX479" s="268"/>
      <c r="FWY479" s="268"/>
      <c r="FWZ479" s="268"/>
      <c r="FXA479" s="268"/>
      <c r="FXB479" s="268"/>
      <c r="FXC479" s="268"/>
      <c r="FXD479" s="268"/>
      <c r="FXE479" s="268"/>
      <c r="FXF479" s="268"/>
      <c r="FXG479" s="268"/>
      <c r="FXH479" s="268"/>
      <c r="FXI479" s="268"/>
      <c r="FXJ479" s="268"/>
      <c r="FXK479" s="268"/>
      <c r="FXL479" s="268"/>
      <c r="FXM479" s="268"/>
      <c r="FXN479" s="268"/>
      <c r="FXO479" s="268"/>
      <c r="FXP479" s="268"/>
      <c r="FXQ479" s="268"/>
      <c r="FXR479" s="268"/>
      <c r="FXS479" s="268"/>
      <c r="FXT479" s="268"/>
      <c r="FXU479" s="268"/>
      <c r="FXV479" s="268"/>
      <c r="FXW479" s="268"/>
      <c r="FXX479" s="268"/>
      <c r="FXY479" s="268"/>
      <c r="FXZ479" s="268"/>
      <c r="FYA479" s="268"/>
      <c r="FYB479" s="268"/>
      <c r="FYC479" s="268"/>
      <c r="FYD479" s="268"/>
      <c r="FYE479" s="268"/>
      <c r="FYF479" s="268"/>
      <c r="FYG479" s="268"/>
      <c r="FYH479" s="268"/>
      <c r="FYI479" s="268"/>
      <c r="FYJ479" s="268"/>
      <c r="FYK479" s="268"/>
      <c r="FYL479" s="268"/>
      <c r="FYM479" s="268"/>
      <c r="FYN479" s="268"/>
      <c r="FYO479" s="268"/>
      <c r="FYP479" s="268"/>
      <c r="FYQ479" s="268"/>
      <c r="FYR479" s="268"/>
      <c r="FYS479" s="268"/>
      <c r="FYT479" s="268"/>
      <c r="FYU479" s="268"/>
      <c r="FYV479" s="268"/>
      <c r="FYW479" s="268"/>
      <c r="FYX479" s="268"/>
      <c r="FYY479" s="268"/>
      <c r="FYZ479" s="268"/>
      <c r="FZA479" s="268"/>
      <c r="FZB479" s="268"/>
      <c r="FZC479" s="268"/>
      <c r="FZD479" s="268"/>
      <c r="FZE479" s="268"/>
      <c r="FZF479" s="268"/>
      <c r="FZG479" s="268"/>
      <c r="FZH479" s="268"/>
      <c r="FZI479" s="268"/>
      <c r="FZJ479" s="268"/>
      <c r="FZK479" s="268"/>
      <c r="FZL479" s="268"/>
      <c r="FZM479" s="268"/>
      <c r="FZN479" s="268"/>
      <c r="FZO479" s="268"/>
      <c r="FZP479" s="268"/>
      <c r="FZQ479" s="268"/>
      <c r="FZR479" s="268"/>
      <c r="FZS479" s="268"/>
      <c r="FZT479" s="268"/>
      <c r="FZU479" s="268"/>
      <c r="FZV479" s="268"/>
      <c r="FZW479" s="268"/>
      <c r="FZX479" s="268"/>
      <c r="FZY479" s="268"/>
      <c r="FZZ479" s="268"/>
      <c r="GAA479" s="268"/>
      <c r="GAB479" s="268"/>
      <c r="GAC479" s="268"/>
      <c r="GAD479" s="268"/>
      <c r="GAE479" s="268"/>
      <c r="GAF479" s="268"/>
      <c r="GAG479" s="268"/>
      <c r="GAH479" s="268"/>
      <c r="GAI479" s="268"/>
      <c r="GAJ479" s="268"/>
      <c r="GAK479" s="268"/>
      <c r="GAL479" s="268"/>
      <c r="GAM479" s="268"/>
      <c r="GAN479" s="268"/>
      <c r="GAO479" s="268"/>
      <c r="GAP479" s="268"/>
      <c r="GAQ479" s="268"/>
      <c r="GAR479" s="268"/>
      <c r="GAS479" s="268"/>
      <c r="GAT479" s="268"/>
      <c r="GAU479" s="268"/>
      <c r="GAV479" s="268"/>
      <c r="GAW479" s="268"/>
      <c r="GAX479" s="268"/>
      <c r="GAY479" s="268"/>
      <c r="GAZ479" s="268"/>
      <c r="GBA479" s="268"/>
      <c r="GBB479" s="268"/>
      <c r="GBC479" s="268"/>
      <c r="GBD479" s="268"/>
      <c r="GBE479" s="268"/>
      <c r="GBF479" s="268"/>
      <c r="GBG479" s="268"/>
      <c r="GBH479" s="268"/>
      <c r="GBI479" s="268"/>
      <c r="GBJ479" s="268"/>
      <c r="GBK479" s="268"/>
      <c r="GBL479" s="268"/>
      <c r="GBM479" s="268"/>
      <c r="GBN479" s="268"/>
      <c r="GBO479" s="268"/>
      <c r="GBP479" s="268"/>
      <c r="GBQ479" s="268"/>
      <c r="GBR479" s="268"/>
      <c r="GBS479" s="268"/>
      <c r="GBT479" s="268"/>
      <c r="GBU479" s="268"/>
      <c r="GBV479" s="268"/>
      <c r="GBW479" s="268"/>
      <c r="GBX479" s="268"/>
      <c r="GBY479" s="268"/>
      <c r="GBZ479" s="268"/>
      <c r="GCA479" s="268"/>
      <c r="GCB479" s="268"/>
      <c r="GCC479" s="268"/>
      <c r="GCD479" s="268"/>
      <c r="GCE479" s="268"/>
      <c r="GCF479" s="268"/>
      <c r="GCG479" s="268"/>
      <c r="GCH479" s="268"/>
      <c r="GCI479" s="268"/>
      <c r="GCJ479" s="268"/>
      <c r="GCK479" s="268"/>
      <c r="GCL479" s="268"/>
      <c r="GCM479" s="268"/>
      <c r="GCN479" s="268"/>
      <c r="GCO479" s="268"/>
      <c r="GCP479" s="268"/>
      <c r="GCQ479" s="268"/>
      <c r="GCR479" s="268"/>
      <c r="GCS479" s="268"/>
      <c r="GCT479" s="268"/>
      <c r="GCU479" s="268"/>
      <c r="GCV479" s="268"/>
      <c r="GCW479" s="268"/>
      <c r="GCX479" s="268"/>
      <c r="GCY479" s="268"/>
      <c r="GCZ479" s="268"/>
      <c r="GDA479" s="268"/>
      <c r="GDB479" s="268"/>
      <c r="GDC479" s="268"/>
      <c r="GDD479" s="268"/>
      <c r="GDE479" s="268"/>
      <c r="GDF479" s="268"/>
      <c r="GDG479" s="268"/>
      <c r="GDH479" s="268"/>
      <c r="GDI479" s="268"/>
      <c r="GDJ479" s="268"/>
      <c r="GDK479" s="268"/>
      <c r="GDL479" s="268"/>
      <c r="GDM479" s="268"/>
      <c r="GDN479" s="268"/>
      <c r="GDO479" s="268"/>
      <c r="GDP479" s="268"/>
      <c r="GDQ479" s="268"/>
      <c r="GDR479" s="268"/>
      <c r="GDS479" s="268"/>
      <c r="GEG479" s="268"/>
      <c r="GEH479" s="268"/>
      <c r="GEI479" s="268"/>
      <c r="GEW479" s="268"/>
      <c r="GEY479" s="268"/>
      <c r="GEZ479" s="268"/>
      <c r="GFA479" s="268"/>
      <c r="GFB479" s="268"/>
      <c r="GFC479" s="268"/>
      <c r="GFD479" s="268"/>
      <c r="GFE479" s="268"/>
      <c r="GFF479" s="268"/>
      <c r="GFG479" s="268"/>
      <c r="GFH479" s="268"/>
      <c r="GFI479" s="268"/>
      <c r="GFJ479" s="268"/>
      <c r="GFK479" s="268"/>
      <c r="GFL479" s="268"/>
      <c r="GFM479" s="268"/>
      <c r="GFN479" s="268"/>
      <c r="GFO479" s="268"/>
      <c r="GFP479" s="268"/>
      <c r="GFQ479" s="268"/>
      <c r="GFR479" s="268"/>
      <c r="GFS479" s="268"/>
      <c r="GFT479" s="268"/>
      <c r="GFU479" s="268"/>
      <c r="GFV479" s="268"/>
      <c r="GFW479" s="268"/>
      <c r="GFX479" s="268"/>
      <c r="GFY479" s="268"/>
      <c r="GFZ479" s="268"/>
      <c r="GGA479" s="268"/>
      <c r="GGB479" s="268"/>
      <c r="GGC479" s="268"/>
      <c r="GGD479" s="268"/>
      <c r="GGE479" s="268"/>
      <c r="GGF479" s="268"/>
      <c r="GGG479" s="268"/>
      <c r="GGH479" s="268"/>
      <c r="GGI479" s="268"/>
      <c r="GGJ479" s="268"/>
      <c r="GGK479" s="268"/>
      <c r="GGL479" s="268"/>
      <c r="GGM479" s="268"/>
      <c r="GGN479" s="268"/>
      <c r="GGO479" s="268"/>
      <c r="GGP479" s="268"/>
      <c r="GGQ479" s="268"/>
      <c r="GGR479" s="268"/>
      <c r="GGS479" s="268"/>
      <c r="GGT479" s="268"/>
      <c r="GGU479" s="268"/>
      <c r="GGV479" s="268"/>
      <c r="GGW479" s="268"/>
      <c r="GGX479" s="268"/>
      <c r="GGY479" s="268"/>
      <c r="GGZ479" s="268"/>
      <c r="GHA479" s="268"/>
      <c r="GHB479" s="268"/>
      <c r="GHC479" s="268"/>
      <c r="GHD479" s="268"/>
      <c r="GHE479" s="268"/>
      <c r="GHF479" s="268"/>
      <c r="GHG479" s="268"/>
      <c r="GHH479" s="268"/>
      <c r="GHI479" s="268"/>
      <c r="GHJ479" s="268"/>
      <c r="GHK479" s="268"/>
      <c r="GHL479" s="268"/>
      <c r="GHM479" s="268"/>
      <c r="GHN479" s="268"/>
      <c r="GHO479" s="268"/>
      <c r="GHP479" s="268"/>
      <c r="GHQ479" s="268"/>
      <c r="GHR479" s="268"/>
      <c r="GHS479" s="268"/>
      <c r="GHT479" s="268"/>
      <c r="GHU479" s="268"/>
      <c r="GHV479" s="268"/>
      <c r="GHW479" s="268"/>
      <c r="GHX479" s="268"/>
      <c r="GHY479" s="268"/>
      <c r="GHZ479" s="268"/>
      <c r="GIA479" s="268"/>
      <c r="GIB479" s="268"/>
      <c r="GIC479" s="268"/>
      <c r="GID479" s="268"/>
      <c r="GIE479" s="268"/>
      <c r="GIF479" s="268"/>
      <c r="GIG479" s="268"/>
      <c r="GIH479" s="268"/>
      <c r="GII479" s="268"/>
      <c r="GIJ479" s="268"/>
      <c r="GIK479" s="268"/>
      <c r="GIL479" s="268"/>
      <c r="GIM479" s="268"/>
      <c r="GIN479" s="268"/>
      <c r="GIO479" s="268"/>
      <c r="GIP479" s="268"/>
      <c r="GIQ479" s="268"/>
      <c r="GIR479" s="268"/>
      <c r="GIS479" s="268"/>
      <c r="GIT479" s="268"/>
      <c r="GIU479" s="268"/>
      <c r="GIV479" s="268"/>
      <c r="GIW479" s="268"/>
      <c r="GIX479" s="268"/>
      <c r="GIY479" s="268"/>
      <c r="GIZ479" s="268"/>
      <c r="GJA479" s="268"/>
      <c r="GJB479" s="268"/>
      <c r="GJC479" s="268"/>
      <c r="GJD479" s="268"/>
      <c r="GJE479" s="268"/>
      <c r="GJF479" s="268"/>
      <c r="GJG479" s="268"/>
      <c r="GJH479" s="268"/>
      <c r="GJI479" s="268"/>
      <c r="GJJ479" s="268"/>
      <c r="GJK479" s="268"/>
      <c r="GJL479" s="268"/>
      <c r="GJM479" s="268"/>
      <c r="GJN479" s="268"/>
      <c r="GJO479" s="268"/>
      <c r="GJP479" s="268"/>
      <c r="GJQ479" s="268"/>
      <c r="GJR479" s="268"/>
      <c r="GJS479" s="268"/>
      <c r="GJT479" s="268"/>
      <c r="GJU479" s="268"/>
      <c r="GJV479" s="268"/>
      <c r="GJW479" s="268"/>
      <c r="GJX479" s="268"/>
      <c r="GJY479" s="268"/>
      <c r="GJZ479" s="268"/>
      <c r="GKA479" s="268"/>
      <c r="GKB479" s="268"/>
      <c r="GKC479" s="268"/>
      <c r="GKD479" s="268"/>
      <c r="GKE479" s="268"/>
      <c r="GKF479" s="268"/>
      <c r="GKG479" s="268"/>
      <c r="GKH479" s="268"/>
      <c r="GKI479" s="268"/>
      <c r="GKJ479" s="268"/>
      <c r="GKK479" s="268"/>
      <c r="GKL479" s="268"/>
      <c r="GKM479" s="268"/>
      <c r="GKN479" s="268"/>
      <c r="GKO479" s="268"/>
      <c r="GKP479" s="268"/>
      <c r="GKQ479" s="268"/>
      <c r="GKR479" s="268"/>
      <c r="GKS479" s="268"/>
      <c r="GKT479" s="268"/>
      <c r="GKU479" s="268"/>
      <c r="GKV479" s="268"/>
      <c r="GKW479" s="268"/>
      <c r="GKX479" s="268"/>
      <c r="GKY479" s="268"/>
      <c r="GKZ479" s="268"/>
      <c r="GLA479" s="268"/>
      <c r="GLB479" s="268"/>
      <c r="GLC479" s="268"/>
      <c r="GLD479" s="268"/>
      <c r="GLE479" s="268"/>
      <c r="GLF479" s="268"/>
      <c r="GLG479" s="268"/>
      <c r="GLH479" s="268"/>
      <c r="GLI479" s="268"/>
      <c r="GLJ479" s="268"/>
      <c r="GLK479" s="268"/>
      <c r="GLL479" s="268"/>
      <c r="GLM479" s="268"/>
      <c r="GLN479" s="268"/>
      <c r="GLO479" s="268"/>
      <c r="GLP479" s="268"/>
      <c r="GLQ479" s="268"/>
      <c r="GLR479" s="268"/>
      <c r="GLS479" s="268"/>
      <c r="GLT479" s="268"/>
      <c r="GLU479" s="268"/>
      <c r="GLV479" s="268"/>
      <c r="GLW479" s="268"/>
      <c r="GLX479" s="268"/>
      <c r="GLY479" s="268"/>
      <c r="GLZ479" s="268"/>
      <c r="GMA479" s="268"/>
      <c r="GMB479" s="268"/>
      <c r="GMC479" s="268"/>
      <c r="GMD479" s="268"/>
      <c r="GME479" s="268"/>
      <c r="GMF479" s="268"/>
      <c r="GMG479" s="268"/>
      <c r="GMH479" s="268"/>
      <c r="GMI479" s="268"/>
      <c r="GMJ479" s="268"/>
      <c r="GMK479" s="268"/>
      <c r="GML479" s="268"/>
      <c r="GMM479" s="268"/>
      <c r="GMN479" s="268"/>
      <c r="GMO479" s="268"/>
      <c r="GMP479" s="268"/>
      <c r="GMQ479" s="268"/>
      <c r="GMR479" s="268"/>
      <c r="GMS479" s="268"/>
      <c r="GMT479" s="268"/>
      <c r="GMU479" s="268"/>
      <c r="GMV479" s="268"/>
      <c r="GMW479" s="268"/>
      <c r="GMX479" s="268"/>
      <c r="GMY479" s="268"/>
      <c r="GMZ479" s="268"/>
      <c r="GNA479" s="268"/>
      <c r="GNB479" s="268"/>
      <c r="GNC479" s="268"/>
      <c r="GND479" s="268"/>
      <c r="GNE479" s="268"/>
      <c r="GNF479" s="268"/>
      <c r="GNG479" s="268"/>
      <c r="GNH479" s="268"/>
      <c r="GNI479" s="268"/>
      <c r="GNJ479" s="268"/>
      <c r="GNK479" s="268"/>
      <c r="GNL479" s="268"/>
      <c r="GNM479" s="268"/>
      <c r="GNN479" s="268"/>
      <c r="GNO479" s="268"/>
      <c r="GOC479" s="268"/>
      <c r="GOD479" s="268"/>
      <c r="GOE479" s="268"/>
      <c r="GOS479" s="268"/>
      <c r="GOU479" s="268"/>
      <c r="GOV479" s="268"/>
      <c r="GOW479" s="268"/>
      <c r="GOX479" s="268"/>
      <c r="GOY479" s="268"/>
      <c r="GOZ479" s="268"/>
      <c r="GPA479" s="268"/>
      <c r="GPB479" s="268"/>
      <c r="GPC479" s="268"/>
      <c r="GPD479" s="268"/>
      <c r="GPE479" s="268"/>
      <c r="GPF479" s="268"/>
      <c r="GPG479" s="268"/>
      <c r="GPH479" s="268"/>
      <c r="GPI479" s="268"/>
      <c r="GPJ479" s="268"/>
      <c r="GPK479" s="268"/>
      <c r="GPL479" s="268"/>
      <c r="GPM479" s="268"/>
      <c r="GPN479" s="268"/>
      <c r="GPO479" s="268"/>
      <c r="GPP479" s="268"/>
      <c r="GPQ479" s="268"/>
      <c r="GPR479" s="268"/>
      <c r="GPS479" s="268"/>
      <c r="GPT479" s="268"/>
      <c r="GPU479" s="268"/>
      <c r="GPV479" s="268"/>
      <c r="GPW479" s="268"/>
      <c r="GPX479" s="268"/>
      <c r="GPY479" s="268"/>
      <c r="GPZ479" s="268"/>
      <c r="GQA479" s="268"/>
      <c r="GQB479" s="268"/>
      <c r="GQC479" s="268"/>
      <c r="GQD479" s="268"/>
      <c r="GQE479" s="268"/>
      <c r="GQF479" s="268"/>
      <c r="GQG479" s="268"/>
      <c r="GQH479" s="268"/>
      <c r="GQI479" s="268"/>
      <c r="GQJ479" s="268"/>
      <c r="GQK479" s="268"/>
      <c r="GQL479" s="268"/>
      <c r="GQM479" s="268"/>
      <c r="GQN479" s="268"/>
      <c r="GQO479" s="268"/>
      <c r="GQP479" s="268"/>
      <c r="GQQ479" s="268"/>
      <c r="GQR479" s="268"/>
      <c r="GQS479" s="268"/>
      <c r="GQT479" s="268"/>
      <c r="GQU479" s="268"/>
      <c r="GQV479" s="268"/>
      <c r="GQW479" s="268"/>
      <c r="GQX479" s="268"/>
      <c r="GQY479" s="268"/>
      <c r="GQZ479" s="268"/>
      <c r="GRA479" s="268"/>
      <c r="GRB479" s="268"/>
      <c r="GRC479" s="268"/>
      <c r="GRD479" s="268"/>
      <c r="GRE479" s="268"/>
      <c r="GRF479" s="268"/>
      <c r="GRG479" s="268"/>
      <c r="GRH479" s="268"/>
      <c r="GRI479" s="268"/>
      <c r="GRJ479" s="268"/>
      <c r="GRK479" s="268"/>
      <c r="GRL479" s="268"/>
      <c r="GRM479" s="268"/>
      <c r="GRN479" s="268"/>
      <c r="GRO479" s="268"/>
      <c r="GRP479" s="268"/>
      <c r="GRQ479" s="268"/>
      <c r="GRR479" s="268"/>
      <c r="GRS479" s="268"/>
      <c r="GRT479" s="268"/>
      <c r="GRU479" s="268"/>
      <c r="GRV479" s="268"/>
      <c r="GRW479" s="268"/>
      <c r="GRX479" s="268"/>
      <c r="GRY479" s="268"/>
      <c r="GRZ479" s="268"/>
      <c r="GSA479" s="268"/>
      <c r="GSB479" s="268"/>
      <c r="GSC479" s="268"/>
      <c r="GSD479" s="268"/>
      <c r="GSE479" s="268"/>
      <c r="GSF479" s="268"/>
      <c r="GSG479" s="268"/>
      <c r="GSH479" s="268"/>
      <c r="GSI479" s="268"/>
      <c r="GSJ479" s="268"/>
      <c r="GSK479" s="268"/>
      <c r="GSL479" s="268"/>
      <c r="GSM479" s="268"/>
      <c r="GSN479" s="268"/>
      <c r="GSO479" s="268"/>
      <c r="GSP479" s="268"/>
      <c r="GSQ479" s="268"/>
      <c r="GSR479" s="268"/>
      <c r="GSS479" s="268"/>
      <c r="GST479" s="268"/>
      <c r="GSU479" s="268"/>
      <c r="GSV479" s="268"/>
      <c r="GSW479" s="268"/>
      <c r="GSX479" s="268"/>
      <c r="GSY479" s="268"/>
      <c r="GSZ479" s="268"/>
      <c r="GTA479" s="268"/>
      <c r="GTB479" s="268"/>
      <c r="GTC479" s="268"/>
      <c r="GTD479" s="268"/>
      <c r="GTE479" s="268"/>
      <c r="GTF479" s="268"/>
      <c r="GTG479" s="268"/>
      <c r="GTH479" s="268"/>
      <c r="GTI479" s="268"/>
      <c r="GTJ479" s="268"/>
      <c r="GTK479" s="268"/>
      <c r="GTL479" s="268"/>
      <c r="GTM479" s="268"/>
      <c r="GTN479" s="268"/>
      <c r="GTO479" s="268"/>
      <c r="GTP479" s="268"/>
      <c r="GTQ479" s="268"/>
      <c r="GTR479" s="268"/>
      <c r="GTS479" s="268"/>
      <c r="GTT479" s="268"/>
      <c r="GTU479" s="268"/>
      <c r="GTV479" s="268"/>
      <c r="GTW479" s="268"/>
      <c r="GTX479" s="268"/>
      <c r="GTY479" s="268"/>
      <c r="GTZ479" s="268"/>
      <c r="GUA479" s="268"/>
      <c r="GUB479" s="268"/>
      <c r="GUC479" s="268"/>
      <c r="GUD479" s="268"/>
      <c r="GUE479" s="268"/>
      <c r="GUF479" s="268"/>
      <c r="GUG479" s="268"/>
      <c r="GUH479" s="268"/>
      <c r="GUI479" s="268"/>
      <c r="GUJ479" s="268"/>
      <c r="GUK479" s="268"/>
      <c r="GUL479" s="268"/>
      <c r="GUM479" s="268"/>
      <c r="GUN479" s="268"/>
      <c r="GUO479" s="268"/>
      <c r="GUP479" s="268"/>
      <c r="GUQ479" s="268"/>
      <c r="GUR479" s="268"/>
      <c r="GUS479" s="268"/>
      <c r="GUT479" s="268"/>
      <c r="GUU479" s="268"/>
      <c r="GUV479" s="268"/>
      <c r="GUW479" s="268"/>
      <c r="GUX479" s="268"/>
      <c r="GUY479" s="268"/>
      <c r="GUZ479" s="268"/>
      <c r="GVA479" s="268"/>
      <c r="GVB479" s="268"/>
      <c r="GVC479" s="268"/>
      <c r="GVD479" s="268"/>
      <c r="GVE479" s="268"/>
      <c r="GVF479" s="268"/>
      <c r="GVG479" s="268"/>
      <c r="GVH479" s="268"/>
      <c r="GVI479" s="268"/>
      <c r="GVJ479" s="268"/>
      <c r="GVK479" s="268"/>
      <c r="GVL479" s="268"/>
      <c r="GVM479" s="268"/>
      <c r="GVN479" s="268"/>
      <c r="GVO479" s="268"/>
      <c r="GVP479" s="268"/>
      <c r="GVQ479" s="268"/>
      <c r="GVR479" s="268"/>
      <c r="GVS479" s="268"/>
      <c r="GVT479" s="268"/>
      <c r="GVU479" s="268"/>
      <c r="GVV479" s="268"/>
      <c r="GVW479" s="268"/>
      <c r="GVX479" s="268"/>
      <c r="GVY479" s="268"/>
      <c r="GVZ479" s="268"/>
      <c r="GWA479" s="268"/>
      <c r="GWB479" s="268"/>
      <c r="GWC479" s="268"/>
      <c r="GWD479" s="268"/>
      <c r="GWE479" s="268"/>
      <c r="GWF479" s="268"/>
      <c r="GWG479" s="268"/>
      <c r="GWH479" s="268"/>
      <c r="GWI479" s="268"/>
      <c r="GWJ479" s="268"/>
      <c r="GWK479" s="268"/>
      <c r="GWL479" s="268"/>
      <c r="GWM479" s="268"/>
      <c r="GWN479" s="268"/>
      <c r="GWO479" s="268"/>
      <c r="GWP479" s="268"/>
      <c r="GWQ479" s="268"/>
      <c r="GWR479" s="268"/>
      <c r="GWS479" s="268"/>
      <c r="GWT479" s="268"/>
      <c r="GWU479" s="268"/>
      <c r="GWV479" s="268"/>
      <c r="GWW479" s="268"/>
      <c r="GWX479" s="268"/>
      <c r="GWY479" s="268"/>
      <c r="GWZ479" s="268"/>
      <c r="GXA479" s="268"/>
      <c r="GXB479" s="268"/>
      <c r="GXC479" s="268"/>
      <c r="GXD479" s="268"/>
      <c r="GXE479" s="268"/>
      <c r="GXF479" s="268"/>
      <c r="GXG479" s="268"/>
      <c r="GXH479" s="268"/>
      <c r="GXI479" s="268"/>
      <c r="GXJ479" s="268"/>
      <c r="GXK479" s="268"/>
      <c r="GXY479" s="268"/>
      <c r="GXZ479" s="268"/>
      <c r="GYA479" s="268"/>
      <c r="GYO479" s="268"/>
      <c r="GYQ479" s="268"/>
      <c r="GYR479" s="268"/>
      <c r="GYS479" s="268"/>
      <c r="GYT479" s="268"/>
      <c r="GYU479" s="268"/>
      <c r="GYV479" s="268"/>
      <c r="GYW479" s="268"/>
      <c r="GYX479" s="268"/>
      <c r="GYY479" s="268"/>
      <c r="GYZ479" s="268"/>
      <c r="GZA479" s="268"/>
      <c r="GZB479" s="268"/>
      <c r="GZC479" s="268"/>
      <c r="GZD479" s="268"/>
      <c r="GZE479" s="268"/>
      <c r="GZF479" s="268"/>
      <c r="GZG479" s="268"/>
      <c r="GZH479" s="268"/>
      <c r="GZI479" s="268"/>
      <c r="GZJ479" s="268"/>
      <c r="GZK479" s="268"/>
      <c r="GZL479" s="268"/>
      <c r="GZM479" s="268"/>
      <c r="GZN479" s="268"/>
      <c r="GZO479" s="268"/>
      <c r="GZP479" s="268"/>
      <c r="GZQ479" s="268"/>
      <c r="GZR479" s="268"/>
      <c r="GZS479" s="268"/>
      <c r="GZT479" s="268"/>
      <c r="GZU479" s="268"/>
      <c r="GZV479" s="268"/>
      <c r="GZW479" s="268"/>
      <c r="GZX479" s="268"/>
      <c r="GZY479" s="268"/>
      <c r="GZZ479" s="268"/>
      <c r="HAA479" s="268"/>
      <c r="HAB479" s="268"/>
      <c r="HAC479" s="268"/>
      <c r="HAD479" s="268"/>
      <c r="HAE479" s="268"/>
      <c r="HAF479" s="268"/>
      <c r="HAG479" s="268"/>
      <c r="HAH479" s="268"/>
      <c r="HAI479" s="268"/>
      <c r="HAJ479" s="268"/>
      <c r="HAK479" s="268"/>
      <c r="HAL479" s="268"/>
      <c r="HAM479" s="268"/>
      <c r="HAN479" s="268"/>
      <c r="HAO479" s="268"/>
      <c r="HAP479" s="268"/>
      <c r="HAQ479" s="268"/>
      <c r="HAR479" s="268"/>
      <c r="HAS479" s="268"/>
      <c r="HAT479" s="268"/>
      <c r="HAU479" s="268"/>
      <c r="HAV479" s="268"/>
      <c r="HAW479" s="268"/>
      <c r="HAX479" s="268"/>
      <c r="HAY479" s="268"/>
      <c r="HAZ479" s="268"/>
      <c r="HBA479" s="268"/>
      <c r="HBB479" s="268"/>
      <c r="HBC479" s="268"/>
      <c r="HBD479" s="268"/>
      <c r="HBE479" s="268"/>
      <c r="HBF479" s="268"/>
      <c r="HBG479" s="268"/>
      <c r="HBH479" s="268"/>
      <c r="HBI479" s="268"/>
      <c r="HBJ479" s="268"/>
      <c r="HBK479" s="268"/>
      <c r="HBL479" s="268"/>
      <c r="HBM479" s="268"/>
      <c r="HBN479" s="268"/>
      <c r="HBO479" s="268"/>
      <c r="HBP479" s="268"/>
      <c r="HBQ479" s="268"/>
      <c r="HBR479" s="268"/>
      <c r="HBS479" s="268"/>
      <c r="HBT479" s="268"/>
      <c r="HBU479" s="268"/>
      <c r="HBV479" s="268"/>
      <c r="HBW479" s="268"/>
      <c r="HBX479" s="268"/>
      <c r="HBY479" s="268"/>
      <c r="HBZ479" s="268"/>
      <c r="HCA479" s="268"/>
      <c r="HCB479" s="268"/>
      <c r="HCC479" s="268"/>
      <c r="HCD479" s="268"/>
      <c r="HCE479" s="268"/>
      <c r="HCF479" s="268"/>
      <c r="HCG479" s="268"/>
      <c r="HCH479" s="268"/>
      <c r="HCI479" s="268"/>
      <c r="HCJ479" s="268"/>
      <c r="HCK479" s="268"/>
      <c r="HCL479" s="268"/>
      <c r="HCM479" s="268"/>
      <c r="HCN479" s="268"/>
      <c r="HCO479" s="268"/>
      <c r="HCP479" s="268"/>
      <c r="HCQ479" s="268"/>
      <c r="HCR479" s="268"/>
      <c r="HCS479" s="268"/>
      <c r="HCT479" s="268"/>
      <c r="HCU479" s="268"/>
      <c r="HCV479" s="268"/>
      <c r="HCW479" s="268"/>
      <c r="HCX479" s="268"/>
      <c r="HCY479" s="268"/>
      <c r="HCZ479" s="268"/>
      <c r="HDA479" s="268"/>
      <c r="HDB479" s="268"/>
      <c r="HDC479" s="268"/>
      <c r="HDD479" s="268"/>
      <c r="HDE479" s="268"/>
      <c r="HDF479" s="268"/>
      <c r="HDG479" s="268"/>
      <c r="HDH479" s="268"/>
      <c r="HDI479" s="268"/>
      <c r="HDJ479" s="268"/>
      <c r="HDK479" s="268"/>
      <c r="HDL479" s="268"/>
      <c r="HDM479" s="268"/>
      <c r="HDN479" s="268"/>
      <c r="HDO479" s="268"/>
      <c r="HDP479" s="268"/>
      <c r="HDQ479" s="268"/>
      <c r="HDR479" s="268"/>
      <c r="HDS479" s="268"/>
      <c r="HDT479" s="268"/>
      <c r="HDU479" s="268"/>
      <c r="HDV479" s="268"/>
      <c r="HDW479" s="268"/>
      <c r="HDX479" s="268"/>
      <c r="HDY479" s="268"/>
      <c r="HDZ479" s="268"/>
      <c r="HEA479" s="268"/>
      <c r="HEB479" s="268"/>
      <c r="HEC479" s="268"/>
      <c r="HED479" s="268"/>
      <c r="HEE479" s="268"/>
      <c r="HEF479" s="268"/>
      <c r="HEG479" s="268"/>
      <c r="HEH479" s="268"/>
      <c r="HEI479" s="268"/>
      <c r="HEJ479" s="268"/>
      <c r="HEK479" s="268"/>
      <c r="HEL479" s="268"/>
      <c r="HEM479" s="268"/>
      <c r="HEN479" s="268"/>
      <c r="HEO479" s="268"/>
      <c r="HEP479" s="268"/>
      <c r="HEQ479" s="268"/>
      <c r="HER479" s="268"/>
      <c r="HES479" s="268"/>
      <c r="HET479" s="268"/>
      <c r="HEU479" s="268"/>
      <c r="HEV479" s="268"/>
      <c r="HEW479" s="268"/>
      <c r="HEX479" s="268"/>
      <c r="HEY479" s="268"/>
      <c r="HEZ479" s="268"/>
      <c r="HFA479" s="268"/>
      <c r="HFB479" s="268"/>
      <c r="HFC479" s="268"/>
      <c r="HFD479" s="268"/>
      <c r="HFE479" s="268"/>
      <c r="HFF479" s="268"/>
      <c r="HFG479" s="268"/>
      <c r="HFH479" s="268"/>
      <c r="HFI479" s="268"/>
      <c r="HFJ479" s="268"/>
      <c r="HFK479" s="268"/>
      <c r="HFL479" s="268"/>
      <c r="HFM479" s="268"/>
      <c r="HFN479" s="268"/>
      <c r="HFO479" s="268"/>
      <c r="HFP479" s="268"/>
      <c r="HFQ479" s="268"/>
      <c r="HFR479" s="268"/>
      <c r="HFS479" s="268"/>
      <c r="HFT479" s="268"/>
      <c r="HFU479" s="268"/>
      <c r="HFV479" s="268"/>
      <c r="HFW479" s="268"/>
      <c r="HFX479" s="268"/>
      <c r="HFY479" s="268"/>
      <c r="HFZ479" s="268"/>
      <c r="HGA479" s="268"/>
      <c r="HGB479" s="268"/>
      <c r="HGC479" s="268"/>
      <c r="HGD479" s="268"/>
      <c r="HGE479" s="268"/>
      <c r="HGF479" s="268"/>
      <c r="HGG479" s="268"/>
      <c r="HGH479" s="268"/>
      <c r="HGI479" s="268"/>
      <c r="HGJ479" s="268"/>
      <c r="HGK479" s="268"/>
      <c r="HGL479" s="268"/>
      <c r="HGM479" s="268"/>
      <c r="HGN479" s="268"/>
      <c r="HGO479" s="268"/>
      <c r="HGP479" s="268"/>
      <c r="HGQ479" s="268"/>
      <c r="HGR479" s="268"/>
      <c r="HGS479" s="268"/>
      <c r="HGT479" s="268"/>
      <c r="HGU479" s="268"/>
      <c r="HGV479" s="268"/>
      <c r="HGW479" s="268"/>
      <c r="HGX479" s="268"/>
      <c r="HGY479" s="268"/>
      <c r="HGZ479" s="268"/>
      <c r="HHA479" s="268"/>
      <c r="HHB479" s="268"/>
      <c r="HHC479" s="268"/>
      <c r="HHD479" s="268"/>
      <c r="HHE479" s="268"/>
      <c r="HHF479" s="268"/>
      <c r="HHG479" s="268"/>
      <c r="HHU479" s="268"/>
      <c r="HHV479" s="268"/>
      <c r="HHW479" s="268"/>
      <c r="HIK479" s="268"/>
      <c r="HIM479" s="268"/>
      <c r="HIN479" s="268"/>
      <c r="HIO479" s="268"/>
      <c r="HIP479" s="268"/>
      <c r="HIQ479" s="268"/>
      <c r="HIR479" s="268"/>
      <c r="HIS479" s="268"/>
      <c r="HIT479" s="268"/>
      <c r="HIU479" s="268"/>
      <c r="HIV479" s="268"/>
      <c r="HIW479" s="268"/>
      <c r="HIX479" s="268"/>
      <c r="HIY479" s="268"/>
      <c r="HIZ479" s="268"/>
      <c r="HJA479" s="268"/>
      <c r="HJB479" s="268"/>
      <c r="HJC479" s="268"/>
      <c r="HJD479" s="268"/>
      <c r="HJE479" s="268"/>
      <c r="HJF479" s="268"/>
      <c r="HJG479" s="268"/>
      <c r="HJH479" s="268"/>
      <c r="HJI479" s="268"/>
      <c r="HJJ479" s="268"/>
      <c r="HJK479" s="268"/>
      <c r="HJL479" s="268"/>
      <c r="HJM479" s="268"/>
      <c r="HJN479" s="268"/>
      <c r="HJO479" s="268"/>
      <c r="HJP479" s="268"/>
      <c r="HJQ479" s="268"/>
      <c r="HJR479" s="268"/>
      <c r="HJS479" s="268"/>
      <c r="HJT479" s="268"/>
      <c r="HJU479" s="268"/>
      <c r="HJV479" s="268"/>
      <c r="HJW479" s="268"/>
      <c r="HJX479" s="268"/>
      <c r="HJY479" s="268"/>
      <c r="HJZ479" s="268"/>
      <c r="HKA479" s="268"/>
      <c r="HKB479" s="268"/>
      <c r="HKC479" s="268"/>
      <c r="HKD479" s="268"/>
      <c r="HKE479" s="268"/>
      <c r="HKF479" s="268"/>
      <c r="HKG479" s="268"/>
      <c r="HKH479" s="268"/>
      <c r="HKI479" s="268"/>
      <c r="HKJ479" s="268"/>
      <c r="HKK479" s="268"/>
      <c r="HKL479" s="268"/>
      <c r="HKM479" s="268"/>
      <c r="HKN479" s="268"/>
      <c r="HKO479" s="268"/>
      <c r="HKP479" s="268"/>
      <c r="HKQ479" s="268"/>
      <c r="HKR479" s="268"/>
      <c r="HKS479" s="268"/>
      <c r="HKT479" s="268"/>
      <c r="HKU479" s="268"/>
      <c r="HKV479" s="268"/>
      <c r="HKW479" s="268"/>
      <c r="HKX479" s="268"/>
      <c r="HKY479" s="268"/>
      <c r="HKZ479" s="268"/>
      <c r="HLA479" s="268"/>
      <c r="HLB479" s="268"/>
      <c r="HLC479" s="268"/>
      <c r="HLD479" s="268"/>
      <c r="HLE479" s="268"/>
      <c r="HLF479" s="268"/>
      <c r="HLG479" s="268"/>
      <c r="HLH479" s="268"/>
      <c r="HLI479" s="268"/>
      <c r="HLJ479" s="268"/>
      <c r="HLK479" s="268"/>
      <c r="HLL479" s="268"/>
      <c r="HLM479" s="268"/>
      <c r="HLN479" s="268"/>
      <c r="HLO479" s="268"/>
      <c r="HLP479" s="268"/>
      <c r="HLQ479" s="268"/>
      <c r="HLR479" s="268"/>
      <c r="HLS479" s="268"/>
      <c r="HLT479" s="268"/>
      <c r="HLU479" s="268"/>
      <c r="HLV479" s="268"/>
      <c r="HLW479" s="268"/>
      <c r="HLX479" s="268"/>
      <c r="HLY479" s="268"/>
      <c r="HLZ479" s="268"/>
      <c r="HMA479" s="268"/>
      <c r="HMB479" s="268"/>
      <c r="HMC479" s="268"/>
      <c r="HMD479" s="268"/>
      <c r="HME479" s="268"/>
      <c r="HMF479" s="268"/>
      <c r="HMG479" s="268"/>
      <c r="HMH479" s="268"/>
      <c r="HMI479" s="268"/>
      <c r="HMJ479" s="268"/>
      <c r="HMK479" s="268"/>
      <c r="HML479" s="268"/>
      <c r="HMM479" s="268"/>
      <c r="HMN479" s="268"/>
      <c r="HMO479" s="268"/>
      <c r="HMP479" s="268"/>
      <c r="HMQ479" s="268"/>
      <c r="HMR479" s="268"/>
      <c r="HMS479" s="268"/>
      <c r="HMT479" s="268"/>
      <c r="HMU479" s="268"/>
      <c r="HMV479" s="268"/>
      <c r="HMW479" s="268"/>
      <c r="HMX479" s="268"/>
      <c r="HMY479" s="268"/>
      <c r="HMZ479" s="268"/>
      <c r="HNA479" s="268"/>
      <c r="HNB479" s="268"/>
      <c r="HNC479" s="268"/>
      <c r="HND479" s="268"/>
      <c r="HNE479" s="268"/>
      <c r="HNF479" s="268"/>
      <c r="HNG479" s="268"/>
      <c r="HNH479" s="268"/>
      <c r="HNI479" s="268"/>
      <c r="HNJ479" s="268"/>
      <c r="HNK479" s="268"/>
      <c r="HNL479" s="268"/>
      <c r="HNM479" s="268"/>
      <c r="HNN479" s="268"/>
      <c r="HNO479" s="268"/>
      <c r="HNP479" s="268"/>
      <c r="HNQ479" s="268"/>
      <c r="HNR479" s="268"/>
      <c r="HNS479" s="268"/>
      <c r="HNT479" s="268"/>
      <c r="HNU479" s="268"/>
      <c r="HNV479" s="268"/>
      <c r="HNW479" s="268"/>
      <c r="HNX479" s="268"/>
      <c r="HNY479" s="268"/>
      <c r="HNZ479" s="268"/>
      <c r="HOA479" s="268"/>
      <c r="HOB479" s="268"/>
      <c r="HOC479" s="268"/>
      <c r="HOD479" s="268"/>
      <c r="HOE479" s="268"/>
      <c r="HOF479" s="268"/>
      <c r="HOG479" s="268"/>
      <c r="HOH479" s="268"/>
      <c r="HOI479" s="268"/>
      <c r="HOJ479" s="268"/>
      <c r="HOK479" s="268"/>
      <c r="HOL479" s="268"/>
      <c r="HOM479" s="268"/>
      <c r="HON479" s="268"/>
      <c r="HOO479" s="268"/>
      <c r="HOP479" s="268"/>
      <c r="HOQ479" s="268"/>
      <c r="HOR479" s="268"/>
      <c r="HOS479" s="268"/>
      <c r="HOT479" s="268"/>
      <c r="HOU479" s="268"/>
      <c r="HOV479" s="268"/>
      <c r="HOW479" s="268"/>
      <c r="HOX479" s="268"/>
      <c r="HOY479" s="268"/>
      <c r="HOZ479" s="268"/>
      <c r="HPA479" s="268"/>
      <c r="HPB479" s="268"/>
      <c r="HPC479" s="268"/>
      <c r="HPD479" s="268"/>
      <c r="HPE479" s="268"/>
      <c r="HPF479" s="268"/>
      <c r="HPG479" s="268"/>
      <c r="HPH479" s="268"/>
      <c r="HPI479" s="268"/>
      <c r="HPJ479" s="268"/>
      <c r="HPK479" s="268"/>
      <c r="HPL479" s="268"/>
      <c r="HPM479" s="268"/>
      <c r="HPN479" s="268"/>
      <c r="HPO479" s="268"/>
      <c r="HPP479" s="268"/>
      <c r="HPQ479" s="268"/>
      <c r="HPR479" s="268"/>
      <c r="HPS479" s="268"/>
      <c r="HPT479" s="268"/>
      <c r="HPU479" s="268"/>
      <c r="HPV479" s="268"/>
      <c r="HPW479" s="268"/>
      <c r="HPX479" s="268"/>
      <c r="HPY479" s="268"/>
      <c r="HPZ479" s="268"/>
      <c r="HQA479" s="268"/>
      <c r="HQB479" s="268"/>
      <c r="HQC479" s="268"/>
      <c r="HQD479" s="268"/>
      <c r="HQE479" s="268"/>
      <c r="HQF479" s="268"/>
      <c r="HQG479" s="268"/>
      <c r="HQH479" s="268"/>
      <c r="HQI479" s="268"/>
      <c r="HQJ479" s="268"/>
      <c r="HQK479" s="268"/>
      <c r="HQL479" s="268"/>
      <c r="HQM479" s="268"/>
      <c r="HQN479" s="268"/>
      <c r="HQO479" s="268"/>
      <c r="HQP479" s="268"/>
      <c r="HQQ479" s="268"/>
      <c r="HQR479" s="268"/>
      <c r="HQS479" s="268"/>
      <c r="HQT479" s="268"/>
      <c r="HQU479" s="268"/>
      <c r="HQV479" s="268"/>
      <c r="HQW479" s="268"/>
      <c r="HQX479" s="268"/>
      <c r="HQY479" s="268"/>
      <c r="HQZ479" s="268"/>
      <c r="HRA479" s="268"/>
      <c r="HRB479" s="268"/>
      <c r="HRC479" s="268"/>
      <c r="HRQ479" s="268"/>
      <c r="HRR479" s="268"/>
      <c r="HRS479" s="268"/>
      <c r="HSG479" s="268"/>
      <c r="HSI479" s="268"/>
      <c r="HSJ479" s="268"/>
      <c r="HSK479" s="268"/>
      <c r="HSL479" s="268"/>
      <c r="HSM479" s="268"/>
      <c r="HSN479" s="268"/>
      <c r="HSO479" s="268"/>
      <c r="HSP479" s="268"/>
      <c r="HSQ479" s="268"/>
      <c r="HSR479" s="268"/>
      <c r="HSS479" s="268"/>
      <c r="HST479" s="268"/>
      <c r="HSU479" s="268"/>
      <c r="HSV479" s="268"/>
      <c r="HSW479" s="268"/>
      <c r="HSX479" s="268"/>
      <c r="HSY479" s="268"/>
      <c r="HSZ479" s="268"/>
      <c r="HTA479" s="268"/>
      <c r="HTB479" s="268"/>
      <c r="HTC479" s="268"/>
      <c r="HTD479" s="268"/>
      <c r="HTE479" s="268"/>
      <c r="HTF479" s="268"/>
      <c r="HTG479" s="268"/>
      <c r="HTH479" s="268"/>
      <c r="HTI479" s="268"/>
      <c r="HTJ479" s="268"/>
      <c r="HTK479" s="268"/>
      <c r="HTL479" s="268"/>
      <c r="HTM479" s="268"/>
      <c r="HTN479" s="268"/>
      <c r="HTO479" s="268"/>
      <c r="HTP479" s="268"/>
      <c r="HTQ479" s="268"/>
      <c r="HTR479" s="268"/>
      <c r="HTS479" s="268"/>
      <c r="HTT479" s="268"/>
      <c r="HTU479" s="268"/>
      <c r="HTV479" s="268"/>
      <c r="HTW479" s="268"/>
      <c r="HTX479" s="268"/>
      <c r="HTY479" s="268"/>
      <c r="HTZ479" s="268"/>
      <c r="HUA479" s="268"/>
      <c r="HUB479" s="268"/>
      <c r="HUC479" s="268"/>
      <c r="HUD479" s="268"/>
      <c r="HUE479" s="268"/>
      <c r="HUF479" s="268"/>
      <c r="HUG479" s="268"/>
      <c r="HUH479" s="268"/>
      <c r="HUI479" s="268"/>
      <c r="HUJ479" s="268"/>
      <c r="HUK479" s="268"/>
      <c r="HUL479" s="268"/>
      <c r="HUM479" s="268"/>
      <c r="HUN479" s="268"/>
      <c r="HUO479" s="268"/>
      <c r="HUP479" s="268"/>
      <c r="HUQ479" s="268"/>
      <c r="HUR479" s="268"/>
      <c r="HUS479" s="268"/>
      <c r="HUT479" s="268"/>
      <c r="HUU479" s="268"/>
      <c r="HUV479" s="268"/>
      <c r="HUW479" s="268"/>
      <c r="HUX479" s="268"/>
      <c r="HUY479" s="268"/>
      <c r="HUZ479" s="268"/>
      <c r="HVA479" s="268"/>
      <c r="HVB479" s="268"/>
      <c r="HVC479" s="268"/>
      <c r="HVD479" s="268"/>
      <c r="HVE479" s="268"/>
      <c r="HVF479" s="268"/>
      <c r="HVG479" s="268"/>
      <c r="HVH479" s="268"/>
      <c r="HVI479" s="268"/>
      <c r="HVJ479" s="268"/>
      <c r="HVK479" s="268"/>
      <c r="HVL479" s="268"/>
      <c r="HVM479" s="268"/>
      <c r="HVN479" s="268"/>
      <c r="HVO479" s="268"/>
      <c r="HVP479" s="268"/>
      <c r="HVQ479" s="268"/>
      <c r="HVR479" s="268"/>
      <c r="HVS479" s="268"/>
      <c r="HVT479" s="268"/>
      <c r="HVU479" s="268"/>
      <c r="HVV479" s="268"/>
      <c r="HVW479" s="268"/>
      <c r="HVX479" s="268"/>
      <c r="HVY479" s="268"/>
      <c r="HVZ479" s="268"/>
      <c r="HWA479" s="268"/>
      <c r="HWB479" s="268"/>
      <c r="HWC479" s="268"/>
      <c r="HWD479" s="268"/>
      <c r="HWE479" s="268"/>
      <c r="HWF479" s="268"/>
      <c r="HWG479" s="268"/>
      <c r="HWH479" s="268"/>
      <c r="HWI479" s="268"/>
      <c r="HWJ479" s="268"/>
      <c r="HWK479" s="268"/>
      <c r="HWL479" s="268"/>
      <c r="HWM479" s="268"/>
      <c r="HWN479" s="268"/>
      <c r="HWO479" s="268"/>
      <c r="HWP479" s="268"/>
      <c r="HWQ479" s="268"/>
      <c r="HWR479" s="268"/>
      <c r="HWS479" s="268"/>
      <c r="HWT479" s="268"/>
      <c r="HWU479" s="268"/>
      <c r="HWV479" s="268"/>
      <c r="HWW479" s="268"/>
      <c r="HWX479" s="268"/>
      <c r="HWY479" s="268"/>
      <c r="HWZ479" s="268"/>
      <c r="HXA479" s="268"/>
      <c r="HXB479" s="268"/>
      <c r="HXC479" s="268"/>
      <c r="HXD479" s="268"/>
      <c r="HXE479" s="268"/>
      <c r="HXF479" s="268"/>
      <c r="HXG479" s="268"/>
      <c r="HXH479" s="268"/>
      <c r="HXI479" s="268"/>
      <c r="HXJ479" s="268"/>
      <c r="HXK479" s="268"/>
      <c r="HXL479" s="268"/>
      <c r="HXM479" s="268"/>
      <c r="HXN479" s="268"/>
      <c r="HXO479" s="268"/>
      <c r="HXP479" s="268"/>
      <c r="HXQ479" s="268"/>
      <c r="HXR479" s="268"/>
      <c r="HXS479" s="268"/>
      <c r="HXT479" s="268"/>
      <c r="HXU479" s="268"/>
      <c r="HXV479" s="268"/>
      <c r="HXW479" s="268"/>
      <c r="HXX479" s="268"/>
      <c r="HXY479" s="268"/>
      <c r="HXZ479" s="268"/>
      <c r="HYA479" s="268"/>
      <c r="HYB479" s="268"/>
      <c r="HYC479" s="268"/>
      <c r="HYD479" s="268"/>
      <c r="HYE479" s="268"/>
      <c r="HYF479" s="268"/>
      <c r="HYG479" s="268"/>
      <c r="HYH479" s="268"/>
      <c r="HYI479" s="268"/>
      <c r="HYJ479" s="268"/>
      <c r="HYK479" s="268"/>
      <c r="HYL479" s="268"/>
      <c r="HYM479" s="268"/>
      <c r="HYN479" s="268"/>
      <c r="HYO479" s="268"/>
      <c r="HYP479" s="268"/>
      <c r="HYQ479" s="268"/>
      <c r="HYR479" s="268"/>
      <c r="HYS479" s="268"/>
      <c r="HYT479" s="268"/>
      <c r="HYU479" s="268"/>
      <c r="HYV479" s="268"/>
      <c r="HYW479" s="268"/>
      <c r="HYX479" s="268"/>
      <c r="HYY479" s="268"/>
      <c r="HYZ479" s="268"/>
      <c r="HZA479" s="268"/>
      <c r="HZB479" s="268"/>
      <c r="HZC479" s="268"/>
      <c r="HZD479" s="268"/>
      <c r="HZE479" s="268"/>
      <c r="HZF479" s="268"/>
      <c r="HZG479" s="268"/>
      <c r="HZH479" s="268"/>
      <c r="HZI479" s="268"/>
      <c r="HZJ479" s="268"/>
      <c r="HZK479" s="268"/>
      <c r="HZL479" s="268"/>
      <c r="HZM479" s="268"/>
      <c r="HZN479" s="268"/>
      <c r="HZO479" s="268"/>
      <c r="HZP479" s="268"/>
      <c r="HZQ479" s="268"/>
      <c r="HZR479" s="268"/>
      <c r="HZS479" s="268"/>
      <c r="HZT479" s="268"/>
      <c r="HZU479" s="268"/>
      <c r="HZV479" s="268"/>
      <c r="HZW479" s="268"/>
      <c r="HZX479" s="268"/>
      <c r="HZY479" s="268"/>
      <c r="HZZ479" s="268"/>
      <c r="IAA479" s="268"/>
      <c r="IAB479" s="268"/>
      <c r="IAC479" s="268"/>
      <c r="IAD479" s="268"/>
      <c r="IAE479" s="268"/>
      <c r="IAF479" s="268"/>
      <c r="IAG479" s="268"/>
      <c r="IAH479" s="268"/>
      <c r="IAI479" s="268"/>
      <c r="IAJ479" s="268"/>
      <c r="IAK479" s="268"/>
      <c r="IAL479" s="268"/>
      <c r="IAM479" s="268"/>
      <c r="IAN479" s="268"/>
      <c r="IAO479" s="268"/>
      <c r="IAP479" s="268"/>
      <c r="IAQ479" s="268"/>
      <c r="IAR479" s="268"/>
      <c r="IAS479" s="268"/>
      <c r="IAT479" s="268"/>
      <c r="IAU479" s="268"/>
      <c r="IAV479" s="268"/>
      <c r="IAW479" s="268"/>
      <c r="IAX479" s="268"/>
      <c r="IAY479" s="268"/>
      <c r="IBM479" s="268"/>
      <c r="IBN479" s="268"/>
      <c r="IBO479" s="268"/>
      <c r="ICC479" s="268"/>
      <c r="ICE479" s="268"/>
      <c r="ICF479" s="268"/>
      <c r="ICG479" s="268"/>
      <c r="ICH479" s="268"/>
      <c r="ICI479" s="268"/>
      <c r="ICJ479" s="268"/>
      <c r="ICK479" s="268"/>
      <c r="ICL479" s="268"/>
      <c r="ICM479" s="268"/>
      <c r="ICN479" s="268"/>
      <c r="ICO479" s="268"/>
      <c r="ICP479" s="268"/>
      <c r="ICQ479" s="268"/>
      <c r="ICR479" s="268"/>
      <c r="ICS479" s="268"/>
      <c r="ICT479" s="268"/>
      <c r="ICU479" s="268"/>
      <c r="ICV479" s="268"/>
      <c r="ICW479" s="268"/>
      <c r="ICX479" s="268"/>
      <c r="ICY479" s="268"/>
      <c r="ICZ479" s="268"/>
      <c r="IDA479" s="268"/>
      <c r="IDB479" s="268"/>
      <c r="IDC479" s="268"/>
      <c r="IDD479" s="268"/>
      <c r="IDE479" s="268"/>
      <c r="IDF479" s="268"/>
      <c r="IDG479" s="268"/>
      <c r="IDH479" s="268"/>
      <c r="IDI479" s="268"/>
      <c r="IDJ479" s="268"/>
      <c r="IDK479" s="268"/>
      <c r="IDL479" s="268"/>
      <c r="IDM479" s="268"/>
      <c r="IDN479" s="268"/>
      <c r="IDO479" s="268"/>
      <c r="IDP479" s="268"/>
      <c r="IDQ479" s="268"/>
      <c r="IDR479" s="268"/>
      <c r="IDS479" s="268"/>
      <c r="IDT479" s="268"/>
      <c r="IDU479" s="268"/>
      <c r="IDV479" s="268"/>
      <c r="IDW479" s="268"/>
      <c r="IDX479" s="268"/>
      <c r="IDY479" s="268"/>
      <c r="IDZ479" s="268"/>
      <c r="IEA479" s="268"/>
      <c r="IEB479" s="268"/>
      <c r="IEC479" s="268"/>
      <c r="IED479" s="268"/>
      <c r="IEE479" s="268"/>
      <c r="IEF479" s="268"/>
      <c r="IEG479" s="268"/>
      <c r="IEH479" s="268"/>
      <c r="IEI479" s="268"/>
      <c r="IEJ479" s="268"/>
      <c r="IEK479" s="268"/>
      <c r="IEL479" s="268"/>
      <c r="IEM479" s="268"/>
      <c r="IEN479" s="268"/>
      <c r="IEO479" s="268"/>
      <c r="IEP479" s="268"/>
      <c r="IEQ479" s="268"/>
      <c r="IER479" s="268"/>
      <c r="IES479" s="268"/>
      <c r="IET479" s="268"/>
      <c r="IEU479" s="268"/>
      <c r="IEV479" s="268"/>
      <c r="IEW479" s="268"/>
      <c r="IEX479" s="268"/>
      <c r="IEY479" s="268"/>
      <c r="IEZ479" s="268"/>
      <c r="IFA479" s="268"/>
      <c r="IFB479" s="268"/>
      <c r="IFC479" s="268"/>
      <c r="IFD479" s="268"/>
      <c r="IFE479" s="268"/>
      <c r="IFF479" s="268"/>
      <c r="IFG479" s="268"/>
      <c r="IFH479" s="268"/>
      <c r="IFI479" s="268"/>
      <c r="IFJ479" s="268"/>
      <c r="IFK479" s="268"/>
      <c r="IFL479" s="268"/>
      <c r="IFM479" s="268"/>
      <c r="IFN479" s="268"/>
      <c r="IFO479" s="268"/>
      <c r="IFP479" s="268"/>
      <c r="IFQ479" s="268"/>
      <c r="IFR479" s="268"/>
      <c r="IFS479" s="268"/>
      <c r="IFT479" s="268"/>
      <c r="IFU479" s="268"/>
      <c r="IFV479" s="268"/>
      <c r="IFW479" s="268"/>
      <c r="IFX479" s="268"/>
      <c r="IFY479" s="268"/>
      <c r="IFZ479" s="268"/>
      <c r="IGA479" s="268"/>
      <c r="IGB479" s="268"/>
      <c r="IGC479" s="268"/>
      <c r="IGD479" s="268"/>
      <c r="IGE479" s="268"/>
      <c r="IGF479" s="268"/>
      <c r="IGG479" s="268"/>
      <c r="IGH479" s="268"/>
      <c r="IGI479" s="268"/>
      <c r="IGJ479" s="268"/>
      <c r="IGK479" s="268"/>
      <c r="IGL479" s="268"/>
      <c r="IGM479" s="268"/>
      <c r="IGN479" s="268"/>
      <c r="IGO479" s="268"/>
      <c r="IGP479" s="268"/>
      <c r="IGQ479" s="268"/>
      <c r="IGR479" s="268"/>
      <c r="IGS479" s="268"/>
      <c r="IGT479" s="268"/>
      <c r="IGU479" s="268"/>
      <c r="IGV479" s="268"/>
      <c r="IGW479" s="268"/>
      <c r="IGX479" s="268"/>
      <c r="IGY479" s="268"/>
      <c r="IGZ479" s="268"/>
      <c r="IHA479" s="268"/>
      <c r="IHB479" s="268"/>
      <c r="IHC479" s="268"/>
      <c r="IHD479" s="268"/>
      <c r="IHE479" s="268"/>
      <c r="IHF479" s="268"/>
      <c r="IHG479" s="268"/>
      <c r="IHH479" s="268"/>
      <c r="IHI479" s="268"/>
      <c r="IHJ479" s="268"/>
      <c r="IHK479" s="268"/>
      <c r="IHL479" s="268"/>
      <c r="IHM479" s="268"/>
      <c r="IHN479" s="268"/>
      <c r="IHO479" s="268"/>
      <c r="IHP479" s="268"/>
      <c r="IHQ479" s="268"/>
      <c r="IHR479" s="268"/>
      <c r="IHS479" s="268"/>
      <c r="IHT479" s="268"/>
      <c r="IHU479" s="268"/>
      <c r="IHV479" s="268"/>
      <c r="IHW479" s="268"/>
      <c r="IHX479" s="268"/>
      <c r="IHY479" s="268"/>
      <c r="IHZ479" s="268"/>
      <c r="IIA479" s="268"/>
      <c r="IIB479" s="268"/>
      <c r="IIC479" s="268"/>
      <c r="IID479" s="268"/>
      <c r="IIE479" s="268"/>
      <c r="IIF479" s="268"/>
      <c r="IIG479" s="268"/>
      <c r="IIH479" s="268"/>
      <c r="III479" s="268"/>
      <c r="IIJ479" s="268"/>
      <c r="IIK479" s="268"/>
      <c r="IIL479" s="268"/>
      <c r="IIM479" s="268"/>
      <c r="IIN479" s="268"/>
      <c r="IIO479" s="268"/>
      <c r="IIP479" s="268"/>
      <c r="IIQ479" s="268"/>
      <c r="IIR479" s="268"/>
      <c r="IIS479" s="268"/>
      <c r="IIT479" s="268"/>
      <c r="IIU479" s="268"/>
      <c r="IIV479" s="268"/>
      <c r="IIW479" s="268"/>
      <c r="IIX479" s="268"/>
      <c r="IIY479" s="268"/>
      <c r="IIZ479" s="268"/>
      <c r="IJA479" s="268"/>
      <c r="IJB479" s="268"/>
      <c r="IJC479" s="268"/>
      <c r="IJD479" s="268"/>
      <c r="IJE479" s="268"/>
      <c r="IJF479" s="268"/>
      <c r="IJG479" s="268"/>
      <c r="IJH479" s="268"/>
      <c r="IJI479" s="268"/>
      <c r="IJJ479" s="268"/>
      <c r="IJK479" s="268"/>
      <c r="IJL479" s="268"/>
      <c r="IJM479" s="268"/>
      <c r="IJN479" s="268"/>
      <c r="IJO479" s="268"/>
      <c r="IJP479" s="268"/>
      <c r="IJQ479" s="268"/>
      <c r="IJR479" s="268"/>
      <c r="IJS479" s="268"/>
      <c r="IJT479" s="268"/>
      <c r="IJU479" s="268"/>
      <c r="IJV479" s="268"/>
      <c r="IJW479" s="268"/>
      <c r="IJX479" s="268"/>
      <c r="IJY479" s="268"/>
      <c r="IJZ479" s="268"/>
      <c r="IKA479" s="268"/>
      <c r="IKB479" s="268"/>
      <c r="IKC479" s="268"/>
      <c r="IKD479" s="268"/>
      <c r="IKE479" s="268"/>
      <c r="IKF479" s="268"/>
      <c r="IKG479" s="268"/>
      <c r="IKH479" s="268"/>
      <c r="IKI479" s="268"/>
      <c r="IKJ479" s="268"/>
      <c r="IKK479" s="268"/>
      <c r="IKL479" s="268"/>
      <c r="IKM479" s="268"/>
      <c r="IKN479" s="268"/>
      <c r="IKO479" s="268"/>
      <c r="IKP479" s="268"/>
      <c r="IKQ479" s="268"/>
      <c r="IKR479" s="268"/>
      <c r="IKS479" s="268"/>
      <c r="IKT479" s="268"/>
      <c r="IKU479" s="268"/>
      <c r="ILI479" s="268"/>
      <c r="ILJ479" s="268"/>
      <c r="ILK479" s="268"/>
      <c r="ILY479" s="268"/>
      <c r="IMA479" s="268"/>
      <c r="IMB479" s="268"/>
      <c r="IMC479" s="268"/>
      <c r="IMD479" s="268"/>
      <c r="IME479" s="268"/>
      <c r="IMF479" s="268"/>
      <c r="IMG479" s="268"/>
      <c r="IMH479" s="268"/>
      <c r="IMI479" s="268"/>
      <c r="IMJ479" s="268"/>
      <c r="IMK479" s="268"/>
      <c r="IML479" s="268"/>
      <c r="IMM479" s="268"/>
      <c r="IMN479" s="268"/>
      <c r="IMO479" s="268"/>
      <c r="IMP479" s="268"/>
      <c r="IMQ479" s="268"/>
      <c r="IMR479" s="268"/>
      <c r="IMS479" s="268"/>
      <c r="IMT479" s="268"/>
      <c r="IMU479" s="268"/>
      <c r="IMV479" s="268"/>
      <c r="IMW479" s="268"/>
      <c r="IMX479" s="268"/>
      <c r="IMY479" s="268"/>
      <c r="IMZ479" s="268"/>
      <c r="INA479" s="268"/>
      <c r="INB479" s="268"/>
      <c r="INC479" s="268"/>
      <c r="IND479" s="268"/>
      <c r="INE479" s="268"/>
      <c r="INF479" s="268"/>
      <c r="ING479" s="268"/>
      <c r="INH479" s="268"/>
      <c r="INI479" s="268"/>
      <c r="INJ479" s="268"/>
      <c r="INK479" s="268"/>
      <c r="INL479" s="268"/>
      <c r="INM479" s="268"/>
      <c r="INN479" s="268"/>
      <c r="INO479" s="268"/>
      <c r="INP479" s="268"/>
      <c r="INQ479" s="268"/>
      <c r="INR479" s="268"/>
      <c r="INS479" s="268"/>
      <c r="INT479" s="268"/>
      <c r="INU479" s="268"/>
      <c r="INV479" s="268"/>
      <c r="INW479" s="268"/>
      <c r="INX479" s="268"/>
      <c r="INY479" s="268"/>
      <c r="INZ479" s="268"/>
      <c r="IOA479" s="268"/>
      <c r="IOB479" s="268"/>
      <c r="IOC479" s="268"/>
      <c r="IOD479" s="268"/>
      <c r="IOE479" s="268"/>
      <c r="IOF479" s="268"/>
      <c r="IOG479" s="268"/>
      <c r="IOH479" s="268"/>
      <c r="IOI479" s="268"/>
      <c r="IOJ479" s="268"/>
      <c r="IOK479" s="268"/>
      <c r="IOL479" s="268"/>
      <c r="IOM479" s="268"/>
      <c r="ION479" s="268"/>
      <c r="IOO479" s="268"/>
      <c r="IOP479" s="268"/>
      <c r="IOQ479" s="268"/>
      <c r="IOR479" s="268"/>
      <c r="IOS479" s="268"/>
      <c r="IOT479" s="268"/>
      <c r="IOU479" s="268"/>
      <c r="IOV479" s="268"/>
      <c r="IOW479" s="268"/>
      <c r="IOX479" s="268"/>
      <c r="IOY479" s="268"/>
      <c r="IOZ479" s="268"/>
      <c r="IPA479" s="268"/>
      <c r="IPB479" s="268"/>
      <c r="IPC479" s="268"/>
      <c r="IPD479" s="268"/>
      <c r="IPE479" s="268"/>
      <c r="IPF479" s="268"/>
      <c r="IPG479" s="268"/>
      <c r="IPH479" s="268"/>
      <c r="IPI479" s="268"/>
      <c r="IPJ479" s="268"/>
      <c r="IPK479" s="268"/>
      <c r="IPL479" s="268"/>
      <c r="IPM479" s="268"/>
      <c r="IPN479" s="268"/>
      <c r="IPO479" s="268"/>
      <c r="IPP479" s="268"/>
      <c r="IPQ479" s="268"/>
      <c r="IPR479" s="268"/>
      <c r="IPS479" s="268"/>
      <c r="IPT479" s="268"/>
      <c r="IPU479" s="268"/>
      <c r="IPV479" s="268"/>
      <c r="IPW479" s="268"/>
      <c r="IPX479" s="268"/>
      <c r="IPY479" s="268"/>
      <c r="IPZ479" s="268"/>
      <c r="IQA479" s="268"/>
      <c r="IQB479" s="268"/>
      <c r="IQC479" s="268"/>
      <c r="IQD479" s="268"/>
      <c r="IQE479" s="268"/>
      <c r="IQF479" s="268"/>
      <c r="IQG479" s="268"/>
      <c r="IQH479" s="268"/>
      <c r="IQI479" s="268"/>
      <c r="IQJ479" s="268"/>
      <c r="IQK479" s="268"/>
      <c r="IQL479" s="268"/>
      <c r="IQM479" s="268"/>
      <c r="IQN479" s="268"/>
      <c r="IQO479" s="268"/>
      <c r="IQP479" s="268"/>
      <c r="IQQ479" s="268"/>
      <c r="IQR479" s="268"/>
      <c r="IQS479" s="268"/>
      <c r="IQT479" s="268"/>
      <c r="IQU479" s="268"/>
      <c r="IQV479" s="268"/>
      <c r="IQW479" s="268"/>
      <c r="IQX479" s="268"/>
      <c r="IQY479" s="268"/>
      <c r="IQZ479" s="268"/>
      <c r="IRA479" s="268"/>
      <c r="IRB479" s="268"/>
      <c r="IRC479" s="268"/>
      <c r="IRD479" s="268"/>
      <c r="IRE479" s="268"/>
      <c r="IRF479" s="268"/>
      <c r="IRG479" s="268"/>
      <c r="IRH479" s="268"/>
      <c r="IRI479" s="268"/>
      <c r="IRJ479" s="268"/>
      <c r="IRK479" s="268"/>
      <c r="IRL479" s="268"/>
      <c r="IRM479" s="268"/>
      <c r="IRN479" s="268"/>
      <c r="IRO479" s="268"/>
      <c r="IRP479" s="268"/>
      <c r="IRQ479" s="268"/>
      <c r="IRR479" s="268"/>
      <c r="IRS479" s="268"/>
      <c r="IRT479" s="268"/>
      <c r="IRU479" s="268"/>
      <c r="IRV479" s="268"/>
      <c r="IRW479" s="268"/>
      <c r="IRX479" s="268"/>
      <c r="IRY479" s="268"/>
      <c r="IRZ479" s="268"/>
      <c r="ISA479" s="268"/>
      <c r="ISB479" s="268"/>
      <c r="ISC479" s="268"/>
      <c r="ISD479" s="268"/>
      <c r="ISE479" s="268"/>
      <c r="ISF479" s="268"/>
      <c r="ISG479" s="268"/>
      <c r="ISH479" s="268"/>
      <c r="ISI479" s="268"/>
      <c r="ISJ479" s="268"/>
      <c r="ISK479" s="268"/>
      <c r="ISL479" s="268"/>
      <c r="ISM479" s="268"/>
      <c r="ISN479" s="268"/>
      <c r="ISO479" s="268"/>
      <c r="ISP479" s="268"/>
      <c r="ISQ479" s="268"/>
      <c r="ISR479" s="268"/>
      <c r="ISS479" s="268"/>
      <c r="IST479" s="268"/>
      <c r="ISU479" s="268"/>
      <c r="ISV479" s="268"/>
      <c r="ISW479" s="268"/>
      <c r="ISX479" s="268"/>
      <c r="ISY479" s="268"/>
      <c r="ISZ479" s="268"/>
      <c r="ITA479" s="268"/>
      <c r="ITB479" s="268"/>
      <c r="ITC479" s="268"/>
      <c r="ITD479" s="268"/>
      <c r="ITE479" s="268"/>
      <c r="ITF479" s="268"/>
      <c r="ITG479" s="268"/>
      <c r="ITH479" s="268"/>
      <c r="ITI479" s="268"/>
      <c r="ITJ479" s="268"/>
      <c r="ITK479" s="268"/>
      <c r="ITL479" s="268"/>
      <c r="ITM479" s="268"/>
      <c r="ITN479" s="268"/>
      <c r="ITO479" s="268"/>
      <c r="ITP479" s="268"/>
      <c r="ITQ479" s="268"/>
      <c r="ITR479" s="268"/>
      <c r="ITS479" s="268"/>
      <c r="ITT479" s="268"/>
      <c r="ITU479" s="268"/>
      <c r="ITV479" s="268"/>
      <c r="ITW479" s="268"/>
      <c r="ITX479" s="268"/>
      <c r="ITY479" s="268"/>
      <c r="ITZ479" s="268"/>
      <c r="IUA479" s="268"/>
      <c r="IUB479" s="268"/>
      <c r="IUC479" s="268"/>
      <c r="IUD479" s="268"/>
      <c r="IUE479" s="268"/>
      <c r="IUF479" s="268"/>
      <c r="IUG479" s="268"/>
      <c r="IUH479" s="268"/>
      <c r="IUI479" s="268"/>
      <c r="IUJ479" s="268"/>
      <c r="IUK479" s="268"/>
      <c r="IUL479" s="268"/>
      <c r="IUM479" s="268"/>
      <c r="IUN479" s="268"/>
      <c r="IUO479" s="268"/>
      <c r="IUP479" s="268"/>
      <c r="IUQ479" s="268"/>
      <c r="IVE479" s="268"/>
      <c r="IVF479" s="268"/>
      <c r="IVG479" s="268"/>
      <c r="IVU479" s="268"/>
      <c r="IVW479" s="268"/>
      <c r="IVX479" s="268"/>
      <c r="IVY479" s="268"/>
      <c r="IVZ479" s="268"/>
      <c r="IWA479" s="268"/>
      <c r="IWB479" s="268"/>
      <c r="IWC479" s="268"/>
      <c r="IWD479" s="268"/>
      <c r="IWE479" s="268"/>
      <c r="IWF479" s="268"/>
      <c r="IWG479" s="268"/>
      <c r="IWH479" s="268"/>
      <c r="IWI479" s="268"/>
      <c r="IWJ479" s="268"/>
      <c r="IWK479" s="268"/>
      <c r="IWL479" s="268"/>
      <c r="IWM479" s="268"/>
      <c r="IWN479" s="268"/>
      <c r="IWO479" s="268"/>
      <c r="IWP479" s="268"/>
      <c r="IWQ479" s="268"/>
      <c r="IWR479" s="268"/>
      <c r="IWS479" s="268"/>
      <c r="IWT479" s="268"/>
      <c r="IWU479" s="268"/>
      <c r="IWV479" s="268"/>
      <c r="IWW479" s="268"/>
      <c r="IWX479" s="268"/>
      <c r="IWY479" s="268"/>
      <c r="IWZ479" s="268"/>
      <c r="IXA479" s="268"/>
      <c r="IXB479" s="268"/>
      <c r="IXC479" s="268"/>
      <c r="IXD479" s="268"/>
      <c r="IXE479" s="268"/>
      <c r="IXF479" s="268"/>
      <c r="IXG479" s="268"/>
      <c r="IXH479" s="268"/>
      <c r="IXI479" s="268"/>
      <c r="IXJ479" s="268"/>
      <c r="IXK479" s="268"/>
      <c r="IXL479" s="268"/>
      <c r="IXM479" s="268"/>
      <c r="IXN479" s="268"/>
      <c r="IXO479" s="268"/>
      <c r="IXP479" s="268"/>
      <c r="IXQ479" s="268"/>
      <c r="IXR479" s="268"/>
      <c r="IXS479" s="268"/>
      <c r="IXT479" s="268"/>
      <c r="IXU479" s="268"/>
      <c r="IXV479" s="268"/>
      <c r="IXW479" s="268"/>
      <c r="IXX479" s="268"/>
      <c r="IXY479" s="268"/>
      <c r="IXZ479" s="268"/>
      <c r="IYA479" s="268"/>
      <c r="IYB479" s="268"/>
      <c r="IYC479" s="268"/>
      <c r="IYD479" s="268"/>
      <c r="IYE479" s="268"/>
      <c r="IYF479" s="268"/>
      <c r="IYG479" s="268"/>
      <c r="IYH479" s="268"/>
      <c r="IYI479" s="268"/>
      <c r="IYJ479" s="268"/>
      <c r="IYK479" s="268"/>
      <c r="IYL479" s="268"/>
      <c r="IYM479" s="268"/>
      <c r="IYN479" s="268"/>
      <c r="IYO479" s="268"/>
      <c r="IYP479" s="268"/>
      <c r="IYQ479" s="268"/>
      <c r="IYR479" s="268"/>
      <c r="IYS479" s="268"/>
      <c r="IYT479" s="268"/>
      <c r="IYU479" s="268"/>
      <c r="IYV479" s="268"/>
      <c r="IYW479" s="268"/>
      <c r="IYX479" s="268"/>
      <c r="IYY479" s="268"/>
      <c r="IYZ479" s="268"/>
      <c r="IZA479" s="268"/>
      <c r="IZB479" s="268"/>
      <c r="IZC479" s="268"/>
      <c r="IZD479" s="268"/>
      <c r="IZE479" s="268"/>
      <c r="IZF479" s="268"/>
      <c r="IZG479" s="268"/>
      <c r="IZH479" s="268"/>
      <c r="IZI479" s="268"/>
      <c r="IZJ479" s="268"/>
      <c r="IZK479" s="268"/>
      <c r="IZL479" s="268"/>
      <c r="IZM479" s="268"/>
      <c r="IZN479" s="268"/>
      <c r="IZO479" s="268"/>
      <c r="IZP479" s="268"/>
      <c r="IZQ479" s="268"/>
      <c r="IZR479" s="268"/>
      <c r="IZS479" s="268"/>
      <c r="IZT479" s="268"/>
      <c r="IZU479" s="268"/>
      <c r="IZV479" s="268"/>
      <c r="IZW479" s="268"/>
      <c r="IZX479" s="268"/>
      <c r="IZY479" s="268"/>
      <c r="IZZ479" s="268"/>
      <c r="JAA479" s="268"/>
      <c r="JAB479" s="268"/>
      <c r="JAC479" s="268"/>
      <c r="JAD479" s="268"/>
      <c r="JAE479" s="268"/>
      <c r="JAF479" s="268"/>
      <c r="JAG479" s="268"/>
      <c r="JAH479" s="268"/>
      <c r="JAI479" s="268"/>
      <c r="JAJ479" s="268"/>
      <c r="JAK479" s="268"/>
      <c r="JAL479" s="268"/>
      <c r="JAM479" s="268"/>
      <c r="JAN479" s="268"/>
      <c r="JAO479" s="268"/>
      <c r="JAP479" s="268"/>
      <c r="JAQ479" s="268"/>
      <c r="JAR479" s="268"/>
      <c r="JAS479" s="268"/>
      <c r="JAT479" s="268"/>
      <c r="JAU479" s="268"/>
      <c r="JAV479" s="268"/>
      <c r="JAW479" s="268"/>
      <c r="JAX479" s="268"/>
      <c r="JAY479" s="268"/>
      <c r="JAZ479" s="268"/>
      <c r="JBA479" s="268"/>
      <c r="JBB479" s="268"/>
      <c r="JBC479" s="268"/>
      <c r="JBD479" s="268"/>
      <c r="JBE479" s="268"/>
      <c r="JBF479" s="268"/>
      <c r="JBG479" s="268"/>
      <c r="JBH479" s="268"/>
      <c r="JBI479" s="268"/>
      <c r="JBJ479" s="268"/>
      <c r="JBK479" s="268"/>
      <c r="JBL479" s="268"/>
      <c r="JBM479" s="268"/>
      <c r="JBN479" s="268"/>
      <c r="JBO479" s="268"/>
      <c r="JBP479" s="268"/>
      <c r="JBQ479" s="268"/>
      <c r="JBR479" s="268"/>
      <c r="JBS479" s="268"/>
      <c r="JBT479" s="268"/>
      <c r="JBU479" s="268"/>
      <c r="JBV479" s="268"/>
      <c r="JBW479" s="268"/>
      <c r="JBX479" s="268"/>
      <c r="JBY479" s="268"/>
      <c r="JBZ479" s="268"/>
      <c r="JCA479" s="268"/>
      <c r="JCB479" s="268"/>
      <c r="JCC479" s="268"/>
      <c r="JCD479" s="268"/>
      <c r="JCE479" s="268"/>
      <c r="JCF479" s="268"/>
      <c r="JCG479" s="268"/>
      <c r="JCH479" s="268"/>
      <c r="JCI479" s="268"/>
      <c r="JCJ479" s="268"/>
      <c r="JCK479" s="268"/>
      <c r="JCL479" s="268"/>
      <c r="JCM479" s="268"/>
      <c r="JCN479" s="268"/>
      <c r="JCO479" s="268"/>
      <c r="JCP479" s="268"/>
      <c r="JCQ479" s="268"/>
      <c r="JCR479" s="268"/>
      <c r="JCS479" s="268"/>
      <c r="JCT479" s="268"/>
      <c r="JCU479" s="268"/>
      <c r="JCV479" s="268"/>
      <c r="JCW479" s="268"/>
      <c r="JCX479" s="268"/>
      <c r="JCY479" s="268"/>
      <c r="JCZ479" s="268"/>
      <c r="JDA479" s="268"/>
      <c r="JDB479" s="268"/>
      <c r="JDC479" s="268"/>
      <c r="JDD479" s="268"/>
      <c r="JDE479" s="268"/>
      <c r="JDF479" s="268"/>
      <c r="JDG479" s="268"/>
      <c r="JDH479" s="268"/>
      <c r="JDI479" s="268"/>
      <c r="JDJ479" s="268"/>
      <c r="JDK479" s="268"/>
      <c r="JDL479" s="268"/>
      <c r="JDM479" s="268"/>
      <c r="JDN479" s="268"/>
      <c r="JDO479" s="268"/>
      <c r="JDP479" s="268"/>
      <c r="JDQ479" s="268"/>
      <c r="JDR479" s="268"/>
      <c r="JDS479" s="268"/>
      <c r="JDT479" s="268"/>
      <c r="JDU479" s="268"/>
      <c r="JDV479" s="268"/>
      <c r="JDW479" s="268"/>
      <c r="JDX479" s="268"/>
      <c r="JDY479" s="268"/>
      <c r="JDZ479" s="268"/>
      <c r="JEA479" s="268"/>
      <c r="JEB479" s="268"/>
      <c r="JEC479" s="268"/>
      <c r="JED479" s="268"/>
      <c r="JEE479" s="268"/>
      <c r="JEF479" s="268"/>
      <c r="JEG479" s="268"/>
      <c r="JEH479" s="268"/>
      <c r="JEI479" s="268"/>
      <c r="JEJ479" s="268"/>
      <c r="JEK479" s="268"/>
      <c r="JEL479" s="268"/>
      <c r="JEM479" s="268"/>
      <c r="JFA479" s="268"/>
      <c r="JFB479" s="268"/>
      <c r="JFC479" s="268"/>
      <c r="JFQ479" s="268"/>
      <c r="JFS479" s="268"/>
      <c r="JFT479" s="268"/>
      <c r="JFU479" s="268"/>
      <c r="JFV479" s="268"/>
      <c r="JFW479" s="268"/>
      <c r="JFX479" s="268"/>
      <c r="JFY479" s="268"/>
      <c r="JFZ479" s="268"/>
      <c r="JGA479" s="268"/>
      <c r="JGB479" s="268"/>
      <c r="JGC479" s="268"/>
      <c r="JGD479" s="268"/>
      <c r="JGE479" s="268"/>
      <c r="JGF479" s="268"/>
      <c r="JGG479" s="268"/>
      <c r="JGH479" s="268"/>
      <c r="JGI479" s="268"/>
      <c r="JGJ479" s="268"/>
      <c r="JGK479" s="268"/>
      <c r="JGL479" s="268"/>
      <c r="JGM479" s="268"/>
      <c r="JGN479" s="268"/>
      <c r="JGO479" s="268"/>
      <c r="JGP479" s="268"/>
      <c r="JGQ479" s="268"/>
      <c r="JGR479" s="268"/>
      <c r="JGS479" s="268"/>
      <c r="JGT479" s="268"/>
      <c r="JGU479" s="268"/>
      <c r="JGV479" s="268"/>
      <c r="JGW479" s="268"/>
      <c r="JGX479" s="268"/>
      <c r="JGY479" s="268"/>
      <c r="JGZ479" s="268"/>
      <c r="JHA479" s="268"/>
      <c r="JHB479" s="268"/>
      <c r="JHC479" s="268"/>
      <c r="JHD479" s="268"/>
      <c r="JHE479" s="268"/>
      <c r="JHF479" s="268"/>
      <c r="JHG479" s="268"/>
      <c r="JHH479" s="268"/>
      <c r="JHI479" s="268"/>
      <c r="JHJ479" s="268"/>
      <c r="JHK479" s="268"/>
      <c r="JHL479" s="268"/>
      <c r="JHM479" s="268"/>
      <c r="JHN479" s="268"/>
      <c r="JHO479" s="268"/>
      <c r="JHP479" s="268"/>
      <c r="JHQ479" s="268"/>
      <c r="JHR479" s="268"/>
      <c r="JHS479" s="268"/>
      <c r="JHT479" s="268"/>
      <c r="JHU479" s="268"/>
      <c r="JHV479" s="268"/>
      <c r="JHW479" s="268"/>
      <c r="JHX479" s="268"/>
      <c r="JHY479" s="268"/>
      <c r="JHZ479" s="268"/>
      <c r="JIA479" s="268"/>
      <c r="JIB479" s="268"/>
      <c r="JIC479" s="268"/>
      <c r="JID479" s="268"/>
      <c r="JIE479" s="268"/>
      <c r="JIF479" s="268"/>
      <c r="JIG479" s="268"/>
      <c r="JIH479" s="268"/>
      <c r="JII479" s="268"/>
      <c r="JIJ479" s="268"/>
      <c r="JIK479" s="268"/>
      <c r="JIL479" s="268"/>
      <c r="JIM479" s="268"/>
      <c r="JIN479" s="268"/>
      <c r="JIO479" s="268"/>
      <c r="JIP479" s="268"/>
      <c r="JIQ479" s="268"/>
      <c r="JIR479" s="268"/>
      <c r="JIS479" s="268"/>
      <c r="JIT479" s="268"/>
      <c r="JIU479" s="268"/>
      <c r="JIV479" s="268"/>
      <c r="JIW479" s="268"/>
      <c r="JIX479" s="268"/>
      <c r="JIY479" s="268"/>
      <c r="JIZ479" s="268"/>
      <c r="JJA479" s="268"/>
      <c r="JJB479" s="268"/>
      <c r="JJC479" s="268"/>
      <c r="JJD479" s="268"/>
      <c r="JJE479" s="268"/>
      <c r="JJF479" s="268"/>
      <c r="JJG479" s="268"/>
      <c r="JJH479" s="268"/>
      <c r="JJI479" s="268"/>
      <c r="JJJ479" s="268"/>
      <c r="JJK479" s="268"/>
      <c r="JJL479" s="268"/>
      <c r="JJM479" s="268"/>
      <c r="JJN479" s="268"/>
      <c r="JJO479" s="268"/>
      <c r="JJP479" s="268"/>
      <c r="JJQ479" s="268"/>
      <c r="JJR479" s="268"/>
      <c r="JJS479" s="268"/>
      <c r="JJT479" s="268"/>
      <c r="JJU479" s="268"/>
      <c r="JJV479" s="268"/>
      <c r="JJW479" s="268"/>
      <c r="JJX479" s="268"/>
      <c r="JJY479" s="268"/>
      <c r="JJZ479" s="268"/>
      <c r="JKA479" s="268"/>
      <c r="JKB479" s="268"/>
      <c r="JKC479" s="268"/>
      <c r="JKD479" s="268"/>
      <c r="JKE479" s="268"/>
      <c r="JKF479" s="268"/>
      <c r="JKG479" s="268"/>
      <c r="JKH479" s="268"/>
      <c r="JKI479" s="268"/>
      <c r="JKJ479" s="268"/>
      <c r="JKK479" s="268"/>
      <c r="JKL479" s="268"/>
      <c r="JKM479" s="268"/>
      <c r="JKN479" s="268"/>
      <c r="JKO479" s="268"/>
      <c r="JKP479" s="268"/>
      <c r="JKQ479" s="268"/>
      <c r="JKR479" s="268"/>
      <c r="JKS479" s="268"/>
      <c r="JKT479" s="268"/>
      <c r="JKU479" s="268"/>
      <c r="JKV479" s="268"/>
      <c r="JKW479" s="268"/>
      <c r="JKX479" s="268"/>
      <c r="JKY479" s="268"/>
      <c r="JKZ479" s="268"/>
      <c r="JLA479" s="268"/>
      <c r="JLB479" s="268"/>
      <c r="JLC479" s="268"/>
      <c r="JLD479" s="268"/>
      <c r="JLE479" s="268"/>
      <c r="JLF479" s="268"/>
      <c r="JLG479" s="268"/>
      <c r="JLH479" s="268"/>
      <c r="JLI479" s="268"/>
      <c r="JLJ479" s="268"/>
      <c r="JLK479" s="268"/>
      <c r="JLL479" s="268"/>
      <c r="JLM479" s="268"/>
      <c r="JLN479" s="268"/>
      <c r="JLO479" s="268"/>
      <c r="JLP479" s="268"/>
      <c r="JLQ479" s="268"/>
      <c r="JLR479" s="268"/>
      <c r="JLS479" s="268"/>
      <c r="JLT479" s="268"/>
      <c r="JLU479" s="268"/>
      <c r="JLV479" s="268"/>
      <c r="JLW479" s="268"/>
      <c r="JLX479" s="268"/>
      <c r="JLY479" s="268"/>
      <c r="JLZ479" s="268"/>
      <c r="JMA479" s="268"/>
      <c r="JMB479" s="268"/>
      <c r="JMC479" s="268"/>
      <c r="JMD479" s="268"/>
      <c r="JME479" s="268"/>
      <c r="JMF479" s="268"/>
      <c r="JMG479" s="268"/>
      <c r="JMH479" s="268"/>
      <c r="JMI479" s="268"/>
      <c r="JMJ479" s="268"/>
      <c r="JMK479" s="268"/>
      <c r="JML479" s="268"/>
      <c r="JMM479" s="268"/>
      <c r="JMN479" s="268"/>
      <c r="JMO479" s="268"/>
      <c r="JMP479" s="268"/>
      <c r="JMQ479" s="268"/>
      <c r="JMR479" s="268"/>
      <c r="JMS479" s="268"/>
      <c r="JMT479" s="268"/>
      <c r="JMU479" s="268"/>
      <c r="JMV479" s="268"/>
      <c r="JMW479" s="268"/>
      <c r="JMX479" s="268"/>
      <c r="JMY479" s="268"/>
      <c r="JMZ479" s="268"/>
      <c r="JNA479" s="268"/>
      <c r="JNB479" s="268"/>
      <c r="JNC479" s="268"/>
      <c r="JND479" s="268"/>
      <c r="JNE479" s="268"/>
      <c r="JNF479" s="268"/>
      <c r="JNG479" s="268"/>
      <c r="JNH479" s="268"/>
      <c r="JNI479" s="268"/>
      <c r="JNJ479" s="268"/>
      <c r="JNK479" s="268"/>
      <c r="JNL479" s="268"/>
      <c r="JNM479" s="268"/>
      <c r="JNN479" s="268"/>
      <c r="JNO479" s="268"/>
      <c r="JNP479" s="268"/>
      <c r="JNQ479" s="268"/>
      <c r="JNR479" s="268"/>
      <c r="JNS479" s="268"/>
      <c r="JNT479" s="268"/>
      <c r="JNU479" s="268"/>
      <c r="JNV479" s="268"/>
      <c r="JNW479" s="268"/>
      <c r="JNX479" s="268"/>
      <c r="JNY479" s="268"/>
      <c r="JNZ479" s="268"/>
      <c r="JOA479" s="268"/>
      <c r="JOB479" s="268"/>
      <c r="JOC479" s="268"/>
      <c r="JOD479" s="268"/>
      <c r="JOE479" s="268"/>
      <c r="JOF479" s="268"/>
      <c r="JOG479" s="268"/>
      <c r="JOH479" s="268"/>
      <c r="JOI479" s="268"/>
      <c r="JOW479" s="268"/>
      <c r="JOX479" s="268"/>
      <c r="JOY479" s="268"/>
      <c r="JPM479" s="268"/>
      <c r="JPO479" s="268"/>
      <c r="JPP479" s="268"/>
      <c r="JPQ479" s="268"/>
      <c r="JPR479" s="268"/>
      <c r="JPS479" s="268"/>
      <c r="JPT479" s="268"/>
      <c r="JPU479" s="268"/>
      <c r="JPV479" s="268"/>
      <c r="JPW479" s="268"/>
      <c r="JPX479" s="268"/>
      <c r="JPY479" s="268"/>
      <c r="JPZ479" s="268"/>
      <c r="JQA479" s="268"/>
      <c r="JQB479" s="268"/>
      <c r="JQC479" s="268"/>
      <c r="JQD479" s="268"/>
      <c r="JQE479" s="268"/>
      <c r="JQF479" s="268"/>
      <c r="JQG479" s="268"/>
      <c r="JQH479" s="268"/>
      <c r="JQI479" s="268"/>
      <c r="JQJ479" s="268"/>
      <c r="JQK479" s="268"/>
      <c r="JQL479" s="268"/>
      <c r="JQM479" s="268"/>
      <c r="JQN479" s="268"/>
      <c r="JQO479" s="268"/>
      <c r="JQP479" s="268"/>
      <c r="JQQ479" s="268"/>
      <c r="JQR479" s="268"/>
      <c r="JQS479" s="268"/>
      <c r="JQT479" s="268"/>
      <c r="JQU479" s="268"/>
      <c r="JQV479" s="268"/>
      <c r="JQW479" s="268"/>
      <c r="JQX479" s="268"/>
      <c r="JQY479" s="268"/>
      <c r="JQZ479" s="268"/>
      <c r="JRA479" s="268"/>
      <c r="JRB479" s="268"/>
      <c r="JRC479" s="268"/>
      <c r="JRD479" s="268"/>
      <c r="JRE479" s="268"/>
      <c r="JRF479" s="268"/>
      <c r="JRG479" s="268"/>
      <c r="JRH479" s="268"/>
      <c r="JRI479" s="268"/>
      <c r="JRJ479" s="268"/>
      <c r="JRK479" s="268"/>
      <c r="JRL479" s="268"/>
      <c r="JRM479" s="268"/>
      <c r="JRN479" s="268"/>
      <c r="JRO479" s="268"/>
      <c r="JRP479" s="268"/>
      <c r="JRQ479" s="268"/>
      <c r="JRR479" s="268"/>
      <c r="JRS479" s="268"/>
      <c r="JRT479" s="268"/>
      <c r="JRU479" s="268"/>
      <c r="JRV479" s="268"/>
      <c r="JRW479" s="268"/>
      <c r="JRX479" s="268"/>
      <c r="JRY479" s="268"/>
      <c r="JRZ479" s="268"/>
      <c r="JSA479" s="268"/>
      <c r="JSB479" s="268"/>
      <c r="JSC479" s="268"/>
      <c r="JSD479" s="268"/>
      <c r="JSE479" s="268"/>
      <c r="JSF479" s="268"/>
      <c r="JSG479" s="268"/>
      <c r="JSH479" s="268"/>
      <c r="JSI479" s="268"/>
      <c r="JSJ479" s="268"/>
      <c r="JSK479" s="268"/>
      <c r="JSL479" s="268"/>
      <c r="JSM479" s="268"/>
      <c r="JSN479" s="268"/>
      <c r="JSO479" s="268"/>
      <c r="JSP479" s="268"/>
      <c r="JSQ479" s="268"/>
      <c r="JSR479" s="268"/>
      <c r="JSS479" s="268"/>
      <c r="JST479" s="268"/>
      <c r="JSU479" s="268"/>
      <c r="JSV479" s="268"/>
      <c r="JSW479" s="268"/>
      <c r="JSX479" s="268"/>
      <c r="JSY479" s="268"/>
      <c r="JSZ479" s="268"/>
      <c r="JTA479" s="268"/>
      <c r="JTB479" s="268"/>
      <c r="JTC479" s="268"/>
      <c r="JTD479" s="268"/>
      <c r="JTE479" s="268"/>
      <c r="JTF479" s="268"/>
      <c r="JTG479" s="268"/>
      <c r="JTH479" s="268"/>
      <c r="JTI479" s="268"/>
      <c r="JTJ479" s="268"/>
      <c r="JTK479" s="268"/>
      <c r="JTL479" s="268"/>
      <c r="JTM479" s="268"/>
      <c r="JTN479" s="268"/>
      <c r="JTO479" s="268"/>
      <c r="JTP479" s="268"/>
      <c r="JTQ479" s="268"/>
      <c r="JTR479" s="268"/>
      <c r="JTS479" s="268"/>
      <c r="JTT479" s="268"/>
      <c r="JTU479" s="268"/>
      <c r="JTV479" s="268"/>
      <c r="JTW479" s="268"/>
      <c r="JTX479" s="268"/>
      <c r="JTY479" s="268"/>
      <c r="JTZ479" s="268"/>
      <c r="JUA479" s="268"/>
      <c r="JUB479" s="268"/>
      <c r="JUC479" s="268"/>
      <c r="JUD479" s="268"/>
      <c r="JUE479" s="268"/>
      <c r="JUF479" s="268"/>
      <c r="JUG479" s="268"/>
      <c r="JUH479" s="268"/>
      <c r="JUI479" s="268"/>
      <c r="JUJ479" s="268"/>
      <c r="JUK479" s="268"/>
      <c r="JUL479" s="268"/>
      <c r="JUM479" s="268"/>
      <c r="JUN479" s="268"/>
      <c r="JUO479" s="268"/>
      <c r="JUP479" s="268"/>
      <c r="JUQ479" s="268"/>
      <c r="JUR479" s="268"/>
      <c r="JUS479" s="268"/>
      <c r="JUT479" s="268"/>
      <c r="JUU479" s="268"/>
      <c r="JUV479" s="268"/>
      <c r="JUW479" s="268"/>
      <c r="JUX479" s="268"/>
      <c r="JUY479" s="268"/>
      <c r="JUZ479" s="268"/>
      <c r="JVA479" s="268"/>
      <c r="JVB479" s="268"/>
      <c r="JVC479" s="268"/>
      <c r="JVD479" s="268"/>
      <c r="JVE479" s="268"/>
      <c r="JVF479" s="268"/>
      <c r="JVG479" s="268"/>
      <c r="JVH479" s="268"/>
      <c r="JVI479" s="268"/>
      <c r="JVJ479" s="268"/>
      <c r="JVK479" s="268"/>
      <c r="JVL479" s="268"/>
      <c r="JVM479" s="268"/>
      <c r="JVN479" s="268"/>
      <c r="JVO479" s="268"/>
      <c r="JVP479" s="268"/>
      <c r="JVQ479" s="268"/>
      <c r="JVR479" s="268"/>
      <c r="JVS479" s="268"/>
      <c r="JVT479" s="268"/>
      <c r="JVU479" s="268"/>
      <c r="JVV479" s="268"/>
      <c r="JVW479" s="268"/>
      <c r="JVX479" s="268"/>
      <c r="JVY479" s="268"/>
      <c r="JVZ479" s="268"/>
      <c r="JWA479" s="268"/>
      <c r="JWB479" s="268"/>
      <c r="JWC479" s="268"/>
      <c r="JWD479" s="268"/>
      <c r="JWE479" s="268"/>
      <c r="JWF479" s="268"/>
      <c r="JWG479" s="268"/>
      <c r="JWH479" s="268"/>
      <c r="JWI479" s="268"/>
      <c r="JWJ479" s="268"/>
      <c r="JWK479" s="268"/>
      <c r="JWL479" s="268"/>
      <c r="JWM479" s="268"/>
      <c r="JWN479" s="268"/>
      <c r="JWO479" s="268"/>
      <c r="JWP479" s="268"/>
      <c r="JWQ479" s="268"/>
      <c r="JWR479" s="268"/>
      <c r="JWS479" s="268"/>
      <c r="JWT479" s="268"/>
      <c r="JWU479" s="268"/>
      <c r="JWV479" s="268"/>
      <c r="JWW479" s="268"/>
      <c r="JWX479" s="268"/>
      <c r="JWY479" s="268"/>
      <c r="JWZ479" s="268"/>
      <c r="JXA479" s="268"/>
      <c r="JXB479" s="268"/>
      <c r="JXC479" s="268"/>
      <c r="JXD479" s="268"/>
      <c r="JXE479" s="268"/>
      <c r="JXF479" s="268"/>
      <c r="JXG479" s="268"/>
      <c r="JXH479" s="268"/>
      <c r="JXI479" s="268"/>
      <c r="JXJ479" s="268"/>
      <c r="JXK479" s="268"/>
      <c r="JXL479" s="268"/>
      <c r="JXM479" s="268"/>
      <c r="JXN479" s="268"/>
      <c r="JXO479" s="268"/>
      <c r="JXP479" s="268"/>
      <c r="JXQ479" s="268"/>
      <c r="JXR479" s="268"/>
      <c r="JXS479" s="268"/>
      <c r="JXT479" s="268"/>
      <c r="JXU479" s="268"/>
      <c r="JXV479" s="268"/>
      <c r="JXW479" s="268"/>
      <c r="JXX479" s="268"/>
      <c r="JXY479" s="268"/>
      <c r="JXZ479" s="268"/>
      <c r="JYA479" s="268"/>
      <c r="JYB479" s="268"/>
      <c r="JYC479" s="268"/>
      <c r="JYD479" s="268"/>
      <c r="JYE479" s="268"/>
      <c r="JYS479" s="268"/>
      <c r="JYT479" s="268"/>
      <c r="JYU479" s="268"/>
      <c r="JZI479" s="268"/>
      <c r="JZK479" s="268"/>
      <c r="JZL479" s="268"/>
      <c r="JZM479" s="268"/>
      <c r="JZN479" s="268"/>
      <c r="JZO479" s="268"/>
      <c r="JZP479" s="268"/>
      <c r="JZQ479" s="268"/>
      <c r="JZR479" s="268"/>
      <c r="JZS479" s="268"/>
      <c r="JZT479" s="268"/>
      <c r="JZU479" s="268"/>
      <c r="JZV479" s="268"/>
      <c r="JZW479" s="268"/>
      <c r="JZX479" s="268"/>
      <c r="JZY479" s="268"/>
      <c r="JZZ479" s="268"/>
      <c r="KAA479" s="268"/>
      <c r="KAB479" s="268"/>
      <c r="KAC479" s="268"/>
      <c r="KAD479" s="268"/>
      <c r="KAE479" s="268"/>
      <c r="KAF479" s="268"/>
      <c r="KAG479" s="268"/>
      <c r="KAH479" s="268"/>
      <c r="KAI479" s="268"/>
      <c r="KAJ479" s="268"/>
      <c r="KAK479" s="268"/>
      <c r="KAL479" s="268"/>
      <c r="KAM479" s="268"/>
      <c r="KAN479" s="268"/>
      <c r="KAO479" s="268"/>
      <c r="KAP479" s="268"/>
      <c r="KAQ479" s="268"/>
      <c r="KAR479" s="268"/>
      <c r="KAS479" s="268"/>
      <c r="KAT479" s="268"/>
      <c r="KAU479" s="268"/>
      <c r="KAV479" s="268"/>
      <c r="KAW479" s="268"/>
      <c r="KAX479" s="268"/>
      <c r="KAY479" s="268"/>
      <c r="KAZ479" s="268"/>
      <c r="KBA479" s="268"/>
      <c r="KBB479" s="268"/>
      <c r="KBC479" s="268"/>
      <c r="KBD479" s="268"/>
      <c r="KBE479" s="268"/>
      <c r="KBF479" s="268"/>
      <c r="KBG479" s="268"/>
      <c r="KBH479" s="268"/>
      <c r="KBI479" s="268"/>
      <c r="KBJ479" s="268"/>
      <c r="KBK479" s="268"/>
      <c r="KBL479" s="268"/>
      <c r="KBM479" s="268"/>
      <c r="KBN479" s="268"/>
      <c r="KBO479" s="268"/>
      <c r="KBP479" s="268"/>
      <c r="KBQ479" s="268"/>
      <c r="KBR479" s="268"/>
      <c r="KBS479" s="268"/>
      <c r="KBT479" s="268"/>
      <c r="KBU479" s="268"/>
      <c r="KBV479" s="268"/>
      <c r="KBW479" s="268"/>
      <c r="KBX479" s="268"/>
      <c r="KBY479" s="268"/>
      <c r="KBZ479" s="268"/>
      <c r="KCA479" s="268"/>
      <c r="KCB479" s="268"/>
      <c r="KCC479" s="268"/>
      <c r="KCD479" s="268"/>
      <c r="KCE479" s="268"/>
      <c r="KCF479" s="268"/>
      <c r="KCG479" s="268"/>
      <c r="KCH479" s="268"/>
      <c r="KCI479" s="268"/>
      <c r="KCJ479" s="268"/>
      <c r="KCK479" s="268"/>
      <c r="KCL479" s="268"/>
      <c r="KCM479" s="268"/>
      <c r="KCN479" s="268"/>
      <c r="KCO479" s="268"/>
      <c r="KCP479" s="268"/>
      <c r="KCQ479" s="268"/>
      <c r="KCR479" s="268"/>
      <c r="KCS479" s="268"/>
      <c r="KCT479" s="268"/>
      <c r="KCU479" s="268"/>
      <c r="KCV479" s="268"/>
      <c r="KCW479" s="268"/>
      <c r="KCX479" s="268"/>
      <c r="KCY479" s="268"/>
      <c r="KCZ479" s="268"/>
      <c r="KDA479" s="268"/>
      <c r="KDB479" s="268"/>
      <c r="KDC479" s="268"/>
      <c r="KDD479" s="268"/>
      <c r="KDE479" s="268"/>
      <c r="KDF479" s="268"/>
      <c r="KDG479" s="268"/>
      <c r="KDH479" s="268"/>
      <c r="KDI479" s="268"/>
      <c r="KDJ479" s="268"/>
      <c r="KDK479" s="268"/>
      <c r="KDL479" s="268"/>
      <c r="KDM479" s="268"/>
      <c r="KDN479" s="268"/>
      <c r="KDO479" s="268"/>
      <c r="KDP479" s="268"/>
      <c r="KDQ479" s="268"/>
      <c r="KDR479" s="268"/>
      <c r="KDS479" s="268"/>
      <c r="KDT479" s="268"/>
      <c r="KDU479" s="268"/>
      <c r="KDV479" s="268"/>
      <c r="KDW479" s="268"/>
      <c r="KDX479" s="268"/>
      <c r="KDY479" s="268"/>
      <c r="KDZ479" s="268"/>
      <c r="KEA479" s="268"/>
      <c r="KEB479" s="268"/>
      <c r="KEC479" s="268"/>
      <c r="KED479" s="268"/>
      <c r="KEE479" s="268"/>
      <c r="KEF479" s="268"/>
      <c r="KEG479" s="268"/>
      <c r="KEH479" s="268"/>
      <c r="KEI479" s="268"/>
      <c r="KEJ479" s="268"/>
      <c r="KEK479" s="268"/>
      <c r="KEL479" s="268"/>
      <c r="KEM479" s="268"/>
      <c r="KEN479" s="268"/>
      <c r="KEO479" s="268"/>
      <c r="KEP479" s="268"/>
      <c r="KEQ479" s="268"/>
      <c r="KER479" s="268"/>
      <c r="KES479" s="268"/>
      <c r="KET479" s="268"/>
      <c r="KEU479" s="268"/>
      <c r="KEV479" s="268"/>
      <c r="KEW479" s="268"/>
      <c r="KEX479" s="268"/>
      <c r="KEY479" s="268"/>
      <c r="KEZ479" s="268"/>
      <c r="KFA479" s="268"/>
      <c r="KFB479" s="268"/>
      <c r="KFC479" s="268"/>
      <c r="KFD479" s="268"/>
      <c r="KFE479" s="268"/>
      <c r="KFF479" s="268"/>
      <c r="KFG479" s="268"/>
      <c r="KFH479" s="268"/>
      <c r="KFI479" s="268"/>
      <c r="KFJ479" s="268"/>
      <c r="KFK479" s="268"/>
      <c r="KFL479" s="268"/>
      <c r="KFM479" s="268"/>
      <c r="KFN479" s="268"/>
      <c r="KFO479" s="268"/>
      <c r="KFP479" s="268"/>
      <c r="KFQ479" s="268"/>
      <c r="KFR479" s="268"/>
      <c r="KFS479" s="268"/>
      <c r="KFT479" s="268"/>
      <c r="KFU479" s="268"/>
      <c r="KFV479" s="268"/>
      <c r="KFW479" s="268"/>
      <c r="KFX479" s="268"/>
      <c r="KFY479" s="268"/>
      <c r="KFZ479" s="268"/>
      <c r="KGA479" s="268"/>
      <c r="KGB479" s="268"/>
      <c r="KGC479" s="268"/>
      <c r="KGD479" s="268"/>
      <c r="KGE479" s="268"/>
      <c r="KGF479" s="268"/>
      <c r="KGG479" s="268"/>
      <c r="KGH479" s="268"/>
      <c r="KGI479" s="268"/>
      <c r="KGJ479" s="268"/>
      <c r="KGK479" s="268"/>
      <c r="KGL479" s="268"/>
      <c r="KGM479" s="268"/>
      <c r="KGN479" s="268"/>
      <c r="KGO479" s="268"/>
      <c r="KGP479" s="268"/>
      <c r="KGQ479" s="268"/>
      <c r="KGR479" s="268"/>
      <c r="KGS479" s="268"/>
      <c r="KGT479" s="268"/>
      <c r="KGU479" s="268"/>
      <c r="KGV479" s="268"/>
      <c r="KGW479" s="268"/>
      <c r="KGX479" s="268"/>
      <c r="KGY479" s="268"/>
      <c r="KGZ479" s="268"/>
      <c r="KHA479" s="268"/>
      <c r="KHB479" s="268"/>
      <c r="KHC479" s="268"/>
      <c r="KHD479" s="268"/>
      <c r="KHE479" s="268"/>
      <c r="KHF479" s="268"/>
      <c r="KHG479" s="268"/>
      <c r="KHH479" s="268"/>
      <c r="KHI479" s="268"/>
      <c r="KHJ479" s="268"/>
      <c r="KHK479" s="268"/>
      <c r="KHL479" s="268"/>
      <c r="KHM479" s="268"/>
      <c r="KHN479" s="268"/>
      <c r="KHO479" s="268"/>
      <c r="KHP479" s="268"/>
      <c r="KHQ479" s="268"/>
      <c r="KHR479" s="268"/>
      <c r="KHS479" s="268"/>
      <c r="KHT479" s="268"/>
      <c r="KHU479" s="268"/>
      <c r="KHV479" s="268"/>
      <c r="KHW479" s="268"/>
      <c r="KHX479" s="268"/>
      <c r="KHY479" s="268"/>
      <c r="KHZ479" s="268"/>
      <c r="KIA479" s="268"/>
      <c r="KIO479" s="268"/>
      <c r="KIP479" s="268"/>
      <c r="KIQ479" s="268"/>
      <c r="KJE479" s="268"/>
      <c r="KJG479" s="268"/>
      <c r="KJH479" s="268"/>
      <c r="KJI479" s="268"/>
      <c r="KJJ479" s="268"/>
      <c r="KJK479" s="268"/>
      <c r="KJL479" s="268"/>
      <c r="KJM479" s="268"/>
      <c r="KJN479" s="268"/>
      <c r="KJO479" s="268"/>
      <c r="KJP479" s="268"/>
      <c r="KJQ479" s="268"/>
      <c r="KJR479" s="268"/>
      <c r="KJS479" s="268"/>
      <c r="KJT479" s="268"/>
      <c r="KJU479" s="268"/>
      <c r="KJV479" s="268"/>
      <c r="KJW479" s="268"/>
      <c r="KJX479" s="268"/>
      <c r="KJY479" s="268"/>
      <c r="KJZ479" s="268"/>
      <c r="KKA479" s="268"/>
      <c r="KKB479" s="268"/>
      <c r="KKC479" s="268"/>
      <c r="KKD479" s="268"/>
      <c r="KKE479" s="268"/>
      <c r="KKF479" s="268"/>
      <c r="KKG479" s="268"/>
      <c r="KKH479" s="268"/>
      <c r="KKI479" s="268"/>
      <c r="KKJ479" s="268"/>
      <c r="KKK479" s="268"/>
      <c r="KKL479" s="268"/>
      <c r="KKM479" s="268"/>
      <c r="KKN479" s="268"/>
      <c r="KKO479" s="268"/>
      <c r="KKP479" s="268"/>
      <c r="KKQ479" s="268"/>
      <c r="KKR479" s="268"/>
      <c r="KKS479" s="268"/>
      <c r="KKT479" s="268"/>
      <c r="KKU479" s="268"/>
      <c r="KKV479" s="268"/>
      <c r="KKW479" s="268"/>
      <c r="KKX479" s="268"/>
      <c r="KKY479" s="268"/>
      <c r="KKZ479" s="268"/>
      <c r="KLA479" s="268"/>
      <c r="KLB479" s="268"/>
      <c r="KLC479" s="268"/>
      <c r="KLD479" s="268"/>
      <c r="KLE479" s="268"/>
      <c r="KLF479" s="268"/>
      <c r="KLG479" s="268"/>
      <c r="KLH479" s="268"/>
      <c r="KLI479" s="268"/>
      <c r="KLJ479" s="268"/>
      <c r="KLK479" s="268"/>
      <c r="KLL479" s="268"/>
      <c r="KLM479" s="268"/>
      <c r="KLN479" s="268"/>
      <c r="KLO479" s="268"/>
      <c r="KLP479" s="268"/>
      <c r="KLQ479" s="268"/>
      <c r="KLR479" s="268"/>
      <c r="KLS479" s="268"/>
      <c r="KLT479" s="268"/>
      <c r="KLU479" s="268"/>
      <c r="KLV479" s="268"/>
      <c r="KLW479" s="268"/>
      <c r="KLX479" s="268"/>
      <c r="KLY479" s="268"/>
      <c r="KLZ479" s="268"/>
      <c r="KMA479" s="268"/>
      <c r="KMB479" s="268"/>
      <c r="KMC479" s="268"/>
      <c r="KMD479" s="268"/>
      <c r="KME479" s="268"/>
      <c r="KMF479" s="268"/>
      <c r="KMG479" s="268"/>
      <c r="KMH479" s="268"/>
      <c r="KMI479" s="268"/>
      <c r="KMJ479" s="268"/>
      <c r="KMK479" s="268"/>
      <c r="KML479" s="268"/>
      <c r="KMM479" s="268"/>
      <c r="KMN479" s="268"/>
      <c r="KMO479" s="268"/>
      <c r="KMP479" s="268"/>
      <c r="KMQ479" s="268"/>
      <c r="KMR479" s="268"/>
      <c r="KMS479" s="268"/>
      <c r="KMT479" s="268"/>
      <c r="KMU479" s="268"/>
      <c r="KMV479" s="268"/>
      <c r="KMW479" s="268"/>
      <c r="KMX479" s="268"/>
      <c r="KMY479" s="268"/>
      <c r="KMZ479" s="268"/>
      <c r="KNA479" s="268"/>
      <c r="KNB479" s="268"/>
      <c r="KNC479" s="268"/>
      <c r="KND479" s="268"/>
      <c r="KNE479" s="268"/>
      <c r="KNF479" s="268"/>
      <c r="KNG479" s="268"/>
      <c r="KNH479" s="268"/>
      <c r="KNI479" s="268"/>
      <c r="KNJ479" s="268"/>
      <c r="KNK479" s="268"/>
      <c r="KNL479" s="268"/>
      <c r="KNM479" s="268"/>
      <c r="KNN479" s="268"/>
      <c r="KNO479" s="268"/>
      <c r="KNP479" s="268"/>
      <c r="KNQ479" s="268"/>
      <c r="KNR479" s="268"/>
      <c r="KNS479" s="268"/>
      <c r="KNT479" s="268"/>
      <c r="KNU479" s="268"/>
      <c r="KNV479" s="268"/>
      <c r="KNW479" s="268"/>
      <c r="KNX479" s="268"/>
      <c r="KNY479" s="268"/>
      <c r="KNZ479" s="268"/>
      <c r="KOA479" s="268"/>
      <c r="KOB479" s="268"/>
      <c r="KOC479" s="268"/>
      <c r="KOD479" s="268"/>
      <c r="KOE479" s="268"/>
      <c r="KOF479" s="268"/>
      <c r="KOG479" s="268"/>
      <c r="KOH479" s="268"/>
      <c r="KOI479" s="268"/>
      <c r="KOJ479" s="268"/>
      <c r="KOK479" s="268"/>
      <c r="KOL479" s="268"/>
      <c r="KOM479" s="268"/>
      <c r="KON479" s="268"/>
      <c r="KOO479" s="268"/>
      <c r="KOP479" s="268"/>
      <c r="KOQ479" s="268"/>
      <c r="KOR479" s="268"/>
      <c r="KOS479" s="268"/>
      <c r="KOT479" s="268"/>
      <c r="KOU479" s="268"/>
      <c r="KOV479" s="268"/>
      <c r="KOW479" s="268"/>
      <c r="KOX479" s="268"/>
      <c r="KOY479" s="268"/>
      <c r="KOZ479" s="268"/>
      <c r="KPA479" s="268"/>
      <c r="KPB479" s="268"/>
      <c r="KPC479" s="268"/>
      <c r="KPD479" s="268"/>
      <c r="KPE479" s="268"/>
      <c r="KPF479" s="268"/>
      <c r="KPG479" s="268"/>
      <c r="KPH479" s="268"/>
      <c r="KPI479" s="268"/>
      <c r="KPJ479" s="268"/>
      <c r="KPK479" s="268"/>
      <c r="KPL479" s="268"/>
      <c r="KPM479" s="268"/>
      <c r="KPN479" s="268"/>
      <c r="KPO479" s="268"/>
      <c r="KPP479" s="268"/>
      <c r="KPQ479" s="268"/>
      <c r="KPR479" s="268"/>
      <c r="KPS479" s="268"/>
      <c r="KPT479" s="268"/>
      <c r="KPU479" s="268"/>
      <c r="KPV479" s="268"/>
      <c r="KPW479" s="268"/>
      <c r="KPX479" s="268"/>
      <c r="KPY479" s="268"/>
      <c r="KPZ479" s="268"/>
      <c r="KQA479" s="268"/>
      <c r="KQB479" s="268"/>
      <c r="KQC479" s="268"/>
      <c r="KQD479" s="268"/>
      <c r="KQE479" s="268"/>
      <c r="KQF479" s="268"/>
      <c r="KQG479" s="268"/>
      <c r="KQH479" s="268"/>
      <c r="KQI479" s="268"/>
      <c r="KQJ479" s="268"/>
      <c r="KQK479" s="268"/>
      <c r="KQL479" s="268"/>
      <c r="KQM479" s="268"/>
      <c r="KQN479" s="268"/>
      <c r="KQO479" s="268"/>
      <c r="KQP479" s="268"/>
      <c r="KQQ479" s="268"/>
      <c r="KQR479" s="268"/>
      <c r="KQS479" s="268"/>
      <c r="KQT479" s="268"/>
      <c r="KQU479" s="268"/>
      <c r="KQV479" s="268"/>
      <c r="KQW479" s="268"/>
      <c r="KQX479" s="268"/>
      <c r="KQY479" s="268"/>
      <c r="KQZ479" s="268"/>
      <c r="KRA479" s="268"/>
      <c r="KRB479" s="268"/>
      <c r="KRC479" s="268"/>
      <c r="KRD479" s="268"/>
      <c r="KRE479" s="268"/>
      <c r="KRF479" s="268"/>
      <c r="KRG479" s="268"/>
      <c r="KRH479" s="268"/>
      <c r="KRI479" s="268"/>
      <c r="KRJ479" s="268"/>
      <c r="KRK479" s="268"/>
      <c r="KRL479" s="268"/>
      <c r="KRM479" s="268"/>
      <c r="KRN479" s="268"/>
      <c r="KRO479" s="268"/>
      <c r="KRP479" s="268"/>
      <c r="KRQ479" s="268"/>
      <c r="KRR479" s="268"/>
      <c r="KRS479" s="268"/>
      <c r="KRT479" s="268"/>
      <c r="KRU479" s="268"/>
      <c r="KRV479" s="268"/>
      <c r="KRW479" s="268"/>
      <c r="KSK479" s="268"/>
      <c r="KSL479" s="268"/>
      <c r="KSM479" s="268"/>
      <c r="KTA479" s="268"/>
      <c r="KTC479" s="268"/>
      <c r="KTD479" s="268"/>
      <c r="KTE479" s="268"/>
      <c r="KTF479" s="268"/>
      <c r="KTG479" s="268"/>
      <c r="KTH479" s="268"/>
      <c r="KTI479" s="268"/>
      <c r="KTJ479" s="268"/>
      <c r="KTK479" s="268"/>
      <c r="KTL479" s="268"/>
      <c r="KTM479" s="268"/>
      <c r="KTN479" s="268"/>
      <c r="KTO479" s="268"/>
      <c r="KTP479" s="268"/>
      <c r="KTQ479" s="268"/>
      <c r="KTR479" s="268"/>
      <c r="KTS479" s="268"/>
      <c r="KTT479" s="268"/>
      <c r="KTU479" s="268"/>
      <c r="KTV479" s="268"/>
      <c r="KTW479" s="268"/>
      <c r="KTX479" s="268"/>
      <c r="KTY479" s="268"/>
      <c r="KTZ479" s="268"/>
      <c r="KUA479" s="268"/>
      <c r="KUB479" s="268"/>
      <c r="KUC479" s="268"/>
      <c r="KUD479" s="268"/>
      <c r="KUE479" s="268"/>
      <c r="KUF479" s="268"/>
      <c r="KUG479" s="268"/>
      <c r="KUH479" s="268"/>
      <c r="KUI479" s="268"/>
      <c r="KUJ479" s="268"/>
      <c r="KUK479" s="268"/>
      <c r="KUL479" s="268"/>
      <c r="KUM479" s="268"/>
      <c r="KUN479" s="268"/>
      <c r="KUO479" s="268"/>
      <c r="KUP479" s="268"/>
      <c r="KUQ479" s="268"/>
      <c r="KUR479" s="268"/>
      <c r="KUS479" s="268"/>
      <c r="KUT479" s="268"/>
      <c r="KUU479" s="268"/>
      <c r="KUV479" s="268"/>
      <c r="KUW479" s="268"/>
      <c r="KUX479" s="268"/>
      <c r="KUY479" s="268"/>
      <c r="KUZ479" s="268"/>
      <c r="KVA479" s="268"/>
      <c r="KVB479" s="268"/>
      <c r="KVC479" s="268"/>
      <c r="KVD479" s="268"/>
      <c r="KVE479" s="268"/>
      <c r="KVF479" s="268"/>
      <c r="KVG479" s="268"/>
      <c r="KVH479" s="268"/>
      <c r="KVI479" s="268"/>
      <c r="KVJ479" s="268"/>
      <c r="KVK479" s="268"/>
      <c r="KVL479" s="268"/>
      <c r="KVM479" s="268"/>
      <c r="KVN479" s="268"/>
      <c r="KVO479" s="268"/>
      <c r="KVP479" s="268"/>
      <c r="KVQ479" s="268"/>
      <c r="KVR479" s="268"/>
      <c r="KVS479" s="268"/>
      <c r="KVT479" s="268"/>
      <c r="KVU479" s="268"/>
      <c r="KVV479" s="268"/>
      <c r="KVW479" s="268"/>
      <c r="KVX479" s="268"/>
      <c r="KVY479" s="268"/>
      <c r="KVZ479" s="268"/>
      <c r="KWA479" s="268"/>
      <c r="KWB479" s="268"/>
      <c r="KWC479" s="268"/>
      <c r="KWD479" s="268"/>
      <c r="KWE479" s="268"/>
      <c r="KWF479" s="268"/>
      <c r="KWG479" s="268"/>
      <c r="KWH479" s="268"/>
      <c r="KWI479" s="268"/>
      <c r="KWJ479" s="268"/>
      <c r="KWK479" s="268"/>
      <c r="KWL479" s="268"/>
      <c r="KWM479" s="268"/>
      <c r="KWN479" s="268"/>
      <c r="KWO479" s="268"/>
      <c r="KWP479" s="268"/>
      <c r="KWQ479" s="268"/>
      <c r="KWR479" s="268"/>
      <c r="KWS479" s="268"/>
      <c r="KWT479" s="268"/>
      <c r="KWU479" s="268"/>
      <c r="KWV479" s="268"/>
      <c r="KWW479" s="268"/>
      <c r="KWX479" s="268"/>
      <c r="KWY479" s="268"/>
      <c r="KWZ479" s="268"/>
      <c r="KXA479" s="268"/>
      <c r="KXB479" s="268"/>
      <c r="KXC479" s="268"/>
      <c r="KXD479" s="268"/>
      <c r="KXE479" s="268"/>
      <c r="KXF479" s="268"/>
      <c r="KXG479" s="268"/>
      <c r="KXH479" s="268"/>
      <c r="KXI479" s="268"/>
      <c r="KXJ479" s="268"/>
      <c r="KXK479" s="268"/>
      <c r="KXL479" s="268"/>
      <c r="KXM479" s="268"/>
      <c r="KXN479" s="268"/>
      <c r="KXO479" s="268"/>
      <c r="KXP479" s="268"/>
      <c r="KXQ479" s="268"/>
      <c r="KXR479" s="268"/>
      <c r="KXS479" s="268"/>
      <c r="KXT479" s="268"/>
      <c r="KXU479" s="268"/>
      <c r="KXV479" s="268"/>
      <c r="KXW479" s="268"/>
      <c r="KXX479" s="268"/>
      <c r="KXY479" s="268"/>
      <c r="KXZ479" s="268"/>
      <c r="KYA479" s="268"/>
      <c r="KYB479" s="268"/>
      <c r="KYC479" s="268"/>
      <c r="KYD479" s="268"/>
      <c r="KYE479" s="268"/>
      <c r="KYF479" s="268"/>
      <c r="KYG479" s="268"/>
      <c r="KYH479" s="268"/>
      <c r="KYI479" s="268"/>
      <c r="KYJ479" s="268"/>
      <c r="KYK479" s="268"/>
      <c r="KYL479" s="268"/>
      <c r="KYM479" s="268"/>
      <c r="KYN479" s="268"/>
      <c r="KYO479" s="268"/>
      <c r="KYP479" s="268"/>
      <c r="KYQ479" s="268"/>
      <c r="KYR479" s="268"/>
      <c r="KYS479" s="268"/>
      <c r="KYT479" s="268"/>
      <c r="KYU479" s="268"/>
      <c r="KYV479" s="268"/>
      <c r="KYW479" s="268"/>
      <c r="KYX479" s="268"/>
      <c r="KYY479" s="268"/>
      <c r="KYZ479" s="268"/>
      <c r="KZA479" s="268"/>
      <c r="KZB479" s="268"/>
      <c r="KZC479" s="268"/>
      <c r="KZD479" s="268"/>
      <c r="KZE479" s="268"/>
      <c r="KZF479" s="268"/>
      <c r="KZG479" s="268"/>
      <c r="KZH479" s="268"/>
      <c r="KZI479" s="268"/>
      <c r="KZJ479" s="268"/>
      <c r="KZK479" s="268"/>
      <c r="KZL479" s="268"/>
      <c r="KZM479" s="268"/>
      <c r="KZN479" s="268"/>
      <c r="KZO479" s="268"/>
      <c r="KZP479" s="268"/>
      <c r="KZQ479" s="268"/>
      <c r="KZR479" s="268"/>
      <c r="KZS479" s="268"/>
      <c r="KZT479" s="268"/>
      <c r="KZU479" s="268"/>
      <c r="KZV479" s="268"/>
      <c r="KZW479" s="268"/>
      <c r="KZX479" s="268"/>
      <c r="KZY479" s="268"/>
      <c r="KZZ479" s="268"/>
      <c r="LAA479" s="268"/>
      <c r="LAB479" s="268"/>
      <c r="LAC479" s="268"/>
      <c r="LAD479" s="268"/>
      <c r="LAE479" s="268"/>
      <c r="LAF479" s="268"/>
      <c r="LAG479" s="268"/>
      <c r="LAH479" s="268"/>
      <c r="LAI479" s="268"/>
      <c r="LAJ479" s="268"/>
      <c r="LAK479" s="268"/>
      <c r="LAL479" s="268"/>
      <c r="LAM479" s="268"/>
      <c r="LAN479" s="268"/>
      <c r="LAO479" s="268"/>
      <c r="LAP479" s="268"/>
      <c r="LAQ479" s="268"/>
      <c r="LAR479" s="268"/>
      <c r="LAS479" s="268"/>
      <c r="LAT479" s="268"/>
      <c r="LAU479" s="268"/>
      <c r="LAV479" s="268"/>
      <c r="LAW479" s="268"/>
      <c r="LAX479" s="268"/>
      <c r="LAY479" s="268"/>
      <c r="LAZ479" s="268"/>
      <c r="LBA479" s="268"/>
      <c r="LBB479" s="268"/>
      <c r="LBC479" s="268"/>
      <c r="LBD479" s="268"/>
      <c r="LBE479" s="268"/>
      <c r="LBF479" s="268"/>
      <c r="LBG479" s="268"/>
      <c r="LBH479" s="268"/>
      <c r="LBI479" s="268"/>
      <c r="LBJ479" s="268"/>
      <c r="LBK479" s="268"/>
      <c r="LBL479" s="268"/>
      <c r="LBM479" s="268"/>
      <c r="LBN479" s="268"/>
      <c r="LBO479" s="268"/>
      <c r="LBP479" s="268"/>
      <c r="LBQ479" s="268"/>
      <c r="LBR479" s="268"/>
      <c r="LBS479" s="268"/>
      <c r="LCG479" s="268"/>
      <c r="LCH479" s="268"/>
      <c r="LCI479" s="268"/>
      <c r="LCW479" s="268"/>
      <c r="LCY479" s="268"/>
      <c r="LCZ479" s="268"/>
      <c r="LDA479" s="268"/>
      <c r="LDB479" s="268"/>
      <c r="LDC479" s="268"/>
      <c r="LDD479" s="268"/>
      <c r="LDE479" s="268"/>
      <c r="LDF479" s="268"/>
      <c r="LDG479" s="268"/>
      <c r="LDH479" s="268"/>
      <c r="LDI479" s="268"/>
      <c r="LDJ479" s="268"/>
      <c r="LDK479" s="268"/>
      <c r="LDL479" s="268"/>
      <c r="LDM479" s="268"/>
      <c r="LDN479" s="268"/>
      <c r="LDO479" s="268"/>
      <c r="LDP479" s="268"/>
      <c r="LDQ479" s="268"/>
      <c r="LDR479" s="268"/>
      <c r="LDS479" s="268"/>
      <c r="LDT479" s="268"/>
      <c r="LDU479" s="268"/>
      <c r="LDV479" s="268"/>
      <c r="LDW479" s="268"/>
      <c r="LDX479" s="268"/>
      <c r="LDY479" s="268"/>
      <c r="LDZ479" s="268"/>
      <c r="LEA479" s="268"/>
      <c r="LEB479" s="268"/>
      <c r="LEC479" s="268"/>
      <c r="LED479" s="268"/>
      <c r="LEE479" s="268"/>
      <c r="LEF479" s="268"/>
      <c r="LEG479" s="268"/>
      <c r="LEH479" s="268"/>
      <c r="LEI479" s="268"/>
      <c r="LEJ479" s="268"/>
      <c r="LEK479" s="268"/>
      <c r="LEL479" s="268"/>
      <c r="LEM479" s="268"/>
      <c r="LEN479" s="268"/>
      <c r="LEO479" s="268"/>
      <c r="LEP479" s="268"/>
      <c r="LEQ479" s="268"/>
      <c r="LER479" s="268"/>
      <c r="LES479" s="268"/>
      <c r="LET479" s="268"/>
      <c r="LEU479" s="268"/>
      <c r="LEV479" s="268"/>
      <c r="LEW479" s="268"/>
      <c r="LEX479" s="268"/>
      <c r="LEY479" s="268"/>
      <c r="LEZ479" s="268"/>
      <c r="LFA479" s="268"/>
      <c r="LFB479" s="268"/>
      <c r="LFC479" s="268"/>
      <c r="LFD479" s="268"/>
      <c r="LFE479" s="268"/>
      <c r="LFF479" s="268"/>
      <c r="LFG479" s="268"/>
      <c r="LFH479" s="268"/>
      <c r="LFI479" s="268"/>
      <c r="LFJ479" s="268"/>
      <c r="LFK479" s="268"/>
      <c r="LFL479" s="268"/>
      <c r="LFM479" s="268"/>
      <c r="LFN479" s="268"/>
      <c r="LFO479" s="268"/>
      <c r="LFP479" s="268"/>
      <c r="LFQ479" s="268"/>
      <c r="LFR479" s="268"/>
      <c r="LFS479" s="268"/>
      <c r="LFT479" s="268"/>
      <c r="LFU479" s="268"/>
      <c r="LFV479" s="268"/>
      <c r="LFW479" s="268"/>
      <c r="LFX479" s="268"/>
      <c r="LFY479" s="268"/>
      <c r="LFZ479" s="268"/>
      <c r="LGA479" s="268"/>
      <c r="LGB479" s="268"/>
      <c r="LGC479" s="268"/>
      <c r="LGD479" s="268"/>
      <c r="LGE479" s="268"/>
      <c r="LGF479" s="268"/>
      <c r="LGG479" s="268"/>
      <c r="LGH479" s="268"/>
      <c r="LGI479" s="268"/>
      <c r="LGJ479" s="268"/>
      <c r="LGK479" s="268"/>
      <c r="LGL479" s="268"/>
      <c r="LGM479" s="268"/>
      <c r="LGN479" s="268"/>
      <c r="LGO479" s="268"/>
      <c r="LGP479" s="268"/>
      <c r="LGQ479" s="268"/>
      <c r="LGR479" s="268"/>
      <c r="LGS479" s="268"/>
      <c r="LGT479" s="268"/>
      <c r="LGU479" s="268"/>
      <c r="LGV479" s="268"/>
      <c r="LGW479" s="268"/>
      <c r="LGX479" s="268"/>
      <c r="LGY479" s="268"/>
      <c r="LGZ479" s="268"/>
      <c r="LHA479" s="268"/>
      <c r="LHB479" s="268"/>
      <c r="LHC479" s="268"/>
      <c r="LHD479" s="268"/>
      <c r="LHE479" s="268"/>
      <c r="LHF479" s="268"/>
      <c r="LHG479" s="268"/>
      <c r="LHH479" s="268"/>
      <c r="LHI479" s="268"/>
      <c r="LHJ479" s="268"/>
      <c r="LHK479" s="268"/>
      <c r="LHL479" s="268"/>
      <c r="LHM479" s="268"/>
      <c r="LHN479" s="268"/>
      <c r="LHO479" s="268"/>
      <c r="LHP479" s="268"/>
      <c r="LHQ479" s="268"/>
      <c r="LHR479" s="268"/>
      <c r="LHS479" s="268"/>
      <c r="LHT479" s="268"/>
      <c r="LHU479" s="268"/>
      <c r="LHV479" s="268"/>
      <c r="LHW479" s="268"/>
      <c r="LHX479" s="268"/>
      <c r="LHY479" s="268"/>
      <c r="LHZ479" s="268"/>
      <c r="LIA479" s="268"/>
      <c r="LIB479" s="268"/>
      <c r="LIC479" s="268"/>
      <c r="LID479" s="268"/>
      <c r="LIE479" s="268"/>
      <c r="LIF479" s="268"/>
      <c r="LIG479" s="268"/>
      <c r="LIH479" s="268"/>
      <c r="LII479" s="268"/>
      <c r="LIJ479" s="268"/>
      <c r="LIK479" s="268"/>
      <c r="LIL479" s="268"/>
      <c r="LIM479" s="268"/>
      <c r="LIN479" s="268"/>
      <c r="LIO479" s="268"/>
      <c r="LIP479" s="268"/>
      <c r="LIQ479" s="268"/>
      <c r="LIR479" s="268"/>
      <c r="LIS479" s="268"/>
      <c r="LIT479" s="268"/>
      <c r="LIU479" s="268"/>
      <c r="LIV479" s="268"/>
      <c r="LIW479" s="268"/>
      <c r="LIX479" s="268"/>
      <c r="LIY479" s="268"/>
      <c r="LIZ479" s="268"/>
      <c r="LJA479" s="268"/>
      <c r="LJB479" s="268"/>
      <c r="LJC479" s="268"/>
      <c r="LJD479" s="268"/>
      <c r="LJE479" s="268"/>
      <c r="LJF479" s="268"/>
      <c r="LJG479" s="268"/>
      <c r="LJH479" s="268"/>
      <c r="LJI479" s="268"/>
      <c r="LJJ479" s="268"/>
      <c r="LJK479" s="268"/>
      <c r="LJL479" s="268"/>
      <c r="LJM479" s="268"/>
      <c r="LJN479" s="268"/>
      <c r="LJO479" s="268"/>
      <c r="LJP479" s="268"/>
      <c r="LJQ479" s="268"/>
      <c r="LJR479" s="268"/>
      <c r="LJS479" s="268"/>
      <c r="LJT479" s="268"/>
      <c r="LJU479" s="268"/>
      <c r="LJV479" s="268"/>
      <c r="LJW479" s="268"/>
      <c r="LJX479" s="268"/>
      <c r="LJY479" s="268"/>
      <c r="LJZ479" s="268"/>
      <c r="LKA479" s="268"/>
      <c r="LKB479" s="268"/>
      <c r="LKC479" s="268"/>
      <c r="LKD479" s="268"/>
      <c r="LKE479" s="268"/>
      <c r="LKF479" s="268"/>
      <c r="LKG479" s="268"/>
      <c r="LKH479" s="268"/>
      <c r="LKI479" s="268"/>
      <c r="LKJ479" s="268"/>
      <c r="LKK479" s="268"/>
      <c r="LKL479" s="268"/>
      <c r="LKM479" s="268"/>
      <c r="LKN479" s="268"/>
      <c r="LKO479" s="268"/>
      <c r="LKP479" s="268"/>
      <c r="LKQ479" s="268"/>
      <c r="LKR479" s="268"/>
      <c r="LKS479" s="268"/>
      <c r="LKT479" s="268"/>
      <c r="LKU479" s="268"/>
      <c r="LKV479" s="268"/>
      <c r="LKW479" s="268"/>
      <c r="LKX479" s="268"/>
      <c r="LKY479" s="268"/>
      <c r="LKZ479" s="268"/>
      <c r="LLA479" s="268"/>
      <c r="LLB479" s="268"/>
      <c r="LLC479" s="268"/>
      <c r="LLD479" s="268"/>
      <c r="LLE479" s="268"/>
      <c r="LLF479" s="268"/>
      <c r="LLG479" s="268"/>
      <c r="LLH479" s="268"/>
      <c r="LLI479" s="268"/>
      <c r="LLJ479" s="268"/>
      <c r="LLK479" s="268"/>
      <c r="LLL479" s="268"/>
      <c r="LLM479" s="268"/>
      <c r="LLN479" s="268"/>
      <c r="LLO479" s="268"/>
      <c r="LMC479" s="268"/>
      <c r="LMD479" s="268"/>
      <c r="LME479" s="268"/>
      <c r="LMS479" s="268"/>
      <c r="LMU479" s="268"/>
      <c r="LMV479" s="268"/>
      <c r="LMW479" s="268"/>
      <c r="LMX479" s="268"/>
      <c r="LMY479" s="268"/>
      <c r="LMZ479" s="268"/>
      <c r="LNA479" s="268"/>
      <c r="LNB479" s="268"/>
      <c r="LNC479" s="268"/>
      <c r="LND479" s="268"/>
      <c r="LNE479" s="268"/>
      <c r="LNF479" s="268"/>
      <c r="LNG479" s="268"/>
      <c r="LNH479" s="268"/>
      <c r="LNI479" s="268"/>
      <c r="LNJ479" s="268"/>
      <c r="LNK479" s="268"/>
      <c r="LNL479" s="268"/>
      <c r="LNM479" s="268"/>
      <c r="LNN479" s="268"/>
      <c r="LNO479" s="268"/>
      <c r="LNP479" s="268"/>
      <c r="LNQ479" s="268"/>
      <c r="LNR479" s="268"/>
      <c r="LNS479" s="268"/>
      <c r="LNT479" s="268"/>
      <c r="LNU479" s="268"/>
      <c r="LNV479" s="268"/>
      <c r="LNW479" s="268"/>
      <c r="LNX479" s="268"/>
      <c r="LNY479" s="268"/>
      <c r="LNZ479" s="268"/>
      <c r="LOA479" s="268"/>
      <c r="LOB479" s="268"/>
      <c r="LOC479" s="268"/>
      <c r="LOD479" s="268"/>
      <c r="LOE479" s="268"/>
      <c r="LOF479" s="268"/>
      <c r="LOG479" s="268"/>
      <c r="LOH479" s="268"/>
      <c r="LOI479" s="268"/>
      <c r="LOJ479" s="268"/>
      <c r="LOK479" s="268"/>
      <c r="LOL479" s="268"/>
      <c r="LOM479" s="268"/>
      <c r="LON479" s="268"/>
      <c r="LOO479" s="268"/>
      <c r="LOP479" s="268"/>
      <c r="LOQ479" s="268"/>
      <c r="LOR479" s="268"/>
      <c r="LOS479" s="268"/>
      <c r="LOT479" s="268"/>
      <c r="LOU479" s="268"/>
      <c r="LOV479" s="268"/>
      <c r="LOW479" s="268"/>
      <c r="LOX479" s="268"/>
      <c r="LOY479" s="268"/>
      <c r="LOZ479" s="268"/>
      <c r="LPA479" s="268"/>
      <c r="LPB479" s="268"/>
      <c r="LPC479" s="268"/>
      <c r="LPD479" s="268"/>
      <c r="LPE479" s="268"/>
      <c r="LPF479" s="268"/>
      <c r="LPG479" s="268"/>
      <c r="LPH479" s="268"/>
      <c r="LPI479" s="268"/>
      <c r="LPJ479" s="268"/>
      <c r="LPK479" s="268"/>
      <c r="LPL479" s="268"/>
      <c r="LPM479" s="268"/>
      <c r="LPN479" s="268"/>
      <c r="LPO479" s="268"/>
      <c r="LPP479" s="268"/>
      <c r="LPQ479" s="268"/>
      <c r="LPR479" s="268"/>
      <c r="LPS479" s="268"/>
      <c r="LPT479" s="268"/>
      <c r="LPU479" s="268"/>
      <c r="LPV479" s="268"/>
      <c r="LPW479" s="268"/>
      <c r="LPX479" s="268"/>
      <c r="LPY479" s="268"/>
      <c r="LPZ479" s="268"/>
      <c r="LQA479" s="268"/>
      <c r="LQB479" s="268"/>
      <c r="LQC479" s="268"/>
      <c r="LQD479" s="268"/>
      <c r="LQE479" s="268"/>
      <c r="LQF479" s="268"/>
      <c r="LQG479" s="268"/>
      <c r="LQH479" s="268"/>
      <c r="LQI479" s="268"/>
      <c r="LQJ479" s="268"/>
      <c r="LQK479" s="268"/>
      <c r="LQL479" s="268"/>
      <c r="LQM479" s="268"/>
      <c r="LQN479" s="268"/>
      <c r="LQO479" s="268"/>
      <c r="LQP479" s="268"/>
      <c r="LQQ479" s="268"/>
      <c r="LQR479" s="268"/>
      <c r="LQS479" s="268"/>
      <c r="LQT479" s="268"/>
      <c r="LQU479" s="268"/>
      <c r="LQV479" s="268"/>
      <c r="LQW479" s="268"/>
      <c r="LQX479" s="268"/>
      <c r="LQY479" s="268"/>
      <c r="LQZ479" s="268"/>
      <c r="LRA479" s="268"/>
      <c r="LRB479" s="268"/>
      <c r="LRC479" s="268"/>
      <c r="LRD479" s="268"/>
      <c r="LRE479" s="268"/>
      <c r="LRF479" s="268"/>
      <c r="LRG479" s="268"/>
      <c r="LRH479" s="268"/>
      <c r="LRI479" s="268"/>
      <c r="LRJ479" s="268"/>
      <c r="LRK479" s="268"/>
      <c r="LRL479" s="268"/>
      <c r="LRM479" s="268"/>
      <c r="LRN479" s="268"/>
      <c r="LRO479" s="268"/>
      <c r="LRP479" s="268"/>
      <c r="LRQ479" s="268"/>
      <c r="LRR479" s="268"/>
      <c r="LRS479" s="268"/>
      <c r="LRT479" s="268"/>
      <c r="LRU479" s="268"/>
      <c r="LRV479" s="268"/>
      <c r="LRW479" s="268"/>
      <c r="LRX479" s="268"/>
      <c r="LRY479" s="268"/>
      <c r="LRZ479" s="268"/>
      <c r="LSA479" s="268"/>
      <c r="LSB479" s="268"/>
      <c r="LSC479" s="268"/>
      <c r="LSD479" s="268"/>
      <c r="LSE479" s="268"/>
      <c r="LSF479" s="268"/>
      <c r="LSG479" s="268"/>
      <c r="LSH479" s="268"/>
      <c r="LSI479" s="268"/>
      <c r="LSJ479" s="268"/>
      <c r="LSK479" s="268"/>
      <c r="LSL479" s="268"/>
      <c r="LSM479" s="268"/>
      <c r="LSN479" s="268"/>
      <c r="LSO479" s="268"/>
      <c r="LSP479" s="268"/>
      <c r="LSQ479" s="268"/>
      <c r="LSR479" s="268"/>
      <c r="LSS479" s="268"/>
      <c r="LST479" s="268"/>
      <c r="LSU479" s="268"/>
      <c r="LSV479" s="268"/>
      <c r="LSW479" s="268"/>
      <c r="LSX479" s="268"/>
      <c r="LSY479" s="268"/>
      <c r="LSZ479" s="268"/>
      <c r="LTA479" s="268"/>
      <c r="LTB479" s="268"/>
      <c r="LTC479" s="268"/>
      <c r="LTD479" s="268"/>
      <c r="LTE479" s="268"/>
      <c r="LTF479" s="268"/>
      <c r="LTG479" s="268"/>
      <c r="LTH479" s="268"/>
      <c r="LTI479" s="268"/>
      <c r="LTJ479" s="268"/>
      <c r="LTK479" s="268"/>
      <c r="LTL479" s="268"/>
      <c r="LTM479" s="268"/>
      <c r="LTN479" s="268"/>
      <c r="LTO479" s="268"/>
      <c r="LTP479" s="268"/>
      <c r="LTQ479" s="268"/>
      <c r="LTR479" s="268"/>
      <c r="LTS479" s="268"/>
      <c r="LTT479" s="268"/>
      <c r="LTU479" s="268"/>
      <c r="LTV479" s="268"/>
      <c r="LTW479" s="268"/>
      <c r="LTX479" s="268"/>
      <c r="LTY479" s="268"/>
      <c r="LTZ479" s="268"/>
      <c r="LUA479" s="268"/>
      <c r="LUB479" s="268"/>
      <c r="LUC479" s="268"/>
      <c r="LUD479" s="268"/>
      <c r="LUE479" s="268"/>
      <c r="LUF479" s="268"/>
      <c r="LUG479" s="268"/>
      <c r="LUH479" s="268"/>
      <c r="LUI479" s="268"/>
      <c r="LUJ479" s="268"/>
      <c r="LUK479" s="268"/>
      <c r="LUL479" s="268"/>
      <c r="LUM479" s="268"/>
      <c r="LUN479" s="268"/>
      <c r="LUO479" s="268"/>
      <c r="LUP479" s="268"/>
      <c r="LUQ479" s="268"/>
      <c r="LUR479" s="268"/>
      <c r="LUS479" s="268"/>
      <c r="LUT479" s="268"/>
      <c r="LUU479" s="268"/>
      <c r="LUV479" s="268"/>
      <c r="LUW479" s="268"/>
      <c r="LUX479" s="268"/>
      <c r="LUY479" s="268"/>
      <c r="LUZ479" s="268"/>
      <c r="LVA479" s="268"/>
      <c r="LVB479" s="268"/>
      <c r="LVC479" s="268"/>
      <c r="LVD479" s="268"/>
      <c r="LVE479" s="268"/>
      <c r="LVF479" s="268"/>
      <c r="LVG479" s="268"/>
      <c r="LVH479" s="268"/>
      <c r="LVI479" s="268"/>
      <c r="LVJ479" s="268"/>
      <c r="LVK479" s="268"/>
      <c r="LVY479" s="268"/>
      <c r="LVZ479" s="268"/>
      <c r="LWA479" s="268"/>
      <c r="LWO479" s="268"/>
      <c r="LWQ479" s="268"/>
      <c r="LWR479" s="268"/>
      <c r="LWS479" s="268"/>
      <c r="LWT479" s="268"/>
      <c r="LWU479" s="268"/>
      <c r="LWV479" s="268"/>
      <c r="LWW479" s="268"/>
      <c r="LWX479" s="268"/>
      <c r="LWY479" s="268"/>
      <c r="LWZ479" s="268"/>
      <c r="LXA479" s="268"/>
      <c r="LXB479" s="268"/>
      <c r="LXC479" s="268"/>
      <c r="LXD479" s="268"/>
      <c r="LXE479" s="268"/>
      <c r="LXF479" s="268"/>
      <c r="LXG479" s="268"/>
      <c r="LXH479" s="268"/>
      <c r="LXI479" s="268"/>
      <c r="LXJ479" s="268"/>
      <c r="LXK479" s="268"/>
      <c r="LXL479" s="268"/>
      <c r="LXM479" s="268"/>
      <c r="LXN479" s="268"/>
      <c r="LXO479" s="268"/>
      <c r="LXP479" s="268"/>
      <c r="LXQ479" s="268"/>
      <c r="LXR479" s="268"/>
      <c r="LXS479" s="268"/>
      <c r="LXT479" s="268"/>
      <c r="LXU479" s="268"/>
      <c r="LXV479" s="268"/>
      <c r="LXW479" s="268"/>
      <c r="LXX479" s="268"/>
      <c r="LXY479" s="268"/>
      <c r="LXZ479" s="268"/>
      <c r="LYA479" s="268"/>
      <c r="LYB479" s="268"/>
      <c r="LYC479" s="268"/>
      <c r="LYD479" s="268"/>
      <c r="LYE479" s="268"/>
      <c r="LYF479" s="268"/>
      <c r="LYG479" s="268"/>
      <c r="LYH479" s="268"/>
      <c r="LYI479" s="268"/>
      <c r="LYJ479" s="268"/>
      <c r="LYK479" s="268"/>
      <c r="LYL479" s="268"/>
      <c r="LYM479" s="268"/>
      <c r="LYN479" s="268"/>
      <c r="LYO479" s="268"/>
      <c r="LYP479" s="268"/>
      <c r="LYQ479" s="268"/>
      <c r="LYR479" s="268"/>
      <c r="LYS479" s="268"/>
      <c r="LYT479" s="268"/>
      <c r="LYU479" s="268"/>
      <c r="LYV479" s="268"/>
      <c r="LYW479" s="268"/>
      <c r="LYX479" s="268"/>
      <c r="LYY479" s="268"/>
      <c r="LYZ479" s="268"/>
      <c r="LZA479" s="268"/>
      <c r="LZB479" s="268"/>
      <c r="LZC479" s="268"/>
      <c r="LZD479" s="268"/>
      <c r="LZE479" s="268"/>
      <c r="LZF479" s="268"/>
      <c r="LZG479" s="268"/>
      <c r="LZH479" s="268"/>
      <c r="LZI479" s="268"/>
      <c r="LZJ479" s="268"/>
      <c r="LZK479" s="268"/>
      <c r="LZL479" s="268"/>
      <c r="LZM479" s="268"/>
      <c r="LZN479" s="268"/>
      <c r="LZO479" s="268"/>
      <c r="LZP479" s="268"/>
      <c r="LZQ479" s="268"/>
      <c r="LZR479" s="268"/>
      <c r="LZS479" s="268"/>
      <c r="LZT479" s="268"/>
      <c r="LZU479" s="268"/>
      <c r="LZV479" s="268"/>
      <c r="LZW479" s="268"/>
      <c r="LZX479" s="268"/>
      <c r="LZY479" s="268"/>
      <c r="LZZ479" s="268"/>
      <c r="MAA479" s="268"/>
      <c r="MAB479" s="268"/>
      <c r="MAC479" s="268"/>
      <c r="MAD479" s="268"/>
      <c r="MAE479" s="268"/>
      <c r="MAF479" s="268"/>
      <c r="MAG479" s="268"/>
      <c r="MAH479" s="268"/>
      <c r="MAI479" s="268"/>
      <c r="MAJ479" s="268"/>
      <c r="MAK479" s="268"/>
      <c r="MAL479" s="268"/>
      <c r="MAM479" s="268"/>
      <c r="MAN479" s="268"/>
      <c r="MAO479" s="268"/>
      <c r="MAP479" s="268"/>
      <c r="MAQ479" s="268"/>
      <c r="MAR479" s="268"/>
      <c r="MAS479" s="268"/>
      <c r="MAT479" s="268"/>
      <c r="MAU479" s="268"/>
      <c r="MAV479" s="268"/>
      <c r="MAW479" s="268"/>
      <c r="MAX479" s="268"/>
      <c r="MAY479" s="268"/>
      <c r="MAZ479" s="268"/>
      <c r="MBA479" s="268"/>
      <c r="MBB479" s="268"/>
      <c r="MBC479" s="268"/>
      <c r="MBD479" s="268"/>
      <c r="MBE479" s="268"/>
      <c r="MBF479" s="268"/>
      <c r="MBG479" s="268"/>
      <c r="MBH479" s="268"/>
      <c r="MBI479" s="268"/>
      <c r="MBJ479" s="268"/>
      <c r="MBK479" s="268"/>
      <c r="MBL479" s="268"/>
      <c r="MBM479" s="268"/>
      <c r="MBN479" s="268"/>
      <c r="MBO479" s="268"/>
      <c r="MBP479" s="268"/>
      <c r="MBQ479" s="268"/>
      <c r="MBR479" s="268"/>
      <c r="MBS479" s="268"/>
      <c r="MBT479" s="268"/>
      <c r="MBU479" s="268"/>
      <c r="MBV479" s="268"/>
      <c r="MBW479" s="268"/>
      <c r="MBX479" s="268"/>
      <c r="MBY479" s="268"/>
      <c r="MBZ479" s="268"/>
      <c r="MCA479" s="268"/>
      <c r="MCB479" s="268"/>
      <c r="MCC479" s="268"/>
      <c r="MCD479" s="268"/>
      <c r="MCE479" s="268"/>
      <c r="MCF479" s="268"/>
      <c r="MCG479" s="268"/>
      <c r="MCH479" s="268"/>
      <c r="MCI479" s="268"/>
      <c r="MCJ479" s="268"/>
      <c r="MCK479" s="268"/>
      <c r="MCL479" s="268"/>
      <c r="MCM479" s="268"/>
      <c r="MCN479" s="268"/>
      <c r="MCO479" s="268"/>
      <c r="MCP479" s="268"/>
      <c r="MCQ479" s="268"/>
      <c r="MCR479" s="268"/>
      <c r="MCS479" s="268"/>
      <c r="MCT479" s="268"/>
      <c r="MCU479" s="268"/>
      <c r="MCV479" s="268"/>
      <c r="MCW479" s="268"/>
      <c r="MCX479" s="268"/>
      <c r="MCY479" s="268"/>
      <c r="MCZ479" s="268"/>
      <c r="MDA479" s="268"/>
      <c r="MDB479" s="268"/>
      <c r="MDC479" s="268"/>
      <c r="MDD479" s="268"/>
      <c r="MDE479" s="268"/>
      <c r="MDF479" s="268"/>
      <c r="MDG479" s="268"/>
      <c r="MDH479" s="268"/>
      <c r="MDI479" s="268"/>
      <c r="MDJ479" s="268"/>
      <c r="MDK479" s="268"/>
      <c r="MDL479" s="268"/>
      <c r="MDM479" s="268"/>
      <c r="MDN479" s="268"/>
      <c r="MDO479" s="268"/>
      <c r="MDP479" s="268"/>
      <c r="MDQ479" s="268"/>
      <c r="MDR479" s="268"/>
      <c r="MDS479" s="268"/>
      <c r="MDT479" s="268"/>
      <c r="MDU479" s="268"/>
      <c r="MDV479" s="268"/>
      <c r="MDW479" s="268"/>
      <c r="MDX479" s="268"/>
      <c r="MDY479" s="268"/>
      <c r="MDZ479" s="268"/>
      <c r="MEA479" s="268"/>
      <c r="MEB479" s="268"/>
      <c r="MEC479" s="268"/>
      <c r="MED479" s="268"/>
      <c r="MEE479" s="268"/>
      <c r="MEF479" s="268"/>
      <c r="MEG479" s="268"/>
      <c r="MEH479" s="268"/>
      <c r="MEI479" s="268"/>
      <c r="MEJ479" s="268"/>
      <c r="MEK479" s="268"/>
      <c r="MEL479" s="268"/>
      <c r="MEM479" s="268"/>
      <c r="MEN479" s="268"/>
      <c r="MEO479" s="268"/>
      <c r="MEP479" s="268"/>
      <c r="MEQ479" s="268"/>
      <c r="MER479" s="268"/>
      <c r="MES479" s="268"/>
      <c r="MET479" s="268"/>
      <c r="MEU479" s="268"/>
      <c r="MEV479" s="268"/>
      <c r="MEW479" s="268"/>
      <c r="MEX479" s="268"/>
      <c r="MEY479" s="268"/>
      <c r="MEZ479" s="268"/>
      <c r="MFA479" s="268"/>
      <c r="MFB479" s="268"/>
      <c r="MFC479" s="268"/>
      <c r="MFD479" s="268"/>
      <c r="MFE479" s="268"/>
      <c r="MFF479" s="268"/>
      <c r="MFG479" s="268"/>
      <c r="MFU479" s="268"/>
      <c r="MFV479" s="268"/>
      <c r="MFW479" s="268"/>
      <c r="MGK479" s="268"/>
      <c r="MGM479" s="268"/>
      <c r="MGN479" s="268"/>
      <c r="MGO479" s="268"/>
      <c r="MGP479" s="268"/>
      <c r="MGQ479" s="268"/>
      <c r="MGR479" s="268"/>
      <c r="MGS479" s="268"/>
      <c r="MGT479" s="268"/>
      <c r="MGU479" s="268"/>
      <c r="MGV479" s="268"/>
      <c r="MGW479" s="268"/>
      <c r="MGX479" s="268"/>
      <c r="MGY479" s="268"/>
      <c r="MGZ479" s="268"/>
      <c r="MHA479" s="268"/>
      <c r="MHB479" s="268"/>
      <c r="MHC479" s="268"/>
      <c r="MHD479" s="268"/>
      <c r="MHE479" s="268"/>
      <c r="MHF479" s="268"/>
      <c r="MHG479" s="268"/>
      <c r="MHH479" s="268"/>
      <c r="MHI479" s="268"/>
      <c r="MHJ479" s="268"/>
      <c r="MHK479" s="268"/>
      <c r="MHL479" s="268"/>
      <c r="MHM479" s="268"/>
      <c r="MHN479" s="268"/>
      <c r="MHO479" s="268"/>
      <c r="MHP479" s="268"/>
      <c r="MHQ479" s="268"/>
      <c r="MHR479" s="268"/>
      <c r="MHS479" s="268"/>
      <c r="MHT479" s="268"/>
      <c r="MHU479" s="268"/>
      <c r="MHV479" s="268"/>
      <c r="MHW479" s="268"/>
      <c r="MHX479" s="268"/>
      <c r="MHY479" s="268"/>
      <c r="MHZ479" s="268"/>
      <c r="MIA479" s="268"/>
      <c r="MIB479" s="268"/>
      <c r="MIC479" s="268"/>
      <c r="MID479" s="268"/>
      <c r="MIE479" s="268"/>
      <c r="MIF479" s="268"/>
      <c r="MIG479" s="268"/>
      <c r="MIH479" s="268"/>
      <c r="MII479" s="268"/>
      <c r="MIJ479" s="268"/>
      <c r="MIK479" s="268"/>
      <c r="MIL479" s="268"/>
      <c r="MIM479" s="268"/>
      <c r="MIN479" s="268"/>
      <c r="MIO479" s="268"/>
      <c r="MIP479" s="268"/>
      <c r="MIQ479" s="268"/>
      <c r="MIR479" s="268"/>
      <c r="MIS479" s="268"/>
      <c r="MIT479" s="268"/>
      <c r="MIU479" s="268"/>
      <c r="MIV479" s="268"/>
      <c r="MIW479" s="268"/>
      <c r="MIX479" s="268"/>
      <c r="MIY479" s="268"/>
      <c r="MIZ479" s="268"/>
      <c r="MJA479" s="268"/>
      <c r="MJB479" s="268"/>
      <c r="MJC479" s="268"/>
      <c r="MJD479" s="268"/>
      <c r="MJE479" s="268"/>
      <c r="MJF479" s="268"/>
      <c r="MJG479" s="268"/>
      <c r="MJH479" s="268"/>
      <c r="MJI479" s="268"/>
      <c r="MJJ479" s="268"/>
      <c r="MJK479" s="268"/>
      <c r="MJL479" s="268"/>
      <c r="MJM479" s="268"/>
      <c r="MJN479" s="268"/>
      <c r="MJO479" s="268"/>
      <c r="MJP479" s="268"/>
      <c r="MJQ479" s="268"/>
      <c r="MJR479" s="268"/>
      <c r="MJS479" s="268"/>
      <c r="MJT479" s="268"/>
      <c r="MJU479" s="268"/>
      <c r="MJV479" s="268"/>
      <c r="MJW479" s="268"/>
      <c r="MJX479" s="268"/>
      <c r="MJY479" s="268"/>
      <c r="MJZ479" s="268"/>
      <c r="MKA479" s="268"/>
      <c r="MKB479" s="268"/>
      <c r="MKC479" s="268"/>
      <c r="MKD479" s="268"/>
      <c r="MKE479" s="268"/>
      <c r="MKF479" s="268"/>
      <c r="MKG479" s="268"/>
      <c r="MKH479" s="268"/>
      <c r="MKI479" s="268"/>
      <c r="MKJ479" s="268"/>
      <c r="MKK479" s="268"/>
      <c r="MKL479" s="268"/>
      <c r="MKM479" s="268"/>
      <c r="MKN479" s="268"/>
      <c r="MKO479" s="268"/>
      <c r="MKP479" s="268"/>
      <c r="MKQ479" s="268"/>
      <c r="MKR479" s="268"/>
      <c r="MKS479" s="268"/>
      <c r="MKT479" s="268"/>
      <c r="MKU479" s="268"/>
      <c r="MKV479" s="268"/>
      <c r="MKW479" s="268"/>
      <c r="MKX479" s="268"/>
      <c r="MKY479" s="268"/>
      <c r="MKZ479" s="268"/>
      <c r="MLA479" s="268"/>
      <c r="MLB479" s="268"/>
      <c r="MLC479" s="268"/>
      <c r="MLD479" s="268"/>
      <c r="MLE479" s="268"/>
      <c r="MLF479" s="268"/>
      <c r="MLG479" s="268"/>
      <c r="MLH479" s="268"/>
      <c r="MLI479" s="268"/>
      <c r="MLJ479" s="268"/>
      <c r="MLK479" s="268"/>
      <c r="MLL479" s="268"/>
      <c r="MLM479" s="268"/>
      <c r="MLN479" s="268"/>
      <c r="MLO479" s="268"/>
      <c r="MLP479" s="268"/>
      <c r="MLQ479" s="268"/>
      <c r="MLR479" s="268"/>
      <c r="MLS479" s="268"/>
      <c r="MLT479" s="268"/>
      <c r="MLU479" s="268"/>
      <c r="MLV479" s="268"/>
      <c r="MLW479" s="268"/>
      <c r="MLX479" s="268"/>
      <c r="MLY479" s="268"/>
      <c r="MLZ479" s="268"/>
      <c r="MMA479" s="268"/>
      <c r="MMB479" s="268"/>
      <c r="MMC479" s="268"/>
      <c r="MMD479" s="268"/>
      <c r="MME479" s="268"/>
      <c r="MMF479" s="268"/>
      <c r="MMG479" s="268"/>
      <c r="MMH479" s="268"/>
      <c r="MMI479" s="268"/>
      <c r="MMJ479" s="268"/>
      <c r="MMK479" s="268"/>
      <c r="MML479" s="268"/>
      <c r="MMM479" s="268"/>
      <c r="MMN479" s="268"/>
      <c r="MMO479" s="268"/>
      <c r="MMP479" s="268"/>
      <c r="MMQ479" s="268"/>
      <c r="MMR479" s="268"/>
      <c r="MMS479" s="268"/>
      <c r="MMT479" s="268"/>
      <c r="MMU479" s="268"/>
      <c r="MMV479" s="268"/>
      <c r="MMW479" s="268"/>
      <c r="MMX479" s="268"/>
      <c r="MMY479" s="268"/>
      <c r="MMZ479" s="268"/>
      <c r="MNA479" s="268"/>
      <c r="MNB479" s="268"/>
      <c r="MNC479" s="268"/>
      <c r="MND479" s="268"/>
      <c r="MNE479" s="268"/>
      <c r="MNF479" s="268"/>
      <c r="MNG479" s="268"/>
      <c r="MNH479" s="268"/>
      <c r="MNI479" s="268"/>
      <c r="MNJ479" s="268"/>
      <c r="MNK479" s="268"/>
      <c r="MNL479" s="268"/>
      <c r="MNM479" s="268"/>
      <c r="MNN479" s="268"/>
      <c r="MNO479" s="268"/>
      <c r="MNP479" s="268"/>
      <c r="MNQ479" s="268"/>
      <c r="MNR479" s="268"/>
      <c r="MNS479" s="268"/>
      <c r="MNT479" s="268"/>
      <c r="MNU479" s="268"/>
      <c r="MNV479" s="268"/>
      <c r="MNW479" s="268"/>
      <c r="MNX479" s="268"/>
      <c r="MNY479" s="268"/>
      <c r="MNZ479" s="268"/>
      <c r="MOA479" s="268"/>
      <c r="MOB479" s="268"/>
      <c r="MOC479" s="268"/>
      <c r="MOD479" s="268"/>
      <c r="MOE479" s="268"/>
      <c r="MOF479" s="268"/>
      <c r="MOG479" s="268"/>
      <c r="MOH479" s="268"/>
      <c r="MOI479" s="268"/>
      <c r="MOJ479" s="268"/>
      <c r="MOK479" s="268"/>
      <c r="MOL479" s="268"/>
      <c r="MOM479" s="268"/>
      <c r="MON479" s="268"/>
      <c r="MOO479" s="268"/>
      <c r="MOP479" s="268"/>
      <c r="MOQ479" s="268"/>
      <c r="MOR479" s="268"/>
      <c r="MOS479" s="268"/>
      <c r="MOT479" s="268"/>
      <c r="MOU479" s="268"/>
      <c r="MOV479" s="268"/>
      <c r="MOW479" s="268"/>
      <c r="MOX479" s="268"/>
      <c r="MOY479" s="268"/>
      <c r="MOZ479" s="268"/>
      <c r="MPA479" s="268"/>
      <c r="MPB479" s="268"/>
      <c r="MPC479" s="268"/>
      <c r="MPQ479" s="268"/>
      <c r="MPR479" s="268"/>
      <c r="MPS479" s="268"/>
      <c r="MQG479" s="268"/>
      <c r="MQI479" s="268"/>
      <c r="MQJ479" s="268"/>
      <c r="MQK479" s="268"/>
      <c r="MQL479" s="268"/>
      <c r="MQM479" s="268"/>
      <c r="MQN479" s="268"/>
      <c r="MQO479" s="268"/>
      <c r="MQP479" s="268"/>
      <c r="MQQ479" s="268"/>
      <c r="MQR479" s="268"/>
      <c r="MQS479" s="268"/>
      <c r="MQT479" s="268"/>
      <c r="MQU479" s="268"/>
      <c r="MQV479" s="268"/>
      <c r="MQW479" s="268"/>
      <c r="MQX479" s="268"/>
      <c r="MQY479" s="268"/>
      <c r="MQZ479" s="268"/>
      <c r="MRA479" s="268"/>
      <c r="MRB479" s="268"/>
      <c r="MRC479" s="268"/>
      <c r="MRD479" s="268"/>
      <c r="MRE479" s="268"/>
      <c r="MRF479" s="268"/>
      <c r="MRG479" s="268"/>
      <c r="MRH479" s="268"/>
      <c r="MRI479" s="268"/>
      <c r="MRJ479" s="268"/>
      <c r="MRK479" s="268"/>
      <c r="MRL479" s="268"/>
      <c r="MRM479" s="268"/>
      <c r="MRN479" s="268"/>
      <c r="MRO479" s="268"/>
      <c r="MRP479" s="268"/>
      <c r="MRQ479" s="268"/>
      <c r="MRR479" s="268"/>
      <c r="MRS479" s="268"/>
      <c r="MRT479" s="268"/>
      <c r="MRU479" s="268"/>
      <c r="MRV479" s="268"/>
      <c r="MRW479" s="268"/>
      <c r="MRX479" s="268"/>
      <c r="MRY479" s="268"/>
      <c r="MRZ479" s="268"/>
      <c r="MSA479" s="268"/>
      <c r="MSB479" s="268"/>
      <c r="MSC479" s="268"/>
      <c r="MSD479" s="268"/>
      <c r="MSE479" s="268"/>
      <c r="MSF479" s="268"/>
      <c r="MSG479" s="268"/>
      <c r="MSH479" s="268"/>
      <c r="MSI479" s="268"/>
      <c r="MSJ479" s="268"/>
      <c r="MSK479" s="268"/>
      <c r="MSL479" s="268"/>
      <c r="MSM479" s="268"/>
      <c r="MSN479" s="268"/>
      <c r="MSO479" s="268"/>
      <c r="MSP479" s="268"/>
      <c r="MSQ479" s="268"/>
      <c r="MSR479" s="268"/>
      <c r="MSS479" s="268"/>
      <c r="MST479" s="268"/>
      <c r="MSU479" s="268"/>
      <c r="MSV479" s="268"/>
      <c r="MSW479" s="268"/>
      <c r="MSX479" s="268"/>
      <c r="MSY479" s="268"/>
      <c r="MSZ479" s="268"/>
      <c r="MTA479" s="268"/>
      <c r="MTB479" s="268"/>
      <c r="MTC479" s="268"/>
      <c r="MTD479" s="268"/>
      <c r="MTE479" s="268"/>
      <c r="MTF479" s="268"/>
      <c r="MTG479" s="268"/>
      <c r="MTH479" s="268"/>
      <c r="MTI479" s="268"/>
      <c r="MTJ479" s="268"/>
      <c r="MTK479" s="268"/>
      <c r="MTL479" s="268"/>
      <c r="MTM479" s="268"/>
      <c r="MTN479" s="268"/>
      <c r="MTO479" s="268"/>
      <c r="MTP479" s="268"/>
      <c r="MTQ479" s="268"/>
      <c r="MTR479" s="268"/>
      <c r="MTS479" s="268"/>
      <c r="MTT479" s="268"/>
      <c r="MTU479" s="268"/>
      <c r="MTV479" s="268"/>
      <c r="MTW479" s="268"/>
      <c r="MTX479" s="268"/>
      <c r="MTY479" s="268"/>
      <c r="MTZ479" s="268"/>
      <c r="MUA479" s="268"/>
      <c r="MUB479" s="268"/>
      <c r="MUC479" s="268"/>
      <c r="MUD479" s="268"/>
      <c r="MUE479" s="268"/>
      <c r="MUF479" s="268"/>
      <c r="MUG479" s="268"/>
      <c r="MUH479" s="268"/>
      <c r="MUI479" s="268"/>
      <c r="MUJ479" s="268"/>
      <c r="MUK479" s="268"/>
      <c r="MUL479" s="268"/>
      <c r="MUM479" s="268"/>
      <c r="MUN479" s="268"/>
      <c r="MUO479" s="268"/>
      <c r="MUP479" s="268"/>
      <c r="MUQ479" s="268"/>
      <c r="MUR479" s="268"/>
      <c r="MUS479" s="268"/>
      <c r="MUT479" s="268"/>
      <c r="MUU479" s="268"/>
      <c r="MUV479" s="268"/>
      <c r="MUW479" s="268"/>
      <c r="MUX479" s="268"/>
      <c r="MUY479" s="268"/>
      <c r="MUZ479" s="268"/>
      <c r="MVA479" s="268"/>
      <c r="MVB479" s="268"/>
      <c r="MVC479" s="268"/>
      <c r="MVD479" s="268"/>
      <c r="MVE479" s="268"/>
      <c r="MVF479" s="268"/>
      <c r="MVG479" s="268"/>
      <c r="MVH479" s="268"/>
      <c r="MVI479" s="268"/>
      <c r="MVJ479" s="268"/>
      <c r="MVK479" s="268"/>
      <c r="MVL479" s="268"/>
      <c r="MVM479" s="268"/>
      <c r="MVN479" s="268"/>
      <c r="MVO479" s="268"/>
      <c r="MVP479" s="268"/>
      <c r="MVQ479" s="268"/>
      <c r="MVR479" s="268"/>
      <c r="MVS479" s="268"/>
      <c r="MVT479" s="268"/>
      <c r="MVU479" s="268"/>
      <c r="MVV479" s="268"/>
      <c r="MVW479" s="268"/>
      <c r="MVX479" s="268"/>
      <c r="MVY479" s="268"/>
      <c r="MVZ479" s="268"/>
      <c r="MWA479" s="268"/>
      <c r="MWB479" s="268"/>
      <c r="MWC479" s="268"/>
      <c r="MWD479" s="268"/>
      <c r="MWE479" s="268"/>
      <c r="MWF479" s="268"/>
      <c r="MWG479" s="268"/>
      <c r="MWH479" s="268"/>
      <c r="MWI479" s="268"/>
      <c r="MWJ479" s="268"/>
      <c r="MWK479" s="268"/>
      <c r="MWL479" s="268"/>
      <c r="MWM479" s="268"/>
      <c r="MWN479" s="268"/>
      <c r="MWO479" s="268"/>
      <c r="MWP479" s="268"/>
      <c r="MWQ479" s="268"/>
      <c r="MWR479" s="268"/>
      <c r="MWS479" s="268"/>
      <c r="MWT479" s="268"/>
      <c r="MWU479" s="268"/>
      <c r="MWV479" s="268"/>
      <c r="MWW479" s="268"/>
      <c r="MWX479" s="268"/>
      <c r="MWY479" s="268"/>
      <c r="MWZ479" s="268"/>
      <c r="MXA479" s="268"/>
      <c r="MXB479" s="268"/>
      <c r="MXC479" s="268"/>
      <c r="MXD479" s="268"/>
      <c r="MXE479" s="268"/>
      <c r="MXF479" s="268"/>
      <c r="MXG479" s="268"/>
      <c r="MXH479" s="268"/>
      <c r="MXI479" s="268"/>
      <c r="MXJ479" s="268"/>
      <c r="MXK479" s="268"/>
      <c r="MXL479" s="268"/>
      <c r="MXM479" s="268"/>
      <c r="MXN479" s="268"/>
      <c r="MXO479" s="268"/>
      <c r="MXP479" s="268"/>
      <c r="MXQ479" s="268"/>
      <c r="MXR479" s="268"/>
      <c r="MXS479" s="268"/>
      <c r="MXT479" s="268"/>
      <c r="MXU479" s="268"/>
      <c r="MXV479" s="268"/>
      <c r="MXW479" s="268"/>
      <c r="MXX479" s="268"/>
      <c r="MXY479" s="268"/>
      <c r="MXZ479" s="268"/>
      <c r="MYA479" s="268"/>
      <c r="MYB479" s="268"/>
      <c r="MYC479" s="268"/>
      <c r="MYD479" s="268"/>
      <c r="MYE479" s="268"/>
      <c r="MYF479" s="268"/>
      <c r="MYG479" s="268"/>
      <c r="MYH479" s="268"/>
      <c r="MYI479" s="268"/>
      <c r="MYJ479" s="268"/>
      <c r="MYK479" s="268"/>
      <c r="MYL479" s="268"/>
      <c r="MYM479" s="268"/>
      <c r="MYN479" s="268"/>
      <c r="MYO479" s="268"/>
      <c r="MYP479" s="268"/>
      <c r="MYQ479" s="268"/>
      <c r="MYR479" s="268"/>
      <c r="MYS479" s="268"/>
      <c r="MYT479" s="268"/>
      <c r="MYU479" s="268"/>
      <c r="MYV479" s="268"/>
      <c r="MYW479" s="268"/>
      <c r="MYX479" s="268"/>
      <c r="MYY479" s="268"/>
      <c r="MZM479" s="268"/>
      <c r="MZN479" s="268"/>
      <c r="MZO479" s="268"/>
      <c r="NAC479" s="268"/>
      <c r="NAE479" s="268"/>
      <c r="NAF479" s="268"/>
      <c r="NAG479" s="268"/>
      <c r="NAH479" s="268"/>
      <c r="NAI479" s="268"/>
      <c r="NAJ479" s="268"/>
      <c r="NAK479" s="268"/>
      <c r="NAL479" s="268"/>
      <c r="NAM479" s="268"/>
      <c r="NAN479" s="268"/>
      <c r="NAO479" s="268"/>
      <c r="NAP479" s="268"/>
      <c r="NAQ479" s="268"/>
      <c r="NAR479" s="268"/>
      <c r="NAS479" s="268"/>
      <c r="NAT479" s="268"/>
      <c r="NAU479" s="268"/>
      <c r="NAV479" s="268"/>
      <c r="NAW479" s="268"/>
      <c r="NAX479" s="268"/>
      <c r="NAY479" s="268"/>
      <c r="NAZ479" s="268"/>
      <c r="NBA479" s="268"/>
      <c r="NBB479" s="268"/>
      <c r="NBC479" s="268"/>
      <c r="NBD479" s="268"/>
      <c r="NBE479" s="268"/>
      <c r="NBF479" s="268"/>
      <c r="NBG479" s="268"/>
      <c r="NBH479" s="268"/>
      <c r="NBI479" s="268"/>
      <c r="NBJ479" s="268"/>
      <c r="NBK479" s="268"/>
      <c r="NBL479" s="268"/>
      <c r="NBM479" s="268"/>
      <c r="NBN479" s="268"/>
      <c r="NBO479" s="268"/>
      <c r="NBP479" s="268"/>
      <c r="NBQ479" s="268"/>
      <c r="NBR479" s="268"/>
      <c r="NBS479" s="268"/>
      <c r="NBT479" s="268"/>
      <c r="NBU479" s="268"/>
      <c r="NBV479" s="268"/>
      <c r="NBW479" s="268"/>
      <c r="NBX479" s="268"/>
      <c r="NBY479" s="268"/>
      <c r="NBZ479" s="268"/>
      <c r="NCA479" s="268"/>
      <c r="NCB479" s="268"/>
      <c r="NCC479" s="268"/>
      <c r="NCD479" s="268"/>
      <c r="NCE479" s="268"/>
      <c r="NCF479" s="268"/>
      <c r="NCG479" s="268"/>
      <c r="NCH479" s="268"/>
      <c r="NCI479" s="268"/>
      <c r="NCJ479" s="268"/>
      <c r="NCK479" s="268"/>
      <c r="NCL479" s="268"/>
      <c r="NCM479" s="268"/>
      <c r="NCN479" s="268"/>
      <c r="NCO479" s="268"/>
      <c r="NCP479" s="268"/>
      <c r="NCQ479" s="268"/>
      <c r="NCR479" s="268"/>
      <c r="NCS479" s="268"/>
      <c r="NCT479" s="268"/>
      <c r="NCU479" s="268"/>
      <c r="NCV479" s="268"/>
      <c r="NCW479" s="268"/>
      <c r="NCX479" s="268"/>
      <c r="NCY479" s="268"/>
      <c r="NCZ479" s="268"/>
      <c r="NDA479" s="268"/>
      <c r="NDB479" s="268"/>
      <c r="NDC479" s="268"/>
      <c r="NDD479" s="268"/>
      <c r="NDE479" s="268"/>
      <c r="NDF479" s="268"/>
      <c r="NDG479" s="268"/>
      <c r="NDH479" s="268"/>
      <c r="NDI479" s="268"/>
      <c r="NDJ479" s="268"/>
      <c r="NDK479" s="268"/>
      <c r="NDL479" s="268"/>
      <c r="NDM479" s="268"/>
      <c r="NDN479" s="268"/>
      <c r="NDO479" s="268"/>
      <c r="NDP479" s="268"/>
      <c r="NDQ479" s="268"/>
      <c r="NDR479" s="268"/>
      <c r="NDS479" s="268"/>
      <c r="NDT479" s="268"/>
      <c r="NDU479" s="268"/>
      <c r="NDV479" s="268"/>
      <c r="NDW479" s="268"/>
      <c r="NDX479" s="268"/>
      <c r="NDY479" s="268"/>
      <c r="NDZ479" s="268"/>
      <c r="NEA479" s="268"/>
      <c r="NEB479" s="268"/>
      <c r="NEC479" s="268"/>
      <c r="NED479" s="268"/>
      <c r="NEE479" s="268"/>
      <c r="NEF479" s="268"/>
      <c r="NEG479" s="268"/>
      <c r="NEH479" s="268"/>
      <c r="NEI479" s="268"/>
      <c r="NEJ479" s="268"/>
      <c r="NEK479" s="268"/>
      <c r="NEL479" s="268"/>
      <c r="NEM479" s="268"/>
      <c r="NEN479" s="268"/>
      <c r="NEO479" s="268"/>
      <c r="NEP479" s="268"/>
      <c r="NEQ479" s="268"/>
      <c r="NER479" s="268"/>
      <c r="NES479" s="268"/>
      <c r="NET479" s="268"/>
      <c r="NEU479" s="268"/>
      <c r="NEV479" s="268"/>
      <c r="NEW479" s="268"/>
      <c r="NEX479" s="268"/>
      <c r="NEY479" s="268"/>
      <c r="NEZ479" s="268"/>
      <c r="NFA479" s="268"/>
      <c r="NFB479" s="268"/>
      <c r="NFC479" s="268"/>
      <c r="NFD479" s="268"/>
      <c r="NFE479" s="268"/>
      <c r="NFF479" s="268"/>
      <c r="NFG479" s="268"/>
      <c r="NFH479" s="268"/>
      <c r="NFI479" s="268"/>
      <c r="NFJ479" s="268"/>
      <c r="NFK479" s="268"/>
      <c r="NFL479" s="268"/>
      <c r="NFM479" s="268"/>
      <c r="NFN479" s="268"/>
      <c r="NFO479" s="268"/>
      <c r="NFP479" s="268"/>
      <c r="NFQ479" s="268"/>
      <c r="NFR479" s="268"/>
      <c r="NFS479" s="268"/>
      <c r="NFT479" s="268"/>
      <c r="NFU479" s="268"/>
      <c r="NFV479" s="268"/>
      <c r="NFW479" s="268"/>
      <c r="NFX479" s="268"/>
      <c r="NFY479" s="268"/>
      <c r="NFZ479" s="268"/>
      <c r="NGA479" s="268"/>
      <c r="NGB479" s="268"/>
      <c r="NGC479" s="268"/>
      <c r="NGD479" s="268"/>
      <c r="NGE479" s="268"/>
      <c r="NGF479" s="268"/>
      <c r="NGG479" s="268"/>
      <c r="NGH479" s="268"/>
      <c r="NGI479" s="268"/>
      <c r="NGJ479" s="268"/>
      <c r="NGK479" s="268"/>
      <c r="NGL479" s="268"/>
      <c r="NGM479" s="268"/>
      <c r="NGN479" s="268"/>
      <c r="NGO479" s="268"/>
      <c r="NGP479" s="268"/>
      <c r="NGQ479" s="268"/>
      <c r="NGR479" s="268"/>
      <c r="NGS479" s="268"/>
      <c r="NGT479" s="268"/>
      <c r="NGU479" s="268"/>
      <c r="NGV479" s="268"/>
      <c r="NGW479" s="268"/>
      <c r="NGX479" s="268"/>
      <c r="NGY479" s="268"/>
      <c r="NGZ479" s="268"/>
      <c r="NHA479" s="268"/>
      <c r="NHB479" s="268"/>
      <c r="NHC479" s="268"/>
      <c r="NHD479" s="268"/>
      <c r="NHE479" s="268"/>
      <c r="NHF479" s="268"/>
      <c r="NHG479" s="268"/>
      <c r="NHH479" s="268"/>
      <c r="NHI479" s="268"/>
      <c r="NHJ479" s="268"/>
      <c r="NHK479" s="268"/>
      <c r="NHL479" s="268"/>
      <c r="NHM479" s="268"/>
      <c r="NHN479" s="268"/>
      <c r="NHO479" s="268"/>
      <c r="NHP479" s="268"/>
      <c r="NHQ479" s="268"/>
      <c r="NHR479" s="268"/>
      <c r="NHS479" s="268"/>
      <c r="NHT479" s="268"/>
      <c r="NHU479" s="268"/>
      <c r="NHV479" s="268"/>
      <c r="NHW479" s="268"/>
      <c r="NHX479" s="268"/>
      <c r="NHY479" s="268"/>
      <c r="NHZ479" s="268"/>
      <c r="NIA479" s="268"/>
      <c r="NIB479" s="268"/>
      <c r="NIC479" s="268"/>
      <c r="NID479" s="268"/>
      <c r="NIE479" s="268"/>
      <c r="NIF479" s="268"/>
      <c r="NIG479" s="268"/>
      <c r="NIH479" s="268"/>
      <c r="NII479" s="268"/>
      <c r="NIJ479" s="268"/>
      <c r="NIK479" s="268"/>
      <c r="NIL479" s="268"/>
      <c r="NIM479" s="268"/>
      <c r="NIN479" s="268"/>
      <c r="NIO479" s="268"/>
      <c r="NIP479" s="268"/>
      <c r="NIQ479" s="268"/>
      <c r="NIR479" s="268"/>
      <c r="NIS479" s="268"/>
      <c r="NIT479" s="268"/>
      <c r="NIU479" s="268"/>
      <c r="NJI479" s="268"/>
      <c r="NJJ479" s="268"/>
      <c r="NJK479" s="268"/>
      <c r="NJY479" s="268"/>
      <c r="NKA479" s="268"/>
      <c r="NKB479" s="268"/>
      <c r="NKC479" s="268"/>
      <c r="NKD479" s="268"/>
      <c r="NKE479" s="268"/>
      <c r="NKF479" s="268"/>
      <c r="NKG479" s="268"/>
      <c r="NKH479" s="268"/>
      <c r="NKI479" s="268"/>
      <c r="NKJ479" s="268"/>
      <c r="NKK479" s="268"/>
      <c r="NKL479" s="268"/>
      <c r="NKM479" s="268"/>
      <c r="NKN479" s="268"/>
      <c r="NKO479" s="268"/>
      <c r="NKP479" s="268"/>
      <c r="NKQ479" s="268"/>
      <c r="NKR479" s="268"/>
      <c r="NKS479" s="268"/>
      <c r="NKT479" s="268"/>
      <c r="NKU479" s="268"/>
      <c r="NKV479" s="268"/>
      <c r="NKW479" s="268"/>
      <c r="NKX479" s="268"/>
      <c r="NKY479" s="268"/>
      <c r="NKZ479" s="268"/>
      <c r="NLA479" s="268"/>
      <c r="NLB479" s="268"/>
      <c r="NLC479" s="268"/>
      <c r="NLD479" s="268"/>
      <c r="NLE479" s="268"/>
      <c r="NLF479" s="268"/>
      <c r="NLG479" s="268"/>
      <c r="NLH479" s="268"/>
      <c r="NLI479" s="268"/>
      <c r="NLJ479" s="268"/>
      <c r="NLK479" s="268"/>
      <c r="NLL479" s="268"/>
      <c r="NLM479" s="268"/>
      <c r="NLN479" s="268"/>
      <c r="NLO479" s="268"/>
      <c r="NLP479" s="268"/>
      <c r="NLQ479" s="268"/>
      <c r="NLR479" s="268"/>
      <c r="NLS479" s="268"/>
      <c r="NLT479" s="268"/>
      <c r="NLU479" s="268"/>
      <c r="NLV479" s="268"/>
      <c r="NLW479" s="268"/>
      <c r="NLX479" s="268"/>
      <c r="NLY479" s="268"/>
      <c r="NLZ479" s="268"/>
      <c r="NMA479" s="268"/>
      <c r="NMB479" s="268"/>
      <c r="NMC479" s="268"/>
      <c r="NMD479" s="268"/>
      <c r="NME479" s="268"/>
      <c r="NMF479" s="268"/>
      <c r="NMG479" s="268"/>
      <c r="NMH479" s="268"/>
      <c r="NMI479" s="268"/>
      <c r="NMJ479" s="268"/>
      <c r="NMK479" s="268"/>
      <c r="NML479" s="268"/>
      <c r="NMM479" s="268"/>
      <c r="NMN479" s="268"/>
      <c r="NMO479" s="268"/>
      <c r="NMP479" s="268"/>
      <c r="NMQ479" s="268"/>
      <c r="NMR479" s="268"/>
      <c r="NMS479" s="268"/>
      <c r="NMT479" s="268"/>
      <c r="NMU479" s="268"/>
      <c r="NMV479" s="268"/>
      <c r="NMW479" s="268"/>
      <c r="NMX479" s="268"/>
      <c r="NMY479" s="268"/>
      <c r="NMZ479" s="268"/>
      <c r="NNA479" s="268"/>
      <c r="NNB479" s="268"/>
      <c r="NNC479" s="268"/>
      <c r="NND479" s="268"/>
      <c r="NNE479" s="268"/>
      <c r="NNF479" s="268"/>
      <c r="NNG479" s="268"/>
      <c r="NNH479" s="268"/>
      <c r="NNI479" s="268"/>
      <c r="NNJ479" s="268"/>
      <c r="NNK479" s="268"/>
      <c r="NNL479" s="268"/>
      <c r="NNM479" s="268"/>
      <c r="NNN479" s="268"/>
      <c r="NNO479" s="268"/>
      <c r="NNP479" s="268"/>
      <c r="NNQ479" s="268"/>
      <c r="NNR479" s="268"/>
      <c r="NNS479" s="268"/>
      <c r="NNT479" s="268"/>
      <c r="NNU479" s="268"/>
      <c r="NNV479" s="268"/>
      <c r="NNW479" s="268"/>
      <c r="NNX479" s="268"/>
      <c r="NNY479" s="268"/>
      <c r="NNZ479" s="268"/>
      <c r="NOA479" s="268"/>
      <c r="NOB479" s="268"/>
      <c r="NOC479" s="268"/>
      <c r="NOD479" s="268"/>
      <c r="NOE479" s="268"/>
      <c r="NOF479" s="268"/>
      <c r="NOG479" s="268"/>
      <c r="NOH479" s="268"/>
      <c r="NOI479" s="268"/>
      <c r="NOJ479" s="268"/>
      <c r="NOK479" s="268"/>
      <c r="NOL479" s="268"/>
      <c r="NOM479" s="268"/>
      <c r="NON479" s="268"/>
      <c r="NOO479" s="268"/>
      <c r="NOP479" s="268"/>
      <c r="NOQ479" s="268"/>
      <c r="NOR479" s="268"/>
      <c r="NOS479" s="268"/>
      <c r="NOT479" s="268"/>
      <c r="NOU479" s="268"/>
      <c r="NOV479" s="268"/>
      <c r="NOW479" s="268"/>
      <c r="NOX479" s="268"/>
      <c r="NOY479" s="268"/>
      <c r="NOZ479" s="268"/>
      <c r="NPA479" s="268"/>
      <c r="NPB479" s="268"/>
      <c r="NPC479" s="268"/>
      <c r="NPD479" s="268"/>
      <c r="NPE479" s="268"/>
      <c r="NPF479" s="268"/>
      <c r="NPG479" s="268"/>
      <c r="NPH479" s="268"/>
      <c r="NPI479" s="268"/>
      <c r="NPJ479" s="268"/>
      <c r="NPK479" s="268"/>
      <c r="NPL479" s="268"/>
      <c r="NPM479" s="268"/>
      <c r="NPN479" s="268"/>
      <c r="NPO479" s="268"/>
      <c r="NPP479" s="268"/>
      <c r="NPQ479" s="268"/>
      <c r="NPR479" s="268"/>
      <c r="NPS479" s="268"/>
      <c r="NPT479" s="268"/>
      <c r="NPU479" s="268"/>
      <c r="NPV479" s="268"/>
      <c r="NPW479" s="268"/>
      <c r="NPX479" s="268"/>
      <c r="NPY479" s="268"/>
      <c r="NPZ479" s="268"/>
      <c r="NQA479" s="268"/>
      <c r="NQB479" s="268"/>
      <c r="NQC479" s="268"/>
      <c r="NQD479" s="268"/>
      <c r="NQE479" s="268"/>
      <c r="NQF479" s="268"/>
      <c r="NQG479" s="268"/>
      <c r="NQH479" s="268"/>
      <c r="NQI479" s="268"/>
      <c r="NQJ479" s="268"/>
      <c r="NQK479" s="268"/>
      <c r="NQL479" s="268"/>
      <c r="NQM479" s="268"/>
      <c r="NQN479" s="268"/>
      <c r="NQO479" s="268"/>
      <c r="NQP479" s="268"/>
      <c r="NQQ479" s="268"/>
      <c r="NQR479" s="268"/>
      <c r="NQS479" s="268"/>
      <c r="NQT479" s="268"/>
      <c r="NQU479" s="268"/>
      <c r="NQV479" s="268"/>
      <c r="NQW479" s="268"/>
      <c r="NQX479" s="268"/>
      <c r="NQY479" s="268"/>
      <c r="NQZ479" s="268"/>
      <c r="NRA479" s="268"/>
      <c r="NRB479" s="268"/>
      <c r="NRC479" s="268"/>
      <c r="NRD479" s="268"/>
      <c r="NRE479" s="268"/>
      <c r="NRF479" s="268"/>
      <c r="NRG479" s="268"/>
      <c r="NRH479" s="268"/>
      <c r="NRI479" s="268"/>
      <c r="NRJ479" s="268"/>
      <c r="NRK479" s="268"/>
      <c r="NRL479" s="268"/>
      <c r="NRM479" s="268"/>
      <c r="NRN479" s="268"/>
      <c r="NRO479" s="268"/>
      <c r="NRP479" s="268"/>
      <c r="NRQ479" s="268"/>
      <c r="NRR479" s="268"/>
      <c r="NRS479" s="268"/>
      <c r="NRT479" s="268"/>
      <c r="NRU479" s="268"/>
      <c r="NRV479" s="268"/>
      <c r="NRW479" s="268"/>
      <c r="NRX479" s="268"/>
      <c r="NRY479" s="268"/>
      <c r="NRZ479" s="268"/>
      <c r="NSA479" s="268"/>
      <c r="NSB479" s="268"/>
      <c r="NSC479" s="268"/>
      <c r="NSD479" s="268"/>
      <c r="NSE479" s="268"/>
      <c r="NSF479" s="268"/>
      <c r="NSG479" s="268"/>
      <c r="NSH479" s="268"/>
      <c r="NSI479" s="268"/>
      <c r="NSJ479" s="268"/>
      <c r="NSK479" s="268"/>
      <c r="NSL479" s="268"/>
      <c r="NSM479" s="268"/>
      <c r="NSN479" s="268"/>
      <c r="NSO479" s="268"/>
      <c r="NSP479" s="268"/>
      <c r="NSQ479" s="268"/>
      <c r="NTE479" s="268"/>
      <c r="NTF479" s="268"/>
      <c r="NTG479" s="268"/>
      <c r="NTU479" s="268"/>
      <c r="NTW479" s="268"/>
      <c r="NTX479" s="268"/>
      <c r="NTY479" s="268"/>
      <c r="NTZ479" s="268"/>
      <c r="NUA479" s="268"/>
      <c r="NUB479" s="268"/>
      <c r="NUC479" s="268"/>
      <c r="NUD479" s="268"/>
      <c r="NUE479" s="268"/>
      <c r="NUF479" s="268"/>
      <c r="NUG479" s="268"/>
      <c r="NUH479" s="268"/>
      <c r="NUI479" s="268"/>
      <c r="NUJ479" s="268"/>
      <c r="NUK479" s="268"/>
      <c r="NUL479" s="268"/>
      <c r="NUM479" s="268"/>
      <c r="NUN479" s="268"/>
      <c r="NUO479" s="268"/>
      <c r="NUP479" s="268"/>
      <c r="NUQ479" s="268"/>
      <c r="NUR479" s="268"/>
      <c r="NUS479" s="268"/>
      <c r="NUT479" s="268"/>
      <c r="NUU479" s="268"/>
      <c r="NUV479" s="268"/>
      <c r="NUW479" s="268"/>
      <c r="NUX479" s="268"/>
      <c r="NUY479" s="268"/>
      <c r="NUZ479" s="268"/>
      <c r="NVA479" s="268"/>
      <c r="NVB479" s="268"/>
      <c r="NVC479" s="268"/>
      <c r="NVD479" s="268"/>
      <c r="NVE479" s="268"/>
      <c r="NVF479" s="268"/>
      <c r="NVG479" s="268"/>
      <c r="NVH479" s="268"/>
      <c r="NVI479" s="268"/>
      <c r="NVJ479" s="268"/>
      <c r="NVK479" s="268"/>
      <c r="NVL479" s="268"/>
      <c r="NVM479" s="268"/>
      <c r="NVN479" s="268"/>
      <c r="NVO479" s="268"/>
      <c r="NVP479" s="268"/>
      <c r="NVQ479" s="268"/>
      <c r="NVR479" s="268"/>
      <c r="NVS479" s="268"/>
      <c r="NVT479" s="268"/>
      <c r="NVU479" s="268"/>
      <c r="NVV479" s="268"/>
      <c r="NVW479" s="268"/>
      <c r="NVX479" s="268"/>
      <c r="NVY479" s="268"/>
      <c r="NVZ479" s="268"/>
      <c r="NWA479" s="268"/>
      <c r="NWB479" s="268"/>
      <c r="NWC479" s="268"/>
      <c r="NWD479" s="268"/>
      <c r="NWE479" s="268"/>
      <c r="NWF479" s="268"/>
      <c r="NWG479" s="268"/>
      <c r="NWH479" s="268"/>
      <c r="NWI479" s="268"/>
      <c r="NWJ479" s="268"/>
      <c r="NWK479" s="268"/>
      <c r="NWL479" s="268"/>
      <c r="NWM479" s="268"/>
      <c r="NWN479" s="268"/>
      <c r="NWO479" s="268"/>
      <c r="NWP479" s="268"/>
      <c r="NWQ479" s="268"/>
      <c r="NWR479" s="268"/>
      <c r="NWS479" s="268"/>
      <c r="NWT479" s="268"/>
      <c r="NWU479" s="268"/>
      <c r="NWV479" s="268"/>
      <c r="NWW479" s="268"/>
      <c r="NWX479" s="268"/>
      <c r="NWY479" s="268"/>
      <c r="NWZ479" s="268"/>
      <c r="NXA479" s="268"/>
      <c r="NXB479" s="268"/>
      <c r="NXC479" s="268"/>
      <c r="NXD479" s="268"/>
      <c r="NXE479" s="268"/>
      <c r="NXF479" s="268"/>
      <c r="NXG479" s="268"/>
      <c r="NXH479" s="268"/>
      <c r="NXI479" s="268"/>
      <c r="NXJ479" s="268"/>
      <c r="NXK479" s="268"/>
      <c r="NXL479" s="268"/>
      <c r="NXM479" s="268"/>
      <c r="NXN479" s="268"/>
      <c r="NXO479" s="268"/>
      <c r="NXP479" s="268"/>
      <c r="NXQ479" s="268"/>
      <c r="NXR479" s="268"/>
      <c r="NXS479" s="268"/>
      <c r="NXT479" s="268"/>
      <c r="NXU479" s="268"/>
      <c r="NXV479" s="268"/>
      <c r="NXW479" s="268"/>
      <c r="NXX479" s="268"/>
      <c r="NXY479" s="268"/>
      <c r="NXZ479" s="268"/>
      <c r="NYA479" s="268"/>
      <c r="NYB479" s="268"/>
      <c r="NYC479" s="268"/>
      <c r="NYD479" s="268"/>
      <c r="NYE479" s="268"/>
      <c r="NYF479" s="268"/>
      <c r="NYG479" s="268"/>
      <c r="NYH479" s="268"/>
      <c r="NYI479" s="268"/>
      <c r="NYJ479" s="268"/>
      <c r="NYK479" s="268"/>
      <c r="NYL479" s="268"/>
      <c r="NYM479" s="268"/>
      <c r="NYN479" s="268"/>
      <c r="NYO479" s="268"/>
      <c r="NYP479" s="268"/>
      <c r="NYQ479" s="268"/>
      <c r="NYR479" s="268"/>
      <c r="NYS479" s="268"/>
      <c r="NYT479" s="268"/>
      <c r="NYU479" s="268"/>
      <c r="NYV479" s="268"/>
      <c r="NYW479" s="268"/>
      <c r="NYX479" s="268"/>
      <c r="NYY479" s="268"/>
      <c r="NYZ479" s="268"/>
      <c r="NZA479" s="268"/>
      <c r="NZB479" s="268"/>
      <c r="NZC479" s="268"/>
      <c r="NZD479" s="268"/>
      <c r="NZE479" s="268"/>
      <c r="NZF479" s="268"/>
      <c r="NZG479" s="268"/>
      <c r="NZH479" s="268"/>
      <c r="NZI479" s="268"/>
      <c r="NZJ479" s="268"/>
      <c r="NZK479" s="268"/>
      <c r="NZL479" s="268"/>
      <c r="NZM479" s="268"/>
      <c r="NZN479" s="268"/>
      <c r="NZO479" s="268"/>
      <c r="NZP479" s="268"/>
      <c r="NZQ479" s="268"/>
      <c r="NZR479" s="268"/>
      <c r="NZS479" s="268"/>
      <c r="NZT479" s="268"/>
      <c r="NZU479" s="268"/>
      <c r="NZV479" s="268"/>
      <c r="NZW479" s="268"/>
      <c r="NZX479" s="268"/>
      <c r="NZY479" s="268"/>
      <c r="NZZ479" s="268"/>
      <c r="OAA479" s="268"/>
      <c r="OAB479" s="268"/>
      <c r="OAC479" s="268"/>
      <c r="OAD479" s="268"/>
      <c r="OAE479" s="268"/>
      <c r="OAF479" s="268"/>
      <c r="OAG479" s="268"/>
      <c r="OAH479" s="268"/>
      <c r="OAI479" s="268"/>
      <c r="OAJ479" s="268"/>
      <c r="OAK479" s="268"/>
      <c r="OAL479" s="268"/>
      <c r="OAM479" s="268"/>
      <c r="OAN479" s="268"/>
      <c r="OAO479" s="268"/>
      <c r="OAP479" s="268"/>
      <c r="OAQ479" s="268"/>
      <c r="OAR479" s="268"/>
      <c r="OAS479" s="268"/>
      <c r="OAT479" s="268"/>
      <c r="OAU479" s="268"/>
      <c r="OAV479" s="268"/>
      <c r="OAW479" s="268"/>
      <c r="OAX479" s="268"/>
      <c r="OAY479" s="268"/>
      <c r="OAZ479" s="268"/>
      <c r="OBA479" s="268"/>
      <c r="OBB479" s="268"/>
      <c r="OBC479" s="268"/>
      <c r="OBD479" s="268"/>
      <c r="OBE479" s="268"/>
      <c r="OBF479" s="268"/>
      <c r="OBG479" s="268"/>
      <c r="OBH479" s="268"/>
      <c r="OBI479" s="268"/>
      <c r="OBJ479" s="268"/>
      <c r="OBK479" s="268"/>
      <c r="OBL479" s="268"/>
      <c r="OBM479" s="268"/>
      <c r="OBN479" s="268"/>
      <c r="OBO479" s="268"/>
      <c r="OBP479" s="268"/>
      <c r="OBQ479" s="268"/>
      <c r="OBR479" s="268"/>
      <c r="OBS479" s="268"/>
      <c r="OBT479" s="268"/>
      <c r="OBU479" s="268"/>
      <c r="OBV479" s="268"/>
      <c r="OBW479" s="268"/>
      <c r="OBX479" s="268"/>
      <c r="OBY479" s="268"/>
      <c r="OBZ479" s="268"/>
      <c r="OCA479" s="268"/>
      <c r="OCB479" s="268"/>
      <c r="OCC479" s="268"/>
      <c r="OCD479" s="268"/>
      <c r="OCE479" s="268"/>
      <c r="OCF479" s="268"/>
      <c r="OCG479" s="268"/>
      <c r="OCH479" s="268"/>
      <c r="OCI479" s="268"/>
      <c r="OCJ479" s="268"/>
      <c r="OCK479" s="268"/>
      <c r="OCL479" s="268"/>
      <c r="OCM479" s="268"/>
      <c r="ODA479" s="268"/>
      <c r="ODB479" s="268"/>
      <c r="ODC479" s="268"/>
      <c r="ODQ479" s="268"/>
      <c r="ODS479" s="268"/>
      <c r="ODT479" s="268"/>
      <c r="ODU479" s="268"/>
      <c r="ODV479" s="268"/>
      <c r="ODW479" s="268"/>
      <c r="ODX479" s="268"/>
      <c r="ODY479" s="268"/>
      <c r="ODZ479" s="268"/>
      <c r="OEA479" s="268"/>
      <c r="OEB479" s="268"/>
      <c r="OEC479" s="268"/>
      <c r="OED479" s="268"/>
      <c r="OEE479" s="268"/>
      <c r="OEF479" s="268"/>
      <c r="OEG479" s="268"/>
      <c r="OEH479" s="268"/>
      <c r="OEI479" s="268"/>
      <c r="OEJ479" s="268"/>
      <c r="OEK479" s="268"/>
      <c r="OEL479" s="268"/>
      <c r="OEM479" s="268"/>
      <c r="OEN479" s="268"/>
      <c r="OEO479" s="268"/>
      <c r="OEP479" s="268"/>
      <c r="OEQ479" s="268"/>
      <c r="OER479" s="268"/>
      <c r="OES479" s="268"/>
      <c r="OET479" s="268"/>
      <c r="OEU479" s="268"/>
      <c r="OEV479" s="268"/>
      <c r="OEW479" s="268"/>
      <c r="OEX479" s="268"/>
      <c r="OEY479" s="268"/>
      <c r="OEZ479" s="268"/>
      <c r="OFA479" s="268"/>
      <c r="OFB479" s="268"/>
      <c r="OFC479" s="268"/>
      <c r="OFD479" s="268"/>
      <c r="OFE479" s="268"/>
      <c r="OFF479" s="268"/>
      <c r="OFG479" s="268"/>
      <c r="OFH479" s="268"/>
      <c r="OFI479" s="268"/>
      <c r="OFJ479" s="268"/>
      <c r="OFK479" s="268"/>
      <c r="OFL479" s="268"/>
      <c r="OFM479" s="268"/>
      <c r="OFN479" s="268"/>
      <c r="OFO479" s="268"/>
      <c r="OFP479" s="268"/>
      <c r="OFQ479" s="268"/>
      <c r="OFR479" s="268"/>
      <c r="OFS479" s="268"/>
      <c r="OFT479" s="268"/>
      <c r="OFU479" s="268"/>
      <c r="OFV479" s="268"/>
      <c r="OFW479" s="268"/>
      <c r="OFX479" s="268"/>
      <c r="OFY479" s="268"/>
      <c r="OFZ479" s="268"/>
      <c r="OGA479" s="268"/>
      <c r="OGB479" s="268"/>
      <c r="OGC479" s="268"/>
      <c r="OGD479" s="268"/>
      <c r="OGE479" s="268"/>
      <c r="OGF479" s="268"/>
      <c r="OGG479" s="268"/>
      <c r="OGH479" s="268"/>
      <c r="OGI479" s="268"/>
      <c r="OGJ479" s="268"/>
      <c r="OGK479" s="268"/>
      <c r="OGL479" s="268"/>
      <c r="OGM479" s="268"/>
      <c r="OGN479" s="268"/>
      <c r="OGO479" s="268"/>
      <c r="OGP479" s="268"/>
      <c r="OGQ479" s="268"/>
      <c r="OGR479" s="268"/>
      <c r="OGS479" s="268"/>
      <c r="OGT479" s="268"/>
      <c r="OGU479" s="268"/>
      <c r="OGV479" s="268"/>
      <c r="OGW479" s="268"/>
      <c r="OGX479" s="268"/>
      <c r="OGY479" s="268"/>
      <c r="OGZ479" s="268"/>
      <c r="OHA479" s="268"/>
      <c r="OHB479" s="268"/>
      <c r="OHC479" s="268"/>
      <c r="OHD479" s="268"/>
      <c r="OHE479" s="268"/>
      <c r="OHF479" s="268"/>
      <c r="OHG479" s="268"/>
      <c r="OHH479" s="268"/>
      <c r="OHI479" s="268"/>
      <c r="OHJ479" s="268"/>
      <c r="OHK479" s="268"/>
      <c r="OHL479" s="268"/>
      <c r="OHM479" s="268"/>
      <c r="OHN479" s="268"/>
      <c r="OHO479" s="268"/>
      <c r="OHP479" s="268"/>
      <c r="OHQ479" s="268"/>
      <c r="OHR479" s="268"/>
      <c r="OHS479" s="268"/>
      <c r="OHT479" s="268"/>
      <c r="OHU479" s="268"/>
      <c r="OHV479" s="268"/>
      <c r="OHW479" s="268"/>
      <c r="OHX479" s="268"/>
      <c r="OHY479" s="268"/>
      <c r="OHZ479" s="268"/>
      <c r="OIA479" s="268"/>
      <c r="OIB479" s="268"/>
      <c r="OIC479" s="268"/>
      <c r="OID479" s="268"/>
      <c r="OIE479" s="268"/>
      <c r="OIF479" s="268"/>
      <c r="OIG479" s="268"/>
      <c r="OIH479" s="268"/>
      <c r="OII479" s="268"/>
      <c r="OIJ479" s="268"/>
      <c r="OIK479" s="268"/>
      <c r="OIL479" s="268"/>
      <c r="OIM479" s="268"/>
      <c r="OIN479" s="268"/>
      <c r="OIO479" s="268"/>
      <c r="OIP479" s="268"/>
      <c r="OIQ479" s="268"/>
      <c r="OIR479" s="268"/>
      <c r="OIS479" s="268"/>
      <c r="OIT479" s="268"/>
      <c r="OIU479" s="268"/>
      <c r="OIV479" s="268"/>
      <c r="OIW479" s="268"/>
      <c r="OIX479" s="268"/>
      <c r="OIY479" s="268"/>
      <c r="OIZ479" s="268"/>
      <c r="OJA479" s="268"/>
      <c r="OJB479" s="268"/>
      <c r="OJC479" s="268"/>
      <c r="OJD479" s="268"/>
      <c r="OJE479" s="268"/>
      <c r="OJF479" s="268"/>
      <c r="OJG479" s="268"/>
      <c r="OJH479" s="268"/>
      <c r="OJI479" s="268"/>
      <c r="OJJ479" s="268"/>
      <c r="OJK479" s="268"/>
      <c r="OJL479" s="268"/>
      <c r="OJM479" s="268"/>
      <c r="OJN479" s="268"/>
      <c r="OJO479" s="268"/>
      <c r="OJP479" s="268"/>
      <c r="OJQ479" s="268"/>
      <c r="OJR479" s="268"/>
      <c r="OJS479" s="268"/>
      <c r="OJT479" s="268"/>
      <c r="OJU479" s="268"/>
      <c r="OJV479" s="268"/>
      <c r="OJW479" s="268"/>
      <c r="OJX479" s="268"/>
      <c r="OJY479" s="268"/>
      <c r="OJZ479" s="268"/>
      <c r="OKA479" s="268"/>
      <c r="OKB479" s="268"/>
      <c r="OKC479" s="268"/>
      <c r="OKD479" s="268"/>
      <c r="OKE479" s="268"/>
      <c r="OKF479" s="268"/>
      <c r="OKG479" s="268"/>
      <c r="OKH479" s="268"/>
      <c r="OKI479" s="268"/>
      <c r="OKJ479" s="268"/>
      <c r="OKK479" s="268"/>
      <c r="OKL479" s="268"/>
      <c r="OKM479" s="268"/>
      <c r="OKN479" s="268"/>
      <c r="OKO479" s="268"/>
      <c r="OKP479" s="268"/>
      <c r="OKQ479" s="268"/>
      <c r="OKR479" s="268"/>
      <c r="OKS479" s="268"/>
      <c r="OKT479" s="268"/>
      <c r="OKU479" s="268"/>
      <c r="OKV479" s="268"/>
      <c r="OKW479" s="268"/>
      <c r="OKX479" s="268"/>
      <c r="OKY479" s="268"/>
      <c r="OKZ479" s="268"/>
      <c r="OLA479" s="268"/>
      <c r="OLB479" s="268"/>
      <c r="OLC479" s="268"/>
      <c r="OLD479" s="268"/>
      <c r="OLE479" s="268"/>
      <c r="OLF479" s="268"/>
      <c r="OLG479" s="268"/>
      <c r="OLH479" s="268"/>
      <c r="OLI479" s="268"/>
      <c r="OLJ479" s="268"/>
      <c r="OLK479" s="268"/>
      <c r="OLL479" s="268"/>
      <c r="OLM479" s="268"/>
      <c r="OLN479" s="268"/>
      <c r="OLO479" s="268"/>
      <c r="OLP479" s="268"/>
      <c r="OLQ479" s="268"/>
      <c r="OLR479" s="268"/>
      <c r="OLS479" s="268"/>
      <c r="OLT479" s="268"/>
      <c r="OLU479" s="268"/>
      <c r="OLV479" s="268"/>
      <c r="OLW479" s="268"/>
      <c r="OLX479" s="268"/>
      <c r="OLY479" s="268"/>
      <c r="OLZ479" s="268"/>
      <c r="OMA479" s="268"/>
      <c r="OMB479" s="268"/>
      <c r="OMC479" s="268"/>
      <c r="OMD479" s="268"/>
      <c r="OME479" s="268"/>
      <c r="OMF479" s="268"/>
      <c r="OMG479" s="268"/>
      <c r="OMH479" s="268"/>
      <c r="OMI479" s="268"/>
      <c r="OMW479" s="268"/>
      <c r="OMX479" s="268"/>
      <c r="OMY479" s="268"/>
      <c r="ONM479" s="268"/>
      <c r="ONO479" s="268"/>
      <c r="ONP479" s="268"/>
      <c r="ONQ479" s="268"/>
      <c r="ONR479" s="268"/>
      <c r="ONS479" s="268"/>
      <c r="ONT479" s="268"/>
      <c r="ONU479" s="268"/>
      <c r="ONV479" s="268"/>
      <c r="ONW479" s="268"/>
      <c r="ONX479" s="268"/>
      <c r="ONY479" s="268"/>
      <c r="ONZ479" s="268"/>
      <c r="OOA479" s="268"/>
      <c r="OOB479" s="268"/>
      <c r="OOC479" s="268"/>
      <c r="OOD479" s="268"/>
      <c r="OOE479" s="268"/>
      <c r="OOF479" s="268"/>
      <c r="OOG479" s="268"/>
      <c r="OOH479" s="268"/>
      <c r="OOI479" s="268"/>
      <c r="OOJ479" s="268"/>
      <c r="OOK479" s="268"/>
      <c r="OOL479" s="268"/>
      <c r="OOM479" s="268"/>
      <c r="OON479" s="268"/>
      <c r="OOO479" s="268"/>
      <c r="OOP479" s="268"/>
      <c r="OOQ479" s="268"/>
      <c r="OOR479" s="268"/>
      <c r="OOS479" s="268"/>
      <c r="OOT479" s="268"/>
      <c r="OOU479" s="268"/>
      <c r="OOV479" s="268"/>
      <c r="OOW479" s="268"/>
      <c r="OOX479" s="268"/>
      <c r="OOY479" s="268"/>
      <c r="OOZ479" s="268"/>
      <c r="OPA479" s="268"/>
      <c r="OPB479" s="268"/>
      <c r="OPC479" s="268"/>
      <c r="OPD479" s="268"/>
      <c r="OPE479" s="268"/>
      <c r="OPF479" s="268"/>
      <c r="OPG479" s="268"/>
      <c r="OPH479" s="268"/>
      <c r="OPI479" s="268"/>
      <c r="OPJ479" s="268"/>
      <c r="OPK479" s="268"/>
      <c r="OPL479" s="268"/>
      <c r="OPM479" s="268"/>
      <c r="OPN479" s="268"/>
      <c r="OPO479" s="268"/>
      <c r="OPP479" s="268"/>
      <c r="OPQ479" s="268"/>
      <c r="OPR479" s="268"/>
      <c r="OPS479" s="268"/>
      <c r="OPT479" s="268"/>
      <c r="OPU479" s="268"/>
      <c r="OPV479" s="268"/>
      <c r="OPW479" s="268"/>
      <c r="OPX479" s="268"/>
      <c r="OPY479" s="268"/>
      <c r="OPZ479" s="268"/>
      <c r="OQA479" s="268"/>
      <c r="OQB479" s="268"/>
      <c r="OQC479" s="268"/>
      <c r="OQD479" s="268"/>
      <c r="OQE479" s="268"/>
      <c r="OQF479" s="268"/>
      <c r="OQG479" s="268"/>
      <c r="OQH479" s="268"/>
      <c r="OQI479" s="268"/>
      <c r="OQJ479" s="268"/>
      <c r="OQK479" s="268"/>
      <c r="OQL479" s="268"/>
      <c r="OQM479" s="268"/>
      <c r="OQN479" s="268"/>
      <c r="OQO479" s="268"/>
      <c r="OQP479" s="268"/>
      <c r="OQQ479" s="268"/>
      <c r="OQR479" s="268"/>
      <c r="OQS479" s="268"/>
      <c r="OQT479" s="268"/>
      <c r="OQU479" s="268"/>
      <c r="OQV479" s="268"/>
      <c r="OQW479" s="268"/>
      <c r="OQX479" s="268"/>
      <c r="OQY479" s="268"/>
      <c r="OQZ479" s="268"/>
      <c r="ORA479" s="268"/>
      <c r="ORB479" s="268"/>
      <c r="ORC479" s="268"/>
      <c r="ORD479" s="268"/>
      <c r="ORE479" s="268"/>
      <c r="ORF479" s="268"/>
      <c r="ORG479" s="268"/>
      <c r="ORH479" s="268"/>
      <c r="ORI479" s="268"/>
      <c r="ORJ479" s="268"/>
      <c r="ORK479" s="268"/>
      <c r="ORL479" s="268"/>
      <c r="ORM479" s="268"/>
      <c r="ORN479" s="268"/>
      <c r="ORO479" s="268"/>
      <c r="ORP479" s="268"/>
      <c r="ORQ479" s="268"/>
      <c r="ORR479" s="268"/>
      <c r="ORS479" s="268"/>
      <c r="ORT479" s="268"/>
      <c r="ORU479" s="268"/>
      <c r="ORV479" s="268"/>
      <c r="ORW479" s="268"/>
      <c r="ORX479" s="268"/>
      <c r="ORY479" s="268"/>
      <c r="ORZ479" s="268"/>
      <c r="OSA479" s="268"/>
      <c r="OSB479" s="268"/>
      <c r="OSC479" s="268"/>
      <c r="OSD479" s="268"/>
      <c r="OSE479" s="268"/>
      <c r="OSF479" s="268"/>
      <c r="OSG479" s="268"/>
      <c r="OSH479" s="268"/>
      <c r="OSI479" s="268"/>
      <c r="OSJ479" s="268"/>
      <c r="OSK479" s="268"/>
      <c r="OSL479" s="268"/>
      <c r="OSM479" s="268"/>
      <c r="OSN479" s="268"/>
      <c r="OSO479" s="268"/>
      <c r="OSP479" s="268"/>
      <c r="OSQ479" s="268"/>
      <c r="OSR479" s="268"/>
      <c r="OSS479" s="268"/>
      <c r="OST479" s="268"/>
      <c r="OSU479" s="268"/>
      <c r="OSV479" s="268"/>
      <c r="OSW479" s="268"/>
      <c r="OSX479" s="268"/>
      <c r="OSY479" s="268"/>
      <c r="OSZ479" s="268"/>
      <c r="OTA479" s="268"/>
      <c r="OTB479" s="268"/>
      <c r="OTC479" s="268"/>
      <c r="OTD479" s="268"/>
      <c r="OTE479" s="268"/>
      <c r="OTF479" s="268"/>
      <c r="OTG479" s="268"/>
      <c r="OTH479" s="268"/>
      <c r="OTI479" s="268"/>
      <c r="OTJ479" s="268"/>
      <c r="OTK479" s="268"/>
      <c r="OTL479" s="268"/>
      <c r="OTM479" s="268"/>
      <c r="OTN479" s="268"/>
      <c r="OTO479" s="268"/>
      <c r="OTP479" s="268"/>
      <c r="OTQ479" s="268"/>
      <c r="OTR479" s="268"/>
      <c r="OTS479" s="268"/>
      <c r="OTT479" s="268"/>
      <c r="OTU479" s="268"/>
      <c r="OTV479" s="268"/>
      <c r="OTW479" s="268"/>
      <c r="OTX479" s="268"/>
      <c r="OTY479" s="268"/>
      <c r="OTZ479" s="268"/>
      <c r="OUA479" s="268"/>
      <c r="OUB479" s="268"/>
      <c r="OUC479" s="268"/>
      <c r="OUD479" s="268"/>
      <c r="OUE479" s="268"/>
      <c r="OUF479" s="268"/>
      <c r="OUG479" s="268"/>
      <c r="OUH479" s="268"/>
      <c r="OUI479" s="268"/>
      <c r="OUJ479" s="268"/>
      <c r="OUK479" s="268"/>
      <c r="OUL479" s="268"/>
      <c r="OUM479" s="268"/>
      <c r="OUN479" s="268"/>
      <c r="OUO479" s="268"/>
      <c r="OUP479" s="268"/>
      <c r="OUQ479" s="268"/>
      <c r="OUR479" s="268"/>
      <c r="OUS479" s="268"/>
      <c r="OUT479" s="268"/>
      <c r="OUU479" s="268"/>
      <c r="OUV479" s="268"/>
      <c r="OUW479" s="268"/>
      <c r="OUX479" s="268"/>
      <c r="OUY479" s="268"/>
      <c r="OUZ479" s="268"/>
      <c r="OVA479" s="268"/>
      <c r="OVB479" s="268"/>
      <c r="OVC479" s="268"/>
      <c r="OVD479" s="268"/>
      <c r="OVE479" s="268"/>
      <c r="OVF479" s="268"/>
      <c r="OVG479" s="268"/>
      <c r="OVH479" s="268"/>
      <c r="OVI479" s="268"/>
      <c r="OVJ479" s="268"/>
      <c r="OVK479" s="268"/>
      <c r="OVL479" s="268"/>
      <c r="OVM479" s="268"/>
      <c r="OVN479" s="268"/>
      <c r="OVO479" s="268"/>
      <c r="OVP479" s="268"/>
      <c r="OVQ479" s="268"/>
      <c r="OVR479" s="268"/>
      <c r="OVS479" s="268"/>
      <c r="OVT479" s="268"/>
      <c r="OVU479" s="268"/>
      <c r="OVV479" s="268"/>
      <c r="OVW479" s="268"/>
      <c r="OVX479" s="268"/>
      <c r="OVY479" s="268"/>
      <c r="OVZ479" s="268"/>
      <c r="OWA479" s="268"/>
      <c r="OWB479" s="268"/>
      <c r="OWC479" s="268"/>
      <c r="OWD479" s="268"/>
      <c r="OWE479" s="268"/>
      <c r="OWS479" s="268"/>
      <c r="OWT479" s="268"/>
      <c r="OWU479" s="268"/>
      <c r="OXI479" s="268"/>
      <c r="OXK479" s="268"/>
      <c r="OXL479" s="268"/>
      <c r="OXM479" s="268"/>
      <c r="OXN479" s="268"/>
      <c r="OXO479" s="268"/>
      <c r="OXP479" s="268"/>
      <c r="OXQ479" s="268"/>
      <c r="OXR479" s="268"/>
      <c r="OXS479" s="268"/>
      <c r="OXT479" s="268"/>
      <c r="OXU479" s="268"/>
      <c r="OXV479" s="268"/>
      <c r="OXW479" s="268"/>
      <c r="OXX479" s="268"/>
      <c r="OXY479" s="268"/>
      <c r="OXZ479" s="268"/>
      <c r="OYA479" s="268"/>
      <c r="OYB479" s="268"/>
      <c r="OYC479" s="268"/>
      <c r="OYD479" s="268"/>
      <c r="OYE479" s="268"/>
      <c r="OYF479" s="268"/>
      <c r="OYG479" s="268"/>
      <c r="OYH479" s="268"/>
      <c r="OYI479" s="268"/>
      <c r="OYJ479" s="268"/>
      <c r="OYK479" s="268"/>
      <c r="OYL479" s="268"/>
      <c r="OYM479" s="268"/>
      <c r="OYN479" s="268"/>
      <c r="OYO479" s="268"/>
      <c r="OYP479" s="268"/>
      <c r="OYQ479" s="268"/>
      <c r="OYR479" s="268"/>
      <c r="OYS479" s="268"/>
      <c r="OYT479" s="268"/>
      <c r="OYU479" s="268"/>
      <c r="OYV479" s="268"/>
      <c r="OYW479" s="268"/>
      <c r="OYX479" s="268"/>
      <c r="OYY479" s="268"/>
      <c r="OYZ479" s="268"/>
      <c r="OZA479" s="268"/>
      <c r="OZB479" s="268"/>
      <c r="OZC479" s="268"/>
      <c r="OZD479" s="268"/>
      <c r="OZE479" s="268"/>
      <c r="OZF479" s="268"/>
      <c r="OZG479" s="268"/>
      <c r="OZH479" s="268"/>
      <c r="OZI479" s="268"/>
      <c r="OZJ479" s="268"/>
      <c r="OZK479" s="268"/>
      <c r="OZL479" s="268"/>
      <c r="OZM479" s="268"/>
      <c r="OZN479" s="268"/>
      <c r="OZO479" s="268"/>
      <c r="OZP479" s="268"/>
      <c r="OZQ479" s="268"/>
      <c r="OZR479" s="268"/>
      <c r="OZS479" s="268"/>
      <c r="OZT479" s="268"/>
      <c r="OZU479" s="268"/>
      <c r="OZV479" s="268"/>
      <c r="OZW479" s="268"/>
      <c r="OZX479" s="268"/>
      <c r="OZY479" s="268"/>
      <c r="OZZ479" s="268"/>
      <c r="PAA479" s="268"/>
      <c r="PAB479" s="268"/>
      <c r="PAC479" s="268"/>
      <c r="PAD479" s="268"/>
      <c r="PAE479" s="268"/>
      <c r="PAF479" s="268"/>
      <c r="PAG479" s="268"/>
      <c r="PAH479" s="268"/>
      <c r="PAI479" s="268"/>
      <c r="PAJ479" s="268"/>
      <c r="PAK479" s="268"/>
      <c r="PAL479" s="268"/>
      <c r="PAM479" s="268"/>
      <c r="PAN479" s="268"/>
      <c r="PAO479" s="268"/>
      <c r="PAP479" s="268"/>
      <c r="PAQ479" s="268"/>
      <c r="PAR479" s="268"/>
      <c r="PAS479" s="268"/>
      <c r="PAT479" s="268"/>
      <c r="PAU479" s="268"/>
      <c r="PAV479" s="268"/>
      <c r="PAW479" s="268"/>
      <c r="PAX479" s="268"/>
      <c r="PAY479" s="268"/>
      <c r="PAZ479" s="268"/>
      <c r="PBA479" s="268"/>
      <c r="PBB479" s="268"/>
      <c r="PBC479" s="268"/>
      <c r="PBD479" s="268"/>
      <c r="PBE479" s="268"/>
      <c r="PBF479" s="268"/>
      <c r="PBG479" s="268"/>
      <c r="PBH479" s="268"/>
      <c r="PBI479" s="268"/>
      <c r="PBJ479" s="268"/>
      <c r="PBK479" s="268"/>
      <c r="PBL479" s="268"/>
      <c r="PBM479" s="268"/>
      <c r="PBN479" s="268"/>
      <c r="PBO479" s="268"/>
      <c r="PBP479" s="268"/>
      <c r="PBQ479" s="268"/>
      <c r="PBR479" s="268"/>
      <c r="PBS479" s="268"/>
      <c r="PBT479" s="268"/>
      <c r="PBU479" s="268"/>
      <c r="PBV479" s="268"/>
      <c r="PBW479" s="268"/>
      <c r="PBX479" s="268"/>
      <c r="PBY479" s="268"/>
      <c r="PBZ479" s="268"/>
      <c r="PCA479" s="268"/>
      <c r="PCB479" s="268"/>
      <c r="PCC479" s="268"/>
      <c r="PCD479" s="268"/>
      <c r="PCE479" s="268"/>
      <c r="PCF479" s="268"/>
      <c r="PCG479" s="268"/>
      <c r="PCH479" s="268"/>
      <c r="PCI479" s="268"/>
      <c r="PCJ479" s="268"/>
      <c r="PCK479" s="268"/>
      <c r="PCL479" s="268"/>
      <c r="PCM479" s="268"/>
      <c r="PCN479" s="268"/>
      <c r="PCO479" s="268"/>
      <c r="PCP479" s="268"/>
      <c r="PCQ479" s="268"/>
      <c r="PCR479" s="268"/>
      <c r="PCS479" s="268"/>
      <c r="PCT479" s="268"/>
      <c r="PCU479" s="268"/>
      <c r="PCV479" s="268"/>
      <c r="PCW479" s="268"/>
      <c r="PCX479" s="268"/>
      <c r="PCY479" s="268"/>
      <c r="PCZ479" s="268"/>
      <c r="PDA479" s="268"/>
      <c r="PDB479" s="268"/>
      <c r="PDC479" s="268"/>
      <c r="PDD479" s="268"/>
      <c r="PDE479" s="268"/>
      <c r="PDF479" s="268"/>
      <c r="PDG479" s="268"/>
      <c r="PDH479" s="268"/>
      <c r="PDI479" s="268"/>
      <c r="PDJ479" s="268"/>
      <c r="PDK479" s="268"/>
      <c r="PDL479" s="268"/>
      <c r="PDM479" s="268"/>
      <c r="PDN479" s="268"/>
      <c r="PDO479" s="268"/>
      <c r="PDP479" s="268"/>
      <c r="PDQ479" s="268"/>
      <c r="PDR479" s="268"/>
      <c r="PDS479" s="268"/>
      <c r="PDT479" s="268"/>
      <c r="PDU479" s="268"/>
      <c r="PDV479" s="268"/>
      <c r="PDW479" s="268"/>
      <c r="PDX479" s="268"/>
      <c r="PDY479" s="268"/>
      <c r="PDZ479" s="268"/>
      <c r="PEA479" s="268"/>
      <c r="PEB479" s="268"/>
      <c r="PEC479" s="268"/>
      <c r="PED479" s="268"/>
      <c r="PEE479" s="268"/>
      <c r="PEF479" s="268"/>
      <c r="PEG479" s="268"/>
      <c r="PEH479" s="268"/>
      <c r="PEI479" s="268"/>
      <c r="PEJ479" s="268"/>
      <c r="PEK479" s="268"/>
      <c r="PEL479" s="268"/>
      <c r="PEM479" s="268"/>
      <c r="PEN479" s="268"/>
      <c r="PEO479" s="268"/>
      <c r="PEP479" s="268"/>
      <c r="PEQ479" s="268"/>
      <c r="PER479" s="268"/>
      <c r="PES479" s="268"/>
      <c r="PET479" s="268"/>
      <c r="PEU479" s="268"/>
      <c r="PEV479" s="268"/>
      <c r="PEW479" s="268"/>
      <c r="PEX479" s="268"/>
      <c r="PEY479" s="268"/>
      <c r="PEZ479" s="268"/>
      <c r="PFA479" s="268"/>
      <c r="PFB479" s="268"/>
      <c r="PFC479" s="268"/>
      <c r="PFD479" s="268"/>
      <c r="PFE479" s="268"/>
      <c r="PFF479" s="268"/>
      <c r="PFG479" s="268"/>
      <c r="PFH479" s="268"/>
      <c r="PFI479" s="268"/>
      <c r="PFJ479" s="268"/>
      <c r="PFK479" s="268"/>
      <c r="PFL479" s="268"/>
      <c r="PFM479" s="268"/>
      <c r="PFN479" s="268"/>
      <c r="PFO479" s="268"/>
      <c r="PFP479" s="268"/>
      <c r="PFQ479" s="268"/>
      <c r="PFR479" s="268"/>
      <c r="PFS479" s="268"/>
      <c r="PFT479" s="268"/>
      <c r="PFU479" s="268"/>
      <c r="PFV479" s="268"/>
      <c r="PFW479" s="268"/>
      <c r="PFX479" s="268"/>
      <c r="PFY479" s="268"/>
      <c r="PFZ479" s="268"/>
      <c r="PGA479" s="268"/>
      <c r="PGO479" s="268"/>
      <c r="PGP479" s="268"/>
      <c r="PGQ479" s="268"/>
      <c r="PHE479" s="268"/>
      <c r="PHG479" s="268"/>
      <c r="PHH479" s="268"/>
      <c r="PHI479" s="268"/>
      <c r="PHJ479" s="268"/>
      <c r="PHK479" s="268"/>
      <c r="PHL479" s="268"/>
      <c r="PHM479" s="268"/>
      <c r="PHN479" s="268"/>
      <c r="PHO479" s="268"/>
      <c r="PHP479" s="268"/>
      <c r="PHQ479" s="268"/>
      <c r="PHR479" s="268"/>
      <c r="PHS479" s="268"/>
      <c r="PHT479" s="268"/>
      <c r="PHU479" s="268"/>
      <c r="PHV479" s="268"/>
      <c r="PHW479" s="268"/>
      <c r="PHX479" s="268"/>
      <c r="PHY479" s="268"/>
      <c r="PHZ479" s="268"/>
      <c r="PIA479" s="268"/>
      <c r="PIB479" s="268"/>
      <c r="PIC479" s="268"/>
      <c r="PID479" s="268"/>
      <c r="PIE479" s="268"/>
      <c r="PIF479" s="268"/>
      <c r="PIG479" s="268"/>
      <c r="PIH479" s="268"/>
      <c r="PII479" s="268"/>
      <c r="PIJ479" s="268"/>
      <c r="PIK479" s="268"/>
      <c r="PIL479" s="268"/>
      <c r="PIM479" s="268"/>
      <c r="PIN479" s="268"/>
      <c r="PIO479" s="268"/>
      <c r="PIP479" s="268"/>
      <c r="PIQ479" s="268"/>
      <c r="PIR479" s="268"/>
      <c r="PIS479" s="268"/>
      <c r="PIT479" s="268"/>
      <c r="PIU479" s="268"/>
      <c r="PIV479" s="268"/>
      <c r="PIW479" s="268"/>
      <c r="PIX479" s="268"/>
      <c r="PIY479" s="268"/>
      <c r="PIZ479" s="268"/>
      <c r="PJA479" s="268"/>
      <c r="PJB479" s="268"/>
      <c r="PJC479" s="268"/>
      <c r="PJD479" s="268"/>
      <c r="PJE479" s="268"/>
      <c r="PJF479" s="268"/>
      <c r="PJG479" s="268"/>
      <c r="PJH479" s="268"/>
      <c r="PJI479" s="268"/>
      <c r="PJJ479" s="268"/>
      <c r="PJK479" s="268"/>
      <c r="PJL479" s="268"/>
      <c r="PJM479" s="268"/>
      <c r="PJN479" s="268"/>
      <c r="PJO479" s="268"/>
      <c r="PJP479" s="268"/>
      <c r="PJQ479" s="268"/>
      <c r="PJR479" s="268"/>
      <c r="PJS479" s="268"/>
      <c r="PJT479" s="268"/>
      <c r="PJU479" s="268"/>
      <c r="PJV479" s="268"/>
      <c r="PJW479" s="268"/>
      <c r="PJX479" s="268"/>
      <c r="PJY479" s="268"/>
      <c r="PJZ479" s="268"/>
      <c r="PKA479" s="268"/>
      <c r="PKB479" s="268"/>
      <c r="PKC479" s="268"/>
      <c r="PKD479" s="268"/>
      <c r="PKE479" s="268"/>
      <c r="PKF479" s="268"/>
      <c r="PKG479" s="268"/>
      <c r="PKH479" s="268"/>
      <c r="PKI479" s="268"/>
      <c r="PKJ479" s="268"/>
      <c r="PKK479" s="268"/>
      <c r="PKL479" s="268"/>
      <c r="PKM479" s="268"/>
      <c r="PKN479" s="268"/>
      <c r="PKO479" s="268"/>
      <c r="PKP479" s="268"/>
      <c r="PKQ479" s="268"/>
      <c r="PKR479" s="268"/>
      <c r="PKS479" s="268"/>
      <c r="PKT479" s="268"/>
      <c r="PKU479" s="268"/>
      <c r="PKV479" s="268"/>
      <c r="PKW479" s="268"/>
      <c r="PKX479" s="268"/>
      <c r="PKY479" s="268"/>
      <c r="PKZ479" s="268"/>
      <c r="PLA479" s="268"/>
      <c r="PLB479" s="268"/>
      <c r="PLC479" s="268"/>
      <c r="PLD479" s="268"/>
      <c r="PLE479" s="268"/>
      <c r="PLF479" s="268"/>
      <c r="PLG479" s="268"/>
      <c r="PLH479" s="268"/>
      <c r="PLI479" s="268"/>
      <c r="PLJ479" s="268"/>
      <c r="PLK479" s="268"/>
      <c r="PLL479" s="268"/>
      <c r="PLM479" s="268"/>
      <c r="PLN479" s="268"/>
      <c r="PLO479" s="268"/>
      <c r="PLP479" s="268"/>
      <c r="PLQ479" s="268"/>
      <c r="PLR479" s="268"/>
      <c r="PLS479" s="268"/>
      <c r="PLT479" s="268"/>
      <c r="PLU479" s="268"/>
      <c r="PLV479" s="268"/>
      <c r="PLW479" s="268"/>
      <c r="PLX479" s="268"/>
      <c r="PLY479" s="268"/>
      <c r="PLZ479" s="268"/>
      <c r="PMA479" s="268"/>
      <c r="PMB479" s="268"/>
      <c r="PMC479" s="268"/>
      <c r="PMD479" s="268"/>
      <c r="PME479" s="268"/>
      <c r="PMF479" s="268"/>
      <c r="PMG479" s="268"/>
      <c r="PMH479" s="268"/>
      <c r="PMI479" s="268"/>
      <c r="PMJ479" s="268"/>
      <c r="PMK479" s="268"/>
      <c r="PML479" s="268"/>
      <c r="PMM479" s="268"/>
      <c r="PMN479" s="268"/>
      <c r="PMO479" s="268"/>
      <c r="PMP479" s="268"/>
      <c r="PMQ479" s="268"/>
      <c r="PMR479" s="268"/>
      <c r="PMS479" s="268"/>
      <c r="PMT479" s="268"/>
      <c r="PMU479" s="268"/>
      <c r="PMV479" s="268"/>
      <c r="PMW479" s="268"/>
      <c r="PMX479" s="268"/>
      <c r="PMY479" s="268"/>
      <c r="PMZ479" s="268"/>
      <c r="PNA479" s="268"/>
      <c r="PNB479" s="268"/>
      <c r="PNC479" s="268"/>
      <c r="PND479" s="268"/>
      <c r="PNE479" s="268"/>
      <c r="PNF479" s="268"/>
      <c r="PNG479" s="268"/>
      <c r="PNH479" s="268"/>
      <c r="PNI479" s="268"/>
      <c r="PNJ479" s="268"/>
      <c r="PNK479" s="268"/>
      <c r="PNL479" s="268"/>
      <c r="PNM479" s="268"/>
      <c r="PNN479" s="268"/>
      <c r="PNO479" s="268"/>
      <c r="PNP479" s="268"/>
      <c r="PNQ479" s="268"/>
      <c r="PNR479" s="268"/>
      <c r="PNS479" s="268"/>
      <c r="PNT479" s="268"/>
      <c r="PNU479" s="268"/>
      <c r="PNV479" s="268"/>
      <c r="PNW479" s="268"/>
      <c r="PNX479" s="268"/>
      <c r="PNY479" s="268"/>
      <c r="PNZ479" s="268"/>
      <c r="POA479" s="268"/>
      <c r="POB479" s="268"/>
      <c r="POC479" s="268"/>
      <c r="POD479" s="268"/>
      <c r="POE479" s="268"/>
      <c r="POF479" s="268"/>
      <c r="POG479" s="268"/>
      <c r="POH479" s="268"/>
      <c r="POI479" s="268"/>
      <c r="POJ479" s="268"/>
      <c r="POK479" s="268"/>
      <c r="POL479" s="268"/>
      <c r="POM479" s="268"/>
      <c r="PON479" s="268"/>
      <c r="POO479" s="268"/>
      <c r="POP479" s="268"/>
      <c r="POQ479" s="268"/>
      <c r="POR479" s="268"/>
      <c r="POS479" s="268"/>
      <c r="POT479" s="268"/>
      <c r="POU479" s="268"/>
      <c r="POV479" s="268"/>
      <c r="POW479" s="268"/>
      <c r="POX479" s="268"/>
      <c r="POY479" s="268"/>
      <c r="POZ479" s="268"/>
      <c r="PPA479" s="268"/>
      <c r="PPB479" s="268"/>
      <c r="PPC479" s="268"/>
      <c r="PPD479" s="268"/>
      <c r="PPE479" s="268"/>
      <c r="PPF479" s="268"/>
      <c r="PPG479" s="268"/>
      <c r="PPH479" s="268"/>
      <c r="PPI479" s="268"/>
      <c r="PPJ479" s="268"/>
      <c r="PPK479" s="268"/>
      <c r="PPL479" s="268"/>
      <c r="PPM479" s="268"/>
      <c r="PPN479" s="268"/>
      <c r="PPO479" s="268"/>
      <c r="PPP479" s="268"/>
      <c r="PPQ479" s="268"/>
      <c r="PPR479" s="268"/>
      <c r="PPS479" s="268"/>
      <c r="PPT479" s="268"/>
      <c r="PPU479" s="268"/>
      <c r="PPV479" s="268"/>
      <c r="PPW479" s="268"/>
      <c r="PQK479" s="268"/>
      <c r="PQL479" s="268"/>
      <c r="PQM479" s="268"/>
      <c r="PRA479" s="268"/>
      <c r="PRC479" s="268"/>
      <c r="PRD479" s="268"/>
      <c r="PRE479" s="268"/>
      <c r="PRF479" s="268"/>
      <c r="PRG479" s="268"/>
      <c r="PRH479" s="268"/>
      <c r="PRI479" s="268"/>
      <c r="PRJ479" s="268"/>
      <c r="PRK479" s="268"/>
      <c r="PRL479" s="268"/>
      <c r="PRM479" s="268"/>
      <c r="PRN479" s="268"/>
      <c r="PRO479" s="268"/>
      <c r="PRP479" s="268"/>
      <c r="PRQ479" s="268"/>
      <c r="PRR479" s="268"/>
      <c r="PRS479" s="268"/>
      <c r="PRT479" s="268"/>
      <c r="PRU479" s="268"/>
      <c r="PRV479" s="268"/>
      <c r="PRW479" s="268"/>
      <c r="PRX479" s="268"/>
      <c r="PRY479" s="268"/>
      <c r="PRZ479" s="268"/>
      <c r="PSA479" s="268"/>
      <c r="PSB479" s="268"/>
      <c r="PSC479" s="268"/>
      <c r="PSD479" s="268"/>
      <c r="PSE479" s="268"/>
      <c r="PSF479" s="268"/>
      <c r="PSG479" s="268"/>
      <c r="PSH479" s="268"/>
      <c r="PSI479" s="268"/>
      <c r="PSJ479" s="268"/>
      <c r="PSK479" s="268"/>
      <c r="PSL479" s="268"/>
      <c r="PSM479" s="268"/>
      <c r="PSN479" s="268"/>
      <c r="PSO479" s="268"/>
      <c r="PSP479" s="268"/>
      <c r="PSQ479" s="268"/>
      <c r="PSR479" s="268"/>
      <c r="PSS479" s="268"/>
      <c r="PST479" s="268"/>
      <c r="PSU479" s="268"/>
      <c r="PSV479" s="268"/>
      <c r="PSW479" s="268"/>
      <c r="PSX479" s="268"/>
      <c r="PSY479" s="268"/>
      <c r="PSZ479" s="268"/>
      <c r="PTA479" s="268"/>
      <c r="PTB479" s="268"/>
      <c r="PTC479" s="268"/>
      <c r="PTD479" s="268"/>
      <c r="PTE479" s="268"/>
      <c r="PTF479" s="268"/>
      <c r="PTG479" s="268"/>
      <c r="PTH479" s="268"/>
      <c r="PTI479" s="268"/>
      <c r="PTJ479" s="268"/>
      <c r="PTK479" s="268"/>
      <c r="PTL479" s="268"/>
      <c r="PTM479" s="268"/>
      <c r="PTN479" s="268"/>
      <c r="PTO479" s="268"/>
      <c r="PTP479" s="268"/>
      <c r="PTQ479" s="268"/>
      <c r="PTR479" s="268"/>
      <c r="PTS479" s="268"/>
      <c r="PTT479" s="268"/>
      <c r="PTU479" s="268"/>
      <c r="PTV479" s="268"/>
      <c r="PTW479" s="268"/>
      <c r="PTX479" s="268"/>
      <c r="PTY479" s="268"/>
      <c r="PTZ479" s="268"/>
      <c r="PUA479" s="268"/>
      <c r="PUB479" s="268"/>
      <c r="PUC479" s="268"/>
      <c r="PUD479" s="268"/>
      <c r="PUE479" s="268"/>
      <c r="PUF479" s="268"/>
      <c r="PUG479" s="268"/>
      <c r="PUH479" s="268"/>
      <c r="PUI479" s="268"/>
      <c r="PUJ479" s="268"/>
      <c r="PUK479" s="268"/>
      <c r="PUL479" s="268"/>
      <c r="PUM479" s="268"/>
      <c r="PUN479" s="268"/>
      <c r="PUO479" s="268"/>
      <c r="PUP479" s="268"/>
      <c r="PUQ479" s="268"/>
      <c r="PUR479" s="268"/>
      <c r="PUS479" s="268"/>
      <c r="PUT479" s="268"/>
      <c r="PUU479" s="268"/>
      <c r="PUV479" s="268"/>
      <c r="PUW479" s="268"/>
      <c r="PUX479" s="268"/>
      <c r="PUY479" s="268"/>
      <c r="PUZ479" s="268"/>
      <c r="PVA479" s="268"/>
      <c r="PVB479" s="268"/>
      <c r="PVC479" s="268"/>
      <c r="PVD479" s="268"/>
      <c r="PVE479" s="268"/>
      <c r="PVF479" s="268"/>
      <c r="PVG479" s="268"/>
      <c r="PVH479" s="268"/>
      <c r="PVI479" s="268"/>
      <c r="PVJ479" s="268"/>
      <c r="PVK479" s="268"/>
      <c r="PVL479" s="268"/>
      <c r="PVM479" s="268"/>
      <c r="PVN479" s="268"/>
      <c r="PVO479" s="268"/>
      <c r="PVP479" s="268"/>
      <c r="PVQ479" s="268"/>
      <c r="PVR479" s="268"/>
      <c r="PVS479" s="268"/>
      <c r="PVT479" s="268"/>
      <c r="PVU479" s="268"/>
      <c r="PVV479" s="268"/>
      <c r="PVW479" s="268"/>
      <c r="PVX479" s="268"/>
      <c r="PVY479" s="268"/>
      <c r="PVZ479" s="268"/>
      <c r="PWA479" s="268"/>
      <c r="PWB479" s="268"/>
      <c r="PWC479" s="268"/>
      <c r="PWD479" s="268"/>
      <c r="PWE479" s="268"/>
      <c r="PWF479" s="268"/>
      <c r="PWG479" s="268"/>
      <c r="PWH479" s="268"/>
      <c r="PWI479" s="268"/>
      <c r="PWJ479" s="268"/>
      <c r="PWK479" s="268"/>
      <c r="PWL479" s="268"/>
      <c r="PWM479" s="268"/>
      <c r="PWN479" s="268"/>
      <c r="PWO479" s="268"/>
      <c r="PWP479" s="268"/>
      <c r="PWQ479" s="268"/>
      <c r="PWR479" s="268"/>
      <c r="PWS479" s="268"/>
      <c r="PWT479" s="268"/>
      <c r="PWU479" s="268"/>
      <c r="PWV479" s="268"/>
      <c r="PWW479" s="268"/>
      <c r="PWX479" s="268"/>
      <c r="PWY479" s="268"/>
      <c r="PWZ479" s="268"/>
      <c r="PXA479" s="268"/>
      <c r="PXB479" s="268"/>
      <c r="PXC479" s="268"/>
      <c r="PXD479" s="268"/>
      <c r="PXE479" s="268"/>
      <c r="PXF479" s="268"/>
      <c r="PXG479" s="268"/>
      <c r="PXH479" s="268"/>
      <c r="PXI479" s="268"/>
      <c r="PXJ479" s="268"/>
      <c r="PXK479" s="268"/>
      <c r="PXL479" s="268"/>
      <c r="PXM479" s="268"/>
      <c r="PXN479" s="268"/>
      <c r="PXO479" s="268"/>
      <c r="PXP479" s="268"/>
      <c r="PXQ479" s="268"/>
      <c r="PXR479" s="268"/>
      <c r="PXS479" s="268"/>
      <c r="PXT479" s="268"/>
      <c r="PXU479" s="268"/>
      <c r="PXV479" s="268"/>
      <c r="PXW479" s="268"/>
      <c r="PXX479" s="268"/>
      <c r="PXY479" s="268"/>
      <c r="PXZ479" s="268"/>
      <c r="PYA479" s="268"/>
      <c r="PYB479" s="268"/>
      <c r="PYC479" s="268"/>
      <c r="PYD479" s="268"/>
      <c r="PYE479" s="268"/>
      <c r="PYF479" s="268"/>
      <c r="PYG479" s="268"/>
      <c r="PYH479" s="268"/>
      <c r="PYI479" s="268"/>
      <c r="PYJ479" s="268"/>
      <c r="PYK479" s="268"/>
      <c r="PYL479" s="268"/>
      <c r="PYM479" s="268"/>
      <c r="PYN479" s="268"/>
      <c r="PYO479" s="268"/>
      <c r="PYP479" s="268"/>
      <c r="PYQ479" s="268"/>
      <c r="PYR479" s="268"/>
      <c r="PYS479" s="268"/>
      <c r="PYT479" s="268"/>
      <c r="PYU479" s="268"/>
      <c r="PYV479" s="268"/>
      <c r="PYW479" s="268"/>
      <c r="PYX479" s="268"/>
      <c r="PYY479" s="268"/>
      <c r="PYZ479" s="268"/>
      <c r="PZA479" s="268"/>
      <c r="PZB479" s="268"/>
      <c r="PZC479" s="268"/>
      <c r="PZD479" s="268"/>
      <c r="PZE479" s="268"/>
      <c r="PZF479" s="268"/>
      <c r="PZG479" s="268"/>
      <c r="PZH479" s="268"/>
      <c r="PZI479" s="268"/>
      <c r="PZJ479" s="268"/>
      <c r="PZK479" s="268"/>
      <c r="PZL479" s="268"/>
      <c r="PZM479" s="268"/>
      <c r="PZN479" s="268"/>
      <c r="PZO479" s="268"/>
      <c r="PZP479" s="268"/>
      <c r="PZQ479" s="268"/>
      <c r="PZR479" s="268"/>
      <c r="PZS479" s="268"/>
      <c r="QAG479" s="268"/>
      <c r="QAH479" s="268"/>
      <c r="QAI479" s="268"/>
      <c r="QAW479" s="268"/>
      <c r="QAY479" s="268"/>
      <c r="QAZ479" s="268"/>
      <c r="QBA479" s="268"/>
      <c r="QBB479" s="268"/>
      <c r="QBC479" s="268"/>
      <c r="QBD479" s="268"/>
      <c r="QBE479" s="268"/>
      <c r="QBF479" s="268"/>
      <c r="QBG479" s="268"/>
      <c r="QBH479" s="268"/>
      <c r="QBI479" s="268"/>
      <c r="QBJ479" s="268"/>
      <c r="QBK479" s="268"/>
      <c r="QBL479" s="268"/>
      <c r="QBM479" s="268"/>
      <c r="QBN479" s="268"/>
      <c r="QBO479" s="268"/>
      <c r="QBP479" s="268"/>
      <c r="QBQ479" s="268"/>
      <c r="QBR479" s="268"/>
      <c r="QBS479" s="268"/>
      <c r="QBT479" s="268"/>
      <c r="QBU479" s="268"/>
      <c r="QBV479" s="268"/>
      <c r="QBW479" s="268"/>
      <c r="QBX479" s="268"/>
      <c r="QBY479" s="268"/>
      <c r="QBZ479" s="268"/>
      <c r="QCA479" s="268"/>
      <c r="QCB479" s="268"/>
      <c r="QCC479" s="268"/>
      <c r="QCD479" s="268"/>
      <c r="QCE479" s="268"/>
      <c r="QCF479" s="268"/>
      <c r="QCG479" s="268"/>
      <c r="QCH479" s="268"/>
      <c r="QCI479" s="268"/>
      <c r="QCJ479" s="268"/>
      <c r="QCK479" s="268"/>
      <c r="QCL479" s="268"/>
      <c r="QCM479" s="268"/>
      <c r="QCN479" s="268"/>
      <c r="QCO479" s="268"/>
      <c r="QCP479" s="268"/>
      <c r="QCQ479" s="268"/>
      <c r="QCR479" s="268"/>
      <c r="QCS479" s="268"/>
      <c r="QCT479" s="268"/>
      <c r="QCU479" s="268"/>
      <c r="QCV479" s="268"/>
      <c r="QCW479" s="268"/>
      <c r="QCX479" s="268"/>
      <c r="QCY479" s="268"/>
      <c r="QCZ479" s="268"/>
      <c r="QDA479" s="268"/>
      <c r="QDB479" s="268"/>
      <c r="QDC479" s="268"/>
      <c r="QDD479" s="268"/>
      <c r="QDE479" s="268"/>
      <c r="QDF479" s="268"/>
      <c r="QDG479" s="268"/>
      <c r="QDH479" s="268"/>
      <c r="QDI479" s="268"/>
      <c r="QDJ479" s="268"/>
      <c r="QDK479" s="268"/>
      <c r="QDL479" s="268"/>
      <c r="QDM479" s="268"/>
      <c r="QDN479" s="268"/>
      <c r="QDO479" s="268"/>
      <c r="QDP479" s="268"/>
      <c r="QDQ479" s="268"/>
      <c r="QDR479" s="268"/>
      <c r="QDS479" s="268"/>
      <c r="QDT479" s="268"/>
      <c r="QDU479" s="268"/>
      <c r="QDV479" s="268"/>
      <c r="QDW479" s="268"/>
      <c r="QDX479" s="268"/>
      <c r="QDY479" s="268"/>
      <c r="QDZ479" s="268"/>
      <c r="QEA479" s="268"/>
      <c r="QEB479" s="268"/>
      <c r="QEC479" s="268"/>
      <c r="QED479" s="268"/>
      <c r="QEE479" s="268"/>
      <c r="QEF479" s="268"/>
      <c r="QEG479" s="268"/>
      <c r="QEH479" s="268"/>
      <c r="QEI479" s="268"/>
      <c r="QEJ479" s="268"/>
      <c r="QEK479" s="268"/>
      <c r="QEL479" s="268"/>
      <c r="QEM479" s="268"/>
      <c r="QEN479" s="268"/>
      <c r="QEO479" s="268"/>
      <c r="QEP479" s="268"/>
      <c r="QEQ479" s="268"/>
      <c r="QER479" s="268"/>
      <c r="QES479" s="268"/>
      <c r="QET479" s="268"/>
      <c r="QEU479" s="268"/>
      <c r="QEV479" s="268"/>
      <c r="QEW479" s="268"/>
      <c r="QEX479" s="268"/>
      <c r="QEY479" s="268"/>
      <c r="QEZ479" s="268"/>
      <c r="QFA479" s="268"/>
      <c r="QFB479" s="268"/>
      <c r="QFC479" s="268"/>
      <c r="QFD479" s="268"/>
      <c r="QFE479" s="268"/>
      <c r="QFF479" s="268"/>
      <c r="QFG479" s="268"/>
      <c r="QFH479" s="268"/>
      <c r="QFI479" s="268"/>
      <c r="QFJ479" s="268"/>
      <c r="QFK479" s="268"/>
      <c r="QFL479" s="268"/>
      <c r="QFM479" s="268"/>
      <c r="QFN479" s="268"/>
      <c r="QFO479" s="268"/>
      <c r="QFP479" s="268"/>
      <c r="QFQ479" s="268"/>
      <c r="QFR479" s="268"/>
      <c r="QFS479" s="268"/>
      <c r="QFT479" s="268"/>
      <c r="QFU479" s="268"/>
      <c r="QFV479" s="268"/>
      <c r="QFW479" s="268"/>
      <c r="QFX479" s="268"/>
      <c r="QFY479" s="268"/>
      <c r="QFZ479" s="268"/>
      <c r="QGA479" s="268"/>
      <c r="QGB479" s="268"/>
      <c r="QGC479" s="268"/>
      <c r="QGD479" s="268"/>
      <c r="QGE479" s="268"/>
      <c r="QGF479" s="268"/>
      <c r="QGG479" s="268"/>
      <c r="QGH479" s="268"/>
      <c r="QGI479" s="268"/>
      <c r="QGJ479" s="268"/>
      <c r="QGK479" s="268"/>
      <c r="QGL479" s="268"/>
      <c r="QGM479" s="268"/>
      <c r="QGN479" s="268"/>
      <c r="QGO479" s="268"/>
      <c r="QGP479" s="268"/>
      <c r="QGQ479" s="268"/>
      <c r="QGR479" s="268"/>
      <c r="QGS479" s="268"/>
      <c r="QGT479" s="268"/>
      <c r="QGU479" s="268"/>
      <c r="QGV479" s="268"/>
      <c r="QGW479" s="268"/>
      <c r="QGX479" s="268"/>
      <c r="QGY479" s="268"/>
      <c r="QGZ479" s="268"/>
      <c r="QHA479" s="268"/>
      <c r="QHB479" s="268"/>
      <c r="QHC479" s="268"/>
      <c r="QHD479" s="268"/>
      <c r="QHE479" s="268"/>
      <c r="QHF479" s="268"/>
      <c r="QHG479" s="268"/>
      <c r="QHH479" s="268"/>
      <c r="QHI479" s="268"/>
      <c r="QHJ479" s="268"/>
      <c r="QHK479" s="268"/>
      <c r="QHL479" s="268"/>
      <c r="QHM479" s="268"/>
      <c r="QHN479" s="268"/>
      <c r="QHO479" s="268"/>
      <c r="QHP479" s="268"/>
      <c r="QHQ479" s="268"/>
      <c r="QHR479" s="268"/>
      <c r="QHS479" s="268"/>
      <c r="QHT479" s="268"/>
      <c r="QHU479" s="268"/>
      <c r="QHV479" s="268"/>
      <c r="QHW479" s="268"/>
      <c r="QHX479" s="268"/>
      <c r="QHY479" s="268"/>
      <c r="QHZ479" s="268"/>
      <c r="QIA479" s="268"/>
      <c r="QIB479" s="268"/>
      <c r="QIC479" s="268"/>
      <c r="QID479" s="268"/>
      <c r="QIE479" s="268"/>
      <c r="QIF479" s="268"/>
      <c r="QIG479" s="268"/>
      <c r="QIH479" s="268"/>
      <c r="QII479" s="268"/>
      <c r="QIJ479" s="268"/>
      <c r="QIK479" s="268"/>
      <c r="QIL479" s="268"/>
      <c r="QIM479" s="268"/>
      <c r="QIN479" s="268"/>
      <c r="QIO479" s="268"/>
      <c r="QIP479" s="268"/>
      <c r="QIQ479" s="268"/>
      <c r="QIR479" s="268"/>
      <c r="QIS479" s="268"/>
      <c r="QIT479" s="268"/>
      <c r="QIU479" s="268"/>
      <c r="QIV479" s="268"/>
      <c r="QIW479" s="268"/>
      <c r="QIX479" s="268"/>
      <c r="QIY479" s="268"/>
      <c r="QIZ479" s="268"/>
      <c r="QJA479" s="268"/>
      <c r="QJB479" s="268"/>
      <c r="QJC479" s="268"/>
      <c r="QJD479" s="268"/>
      <c r="QJE479" s="268"/>
      <c r="QJF479" s="268"/>
      <c r="QJG479" s="268"/>
      <c r="QJH479" s="268"/>
      <c r="QJI479" s="268"/>
      <c r="QJJ479" s="268"/>
      <c r="QJK479" s="268"/>
      <c r="QJL479" s="268"/>
      <c r="QJM479" s="268"/>
      <c r="QJN479" s="268"/>
      <c r="QJO479" s="268"/>
      <c r="QKC479" s="268"/>
      <c r="QKD479" s="268"/>
      <c r="QKE479" s="268"/>
      <c r="QKS479" s="268"/>
      <c r="QKU479" s="268"/>
      <c r="QKV479" s="268"/>
      <c r="QKW479" s="268"/>
      <c r="QKX479" s="268"/>
      <c r="QKY479" s="268"/>
      <c r="QKZ479" s="268"/>
      <c r="QLA479" s="268"/>
      <c r="QLB479" s="268"/>
      <c r="QLC479" s="268"/>
      <c r="QLD479" s="268"/>
      <c r="QLE479" s="268"/>
      <c r="QLF479" s="268"/>
      <c r="QLG479" s="268"/>
      <c r="QLH479" s="268"/>
      <c r="QLI479" s="268"/>
      <c r="QLJ479" s="268"/>
      <c r="QLK479" s="268"/>
      <c r="QLL479" s="268"/>
      <c r="QLM479" s="268"/>
      <c r="QLN479" s="268"/>
      <c r="QLO479" s="268"/>
      <c r="QLP479" s="268"/>
      <c r="QLQ479" s="268"/>
      <c r="QLR479" s="268"/>
      <c r="QLS479" s="268"/>
      <c r="QLT479" s="268"/>
      <c r="QLU479" s="268"/>
      <c r="QLV479" s="268"/>
      <c r="QLW479" s="268"/>
      <c r="QLX479" s="268"/>
      <c r="QLY479" s="268"/>
      <c r="QLZ479" s="268"/>
      <c r="QMA479" s="268"/>
      <c r="QMB479" s="268"/>
      <c r="QMC479" s="268"/>
      <c r="QMD479" s="268"/>
      <c r="QME479" s="268"/>
      <c r="QMF479" s="268"/>
      <c r="QMG479" s="268"/>
      <c r="QMH479" s="268"/>
      <c r="QMI479" s="268"/>
      <c r="QMJ479" s="268"/>
      <c r="QMK479" s="268"/>
      <c r="QML479" s="268"/>
      <c r="QMM479" s="268"/>
      <c r="QMN479" s="268"/>
      <c r="QMO479" s="268"/>
      <c r="QMP479" s="268"/>
      <c r="QMQ479" s="268"/>
      <c r="QMR479" s="268"/>
      <c r="QMS479" s="268"/>
      <c r="QMT479" s="268"/>
      <c r="QMU479" s="268"/>
      <c r="QMV479" s="268"/>
      <c r="QMW479" s="268"/>
      <c r="QMX479" s="268"/>
      <c r="QMY479" s="268"/>
      <c r="QMZ479" s="268"/>
      <c r="QNA479" s="268"/>
      <c r="QNB479" s="268"/>
      <c r="QNC479" s="268"/>
      <c r="QND479" s="268"/>
      <c r="QNE479" s="268"/>
      <c r="QNF479" s="268"/>
      <c r="QNG479" s="268"/>
      <c r="QNH479" s="268"/>
      <c r="QNI479" s="268"/>
      <c r="QNJ479" s="268"/>
      <c r="QNK479" s="268"/>
      <c r="QNL479" s="268"/>
      <c r="QNM479" s="268"/>
      <c r="QNN479" s="268"/>
      <c r="QNO479" s="268"/>
      <c r="QNP479" s="268"/>
      <c r="QNQ479" s="268"/>
      <c r="QNR479" s="268"/>
      <c r="QNS479" s="268"/>
      <c r="QNT479" s="268"/>
      <c r="QNU479" s="268"/>
      <c r="QNV479" s="268"/>
      <c r="QNW479" s="268"/>
      <c r="QNX479" s="268"/>
      <c r="QNY479" s="268"/>
      <c r="QNZ479" s="268"/>
      <c r="QOA479" s="268"/>
      <c r="QOB479" s="268"/>
      <c r="QOC479" s="268"/>
      <c r="QOD479" s="268"/>
      <c r="QOE479" s="268"/>
      <c r="QOF479" s="268"/>
      <c r="QOG479" s="268"/>
      <c r="QOH479" s="268"/>
      <c r="QOI479" s="268"/>
      <c r="QOJ479" s="268"/>
      <c r="QOK479" s="268"/>
      <c r="QOL479" s="268"/>
      <c r="QOM479" s="268"/>
      <c r="QON479" s="268"/>
      <c r="QOO479" s="268"/>
      <c r="QOP479" s="268"/>
      <c r="QOQ479" s="268"/>
      <c r="QOR479" s="268"/>
      <c r="QOS479" s="268"/>
      <c r="QOT479" s="268"/>
      <c r="QOU479" s="268"/>
      <c r="QOV479" s="268"/>
      <c r="QOW479" s="268"/>
      <c r="QOX479" s="268"/>
      <c r="QOY479" s="268"/>
      <c r="QOZ479" s="268"/>
      <c r="QPA479" s="268"/>
      <c r="QPB479" s="268"/>
      <c r="QPC479" s="268"/>
      <c r="QPD479" s="268"/>
      <c r="QPE479" s="268"/>
      <c r="QPF479" s="268"/>
      <c r="QPG479" s="268"/>
      <c r="QPH479" s="268"/>
      <c r="QPI479" s="268"/>
      <c r="QPJ479" s="268"/>
      <c r="QPK479" s="268"/>
      <c r="QPL479" s="268"/>
      <c r="QPM479" s="268"/>
      <c r="QPN479" s="268"/>
      <c r="QPO479" s="268"/>
      <c r="QPP479" s="268"/>
      <c r="QPQ479" s="268"/>
      <c r="QPR479" s="268"/>
      <c r="QPS479" s="268"/>
      <c r="QPT479" s="268"/>
      <c r="QPU479" s="268"/>
      <c r="QPV479" s="268"/>
      <c r="QPW479" s="268"/>
      <c r="QPX479" s="268"/>
      <c r="QPY479" s="268"/>
      <c r="QPZ479" s="268"/>
      <c r="QQA479" s="268"/>
      <c r="QQB479" s="268"/>
      <c r="QQC479" s="268"/>
      <c r="QQD479" s="268"/>
      <c r="QQE479" s="268"/>
      <c r="QQF479" s="268"/>
      <c r="QQG479" s="268"/>
      <c r="QQH479" s="268"/>
      <c r="QQI479" s="268"/>
      <c r="QQJ479" s="268"/>
      <c r="QQK479" s="268"/>
      <c r="QQL479" s="268"/>
      <c r="QQM479" s="268"/>
      <c r="QQN479" s="268"/>
      <c r="QQO479" s="268"/>
      <c r="QQP479" s="268"/>
      <c r="QQQ479" s="268"/>
      <c r="QQR479" s="268"/>
      <c r="QQS479" s="268"/>
      <c r="QQT479" s="268"/>
      <c r="QQU479" s="268"/>
      <c r="QQV479" s="268"/>
      <c r="QQW479" s="268"/>
      <c r="QQX479" s="268"/>
      <c r="QQY479" s="268"/>
      <c r="QQZ479" s="268"/>
      <c r="QRA479" s="268"/>
      <c r="QRB479" s="268"/>
      <c r="QRC479" s="268"/>
      <c r="QRD479" s="268"/>
      <c r="QRE479" s="268"/>
      <c r="QRF479" s="268"/>
      <c r="QRG479" s="268"/>
      <c r="QRH479" s="268"/>
      <c r="QRI479" s="268"/>
      <c r="QRJ479" s="268"/>
      <c r="QRK479" s="268"/>
      <c r="QRL479" s="268"/>
      <c r="QRM479" s="268"/>
      <c r="QRN479" s="268"/>
      <c r="QRO479" s="268"/>
      <c r="QRP479" s="268"/>
      <c r="QRQ479" s="268"/>
      <c r="QRR479" s="268"/>
      <c r="QRS479" s="268"/>
      <c r="QRT479" s="268"/>
      <c r="QRU479" s="268"/>
      <c r="QRV479" s="268"/>
      <c r="QRW479" s="268"/>
      <c r="QRX479" s="268"/>
      <c r="QRY479" s="268"/>
      <c r="QRZ479" s="268"/>
      <c r="QSA479" s="268"/>
      <c r="QSB479" s="268"/>
      <c r="QSC479" s="268"/>
      <c r="QSD479" s="268"/>
      <c r="QSE479" s="268"/>
      <c r="QSF479" s="268"/>
      <c r="QSG479" s="268"/>
      <c r="QSH479" s="268"/>
      <c r="QSI479" s="268"/>
      <c r="QSJ479" s="268"/>
      <c r="QSK479" s="268"/>
      <c r="QSL479" s="268"/>
      <c r="QSM479" s="268"/>
      <c r="QSN479" s="268"/>
      <c r="QSO479" s="268"/>
      <c r="QSP479" s="268"/>
      <c r="QSQ479" s="268"/>
      <c r="QSR479" s="268"/>
      <c r="QSS479" s="268"/>
      <c r="QST479" s="268"/>
      <c r="QSU479" s="268"/>
      <c r="QSV479" s="268"/>
      <c r="QSW479" s="268"/>
      <c r="QSX479" s="268"/>
      <c r="QSY479" s="268"/>
      <c r="QSZ479" s="268"/>
      <c r="QTA479" s="268"/>
      <c r="QTB479" s="268"/>
      <c r="QTC479" s="268"/>
      <c r="QTD479" s="268"/>
      <c r="QTE479" s="268"/>
      <c r="QTF479" s="268"/>
      <c r="QTG479" s="268"/>
      <c r="QTH479" s="268"/>
      <c r="QTI479" s="268"/>
      <c r="QTJ479" s="268"/>
      <c r="QTK479" s="268"/>
      <c r="QTY479" s="268"/>
      <c r="QTZ479" s="268"/>
      <c r="QUA479" s="268"/>
      <c r="QUO479" s="268"/>
      <c r="QUQ479" s="268"/>
      <c r="QUR479" s="268"/>
      <c r="QUS479" s="268"/>
      <c r="QUT479" s="268"/>
      <c r="QUU479" s="268"/>
      <c r="QUV479" s="268"/>
      <c r="QUW479" s="268"/>
      <c r="QUX479" s="268"/>
      <c r="QUY479" s="268"/>
      <c r="QUZ479" s="268"/>
      <c r="QVA479" s="268"/>
      <c r="QVB479" s="268"/>
      <c r="QVC479" s="268"/>
      <c r="QVD479" s="268"/>
      <c r="QVE479" s="268"/>
      <c r="QVF479" s="268"/>
      <c r="QVG479" s="268"/>
      <c r="QVH479" s="268"/>
      <c r="QVI479" s="268"/>
      <c r="QVJ479" s="268"/>
      <c r="QVK479" s="268"/>
      <c r="QVL479" s="268"/>
      <c r="QVM479" s="268"/>
      <c r="QVN479" s="268"/>
      <c r="QVO479" s="268"/>
      <c r="QVP479" s="268"/>
      <c r="QVQ479" s="268"/>
      <c r="QVR479" s="268"/>
      <c r="QVS479" s="268"/>
      <c r="QVT479" s="268"/>
      <c r="QVU479" s="268"/>
      <c r="QVV479" s="268"/>
      <c r="QVW479" s="268"/>
      <c r="QVX479" s="268"/>
      <c r="QVY479" s="268"/>
      <c r="QVZ479" s="268"/>
      <c r="QWA479" s="268"/>
      <c r="QWB479" s="268"/>
      <c r="QWC479" s="268"/>
      <c r="QWD479" s="268"/>
      <c r="QWE479" s="268"/>
      <c r="QWF479" s="268"/>
      <c r="QWG479" s="268"/>
      <c r="QWH479" s="268"/>
      <c r="QWI479" s="268"/>
      <c r="QWJ479" s="268"/>
      <c r="QWK479" s="268"/>
      <c r="QWL479" s="268"/>
      <c r="QWM479" s="268"/>
      <c r="QWN479" s="268"/>
      <c r="QWO479" s="268"/>
      <c r="QWP479" s="268"/>
      <c r="QWQ479" s="268"/>
      <c r="QWR479" s="268"/>
      <c r="QWS479" s="268"/>
      <c r="QWT479" s="268"/>
      <c r="QWU479" s="268"/>
      <c r="QWV479" s="268"/>
      <c r="QWW479" s="268"/>
      <c r="QWX479" s="268"/>
      <c r="QWY479" s="268"/>
      <c r="QWZ479" s="268"/>
      <c r="QXA479" s="268"/>
      <c r="QXB479" s="268"/>
      <c r="QXC479" s="268"/>
      <c r="QXD479" s="268"/>
      <c r="QXE479" s="268"/>
      <c r="QXF479" s="268"/>
      <c r="QXG479" s="268"/>
      <c r="QXH479" s="268"/>
      <c r="QXI479" s="268"/>
      <c r="QXJ479" s="268"/>
      <c r="QXK479" s="268"/>
      <c r="QXL479" s="268"/>
      <c r="QXM479" s="268"/>
      <c r="QXN479" s="268"/>
      <c r="QXO479" s="268"/>
      <c r="QXP479" s="268"/>
      <c r="QXQ479" s="268"/>
      <c r="QXR479" s="268"/>
      <c r="QXS479" s="268"/>
      <c r="QXT479" s="268"/>
      <c r="QXU479" s="268"/>
      <c r="QXV479" s="268"/>
      <c r="QXW479" s="268"/>
      <c r="QXX479" s="268"/>
      <c r="QXY479" s="268"/>
      <c r="QXZ479" s="268"/>
      <c r="QYA479" s="268"/>
      <c r="QYB479" s="268"/>
      <c r="QYC479" s="268"/>
      <c r="QYD479" s="268"/>
      <c r="QYE479" s="268"/>
      <c r="QYF479" s="268"/>
      <c r="QYG479" s="268"/>
      <c r="QYH479" s="268"/>
      <c r="QYI479" s="268"/>
      <c r="QYJ479" s="268"/>
      <c r="QYK479" s="268"/>
      <c r="QYL479" s="268"/>
      <c r="QYM479" s="268"/>
      <c r="QYN479" s="268"/>
      <c r="QYO479" s="268"/>
      <c r="QYP479" s="268"/>
      <c r="QYQ479" s="268"/>
      <c r="QYR479" s="268"/>
      <c r="QYS479" s="268"/>
      <c r="QYT479" s="268"/>
      <c r="QYU479" s="268"/>
      <c r="QYV479" s="268"/>
      <c r="QYW479" s="268"/>
      <c r="QYX479" s="268"/>
      <c r="QYY479" s="268"/>
      <c r="QYZ479" s="268"/>
      <c r="QZA479" s="268"/>
      <c r="QZB479" s="268"/>
      <c r="QZC479" s="268"/>
      <c r="QZD479" s="268"/>
      <c r="QZE479" s="268"/>
      <c r="QZF479" s="268"/>
      <c r="QZG479" s="268"/>
      <c r="QZH479" s="268"/>
      <c r="QZI479" s="268"/>
      <c r="QZJ479" s="268"/>
      <c r="QZK479" s="268"/>
      <c r="QZL479" s="268"/>
      <c r="QZM479" s="268"/>
      <c r="QZN479" s="268"/>
      <c r="QZO479" s="268"/>
      <c r="QZP479" s="268"/>
      <c r="QZQ479" s="268"/>
      <c r="QZR479" s="268"/>
      <c r="QZS479" s="268"/>
      <c r="QZT479" s="268"/>
      <c r="QZU479" s="268"/>
      <c r="QZV479" s="268"/>
      <c r="QZW479" s="268"/>
      <c r="QZX479" s="268"/>
      <c r="QZY479" s="268"/>
      <c r="QZZ479" s="268"/>
      <c r="RAA479" s="268"/>
      <c r="RAB479" s="268"/>
      <c r="RAC479" s="268"/>
      <c r="RAD479" s="268"/>
      <c r="RAE479" s="268"/>
      <c r="RAF479" s="268"/>
      <c r="RAG479" s="268"/>
      <c r="RAH479" s="268"/>
      <c r="RAI479" s="268"/>
      <c r="RAJ479" s="268"/>
      <c r="RAK479" s="268"/>
      <c r="RAL479" s="268"/>
      <c r="RAM479" s="268"/>
      <c r="RAN479" s="268"/>
      <c r="RAO479" s="268"/>
      <c r="RAP479" s="268"/>
      <c r="RAQ479" s="268"/>
      <c r="RAR479" s="268"/>
      <c r="RAS479" s="268"/>
      <c r="RAT479" s="268"/>
      <c r="RAU479" s="268"/>
      <c r="RAV479" s="268"/>
      <c r="RAW479" s="268"/>
      <c r="RAX479" s="268"/>
      <c r="RAY479" s="268"/>
      <c r="RAZ479" s="268"/>
      <c r="RBA479" s="268"/>
      <c r="RBB479" s="268"/>
      <c r="RBC479" s="268"/>
      <c r="RBD479" s="268"/>
      <c r="RBE479" s="268"/>
      <c r="RBF479" s="268"/>
      <c r="RBG479" s="268"/>
      <c r="RBH479" s="268"/>
      <c r="RBI479" s="268"/>
      <c r="RBJ479" s="268"/>
      <c r="RBK479" s="268"/>
      <c r="RBL479" s="268"/>
      <c r="RBM479" s="268"/>
      <c r="RBN479" s="268"/>
      <c r="RBO479" s="268"/>
      <c r="RBP479" s="268"/>
      <c r="RBQ479" s="268"/>
      <c r="RBR479" s="268"/>
      <c r="RBS479" s="268"/>
      <c r="RBT479" s="268"/>
      <c r="RBU479" s="268"/>
      <c r="RBV479" s="268"/>
      <c r="RBW479" s="268"/>
      <c r="RBX479" s="268"/>
      <c r="RBY479" s="268"/>
      <c r="RBZ479" s="268"/>
      <c r="RCA479" s="268"/>
      <c r="RCB479" s="268"/>
      <c r="RCC479" s="268"/>
      <c r="RCD479" s="268"/>
      <c r="RCE479" s="268"/>
      <c r="RCF479" s="268"/>
      <c r="RCG479" s="268"/>
      <c r="RCH479" s="268"/>
      <c r="RCI479" s="268"/>
      <c r="RCJ479" s="268"/>
      <c r="RCK479" s="268"/>
      <c r="RCL479" s="268"/>
      <c r="RCM479" s="268"/>
      <c r="RCN479" s="268"/>
      <c r="RCO479" s="268"/>
      <c r="RCP479" s="268"/>
      <c r="RCQ479" s="268"/>
      <c r="RCR479" s="268"/>
      <c r="RCS479" s="268"/>
      <c r="RCT479" s="268"/>
      <c r="RCU479" s="268"/>
      <c r="RCV479" s="268"/>
      <c r="RCW479" s="268"/>
      <c r="RCX479" s="268"/>
      <c r="RCY479" s="268"/>
      <c r="RCZ479" s="268"/>
      <c r="RDA479" s="268"/>
      <c r="RDB479" s="268"/>
      <c r="RDC479" s="268"/>
      <c r="RDD479" s="268"/>
      <c r="RDE479" s="268"/>
      <c r="RDF479" s="268"/>
      <c r="RDG479" s="268"/>
      <c r="RDU479" s="268"/>
      <c r="RDV479" s="268"/>
      <c r="RDW479" s="268"/>
      <c r="REK479" s="268"/>
      <c r="REM479" s="268"/>
      <c r="REN479" s="268"/>
      <c r="REO479" s="268"/>
      <c r="REP479" s="268"/>
      <c r="REQ479" s="268"/>
      <c r="RER479" s="268"/>
      <c r="RES479" s="268"/>
      <c r="RET479" s="268"/>
      <c r="REU479" s="268"/>
      <c r="REV479" s="268"/>
      <c r="REW479" s="268"/>
      <c r="REX479" s="268"/>
      <c r="REY479" s="268"/>
      <c r="REZ479" s="268"/>
      <c r="RFA479" s="268"/>
      <c r="RFB479" s="268"/>
      <c r="RFC479" s="268"/>
      <c r="RFD479" s="268"/>
      <c r="RFE479" s="268"/>
      <c r="RFF479" s="268"/>
      <c r="RFG479" s="268"/>
      <c r="RFH479" s="268"/>
      <c r="RFI479" s="268"/>
      <c r="RFJ479" s="268"/>
      <c r="RFK479" s="268"/>
      <c r="RFL479" s="268"/>
      <c r="RFM479" s="268"/>
      <c r="RFN479" s="268"/>
      <c r="RFO479" s="268"/>
      <c r="RFP479" s="268"/>
      <c r="RFQ479" s="268"/>
      <c r="RFR479" s="268"/>
      <c r="RFS479" s="268"/>
      <c r="RFT479" s="268"/>
      <c r="RFU479" s="268"/>
      <c r="RFV479" s="268"/>
      <c r="RFW479" s="268"/>
      <c r="RFX479" s="268"/>
      <c r="RFY479" s="268"/>
      <c r="RFZ479" s="268"/>
      <c r="RGA479" s="268"/>
      <c r="RGB479" s="268"/>
      <c r="RGC479" s="268"/>
      <c r="RGD479" s="268"/>
      <c r="RGE479" s="268"/>
      <c r="RGF479" s="268"/>
      <c r="RGG479" s="268"/>
      <c r="RGH479" s="268"/>
      <c r="RGI479" s="268"/>
      <c r="RGJ479" s="268"/>
      <c r="RGK479" s="268"/>
      <c r="RGL479" s="268"/>
      <c r="RGM479" s="268"/>
      <c r="RGN479" s="268"/>
      <c r="RGO479" s="268"/>
      <c r="RGP479" s="268"/>
      <c r="RGQ479" s="268"/>
      <c r="RGR479" s="268"/>
      <c r="RGS479" s="268"/>
      <c r="RGT479" s="268"/>
      <c r="RGU479" s="268"/>
      <c r="RGV479" s="268"/>
      <c r="RGW479" s="268"/>
      <c r="RGX479" s="268"/>
      <c r="RGY479" s="268"/>
      <c r="RGZ479" s="268"/>
      <c r="RHA479" s="268"/>
      <c r="RHB479" s="268"/>
      <c r="RHC479" s="268"/>
      <c r="RHD479" s="268"/>
      <c r="RHE479" s="268"/>
      <c r="RHF479" s="268"/>
      <c r="RHG479" s="268"/>
      <c r="RHH479" s="268"/>
      <c r="RHI479" s="268"/>
      <c r="RHJ479" s="268"/>
      <c r="RHK479" s="268"/>
      <c r="RHL479" s="268"/>
      <c r="RHM479" s="268"/>
      <c r="RHN479" s="268"/>
      <c r="RHO479" s="268"/>
      <c r="RHP479" s="268"/>
      <c r="RHQ479" s="268"/>
      <c r="RHR479" s="268"/>
      <c r="RHS479" s="268"/>
      <c r="RHT479" s="268"/>
      <c r="RHU479" s="268"/>
      <c r="RHV479" s="268"/>
      <c r="RHW479" s="268"/>
      <c r="RHX479" s="268"/>
      <c r="RHY479" s="268"/>
      <c r="RHZ479" s="268"/>
      <c r="RIA479" s="268"/>
      <c r="RIB479" s="268"/>
      <c r="RIC479" s="268"/>
      <c r="RID479" s="268"/>
      <c r="RIE479" s="268"/>
      <c r="RIF479" s="268"/>
      <c r="RIG479" s="268"/>
      <c r="RIH479" s="268"/>
      <c r="RII479" s="268"/>
      <c r="RIJ479" s="268"/>
      <c r="RIK479" s="268"/>
      <c r="RIL479" s="268"/>
      <c r="RIM479" s="268"/>
      <c r="RIN479" s="268"/>
      <c r="RIO479" s="268"/>
      <c r="RIP479" s="268"/>
      <c r="RIQ479" s="268"/>
      <c r="RIR479" s="268"/>
      <c r="RIS479" s="268"/>
      <c r="RIT479" s="268"/>
      <c r="RIU479" s="268"/>
      <c r="RIV479" s="268"/>
      <c r="RIW479" s="268"/>
      <c r="RIX479" s="268"/>
      <c r="RIY479" s="268"/>
      <c r="RIZ479" s="268"/>
      <c r="RJA479" s="268"/>
      <c r="RJB479" s="268"/>
      <c r="RJC479" s="268"/>
      <c r="RJD479" s="268"/>
      <c r="RJE479" s="268"/>
      <c r="RJF479" s="268"/>
      <c r="RJG479" s="268"/>
      <c r="RJH479" s="268"/>
      <c r="RJI479" s="268"/>
      <c r="RJJ479" s="268"/>
      <c r="RJK479" s="268"/>
      <c r="RJL479" s="268"/>
      <c r="RJM479" s="268"/>
      <c r="RJN479" s="268"/>
      <c r="RJO479" s="268"/>
      <c r="RJP479" s="268"/>
      <c r="RJQ479" s="268"/>
      <c r="RJR479" s="268"/>
      <c r="RJS479" s="268"/>
      <c r="RJT479" s="268"/>
      <c r="RJU479" s="268"/>
      <c r="RJV479" s="268"/>
      <c r="RJW479" s="268"/>
      <c r="RJX479" s="268"/>
      <c r="RJY479" s="268"/>
      <c r="RJZ479" s="268"/>
      <c r="RKA479" s="268"/>
      <c r="RKB479" s="268"/>
      <c r="RKC479" s="268"/>
      <c r="RKD479" s="268"/>
      <c r="RKE479" s="268"/>
      <c r="RKF479" s="268"/>
      <c r="RKG479" s="268"/>
      <c r="RKH479" s="268"/>
      <c r="RKI479" s="268"/>
      <c r="RKJ479" s="268"/>
      <c r="RKK479" s="268"/>
      <c r="RKL479" s="268"/>
      <c r="RKM479" s="268"/>
      <c r="RKN479" s="268"/>
      <c r="RKO479" s="268"/>
      <c r="RKP479" s="268"/>
      <c r="RKQ479" s="268"/>
      <c r="RKR479" s="268"/>
      <c r="RKS479" s="268"/>
      <c r="RKT479" s="268"/>
      <c r="RKU479" s="268"/>
      <c r="RKV479" s="268"/>
      <c r="RKW479" s="268"/>
      <c r="RKX479" s="268"/>
      <c r="RKY479" s="268"/>
      <c r="RKZ479" s="268"/>
      <c r="RLA479" s="268"/>
      <c r="RLB479" s="268"/>
      <c r="RLC479" s="268"/>
      <c r="RLD479" s="268"/>
      <c r="RLE479" s="268"/>
      <c r="RLF479" s="268"/>
      <c r="RLG479" s="268"/>
      <c r="RLH479" s="268"/>
      <c r="RLI479" s="268"/>
      <c r="RLJ479" s="268"/>
      <c r="RLK479" s="268"/>
      <c r="RLL479" s="268"/>
      <c r="RLM479" s="268"/>
      <c r="RLN479" s="268"/>
      <c r="RLO479" s="268"/>
      <c r="RLP479" s="268"/>
      <c r="RLQ479" s="268"/>
      <c r="RLR479" s="268"/>
      <c r="RLS479" s="268"/>
      <c r="RLT479" s="268"/>
      <c r="RLU479" s="268"/>
      <c r="RLV479" s="268"/>
      <c r="RLW479" s="268"/>
      <c r="RLX479" s="268"/>
      <c r="RLY479" s="268"/>
      <c r="RLZ479" s="268"/>
      <c r="RMA479" s="268"/>
      <c r="RMB479" s="268"/>
      <c r="RMC479" s="268"/>
      <c r="RMD479" s="268"/>
      <c r="RME479" s="268"/>
      <c r="RMF479" s="268"/>
      <c r="RMG479" s="268"/>
      <c r="RMH479" s="268"/>
      <c r="RMI479" s="268"/>
      <c r="RMJ479" s="268"/>
      <c r="RMK479" s="268"/>
      <c r="RML479" s="268"/>
      <c r="RMM479" s="268"/>
      <c r="RMN479" s="268"/>
      <c r="RMO479" s="268"/>
      <c r="RMP479" s="268"/>
      <c r="RMQ479" s="268"/>
      <c r="RMR479" s="268"/>
      <c r="RMS479" s="268"/>
      <c r="RMT479" s="268"/>
      <c r="RMU479" s="268"/>
      <c r="RMV479" s="268"/>
      <c r="RMW479" s="268"/>
      <c r="RMX479" s="268"/>
      <c r="RMY479" s="268"/>
      <c r="RMZ479" s="268"/>
      <c r="RNA479" s="268"/>
      <c r="RNB479" s="268"/>
      <c r="RNC479" s="268"/>
      <c r="RNQ479" s="268"/>
      <c r="RNR479" s="268"/>
      <c r="RNS479" s="268"/>
      <c r="ROG479" s="268"/>
      <c r="ROI479" s="268"/>
      <c r="ROJ479" s="268"/>
      <c r="ROK479" s="268"/>
      <c r="ROL479" s="268"/>
      <c r="ROM479" s="268"/>
      <c r="RON479" s="268"/>
      <c r="ROO479" s="268"/>
      <c r="ROP479" s="268"/>
      <c r="ROQ479" s="268"/>
      <c r="ROR479" s="268"/>
      <c r="ROS479" s="268"/>
      <c r="ROT479" s="268"/>
      <c r="ROU479" s="268"/>
      <c r="ROV479" s="268"/>
      <c r="ROW479" s="268"/>
      <c r="ROX479" s="268"/>
      <c r="ROY479" s="268"/>
      <c r="ROZ479" s="268"/>
      <c r="RPA479" s="268"/>
      <c r="RPB479" s="268"/>
      <c r="RPC479" s="268"/>
      <c r="RPD479" s="268"/>
      <c r="RPE479" s="268"/>
      <c r="RPF479" s="268"/>
      <c r="RPG479" s="268"/>
      <c r="RPH479" s="268"/>
      <c r="RPI479" s="268"/>
      <c r="RPJ479" s="268"/>
      <c r="RPK479" s="268"/>
      <c r="RPL479" s="268"/>
      <c r="RPM479" s="268"/>
      <c r="RPN479" s="268"/>
      <c r="RPO479" s="268"/>
      <c r="RPP479" s="268"/>
      <c r="RPQ479" s="268"/>
      <c r="RPR479" s="268"/>
      <c r="RPS479" s="268"/>
      <c r="RPT479" s="268"/>
      <c r="RPU479" s="268"/>
      <c r="RPV479" s="268"/>
      <c r="RPW479" s="268"/>
      <c r="RPX479" s="268"/>
      <c r="RPY479" s="268"/>
      <c r="RPZ479" s="268"/>
      <c r="RQA479" s="268"/>
      <c r="RQB479" s="268"/>
      <c r="RQC479" s="268"/>
      <c r="RQD479" s="268"/>
      <c r="RQE479" s="268"/>
      <c r="RQF479" s="268"/>
      <c r="RQG479" s="268"/>
      <c r="RQH479" s="268"/>
      <c r="RQI479" s="268"/>
      <c r="RQJ479" s="268"/>
      <c r="RQK479" s="268"/>
      <c r="RQL479" s="268"/>
      <c r="RQM479" s="268"/>
      <c r="RQN479" s="268"/>
      <c r="RQO479" s="268"/>
      <c r="RQP479" s="268"/>
      <c r="RQQ479" s="268"/>
      <c r="RQR479" s="268"/>
      <c r="RQS479" s="268"/>
      <c r="RQT479" s="268"/>
      <c r="RQU479" s="268"/>
      <c r="RQV479" s="268"/>
      <c r="RQW479" s="268"/>
      <c r="RQX479" s="268"/>
      <c r="RQY479" s="268"/>
      <c r="RQZ479" s="268"/>
      <c r="RRA479" s="268"/>
      <c r="RRB479" s="268"/>
      <c r="RRC479" s="268"/>
      <c r="RRD479" s="268"/>
      <c r="RRE479" s="268"/>
      <c r="RRF479" s="268"/>
      <c r="RRG479" s="268"/>
      <c r="RRH479" s="268"/>
      <c r="RRI479" s="268"/>
      <c r="RRJ479" s="268"/>
      <c r="RRK479" s="268"/>
      <c r="RRL479" s="268"/>
      <c r="RRM479" s="268"/>
      <c r="RRN479" s="268"/>
      <c r="RRO479" s="268"/>
      <c r="RRP479" s="268"/>
      <c r="RRQ479" s="268"/>
      <c r="RRR479" s="268"/>
      <c r="RRS479" s="268"/>
      <c r="RRT479" s="268"/>
      <c r="RRU479" s="268"/>
      <c r="RRV479" s="268"/>
      <c r="RRW479" s="268"/>
      <c r="RRX479" s="268"/>
      <c r="RRY479" s="268"/>
      <c r="RRZ479" s="268"/>
      <c r="RSA479" s="268"/>
      <c r="RSB479" s="268"/>
      <c r="RSC479" s="268"/>
      <c r="RSD479" s="268"/>
      <c r="RSE479" s="268"/>
      <c r="RSF479" s="268"/>
      <c r="RSG479" s="268"/>
      <c r="RSH479" s="268"/>
      <c r="RSI479" s="268"/>
      <c r="RSJ479" s="268"/>
      <c r="RSK479" s="268"/>
      <c r="RSL479" s="268"/>
      <c r="RSM479" s="268"/>
      <c r="RSN479" s="268"/>
      <c r="RSO479" s="268"/>
      <c r="RSP479" s="268"/>
      <c r="RSQ479" s="268"/>
      <c r="RSR479" s="268"/>
      <c r="RSS479" s="268"/>
      <c r="RST479" s="268"/>
      <c r="RSU479" s="268"/>
      <c r="RSV479" s="268"/>
      <c r="RSW479" s="268"/>
      <c r="RSX479" s="268"/>
      <c r="RSY479" s="268"/>
      <c r="RSZ479" s="268"/>
      <c r="RTA479" s="268"/>
      <c r="RTB479" s="268"/>
      <c r="RTC479" s="268"/>
      <c r="RTD479" s="268"/>
      <c r="RTE479" s="268"/>
      <c r="RTF479" s="268"/>
      <c r="RTG479" s="268"/>
      <c r="RTH479" s="268"/>
      <c r="RTI479" s="268"/>
      <c r="RTJ479" s="268"/>
      <c r="RTK479" s="268"/>
      <c r="RTL479" s="268"/>
      <c r="RTM479" s="268"/>
      <c r="RTN479" s="268"/>
      <c r="RTO479" s="268"/>
      <c r="RTP479" s="268"/>
      <c r="RTQ479" s="268"/>
      <c r="RTR479" s="268"/>
      <c r="RTS479" s="268"/>
      <c r="RTT479" s="268"/>
      <c r="RTU479" s="268"/>
      <c r="RTV479" s="268"/>
      <c r="RTW479" s="268"/>
      <c r="RTX479" s="268"/>
      <c r="RTY479" s="268"/>
      <c r="RTZ479" s="268"/>
      <c r="RUA479" s="268"/>
      <c r="RUB479" s="268"/>
      <c r="RUC479" s="268"/>
      <c r="RUD479" s="268"/>
      <c r="RUE479" s="268"/>
      <c r="RUF479" s="268"/>
      <c r="RUG479" s="268"/>
      <c r="RUH479" s="268"/>
      <c r="RUI479" s="268"/>
      <c r="RUJ479" s="268"/>
      <c r="RUK479" s="268"/>
      <c r="RUL479" s="268"/>
      <c r="RUM479" s="268"/>
      <c r="RUN479" s="268"/>
      <c r="RUO479" s="268"/>
      <c r="RUP479" s="268"/>
      <c r="RUQ479" s="268"/>
      <c r="RUR479" s="268"/>
      <c r="RUS479" s="268"/>
      <c r="RUT479" s="268"/>
      <c r="RUU479" s="268"/>
      <c r="RUV479" s="268"/>
      <c r="RUW479" s="268"/>
      <c r="RUX479" s="268"/>
      <c r="RUY479" s="268"/>
      <c r="RUZ479" s="268"/>
      <c r="RVA479" s="268"/>
      <c r="RVB479" s="268"/>
      <c r="RVC479" s="268"/>
      <c r="RVD479" s="268"/>
      <c r="RVE479" s="268"/>
      <c r="RVF479" s="268"/>
      <c r="RVG479" s="268"/>
      <c r="RVH479" s="268"/>
      <c r="RVI479" s="268"/>
      <c r="RVJ479" s="268"/>
      <c r="RVK479" s="268"/>
      <c r="RVL479" s="268"/>
      <c r="RVM479" s="268"/>
      <c r="RVN479" s="268"/>
      <c r="RVO479" s="268"/>
      <c r="RVP479" s="268"/>
      <c r="RVQ479" s="268"/>
      <c r="RVR479" s="268"/>
      <c r="RVS479" s="268"/>
      <c r="RVT479" s="268"/>
      <c r="RVU479" s="268"/>
      <c r="RVV479" s="268"/>
      <c r="RVW479" s="268"/>
      <c r="RVX479" s="268"/>
      <c r="RVY479" s="268"/>
      <c r="RVZ479" s="268"/>
      <c r="RWA479" s="268"/>
      <c r="RWB479" s="268"/>
      <c r="RWC479" s="268"/>
      <c r="RWD479" s="268"/>
      <c r="RWE479" s="268"/>
      <c r="RWF479" s="268"/>
      <c r="RWG479" s="268"/>
      <c r="RWH479" s="268"/>
      <c r="RWI479" s="268"/>
      <c r="RWJ479" s="268"/>
      <c r="RWK479" s="268"/>
      <c r="RWL479" s="268"/>
      <c r="RWM479" s="268"/>
      <c r="RWN479" s="268"/>
      <c r="RWO479" s="268"/>
      <c r="RWP479" s="268"/>
      <c r="RWQ479" s="268"/>
      <c r="RWR479" s="268"/>
      <c r="RWS479" s="268"/>
      <c r="RWT479" s="268"/>
      <c r="RWU479" s="268"/>
      <c r="RWV479" s="268"/>
      <c r="RWW479" s="268"/>
      <c r="RWX479" s="268"/>
      <c r="RWY479" s="268"/>
      <c r="RXM479" s="268"/>
      <c r="RXN479" s="268"/>
      <c r="RXO479" s="268"/>
      <c r="RYC479" s="268"/>
      <c r="RYE479" s="268"/>
      <c r="RYF479" s="268"/>
      <c r="RYG479" s="268"/>
      <c r="RYH479" s="268"/>
      <c r="RYI479" s="268"/>
      <c r="RYJ479" s="268"/>
      <c r="RYK479" s="268"/>
      <c r="RYL479" s="268"/>
      <c r="RYM479" s="268"/>
      <c r="RYN479" s="268"/>
      <c r="RYO479" s="268"/>
      <c r="RYP479" s="268"/>
      <c r="RYQ479" s="268"/>
      <c r="RYR479" s="268"/>
      <c r="RYS479" s="268"/>
      <c r="RYT479" s="268"/>
      <c r="RYU479" s="268"/>
      <c r="RYV479" s="268"/>
      <c r="RYW479" s="268"/>
      <c r="RYX479" s="268"/>
      <c r="RYY479" s="268"/>
      <c r="RYZ479" s="268"/>
      <c r="RZA479" s="268"/>
      <c r="RZB479" s="268"/>
      <c r="RZC479" s="268"/>
      <c r="RZD479" s="268"/>
      <c r="RZE479" s="268"/>
      <c r="RZF479" s="268"/>
      <c r="RZG479" s="268"/>
      <c r="RZH479" s="268"/>
      <c r="RZI479" s="268"/>
      <c r="RZJ479" s="268"/>
      <c r="RZK479" s="268"/>
      <c r="RZL479" s="268"/>
      <c r="RZM479" s="268"/>
      <c r="RZN479" s="268"/>
      <c r="RZO479" s="268"/>
      <c r="RZP479" s="268"/>
      <c r="RZQ479" s="268"/>
      <c r="RZR479" s="268"/>
      <c r="RZS479" s="268"/>
      <c r="RZT479" s="268"/>
      <c r="RZU479" s="268"/>
      <c r="RZV479" s="268"/>
      <c r="RZW479" s="268"/>
      <c r="RZX479" s="268"/>
      <c r="RZY479" s="268"/>
      <c r="RZZ479" s="268"/>
      <c r="SAA479" s="268"/>
      <c r="SAB479" s="268"/>
      <c r="SAC479" s="268"/>
      <c r="SAD479" s="268"/>
      <c r="SAE479" s="268"/>
      <c r="SAF479" s="268"/>
      <c r="SAG479" s="268"/>
      <c r="SAH479" s="268"/>
      <c r="SAI479" s="268"/>
      <c r="SAJ479" s="268"/>
      <c r="SAK479" s="268"/>
      <c r="SAL479" s="268"/>
      <c r="SAM479" s="268"/>
      <c r="SAN479" s="268"/>
      <c r="SAO479" s="268"/>
      <c r="SAP479" s="268"/>
      <c r="SAQ479" s="268"/>
      <c r="SAR479" s="268"/>
      <c r="SAS479" s="268"/>
      <c r="SAT479" s="268"/>
      <c r="SAU479" s="268"/>
      <c r="SAV479" s="268"/>
      <c r="SAW479" s="268"/>
      <c r="SAX479" s="268"/>
      <c r="SAY479" s="268"/>
      <c r="SAZ479" s="268"/>
      <c r="SBA479" s="268"/>
      <c r="SBB479" s="268"/>
      <c r="SBC479" s="268"/>
      <c r="SBD479" s="268"/>
      <c r="SBE479" s="268"/>
      <c r="SBF479" s="268"/>
      <c r="SBG479" s="268"/>
      <c r="SBH479" s="268"/>
      <c r="SBI479" s="268"/>
      <c r="SBJ479" s="268"/>
      <c r="SBK479" s="268"/>
      <c r="SBL479" s="268"/>
      <c r="SBM479" s="268"/>
      <c r="SBN479" s="268"/>
      <c r="SBO479" s="268"/>
      <c r="SBP479" s="268"/>
      <c r="SBQ479" s="268"/>
      <c r="SBR479" s="268"/>
      <c r="SBS479" s="268"/>
      <c r="SBT479" s="268"/>
      <c r="SBU479" s="268"/>
      <c r="SBV479" s="268"/>
      <c r="SBW479" s="268"/>
      <c r="SBX479" s="268"/>
      <c r="SBY479" s="268"/>
      <c r="SBZ479" s="268"/>
      <c r="SCA479" s="268"/>
      <c r="SCB479" s="268"/>
      <c r="SCC479" s="268"/>
      <c r="SCD479" s="268"/>
      <c r="SCE479" s="268"/>
      <c r="SCF479" s="268"/>
      <c r="SCG479" s="268"/>
      <c r="SCH479" s="268"/>
      <c r="SCI479" s="268"/>
      <c r="SCJ479" s="268"/>
      <c r="SCK479" s="268"/>
      <c r="SCL479" s="268"/>
      <c r="SCM479" s="268"/>
      <c r="SCN479" s="268"/>
      <c r="SCO479" s="268"/>
      <c r="SCP479" s="268"/>
      <c r="SCQ479" s="268"/>
      <c r="SCR479" s="268"/>
      <c r="SCS479" s="268"/>
      <c r="SCT479" s="268"/>
      <c r="SCU479" s="268"/>
      <c r="SCV479" s="268"/>
      <c r="SCW479" s="268"/>
      <c r="SCX479" s="268"/>
      <c r="SCY479" s="268"/>
      <c r="SCZ479" s="268"/>
      <c r="SDA479" s="268"/>
      <c r="SDB479" s="268"/>
      <c r="SDC479" s="268"/>
      <c r="SDD479" s="268"/>
      <c r="SDE479" s="268"/>
      <c r="SDF479" s="268"/>
      <c r="SDG479" s="268"/>
      <c r="SDH479" s="268"/>
      <c r="SDI479" s="268"/>
      <c r="SDJ479" s="268"/>
      <c r="SDK479" s="268"/>
      <c r="SDL479" s="268"/>
      <c r="SDM479" s="268"/>
      <c r="SDN479" s="268"/>
      <c r="SDO479" s="268"/>
      <c r="SDP479" s="268"/>
      <c r="SDQ479" s="268"/>
      <c r="SDR479" s="268"/>
      <c r="SDS479" s="268"/>
      <c r="SDT479" s="268"/>
      <c r="SDU479" s="268"/>
      <c r="SDV479" s="268"/>
      <c r="SDW479" s="268"/>
      <c r="SDX479" s="268"/>
      <c r="SDY479" s="268"/>
      <c r="SDZ479" s="268"/>
      <c r="SEA479" s="268"/>
      <c r="SEB479" s="268"/>
      <c r="SEC479" s="268"/>
      <c r="SED479" s="268"/>
      <c r="SEE479" s="268"/>
      <c r="SEF479" s="268"/>
      <c r="SEG479" s="268"/>
      <c r="SEH479" s="268"/>
      <c r="SEI479" s="268"/>
      <c r="SEJ479" s="268"/>
      <c r="SEK479" s="268"/>
      <c r="SEL479" s="268"/>
      <c r="SEM479" s="268"/>
      <c r="SEN479" s="268"/>
      <c r="SEO479" s="268"/>
      <c r="SEP479" s="268"/>
      <c r="SEQ479" s="268"/>
      <c r="SER479" s="268"/>
      <c r="SES479" s="268"/>
      <c r="SET479" s="268"/>
      <c r="SEU479" s="268"/>
      <c r="SEV479" s="268"/>
      <c r="SEW479" s="268"/>
      <c r="SEX479" s="268"/>
      <c r="SEY479" s="268"/>
      <c r="SEZ479" s="268"/>
      <c r="SFA479" s="268"/>
      <c r="SFB479" s="268"/>
      <c r="SFC479" s="268"/>
      <c r="SFD479" s="268"/>
      <c r="SFE479" s="268"/>
      <c r="SFF479" s="268"/>
      <c r="SFG479" s="268"/>
      <c r="SFH479" s="268"/>
      <c r="SFI479" s="268"/>
      <c r="SFJ479" s="268"/>
      <c r="SFK479" s="268"/>
      <c r="SFL479" s="268"/>
      <c r="SFM479" s="268"/>
      <c r="SFN479" s="268"/>
      <c r="SFO479" s="268"/>
      <c r="SFP479" s="268"/>
      <c r="SFQ479" s="268"/>
      <c r="SFR479" s="268"/>
      <c r="SFS479" s="268"/>
      <c r="SFT479" s="268"/>
      <c r="SFU479" s="268"/>
      <c r="SFV479" s="268"/>
      <c r="SFW479" s="268"/>
      <c r="SFX479" s="268"/>
      <c r="SFY479" s="268"/>
      <c r="SFZ479" s="268"/>
      <c r="SGA479" s="268"/>
      <c r="SGB479" s="268"/>
      <c r="SGC479" s="268"/>
      <c r="SGD479" s="268"/>
      <c r="SGE479" s="268"/>
      <c r="SGF479" s="268"/>
      <c r="SGG479" s="268"/>
      <c r="SGH479" s="268"/>
      <c r="SGI479" s="268"/>
      <c r="SGJ479" s="268"/>
      <c r="SGK479" s="268"/>
      <c r="SGL479" s="268"/>
      <c r="SGM479" s="268"/>
      <c r="SGN479" s="268"/>
      <c r="SGO479" s="268"/>
      <c r="SGP479" s="268"/>
      <c r="SGQ479" s="268"/>
      <c r="SGR479" s="268"/>
      <c r="SGS479" s="268"/>
      <c r="SGT479" s="268"/>
      <c r="SGU479" s="268"/>
      <c r="SHI479" s="268"/>
      <c r="SHJ479" s="268"/>
      <c r="SHK479" s="268"/>
      <c r="SHY479" s="268"/>
      <c r="SIA479" s="268"/>
      <c r="SIB479" s="268"/>
      <c r="SIC479" s="268"/>
      <c r="SID479" s="268"/>
      <c r="SIE479" s="268"/>
      <c r="SIF479" s="268"/>
      <c r="SIG479" s="268"/>
      <c r="SIH479" s="268"/>
      <c r="SII479" s="268"/>
      <c r="SIJ479" s="268"/>
      <c r="SIK479" s="268"/>
      <c r="SIL479" s="268"/>
      <c r="SIM479" s="268"/>
      <c r="SIN479" s="268"/>
      <c r="SIO479" s="268"/>
      <c r="SIP479" s="268"/>
      <c r="SIQ479" s="268"/>
      <c r="SIR479" s="268"/>
      <c r="SIS479" s="268"/>
      <c r="SIT479" s="268"/>
      <c r="SIU479" s="268"/>
      <c r="SIV479" s="268"/>
      <c r="SIW479" s="268"/>
      <c r="SIX479" s="268"/>
      <c r="SIY479" s="268"/>
      <c r="SIZ479" s="268"/>
      <c r="SJA479" s="268"/>
      <c r="SJB479" s="268"/>
      <c r="SJC479" s="268"/>
      <c r="SJD479" s="268"/>
      <c r="SJE479" s="268"/>
      <c r="SJF479" s="268"/>
      <c r="SJG479" s="268"/>
      <c r="SJH479" s="268"/>
      <c r="SJI479" s="268"/>
      <c r="SJJ479" s="268"/>
      <c r="SJK479" s="268"/>
      <c r="SJL479" s="268"/>
      <c r="SJM479" s="268"/>
      <c r="SJN479" s="268"/>
      <c r="SJO479" s="268"/>
      <c r="SJP479" s="268"/>
      <c r="SJQ479" s="268"/>
      <c r="SJR479" s="268"/>
      <c r="SJS479" s="268"/>
      <c r="SJT479" s="268"/>
      <c r="SJU479" s="268"/>
      <c r="SJV479" s="268"/>
      <c r="SJW479" s="268"/>
      <c r="SJX479" s="268"/>
      <c r="SJY479" s="268"/>
      <c r="SJZ479" s="268"/>
      <c r="SKA479" s="268"/>
      <c r="SKB479" s="268"/>
      <c r="SKC479" s="268"/>
      <c r="SKD479" s="268"/>
      <c r="SKE479" s="268"/>
      <c r="SKF479" s="268"/>
      <c r="SKG479" s="268"/>
      <c r="SKH479" s="268"/>
      <c r="SKI479" s="268"/>
      <c r="SKJ479" s="268"/>
      <c r="SKK479" s="268"/>
      <c r="SKL479" s="268"/>
      <c r="SKM479" s="268"/>
      <c r="SKN479" s="268"/>
      <c r="SKO479" s="268"/>
      <c r="SKP479" s="268"/>
      <c r="SKQ479" s="268"/>
      <c r="SKR479" s="268"/>
      <c r="SKS479" s="268"/>
      <c r="SKT479" s="268"/>
      <c r="SKU479" s="268"/>
      <c r="SKV479" s="268"/>
      <c r="SKW479" s="268"/>
      <c r="SKX479" s="268"/>
      <c r="SKY479" s="268"/>
      <c r="SKZ479" s="268"/>
      <c r="SLA479" s="268"/>
      <c r="SLB479" s="268"/>
      <c r="SLC479" s="268"/>
      <c r="SLD479" s="268"/>
      <c r="SLE479" s="268"/>
      <c r="SLF479" s="268"/>
      <c r="SLG479" s="268"/>
      <c r="SLH479" s="268"/>
      <c r="SLI479" s="268"/>
      <c r="SLJ479" s="268"/>
      <c r="SLK479" s="268"/>
      <c r="SLL479" s="268"/>
      <c r="SLM479" s="268"/>
      <c r="SLN479" s="268"/>
      <c r="SLO479" s="268"/>
      <c r="SLP479" s="268"/>
      <c r="SLQ479" s="268"/>
      <c r="SLR479" s="268"/>
      <c r="SLS479" s="268"/>
      <c r="SLT479" s="268"/>
      <c r="SLU479" s="268"/>
      <c r="SLV479" s="268"/>
      <c r="SLW479" s="268"/>
      <c r="SLX479" s="268"/>
      <c r="SLY479" s="268"/>
      <c r="SLZ479" s="268"/>
      <c r="SMA479" s="268"/>
      <c r="SMB479" s="268"/>
      <c r="SMC479" s="268"/>
      <c r="SMD479" s="268"/>
      <c r="SME479" s="268"/>
      <c r="SMF479" s="268"/>
      <c r="SMG479" s="268"/>
      <c r="SMH479" s="268"/>
      <c r="SMI479" s="268"/>
      <c r="SMJ479" s="268"/>
      <c r="SMK479" s="268"/>
      <c r="SML479" s="268"/>
      <c r="SMM479" s="268"/>
      <c r="SMN479" s="268"/>
      <c r="SMO479" s="268"/>
      <c r="SMP479" s="268"/>
      <c r="SMQ479" s="268"/>
      <c r="SMR479" s="268"/>
      <c r="SMS479" s="268"/>
      <c r="SMT479" s="268"/>
      <c r="SMU479" s="268"/>
      <c r="SMV479" s="268"/>
      <c r="SMW479" s="268"/>
      <c r="SMX479" s="268"/>
      <c r="SMY479" s="268"/>
      <c r="SMZ479" s="268"/>
      <c r="SNA479" s="268"/>
      <c r="SNB479" s="268"/>
      <c r="SNC479" s="268"/>
      <c r="SND479" s="268"/>
      <c r="SNE479" s="268"/>
      <c r="SNF479" s="268"/>
      <c r="SNG479" s="268"/>
      <c r="SNH479" s="268"/>
      <c r="SNI479" s="268"/>
      <c r="SNJ479" s="268"/>
      <c r="SNK479" s="268"/>
      <c r="SNL479" s="268"/>
      <c r="SNM479" s="268"/>
      <c r="SNN479" s="268"/>
      <c r="SNO479" s="268"/>
      <c r="SNP479" s="268"/>
      <c r="SNQ479" s="268"/>
      <c r="SNR479" s="268"/>
      <c r="SNS479" s="268"/>
      <c r="SNT479" s="268"/>
      <c r="SNU479" s="268"/>
      <c r="SNV479" s="268"/>
      <c r="SNW479" s="268"/>
      <c r="SNX479" s="268"/>
      <c r="SNY479" s="268"/>
      <c r="SNZ479" s="268"/>
      <c r="SOA479" s="268"/>
      <c r="SOB479" s="268"/>
      <c r="SOC479" s="268"/>
      <c r="SOD479" s="268"/>
      <c r="SOE479" s="268"/>
      <c r="SOF479" s="268"/>
      <c r="SOG479" s="268"/>
      <c r="SOH479" s="268"/>
      <c r="SOI479" s="268"/>
      <c r="SOJ479" s="268"/>
      <c r="SOK479" s="268"/>
      <c r="SOL479" s="268"/>
      <c r="SOM479" s="268"/>
      <c r="SON479" s="268"/>
      <c r="SOO479" s="268"/>
      <c r="SOP479" s="268"/>
      <c r="SOQ479" s="268"/>
      <c r="SOR479" s="268"/>
      <c r="SOS479" s="268"/>
      <c r="SOT479" s="268"/>
      <c r="SOU479" s="268"/>
      <c r="SOV479" s="268"/>
      <c r="SOW479" s="268"/>
      <c r="SOX479" s="268"/>
      <c r="SOY479" s="268"/>
      <c r="SOZ479" s="268"/>
      <c r="SPA479" s="268"/>
      <c r="SPB479" s="268"/>
      <c r="SPC479" s="268"/>
      <c r="SPD479" s="268"/>
      <c r="SPE479" s="268"/>
      <c r="SPF479" s="268"/>
      <c r="SPG479" s="268"/>
      <c r="SPH479" s="268"/>
      <c r="SPI479" s="268"/>
      <c r="SPJ479" s="268"/>
      <c r="SPK479" s="268"/>
      <c r="SPL479" s="268"/>
      <c r="SPM479" s="268"/>
      <c r="SPN479" s="268"/>
      <c r="SPO479" s="268"/>
      <c r="SPP479" s="268"/>
      <c r="SPQ479" s="268"/>
      <c r="SPR479" s="268"/>
      <c r="SPS479" s="268"/>
      <c r="SPT479" s="268"/>
      <c r="SPU479" s="268"/>
      <c r="SPV479" s="268"/>
      <c r="SPW479" s="268"/>
      <c r="SPX479" s="268"/>
      <c r="SPY479" s="268"/>
      <c r="SPZ479" s="268"/>
      <c r="SQA479" s="268"/>
      <c r="SQB479" s="268"/>
      <c r="SQC479" s="268"/>
      <c r="SQD479" s="268"/>
      <c r="SQE479" s="268"/>
      <c r="SQF479" s="268"/>
      <c r="SQG479" s="268"/>
      <c r="SQH479" s="268"/>
      <c r="SQI479" s="268"/>
      <c r="SQJ479" s="268"/>
      <c r="SQK479" s="268"/>
      <c r="SQL479" s="268"/>
      <c r="SQM479" s="268"/>
      <c r="SQN479" s="268"/>
      <c r="SQO479" s="268"/>
      <c r="SQP479" s="268"/>
      <c r="SQQ479" s="268"/>
      <c r="SRE479" s="268"/>
      <c r="SRF479" s="268"/>
      <c r="SRG479" s="268"/>
      <c r="SRU479" s="268"/>
      <c r="SRW479" s="268"/>
      <c r="SRX479" s="268"/>
      <c r="SRY479" s="268"/>
      <c r="SRZ479" s="268"/>
      <c r="SSA479" s="268"/>
      <c r="SSB479" s="268"/>
      <c r="SSC479" s="268"/>
      <c r="SSD479" s="268"/>
      <c r="SSE479" s="268"/>
      <c r="SSF479" s="268"/>
      <c r="SSG479" s="268"/>
      <c r="SSH479" s="268"/>
      <c r="SSI479" s="268"/>
      <c r="SSJ479" s="268"/>
      <c r="SSK479" s="268"/>
      <c r="SSL479" s="268"/>
      <c r="SSM479" s="268"/>
      <c r="SSN479" s="268"/>
      <c r="SSO479" s="268"/>
      <c r="SSP479" s="268"/>
      <c r="SSQ479" s="268"/>
      <c r="SSR479" s="268"/>
      <c r="SSS479" s="268"/>
      <c r="SST479" s="268"/>
      <c r="SSU479" s="268"/>
      <c r="SSV479" s="268"/>
      <c r="SSW479" s="268"/>
      <c r="SSX479" s="268"/>
      <c r="SSY479" s="268"/>
      <c r="SSZ479" s="268"/>
      <c r="STA479" s="268"/>
      <c r="STB479" s="268"/>
      <c r="STC479" s="268"/>
      <c r="STD479" s="268"/>
      <c r="STE479" s="268"/>
      <c r="STF479" s="268"/>
      <c r="STG479" s="268"/>
      <c r="STH479" s="268"/>
      <c r="STI479" s="268"/>
      <c r="STJ479" s="268"/>
      <c r="STK479" s="268"/>
      <c r="STL479" s="268"/>
      <c r="STM479" s="268"/>
      <c r="STN479" s="268"/>
      <c r="STO479" s="268"/>
      <c r="STP479" s="268"/>
      <c r="STQ479" s="268"/>
      <c r="STR479" s="268"/>
      <c r="STS479" s="268"/>
      <c r="STT479" s="268"/>
      <c r="STU479" s="268"/>
      <c r="STV479" s="268"/>
      <c r="STW479" s="268"/>
      <c r="STX479" s="268"/>
      <c r="STY479" s="268"/>
      <c r="STZ479" s="268"/>
      <c r="SUA479" s="268"/>
      <c r="SUB479" s="268"/>
      <c r="SUC479" s="268"/>
      <c r="SUD479" s="268"/>
      <c r="SUE479" s="268"/>
      <c r="SUF479" s="268"/>
      <c r="SUG479" s="268"/>
      <c r="SUH479" s="268"/>
      <c r="SUI479" s="268"/>
      <c r="SUJ479" s="268"/>
      <c r="SUK479" s="268"/>
      <c r="SUL479" s="268"/>
      <c r="SUM479" s="268"/>
      <c r="SUN479" s="268"/>
      <c r="SUO479" s="268"/>
      <c r="SUP479" s="268"/>
      <c r="SUQ479" s="268"/>
      <c r="SUR479" s="268"/>
      <c r="SUS479" s="268"/>
      <c r="SUT479" s="268"/>
      <c r="SUU479" s="268"/>
      <c r="SUV479" s="268"/>
      <c r="SUW479" s="268"/>
      <c r="SUX479" s="268"/>
      <c r="SUY479" s="268"/>
      <c r="SUZ479" s="268"/>
      <c r="SVA479" s="268"/>
      <c r="SVB479" s="268"/>
      <c r="SVC479" s="268"/>
      <c r="SVD479" s="268"/>
      <c r="SVE479" s="268"/>
      <c r="SVF479" s="268"/>
      <c r="SVG479" s="268"/>
      <c r="SVH479" s="268"/>
      <c r="SVI479" s="268"/>
      <c r="SVJ479" s="268"/>
      <c r="SVK479" s="268"/>
      <c r="SVL479" s="268"/>
      <c r="SVM479" s="268"/>
      <c r="SVN479" s="268"/>
      <c r="SVO479" s="268"/>
      <c r="SVP479" s="268"/>
      <c r="SVQ479" s="268"/>
      <c r="SVR479" s="268"/>
      <c r="SVS479" s="268"/>
      <c r="SVT479" s="268"/>
      <c r="SVU479" s="268"/>
      <c r="SVV479" s="268"/>
      <c r="SVW479" s="268"/>
      <c r="SVX479" s="268"/>
      <c r="SVY479" s="268"/>
      <c r="SVZ479" s="268"/>
      <c r="SWA479" s="268"/>
      <c r="SWB479" s="268"/>
      <c r="SWC479" s="268"/>
      <c r="SWD479" s="268"/>
      <c r="SWE479" s="268"/>
      <c r="SWF479" s="268"/>
      <c r="SWG479" s="268"/>
      <c r="SWH479" s="268"/>
      <c r="SWI479" s="268"/>
      <c r="SWJ479" s="268"/>
      <c r="SWK479" s="268"/>
      <c r="SWL479" s="268"/>
      <c r="SWM479" s="268"/>
      <c r="SWN479" s="268"/>
      <c r="SWO479" s="268"/>
      <c r="SWP479" s="268"/>
      <c r="SWQ479" s="268"/>
      <c r="SWR479" s="268"/>
      <c r="SWS479" s="268"/>
      <c r="SWT479" s="268"/>
      <c r="SWU479" s="268"/>
      <c r="SWV479" s="268"/>
      <c r="SWW479" s="268"/>
      <c r="SWX479" s="268"/>
      <c r="SWY479" s="268"/>
      <c r="SWZ479" s="268"/>
      <c r="SXA479" s="268"/>
      <c r="SXB479" s="268"/>
      <c r="SXC479" s="268"/>
      <c r="SXD479" s="268"/>
      <c r="SXE479" s="268"/>
      <c r="SXF479" s="268"/>
      <c r="SXG479" s="268"/>
      <c r="SXH479" s="268"/>
      <c r="SXI479" s="268"/>
      <c r="SXJ479" s="268"/>
      <c r="SXK479" s="268"/>
      <c r="SXL479" s="268"/>
      <c r="SXM479" s="268"/>
      <c r="SXN479" s="268"/>
      <c r="SXO479" s="268"/>
      <c r="SXP479" s="268"/>
      <c r="SXQ479" s="268"/>
      <c r="SXR479" s="268"/>
      <c r="SXS479" s="268"/>
      <c r="SXT479" s="268"/>
      <c r="SXU479" s="268"/>
      <c r="SXV479" s="268"/>
      <c r="SXW479" s="268"/>
      <c r="SXX479" s="268"/>
      <c r="SXY479" s="268"/>
      <c r="SXZ479" s="268"/>
      <c r="SYA479" s="268"/>
      <c r="SYB479" s="268"/>
      <c r="SYC479" s="268"/>
      <c r="SYD479" s="268"/>
      <c r="SYE479" s="268"/>
      <c r="SYF479" s="268"/>
      <c r="SYG479" s="268"/>
      <c r="SYH479" s="268"/>
      <c r="SYI479" s="268"/>
      <c r="SYJ479" s="268"/>
      <c r="SYK479" s="268"/>
      <c r="SYL479" s="268"/>
      <c r="SYM479" s="268"/>
      <c r="SYN479" s="268"/>
      <c r="SYO479" s="268"/>
      <c r="SYP479" s="268"/>
      <c r="SYQ479" s="268"/>
      <c r="SYR479" s="268"/>
      <c r="SYS479" s="268"/>
      <c r="SYT479" s="268"/>
      <c r="SYU479" s="268"/>
      <c r="SYV479" s="268"/>
      <c r="SYW479" s="268"/>
      <c r="SYX479" s="268"/>
      <c r="SYY479" s="268"/>
      <c r="SYZ479" s="268"/>
      <c r="SZA479" s="268"/>
      <c r="SZB479" s="268"/>
      <c r="SZC479" s="268"/>
      <c r="SZD479" s="268"/>
      <c r="SZE479" s="268"/>
      <c r="SZF479" s="268"/>
      <c r="SZG479" s="268"/>
      <c r="SZH479" s="268"/>
      <c r="SZI479" s="268"/>
      <c r="SZJ479" s="268"/>
      <c r="SZK479" s="268"/>
      <c r="SZL479" s="268"/>
      <c r="SZM479" s="268"/>
      <c r="SZN479" s="268"/>
      <c r="SZO479" s="268"/>
      <c r="SZP479" s="268"/>
      <c r="SZQ479" s="268"/>
      <c r="SZR479" s="268"/>
      <c r="SZS479" s="268"/>
      <c r="SZT479" s="268"/>
      <c r="SZU479" s="268"/>
      <c r="SZV479" s="268"/>
      <c r="SZW479" s="268"/>
      <c r="SZX479" s="268"/>
      <c r="SZY479" s="268"/>
      <c r="SZZ479" s="268"/>
      <c r="TAA479" s="268"/>
      <c r="TAB479" s="268"/>
      <c r="TAC479" s="268"/>
      <c r="TAD479" s="268"/>
      <c r="TAE479" s="268"/>
      <c r="TAF479" s="268"/>
      <c r="TAG479" s="268"/>
      <c r="TAH479" s="268"/>
      <c r="TAI479" s="268"/>
      <c r="TAJ479" s="268"/>
      <c r="TAK479" s="268"/>
      <c r="TAL479" s="268"/>
      <c r="TAM479" s="268"/>
      <c r="TBA479" s="268"/>
      <c r="TBB479" s="268"/>
      <c r="TBC479" s="268"/>
      <c r="TBQ479" s="268"/>
      <c r="TBS479" s="268"/>
      <c r="TBT479" s="268"/>
      <c r="TBU479" s="268"/>
      <c r="TBV479" s="268"/>
      <c r="TBW479" s="268"/>
      <c r="TBX479" s="268"/>
      <c r="TBY479" s="268"/>
      <c r="TBZ479" s="268"/>
      <c r="TCA479" s="268"/>
      <c r="TCB479" s="268"/>
      <c r="TCC479" s="268"/>
      <c r="TCD479" s="268"/>
      <c r="TCE479" s="268"/>
      <c r="TCF479" s="268"/>
      <c r="TCG479" s="268"/>
      <c r="TCH479" s="268"/>
      <c r="TCI479" s="268"/>
      <c r="TCJ479" s="268"/>
      <c r="TCK479" s="268"/>
      <c r="TCL479" s="268"/>
      <c r="TCM479" s="268"/>
      <c r="TCN479" s="268"/>
      <c r="TCO479" s="268"/>
      <c r="TCP479" s="268"/>
      <c r="TCQ479" s="268"/>
      <c r="TCR479" s="268"/>
      <c r="TCS479" s="268"/>
      <c r="TCT479" s="268"/>
      <c r="TCU479" s="268"/>
      <c r="TCV479" s="268"/>
      <c r="TCW479" s="268"/>
      <c r="TCX479" s="268"/>
      <c r="TCY479" s="268"/>
      <c r="TCZ479" s="268"/>
      <c r="TDA479" s="268"/>
      <c r="TDB479" s="268"/>
      <c r="TDC479" s="268"/>
      <c r="TDD479" s="268"/>
      <c r="TDE479" s="268"/>
      <c r="TDF479" s="268"/>
      <c r="TDG479" s="268"/>
      <c r="TDH479" s="268"/>
      <c r="TDI479" s="268"/>
      <c r="TDJ479" s="268"/>
      <c r="TDK479" s="268"/>
      <c r="TDL479" s="268"/>
      <c r="TDM479" s="268"/>
      <c r="TDN479" s="268"/>
      <c r="TDO479" s="268"/>
      <c r="TDP479" s="268"/>
      <c r="TDQ479" s="268"/>
      <c r="TDR479" s="268"/>
      <c r="TDS479" s="268"/>
      <c r="TDT479" s="268"/>
      <c r="TDU479" s="268"/>
      <c r="TDV479" s="268"/>
      <c r="TDW479" s="268"/>
      <c r="TDX479" s="268"/>
      <c r="TDY479" s="268"/>
      <c r="TDZ479" s="268"/>
      <c r="TEA479" s="268"/>
      <c r="TEB479" s="268"/>
      <c r="TEC479" s="268"/>
      <c r="TED479" s="268"/>
      <c r="TEE479" s="268"/>
      <c r="TEF479" s="268"/>
      <c r="TEG479" s="268"/>
      <c r="TEH479" s="268"/>
      <c r="TEI479" s="268"/>
      <c r="TEJ479" s="268"/>
      <c r="TEK479" s="268"/>
      <c r="TEL479" s="268"/>
      <c r="TEM479" s="268"/>
      <c r="TEN479" s="268"/>
      <c r="TEO479" s="268"/>
      <c r="TEP479" s="268"/>
      <c r="TEQ479" s="268"/>
      <c r="TER479" s="268"/>
      <c r="TES479" s="268"/>
      <c r="TET479" s="268"/>
      <c r="TEU479" s="268"/>
      <c r="TEV479" s="268"/>
      <c r="TEW479" s="268"/>
      <c r="TEX479" s="268"/>
      <c r="TEY479" s="268"/>
      <c r="TEZ479" s="268"/>
      <c r="TFA479" s="268"/>
      <c r="TFB479" s="268"/>
      <c r="TFC479" s="268"/>
      <c r="TFD479" s="268"/>
      <c r="TFE479" s="268"/>
      <c r="TFF479" s="268"/>
      <c r="TFG479" s="268"/>
      <c r="TFH479" s="268"/>
      <c r="TFI479" s="268"/>
      <c r="TFJ479" s="268"/>
      <c r="TFK479" s="268"/>
      <c r="TFL479" s="268"/>
      <c r="TFM479" s="268"/>
      <c r="TFN479" s="268"/>
      <c r="TFO479" s="268"/>
      <c r="TFP479" s="268"/>
      <c r="TFQ479" s="268"/>
      <c r="TFR479" s="268"/>
      <c r="TFS479" s="268"/>
      <c r="TFT479" s="268"/>
      <c r="TFU479" s="268"/>
      <c r="TFV479" s="268"/>
      <c r="TFW479" s="268"/>
      <c r="TFX479" s="268"/>
      <c r="TFY479" s="268"/>
      <c r="TFZ479" s="268"/>
      <c r="TGA479" s="268"/>
      <c r="TGB479" s="268"/>
      <c r="TGC479" s="268"/>
      <c r="TGD479" s="268"/>
      <c r="TGE479" s="268"/>
      <c r="TGF479" s="268"/>
      <c r="TGG479" s="268"/>
      <c r="TGH479" s="268"/>
      <c r="TGI479" s="268"/>
      <c r="TGJ479" s="268"/>
      <c r="TGK479" s="268"/>
      <c r="TGL479" s="268"/>
      <c r="TGM479" s="268"/>
      <c r="TGN479" s="268"/>
      <c r="TGO479" s="268"/>
      <c r="TGP479" s="268"/>
      <c r="TGQ479" s="268"/>
      <c r="TGR479" s="268"/>
      <c r="TGS479" s="268"/>
      <c r="TGT479" s="268"/>
      <c r="TGU479" s="268"/>
      <c r="TGV479" s="268"/>
      <c r="TGW479" s="268"/>
      <c r="TGX479" s="268"/>
      <c r="TGY479" s="268"/>
      <c r="TGZ479" s="268"/>
      <c r="THA479" s="268"/>
      <c r="THB479" s="268"/>
      <c r="THC479" s="268"/>
      <c r="THD479" s="268"/>
      <c r="THE479" s="268"/>
      <c r="THF479" s="268"/>
      <c r="THG479" s="268"/>
      <c r="THH479" s="268"/>
      <c r="THI479" s="268"/>
      <c r="THJ479" s="268"/>
      <c r="THK479" s="268"/>
      <c r="THL479" s="268"/>
      <c r="THM479" s="268"/>
      <c r="THN479" s="268"/>
      <c r="THO479" s="268"/>
      <c r="THP479" s="268"/>
      <c r="THQ479" s="268"/>
      <c r="THR479" s="268"/>
      <c r="THS479" s="268"/>
      <c r="THT479" s="268"/>
      <c r="THU479" s="268"/>
      <c r="THV479" s="268"/>
      <c r="THW479" s="268"/>
      <c r="THX479" s="268"/>
      <c r="THY479" s="268"/>
      <c r="THZ479" s="268"/>
      <c r="TIA479" s="268"/>
      <c r="TIB479" s="268"/>
      <c r="TIC479" s="268"/>
      <c r="TID479" s="268"/>
      <c r="TIE479" s="268"/>
      <c r="TIF479" s="268"/>
      <c r="TIG479" s="268"/>
      <c r="TIH479" s="268"/>
      <c r="TII479" s="268"/>
      <c r="TIJ479" s="268"/>
      <c r="TIK479" s="268"/>
      <c r="TIL479" s="268"/>
      <c r="TIM479" s="268"/>
      <c r="TIN479" s="268"/>
      <c r="TIO479" s="268"/>
      <c r="TIP479" s="268"/>
      <c r="TIQ479" s="268"/>
      <c r="TIR479" s="268"/>
      <c r="TIS479" s="268"/>
      <c r="TIT479" s="268"/>
      <c r="TIU479" s="268"/>
      <c r="TIV479" s="268"/>
      <c r="TIW479" s="268"/>
      <c r="TIX479" s="268"/>
      <c r="TIY479" s="268"/>
      <c r="TIZ479" s="268"/>
      <c r="TJA479" s="268"/>
      <c r="TJB479" s="268"/>
      <c r="TJC479" s="268"/>
      <c r="TJD479" s="268"/>
      <c r="TJE479" s="268"/>
      <c r="TJF479" s="268"/>
      <c r="TJG479" s="268"/>
      <c r="TJH479" s="268"/>
      <c r="TJI479" s="268"/>
      <c r="TJJ479" s="268"/>
      <c r="TJK479" s="268"/>
      <c r="TJL479" s="268"/>
      <c r="TJM479" s="268"/>
      <c r="TJN479" s="268"/>
      <c r="TJO479" s="268"/>
      <c r="TJP479" s="268"/>
      <c r="TJQ479" s="268"/>
      <c r="TJR479" s="268"/>
      <c r="TJS479" s="268"/>
      <c r="TJT479" s="268"/>
      <c r="TJU479" s="268"/>
      <c r="TJV479" s="268"/>
      <c r="TJW479" s="268"/>
      <c r="TJX479" s="268"/>
      <c r="TJY479" s="268"/>
      <c r="TJZ479" s="268"/>
      <c r="TKA479" s="268"/>
      <c r="TKB479" s="268"/>
      <c r="TKC479" s="268"/>
      <c r="TKD479" s="268"/>
      <c r="TKE479" s="268"/>
      <c r="TKF479" s="268"/>
      <c r="TKG479" s="268"/>
      <c r="TKH479" s="268"/>
      <c r="TKI479" s="268"/>
      <c r="TKW479" s="268"/>
      <c r="TKX479" s="268"/>
      <c r="TKY479" s="268"/>
      <c r="TLM479" s="268"/>
      <c r="TLO479" s="268"/>
      <c r="TLP479" s="268"/>
      <c r="TLQ479" s="268"/>
      <c r="TLR479" s="268"/>
      <c r="TLS479" s="268"/>
      <c r="TLT479" s="268"/>
      <c r="TLU479" s="268"/>
      <c r="TLV479" s="268"/>
      <c r="TLW479" s="268"/>
      <c r="TLX479" s="268"/>
      <c r="TLY479" s="268"/>
      <c r="TLZ479" s="268"/>
      <c r="TMA479" s="268"/>
      <c r="TMB479" s="268"/>
      <c r="TMC479" s="268"/>
      <c r="TMD479" s="268"/>
      <c r="TME479" s="268"/>
      <c r="TMF479" s="268"/>
      <c r="TMG479" s="268"/>
      <c r="TMH479" s="268"/>
      <c r="TMI479" s="268"/>
      <c r="TMJ479" s="268"/>
      <c r="TMK479" s="268"/>
      <c r="TML479" s="268"/>
      <c r="TMM479" s="268"/>
      <c r="TMN479" s="268"/>
      <c r="TMO479" s="268"/>
      <c r="TMP479" s="268"/>
      <c r="TMQ479" s="268"/>
      <c r="TMR479" s="268"/>
      <c r="TMS479" s="268"/>
      <c r="TMT479" s="268"/>
      <c r="TMU479" s="268"/>
      <c r="TMV479" s="268"/>
      <c r="TMW479" s="268"/>
      <c r="TMX479" s="268"/>
      <c r="TMY479" s="268"/>
      <c r="TMZ479" s="268"/>
      <c r="TNA479" s="268"/>
      <c r="TNB479" s="268"/>
      <c r="TNC479" s="268"/>
      <c r="TND479" s="268"/>
      <c r="TNE479" s="268"/>
      <c r="TNF479" s="268"/>
      <c r="TNG479" s="268"/>
      <c r="TNH479" s="268"/>
      <c r="TNI479" s="268"/>
      <c r="TNJ479" s="268"/>
      <c r="TNK479" s="268"/>
      <c r="TNL479" s="268"/>
      <c r="TNM479" s="268"/>
      <c r="TNN479" s="268"/>
      <c r="TNO479" s="268"/>
      <c r="TNP479" s="268"/>
      <c r="TNQ479" s="268"/>
      <c r="TNR479" s="268"/>
      <c r="TNS479" s="268"/>
      <c r="TNT479" s="268"/>
      <c r="TNU479" s="268"/>
      <c r="TNV479" s="268"/>
      <c r="TNW479" s="268"/>
      <c r="TNX479" s="268"/>
      <c r="TNY479" s="268"/>
      <c r="TNZ479" s="268"/>
      <c r="TOA479" s="268"/>
      <c r="TOB479" s="268"/>
      <c r="TOC479" s="268"/>
      <c r="TOD479" s="268"/>
      <c r="TOE479" s="268"/>
      <c r="TOF479" s="268"/>
      <c r="TOG479" s="268"/>
      <c r="TOH479" s="268"/>
      <c r="TOI479" s="268"/>
      <c r="TOJ479" s="268"/>
      <c r="TOK479" s="268"/>
      <c r="TOL479" s="268"/>
      <c r="TOM479" s="268"/>
      <c r="TON479" s="268"/>
      <c r="TOO479" s="268"/>
      <c r="TOP479" s="268"/>
      <c r="TOQ479" s="268"/>
      <c r="TOR479" s="268"/>
      <c r="TOS479" s="268"/>
      <c r="TOT479" s="268"/>
      <c r="TOU479" s="268"/>
      <c r="TOV479" s="268"/>
      <c r="TOW479" s="268"/>
      <c r="TOX479" s="268"/>
      <c r="TOY479" s="268"/>
      <c r="TOZ479" s="268"/>
      <c r="TPA479" s="268"/>
      <c r="TPB479" s="268"/>
      <c r="TPC479" s="268"/>
      <c r="TPD479" s="268"/>
      <c r="TPE479" s="268"/>
      <c r="TPF479" s="268"/>
      <c r="TPG479" s="268"/>
      <c r="TPH479" s="268"/>
      <c r="TPI479" s="268"/>
      <c r="TPJ479" s="268"/>
      <c r="TPK479" s="268"/>
      <c r="TPL479" s="268"/>
      <c r="TPM479" s="268"/>
      <c r="TPN479" s="268"/>
      <c r="TPO479" s="268"/>
      <c r="TPP479" s="268"/>
      <c r="TPQ479" s="268"/>
      <c r="TPR479" s="268"/>
      <c r="TPS479" s="268"/>
      <c r="TPT479" s="268"/>
      <c r="TPU479" s="268"/>
      <c r="TPV479" s="268"/>
      <c r="TPW479" s="268"/>
      <c r="TPX479" s="268"/>
      <c r="TPY479" s="268"/>
      <c r="TPZ479" s="268"/>
      <c r="TQA479" s="268"/>
      <c r="TQB479" s="268"/>
      <c r="TQC479" s="268"/>
      <c r="TQD479" s="268"/>
      <c r="TQE479" s="268"/>
      <c r="TQF479" s="268"/>
      <c r="TQG479" s="268"/>
      <c r="TQH479" s="268"/>
      <c r="TQI479" s="268"/>
      <c r="TQJ479" s="268"/>
      <c r="TQK479" s="268"/>
      <c r="TQL479" s="268"/>
      <c r="TQM479" s="268"/>
      <c r="TQN479" s="268"/>
      <c r="TQO479" s="268"/>
      <c r="TQP479" s="268"/>
      <c r="TQQ479" s="268"/>
      <c r="TQR479" s="268"/>
      <c r="TQS479" s="268"/>
      <c r="TQT479" s="268"/>
      <c r="TQU479" s="268"/>
      <c r="TQV479" s="268"/>
      <c r="TQW479" s="268"/>
      <c r="TQX479" s="268"/>
      <c r="TQY479" s="268"/>
      <c r="TQZ479" s="268"/>
      <c r="TRA479" s="268"/>
      <c r="TRB479" s="268"/>
      <c r="TRC479" s="268"/>
      <c r="TRD479" s="268"/>
      <c r="TRE479" s="268"/>
      <c r="TRF479" s="268"/>
      <c r="TRG479" s="268"/>
      <c r="TRH479" s="268"/>
      <c r="TRI479" s="268"/>
      <c r="TRJ479" s="268"/>
      <c r="TRK479" s="268"/>
      <c r="TRL479" s="268"/>
      <c r="TRM479" s="268"/>
      <c r="TRN479" s="268"/>
      <c r="TRO479" s="268"/>
      <c r="TRP479" s="268"/>
      <c r="TRQ479" s="268"/>
      <c r="TRR479" s="268"/>
      <c r="TRS479" s="268"/>
      <c r="TRT479" s="268"/>
      <c r="TRU479" s="268"/>
      <c r="TRV479" s="268"/>
      <c r="TRW479" s="268"/>
      <c r="TRX479" s="268"/>
      <c r="TRY479" s="268"/>
      <c r="TRZ479" s="268"/>
      <c r="TSA479" s="268"/>
      <c r="TSB479" s="268"/>
      <c r="TSC479" s="268"/>
      <c r="TSD479" s="268"/>
      <c r="TSE479" s="268"/>
      <c r="TSF479" s="268"/>
      <c r="TSG479" s="268"/>
      <c r="TSH479" s="268"/>
      <c r="TSI479" s="268"/>
      <c r="TSJ479" s="268"/>
      <c r="TSK479" s="268"/>
      <c r="TSL479" s="268"/>
      <c r="TSM479" s="268"/>
      <c r="TSN479" s="268"/>
      <c r="TSO479" s="268"/>
      <c r="TSP479" s="268"/>
      <c r="TSQ479" s="268"/>
      <c r="TSR479" s="268"/>
      <c r="TSS479" s="268"/>
      <c r="TST479" s="268"/>
      <c r="TSU479" s="268"/>
      <c r="TSV479" s="268"/>
      <c r="TSW479" s="268"/>
      <c r="TSX479" s="268"/>
      <c r="TSY479" s="268"/>
      <c r="TSZ479" s="268"/>
      <c r="TTA479" s="268"/>
      <c r="TTB479" s="268"/>
      <c r="TTC479" s="268"/>
      <c r="TTD479" s="268"/>
      <c r="TTE479" s="268"/>
      <c r="TTF479" s="268"/>
      <c r="TTG479" s="268"/>
      <c r="TTH479" s="268"/>
      <c r="TTI479" s="268"/>
      <c r="TTJ479" s="268"/>
      <c r="TTK479" s="268"/>
      <c r="TTL479" s="268"/>
      <c r="TTM479" s="268"/>
      <c r="TTN479" s="268"/>
      <c r="TTO479" s="268"/>
      <c r="TTP479" s="268"/>
      <c r="TTQ479" s="268"/>
      <c r="TTR479" s="268"/>
      <c r="TTS479" s="268"/>
      <c r="TTT479" s="268"/>
      <c r="TTU479" s="268"/>
      <c r="TTV479" s="268"/>
      <c r="TTW479" s="268"/>
      <c r="TTX479" s="268"/>
      <c r="TTY479" s="268"/>
      <c r="TTZ479" s="268"/>
      <c r="TUA479" s="268"/>
      <c r="TUB479" s="268"/>
      <c r="TUC479" s="268"/>
      <c r="TUD479" s="268"/>
      <c r="TUE479" s="268"/>
      <c r="TUS479" s="268"/>
      <c r="TUT479" s="268"/>
      <c r="TUU479" s="268"/>
      <c r="TVI479" s="268"/>
      <c r="TVK479" s="268"/>
      <c r="TVL479" s="268"/>
      <c r="TVM479" s="268"/>
      <c r="TVN479" s="268"/>
      <c r="TVO479" s="268"/>
      <c r="TVP479" s="268"/>
      <c r="TVQ479" s="268"/>
      <c r="TVR479" s="268"/>
      <c r="TVS479" s="268"/>
      <c r="TVT479" s="268"/>
      <c r="TVU479" s="268"/>
      <c r="TVV479" s="268"/>
      <c r="TVW479" s="268"/>
      <c r="TVX479" s="268"/>
      <c r="TVY479" s="268"/>
      <c r="TVZ479" s="268"/>
      <c r="TWA479" s="268"/>
      <c r="TWB479" s="268"/>
      <c r="TWC479" s="268"/>
      <c r="TWD479" s="268"/>
      <c r="TWE479" s="268"/>
      <c r="TWF479" s="268"/>
      <c r="TWG479" s="268"/>
      <c r="TWH479" s="268"/>
      <c r="TWI479" s="268"/>
      <c r="TWJ479" s="268"/>
      <c r="TWK479" s="268"/>
      <c r="TWL479" s="268"/>
      <c r="TWM479" s="268"/>
      <c r="TWN479" s="268"/>
      <c r="TWO479" s="268"/>
      <c r="TWP479" s="268"/>
      <c r="TWQ479" s="268"/>
      <c r="TWR479" s="268"/>
      <c r="TWS479" s="268"/>
      <c r="TWT479" s="268"/>
      <c r="TWU479" s="268"/>
      <c r="TWV479" s="268"/>
      <c r="TWW479" s="268"/>
      <c r="TWX479" s="268"/>
      <c r="TWY479" s="268"/>
      <c r="TWZ479" s="268"/>
      <c r="TXA479" s="268"/>
      <c r="TXB479" s="268"/>
      <c r="TXC479" s="268"/>
      <c r="TXD479" s="268"/>
      <c r="TXE479" s="268"/>
      <c r="TXF479" s="268"/>
      <c r="TXG479" s="268"/>
      <c r="TXH479" s="268"/>
      <c r="TXI479" s="268"/>
      <c r="TXJ479" s="268"/>
      <c r="TXK479" s="268"/>
      <c r="TXL479" s="268"/>
      <c r="TXM479" s="268"/>
      <c r="TXN479" s="268"/>
      <c r="TXO479" s="268"/>
      <c r="TXP479" s="268"/>
      <c r="TXQ479" s="268"/>
      <c r="TXR479" s="268"/>
      <c r="TXS479" s="268"/>
      <c r="TXT479" s="268"/>
      <c r="TXU479" s="268"/>
      <c r="TXV479" s="268"/>
      <c r="TXW479" s="268"/>
      <c r="TXX479" s="268"/>
      <c r="TXY479" s="268"/>
      <c r="TXZ479" s="268"/>
      <c r="TYA479" s="268"/>
      <c r="TYB479" s="268"/>
      <c r="TYC479" s="268"/>
      <c r="TYD479" s="268"/>
      <c r="TYE479" s="268"/>
      <c r="TYF479" s="268"/>
      <c r="TYG479" s="268"/>
      <c r="TYH479" s="268"/>
      <c r="TYI479" s="268"/>
      <c r="TYJ479" s="268"/>
      <c r="TYK479" s="268"/>
      <c r="TYL479" s="268"/>
      <c r="TYM479" s="268"/>
      <c r="TYN479" s="268"/>
      <c r="TYO479" s="268"/>
      <c r="TYP479" s="268"/>
      <c r="TYQ479" s="268"/>
      <c r="TYR479" s="268"/>
      <c r="TYS479" s="268"/>
      <c r="TYT479" s="268"/>
      <c r="TYU479" s="268"/>
      <c r="TYV479" s="268"/>
      <c r="TYW479" s="268"/>
      <c r="TYX479" s="268"/>
      <c r="TYY479" s="268"/>
      <c r="TYZ479" s="268"/>
      <c r="TZA479" s="268"/>
      <c r="TZB479" s="268"/>
      <c r="TZC479" s="268"/>
      <c r="TZD479" s="268"/>
      <c r="TZE479" s="268"/>
      <c r="TZF479" s="268"/>
      <c r="TZG479" s="268"/>
      <c r="TZH479" s="268"/>
      <c r="TZI479" s="268"/>
      <c r="TZJ479" s="268"/>
      <c r="TZK479" s="268"/>
      <c r="TZL479" s="268"/>
      <c r="TZM479" s="268"/>
      <c r="TZN479" s="268"/>
      <c r="TZO479" s="268"/>
      <c r="TZP479" s="268"/>
      <c r="TZQ479" s="268"/>
      <c r="TZR479" s="268"/>
      <c r="TZS479" s="268"/>
      <c r="TZT479" s="268"/>
      <c r="TZU479" s="268"/>
      <c r="TZV479" s="268"/>
      <c r="TZW479" s="268"/>
      <c r="TZX479" s="268"/>
      <c r="TZY479" s="268"/>
      <c r="TZZ479" s="268"/>
      <c r="UAA479" s="268"/>
      <c r="UAB479" s="268"/>
      <c r="UAC479" s="268"/>
      <c r="UAD479" s="268"/>
      <c r="UAE479" s="268"/>
      <c r="UAF479" s="268"/>
      <c r="UAG479" s="268"/>
      <c r="UAH479" s="268"/>
      <c r="UAI479" s="268"/>
      <c r="UAJ479" s="268"/>
      <c r="UAK479" s="268"/>
      <c r="UAL479" s="268"/>
      <c r="UAM479" s="268"/>
      <c r="UAN479" s="268"/>
      <c r="UAO479" s="268"/>
      <c r="UAP479" s="268"/>
      <c r="UAQ479" s="268"/>
      <c r="UAR479" s="268"/>
      <c r="UAS479" s="268"/>
      <c r="UAT479" s="268"/>
      <c r="UAU479" s="268"/>
      <c r="UAV479" s="268"/>
      <c r="UAW479" s="268"/>
      <c r="UAX479" s="268"/>
      <c r="UAY479" s="268"/>
      <c r="UAZ479" s="268"/>
      <c r="UBA479" s="268"/>
      <c r="UBB479" s="268"/>
      <c r="UBC479" s="268"/>
      <c r="UBD479" s="268"/>
      <c r="UBE479" s="268"/>
      <c r="UBF479" s="268"/>
      <c r="UBG479" s="268"/>
      <c r="UBH479" s="268"/>
      <c r="UBI479" s="268"/>
      <c r="UBJ479" s="268"/>
      <c r="UBK479" s="268"/>
      <c r="UBL479" s="268"/>
      <c r="UBM479" s="268"/>
      <c r="UBN479" s="268"/>
      <c r="UBO479" s="268"/>
      <c r="UBP479" s="268"/>
      <c r="UBQ479" s="268"/>
      <c r="UBR479" s="268"/>
      <c r="UBS479" s="268"/>
      <c r="UBT479" s="268"/>
      <c r="UBU479" s="268"/>
      <c r="UBV479" s="268"/>
      <c r="UBW479" s="268"/>
      <c r="UBX479" s="268"/>
      <c r="UBY479" s="268"/>
      <c r="UBZ479" s="268"/>
      <c r="UCA479" s="268"/>
      <c r="UCB479" s="268"/>
      <c r="UCC479" s="268"/>
      <c r="UCD479" s="268"/>
      <c r="UCE479" s="268"/>
      <c r="UCF479" s="268"/>
      <c r="UCG479" s="268"/>
      <c r="UCH479" s="268"/>
      <c r="UCI479" s="268"/>
      <c r="UCJ479" s="268"/>
      <c r="UCK479" s="268"/>
      <c r="UCL479" s="268"/>
      <c r="UCM479" s="268"/>
      <c r="UCN479" s="268"/>
      <c r="UCO479" s="268"/>
      <c r="UCP479" s="268"/>
      <c r="UCQ479" s="268"/>
      <c r="UCR479" s="268"/>
      <c r="UCS479" s="268"/>
      <c r="UCT479" s="268"/>
      <c r="UCU479" s="268"/>
      <c r="UCV479" s="268"/>
      <c r="UCW479" s="268"/>
      <c r="UCX479" s="268"/>
      <c r="UCY479" s="268"/>
      <c r="UCZ479" s="268"/>
      <c r="UDA479" s="268"/>
      <c r="UDB479" s="268"/>
      <c r="UDC479" s="268"/>
      <c r="UDD479" s="268"/>
      <c r="UDE479" s="268"/>
      <c r="UDF479" s="268"/>
      <c r="UDG479" s="268"/>
      <c r="UDH479" s="268"/>
      <c r="UDI479" s="268"/>
      <c r="UDJ479" s="268"/>
      <c r="UDK479" s="268"/>
      <c r="UDL479" s="268"/>
      <c r="UDM479" s="268"/>
      <c r="UDN479" s="268"/>
      <c r="UDO479" s="268"/>
      <c r="UDP479" s="268"/>
      <c r="UDQ479" s="268"/>
      <c r="UDR479" s="268"/>
      <c r="UDS479" s="268"/>
      <c r="UDT479" s="268"/>
      <c r="UDU479" s="268"/>
      <c r="UDV479" s="268"/>
      <c r="UDW479" s="268"/>
      <c r="UDX479" s="268"/>
      <c r="UDY479" s="268"/>
      <c r="UDZ479" s="268"/>
      <c r="UEA479" s="268"/>
      <c r="UEO479" s="268"/>
      <c r="UEP479" s="268"/>
      <c r="UEQ479" s="268"/>
      <c r="UFE479" s="268"/>
      <c r="UFG479" s="268"/>
      <c r="UFH479" s="268"/>
      <c r="UFI479" s="268"/>
      <c r="UFJ479" s="268"/>
      <c r="UFK479" s="268"/>
      <c r="UFL479" s="268"/>
      <c r="UFM479" s="268"/>
      <c r="UFN479" s="268"/>
      <c r="UFO479" s="268"/>
      <c r="UFP479" s="268"/>
      <c r="UFQ479" s="268"/>
      <c r="UFR479" s="268"/>
      <c r="UFS479" s="268"/>
      <c r="UFT479" s="268"/>
      <c r="UFU479" s="268"/>
      <c r="UFV479" s="268"/>
      <c r="UFW479" s="268"/>
      <c r="UFX479" s="268"/>
      <c r="UFY479" s="268"/>
      <c r="UFZ479" s="268"/>
      <c r="UGA479" s="268"/>
      <c r="UGB479" s="268"/>
      <c r="UGC479" s="268"/>
      <c r="UGD479" s="268"/>
      <c r="UGE479" s="268"/>
      <c r="UGF479" s="268"/>
      <c r="UGG479" s="268"/>
      <c r="UGH479" s="268"/>
      <c r="UGI479" s="268"/>
      <c r="UGJ479" s="268"/>
      <c r="UGK479" s="268"/>
      <c r="UGL479" s="268"/>
      <c r="UGM479" s="268"/>
      <c r="UGN479" s="268"/>
      <c r="UGO479" s="268"/>
      <c r="UGP479" s="268"/>
      <c r="UGQ479" s="268"/>
      <c r="UGR479" s="268"/>
      <c r="UGS479" s="268"/>
      <c r="UGT479" s="268"/>
      <c r="UGU479" s="268"/>
      <c r="UGV479" s="268"/>
      <c r="UGW479" s="268"/>
      <c r="UGX479" s="268"/>
      <c r="UGY479" s="268"/>
      <c r="UGZ479" s="268"/>
      <c r="UHA479" s="268"/>
      <c r="UHB479" s="268"/>
      <c r="UHC479" s="268"/>
      <c r="UHD479" s="268"/>
      <c r="UHE479" s="268"/>
      <c r="UHF479" s="268"/>
      <c r="UHG479" s="268"/>
      <c r="UHH479" s="268"/>
      <c r="UHI479" s="268"/>
      <c r="UHJ479" s="268"/>
      <c r="UHK479" s="268"/>
      <c r="UHL479" s="268"/>
      <c r="UHM479" s="268"/>
      <c r="UHN479" s="268"/>
      <c r="UHO479" s="268"/>
      <c r="UHP479" s="268"/>
      <c r="UHQ479" s="268"/>
      <c r="UHR479" s="268"/>
      <c r="UHS479" s="268"/>
      <c r="UHT479" s="268"/>
      <c r="UHU479" s="268"/>
      <c r="UHV479" s="268"/>
      <c r="UHW479" s="268"/>
      <c r="UHX479" s="268"/>
      <c r="UHY479" s="268"/>
      <c r="UHZ479" s="268"/>
      <c r="UIA479" s="268"/>
      <c r="UIB479" s="268"/>
      <c r="UIC479" s="268"/>
      <c r="UID479" s="268"/>
      <c r="UIE479" s="268"/>
      <c r="UIF479" s="268"/>
      <c r="UIG479" s="268"/>
      <c r="UIH479" s="268"/>
      <c r="UII479" s="268"/>
      <c r="UIJ479" s="268"/>
      <c r="UIK479" s="268"/>
      <c r="UIL479" s="268"/>
      <c r="UIM479" s="268"/>
      <c r="UIN479" s="268"/>
      <c r="UIO479" s="268"/>
      <c r="UIP479" s="268"/>
      <c r="UIQ479" s="268"/>
      <c r="UIR479" s="268"/>
      <c r="UIS479" s="268"/>
      <c r="UIT479" s="268"/>
      <c r="UIU479" s="268"/>
      <c r="UIV479" s="268"/>
      <c r="UIW479" s="268"/>
      <c r="UIX479" s="268"/>
      <c r="UIY479" s="268"/>
      <c r="UIZ479" s="268"/>
      <c r="UJA479" s="268"/>
      <c r="UJB479" s="268"/>
      <c r="UJC479" s="268"/>
      <c r="UJD479" s="268"/>
      <c r="UJE479" s="268"/>
      <c r="UJF479" s="268"/>
      <c r="UJG479" s="268"/>
      <c r="UJH479" s="268"/>
      <c r="UJI479" s="268"/>
      <c r="UJJ479" s="268"/>
      <c r="UJK479" s="268"/>
      <c r="UJL479" s="268"/>
      <c r="UJM479" s="268"/>
      <c r="UJN479" s="268"/>
      <c r="UJO479" s="268"/>
      <c r="UJP479" s="268"/>
      <c r="UJQ479" s="268"/>
      <c r="UJR479" s="268"/>
      <c r="UJS479" s="268"/>
      <c r="UJT479" s="268"/>
      <c r="UJU479" s="268"/>
      <c r="UJV479" s="268"/>
      <c r="UJW479" s="268"/>
      <c r="UJX479" s="268"/>
      <c r="UJY479" s="268"/>
      <c r="UJZ479" s="268"/>
      <c r="UKA479" s="268"/>
      <c r="UKB479" s="268"/>
      <c r="UKC479" s="268"/>
      <c r="UKD479" s="268"/>
      <c r="UKE479" s="268"/>
      <c r="UKF479" s="268"/>
      <c r="UKG479" s="268"/>
      <c r="UKH479" s="268"/>
      <c r="UKI479" s="268"/>
      <c r="UKJ479" s="268"/>
      <c r="UKK479" s="268"/>
      <c r="UKL479" s="268"/>
      <c r="UKM479" s="268"/>
      <c r="UKN479" s="268"/>
      <c r="UKO479" s="268"/>
      <c r="UKP479" s="268"/>
      <c r="UKQ479" s="268"/>
      <c r="UKR479" s="268"/>
      <c r="UKS479" s="268"/>
      <c r="UKT479" s="268"/>
      <c r="UKU479" s="268"/>
      <c r="UKV479" s="268"/>
      <c r="UKW479" s="268"/>
      <c r="UKX479" s="268"/>
      <c r="UKY479" s="268"/>
      <c r="UKZ479" s="268"/>
      <c r="ULA479" s="268"/>
      <c r="ULB479" s="268"/>
      <c r="ULC479" s="268"/>
      <c r="ULD479" s="268"/>
      <c r="ULE479" s="268"/>
      <c r="ULF479" s="268"/>
      <c r="ULG479" s="268"/>
      <c r="ULH479" s="268"/>
      <c r="ULI479" s="268"/>
      <c r="ULJ479" s="268"/>
      <c r="ULK479" s="268"/>
      <c r="ULL479" s="268"/>
      <c r="ULM479" s="268"/>
      <c r="ULN479" s="268"/>
      <c r="ULO479" s="268"/>
      <c r="ULP479" s="268"/>
      <c r="ULQ479" s="268"/>
      <c r="ULR479" s="268"/>
      <c r="ULS479" s="268"/>
      <c r="ULT479" s="268"/>
      <c r="ULU479" s="268"/>
      <c r="ULV479" s="268"/>
      <c r="ULW479" s="268"/>
      <c r="ULX479" s="268"/>
      <c r="ULY479" s="268"/>
      <c r="ULZ479" s="268"/>
      <c r="UMA479" s="268"/>
      <c r="UMB479" s="268"/>
      <c r="UMC479" s="268"/>
      <c r="UMD479" s="268"/>
      <c r="UME479" s="268"/>
      <c r="UMF479" s="268"/>
      <c r="UMG479" s="268"/>
      <c r="UMH479" s="268"/>
      <c r="UMI479" s="268"/>
      <c r="UMJ479" s="268"/>
      <c r="UMK479" s="268"/>
      <c r="UML479" s="268"/>
      <c r="UMM479" s="268"/>
      <c r="UMN479" s="268"/>
      <c r="UMO479" s="268"/>
      <c r="UMP479" s="268"/>
      <c r="UMQ479" s="268"/>
      <c r="UMR479" s="268"/>
      <c r="UMS479" s="268"/>
      <c r="UMT479" s="268"/>
      <c r="UMU479" s="268"/>
      <c r="UMV479" s="268"/>
      <c r="UMW479" s="268"/>
      <c r="UMX479" s="268"/>
      <c r="UMY479" s="268"/>
      <c r="UMZ479" s="268"/>
      <c r="UNA479" s="268"/>
      <c r="UNB479" s="268"/>
      <c r="UNC479" s="268"/>
      <c r="UND479" s="268"/>
      <c r="UNE479" s="268"/>
      <c r="UNF479" s="268"/>
      <c r="UNG479" s="268"/>
      <c r="UNH479" s="268"/>
      <c r="UNI479" s="268"/>
      <c r="UNJ479" s="268"/>
      <c r="UNK479" s="268"/>
      <c r="UNL479" s="268"/>
      <c r="UNM479" s="268"/>
      <c r="UNN479" s="268"/>
      <c r="UNO479" s="268"/>
      <c r="UNP479" s="268"/>
      <c r="UNQ479" s="268"/>
      <c r="UNR479" s="268"/>
      <c r="UNS479" s="268"/>
      <c r="UNT479" s="268"/>
      <c r="UNU479" s="268"/>
      <c r="UNV479" s="268"/>
      <c r="UNW479" s="268"/>
      <c r="UOK479" s="268"/>
      <c r="UOL479" s="268"/>
      <c r="UOM479" s="268"/>
      <c r="UPA479" s="268"/>
      <c r="UPC479" s="268"/>
      <c r="UPD479" s="268"/>
      <c r="UPE479" s="268"/>
      <c r="UPF479" s="268"/>
      <c r="UPG479" s="268"/>
      <c r="UPH479" s="268"/>
      <c r="UPI479" s="268"/>
      <c r="UPJ479" s="268"/>
      <c r="UPK479" s="268"/>
      <c r="UPL479" s="268"/>
      <c r="UPM479" s="268"/>
      <c r="UPN479" s="268"/>
      <c r="UPO479" s="268"/>
      <c r="UPP479" s="268"/>
      <c r="UPQ479" s="268"/>
      <c r="UPR479" s="268"/>
      <c r="UPS479" s="268"/>
      <c r="UPT479" s="268"/>
      <c r="UPU479" s="268"/>
      <c r="UPV479" s="268"/>
      <c r="UPW479" s="268"/>
      <c r="UPX479" s="268"/>
      <c r="UPY479" s="268"/>
      <c r="UPZ479" s="268"/>
      <c r="UQA479" s="268"/>
      <c r="UQB479" s="268"/>
      <c r="UQC479" s="268"/>
      <c r="UQD479" s="268"/>
      <c r="UQE479" s="268"/>
      <c r="UQF479" s="268"/>
      <c r="UQG479" s="268"/>
      <c r="UQH479" s="268"/>
      <c r="UQI479" s="268"/>
      <c r="UQJ479" s="268"/>
      <c r="UQK479" s="268"/>
      <c r="UQL479" s="268"/>
      <c r="UQM479" s="268"/>
      <c r="UQN479" s="268"/>
      <c r="UQO479" s="268"/>
      <c r="UQP479" s="268"/>
      <c r="UQQ479" s="268"/>
      <c r="UQR479" s="268"/>
      <c r="UQS479" s="268"/>
      <c r="UQT479" s="268"/>
      <c r="UQU479" s="268"/>
      <c r="UQV479" s="268"/>
      <c r="UQW479" s="268"/>
      <c r="UQX479" s="268"/>
      <c r="UQY479" s="268"/>
      <c r="UQZ479" s="268"/>
      <c r="URA479" s="268"/>
      <c r="URB479" s="268"/>
      <c r="URC479" s="268"/>
      <c r="URD479" s="268"/>
      <c r="URE479" s="268"/>
      <c r="URF479" s="268"/>
      <c r="URG479" s="268"/>
      <c r="URH479" s="268"/>
      <c r="URI479" s="268"/>
      <c r="URJ479" s="268"/>
      <c r="URK479" s="268"/>
      <c r="URL479" s="268"/>
      <c r="URM479" s="268"/>
      <c r="URN479" s="268"/>
      <c r="URO479" s="268"/>
      <c r="URP479" s="268"/>
      <c r="URQ479" s="268"/>
      <c r="URR479" s="268"/>
      <c r="URS479" s="268"/>
      <c r="URT479" s="268"/>
      <c r="URU479" s="268"/>
      <c r="URV479" s="268"/>
      <c r="URW479" s="268"/>
      <c r="URX479" s="268"/>
      <c r="URY479" s="268"/>
      <c r="URZ479" s="268"/>
      <c r="USA479" s="268"/>
      <c r="USB479" s="268"/>
      <c r="USC479" s="268"/>
      <c r="USD479" s="268"/>
      <c r="USE479" s="268"/>
      <c r="USF479" s="268"/>
      <c r="USG479" s="268"/>
      <c r="USH479" s="268"/>
      <c r="USI479" s="268"/>
      <c r="USJ479" s="268"/>
      <c r="USK479" s="268"/>
      <c r="USL479" s="268"/>
      <c r="USM479" s="268"/>
      <c r="USN479" s="268"/>
      <c r="USO479" s="268"/>
      <c r="USP479" s="268"/>
      <c r="USQ479" s="268"/>
      <c r="USR479" s="268"/>
      <c r="USS479" s="268"/>
      <c r="UST479" s="268"/>
      <c r="USU479" s="268"/>
      <c r="USV479" s="268"/>
      <c r="USW479" s="268"/>
      <c r="USX479" s="268"/>
      <c r="USY479" s="268"/>
      <c r="USZ479" s="268"/>
      <c r="UTA479" s="268"/>
      <c r="UTB479" s="268"/>
      <c r="UTC479" s="268"/>
      <c r="UTD479" s="268"/>
      <c r="UTE479" s="268"/>
      <c r="UTF479" s="268"/>
      <c r="UTG479" s="268"/>
      <c r="UTH479" s="268"/>
      <c r="UTI479" s="268"/>
      <c r="UTJ479" s="268"/>
      <c r="UTK479" s="268"/>
      <c r="UTL479" s="268"/>
      <c r="UTM479" s="268"/>
      <c r="UTN479" s="268"/>
      <c r="UTO479" s="268"/>
      <c r="UTP479" s="268"/>
      <c r="UTQ479" s="268"/>
      <c r="UTR479" s="268"/>
      <c r="UTS479" s="268"/>
      <c r="UTT479" s="268"/>
      <c r="UTU479" s="268"/>
      <c r="UTV479" s="268"/>
      <c r="UTW479" s="268"/>
      <c r="UTX479" s="268"/>
      <c r="UTY479" s="268"/>
      <c r="UTZ479" s="268"/>
      <c r="UUA479" s="268"/>
      <c r="UUB479" s="268"/>
      <c r="UUC479" s="268"/>
      <c r="UUD479" s="268"/>
      <c r="UUE479" s="268"/>
      <c r="UUF479" s="268"/>
      <c r="UUG479" s="268"/>
      <c r="UUH479" s="268"/>
      <c r="UUI479" s="268"/>
      <c r="UUJ479" s="268"/>
      <c r="UUK479" s="268"/>
      <c r="UUL479" s="268"/>
      <c r="UUM479" s="268"/>
      <c r="UUN479" s="268"/>
      <c r="UUO479" s="268"/>
      <c r="UUP479" s="268"/>
      <c r="UUQ479" s="268"/>
      <c r="UUR479" s="268"/>
      <c r="UUS479" s="268"/>
      <c r="UUT479" s="268"/>
      <c r="UUU479" s="268"/>
      <c r="UUV479" s="268"/>
      <c r="UUW479" s="268"/>
      <c r="UUX479" s="268"/>
      <c r="UUY479" s="268"/>
      <c r="UUZ479" s="268"/>
      <c r="UVA479" s="268"/>
      <c r="UVB479" s="268"/>
      <c r="UVC479" s="268"/>
      <c r="UVD479" s="268"/>
      <c r="UVE479" s="268"/>
      <c r="UVF479" s="268"/>
      <c r="UVG479" s="268"/>
      <c r="UVH479" s="268"/>
      <c r="UVI479" s="268"/>
      <c r="UVJ479" s="268"/>
      <c r="UVK479" s="268"/>
      <c r="UVL479" s="268"/>
      <c r="UVM479" s="268"/>
      <c r="UVN479" s="268"/>
      <c r="UVO479" s="268"/>
      <c r="UVP479" s="268"/>
      <c r="UVQ479" s="268"/>
      <c r="UVR479" s="268"/>
      <c r="UVS479" s="268"/>
      <c r="UVT479" s="268"/>
      <c r="UVU479" s="268"/>
      <c r="UVV479" s="268"/>
      <c r="UVW479" s="268"/>
      <c r="UVX479" s="268"/>
      <c r="UVY479" s="268"/>
      <c r="UVZ479" s="268"/>
      <c r="UWA479" s="268"/>
      <c r="UWB479" s="268"/>
      <c r="UWC479" s="268"/>
      <c r="UWD479" s="268"/>
      <c r="UWE479" s="268"/>
      <c r="UWF479" s="268"/>
      <c r="UWG479" s="268"/>
      <c r="UWH479" s="268"/>
      <c r="UWI479" s="268"/>
      <c r="UWJ479" s="268"/>
      <c r="UWK479" s="268"/>
      <c r="UWL479" s="268"/>
      <c r="UWM479" s="268"/>
      <c r="UWN479" s="268"/>
      <c r="UWO479" s="268"/>
      <c r="UWP479" s="268"/>
      <c r="UWQ479" s="268"/>
      <c r="UWR479" s="268"/>
      <c r="UWS479" s="268"/>
      <c r="UWT479" s="268"/>
      <c r="UWU479" s="268"/>
      <c r="UWV479" s="268"/>
      <c r="UWW479" s="268"/>
      <c r="UWX479" s="268"/>
      <c r="UWY479" s="268"/>
      <c r="UWZ479" s="268"/>
      <c r="UXA479" s="268"/>
      <c r="UXB479" s="268"/>
      <c r="UXC479" s="268"/>
      <c r="UXD479" s="268"/>
      <c r="UXE479" s="268"/>
      <c r="UXF479" s="268"/>
      <c r="UXG479" s="268"/>
      <c r="UXH479" s="268"/>
      <c r="UXI479" s="268"/>
      <c r="UXJ479" s="268"/>
      <c r="UXK479" s="268"/>
      <c r="UXL479" s="268"/>
      <c r="UXM479" s="268"/>
      <c r="UXN479" s="268"/>
      <c r="UXO479" s="268"/>
      <c r="UXP479" s="268"/>
      <c r="UXQ479" s="268"/>
      <c r="UXR479" s="268"/>
      <c r="UXS479" s="268"/>
      <c r="UYG479" s="268"/>
      <c r="UYH479" s="268"/>
      <c r="UYI479" s="268"/>
      <c r="UYW479" s="268"/>
      <c r="UYY479" s="268"/>
      <c r="UYZ479" s="268"/>
      <c r="UZA479" s="268"/>
      <c r="UZB479" s="268"/>
      <c r="UZC479" s="268"/>
      <c r="UZD479" s="268"/>
      <c r="UZE479" s="268"/>
      <c r="UZF479" s="268"/>
      <c r="UZG479" s="268"/>
      <c r="UZH479" s="268"/>
      <c r="UZI479" s="268"/>
      <c r="UZJ479" s="268"/>
      <c r="UZK479" s="268"/>
      <c r="UZL479" s="268"/>
      <c r="UZM479" s="268"/>
      <c r="UZN479" s="268"/>
      <c r="UZO479" s="268"/>
      <c r="UZP479" s="268"/>
      <c r="UZQ479" s="268"/>
      <c r="UZR479" s="268"/>
      <c r="UZS479" s="268"/>
      <c r="UZT479" s="268"/>
      <c r="UZU479" s="268"/>
      <c r="UZV479" s="268"/>
      <c r="UZW479" s="268"/>
      <c r="UZX479" s="268"/>
      <c r="UZY479" s="268"/>
      <c r="UZZ479" s="268"/>
      <c r="VAA479" s="268"/>
      <c r="VAB479" s="268"/>
      <c r="VAC479" s="268"/>
      <c r="VAD479" s="268"/>
      <c r="VAE479" s="268"/>
      <c r="VAF479" s="268"/>
      <c r="VAG479" s="268"/>
      <c r="VAH479" s="268"/>
      <c r="VAI479" s="268"/>
      <c r="VAJ479" s="268"/>
      <c r="VAK479" s="268"/>
      <c r="VAL479" s="268"/>
      <c r="VAM479" s="268"/>
      <c r="VAN479" s="268"/>
      <c r="VAO479" s="268"/>
      <c r="VAP479" s="268"/>
      <c r="VAQ479" s="268"/>
      <c r="VAR479" s="268"/>
      <c r="VAS479" s="268"/>
      <c r="VAT479" s="268"/>
      <c r="VAU479" s="268"/>
      <c r="VAV479" s="268"/>
      <c r="VAW479" s="268"/>
      <c r="VAX479" s="268"/>
      <c r="VAY479" s="268"/>
      <c r="VAZ479" s="268"/>
      <c r="VBA479" s="268"/>
      <c r="VBB479" s="268"/>
      <c r="VBC479" s="268"/>
      <c r="VBD479" s="268"/>
      <c r="VBE479" s="268"/>
      <c r="VBF479" s="268"/>
      <c r="VBG479" s="268"/>
      <c r="VBH479" s="268"/>
      <c r="VBI479" s="268"/>
      <c r="VBJ479" s="268"/>
      <c r="VBK479" s="268"/>
      <c r="VBL479" s="268"/>
      <c r="VBM479" s="268"/>
      <c r="VBN479" s="268"/>
      <c r="VBO479" s="268"/>
      <c r="VBP479" s="268"/>
      <c r="VBQ479" s="268"/>
      <c r="VBR479" s="268"/>
      <c r="VBS479" s="268"/>
      <c r="VBT479" s="268"/>
      <c r="VBU479" s="268"/>
      <c r="VBV479" s="268"/>
      <c r="VBW479" s="268"/>
      <c r="VBX479" s="268"/>
      <c r="VBY479" s="268"/>
      <c r="VBZ479" s="268"/>
      <c r="VCA479" s="268"/>
      <c r="VCB479" s="268"/>
      <c r="VCC479" s="268"/>
      <c r="VCD479" s="268"/>
      <c r="VCE479" s="268"/>
      <c r="VCF479" s="268"/>
      <c r="VCG479" s="268"/>
      <c r="VCH479" s="268"/>
      <c r="VCI479" s="268"/>
      <c r="VCJ479" s="268"/>
      <c r="VCK479" s="268"/>
      <c r="VCL479" s="268"/>
      <c r="VCM479" s="268"/>
      <c r="VCN479" s="268"/>
      <c r="VCO479" s="268"/>
      <c r="VCP479" s="268"/>
      <c r="VCQ479" s="268"/>
      <c r="VCR479" s="268"/>
      <c r="VCS479" s="268"/>
      <c r="VCT479" s="268"/>
      <c r="VCU479" s="268"/>
      <c r="VCV479" s="268"/>
      <c r="VCW479" s="268"/>
      <c r="VCX479" s="268"/>
      <c r="VCY479" s="268"/>
      <c r="VCZ479" s="268"/>
      <c r="VDA479" s="268"/>
      <c r="VDB479" s="268"/>
      <c r="VDC479" s="268"/>
      <c r="VDD479" s="268"/>
      <c r="VDE479" s="268"/>
      <c r="VDF479" s="268"/>
      <c r="VDG479" s="268"/>
      <c r="VDH479" s="268"/>
      <c r="VDI479" s="268"/>
      <c r="VDJ479" s="268"/>
      <c r="VDK479" s="268"/>
      <c r="VDL479" s="268"/>
      <c r="VDM479" s="268"/>
      <c r="VDN479" s="268"/>
      <c r="VDO479" s="268"/>
      <c r="VDP479" s="268"/>
      <c r="VDQ479" s="268"/>
      <c r="VDR479" s="268"/>
      <c r="VDS479" s="268"/>
      <c r="VDT479" s="268"/>
      <c r="VDU479" s="268"/>
      <c r="VDV479" s="268"/>
      <c r="VDW479" s="268"/>
      <c r="VDX479" s="268"/>
      <c r="VDY479" s="268"/>
      <c r="VDZ479" s="268"/>
      <c r="VEA479" s="268"/>
      <c r="VEB479" s="268"/>
      <c r="VEC479" s="268"/>
      <c r="VED479" s="268"/>
      <c r="VEE479" s="268"/>
      <c r="VEF479" s="268"/>
      <c r="VEG479" s="268"/>
      <c r="VEH479" s="268"/>
      <c r="VEI479" s="268"/>
      <c r="VEJ479" s="268"/>
      <c r="VEK479" s="268"/>
      <c r="VEL479" s="268"/>
      <c r="VEM479" s="268"/>
      <c r="VEN479" s="268"/>
      <c r="VEO479" s="268"/>
      <c r="VEP479" s="268"/>
      <c r="VEQ479" s="268"/>
      <c r="VER479" s="268"/>
      <c r="VES479" s="268"/>
      <c r="VET479" s="268"/>
      <c r="VEU479" s="268"/>
      <c r="VEV479" s="268"/>
      <c r="VEW479" s="268"/>
      <c r="VEX479" s="268"/>
      <c r="VEY479" s="268"/>
      <c r="VEZ479" s="268"/>
      <c r="VFA479" s="268"/>
      <c r="VFB479" s="268"/>
      <c r="VFC479" s="268"/>
      <c r="VFD479" s="268"/>
      <c r="VFE479" s="268"/>
      <c r="VFF479" s="268"/>
      <c r="VFG479" s="268"/>
      <c r="VFH479" s="268"/>
      <c r="VFI479" s="268"/>
      <c r="VFJ479" s="268"/>
      <c r="VFK479" s="268"/>
      <c r="VFL479" s="268"/>
      <c r="VFM479" s="268"/>
      <c r="VFN479" s="268"/>
      <c r="VFO479" s="268"/>
      <c r="VFP479" s="268"/>
      <c r="VFQ479" s="268"/>
      <c r="VFR479" s="268"/>
      <c r="VFS479" s="268"/>
      <c r="VFT479" s="268"/>
      <c r="VFU479" s="268"/>
      <c r="VFV479" s="268"/>
      <c r="VFW479" s="268"/>
      <c r="VFX479" s="268"/>
      <c r="VFY479" s="268"/>
      <c r="VFZ479" s="268"/>
      <c r="VGA479" s="268"/>
      <c r="VGB479" s="268"/>
      <c r="VGC479" s="268"/>
      <c r="VGD479" s="268"/>
      <c r="VGE479" s="268"/>
      <c r="VGF479" s="268"/>
      <c r="VGG479" s="268"/>
      <c r="VGH479" s="268"/>
      <c r="VGI479" s="268"/>
      <c r="VGJ479" s="268"/>
      <c r="VGK479" s="268"/>
      <c r="VGL479" s="268"/>
      <c r="VGM479" s="268"/>
      <c r="VGN479" s="268"/>
      <c r="VGO479" s="268"/>
      <c r="VGP479" s="268"/>
      <c r="VGQ479" s="268"/>
      <c r="VGR479" s="268"/>
      <c r="VGS479" s="268"/>
      <c r="VGT479" s="268"/>
      <c r="VGU479" s="268"/>
      <c r="VGV479" s="268"/>
      <c r="VGW479" s="268"/>
      <c r="VGX479" s="268"/>
      <c r="VGY479" s="268"/>
      <c r="VGZ479" s="268"/>
      <c r="VHA479" s="268"/>
      <c r="VHB479" s="268"/>
      <c r="VHC479" s="268"/>
      <c r="VHD479" s="268"/>
      <c r="VHE479" s="268"/>
      <c r="VHF479" s="268"/>
      <c r="VHG479" s="268"/>
      <c r="VHH479" s="268"/>
      <c r="VHI479" s="268"/>
      <c r="VHJ479" s="268"/>
      <c r="VHK479" s="268"/>
      <c r="VHL479" s="268"/>
      <c r="VHM479" s="268"/>
      <c r="VHN479" s="268"/>
      <c r="VHO479" s="268"/>
      <c r="VIC479" s="268"/>
      <c r="VID479" s="268"/>
      <c r="VIE479" s="268"/>
      <c r="VIS479" s="268"/>
      <c r="VIU479" s="268"/>
      <c r="VIV479" s="268"/>
      <c r="VIW479" s="268"/>
      <c r="VIX479" s="268"/>
      <c r="VIY479" s="268"/>
      <c r="VIZ479" s="268"/>
      <c r="VJA479" s="268"/>
      <c r="VJB479" s="268"/>
      <c r="VJC479" s="268"/>
      <c r="VJD479" s="268"/>
      <c r="VJE479" s="268"/>
      <c r="VJF479" s="268"/>
      <c r="VJG479" s="268"/>
      <c r="VJH479" s="268"/>
      <c r="VJI479" s="268"/>
      <c r="VJJ479" s="268"/>
      <c r="VJK479" s="268"/>
      <c r="VJL479" s="268"/>
      <c r="VJM479" s="268"/>
      <c r="VJN479" s="268"/>
      <c r="VJO479" s="268"/>
      <c r="VJP479" s="268"/>
      <c r="VJQ479" s="268"/>
      <c r="VJR479" s="268"/>
      <c r="VJS479" s="268"/>
      <c r="VJT479" s="268"/>
      <c r="VJU479" s="268"/>
      <c r="VJV479" s="268"/>
      <c r="VJW479" s="268"/>
      <c r="VJX479" s="268"/>
      <c r="VJY479" s="268"/>
      <c r="VJZ479" s="268"/>
      <c r="VKA479" s="268"/>
      <c r="VKB479" s="268"/>
      <c r="VKC479" s="268"/>
      <c r="VKD479" s="268"/>
      <c r="VKE479" s="268"/>
      <c r="VKF479" s="268"/>
      <c r="VKG479" s="268"/>
      <c r="VKH479" s="268"/>
      <c r="VKI479" s="268"/>
      <c r="VKJ479" s="268"/>
      <c r="VKK479" s="268"/>
      <c r="VKL479" s="268"/>
      <c r="VKM479" s="268"/>
      <c r="VKN479" s="268"/>
      <c r="VKO479" s="268"/>
      <c r="VKP479" s="268"/>
      <c r="VKQ479" s="268"/>
      <c r="VKR479" s="268"/>
      <c r="VKS479" s="268"/>
      <c r="VKT479" s="268"/>
      <c r="VKU479" s="268"/>
      <c r="VKV479" s="268"/>
      <c r="VKW479" s="268"/>
      <c r="VKX479" s="268"/>
      <c r="VKY479" s="268"/>
      <c r="VKZ479" s="268"/>
      <c r="VLA479" s="268"/>
      <c r="VLB479" s="268"/>
      <c r="VLC479" s="268"/>
      <c r="VLD479" s="268"/>
      <c r="VLE479" s="268"/>
      <c r="VLF479" s="268"/>
      <c r="VLG479" s="268"/>
      <c r="VLH479" s="268"/>
      <c r="VLI479" s="268"/>
      <c r="VLJ479" s="268"/>
      <c r="VLK479" s="268"/>
      <c r="VLL479" s="268"/>
      <c r="VLM479" s="268"/>
      <c r="VLN479" s="268"/>
      <c r="VLO479" s="268"/>
      <c r="VLP479" s="268"/>
      <c r="VLQ479" s="268"/>
      <c r="VLR479" s="268"/>
      <c r="VLS479" s="268"/>
      <c r="VLT479" s="268"/>
      <c r="VLU479" s="268"/>
      <c r="VLV479" s="268"/>
      <c r="VLW479" s="268"/>
      <c r="VLX479" s="268"/>
      <c r="VLY479" s="268"/>
      <c r="VLZ479" s="268"/>
      <c r="VMA479" s="268"/>
      <c r="VMB479" s="268"/>
      <c r="VMC479" s="268"/>
      <c r="VMD479" s="268"/>
      <c r="VME479" s="268"/>
      <c r="VMF479" s="268"/>
      <c r="VMG479" s="268"/>
      <c r="VMH479" s="268"/>
      <c r="VMI479" s="268"/>
      <c r="VMJ479" s="268"/>
      <c r="VMK479" s="268"/>
      <c r="VML479" s="268"/>
      <c r="VMM479" s="268"/>
      <c r="VMN479" s="268"/>
      <c r="VMO479" s="268"/>
      <c r="VMP479" s="268"/>
      <c r="VMQ479" s="268"/>
      <c r="VMR479" s="268"/>
      <c r="VMS479" s="268"/>
      <c r="VMT479" s="268"/>
      <c r="VMU479" s="268"/>
      <c r="VMV479" s="268"/>
      <c r="VMW479" s="268"/>
      <c r="VMX479" s="268"/>
      <c r="VMY479" s="268"/>
      <c r="VMZ479" s="268"/>
      <c r="VNA479" s="268"/>
      <c r="VNB479" s="268"/>
      <c r="VNC479" s="268"/>
      <c r="VND479" s="268"/>
      <c r="VNE479" s="268"/>
      <c r="VNF479" s="268"/>
      <c r="VNG479" s="268"/>
      <c r="VNH479" s="268"/>
      <c r="VNI479" s="268"/>
      <c r="VNJ479" s="268"/>
      <c r="VNK479" s="268"/>
      <c r="VNL479" s="268"/>
      <c r="VNM479" s="268"/>
      <c r="VNN479" s="268"/>
      <c r="VNO479" s="268"/>
      <c r="VNP479" s="268"/>
      <c r="VNQ479" s="268"/>
      <c r="VNR479" s="268"/>
      <c r="VNS479" s="268"/>
      <c r="VNT479" s="268"/>
      <c r="VNU479" s="268"/>
      <c r="VNV479" s="268"/>
      <c r="VNW479" s="268"/>
      <c r="VNX479" s="268"/>
      <c r="VNY479" s="268"/>
      <c r="VNZ479" s="268"/>
      <c r="VOA479" s="268"/>
      <c r="VOB479" s="268"/>
      <c r="VOC479" s="268"/>
      <c r="VOD479" s="268"/>
      <c r="VOE479" s="268"/>
      <c r="VOF479" s="268"/>
      <c r="VOG479" s="268"/>
      <c r="VOH479" s="268"/>
      <c r="VOI479" s="268"/>
      <c r="VOJ479" s="268"/>
      <c r="VOK479" s="268"/>
      <c r="VOL479" s="268"/>
      <c r="VOM479" s="268"/>
      <c r="VON479" s="268"/>
      <c r="VOO479" s="268"/>
      <c r="VOP479" s="268"/>
      <c r="VOQ479" s="268"/>
      <c r="VOR479" s="268"/>
      <c r="VOS479" s="268"/>
      <c r="VOT479" s="268"/>
      <c r="VOU479" s="268"/>
      <c r="VOV479" s="268"/>
      <c r="VOW479" s="268"/>
      <c r="VOX479" s="268"/>
      <c r="VOY479" s="268"/>
      <c r="VOZ479" s="268"/>
      <c r="VPA479" s="268"/>
      <c r="VPB479" s="268"/>
      <c r="VPC479" s="268"/>
      <c r="VPD479" s="268"/>
      <c r="VPE479" s="268"/>
      <c r="VPF479" s="268"/>
      <c r="VPG479" s="268"/>
      <c r="VPH479" s="268"/>
      <c r="VPI479" s="268"/>
      <c r="VPJ479" s="268"/>
      <c r="VPK479" s="268"/>
      <c r="VPL479" s="268"/>
      <c r="VPM479" s="268"/>
      <c r="VPN479" s="268"/>
      <c r="VPO479" s="268"/>
      <c r="VPP479" s="268"/>
      <c r="VPQ479" s="268"/>
      <c r="VPR479" s="268"/>
      <c r="VPS479" s="268"/>
      <c r="VPT479" s="268"/>
      <c r="VPU479" s="268"/>
      <c r="VPV479" s="268"/>
      <c r="VPW479" s="268"/>
      <c r="VPX479" s="268"/>
      <c r="VPY479" s="268"/>
      <c r="VPZ479" s="268"/>
      <c r="VQA479" s="268"/>
      <c r="VQB479" s="268"/>
      <c r="VQC479" s="268"/>
      <c r="VQD479" s="268"/>
      <c r="VQE479" s="268"/>
      <c r="VQF479" s="268"/>
      <c r="VQG479" s="268"/>
      <c r="VQH479" s="268"/>
      <c r="VQI479" s="268"/>
      <c r="VQJ479" s="268"/>
      <c r="VQK479" s="268"/>
      <c r="VQL479" s="268"/>
      <c r="VQM479" s="268"/>
      <c r="VQN479" s="268"/>
      <c r="VQO479" s="268"/>
      <c r="VQP479" s="268"/>
      <c r="VQQ479" s="268"/>
      <c r="VQR479" s="268"/>
      <c r="VQS479" s="268"/>
      <c r="VQT479" s="268"/>
      <c r="VQU479" s="268"/>
      <c r="VQV479" s="268"/>
      <c r="VQW479" s="268"/>
      <c r="VQX479" s="268"/>
      <c r="VQY479" s="268"/>
      <c r="VQZ479" s="268"/>
      <c r="VRA479" s="268"/>
      <c r="VRB479" s="268"/>
      <c r="VRC479" s="268"/>
      <c r="VRD479" s="268"/>
      <c r="VRE479" s="268"/>
      <c r="VRF479" s="268"/>
      <c r="VRG479" s="268"/>
      <c r="VRH479" s="268"/>
      <c r="VRI479" s="268"/>
      <c r="VRJ479" s="268"/>
      <c r="VRK479" s="268"/>
      <c r="VRY479" s="268"/>
      <c r="VRZ479" s="268"/>
      <c r="VSA479" s="268"/>
      <c r="VSO479" s="268"/>
      <c r="VSQ479" s="268"/>
      <c r="VSR479" s="268"/>
      <c r="VSS479" s="268"/>
      <c r="VST479" s="268"/>
      <c r="VSU479" s="268"/>
      <c r="VSV479" s="268"/>
      <c r="VSW479" s="268"/>
      <c r="VSX479" s="268"/>
      <c r="VSY479" s="268"/>
      <c r="VSZ479" s="268"/>
      <c r="VTA479" s="268"/>
      <c r="VTB479" s="268"/>
      <c r="VTC479" s="268"/>
      <c r="VTD479" s="268"/>
      <c r="VTE479" s="268"/>
      <c r="VTF479" s="268"/>
      <c r="VTG479" s="268"/>
      <c r="VTH479" s="268"/>
      <c r="VTI479" s="268"/>
      <c r="VTJ479" s="268"/>
      <c r="VTK479" s="268"/>
      <c r="VTL479" s="268"/>
      <c r="VTM479" s="268"/>
      <c r="VTN479" s="268"/>
      <c r="VTO479" s="268"/>
      <c r="VTP479" s="268"/>
      <c r="VTQ479" s="268"/>
      <c r="VTR479" s="268"/>
      <c r="VTS479" s="268"/>
      <c r="VTT479" s="268"/>
      <c r="VTU479" s="268"/>
      <c r="VTV479" s="268"/>
      <c r="VTW479" s="268"/>
      <c r="VTX479" s="268"/>
      <c r="VTY479" s="268"/>
      <c r="VTZ479" s="268"/>
      <c r="VUA479" s="268"/>
      <c r="VUB479" s="268"/>
      <c r="VUC479" s="268"/>
      <c r="VUD479" s="268"/>
      <c r="VUE479" s="268"/>
      <c r="VUF479" s="268"/>
      <c r="VUG479" s="268"/>
      <c r="VUH479" s="268"/>
      <c r="VUI479" s="268"/>
      <c r="VUJ479" s="268"/>
      <c r="VUK479" s="268"/>
      <c r="VUL479" s="268"/>
      <c r="VUM479" s="268"/>
      <c r="VUN479" s="268"/>
      <c r="VUO479" s="268"/>
      <c r="VUP479" s="268"/>
      <c r="VUQ479" s="268"/>
      <c r="VUR479" s="268"/>
      <c r="VUS479" s="268"/>
      <c r="VUT479" s="268"/>
      <c r="VUU479" s="268"/>
      <c r="VUV479" s="268"/>
      <c r="VUW479" s="268"/>
      <c r="VUX479" s="268"/>
      <c r="VUY479" s="268"/>
      <c r="VUZ479" s="268"/>
      <c r="VVA479" s="268"/>
      <c r="VVB479" s="268"/>
      <c r="VVC479" s="268"/>
      <c r="VVD479" s="268"/>
      <c r="VVE479" s="268"/>
      <c r="VVF479" s="268"/>
      <c r="VVG479" s="268"/>
      <c r="VVH479" s="268"/>
      <c r="VVI479" s="268"/>
      <c r="VVJ479" s="268"/>
      <c r="VVK479" s="268"/>
      <c r="VVL479" s="268"/>
      <c r="VVM479" s="268"/>
      <c r="VVN479" s="268"/>
      <c r="VVO479" s="268"/>
      <c r="VVP479" s="268"/>
      <c r="VVQ479" s="268"/>
      <c r="VVR479" s="268"/>
      <c r="VVS479" s="268"/>
      <c r="VVT479" s="268"/>
      <c r="VVU479" s="268"/>
      <c r="VVV479" s="268"/>
      <c r="VVW479" s="268"/>
      <c r="VVX479" s="268"/>
      <c r="VVY479" s="268"/>
      <c r="VVZ479" s="268"/>
      <c r="VWA479" s="268"/>
      <c r="VWB479" s="268"/>
      <c r="VWC479" s="268"/>
      <c r="VWD479" s="268"/>
      <c r="VWE479" s="268"/>
      <c r="VWF479" s="268"/>
      <c r="VWG479" s="268"/>
      <c r="VWH479" s="268"/>
      <c r="VWI479" s="268"/>
      <c r="VWJ479" s="268"/>
      <c r="VWK479" s="268"/>
      <c r="VWL479" s="268"/>
      <c r="VWM479" s="268"/>
      <c r="VWN479" s="268"/>
      <c r="VWO479" s="268"/>
      <c r="VWP479" s="268"/>
      <c r="VWQ479" s="268"/>
      <c r="VWR479" s="268"/>
      <c r="VWS479" s="268"/>
      <c r="VWT479" s="268"/>
      <c r="VWU479" s="268"/>
      <c r="VWV479" s="268"/>
      <c r="VWW479" s="268"/>
      <c r="VWX479" s="268"/>
      <c r="VWY479" s="268"/>
      <c r="VWZ479" s="268"/>
      <c r="VXA479" s="268"/>
      <c r="VXB479" s="268"/>
      <c r="VXC479" s="268"/>
      <c r="VXD479" s="268"/>
      <c r="VXE479" s="268"/>
      <c r="VXF479" s="268"/>
      <c r="VXG479" s="268"/>
      <c r="VXH479" s="268"/>
      <c r="VXI479" s="268"/>
      <c r="VXJ479" s="268"/>
      <c r="VXK479" s="268"/>
      <c r="VXL479" s="268"/>
      <c r="VXM479" s="268"/>
      <c r="VXN479" s="268"/>
      <c r="VXO479" s="268"/>
      <c r="VXP479" s="268"/>
      <c r="VXQ479" s="268"/>
      <c r="VXR479" s="268"/>
      <c r="VXS479" s="268"/>
      <c r="VXT479" s="268"/>
      <c r="VXU479" s="268"/>
      <c r="VXV479" s="268"/>
      <c r="VXW479" s="268"/>
      <c r="VXX479" s="268"/>
      <c r="VXY479" s="268"/>
      <c r="VXZ479" s="268"/>
      <c r="VYA479" s="268"/>
      <c r="VYB479" s="268"/>
      <c r="VYC479" s="268"/>
      <c r="VYD479" s="268"/>
      <c r="VYE479" s="268"/>
      <c r="VYF479" s="268"/>
      <c r="VYG479" s="268"/>
      <c r="VYH479" s="268"/>
      <c r="VYI479" s="268"/>
      <c r="VYJ479" s="268"/>
      <c r="VYK479" s="268"/>
      <c r="VYL479" s="268"/>
      <c r="VYM479" s="268"/>
      <c r="VYN479" s="268"/>
      <c r="VYO479" s="268"/>
      <c r="VYP479" s="268"/>
      <c r="VYQ479" s="268"/>
      <c r="VYR479" s="268"/>
      <c r="VYS479" s="268"/>
      <c r="VYT479" s="268"/>
      <c r="VYU479" s="268"/>
      <c r="VYV479" s="268"/>
      <c r="VYW479" s="268"/>
      <c r="VYX479" s="268"/>
      <c r="VYY479" s="268"/>
      <c r="VYZ479" s="268"/>
      <c r="VZA479" s="268"/>
      <c r="VZB479" s="268"/>
      <c r="VZC479" s="268"/>
      <c r="VZD479" s="268"/>
      <c r="VZE479" s="268"/>
      <c r="VZF479" s="268"/>
      <c r="VZG479" s="268"/>
      <c r="VZH479" s="268"/>
      <c r="VZI479" s="268"/>
      <c r="VZJ479" s="268"/>
      <c r="VZK479" s="268"/>
      <c r="VZL479" s="268"/>
      <c r="VZM479" s="268"/>
      <c r="VZN479" s="268"/>
      <c r="VZO479" s="268"/>
      <c r="VZP479" s="268"/>
      <c r="VZQ479" s="268"/>
      <c r="VZR479" s="268"/>
      <c r="VZS479" s="268"/>
      <c r="VZT479" s="268"/>
      <c r="VZU479" s="268"/>
      <c r="VZV479" s="268"/>
      <c r="VZW479" s="268"/>
      <c r="VZX479" s="268"/>
      <c r="VZY479" s="268"/>
      <c r="VZZ479" s="268"/>
      <c r="WAA479" s="268"/>
      <c r="WAB479" s="268"/>
      <c r="WAC479" s="268"/>
      <c r="WAD479" s="268"/>
      <c r="WAE479" s="268"/>
      <c r="WAF479" s="268"/>
      <c r="WAG479" s="268"/>
      <c r="WAH479" s="268"/>
      <c r="WAI479" s="268"/>
      <c r="WAJ479" s="268"/>
      <c r="WAK479" s="268"/>
      <c r="WAL479" s="268"/>
      <c r="WAM479" s="268"/>
      <c r="WAN479" s="268"/>
      <c r="WAO479" s="268"/>
      <c r="WAP479" s="268"/>
      <c r="WAQ479" s="268"/>
      <c r="WAR479" s="268"/>
      <c r="WAS479" s="268"/>
      <c r="WAT479" s="268"/>
      <c r="WAU479" s="268"/>
      <c r="WAV479" s="268"/>
      <c r="WAW479" s="268"/>
      <c r="WAX479" s="268"/>
      <c r="WAY479" s="268"/>
      <c r="WAZ479" s="268"/>
      <c r="WBA479" s="268"/>
      <c r="WBB479" s="268"/>
      <c r="WBC479" s="268"/>
      <c r="WBD479" s="268"/>
      <c r="WBE479" s="268"/>
      <c r="WBF479" s="268"/>
      <c r="WBG479" s="268"/>
      <c r="WBU479" s="268"/>
      <c r="WBV479" s="268"/>
      <c r="WBW479" s="268"/>
      <c r="WCK479" s="268"/>
      <c r="WCM479" s="268"/>
      <c r="WCN479" s="268"/>
      <c r="WCO479" s="268"/>
      <c r="WCP479" s="268"/>
      <c r="WCQ479" s="268"/>
      <c r="WCR479" s="268"/>
      <c r="WCS479" s="268"/>
      <c r="WCT479" s="268"/>
      <c r="WCU479" s="268"/>
      <c r="WCV479" s="268"/>
      <c r="WCW479" s="268"/>
      <c r="WCX479" s="268"/>
      <c r="WCY479" s="268"/>
      <c r="WCZ479" s="268"/>
      <c r="WDA479" s="268"/>
      <c r="WDB479" s="268"/>
      <c r="WDC479" s="268"/>
      <c r="WDD479" s="268"/>
      <c r="WDE479" s="268"/>
      <c r="WDF479" s="268"/>
      <c r="WDG479" s="268"/>
      <c r="WDH479" s="268"/>
      <c r="WDI479" s="268"/>
      <c r="WDJ479" s="268"/>
      <c r="WDK479" s="268"/>
      <c r="WDL479" s="268"/>
      <c r="WDM479" s="268"/>
      <c r="WDN479" s="268"/>
      <c r="WDO479" s="268"/>
      <c r="WDP479" s="268"/>
      <c r="WDQ479" s="268"/>
      <c r="WDR479" s="268"/>
      <c r="WDS479" s="268"/>
      <c r="WDT479" s="268"/>
      <c r="WDU479" s="268"/>
      <c r="WDV479" s="268"/>
      <c r="WDW479" s="268"/>
      <c r="WDX479" s="268"/>
      <c r="WDY479" s="268"/>
      <c r="WDZ479" s="268"/>
      <c r="WEA479" s="268"/>
      <c r="WEB479" s="268"/>
      <c r="WEC479" s="268"/>
      <c r="WED479" s="268"/>
      <c r="WEE479" s="268"/>
      <c r="WEF479" s="268"/>
      <c r="WEG479" s="268"/>
      <c r="WEH479" s="268"/>
      <c r="WEI479" s="268"/>
      <c r="WEJ479" s="268"/>
      <c r="WEK479" s="268"/>
      <c r="WEL479" s="268"/>
      <c r="WEM479" s="268"/>
      <c r="WEN479" s="268"/>
      <c r="WEO479" s="268"/>
      <c r="WEP479" s="268"/>
      <c r="WEQ479" s="268"/>
      <c r="WER479" s="268"/>
      <c r="WES479" s="268"/>
      <c r="WET479" s="268"/>
      <c r="WEU479" s="268"/>
      <c r="WEV479" s="268"/>
      <c r="WEW479" s="268"/>
      <c r="WEX479" s="268"/>
      <c r="WEY479" s="268"/>
      <c r="WEZ479" s="268"/>
      <c r="WFA479" s="268"/>
      <c r="WFB479" s="268"/>
      <c r="WFC479" s="268"/>
      <c r="WFD479" s="268"/>
      <c r="WFE479" s="268"/>
      <c r="WFF479" s="268"/>
      <c r="WFG479" s="268"/>
      <c r="WFH479" s="268"/>
      <c r="WFI479" s="268"/>
      <c r="WFJ479" s="268"/>
      <c r="WFK479" s="268"/>
      <c r="WFL479" s="268"/>
      <c r="WFM479" s="268"/>
      <c r="WFN479" s="268"/>
      <c r="WFO479" s="268"/>
      <c r="WFP479" s="268"/>
      <c r="WFQ479" s="268"/>
      <c r="WFR479" s="268"/>
      <c r="WFS479" s="268"/>
      <c r="WFT479" s="268"/>
      <c r="WFU479" s="268"/>
      <c r="WFV479" s="268"/>
      <c r="WFW479" s="268"/>
      <c r="WFX479" s="268"/>
      <c r="WFY479" s="268"/>
      <c r="WFZ479" s="268"/>
      <c r="WGA479" s="268"/>
      <c r="WGB479" s="268"/>
      <c r="WGC479" s="268"/>
      <c r="WGD479" s="268"/>
      <c r="WGE479" s="268"/>
      <c r="WGF479" s="268"/>
      <c r="WGG479" s="268"/>
      <c r="WGH479" s="268"/>
      <c r="WGI479" s="268"/>
      <c r="WGJ479" s="268"/>
      <c r="WGK479" s="268"/>
      <c r="WGL479" s="268"/>
      <c r="WGM479" s="268"/>
      <c r="WGN479" s="268"/>
      <c r="WGO479" s="268"/>
      <c r="WGP479" s="268"/>
      <c r="WGQ479" s="268"/>
      <c r="WGR479" s="268"/>
      <c r="WGS479" s="268"/>
      <c r="WGT479" s="268"/>
      <c r="WGU479" s="268"/>
      <c r="WGV479" s="268"/>
      <c r="WGW479" s="268"/>
      <c r="WGX479" s="268"/>
      <c r="WGY479" s="268"/>
      <c r="WGZ479" s="268"/>
      <c r="WHA479" s="268"/>
      <c r="WHB479" s="268"/>
      <c r="WHC479" s="268"/>
      <c r="WHD479" s="268"/>
      <c r="WHE479" s="268"/>
      <c r="WHF479" s="268"/>
      <c r="WHG479" s="268"/>
      <c r="WHH479" s="268"/>
      <c r="WHI479" s="268"/>
      <c r="WHJ479" s="268"/>
      <c r="WHK479" s="268"/>
      <c r="WHL479" s="268"/>
      <c r="WHM479" s="268"/>
      <c r="WHN479" s="268"/>
      <c r="WHO479" s="268"/>
      <c r="WHP479" s="268"/>
      <c r="WHQ479" s="268"/>
      <c r="WHR479" s="268"/>
      <c r="WHS479" s="268"/>
      <c r="WHT479" s="268"/>
      <c r="WHU479" s="268"/>
      <c r="WHV479" s="268"/>
      <c r="WHW479" s="268"/>
      <c r="WHX479" s="268"/>
      <c r="WHY479" s="268"/>
      <c r="WHZ479" s="268"/>
      <c r="WIA479" s="268"/>
      <c r="WIB479" s="268"/>
      <c r="WIC479" s="268"/>
      <c r="WID479" s="268"/>
      <c r="WIE479" s="268"/>
      <c r="WIF479" s="268"/>
      <c r="WIG479" s="268"/>
      <c r="WIH479" s="268"/>
      <c r="WII479" s="268"/>
      <c r="WIJ479" s="268"/>
      <c r="WIK479" s="268"/>
      <c r="WIL479" s="268"/>
      <c r="WIM479" s="268"/>
      <c r="WIN479" s="268"/>
      <c r="WIO479" s="268"/>
      <c r="WIP479" s="268"/>
      <c r="WIQ479" s="268"/>
      <c r="WIR479" s="268"/>
      <c r="WIS479" s="268"/>
      <c r="WIT479" s="268"/>
      <c r="WIU479" s="268"/>
      <c r="WIV479" s="268"/>
      <c r="WIW479" s="268"/>
      <c r="WIX479" s="268"/>
      <c r="WIY479" s="268"/>
      <c r="WIZ479" s="268"/>
      <c r="WJA479" s="268"/>
      <c r="WJB479" s="268"/>
      <c r="WJC479" s="268"/>
      <c r="WJD479" s="268"/>
      <c r="WJE479" s="268"/>
      <c r="WJF479" s="268"/>
      <c r="WJG479" s="268"/>
      <c r="WJH479" s="268"/>
      <c r="WJI479" s="268"/>
      <c r="WJJ479" s="268"/>
      <c r="WJK479" s="268"/>
      <c r="WJL479" s="268"/>
      <c r="WJM479" s="268"/>
      <c r="WJN479" s="268"/>
      <c r="WJO479" s="268"/>
      <c r="WJP479" s="268"/>
      <c r="WJQ479" s="268"/>
      <c r="WJR479" s="268"/>
      <c r="WJS479" s="268"/>
      <c r="WJT479" s="268"/>
      <c r="WJU479" s="268"/>
      <c r="WJV479" s="268"/>
      <c r="WJW479" s="268"/>
      <c r="WJX479" s="268"/>
      <c r="WJY479" s="268"/>
      <c r="WJZ479" s="268"/>
      <c r="WKA479" s="268"/>
      <c r="WKB479" s="268"/>
      <c r="WKC479" s="268"/>
      <c r="WKD479" s="268"/>
      <c r="WKE479" s="268"/>
      <c r="WKF479" s="268"/>
      <c r="WKG479" s="268"/>
      <c r="WKH479" s="268"/>
      <c r="WKI479" s="268"/>
      <c r="WKJ479" s="268"/>
      <c r="WKK479" s="268"/>
      <c r="WKL479" s="268"/>
      <c r="WKM479" s="268"/>
      <c r="WKN479" s="268"/>
      <c r="WKO479" s="268"/>
      <c r="WKP479" s="268"/>
      <c r="WKQ479" s="268"/>
      <c r="WKR479" s="268"/>
      <c r="WKS479" s="268"/>
      <c r="WKT479" s="268"/>
      <c r="WKU479" s="268"/>
      <c r="WKV479" s="268"/>
      <c r="WKW479" s="268"/>
      <c r="WKX479" s="268"/>
      <c r="WKY479" s="268"/>
      <c r="WKZ479" s="268"/>
      <c r="WLA479" s="268"/>
      <c r="WLB479" s="268"/>
      <c r="WLC479" s="268"/>
      <c r="WLQ479" s="268"/>
      <c r="WLR479" s="268"/>
      <c r="WLS479" s="268"/>
      <c r="WMG479" s="268"/>
      <c r="WMI479" s="268"/>
      <c r="WMJ479" s="268"/>
      <c r="WMK479" s="268"/>
      <c r="WML479" s="268"/>
      <c r="WMM479" s="268"/>
      <c r="WMN479" s="268"/>
      <c r="WMO479" s="268"/>
      <c r="WMP479" s="268"/>
      <c r="WMQ479" s="268"/>
      <c r="WMR479" s="268"/>
      <c r="WMS479" s="268"/>
      <c r="WMT479" s="268"/>
      <c r="WMU479" s="268"/>
      <c r="WMV479" s="268"/>
      <c r="WMW479" s="268"/>
      <c r="WMX479" s="268"/>
      <c r="WMY479" s="268"/>
      <c r="WMZ479" s="268"/>
      <c r="WNA479" s="268"/>
      <c r="WNB479" s="268"/>
      <c r="WNC479" s="268"/>
      <c r="WND479" s="268"/>
      <c r="WNE479" s="268"/>
      <c r="WNF479" s="268"/>
      <c r="WNG479" s="268"/>
      <c r="WNH479" s="268"/>
      <c r="WNI479" s="268"/>
      <c r="WNJ479" s="268"/>
      <c r="WNK479" s="268"/>
      <c r="WNL479" s="268"/>
      <c r="WNM479" s="268"/>
      <c r="WNN479" s="268"/>
      <c r="WNO479" s="268"/>
      <c r="WNP479" s="268"/>
      <c r="WNQ479" s="268"/>
      <c r="WNR479" s="268"/>
      <c r="WNS479" s="268"/>
      <c r="WNT479" s="268"/>
      <c r="WNU479" s="268"/>
      <c r="WNV479" s="268"/>
      <c r="WNW479" s="268"/>
      <c r="WNX479" s="268"/>
      <c r="WNY479" s="268"/>
      <c r="WNZ479" s="268"/>
      <c r="WOA479" s="268"/>
      <c r="WOB479" s="268"/>
      <c r="WOC479" s="268"/>
      <c r="WOD479" s="268"/>
      <c r="WOE479" s="268"/>
      <c r="WOF479" s="268"/>
      <c r="WOG479" s="268"/>
      <c r="WOH479" s="268"/>
      <c r="WOI479" s="268"/>
      <c r="WOJ479" s="268"/>
      <c r="WOK479" s="268"/>
      <c r="WOL479" s="268"/>
      <c r="WOM479" s="268"/>
      <c r="WON479" s="268"/>
      <c r="WOO479" s="268"/>
      <c r="WOP479" s="268"/>
      <c r="WOQ479" s="268"/>
      <c r="WOR479" s="268"/>
      <c r="WOS479" s="268"/>
      <c r="WOT479" s="268"/>
      <c r="WOU479" s="268"/>
      <c r="WOV479" s="268"/>
      <c r="WOW479" s="268"/>
      <c r="WOX479" s="268"/>
      <c r="WOY479" s="268"/>
      <c r="WOZ479" s="268"/>
      <c r="WPA479" s="268"/>
      <c r="WPB479" s="268"/>
      <c r="WPC479" s="268"/>
      <c r="WPD479" s="268"/>
      <c r="WPE479" s="268"/>
      <c r="WPF479" s="268"/>
      <c r="WPG479" s="268"/>
      <c r="WPH479" s="268"/>
      <c r="WPI479" s="268"/>
      <c r="WPJ479" s="268"/>
      <c r="WPK479" s="268"/>
      <c r="WPL479" s="268"/>
      <c r="WPM479" s="268"/>
      <c r="WPN479" s="268"/>
      <c r="WPO479" s="268"/>
      <c r="WPP479" s="268"/>
      <c r="WPQ479" s="268"/>
      <c r="WPR479" s="268"/>
      <c r="WPS479" s="268"/>
      <c r="WPT479" s="268"/>
      <c r="WPU479" s="268"/>
      <c r="WPV479" s="268"/>
      <c r="WPW479" s="268"/>
      <c r="WPX479" s="268"/>
      <c r="WPY479" s="268"/>
      <c r="WPZ479" s="268"/>
      <c r="WQA479" s="268"/>
      <c r="WQB479" s="268"/>
      <c r="WQC479" s="268"/>
      <c r="WQD479" s="268"/>
      <c r="WQE479" s="268"/>
      <c r="WQF479" s="268"/>
      <c r="WQG479" s="268"/>
      <c r="WQH479" s="268"/>
      <c r="WQI479" s="268"/>
      <c r="WQJ479" s="268"/>
      <c r="WQK479" s="268"/>
      <c r="WQL479" s="268"/>
      <c r="WQM479" s="268"/>
      <c r="WQN479" s="268"/>
      <c r="WQO479" s="268"/>
      <c r="WQP479" s="268"/>
      <c r="WQQ479" s="268"/>
      <c r="WQR479" s="268"/>
      <c r="WQS479" s="268"/>
      <c r="WQT479" s="268"/>
      <c r="WQU479" s="268"/>
      <c r="WQV479" s="268"/>
      <c r="WQW479" s="268"/>
      <c r="WQX479" s="268"/>
      <c r="WQY479" s="268"/>
      <c r="WQZ479" s="268"/>
      <c r="WRA479" s="268"/>
      <c r="WRB479" s="268"/>
      <c r="WRC479" s="268"/>
      <c r="WRD479" s="268"/>
      <c r="WRE479" s="268"/>
      <c r="WRF479" s="268"/>
      <c r="WRG479" s="268"/>
      <c r="WRH479" s="268"/>
      <c r="WRI479" s="268"/>
      <c r="WRJ479" s="268"/>
      <c r="WRK479" s="268"/>
      <c r="WRL479" s="268"/>
      <c r="WRM479" s="268"/>
      <c r="WRN479" s="268"/>
      <c r="WRO479" s="268"/>
      <c r="WRP479" s="268"/>
      <c r="WRQ479" s="268"/>
      <c r="WRR479" s="268"/>
      <c r="WRS479" s="268"/>
      <c r="WRT479" s="268"/>
      <c r="WRU479" s="268"/>
      <c r="WRV479" s="268"/>
      <c r="WRW479" s="268"/>
      <c r="WRX479" s="268"/>
      <c r="WRY479" s="268"/>
      <c r="WRZ479" s="268"/>
      <c r="WSA479" s="268"/>
      <c r="WSB479" s="268"/>
      <c r="WSC479" s="268"/>
      <c r="WSD479" s="268"/>
      <c r="WSE479" s="268"/>
      <c r="WSF479" s="268"/>
      <c r="WSG479" s="268"/>
      <c r="WSH479" s="268"/>
      <c r="WSI479" s="268"/>
      <c r="WSJ479" s="268"/>
      <c r="WSK479" s="268"/>
      <c r="WSL479" s="268"/>
      <c r="WSM479" s="268"/>
      <c r="WSN479" s="268"/>
      <c r="WSO479" s="268"/>
      <c r="WSP479" s="268"/>
      <c r="WSQ479" s="268"/>
      <c r="WSR479" s="268"/>
      <c r="WSS479" s="268"/>
      <c r="WST479" s="268"/>
      <c r="WSU479" s="268"/>
      <c r="WSV479" s="268"/>
      <c r="WSW479" s="268"/>
      <c r="WSX479" s="268"/>
      <c r="WSY479" s="268"/>
      <c r="WSZ479" s="268"/>
      <c r="WTA479" s="268"/>
      <c r="WTB479" s="268"/>
      <c r="WTC479" s="268"/>
      <c r="WTD479" s="268"/>
      <c r="WTE479" s="268"/>
      <c r="WTF479" s="268"/>
      <c r="WTG479" s="268"/>
      <c r="WTH479" s="268"/>
      <c r="WTI479" s="268"/>
      <c r="WTJ479" s="268"/>
      <c r="WTK479" s="268"/>
      <c r="WTL479" s="268"/>
      <c r="WTM479" s="268"/>
      <c r="WTN479" s="268"/>
      <c r="WTO479" s="268"/>
      <c r="WTP479" s="268"/>
      <c r="WTQ479" s="268"/>
      <c r="WTR479" s="268"/>
      <c r="WTS479" s="268"/>
      <c r="WTT479" s="268"/>
      <c r="WTU479" s="268"/>
      <c r="WTV479" s="268"/>
      <c r="WTW479" s="268"/>
      <c r="WTX479" s="268"/>
      <c r="WTY479" s="268"/>
      <c r="WTZ479" s="268"/>
      <c r="WUA479" s="268"/>
      <c r="WUB479" s="268"/>
      <c r="WUC479" s="268"/>
      <c r="WUD479" s="268"/>
      <c r="WUE479" s="268"/>
      <c r="WUF479" s="268"/>
      <c r="WUG479" s="268"/>
      <c r="WUH479" s="268"/>
      <c r="WUI479" s="268"/>
      <c r="WUJ479" s="268"/>
      <c r="WUK479" s="268"/>
      <c r="WUL479" s="268"/>
      <c r="WUM479" s="268"/>
      <c r="WUN479" s="268"/>
      <c r="WUO479" s="268"/>
      <c r="WUP479" s="268"/>
      <c r="WUQ479" s="268"/>
      <c r="WUR479" s="268"/>
      <c r="WUS479" s="268"/>
      <c r="WUT479" s="268"/>
      <c r="WUU479" s="268"/>
      <c r="WUV479" s="268"/>
      <c r="WUW479" s="268"/>
      <c r="WUX479" s="268"/>
      <c r="WUY479" s="268"/>
      <c r="WVM479" s="268"/>
      <c r="WVN479" s="268"/>
      <c r="WVO479" s="268"/>
      <c r="WWC479" s="268"/>
      <c r="WWE479" s="268"/>
      <c r="WWF479" s="268"/>
      <c r="WWG479" s="268"/>
      <c r="WWH479" s="268"/>
      <c r="WWI479" s="268"/>
      <c r="WWJ479" s="268"/>
      <c r="WWK479" s="268"/>
      <c r="WWL479" s="268"/>
      <c r="WWM479" s="268"/>
      <c r="WWN479" s="268"/>
      <c r="WWO479" s="268"/>
      <c r="WWP479" s="268"/>
      <c r="WWQ479" s="268"/>
      <c r="WWR479" s="268"/>
      <c r="WWS479" s="268"/>
      <c r="WWT479" s="268"/>
      <c r="WWU479" s="268"/>
      <c r="WWV479" s="268"/>
      <c r="WWW479" s="268"/>
      <c r="WWX479" s="268"/>
      <c r="WWY479" s="268"/>
      <c r="WWZ479" s="268"/>
      <c r="WXA479" s="268"/>
      <c r="WXB479" s="268"/>
      <c r="WXC479" s="268"/>
      <c r="WXD479" s="268"/>
      <c r="WXE479" s="268"/>
      <c r="WXF479" s="268"/>
      <c r="WXG479" s="268"/>
      <c r="WXH479" s="268"/>
      <c r="WXI479" s="268"/>
      <c r="WXJ479" s="268"/>
      <c r="WXK479" s="268"/>
      <c r="WXL479" s="268"/>
      <c r="WXM479" s="268"/>
      <c r="WXN479" s="268"/>
      <c r="WXO479" s="268"/>
      <c r="WXP479" s="268"/>
      <c r="WXQ479" s="268"/>
      <c r="WXR479" s="268"/>
      <c r="WXS479" s="268"/>
      <c r="WXT479" s="268"/>
      <c r="WXU479" s="268"/>
      <c r="WXV479" s="268"/>
      <c r="WXW479" s="268"/>
      <c r="WXX479" s="268"/>
      <c r="WXY479" s="268"/>
      <c r="WXZ479" s="268"/>
      <c r="WYA479" s="268"/>
      <c r="WYB479" s="268"/>
      <c r="WYC479" s="268"/>
      <c r="WYD479" s="268"/>
      <c r="WYE479" s="268"/>
      <c r="WYF479" s="268"/>
      <c r="WYG479" s="268"/>
      <c r="WYH479" s="268"/>
      <c r="WYI479" s="268"/>
      <c r="WYJ479" s="268"/>
      <c r="WYK479" s="268"/>
      <c r="WYL479" s="268"/>
      <c r="WYM479" s="268"/>
      <c r="WYN479" s="268"/>
      <c r="WYO479" s="268"/>
      <c r="WYP479" s="268"/>
      <c r="WYQ479" s="268"/>
      <c r="WYR479" s="268"/>
      <c r="WYS479" s="268"/>
      <c r="WYT479" s="268"/>
      <c r="WYU479" s="268"/>
      <c r="WYV479" s="268"/>
      <c r="WYW479" s="268"/>
      <c r="WYX479" s="268"/>
      <c r="WYY479" s="268"/>
      <c r="WYZ479" s="268"/>
      <c r="WZA479" s="268"/>
      <c r="WZB479" s="268"/>
      <c r="WZC479" s="268"/>
      <c r="WZD479" s="268"/>
      <c r="WZE479" s="268"/>
      <c r="WZF479" s="268"/>
      <c r="WZG479" s="268"/>
      <c r="WZH479" s="268"/>
      <c r="WZI479" s="268"/>
      <c r="WZJ479" s="268"/>
      <c r="WZK479" s="268"/>
      <c r="WZL479" s="268"/>
      <c r="WZM479" s="268"/>
      <c r="WZN479" s="268"/>
      <c r="WZO479" s="268"/>
      <c r="WZP479" s="268"/>
      <c r="WZQ479" s="268"/>
      <c r="WZR479" s="268"/>
      <c r="WZS479" s="268"/>
      <c r="WZT479" s="268"/>
      <c r="WZU479" s="268"/>
      <c r="WZV479" s="268"/>
      <c r="WZW479" s="268"/>
      <c r="WZX479" s="268"/>
      <c r="WZY479" s="268"/>
      <c r="WZZ479" s="268"/>
      <c r="XAA479" s="268"/>
      <c r="XAB479" s="268"/>
      <c r="XAC479" s="268"/>
      <c r="XAD479" s="268"/>
      <c r="XAE479" s="268"/>
      <c r="XAF479" s="268"/>
      <c r="XAG479" s="268"/>
      <c r="XAH479" s="268"/>
      <c r="XAI479" s="268"/>
      <c r="XAJ479" s="268"/>
      <c r="XAK479" s="268"/>
      <c r="XAL479" s="268"/>
      <c r="XAM479" s="268"/>
      <c r="XAN479" s="268"/>
      <c r="XAO479" s="268"/>
      <c r="XAP479" s="268"/>
      <c r="XAQ479" s="268"/>
      <c r="XAR479" s="268"/>
      <c r="XAS479" s="268"/>
      <c r="XAT479" s="268"/>
      <c r="XAU479" s="268"/>
      <c r="XAV479" s="268"/>
      <c r="XAW479" s="268"/>
      <c r="XAX479" s="268"/>
      <c r="XAY479" s="268"/>
      <c r="XAZ479" s="268"/>
      <c r="XBA479" s="268"/>
      <c r="XBB479" s="268"/>
      <c r="XBC479" s="268"/>
      <c r="XBD479" s="268"/>
      <c r="XBE479" s="268"/>
      <c r="XBF479" s="268"/>
      <c r="XBG479" s="268"/>
      <c r="XBH479" s="268"/>
      <c r="XBI479" s="268"/>
      <c r="XBJ479" s="268"/>
      <c r="XBK479" s="268"/>
      <c r="XBL479" s="268"/>
      <c r="XBM479" s="268"/>
      <c r="XBN479" s="268"/>
      <c r="XBO479" s="268"/>
      <c r="XBP479" s="268"/>
      <c r="XBQ479" s="268"/>
      <c r="XBR479" s="268"/>
      <c r="XBS479" s="268"/>
      <c r="XBT479" s="268"/>
      <c r="XBU479" s="268"/>
      <c r="XBV479" s="268"/>
      <c r="XBW479" s="268"/>
      <c r="XBX479" s="268"/>
      <c r="XBY479" s="268"/>
      <c r="XBZ479" s="268"/>
      <c r="XCA479" s="268"/>
      <c r="XCB479" s="268"/>
      <c r="XCC479" s="268"/>
      <c r="XCD479" s="268"/>
      <c r="XCE479" s="268"/>
      <c r="XCF479" s="268"/>
      <c r="XCG479" s="268"/>
      <c r="XCH479" s="268"/>
      <c r="XCI479" s="268"/>
      <c r="XCJ479" s="268"/>
      <c r="XCK479" s="268"/>
      <c r="XCL479" s="268"/>
      <c r="XCM479" s="268"/>
      <c r="XCN479" s="268"/>
      <c r="XCO479" s="268"/>
      <c r="XCP479" s="268"/>
      <c r="XCQ479" s="268"/>
      <c r="XCR479" s="268"/>
      <c r="XCS479" s="268"/>
      <c r="XCT479" s="268"/>
      <c r="XCU479" s="268"/>
      <c r="XCV479" s="268"/>
      <c r="XCW479" s="268"/>
      <c r="XCX479" s="268"/>
      <c r="XCY479" s="268"/>
      <c r="XCZ479" s="268"/>
      <c r="XDA479" s="268"/>
      <c r="XDB479" s="268"/>
      <c r="XDC479" s="268"/>
      <c r="XDD479" s="268"/>
      <c r="XDE479" s="268"/>
      <c r="XDF479" s="268"/>
      <c r="XDG479" s="268"/>
      <c r="XDH479" s="268"/>
      <c r="XDI479" s="268"/>
      <c r="XDJ479" s="268"/>
      <c r="XDK479" s="268"/>
      <c r="XDL479" s="268"/>
      <c r="XDM479" s="268"/>
      <c r="XDN479" s="268"/>
      <c r="XDO479" s="268"/>
      <c r="XDP479" s="268"/>
      <c r="XDQ479" s="268"/>
      <c r="XDR479" s="268"/>
      <c r="XDS479" s="268"/>
      <c r="XDT479" s="268"/>
      <c r="XDU479" s="268"/>
      <c r="XDV479" s="268"/>
      <c r="XDW479" s="268"/>
      <c r="XDX479" s="268"/>
      <c r="XDY479" s="268"/>
      <c r="XDZ479" s="268"/>
      <c r="XEA479" s="268"/>
      <c r="XEB479" s="268"/>
      <c r="XEC479" s="268"/>
      <c r="XED479" s="268"/>
      <c r="XEE479" s="268"/>
      <c r="XEF479" s="268"/>
      <c r="XEG479" s="268"/>
      <c r="XEH479" s="268"/>
      <c r="XEI479" s="268"/>
      <c r="XEJ479" s="268"/>
      <c r="XEK479" s="268"/>
      <c r="XEL479" s="268"/>
      <c r="XEM479" s="268"/>
      <c r="XEN479" s="268"/>
      <c r="XEO479" s="268"/>
      <c r="XEP479" s="268"/>
      <c r="XEQ479" s="268"/>
      <c r="XER479" s="268"/>
      <c r="XES479" s="268"/>
    </row>
    <row r="480" spans="1:1015 1029:2039 2053:3063 3077:4087 4101:5111 5125:6135 6149:7159 7173:8183 8197:9207 9221:10231 10245:11255 11269:12279 12293:13303 13317:14327 14341:15351 15365:16373" hidden="1" outlineLevel="1" x14ac:dyDescent="0.25">
      <c r="A480" s="3" t="s">
        <v>384</v>
      </c>
      <c r="B480" s="3">
        <v>12750</v>
      </c>
      <c r="D480" s="3">
        <v>5551</v>
      </c>
      <c r="E480" s="3">
        <f>F480-D480</f>
        <v>5949</v>
      </c>
      <c r="F480" s="3">
        <v>11500</v>
      </c>
      <c r="H480" s="3">
        <f>F480-B480</f>
        <v>-1250</v>
      </c>
      <c r="J480" s="3">
        <v>8764</v>
      </c>
      <c r="K480" s="4">
        <f>L480-J480</f>
        <v>3236</v>
      </c>
      <c r="L480" s="4">
        <v>12000</v>
      </c>
      <c r="N480" s="4">
        <f>L480-F480</f>
        <v>500</v>
      </c>
      <c r="P480" s="3">
        <f>L480*1.0281+3+160</f>
        <v>12500.2</v>
      </c>
      <c r="R480" s="3">
        <v>5990</v>
      </c>
      <c r="S480" s="3">
        <f>T480-R480</f>
        <v>6510</v>
      </c>
      <c r="T480" s="3">
        <v>12500</v>
      </c>
      <c r="U480" s="3">
        <f>T480-P480</f>
        <v>-0.2000000000007276</v>
      </c>
      <c r="V480" s="3">
        <v>8860</v>
      </c>
      <c r="W480" s="3">
        <f>Y480-V480</f>
        <v>3640</v>
      </c>
      <c r="Y480" s="3">
        <v>12500</v>
      </c>
      <c r="Z480" s="3">
        <f>Y480-T480</f>
        <v>0</v>
      </c>
      <c r="AC480" s="3">
        <v>11733</v>
      </c>
      <c r="AD480" s="3">
        <f>AE480-AC480</f>
        <v>67</v>
      </c>
      <c r="AE480" s="3">
        <v>11800</v>
      </c>
      <c r="AF480" s="3">
        <f>AE480-Y480</f>
        <v>-700</v>
      </c>
      <c r="AI480" s="3">
        <f>AE480*1.03+46</f>
        <v>12200</v>
      </c>
      <c r="AK480" s="3">
        <f>AI480*1.03</f>
        <v>12566</v>
      </c>
      <c r="AM480" s="3">
        <f t="shared" ref="AM480:AQ482" si="304">AK480*1.03</f>
        <v>12942.98</v>
      </c>
      <c r="AN480" s="3">
        <f t="shared" si="304"/>
        <v>0</v>
      </c>
      <c r="AO480" s="3">
        <f t="shared" si="304"/>
        <v>13331.269399999999</v>
      </c>
      <c r="AP480" s="4">
        <f t="shared" si="304"/>
        <v>0</v>
      </c>
      <c r="AQ480" s="3">
        <f t="shared" si="304"/>
        <v>13731.207482</v>
      </c>
      <c r="AR480" s="3"/>
      <c r="AS480" s="3">
        <f t="shared" ref="AS480:AW482" si="305">AQ480*1.03</f>
        <v>14143.14370646</v>
      </c>
      <c r="AT480" s="3">
        <f t="shared" si="305"/>
        <v>0</v>
      </c>
      <c r="AU480" s="3">
        <f t="shared" si="305"/>
        <v>14567.4380176538</v>
      </c>
      <c r="AV480" s="3">
        <f t="shared" si="305"/>
        <v>0</v>
      </c>
      <c r="AW480" s="3">
        <f t="shared" si="305"/>
        <v>15004.461158183414</v>
      </c>
      <c r="AX480" s="3"/>
      <c r="AY480" s="3">
        <f t="shared" ref="AY480:BE482" si="306">AW480*1.03</f>
        <v>15454.594992928916</v>
      </c>
      <c r="AZ480" s="3">
        <f t="shared" si="306"/>
        <v>0</v>
      </c>
      <c r="BA480" s="3">
        <f t="shared" si="306"/>
        <v>15918.232842716785</v>
      </c>
      <c r="BC480" s="3">
        <f t="shared" si="306"/>
        <v>16395.779827998289</v>
      </c>
      <c r="BE480" s="3">
        <f t="shared" si="306"/>
        <v>16887.653222838238</v>
      </c>
    </row>
    <row r="481" spans="1:57" hidden="1" outlineLevel="1" x14ac:dyDescent="0.25">
      <c r="A481" s="3" t="s">
        <v>385</v>
      </c>
      <c r="E481" s="3">
        <f>F481-D481</f>
        <v>0</v>
      </c>
      <c r="H481" s="3">
        <f>F481-B481</f>
        <v>0</v>
      </c>
      <c r="K481" s="4">
        <f>L481-J481</f>
        <v>0</v>
      </c>
      <c r="L481" s="4"/>
      <c r="N481" s="4">
        <f>L481-F481</f>
        <v>0</v>
      </c>
      <c r="S481" s="3">
        <f>T481-R481</f>
        <v>0</v>
      </c>
      <c r="U481" s="3">
        <f>T481-P481</f>
        <v>0</v>
      </c>
      <c r="W481" s="3">
        <f>Y481-V481</f>
        <v>0</v>
      </c>
      <c r="Z481" s="3">
        <f>Y481-T481</f>
        <v>0</v>
      </c>
      <c r="AD481" s="3">
        <f>AE481-AC481</f>
        <v>0</v>
      </c>
      <c r="AF481" s="3">
        <f>AE481-Y481</f>
        <v>0</v>
      </c>
      <c r="AI481" s="3">
        <f>P481*1.0281</f>
        <v>0</v>
      </c>
      <c r="AK481" s="3">
        <f>AI481*1.03</f>
        <v>0</v>
      </c>
      <c r="AM481" s="3">
        <f t="shared" si="304"/>
        <v>0</v>
      </c>
      <c r="AN481" s="3">
        <f t="shared" si="304"/>
        <v>0</v>
      </c>
      <c r="AO481" s="3">
        <f t="shared" si="304"/>
        <v>0</v>
      </c>
      <c r="AP481" s="4">
        <f t="shared" si="304"/>
        <v>0</v>
      </c>
      <c r="AQ481" s="3">
        <f t="shared" si="304"/>
        <v>0</v>
      </c>
      <c r="AR481" s="3"/>
      <c r="AS481" s="3">
        <f t="shared" si="305"/>
        <v>0</v>
      </c>
      <c r="AT481" s="3">
        <f t="shared" si="305"/>
        <v>0</v>
      </c>
      <c r="AU481" s="3">
        <f t="shared" si="305"/>
        <v>0</v>
      </c>
      <c r="AV481" s="3">
        <f t="shared" si="305"/>
        <v>0</v>
      </c>
      <c r="AW481" s="3">
        <f t="shared" si="305"/>
        <v>0</v>
      </c>
      <c r="AX481" s="3"/>
      <c r="AY481" s="3">
        <f t="shared" si="306"/>
        <v>0</v>
      </c>
      <c r="AZ481" s="3">
        <f t="shared" si="306"/>
        <v>0</v>
      </c>
      <c r="BA481" s="3">
        <f t="shared" si="306"/>
        <v>0</v>
      </c>
      <c r="BC481" s="3">
        <f t="shared" si="306"/>
        <v>0</v>
      </c>
      <c r="BE481" s="3">
        <f t="shared" si="306"/>
        <v>0</v>
      </c>
    </row>
    <row r="482" spans="1:57" hidden="1" outlineLevel="1" x14ac:dyDescent="0.25">
      <c r="A482" s="3" t="s">
        <v>376</v>
      </c>
      <c r="B482" s="3">
        <f>10000+2000</f>
        <v>12000</v>
      </c>
      <c r="D482" s="3">
        <v>3665</v>
      </c>
      <c r="E482" s="3">
        <f>F482-D482</f>
        <v>8335</v>
      </c>
      <c r="F482" s="3">
        <v>12000</v>
      </c>
      <c r="H482" s="3">
        <f>F482-B482</f>
        <v>0</v>
      </c>
      <c r="J482" s="3">
        <v>5362</v>
      </c>
      <c r="K482" s="4">
        <f>L482-J482</f>
        <v>6638</v>
      </c>
      <c r="L482" s="4">
        <v>12000</v>
      </c>
      <c r="N482" s="4">
        <f>L482-F482</f>
        <v>0</v>
      </c>
      <c r="P482" s="3">
        <v>2000</v>
      </c>
      <c r="R482" s="3">
        <v>3806</v>
      </c>
      <c r="S482" s="3">
        <f>T482-R482</f>
        <v>2194</v>
      </c>
      <c r="T482" s="3">
        <v>6000</v>
      </c>
      <c r="U482" s="3">
        <f>T482-P482</f>
        <v>4000</v>
      </c>
      <c r="V482" s="3">
        <v>5125</v>
      </c>
      <c r="W482" s="3">
        <f>Y482-V482</f>
        <v>3875</v>
      </c>
      <c r="Y482" s="3">
        <v>9000</v>
      </c>
      <c r="Z482" s="3">
        <f>Y482-T482</f>
        <v>3000</v>
      </c>
      <c r="AC482" s="3">
        <v>6434</v>
      </c>
      <c r="AD482" s="3">
        <f>AE482-AC482</f>
        <v>2566</v>
      </c>
      <c r="AE482" s="3">
        <v>9000</v>
      </c>
      <c r="AF482" s="3">
        <f>AE482-Y482</f>
        <v>0</v>
      </c>
      <c r="AI482" s="3">
        <f>AE482*1.03+30</f>
        <v>9300</v>
      </c>
      <c r="AK482" s="3">
        <f>AI482*1.03</f>
        <v>9579</v>
      </c>
      <c r="AM482" s="3">
        <f t="shared" si="304"/>
        <v>9866.3700000000008</v>
      </c>
      <c r="AN482" s="3">
        <f t="shared" si="304"/>
        <v>0</v>
      </c>
      <c r="AO482" s="3">
        <f t="shared" si="304"/>
        <v>10162.361100000002</v>
      </c>
      <c r="AP482" s="4">
        <f t="shared" si="304"/>
        <v>0</v>
      </c>
      <c r="AQ482" s="3">
        <f t="shared" si="304"/>
        <v>10467.231933000003</v>
      </c>
      <c r="AR482" s="3"/>
      <c r="AS482" s="3">
        <f t="shared" si="305"/>
        <v>10781.248890990004</v>
      </c>
      <c r="AT482" s="3">
        <f t="shared" si="305"/>
        <v>0</v>
      </c>
      <c r="AU482" s="3">
        <f t="shared" si="305"/>
        <v>11104.686357719704</v>
      </c>
      <c r="AV482" s="3">
        <f t="shared" si="305"/>
        <v>0</v>
      </c>
      <c r="AW482" s="3">
        <f t="shared" si="305"/>
        <v>11437.826948451295</v>
      </c>
      <c r="AX482" s="3"/>
      <c r="AY482" s="3">
        <f t="shared" si="306"/>
        <v>11780.961756904833</v>
      </c>
      <c r="AZ482" s="3">
        <f t="shared" si="306"/>
        <v>0</v>
      </c>
      <c r="BA482" s="3">
        <f t="shared" si="306"/>
        <v>12134.390609611979</v>
      </c>
      <c r="BC482" s="3">
        <f t="shared" si="306"/>
        <v>12498.422327900338</v>
      </c>
      <c r="BE482" s="3">
        <f t="shared" si="306"/>
        <v>12873.374997737348</v>
      </c>
    </row>
    <row r="483" spans="1:57" hidden="1" outlineLevel="1" x14ac:dyDescent="0.25">
      <c r="A483" s="3"/>
      <c r="B483" s="62">
        <f>SUM(B479:B482)</f>
        <v>27750</v>
      </c>
      <c r="C483" s="32"/>
      <c r="D483" s="62">
        <f>SUM(D479:D482)</f>
        <v>9216</v>
      </c>
      <c r="E483" s="62">
        <f>SUM(E479:E482)</f>
        <v>17284</v>
      </c>
      <c r="F483" s="62">
        <f>SUM(F479:F482)</f>
        <v>26500</v>
      </c>
      <c r="G483" s="32"/>
      <c r="H483" s="62">
        <f>SUM(H479:H482)</f>
        <v>-1250</v>
      </c>
      <c r="I483" s="32"/>
      <c r="J483" s="62">
        <f>SUM(J479:J482)</f>
        <v>14126</v>
      </c>
      <c r="K483" s="62">
        <f>SUM(K479:K482)</f>
        <v>12874</v>
      </c>
      <c r="L483" s="62">
        <f>SUM(L479:L482)</f>
        <v>27000</v>
      </c>
      <c r="M483" s="32"/>
      <c r="N483" s="62">
        <f>SUM(N479:N482)</f>
        <v>500</v>
      </c>
      <c r="P483" s="62">
        <f>SUM(P479:P482)</f>
        <v>17500.2</v>
      </c>
      <c r="R483" s="62">
        <f t="shared" ref="R483:Z483" si="307">SUM(R479:R482)</f>
        <v>9796</v>
      </c>
      <c r="S483" s="62">
        <f t="shared" si="307"/>
        <v>11704</v>
      </c>
      <c r="T483" s="62">
        <f t="shared" si="307"/>
        <v>21500</v>
      </c>
      <c r="U483" s="62">
        <f t="shared" si="307"/>
        <v>3999.7999999999993</v>
      </c>
      <c r="V483" s="62">
        <f t="shared" si="307"/>
        <v>13985</v>
      </c>
      <c r="W483" s="62">
        <f t="shared" si="307"/>
        <v>10515</v>
      </c>
      <c r="X483" s="62"/>
      <c r="Y483" s="62">
        <f t="shared" si="307"/>
        <v>24500</v>
      </c>
      <c r="Z483" s="62">
        <f t="shared" si="307"/>
        <v>3000</v>
      </c>
      <c r="AC483" s="62">
        <f>SUM(AC479:AC482)</f>
        <v>18167</v>
      </c>
      <c r="AD483" s="62">
        <f>SUM(AD479:AD482)</f>
        <v>5633</v>
      </c>
      <c r="AE483" s="62">
        <f>SUM(AE479:AE482)</f>
        <v>23800</v>
      </c>
      <c r="AF483" s="62">
        <f>SUM(AF479:AF482)</f>
        <v>-700</v>
      </c>
      <c r="AG483" s="32"/>
      <c r="AI483" s="62">
        <f>SUM(AI479:AI482)</f>
        <v>24500</v>
      </c>
      <c r="AK483" s="62">
        <f>SUM(AK479:AK482)</f>
        <v>25145</v>
      </c>
      <c r="AM483" s="62">
        <f>SUM(AM479:AM482)</f>
        <v>25809.35</v>
      </c>
      <c r="AO483" s="62">
        <f>SUM(AO479:AO482)</f>
        <v>26493.630499999999</v>
      </c>
      <c r="AP483" s="32"/>
      <c r="AQ483" s="62">
        <f>SUM(AQ479:AQ482)</f>
        <v>27198.439415000001</v>
      </c>
      <c r="AS483" s="62">
        <f>SUM(AS479:AS482)</f>
        <v>27924.392597450002</v>
      </c>
      <c r="AU483" s="62">
        <f>SUM(AU479:AU482)</f>
        <v>28672.124375373503</v>
      </c>
      <c r="AW483" s="62">
        <f>SUM(AW479:AW482)</f>
        <v>29442.288106634711</v>
      </c>
      <c r="AY483" s="62">
        <f>SUM(AY479:AY482)</f>
        <v>30235.556749833748</v>
      </c>
      <c r="BA483" s="62">
        <f>SUM(BA479:BA482)</f>
        <v>31052.623452328764</v>
      </c>
      <c r="BC483" s="62">
        <f>SUM(BC479:BC482)</f>
        <v>31894.202155898627</v>
      </c>
      <c r="BE483" s="62">
        <f>SUM(BE479:BE482)</f>
        <v>32761.028220575587</v>
      </c>
    </row>
    <row r="484" spans="1:57" s="42" customFormat="1" hidden="1" outlineLevel="1" x14ac:dyDescent="0.25">
      <c r="A484" s="7" t="s">
        <v>57</v>
      </c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4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4"/>
      <c r="AH484" s="4"/>
      <c r="AI484" s="3"/>
      <c r="AJ484" s="3"/>
      <c r="AK484" s="3"/>
      <c r="AL484" s="3"/>
      <c r="AM484" s="3"/>
      <c r="AN484" s="3"/>
      <c r="AO484" s="3"/>
      <c r="AP484" s="4"/>
      <c r="AQ484" s="3"/>
      <c r="AS484" s="3"/>
      <c r="AU484" s="3"/>
      <c r="AW484" s="3"/>
      <c r="AY484" s="3"/>
      <c r="BA484" s="3"/>
      <c r="BC484" s="3"/>
      <c r="BE484" s="3"/>
    </row>
    <row r="485" spans="1:57" hidden="1" outlineLevel="1" x14ac:dyDescent="0.25">
      <c r="A485" s="3" t="s">
        <v>386</v>
      </c>
      <c r="B485" s="3">
        <v>600</v>
      </c>
      <c r="E485" s="3">
        <f>F485-D485</f>
        <v>600</v>
      </c>
      <c r="F485" s="3">
        <v>600</v>
      </c>
      <c r="H485" s="3">
        <f>F485-B485</f>
        <v>0</v>
      </c>
      <c r="K485" s="4">
        <f>L485-J485</f>
        <v>600</v>
      </c>
      <c r="L485" s="4">
        <v>600</v>
      </c>
      <c r="N485" s="4">
        <f>L485-F485</f>
        <v>0</v>
      </c>
      <c r="P485" s="3">
        <f>L485*1.0281+3</f>
        <v>619.86</v>
      </c>
      <c r="S485" s="3">
        <f>T485-R485</f>
        <v>620</v>
      </c>
      <c r="T485" s="3">
        <v>620</v>
      </c>
      <c r="U485" s="3">
        <f>T485-P485</f>
        <v>0.13999999999998636</v>
      </c>
      <c r="W485" s="3">
        <f>Y485-V485</f>
        <v>0</v>
      </c>
      <c r="Z485" s="3">
        <f>Y485-T485</f>
        <v>-620</v>
      </c>
      <c r="AD485" s="3">
        <f>AE485-AC485</f>
        <v>0</v>
      </c>
      <c r="AF485" s="3">
        <f>AE485-Y485</f>
        <v>0</v>
      </c>
      <c r="AI485" s="3">
        <v>600</v>
      </c>
      <c r="AK485" s="3">
        <f>AI485*1.03</f>
        <v>618</v>
      </c>
      <c r="AM485" s="3">
        <f>AK485*1.03</f>
        <v>636.54</v>
      </c>
      <c r="AN485" s="3">
        <f>AL485*1.03</f>
        <v>0</v>
      </c>
      <c r="AO485" s="3">
        <f>AM485*1.03</f>
        <v>655.63620000000003</v>
      </c>
      <c r="AP485" s="4">
        <f>AN485*1.03</f>
        <v>0</v>
      </c>
      <c r="AQ485" s="3">
        <f>AO485*1.03</f>
        <v>675.30528600000002</v>
      </c>
      <c r="AR485" s="3"/>
      <c r="AS485" s="3">
        <f>AQ485*1.03</f>
        <v>695.56444457999999</v>
      </c>
      <c r="AT485" s="3">
        <f>AR485*1.03</f>
        <v>0</v>
      </c>
      <c r="AU485" s="3">
        <f>AS485*1.03</f>
        <v>716.43137791740003</v>
      </c>
      <c r="AV485" s="3">
        <f>AT485*1.03</f>
        <v>0</v>
      </c>
      <c r="AW485" s="3">
        <f>AU485*1.03</f>
        <v>737.92431925492201</v>
      </c>
      <c r="AX485" s="3"/>
      <c r="AY485" s="3">
        <f>AW485*1.03</f>
        <v>760.06204883256964</v>
      </c>
      <c r="AZ485" s="3">
        <f>AX485*1.03</f>
        <v>0</v>
      </c>
      <c r="BA485" s="3">
        <f>AY485*1.03</f>
        <v>782.86391029754679</v>
      </c>
      <c r="BC485" s="3">
        <f>BA485*1.03</f>
        <v>806.34982760647324</v>
      </c>
      <c r="BE485" s="3">
        <f>BC485*1.03</f>
        <v>830.54032243466747</v>
      </c>
    </row>
    <row r="486" spans="1:57" hidden="1" outlineLevel="1" x14ac:dyDescent="0.25">
      <c r="A486" s="3" t="s">
        <v>90</v>
      </c>
      <c r="BC486" s="3"/>
      <c r="BE486" s="3"/>
    </row>
    <row r="487" spans="1:57" hidden="1" outlineLevel="1" x14ac:dyDescent="0.25">
      <c r="A487" s="3"/>
      <c r="B487" s="62">
        <f>SUM(B485:B486)</f>
        <v>600</v>
      </c>
      <c r="C487" s="32"/>
      <c r="D487" s="62">
        <f>SUM(D485:D486)</f>
        <v>0</v>
      </c>
      <c r="E487" s="62">
        <f>SUM(E485:E486)</f>
        <v>600</v>
      </c>
      <c r="F487" s="62">
        <f>SUM(F485:F486)</f>
        <v>600</v>
      </c>
      <c r="G487" s="32"/>
      <c r="H487" s="62">
        <f>SUM(H485:H486)</f>
        <v>0</v>
      </c>
      <c r="I487" s="32"/>
      <c r="J487" s="62">
        <f>SUM(J485:J486)</f>
        <v>0</v>
      </c>
      <c r="K487" s="62">
        <f>SUM(K485:K486)</f>
        <v>600</v>
      </c>
      <c r="L487" s="62">
        <f>SUM(L485:L486)</f>
        <v>600</v>
      </c>
      <c r="M487" s="32"/>
      <c r="N487" s="62">
        <f>SUM(N485:N486)</f>
        <v>0</v>
      </c>
      <c r="P487" s="62">
        <f>SUM(P485:P486)</f>
        <v>619.86</v>
      </c>
      <c r="R487" s="62">
        <f t="shared" ref="R487:Z487" si="308">SUM(R485:R486)</f>
        <v>0</v>
      </c>
      <c r="S487" s="62">
        <f t="shared" si="308"/>
        <v>620</v>
      </c>
      <c r="T487" s="62">
        <f t="shared" si="308"/>
        <v>620</v>
      </c>
      <c r="U487" s="62">
        <f t="shared" si="308"/>
        <v>0.13999999999998636</v>
      </c>
      <c r="V487" s="62">
        <f t="shared" si="308"/>
        <v>0</v>
      </c>
      <c r="W487" s="62">
        <f t="shared" si="308"/>
        <v>0</v>
      </c>
      <c r="X487" s="62"/>
      <c r="Y487" s="62">
        <f t="shared" si="308"/>
        <v>0</v>
      </c>
      <c r="Z487" s="62">
        <f t="shared" si="308"/>
        <v>-620</v>
      </c>
      <c r="AC487" s="62">
        <f>SUM(AC485:AC486)</f>
        <v>0</v>
      </c>
      <c r="AD487" s="62">
        <f>AE487-AC487</f>
        <v>0</v>
      </c>
      <c r="AE487" s="62">
        <f>SUM(AE485:AE486)</f>
        <v>0</v>
      </c>
      <c r="AF487" s="62">
        <f>AE487-Y487</f>
        <v>0</v>
      </c>
      <c r="AG487" s="32"/>
      <c r="AI487" s="62">
        <f>SUM(AI485:AI486)</f>
        <v>600</v>
      </c>
      <c r="AK487" s="62">
        <f>SUM(AK485:AK486)</f>
        <v>618</v>
      </c>
      <c r="AM487" s="62">
        <f>SUM(AM485:AM486)</f>
        <v>636.54</v>
      </c>
      <c r="AO487" s="62">
        <f>SUM(AO485:AO486)</f>
        <v>655.63620000000003</v>
      </c>
      <c r="AP487" s="32"/>
      <c r="AQ487" s="62">
        <f>SUM(AQ485:AQ486)</f>
        <v>675.30528600000002</v>
      </c>
      <c r="AS487" s="62">
        <f>SUM(AS485:AS486)</f>
        <v>695.56444457999999</v>
      </c>
      <c r="AU487" s="62">
        <f>SUM(AU485:AU486)</f>
        <v>716.43137791740003</v>
      </c>
      <c r="AW487" s="62">
        <f>SUM(AW485:AW486)</f>
        <v>737.92431925492201</v>
      </c>
      <c r="AY487" s="62">
        <f>SUM(AY485:AY486)</f>
        <v>760.06204883256964</v>
      </c>
      <c r="BA487" s="62">
        <f>SUM(BA485:BA486)</f>
        <v>782.86391029754679</v>
      </c>
      <c r="BC487" s="62">
        <f>SUM(BC485:BC486)</f>
        <v>806.34982760647324</v>
      </c>
      <c r="BE487" s="62">
        <f>SUM(BE485:BE486)</f>
        <v>830.54032243466747</v>
      </c>
    </row>
    <row r="488" spans="1:57" ht="15.75" collapsed="1" thickBot="1" x14ac:dyDescent="0.3">
      <c r="A488" s="7" t="s">
        <v>1161</v>
      </c>
      <c r="B488" s="44">
        <f>B487+B483+B477+B468</f>
        <v>276150</v>
      </c>
      <c r="C488" s="32"/>
      <c r="D488" s="44">
        <f>D487+D483+D477+D468+1</f>
        <v>43839</v>
      </c>
      <c r="E488" s="44">
        <f>E487+E483+E477+E468+1</f>
        <v>234063</v>
      </c>
      <c r="F488" s="44">
        <f>F487+F483+F477+F468</f>
        <v>277900</v>
      </c>
      <c r="G488" s="32"/>
      <c r="H488" s="44">
        <f>H487+H483+H477+H468+1</f>
        <v>1751</v>
      </c>
      <c r="I488" s="32"/>
      <c r="J488" s="44">
        <f>J487+J483+J477+J468+1</f>
        <v>174873</v>
      </c>
      <c r="K488" s="44">
        <f>K487+K483+K477+K468+1</f>
        <v>126424</v>
      </c>
      <c r="L488" s="44">
        <f>L487+L483+L477+L468+1</f>
        <v>301296</v>
      </c>
      <c r="M488" s="32"/>
      <c r="N488" s="44">
        <f>N487+N483+N477+N468+1</f>
        <v>23396</v>
      </c>
      <c r="P488" s="44">
        <f>P487+P483+P477+P468</f>
        <v>366350.11</v>
      </c>
      <c r="R488" s="44">
        <f t="shared" ref="R488:Z488" si="309">R487+R483+R477+R468</f>
        <v>70366</v>
      </c>
      <c r="S488" s="44">
        <f t="shared" si="309"/>
        <v>239944</v>
      </c>
      <c r="T488" s="44">
        <f t="shared" si="309"/>
        <v>310310</v>
      </c>
      <c r="U488" s="44" t="e">
        <f t="shared" si="309"/>
        <v>#VALUE!</v>
      </c>
      <c r="V488" s="44">
        <f t="shared" si="309"/>
        <v>106326</v>
      </c>
      <c r="W488" s="44">
        <f t="shared" si="309"/>
        <v>204964</v>
      </c>
      <c r="X488" s="44"/>
      <c r="Y488" s="44">
        <f t="shared" si="309"/>
        <v>311290</v>
      </c>
      <c r="Z488" s="44">
        <f t="shared" si="309"/>
        <v>980</v>
      </c>
      <c r="AC488" s="44">
        <f>AC487+AC483+AC477+AC468</f>
        <v>154692</v>
      </c>
      <c r="AD488" s="44">
        <f>AD487+AD483+AD477+AD468</f>
        <v>147898</v>
      </c>
      <c r="AE488" s="44">
        <f>AE487+AE483+AE477+AE468</f>
        <v>302590</v>
      </c>
      <c r="AF488" s="44">
        <f>AF487+AF483+AF477+AF468</f>
        <v>-8700</v>
      </c>
      <c r="AG488" s="32"/>
      <c r="AI488" s="44">
        <f>AI487+AI483+AI477+AI468</f>
        <v>333549.5515</v>
      </c>
      <c r="AK488" s="44">
        <f>AK487+AK483+AK477+AK468</f>
        <v>342971.03804499999</v>
      </c>
      <c r="AM488" s="44">
        <f>AM487+AM483+AM477+AM468</f>
        <v>352675.16918634996</v>
      </c>
      <c r="AO488" s="44">
        <f>AO487+AO483+AO477+AO468</f>
        <v>362670.42426194053</v>
      </c>
      <c r="AP488" s="32"/>
      <c r="AQ488" s="44">
        <f>AQ487+AQ483+AQ477+AQ468</f>
        <v>373965.53698979871</v>
      </c>
      <c r="AS488" s="44">
        <f>AS487+AS483+AS477+AS468</f>
        <v>384569.50309949269</v>
      </c>
      <c r="AU488" s="44">
        <f>AU487+AU483+AU477+AU468</f>
        <v>395491.58819247747</v>
      </c>
      <c r="AW488" s="44">
        <f>AW487+AW483+AW477+AW468</f>
        <v>406741.33583825175</v>
      </c>
      <c r="AY488" s="44">
        <f>AY487+AY483+AY477+AY468</f>
        <v>418328.57591339934</v>
      </c>
      <c r="BA488" s="44">
        <f>BA487+BA483+BA477+BA468</f>
        <v>430263.4331908013</v>
      </c>
      <c r="BC488" s="44">
        <f>BC487+BC483+BC477+BC468</f>
        <v>442556.33618652541</v>
      </c>
      <c r="BE488" s="44">
        <f>BE487+BE483+BE477+BE468</f>
        <v>455218.02627212112</v>
      </c>
    </row>
    <row r="489" spans="1:57" s="59" customFormat="1" ht="15.75" thickTop="1" x14ac:dyDescent="0.25">
      <c r="A489" s="4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4"/>
      <c r="P489" s="9"/>
      <c r="Q489" s="4"/>
      <c r="R489" s="9"/>
      <c r="S489" s="32"/>
      <c r="T489" s="258"/>
      <c r="U489" s="32"/>
      <c r="V489" s="9"/>
      <c r="W489" s="32"/>
      <c r="X489" s="32"/>
      <c r="Y489" s="258"/>
      <c r="Z489" s="32"/>
      <c r="AA489" s="4"/>
      <c r="AB489" s="4"/>
      <c r="AC489" s="9"/>
      <c r="AD489" s="32"/>
      <c r="AE489" s="258"/>
      <c r="AF489" s="32"/>
      <c r="AG489" s="32"/>
      <c r="AH489" s="4"/>
      <c r="AI489" s="9"/>
      <c r="AJ489" s="4"/>
      <c r="AK489" s="9"/>
      <c r="AL489" s="4"/>
      <c r="AM489" s="9"/>
      <c r="AN489" s="4"/>
      <c r="AO489" s="9"/>
      <c r="AP489" s="9"/>
      <c r="AQ489" s="9"/>
      <c r="AR489" s="51"/>
      <c r="AS489" s="9"/>
      <c r="AT489" s="51"/>
      <c r="AU489" s="9"/>
      <c r="AV489" s="51"/>
      <c r="AW489" s="9"/>
      <c r="AX489" s="51"/>
      <c r="AY489" s="9"/>
      <c r="AZ489" s="51"/>
      <c r="BA489" s="9"/>
      <c r="BB489" s="51"/>
      <c r="BC489" s="9"/>
      <c r="BD489" s="51"/>
      <c r="BE489" s="9"/>
    </row>
    <row r="490" spans="1:57" s="59" customFormat="1" x14ac:dyDescent="0.25">
      <c r="A490" s="32" t="s">
        <v>96</v>
      </c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51"/>
      <c r="AS490" s="4"/>
      <c r="AT490" s="51"/>
      <c r="AU490" s="4"/>
      <c r="AV490" s="51"/>
      <c r="AW490" s="4"/>
      <c r="AX490" s="51"/>
      <c r="AY490" s="4"/>
      <c r="AZ490" s="51"/>
      <c r="BA490" s="4"/>
      <c r="BB490" s="51"/>
      <c r="BC490" s="4"/>
      <c r="BD490" s="51"/>
      <c r="BE490" s="4"/>
    </row>
    <row r="491" spans="1:57" hidden="1" outlineLevel="1" x14ac:dyDescent="0.25">
      <c r="A491" s="7" t="s">
        <v>387</v>
      </c>
      <c r="BC491" s="3"/>
      <c r="BE491" s="3"/>
    </row>
    <row r="492" spans="1:57" s="42" customFormat="1" hidden="1" outlineLevel="1" x14ac:dyDescent="0.25">
      <c r="A492" s="320" t="s">
        <v>388</v>
      </c>
      <c r="B492" s="3">
        <v>94500</v>
      </c>
      <c r="C492" s="3"/>
      <c r="D492" s="3">
        <v>25050</v>
      </c>
      <c r="E492" s="3">
        <f t="shared" ref="E492:E498" si="310">F492-D492</f>
        <v>69950</v>
      </c>
      <c r="F492" s="3">
        <v>95000</v>
      </c>
      <c r="G492" s="3"/>
      <c r="H492" s="3">
        <f t="shared" ref="H492:H498" si="311">F492-B492</f>
        <v>500</v>
      </c>
      <c r="I492" s="3"/>
      <c r="J492" s="3">
        <v>43949</v>
      </c>
      <c r="K492" s="4">
        <f t="shared" ref="K492:K498" si="312">L492-J492</f>
        <v>51051</v>
      </c>
      <c r="L492" s="4">
        <v>95000</v>
      </c>
      <c r="M492" s="4"/>
      <c r="N492" s="4">
        <f t="shared" ref="N492:N498" si="313">L492-F492</f>
        <v>0</v>
      </c>
      <c r="O492" s="3"/>
      <c r="P492" s="3">
        <f>L492*1.0275+37</f>
        <v>97649.500000000015</v>
      </c>
      <c r="Q492" s="3"/>
      <c r="R492" s="3">
        <v>26399</v>
      </c>
      <c r="S492" s="3">
        <f t="shared" ref="S492:S498" si="314">T492-R492</f>
        <v>71251</v>
      </c>
      <c r="T492" s="3">
        <v>97650</v>
      </c>
      <c r="U492" s="3">
        <f t="shared" ref="U492:U498" si="315">T492-P492</f>
        <v>0.49999999998544808</v>
      </c>
      <c r="V492" s="3">
        <v>48962</v>
      </c>
      <c r="W492" s="3">
        <f t="shared" ref="W492:W498" si="316">Y492-V492</f>
        <v>54038</v>
      </c>
      <c r="X492" s="3"/>
      <c r="Y492" s="3">
        <v>103000</v>
      </c>
      <c r="Z492" s="3">
        <f t="shared" ref="Z492:Z498" si="317">Y492-T492</f>
        <v>5350</v>
      </c>
      <c r="AA492" s="3"/>
      <c r="AB492" s="3"/>
      <c r="AC492" s="3">
        <v>60158</v>
      </c>
      <c r="AD492" s="3">
        <f t="shared" ref="AD492:AD498" si="318">AE492-AC492</f>
        <v>42842</v>
      </c>
      <c r="AE492" s="3">
        <v>103000</v>
      </c>
      <c r="AF492" s="3">
        <f t="shared" ref="AF492:AF498" si="319">AE492-Y492</f>
        <v>0</v>
      </c>
      <c r="AG492" s="4"/>
      <c r="AH492" s="4"/>
      <c r="AI492" s="3">
        <v>105600</v>
      </c>
      <c r="AJ492" s="3"/>
      <c r="AK492" s="3">
        <f>AI492*1.03</f>
        <v>108768</v>
      </c>
      <c r="AL492" s="3"/>
      <c r="AM492" s="3">
        <f>AK492*1.0281</f>
        <v>111824.3808</v>
      </c>
      <c r="AN492" s="3"/>
      <c r="AO492" s="3">
        <f>AM492*1.0281</f>
        <v>114966.64590048</v>
      </c>
      <c r="AP492" s="4"/>
      <c r="AQ492" s="3">
        <f>AO492*1.0281</f>
        <v>118197.20865028349</v>
      </c>
      <c r="AS492" s="3">
        <f>AQ492*1.0281</f>
        <v>121518.55021335646</v>
      </c>
      <c r="AU492" s="3">
        <f>AS492*1.0281</f>
        <v>124933.22147435178</v>
      </c>
      <c r="AW492" s="3">
        <f>AU492*1.0281</f>
        <v>128443.84499778107</v>
      </c>
      <c r="AY492" s="3">
        <f>AW492*1.0281</f>
        <v>132053.11704221871</v>
      </c>
      <c r="BA492" s="3">
        <f>AY492*1.0281</f>
        <v>135763.80963110505</v>
      </c>
      <c r="BC492" s="3">
        <f>BA492*1.0281</f>
        <v>139578.77268173909</v>
      </c>
      <c r="BE492" s="3">
        <f>BC492*1.0281</f>
        <v>143500.93619409596</v>
      </c>
    </row>
    <row r="493" spans="1:57" s="42" customFormat="1" hidden="1" outlineLevel="1" x14ac:dyDescent="0.25">
      <c r="A493" s="3" t="s">
        <v>389</v>
      </c>
      <c r="B493" s="3"/>
      <c r="C493" s="3"/>
      <c r="D493" s="3"/>
      <c r="E493" s="3"/>
      <c r="F493" s="3"/>
      <c r="G493" s="3"/>
      <c r="H493" s="3"/>
      <c r="I493" s="3"/>
      <c r="J493" s="3"/>
      <c r="K493" s="4"/>
      <c r="L493" s="4"/>
      <c r="M493" s="4"/>
      <c r="N493" s="4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4"/>
      <c r="AH493" s="4"/>
      <c r="AI493" s="3">
        <f>55000-10000</f>
        <v>45000</v>
      </c>
      <c r="AJ493" s="3"/>
      <c r="AK493" s="3">
        <f>AI493*1.03</f>
        <v>46350</v>
      </c>
      <c r="AL493" s="3"/>
      <c r="AM493" s="3">
        <f t="shared" ref="AM493:BE493" si="320">AK493*1.03</f>
        <v>47740.5</v>
      </c>
      <c r="AN493" s="3">
        <f t="shared" si="320"/>
        <v>0</v>
      </c>
      <c r="AO493" s="3">
        <f t="shared" si="320"/>
        <v>49172.715000000004</v>
      </c>
      <c r="AP493" s="4">
        <f t="shared" si="320"/>
        <v>0</v>
      </c>
      <c r="AQ493" s="3">
        <f t="shared" si="320"/>
        <v>50647.896450000007</v>
      </c>
      <c r="AR493" s="3"/>
      <c r="AS493" s="3">
        <f t="shared" si="320"/>
        <v>52167.33334350001</v>
      </c>
      <c r="AT493" s="3">
        <f t="shared" si="320"/>
        <v>0</v>
      </c>
      <c r="AU493" s="3">
        <f t="shared" si="320"/>
        <v>53732.353343805014</v>
      </c>
      <c r="AV493" s="3">
        <f t="shared" si="320"/>
        <v>0</v>
      </c>
      <c r="AW493" s="3">
        <f t="shared" si="320"/>
        <v>55344.323944119169</v>
      </c>
      <c r="AX493" s="3">
        <f t="shared" si="320"/>
        <v>0</v>
      </c>
      <c r="AY493" s="3">
        <f t="shared" si="320"/>
        <v>57004.653662442746</v>
      </c>
      <c r="AZ493" s="3">
        <f t="shared" si="320"/>
        <v>0</v>
      </c>
      <c r="BA493" s="3">
        <f t="shared" si="320"/>
        <v>58714.793272316027</v>
      </c>
      <c r="BC493" s="3">
        <f t="shared" si="320"/>
        <v>60476.237070485506</v>
      </c>
      <c r="BE493" s="3">
        <f t="shared" si="320"/>
        <v>62290.524182600071</v>
      </c>
    </row>
    <row r="494" spans="1:57" hidden="1" outlineLevel="1" x14ac:dyDescent="0.25">
      <c r="A494" s="3" t="s">
        <v>305</v>
      </c>
      <c r="B494" s="3">
        <v>17500</v>
      </c>
      <c r="D494" s="3">
        <v>879</v>
      </c>
      <c r="E494" s="3">
        <f t="shared" si="310"/>
        <v>16621</v>
      </c>
      <c r="F494" s="3">
        <v>17500</v>
      </c>
      <c r="H494" s="3">
        <f t="shared" si="311"/>
        <v>0</v>
      </c>
      <c r="J494" s="3">
        <v>2198</v>
      </c>
      <c r="K494" s="4">
        <f t="shared" si="312"/>
        <v>15302</v>
      </c>
      <c r="L494" s="4">
        <v>17500</v>
      </c>
      <c r="N494" s="4">
        <f t="shared" si="313"/>
        <v>0</v>
      </c>
      <c r="P494" s="3">
        <f>75000+7500</f>
        <v>82500</v>
      </c>
      <c r="R494" s="3">
        <v>0</v>
      </c>
      <c r="S494" s="3">
        <f t="shared" si="314"/>
        <v>82500</v>
      </c>
      <c r="T494" s="3">
        <v>82500</v>
      </c>
      <c r="U494" s="3">
        <f t="shared" si="315"/>
        <v>0</v>
      </c>
      <c r="V494" s="3">
        <v>1805</v>
      </c>
      <c r="W494" s="3">
        <f t="shared" si="316"/>
        <v>75195</v>
      </c>
      <c r="Y494" s="3">
        <v>77000</v>
      </c>
      <c r="Z494" s="3">
        <f t="shared" si="317"/>
        <v>-5500</v>
      </c>
      <c r="AC494" s="3">
        <v>20545</v>
      </c>
      <c r="AD494" s="3">
        <f t="shared" si="318"/>
        <v>57455</v>
      </c>
      <c r="AE494" s="3">
        <v>78000</v>
      </c>
      <c r="AF494" s="3">
        <f t="shared" si="319"/>
        <v>1000</v>
      </c>
      <c r="AI494" s="3">
        <v>70000</v>
      </c>
      <c r="AK494" s="3">
        <v>53000</v>
      </c>
      <c r="AM494" s="3">
        <v>30000</v>
      </c>
      <c r="AO494" s="3">
        <v>37500</v>
      </c>
      <c r="AP494" s="4">
        <v>37500</v>
      </c>
      <c r="AQ494" s="3">
        <v>37500</v>
      </c>
      <c r="AR494" s="3"/>
      <c r="AS494" s="3">
        <v>37500</v>
      </c>
      <c r="AT494" s="3">
        <v>37500</v>
      </c>
      <c r="AU494" s="3">
        <v>37500</v>
      </c>
      <c r="AV494" s="3">
        <v>37500</v>
      </c>
      <c r="AW494" s="3">
        <v>37500</v>
      </c>
      <c r="AX494" s="3">
        <v>37500</v>
      </c>
      <c r="AY494" s="3">
        <v>37500</v>
      </c>
      <c r="AZ494" s="3">
        <v>37500</v>
      </c>
      <c r="BA494" s="3">
        <v>37500</v>
      </c>
      <c r="BC494" s="3">
        <v>37500</v>
      </c>
      <c r="BE494" s="3">
        <v>37500</v>
      </c>
    </row>
    <row r="495" spans="1:57" hidden="1" outlineLevel="1" x14ac:dyDescent="0.25">
      <c r="A495" s="3" t="s">
        <v>390</v>
      </c>
      <c r="B495" s="3">
        <v>7500</v>
      </c>
      <c r="D495" s="3">
        <v>0</v>
      </c>
      <c r="E495" s="3">
        <f t="shared" si="310"/>
        <v>7500</v>
      </c>
      <c r="F495" s="3">
        <v>7500</v>
      </c>
      <c r="H495" s="3">
        <f t="shared" si="311"/>
        <v>0</v>
      </c>
      <c r="J495" s="3">
        <v>231</v>
      </c>
      <c r="K495" s="4">
        <f t="shared" si="312"/>
        <v>5769</v>
      </c>
      <c r="L495" s="4">
        <v>6000</v>
      </c>
      <c r="N495" s="4">
        <f t="shared" si="313"/>
        <v>-1500</v>
      </c>
      <c r="P495" s="3">
        <f>B495*1.0325+256</f>
        <v>7999.75</v>
      </c>
      <c r="R495" s="3">
        <v>0</v>
      </c>
      <c r="S495" s="3">
        <f t="shared" si="314"/>
        <v>8000</v>
      </c>
      <c r="T495" s="3">
        <v>8000</v>
      </c>
      <c r="U495" s="3">
        <f t="shared" si="315"/>
        <v>0.25</v>
      </c>
      <c r="V495" s="3">
        <v>1334</v>
      </c>
      <c r="W495" s="3">
        <f t="shared" si="316"/>
        <v>3666</v>
      </c>
      <c r="Y495" s="3">
        <v>5000</v>
      </c>
      <c r="Z495" s="3">
        <f t="shared" si="317"/>
        <v>-3000</v>
      </c>
      <c r="AC495" s="3">
        <v>6605</v>
      </c>
      <c r="AD495" s="3">
        <f t="shared" si="318"/>
        <v>2895</v>
      </c>
      <c r="AE495" s="3">
        <v>9500</v>
      </c>
      <c r="AF495" s="3">
        <f t="shared" si="319"/>
        <v>4500</v>
      </c>
      <c r="AI495" s="3">
        <v>8800</v>
      </c>
      <c r="AK495" s="3">
        <f>AI495*1.0325</f>
        <v>9086</v>
      </c>
      <c r="AM495" s="3">
        <f>AK495*1.0325</f>
        <v>9381.2950000000001</v>
      </c>
      <c r="AO495" s="3">
        <f>AM495*1.0325</f>
        <v>9686.1870875000004</v>
      </c>
      <c r="AQ495" s="3">
        <f>AO495*1.0325</f>
        <v>10000.98816784375</v>
      </c>
      <c r="AS495" s="3">
        <f>AQ495*1.0325</f>
        <v>10326.020283298672</v>
      </c>
      <c r="AU495" s="3">
        <f>AS495*1.0325</f>
        <v>10661.61594250588</v>
      </c>
      <c r="AW495" s="3">
        <f>AU495*1.0325</f>
        <v>11008.118460637321</v>
      </c>
      <c r="AY495" s="3">
        <f>AW495*1.0325</f>
        <v>11365.882310608033</v>
      </c>
      <c r="BA495" s="3">
        <f>AY495*1.0325</f>
        <v>11735.273485702794</v>
      </c>
      <c r="BC495" s="3">
        <f>BA495*1.0325</f>
        <v>12116.669873988134</v>
      </c>
      <c r="BE495" s="3">
        <f>BC495*1.0325</f>
        <v>12510.461644892748</v>
      </c>
    </row>
    <row r="496" spans="1:57" hidden="1" outlineLevel="1" x14ac:dyDescent="0.25">
      <c r="A496" s="3" t="s">
        <v>299</v>
      </c>
      <c r="B496" s="3">
        <v>1500</v>
      </c>
      <c r="D496" s="3">
        <v>0</v>
      </c>
      <c r="E496" s="3">
        <f t="shared" si="310"/>
        <v>1500</v>
      </c>
      <c r="F496" s="3">
        <v>1500</v>
      </c>
      <c r="H496" s="3">
        <f t="shared" si="311"/>
        <v>0</v>
      </c>
      <c r="J496" s="3">
        <v>0</v>
      </c>
      <c r="K496" s="4">
        <f t="shared" si="312"/>
        <v>500</v>
      </c>
      <c r="L496" s="4">
        <v>500</v>
      </c>
      <c r="N496" s="4">
        <f t="shared" si="313"/>
        <v>-1000</v>
      </c>
      <c r="P496" s="3">
        <f>L496*1.0281+86</f>
        <v>600.04999999999995</v>
      </c>
      <c r="R496" s="3">
        <v>0</v>
      </c>
      <c r="S496" s="3">
        <f t="shared" si="314"/>
        <v>600</v>
      </c>
      <c r="T496" s="3">
        <v>600</v>
      </c>
      <c r="U496" s="3">
        <f t="shared" si="315"/>
        <v>-4.9999999999954525E-2</v>
      </c>
      <c r="V496" s="3">
        <v>0</v>
      </c>
      <c r="W496" s="3">
        <f t="shared" si="316"/>
        <v>3000</v>
      </c>
      <c r="Y496" s="3">
        <v>3000</v>
      </c>
      <c r="Z496" s="3">
        <f t="shared" si="317"/>
        <v>2400</v>
      </c>
      <c r="AD496" s="3">
        <f t="shared" si="318"/>
        <v>3000</v>
      </c>
      <c r="AE496" s="3">
        <v>3000</v>
      </c>
      <c r="AF496" s="3">
        <f t="shared" si="319"/>
        <v>0</v>
      </c>
      <c r="AI496" s="3">
        <f>15000-7000</f>
        <v>8000</v>
      </c>
      <c r="AK496" s="3">
        <f>AI496*1.03</f>
        <v>8240</v>
      </c>
      <c r="AM496" s="3">
        <f>AK496*1.03</f>
        <v>8487.2000000000007</v>
      </c>
      <c r="AO496" s="3">
        <f>AM496*1.03</f>
        <v>8741.8160000000007</v>
      </c>
      <c r="AQ496" s="3">
        <f>AO496*1.03</f>
        <v>9004.0704800000003</v>
      </c>
      <c r="AS496" s="3">
        <f>AQ496*1.03</f>
        <v>9274.1925944000013</v>
      </c>
      <c r="AU496" s="3">
        <f>AS496*1.03</f>
        <v>9552.4183722320013</v>
      </c>
      <c r="AW496" s="3">
        <f>AU496*1.03</f>
        <v>9838.990923398962</v>
      </c>
      <c r="AX496" s="3"/>
      <c r="AY496" s="3">
        <f>AW496*1.03</f>
        <v>10134.16065110093</v>
      </c>
      <c r="BA496" s="3">
        <f>AY496*1.0281</f>
        <v>10418.930565396866</v>
      </c>
      <c r="BC496" s="3">
        <f>BA496*1.0281</f>
        <v>10711.702514284518</v>
      </c>
      <c r="BE496" s="3">
        <f>BC496*1.0281</f>
        <v>11012.701354935913</v>
      </c>
    </row>
    <row r="497" spans="1:57" hidden="1" outlineLevel="1" x14ac:dyDescent="0.25">
      <c r="A497" s="3" t="s">
        <v>90</v>
      </c>
      <c r="B497" s="3">
        <v>1500</v>
      </c>
      <c r="D497" s="3">
        <v>1054</v>
      </c>
      <c r="E497" s="3">
        <f t="shared" si="310"/>
        <v>446</v>
      </c>
      <c r="F497" s="3">
        <v>1500</v>
      </c>
      <c r="H497" s="3">
        <f t="shared" si="311"/>
        <v>0</v>
      </c>
      <c r="J497" s="3">
        <v>1214</v>
      </c>
      <c r="K497" s="4">
        <f t="shared" si="312"/>
        <v>536</v>
      </c>
      <c r="L497" s="4">
        <v>1750</v>
      </c>
      <c r="N497" s="4">
        <f t="shared" si="313"/>
        <v>250</v>
      </c>
      <c r="P497" s="3">
        <f>L497*1.0281+1</f>
        <v>1800.175</v>
      </c>
      <c r="R497" s="3">
        <v>915</v>
      </c>
      <c r="S497" s="3">
        <f t="shared" si="314"/>
        <v>885</v>
      </c>
      <c r="T497" s="3">
        <v>1800</v>
      </c>
      <c r="U497" s="3">
        <f t="shared" si="315"/>
        <v>-0.17499999999995453</v>
      </c>
      <c r="V497" s="3">
        <v>1196</v>
      </c>
      <c r="W497" s="3">
        <f t="shared" si="316"/>
        <v>604</v>
      </c>
      <c r="Y497" s="3">
        <v>1800</v>
      </c>
      <c r="Z497" s="3">
        <f t="shared" si="317"/>
        <v>0</v>
      </c>
      <c r="AC497" s="3">
        <v>2138</v>
      </c>
      <c r="AD497" s="3">
        <f t="shared" si="318"/>
        <v>-138</v>
      </c>
      <c r="AE497" s="3">
        <v>2000</v>
      </c>
      <c r="AF497" s="3">
        <f t="shared" si="319"/>
        <v>200</v>
      </c>
      <c r="AI497" s="3">
        <f>AE497*1.03+40</f>
        <v>2100</v>
      </c>
      <c r="AK497" s="3">
        <f>AI497*1.03</f>
        <v>2163</v>
      </c>
      <c r="AM497" s="3">
        <f>AK497*1.03</f>
        <v>2227.89</v>
      </c>
      <c r="AO497" s="3">
        <f>AM497*1.03</f>
        <v>2294.7266999999997</v>
      </c>
      <c r="AQ497" s="3">
        <f>AO497*1.03</f>
        <v>2363.5685009999997</v>
      </c>
      <c r="AS497" s="3">
        <f>AQ497*1.03</f>
        <v>2434.47555603</v>
      </c>
      <c r="AU497" s="3">
        <f>AS497*1.03</f>
        <v>2507.5098227109002</v>
      </c>
      <c r="AW497" s="3">
        <f>AU497*1.03</f>
        <v>2582.735117392227</v>
      </c>
      <c r="AX497" s="3"/>
      <c r="AY497" s="3">
        <f>AW497*1.03</f>
        <v>2660.2171709139939</v>
      </c>
      <c r="BA497" s="3">
        <f>AY497*1.0281</f>
        <v>2734.969273416677</v>
      </c>
      <c r="BC497" s="3">
        <f>BA497*1.0281</f>
        <v>2811.8219099996854</v>
      </c>
      <c r="BE497" s="3">
        <f>BC497*1.0281</f>
        <v>2890.8341056706768</v>
      </c>
    </row>
    <row r="498" spans="1:57" hidden="1" outlineLevel="1" x14ac:dyDescent="0.25">
      <c r="A498" s="320" t="s">
        <v>391</v>
      </c>
      <c r="B498" s="3">
        <f>-51640-10</f>
        <v>-51650</v>
      </c>
      <c r="D498" s="3">
        <v>0</v>
      </c>
      <c r="E498" s="3">
        <f t="shared" si="310"/>
        <v>-51650</v>
      </c>
      <c r="F498" s="3">
        <v>-51650</v>
      </c>
      <c r="H498" s="3">
        <f t="shared" si="311"/>
        <v>0</v>
      </c>
      <c r="J498" s="3">
        <v>0</v>
      </c>
      <c r="K498" s="4">
        <f t="shared" si="312"/>
        <v>-51650</v>
      </c>
      <c r="L498" s="4">
        <v>-51650</v>
      </c>
      <c r="N498" s="4">
        <f t="shared" si="313"/>
        <v>0</v>
      </c>
      <c r="P498" s="3">
        <v>-53190</v>
      </c>
      <c r="R498" s="3">
        <v>0</v>
      </c>
      <c r="S498" s="3">
        <f t="shared" si="314"/>
        <v>-53190</v>
      </c>
      <c r="T498" s="3">
        <v>-53190</v>
      </c>
      <c r="U498" s="3">
        <f t="shared" si="315"/>
        <v>0</v>
      </c>
      <c r="W498" s="3">
        <f t="shared" si="316"/>
        <v>-53190</v>
      </c>
      <c r="Y498" s="3">
        <v>-53190</v>
      </c>
      <c r="Z498" s="3">
        <f t="shared" si="317"/>
        <v>0</v>
      </c>
      <c r="AC498" s="3">
        <v>0</v>
      </c>
      <c r="AD498" s="3">
        <f t="shared" si="318"/>
        <v>-53190</v>
      </c>
      <c r="AE498" s="3">
        <v>-53190</v>
      </c>
      <c r="AF498" s="3">
        <f t="shared" si="319"/>
        <v>0</v>
      </c>
      <c r="AI498" s="3">
        <v>-56650</v>
      </c>
      <c r="AK498" s="3">
        <f>AI498*1.03</f>
        <v>-58349.5</v>
      </c>
      <c r="AM498" s="3">
        <f>AK498*1.03</f>
        <v>-60099.985000000001</v>
      </c>
      <c r="AO498" s="3">
        <f>AM498*1.03</f>
        <v>-61902.984550000001</v>
      </c>
      <c r="AQ498" s="3">
        <f>AO498*1.03</f>
        <v>-63760.074086500004</v>
      </c>
      <c r="AS498" s="3">
        <f>AQ498*1.03</f>
        <v>-65672.876309095009</v>
      </c>
      <c r="AU498" s="3">
        <f>AS498*1.03</f>
        <v>-67643.062598367862</v>
      </c>
      <c r="AW498" s="3">
        <f>AU498*1.03</f>
        <v>-69672.354476318898</v>
      </c>
      <c r="AX498" s="3"/>
      <c r="AY498" s="3">
        <f>AW498*1.03</f>
        <v>-71762.525110608462</v>
      </c>
      <c r="BA498" s="3">
        <f>AY498*1.0281</f>
        <v>-73779.052066216565</v>
      </c>
      <c r="BC498" s="3">
        <f>BA498*1.0281</f>
        <v>-75852.243429277252</v>
      </c>
      <c r="BE498" s="3">
        <f>BC498*1.0281</f>
        <v>-77983.691469639947</v>
      </c>
    </row>
    <row r="499" spans="1:57" hidden="1" outlineLevel="1" x14ac:dyDescent="0.25">
      <c r="A499" s="3"/>
      <c r="B499" s="62">
        <f>SUM(B492:B498)</f>
        <v>70850</v>
      </c>
      <c r="C499" s="32"/>
      <c r="D499" s="62">
        <f>SUM(D492:D498)</f>
        <v>26983</v>
      </c>
      <c r="E499" s="62">
        <f>SUM(E492:E498)</f>
        <v>44367</v>
      </c>
      <c r="F499" s="62">
        <f>SUM(F492:F498)</f>
        <v>71350</v>
      </c>
      <c r="G499" s="32"/>
      <c r="H499" s="62">
        <f>SUM(H492:H498)</f>
        <v>500</v>
      </c>
      <c r="I499" s="32"/>
      <c r="J499" s="62">
        <f>SUM(J492:J498)</f>
        <v>47592</v>
      </c>
      <c r="K499" s="62">
        <f>SUM(K492:K498)</f>
        <v>21508</v>
      </c>
      <c r="L499" s="62">
        <f>SUM(L492:L498)</f>
        <v>69100</v>
      </c>
      <c r="M499" s="32"/>
      <c r="N499" s="62">
        <f>SUM(N492:N498)</f>
        <v>-2250</v>
      </c>
      <c r="P499" s="62">
        <f>SUM(P492:P498)</f>
        <v>137359.47499999998</v>
      </c>
      <c r="R499" s="62">
        <f t="shared" ref="R499:Z499" si="321">SUM(R492:R498)</f>
        <v>27314</v>
      </c>
      <c r="S499" s="62">
        <f t="shared" si="321"/>
        <v>110046</v>
      </c>
      <c r="T499" s="62">
        <f t="shared" si="321"/>
        <v>137360</v>
      </c>
      <c r="U499" s="62">
        <f t="shared" si="321"/>
        <v>0.52499999998553903</v>
      </c>
      <c r="V499" s="62">
        <f t="shared" si="321"/>
        <v>53297</v>
      </c>
      <c r="W499" s="62">
        <f t="shared" si="321"/>
        <v>83313</v>
      </c>
      <c r="X499" s="62"/>
      <c r="Y499" s="62">
        <f t="shared" si="321"/>
        <v>136610</v>
      </c>
      <c r="Z499" s="62">
        <f t="shared" si="321"/>
        <v>-750</v>
      </c>
      <c r="AC499" s="62">
        <f>SUM(AC492:AC498)</f>
        <v>89446</v>
      </c>
      <c r="AD499" s="62">
        <f>SUM(AD492:AD498)</f>
        <v>52864</v>
      </c>
      <c r="AE499" s="62">
        <f>SUM(AE492:AE498)</f>
        <v>142310</v>
      </c>
      <c r="AF499" s="62">
        <f>SUM(AF492:AF498)</f>
        <v>5700</v>
      </c>
      <c r="AG499" s="32"/>
      <c r="AI499" s="62">
        <f>SUM(AI492:AI498)</f>
        <v>182850</v>
      </c>
      <c r="AK499" s="62">
        <f>SUM(AK492:AK498)</f>
        <v>169257.5</v>
      </c>
      <c r="AM499" s="62">
        <f>SUM(AM492:AM498)</f>
        <v>149561.28080000001</v>
      </c>
      <c r="AO499" s="62">
        <f>SUM(AO492:AO498)</f>
        <v>160459.10613798001</v>
      </c>
      <c r="AP499" s="32"/>
      <c r="AQ499" s="62">
        <f>SUM(AQ492:AQ498)</f>
        <v>163953.65816262722</v>
      </c>
      <c r="AS499" s="62">
        <f>SUM(AS492:AS498)</f>
        <v>167547.69568149015</v>
      </c>
      <c r="AU499" s="62">
        <f>SUM(AU492:AU498)</f>
        <v>171244.05635723774</v>
      </c>
      <c r="AW499" s="62">
        <f>SUM(AW492:AW498)</f>
        <v>175045.65896700986</v>
      </c>
      <c r="AY499" s="62">
        <f>SUM(AY492:AY498)</f>
        <v>178955.50572667594</v>
      </c>
      <c r="BA499" s="62">
        <f>SUM(BA492:BA498)</f>
        <v>183088.72416172083</v>
      </c>
      <c r="BC499" s="62">
        <f>SUM(BC492:BC498)</f>
        <v>187342.96062121971</v>
      </c>
      <c r="BE499" s="62">
        <f>SUM(BE492:BE498)</f>
        <v>191721.76601255545</v>
      </c>
    </row>
    <row r="500" spans="1:57" s="42" customFormat="1" hidden="1" outlineLevel="1" x14ac:dyDescent="0.25">
      <c r="A500" s="7" t="s">
        <v>392</v>
      </c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4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4"/>
      <c r="AH500" s="4"/>
      <c r="AI500" s="3"/>
      <c r="AJ500" s="3"/>
      <c r="AK500" s="3"/>
      <c r="AL500" s="3"/>
      <c r="AM500" s="3"/>
      <c r="AN500" s="3"/>
      <c r="AO500" s="3"/>
      <c r="AP500" s="4"/>
      <c r="AQ500" s="3"/>
      <c r="AS500" s="3"/>
      <c r="AU500" s="3"/>
      <c r="AW500" s="3"/>
      <c r="AY500" s="3"/>
      <c r="BA500" s="3"/>
      <c r="BC500" s="3"/>
      <c r="BE500" s="3"/>
    </row>
    <row r="501" spans="1:57" hidden="1" outlineLevel="1" x14ac:dyDescent="0.25">
      <c r="A501" s="3" t="s">
        <v>90</v>
      </c>
      <c r="B501" s="37">
        <v>1000</v>
      </c>
      <c r="C501" s="32"/>
      <c r="D501" s="37">
        <v>252</v>
      </c>
      <c r="E501" s="37">
        <f>F501-D501</f>
        <v>748</v>
      </c>
      <c r="F501" s="37">
        <v>1000</v>
      </c>
      <c r="G501" s="32"/>
      <c r="H501" s="37">
        <f>F501-B501</f>
        <v>0</v>
      </c>
      <c r="I501" s="32"/>
      <c r="J501" s="37">
        <v>252</v>
      </c>
      <c r="K501" s="37">
        <f>L501-J501</f>
        <v>748</v>
      </c>
      <c r="L501" s="37">
        <v>1000</v>
      </c>
      <c r="M501" s="32"/>
      <c r="N501" s="37">
        <f>L501-F501</f>
        <v>0</v>
      </c>
      <c r="P501" s="37">
        <v>1030</v>
      </c>
      <c r="R501" s="37">
        <v>0</v>
      </c>
      <c r="S501" s="52">
        <f>T501-R501</f>
        <v>1030</v>
      </c>
      <c r="T501" s="37">
        <v>1030</v>
      </c>
      <c r="U501" s="52">
        <f>T501-P501</f>
        <v>0</v>
      </c>
      <c r="V501" s="37">
        <v>0</v>
      </c>
      <c r="W501" s="52">
        <f>Y501-V501</f>
        <v>0</v>
      </c>
      <c r="X501" s="52"/>
      <c r="Y501" s="37">
        <v>0</v>
      </c>
      <c r="Z501" s="52">
        <f>Y501-T501</f>
        <v>-1030</v>
      </c>
      <c r="AC501" s="37">
        <v>0</v>
      </c>
      <c r="AD501" s="37">
        <f>AE501-AC501</f>
        <v>0</v>
      </c>
      <c r="AE501" s="37">
        <v>0</v>
      </c>
      <c r="AF501" s="37">
        <f>AE501-Y501</f>
        <v>0</v>
      </c>
      <c r="AG501" s="32"/>
      <c r="AI501" s="37">
        <f>R501*1.0281</f>
        <v>0</v>
      </c>
      <c r="AK501" s="37">
        <f>AI501*1.0281</f>
        <v>0</v>
      </c>
      <c r="AM501" s="37">
        <f>AK501*1.0281</f>
        <v>0</v>
      </c>
      <c r="AO501" s="37">
        <f>AM501*1.0281</f>
        <v>0</v>
      </c>
      <c r="AP501" s="32"/>
      <c r="AQ501" s="37">
        <f>AO501*1.0281</f>
        <v>0</v>
      </c>
      <c r="AS501" s="37">
        <f>AQ501*1.0281</f>
        <v>0</v>
      </c>
      <c r="AU501" s="37">
        <f>AS501*1.0281</f>
        <v>0</v>
      </c>
      <c r="AW501" s="37">
        <f>AU501*1.0281</f>
        <v>0</v>
      </c>
      <c r="AY501" s="37">
        <f>AW501*1.0281</f>
        <v>0</v>
      </c>
      <c r="BA501" s="37">
        <f>AY501*1.0281</f>
        <v>0</v>
      </c>
      <c r="BC501" s="37">
        <f>BA501*1.0281</f>
        <v>0</v>
      </c>
      <c r="BE501" s="37">
        <f>BC501*1.0281</f>
        <v>0</v>
      </c>
    </row>
    <row r="502" spans="1:57" hidden="1" outlineLevel="1" x14ac:dyDescent="0.25">
      <c r="A502" s="7" t="s">
        <v>393</v>
      </c>
      <c r="BC502" s="3"/>
      <c r="BE502" s="3"/>
    </row>
    <row r="503" spans="1:57" hidden="1" outlineLevel="1" x14ac:dyDescent="0.25">
      <c r="A503" s="3" t="s">
        <v>394</v>
      </c>
      <c r="B503" s="3">
        <v>2200</v>
      </c>
      <c r="D503" s="3">
        <v>2100</v>
      </c>
      <c r="E503" s="3">
        <f t="shared" ref="E503:E508" si="322">F503-D503</f>
        <v>0</v>
      </c>
      <c r="F503" s="3">
        <v>2100</v>
      </c>
      <c r="H503" s="3">
        <f t="shared" ref="H503:H508" si="323">F503-B503</f>
        <v>-100</v>
      </c>
      <c r="J503" s="3">
        <v>2100</v>
      </c>
      <c r="K503" s="4">
        <f t="shared" ref="K503:K508" si="324">L503-J503</f>
        <v>0</v>
      </c>
      <c r="L503" s="4">
        <v>2100</v>
      </c>
      <c r="N503" s="4">
        <f t="shared" ref="N503:N508" si="325">L503-F503</f>
        <v>0</v>
      </c>
      <c r="P503" s="3">
        <f>L503*1.0281+41</f>
        <v>2200.0100000000002</v>
      </c>
      <c r="R503" s="3">
        <v>2100</v>
      </c>
      <c r="S503" s="3">
        <f t="shared" ref="S503:S508" si="326">T503-R503</f>
        <v>0</v>
      </c>
      <c r="T503" s="3">
        <v>2100</v>
      </c>
      <c r="U503" s="3">
        <f t="shared" ref="U503:U508" si="327">T503-P503</f>
        <v>-100.01000000000022</v>
      </c>
      <c r="V503" s="3">
        <v>2100</v>
      </c>
      <c r="W503" s="3">
        <f t="shared" ref="W503:W508" si="328">Y503-V503</f>
        <v>0</v>
      </c>
      <c r="Y503" s="3">
        <v>2100</v>
      </c>
      <c r="Z503" s="3">
        <f t="shared" ref="Z503:Z508" si="329">Y503-T503</f>
        <v>0</v>
      </c>
      <c r="AC503" s="3">
        <v>2300</v>
      </c>
      <c r="AD503" s="3">
        <f t="shared" ref="AD503:AD508" si="330">AE503-AC503</f>
        <v>0</v>
      </c>
      <c r="AE503" s="3">
        <v>2300</v>
      </c>
      <c r="AF503" s="3">
        <f t="shared" ref="AF503:AF508" si="331">AE503-Y503</f>
        <v>200</v>
      </c>
      <c r="AI503" s="3">
        <f>AE503*1.03+31</f>
        <v>2400</v>
      </c>
      <c r="AK503" s="3">
        <f>AI503*1.03</f>
        <v>2472</v>
      </c>
      <c r="AM503" s="3">
        <f t="shared" ref="AM503:BE504" si="332">AK503*1.03</f>
        <v>2546.16</v>
      </c>
      <c r="AN503" s="3">
        <f t="shared" si="332"/>
        <v>0</v>
      </c>
      <c r="AO503" s="3">
        <f t="shared" si="332"/>
        <v>2622.5448000000001</v>
      </c>
      <c r="AP503" s="4">
        <f t="shared" si="332"/>
        <v>0</v>
      </c>
      <c r="AQ503" s="3">
        <f t="shared" si="332"/>
        <v>2701.2211440000001</v>
      </c>
      <c r="AR503" s="3"/>
      <c r="AS503" s="3">
        <f t="shared" si="332"/>
        <v>2782.2577783199999</v>
      </c>
      <c r="AT503" s="3">
        <f t="shared" si="332"/>
        <v>0</v>
      </c>
      <c r="AU503" s="3">
        <f t="shared" si="332"/>
        <v>2865.7255116696001</v>
      </c>
      <c r="AV503" s="3">
        <f t="shared" si="332"/>
        <v>0</v>
      </c>
      <c r="AW503" s="3">
        <f t="shared" si="332"/>
        <v>2951.697277019688</v>
      </c>
      <c r="AX503" s="3">
        <f t="shared" si="332"/>
        <v>0</v>
      </c>
      <c r="AY503" s="3">
        <f t="shared" si="332"/>
        <v>3040.2481953302786</v>
      </c>
      <c r="AZ503" s="3">
        <f t="shared" si="332"/>
        <v>0</v>
      </c>
      <c r="BA503" s="3">
        <f t="shared" si="332"/>
        <v>3131.4556411901872</v>
      </c>
      <c r="BC503" s="3">
        <f t="shared" si="332"/>
        <v>3225.399310425893</v>
      </c>
      <c r="BE503" s="3">
        <f t="shared" si="332"/>
        <v>3322.1612897386699</v>
      </c>
    </row>
    <row r="504" spans="1:57" hidden="1" outlineLevel="1" x14ac:dyDescent="0.25">
      <c r="A504" s="320" t="s">
        <v>395</v>
      </c>
      <c r="B504" s="3">
        <v>70000</v>
      </c>
      <c r="D504" s="3">
        <v>12516</v>
      </c>
      <c r="E504" s="3">
        <f t="shared" si="322"/>
        <v>57484</v>
      </c>
      <c r="F504" s="3">
        <v>70000</v>
      </c>
      <c r="H504" s="3">
        <f t="shared" si="323"/>
        <v>0</v>
      </c>
      <c r="J504" s="3">
        <v>29773</v>
      </c>
      <c r="K504" s="4">
        <f t="shared" si="324"/>
        <v>40227</v>
      </c>
      <c r="L504" s="4">
        <v>70000</v>
      </c>
      <c r="N504" s="4">
        <f t="shared" si="325"/>
        <v>0</v>
      </c>
      <c r="P504" s="3">
        <f>L504*1.0275+25</f>
        <v>71950</v>
      </c>
      <c r="R504" s="3">
        <v>8656</v>
      </c>
      <c r="S504" s="3">
        <f t="shared" si="326"/>
        <v>63294</v>
      </c>
      <c r="T504" s="3">
        <v>71950</v>
      </c>
      <c r="U504" s="3">
        <f t="shared" si="327"/>
        <v>0</v>
      </c>
      <c r="V504" s="3">
        <v>24408</v>
      </c>
      <c r="W504" s="3">
        <f t="shared" si="328"/>
        <v>49542</v>
      </c>
      <c r="Y504" s="3">
        <v>73950</v>
      </c>
      <c r="Z504" s="3">
        <f t="shared" si="329"/>
        <v>2000</v>
      </c>
      <c r="AC504" s="3">
        <v>43719</v>
      </c>
      <c r="AD504" s="3">
        <f t="shared" si="330"/>
        <v>28281</v>
      </c>
      <c r="AE504" s="3">
        <v>72000</v>
      </c>
      <c r="AF504" s="3">
        <f t="shared" si="331"/>
        <v>-1950</v>
      </c>
      <c r="AI504" s="3">
        <v>75000</v>
      </c>
      <c r="AK504" s="3">
        <f>AI504*1.03</f>
        <v>77250</v>
      </c>
      <c r="AM504" s="3">
        <f t="shared" si="332"/>
        <v>79567.5</v>
      </c>
      <c r="AN504" s="3">
        <f t="shared" si="332"/>
        <v>0</v>
      </c>
      <c r="AO504" s="3">
        <f t="shared" si="332"/>
        <v>81954.525000000009</v>
      </c>
      <c r="AP504" s="4">
        <f t="shared" si="332"/>
        <v>0</v>
      </c>
      <c r="AQ504" s="3">
        <f t="shared" si="332"/>
        <v>84413.16075000001</v>
      </c>
      <c r="AR504" s="3"/>
      <c r="AS504" s="3">
        <f t="shared" si="332"/>
        <v>86945.555572500016</v>
      </c>
      <c r="AT504" s="3">
        <f t="shared" si="332"/>
        <v>0</v>
      </c>
      <c r="AU504" s="3">
        <f t="shared" si="332"/>
        <v>89553.922239675012</v>
      </c>
      <c r="AV504" s="3">
        <f t="shared" si="332"/>
        <v>0</v>
      </c>
      <c r="AW504" s="3">
        <f t="shared" si="332"/>
        <v>92240.539906865262</v>
      </c>
      <c r="AX504" s="3">
        <f t="shared" si="332"/>
        <v>0</v>
      </c>
      <c r="AY504" s="3">
        <f t="shared" si="332"/>
        <v>95007.756104071217</v>
      </c>
      <c r="AZ504" s="3">
        <f t="shared" si="332"/>
        <v>0</v>
      </c>
      <c r="BA504" s="3">
        <f t="shared" si="332"/>
        <v>97857.988787193361</v>
      </c>
      <c r="BC504" s="3">
        <f t="shared" si="332"/>
        <v>100793.72845080917</v>
      </c>
      <c r="BE504" s="3">
        <f t="shared" si="332"/>
        <v>103817.54030433345</v>
      </c>
    </row>
    <row r="505" spans="1:57" hidden="1" outlineLevel="1" x14ac:dyDescent="0.25">
      <c r="A505" s="3" t="s">
        <v>396</v>
      </c>
      <c r="B505" s="3">
        <v>27000</v>
      </c>
      <c r="D505" s="3">
        <v>6324</v>
      </c>
      <c r="E505" s="3">
        <f t="shared" si="322"/>
        <v>20676</v>
      </c>
      <c r="F505" s="3">
        <v>27000</v>
      </c>
      <c r="H505" s="3">
        <f t="shared" si="323"/>
        <v>0</v>
      </c>
      <c r="J505" s="3">
        <v>17392</v>
      </c>
      <c r="K505" s="4">
        <f t="shared" si="324"/>
        <v>16608</v>
      </c>
      <c r="L505" s="4">
        <v>34000</v>
      </c>
      <c r="N505" s="4">
        <f t="shared" si="325"/>
        <v>7000</v>
      </c>
      <c r="P505" s="3">
        <f>L505*1.0325-5</f>
        <v>35100</v>
      </c>
      <c r="R505" s="3">
        <v>5774</v>
      </c>
      <c r="S505" s="3">
        <f t="shared" si="326"/>
        <v>29326</v>
      </c>
      <c r="T505" s="3">
        <v>35100</v>
      </c>
      <c r="U505" s="3">
        <f t="shared" si="327"/>
        <v>0</v>
      </c>
      <c r="V505" s="3">
        <v>10046</v>
      </c>
      <c r="W505" s="3">
        <f t="shared" si="328"/>
        <v>23054</v>
      </c>
      <c r="Y505" s="3">
        <v>33100</v>
      </c>
      <c r="Z505" s="3">
        <f t="shared" si="329"/>
        <v>-2000</v>
      </c>
      <c r="AC505" s="3">
        <v>15127</v>
      </c>
      <c r="AD505" s="3">
        <f t="shared" si="330"/>
        <v>12373</v>
      </c>
      <c r="AE505" s="3">
        <v>27500</v>
      </c>
      <c r="AF505" s="3">
        <f t="shared" si="331"/>
        <v>-5600</v>
      </c>
      <c r="AI505" s="3">
        <f>AE505*1.0325+6-400</f>
        <v>27999.75</v>
      </c>
      <c r="AK505" s="3">
        <f>AI505*1.0325</f>
        <v>28909.741875</v>
      </c>
      <c r="AM505" s="3">
        <f t="shared" ref="AM505:BE505" si="333">AK505*1.0325</f>
        <v>29849.308485937498</v>
      </c>
      <c r="AN505" s="3">
        <f t="shared" si="333"/>
        <v>0</v>
      </c>
      <c r="AO505" s="3">
        <f t="shared" si="333"/>
        <v>30819.411011730466</v>
      </c>
      <c r="AP505" s="4">
        <f t="shared" si="333"/>
        <v>0</v>
      </c>
      <c r="AQ505" s="3">
        <f t="shared" si="333"/>
        <v>31821.041869611705</v>
      </c>
      <c r="AR505" s="3"/>
      <c r="AS505" s="3">
        <f t="shared" si="333"/>
        <v>32855.225730374084</v>
      </c>
      <c r="AT505" s="3">
        <f t="shared" si="333"/>
        <v>0</v>
      </c>
      <c r="AU505" s="3">
        <f t="shared" si="333"/>
        <v>33923.020566611238</v>
      </c>
      <c r="AV505" s="3">
        <f t="shared" si="333"/>
        <v>0</v>
      </c>
      <c r="AW505" s="3">
        <f t="shared" si="333"/>
        <v>35025.518735026104</v>
      </c>
      <c r="AX505" s="3">
        <f t="shared" si="333"/>
        <v>0</v>
      </c>
      <c r="AY505" s="3">
        <f t="shared" si="333"/>
        <v>36163.84809391445</v>
      </c>
      <c r="AZ505" s="3">
        <f t="shared" si="333"/>
        <v>0</v>
      </c>
      <c r="BA505" s="3">
        <f t="shared" si="333"/>
        <v>37339.173156966666</v>
      </c>
      <c r="BC505" s="3">
        <f t="shared" si="333"/>
        <v>38552.696284568083</v>
      </c>
      <c r="BE505" s="3">
        <f t="shared" si="333"/>
        <v>39805.658913816544</v>
      </c>
    </row>
    <row r="506" spans="1:57" hidden="1" outlineLevel="1" x14ac:dyDescent="0.25">
      <c r="A506" s="3" t="s">
        <v>397</v>
      </c>
      <c r="B506" s="3">
        <v>3050</v>
      </c>
      <c r="D506" s="3">
        <v>0</v>
      </c>
      <c r="E506" s="3">
        <f t="shared" si="322"/>
        <v>3050</v>
      </c>
      <c r="F506" s="3">
        <v>3050</v>
      </c>
      <c r="H506" s="3">
        <f t="shared" si="323"/>
        <v>0</v>
      </c>
      <c r="J506" s="3">
        <v>0</v>
      </c>
      <c r="K506" s="4">
        <f t="shared" si="324"/>
        <v>3050</v>
      </c>
      <c r="L506" s="4">
        <v>3050</v>
      </c>
      <c r="N506" s="4">
        <f t="shared" si="325"/>
        <v>0</v>
      </c>
      <c r="P506" s="3">
        <v>3140</v>
      </c>
      <c r="R506" s="3">
        <v>0</v>
      </c>
      <c r="S506" s="3">
        <f t="shared" si="326"/>
        <v>3140</v>
      </c>
      <c r="T506" s="3">
        <v>3140</v>
      </c>
      <c r="U506" s="3">
        <f t="shared" si="327"/>
        <v>0</v>
      </c>
      <c r="V506" s="3">
        <v>0</v>
      </c>
      <c r="W506" s="3">
        <f t="shared" si="328"/>
        <v>3140</v>
      </c>
      <c r="Y506" s="3">
        <v>3140</v>
      </c>
      <c r="Z506" s="3">
        <f t="shared" si="329"/>
        <v>0</v>
      </c>
      <c r="AC506" s="3">
        <v>0</v>
      </c>
      <c r="AD506" s="3">
        <f t="shared" si="330"/>
        <v>3140</v>
      </c>
      <c r="AE506" s="3">
        <v>3140</v>
      </c>
      <c r="AF506" s="3">
        <f t="shared" si="331"/>
        <v>0</v>
      </c>
      <c r="AI506" s="3">
        <f>3235+15</f>
        <v>3250</v>
      </c>
      <c r="AK506" s="3">
        <v>3332</v>
      </c>
      <c r="AM506" s="3">
        <v>3332</v>
      </c>
      <c r="AN506" s="3">
        <v>3332</v>
      </c>
      <c r="AO506" s="3">
        <v>3332</v>
      </c>
      <c r="AP506" s="4">
        <v>3332</v>
      </c>
      <c r="AQ506" s="3">
        <v>3332</v>
      </c>
      <c r="AR506" s="3"/>
      <c r="AS506" s="3">
        <v>3332</v>
      </c>
      <c r="AT506" s="3">
        <v>3332</v>
      </c>
      <c r="AU506" s="3">
        <v>3332</v>
      </c>
      <c r="AV506" s="3">
        <v>3332</v>
      </c>
      <c r="AW506" s="3">
        <v>3332</v>
      </c>
      <c r="AX506" s="3">
        <v>3332</v>
      </c>
      <c r="AY506" s="3">
        <v>3332</v>
      </c>
      <c r="AZ506" s="3">
        <v>3332</v>
      </c>
      <c r="BA506" s="3">
        <v>3332</v>
      </c>
      <c r="BC506" s="3">
        <v>3332</v>
      </c>
      <c r="BE506" s="3">
        <v>3332</v>
      </c>
    </row>
    <row r="507" spans="1:57" hidden="1" outlineLevel="1" x14ac:dyDescent="0.25">
      <c r="A507" s="3" t="s">
        <v>398</v>
      </c>
      <c r="B507" s="3">
        <v>4500</v>
      </c>
      <c r="D507" s="3">
        <v>0</v>
      </c>
      <c r="E507" s="3">
        <f t="shared" si="322"/>
        <v>4500</v>
      </c>
      <c r="F507" s="3">
        <v>4500</v>
      </c>
      <c r="H507" s="3">
        <f t="shared" si="323"/>
        <v>0</v>
      </c>
      <c r="K507" s="4">
        <f t="shared" si="324"/>
        <v>5000</v>
      </c>
      <c r="L507" s="4">
        <v>5000</v>
      </c>
      <c r="N507" s="4">
        <f t="shared" si="325"/>
        <v>500</v>
      </c>
      <c r="P507" s="3">
        <f>L507*1.0281+59</f>
        <v>5199.5</v>
      </c>
      <c r="R507" s="3">
        <v>0</v>
      </c>
      <c r="S507" s="3">
        <f t="shared" si="326"/>
        <v>5200</v>
      </c>
      <c r="T507" s="3">
        <v>5200</v>
      </c>
      <c r="U507" s="3">
        <f t="shared" si="327"/>
        <v>0.5</v>
      </c>
      <c r="V507" s="3">
        <v>0</v>
      </c>
      <c r="W507" s="3">
        <f t="shared" si="328"/>
        <v>5200</v>
      </c>
      <c r="Y507" s="3">
        <v>5200</v>
      </c>
      <c r="Z507" s="3">
        <f t="shared" si="329"/>
        <v>0</v>
      </c>
      <c r="AC507" s="3">
        <v>6185</v>
      </c>
      <c r="AD507" s="3">
        <f t="shared" si="330"/>
        <v>815</v>
      </c>
      <c r="AE507" s="3">
        <v>7000</v>
      </c>
      <c r="AF507" s="3">
        <f t="shared" si="331"/>
        <v>1800</v>
      </c>
      <c r="AI507" s="3">
        <f>AE507*1.03-10</f>
        <v>7200</v>
      </c>
      <c r="AK507" s="3">
        <f>AI507*1.03</f>
        <v>7416</v>
      </c>
      <c r="AM507" s="3">
        <f t="shared" ref="AM507:BE508" si="334">AK507*1.03</f>
        <v>7638.4800000000005</v>
      </c>
      <c r="AN507" s="3">
        <f t="shared" si="334"/>
        <v>0</v>
      </c>
      <c r="AO507" s="3">
        <f t="shared" si="334"/>
        <v>7867.6344000000008</v>
      </c>
      <c r="AP507" s="4">
        <f t="shared" si="334"/>
        <v>0</v>
      </c>
      <c r="AQ507" s="3">
        <f t="shared" si="334"/>
        <v>8103.6634320000012</v>
      </c>
      <c r="AR507" s="3"/>
      <c r="AS507" s="3">
        <f t="shared" si="334"/>
        <v>8346.7733349600021</v>
      </c>
      <c r="AT507" s="3">
        <f t="shared" si="334"/>
        <v>0</v>
      </c>
      <c r="AU507" s="3">
        <f t="shared" si="334"/>
        <v>8597.1765350088026</v>
      </c>
      <c r="AV507" s="3">
        <f t="shared" si="334"/>
        <v>0</v>
      </c>
      <c r="AW507" s="3">
        <f t="shared" si="334"/>
        <v>8855.0918310590678</v>
      </c>
      <c r="AX507" s="3">
        <f t="shared" si="334"/>
        <v>0</v>
      </c>
      <c r="AY507" s="3">
        <f t="shared" si="334"/>
        <v>9120.7445859908403</v>
      </c>
      <c r="AZ507" s="3">
        <f t="shared" si="334"/>
        <v>0</v>
      </c>
      <c r="BA507" s="3">
        <f t="shared" si="334"/>
        <v>9394.3669235705656</v>
      </c>
      <c r="BC507" s="3">
        <f t="shared" si="334"/>
        <v>9676.1979312776821</v>
      </c>
      <c r="BE507" s="3">
        <f t="shared" si="334"/>
        <v>9966.483869216012</v>
      </c>
    </row>
    <row r="508" spans="1:57" hidden="1" outlineLevel="1" x14ac:dyDescent="0.25">
      <c r="A508" s="3" t="s">
        <v>399</v>
      </c>
      <c r="B508" s="3">
        <v>6000</v>
      </c>
      <c r="D508" s="3">
        <v>1525</v>
      </c>
      <c r="E508" s="3">
        <f t="shared" si="322"/>
        <v>3475</v>
      </c>
      <c r="F508" s="3">
        <v>5000</v>
      </c>
      <c r="H508" s="3">
        <f t="shared" si="323"/>
        <v>-1000</v>
      </c>
      <c r="J508" s="3">
        <v>2877</v>
      </c>
      <c r="K508" s="4">
        <f t="shared" si="324"/>
        <v>2123</v>
      </c>
      <c r="L508" s="4">
        <v>5000</v>
      </c>
      <c r="N508" s="4">
        <f t="shared" si="325"/>
        <v>0</v>
      </c>
      <c r="P508" s="3">
        <f>L508*1.0281+59</f>
        <v>5199.5</v>
      </c>
      <c r="R508" s="3">
        <v>408</v>
      </c>
      <c r="S508" s="3">
        <f t="shared" si="326"/>
        <v>4792</v>
      </c>
      <c r="T508" s="3">
        <v>5200</v>
      </c>
      <c r="U508" s="3">
        <f t="shared" si="327"/>
        <v>0.5</v>
      </c>
      <c r="V508" s="3">
        <v>1237</v>
      </c>
      <c r="W508" s="3">
        <f t="shared" si="328"/>
        <v>3963</v>
      </c>
      <c r="Y508" s="3">
        <v>5200</v>
      </c>
      <c r="Z508" s="3">
        <f t="shared" si="329"/>
        <v>0</v>
      </c>
      <c r="AC508" s="3">
        <v>3685</v>
      </c>
      <c r="AD508" s="3">
        <f t="shared" si="330"/>
        <v>1815</v>
      </c>
      <c r="AE508" s="3">
        <v>5500</v>
      </c>
      <c r="AF508" s="3">
        <f t="shared" si="331"/>
        <v>300</v>
      </c>
      <c r="AI508" s="3">
        <f>AE508*1.03+35</f>
        <v>5700</v>
      </c>
      <c r="AK508" s="3">
        <f>AI508*1.03</f>
        <v>5871</v>
      </c>
      <c r="AM508" s="3">
        <f t="shared" si="334"/>
        <v>6047.13</v>
      </c>
      <c r="AN508" s="3">
        <f t="shared" si="334"/>
        <v>0</v>
      </c>
      <c r="AO508" s="3">
        <f t="shared" si="334"/>
        <v>6228.5439000000006</v>
      </c>
      <c r="AP508" s="4">
        <f t="shared" si="334"/>
        <v>0</v>
      </c>
      <c r="AQ508" s="3">
        <f t="shared" si="334"/>
        <v>6415.4002170000003</v>
      </c>
      <c r="AR508" s="3"/>
      <c r="AS508" s="3">
        <f t="shared" si="334"/>
        <v>6607.8622235100001</v>
      </c>
      <c r="AT508" s="3">
        <f t="shared" si="334"/>
        <v>0</v>
      </c>
      <c r="AU508" s="3">
        <f t="shared" si="334"/>
        <v>6806.0980902153005</v>
      </c>
      <c r="AV508" s="3">
        <f t="shared" si="334"/>
        <v>0</v>
      </c>
      <c r="AW508" s="3">
        <f t="shared" si="334"/>
        <v>7010.28103292176</v>
      </c>
      <c r="AX508" s="3">
        <f t="shared" si="334"/>
        <v>0</v>
      </c>
      <c r="AY508" s="3">
        <f t="shared" si="334"/>
        <v>7220.5894639094131</v>
      </c>
      <c r="AZ508" s="3">
        <f t="shared" si="334"/>
        <v>0</v>
      </c>
      <c r="BA508" s="3">
        <f t="shared" si="334"/>
        <v>7437.2071478266953</v>
      </c>
      <c r="BC508" s="3">
        <f t="shared" si="334"/>
        <v>7660.3233622614962</v>
      </c>
      <c r="BE508" s="3">
        <f t="shared" si="334"/>
        <v>7890.1330631293413</v>
      </c>
    </row>
    <row r="509" spans="1:57" hidden="1" outlineLevel="1" x14ac:dyDescent="0.25">
      <c r="A509" s="3"/>
      <c r="B509" s="62">
        <f>SUM(B503:B508)</f>
        <v>112750</v>
      </c>
      <c r="C509" s="32"/>
      <c r="D509" s="62">
        <f>SUM(D503:D508)</f>
        <v>22465</v>
      </c>
      <c r="E509" s="62">
        <f>SUM(E503:E508)</f>
        <v>89185</v>
      </c>
      <c r="F509" s="62">
        <f>SUM(F503:F508)</f>
        <v>111650</v>
      </c>
      <c r="G509" s="32"/>
      <c r="H509" s="62">
        <f>SUM(H503:H508)</f>
        <v>-1100</v>
      </c>
      <c r="I509" s="32"/>
      <c r="J509" s="62">
        <f>SUM(J503:J508)</f>
        <v>52142</v>
      </c>
      <c r="K509" s="62">
        <f>SUM(K503:K508)</f>
        <v>67008</v>
      </c>
      <c r="L509" s="62">
        <f>SUM(L503:L508)</f>
        <v>119150</v>
      </c>
      <c r="M509" s="32"/>
      <c r="N509" s="62">
        <f>SUM(N503:N508)</f>
        <v>7500</v>
      </c>
      <c r="P509" s="62">
        <f>SUM(P503:P508)</f>
        <v>122789.01</v>
      </c>
      <c r="R509" s="62">
        <f t="shared" ref="R509:Z509" si="335">SUM(R503:R508)</f>
        <v>16938</v>
      </c>
      <c r="S509" s="62">
        <f t="shared" si="335"/>
        <v>105752</v>
      </c>
      <c r="T509" s="62">
        <f t="shared" si="335"/>
        <v>122690</v>
      </c>
      <c r="U509" s="62">
        <f t="shared" si="335"/>
        <v>-99.010000000000218</v>
      </c>
      <c r="V509" s="62">
        <f t="shared" si="335"/>
        <v>37791</v>
      </c>
      <c r="W509" s="62">
        <f t="shared" si="335"/>
        <v>84899</v>
      </c>
      <c r="X509" s="62"/>
      <c r="Y509" s="62">
        <f t="shared" si="335"/>
        <v>122690</v>
      </c>
      <c r="Z509" s="62">
        <f t="shared" si="335"/>
        <v>0</v>
      </c>
      <c r="AC509" s="62">
        <f>SUM(AC503:AC508)</f>
        <v>71016</v>
      </c>
      <c r="AD509" s="62">
        <f>SUM(AD503:AD508)</f>
        <v>46424</v>
      </c>
      <c r="AE509" s="62">
        <f>SUM(AE503:AE508)</f>
        <v>117440</v>
      </c>
      <c r="AF509" s="62">
        <f>SUM(AF503:AF508)</f>
        <v>-5250</v>
      </c>
      <c r="AG509" s="32"/>
      <c r="AI509" s="62">
        <f>SUM(AI503:AI508)</f>
        <v>121549.75</v>
      </c>
      <c r="AK509" s="62">
        <f>SUM(AK503:AK508)</f>
        <v>125250.74187500001</v>
      </c>
      <c r="AM509" s="62">
        <f>SUM(AM503:AM508)</f>
        <v>128980.5784859375</v>
      </c>
      <c r="AO509" s="62">
        <f>SUM(AO503:AO508)</f>
        <v>132824.65911173046</v>
      </c>
      <c r="AP509" s="32"/>
      <c r="AQ509" s="62">
        <f>SUM(AQ503:AQ508)</f>
        <v>136786.48741261169</v>
      </c>
      <c r="AS509" s="62">
        <f>SUM(AS503:AS508)</f>
        <v>140869.67463966407</v>
      </c>
      <c r="AU509" s="62">
        <f>SUM(AU503:AU508)</f>
        <v>145077.94294317995</v>
      </c>
      <c r="AW509" s="62">
        <f>SUM(AW503:AW508)</f>
        <v>149415.12878289187</v>
      </c>
      <c r="AY509" s="62">
        <f>SUM(AY503:AY508)</f>
        <v>153885.1864432162</v>
      </c>
      <c r="BA509" s="62">
        <f>SUM(BA503:BA508)</f>
        <v>158492.19165674748</v>
      </c>
      <c r="BC509" s="62">
        <f>SUM(BC503:BC508)</f>
        <v>163240.34533934234</v>
      </c>
      <c r="BE509" s="62">
        <f>SUM(BE503:BE508)</f>
        <v>168133.97744023401</v>
      </c>
    </row>
    <row r="510" spans="1:57" hidden="1" outlineLevel="1" x14ac:dyDescent="0.25">
      <c r="A510" s="7" t="s">
        <v>400</v>
      </c>
      <c r="BC510" s="3"/>
      <c r="BE510" s="3"/>
    </row>
    <row r="511" spans="1:57" hidden="1" outlineLevel="1" x14ac:dyDescent="0.25">
      <c r="A511" s="3" t="s">
        <v>107</v>
      </c>
      <c r="B511" s="3">
        <v>200</v>
      </c>
      <c r="E511" s="3">
        <f>F511-D511</f>
        <v>200</v>
      </c>
      <c r="F511" s="3">
        <v>200</v>
      </c>
      <c r="H511" s="3">
        <f>F511-B511</f>
        <v>0</v>
      </c>
      <c r="J511" s="3">
        <v>0</v>
      </c>
      <c r="K511" s="4">
        <f>L511-J511</f>
        <v>200</v>
      </c>
      <c r="L511" s="4">
        <v>200</v>
      </c>
      <c r="N511" s="4">
        <f>L511-F511</f>
        <v>0</v>
      </c>
      <c r="P511" s="3">
        <f>L511*1.0281-6</f>
        <v>199.62</v>
      </c>
      <c r="R511" s="3">
        <v>0</v>
      </c>
      <c r="S511" s="3">
        <f>T511-R511</f>
        <v>200</v>
      </c>
      <c r="T511" s="3">
        <v>200</v>
      </c>
      <c r="U511" s="3">
        <f>T511-P511</f>
        <v>0.37999999999999545</v>
      </c>
      <c r="W511" s="3">
        <f>Y511-V511</f>
        <v>0</v>
      </c>
      <c r="Y511" s="3">
        <v>0</v>
      </c>
      <c r="Z511" s="3">
        <f>Y511-T511</f>
        <v>-200</v>
      </c>
      <c r="AD511" s="3">
        <f>AE511-AC511</f>
        <v>200</v>
      </c>
      <c r="AE511" s="3">
        <v>200</v>
      </c>
      <c r="AF511" s="3">
        <f>AE511-Y511</f>
        <v>200</v>
      </c>
      <c r="AI511" s="3">
        <v>100</v>
      </c>
      <c r="AK511" s="3">
        <f>AI511*1.03</f>
        <v>103</v>
      </c>
      <c r="AM511" s="3">
        <f>AK511*1.03</f>
        <v>106.09</v>
      </c>
      <c r="AO511" s="3">
        <f>AM511*1.03</f>
        <v>109.2727</v>
      </c>
      <c r="AQ511" s="3">
        <f>AO511*1.03</f>
        <v>112.550881</v>
      </c>
      <c r="AS511" s="3">
        <f>AQ511*1.03</f>
        <v>115.92740743</v>
      </c>
      <c r="AU511" s="3">
        <f>AS511*1.03</f>
        <v>119.4052296529</v>
      </c>
      <c r="AW511" s="3">
        <f>AU511*1.03</f>
        <v>122.987386542487</v>
      </c>
      <c r="AY511" s="3">
        <f>AW511*1.03</f>
        <v>126.67700813876162</v>
      </c>
      <c r="BA511" s="3">
        <f>AY511*1.03</f>
        <v>130.47731838292447</v>
      </c>
      <c r="BC511" s="3">
        <f>BA511*1.03</f>
        <v>134.39163793441222</v>
      </c>
      <c r="BE511" s="3">
        <f>BC511*1.03</f>
        <v>138.4233870724446</v>
      </c>
    </row>
    <row r="512" spans="1:57" hidden="1" outlineLevel="1" x14ac:dyDescent="0.25">
      <c r="A512" s="3" t="s">
        <v>401</v>
      </c>
      <c r="E512" s="3">
        <f>F512-D512</f>
        <v>0</v>
      </c>
      <c r="H512" s="3">
        <f>F512-B512</f>
        <v>0</v>
      </c>
      <c r="K512" s="4">
        <f>L512-J512</f>
        <v>0</v>
      </c>
      <c r="L512" s="4"/>
      <c r="N512" s="4">
        <f>L512-F512</f>
        <v>0</v>
      </c>
      <c r="W512" s="3">
        <f>Y512-V512</f>
        <v>0</v>
      </c>
      <c r="Z512" s="3">
        <f>Y512-T512</f>
        <v>0</v>
      </c>
      <c r="AD512" s="3">
        <f>AE512-AC512</f>
        <v>0</v>
      </c>
      <c r="AF512" s="3">
        <f>AE512-Y512</f>
        <v>0</v>
      </c>
      <c r="BC512" s="3"/>
      <c r="BE512" s="3"/>
    </row>
    <row r="513" spans="1:57" s="42" customFormat="1" hidden="1" outlineLevel="1" x14ac:dyDescent="0.25">
      <c r="A513" s="3" t="s">
        <v>402</v>
      </c>
      <c r="B513" s="3">
        <v>0</v>
      </c>
      <c r="C513" s="3"/>
      <c r="D513" s="3"/>
      <c r="E513" s="3">
        <f>F513-D513</f>
        <v>0</v>
      </c>
      <c r="F513" s="3"/>
      <c r="G513" s="3"/>
      <c r="H513" s="3">
        <f>F513-B513</f>
        <v>0</v>
      </c>
      <c r="I513" s="3"/>
      <c r="J513" s="3"/>
      <c r="K513" s="4">
        <f>L513-J513</f>
        <v>0</v>
      </c>
      <c r="L513" s="4"/>
      <c r="M513" s="4"/>
      <c r="N513" s="4">
        <f>L513-F513</f>
        <v>0</v>
      </c>
      <c r="O513" s="3"/>
      <c r="P513" s="3"/>
      <c r="Q513" s="3"/>
      <c r="R513" s="3"/>
      <c r="S513" s="3"/>
      <c r="T513" s="3"/>
      <c r="U513" s="3"/>
      <c r="V513" s="3"/>
      <c r="W513" s="3">
        <f>Y513-V513</f>
        <v>0</v>
      </c>
      <c r="X513" s="3"/>
      <c r="Y513" s="3"/>
      <c r="Z513" s="3">
        <f>Y513-T513</f>
        <v>0</v>
      </c>
      <c r="AA513" s="3"/>
      <c r="AB513" s="3"/>
      <c r="AC513" s="3"/>
      <c r="AD513" s="3">
        <f>AE513-AC513</f>
        <v>0</v>
      </c>
      <c r="AE513" s="3"/>
      <c r="AF513" s="3">
        <f>AE513-Y513</f>
        <v>0</v>
      </c>
      <c r="AG513" s="4"/>
      <c r="AH513" s="4"/>
      <c r="AI513" s="3"/>
      <c r="AJ513" s="3"/>
      <c r="AK513" s="3"/>
      <c r="AL513" s="3"/>
      <c r="AM513" s="3"/>
      <c r="AN513" s="3"/>
      <c r="AO513" s="3"/>
      <c r="AP513" s="4"/>
      <c r="AQ513" s="3"/>
      <c r="AS513" s="3"/>
      <c r="AU513" s="3"/>
      <c r="AW513" s="3"/>
      <c r="AY513" s="3"/>
      <c r="BA513" s="3"/>
      <c r="BC513" s="3"/>
      <c r="BE513" s="3"/>
    </row>
    <row r="514" spans="1:57" hidden="1" outlineLevel="1" x14ac:dyDescent="0.25">
      <c r="A514" s="3"/>
      <c r="B514" s="62">
        <f>SUM(B511:B513)</f>
        <v>200</v>
      </c>
      <c r="C514" s="32"/>
      <c r="D514" s="62">
        <f>SUM(D511:D513)</f>
        <v>0</v>
      </c>
      <c r="E514" s="62">
        <f>SUM(E511:E513)</f>
        <v>200</v>
      </c>
      <c r="F514" s="62">
        <f>SUM(F511:F513)</f>
        <v>200</v>
      </c>
      <c r="G514" s="32"/>
      <c r="H514" s="62">
        <f>SUM(H511:H513)</f>
        <v>0</v>
      </c>
      <c r="I514" s="32"/>
      <c r="J514" s="62">
        <f>SUM(J511:J513)</f>
        <v>0</v>
      </c>
      <c r="K514" s="62">
        <f>SUM(K511:K513)</f>
        <v>200</v>
      </c>
      <c r="L514" s="62">
        <f>SUM(L511:L513)</f>
        <v>200</v>
      </c>
      <c r="M514" s="32"/>
      <c r="N514" s="62">
        <f>SUM(N511:N513)</f>
        <v>0</v>
      </c>
      <c r="P514" s="62">
        <f>SUM(P511:P513)</f>
        <v>199.62</v>
      </c>
      <c r="R514" s="62">
        <f t="shared" ref="R514:Z514" si="336">SUM(R511:R513)</f>
        <v>0</v>
      </c>
      <c r="S514" s="62">
        <f t="shared" si="336"/>
        <v>200</v>
      </c>
      <c r="T514" s="62">
        <f t="shared" si="336"/>
        <v>200</v>
      </c>
      <c r="U514" s="62">
        <f t="shared" si="336"/>
        <v>0.37999999999999545</v>
      </c>
      <c r="V514" s="62">
        <f t="shared" si="336"/>
        <v>0</v>
      </c>
      <c r="W514" s="62">
        <f t="shared" si="336"/>
        <v>0</v>
      </c>
      <c r="X514" s="62"/>
      <c r="Y514" s="62">
        <f t="shared" si="336"/>
        <v>0</v>
      </c>
      <c r="Z514" s="62">
        <f t="shared" si="336"/>
        <v>-200</v>
      </c>
      <c r="AC514" s="62">
        <f>SUM(AC511:AC513)</f>
        <v>0</v>
      </c>
      <c r="AD514" s="62">
        <f>SUM(AD511:AD513)</f>
        <v>200</v>
      </c>
      <c r="AE514" s="62">
        <f>SUM(AE511:AE513)</f>
        <v>200</v>
      </c>
      <c r="AF514" s="62">
        <f>SUM(AF511:AF513)</f>
        <v>200</v>
      </c>
      <c r="AG514" s="32"/>
      <c r="AI514" s="62">
        <f>SUM(AI511:AI513)</f>
        <v>100</v>
      </c>
      <c r="AK514" s="62">
        <f>SUM(AK511:AK513)</f>
        <v>103</v>
      </c>
      <c r="AM514" s="62">
        <f>SUM(AM511:AM513)</f>
        <v>106.09</v>
      </c>
      <c r="AO514" s="62">
        <f>SUM(AO511:AO513)</f>
        <v>109.2727</v>
      </c>
      <c r="AP514" s="32"/>
      <c r="AQ514" s="62">
        <f>SUM(AQ511:AQ513)</f>
        <v>112.550881</v>
      </c>
      <c r="AS514" s="62">
        <f>SUM(AS511:AS513)</f>
        <v>115.92740743</v>
      </c>
      <c r="AU514" s="62">
        <f>SUM(AU511:AU513)</f>
        <v>119.4052296529</v>
      </c>
      <c r="AW514" s="62">
        <f>SUM(AW511:AW513)</f>
        <v>122.987386542487</v>
      </c>
      <c r="AY514" s="62">
        <f>SUM(AY511:AY513)</f>
        <v>126.67700813876162</v>
      </c>
      <c r="BA514" s="62">
        <f>SUM(BA511:BA513)</f>
        <v>130.47731838292447</v>
      </c>
      <c r="BC514" s="62">
        <f>SUM(BC511:BC513)</f>
        <v>134.39163793441222</v>
      </c>
      <c r="BE514" s="62">
        <f>SUM(BE511:BE513)</f>
        <v>138.4233870724446</v>
      </c>
    </row>
    <row r="515" spans="1:57" s="42" customFormat="1" ht="15.75" collapsed="1" thickBot="1" x14ac:dyDescent="0.3">
      <c r="A515" s="7" t="s">
        <v>1174</v>
      </c>
      <c r="B515" s="44">
        <f>B509+B501+B499+B514-1</f>
        <v>184799</v>
      </c>
      <c r="C515" s="32"/>
      <c r="D515" s="44">
        <f>D509+D501+D499+D514-1</f>
        <v>49699</v>
      </c>
      <c r="E515" s="44">
        <f>E509+E501+E499+E514-1</f>
        <v>134499</v>
      </c>
      <c r="F515" s="44">
        <f>F509+F501+F499+F514-1</f>
        <v>184199</v>
      </c>
      <c r="G515" s="32"/>
      <c r="H515" s="44">
        <f>H509+H501+H499+H514-1</f>
        <v>-601</v>
      </c>
      <c r="I515" s="32"/>
      <c r="J515" s="44">
        <f>J509+J501+J499+J514-1</f>
        <v>99985</v>
      </c>
      <c r="K515" s="44">
        <f>K509+K501+K499+K514-1</f>
        <v>89463</v>
      </c>
      <c r="L515" s="44">
        <f>L509+L501+L499+L514-1</f>
        <v>189449</v>
      </c>
      <c r="M515" s="32"/>
      <c r="N515" s="44">
        <f>N509+N501+N499+N514-1</f>
        <v>5249</v>
      </c>
      <c r="O515" s="3"/>
      <c r="P515" s="44">
        <f>P509+P501+P499+P514-1</f>
        <v>261377.10499999998</v>
      </c>
      <c r="Q515" s="3"/>
      <c r="R515" s="44">
        <f t="shared" ref="R515:Z515" si="337">R509+R501+R499+R514-1</f>
        <v>44251</v>
      </c>
      <c r="S515" s="44">
        <f t="shared" si="337"/>
        <v>217027</v>
      </c>
      <c r="T515" s="44">
        <f t="shared" si="337"/>
        <v>261279</v>
      </c>
      <c r="U515" s="44">
        <f t="shared" si="337"/>
        <v>-99.105000000014684</v>
      </c>
      <c r="V515" s="44">
        <f t="shared" si="337"/>
        <v>91087</v>
      </c>
      <c r="W515" s="44">
        <f t="shared" si="337"/>
        <v>168211</v>
      </c>
      <c r="X515" s="44"/>
      <c r="Y515" s="44">
        <f t="shared" si="337"/>
        <v>259299</v>
      </c>
      <c r="Z515" s="44">
        <f t="shared" si="337"/>
        <v>-1981</v>
      </c>
      <c r="AA515" s="3"/>
      <c r="AB515" s="3"/>
      <c r="AC515" s="44">
        <f>AC509+AC501+AC499+AC514-1</f>
        <v>160461</v>
      </c>
      <c r="AD515" s="44">
        <f>AD509+AD501+AD499+AD514-1</f>
        <v>99487</v>
      </c>
      <c r="AE515" s="44">
        <f>AE509+AE501+AE499+AE514-1</f>
        <v>259949</v>
      </c>
      <c r="AF515" s="44">
        <f>AF509+AF501+AF499+AF514-1</f>
        <v>649</v>
      </c>
      <c r="AG515" s="32"/>
      <c r="AH515" s="4"/>
      <c r="AI515" s="44">
        <f>AI509+AI501+AI499+AI514</f>
        <v>304499.75</v>
      </c>
      <c r="AJ515" s="3"/>
      <c r="AK515" s="44">
        <f>AK509+AK501+AK499+AK514</f>
        <v>294611.24187500001</v>
      </c>
      <c r="AL515" s="3"/>
      <c r="AM515" s="44">
        <f>AM509+AM501+AM499+AM514</f>
        <v>278647.94928593753</v>
      </c>
      <c r="AN515" s="3"/>
      <c r="AO515" s="44">
        <f>AO509+AO501+AO499+AO514</f>
        <v>293393.03794971044</v>
      </c>
      <c r="AP515" s="32"/>
      <c r="AQ515" s="44">
        <f>AQ509+AQ501+AQ499+AQ514</f>
        <v>300852.69645623892</v>
      </c>
      <c r="AS515" s="44">
        <f>AS509+AS501+AS499+AS514</f>
        <v>308533.29772858426</v>
      </c>
      <c r="AU515" s="44">
        <f>AU509+AU501+AU499+AU514</f>
        <v>316441.40453007061</v>
      </c>
      <c r="AW515" s="44">
        <f>AW509+AW501+AW499+AW514</f>
        <v>324583.77513644425</v>
      </c>
      <c r="AY515" s="44">
        <f>AY509+AY501+AY499+AY514</f>
        <v>332967.36917803087</v>
      </c>
      <c r="BA515" s="44">
        <f>BA509+BA501+BA499+BA514</f>
        <v>341711.39313685126</v>
      </c>
      <c r="BC515" s="44">
        <f>BC509+BC501+BC499+BC514</f>
        <v>350717.69759849651</v>
      </c>
      <c r="BE515" s="44">
        <f>BE509+BE501+BE499+BE514</f>
        <v>359994.16683986195</v>
      </c>
    </row>
    <row r="516" spans="1:57" s="42" customFormat="1" ht="15.75" thickTop="1" x14ac:dyDescent="0.25">
      <c r="A516" s="7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"/>
      <c r="P516" s="32"/>
      <c r="Q516" s="3"/>
      <c r="R516" s="32"/>
      <c r="S516" s="32"/>
      <c r="T516" s="32"/>
      <c r="U516" s="32"/>
      <c r="V516" s="32"/>
      <c r="W516" s="32"/>
      <c r="X516" s="32"/>
      <c r="Y516" s="32"/>
      <c r="Z516" s="32"/>
      <c r="AA516" s="3"/>
      <c r="AB516" s="3"/>
      <c r="AC516" s="32"/>
      <c r="AD516" s="32"/>
      <c r="AE516" s="32"/>
      <c r="AF516" s="32"/>
      <c r="AG516" s="32"/>
      <c r="AH516" s="4"/>
      <c r="AI516" s="32"/>
      <c r="AJ516" s="3"/>
      <c r="AK516" s="32"/>
      <c r="AL516" s="3"/>
      <c r="AM516" s="32"/>
      <c r="AN516" s="3"/>
      <c r="AO516" s="32"/>
      <c r="AP516" s="32"/>
      <c r="AQ516" s="32"/>
      <c r="AS516" s="32"/>
      <c r="AU516" s="32"/>
      <c r="AW516" s="32"/>
      <c r="AY516" s="32"/>
      <c r="BA516" s="32"/>
      <c r="BC516" s="32"/>
      <c r="BE516" s="32"/>
    </row>
    <row r="517" spans="1:57" x14ac:dyDescent="0.25">
      <c r="A517" s="7" t="s">
        <v>403</v>
      </c>
      <c r="BC517" s="3"/>
      <c r="BE517" s="3"/>
    </row>
    <row r="518" spans="1:57" hidden="1" outlineLevel="1" x14ac:dyDescent="0.25">
      <c r="A518" s="7" t="s">
        <v>404</v>
      </c>
      <c r="BC518" s="3"/>
      <c r="BE518" s="3"/>
    </row>
    <row r="519" spans="1:57" hidden="1" outlineLevel="1" x14ac:dyDescent="0.25">
      <c r="A519" s="3" t="s">
        <v>110</v>
      </c>
      <c r="B519" s="3">
        <v>2500</v>
      </c>
      <c r="D519" s="3">
        <v>0</v>
      </c>
      <c r="E519" s="3">
        <f t="shared" ref="E519:E535" si="338">F519-D519</f>
        <v>2500</v>
      </c>
      <c r="F519" s="3">
        <v>2500</v>
      </c>
      <c r="H519" s="3">
        <f t="shared" ref="H519:H535" si="339">F519-B519</f>
        <v>0</v>
      </c>
      <c r="J519" s="3">
        <v>0</v>
      </c>
      <c r="K519" s="4">
        <f t="shared" ref="K519:K535" si="340">L519-J519</f>
        <v>2500</v>
      </c>
      <c r="L519" s="4">
        <v>2500</v>
      </c>
      <c r="N519" s="4">
        <f t="shared" ref="N519:N535" si="341">L519-F519</f>
        <v>0</v>
      </c>
      <c r="P519" s="3">
        <v>2500</v>
      </c>
      <c r="S519" s="3">
        <f t="shared" ref="S519:S535" si="342">T519-R519</f>
        <v>2500</v>
      </c>
      <c r="T519" s="3">
        <v>2500</v>
      </c>
      <c r="U519" s="3">
        <f t="shared" ref="U519:U535" si="343">T519-P519</f>
        <v>0</v>
      </c>
      <c r="W519" s="3">
        <f t="shared" ref="W519:W535" si="344">Y519-V519</f>
        <v>2500</v>
      </c>
      <c r="Y519" s="3">
        <v>2500</v>
      </c>
      <c r="Z519" s="3">
        <f t="shared" ref="Z519:Z535" si="345">Y519-T519</f>
        <v>0</v>
      </c>
      <c r="AC519" s="3">
        <v>7638</v>
      </c>
      <c r="AD519" s="3">
        <f t="shared" ref="AD519:AD535" si="346">AE519-AC519</f>
        <v>1362</v>
      </c>
      <c r="AE519" s="3">
        <v>9000</v>
      </c>
      <c r="AF519" s="3">
        <f t="shared" ref="AF519:AF535" si="347">AE519-Y519</f>
        <v>6500</v>
      </c>
      <c r="AI519" s="3">
        <v>2500</v>
      </c>
      <c r="AK519" s="3">
        <v>2500</v>
      </c>
      <c r="AM519" s="3">
        <v>2500</v>
      </c>
      <c r="AO519" s="3">
        <v>2500</v>
      </c>
      <c r="AQ519" s="3">
        <v>2500</v>
      </c>
      <c r="AS519" s="3">
        <v>2500</v>
      </c>
      <c r="AU519" s="3">
        <v>2500</v>
      </c>
      <c r="AW519" s="3">
        <v>2500</v>
      </c>
      <c r="AY519" s="3">
        <v>2500</v>
      </c>
      <c r="BA519" s="3">
        <v>2500</v>
      </c>
      <c r="BC519" s="3">
        <v>2500</v>
      </c>
      <c r="BE519" s="3">
        <v>2500</v>
      </c>
    </row>
    <row r="520" spans="1:57" hidden="1" outlineLevel="1" x14ac:dyDescent="0.25">
      <c r="A520" s="3" t="s">
        <v>405</v>
      </c>
      <c r="B520" s="3">
        <v>1000</v>
      </c>
      <c r="D520" s="3">
        <v>0</v>
      </c>
      <c r="E520" s="3">
        <f t="shared" si="338"/>
        <v>1000</v>
      </c>
      <c r="F520" s="3">
        <v>1000</v>
      </c>
      <c r="H520" s="3">
        <f t="shared" si="339"/>
        <v>0</v>
      </c>
      <c r="J520" s="3">
        <v>0</v>
      </c>
      <c r="K520" s="4">
        <f t="shared" si="340"/>
        <v>1000</v>
      </c>
      <c r="L520" s="4">
        <v>1000</v>
      </c>
      <c r="N520" s="4">
        <f t="shared" si="341"/>
        <v>0</v>
      </c>
      <c r="P520" s="3">
        <v>1000</v>
      </c>
      <c r="S520" s="3">
        <f t="shared" si="342"/>
        <v>1000</v>
      </c>
      <c r="T520" s="3">
        <v>1000</v>
      </c>
      <c r="U520" s="3">
        <f t="shared" si="343"/>
        <v>0</v>
      </c>
      <c r="W520" s="3">
        <f t="shared" si="344"/>
        <v>1000</v>
      </c>
      <c r="Y520" s="3">
        <v>1000</v>
      </c>
      <c r="Z520" s="3">
        <f t="shared" si="345"/>
        <v>0</v>
      </c>
      <c r="AC520" s="3">
        <v>0</v>
      </c>
      <c r="AD520" s="3">
        <f t="shared" si="346"/>
        <v>1000</v>
      </c>
      <c r="AE520" s="3">
        <v>1000</v>
      </c>
      <c r="AF520" s="3">
        <f t="shared" si="347"/>
        <v>0</v>
      </c>
      <c r="AI520" s="3">
        <v>1000</v>
      </c>
      <c r="AK520" s="3">
        <v>1000</v>
      </c>
      <c r="AM520" s="3">
        <v>1000</v>
      </c>
      <c r="AO520" s="3">
        <v>1000</v>
      </c>
      <c r="AQ520" s="3">
        <v>1000</v>
      </c>
      <c r="AS520" s="3">
        <v>1000</v>
      </c>
      <c r="AU520" s="3">
        <v>1000</v>
      </c>
      <c r="AW520" s="3">
        <v>1000</v>
      </c>
      <c r="AY520" s="3">
        <v>1000</v>
      </c>
      <c r="BA520" s="3">
        <v>1000</v>
      </c>
      <c r="BC520" s="3">
        <v>1000</v>
      </c>
      <c r="BE520" s="3">
        <v>1000</v>
      </c>
    </row>
    <row r="521" spans="1:57" hidden="1" outlineLevel="1" x14ac:dyDescent="0.25">
      <c r="A521" s="3" t="s">
        <v>406</v>
      </c>
      <c r="B521" s="3">
        <v>250</v>
      </c>
      <c r="D521" s="3">
        <v>0</v>
      </c>
      <c r="E521" s="3">
        <f t="shared" si="338"/>
        <v>250</v>
      </c>
      <c r="F521" s="3">
        <v>250</v>
      </c>
      <c r="H521" s="3">
        <f t="shared" si="339"/>
        <v>0</v>
      </c>
      <c r="J521" s="3">
        <v>0</v>
      </c>
      <c r="K521" s="4">
        <f t="shared" si="340"/>
        <v>250</v>
      </c>
      <c r="L521" s="4">
        <v>250</v>
      </c>
      <c r="N521" s="4">
        <f t="shared" si="341"/>
        <v>0</v>
      </c>
      <c r="P521" s="3">
        <v>300</v>
      </c>
      <c r="S521" s="3">
        <f t="shared" si="342"/>
        <v>300</v>
      </c>
      <c r="T521" s="3">
        <v>300</v>
      </c>
      <c r="U521" s="3">
        <f t="shared" si="343"/>
        <v>0</v>
      </c>
      <c r="W521" s="3">
        <f t="shared" si="344"/>
        <v>300</v>
      </c>
      <c r="Y521" s="3">
        <v>300</v>
      </c>
      <c r="Z521" s="3">
        <f t="shared" si="345"/>
        <v>0</v>
      </c>
      <c r="AC521" s="3">
        <v>0</v>
      </c>
      <c r="AD521" s="3">
        <f t="shared" si="346"/>
        <v>300</v>
      </c>
      <c r="AE521" s="3">
        <v>300</v>
      </c>
      <c r="AF521" s="3">
        <f t="shared" si="347"/>
        <v>0</v>
      </c>
      <c r="AI521" s="3">
        <f>AE521*1.03+41</f>
        <v>350</v>
      </c>
      <c r="AK521" s="3">
        <f>AI521</f>
        <v>350</v>
      </c>
      <c r="AM521" s="3">
        <f>AK521+25</f>
        <v>375</v>
      </c>
      <c r="AO521" s="3">
        <f>AM521+25</f>
        <v>400</v>
      </c>
      <c r="AQ521" s="3">
        <f>AO521+25</f>
        <v>425</v>
      </c>
      <c r="AS521" s="3">
        <f>AQ521+25</f>
        <v>450</v>
      </c>
      <c r="AU521" s="3">
        <f>AS521+25</f>
        <v>475</v>
      </c>
      <c r="AW521" s="3">
        <f>AU521+25</f>
        <v>500</v>
      </c>
      <c r="AY521" s="3">
        <f>AW521+25</f>
        <v>525</v>
      </c>
      <c r="BA521" s="3">
        <f>AY521+25</f>
        <v>550</v>
      </c>
      <c r="BC521" s="3">
        <f>BA521+25</f>
        <v>575</v>
      </c>
      <c r="BE521" s="3">
        <f>BC521+25</f>
        <v>600</v>
      </c>
    </row>
    <row r="522" spans="1:57" hidden="1" outlineLevel="1" x14ac:dyDescent="0.25">
      <c r="A522" s="3" t="s">
        <v>407</v>
      </c>
      <c r="B522" s="3">
        <v>650</v>
      </c>
      <c r="D522" s="3">
        <v>0</v>
      </c>
      <c r="E522" s="3">
        <f t="shared" si="338"/>
        <v>650</v>
      </c>
      <c r="F522" s="3">
        <v>650</v>
      </c>
      <c r="H522" s="3">
        <f t="shared" si="339"/>
        <v>0</v>
      </c>
      <c r="J522" s="3">
        <v>0</v>
      </c>
      <c r="K522" s="4">
        <f t="shared" si="340"/>
        <v>0</v>
      </c>
      <c r="L522" s="4">
        <v>0</v>
      </c>
      <c r="N522" s="4">
        <f t="shared" si="341"/>
        <v>-650</v>
      </c>
      <c r="P522" s="3">
        <v>650</v>
      </c>
      <c r="S522" s="3">
        <f t="shared" si="342"/>
        <v>650</v>
      </c>
      <c r="T522" s="3">
        <v>650</v>
      </c>
      <c r="U522" s="3">
        <f t="shared" si="343"/>
        <v>0</v>
      </c>
      <c r="W522" s="3">
        <f t="shared" si="344"/>
        <v>650</v>
      </c>
      <c r="Y522" s="3">
        <v>650</v>
      </c>
      <c r="Z522" s="3">
        <f t="shared" si="345"/>
        <v>0</v>
      </c>
      <c r="AC522" s="3">
        <v>596</v>
      </c>
      <c r="AD522" s="3">
        <f t="shared" si="346"/>
        <v>4</v>
      </c>
      <c r="AE522" s="3">
        <v>600</v>
      </c>
      <c r="AF522" s="3">
        <f t="shared" si="347"/>
        <v>-50</v>
      </c>
      <c r="AI522" s="3">
        <v>650</v>
      </c>
      <c r="AK522" s="3">
        <v>650</v>
      </c>
      <c r="AM522" s="3">
        <v>650</v>
      </c>
      <c r="AO522" s="3">
        <v>650</v>
      </c>
      <c r="AQ522" s="3">
        <v>650</v>
      </c>
      <c r="AS522" s="3">
        <v>650</v>
      </c>
      <c r="AU522" s="3">
        <v>650</v>
      </c>
      <c r="AW522" s="3">
        <v>650</v>
      </c>
      <c r="AY522" s="3">
        <v>650</v>
      </c>
      <c r="BA522" s="3">
        <v>650</v>
      </c>
      <c r="BC522" s="3">
        <v>650</v>
      </c>
      <c r="BE522" s="3">
        <v>650</v>
      </c>
    </row>
    <row r="523" spans="1:57" hidden="1" outlineLevel="1" x14ac:dyDescent="0.25">
      <c r="A523" s="3" t="s">
        <v>408</v>
      </c>
      <c r="E523" s="3">
        <f t="shared" si="338"/>
        <v>0</v>
      </c>
      <c r="H523" s="3">
        <f t="shared" si="339"/>
        <v>0</v>
      </c>
      <c r="K523" s="4">
        <f t="shared" si="340"/>
        <v>0</v>
      </c>
      <c r="L523" s="4"/>
      <c r="N523" s="4">
        <f t="shared" si="341"/>
        <v>0</v>
      </c>
      <c r="S523" s="3">
        <f t="shared" si="342"/>
        <v>0</v>
      </c>
      <c r="U523" s="3">
        <f t="shared" si="343"/>
        <v>0</v>
      </c>
      <c r="W523" s="3">
        <f t="shared" si="344"/>
        <v>0</v>
      </c>
      <c r="Z523" s="3">
        <f t="shared" si="345"/>
        <v>0</v>
      </c>
      <c r="AD523" s="3">
        <f t="shared" si="346"/>
        <v>0</v>
      </c>
      <c r="AF523" s="3">
        <f t="shared" si="347"/>
        <v>0</v>
      </c>
      <c r="BC523" s="3"/>
      <c r="BE523" s="3"/>
    </row>
    <row r="524" spans="1:57" hidden="1" outlineLevel="1" x14ac:dyDescent="0.25">
      <c r="A524" s="3" t="s">
        <v>409</v>
      </c>
      <c r="E524" s="3">
        <f t="shared" si="338"/>
        <v>0</v>
      </c>
      <c r="H524" s="3">
        <f t="shared" si="339"/>
        <v>0</v>
      </c>
      <c r="K524" s="4">
        <f t="shared" si="340"/>
        <v>0</v>
      </c>
      <c r="L524" s="4"/>
      <c r="N524" s="4">
        <f t="shared" si="341"/>
        <v>0</v>
      </c>
      <c r="S524" s="3">
        <f t="shared" si="342"/>
        <v>0</v>
      </c>
      <c r="U524" s="3">
        <f t="shared" si="343"/>
        <v>0</v>
      </c>
      <c r="W524" s="3">
        <f t="shared" si="344"/>
        <v>0</v>
      </c>
      <c r="Z524" s="3">
        <f t="shared" si="345"/>
        <v>0</v>
      </c>
      <c r="AD524" s="3">
        <f t="shared" si="346"/>
        <v>0</v>
      </c>
      <c r="AF524" s="3">
        <f t="shared" si="347"/>
        <v>0</v>
      </c>
      <c r="BC524" s="3"/>
      <c r="BE524" s="3"/>
    </row>
    <row r="525" spans="1:57" hidden="1" outlineLevel="1" x14ac:dyDescent="0.25">
      <c r="A525" s="3" t="s">
        <v>410</v>
      </c>
      <c r="B525" s="3">
        <v>1000</v>
      </c>
      <c r="D525" s="3">
        <v>0</v>
      </c>
      <c r="E525" s="3">
        <f t="shared" si="338"/>
        <v>1000</v>
      </c>
      <c r="F525" s="3">
        <v>1000</v>
      </c>
      <c r="H525" s="3">
        <f t="shared" si="339"/>
        <v>0</v>
      </c>
      <c r="J525" s="3">
        <v>0</v>
      </c>
      <c r="K525" s="4">
        <f t="shared" si="340"/>
        <v>1000</v>
      </c>
      <c r="L525" s="4">
        <v>1000</v>
      </c>
      <c r="N525" s="4">
        <f t="shared" si="341"/>
        <v>0</v>
      </c>
      <c r="P525" s="3">
        <v>1000</v>
      </c>
      <c r="S525" s="3">
        <f t="shared" si="342"/>
        <v>1000</v>
      </c>
      <c r="T525" s="3">
        <v>1000</v>
      </c>
      <c r="U525" s="3">
        <f t="shared" si="343"/>
        <v>0</v>
      </c>
      <c r="W525" s="3">
        <f t="shared" si="344"/>
        <v>1000</v>
      </c>
      <c r="Y525" s="3">
        <v>1000</v>
      </c>
      <c r="Z525" s="3">
        <f t="shared" si="345"/>
        <v>0</v>
      </c>
      <c r="AC525" s="3">
        <v>0</v>
      </c>
      <c r="AD525" s="3">
        <f t="shared" si="346"/>
        <v>1000</v>
      </c>
      <c r="AE525" s="3">
        <v>1000</v>
      </c>
      <c r="AF525" s="3">
        <f t="shared" si="347"/>
        <v>0</v>
      </c>
      <c r="AI525" s="3">
        <v>5000</v>
      </c>
      <c r="AK525" s="3">
        <f>AI525+25+25</f>
        <v>5050</v>
      </c>
      <c r="AM525" s="3">
        <f>AK525+25</f>
        <v>5075</v>
      </c>
      <c r="AO525" s="3">
        <f>AM525+25</f>
        <v>5100</v>
      </c>
      <c r="AQ525" s="3">
        <f>AO525+25</f>
        <v>5125</v>
      </c>
      <c r="AS525" s="3">
        <f>AQ525+25</f>
        <v>5150</v>
      </c>
      <c r="AU525" s="3">
        <f>AS525+25</f>
        <v>5175</v>
      </c>
      <c r="AW525" s="3">
        <f>AU525+25</f>
        <v>5200</v>
      </c>
      <c r="AY525" s="3">
        <f>AW525+25</f>
        <v>5225</v>
      </c>
      <c r="BA525" s="3">
        <f>AY525+25</f>
        <v>5250</v>
      </c>
      <c r="BC525" s="3">
        <f>BA525+25</f>
        <v>5275</v>
      </c>
      <c r="BE525" s="3">
        <f>BC525+25</f>
        <v>5300</v>
      </c>
    </row>
    <row r="526" spans="1:57" hidden="1" outlineLevel="1" x14ac:dyDescent="0.25">
      <c r="A526" s="3" t="s">
        <v>411</v>
      </c>
      <c r="B526" s="3">
        <v>250</v>
      </c>
      <c r="D526" s="3">
        <v>0</v>
      </c>
      <c r="E526" s="3">
        <f t="shared" si="338"/>
        <v>250</v>
      </c>
      <c r="F526" s="3">
        <v>250</v>
      </c>
      <c r="H526" s="3">
        <f t="shared" si="339"/>
        <v>0</v>
      </c>
      <c r="J526" s="3">
        <v>0</v>
      </c>
      <c r="K526" s="4">
        <f t="shared" si="340"/>
        <v>250</v>
      </c>
      <c r="L526" s="4">
        <v>250</v>
      </c>
      <c r="N526" s="4">
        <f t="shared" si="341"/>
        <v>0</v>
      </c>
      <c r="P526" s="3">
        <v>500</v>
      </c>
      <c r="S526" s="3">
        <f t="shared" si="342"/>
        <v>500</v>
      </c>
      <c r="T526" s="3">
        <v>500</v>
      </c>
      <c r="U526" s="3">
        <f t="shared" si="343"/>
        <v>0</v>
      </c>
      <c r="W526" s="3">
        <f t="shared" si="344"/>
        <v>500</v>
      </c>
      <c r="Y526" s="3">
        <v>500</v>
      </c>
      <c r="Z526" s="3">
        <f t="shared" si="345"/>
        <v>0</v>
      </c>
      <c r="AC526" s="3">
        <v>35</v>
      </c>
      <c r="AD526" s="3">
        <f t="shared" si="346"/>
        <v>465</v>
      </c>
      <c r="AE526" s="3">
        <v>500</v>
      </c>
      <c r="AF526" s="3">
        <f t="shared" si="347"/>
        <v>0</v>
      </c>
      <c r="AI526" s="3">
        <f>AE526*1.03+35</f>
        <v>550</v>
      </c>
      <c r="AK526" s="3">
        <f>AI526+25</f>
        <v>575</v>
      </c>
      <c r="AM526" s="3">
        <f>AK526+25</f>
        <v>600</v>
      </c>
      <c r="AO526" s="3">
        <f>AM526+25</f>
        <v>625</v>
      </c>
      <c r="AQ526" s="3">
        <f>AO526+25</f>
        <v>650</v>
      </c>
      <c r="AS526" s="3">
        <f>AQ526+25</f>
        <v>675</v>
      </c>
      <c r="AU526" s="3">
        <f>AS526+25</f>
        <v>700</v>
      </c>
      <c r="AW526" s="3">
        <f>AU526+25</f>
        <v>725</v>
      </c>
      <c r="AY526" s="3">
        <f>AW526+25</f>
        <v>750</v>
      </c>
      <c r="BA526" s="3">
        <f>AY526+25</f>
        <v>775</v>
      </c>
      <c r="BC526" s="3">
        <f>BA526+25</f>
        <v>800</v>
      </c>
      <c r="BE526" s="3">
        <f>BC526+25</f>
        <v>825</v>
      </c>
    </row>
    <row r="527" spans="1:57" hidden="1" outlineLevel="1" x14ac:dyDescent="0.25">
      <c r="A527" s="3" t="s">
        <v>412</v>
      </c>
      <c r="E527" s="3">
        <f t="shared" si="338"/>
        <v>0</v>
      </c>
      <c r="H527" s="3">
        <f t="shared" si="339"/>
        <v>0</v>
      </c>
      <c r="K527" s="4">
        <f t="shared" si="340"/>
        <v>0</v>
      </c>
      <c r="L527" s="4"/>
      <c r="N527" s="4">
        <f t="shared" si="341"/>
        <v>0</v>
      </c>
      <c r="S527" s="3">
        <f t="shared" si="342"/>
        <v>0</v>
      </c>
      <c r="U527" s="3">
        <f t="shared" si="343"/>
        <v>0</v>
      </c>
      <c r="W527" s="3">
        <f t="shared" si="344"/>
        <v>0</v>
      </c>
      <c r="Z527" s="3">
        <f t="shared" si="345"/>
        <v>0</v>
      </c>
      <c r="AD527" s="3">
        <f t="shared" si="346"/>
        <v>0</v>
      </c>
      <c r="AF527" s="3">
        <f t="shared" si="347"/>
        <v>0</v>
      </c>
      <c r="AI527" s="3">
        <f>P527*1.0281</f>
        <v>0</v>
      </c>
      <c r="AK527" s="3">
        <f>AI527+25</f>
        <v>25</v>
      </c>
      <c r="AM527" s="3">
        <f>AK527+25</f>
        <v>50</v>
      </c>
      <c r="AO527" s="3">
        <f>AM527+25</f>
        <v>75</v>
      </c>
      <c r="AQ527" s="3">
        <f>AO527+25</f>
        <v>100</v>
      </c>
      <c r="AS527" s="3">
        <f>AQ527+25</f>
        <v>125</v>
      </c>
      <c r="AU527" s="3">
        <f>AS527+25</f>
        <v>150</v>
      </c>
      <c r="AW527" s="3">
        <f>AU527+25</f>
        <v>175</v>
      </c>
      <c r="AY527" s="3">
        <f>AW527+25</f>
        <v>200</v>
      </c>
      <c r="BA527" s="3">
        <f>AY527+25</f>
        <v>225</v>
      </c>
      <c r="BC527" s="3">
        <f>BA527+25</f>
        <v>250</v>
      </c>
      <c r="BE527" s="3">
        <f>BC527+25</f>
        <v>275</v>
      </c>
    </row>
    <row r="528" spans="1:57" hidden="1" outlineLevel="1" x14ac:dyDescent="0.25">
      <c r="A528" s="3" t="s">
        <v>413</v>
      </c>
      <c r="B528" s="3">
        <v>2900</v>
      </c>
      <c r="D528" s="3">
        <v>1617</v>
      </c>
      <c r="E528" s="3">
        <f t="shared" si="338"/>
        <v>1283</v>
      </c>
      <c r="F528" s="3">
        <v>2900</v>
      </c>
      <c r="H528" s="3">
        <f t="shared" si="339"/>
        <v>0</v>
      </c>
      <c r="J528" s="3">
        <v>611</v>
      </c>
      <c r="K528" s="4">
        <f t="shared" si="340"/>
        <v>2289</v>
      </c>
      <c r="L528" s="4">
        <v>2900</v>
      </c>
      <c r="N528" s="4">
        <f t="shared" si="341"/>
        <v>0</v>
      </c>
      <c r="P528" s="3">
        <f>B528*1.07-3</f>
        <v>3100</v>
      </c>
      <c r="S528" s="3">
        <f t="shared" si="342"/>
        <v>3100</v>
      </c>
      <c r="T528" s="3">
        <f>F528*1.07-3</f>
        <v>3100</v>
      </c>
      <c r="U528" s="3">
        <f t="shared" si="343"/>
        <v>0</v>
      </c>
      <c r="V528" s="3">
        <v>1520</v>
      </c>
      <c r="W528" s="3">
        <f t="shared" si="344"/>
        <v>1580</v>
      </c>
      <c r="Y528" s="3">
        <v>3100</v>
      </c>
      <c r="Z528" s="3">
        <f t="shared" si="345"/>
        <v>0</v>
      </c>
      <c r="AC528" s="3">
        <v>1520</v>
      </c>
      <c r="AD528" s="3">
        <f t="shared" si="346"/>
        <v>1580</v>
      </c>
      <c r="AE528" s="3">
        <v>3100</v>
      </c>
      <c r="AF528" s="3">
        <f t="shared" si="347"/>
        <v>0</v>
      </c>
      <c r="AI528" s="3">
        <f>AE528*1.03+7</f>
        <v>3200</v>
      </c>
      <c r="AK528" s="3">
        <f>AI528+25</f>
        <v>3225</v>
      </c>
      <c r="AM528" s="3">
        <f>AK528+25</f>
        <v>3250</v>
      </c>
      <c r="AO528" s="3">
        <f>AM528+25</f>
        <v>3275</v>
      </c>
      <c r="AQ528" s="3">
        <f>AO528+25</f>
        <v>3300</v>
      </c>
      <c r="AS528" s="3">
        <f>AQ528+25</f>
        <v>3325</v>
      </c>
      <c r="AU528" s="3">
        <f>AS528+25</f>
        <v>3350</v>
      </c>
      <c r="AW528" s="3">
        <f>AU528+25</f>
        <v>3375</v>
      </c>
      <c r="AY528" s="3">
        <f>AW528+25</f>
        <v>3400</v>
      </c>
      <c r="BA528" s="3">
        <f>AY528+25</f>
        <v>3425</v>
      </c>
      <c r="BC528" s="3">
        <f>BA528+25</f>
        <v>3450</v>
      </c>
      <c r="BE528" s="3">
        <f>BC528+25</f>
        <v>3475</v>
      </c>
    </row>
    <row r="529" spans="1:1015 1029:2039 2053:3063 3077:4087 4101:5111 5125:6135 6149:7159 7173:8183 8197:9207 9221:10231 10245:11255 11269:12279 12293:13303 13317:14327 14341:15351 15365:16373" hidden="1" outlineLevel="1" x14ac:dyDescent="0.25">
      <c r="A529" s="3" t="s">
        <v>1142</v>
      </c>
      <c r="K529" s="4"/>
      <c r="L529" s="4"/>
      <c r="N529" s="4"/>
      <c r="P529" s="3">
        <v>0</v>
      </c>
      <c r="AE529" s="3">
        <v>0</v>
      </c>
      <c r="AI529" s="3">
        <v>2400</v>
      </c>
      <c r="BC529" s="3"/>
      <c r="BE529" s="3"/>
    </row>
    <row r="530" spans="1:1015 1029:2039 2053:3063 3077:4087 4101:5111 5125:6135 6149:7159 7173:8183 8197:9207 9221:10231 10245:11255 11269:12279 12293:13303 13317:14327 14341:15351 15365:16373" hidden="1" outlineLevel="1" x14ac:dyDescent="0.25">
      <c r="A530" s="3" t="s">
        <v>414</v>
      </c>
      <c r="B530" s="3">
        <v>500</v>
      </c>
      <c r="E530" s="3">
        <f t="shared" si="338"/>
        <v>500</v>
      </c>
      <c r="F530" s="3">
        <v>500</v>
      </c>
      <c r="H530" s="3">
        <f t="shared" si="339"/>
        <v>0</v>
      </c>
      <c r="J530" s="3">
        <v>0</v>
      </c>
      <c r="K530" s="4">
        <f t="shared" si="340"/>
        <v>500</v>
      </c>
      <c r="L530" s="4">
        <v>500</v>
      </c>
      <c r="N530" s="4">
        <f t="shared" si="341"/>
        <v>0</v>
      </c>
      <c r="P530" s="3">
        <v>500</v>
      </c>
      <c r="S530" s="3">
        <f t="shared" si="342"/>
        <v>500</v>
      </c>
      <c r="T530" s="3">
        <v>500</v>
      </c>
      <c r="U530" s="3">
        <f t="shared" si="343"/>
        <v>0</v>
      </c>
      <c r="W530" s="3">
        <f t="shared" si="344"/>
        <v>500</v>
      </c>
      <c r="Y530" s="3">
        <v>500</v>
      </c>
      <c r="Z530" s="3">
        <f t="shared" si="345"/>
        <v>0</v>
      </c>
      <c r="AC530" s="3">
        <v>0</v>
      </c>
      <c r="AD530" s="3">
        <f t="shared" si="346"/>
        <v>0</v>
      </c>
      <c r="AE530" s="3">
        <v>0</v>
      </c>
      <c r="AF530" s="3">
        <f t="shared" si="347"/>
        <v>-500</v>
      </c>
      <c r="AI530" s="3">
        <f>AE530*1.03</f>
        <v>0</v>
      </c>
      <c r="AK530" s="3">
        <f>AI530+25</f>
        <v>25</v>
      </c>
      <c r="AM530" s="3">
        <f>AK530+25</f>
        <v>50</v>
      </c>
      <c r="AO530" s="3">
        <f>AM530+25</f>
        <v>75</v>
      </c>
      <c r="AQ530" s="3">
        <f>AO530+25</f>
        <v>100</v>
      </c>
      <c r="AS530" s="3">
        <f>AQ530+25</f>
        <v>125</v>
      </c>
      <c r="AU530" s="3">
        <f>AS530+25</f>
        <v>150</v>
      </c>
      <c r="AW530" s="3">
        <f>AU530+25</f>
        <v>175</v>
      </c>
      <c r="AY530" s="3">
        <f>AW530+25</f>
        <v>200</v>
      </c>
      <c r="BA530" s="3">
        <f>AY530+25</f>
        <v>225</v>
      </c>
      <c r="BC530" s="3">
        <f>BA530+25</f>
        <v>250</v>
      </c>
      <c r="BE530" s="3">
        <f>BC530+25</f>
        <v>275</v>
      </c>
    </row>
    <row r="531" spans="1:1015 1029:2039 2053:3063 3077:4087 4101:5111 5125:6135 6149:7159 7173:8183 8197:9207 9221:10231 10245:11255 11269:12279 12293:13303 13317:14327 14341:15351 15365:16373" hidden="1" outlineLevel="1" x14ac:dyDescent="0.25">
      <c r="A531" s="3" t="s">
        <v>415</v>
      </c>
      <c r="D531" s="3">
        <v>900</v>
      </c>
      <c r="E531" s="3">
        <f t="shared" si="338"/>
        <v>300</v>
      </c>
      <c r="F531" s="3">
        <v>1200</v>
      </c>
      <c r="H531" s="3">
        <f t="shared" si="339"/>
        <v>1200</v>
      </c>
      <c r="J531" s="3">
        <v>2775</v>
      </c>
      <c r="K531" s="4">
        <f t="shared" si="340"/>
        <v>475</v>
      </c>
      <c r="L531" s="4">
        <v>3250</v>
      </c>
      <c r="N531" s="4">
        <f t="shared" si="341"/>
        <v>2050</v>
      </c>
      <c r="P531" s="3">
        <v>2000</v>
      </c>
      <c r="S531" s="3">
        <f t="shared" si="342"/>
        <v>2000</v>
      </c>
      <c r="T531" s="3">
        <v>2000</v>
      </c>
      <c r="U531" s="3">
        <f t="shared" si="343"/>
        <v>0</v>
      </c>
      <c r="W531" s="3">
        <f t="shared" si="344"/>
        <v>2000</v>
      </c>
      <c r="Y531" s="3">
        <v>2000</v>
      </c>
      <c r="Z531" s="3">
        <f t="shared" si="345"/>
        <v>0</v>
      </c>
      <c r="AC531" s="3">
        <v>0</v>
      </c>
      <c r="AD531" s="3">
        <f t="shared" si="346"/>
        <v>0</v>
      </c>
      <c r="AE531" s="3">
        <v>0</v>
      </c>
      <c r="AF531" s="3">
        <f t="shared" si="347"/>
        <v>-2000</v>
      </c>
      <c r="AI531" s="3">
        <f>AE531*1.03</f>
        <v>0</v>
      </c>
      <c r="AK531" s="3">
        <f>AI531*1.0281</f>
        <v>0</v>
      </c>
      <c r="AM531" s="3">
        <f>AK531*1.0281</f>
        <v>0</v>
      </c>
      <c r="AO531" s="3">
        <f>AM531*1.0281</f>
        <v>0</v>
      </c>
      <c r="AQ531" s="3">
        <f>AO531*1.0281</f>
        <v>0</v>
      </c>
      <c r="AS531" s="3">
        <f>AQ531*1.0281</f>
        <v>0</v>
      </c>
      <c r="AU531" s="3">
        <f>AS531*1.0281</f>
        <v>0</v>
      </c>
      <c r="AW531" s="3">
        <f>AU531*1.0281</f>
        <v>0</v>
      </c>
      <c r="AY531" s="3">
        <f>AW531*1.0281</f>
        <v>0</v>
      </c>
      <c r="BA531" s="3">
        <f>AY531*1.0281</f>
        <v>0</v>
      </c>
      <c r="BC531" s="3">
        <f>BA531*1.0281</f>
        <v>0</v>
      </c>
      <c r="BE531" s="3">
        <f>BC531*1.0281</f>
        <v>0</v>
      </c>
    </row>
    <row r="532" spans="1:1015 1029:2039 2053:3063 3077:4087 4101:5111 5125:6135 6149:7159 7173:8183 8197:9207 9221:10231 10245:11255 11269:12279 12293:13303 13317:14327 14341:15351 15365:16373" hidden="1" outlineLevel="1" x14ac:dyDescent="0.25">
      <c r="A532" s="3" t="s">
        <v>416</v>
      </c>
      <c r="B532" s="3">
        <v>0</v>
      </c>
      <c r="D532" s="3">
        <v>0</v>
      </c>
      <c r="E532" s="3">
        <f t="shared" si="338"/>
        <v>0</v>
      </c>
      <c r="F532" s="3">
        <v>0</v>
      </c>
      <c r="H532" s="3">
        <f t="shared" si="339"/>
        <v>0</v>
      </c>
      <c r="J532" s="3">
        <v>0</v>
      </c>
      <c r="K532" s="4">
        <f t="shared" si="340"/>
        <v>0</v>
      </c>
      <c r="L532" s="4">
        <v>0</v>
      </c>
      <c r="N532" s="4">
        <f t="shared" si="341"/>
        <v>0</v>
      </c>
      <c r="P532" s="3">
        <f>B532*1.03</f>
        <v>0</v>
      </c>
      <c r="S532" s="3">
        <f t="shared" si="342"/>
        <v>0</v>
      </c>
      <c r="T532" s="3">
        <f>F532*1.03</f>
        <v>0</v>
      </c>
      <c r="U532" s="3">
        <f t="shared" si="343"/>
        <v>0</v>
      </c>
      <c r="W532" s="3">
        <f t="shared" si="344"/>
        <v>0</v>
      </c>
      <c r="Z532" s="3">
        <f t="shared" si="345"/>
        <v>0</v>
      </c>
      <c r="AD532" s="3">
        <f t="shared" si="346"/>
        <v>0</v>
      </c>
      <c r="AF532" s="3">
        <f t="shared" si="347"/>
        <v>0</v>
      </c>
      <c r="AI532" s="3">
        <f>P532*1.03</f>
        <v>0</v>
      </c>
      <c r="AK532" s="3">
        <f>AI532*1.03</f>
        <v>0</v>
      </c>
      <c r="AM532" s="3">
        <f>AK532*1.03</f>
        <v>0</v>
      </c>
      <c r="AO532" s="3">
        <f>AM532*1.03</f>
        <v>0</v>
      </c>
      <c r="AQ532" s="3">
        <f>AO532*1.03</f>
        <v>0</v>
      </c>
      <c r="AS532" s="3">
        <f>AQ532*1.03</f>
        <v>0</v>
      </c>
      <c r="AU532" s="3">
        <f>AS532*1.03</f>
        <v>0</v>
      </c>
      <c r="AW532" s="3">
        <f>AU532*1.03</f>
        <v>0</v>
      </c>
      <c r="AY532" s="3">
        <f>AW532*1.03</f>
        <v>0</v>
      </c>
      <c r="BA532" s="3">
        <f>AY532*1.03</f>
        <v>0</v>
      </c>
      <c r="BC532" s="3">
        <f>BA532*1.03</f>
        <v>0</v>
      </c>
      <c r="BE532" s="3">
        <f>BC532*1.03</f>
        <v>0</v>
      </c>
    </row>
    <row r="533" spans="1:1015 1029:2039 2053:3063 3077:4087 4101:5111 5125:6135 6149:7159 7173:8183 8197:9207 9221:10231 10245:11255 11269:12279 12293:13303 13317:14327 14341:15351 15365:16373" hidden="1" outlineLevel="1" x14ac:dyDescent="0.25">
      <c r="A533" s="3" t="s">
        <v>417</v>
      </c>
      <c r="B533" s="3">
        <v>2200</v>
      </c>
      <c r="D533" s="3">
        <v>509</v>
      </c>
      <c r="E533" s="3">
        <f t="shared" si="338"/>
        <v>491</v>
      </c>
      <c r="F533" s="3">
        <v>1000</v>
      </c>
      <c r="H533" s="3">
        <f t="shared" si="339"/>
        <v>-1200</v>
      </c>
      <c r="J533" s="3">
        <v>572</v>
      </c>
      <c r="K533" s="4">
        <f t="shared" si="340"/>
        <v>178</v>
      </c>
      <c r="L533" s="4">
        <v>750</v>
      </c>
      <c r="N533" s="4">
        <f t="shared" si="341"/>
        <v>-250</v>
      </c>
      <c r="P533" s="3">
        <v>0</v>
      </c>
      <c r="S533" s="3">
        <f t="shared" si="342"/>
        <v>0</v>
      </c>
      <c r="T533" s="3">
        <v>0</v>
      </c>
      <c r="U533" s="3">
        <f t="shared" si="343"/>
        <v>0</v>
      </c>
      <c r="W533" s="3">
        <f>Y533-V533</f>
        <v>0</v>
      </c>
      <c r="Z533" s="3">
        <f t="shared" si="345"/>
        <v>0</v>
      </c>
      <c r="AD533" s="3">
        <f t="shared" si="346"/>
        <v>0</v>
      </c>
      <c r="AF533" s="3">
        <f t="shared" si="347"/>
        <v>0</v>
      </c>
      <c r="AI533" s="3">
        <f>P533*1.0281</f>
        <v>0</v>
      </c>
      <c r="AK533" s="3">
        <f>AI533*1.0281</f>
        <v>0</v>
      </c>
      <c r="AM533" s="3">
        <f>AK533*1.0281</f>
        <v>0</v>
      </c>
      <c r="AO533" s="3">
        <f>AM533*1.0281</f>
        <v>0</v>
      </c>
      <c r="AQ533" s="3">
        <f>AO533*1.0281</f>
        <v>0</v>
      </c>
      <c r="AS533" s="3">
        <f>AQ533*1.0281</f>
        <v>0</v>
      </c>
      <c r="AU533" s="3">
        <f>AS533*1.0281</f>
        <v>0</v>
      </c>
      <c r="AW533" s="3">
        <f>AU533*1.0281</f>
        <v>0</v>
      </c>
      <c r="AY533" s="3">
        <f>AW533*1.0281</f>
        <v>0</v>
      </c>
      <c r="BA533" s="3">
        <f>AY533*1.0281</f>
        <v>0</v>
      </c>
      <c r="BC533" s="3">
        <f>BA533*1.0281</f>
        <v>0</v>
      </c>
      <c r="BE533" s="3">
        <f>BC533*1.0281</f>
        <v>0</v>
      </c>
    </row>
    <row r="534" spans="1:1015 1029:2039 2053:3063 3077:4087 4101:5111 5125:6135 6149:7159 7173:8183 8197:9207 9221:10231 10245:11255 11269:12279 12293:13303 13317:14327 14341:15351 15365:16373" hidden="1" outlineLevel="1" x14ac:dyDescent="0.25">
      <c r="A534" s="3" t="s">
        <v>418</v>
      </c>
      <c r="B534" s="3">
        <v>900</v>
      </c>
      <c r="D534" s="3">
        <v>0</v>
      </c>
      <c r="E534" s="3">
        <f t="shared" si="338"/>
        <v>900</v>
      </c>
      <c r="F534" s="3">
        <v>900</v>
      </c>
      <c r="H534" s="3">
        <f t="shared" si="339"/>
        <v>0</v>
      </c>
      <c r="J534" s="3">
        <v>571</v>
      </c>
      <c r="K534" s="4">
        <f t="shared" si="340"/>
        <v>179</v>
      </c>
      <c r="L534" s="4">
        <v>750</v>
      </c>
      <c r="N534" s="4">
        <f t="shared" si="341"/>
        <v>-150</v>
      </c>
      <c r="P534" s="3">
        <f>L534*1.0281+29</f>
        <v>800.07500000000005</v>
      </c>
      <c r="S534" s="3">
        <f t="shared" si="342"/>
        <v>799.55710750000003</v>
      </c>
      <c r="T534" s="3">
        <f>P534*1.0281-23</f>
        <v>799.55710750000003</v>
      </c>
      <c r="U534" s="3">
        <f t="shared" si="343"/>
        <v>-0.5178925000000163</v>
      </c>
      <c r="V534" s="3">
        <v>514</v>
      </c>
      <c r="W534" s="3">
        <f t="shared" si="344"/>
        <v>86</v>
      </c>
      <c r="Y534" s="3">
        <v>600</v>
      </c>
      <c r="Z534" s="3">
        <f t="shared" si="345"/>
        <v>-199.55710750000003</v>
      </c>
      <c r="AC534" s="3">
        <v>580</v>
      </c>
      <c r="AD534" s="3">
        <f t="shared" si="346"/>
        <v>20</v>
      </c>
      <c r="AE534" s="3">
        <v>600</v>
      </c>
      <c r="AF534" s="3">
        <f t="shared" si="347"/>
        <v>0</v>
      </c>
      <c r="AI534" s="3">
        <f>AE534*1.03+32</f>
        <v>650</v>
      </c>
      <c r="AK534" s="3">
        <f>AI534*1.0281</f>
        <v>668.26499999999999</v>
      </c>
      <c r="AM534" s="3">
        <f>AK534*1.0281</f>
        <v>687.04324650000001</v>
      </c>
      <c r="AO534" s="3">
        <f>AM534*1.0281</f>
        <v>706.34916172664998</v>
      </c>
      <c r="AQ534" s="3">
        <f>AO534*1.0281</f>
        <v>726.19757317116887</v>
      </c>
      <c r="AS534" s="3">
        <f>AQ534*1.0281</f>
        <v>746.60372497727872</v>
      </c>
      <c r="AU534" s="3">
        <f>AS534*1.0281</f>
        <v>767.58328964914028</v>
      </c>
      <c r="AW534" s="3">
        <f>AU534*1.0281</f>
        <v>789.15238008828112</v>
      </c>
      <c r="AY534" s="3">
        <f>AW534*1.0281</f>
        <v>811.32756196876187</v>
      </c>
      <c r="BA534" s="3">
        <f>AY534*1.0281</f>
        <v>834.12586646008413</v>
      </c>
      <c r="BC534" s="3">
        <f>BA534*1.0281</f>
        <v>857.56480330761246</v>
      </c>
      <c r="BE534" s="3">
        <f>BC534*1.0281</f>
        <v>881.66237428055638</v>
      </c>
    </row>
    <row r="535" spans="1:1015 1029:2039 2053:3063 3077:4087 4101:5111 5125:6135 6149:7159 7173:8183 8197:9207 9221:10231 10245:11255 11269:12279 12293:13303 13317:14327 14341:15351 15365:16373" hidden="1" outlineLevel="1" x14ac:dyDescent="0.25">
      <c r="A535" s="3" t="s">
        <v>419</v>
      </c>
      <c r="B535" s="3">
        <v>500</v>
      </c>
      <c r="D535" s="3">
        <v>0</v>
      </c>
      <c r="E535" s="3">
        <f t="shared" si="338"/>
        <v>500</v>
      </c>
      <c r="F535" s="3">
        <v>500</v>
      </c>
      <c r="H535" s="3">
        <f t="shared" si="339"/>
        <v>0</v>
      </c>
      <c r="J535" s="3">
        <v>0</v>
      </c>
      <c r="K535" s="4">
        <f t="shared" si="340"/>
        <v>500</v>
      </c>
      <c r="L535" s="4">
        <v>500</v>
      </c>
      <c r="N535" s="4">
        <f t="shared" si="341"/>
        <v>0</v>
      </c>
      <c r="P535" s="3">
        <v>500</v>
      </c>
      <c r="S535" s="3">
        <f t="shared" si="342"/>
        <v>500</v>
      </c>
      <c r="T535" s="3">
        <v>500</v>
      </c>
      <c r="U535" s="3">
        <f t="shared" si="343"/>
        <v>0</v>
      </c>
      <c r="W535" s="3">
        <f t="shared" si="344"/>
        <v>500</v>
      </c>
      <c r="Y535" s="3">
        <v>500</v>
      </c>
      <c r="Z535" s="3">
        <f t="shared" si="345"/>
        <v>0</v>
      </c>
      <c r="AC535" s="3">
        <v>0</v>
      </c>
      <c r="AD535" s="3">
        <f t="shared" si="346"/>
        <v>500</v>
      </c>
      <c r="AE535" s="3">
        <v>500</v>
      </c>
      <c r="AF535" s="3">
        <f t="shared" si="347"/>
        <v>0</v>
      </c>
      <c r="AI535" s="3">
        <v>1000</v>
      </c>
      <c r="AK535" s="3">
        <f>AI535*1.0281</f>
        <v>1028.0999999999999</v>
      </c>
      <c r="AM535" s="3">
        <f>AK535*1.0281</f>
        <v>1056.9896099999999</v>
      </c>
      <c r="AO535" s="3">
        <f>AM535*1.0281</f>
        <v>1086.6910180409998</v>
      </c>
      <c r="AQ535" s="3">
        <f>AO535*1.0281</f>
        <v>1117.2270356479519</v>
      </c>
      <c r="AS535" s="3">
        <f>AQ535*1.0281</f>
        <v>1148.6211153496592</v>
      </c>
      <c r="AU535" s="3">
        <f>AS535*1.0281</f>
        <v>1180.8973686909846</v>
      </c>
      <c r="AW535" s="3">
        <f>AU535*1.0281</f>
        <v>1214.0805847512013</v>
      </c>
      <c r="AY535" s="3">
        <f>AW535*1.0281</f>
        <v>1248.1962491827101</v>
      </c>
      <c r="BA535" s="3">
        <f>AY535*1.0281</f>
        <v>1283.2705637847441</v>
      </c>
      <c r="BC535" s="3">
        <f>BA535*1.0281</f>
        <v>1319.3304666270953</v>
      </c>
      <c r="BE535" s="3">
        <f>BC535*1.0281</f>
        <v>1356.4036527393168</v>
      </c>
    </row>
    <row r="536" spans="1:1015 1029:2039 2053:3063 3077:4087 4101:5111 5125:6135 6149:7159 7173:8183 8197:9207 9221:10231 10245:11255 11269:12279 12293:13303 13317:14327 14341:15351 15365:16373" hidden="1" outlineLevel="1" x14ac:dyDescent="0.25">
      <c r="A536" s="3"/>
      <c r="B536" s="62">
        <f>SUM(B519:B535)+1</f>
        <v>12651</v>
      </c>
      <c r="C536" s="32"/>
      <c r="D536" s="62">
        <f>SUM(D519:D535)</f>
        <v>3026</v>
      </c>
      <c r="E536" s="62">
        <f>SUM(E519:E535)</f>
        <v>9624</v>
      </c>
      <c r="F536" s="62">
        <f>SUM(F519:F535)</f>
        <v>12650</v>
      </c>
      <c r="G536" s="32"/>
      <c r="H536" s="62">
        <f>SUM(H519:H535)</f>
        <v>0</v>
      </c>
      <c r="I536" s="32"/>
      <c r="J536" s="62">
        <f>SUM(J519:J535)</f>
        <v>4529</v>
      </c>
      <c r="K536" s="62">
        <f>SUM(K519:K535)</f>
        <v>9121</v>
      </c>
      <c r="L536" s="62">
        <f>SUM(L519:L535)</f>
        <v>13650</v>
      </c>
      <c r="M536" s="32"/>
      <c r="N536" s="62">
        <f>SUM(N519:N535)</f>
        <v>1000</v>
      </c>
      <c r="P536" s="62">
        <f>SUM(P519:P535)</f>
        <v>12850.075000000001</v>
      </c>
      <c r="R536" s="62">
        <f t="shared" ref="R536:Z536" si="348">SUM(R519:R535)</f>
        <v>0</v>
      </c>
      <c r="S536" s="62">
        <f t="shared" si="348"/>
        <v>12849.557107500001</v>
      </c>
      <c r="T536" s="62">
        <f t="shared" si="348"/>
        <v>12849.557107500001</v>
      </c>
      <c r="U536" s="62">
        <f t="shared" si="348"/>
        <v>-0.5178925000000163</v>
      </c>
      <c r="V536" s="62">
        <f t="shared" si="348"/>
        <v>2034</v>
      </c>
      <c r="W536" s="62">
        <f t="shared" si="348"/>
        <v>10616</v>
      </c>
      <c r="X536" s="62"/>
      <c r="Y536" s="62">
        <f t="shared" si="348"/>
        <v>12650</v>
      </c>
      <c r="Z536" s="62">
        <f t="shared" si="348"/>
        <v>-199.55710750000003</v>
      </c>
      <c r="AC536" s="62">
        <f>SUM(AC519:AC535)</f>
        <v>10369</v>
      </c>
      <c r="AD536" s="62">
        <f>SUM(AD519:AD535)</f>
        <v>6231</v>
      </c>
      <c r="AE536" s="62">
        <f>SUM(AE519:AE535)</f>
        <v>16600</v>
      </c>
      <c r="AF536" s="62">
        <f>SUM(AF519:AF535)</f>
        <v>3950</v>
      </c>
      <c r="AG536" s="32"/>
      <c r="AI536" s="62">
        <f>SUM(AI519:AI535)</f>
        <v>17300</v>
      </c>
      <c r="AK536" s="62">
        <f>SUM(AK519:AK535)</f>
        <v>15096.365</v>
      </c>
      <c r="AM536" s="62">
        <f>SUM(AM519:AM535)</f>
        <v>15294.0328565</v>
      </c>
      <c r="AO536" s="62">
        <f>SUM(AO519:AO535)</f>
        <v>15493.04017976765</v>
      </c>
      <c r="AP536" s="32"/>
      <c r="AQ536" s="62">
        <f>SUM(AQ519:AQ535)</f>
        <v>15693.424608819119</v>
      </c>
      <c r="AS536" s="62">
        <f>SUM(AS519:AS535)</f>
        <v>15895.224840326937</v>
      </c>
      <c r="AU536" s="62">
        <f>SUM(AU519:AU535)</f>
        <v>16098.480658340126</v>
      </c>
      <c r="AW536" s="62">
        <f>SUM(AW519:AW535)</f>
        <v>16303.232964839483</v>
      </c>
      <c r="AY536" s="62">
        <f>SUM(AY519:AY535)</f>
        <v>16509.52381115147</v>
      </c>
      <c r="BA536" s="62">
        <f>SUM(BA519:BA535)</f>
        <v>16717.396430244829</v>
      </c>
      <c r="BC536" s="62">
        <f>SUM(BC519:BC535)</f>
        <v>16926.895269934706</v>
      </c>
      <c r="BE536" s="62">
        <f>SUM(BE519:BE535)</f>
        <v>17138.066027019875</v>
      </c>
    </row>
    <row r="537" spans="1:1015 1029:2039 2053:3063 3077:4087 4101:5111 5125:6135 6149:7159 7173:8183 8197:9207 9221:10231 10245:11255 11269:12279 12293:13303 13317:14327 14341:15351 15365:16373" hidden="1" outlineLevel="1" x14ac:dyDescent="0.25">
      <c r="A537" s="7" t="s">
        <v>420</v>
      </c>
      <c r="BC537" s="3"/>
      <c r="BE537" s="3"/>
    </row>
    <row r="538" spans="1:1015 1029:2039 2053:3063 3077:4087 4101:5111 5125:6135 6149:7159 7173:8183 8197:9207 9221:10231 10245:11255 11269:12279 12293:13303 13317:14327 14341:15351 15365:16373" hidden="1" outlineLevel="1" x14ac:dyDescent="0.25">
      <c r="A538" s="3" t="s">
        <v>421</v>
      </c>
      <c r="B538" s="3">
        <v>2600</v>
      </c>
      <c r="D538" s="3">
        <v>1045</v>
      </c>
      <c r="E538" s="3">
        <f>F538-D538</f>
        <v>1555</v>
      </c>
      <c r="F538" s="3">
        <v>2600</v>
      </c>
      <c r="H538" s="3">
        <f>F538-B538</f>
        <v>0</v>
      </c>
      <c r="J538" s="3">
        <v>1045</v>
      </c>
      <c r="K538" s="4">
        <f>L538-J538</f>
        <v>1555</v>
      </c>
      <c r="L538" s="4">
        <v>2600</v>
      </c>
      <c r="N538" s="4">
        <f>L538-F538</f>
        <v>0</v>
      </c>
      <c r="P538" s="3">
        <f>L538*1.0281+27+1800</f>
        <v>4500.0599999999995</v>
      </c>
      <c r="R538" s="3">
        <v>2456</v>
      </c>
      <c r="S538" s="3">
        <f>T538-R538</f>
        <v>2044</v>
      </c>
      <c r="T538" s="3">
        <v>4500</v>
      </c>
      <c r="U538" s="3">
        <f>T538-P538</f>
        <v>-5.9999999999490683E-2</v>
      </c>
      <c r="V538" s="3">
        <v>2456</v>
      </c>
      <c r="W538" s="3">
        <f>Y538-V538</f>
        <v>2044</v>
      </c>
      <c r="Y538" s="3">
        <v>4500</v>
      </c>
      <c r="Z538" s="3">
        <f>Y538-T538</f>
        <v>0</v>
      </c>
      <c r="AC538" s="3">
        <v>2456</v>
      </c>
      <c r="AD538" s="3">
        <f>AE538-AC538</f>
        <v>1544</v>
      </c>
      <c r="AE538" s="3">
        <v>4000</v>
      </c>
      <c r="AF538" s="3">
        <f>AE538-Y538</f>
        <v>-500</v>
      </c>
      <c r="AI538" s="3">
        <f>AE538*1.03-20</f>
        <v>4100</v>
      </c>
      <c r="AK538" s="3">
        <f>AI538*1.03</f>
        <v>4223</v>
      </c>
      <c r="AM538" s="3">
        <f>AK538*1.03</f>
        <v>4349.6900000000005</v>
      </c>
      <c r="AN538" s="3">
        <f>AL538*1.03</f>
        <v>0</v>
      </c>
      <c r="AO538" s="3">
        <f>AM538*1.03</f>
        <v>4480.1807000000008</v>
      </c>
      <c r="AP538" s="4">
        <f>AN538*1.03</f>
        <v>0</v>
      </c>
      <c r="AQ538" s="3">
        <f>AO538*1.03</f>
        <v>4614.5861210000012</v>
      </c>
      <c r="AR538" s="3"/>
      <c r="AS538" s="3">
        <f>AQ538*1.03</f>
        <v>4753.0237046300017</v>
      </c>
      <c r="AT538" s="3">
        <f>AR538*1.03</f>
        <v>0</v>
      </c>
      <c r="AU538" s="3">
        <f>AS538*1.03</f>
        <v>4895.6144157689023</v>
      </c>
      <c r="AV538" s="3">
        <f>AT538*1.03</f>
        <v>0</v>
      </c>
      <c r="AW538" s="3">
        <f>AU538*1.03</f>
        <v>5042.4828482419698</v>
      </c>
      <c r="AX538" s="3"/>
      <c r="AY538" s="3">
        <f>AW538*1.03</f>
        <v>5193.7573336892292</v>
      </c>
      <c r="AZ538" s="3">
        <f>AX538*1.03</f>
        <v>0</v>
      </c>
      <c r="BA538" s="3">
        <f>AY538*1.03</f>
        <v>5349.5700536999066</v>
      </c>
      <c r="BC538" s="3">
        <f>BA538*1.03</f>
        <v>5510.0571553109039</v>
      </c>
      <c r="BE538" s="3">
        <f>BC538*1.03</f>
        <v>5675.3588699702314</v>
      </c>
    </row>
    <row r="539" spans="1:1015 1029:2039 2053:3063 3077:4087 4101:5111 5125:6135 6149:7159 7173:8183 8197:9207 9221:10231 10245:11255 11269:12279 12293:13303 13317:14327 14341:15351 15365:16373" hidden="1" outlineLevel="1" x14ac:dyDescent="0.25">
      <c r="A539" s="267" t="s">
        <v>368</v>
      </c>
      <c r="B539" s="3">
        <v>5600</v>
      </c>
      <c r="D539" s="3">
        <v>0</v>
      </c>
      <c r="E539" s="3">
        <f>F539-D539</f>
        <v>5600</v>
      </c>
      <c r="F539" s="3">
        <v>5600</v>
      </c>
      <c r="H539" s="3">
        <f>F539-B539</f>
        <v>0</v>
      </c>
      <c r="J539" s="3">
        <v>0</v>
      </c>
      <c r="K539" s="4">
        <f>L539-J539</f>
        <v>5600</v>
      </c>
      <c r="L539" s="4">
        <v>5600</v>
      </c>
      <c r="N539" s="4">
        <f>L539-F539</f>
        <v>0</v>
      </c>
      <c r="P539" s="3">
        <v>5600</v>
      </c>
      <c r="R539" s="3">
        <v>0</v>
      </c>
      <c r="S539" s="3">
        <f>T539-R539</f>
        <v>5600</v>
      </c>
      <c r="T539" s="3">
        <v>5600</v>
      </c>
      <c r="U539" s="3">
        <f>T539-P539</f>
        <v>0</v>
      </c>
      <c r="W539" s="3">
        <f>Y539-V539</f>
        <v>5600</v>
      </c>
      <c r="Y539" s="3">
        <v>5600</v>
      </c>
      <c r="Z539" s="3">
        <f>Y539-T539</f>
        <v>0</v>
      </c>
      <c r="AC539" s="3">
        <v>0</v>
      </c>
      <c r="AD539" s="3">
        <f>AE539-AC539</f>
        <v>5600</v>
      </c>
      <c r="AE539" s="3">
        <v>5600</v>
      </c>
      <c r="AF539" s="3">
        <f>AE539-Y539</f>
        <v>0</v>
      </c>
      <c r="AI539" s="3">
        <v>5600</v>
      </c>
      <c r="AK539" s="3">
        <v>5600</v>
      </c>
      <c r="AM539" s="3">
        <v>5600</v>
      </c>
      <c r="AO539" s="3">
        <v>5600</v>
      </c>
      <c r="AQ539" s="3">
        <v>5600</v>
      </c>
      <c r="AS539" s="3">
        <v>5600</v>
      </c>
      <c r="AU539" s="3">
        <v>5600</v>
      </c>
      <c r="AW539" s="3">
        <v>5600</v>
      </c>
      <c r="AY539" s="3">
        <v>5600</v>
      </c>
      <c r="BA539" s="3">
        <v>5600</v>
      </c>
      <c r="BC539" s="3">
        <v>5600</v>
      </c>
      <c r="BE539" s="3">
        <v>5600</v>
      </c>
      <c r="BI539" s="268"/>
      <c r="BJ539" s="268"/>
      <c r="BK539" s="268"/>
      <c r="BL539" s="268"/>
      <c r="BM539" s="268"/>
      <c r="BN539" s="268"/>
      <c r="BO539" s="268"/>
      <c r="BP539" s="268"/>
      <c r="BQ539" s="268"/>
      <c r="BR539" s="268"/>
      <c r="BS539" s="268"/>
      <c r="BT539" s="268"/>
      <c r="BU539" s="268"/>
      <c r="BV539" s="268"/>
      <c r="BW539" s="268"/>
      <c r="BX539" s="268"/>
      <c r="BY539" s="268"/>
      <c r="BZ539" s="268"/>
      <c r="CA539" s="268"/>
      <c r="CB539" s="268"/>
      <c r="CC539" s="268"/>
      <c r="CD539" s="268"/>
      <c r="CE539" s="268"/>
      <c r="CF539" s="268"/>
      <c r="CG539" s="268"/>
      <c r="CH539" s="268"/>
      <c r="CI539" s="268"/>
      <c r="CJ539" s="268"/>
      <c r="CK539" s="268"/>
      <c r="CL539" s="268"/>
      <c r="CM539" s="268"/>
      <c r="CN539" s="268"/>
      <c r="CO539" s="268"/>
      <c r="CP539" s="268"/>
      <c r="CQ539" s="268"/>
      <c r="CR539" s="268"/>
      <c r="CS539" s="268"/>
      <c r="CT539" s="268"/>
      <c r="CU539" s="268"/>
      <c r="CV539" s="268"/>
      <c r="CW539" s="268"/>
      <c r="CX539" s="268"/>
      <c r="CY539" s="268"/>
      <c r="CZ539" s="268"/>
      <c r="DA539" s="268"/>
      <c r="DB539" s="268"/>
      <c r="DC539" s="268"/>
      <c r="DD539" s="268"/>
      <c r="DE539" s="268"/>
      <c r="DF539" s="268"/>
      <c r="DG539" s="268"/>
      <c r="DH539" s="268"/>
      <c r="DI539" s="268"/>
      <c r="DJ539" s="268"/>
      <c r="DK539" s="268"/>
      <c r="DL539" s="268"/>
      <c r="DM539" s="268"/>
      <c r="DN539" s="268"/>
      <c r="DO539" s="268"/>
      <c r="DP539" s="268"/>
      <c r="DQ539" s="268"/>
      <c r="DR539" s="268"/>
      <c r="DS539" s="268"/>
      <c r="DT539" s="268"/>
      <c r="DU539" s="268"/>
      <c r="DV539" s="268"/>
      <c r="DW539" s="268"/>
      <c r="DX539" s="268"/>
      <c r="DY539" s="268"/>
      <c r="DZ539" s="268"/>
      <c r="EA539" s="268"/>
      <c r="EB539" s="268"/>
      <c r="EC539" s="268"/>
      <c r="ED539" s="268"/>
      <c r="EE539" s="268"/>
      <c r="EF539" s="268"/>
      <c r="EG539" s="268"/>
      <c r="EH539" s="268"/>
      <c r="EI539" s="268"/>
      <c r="EJ539" s="268"/>
      <c r="EK539" s="268"/>
      <c r="EL539" s="268"/>
      <c r="EM539" s="268"/>
      <c r="EN539" s="268"/>
      <c r="EO539" s="268"/>
      <c r="EP539" s="268"/>
      <c r="EQ539" s="268"/>
      <c r="ER539" s="268"/>
      <c r="ES539" s="268"/>
      <c r="ET539" s="268"/>
      <c r="EU539" s="268"/>
      <c r="EV539" s="268"/>
      <c r="EW539" s="268"/>
      <c r="EX539" s="268"/>
      <c r="EY539" s="268"/>
      <c r="EZ539" s="268"/>
      <c r="FA539" s="268"/>
      <c r="FB539" s="268"/>
      <c r="FC539" s="268"/>
      <c r="FD539" s="268"/>
      <c r="FE539" s="268"/>
      <c r="FF539" s="268"/>
      <c r="FG539" s="268"/>
      <c r="FH539" s="268"/>
      <c r="FI539" s="268"/>
      <c r="FJ539" s="268"/>
      <c r="FK539" s="268"/>
      <c r="FL539" s="268"/>
      <c r="FM539" s="268"/>
      <c r="FN539" s="268"/>
      <c r="FO539" s="268"/>
      <c r="FP539" s="268"/>
      <c r="FQ539" s="268"/>
      <c r="FR539" s="268"/>
      <c r="FS539" s="268"/>
      <c r="FT539" s="268"/>
      <c r="FU539" s="268"/>
      <c r="FV539" s="268"/>
      <c r="FW539" s="268"/>
      <c r="FX539" s="268"/>
      <c r="FY539" s="268"/>
      <c r="FZ539" s="268"/>
      <c r="GA539" s="268"/>
      <c r="GB539" s="268"/>
      <c r="GC539" s="268"/>
      <c r="GD539" s="268"/>
      <c r="GE539" s="268"/>
      <c r="GF539" s="268"/>
      <c r="GG539" s="268"/>
      <c r="GH539" s="268"/>
      <c r="GI539" s="268"/>
      <c r="GJ539" s="268"/>
      <c r="GK539" s="268"/>
      <c r="GL539" s="268"/>
      <c r="GM539" s="268"/>
      <c r="GN539" s="268"/>
      <c r="GO539" s="268"/>
      <c r="GP539" s="268"/>
      <c r="GQ539" s="268"/>
      <c r="GR539" s="268"/>
      <c r="GS539" s="268"/>
      <c r="GT539" s="268"/>
      <c r="GU539" s="268"/>
      <c r="GV539" s="268"/>
      <c r="GW539" s="268"/>
      <c r="GX539" s="268"/>
      <c r="GY539" s="268"/>
      <c r="GZ539" s="268"/>
      <c r="HA539" s="268"/>
      <c r="HB539" s="268"/>
      <c r="HC539" s="268"/>
      <c r="HD539" s="268"/>
      <c r="HE539" s="268"/>
      <c r="HF539" s="268"/>
      <c r="HG539" s="268"/>
      <c r="HH539" s="268"/>
      <c r="HI539" s="268"/>
      <c r="HJ539" s="268"/>
      <c r="HK539" s="268"/>
      <c r="HL539" s="268"/>
      <c r="HM539" s="268"/>
      <c r="HN539" s="268"/>
      <c r="HO539" s="268"/>
      <c r="HP539" s="268"/>
      <c r="HQ539" s="268"/>
      <c r="HR539" s="268"/>
      <c r="HS539" s="268"/>
      <c r="HT539" s="268"/>
      <c r="HU539" s="268"/>
      <c r="HV539" s="268"/>
      <c r="HW539" s="268"/>
      <c r="HX539" s="268"/>
      <c r="HY539" s="268"/>
      <c r="HZ539" s="268"/>
      <c r="IA539" s="268"/>
      <c r="IB539" s="268"/>
      <c r="IC539" s="268"/>
      <c r="ID539" s="268"/>
      <c r="IE539" s="268"/>
      <c r="IF539" s="268"/>
      <c r="IG539" s="268"/>
      <c r="IH539" s="268"/>
      <c r="II539" s="268"/>
      <c r="IJ539" s="268"/>
      <c r="IK539" s="268"/>
      <c r="IL539" s="268"/>
      <c r="IM539" s="268"/>
      <c r="JA539" s="268"/>
      <c r="JB539" s="268"/>
      <c r="JC539" s="268"/>
      <c r="JQ539" s="268"/>
      <c r="JS539" s="268"/>
      <c r="JT539" s="268"/>
      <c r="JU539" s="268"/>
      <c r="JV539" s="268"/>
      <c r="JW539" s="268"/>
      <c r="JX539" s="268"/>
      <c r="JY539" s="268"/>
      <c r="JZ539" s="268"/>
      <c r="KA539" s="268"/>
      <c r="KB539" s="268"/>
      <c r="KC539" s="268"/>
      <c r="KD539" s="268"/>
      <c r="KE539" s="268"/>
      <c r="KF539" s="268"/>
      <c r="KG539" s="268"/>
      <c r="KH539" s="268"/>
      <c r="KI539" s="268"/>
      <c r="KJ539" s="268"/>
      <c r="KK539" s="268"/>
      <c r="KL539" s="268"/>
      <c r="KM539" s="268"/>
      <c r="KN539" s="268"/>
      <c r="KO539" s="268"/>
      <c r="KP539" s="268"/>
      <c r="KQ539" s="268"/>
      <c r="KR539" s="268"/>
      <c r="KS539" s="268"/>
      <c r="KT539" s="268"/>
      <c r="KU539" s="268"/>
      <c r="KV539" s="268"/>
      <c r="KW539" s="268"/>
      <c r="KX539" s="268"/>
      <c r="KY539" s="268"/>
      <c r="KZ539" s="268"/>
      <c r="LA539" s="268"/>
      <c r="LB539" s="268"/>
      <c r="LC539" s="268"/>
      <c r="LD539" s="268"/>
      <c r="LE539" s="268"/>
      <c r="LF539" s="268"/>
      <c r="LG539" s="268"/>
      <c r="LH539" s="268"/>
      <c r="LI539" s="268"/>
      <c r="LJ539" s="268"/>
      <c r="LK539" s="268"/>
      <c r="LL539" s="268"/>
      <c r="LM539" s="268"/>
      <c r="LN539" s="268"/>
      <c r="LO539" s="268"/>
      <c r="LP539" s="268"/>
      <c r="LQ539" s="268"/>
      <c r="LR539" s="268"/>
      <c r="LS539" s="268"/>
      <c r="LT539" s="268"/>
      <c r="LU539" s="268"/>
      <c r="LV539" s="268"/>
      <c r="LW539" s="268"/>
      <c r="LX539" s="268"/>
      <c r="LY539" s="268"/>
      <c r="LZ539" s="268"/>
      <c r="MA539" s="268"/>
      <c r="MB539" s="268"/>
      <c r="MC539" s="268"/>
      <c r="MD539" s="268"/>
      <c r="ME539" s="268"/>
      <c r="MF539" s="268"/>
      <c r="MG539" s="268"/>
      <c r="MH539" s="268"/>
      <c r="MI539" s="268"/>
      <c r="MJ539" s="268"/>
      <c r="MK539" s="268"/>
      <c r="ML539" s="268"/>
      <c r="MM539" s="268"/>
      <c r="MN539" s="268"/>
      <c r="MO539" s="268"/>
      <c r="MP539" s="268"/>
      <c r="MQ539" s="268"/>
      <c r="MR539" s="268"/>
      <c r="MS539" s="268"/>
      <c r="MT539" s="268"/>
      <c r="MU539" s="268"/>
      <c r="MV539" s="268"/>
      <c r="MW539" s="268"/>
      <c r="MX539" s="268"/>
      <c r="MY539" s="268"/>
      <c r="MZ539" s="268"/>
      <c r="NA539" s="268"/>
      <c r="NB539" s="268"/>
      <c r="NC539" s="268"/>
      <c r="ND539" s="268"/>
      <c r="NE539" s="268"/>
      <c r="NF539" s="268"/>
      <c r="NG539" s="268"/>
      <c r="NH539" s="268"/>
      <c r="NI539" s="268"/>
      <c r="NJ539" s="268"/>
      <c r="NK539" s="268"/>
      <c r="NL539" s="268"/>
      <c r="NM539" s="268"/>
      <c r="NN539" s="268"/>
      <c r="NO539" s="268"/>
      <c r="NP539" s="268"/>
      <c r="NQ539" s="268"/>
      <c r="NR539" s="268"/>
      <c r="NS539" s="268"/>
      <c r="NT539" s="268"/>
      <c r="NU539" s="268"/>
      <c r="NV539" s="268"/>
      <c r="NW539" s="268"/>
      <c r="NX539" s="268"/>
      <c r="NY539" s="268"/>
      <c r="NZ539" s="268"/>
      <c r="OA539" s="268"/>
      <c r="OB539" s="268"/>
      <c r="OC539" s="268"/>
      <c r="OD539" s="268"/>
      <c r="OE539" s="268"/>
      <c r="OF539" s="268"/>
      <c r="OG539" s="268"/>
      <c r="OH539" s="268"/>
      <c r="OI539" s="268"/>
      <c r="OJ539" s="268"/>
      <c r="OK539" s="268"/>
      <c r="OL539" s="268"/>
      <c r="OM539" s="268"/>
      <c r="ON539" s="268"/>
      <c r="OO539" s="268"/>
      <c r="OP539" s="268"/>
      <c r="OQ539" s="268"/>
      <c r="OR539" s="268"/>
      <c r="OS539" s="268"/>
      <c r="OT539" s="268"/>
      <c r="OU539" s="268"/>
      <c r="OV539" s="268"/>
      <c r="OW539" s="268"/>
      <c r="OX539" s="268"/>
      <c r="OY539" s="268"/>
      <c r="OZ539" s="268"/>
      <c r="PA539" s="268"/>
      <c r="PB539" s="268"/>
      <c r="PC539" s="268"/>
      <c r="PD539" s="268"/>
      <c r="PE539" s="268"/>
      <c r="PF539" s="268"/>
      <c r="PG539" s="268"/>
      <c r="PH539" s="268"/>
      <c r="PI539" s="268"/>
      <c r="PJ539" s="268"/>
      <c r="PK539" s="268"/>
      <c r="PL539" s="268"/>
      <c r="PM539" s="268"/>
      <c r="PN539" s="268"/>
      <c r="PO539" s="268"/>
      <c r="PP539" s="268"/>
      <c r="PQ539" s="268"/>
      <c r="PR539" s="268"/>
      <c r="PS539" s="268"/>
      <c r="PT539" s="268"/>
      <c r="PU539" s="268"/>
      <c r="PV539" s="268"/>
      <c r="PW539" s="268"/>
      <c r="PX539" s="268"/>
      <c r="PY539" s="268"/>
      <c r="PZ539" s="268"/>
      <c r="QA539" s="268"/>
      <c r="QB539" s="268"/>
      <c r="QC539" s="268"/>
      <c r="QD539" s="268"/>
      <c r="QE539" s="268"/>
      <c r="QF539" s="268"/>
      <c r="QG539" s="268"/>
      <c r="QH539" s="268"/>
      <c r="QI539" s="268"/>
      <c r="QJ539" s="268"/>
      <c r="QK539" s="268"/>
      <c r="QL539" s="268"/>
      <c r="QM539" s="268"/>
      <c r="QN539" s="268"/>
      <c r="QO539" s="268"/>
      <c r="QP539" s="268"/>
      <c r="QQ539" s="268"/>
      <c r="QR539" s="268"/>
      <c r="QS539" s="268"/>
      <c r="QT539" s="268"/>
      <c r="QU539" s="268"/>
      <c r="QV539" s="268"/>
      <c r="QW539" s="268"/>
      <c r="QX539" s="268"/>
      <c r="QY539" s="268"/>
      <c r="QZ539" s="268"/>
      <c r="RA539" s="268"/>
      <c r="RB539" s="268"/>
      <c r="RC539" s="268"/>
      <c r="RD539" s="268"/>
      <c r="RE539" s="268"/>
      <c r="RF539" s="268"/>
      <c r="RG539" s="268"/>
      <c r="RH539" s="268"/>
      <c r="RI539" s="268"/>
      <c r="RJ539" s="268"/>
      <c r="RK539" s="268"/>
      <c r="RL539" s="268"/>
      <c r="RM539" s="268"/>
      <c r="RN539" s="268"/>
      <c r="RO539" s="268"/>
      <c r="RP539" s="268"/>
      <c r="RQ539" s="268"/>
      <c r="RR539" s="268"/>
      <c r="RS539" s="268"/>
      <c r="RT539" s="268"/>
      <c r="RU539" s="268"/>
      <c r="RV539" s="268"/>
      <c r="RW539" s="268"/>
      <c r="RX539" s="268"/>
      <c r="RY539" s="268"/>
      <c r="RZ539" s="268"/>
      <c r="SA539" s="268"/>
      <c r="SB539" s="268"/>
      <c r="SC539" s="268"/>
      <c r="SD539" s="268"/>
      <c r="SE539" s="268"/>
      <c r="SF539" s="268"/>
      <c r="SG539" s="268"/>
      <c r="SH539" s="268"/>
      <c r="SI539" s="268"/>
      <c r="SW539" s="268"/>
      <c r="SX539" s="268"/>
      <c r="SY539" s="268"/>
      <c r="TM539" s="268"/>
      <c r="TO539" s="268"/>
      <c r="TP539" s="268"/>
      <c r="TQ539" s="268"/>
      <c r="TR539" s="268"/>
      <c r="TS539" s="268"/>
      <c r="TT539" s="268"/>
      <c r="TU539" s="268"/>
      <c r="TV539" s="268"/>
      <c r="TW539" s="268"/>
      <c r="TX539" s="268"/>
      <c r="TY539" s="268"/>
      <c r="TZ539" s="268"/>
      <c r="UA539" s="268"/>
      <c r="UB539" s="268"/>
      <c r="UC539" s="268"/>
      <c r="UD539" s="268"/>
      <c r="UE539" s="268"/>
      <c r="UF539" s="268"/>
      <c r="UG539" s="268"/>
      <c r="UH539" s="268"/>
      <c r="UI539" s="268"/>
      <c r="UJ539" s="268"/>
      <c r="UK539" s="268"/>
      <c r="UL539" s="268"/>
      <c r="UM539" s="268"/>
      <c r="UN539" s="268"/>
      <c r="UO539" s="268"/>
      <c r="UP539" s="268"/>
      <c r="UQ539" s="268"/>
      <c r="UR539" s="268"/>
      <c r="US539" s="268"/>
      <c r="UT539" s="268"/>
      <c r="UU539" s="268"/>
      <c r="UV539" s="268"/>
      <c r="UW539" s="268"/>
      <c r="UX539" s="268"/>
      <c r="UY539" s="268"/>
      <c r="UZ539" s="268"/>
      <c r="VA539" s="268"/>
      <c r="VB539" s="268"/>
      <c r="VC539" s="268"/>
      <c r="VD539" s="268"/>
      <c r="VE539" s="268"/>
      <c r="VF539" s="268"/>
      <c r="VG539" s="268"/>
      <c r="VH539" s="268"/>
      <c r="VI539" s="268"/>
      <c r="VJ539" s="268"/>
      <c r="VK539" s="268"/>
      <c r="VL539" s="268"/>
      <c r="VM539" s="268"/>
      <c r="VN539" s="268"/>
      <c r="VO539" s="268"/>
      <c r="VP539" s="268"/>
      <c r="VQ539" s="268"/>
      <c r="VR539" s="268"/>
      <c r="VS539" s="268"/>
      <c r="VT539" s="268"/>
      <c r="VU539" s="268"/>
      <c r="VV539" s="268"/>
      <c r="VW539" s="268"/>
      <c r="VX539" s="268"/>
      <c r="VY539" s="268"/>
      <c r="VZ539" s="268"/>
      <c r="WA539" s="268"/>
      <c r="WB539" s="268"/>
      <c r="WC539" s="268"/>
      <c r="WD539" s="268"/>
      <c r="WE539" s="268"/>
      <c r="WF539" s="268"/>
      <c r="WG539" s="268"/>
      <c r="WH539" s="268"/>
      <c r="WI539" s="268"/>
      <c r="WJ539" s="268"/>
      <c r="WK539" s="268"/>
      <c r="WL539" s="268"/>
      <c r="WM539" s="268"/>
      <c r="WN539" s="268"/>
      <c r="WO539" s="268"/>
      <c r="WP539" s="268"/>
      <c r="WQ539" s="268"/>
      <c r="WR539" s="268"/>
      <c r="WS539" s="268"/>
      <c r="WT539" s="268"/>
      <c r="WU539" s="268"/>
      <c r="WV539" s="268"/>
      <c r="WW539" s="268"/>
      <c r="WX539" s="268"/>
      <c r="WY539" s="268"/>
      <c r="WZ539" s="268"/>
      <c r="XA539" s="268"/>
      <c r="XB539" s="268"/>
      <c r="XC539" s="268"/>
      <c r="XD539" s="268"/>
      <c r="XE539" s="268"/>
      <c r="XF539" s="268"/>
      <c r="XG539" s="268"/>
      <c r="XH539" s="268"/>
      <c r="XI539" s="268"/>
      <c r="XJ539" s="268"/>
      <c r="XK539" s="268"/>
      <c r="XL539" s="268"/>
      <c r="XM539" s="268"/>
      <c r="XN539" s="268"/>
      <c r="XO539" s="268"/>
      <c r="XP539" s="268"/>
      <c r="XQ539" s="268"/>
      <c r="XR539" s="268"/>
      <c r="XS539" s="268"/>
      <c r="XT539" s="268"/>
      <c r="XU539" s="268"/>
      <c r="XV539" s="268"/>
      <c r="XW539" s="268"/>
      <c r="XX539" s="268"/>
      <c r="XY539" s="268"/>
      <c r="XZ539" s="268"/>
      <c r="YA539" s="268"/>
      <c r="YB539" s="268"/>
      <c r="YC539" s="268"/>
      <c r="YD539" s="268"/>
      <c r="YE539" s="268"/>
      <c r="YF539" s="268"/>
      <c r="YG539" s="268"/>
      <c r="YH539" s="268"/>
      <c r="YI539" s="268"/>
      <c r="YJ539" s="268"/>
      <c r="YK539" s="268"/>
      <c r="YL539" s="268"/>
      <c r="YM539" s="268"/>
      <c r="YN539" s="268"/>
      <c r="YO539" s="268"/>
      <c r="YP539" s="268"/>
      <c r="YQ539" s="268"/>
      <c r="YR539" s="268"/>
      <c r="YS539" s="268"/>
      <c r="YT539" s="268"/>
      <c r="YU539" s="268"/>
      <c r="YV539" s="268"/>
      <c r="YW539" s="268"/>
      <c r="YX539" s="268"/>
      <c r="YY539" s="268"/>
      <c r="YZ539" s="268"/>
      <c r="ZA539" s="268"/>
      <c r="ZB539" s="268"/>
      <c r="ZC539" s="268"/>
      <c r="ZD539" s="268"/>
      <c r="ZE539" s="268"/>
      <c r="ZF539" s="268"/>
      <c r="ZG539" s="268"/>
      <c r="ZH539" s="268"/>
      <c r="ZI539" s="268"/>
      <c r="ZJ539" s="268"/>
      <c r="ZK539" s="268"/>
      <c r="ZL539" s="268"/>
      <c r="ZM539" s="268"/>
      <c r="ZN539" s="268"/>
      <c r="ZO539" s="268"/>
      <c r="ZP539" s="268"/>
      <c r="ZQ539" s="268"/>
      <c r="ZR539" s="268"/>
      <c r="ZS539" s="268"/>
      <c r="ZT539" s="268"/>
      <c r="ZU539" s="268"/>
      <c r="ZV539" s="268"/>
      <c r="ZW539" s="268"/>
      <c r="ZX539" s="268"/>
      <c r="ZY539" s="268"/>
      <c r="ZZ539" s="268"/>
      <c r="AAA539" s="268"/>
      <c r="AAB539" s="268"/>
      <c r="AAC539" s="268"/>
      <c r="AAD539" s="268"/>
      <c r="AAE539" s="268"/>
      <c r="AAF539" s="268"/>
      <c r="AAG539" s="268"/>
      <c r="AAH539" s="268"/>
      <c r="AAI539" s="268"/>
      <c r="AAJ539" s="268"/>
      <c r="AAK539" s="268"/>
      <c r="AAL539" s="268"/>
      <c r="AAM539" s="268"/>
      <c r="AAN539" s="268"/>
      <c r="AAO539" s="268"/>
      <c r="AAP539" s="268"/>
      <c r="AAQ539" s="268"/>
      <c r="AAR539" s="268"/>
      <c r="AAS539" s="268"/>
      <c r="AAT539" s="268"/>
      <c r="AAU539" s="268"/>
      <c r="AAV539" s="268"/>
      <c r="AAW539" s="268"/>
      <c r="AAX539" s="268"/>
      <c r="AAY539" s="268"/>
      <c r="AAZ539" s="268"/>
      <c r="ABA539" s="268"/>
      <c r="ABB539" s="268"/>
      <c r="ABC539" s="268"/>
      <c r="ABD539" s="268"/>
      <c r="ABE539" s="268"/>
      <c r="ABF539" s="268"/>
      <c r="ABG539" s="268"/>
      <c r="ABH539" s="268"/>
      <c r="ABI539" s="268"/>
      <c r="ABJ539" s="268"/>
      <c r="ABK539" s="268"/>
      <c r="ABL539" s="268"/>
      <c r="ABM539" s="268"/>
      <c r="ABN539" s="268"/>
      <c r="ABO539" s="268"/>
      <c r="ABP539" s="268"/>
      <c r="ABQ539" s="268"/>
      <c r="ABR539" s="268"/>
      <c r="ABS539" s="268"/>
      <c r="ABT539" s="268"/>
      <c r="ABU539" s="268"/>
      <c r="ABV539" s="268"/>
      <c r="ABW539" s="268"/>
      <c r="ABX539" s="268"/>
      <c r="ABY539" s="268"/>
      <c r="ABZ539" s="268"/>
      <c r="ACA539" s="268"/>
      <c r="ACB539" s="268"/>
      <c r="ACC539" s="268"/>
      <c r="ACD539" s="268"/>
      <c r="ACE539" s="268"/>
      <c r="ACS539" s="268"/>
      <c r="ACT539" s="268"/>
      <c r="ACU539" s="268"/>
      <c r="ADI539" s="268"/>
      <c r="ADK539" s="268"/>
      <c r="ADL539" s="268"/>
      <c r="ADM539" s="268"/>
      <c r="ADN539" s="268"/>
      <c r="ADO539" s="268"/>
      <c r="ADP539" s="268"/>
      <c r="ADQ539" s="268"/>
      <c r="ADR539" s="268"/>
      <c r="ADS539" s="268"/>
      <c r="ADT539" s="268"/>
      <c r="ADU539" s="268"/>
      <c r="ADV539" s="268"/>
      <c r="ADW539" s="268"/>
      <c r="ADX539" s="268"/>
      <c r="ADY539" s="268"/>
      <c r="ADZ539" s="268"/>
      <c r="AEA539" s="268"/>
      <c r="AEB539" s="268"/>
      <c r="AEC539" s="268"/>
      <c r="AED539" s="268"/>
      <c r="AEE539" s="268"/>
      <c r="AEF539" s="268"/>
      <c r="AEG539" s="268"/>
      <c r="AEH539" s="268"/>
      <c r="AEI539" s="268"/>
      <c r="AEJ539" s="268"/>
      <c r="AEK539" s="268"/>
      <c r="AEL539" s="268"/>
      <c r="AEM539" s="268"/>
      <c r="AEN539" s="268"/>
      <c r="AEO539" s="268"/>
      <c r="AEP539" s="268"/>
      <c r="AEQ539" s="268"/>
      <c r="AER539" s="268"/>
      <c r="AES539" s="268"/>
      <c r="AET539" s="268"/>
      <c r="AEU539" s="268"/>
      <c r="AEV539" s="268"/>
      <c r="AEW539" s="268"/>
      <c r="AEX539" s="268"/>
      <c r="AEY539" s="268"/>
      <c r="AEZ539" s="268"/>
      <c r="AFA539" s="268"/>
      <c r="AFB539" s="268"/>
      <c r="AFC539" s="268"/>
      <c r="AFD539" s="268"/>
      <c r="AFE539" s="268"/>
      <c r="AFF539" s="268"/>
      <c r="AFG539" s="268"/>
      <c r="AFH539" s="268"/>
      <c r="AFI539" s="268"/>
      <c r="AFJ539" s="268"/>
      <c r="AFK539" s="268"/>
      <c r="AFL539" s="268"/>
      <c r="AFM539" s="268"/>
      <c r="AFN539" s="268"/>
      <c r="AFO539" s="268"/>
      <c r="AFP539" s="268"/>
      <c r="AFQ539" s="268"/>
      <c r="AFR539" s="268"/>
      <c r="AFS539" s="268"/>
      <c r="AFT539" s="268"/>
      <c r="AFU539" s="268"/>
      <c r="AFV539" s="268"/>
      <c r="AFW539" s="268"/>
      <c r="AFX539" s="268"/>
      <c r="AFY539" s="268"/>
      <c r="AFZ539" s="268"/>
      <c r="AGA539" s="268"/>
      <c r="AGB539" s="268"/>
      <c r="AGC539" s="268"/>
      <c r="AGD539" s="268"/>
      <c r="AGE539" s="268"/>
      <c r="AGF539" s="268"/>
      <c r="AGG539" s="268"/>
      <c r="AGH539" s="268"/>
      <c r="AGI539" s="268"/>
      <c r="AGJ539" s="268"/>
      <c r="AGK539" s="268"/>
      <c r="AGL539" s="268"/>
      <c r="AGM539" s="268"/>
      <c r="AGN539" s="268"/>
      <c r="AGO539" s="268"/>
      <c r="AGP539" s="268"/>
      <c r="AGQ539" s="268"/>
      <c r="AGR539" s="268"/>
      <c r="AGS539" s="268"/>
      <c r="AGT539" s="268"/>
      <c r="AGU539" s="268"/>
      <c r="AGV539" s="268"/>
      <c r="AGW539" s="268"/>
      <c r="AGX539" s="268"/>
      <c r="AGY539" s="268"/>
      <c r="AGZ539" s="268"/>
      <c r="AHA539" s="268"/>
      <c r="AHB539" s="268"/>
      <c r="AHC539" s="268"/>
      <c r="AHD539" s="268"/>
      <c r="AHE539" s="268"/>
      <c r="AHF539" s="268"/>
      <c r="AHG539" s="268"/>
      <c r="AHH539" s="268"/>
      <c r="AHI539" s="268"/>
      <c r="AHJ539" s="268"/>
      <c r="AHK539" s="268"/>
      <c r="AHL539" s="268"/>
      <c r="AHM539" s="268"/>
      <c r="AHN539" s="268"/>
      <c r="AHO539" s="268"/>
      <c r="AHP539" s="268"/>
      <c r="AHQ539" s="268"/>
      <c r="AHR539" s="268"/>
      <c r="AHS539" s="268"/>
      <c r="AHT539" s="268"/>
      <c r="AHU539" s="268"/>
      <c r="AHV539" s="268"/>
      <c r="AHW539" s="268"/>
      <c r="AHX539" s="268"/>
      <c r="AHY539" s="268"/>
      <c r="AHZ539" s="268"/>
      <c r="AIA539" s="268"/>
      <c r="AIB539" s="268"/>
      <c r="AIC539" s="268"/>
      <c r="AID539" s="268"/>
      <c r="AIE539" s="268"/>
      <c r="AIF539" s="268"/>
      <c r="AIG539" s="268"/>
      <c r="AIH539" s="268"/>
      <c r="AII539" s="268"/>
      <c r="AIJ539" s="268"/>
      <c r="AIK539" s="268"/>
      <c r="AIL539" s="268"/>
      <c r="AIM539" s="268"/>
      <c r="AIN539" s="268"/>
      <c r="AIO539" s="268"/>
      <c r="AIP539" s="268"/>
      <c r="AIQ539" s="268"/>
      <c r="AIR539" s="268"/>
      <c r="AIS539" s="268"/>
      <c r="AIT539" s="268"/>
      <c r="AIU539" s="268"/>
      <c r="AIV539" s="268"/>
      <c r="AIW539" s="268"/>
      <c r="AIX539" s="268"/>
      <c r="AIY539" s="268"/>
      <c r="AIZ539" s="268"/>
      <c r="AJA539" s="268"/>
      <c r="AJB539" s="268"/>
      <c r="AJC539" s="268"/>
      <c r="AJD539" s="268"/>
      <c r="AJE539" s="268"/>
      <c r="AJF539" s="268"/>
      <c r="AJG539" s="268"/>
      <c r="AJH539" s="268"/>
      <c r="AJI539" s="268"/>
      <c r="AJJ539" s="268"/>
      <c r="AJK539" s="268"/>
      <c r="AJL539" s="268"/>
      <c r="AJM539" s="268"/>
      <c r="AJN539" s="268"/>
      <c r="AJO539" s="268"/>
      <c r="AJP539" s="268"/>
      <c r="AJQ539" s="268"/>
      <c r="AJR539" s="268"/>
      <c r="AJS539" s="268"/>
      <c r="AJT539" s="268"/>
      <c r="AJU539" s="268"/>
      <c r="AJV539" s="268"/>
      <c r="AJW539" s="268"/>
      <c r="AJX539" s="268"/>
      <c r="AJY539" s="268"/>
      <c r="AJZ539" s="268"/>
      <c r="AKA539" s="268"/>
      <c r="AKB539" s="268"/>
      <c r="AKC539" s="268"/>
      <c r="AKD539" s="268"/>
      <c r="AKE539" s="268"/>
      <c r="AKF539" s="268"/>
      <c r="AKG539" s="268"/>
      <c r="AKH539" s="268"/>
      <c r="AKI539" s="268"/>
      <c r="AKJ539" s="268"/>
      <c r="AKK539" s="268"/>
      <c r="AKL539" s="268"/>
      <c r="AKM539" s="268"/>
      <c r="AKN539" s="268"/>
      <c r="AKO539" s="268"/>
      <c r="AKP539" s="268"/>
      <c r="AKQ539" s="268"/>
      <c r="AKR539" s="268"/>
      <c r="AKS539" s="268"/>
      <c r="AKT539" s="268"/>
      <c r="AKU539" s="268"/>
      <c r="AKV539" s="268"/>
      <c r="AKW539" s="268"/>
      <c r="AKX539" s="268"/>
      <c r="AKY539" s="268"/>
      <c r="AKZ539" s="268"/>
      <c r="ALA539" s="268"/>
      <c r="ALB539" s="268"/>
      <c r="ALC539" s="268"/>
      <c r="ALD539" s="268"/>
      <c r="ALE539" s="268"/>
      <c r="ALF539" s="268"/>
      <c r="ALG539" s="268"/>
      <c r="ALH539" s="268"/>
      <c r="ALI539" s="268"/>
      <c r="ALJ539" s="268"/>
      <c r="ALK539" s="268"/>
      <c r="ALL539" s="268"/>
      <c r="ALM539" s="268"/>
      <c r="ALN539" s="268"/>
      <c r="ALO539" s="268"/>
      <c r="ALP539" s="268"/>
      <c r="ALQ539" s="268"/>
      <c r="ALR539" s="268"/>
      <c r="ALS539" s="268"/>
      <c r="ALT539" s="268"/>
      <c r="ALU539" s="268"/>
      <c r="ALV539" s="268"/>
      <c r="ALW539" s="268"/>
      <c r="ALX539" s="268"/>
      <c r="ALY539" s="268"/>
      <c r="ALZ539" s="268"/>
      <c r="AMA539" s="268"/>
      <c r="AMO539" s="268"/>
      <c r="AMP539" s="268"/>
      <c r="AMQ539" s="268"/>
      <c r="ANE539" s="268"/>
      <c r="ANG539" s="268"/>
      <c r="ANH539" s="268"/>
      <c r="ANI539" s="268"/>
      <c r="ANJ539" s="268"/>
      <c r="ANK539" s="268"/>
      <c r="ANL539" s="268"/>
      <c r="ANM539" s="268"/>
      <c r="ANN539" s="268"/>
      <c r="ANO539" s="268"/>
      <c r="ANP539" s="268"/>
      <c r="ANQ539" s="268"/>
      <c r="ANR539" s="268"/>
      <c r="ANS539" s="268"/>
      <c r="ANT539" s="268"/>
      <c r="ANU539" s="268"/>
      <c r="ANV539" s="268"/>
      <c r="ANW539" s="268"/>
      <c r="ANX539" s="268"/>
      <c r="ANY539" s="268"/>
      <c r="ANZ539" s="268"/>
      <c r="AOA539" s="268"/>
      <c r="AOB539" s="268"/>
      <c r="AOC539" s="268"/>
      <c r="AOD539" s="268"/>
      <c r="AOE539" s="268"/>
      <c r="AOF539" s="268"/>
      <c r="AOG539" s="268"/>
      <c r="AOH539" s="268"/>
      <c r="AOI539" s="268"/>
      <c r="AOJ539" s="268"/>
      <c r="AOK539" s="268"/>
      <c r="AOL539" s="268"/>
      <c r="AOM539" s="268"/>
      <c r="AON539" s="268"/>
      <c r="AOO539" s="268"/>
      <c r="AOP539" s="268"/>
      <c r="AOQ539" s="268"/>
      <c r="AOR539" s="268"/>
      <c r="AOS539" s="268"/>
      <c r="AOT539" s="268"/>
      <c r="AOU539" s="268"/>
      <c r="AOV539" s="268"/>
      <c r="AOW539" s="268"/>
      <c r="AOX539" s="268"/>
      <c r="AOY539" s="268"/>
      <c r="AOZ539" s="268"/>
      <c r="APA539" s="268"/>
      <c r="APB539" s="268"/>
      <c r="APC539" s="268"/>
      <c r="APD539" s="268"/>
      <c r="APE539" s="268"/>
      <c r="APF539" s="268"/>
      <c r="APG539" s="268"/>
      <c r="APH539" s="268"/>
      <c r="API539" s="268"/>
      <c r="APJ539" s="268"/>
      <c r="APK539" s="268"/>
      <c r="APL539" s="268"/>
      <c r="APM539" s="268"/>
      <c r="APN539" s="268"/>
      <c r="APO539" s="268"/>
      <c r="APP539" s="268"/>
      <c r="APQ539" s="268"/>
      <c r="APR539" s="268"/>
      <c r="APS539" s="268"/>
      <c r="APT539" s="268"/>
      <c r="APU539" s="268"/>
      <c r="APV539" s="268"/>
      <c r="APW539" s="268"/>
      <c r="APX539" s="268"/>
      <c r="APY539" s="268"/>
      <c r="APZ539" s="268"/>
      <c r="AQA539" s="268"/>
      <c r="AQB539" s="268"/>
      <c r="AQC539" s="268"/>
      <c r="AQD539" s="268"/>
      <c r="AQE539" s="268"/>
      <c r="AQF539" s="268"/>
      <c r="AQG539" s="268"/>
      <c r="AQH539" s="268"/>
      <c r="AQI539" s="268"/>
      <c r="AQJ539" s="268"/>
      <c r="AQK539" s="268"/>
      <c r="AQL539" s="268"/>
      <c r="AQM539" s="268"/>
      <c r="AQN539" s="268"/>
      <c r="AQO539" s="268"/>
      <c r="AQP539" s="268"/>
      <c r="AQQ539" s="268"/>
      <c r="AQR539" s="268"/>
      <c r="AQS539" s="268"/>
      <c r="AQT539" s="268"/>
      <c r="AQU539" s="268"/>
      <c r="AQV539" s="268"/>
      <c r="AQW539" s="268"/>
      <c r="AQX539" s="268"/>
      <c r="AQY539" s="268"/>
      <c r="AQZ539" s="268"/>
      <c r="ARA539" s="268"/>
      <c r="ARB539" s="268"/>
      <c r="ARC539" s="268"/>
      <c r="ARD539" s="268"/>
      <c r="ARE539" s="268"/>
      <c r="ARF539" s="268"/>
      <c r="ARG539" s="268"/>
      <c r="ARH539" s="268"/>
      <c r="ARI539" s="268"/>
      <c r="ARJ539" s="268"/>
      <c r="ARK539" s="268"/>
      <c r="ARL539" s="268"/>
      <c r="ARM539" s="268"/>
      <c r="ARN539" s="268"/>
      <c r="ARO539" s="268"/>
      <c r="ARP539" s="268"/>
      <c r="ARQ539" s="268"/>
      <c r="ARR539" s="268"/>
      <c r="ARS539" s="268"/>
      <c r="ART539" s="268"/>
      <c r="ARU539" s="268"/>
      <c r="ARV539" s="268"/>
      <c r="ARW539" s="268"/>
      <c r="ARX539" s="268"/>
      <c r="ARY539" s="268"/>
      <c r="ARZ539" s="268"/>
      <c r="ASA539" s="268"/>
      <c r="ASB539" s="268"/>
      <c r="ASC539" s="268"/>
      <c r="ASD539" s="268"/>
      <c r="ASE539" s="268"/>
      <c r="ASF539" s="268"/>
      <c r="ASG539" s="268"/>
      <c r="ASH539" s="268"/>
      <c r="ASI539" s="268"/>
      <c r="ASJ539" s="268"/>
      <c r="ASK539" s="268"/>
      <c r="ASL539" s="268"/>
      <c r="ASM539" s="268"/>
      <c r="ASN539" s="268"/>
      <c r="ASO539" s="268"/>
      <c r="ASP539" s="268"/>
      <c r="ASQ539" s="268"/>
      <c r="ASR539" s="268"/>
      <c r="ASS539" s="268"/>
      <c r="AST539" s="268"/>
      <c r="ASU539" s="268"/>
      <c r="ASV539" s="268"/>
      <c r="ASW539" s="268"/>
      <c r="ASX539" s="268"/>
      <c r="ASY539" s="268"/>
      <c r="ASZ539" s="268"/>
      <c r="ATA539" s="268"/>
      <c r="ATB539" s="268"/>
      <c r="ATC539" s="268"/>
      <c r="ATD539" s="268"/>
      <c r="ATE539" s="268"/>
      <c r="ATF539" s="268"/>
      <c r="ATG539" s="268"/>
      <c r="ATH539" s="268"/>
      <c r="ATI539" s="268"/>
      <c r="ATJ539" s="268"/>
      <c r="ATK539" s="268"/>
      <c r="ATL539" s="268"/>
      <c r="ATM539" s="268"/>
      <c r="ATN539" s="268"/>
      <c r="ATO539" s="268"/>
      <c r="ATP539" s="268"/>
      <c r="ATQ539" s="268"/>
      <c r="ATR539" s="268"/>
      <c r="ATS539" s="268"/>
      <c r="ATT539" s="268"/>
      <c r="ATU539" s="268"/>
      <c r="ATV539" s="268"/>
      <c r="ATW539" s="268"/>
      <c r="ATX539" s="268"/>
      <c r="ATY539" s="268"/>
      <c r="ATZ539" s="268"/>
      <c r="AUA539" s="268"/>
      <c r="AUB539" s="268"/>
      <c r="AUC539" s="268"/>
      <c r="AUD539" s="268"/>
      <c r="AUE539" s="268"/>
      <c r="AUF539" s="268"/>
      <c r="AUG539" s="268"/>
      <c r="AUH539" s="268"/>
      <c r="AUI539" s="268"/>
      <c r="AUJ539" s="268"/>
      <c r="AUK539" s="268"/>
      <c r="AUL539" s="268"/>
      <c r="AUM539" s="268"/>
      <c r="AUN539" s="268"/>
      <c r="AUO539" s="268"/>
      <c r="AUP539" s="268"/>
      <c r="AUQ539" s="268"/>
      <c r="AUR539" s="268"/>
      <c r="AUS539" s="268"/>
      <c r="AUT539" s="268"/>
      <c r="AUU539" s="268"/>
      <c r="AUV539" s="268"/>
      <c r="AUW539" s="268"/>
      <c r="AUX539" s="268"/>
      <c r="AUY539" s="268"/>
      <c r="AUZ539" s="268"/>
      <c r="AVA539" s="268"/>
      <c r="AVB539" s="268"/>
      <c r="AVC539" s="268"/>
      <c r="AVD539" s="268"/>
      <c r="AVE539" s="268"/>
      <c r="AVF539" s="268"/>
      <c r="AVG539" s="268"/>
      <c r="AVH539" s="268"/>
      <c r="AVI539" s="268"/>
      <c r="AVJ539" s="268"/>
      <c r="AVK539" s="268"/>
      <c r="AVL539" s="268"/>
      <c r="AVM539" s="268"/>
      <c r="AVN539" s="268"/>
      <c r="AVO539" s="268"/>
      <c r="AVP539" s="268"/>
      <c r="AVQ539" s="268"/>
      <c r="AVR539" s="268"/>
      <c r="AVS539" s="268"/>
      <c r="AVT539" s="268"/>
      <c r="AVU539" s="268"/>
      <c r="AVV539" s="268"/>
      <c r="AVW539" s="268"/>
      <c r="AWK539" s="268"/>
      <c r="AWL539" s="268"/>
      <c r="AWM539" s="268"/>
      <c r="AXA539" s="268"/>
      <c r="AXC539" s="268"/>
      <c r="AXD539" s="268"/>
      <c r="AXE539" s="268"/>
      <c r="AXF539" s="268"/>
      <c r="AXG539" s="268"/>
      <c r="AXH539" s="268"/>
      <c r="AXI539" s="268"/>
      <c r="AXJ539" s="268"/>
      <c r="AXK539" s="268"/>
      <c r="AXL539" s="268"/>
      <c r="AXM539" s="268"/>
      <c r="AXN539" s="268"/>
      <c r="AXO539" s="268"/>
      <c r="AXP539" s="268"/>
      <c r="AXQ539" s="268"/>
      <c r="AXR539" s="268"/>
      <c r="AXS539" s="268"/>
      <c r="AXT539" s="268"/>
      <c r="AXU539" s="268"/>
      <c r="AXV539" s="268"/>
      <c r="AXW539" s="268"/>
      <c r="AXX539" s="268"/>
      <c r="AXY539" s="268"/>
      <c r="AXZ539" s="268"/>
      <c r="AYA539" s="268"/>
      <c r="AYB539" s="268"/>
      <c r="AYC539" s="268"/>
      <c r="AYD539" s="268"/>
      <c r="AYE539" s="268"/>
      <c r="AYF539" s="268"/>
      <c r="AYG539" s="268"/>
      <c r="AYH539" s="268"/>
      <c r="AYI539" s="268"/>
      <c r="AYJ539" s="268"/>
      <c r="AYK539" s="268"/>
      <c r="AYL539" s="268"/>
      <c r="AYM539" s="268"/>
      <c r="AYN539" s="268"/>
      <c r="AYO539" s="268"/>
      <c r="AYP539" s="268"/>
      <c r="AYQ539" s="268"/>
      <c r="AYR539" s="268"/>
      <c r="AYS539" s="268"/>
      <c r="AYT539" s="268"/>
      <c r="AYU539" s="268"/>
      <c r="AYV539" s="268"/>
      <c r="AYW539" s="268"/>
      <c r="AYX539" s="268"/>
      <c r="AYY539" s="268"/>
      <c r="AYZ539" s="268"/>
      <c r="AZA539" s="268"/>
      <c r="AZB539" s="268"/>
      <c r="AZC539" s="268"/>
      <c r="AZD539" s="268"/>
      <c r="AZE539" s="268"/>
      <c r="AZF539" s="268"/>
      <c r="AZG539" s="268"/>
      <c r="AZH539" s="268"/>
      <c r="AZI539" s="268"/>
      <c r="AZJ539" s="268"/>
      <c r="AZK539" s="268"/>
      <c r="AZL539" s="268"/>
      <c r="AZM539" s="268"/>
      <c r="AZN539" s="268"/>
      <c r="AZO539" s="268"/>
      <c r="AZP539" s="268"/>
      <c r="AZQ539" s="268"/>
      <c r="AZR539" s="268"/>
      <c r="AZS539" s="268"/>
      <c r="AZT539" s="268"/>
      <c r="AZU539" s="268"/>
      <c r="AZV539" s="268"/>
      <c r="AZW539" s="268"/>
      <c r="AZX539" s="268"/>
      <c r="AZY539" s="268"/>
      <c r="AZZ539" s="268"/>
      <c r="BAA539" s="268"/>
      <c r="BAB539" s="268"/>
      <c r="BAC539" s="268"/>
      <c r="BAD539" s="268"/>
      <c r="BAE539" s="268"/>
      <c r="BAF539" s="268"/>
      <c r="BAG539" s="268"/>
      <c r="BAH539" s="268"/>
      <c r="BAI539" s="268"/>
      <c r="BAJ539" s="268"/>
      <c r="BAK539" s="268"/>
      <c r="BAL539" s="268"/>
      <c r="BAM539" s="268"/>
      <c r="BAN539" s="268"/>
      <c r="BAO539" s="268"/>
      <c r="BAP539" s="268"/>
      <c r="BAQ539" s="268"/>
      <c r="BAR539" s="268"/>
      <c r="BAS539" s="268"/>
      <c r="BAT539" s="268"/>
      <c r="BAU539" s="268"/>
      <c r="BAV539" s="268"/>
      <c r="BAW539" s="268"/>
      <c r="BAX539" s="268"/>
      <c r="BAY539" s="268"/>
      <c r="BAZ539" s="268"/>
      <c r="BBA539" s="268"/>
      <c r="BBB539" s="268"/>
      <c r="BBC539" s="268"/>
      <c r="BBD539" s="268"/>
      <c r="BBE539" s="268"/>
      <c r="BBF539" s="268"/>
      <c r="BBG539" s="268"/>
      <c r="BBH539" s="268"/>
      <c r="BBI539" s="268"/>
      <c r="BBJ539" s="268"/>
      <c r="BBK539" s="268"/>
      <c r="BBL539" s="268"/>
      <c r="BBM539" s="268"/>
      <c r="BBN539" s="268"/>
      <c r="BBO539" s="268"/>
      <c r="BBP539" s="268"/>
      <c r="BBQ539" s="268"/>
      <c r="BBR539" s="268"/>
      <c r="BBS539" s="268"/>
      <c r="BBT539" s="268"/>
      <c r="BBU539" s="268"/>
      <c r="BBV539" s="268"/>
      <c r="BBW539" s="268"/>
      <c r="BBX539" s="268"/>
      <c r="BBY539" s="268"/>
      <c r="BBZ539" s="268"/>
      <c r="BCA539" s="268"/>
      <c r="BCB539" s="268"/>
      <c r="BCC539" s="268"/>
      <c r="BCD539" s="268"/>
      <c r="BCE539" s="268"/>
      <c r="BCF539" s="268"/>
      <c r="BCG539" s="268"/>
      <c r="BCH539" s="268"/>
      <c r="BCI539" s="268"/>
      <c r="BCJ539" s="268"/>
      <c r="BCK539" s="268"/>
      <c r="BCL539" s="268"/>
      <c r="BCM539" s="268"/>
      <c r="BCN539" s="268"/>
      <c r="BCO539" s="268"/>
      <c r="BCP539" s="268"/>
      <c r="BCQ539" s="268"/>
      <c r="BCR539" s="268"/>
      <c r="BCS539" s="268"/>
      <c r="BCT539" s="268"/>
      <c r="BCU539" s="268"/>
      <c r="BCV539" s="268"/>
      <c r="BCW539" s="268"/>
      <c r="BCX539" s="268"/>
      <c r="BCY539" s="268"/>
      <c r="BCZ539" s="268"/>
      <c r="BDA539" s="268"/>
      <c r="BDB539" s="268"/>
      <c r="BDC539" s="268"/>
      <c r="BDD539" s="268"/>
      <c r="BDE539" s="268"/>
      <c r="BDF539" s="268"/>
      <c r="BDG539" s="268"/>
      <c r="BDH539" s="268"/>
      <c r="BDI539" s="268"/>
      <c r="BDJ539" s="268"/>
      <c r="BDK539" s="268"/>
      <c r="BDL539" s="268"/>
      <c r="BDM539" s="268"/>
      <c r="BDN539" s="268"/>
      <c r="BDO539" s="268"/>
      <c r="BDP539" s="268"/>
      <c r="BDQ539" s="268"/>
      <c r="BDR539" s="268"/>
      <c r="BDS539" s="268"/>
      <c r="BDT539" s="268"/>
      <c r="BDU539" s="268"/>
      <c r="BDV539" s="268"/>
      <c r="BDW539" s="268"/>
      <c r="BDX539" s="268"/>
      <c r="BDY539" s="268"/>
      <c r="BDZ539" s="268"/>
      <c r="BEA539" s="268"/>
      <c r="BEB539" s="268"/>
      <c r="BEC539" s="268"/>
      <c r="BED539" s="268"/>
      <c r="BEE539" s="268"/>
      <c r="BEF539" s="268"/>
      <c r="BEG539" s="268"/>
      <c r="BEH539" s="268"/>
      <c r="BEI539" s="268"/>
      <c r="BEJ539" s="268"/>
      <c r="BEK539" s="268"/>
      <c r="BEL539" s="268"/>
      <c r="BEM539" s="268"/>
      <c r="BEN539" s="268"/>
      <c r="BEO539" s="268"/>
      <c r="BEP539" s="268"/>
      <c r="BEQ539" s="268"/>
      <c r="BER539" s="268"/>
      <c r="BES539" s="268"/>
      <c r="BET539" s="268"/>
      <c r="BEU539" s="268"/>
      <c r="BEV539" s="268"/>
      <c r="BEW539" s="268"/>
      <c r="BEX539" s="268"/>
      <c r="BEY539" s="268"/>
      <c r="BEZ539" s="268"/>
      <c r="BFA539" s="268"/>
      <c r="BFB539" s="268"/>
      <c r="BFC539" s="268"/>
      <c r="BFD539" s="268"/>
      <c r="BFE539" s="268"/>
      <c r="BFF539" s="268"/>
      <c r="BFG539" s="268"/>
      <c r="BFH539" s="268"/>
      <c r="BFI539" s="268"/>
      <c r="BFJ539" s="268"/>
      <c r="BFK539" s="268"/>
      <c r="BFL539" s="268"/>
      <c r="BFM539" s="268"/>
      <c r="BFN539" s="268"/>
      <c r="BFO539" s="268"/>
      <c r="BFP539" s="268"/>
      <c r="BFQ539" s="268"/>
      <c r="BFR539" s="268"/>
      <c r="BFS539" s="268"/>
      <c r="BGG539" s="268"/>
      <c r="BGH539" s="268"/>
      <c r="BGI539" s="268"/>
      <c r="BGW539" s="268"/>
      <c r="BGY539" s="268"/>
      <c r="BGZ539" s="268"/>
      <c r="BHA539" s="268"/>
      <c r="BHB539" s="268"/>
      <c r="BHC539" s="268"/>
      <c r="BHD539" s="268"/>
      <c r="BHE539" s="268"/>
      <c r="BHF539" s="268"/>
      <c r="BHG539" s="268"/>
      <c r="BHH539" s="268"/>
      <c r="BHI539" s="268"/>
      <c r="BHJ539" s="268"/>
      <c r="BHK539" s="268"/>
      <c r="BHL539" s="268"/>
      <c r="BHM539" s="268"/>
      <c r="BHN539" s="268"/>
      <c r="BHO539" s="268"/>
      <c r="BHP539" s="268"/>
      <c r="BHQ539" s="268"/>
      <c r="BHR539" s="268"/>
      <c r="BHS539" s="268"/>
      <c r="BHT539" s="268"/>
      <c r="BHU539" s="268"/>
      <c r="BHV539" s="268"/>
      <c r="BHW539" s="268"/>
      <c r="BHX539" s="268"/>
      <c r="BHY539" s="268"/>
      <c r="BHZ539" s="268"/>
      <c r="BIA539" s="268"/>
      <c r="BIB539" s="268"/>
      <c r="BIC539" s="268"/>
      <c r="BID539" s="268"/>
      <c r="BIE539" s="268"/>
      <c r="BIF539" s="268"/>
      <c r="BIG539" s="268"/>
      <c r="BIH539" s="268"/>
      <c r="BII539" s="268"/>
      <c r="BIJ539" s="268"/>
      <c r="BIK539" s="268"/>
      <c r="BIL539" s="268"/>
      <c r="BIM539" s="268"/>
      <c r="BIN539" s="268"/>
      <c r="BIO539" s="268"/>
      <c r="BIP539" s="268"/>
      <c r="BIQ539" s="268"/>
      <c r="BIR539" s="268"/>
      <c r="BIS539" s="268"/>
      <c r="BIT539" s="268"/>
      <c r="BIU539" s="268"/>
      <c r="BIV539" s="268"/>
      <c r="BIW539" s="268"/>
      <c r="BIX539" s="268"/>
      <c r="BIY539" s="268"/>
      <c r="BIZ539" s="268"/>
      <c r="BJA539" s="268"/>
      <c r="BJB539" s="268"/>
      <c r="BJC539" s="268"/>
      <c r="BJD539" s="268"/>
      <c r="BJE539" s="268"/>
      <c r="BJF539" s="268"/>
      <c r="BJG539" s="268"/>
      <c r="BJH539" s="268"/>
      <c r="BJI539" s="268"/>
      <c r="BJJ539" s="268"/>
      <c r="BJK539" s="268"/>
      <c r="BJL539" s="268"/>
      <c r="BJM539" s="268"/>
      <c r="BJN539" s="268"/>
      <c r="BJO539" s="268"/>
      <c r="BJP539" s="268"/>
      <c r="BJQ539" s="268"/>
      <c r="BJR539" s="268"/>
      <c r="BJS539" s="268"/>
      <c r="BJT539" s="268"/>
      <c r="BJU539" s="268"/>
      <c r="BJV539" s="268"/>
      <c r="BJW539" s="268"/>
      <c r="BJX539" s="268"/>
      <c r="BJY539" s="268"/>
      <c r="BJZ539" s="268"/>
      <c r="BKA539" s="268"/>
      <c r="BKB539" s="268"/>
      <c r="BKC539" s="268"/>
      <c r="BKD539" s="268"/>
      <c r="BKE539" s="268"/>
      <c r="BKF539" s="268"/>
      <c r="BKG539" s="268"/>
      <c r="BKH539" s="268"/>
      <c r="BKI539" s="268"/>
      <c r="BKJ539" s="268"/>
      <c r="BKK539" s="268"/>
      <c r="BKL539" s="268"/>
      <c r="BKM539" s="268"/>
      <c r="BKN539" s="268"/>
      <c r="BKO539" s="268"/>
      <c r="BKP539" s="268"/>
      <c r="BKQ539" s="268"/>
      <c r="BKR539" s="268"/>
      <c r="BKS539" s="268"/>
      <c r="BKT539" s="268"/>
      <c r="BKU539" s="268"/>
      <c r="BKV539" s="268"/>
      <c r="BKW539" s="268"/>
      <c r="BKX539" s="268"/>
      <c r="BKY539" s="268"/>
      <c r="BKZ539" s="268"/>
      <c r="BLA539" s="268"/>
      <c r="BLB539" s="268"/>
      <c r="BLC539" s="268"/>
      <c r="BLD539" s="268"/>
      <c r="BLE539" s="268"/>
      <c r="BLF539" s="268"/>
      <c r="BLG539" s="268"/>
      <c r="BLH539" s="268"/>
      <c r="BLI539" s="268"/>
      <c r="BLJ539" s="268"/>
      <c r="BLK539" s="268"/>
      <c r="BLL539" s="268"/>
      <c r="BLM539" s="268"/>
      <c r="BLN539" s="268"/>
      <c r="BLO539" s="268"/>
      <c r="BLP539" s="268"/>
      <c r="BLQ539" s="268"/>
      <c r="BLR539" s="268"/>
      <c r="BLS539" s="268"/>
      <c r="BLT539" s="268"/>
      <c r="BLU539" s="268"/>
      <c r="BLV539" s="268"/>
      <c r="BLW539" s="268"/>
      <c r="BLX539" s="268"/>
      <c r="BLY539" s="268"/>
      <c r="BLZ539" s="268"/>
      <c r="BMA539" s="268"/>
      <c r="BMB539" s="268"/>
      <c r="BMC539" s="268"/>
      <c r="BMD539" s="268"/>
      <c r="BME539" s="268"/>
      <c r="BMF539" s="268"/>
      <c r="BMG539" s="268"/>
      <c r="BMH539" s="268"/>
      <c r="BMI539" s="268"/>
      <c r="BMJ539" s="268"/>
      <c r="BMK539" s="268"/>
      <c r="BML539" s="268"/>
      <c r="BMM539" s="268"/>
      <c r="BMN539" s="268"/>
      <c r="BMO539" s="268"/>
      <c r="BMP539" s="268"/>
      <c r="BMQ539" s="268"/>
      <c r="BMR539" s="268"/>
      <c r="BMS539" s="268"/>
      <c r="BMT539" s="268"/>
      <c r="BMU539" s="268"/>
      <c r="BMV539" s="268"/>
      <c r="BMW539" s="268"/>
      <c r="BMX539" s="268"/>
      <c r="BMY539" s="268"/>
      <c r="BMZ539" s="268"/>
      <c r="BNA539" s="268"/>
      <c r="BNB539" s="268"/>
      <c r="BNC539" s="268"/>
      <c r="BND539" s="268"/>
      <c r="BNE539" s="268"/>
      <c r="BNF539" s="268"/>
      <c r="BNG539" s="268"/>
      <c r="BNH539" s="268"/>
      <c r="BNI539" s="268"/>
      <c r="BNJ539" s="268"/>
      <c r="BNK539" s="268"/>
      <c r="BNL539" s="268"/>
      <c r="BNM539" s="268"/>
      <c r="BNN539" s="268"/>
      <c r="BNO539" s="268"/>
      <c r="BNP539" s="268"/>
      <c r="BNQ539" s="268"/>
      <c r="BNR539" s="268"/>
      <c r="BNS539" s="268"/>
      <c r="BNT539" s="268"/>
      <c r="BNU539" s="268"/>
      <c r="BNV539" s="268"/>
      <c r="BNW539" s="268"/>
      <c r="BNX539" s="268"/>
      <c r="BNY539" s="268"/>
      <c r="BNZ539" s="268"/>
      <c r="BOA539" s="268"/>
      <c r="BOB539" s="268"/>
      <c r="BOC539" s="268"/>
      <c r="BOD539" s="268"/>
      <c r="BOE539" s="268"/>
      <c r="BOF539" s="268"/>
      <c r="BOG539" s="268"/>
      <c r="BOH539" s="268"/>
      <c r="BOI539" s="268"/>
      <c r="BOJ539" s="268"/>
      <c r="BOK539" s="268"/>
      <c r="BOL539" s="268"/>
      <c r="BOM539" s="268"/>
      <c r="BON539" s="268"/>
      <c r="BOO539" s="268"/>
      <c r="BOP539" s="268"/>
      <c r="BOQ539" s="268"/>
      <c r="BOR539" s="268"/>
      <c r="BOS539" s="268"/>
      <c r="BOT539" s="268"/>
      <c r="BOU539" s="268"/>
      <c r="BOV539" s="268"/>
      <c r="BOW539" s="268"/>
      <c r="BOX539" s="268"/>
      <c r="BOY539" s="268"/>
      <c r="BOZ539" s="268"/>
      <c r="BPA539" s="268"/>
      <c r="BPB539" s="268"/>
      <c r="BPC539" s="268"/>
      <c r="BPD539" s="268"/>
      <c r="BPE539" s="268"/>
      <c r="BPF539" s="268"/>
      <c r="BPG539" s="268"/>
      <c r="BPH539" s="268"/>
      <c r="BPI539" s="268"/>
      <c r="BPJ539" s="268"/>
      <c r="BPK539" s="268"/>
      <c r="BPL539" s="268"/>
      <c r="BPM539" s="268"/>
      <c r="BPN539" s="268"/>
      <c r="BPO539" s="268"/>
      <c r="BQC539" s="268"/>
      <c r="BQD539" s="268"/>
      <c r="BQE539" s="268"/>
      <c r="BQS539" s="268"/>
      <c r="BQU539" s="268"/>
      <c r="BQV539" s="268"/>
      <c r="BQW539" s="268"/>
      <c r="BQX539" s="268"/>
      <c r="BQY539" s="268"/>
      <c r="BQZ539" s="268"/>
      <c r="BRA539" s="268"/>
      <c r="BRB539" s="268"/>
      <c r="BRC539" s="268"/>
      <c r="BRD539" s="268"/>
      <c r="BRE539" s="268"/>
      <c r="BRF539" s="268"/>
      <c r="BRG539" s="268"/>
      <c r="BRH539" s="268"/>
      <c r="BRI539" s="268"/>
      <c r="BRJ539" s="268"/>
      <c r="BRK539" s="268"/>
      <c r="BRL539" s="268"/>
      <c r="BRM539" s="268"/>
      <c r="BRN539" s="268"/>
      <c r="BRO539" s="268"/>
      <c r="BRP539" s="268"/>
      <c r="BRQ539" s="268"/>
      <c r="BRR539" s="268"/>
      <c r="BRS539" s="268"/>
      <c r="BRT539" s="268"/>
      <c r="BRU539" s="268"/>
      <c r="BRV539" s="268"/>
      <c r="BRW539" s="268"/>
      <c r="BRX539" s="268"/>
      <c r="BRY539" s="268"/>
      <c r="BRZ539" s="268"/>
      <c r="BSA539" s="268"/>
      <c r="BSB539" s="268"/>
      <c r="BSC539" s="268"/>
      <c r="BSD539" s="268"/>
      <c r="BSE539" s="268"/>
      <c r="BSF539" s="268"/>
      <c r="BSG539" s="268"/>
      <c r="BSH539" s="268"/>
      <c r="BSI539" s="268"/>
      <c r="BSJ539" s="268"/>
      <c r="BSK539" s="268"/>
      <c r="BSL539" s="268"/>
      <c r="BSM539" s="268"/>
      <c r="BSN539" s="268"/>
      <c r="BSO539" s="268"/>
      <c r="BSP539" s="268"/>
      <c r="BSQ539" s="268"/>
      <c r="BSR539" s="268"/>
      <c r="BSS539" s="268"/>
      <c r="BST539" s="268"/>
      <c r="BSU539" s="268"/>
      <c r="BSV539" s="268"/>
      <c r="BSW539" s="268"/>
      <c r="BSX539" s="268"/>
      <c r="BSY539" s="268"/>
      <c r="BSZ539" s="268"/>
      <c r="BTA539" s="268"/>
      <c r="BTB539" s="268"/>
      <c r="BTC539" s="268"/>
      <c r="BTD539" s="268"/>
      <c r="BTE539" s="268"/>
      <c r="BTF539" s="268"/>
      <c r="BTG539" s="268"/>
      <c r="BTH539" s="268"/>
      <c r="BTI539" s="268"/>
      <c r="BTJ539" s="268"/>
      <c r="BTK539" s="268"/>
      <c r="BTL539" s="268"/>
      <c r="BTM539" s="268"/>
      <c r="BTN539" s="268"/>
      <c r="BTO539" s="268"/>
      <c r="BTP539" s="268"/>
      <c r="BTQ539" s="268"/>
      <c r="BTR539" s="268"/>
      <c r="BTS539" s="268"/>
      <c r="BTT539" s="268"/>
      <c r="BTU539" s="268"/>
      <c r="BTV539" s="268"/>
      <c r="BTW539" s="268"/>
      <c r="BTX539" s="268"/>
      <c r="BTY539" s="268"/>
      <c r="BTZ539" s="268"/>
      <c r="BUA539" s="268"/>
      <c r="BUB539" s="268"/>
      <c r="BUC539" s="268"/>
      <c r="BUD539" s="268"/>
      <c r="BUE539" s="268"/>
      <c r="BUF539" s="268"/>
      <c r="BUG539" s="268"/>
      <c r="BUH539" s="268"/>
      <c r="BUI539" s="268"/>
      <c r="BUJ539" s="268"/>
      <c r="BUK539" s="268"/>
      <c r="BUL539" s="268"/>
      <c r="BUM539" s="268"/>
      <c r="BUN539" s="268"/>
      <c r="BUO539" s="268"/>
      <c r="BUP539" s="268"/>
      <c r="BUQ539" s="268"/>
      <c r="BUR539" s="268"/>
      <c r="BUS539" s="268"/>
      <c r="BUT539" s="268"/>
      <c r="BUU539" s="268"/>
      <c r="BUV539" s="268"/>
      <c r="BUW539" s="268"/>
      <c r="BUX539" s="268"/>
      <c r="BUY539" s="268"/>
      <c r="BUZ539" s="268"/>
      <c r="BVA539" s="268"/>
      <c r="BVB539" s="268"/>
      <c r="BVC539" s="268"/>
      <c r="BVD539" s="268"/>
      <c r="BVE539" s="268"/>
      <c r="BVF539" s="268"/>
      <c r="BVG539" s="268"/>
      <c r="BVH539" s="268"/>
      <c r="BVI539" s="268"/>
      <c r="BVJ539" s="268"/>
      <c r="BVK539" s="268"/>
      <c r="BVL539" s="268"/>
      <c r="BVM539" s="268"/>
      <c r="BVN539" s="268"/>
      <c r="BVO539" s="268"/>
      <c r="BVP539" s="268"/>
      <c r="BVQ539" s="268"/>
      <c r="BVR539" s="268"/>
      <c r="BVS539" s="268"/>
      <c r="BVT539" s="268"/>
      <c r="BVU539" s="268"/>
      <c r="BVV539" s="268"/>
      <c r="BVW539" s="268"/>
      <c r="BVX539" s="268"/>
      <c r="BVY539" s="268"/>
      <c r="BVZ539" s="268"/>
      <c r="BWA539" s="268"/>
      <c r="BWB539" s="268"/>
      <c r="BWC539" s="268"/>
      <c r="BWD539" s="268"/>
      <c r="BWE539" s="268"/>
      <c r="BWF539" s="268"/>
      <c r="BWG539" s="268"/>
      <c r="BWH539" s="268"/>
      <c r="BWI539" s="268"/>
      <c r="BWJ539" s="268"/>
      <c r="BWK539" s="268"/>
      <c r="BWL539" s="268"/>
      <c r="BWM539" s="268"/>
      <c r="BWN539" s="268"/>
      <c r="BWO539" s="268"/>
      <c r="BWP539" s="268"/>
      <c r="BWQ539" s="268"/>
      <c r="BWR539" s="268"/>
      <c r="BWS539" s="268"/>
      <c r="BWT539" s="268"/>
      <c r="BWU539" s="268"/>
      <c r="BWV539" s="268"/>
      <c r="BWW539" s="268"/>
      <c r="BWX539" s="268"/>
      <c r="BWY539" s="268"/>
      <c r="BWZ539" s="268"/>
      <c r="BXA539" s="268"/>
      <c r="BXB539" s="268"/>
      <c r="BXC539" s="268"/>
      <c r="BXD539" s="268"/>
      <c r="BXE539" s="268"/>
      <c r="BXF539" s="268"/>
      <c r="BXG539" s="268"/>
      <c r="BXH539" s="268"/>
      <c r="BXI539" s="268"/>
      <c r="BXJ539" s="268"/>
      <c r="BXK539" s="268"/>
      <c r="BXL539" s="268"/>
      <c r="BXM539" s="268"/>
      <c r="BXN539" s="268"/>
      <c r="BXO539" s="268"/>
      <c r="BXP539" s="268"/>
      <c r="BXQ539" s="268"/>
      <c r="BXR539" s="268"/>
      <c r="BXS539" s="268"/>
      <c r="BXT539" s="268"/>
      <c r="BXU539" s="268"/>
      <c r="BXV539" s="268"/>
      <c r="BXW539" s="268"/>
      <c r="BXX539" s="268"/>
      <c r="BXY539" s="268"/>
      <c r="BXZ539" s="268"/>
      <c r="BYA539" s="268"/>
      <c r="BYB539" s="268"/>
      <c r="BYC539" s="268"/>
      <c r="BYD539" s="268"/>
      <c r="BYE539" s="268"/>
      <c r="BYF539" s="268"/>
      <c r="BYG539" s="268"/>
      <c r="BYH539" s="268"/>
      <c r="BYI539" s="268"/>
      <c r="BYJ539" s="268"/>
      <c r="BYK539" s="268"/>
      <c r="BYL539" s="268"/>
      <c r="BYM539" s="268"/>
      <c r="BYN539" s="268"/>
      <c r="BYO539" s="268"/>
      <c r="BYP539" s="268"/>
      <c r="BYQ539" s="268"/>
      <c r="BYR539" s="268"/>
      <c r="BYS539" s="268"/>
      <c r="BYT539" s="268"/>
      <c r="BYU539" s="268"/>
      <c r="BYV539" s="268"/>
      <c r="BYW539" s="268"/>
      <c r="BYX539" s="268"/>
      <c r="BYY539" s="268"/>
      <c r="BYZ539" s="268"/>
      <c r="BZA539" s="268"/>
      <c r="BZB539" s="268"/>
      <c r="BZC539" s="268"/>
      <c r="BZD539" s="268"/>
      <c r="BZE539" s="268"/>
      <c r="BZF539" s="268"/>
      <c r="BZG539" s="268"/>
      <c r="BZH539" s="268"/>
      <c r="BZI539" s="268"/>
      <c r="BZJ539" s="268"/>
      <c r="BZK539" s="268"/>
      <c r="BZY539" s="268"/>
      <c r="BZZ539" s="268"/>
      <c r="CAA539" s="268"/>
      <c r="CAO539" s="268"/>
      <c r="CAQ539" s="268"/>
      <c r="CAR539" s="268"/>
      <c r="CAS539" s="268"/>
      <c r="CAT539" s="268"/>
      <c r="CAU539" s="268"/>
      <c r="CAV539" s="268"/>
      <c r="CAW539" s="268"/>
      <c r="CAX539" s="268"/>
      <c r="CAY539" s="268"/>
      <c r="CAZ539" s="268"/>
      <c r="CBA539" s="268"/>
      <c r="CBB539" s="268"/>
      <c r="CBC539" s="268"/>
      <c r="CBD539" s="268"/>
      <c r="CBE539" s="268"/>
      <c r="CBF539" s="268"/>
      <c r="CBG539" s="268"/>
      <c r="CBH539" s="268"/>
      <c r="CBI539" s="268"/>
      <c r="CBJ539" s="268"/>
      <c r="CBK539" s="268"/>
      <c r="CBL539" s="268"/>
      <c r="CBM539" s="268"/>
      <c r="CBN539" s="268"/>
      <c r="CBO539" s="268"/>
      <c r="CBP539" s="268"/>
      <c r="CBQ539" s="268"/>
      <c r="CBR539" s="268"/>
      <c r="CBS539" s="268"/>
      <c r="CBT539" s="268"/>
      <c r="CBU539" s="268"/>
      <c r="CBV539" s="268"/>
      <c r="CBW539" s="268"/>
      <c r="CBX539" s="268"/>
      <c r="CBY539" s="268"/>
      <c r="CBZ539" s="268"/>
      <c r="CCA539" s="268"/>
      <c r="CCB539" s="268"/>
      <c r="CCC539" s="268"/>
      <c r="CCD539" s="268"/>
      <c r="CCE539" s="268"/>
      <c r="CCF539" s="268"/>
      <c r="CCG539" s="268"/>
      <c r="CCH539" s="268"/>
      <c r="CCI539" s="268"/>
      <c r="CCJ539" s="268"/>
      <c r="CCK539" s="268"/>
      <c r="CCL539" s="268"/>
      <c r="CCM539" s="268"/>
      <c r="CCN539" s="268"/>
      <c r="CCO539" s="268"/>
      <c r="CCP539" s="268"/>
      <c r="CCQ539" s="268"/>
      <c r="CCR539" s="268"/>
      <c r="CCS539" s="268"/>
      <c r="CCT539" s="268"/>
      <c r="CCU539" s="268"/>
      <c r="CCV539" s="268"/>
      <c r="CCW539" s="268"/>
      <c r="CCX539" s="268"/>
      <c r="CCY539" s="268"/>
      <c r="CCZ539" s="268"/>
      <c r="CDA539" s="268"/>
      <c r="CDB539" s="268"/>
      <c r="CDC539" s="268"/>
      <c r="CDD539" s="268"/>
      <c r="CDE539" s="268"/>
      <c r="CDF539" s="268"/>
      <c r="CDG539" s="268"/>
      <c r="CDH539" s="268"/>
      <c r="CDI539" s="268"/>
      <c r="CDJ539" s="268"/>
      <c r="CDK539" s="268"/>
      <c r="CDL539" s="268"/>
      <c r="CDM539" s="268"/>
      <c r="CDN539" s="268"/>
      <c r="CDO539" s="268"/>
      <c r="CDP539" s="268"/>
      <c r="CDQ539" s="268"/>
      <c r="CDR539" s="268"/>
      <c r="CDS539" s="268"/>
      <c r="CDT539" s="268"/>
      <c r="CDU539" s="268"/>
      <c r="CDV539" s="268"/>
      <c r="CDW539" s="268"/>
      <c r="CDX539" s="268"/>
      <c r="CDY539" s="268"/>
      <c r="CDZ539" s="268"/>
      <c r="CEA539" s="268"/>
      <c r="CEB539" s="268"/>
      <c r="CEC539" s="268"/>
      <c r="CED539" s="268"/>
      <c r="CEE539" s="268"/>
      <c r="CEF539" s="268"/>
      <c r="CEG539" s="268"/>
      <c r="CEH539" s="268"/>
      <c r="CEI539" s="268"/>
      <c r="CEJ539" s="268"/>
      <c r="CEK539" s="268"/>
      <c r="CEL539" s="268"/>
      <c r="CEM539" s="268"/>
      <c r="CEN539" s="268"/>
      <c r="CEO539" s="268"/>
      <c r="CEP539" s="268"/>
      <c r="CEQ539" s="268"/>
      <c r="CER539" s="268"/>
      <c r="CES539" s="268"/>
      <c r="CET539" s="268"/>
      <c r="CEU539" s="268"/>
      <c r="CEV539" s="268"/>
      <c r="CEW539" s="268"/>
      <c r="CEX539" s="268"/>
      <c r="CEY539" s="268"/>
      <c r="CEZ539" s="268"/>
      <c r="CFA539" s="268"/>
      <c r="CFB539" s="268"/>
      <c r="CFC539" s="268"/>
      <c r="CFD539" s="268"/>
      <c r="CFE539" s="268"/>
      <c r="CFF539" s="268"/>
      <c r="CFG539" s="268"/>
      <c r="CFH539" s="268"/>
      <c r="CFI539" s="268"/>
      <c r="CFJ539" s="268"/>
      <c r="CFK539" s="268"/>
      <c r="CFL539" s="268"/>
      <c r="CFM539" s="268"/>
      <c r="CFN539" s="268"/>
      <c r="CFO539" s="268"/>
      <c r="CFP539" s="268"/>
      <c r="CFQ539" s="268"/>
      <c r="CFR539" s="268"/>
      <c r="CFS539" s="268"/>
      <c r="CFT539" s="268"/>
      <c r="CFU539" s="268"/>
      <c r="CFV539" s="268"/>
      <c r="CFW539" s="268"/>
      <c r="CFX539" s="268"/>
      <c r="CFY539" s="268"/>
      <c r="CFZ539" s="268"/>
      <c r="CGA539" s="268"/>
      <c r="CGB539" s="268"/>
      <c r="CGC539" s="268"/>
      <c r="CGD539" s="268"/>
      <c r="CGE539" s="268"/>
      <c r="CGF539" s="268"/>
      <c r="CGG539" s="268"/>
      <c r="CGH539" s="268"/>
      <c r="CGI539" s="268"/>
      <c r="CGJ539" s="268"/>
      <c r="CGK539" s="268"/>
      <c r="CGL539" s="268"/>
      <c r="CGM539" s="268"/>
      <c r="CGN539" s="268"/>
      <c r="CGO539" s="268"/>
      <c r="CGP539" s="268"/>
      <c r="CGQ539" s="268"/>
      <c r="CGR539" s="268"/>
      <c r="CGS539" s="268"/>
      <c r="CGT539" s="268"/>
      <c r="CGU539" s="268"/>
      <c r="CGV539" s="268"/>
      <c r="CGW539" s="268"/>
      <c r="CGX539" s="268"/>
      <c r="CGY539" s="268"/>
      <c r="CGZ539" s="268"/>
      <c r="CHA539" s="268"/>
      <c r="CHB539" s="268"/>
      <c r="CHC539" s="268"/>
      <c r="CHD539" s="268"/>
      <c r="CHE539" s="268"/>
      <c r="CHF539" s="268"/>
      <c r="CHG539" s="268"/>
      <c r="CHH539" s="268"/>
      <c r="CHI539" s="268"/>
      <c r="CHJ539" s="268"/>
      <c r="CHK539" s="268"/>
      <c r="CHL539" s="268"/>
      <c r="CHM539" s="268"/>
      <c r="CHN539" s="268"/>
      <c r="CHO539" s="268"/>
      <c r="CHP539" s="268"/>
      <c r="CHQ539" s="268"/>
      <c r="CHR539" s="268"/>
      <c r="CHS539" s="268"/>
      <c r="CHT539" s="268"/>
      <c r="CHU539" s="268"/>
      <c r="CHV539" s="268"/>
      <c r="CHW539" s="268"/>
      <c r="CHX539" s="268"/>
      <c r="CHY539" s="268"/>
      <c r="CHZ539" s="268"/>
      <c r="CIA539" s="268"/>
      <c r="CIB539" s="268"/>
      <c r="CIC539" s="268"/>
      <c r="CID539" s="268"/>
      <c r="CIE539" s="268"/>
      <c r="CIF539" s="268"/>
      <c r="CIG539" s="268"/>
      <c r="CIH539" s="268"/>
      <c r="CII539" s="268"/>
      <c r="CIJ539" s="268"/>
      <c r="CIK539" s="268"/>
      <c r="CIL539" s="268"/>
      <c r="CIM539" s="268"/>
      <c r="CIN539" s="268"/>
      <c r="CIO539" s="268"/>
      <c r="CIP539" s="268"/>
      <c r="CIQ539" s="268"/>
      <c r="CIR539" s="268"/>
      <c r="CIS539" s="268"/>
      <c r="CIT539" s="268"/>
      <c r="CIU539" s="268"/>
      <c r="CIV539" s="268"/>
      <c r="CIW539" s="268"/>
      <c r="CIX539" s="268"/>
      <c r="CIY539" s="268"/>
      <c r="CIZ539" s="268"/>
      <c r="CJA539" s="268"/>
      <c r="CJB539" s="268"/>
      <c r="CJC539" s="268"/>
      <c r="CJD539" s="268"/>
      <c r="CJE539" s="268"/>
      <c r="CJF539" s="268"/>
      <c r="CJG539" s="268"/>
      <c r="CJU539" s="268"/>
      <c r="CJV539" s="268"/>
      <c r="CJW539" s="268"/>
      <c r="CKK539" s="268"/>
      <c r="CKM539" s="268"/>
      <c r="CKN539" s="268"/>
      <c r="CKO539" s="268"/>
      <c r="CKP539" s="268"/>
      <c r="CKQ539" s="268"/>
      <c r="CKR539" s="268"/>
      <c r="CKS539" s="268"/>
      <c r="CKT539" s="268"/>
      <c r="CKU539" s="268"/>
      <c r="CKV539" s="268"/>
      <c r="CKW539" s="268"/>
      <c r="CKX539" s="268"/>
      <c r="CKY539" s="268"/>
      <c r="CKZ539" s="268"/>
      <c r="CLA539" s="268"/>
      <c r="CLB539" s="268"/>
      <c r="CLC539" s="268"/>
      <c r="CLD539" s="268"/>
      <c r="CLE539" s="268"/>
      <c r="CLF539" s="268"/>
      <c r="CLG539" s="268"/>
      <c r="CLH539" s="268"/>
      <c r="CLI539" s="268"/>
      <c r="CLJ539" s="268"/>
      <c r="CLK539" s="268"/>
      <c r="CLL539" s="268"/>
      <c r="CLM539" s="268"/>
      <c r="CLN539" s="268"/>
      <c r="CLO539" s="268"/>
      <c r="CLP539" s="268"/>
      <c r="CLQ539" s="268"/>
      <c r="CLR539" s="268"/>
      <c r="CLS539" s="268"/>
      <c r="CLT539" s="268"/>
      <c r="CLU539" s="268"/>
      <c r="CLV539" s="268"/>
      <c r="CLW539" s="268"/>
      <c r="CLX539" s="268"/>
      <c r="CLY539" s="268"/>
      <c r="CLZ539" s="268"/>
      <c r="CMA539" s="268"/>
      <c r="CMB539" s="268"/>
      <c r="CMC539" s="268"/>
      <c r="CMD539" s="268"/>
      <c r="CME539" s="268"/>
      <c r="CMF539" s="268"/>
      <c r="CMG539" s="268"/>
      <c r="CMH539" s="268"/>
      <c r="CMI539" s="268"/>
      <c r="CMJ539" s="268"/>
      <c r="CMK539" s="268"/>
      <c r="CML539" s="268"/>
      <c r="CMM539" s="268"/>
      <c r="CMN539" s="268"/>
      <c r="CMO539" s="268"/>
      <c r="CMP539" s="268"/>
      <c r="CMQ539" s="268"/>
      <c r="CMR539" s="268"/>
      <c r="CMS539" s="268"/>
      <c r="CMT539" s="268"/>
      <c r="CMU539" s="268"/>
      <c r="CMV539" s="268"/>
      <c r="CMW539" s="268"/>
      <c r="CMX539" s="268"/>
      <c r="CMY539" s="268"/>
      <c r="CMZ539" s="268"/>
      <c r="CNA539" s="268"/>
      <c r="CNB539" s="268"/>
      <c r="CNC539" s="268"/>
      <c r="CND539" s="268"/>
      <c r="CNE539" s="268"/>
      <c r="CNF539" s="268"/>
      <c r="CNG539" s="268"/>
      <c r="CNH539" s="268"/>
      <c r="CNI539" s="268"/>
      <c r="CNJ539" s="268"/>
      <c r="CNK539" s="268"/>
      <c r="CNL539" s="268"/>
      <c r="CNM539" s="268"/>
      <c r="CNN539" s="268"/>
      <c r="CNO539" s="268"/>
      <c r="CNP539" s="268"/>
      <c r="CNQ539" s="268"/>
      <c r="CNR539" s="268"/>
      <c r="CNS539" s="268"/>
      <c r="CNT539" s="268"/>
      <c r="CNU539" s="268"/>
      <c r="CNV539" s="268"/>
      <c r="CNW539" s="268"/>
      <c r="CNX539" s="268"/>
      <c r="CNY539" s="268"/>
      <c r="CNZ539" s="268"/>
      <c r="COA539" s="268"/>
      <c r="COB539" s="268"/>
      <c r="COC539" s="268"/>
      <c r="COD539" s="268"/>
      <c r="COE539" s="268"/>
      <c r="COF539" s="268"/>
      <c r="COG539" s="268"/>
      <c r="COH539" s="268"/>
      <c r="COI539" s="268"/>
      <c r="COJ539" s="268"/>
      <c r="COK539" s="268"/>
      <c r="COL539" s="268"/>
      <c r="COM539" s="268"/>
      <c r="CON539" s="268"/>
      <c r="COO539" s="268"/>
      <c r="COP539" s="268"/>
      <c r="COQ539" s="268"/>
      <c r="COR539" s="268"/>
      <c r="COS539" s="268"/>
      <c r="COT539" s="268"/>
      <c r="COU539" s="268"/>
      <c r="COV539" s="268"/>
      <c r="COW539" s="268"/>
      <c r="COX539" s="268"/>
      <c r="COY539" s="268"/>
      <c r="COZ539" s="268"/>
      <c r="CPA539" s="268"/>
      <c r="CPB539" s="268"/>
      <c r="CPC539" s="268"/>
      <c r="CPD539" s="268"/>
      <c r="CPE539" s="268"/>
      <c r="CPF539" s="268"/>
      <c r="CPG539" s="268"/>
      <c r="CPH539" s="268"/>
      <c r="CPI539" s="268"/>
      <c r="CPJ539" s="268"/>
      <c r="CPK539" s="268"/>
      <c r="CPL539" s="268"/>
      <c r="CPM539" s="268"/>
      <c r="CPN539" s="268"/>
      <c r="CPO539" s="268"/>
      <c r="CPP539" s="268"/>
      <c r="CPQ539" s="268"/>
      <c r="CPR539" s="268"/>
      <c r="CPS539" s="268"/>
      <c r="CPT539" s="268"/>
      <c r="CPU539" s="268"/>
      <c r="CPV539" s="268"/>
      <c r="CPW539" s="268"/>
      <c r="CPX539" s="268"/>
      <c r="CPY539" s="268"/>
      <c r="CPZ539" s="268"/>
      <c r="CQA539" s="268"/>
      <c r="CQB539" s="268"/>
      <c r="CQC539" s="268"/>
      <c r="CQD539" s="268"/>
      <c r="CQE539" s="268"/>
      <c r="CQF539" s="268"/>
      <c r="CQG539" s="268"/>
      <c r="CQH539" s="268"/>
      <c r="CQI539" s="268"/>
      <c r="CQJ539" s="268"/>
      <c r="CQK539" s="268"/>
      <c r="CQL539" s="268"/>
      <c r="CQM539" s="268"/>
      <c r="CQN539" s="268"/>
      <c r="CQO539" s="268"/>
      <c r="CQP539" s="268"/>
      <c r="CQQ539" s="268"/>
      <c r="CQR539" s="268"/>
      <c r="CQS539" s="268"/>
      <c r="CQT539" s="268"/>
      <c r="CQU539" s="268"/>
      <c r="CQV539" s="268"/>
      <c r="CQW539" s="268"/>
      <c r="CQX539" s="268"/>
      <c r="CQY539" s="268"/>
      <c r="CQZ539" s="268"/>
      <c r="CRA539" s="268"/>
      <c r="CRB539" s="268"/>
      <c r="CRC539" s="268"/>
      <c r="CRD539" s="268"/>
      <c r="CRE539" s="268"/>
      <c r="CRF539" s="268"/>
      <c r="CRG539" s="268"/>
      <c r="CRH539" s="268"/>
      <c r="CRI539" s="268"/>
      <c r="CRJ539" s="268"/>
      <c r="CRK539" s="268"/>
      <c r="CRL539" s="268"/>
      <c r="CRM539" s="268"/>
      <c r="CRN539" s="268"/>
      <c r="CRO539" s="268"/>
      <c r="CRP539" s="268"/>
      <c r="CRQ539" s="268"/>
      <c r="CRR539" s="268"/>
      <c r="CRS539" s="268"/>
      <c r="CRT539" s="268"/>
      <c r="CRU539" s="268"/>
      <c r="CRV539" s="268"/>
      <c r="CRW539" s="268"/>
      <c r="CRX539" s="268"/>
      <c r="CRY539" s="268"/>
      <c r="CRZ539" s="268"/>
      <c r="CSA539" s="268"/>
      <c r="CSB539" s="268"/>
      <c r="CSC539" s="268"/>
      <c r="CSD539" s="268"/>
      <c r="CSE539" s="268"/>
      <c r="CSF539" s="268"/>
      <c r="CSG539" s="268"/>
      <c r="CSH539" s="268"/>
      <c r="CSI539" s="268"/>
      <c r="CSJ539" s="268"/>
      <c r="CSK539" s="268"/>
      <c r="CSL539" s="268"/>
      <c r="CSM539" s="268"/>
      <c r="CSN539" s="268"/>
      <c r="CSO539" s="268"/>
      <c r="CSP539" s="268"/>
      <c r="CSQ539" s="268"/>
      <c r="CSR539" s="268"/>
      <c r="CSS539" s="268"/>
      <c r="CST539" s="268"/>
      <c r="CSU539" s="268"/>
      <c r="CSV539" s="268"/>
      <c r="CSW539" s="268"/>
      <c r="CSX539" s="268"/>
      <c r="CSY539" s="268"/>
      <c r="CSZ539" s="268"/>
      <c r="CTA539" s="268"/>
      <c r="CTB539" s="268"/>
      <c r="CTC539" s="268"/>
      <c r="CTQ539" s="268"/>
      <c r="CTR539" s="268"/>
      <c r="CTS539" s="268"/>
      <c r="CUG539" s="268"/>
      <c r="CUI539" s="268"/>
      <c r="CUJ539" s="268"/>
      <c r="CUK539" s="268"/>
      <c r="CUL539" s="268"/>
      <c r="CUM539" s="268"/>
      <c r="CUN539" s="268"/>
      <c r="CUO539" s="268"/>
      <c r="CUP539" s="268"/>
      <c r="CUQ539" s="268"/>
      <c r="CUR539" s="268"/>
      <c r="CUS539" s="268"/>
      <c r="CUT539" s="268"/>
      <c r="CUU539" s="268"/>
      <c r="CUV539" s="268"/>
      <c r="CUW539" s="268"/>
      <c r="CUX539" s="268"/>
      <c r="CUY539" s="268"/>
      <c r="CUZ539" s="268"/>
      <c r="CVA539" s="268"/>
      <c r="CVB539" s="268"/>
      <c r="CVC539" s="268"/>
      <c r="CVD539" s="268"/>
      <c r="CVE539" s="268"/>
      <c r="CVF539" s="268"/>
      <c r="CVG539" s="268"/>
      <c r="CVH539" s="268"/>
      <c r="CVI539" s="268"/>
      <c r="CVJ539" s="268"/>
      <c r="CVK539" s="268"/>
      <c r="CVL539" s="268"/>
      <c r="CVM539" s="268"/>
      <c r="CVN539" s="268"/>
      <c r="CVO539" s="268"/>
      <c r="CVP539" s="268"/>
      <c r="CVQ539" s="268"/>
      <c r="CVR539" s="268"/>
      <c r="CVS539" s="268"/>
      <c r="CVT539" s="268"/>
      <c r="CVU539" s="268"/>
      <c r="CVV539" s="268"/>
      <c r="CVW539" s="268"/>
      <c r="CVX539" s="268"/>
      <c r="CVY539" s="268"/>
      <c r="CVZ539" s="268"/>
      <c r="CWA539" s="268"/>
      <c r="CWB539" s="268"/>
      <c r="CWC539" s="268"/>
      <c r="CWD539" s="268"/>
      <c r="CWE539" s="268"/>
      <c r="CWF539" s="268"/>
      <c r="CWG539" s="268"/>
      <c r="CWH539" s="268"/>
      <c r="CWI539" s="268"/>
      <c r="CWJ539" s="268"/>
      <c r="CWK539" s="268"/>
      <c r="CWL539" s="268"/>
      <c r="CWM539" s="268"/>
      <c r="CWN539" s="268"/>
      <c r="CWO539" s="268"/>
      <c r="CWP539" s="268"/>
      <c r="CWQ539" s="268"/>
      <c r="CWR539" s="268"/>
      <c r="CWS539" s="268"/>
      <c r="CWT539" s="268"/>
      <c r="CWU539" s="268"/>
      <c r="CWV539" s="268"/>
      <c r="CWW539" s="268"/>
      <c r="CWX539" s="268"/>
      <c r="CWY539" s="268"/>
      <c r="CWZ539" s="268"/>
      <c r="CXA539" s="268"/>
      <c r="CXB539" s="268"/>
      <c r="CXC539" s="268"/>
      <c r="CXD539" s="268"/>
      <c r="CXE539" s="268"/>
      <c r="CXF539" s="268"/>
      <c r="CXG539" s="268"/>
      <c r="CXH539" s="268"/>
      <c r="CXI539" s="268"/>
      <c r="CXJ539" s="268"/>
      <c r="CXK539" s="268"/>
      <c r="CXL539" s="268"/>
      <c r="CXM539" s="268"/>
      <c r="CXN539" s="268"/>
      <c r="CXO539" s="268"/>
      <c r="CXP539" s="268"/>
      <c r="CXQ539" s="268"/>
      <c r="CXR539" s="268"/>
      <c r="CXS539" s="268"/>
      <c r="CXT539" s="268"/>
      <c r="CXU539" s="268"/>
      <c r="CXV539" s="268"/>
      <c r="CXW539" s="268"/>
      <c r="CXX539" s="268"/>
      <c r="CXY539" s="268"/>
      <c r="CXZ539" s="268"/>
      <c r="CYA539" s="268"/>
      <c r="CYB539" s="268"/>
      <c r="CYC539" s="268"/>
      <c r="CYD539" s="268"/>
      <c r="CYE539" s="268"/>
      <c r="CYF539" s="268"/>
      <c r="CYG539" s="268"/>
      <c r="CYH539" s="268"/>
      <c r="CYI539" s="268"/>
      <c r="CYJ539" s="268"/>
      <c r="CYK539" s="268"/>
      <c r="CYL539" s="268"/>
      <c r="CYM539" s="268"/>
      <c r="CYN539" s="268"/>
      <c r="CYO539" s="268"/>
      <c r="CYP539" s="268"/>
      <c r="CYQ539" s="268"/>
      <c r="CYR539" s="268"/>
      <c r="CYS539" s="268"/>
      <c r="CYT539" s="268"/>
      <c r="CYU539" s="268"/>
      <c r="CYV539" s="268"/>
      <c r="CYW539" s="268"/>
      <c r="CYX539" s="268"/>
      <c r="CYY539" s="268"/>
      <c r="CYZ539" s="268"/>
      <c r="CZA539" s="268"/>
      <c r="CZB539" s="268"/>
      <c r="CZC539" s="268"/>
      <c r="CZD539" s="268"/>
      <c r="CZE539" s="268"/>
      <c r="CZF539" s="268"/>
      <c r="CZG539" s="268"/>
      <c r="CZH539" s="268"/>
      <c r="CZI539" s="268"/>
      <c r="CZJ539" s="268"/>
      <c r="CZK539" s="268"/>
      <c r="CZL539" s="268"/>
      <c r="CZM539" s="268"/>
      <c r="CZN539" s="268"/>
      <c r="CZO539" s="268"/>
      <c r="CZP539" s="268"/>
      <c r="CZQ539" s="268"/>
      <c r="CZR539" s="268"/>
      <c r="CZS539" s="268"/>
      <c r="CZT539" s="268"/>
      <c r="CZU539" s="268"/>
      <c r="CZV539" s="268"/>
      <c r="CZW539" s="268"/>
      <c r="CZX539" s="268"/>
      <c r="CZY539" s="268"/>
      <c r="CZZ539" s="268"/>
      <c r="DAA539" s="268"/>
      <c r="DAB539" s="268"/>
      <c r="DAC539" s="268"/>
      <c r="DAD539" s="268"/>
      <c r="DAE539" s="268"/>
      <c r="DAF539" s="268"/>
      <c r="DAG539" s="268"/>
      <c r="DAH539" s="268"/>
      <c r="DAI539" s="268"/>
      <c r="DAJ539" s="268"/>
      <c r="DAK539" s="268"/>
      <c r="DAL539" s="268"/>
      <c r="DAM539" s="268"/>
      <c r="DAN539" s="268"/>
      <c r="DAO539" s="268"/>
      <c r="DAP539" s="268"/>
      <c r="DAQ539" s="268"/>
      <c r="DAR539" s="268"/>
      <c r="DAS539" s="268"/>
      <c r="DAT539" s="268"/>
      <c r="DAU539" s="268"/>
      <c r="DAV539" s="268"/>
      <c r="DAW539" s="268"/>
      <c r="DAX539" s="268"/>
      <c r="DAY539" s="268"/>
      <c r="DAZ539" s="268"/>
      <c r="DBA539" s="268"/>
      <c r="DBB539" s="268"/>
      <c r="DBC539" s="268"/>
      <c r="DBD539" s="268"/>
      <c r="DBE539" s="268"/>
      <c r="DBF539" s="268"/>
      <c r="DBG539" s="268"/>
      <c r="DBH539" s="268"/>
      <c r="DBI539" s="268"/>
      <c r="DBJ539" s="268"/>
      <c r="DBK539" s="268"/>
      <c r="DBL539" s="268"/>
      <c r="DBM539" s="268"/>
      <c r="DBN539" s="268"/>
      <c r="DBO539" s="268"/>
      <c r="DBP539" s="268"/>
      <c r="DBQ539" s="268"/>
      <c r="DBR539" s="268"/>
      <c r="DBS539" s="268"/>
      <c r="DBT539" s="268"/>
      <c r="DBU539" s="268"/>
      <c r="DBV539" s="268"/>
      <c r="DBW539" s="268"/>
      <c r="DBX539" s="268"/>
      <c r="DBY539" s="268"/>
      <c r="DBZ539" s="268"/>
      <c r="DCA539" s="268"/>
      <c r="DCB539" s="268"/>
      <c r="DCC539" s="268"/>
      <c r="DCD539" s="268"/>
      <c r="DCE539" s="268"/>
      <c r="DCF539" s="268"/>
      <c r="DCG539" s="268"/>
      <c r="DCH539" s="268"/>
      <c r="DCI539" s="268"/>
      <c r="DCJ539" s="268"/>
      <c r="DCK539" s="268"/>
      <c r="DCL539" s="268"/>
      <c r="DCM539" s="268"/>
      <c r="DCN539" s="268"/>
      <c r="DCO539" s="268"/>
      <c r="DCP539" s="268"/>
      <c r="DCQ539" s="268"/>
      <c r="DCR539" s="268"/>
      <c r="DCS539" s="268"/>
      <c r="DCT539" s="268"/>
      <c r="DCU539" s="268"/>
      <c r="DCV539" s="268"/>
      <c r="DCW539" s="268"/>
      <c r="DCX539" s="268"/>
      <c r="DCY539" s="268"/>
      <c r="DDM539" s="268"/>
      <c r="DDN539" s="268"/>
      <c r="DDO539" s="268"/>
      <c r="DEC539" s="268"/>
      <c r="DEE539" s="268"/>
      <c r="DEF539" s="268"/>
      <c r="DEG539" s="268"/>
      <c r="DEH539" s="268"/>
      <c r="DEI539" s="268"/>
      <c r="DEJ539" s="268"/>
      <c r="DEK539" s="268"/>
      <c r="DEL539" s="268"/>
      <c r="DEM539" s="268"/>
      <c r="DEN539" s="268"/>
      <c r="DEO539" s="268"/>
      <c r="DEP539" s="268"/>
      <c r="DEQ539" s="268"/>
      <c r="DER539" s="268"/>
      <c r="DES539" s="268"/>
      <c r="DET539" s="268"/>
      <c r="DEU539" s="268"/>
      <c r="DEV539" s="268"/>
      <c r="DEW539" s="268"/>
      <c r="DEX539" s="268"/>
      <c r="DEY539" s="268"/>
      <c r="DEZ539" s="268"/>
      <c r="DFA539" s="268"/>
      <c r="DFB539" s="268"/>
      <c r="DFC539" s="268"/>
      <c r="DFD539" s="268"/>
      <c r="DFE539" s="268"/>
      <c r="DFF539" s="268"/>
      <c r="DFG539" s="268"/>
      <c r="DFH539" s="268"/>
      <c r="DFI539" s="268"/>
      <c r="DFJ539" s="268"/>
      <c r="DFK539" s="268"/>
      <c r="DFL539" s="268"/>
      <c r="DFM539" s="268"/>
      <c r="DFN539" s="268"/>
      <c r="DFO539" s="268"/>
      <c r="DFP539" s="268"/>
      <c r="DFQ539" s="268"/>
      <c r="DFR539" s="268"/>
      <c r="DFS539" s="268"/>
      <c r="DFT539" s="268"/>
      <c r="DFU539" s="268"/>
      <c r="DFV539" s="268"/>
      <c r="DFW539" s="268"/>
      <c r="DFX539" s="268"/>
      <c r="DFY539" s="268"/>
      <c r="DFZ539" s="268"/>
      <c r="DGA539" s="268"/>
      <c r="DGB539" s="268"/>
      <c r="DGC539" s="268"/>
      <c r="DGD539" s="268"/>
      <c r="DGE539" s="268"/>
      <c r="DGF539" s="268"/>
      <c r="DGG539" s="268"/>
      <c r="DGH539" s="268"/>
      <c r="DGI539" s="268"/>
      <c r="DGJ539" s="268"/>
      <c r="DGK539" s="268"/>
      <c r="DGL539" s="268"/>
      <c r="DGM539" s="268"/>
      <c r="DGN539" s="268"/>
      <c r="DGO539" s="268"/>
      <c r="DGP539" s="268"/>
      <c r="DGQ539" s="268"/>
      <c r="DGR539" s="268"/>
      <c r="DGS539" s="268"/>
      <c r="DGT539" s="268"/>
      <c r="DGU539" s="268"/>
      <c r="DGV539" s="268"/>
      <c r="DGW539" s="268"/>
      <c r="DGX539" s="268"/>
      <c r="DGY539" s="268"/>
      <c r="DGZ539" s="268"/>
      <c r="DHA539" s="268"/>
      <c r="DHB539" s="268"/>
      <c r="DHC539" s="268"/>
      <c r="DHD539" s="268"/>
      <c r="DHE539" s="268"/>
      <c r="DHF539" s="268"/>
      <c r="DHG539" s="268"/>
      <c r="DHH539" s="268"/>
      <c r="DHI539" s="268"/>
      <c r="DHJ539" s="268"/>
      <c r="DHK539" s="268"/>
      <c r="DHL539" s="268"/>
      <c r="DHM539" s="268"/>
      <c r="DHN539" s="268"/>
      <c r="DHO539" s="268"/>
      <c r="DHP539" s="268"/>
      <c r="DHQ539" s="268"/>
      <c r="DHR539" s="268"/>
      <c r="DHS539" s="268"/>
      <c r="DHT539" s="268"/>
      <c r="DHU539" s="268"/>
      <c r="DHV539" s="268"/>
      <c r="DHW539" s="268"/>
      <c r="DHX539" s="268"/>
      <c r="DHY539" s="268"/>
      <c r="DHZ539" s="268"/>
      <c r="DIA539" s="268"/>
      <c r="DIB539" s="268"/>
      <c r="DIC539" s="268"/>
      <c r="DID539" s="268"/>
      <c r="DIE539" s="268"/>
      <c r="DIF539" s="268"/>
      <c r="DIG539" s="268"/>
      <c r="DIH539" s="268"/>
      <c r="DII539" s="268"/>
      <c r="DIJ539" s="268"/>
      <c r="DIK539" s="268"/>
      <c r="DIL539" s="268"/>
      <c r="DIM539" s="268"/>
      <c r="DIN539" s="268"/>
      <c r="DIO539" s="268"/>
      <c r="DIP539" s="268"/>
      <c r="DIQ539" s="268"/>
      <c r="DIR539" s="268"/>
      <c r="DIS539" s="268"/>
      <c r="DIT539" s="268"/>
      <c r="DIU539" s="268"/>
      <c r="DIV539" s="268"/>
      <c r="DIW539" s="268"/>
      <c r="DIX539" s="268"/>
      <c r="DIY539" s="268"/>
      <c r="DIZ539" s="268"/>
      <c r="DJA539" s="268"/>
      <c r="DJB539" s="268"/>
      <c r="DJC539" s="268"/>
      <c r="DJD539" s="268"/>
      <c r="DJE539" s="268"/>
      <c r="DJF539" s="268"/>
      <c r="DJG539" s="268"/>
      <c r="DJH539" s="268"/>
      <c r="DJI539" s="268"/>
      <c r="DJJ539" s="268"/>
      <c r="DJK539" s="268"/>
      <c r="DJL539" s="268"/>
      <c r="DJM539" s="268"/>
      <c r="DJN539" s="268"/>
      <c r="DJO539" s="268"/>
      <c r="DJP539" s="268"/>
      <c r="DJQ539" s="268"/>
      <c r="DJR539" s="268"/>
      <c r="DJS539" s="268"/>
      <c r="DJT539" s="268"/>
      <c r="DJU539" s="268"/>
      <c r="DJV539" s="268"/>
      <c r="DJW539" s="268"/>
      <c r="DJX539" s="268"/>
      <c r="DJY539" s="268"/>
      <c r="DJZ539" s="268"/>
      <c r="DKA539" s="268"/>
      <c r="DKB539" s="268"/>
      <c r="DKC539" s="268"/>
      <c r="DKD539" s="268"/>
      <c r="DKE539" s="268"/>
      <c r="DKF539" s="268"/>
      <c r="DKG539" s="268"/>
      <c r="DKH539" s="268"/>
      <c r="DKI539" s="268"/>
      <c r="DKJ539" s="268"/>
      <c r="DKK539" s="268"/>
      <c r="DKL539" s="268"/>
      <c r="DKM539" s="268"/>
      <c r="DKN539" s="268"/>
      <c r="DKO539" s="268"/>
      <c r="DKP539" s="268"/>
      <c r="DKQ539" s="268"/>
      <c r="DKR539" s="268"/>
      <c r="DKS539" s="268"/>
      <c r="DKT539" s="268"/>
      <c r="DKU539" s="268"/>
      <c r="DKV539" s="268"/>
      <c r="DKW539" s="268"/>
      <c r="DKX539" s="268"/>
      <c r="DKY539" s="268"/>
      <c r="DKZ539" s="268"/>
      <c r="DLA539" s="268"/>
      <c r="DLB539" s="268"/>
      <c r="DLC539" s="268"/>
      <c r="DLD539" s="268"/>
      <c r="DLE539" s="268"/>
      <c r="DLF539" s="268"/>
      <c r="DLG539" s="268"/>
      <c r="DLH539" s="268"/>
      <c r="DLI539" s="268"/>
      <c r="DLJ539" s="268"/>
      <c r="DLK539" s="268"/>
      <c r="DLL539" s="268"/>
      <c r="DLM539" s="268"/>
      <c r="DLN539" s="268"/>
      <c r="DLO539" s="268"/>
      <c r="DLP539" s="268"/>
      <c r="DLQ539" s="268"/>
      <c r="DLR539" s="268"/>
      <c r="DLS539" s="268"/>
      <c r="DLT539" s="268"/>
      <c r="DLU539" s="268"/>
      <c r="DLV539" s="268"/>
      <c r="DLW539" s="268"/>
      <c r="DLX539" s="268"/>
      <c r="DLY539" s="268"/>
      <c r="DLZ539" s="268"/>
      <c r="DMA539" s="268"/>
      <c r="DMB539" s="268"/>
      <c r="DMC539" s="268"/>
      <c r="DMD539" s="268"/>
      <c r="DME539" s="268"/>
      <c r="DMF539" s="268"/>
      <c r="DMG539" s="268"/>
      <c r="DMH539" s="268"/>
      <c r="DMI539" s="268"/>
      <c r="DMJ539" s="268"/>
      <c r="DMK539" s="268"/>
      <c r="DML539" s="268"/>
      <c r="DMM539" s="268"/>
      <c r="DMN539" s="268"/>
      <c r="DMO539" s="268"/>
      <c r="DMP539" s="268"/>
      <c r="DMQ539" s="268"/>
      <c r="DMR539" s="268"/>
      <c r="DMS539" s="268"/>
      <c r="DMT539" s="268"/>
      <c r="DMU539" s="268"/>
      <c r="DNI539" s="268"/>
      <c r="DNJ539" s="268"/>
      <c r="DNK539" s="268"/>
      <c r="DNY539" s="268"/>
      <c r="DOA539" s="268"/>
      <c r="DOB539" s="268"/>
      <c r="DOC539" s="268"/>
      <c r="DOD539" s="268"/>
      <c r="DOE539" s="268"/>
      <c r="DOF539" s="268"/>
      <c r="DOG539" s="268"/>
      <c r="DOH539" s="268"/>
      <c r="DOI539" s="268"/>
      <c r="DOJ539" s="268"/>
      <c r="DOK539" s="268"/>
      <c r="DOL539" s="268"/>
      <c r="DOM539" s="268"/>
      <c r="DON539" s="268"/>
      <c r="DOO539" s="268"/>
      <c r="DOP539" s="268"/>
      <c r="DOQ539" s="268"/>
      <c r="DOR539" s="268"/>
      <c r="DOS539" s="268"/>
      <c r="DOT539" s="268"/>
      <c r="DOU539" s="268"/>
      <c r="DOV539" s="268"/>
      <c r="DOW539" s="268"/>
      <c r="DOX539" s="268"/>
      <c r="DOY539" s="268"/>
      <c r="DOZ539" s="268"/>
      <c r="DPA539" s="268"/>
      <c r="DPB539" s="268"/>
      <c r="DPC539" s="268"/>
      <c r="DPD539" s="268"/>
      <c r="DPE539" s="268"/>
      <c r="DPF539" s="268"/>
      <c r="DPG539" s="268"/>
      <c r="DPH539" s="268"/>
      <c r="DPI539" s="268"/>
      <c r="DPJ539" s="268"/>
      <c r="DPK539" s="268"/>
      <c r="DPL539" s="268"/>
      <c r="DPM539" s="268"/>
      <c r="DPN539" s="268"/>
      <c r="DPO539" s="268"/>
      <c r="DPP539" s="268"/>
      <c r="DPQ539" s="268"/>
      <c r="DPR539" s="268"/>
      <c r="DPS539" s="268"/>
      <c r="DPT539" s="268"/>
      <c r="DPU539" s="268"/>
      <c r="DPV539" s="268"/>
      <c r="DPW539" s="268"/>
      <c r="DPX539" s="268"/>
      <c r="DPY539" s="268"/>
      <c r="DPZ539" s="268"/>
      <c r="DQA539" s="268"/>
      <c r="DQB539" s="268"/>
      <c r="DQC539" s="268"/>
      <c r="DQD539" s="268"/>
      <c r="DQE539" s="268"/>
      <c r="DQF539" s="268"/>
      <c r="DQG539" s="268"/>
      <c r="DQH539" s="268"/>
      <c r="DQI539" s="268"/>
      <c r="DQJ539" s="268"/>
      <c r="DQK539" s="268"/>
      <c r="DQL539" s="268"/>
      <c r="DQM539" s="268"/>
      <c r="DQN539" s="268"/>
      <c r="DQO539" s="268"/>
      <c r="DQP539" s="268"/>
      <c r="DQQ539" s="268"/>
      <c r="DQR539" s="268"/>
      <c r="DQS539" s="268"/>
      <c r="DQT539" s="268"/>
      <c r="DQU539" s="268"/>
      <c r="DQV539" s="268"/>
      <c r="DQW539" s="268"/>
      <c r="DQX539" s="268"/>
      <c r="DQY539" s="268"/>
      <c r="DQZ539" s="268"/>
      <c r="DRA539" s="268"/>
      <c r="DRB539" s="268"/>
      <c r="DRC539" s="268"/>
      <c r="DRD539" s="268"/>
      <c r="DRE539" s="268"/>
      <c r="DRF539" s="268"/>
      <c r="DRG539" s="268"/>
      <c r="DRH539" s="268"/>
      <c r="DRI539" s="268"/>
      <c r="DRJ539" s="268"/>
      <c r="DRK539" s="268"/>
      <c r="DRL539" s="268"/>
      <c r="DRM539" s="268"/>
      <c r="DRN539" s="268"/>
      <c r="DRO539" s="268"/>
      <c r="DRP539" s="268"/>
      <c r="DRQ539" s="268"/>
      <c r="DRR539" s="268"/>
      <c r="DRS539" s="268"/>
      <c r="DRT539" s="268"/>
      <c r="DRU539" s="268"/>
      <c r="DRV539" s="268"/>
      <c r="DRW539" s="268"/>
      <c r="DRX539" s="268"/>
      <c r="DRY539" s="268"/>
      <c r="DRZ539" s="268"/>
      <c r="DSA539" s="268"/>
      <c r="DSB539" s="268"/>
      <c r="DSC539" s="268"/>
      <c r="DSD539" s="268"/>
      <c r="DSE539" s="268"/>
      <c r="DSF539" s="268"/>
      <c r="DSG539" s="268"/>
      <c r="DSH539" s="268"/>
      <c r="DSI539" s="268"/>
      <c r="DSJ539" s="268"/>
      <c r="DSK539" s="268"/>
      <c r="DSL539" s="268"/>
      <c r="DSM539" s="268"/>
      <c r="DSN539" s="268"/>
      <c r="DSO539" s="268"/>
      <c r="DSP539" s="268"/>
      <c r="DSQ539" s="268"/>
      <c r="DSR539" s="268"/>
      <c r="DSS539" s="268"/>
      <c r="DST539" s="268"/>
      <c r="DSU539" s="268"/>
      <c r="DSV539" s="268"/>
      <c r="DSW539" s="268"/>
      <c r="DSX539" s="268"/>
      <c r="DSY539" s="268"/>
      <c r="DSZ539" s="268"/>
      <c r="DTA539" s="268"/>
      <c r="DTB539" s="268"/>
      <c r="DTC539" s="268"/>
      <c r="DTD539" s="268"/>
      <c r="DTE539" s="268"/>
      <c r="DTF539" s="268"/>
      <c r="DTG539" s="268"/>
      <c r="DTH539" s="268"/>
      <c r="DTI539" s="268"/>
      <c r="DTJ539" s="268"/>
      <c r="DTK539" s="268"/>
      <c r="DTL539" s="268"/>
      <c r="DTM539" s="268"/>
      <c r="DTN539" s="268"/>
      <c r="DTO539" s="268"/>
      <c r="DTP539" s="268"/>
      <c r="DTQ539" s="268"/>
      <c r="DTR539" s="268"/>
      <c r="DTS539" s="268"/>
      <c r="DTT539" s="268"/>
      <c r="DTU539" s="268"/>
      <c r="DTV539" s="268"/>
      <c r="DTW539" s="268"/>
      <c r="DTX539" s="268"/>
      <c r="DTY539" s="268"/>
      <c r="DTZ539" s="268"/>
      <c r="DUA539" s="268"/>
      <c r="DUB539" s="268"/>
      <c r="DUC539" s="268"/>
      <c r="DUD539" s="268"/>
      <c r="DUE539" s="268"/>
      <c r="DUF539" s="268"/>
      <c r="DUG539" s="268"/>
      <c r="DUH539" s="268"/>
      <c r="DUI539" s="268"/>
      <c r="DUJ539" s="268"/>
      <c r="DUK539" s="268"/>
      <c r="DUL539" s="268"/>
      <c r="DUM539" s="268"/>
      <c r="DUN539" s="268"/>
      <c r="DUO539" s="268"/>
      <c r="DUP539" s="268"/>
      <c r="DUQ539" s="268"/>
      <c r="DUR539" s="268"/>
      <c r="DUS539" s="268"/>
      <c r="DUT539" s="268"/>
      <c r="DUU539" s="268"/>
      <c r="DUV539" s="268"/>
      <c r="DUW539" s="268"/>
      <c r="DUX539" s="268"/>
      <c r="DUY539" s="268"/>
      <c r="DUZ539" s="268"/>
      <c r="DVA539" s="268"/>
      <c r="DVB539" s="268"/>
      <c r="DVC539" s="268"/>
      <c r="DVD539" s="268"/>
      <c r="DVE539" s="268"/>
      <c r="DVF539" s="268"/>
      <c r="DVG539" s="268"/>
      <c r="DVH539" s="268"/>
      <c r="DVI539" s="268"/>
      <c r="DVJ539" s="268"/>
      <c r="DVK539" s="268"/>
      <c r="DVL539" s="268"/>
      <c r="DVM539" s="268"/>
      <c r="DVN539" s="268"/>
      <c r="DVO539" s="268"/>
      <c r="DVP539" s="268"/>
      <c r="DVQ539" s="268"/>
      <c r="DVR539" s="268"/>
      <c r="DVS539" s="268"/>
      <c r="DVT539" s="268"/>
      <c r="DVU539" s="268"/>
      <c r="DVV539" s="268"/>
      <c r="DVW539" s="268"/>
      <c r="DVX539" s="268"/>
      <c r="DVY539" s="268"/>
      <c r="DVZ539" s="268"/>
      <c r="DWA539" s="268"/>
      <c r="DWB539" s="268"/>
      <c r="DWC539" s="268"/>
      <c r="DWD539" s="268"/>
      <c r="DWE539" s="268"/>
      <c r="DWF539" s="268"/>
      <c r="DWG539" s="268"/>
      <c r="DWH539" s="268"/>
      <c r="DWI539" s="268"/>
      <c r="DWJ539" s="268"/>
      <c r="DWK539" s="268"/>
      <c r="DWL539" s="268"/>
      <c r="DWM539" s="268"/>
      <c r="DWN539" s="268"/>
      <c r="DWO539" s="268"/>
      <c r="DWP539" s="268"/>
      <c r="DWQ539" s="268"/>
      <c r="DXE539" s="268"/>
      <c r="DXF539" s="268"/>
      <c r="DXG539" s="268"/>
      <c r="DXU539" s="268"/>
      <c r="DXW539" s="268"/>
      <c r="DXX539" s="268"/>
      <c r="DXY539" s="268"/>
      <c r="DXZ539" s="268"/>
      <c r="DYA539" s="268"/>
      <c r="DYB539" s="268"/>
      <c r="DYC539" s="268"/>
      <c r="DYD539" s="268"/>
      <c r="DYE539" s="268"/>
      <c r="DYF539" s="268"/>
      <c r="DYG539" s="268"/>
      <c r="DYH539" s="268"/>
      <c r="DYI539" s="268"/>
      <c r="DYJ539" s="268"/>
      <c r="DYK539" s="268"/>
      <c r="DYL539" s="268"/>
      <c r="DYM539" s="268"/>
      <c r="DYN539" s="268"/>
      <c r="DYO539" s="268"/>
      <c r="DYP539" s="268"/>
      <c r="DYQ539" s="268"/>
      <c r="DYR539" s="268"/>
      <c r="DYS539" s="268"/>
      <c r="DYT539" s="268"/>
      <c r="DYU539" s="268"/>
      <c r="DYV539" s="268"/>
      <c r="DYW539" s="268"/>
      <c r="DYX539" s="268"/>
      <c r="DYY539" s="268"/>
      <c r="DYZ539" s="268"/>
      <c r="DZA539" s="268"/>
      <c r="DZB539" s="268"/>
      <c r="DZC539" s="268"/>
      <c r="DZD539" s="268"/>
      <c r="DZE539" s="268"/>
      <c r="DZF539" s="268"/>
      <c r="DZG539" s="268"/>
      <c r="DZH539" s="268"/>
      <c r="DZI539" s="268"/>
      <c r="DZJ539" s="268"/>
      <c r="DZK539" s="268"/>
      <c r="DZL539" s="268"/>
      <c r="DZM539" s="268"/>
      <c r="DZN539" s="268"/>
      <c r="DZO539" s="268"/>
      <c r="DZP539" s="268"/>
      <c r="DZQ539" s="268"/>
      <c r="DZR539" s="268"/>
      <c r="DZS539" s="268"/>
      <c r="DZT539" s="268"/>
      <c r="DZU539" s="268"/>
      <c r="DZV539" s="268"/>
      <c r="DZW539" s="268"/>
      <c r="DZX539" s="268"/>
      <c r="DZY539" s="268"/>
      <c r="DZZ539" s="268"/>
      <c r="EAA539" s="268"/>
      <c r="EAB539" s="268"/>
      <c r="EAC539" s="268"/>
      <c r="EAD539" s="268"/>
      <c r="EAE539" s="268"/>
      <c r="EAF539" s="268"/>
      <c r="EAG539" s="268"/>
      <c r="EAH539" s="268"/>
      <c r="EAI539" s="268"/>
      <c r="EAJ539" s="268"/>
      <c r="EAK539" s="268"/>
      <c r="EAL539" s="268"/>
      <c r="EAM539" s="268"/>
      <c r="EAN539" s="268"/>
      <c r="EAO539" s="268"/>
      <c r="EAP539" s="268"/>
      <c r="EAQ539" s="268"/>
      <c r="EAR539" s="268"/>
      <c r="EAS539" s="268"/>
      <c r="EAT539" s="268"/>
      <c r="EAU539" s="268"/>
      <c r="EAV539" s="268"/>
      <c r="EAW539" s="268"/>
      <c r="EAX539" s="268"/>
      <c r="EAY539" s="268"/>
      <c r="EAZ539" s="268"/>
      <c r="EBA539" s="268"/>
      <c r="EBB539" s="268"/>
      <c r="EBC539" s="268"/>
      <c r="EBD539" s="268"/>
      <c r="EBE539" s="268"/>
      <c r="EBF539" s="268"/>
      <c r="EBG539" s="268"/>
      <c r="EBH539" s="268"/>
      <c r="EBI539" s="268"/>
      <c r="EBJ539" s="268"/>
      <c r="EBK539" s="268"/>
      <c r="EBL539" s="268"/>
      <c r="EBM539" s="268"/>
      <c r="EBN539" s="268"/>
      <c r="EBO539" s="268"/>
      <c r="EBP539" s="268"/>
      <c r="EBQ539" s="268"/>
      <c r="EBR539" s="268"/>
      <c r="EBS539" s="268"/>
      <c r="EBT539" s="268"/>
      <c r="EBU539" s="268"/>
      <c r="EBV539" s="268"/>
      <c r="EBW539" s="268"/>
      <c r="EBX539" s="268"/>
      <c r="EBY539" s="268"/>
      <c r="EBZ539" s="268"/>
      <c r="ECA539" s="268"/>
      <c r="ECB539" s="268"/>
      <c r="ECC539" s="268"/>
      <c r="ECD539" s="268"/>
      <c r="ECE539" s="268"/>
      <c r="ECF539" s="268"/>
      <c r="ECG539" s="268"/>
      <c r="ECH539" s="268"/>
      <c r="ECI539" s="268"/>
      <c r="ECJ539" s="268"/>
      <c r="ECK539" s="268"/>
      <c r="ECL539" s="268"/>
      <c r="ECM539" s="268"/>
      <c r="ECN539" s="268"/>
      <c r="ECO539" s="268"/>
      <c r="ECP539" s="268"/>
      <c r="ECQ539" s="268"/>
      <c r="ECR539" s="268"/>
      <c r="ECS539" s="268"/>
      <c r="ECT539" s="268"/>
      <c r="ECU539" s="268"/>
      <c r="ECV539" s="268"/>
      <c r="ECW539" s="268"/>
      <c r="ECX539" s="268"/>
      <c r="ECY539" s="268"/>
      <c r="ECZ539" s="268"/>
      <c r="EDA539" s="268"/>
      <c r="EDB539" s="268"/>
      <c r="EDC539" s="268"/>
      <c r="EDD539" s="268"/>
      <c r="EDE539" s="268"/>
      <c r="EDF539" s="268"/>
      <c r="EDG539" s="268"/>
      <c r="EDH539" s="268"/>
      <c r="EDI539" s="268"/>
      <c r="EDJ539" s="268"/>
      <c r="EDK539" s="268"/>
      <c r="EDL539" s="268"/>
      <c r="EDM539" s="268"/>
      <c r="EDN539" s="268"/>
      <c r="EDO539" s="268"/>
      <c r="EDP539" s="268"/>
      <c r="EDQ539" s="268"/>
      <c r="EDR539" s="268"/>
      <c r="EDS539" s="268"/>
      <c r="EDT539" s="268"/>
      <c r="EDU539" s="268"/>
      <c r="EDV539" s="268"/>
      <c r="EDW539" s="268"/>
      <c r="EDX539" s="268"/>
      <c r="EDY539" s="268"/>
      <c r="EDZ539" s="268"/>
      <c r="EEA539" s="268"/>
      <c r="EEB539" s="268"/>
      <c r="EEC539" s="268"/>
      <c r="EED539" s="268"/>
      <c r="EEE539" s="268"/>
      <c r="EEF539" s="268"/>
      <c r="EEG539" s="268"/>
      <c r="EEH539" s="268"/>
      <c r="EEI539" s="268"/>
      <c r="EEJ539" s="268"/>
      <c r="EEK539" s="268"/>
      <c r="EEL539" s="268"/>
      <c r="EEM539" s="268"/>
      <c r="EEN539" s="268"/>
      <c r="EEO539" s="268"/>
      <c r="EEP539" s="268"/>
      <c r="EEQ539" s="268"/>
      <c r="EER539" s="268"/>
      <c r="EES539" s="268"/>
      <c r="EET539" s="268"/>
      <c r="EEU539" s="268"/>
      <c r="EEV539" s="268"/>
      <c r="EEW539" s="268"/>
      <c r="EEX539" s="268"/>
      <c r="EEY539" s="268"/>
      <c r="EEZ539" s="268"/>
      <c r="EFA539" s="268"/>
      <c r="EFB539" s="268"/>
      <c r="EFC539" s="268"/>
      <c r="EFD539" s="268"/>
      <c r="EFE539" s="268"/>
      <c r="EFF539" s="268"/>
      <c r="EFG539" s="268"/>
      <c r="EFH539" s="268"/>
      <c r="EFI539" s="268"/>
      <c r="EFJ539" s="268"/>
      <c r="EFK539" s="268"/>
      <c r="EFL539" s="268"/>
      <c r="EFM539" s="268"/>
      <c r="EFN539" s="268"/>
      <c r="EFO539" s="268"/>
      <c r="EFP539" s="268"/>
      <c r="EFQ539" s="268"/>
      <c r="EFR539" s="268"/>
      <c r="EFS539" s="268"/>
      <c r="EFT539" s="268"/>
      <c r="EFU539" s="268"/>
      <c r="EFV539" s="268"/>
      <c r="EFW539" s="268"/>
      <c r="EFX539" s="268"/>
      <c r="EFY539" s="268"/>
      <c r="EFZ539" s="268"/>
      <c r="EGA539" s="268"/>
      <c r="EGB539" s="268"/>
      <c r="EGC539" s="268"/>
      <c r="EGD539" s="268"/>
      <c r="EGE539" s="268"/>
      <c r="EGF539" s="268"/>
      <c r="EGG539" s="268"/>
      <c r="EGH539" s="268"/>
      <c r="EGI539" s="268"/>
      <c r="EGJ539" s="268"/>
      <c r="EGK539" s="268"/>
      <c r="EGL539" s="268"/>
      <c r="EGM539" s="268"/>
      <c r="EHA539" s="268"/>
      <c r="EHB539" s="268"/>
      <c r="EHC539" s="268"/>
      <c r="EHQ539" s="268"/>
      <c r="EHS539" s="268"/>
      <c r="EHT539" s="268"/>
      <c r="EHU539" s="268"/>
      <c r="EHV539" s="268"/>
      <c r="EHW539" s="268"/>
      <c r="EHX539" s="268"/>
      <c r="EHY539" s="268"/>
      <c r="EHZ539" s="268"/>
      <c r="EIA539" s="268"/>
      <c r="EIB539" s="268"/>
      <c r="EIC539" s="268"/>
      <c r="EID539" s="268"/>
      <c r="EIE539" s="268"/>
      <c r="EIF539" s="268"/>
      <c r="EIG539" s="268"/>
      <c r="EIH539" s="268"/>
      <c r="EII539" s="268"/>
      <c r="EIJ539" s="268"/>
      <c r="EIK539" s="268"/>
      <c r="EIL539" s="268"/>
      <c r="EIM539" s="268"/>
      <c r="EIN539" s="268"/>
      <c r="EIO539" s="268"/>
      <c r="EIP539" s="268"/>
      <c r="EIQ539" s="268"/>
      <c r="EIR539" s="268"/>
      <c r="EIS539" s="268"/>
      <c r="EIT539" s="268"/>
      <c r="EIU539" s="268"/>
      <c r="EIV539" s="268"/>
      <c r="EIW539" s="268"/>
      <c r="EIX539" s="268"/>
      <c r="EIY539" s="268"/>
      <c r="EIZ539" s="268"/>
      <c r="EJA539" s="268"/>
      <c r="EJB539" s="268"/>
      <c r="EJC539" s="268"/>
      <c r="EJD539" s="268"/>
      <c r="EJE539" s="268"/>
      <c r="EJF539" s="268"/>
      <c r="EJG539" s="268"/>
      <c r="EJH539" s="268"/>
      <c r="EJI539" s="268"/>
      <c r="EJJ539" s="268"/>
      <c r="EJK539" s="268"/>
      <c r="EJL539" s="268"/>
      <c r="EJM539" s="268"/>
      <c r="EJN539" s="268"/>
      <c r="EJO539" s="268"/>
      <c r="EJP539" s="268"/>
      <c r="EJQ539" s="268"/>
      <c r="EJR539" s="268"/>
      <c r="EJS539" s="268"/>
      <c r="EJT539" s="268"/>
      <c r="EJU539" s="268"/>
      <c r="EJV539" s="268"/>
      <c r="EJW539" s="268"/>
      <c r="EJX539" s="268"/>
      <c r="EJY539" s="268"/>
      <c r="EJZ539" s="268"/>
      <c r="EKA539" s="268"/>
      <c r="EKB539" s="268"/>
      <c r="EKC539" s="268"/>
      <c r="EKD539" s="268"/>
      <c r="EKE539" s="268"/>
      <c r="EKF539" s="268"/>
      <c r="EKG539" s="268"/>
      <c r="EKH539" s="268"/>
      <c r="EKI539" s="268"/>
      <c r="EKJ539" s="268"/>
      <c r="EKK539" s="268"/>
      <c r="EKL539" s="268"/>
      <c r="EKM539" s="268"/>
      <c r="EKN539" s="268"/>
      <c r="EKO539" s="268"/>
      <c r="EKP539" s="268"/>
      <c r="EKQ539" s="268"/>
      <c r="EKR539" s="268"/>
      <c r="EKS539" s="268"/>
      <c r="EKT539" s="268"/>
      <c r="EKU539" s="268"/>
      <c r="EKV539" s="268"/>
      <c r="EKW539" s="268"/>
      <c r="EKX539" s="268"/>
      <c r="EKY539" s="268"/>
      <c r="EKZ539" s="268"/>
      <c r="ELA539" s="268"/>
      <c r="ELB539" s="268"/>
      <c r="ELC539" s="268"/>
      <c r="ELD539" s="268"/>
      <c r="ELE539" s="268"/>
      <c r="ELF539" s="268"/>
      <c r="ELG539" s="268"/>
      <c r="ELH539" s="268"/>
      <c r="ELI539" s="268"/>
      <c r="ELJ539" s="268"/>
      <c r="ELK539" s="268"/>
      <c r="ELL539" s="268"/>
      <c r="ELM539" s="268"/>
      <c r="ELN539" s="268"/>
      <c r="ELO539" s="268"/>
      <c r="ELP539" s="268"/>
      <c r="ELQ539" s="268"/>
      <c r="ELR539" s="268"/>
      <c r="ELS539" s="268"/>
      <c r="ELT539" s="268"/>
      <c r="ELU539" s="268"/>
      <c r="ELV539" s="268"/>
      <c r="ELW539" s="268"/>
      <c r="ELX539" s="268"/>
      <c r="ELY539" s="268"/>
      <c r="ELZ539" s="268"/>
      <c r="EMA539" s="268"/>
      <c r="EMB539" s="268"/>
      <c r="EMC539" s="268"/>
      <c r="EMD539" s="268"/>
      <c r="EME539" s="268"/>
      <c r="EMF539" s="268"/>
      <c r="EMG539" s="268"/>
      <c r="EMH539" s="268"/>
      <c r="EMI539" s="268"/>
      <c r="EMJ539" s="268"/>
      <c r="EMK539" s="268"/>
      <c r="EML539" s="268"/>
      <c r="EMM539" s="268"/>
      <c r="EMN539" s="268"/>
      <c r="EMO539" s="268"/>
      <c r="EMP539" s="268"/>
      <c r="EMQ539" s="268"/>
      <c r="EMR539" s="268"/>
      <c r="EMS539" s="268"/>
      <c r="EMT539" s="268"/>
      <c r="EMU539" s="268"/>
      <c r="EMV539" s="268"/>
      <c r="EMW539" s="268"/>
      <c r="EMX539" s="268"/>
      <c r="EMY539" s="268"/>
      <c r="EMZ539" s="268"/>
      <c r="ENA539" s="268"/>
      <c r="ENB539" s="268"/>
      <c r="ENC539" s="268"/>
      <c r="END539" s="268"/>
      <c r="ENE539" s="268"/>
      <c r="ENF539" s="268"/>
      <c r="ENG539" s="268"/>
      <c r="ENH539" s="268"/>
      <c r="ENI539" s="268"/>
      <c r="ENJ539" s="268"/>
      <c r="ENK539" s="268"/>
      <c r="ENL539" s="268"/>
      <c r="ENM539" s="268"/>
      <c r="ENN539" s="268"/>
      <c r="ENO539" s="268"/>
      <c r="ENP539" s="268"/>
      <c r="ENQ539" s="268"/>
      <c r="ENR539" s="268"/>
      <c r="ENS539" s="268"/>
      <c r="ENT539" s="268"/>
      <c r="ENU539" s="268"/>
      <c r="ENV539" s="268"/>
      <c r="ENW539" s="268"/>
      <c r="ENX539" s="268"/>
      <c r="ENY539" s="268"/>
      <c r="ENZ539" s="268"/>
      <c r="EOA539" s="268"/>
      <c r="EOB539" s="268"/>
      <c r="EOC539" s="268"/>
      <c r="EOD539" s="268"/>
      <c r="EOE539" s="268"/>
      <c r="EOF539" s="268"/>
      <c r="EOG539" s="268"/>
      <c r="EOH539" s="268"/>
      <c r="EOI539" s="268"/>
      <c r="EOJ539" s="268"/>
      <c r="EOK539" s="268"/>
      <c r="EOL539" s="268"/>
      <c r="EOM539" s="268"/>
      <c r="EON539" s="268"/>
      <c r="EOO539" s="268"/>
      <c r="EOP539" s="268"/>
      <c r="EOQ539" s="268"/>
      <c r="EOR539" s="268"/>
      <c r="EOS539" s="268"/>
      <c r="EOT539" s="268"/>
      <c r="EOU539" s="268"/>
      <c r="EOV539" s="268"/>
      <c r="EOW539" s="268"/>
      <c r="EOX539" s="268"/>
      <c r="EOY539" s="268"/>
      <c r="EOZ539" s="268"/>
      <c r="EPA539" s="268"/>
      <c r="EPB539" s="268"/>
      <c r="EPC539" s="268"/>
      <c r="EPD539" s="268"/>
      <c r="EPE539" s="268"/>
      <c r="EPF539" s="268"/>
      <c r="EPG539" s="268"/>
      <c r="EPH539" s="268"/>
      <c r="EPI539" s="268"/>
      <c r="EPJ539" s="268"/>
      <c r="EPK539" s="268"/>
      <c r="EPL539" s="268"/>
      <c r="EPM539" s="268"/>
      <c r="EPN539" s="268"/>
      <c r="EPO539" s="268"/>
      <c r="EPP539" s="268"/>
      <c r="EPQ539" s="268"/>
      <c r="EPR539" s="268"/>
      <c r="EPS539" s="268"/>
      <c r="EPT539" s="268"/>
      <c r="EPU539" s="268"/>
      <c r="EPV539" s="268"/>
      <c r="EPW539" s="268"/>
      <c r="EPX539" s="268"/>
      <c r="EPY539" s="268"/>
      <c r="EPZ539" s="268"/>
      <c r="EQA539" s="268"/>
      <c r="EQB539" s="268"/>
      <c r="EQC539" s="268"/>
      <c r="EQD539" s="268"/>
      <c r="EQE539" s="268"/>
      <c r="EQF539" s="268"/>
      <c r="EQG539" s="268"/>
      <c r="EQH539" s="268"/>
      <c r="EQI539" s="268"/>
      <c r="EQW539" s="268"/>
      <c r="EQX539" s="268"/>
      <c r="EQY539" s="268"/>
      <c r="ERM539" s="268"/>
      <c r="ERO539" s="268"/>
      <c r="ERP539" s="268"/>
      <c r="ERQ539" s="268"/>
      <c r="ERR539" s="268"/>
      <c r="ERS539" s="268"/>
      <c r="ERT539" s="268"/>
      <c r="ERU539" s="268"/>
      <c r="ERV539" s="268"/>
      <c r="ERW539" s="268"/>
      <c r="ERX539" s="268"/>
      <c r="ERY539" s="268"/>
      <c r="ERZ539" s="268"/>
      <c r="ESA539" s="268"/>
      <c r="ESB539" s="268"/>
      <c r="ESC539" s="268"/>
      <c r="ESD539" s="268"/>
      <c r="ESE539" s="268"/>
      <c r="ESF539" s="268"/>
      <c r="ESG539" s="268"/>
      <c r="ESH539" s="268"/>
      <c r="ESI539" s="268"/>
      <c r="ESJ539" s="268"/>
      <c r="ESK539" s="268"/>
      <c r="ESL539" s="268"/>
      <c r="ESM539" s="268"/>
      <c r="ESN539" s="268"/>
      <c r="ESO539" s="268"/>
      <c r="ESP539" s="268"/>
      <c r="ESQ539" s="268"/>
      <c r="ESR539" s="268"/>
      <c r="ESS539" s="268"/>
      <c r="EST539" s="268"/>
      <c r="ESU539" s="268"/>
      <c r="ESV539" s="268"/>
      <c r="ESW539" s="268"/>
      <c r="ESX539" s="268"/>
      <c r="ESY539" s="268"/>
      <c r="ESZ539" s="268"/>
      <c r="ETA539" s="268"/>
      <c r="ETB539" s="268"/>
      <c r="ETC539" s="268"/>
      <c r="ETD539" s="268"/>
      <c r="ETE539" s="268"/>
      <c r="ETF539" s="268"/>
      <c r="ETG539" s="268"/>
      <c r="ETH539" s="268"/>
      <c r="ETI539" s="268"/>
      <c r="ETJ539" s="268"/>
      <c r="ETK539" s="268"/>
      <c r="ETL539" s="268"/>
      <c r="ETM539" s="268"/>
      <c r="ETN539" s="268"/>
      <c r="ETO539" s="268"/>
      <c r="ETP539" s="268"/>
      <c r="ETQ539" s="268"/>
      <c r="ETR539" s="268"/>
      <c r="ETS539" s="268"/>
      <c r="ETT539" s="268"/>
      <c r="ETU539" s="268"/>
      <c r="ETV539" s="268"/>
      <c r="ETW539" s="268"/>
      <c r="ETX539" s="268"/>
      <c r="ETY539" s="268"/>
      <c r="ETZ539" s="268"/>
      <c r="EUA539" s="268"/>
      <c r="EUB539" s="268"/>
      <c r="EUC539" s="268"/>
      <c r="EUD539" s="268"/>
      <c r="EUE539" s="268"/>
      <c r="EUF539" s="268"/>
      <c r="EUG539" s="268"/>
      <c r="EUH539" s="268"/>
      <c r="EUI539" s="268"/>
      <c r="EUJ539" s="268"/>
      <c r="EUK539" s="268"/>
      <c r="EUL539" s="268"/>
      <c r="EUM539" s="268"/>
      <c r="EUN539" s="268"/>
      <c r="EUO539" s="268"/>
      <c r="EUP539" s="268"/>
      <c r="EUQ539" s="268"/>
      <c r="EUR539" s="268"/>
      <c r="EUS539" s="268"/>
      <c r="EUT539" s="268"/>
      <c r="EUU539" s="268"/>
      <c r="EUV539" s="268"/>
      <c r="EUW539" s="268"/>
      <c r="EUX539" s="268"/>
      <c r="EUY539" s="268"/>
      <c r="EUZ539" s="268"/>
      <c r="EVA539" s="268"/>
      <c r="EVB539" s="268"/>
      <c r="EVC539" s="268"/>
      <c r="EVD539" s="268"/>
      <c r="EVE539" s="268"/>
      <c r="EVF539" s="268"/>
      <c r="EVG539" s="268"/>
      <c r="EVH539" s="268"/>
      <c r="EVI539" s="268"/>
      <c r="EVJ539" s="268"/>
      <c r="EVK539" s="268"/>
      <c r="EVL539" s="268"/>
      <c r="EVM539" s="268"/>
      <c r="EVN539" s="268"/>
      <c r="EVO539" s="268"/>
      <c r="EVP539" s="268"/>
      <c r="EVQ539" s="268"/>
      <c r="EVR539" s="268"/>
      <c r="EVS539" s="268"/>
      <c r="EVT539" s="268"/>
      <c r="EVU539" s="268"/>
      <c r="EVV539" s="268"/>
      <c r="EVW539" s="268"/>
      <c r="EVX539" s="268"/>
      <c r="EVY539" s="268"/>
      <c r="EVZ539" s="268"/>
      <c r="EWA539" s="268"/>
      <c r="EWB539" s="268"/>
      <c r="EWC539" s="268"/>
      <c r="EWD539" s="268"/>
      <c r="EWE539" s="268"/>
      <c r="EWF539" s="268"/>
      <c r="EWG539" s="268"/>
      <c r="EWH539" s="268"/>
      <c r="EWI539" s="268"/>
      <c r="EWJ539" s="268"/>
      <c r="EWK539" s="268"/>
      <c r="EWL539" s="268"/>
      <c r="EWM539" s="268"/>
      <c r="EWN539" s="268"/>
      <c r="EWO539" s="268"/>
      <c r="EWP539" s="268"/>
      <c r="EWQ539" s="268"/>
      <c r="EWR539" s="268"/>
      <c r="EWS539" s="268"/>
      <c r="EWT539" s="268"/>
      <c r="EWU539" s="268"/>
      <c r="EWV539" s="268"/>
      <c r="EWW539" s="268"/>
      <c r="EWX539" s="268"/>
      <c r="EWY539" s="268"/>
      <c r="EWZ539" s="268"/>
      <c r="EXA539" s="268"/>
      <c r="EXB539" s="268"/>
      <c r="EXC539" s="268"/>
      <c r="EXD539" s="268"/>
      <c r="EXE539" s="268"/>
      <c r="EXF539" s="268"/>
      <c r="EXG539" s="268"/>
      <c r="EXH539" s="268"/>
      <c r="EXI539" s="268"/>
      <c r="EXJ539" s="268"/>
      <c r="EXK539" s="268"/>
      <c r="EXL539" s="268"/>
      <c r="EXM539" s="268"/>
      <c r="EXN539" s="268"/>
      <c r="EXO539" s="268"/>
      <c r="EXP539" s="268"/>
      <c r="EXQ539" s="268"/>
      <c r="EXR539" s="268"/>
      <c r="EXS539" s="268"/>
      <c r="EXT539" s="268"/>
      <c r="EXU539" s="268"/>
      <c r="EXV539" s="268"/>
      <c r="EXW539" s="268"/>
      <c r="EXX539" s="268"/>
      <c r="EXY539" s="268"/>
      <c r="EXZ539" s="268"/>
      <c r="EYA539" s="268"/>
      <c r="EYB539" s="268"/>
      <c r="EYC539" s="268"/>
      <c r="EYD539" s="268"/>
      <c r="EYE539" s="268"/>
      <c r="EYF539" s="268"/>
      <c r="EYG539" s="268"/>
      <c r="EYH539" s="268"/>
      <c r="EYI539" s="268"/>
      <c r="EYJ539" s="268"/>
      <c r="EYK539" s="268"/>
      <c r="EYL539" s="268"/>
      <c r="EYM539" s="268"/>
      <c r="EYN539" s="268"/>
      <c r="EYO539" s="268"/>
      <c r="EYP539" s="268"/>
      <c r="EYQ539" s="268"/>
      <c r="EYR539" s="268"/>
      <c r="EYS539" s="268"/>
      <c r="EYT539" s="268"/>
      <c r="EYU539" s="268"/>
      <c r="EYV539" s="268"/>
      <c r="EYW539" s="268"/>
      <c r="EYX539" s="268"/>
      <c r="EYY539" s="268"/>
      <c r="EYZ539" s="268"/>
      <c r="EZA539" s="268"/>
      <c r="EZB539" s="268"/>
      <c r="EZC539" s="268"/>
      <c r="EZD539" s="268"/>
      <c r="EZE539" s="268"/>
      <c r="EZF539" s="268"/>
      <c r="EZG539" s="268"/>
      <c r="EZH539" s="268"/>
      <c r="EZI539" s="268"/>
      <c r="EZJ539" s="268"/>
      <c r="EZK539" s="268"/>
      <c r="EZL539" s="268"/>
      <c r="EZM539" s="268"/>
      <c r="EZN539" s="268"/>
      <c r="EZO539" s="268"/>
      <c r="EZP539" s="268"/>
      <c r="EZQ539" s="268"/>
      <c r="EZR539" s="268"/>
      <c r="EZS539" s="268"/>
      <c r="EZT539" s="268"/>
      <c r="EZU539" s="268"/>
      <c r="EZV539" s="268"/>
      <c r="EZW539" s="268"/>
      <c r="EZX539" s="268"/>
      <c r="EZY539" s="268"/>
      <c r="EZZ539" s="268"/>
      <c r="FAA539" s="268"/>
      <c r="FAB539" s="268"/>
      <c r="FAC539" s="268"/>
      <c r="FAD539" s="268"/>
      <c r="FAE539" s="268"/>
      <c r="FAS539" s="268"/>
      <c r="FAT539" s="268"/>
      <c r="FAU539" s="268"/>
      <c r="FBI539" s="268"/>
      <c r="FBK539" s="268"/>
      <c r="FBL539" s="268"/>
      <c r="FBM539" s="268"/>
      <c r="FBN539" s="268"/>
      <c r="FBO539" s="268"/>
      <c r="FBP539" s="268"/>
      <c r="FBQ539" s="268"/>
      <c r="FBR539" s="268"/>
      <c r="FBS539" s="268"/>
      <c r="FBT539" s="268"/>
      <c r="FBU539" s="268"/>
      <c r="FBV539" s="268"/>
      <c r="FBW539" s="268"/>
      <c r="FBX539" s="268"/>
      <c r="FBY539" s="268"/>
      <c r="FBZ539" s="268"/>
      <c r="FCA539" s="268"/>
      <c r="FCB539" s="268"/>
      <c r="FCC539" s="268"/>
      <c r="FCD539" s="268"/>
      <c r="FCE539" s="268"/>
      <c r="FCF539" s="268"/>
      <c r="FCG539" s="268"/>
      <c r="FCH539" s="268"/>
      <c r="FCI539" s="268"/>
      <c r="FCJ539" s="268"/>
      <c r="FCK539" s="268"/>
      <c r="FCL539" s="268"/>
      <c r="FCM539" s="268"/>
      <c r="FCN539" s="268"/>
      <c r="FCO539" s="268"/>
      <c r="FCP539" s="268"/>
      <c r="FCQ539" s="268"/>
      <c r="FCR539" s="268"/>
      <c r="FCS539" s="268"/>
      <c r="FCT539" s="268"/>
      <c r="FCU539" s="268"/>
      <c r="FCV539" s="268"/>
      <c r="FCW539" s="268"/>
      <c r="FCX539" s="268"/>
      <c r="FCY539" s="268"/>
      <c r="FCZ539" s="268"/>
      <c r="FDA539" s="268"/>
      <c r="FDB539" s="268"/>
      <c r="FDC539" s="268"/>
      <c r="FDD539" s="268"/>
      <c r="FDE539" s="268"/>
      <c r="FDF539" s="268"/>
      <c r="FDG539" s="268"/>
      <c r="FDH539" s="268"/>
      <c r="FDI539" s="268"/>
      <c r="FDJ539" s="268"/>
      <c r="FDK539" s="268"/>
      <c r="FDL539" s="268"/>
      <c r="FDM539" s="268"/>
      <c r="FDN539" s="268"/>
      <c r="FDO539" s="268"/>
      <c r="FDP539" s="268"/>
      <c r="FDQ539" s="268"/>
      <c r="FDR539" s="268"/>
      <c r="FDS539" s="268"/>
      <c r="FDT539" s="268"/>
      <c r="FDU539" s="268"/>
      <c r="FDV539" s="268"/>
      <c r="FDW539" s="268"/>
      <c r="FDX539" s="268"/>
      <c r="FDY539" s="268"/>
      <c r="FDZ539" s="268"/>
      <c r="FEA539" s="268"/>
      <c r="FEB539" s="268"/>
      <c r="FEC539" s="268"/>
      <c r="FED539" s="268"/>
      <c r="FEE539" s="268"/>
      <c r="FEF539" s="268"/>
      <c r="FEG539" s="268"/>
      <c r="FEH539" s="268"/>
      <c r="FEI539" s="268"/>
      <c r="FEJ539" s="268"/>
      <c r="FEK539" s="268"/>
      <c r="FEL539" s="268"/>
      <c r="FEM539" s="268"/>
      <c r="FEN539" s="268"/>
      <c r="FEO539" s="268"/>
      <c r="FEP539" s="268"/>
      <c r="FEQ539" s="268"/>
      <c r="FER539" s="268"/>
      <c r="FES539" s="268"/>
      <c r="FET539" s="268"/>
      <c r="FEU539" s="268"/>
      <c r="FEV539" s="268"/>
      <c r="FEW539" s="268"/>
      <c r="FEX539" s="268"/>
      <c r="FEY539" s="268"/>
      <c r="FEZ539" s="268"/>
      <c r="FFA539" s="268"/>
      <c r="FFB539" s="268"/>
      <c r="FFC539" s="268"/>
      <c r="FFD539" s="268"/>
      <c r="FFE539" s="268"/>
      <c r="FFF539" s="268"/>
      <c r="FFG539" s="268"/>
      <c r="FFH539" s="268"/>
      <c r="FFI539" s="268"/>
      <c r="FFJ539" s="268"/>
      <c r="FFK539" s="268"/>
      <c r="FFL539" s="268"/>
      <c r="FFM539" s="268"/>
      <c r="FFN539" s="268"/>
      <c r="FFO539" s="268"/>
      <c r="FFP539" s="268"/>
      <c r="FFQ539" s="268"/>
      <c r="FFR539" s="268"/>
      <c r="FFS539" s="268"/>
      <c r="FFT539" s="268"/>
      <c r="FFU539" s="268"/>
      <c r="FFV539" s="268"/>
      <c r="FFW539" s="268"/>
      <c r="FFX539" s="268"/>
      <c r="FFY539" s="268"/>
      <c r="FFZ539" s="268"/>
      <c r="FGA539" s="268"/>
      <c r="FGB539" s="268"/>
      <c r="FGC539" s="268"/>
      <c r="FGD539" s="268"/>
      <c r="FGE539" s="268"/>
      <c r="FGF539" s="268"/>
      <c r="FGG539" s="268"/>
      <c r="FGH539" s="268"/>
      <c r="FGI539" s="268"/>
      <c r="FGJ539" s="268"/>
      <c r="FGK539" s="268"/>
      <c r="FGL539" s="268"/>
      <c r="FGM539" s="268"/>
      <c r="FGN539" s="268"/>
      <c r="FGO539" s="268"/>
      <c r="FGP539" s="268"/>
      <c r="FGQ539" s="268"/>
      <c r="FGR539" s="268"/>
      <c r="FGS539" s="268"/>
      <c r="FGT539" s="268"/>
      <c r="FGU539" s="268"/>
      <c r="FGV539" s="268"/>
      <c r="FGW539" s="268"/>
      <c r="FGX539" s="268"/>
      <c r="FGY539" s="268"/>
      <c r="FGZ539" s="268"/>
      <c r="FHA539" s="268"/>
      <c r="FHB539" s="268"/>
      <c r="FHC539" s="268"/>
      <c r="FHD539" s="268"/>
      <c r="FHE539" s="268"/>
      <c r="FHF539" s="268"/>
      <c r="FHG539" s="268"/>
      <c r="FHH539" s="268"/>
      <c r="FHI539" s="268"/>
      <c r="FHJ539" s="268"/>
      <c r="FHK539" s="268"/>
      <c r="FHL539" s="268"/>
      <c r="FHM539" s="268"/>
      <c r="FHN539" s="268"/>
      <c r="FHO539" s="268"/>
      <c r="FHP539" s="268"/>
      <c r="FHQ539" s="268"/>
      <c r="FHR539" s="268"/>
      <c r="FHS539" s="268"/>
      <c r="FHT539" s="268"/>
      <c r="FHU539" s="268"/>
      <c r="FHV539" s="268"/>
      <c r="FHW539" s="268"/>
      <c r="FHX539" s="268"/>
      <c r="FHY539" s="268"/>
      <c r="FHZ539" s="268"/>
      <c r="FIA539" s="268"/>
      <c r="FIB539" s="268"/>
      <c r="FIC539" s="268"/>
      <c r="FID539" s="268"/>
      <c r="FIE539" s="268"/>
      <c r="FIF539" s="268"/>
      <c r="FIG539" s="268"/>
      <c r="FIH539" s="268"/>
      <c r="FII539" s="268"/>
      <c r="FIJ539" s="268"/>
      <c r="FIK539" s="268"/>
      <c r="FIL539" s="268"/>
      <c r="FIM539" s="268"/>
      <c r="FIN539" s="268"/>
      <c r="FIO539" s="268"/>
      <c r="FIP539" s="268"/>
      <c r="FIQ539" s="268"/>
      <c r="FIR539" s="268"/>
      <c r="FIS539" s="268"/>
      <c r="FIT539" s="268"/>
      <c r="FIU539" s="268"/>
      <c r="FIV539" s="268"/>
      <c r="FIW539" s="268"/>
      <c r="FIX539" s="268"/>
      <c r="FIY539" s="268"/>
      <c r="FIZ539" s="268"/>
      <c r="FJA539" s="268"/>
      <c r="FJB539" s="268"/>
      <c r="FJC539" s="268"/>
      <c r="FJD539" s="268"/>
      <c r="FJE539" s="268"/>
      <c r="FJF539" s="268"/>
      <c r="FJG539" s="268"/>
      <c r="FJH539" s="268"/>
      <c r="FJI539" s="268"/>
      <c r="FJJ539" s="268"/>
      <c r="FJK539" s="268"/>
      <c r="FJL539" s="268"/>
      <c r="FJM539" s="268"/>
      <c r="FJN539" s="268"/>
      <c r="FJO539" s="268"/>
      <c r="FJP539" s="268"/>
      <c r="FJQ539" s="268"/>
      <c r="FJR539" s="268"/>
      <c r="FJS539" s="268"/>
      <c r="FJT539" s="268"/>
      <c r="FJU539" s="268"/>
      <c r="FJV539" s="268"/>
      <c r="FJW539" s="268"/>
      <c r="FJX539" s="268"/>
      <c r="FJY539" s="268"/>
      <c r="FJZ539" s="268"/>
      <c r="FKA539" s="268"/>
      <c r="FKO539" s="268"/>
      <c r="FKP539" s="268"/>
      <c r="FKQ539" s="268"/>
      <c r="FLE539" s="268"/>
      <c r="FLG539" s="268"/>
      <c r="FLH539" s="268"/>
      <c r="FLI539" s="268"/>
      <c r="FLJ539" s="268"/>
      <c r="FLK539" s="268"/>
      <c r="FLL539" s="268"/>
      <c r="FLM539" s="268"/>
      <c r="FLN539" s="268"/>
      <c r="FLO539" s="268"/>
      <c r="FLP539" s="268"/>
      <c r="FLQ539" s="268"/>
      <c r="FLR539" s="268"/>
      <c r="FLS539" s="268"/>
      <c r="FLT539" s="268"/>
      <c r="FLU539" s="268"/>
      <c r="FLV539" s="268"/>
      <c r="FLW539" s="268"/>
      <c r="FLX539" s="268"/>
      <c r="FLY539" s="268"/>
      <c r="FLZ539" s="268"/>
      <c r="FMA539" s="268"/>
      <c r="FMB539" s="268"/>
      <c r="FMC539" s="268"/>
      <c r="FMD539" s="268"/>
      <c r="FME539" s="268"/>
      <c r="FMF539" s="268"/>
      <c r="FMG539" s="268"/>
      <c r="FMH539" s="268"/>
      <c r="FMI539" s="268"/>
      <c r="FMJ539" s="268"/>
      <c r="FMK539" s="268"/>
      <c r="FML539" s="268"/>
      <c r="FMM539" s="268"/>
      <c r="FMN539" s="268"/>
      <c r="FMO539" s="268"/>
      <c r="FMP539" s="268"/>
      <c r="FMQ539" s="268"/>
      <c r="FMR539" s="268"/>
      <c r="FMS539" s="268"/>
      <c r="FMT539" s="268"/>
      <c r="FMU539" s="268"/>
      <c r="FMV539" s="268"/>
      <c r="FMW539" s="268"/>
      <c r="FMX539" s="268"/>
      <c r="FMY539" s="268"/>
      <c r="FMZ539" s="268"/>
      <c r="FNA539" s="268"/>
      <c r="FNB539" s="268"/>
      <c r="FNC539" s="268"/>
      <c r="FND539" s="268"/>
      <c r="FNE539" s="268"/>
      <c r="FNF539" s="268"/>
      <c r="FNG539" s="268"/>
      <c r="FNH539" s="268"/>
      <c r="FNI539" s="268"/>
      <c r="FNJ539" s="268"/>
      <c r="FNK539" s="268"/>
      <c r="FNL539" s="268"/>
      <c r="FNM539" s="268"/>
      <c r="FNN539" s="268"/>
      <c r="FNO539" s="268"/>
      <c r="FNP539" s="268"/>
      <c r="FNQ539" s="268"/>
      <c r="FNR539" s="268"/>
      <c r="FNS539" s="268"/>
      <c r="FNT539" s="268"/>
      <c r="FNU539" s="268"/>
      <c r="FNV539" s="268"/>
      <c r="FNW539" s="268"/>
      <c r="FNX539" s="268"/>
      <c r="FNY539" s="268"/>
      <c r="FNZ539" s="268"/>
      <c r="FOA539" s="268"/>
      <c r="FOB539" s="268"/>
      <c r="FOC539" s="268"/>
      <c r="FOD539" s="268"/>
      <c r="FOE539" s="268"/>
      <c r="FOF539" s="268"/>
      <c r="FOG539" s="268"/>
      <c r="FOH539" s="268"/>
      <c r="FOI539" s="268"/>
      <c r="FOJ539" s="268"/>
      <c r="FOK539" s="268"/>
      <c r="FOL539" s="268"/>
      <c r="FOM539" s="268"/>
      <c r="FON539" s="268"/>
      <c r="FOO539" s="268"/>
      <c r="FOP539" s="268"/>
      <c r="FOQ539" s="268"/>
      <c r="FOR539" s="268"/>
      <c r="FOS539" s="268"/>
      <c r="FOT539" s="268"/>
      <c r="FOU539" s="268"/>
      <c r="FOV539" s="268"/>
      <c r="FOW539" s="268"/>
      <c r="FOX539" s="268"/>
      <c r="FOY539" s="268"/>
      <c r="FOZ539" s="268"/>
      <c r="FPA539" s="268"/>
      <c r="FPB539" s="268"/>
      <c r="FPC539" s="268"/>
      <c r="FPD539" s="268"/>
      <c r="FPE539" s="268"/>
      <c r="FPF539" s="268"/>
      <c r="FPG539" s="268"/>
      <c r="FPH539" s="268"/>
      <c r="FPI539" s="268"/>
      <c r="FPJ539" s="268"/>
      <c r="FPK539" s="268"/>
      <c r="FPL539" s="268"/>
      <c r="FPM539" s="268"/>
      <c r="FPN539" s="268"/>
      <c r="FPO539" s="268"/>
      <c r="FPP539" s="268"/>
      <c r="FPQ539" s="268"/>
      <c r="FPR539" s="268"/>
      <c r="FPS539" s="268"/>
      <c r="FPT539" s="268"/>
      <c r="FPU539" s="268"/>
      <c r="FPV539" s="268"/>
      <c r="FPW539" s="268"/>
      <c r="FPX539" s="268"/>
      <c r="FPY539" s="268"/>
      <c r="FPZ539" s="268"/>
      <c r="FQA539" s="268"/>
      <c r="FQB539" s="268"/>
      <c r="FQC539" s="268"/>
      <c r="FQD539" s="268"/>
      <c r="FQE539" s="268"/>
      <c r="FQF539" s="268"/>
      <c r="FQG539" s="268"/>
      <c r="FQH539" s="268"/>
      <c r="FQI539" s="268"/>
      <c r="FQJ539" s="268"/>
      <c r="FQK539" s="268"/>
      <c r="FQL539" s="268"/>
      <c r="FQM539" s="268"/>
      <c r="FQN539" s="268"/>
      <c r="FQO539" s="268"/>
      <c r="FQP539" s="268"/>
      <c r="FQQ539" s="268"/>
      <c r="FQR539" s="268"/>
      <c r="FQS539" s="268"/>
      <c r="FQT539" s="268"/>
      <c r="FQU539" s="268"/>
      <c r="FQV539" s="268"/>
      <c r="FQW539" s="268"/>
      <c r="FQX539" s="268"/>
      <c r="FQY539" s="268"/>
      <c r="FQZ539" s="268"/>
      <c r="FRA539" s="268"/>
      <c r="FRB539" s="268"/>
      <c r="FRC539" s="268"/>
      <c r="FRD539" s="268"/>
      <c r="FRE539" s="268"/>
      <c r="FRF539" s="268"/>
      <c r="FRG539" s="268"/>
      <c r="FRH539" s="268"/>
      <c r="FRI539" s="268"/>
      <c r="FRJ539" s="268"/>
      <c r="FRK539" s="268"/>
      <c r="FRL539" s="268"/>
      <c r="FRM539" s="268"/>
      <c r="FRN539" s="268"/>
      <c r="FRO539" s="268"/>
      <c r="FRP539" s="268"/>
      <c r="FRQ539" s="268"/>
      <c r="FRR539" s="268"/>
      <c r="FRS539" s="268"/>
      <c r="FRT539" s="268"/>
      <c r="FRU539" s="268"/>
      <c r="FRV539" s="268"/>
      <c r="FRW539" s="268"/>
      <c r="FRX539" s="268"/>
      <c r="FRY539" s="268"/>
      <c r="FRZ539" s="268"/>
      <c r="FSA539" s="268"/>
      <c r="FSB539" s="268"/>
      <c r="FSC539" s="268"/>
      <c r="FSD539" s="268"/>
      <c r="FSE539" s="268"/>
      <c r="FSF539" s="268"/>
      <c r="FSG539" s="268"/>
      <c r="FSH539" s="268"/>
      <c r="FSI539" s="268"/>
      <c r="FSJ539" s="268"/>
      <c r="FSK539" s="268"/>
      <c r="FSL539" s="268"/>
      <c r="FSM539" s="268"/>
      <c r="FSN539" s="268"/>
      <c r="FSO539" s="268"/>
      <c r="FSP539" s="268"/>
      <c r="FSQ539" s="268"/>
      <c r="FSR539" s="268"/>
      <c r="FSS539" s="268"/>
      <c r="FST539" s="268"/>
      <c r="FSU539" s="268"/>
      <c r="FSV539" s="268"/>
      <c r="FSW539" s="268"/>
      <c r="FSX539" s="268"/>
      <c r="FSY539" s="268"/>
      <c r="FSZ539" s="268"/>
      <c r="FTA539" s="268"/>
      <c r="FTB539" s="268"/>
      <c r="FTC539" s="268"/>
      <c r="FTD539" s="268"/>
      <c r="FTE539" s="268"/>
      <c r="FTF539" s="268"/>
      <c r="FTG539" s="268"/>
      <c r="FTH539" s="268"/>
      <c r="FTI539" s="268"/>
      <c r="FTJ539" s="268"/>
      <c r="FTK539" s="268"/>
      <c r="FTL539" s="268"/>
      <c r="FTM539" s="268"/>
      <c r="FTN539" s="268"/>
      <c r="FTO539" s="268"/>
      <c r="FTP539" s="268"/>
      <c r="FTQ539" s="268"/>
      <c r="FTR539" s="268"/>
      <c r="FTS539" s="268"/>
      <c r="FTT539" s="268"/>
      <c r="FTU539" s="268"/>
      <c r="FTV539" s="268"/>
      <c r="FTW539" s="268"/>
      <c r="FUK539" s="268"/>
      <c r="FUL539" s="268"/>
      <c r="FUM539" s="268"/>
      <c r="FVA539" s="268"/>
      <c r="FVC539" s="268"/>
      <c r="FVD539" s="268"/>
      <c r="FVE539" s="268"/>
      <c r="FVF539" s="268"/>
      <c r="FVG539" s="268"/>
      <c r="FVH539" s="268"/>
      <c r="FVI539" s="268"/>
      <c r="FVJ539" s="268"/>
      <c r="FVK539" s="268"/>
      <c r="FVL539" s="268"/>
      <c r="FVM539" s="268"/>
      <c r="FVN539" s="268"/>
      <c r="FVO539" s="268"/>
      <c r="FVP539" s="268"/>
      <c r="FVQ539" s="268"/>
      <c r="FVR539" s="268"/>
      <c r="FVS539" s="268"/>
      <c r="FVT539" s="268"/>
      <c r="FVU539" s="268"/>
      <c r="FVV539" s="268"/>
      <c r="FVW539" s="268"/>
      <c r="FVX539" s="268"/>
      <c r="FVY539" s="268"/>
      <c r="FVZ539" s="268"/>
      <c r="FWA539" s="268"/>
      <c r="FWB539" s="268"/>
      <c r="FWC539" s="268"/>
      <c r="FWD539" s="268"/>
      <c r="FWE539" s="268"/>
      <c r="FWF539" s="268"/>
      <c r="FWG539" s="268"/>
      <c r="FWH539" s="268"/>
      <c r="FWI539" s="268"/>
      <c r="FWJ539" s="268"/>
      <c r="FWK539" s="268"/>
      <c r="FWL539" s="268"/>
      <c r="FWM539" s="268"/>
      <c r="FWN539" s="268"/>
      <c r="FWO539" s="268"/>
      <c r="FWP539" s="268"/>
      <c r="FWQ539" s="268"/>
      <c r="FWR539" s="268"/>
      <c r="FWS539" s="268"/>
      <c r="FWT539" s="268"/>
      <c r="FWU539" s="268"/>
      <c r="FWV539" s="268"/>
      <c r="FWW539" s="268"/>
      <c r="FWX539" s="268"/>
      <c r="FWY539" s="268"/>
      <c r="FWZ539" s="268"/>
      <c r="FXA539" s="268"/>
      <c r="FXB539" s="268"/>
      <c r="FXC539" s="268"/>
      <c r="FXD539" s="268"/>
      <c r="FXE539" s="268"/>
      <c r="FXF539" s="268"/>
      <c r="FXG539" s="268"/>
      <c r="FXH539" s="268"/>
      <c r="FXI539" s="268"/>
      <c r="FXJ539" s="268"/>
      <c r="FXK539" s="268"/>
      <c r="FXL539" s="268"/>
      <c r="FXM539" s="268"/>
      <c r="FXN539" s="268"/>
      <c r="FXO539" s="268"/>
      <c r="FXP539" s="268"/>
      <c r="FXQ539" s="268"/>
      <c r="FXR539" s="268"/>
      <c r="FXS539" s="268"/>
      <c r="FXT539" s="268"/>
      <c r="FXU539" s="268"/>
      <c r="FXV539" s="268"/>
      <c r="FXW539" s="268"/>
      <c r="FXX539" s="268"/>
      <c r="FXY539" s="268"/>
      <c r="FXZ539" s="268"/>
      <c r="FYA539" s="268"/>
      <c r="FYB539" s="268"/>
      <c r="FYC539" s="268"/>
      <c r="FYD539" s="268"/>
      <c r="FYE539" s="268"/>
      <c r="FYF539" s="268"/>
      <c r="FYG539" s="268"/>
      <c r="FYH539" s="268"/>
      <c r="FYI539" s="268"/>
      <c r="FYJ539" s="268"/>
      <c r="FYK539" s="268"/>
      <c r="FYL539" s="268"/>
      <c r="FYM539" s="268"/>
      <c r="FYN539" s="268"/>
      <c r="FYO539" s="268"/>
      <c r="FYP539" s="268"/>
      <c r="FYQ539" s="268"/>
      <c r="FYR539" s="268"/>
      <c r="FYS539" s="268"/>
      <c r="FYT539" s="268"/>
      <c r="FYU539" s="268"/>
      <c r="FYV539" s="268"/>
      <c r="FYW539" s="268"/>
      <c r="FYX539" s="268"/>
      <c r="FYY539" s="268"/>
      <c r="FYZ539" s="268"/>
      <c r="FZA539" s="268"/>
      <c r="FZB539" s="268"/>
      <c r="FZC539" s="268"/>
      <c r="FZD539" s="268"/>
      <c r="FZE539" s="268"/>
      <c r="FZF539" s="268"/>
      <c r="FZG539" s="268"/>
      <c r="FZH539" s="268"/>
      <c r="FZI539" s="268"/>
      <c r="FZJ539" s="268"/>
      <c r="FZK539" s="268"/>
      <c r="FZL539" s="268"/>
      <c r="FZM539" s="268"/>
      <c r="FZN539" s="268"/>
      <c r="FZO539" s="268"/>
      <c r="FZP539" s="268"/>
      <c r="FZQ539" s="268"/>
      <c r="FZR539" s="268"/>
      <c r="FZS539" s="268"/>
      <c r="FZT539" s="268"/>
      <c r="FZU539" s="268"/>
      <c r="FZV539" s="268"/>
      <c r="FZW539" s="268"/>
      <c r="FZX539" s="268"/>
      <c r="FZY539" s="268"/>
      <c r="FZZ539" s="268"/>
      <c r="GAA539" s="268"/>
      <c r="GAB539" s="268"/>
      <c r="GAC539" s="268"/>
      <c r="GAD539" s="268"/>
      <c r="GAE539" s="268"/>
      <c r="GAF539" s="268"/>
      <c r="GAG539" s="268"/>
      <c r="GAH539" s="268"/>
      <c r="GAI539" s="268"/>
      <c r="GAJ539" s="268"/>
      <c r="GAK539" s="268"/>
      <c r="GAL539" s="268"/>
      <c r="GAM539" s="268"/>
      <c r="GAN539" s="268"/>
      <c r="GAO539" s="268"/>
      <c r="GAP539" s="268"/>
      <c r="GAQ539" s="268"/>
      <c r="GAR539" s="268"/>
      <c r="GAS539" s="268"/>
      <c r="GAT539" s="268"/>
      <c r="GAU539" s="268"/>
      <c r="GAV539" s="268"/>
      <c r="GAW539" s="268"/>
      <c r="GAX539" s="268"/>
      <c r="GAY539" s="268"/>
      <c r="GAZ539" s="268"/>
      <c r="GBA539" s="268"/>
      <c r="GBB539" s="268"/>
      <c r="GBC539" s="268"/>
      <c r="GBD539" s="268"/>
      <c r="GBE539" s="268"/>
      <c r="GBF539" s="268"/>
      <c r="GBG539" s="268"/>
      <c r="GBH539" s="268"/>
      <c r="GBI539" s="268"/>
      <c r="GBJ539" s="268"/>
      <c r="GBK539" s="268"/>
      <c r="GBL539" s="268"/>
      <c r="GBM539" s="268"/>
      <c r="GBN539" s="268"/>
      <c r="GBO539" s="268"/>
      <c r="GBP539" s="268"/>
      <c r="GBQ539" s="268"/>
      <c r="GBR539" s="268"/>
      <c r="GBS539" s="268"/>
      <c r="GBT539" s="268"/>
      <c r="GBU539" s="268"/>
      <c r="GBV539" s="268"/>
      <c r="GBW539" s="268"/>
      <c r="GBX539" s="268"/>
      <c r="GBY539" s="268"/>
      <c r="GBZ539" s="268"/>
      <c r="GCA539" s="268"/>
      <c r="GCB539" s="268"/>
      <c r="GCC539" s="268"/>
      <c r="GCD539" s="268"/>
      <c r="GCE539" s="268"/>
      <c r="GCF539" s="268"/>
      <c r="GCG539" s="268"/>
      <c r="GCH539" s="268"/>
      <c r="GCI539" s="268"/>
      <c r="GCJ539" s="268"/>
      <c r="GCK539" s="268"/>
      <c r="GCL539" s="268"/>
      <c r="GCM539" s="268"/>
      <c r="GCN539" s="268"/>
      <c r="GCO539" s="268"/>
      <c r="GCP539" s="268"/>
      <c r="GCQ539" s="268"/>
      <c r="GCR539" s="268"/>
      <c r="GCS539" s="268"/>
      <c r="GCT539" s="268"/>
      <c r="GCU539" s="268"/>
      <c r="GCV539" s="268"/>
      <c r="GCW539" s="268"/>
      <c r="GCX539" s="268"/>
      <c r="GCY539" s="268"/>
      <c r="GCZ539" s="268"/>
      <c r="GDA539" s="268"/>
      <c r="GDB539" s="268"/>
      <c r="GDC539" s="268"/>
      <c r="GDD539" s="268"/>
      <c r="GDE539" s="268"/>
      <c r="GDF539" s="268"/>
      <c r="GDG539" s="268"/>
      <c r="GDH539" s="268"/>
      <c r="GDI539" s="268"/>
      <c r="GDJ539" s="268"/>
      <c r="GDK539" s="268"/>
      <c r="GDL539" s="268"/>
      <c r="GDM539" s="268"/>
      <c r="GDN539" s="268"/>
      <c r="GDO539" s="268"/>
      <c r="GDP539" s="268"/>
      <c r="GDQ539" s="268"/>
      <c r="GDR539" s="268"/>
      <c r="GDS539" s="268"/>
      <c r="GEG539" s="268"/>
      <c r="GEH539" s="268"/>
      <c r="GEI539" s="268"/>
      <c r="GEW539" s="268"/>
      <c r="GEY539" s="268"/>
      <c r="GEZ539" s="268"/>
      <c r="GFA539" s="268"/>
      <c r="GFB539" s="268"/>
      <c r="GFC539" s="268"/>
      <c r="GFD539" s="268"/>
      <c r="GFE539" s="268"/>
      <c r="GFF539" s="268"/>
      <c r="GFG539" s="268"/>
      <c r="GFH539" s="268"/>
      <c r="GFI539" s="268"/>
      <c r="GFJ539" s="268"/>
      <c r="GFK539" s="268"/>
      <c r="GFL539" s="268"/>
      <c r="GFM539" s="268"/>
      <c r="GFN539" s="268"/>
      <c r="GFO539" s="268"/>
      <c r="GFP539" s="268"/>
      <c r="GFQ539" s="268"/>
      <c r="GFR539" s="268"/>
      <c r="GFS539" s="268"/>
      <c r="GFT539" s="268"/>
      <c r="GFU539" s="268"/>
      <c r="GFV539" s="268"/>
      <c r="GFW539" s="268"/>
      <c r="GFX539" s="268"/>
      <c r="GFY539" s="268"/>
      <c r="GFZ539" s="268"/>
      <c r="GGA539" s="268"/>
      <c r="GGB539" s="268"/>
      <c r="GGC539" s="268"/>
      <c r="GGD539" s="268"/>
      <c r="GGE539" s="268"/>
      <c r="GGF539" s="268"/>
      <c r="GGG539" s="268"/>
      <c r="GGH539" s="268"/>
      <c r="GGI539" s="268"/>
      <c r="GGJ539" s="268"/>
      <c r="GGK539" s="268"/>
      <c r="GGL539" s="268"/>
      <c r="GGM539" s="268"/>
      <c r="GGN539" s="268"/>
      <c r="GGO539" s="268"/>
      <c r="GGP539" s="268"/>
      <c r="GGQ539" s="268"/>
      <c r="GGR539" s="268"/>
      <c r="GGS539" s="268"/>
      <c r="GGT539" s="268"/>
      <c r="GGU539" s="268"/>
      <c r="GGV539" s="268"/>
      <c r="GGW539" s="268"/>
      <c r="GGX539" s="268"/>
      <c r="GGY539" s="268"/>
      <c r="GGZ539" s="268"/>
      <c r="GHA539" s="268"/>
      <c r="GHB539" s="268"/>
      <c r="GHC539" s="268"/>
      <c r="GHD539" s="268"/>
      <c r="GHE539" s="268"/>
      <c r="GHF539" s="268"/>
      <c r="GHG539" s="268"/>
      <c r="GHH539" s="268"/>
      <c r="GHI539" s="268"/>
      <c r="GHJ539" s="268"/>
      <c r="GHK539" s="268"/>
      <c r="GHL539" s="268"/>
      <c r="GHM539" s="268"/>
      <c r="GHN539" s="268"/>
      <c r="GHO539" s="268"/>
      <c r="GHP539" s="268"/>
      <c r="GHQ539" s="268"/>
      <c r="GHR539" s="268"/>
      <c r="GHS539" s="268"/>
      <c r="GHT539" s="268"/>
      <c r="GHU539" s="268"/>
      <c r="GHV539" s="268"/>
      <c r="GHW539" s="268"/>
      <c r="GHX539" s="268"/>
      <c r="GHY539" s="268"/>
      <c r="GHZ539" s="268"/>
      <c r="GIA539" s="268"/>
      <c r="GIB539" s="268"/>
      <c r="GIC539" s="268"/>
      <c r="GID539" s="268"/>
      <c r="GIE539" s="268"/>
      <c r="GIF539" s="268"/>
      <c r="GIG539" s="268"/>
      <c r="GIH539" s="268"/>
      <c r="GII539" s="268"/>
      <c r="GIJ539" s="268"/>
      <c r="GIK539" s="268"/>
      <c r="GIL539" s="268"/>
      <c r="GIM539" s="268"/>
      <c r="GIN539" s="268"/>
      <c r="GIO539" s="268"/>
      <c r="GIP539" s="268"/>
      <c r="GIQ539" s="268"/>
      <c r="GIR539" s="268"/>
      <c r="GIS539" s="268"/>
      <c r="GIT539" s="268"/>
      <c r="GIU539" s="268"/>
      <c r="GIV539" s="268"/>
      <c r="GIW539" s="268"/>
      <c r="GIX539" s="268"/>
      <c r="GIY539" s="268"/>
      <c r="GIZ539" s="268"/>
      <c r="GJA539" s="268"/>
      <c r="GJB539" s="268"/>
      <c r="GJC539" s="268"/>
      <c r="GJD539" s="268"/>
      <c r="GJE539" s="268"/>
      <c r="GJF539" s="268"/>
      <c r="GJG539" s="268"/>
      <c r="GJH539" s="268"/>
      <c r="GJI539" s="268"/>
      <c r="GJJ539" s="268"/>
      <c r="GJK539" s="268"/>
      <c r="GJL539" s="268"/>
      <c r="GJM539" s="268"/>
      <c r="GJN539" s="268"/>
      <c r="GJO539" s="268"/>
      <c r="GJP539" s="268"/>
      <c r="GJQ539" s="268"/>
      <c r="GJR539" s="268"/>
      <c r="GJS539" s="268"/>
      <c r="GJT539" s="268"/>
      <c r="GJU539" s="268"/>
      <c r="GJV539" s="268"/>
      <c r="GJW539" s="268"/>
      <c r="GJX539" s="268"/>
      <c r="GJY539" s="268"/>
      <c r="GJZ539" s="268"/>
      <c r="GKA539" s="268"/>
      <c r="GKB539" s="268"/>
      <c r="GKC539" s="268"/>
      <c r="GKD539" s="268"/>
      <c r="GKE539" s="268"/>
      <c r="GKF539" s="268"/>
      <c r="GKG539" s="268"/>
      <c r="GKH539" s="268"/>
      <c r="GKI539" s="268"/>
      <c r="GKJ539" s="268"/>
      <c r="GKK539" s="268"/>
      <c r="GKL539" s="268"/>
      <c r="GKM539" s="268"/>
      <c r="GKN539" s="268"/>
      <c r="GKO539" s="268"/>
      <c r="GKP539" s="268"/>
      <c r="GKQ539" s="268"/>
      <c r="GKR539" s="268"/>
      <c r="GKS539" s="268"/>
      <c r="GKT539" s="268"/>
      <c r="GKU539" s="268"/>
      <c r="GKV539" s="268"/>
      <c r="GKW539" s="268"/>
      <c r="GKX539" s="268"/>
      <c r="GKY539" s="268"/>
      <c r="GKZ539" s="268"/>
      <c r="GLA539" s="268"/>
      <c r="GLB539" s="268"/>
      <c r="GLC539" s="268"/>
      <c r="GLD539" s="268"/>
      <c r="GLE539" s="268"/>
      <c r="GLF539" s="268"/>
      <c r="GLG539" s="268"/>
      <c r="GLH539" s="268"/>
      <c r="GLI539" s="268"/>
      <c r="GLJ539" s="268"/>
      <c r="GLK539" s="268"/>
      <c r="GLL539" s="268"/>
      <c r="GLM539" s="268"/>
      <c r="GLN539" s="268"/>
      <c r="GLO539" s="268"/>
      <c r="GLP539" s="268"/>
      <c r="GLQ539" s="268"/>
      <c r="GLR539" s="268"/>
      <c r="GLS539" s="268"/>
      <c r="GLT539" s="268"/>
      <c r="GLU539" s="268"/>
      <c r="GLV539" s="268"/>
      <c r="GLW539" s="268"/>
      <c r="GLX539" s="268"/>
      <c r="GLY539" s="268"/>
      <c r="GLZ539" s="268"/>
      <c r="GMA539" s="268"/>
      <c r="GMB539" s="268"/>
      <c r="GMC539" s="268"/>
      <c r="GMD539" s="268"/>
      <c r="GME539" s="268"/>
      <c r="GMF539" s="268"/>
      <c r="GMG539" s="268"/>
      <c r="GMH539" s="268"/>
      <c r="GMI539" s="268"/>
      <c r="GMJ539" s="268"/>
      <c r="GMK539" s="268"/>
      <c r="GML539" s="268"/>
      <c r="GMM539" s="268"/>
      <c r="GMN539" s="268"/>
      <c r="GMO539" s="268"/>
      <c r="GMP539" s="268"/>
      <c r="GMQ539" s="268"/>
      <c r="GMR539" s="268"/>
      <c r="GMS539" s="268"/>
      <c r="GMT539" s="268"/>
      <c r="GMU539" s="268"/>
      <c r="GMV539" s="268"/>
      <c r="GMW539" s="268"/>
      <c r="GMX539" s="268"/>
      <c r="GMY539" s="268"/>
      <c r="GMZ539" s="268"/>
      <c r="GNA539" s="268"/>
      <c r="GNB539" s="268"/>
      <c r="GNC539" s="268"/>
      <c r="GND539" s="268"/>
      <c r="GNE539" s="268"/>
      <c r="GNF539" s="268"/>
      <c r="GNG539" s="268"/>
      <c r="GNH539" s="268"/>
      <c r="GNI539" s="268"/>
      <c r="GNJ539" s="268"/>
      <c r="GNK539" s="268"/>
      <c r="GNL539" s="268"/>
      <c r="GNM539" s="268"/>
      <c r="GNN539" s="268"/>
      <c r="GNO539" s="268"/>
      <c r="GOC539" s="268"/>
      <c r="GOD539" s="268"/>
      <c r="GOE539" s="268"/>
      <c r="GOS539" s="268"/>
      <c r="GOU539" s="268"/>
      <c r="GOV539" s="268"/>
      <c r="GOW539" s="268"/>
      <c r="GOX539" s="268"/>
      <c r="GOY539" s="268"/>
      <c r="GOZ539" s="268"/>
      <c r="GPA539" s="268"/>
      <c r="GPB539" s="268"/>
      <c r="GPC539" s="268"/>
      <c r="GPD539" s="268"/>
      <c r="GPE539" s="268"/>
      <c r="GPF539" s="268"/>
      <c r="GPG539" s="268"/>
      <c r="GPH539" s="268"/>
      <c r="GPI539" s="268"/>
      <c r="GPJ539" s="268"/>
      <c r="GPK539" s="268"/>
      <c r="GPL539" s="268"/>
      <c r="GPM539" s="268"/>
      <c r="GPN539" s="268"/>
      <c r="GPO539" s="268"/>
      <c r="GPP539" s="268"/>
      <c r="GPQ539" s="268"/>
      <c r="GPR539" s="268"/>
      <c r="GPS539" s="268"/>
      <c r="GPT539" s="268"/>
      <c r="GPU539" s="268"/>
      <c r="GPV539" s="268"/>
      <c r="GPW539" s="268"/>
      <c r="GPX539" s="268"/>
      <c r="GPY539" s="268"/>
      <c r="GPZ539" s="268"/>
      <c r="GQA539" s="268"/>
      <c r="GQB539" s="268"/>
      <c r="GQC539" s="268"/>
      <c r="GQD539" s="268"/>
      <c r="GQE539" s="268"/>
      <c r="GQF539" s="268"/>
      <c r="GQG539" s="268"/>
      <c r="GQH539" s="268"/>
      <c r="GQI539" s="268"/>
      <c r="GQJ539" s="268"/>
      <c r="GQK539" s="268"/>
      <c r="GQL539" s="268"/>
      <c r="GQM539" s="268"/>
      <c r="GQN539" s="268"/>
      <c r="GQO539" s="268"/>
      <c r="GQP539" s="268"/>
      <c r="GQQ539" s="268"/>
      <c r="GQR539" s="268"/>
      <c r="GQS539" s="268"/>
      <c r="GQT539" s="268"/>
      <c r="GQU539" s="268"/>
      <c r="GQV539" s="268"/>
      <c r="GQW539" s="268"/>
      <c r="GQX539" s="268"/>
      <c r="GQY539" s="268"/>
      <c r="GQZ539" s="268"/>
      <c r="GRA539" s="268"/>
      <c r="GRB539" s="268"/>
      <c r="GRC539" s="268"/>
      <c r="GRD539" s="268"/>
      <c r="GRE539" s="268"/>
      <c r="GRF539" s="268"/>
      <c r="GRG539" s="268"/>
      <c r="GRH539" s="268"/>
      <c r="GRI539" s="268"/>
      <c r="GRJ539" s="268"/>
      <c r="GRK539" s="268"/>
      <c r="GRL539" s="268"/>
      <c r="GRM539" s="268"/>
      <c r="GRN539" s="268"/>
      <c r="GRO539" s="268"/>
      <c r="GRP539" s="268"/>
      <c r="GRQ539" s="268"/>
      <c r="GRR539" s="268"/>
      <c r="GRS539" s="268"/>
      <c r="GRT539" s="268"/>
      <c r="GRU539" s="268"/>
      <c r="GRV539" s="268"/>
      <c r="GRW539" s="268"/>
      <c r="GRX539" s="268"/>
      <c r="GRY539" s="268"/>
      <c r="GRZ539" s="268"/>
      <c r="GSA539" s="268"/>
      <c r="GSB539" s="268"/>
      <c r="GSC539" s="268"/>
      <c r="GSD539" s="268"/>
      <c r="GSE539" s="268"/>
      <c r="GSF539" s="268"/>
      <c r="GSG539" s="268"/>
      <c r="GSH539" s="268"/>
      <c r="GSI539" s="268"/>
      <c r="GSJ539" s="268"/>
      <c r="GSK539" s="268"/>
      <c r="GSL539" s="268"/>
      <c r="GSM539" s="268"/>
      <c r="GSN539" s="268"/>
      <c r="GSO539" s="268"/>
      <c r="GSP539" s="268"/>
      <c r="GSQ539" s="268"/>
      <c r="GSR539" s="268"/>
      <c r="GSS539" s="268"/>
      <c r="GST539" s="268"/>
      <c r="GSU539" s="268"/>
      <c r="GSV539" s="268"/>
      <c r="GSW539" s="268"/>
      <c r="GSX539" s="268"/>
      <c r="GSY539" s="268"/>
      <c r="GSZ539" s="268"/>
      <c r="GTA539" s="268"/>
      <c r="GTB539" s="268"/>
      <c r="GTC539" s="268"/>
      <c r="GTD539" s="268"/>
      <c r="GTE539" s="268"/>
      <c r="GTF539" s="268"/>
      <c r="GTG539" s="268"/>
      <c r="GTH539" s="268"/>
      <c r="GTI539" s="268"/>
      <c r="GTJ539" s="268"/>
      <c r="GTK539" s="268"/>
      <c r="GTL539" s="268"/>
      <c r="GTM539" s="268"/>
      <c r="GTN539" s="268"/>
      <c r="GTO539" s="268"/>
      <c r="GTP539" s="268"/>
      <c r="GTQ539" s="268"/>
      <c r="GTR539" s="268"/>
      <c r="GTS539" s="268"/>
      <c r="GTT539" s="268"/>
      <c r="GTU539" s="268"/>
      <c r="GTV539" s="268"/>
      <c r="GTW539" s="268"/>
      <c r="GTX539" s="268"/>
      <c r="GTY539" s="268"/>
      <c r="GTZ539" s="268"/>
      <c r="GUA539" s="268"/>
      <c r="GUB539" s="268"/>
      <c r="GUC539" s="268"/>
      <c r="GUD539" s="268"/>
      <c r="GUE539" s="268"/>
      <c r="GUF539" s="268"/>
      <c r="GUG539" s="268"/>
      <c r="GUH539" s="268"/>
      <c r="GUI539" s="268"/>
      <c r="GUJ539" s="268"/>
      <c r="GUK539" s="268"/>
      <c r="GUL539" s="268"/>
      <c r="GUM539" s="268"/>
      <c r="GUN539" s="268"/>
      <c r="GUO539" s="268"/>
      <c r="GUP539" s="268"/>
      <c r="GUQ539" s="268"/>
      <c r="GUR539" s="268"/>
      <c r="GUS539" s="268"/>
      <c r="GUT539" s="268"/>
      <c r="GUU539" s="268"/>
      <c r="GUV539" s="268"/>
      <c r="GUW539" s="268"/>
      <c r="GUX539" s="268"/>
      <c r="GUY539" s="268"/>
      <c r="GUZ539" s="268"/>
      <c r="GVA539" s="268"/>
      <c r="GVB539" s="268"/>
      <c r="GVC539" s="268"/>
      <c r="GVD539" s="268"/>
      <c r="GVE539" s="268"/>
      <c r="GVF539" s="268"/>
      <c r="GVG539" s="268"/>
      <c r="GVH539" s="268"/>
      <c r="GVI539" s="268"/>
      <c r="GVJ539" s="268"/>
      <c r="GVK539" s="268"/>
      <c r="GVL539" s="268"/>
      <c r="GVM539" s="268"/>
      <c r="GVN539" s="268"/>
      <c r="GVO539" s="268"/>
      <c r="GVP539" s="268"/>
      <c r="GVQ539" s="268"/>
      <c r="GVR539" s="268"/>
      <c r="GVS539" s="268"/>
      <c r="GVT539" s="268"/>
      <c r="GVU539" s="268"/>
      <c r="GVV539" s="268"/>
      <c r="GVW539" s="268"/>
      <c r="GVX539" s="268"/>
      <c r="GVY539" s="268"/>
      <c r="GVZ539" s="268"/>
      <c r="GWA539" s="268"/>
      <c r="GWB539" s="268"/>
      <c r="GWC539" s="268"/>
      <c r="GWD539" s="268"/>
      <c r="GWE539" s="268"/>
      <c r="GWF539" s="268"/>
      <c r="GWG539" s="268"/>
      <c r="GWH539" s="268"/>
      <c r="GWI539" s="268"/>
      <c r="GWJ539" s="268"/>
      <c r="GWK539" s="268"/>
      <c r="GWL539" s="268"/>
      <c r="GWM539" s="268"/>
      <c r="GWN539" s="268"/>
      <c r="GWO539" s="268"/>
      <c r="GWP539" s="268"/>
      <c r="GWQ539" s="268"/>
      <c r="GWR539" s="268"/>
      <c r="GWS539" s="268"/>
      <c r="GWT539" s="268"/>
      <c r="GWU539" s="268"/>
      <c r="GWV539" s="268"/>
      <c r="GWW539" s="268"/>
      <c r="GWX539" s="268"/>
      <c r="GWY539" s="268"/>
      <c r="GWZ539" s="268"/>
      <c r="GXA539" s="268"/>
      <c r="GXB539" s="268"/>
      <c r="GXC539" s="268"/>
      <c r="GXD539" s="268"/>
      <c r="GXE539" s="268"/>
      <c r="GXF539" s="268"/>
      <c r="GXG539" s="268"/>
      <c r="GXH539" s="268"/>
      <c r="GXI539" s="268"/>
      <c r="GXJ539" s="268"/>
      <c r="GXK539" s="268"/>
      <c r="GXY539" s="268"/>
      <c r="GXZ539" s="268"/>
      <c r="GYA539" s="268"/>
      <c r="GYO539" s="268"/>
      <c r="GYQ539" s="268"/>
      <c r="GYR539" s="268"/>
      <c r="GYS539" s="268"/>
      <c r="GYT539" s="268"/>
      <c r="GYU539" s="268"/>
      <c r="GYV539" s="268"/>
      <c r="GYW539" s="268"/>
      <c r="GYX539" s="268"/>
      <c r="GYY539" s="268"/>
      <c r="GYZ539" s="268"/>
      <c r="GZA539" s="268"/>
      <c r="GZB539" s="268"/>
      <c r="GZC539" s="268"/>
      <c r="GZD539" s="268"/>
      <c r="GZE539" s="268"/>
      <c r="GZF539" s="268"/>
      <c r="GZG539" s="268"/>
      <c r="GZH539" s="268"/>
      <c r="GZI539" s="268"/>
      <c r="GZJ539" s="268"/>
      <c r="GZK539" s="268"/>
      <c r="GZL539" s="268"/>
      <c r="GZM539" s="268"/>
      <c r="GZN539" s="268"/>
      <c r="GZO539" s="268"/>
      <c r="GZP539" s="268"/>
      <c r="GZQ539" s="268"/>
      <c r="GZR539" s="268"/>
      <c r="GZS539" s="268"/>
      <c r="GZT539" s="268"/>
      <c r="GZU539" s="268"/>
      <c r="GZV539" s="268"/>
      <c r="GZW539" s="268"/>
      <c r="GZX539" s="268"/>
      <c r="GZY539" s="268"/>
      <c r="GZZ539" s="268"/>
      <c r="HAA539" s="268"/>
      <c r="HAB539" s="268"/>
      <c r="HAC539" s="268"/>
      <c r="HAD539" s="268"/>
      <c r="HAE539" s="268"/>
      <c r="HAF539" s="268"/>
      <c r="HAG539" s="268"/>
      <c r="HAH539" s="268"/>
      <c r="HAI539" s="268"/>
      <c r="HAJ539" s="268"/>
      <c r="HAK539" s="268"/>
      <c r="HAL539" s="268"/>
      <c r="HAM539" s="268"/>
      <c r="HAN539" s="268"/>
      <c r="HAO539" s="268"/>
      <c r="HAP539" s="268"/>
      <c r="HAQ539" s="268"/>
      <c r="HAR539" s="268"/>
      <c r="HAS539" s="268"/>
      <c r="HAT539" s="268"/>
      <c r="HAU539" s="268"/>
      <c r="HAV539" s="268"/>
      <c r="HAW539" s="268"/>
      <c r="HAX539" s="268"/>
      <c r="HAY539" s="268"/>
      <c r="HAZ539" s="268"/>
      <c r="HBA539" s="268"/>
      <c r="HBB539" s="268"/>
      <c r="HBC539" s="268"/>
      <c r="HBD539" s="268"/>
      <c r="HBE539" s="268"/>
      <c r="HBF539" s="268"/>
      <c r="HBG539" s="268"/>
      <c r="HBH539" s="268"/>
      <c r="HBI539" s="268"/>
      <c r="HBJ539" s="268"/>
      <c r="HBK539" s="268"/>
      <c r="HBL539" s="268"/>
      <c r="HBM539" s="268"/>
      <c r="HBN539" s="268"/>
      <c r="HBO539" s="268"/>
      <c r="HBP539" s="268"/>
      <c r="HBQ539" s="268"/>
      <c r="HBR539" s="268"/>
      <c r="HBS539" s="268"/>
      <c r="HBT539" s="268"/>
      <c r="HBU539" s="268"/>
      <c r="HBV539" s="268"/>
      <c r="HBW539" s="268"/>
      <c r="HBX539" s="268"/>
      <c r="HBY539" s="268"/>
      <c r="HBZ539" s="268"/>
      <c r="HCA539" s="268"/>
      <c r="HCB539" s="268"/>
      <c r="HCC539" s="268"/>
      <c r="HCD539" s="268"/>
      <c r="HCE539" s="268"/>
      <c r="HCF539" s="268"/>
      <c r="HCG539" s="268"/>
      <c r="HCH539" s="268"/>
      <c r="HCI539" s="268"/>
      <c r="HCJ539" s="268"/>
      <c r="HCK539" s="268"/>
      <c r="HCL539" s="268"/>
      <c r="HCM539" s="268"/>
      <c r="HCN539" s="268"/>
      <c r="HCO539" s="268"/>
      <c r="HCP539" s="268"/>
      <c r="HCQ539" s="268"/>
      <c r="HCR539" s="268"/>
      <c r="HCS539" s="268"/>
      <c r="HCT539" s="268"/>
      <c r="HCU539" s="268"/>
      <c r="HCV539" s="268"/>
      <c r="HCW539" s="268"/>
      <c r="HCX539" s="268"/>
      <c r="HCY539" s="268"/>
      <c r="HCZ539" s="268"/>
      <c r="HDA539" s="268"/>
      <c r="HDB539" s="268"/>
      <c r="HDC539" s="268"/>
      <c r="HDD539" s="268"/>
      <c r="HDE539" s="268"/>
      <c r="HDF539" s="268"/>
      <c r="HDG539" s="268"/>
      <c r="HDH539" s="268"/>
      <c r="HDI539" s="268"/>
      <c r="HDJ539" s="268"/>
      <c r="HDK539" s="268"/>
      <c r="HDL539" s="268"/>
      <c r="HDM539" s="268"/>
      <c r="HDN539" s="268"/>
      <c r="HDO539" s="268"/>
      <c r="HDP539" s="268"/>
      <c r="HDQ539" s="268"/>
      <c r="HDR539" s="268"/>
      <c r="HDS539" s="268"/>
      <c r="HDT539" s="268"/>
      <c r="HDU539" s="268"/>
      <c r="HDV539" s="268"/>
      <c r="HDW539" s="268"/>
      <c r="HDX539" s="268"/>
      <c r="HDY539" s="268"/>
      <c r="HDZ539" s="268"/>
      <c r="HEA539" s="268"/>
      <c r="HEB539" s="268"/>
      <c r="HEC539" s="268"/>
      <c r="HED539" s="268"/>
      <c r="HEE539" s="268"/>
      <c r="HEF539" s="268"/>
      <c r="HEG539" s="268"/>
      <c r="HEH539" s="268"/>
      <c r="HEI539" s="268"/>
      <c r="HEJ539" s="268"/>
      <c r="HEK539" s="268"/>
      <c r="HEL539" s="268"/>
      <c r="HEM539" s="268"/>
      <c r="HEN539" s="268"/>
      <c r="HEO539" s="268"/>
      <c r="HEP539" s="268"/>
      <c r="HEQ539" s="268"/>
      <c r="HER539" s="268"/>
      <c r="HES539" s="268"/>
      <c r="HET539" s="268"/>
      <c r="HEU539" s="268"/>
      <c r="HEV539" s="268"/>
      <c r="HEW539" s="268"/>
      <c r="HEX539" s="268"/>
      <c r="HEY539" s="268"/>
      <c r="HEZ539" s="268"/>
      <c r="HFA539" s="268"/>
      <c r="HFB539" s="268"/>
      <c r="HFC539" s="268"/>
      <c r="HFD539" s="268"/>
      <c r="HFE539" s="268"/>
      <c r="HFF539" s="268"/>
      <c r="HFG539" s="268"/>
      <c r="HFH539" s="268"/>
      <c r="HFI539" s="268"/>
      <c r="HFJ539" s="268"/>
      <c r="HFK539" s="268"/>
      <c r="HFL539" s="268"/>
      <c r="HFM539" s="268"/>
      <c r="HFN539" s="268"/>
      <c r="HFO539" s="268"/>
      <c r="HFP539" s="268"/>
      <c r="HFQ539" s="268"/>
      <c r="HFR539" s="268"/>
      <c r="HFS539" s="268"/>
      <c r="HFT539" s="268"/>
      <c r="HFU539" s="268"/>
      <c r="HFV539" s="268"/>
      <c r="HFW539" s="268"/>
      <c r="HFX539" s="268"/>
      <c r="HFY539" s="268"/>
      <c r="HFZ539" s="268"/>
      <c r="HGA539" s="268"/>
      <c r="HGB539" s="268"/>
      <c r="HGC539" s="268"/>
      <c r="HGD539" s="268"/>
      <c r="HGE539" s="268"/>
      <c r="HGF539" s="268"/>
      <c r="HGG539" s="268"/>
      <c r="HGH539" s="268"/>
      <c r="HGI539" s="268"/>
      <c r="HGJ539" s="268"/>
      <c r="HGK539" s="268"/>
      <c r="HGL539" s="268"/>
      <c r="HGM539" s="268"/>
      <c r="HGN539" s="268"/>
      <c r="HGO539" s="268"/>
      <c r="HGP539" s="268"/>
      <c r="HGQ539" s="268"/>
      <c r="HGR539" s="268"/>
      <c r="HGS539" s="268"/>
      <c r="HGT539" s="268"/>
      <c r="HGU539" s="268"/>
      <c r="HGV539" s="268"/>
      <c r="HGW539" s="268"/>
      <c r="HGX539" s="268"/>
      <c r="HGY539" s="268"/>
      <c r="HGZ539" s="268"/>
      <c r="HHA539" s="268"/>
      <c r="HHB539" s="268"/>
      <c r="HHC539" s="268"/>
      <c r="HHD539" s="268"/>
      <c r="HHE539" s="268"/>
      <c r="HHF539" s="268"/>
      <c r="HHG539" s="268"/>
      <c r="HHU539" s="268"/>
      <c r="HHV539" s="268"/>
      <c r="HHW539" s="268"/>
      <c r="HIK539" s="268"/>
      <c r="HIM539" s="268"/>
      <c r="HIN539" s="268"/>
      <c r="HIO539" s="268"/>
      <c r="HIP539" s="268"/>
      <c r="HIQ539" s="268"/>
      <c r="HIR539" s="268"/>
      <c r="HIS539" s="268"/>
      <c r="HIT539" s="268"/>
      <c r="HIU539" s="268"/>
      <c r="HIV539" s="268"/>
      <c r="HIW539" s="268"/>
      <c r="HIX539" s="268"/>
      <c r="HIY539" s="268"/>
      <c r="HIZ539" s="268"/>
      <c r="HJA539" s="268"/>
      <c r="HJB539" s="268"/>
      <c r="HJC539" s="268"/>
      <c r="HJD539" s="268"/>
      <c r="HJE539" s="268"/>
      <c r="HJF539" s="268"/>
      <c r="HJG539" s="268"/>
      <c r="HJH539" s="268"/>
      <c r="HJI539" s="268"/>
      <c r="HJJ539" s="268"/>
      <c r="HJK539" s="268"/>
      <c r="HJL539" s="268"/>
      <c r="HJM539" s="268"/>
      <c r="HJN539" s="268"/>
      <c r="HJO539" s="268"/>
      <c r="HJP539" s="268"/>
      <c r="HJQ539" s="268"/>
      <c r="HJR539" s="268"/>
      <c r="HJS539" s="268"/>
      <c r="HJT539" s="268"/>
      <c r="HJU539" s="268"/>
      <c r="HJV539" s="268"/>
      <c r="HJW539" s="268"/>
      <c r="HJX539" s="268"/>
      <c r="HJY539" s="268"/>
      <c r="HJZ539" s="268"/>
      <c r="HKA539" s="268"/>
      <c r="HKB539" s="268"/>
      <c r="HKC539" s="268"/>
      <c r="HKD539" s="268"/>
      <c r="HKE539" s="268"/>
      <c r="HKF539" s="268"/>
      <c r="HKG539" s="268"/>
      <c r="HKH539" s="268"/>
      <c r="HKI539" s="268"/>
      <c r="HKJ539" s="268"/>
      <c r="HKK539" s="268"/>
      <c r="HKL539" s="268"/>
      <c r="HKM539" s="268"/>
      <c r="HKN539" s="268"/>
      <c r="HKO539" s="268"/>
      <c r="HKP539" s="268"/>
      <c r="HKQ539" s="268"/>
      <c r="HKR539" s="268"/>
      <c r="HKS539" s="268"/>
      <c r="HKT539" s="268"/>
      <c r="HKU539" s="268"/>
      <c r="HKV539" s="268"/>
      <c r="HKW539" s="268"/>
      <c r="HKX539" s="268"/>
      <c r="HKY539" s="268"/>
      <c r="HKZ539" s="268"/>
      <c r="HLA539" s="268"/>
      <c r="HLB539" s="268"/>
      <c r="HLC539" s="268"/>
      <c r="HLD539" s="268"/>
      <c r="HLE539" s="268"/>
      <c r="HLF539" s="268"/>
      <c r="HLG539" s="268"/>
      <c r="HLH539" s="268"/>
      <c r="HLI539" s="268"/>
      <c r="HLJ539" s="268"/>
      <c r="HLK539" s="268"/>
      <c r="HLL539" s="268"/>
      <c r="HLM539" s="268"/>
      <c r="HLN539" s="268"/>
      <c r="HLO539" s="268"/>
      <c r="HLP539" s="268"/>
      <c r="HLQ539" s="268"/>
      <c r="HLR539" s="268"/>
      <c r="HLS539" s="268"/>
      <c r="HLT539" s="268"/>
      <c r="HLU539" s="268"/>
      <c r="HLV539" s="268"/>
      <c r="HLW539" s="268"/>
      <c r="HLX539" s="268"/>
      <c r="HLY539" s="268"/>
      <c r="HLZ539" s="268"/>
      <c r="HMA539" s="268"/>
      <c r="HMB539" s="268"/>
      <c r="HMC539" s="268"/>
      <c r="HMD539" s="268"/>
      <c r="HME539" s="268"/>
      <c r="HMF539" s="268"/>
      <c r="HMG539" s="268"/>
      <c r="HMH539" s="268"/>
      <c r="HMI539" s="268"/>
      <c r="HMJ539" s="268"/>
      <c r="HMK539" s="268"/>
      <c r="HML539" s="268"/>
      <c r="HMM539" s="268"/>
      <c r="HMN539" s="268"/>
      <c r="HMO539" s="268"/>
      <c r="HMP539" s="268"/>
      <c r="HMQ539" s="268"/>
      <c r="HMR539" s="268"/>
      <c r="HMS539" s="268"/>
      <c r="HMT539" s="268"/>
      <c r="HMU539" s="268"/>
      <c r="HMV539" s="268"/>
      <c r="HMW539" s="268"/>
      <c r="HMX539" s="268"/>
      <c r="HMY539" s="268"/>
      <c r="HMZ539" s="268"/>
      <c r="HNA539" s="268"/>
      <c r="HNB539" s="268"/>
      <c r="HNC539" s="268"/>
      <c r="HND539" s="268"/>
      <c r="HNE539" s="268"/>
      <c r="HNF539" s="268"/>
      <c r="HNG539" s="268"/>
      <c r="HNH539" s="268"/>
      <c r="HNI539" s="268"/>
      <c r="HNJ539" s="268"/>
      <c r="HNK539" s="268"/>
      <c r="HNL539" s="268"/>
      <c r="HNM539" s="268"/>
      <c r="HNN539" s="268"/>
      <c r="HNO539" s="268"/>
      <c r="HNP539" s="268"/>
      <c r="HNQ539" s="268"/>
      <c r="HNR539" s="268"/>
      <c r="HNS539" s="268"/>
      <c r="HNT539" s="268"/>
      <c r="HNU539" s="268"/>
      <c r="HNV539" s="268"/>
      <c r="HNW539" s="268"/>
      <c r="HNX539" s="268"/>
      <c r="HNY539" s="268"/>
      <c r="HNZ539" s="268"/>
      <c r="HOA539" s="268"/>
      <c r="HOB539" s="268"/>
      <c r="HOC539" s="268"/>
      <c r="HOD539" s="268"/>
      <c r="HOE539" s="268"/>
      <c r="HOF539" s="268"/>
      <c r="HOG539" s="268"/>
      <c r="HOH539" s="268"/>
      <c r="HOI539" s="268"/>
      <c r="HOJ539" s="268"/>
      <c r="HOK539" s="268"/>
      <c r="HOL539" s="268"/>
      <c r="HOM539" s="268"/>
      <c r="HON539" s="268"/>
      <c r="HOO539" s="268"/>
      <c r="HOP539" s="268"/>
      <c r="HOQ539" s="268"/>
      <c r="HOR539" s="268"/>
      <c r="HOS539" s="268"/>
      <c r="HOT539" s="268"/>
      <c r="HOU539" s="268"/>
      <c r="HOV539" s="268"/>
      <c r="HOW539" s="268"/>
      <c r="HOX539" s="268"/>
      <c r="HOY539" s="268"/>
      <c r="HOZ539" s="268"/>
      <c r="HPA539" s="268"/>
      <c r="HPB539" s="268"/>
      <c r="HPC539" s="268"/>
      <c r="HPD539" s="268"/>
      <c r="HPE539" s="268"/>
      <c r="HPF539" s="268"/>
      <c r="HPG539" s="268"/>
      <c r="HPH539" s="268"/>
      <c r="HPI539" s="268"/>
      <c r="HPJ539" s="268"/>
      <c r="HPK539" s="268"/>
      <c r="HPL539" s="268"/>
      <c r="HPM539" s="268"/>
      <c r="HPN539" s="268"/>
      <c r="HPO539" s="268"/>
      <c r="HPP539" s="268"/>
      <c r="HPQ539" s="268"/>
      <c r="HPR539" s="268"/>
      <c r="HPS539" s="268"/>
      <c r="HPT539" s="268"/>
      <c r="HPU539" s="268"/>
      <c r="HPV539" s="268"/>
      <c r="HPW539" s="268"/>
      <c r="HPX539" s="268"/>
      <c r="HPY539" s="268"/>
      <c r="HPZ539" s="268"/>
      <c r="HQA539" s="268"/>
      <c r="HQB539" s="268"/>
      <c r="HQC539" s="268"/>
      <c r="HQD539" s="268"/>
      <c r="HQE539" s="268"/>
      <c r="HQF539" s="268"/>
      <c r="HQG539" s="268"/>
      <c r="HQH539" s="268"/>
      <c r="HQI539" s="268"/>
      <c r="HQJ539" s="268"/>
      <c r="HQK539" s="268"/>
      <c r="HQL539" s="268"/>
      <c r="HQM539" s="268"/>
      <c r="HQN539" s="268"/>
      <c r="HQO539" s="268"/>
      <c r="HQP539" s="268"/>
      <c r="HQQ539" s="268"/>
      <c r="HQR539" s="268"/>
      <c r="HQS539" s="268"/>
      <c r="HQT539" s="268"/>
      <c r="HQU539" s="268"/>
      <c r="HQV539" s="268"/>
      <c r="HQW539" s="268"/>
      <c r="HQX539" s="268"/>
      <c r="HQY539" s="268"/>
      <c r="HQZ539" s="268"/>
      <c r="HRA539" s="268"/>
      <c r="HRB539" s="268"/>
      <c r="HRC539" s="268"/>
      <c r="HRQ539" s="268"/>
      <c r="HRR539" s="268"/>
      <c r="HRS539" s="268"/>
      <c r="HSG539" s="268"/>
      <c r="HSI539" s="268"/>
      <c r="HSJ539" s="268"/>
      <c r="HSK539" s="268"/>
      <c r="HSL539" s="268"/>
      <c r="HSM539" s="268"/>
      <c r="HSN539" s="268"/>
      <c r="HSO539" s="268"/>
      <c r="HSP539" s="268"/>
      <c r="HSQ539" s="268"/>
      <c r="HSR539" s="268"/>
      <c r="HSS539" s="268"/>
      <c r="HST539" s="268"/>
      <c r="HSU539" s="268"/>
      <c r="HSV539" s="268"/>
      <c r="HSW539" s="268"/>
      <c r="HSX539" s="268"/>
      <c r="HSY539" s="268"/>
      <c r="HSZ539" s="268"/>
      <c r="HTA539" s="268"/>
      <c r="HTB539" s="268"/>
      <c r="HTC539" s="268"/>
      <c r="HTD539" s="268"/>
      <c r="HTE539" s="268"/>
      <c r="HTF539" s="268"/>
      <c r="HTG539" s="268"/>
      <c r="HTH539" s="268"/>
      <c r="HTI539" s="268"/>
      <c r="HTJ539" s="268"/>
      <c r="HTK539" s="268"/>
      <c r="HTL539" s="268"/>
      <c r="HTM539" s="268"/>
      <c r="HTN539" s="268"/>
      <c r="HTO539" s="268"/>
      <c r="HTP539" s="268"/>
      <c r="HTQ539" s="268"/>
      <c r="HTR539" s="268"/>
      <c r="HTS539" s="268"/>
      <c r="HTT539" s="268"/>
      <c r="HTU539" s="268"/>
      <c r="HTV539" s="268"/>
      <c r="HTW539" s="268"/>
      <c r="HTX539" s="268"/>
      <c r="HTY539" s="268"/>
      <c r="HTZ539" s="268"/>
      <c r="HUA539" s="268"/>
      <c r="HUB539" s="268"/>
      <c r="HUC539" s="268"/>
      <c r="HUD539" s="268"/>
      <c r="HUE539" s="268"/>
      <c r="HUF539" s="268"/>
      <c r="HUG539" s="268"/>
      <c r="HUH539" s="268"/>
      <c r="HUI539" s="268"/>
      <c r="HUJ539" s="268"/>
      <c r="HUK539" s="268"/>
      <c r="HUL539" s="268"/>
      <c r="HUM539" s="268"/>
      <c r="HUN539" s="268"/>
      <c r="HUO539" s="268"/>
      <c r="HUP539" s="268"/>
      <c r="HUQ539" s="268"/>
      <c r="HUR539" s="268"/>
      <c r="HUS539" s="268"/>
      <c r="HUT539" s="268"/>
      <c r="HUU539" s="268"/>
      <c r="HUV539" s="268"/>
      <c r="HUW539" s="268"/>
      <c r="HUX539" s="268"/>
      <c r="HUY539" s="268"/>
      <c r="HUZ539" s="268"/>
      <c r="HVA539" s="268"/>
      <c r="HVB539" s="268"/>
      <c r="HVC539" s="268"/>
      <c r="HVD539" s="268"/>
      <c r="HVE539" s="268"/>
      <c r="HVF539" s="268"/>
      <c r="HVG539" s="268"/>
      <c r="HVH539" s="268"/>
      <c r="HVI539" s="268"/>
      <c r="HVJ539" s="268"/>
      <c r="HVK539" s="268"/>
      <c r="HVL539" s="268"/>
      <c r="HVM539" s="268"/>
      <c r="HVN539" s="268"/>
      <c r="HVO539" s="268"/>
      <c r="HVP539" s="268"/>
      <c r="HVQ539" s="268"/>
      <c r="HVR539" s="268"/>
      <c r="HVS539" s="268"/>
      <c r="HVT539" s="268"/>
      <c r="HVU539" s="268"/>
      <c r="HVV539" s="268"/>
      <c r="HVW539" s="268"/>
      <c r="HVX539" s="268"/>
      <c r="HVY539" s="268"/>
      <c r="HVZ539" s="268"/>
      <c r="HWA539" s="268"/>
      <c r="HWB539" s="268"/>
      <c r="HWC539" s="268"/>
      <c r="HWD539" s="268"/>
      <c r="HWE539" s="268"/>
      <c r="HWF539" s="268"/>
      <c r="HWG539" s="268"/>
      <c r="HWH539" s="268"/>
      <c r="HWI539" s="268"/>
      <c r="HWJ539" s="268"/>
      <c r="HWK539" s="268"/>
      <c r="HWL539" s="268"/>
      <c r="HWM539" s="268"/>
      <c r="HWN539" s="268"/>
      <c r="HWO539" s="268"/>
      <c r="HWP539" s="268"/>
      <c r="HWQ539" s="268"/>
      <c r="HWR539" s="268"/>
      <c r="HWS539" s="268"/>
      <c r="HWT539" s="268"/>
      <c r="HWU539" s="268"/>
      <c r="HWV539" s="268"/>
      <c r="HWW539" s="268"/>
      <c r="HWX539" s="268"/>
      <c r="HWY539" s="268"/>
      <c r="HWZ539" s="268"/>
      <c r="HXA539" s="268"/>
      <c r="HXB539" s="268"/>
      <c r="HXC539" s="268"/>
      <c r="HXD539" s="268"/>
      <c r="HXE539" s="268"/>
      <c r="HXF539" s="268"/>
      <c r="HXG539" s="268"/>
      <c r="HXH539" s="268"/>
      <c r="HXI539" s="268"/>
      <c r="HXJ539" s="268"/>
      <c r="HXK539" s="268"/>
      <c r="HXL539" s="268"/>
      <c r="HXM539" s="268"/>
      <c r="HXN539" s="268"/>
      <c r="HXO539" s="268"/>
      <c r="HXP539" s="268"/>
      <c r="HXQ539" s="268"/>
      <c r="HXR539" s="268"/>
      <c r="HXS539" s="268"/>
      <c r="HXT539" s="268"/>
      <c r="HXU539" s="268"/>
      <c r="HXV539" s="268"/>
      <c r="HXW539" s="268"/>
      <c r="HXX539" s="268"/>
      <c r="HXY539" s="268"/>
      <c r="HXZ539" s="268"/>
      <c r="HYA539" s="268"/>
      <c r="HYB539" s="268"/>
      <c r="HYC539" s="268"/>
      <c r="HYD539" s="268"/>
      <c r="HYE539" s="268"/>
      <c r="HYF539" s="268"/>
      <c r="HYG539" s="268"/>
      <c r="HYH539" s="268"/>
      <c r="HYI539" s="268"/>
      <c r="HYJ539" s="268"/>
      <c r="HYK539" s="268"/>
      <c r="HYL539" s="268"/>
      <c r="HYM539" s="268"/>
      <c r="HYN539" s="268"/>
      <c r="HYO539" s="268"/>
      <c r="HYP539" s="268"/>
      <c r="HYQ539" s="268"/>
      <c r="HYR539" s="268"/>
      <c r="HYS539" s="268"/>
      <c r="HYT539" s="268"/>
      <c r="HYU539" s="268"/>
      <c r="HYV539" s="268"/>
      <c r="HYW539" s="268"/>
      <c r="HYX539" s="268"/>
      <c r="HYY539" s="268"/>
      <c r="HYZ539" s="268"/>
      <c r="HZA539" s="268"/>
      <c r="HZB539" s="268"/>
      <c r="HZC539" s="268"/>
      <c r="HZD539" s="268"/>
      <c r="HZE539" s="268"/>
      <c r="HZF539" s="268"/>
      <c r="HZG539" s="268"/>
      <c r="HZH539" s="268"/>
      <c r="HZI539" s="268"/>
      <c r="HZJ539" s="268"/>
      <c r="HZK539" s="268"/>
      <c r="HZL539" s="268"/>
      <c r="HZM539" s="268"/>
      <c r="HZN539" s="268"/>
      <c r="HZO539" s="268"/>
      <c r="HZP539" s="268"/>
      <c r="HZQ539" s="268"/>
      <c r="HZR539" s="268"/>
      <c r="HZS539" s="268"/>
      <c r="HZT539" s="268"/>
      <c r="HZU539" s="268"/>
      <c r="HZV539" s="268"/>
      <c r="HZW539" s="268"/>
      <c r="HZX539" s="268"/>
      <c r="HZY539" s="268"/>
      <c r="HZZ539" s="268"/>
      <c r="IAA539" s="268"/>
      <c r="IAB539" s="268"/>
      <c r="IAC539" s="268"/>
      <c r="IAD539" s="268"/>
      <c r="IAE539" s="268"/>
      <c r="IAF539" s="268"/>
      <c r="IAG539" s="268"/>
      <c r="IAH539" s="268"/>
      <c r="IAI539" s="268"/>
      <c r="IAJ539" s="268"/>
      <c r="IAK539" s="268"/>
      <c r="IAL539" s="268"/>
      <c r="IAM539" s="268"/>
      <c r="IAN539" s="268"/>
      <c r="IAO539" s="268"/>
      <c r="IAP539" s="268"/>
      <c r="IAQ539" s="268"/>
      <c r="IAR539" s="268"/>
      <c r="IAS539" s="268"/>
      <c r="IAT539" s="268"/>
      <c r="IAU539" s="268"/>
      <c r="IAV539" s="268"/>
      <c r="IAW539" s="268"/>
      <c r="IAX539" s="268"/>
      <c r="IAY539" s="268"/>
      <c r="IBM539" s="268"/>
      <c r="IBN539" s="268"/>
      <c r="IBO539" s="268"/>
      <c r="ICC539" s="268"/>
      <c r="ICE539" s="268"/>
      <c r="ICF539" s="268"/>
      <c r="ICG539" s="268"/>
      <c r="ICH539" s="268"/>
      <c r="ICI539" s="268"/>
      <c r="ICJ539" s="268"/>
      <c r="ICK539" s="268"/>
      <c r="ICL539" s="268"/>
      <c r="ICM539" s="268"/>
      <c r="ICN539" s="268"/>
      <c r="ICO539" s="268"/>
      <c r="ICP539" s="268"/>
      <c r="ICQ539" s="268"/>
      <c r="ICR539" s="268"/>
      <c r="ICS539" s="268"/>
      <c r="ICT539" s="268"/>
      <c r="ICU539" s="268"/>
      <c r="ICV539" s="268"/>
      <c r="ICW539" s="268"/>
      <c r="ICX539" s="268"/>
      <c r="ICY539" s="268"/>
      <c r="ICZ539" s="268"/>
      <c r="IDA539" s="268"/>
      <c r="IDB539" s="268"/>
      <c r="IDC539" s="268"/>
      <c r="IDD539" s="268"/>
      <c r="IDE539" s="268"/>
      <c r="IDF539" s="268"/>
      <c r="IDG539" s="268"/>
      <c r="IDH539" s="268"/>
      <c r="IDI539" s="268"/>
      <c r="IDJ539" s="268"/>
      <c r="IDK539" s="268"/>
      <c r="IDL539" s="268"/>
      <c r="IDM539" s="268"/>
      <c r="IDN539" s="268"/>
      <c r="IDO539" s="268"/>
      <c r="IDP539" s="268"/>
      <c r="IDQ539" s="268"/>
      <c r="IDR539" s="268"/>
      <c r="IDS539" s="268"/>
      <c r="IDT539" s="268"/>
      <c r="IDU539" s="268"/>
      <c r="IDV539" s="268"/>
      <c r="IDW539" s="268"/>
      <c r="IDX539" s="268"/>
      <c r="IDY539" s="268"/>
      <c r="IDZ539" s="268"/>
      <c r="IEA539" s="268"/>
      <c r="IEB539" s="268"/>
      <c r="IEC539" s="268"/>
      <c r="IED539" s="268"/>
      <c r="IEE539" s="268"/>
      <c r="IEF539" s="268"/>
      <c r="IEG539" s="268"/>
      <c r="IEH539" s="268"/>
      <c r="IEI539" s="268"/>
      <c r="IEJ539" s="268"/>
      <c r="IEK539" s="268"/>
      <c r="IEL539" s="268"/>
      <c r="IEM539" s="268"/>
      <c r="IEN539" s="268"/>
      <c r="IEO539" s="268"/>
      <c r="IEP539" s="268"/>
      <c r="IEQ539" s="268"/>
      <c r="IER539" s="268"/>
      <c r="IES539" s="268"/>
      <c r="IET539" s="268"/>
      <c r="IEU539" s="268"/>
      <c r="IEV539" s="268"/>
      <c r="IEW539" s="268"/>
      <c r="IEX539" s="268"/>
      <c r="IEY539" s="268"/>
      <c r="IEZ539" s="268"/>
      <c r="IFA539" s="268"/>
      <c r="IFB539" s="268"/>
      <c r="IFC539" s="268"/>
      <c r="IFD539" s="268"/>
      <c r="IFE539" s="268"/>
      <c r="IFF539" s="268"/>
      <c r="IFG539" s="268"/>
      <c r="IFH539" s="268"/>
      <c r="IFI539" s="268"/>
      <c r="IFJ539" s="268"/>
      <c r="IFK539" s="268"/>
      <c r="IFL539" s="268"/>
      <c r="IFM539" s="268"/>
      <c r="IFN539" s="268"/>
      <c r="IFO539" s="268"/>
      <c r="IFP539" s="268"/>
      <c r="IFQ539" s="268"/>
      <c r="IFR539" s="268"/>
      <c r="IFS539" s="268"/>
      <c r="IFT539" s="268"/>
      <c r="IFU539" s="268"/>
      <c r="IFV539" s="268"/>
      <c r="IFW539" s="268"/>
      <c r="IFX539" s="268"/>
      <c r="IFY539" s="268"/>
      <c r="IFZ539" s="268"/>
      <c r="IGA539" s="268"/>
      <c r="IGB539" s="268"/>
      <c r="IGC539" s="268"/>
      <c r="IGD539" s="268"/>
      <c r="IGE539" s="268"/>
      <c r="IGF539" s="268"/>
      <c r="IGG539" s="268"/>
      <c r="IGH539" s="268"/>
      <c r="IGI539" s="268"/>
      <c r="IGJ539" s="268"/>
      <c r="IGK539" s="268"/>
      <c r="IGL539" s="268"/>
      <c r="IGM539" s="268"/>
      <c r="IGN539" s="268"/>
      <c r="IGO539" s="268"/>
      <c r="IGP539" s="268"/>
      <c r="IGQ539" s="268"/>
      <c r="IGR539" s="268"/>
      <c r="IGS539" s="268"/>
      <c r="IGT539" s="268"/>
      <c r="IGU539" s="268"/>
      <c r="IGV539" s="268"/>
      <c r="IGW539" s="268"/>
      <c r="IGX539" s="268"/>
      <c r="IGY539" s="268"/>
      <c r="IGZ539" s="268"/>
      <c r="IHA539" s="268"/>
      <c r="IHB539" s="268"/>
      <c r="IHC539" s="268"/>
      <c r="IHD539" s="268"/>
      <c r="IHE539" s="268"/>
      <c r="IHF539" s="268"/>
      <c r="IHG539" s="268"/>
      <c r="IHH539" s="268"/>
      <c r="IHI539" s="268"/>
      <c r="IHJ539" s="268"/>
      <c r="IHK539" s="268"/>
      <c r="IHL539" s="268"/>
      <c r="IHM539" s="268"/>
      <c r="IHN539" s="268"/>
      <c r="IHO539" s="268"/>
      <c r="IHP539" s="268"/>
      <c r="IHQ539" s="268"/>
      <c r="IHR539" s="268"/>
      <c r="IHS539" s="268"/>
      <c r="IHT539" s="268"/>
      <c r="IHU539" s="268"/>
      <c r="IHV539" s="268"/>
      <c r="IHW539" s="268"/>
      <c r="IHX539" s="268"/>
      <c r="IHY539" s="268"/>
      <c r="IHZ539" s="268"/>
      <c r="IIA539" s="268"/>
      <c r="IIB539" s="268"/>
      <c r="IIC539" s="268"/>
      <c r="IID539" s="268"/>
      <c r="IIE539" s="268"/>
      <c r="IIF539" s="268"/>
      <c r="IIG539" s="268"/>
      <c r="IIH539" s="268"/>
      <c r="III539" s="268"/>
      <c r="IIJ539" s="268"/>
      <c r="IIK539" s="268"/>
      <c r="IIL539" s="268"/>
      <c r="IIM539" s="268"/>
      <c r="IIN539" s="268"/>
      <c r="IIO539" s="268"/>
      <c r="IIP539" s="268"/>
      <c r="IIQ539" s="268"/>
      <c r="IIR539" s="268"/>
      <c r="IIS539" s="268"/>
      <c r="IIT539" s="268"/>
      <c r="IIU539" s="268"/>
      <c r="IIV539" s="268"/>
      <c r="IIW539" s="268"/>
      <c r="IIX539" s="268"/>
      <c r="IIY539" s="268"/>
      <c r="IIZ539" s="268"/>
      <c r="IJA539" s="268"/>
      <c r="IJB539" s="268"/>
      <c r="IJC539" s="268"/>
      <c r="IJD539" s="268"/>
      <c r="IJE539" s="268"/>
      <c r="IJF539" s="268"/>
      <c r="IJG539" s="268"/>
      <c r="IJH539" s="268"/>
      <c r="IJI539" s="268"/>
      <c r="IJJ539" s="268"/>
      <c r="IJK539" s="268"/>
      <c r="IJL539" s="268"/>
      <c r="IJM539" s="268"/>
      <c r="IJN539" s="268"/>
      <c r="IJO539" s="268"/>
      <c r="IJP539" s="268"/>
      <c r="IJQ539" s="268"/>
      <c r="IJR539" s="268"/>
      <c r="IJS539" s="268"/>
      <c r="IJT539" s="268"/>
      <c r="IJU539" s="268"/>
      <c r="IJV539" s="268"/>
      <c r="IJW539" s="268"/>
      <c r="IJX539" s="268"/>
      <c r="IJY539" s="268"/>
      <c r="IJZ539" s="268"/>
      <c r="IKA539" s="268"/>
      <c r="IKB539" s="268"/>
      <c r="IKC539" s="268"/>
      <c r="IKD539" s="268"/>
      <c r="IKE539" s="268"/>
      <c r="IKF539" s="268"/>
      <c r="IKG539" s="268"/>
      <c r="IKH539" s="268"/>
      <c r="IKI539" s="268"/>
      <c r="IKJ539" s="268"/>
      <c r="IKK539" s="268"/>
      <c r="IKL539" s="268"/>
      <c r="IKM539" s="268"/>
      <c r="IKN539" s="268"/>
      <c r="IKO539" s="268"/>
      <c r="IKP539" s="268"/>
      <c r="IKQ539" s="268"/>
      <c r="IKR539" s="268"/>
      <c r="IKS539" s="268"/>
      <c r="IKT539" s="268"/>
      <c r="IKU539" s="268"/>
      <c r="ILI539" s="268"/>
      <c r="ILJ539" s="268"/>
      <c r="ILK539" s="268"/>
      <c r="ILY539" s="268"/>
      <c r="IMA539" s="268"/>
      <c r="IMB539" s="268"/>
      <c r="IMC539" s="268"/>
      <c r="IMD539" s="268"/>
      <c r="IME539" s="268"/>
      <c r="IMF539" s="268"/>
      <c r="IMG539" s="268"/>
      <c r="IMH539" s="268"/>
      <c r="IMI539" s="268"/>
      <c r="IMJ539" s="268"/>
      <c r="IMK539" s="268"/>
      <c r="IML539" s="268"/>
      <c r="IMM539" s="268"/>
      <c r="IMN539" s="268"/>
      <c r="IMO539" s="268"/>
      <c r="IMP539" s="268"/>
      <c r="IMQ539" s="268"/>
      <c r="IMR539" s="268"/>
      <c r="IMS539" s="268"/>
      <c r="IMT539" s="268"/>
      <c r="IMU539" s="268"/>
      <c r="IMV539" s="268"/>
      <c r="IMW539" s="268"/>
      <c r="IMX539" s="268"/>
      <c r="IMY539" s="268"/>
      <c r="IMZ539" s="268"/>
      <c r="INA539" s="268"/>
      <c r="INB539" s="268"/>
      <c r="INC539" s="268"/>
      <c r="IND539" s="268"/>
      <c r="INE539" s="268"/>
      <c r="INF539" s="268"/>
      <c r="ING539" s="268"/>
      <c r="INH539" s="268"/>
      <c r="INI539" s="268"/>
      <c r="INJ539" s="268"/>
      <c r="INK539" s="268"/>
      <c r="INL539" s="268"/>
      <c r="INM539" s="268"/>
      <c r="INN539" s="268"/>
      <c r="INO539" s="268"/>
      <c r="INP539" s="268"/>
      <c r="INQ539" s="268"/>
      <c r="INR539" s="268"/>
      <c r="INS539" s="268"/>
      <c r="INT539" s="268"/>
      <c r="INU539" s="268"/>
      <c r="INV539" s="268"/>
      <c r="INW539" s="268"/>
      <c r="INX539" s="268"/>
      <c r="INY539" s="268"/>
      <c r="INZ539" s="268"/>
      <c r="IOA539" s="268"/>
      <c r="IOB539" s="268"/>
      <c r="IOC539" s="268"/>
      <c r="IOD539" s="268"/>
      <c r="IOE539" s="268"/>
      <c r="IOF539" s="268"/>
      <c r="IOG539" s="268"/>
      <c r="IOH539" s="268"/>
      <c r="IOI539" s="268"/>
      <c r="IOJ539" s="268"/>
      <c r="IOK539" s="268"/>
      <c r="IOL539" s="268"/>
      <c r="IOM539" s="268"/>
      <c r="ION539" s="268"/>
      <c r="IOO539" s="268"/>
      <c r="IOP539" s="268"/>
      <c r="IOQ539" s="268"/>
      <c r="IOR539" s="268"/>
      <c r="IOS539" s="268"/>
      <c r="IOT539" s="268"/>
      <c r="IOU539" s="268"/>
      <c r="IOV539" s="268"/>
      <c r="IOW539" s="268"/>
      <c r="IOX539" s="268"/>
      <c r="IOY539" s="268"/>
      <c r="IOZ539" s="268"/>
      <c r="IPA539" s="268"/>
      <c r="IPB539" s="268"/>
      <c r="IPC539" s="268"/>
      <c r="IPD539" s="268"/>
      <c r="IPE539" s="268"/>
      <c r="IPF539" s="268"/>
      <c r="IPG539" s="268"/>
      <c r="IPH539" s="268"/>
      <c r="IPI539" s="268"/>
      <c r="IPJ539" s="268"/>
      <c r="IPK539" s="268"/>
      <c r="IPL539" s="268"/>
      <c r="IPM539" s="268"/>
      <c r="IPN539" s="268"/>
      <c r="IPO539" s="268"/>
      <c r="IPP539" s="268"/>
      <c r="IPQ539" s="268"/>
      <c r="IPR539" s="268"/>
      <c r="IPS539" s="268"/>
      <c r="IPT539" s="268"/>
      <c r="IPU539" s="268"/>
      <c r="IPV539" s="268"/>
      <c r="IPW539" s="268"/>
      <c r="IPX539" s="268"/>
      <c r="IPY539" s="268"/>
      <c r="IPZ539" s="268"/>
      <c r="IQA539" s="268"/>
      <c r="IQB539" s="268"/>
      <c r="IQC539" s="268"/>
      <c r="IQD539" s="268"/>
      <c r="IQE539" s="268"/>
      <c r="IQF539" s="268"/>
      <c r="IQG539" s="268"/>
      <c r="IQH539" s="268"/>
      <c r="IQI539" s="268"/>
      <c r="IQJ539" s="268"/>
      <c r="IQK539" s="268"/>
      <c r="IQL539" s="268"/>
      <c r="IQM539" s="268"/>
      <c r="IQN539" s="268"/>
      <c r="IQO539" s="268"/>
      <c r="IQP539" s="268"/>
      <c r="IQQ539" s="268"/>
      <c r="IQR539" s="268"/>
      <c r="IQS539" s="268"/>
      <c r="IQT539" s="268"/>
      <c r="IQU539" s="268"/>
      <c r="IQV539" s="268"/>
      <c r="IQW539" s="268"/>
      <c r="IQX539" s="268"/>
      <c r="IQY539" s="268"/>
      <c r="IQZ539" s="268"/>
      <c r="IRA539" s="268"/>
      <c r="IRB539" s="268"/>
      <c r="IRC539" s="268"/>
      <c r="IRD539" s="268"/>
      <c r="IRE539" s="268"/>
      <c r="IRF539" s="268"/>
      <c r="IRG539" s="268"/>
      <c r="IRH539" s="268"/>
      <c r="IRI539" s="268"/>
      <c r="IRJ539" s="268"/>
      <c r="IRK539" s="268"/>
      <c r="IRL539" s="268"/>
      <c r="IRM539" s="268"/>
      <c r="IRN539" s="268"/>
      <c r="IRO539" s="268"/>
      <c r="IRP539" s="268"/>
      <c r="IRQ539" s="268"/>
      <c r="IRR539" s="268"/>
      <c r="IRS539" s="268"/>
      <c r="IRT539" s="268"/>
      <c r="IRU539" s="268"/>
      <c r="IRV539" s="268"/>
      <c r="IRW539" s="268"/>
      <c r="IRX539" s="268"/>
      <c r="IRY539" s="268"/>
      <c r="IRZ539" s="268"/>
      <c r="ISA539" s="268"/>
      <c r="ISB539" s="268"/>
      <c r="ISC539" s="268"/>
      <c r="ISD539" s="268"/>
      <c r="ISE539" s="268"/>
      <c r="ISF539" s="268"/>
      <c r="ISG539" s="268"/>
      <c r="ISH539" s="268"/>
      <c r="ISI539" s="268"/>
      <c r="ISJ539" s="268"/>
      <c r="ISK539" s="268"/>
      <c r="ISL539" s="268"/>
      <c r="ISM539" s="268"/>
      <c r="ISN539" s="268"/>
      <c r="ISO539" s="268"/>
      <c r="ISP539" s="268"/>
      <c r="ISQ539" s="268"/>
      <c r="ISR539" s="268"/>
      <c r="ISS539" s="268"/>
      <c r="IST539" s="268"/>
      <c r="ISU539" s="268"/>
      <c r="ISV539" s="268"/>
      <c r="ISW539" s="268"/>
      <c r="ISX539" s="268"/>
      <c r="ISY539" s="268"/>
      <c r="ISZ539" s="268"/>
      <c r="ITA539" s="268"/>
      <c r="ITB539" s="268"/>
      <c r="ITC539" s="268"/>
      <c r="ITD539" s="268"/>
      <c r="ITE539" s="268"/>
      <c r="ITF539" s="268"/>
      <c r="ITG539" s="268"/>
      <c r="ITH539" s="268"/>
      <c r="ITI539" s="268"/>
      <c r="ITJ539" s="268"/>
      <c r="ITK539" s="268"/>
      <c r="ITL539" s="268"/>
      <c r="ITM539" s="268"/>
      <c r="ITN539" s="268"/>
      <c r="ITO539" s="268"/>
      <c r="ITP539" s="268"/>
      <c r="ITQ539" s="268"/>
      <c r="ITR539" s="268"/>
      <c r="ITS539" s="268"/>
      <c r="ITT539" s="268"/>
      <c r="ITU539" s="268"/>
      <c r="ITV539" s="268"/>
      <c r="ITW539" s="268"/>
      <c r="ITX539" s="268"/>
      <c r="ITY539" s="268"/>
      <c r="ITZ539" s="268"/>
      <c r="IUA539" s="268"/>
      <c r="IUB539" s="268"/>
      <c r="IUC539" s="268"/>
      <c r="IUD539" s="268"/>
      <c r="IUE539" s="268"/>
      <c r="IUF539" s="268"/>
      <c r="IUG539" s="268"/>
      <c r="IUH539" s="268"/>
      <c r="IUI539" s="268"/>
      <c r="IUJ539" s="268"/>
      <c r="IUK539" s="268"/>
      <c r="IUL539" s="268"/>
      <c r="IUM539" s="268"/>
      <c r="IUN539" s="268"/>
      <c r="IUO539" s="268"/>
      <c r="IUP539" s="268"/>
      <c r="IUQ539" s="268"/>
      <c r="IVE539" s="268"/>
      <c r="IVF539" s="268"/>
      <c r="IVG539" s="268"/>
      <c r="IVU539" s="268"/>
      <c r="IVW539" s="268"/>
      <c r="IVX539" s="268"/>
      <c r="IVY539" s="268"/>
      <c r="IVZ539" s="268"/>
      <c r="IWA539" s="268"/>
      <c r="IWB539" s="268"/>
      <c r="IWC539" s="268"/>
      <c r="IWD539" s="268"/>
      <c r="IWE539" s="268"/>
      <c r="IWF539" s="268"/>
      <c r="IWG539" s="268"/>
      <c r="IWH539" s="268"/>
      <c r="IWI539" s="268"/>
      <c r="IWJ539" s="268"/>
      <c r="IWK539" s="268"/>
      <c r="IWL539" s="268"/>
      <c r="IWM539" s="268"/>
      <c r="IWN539" s="268"/>
      <c r="IWO539" s="268"/>
      <c r="IWP539" s="268"/>
      <c r="IWQ539" s="268"/>
      <c r="IWR539" s="268"/>
      <c r="IWS539" s="268"/>
      <c r="IWT539" s="268"/>
      <c r="IWU539" s="268"/>
      <c r="IWV539" s="268"/>
      <c r="IWW539" s="268"/>
      <c r="IWX539" s="268"/>
      <c r="IWY539" s="268"/>
      <c r="IWZ539" s="268"/>
      <c r="IXA539" s="268"/>
      <c r="IXB539" s="268"/>
      <c r="IXC539" s="268"/>
      <c r="IXD539" s="268"/>
      <c r="IXE539" s="268"/>
      <c r="IXF539" s="268"/>
      <c r="IXG539" s="268"/>
      <c r="IXH539" s="268"/>
      <c r="IXI539" s="268"/>
      <c r="IXJ539" s="268"/>
      <c r="IXK539" s="268"/>
      <c r="IXL539" s="268"/>
      <c r="IXM539" s="268"/>
      <c r="IXN539" s="268"/>
      <c r="IXO539" s="268"/>
      <c r="IXP539" s="268"/>
      <c r="IXQ539" s="268"/>
      <c r="IXR539" s="268"/>
      <c r="IXS539" s="268"/>
      <c r="IXT539" s="268"/>
      <c r="IXU539" s="268"/>
      <c r="IXV539" s="268"/>
      <c r="IXW539" s="268"/>
      <c r="IXX539" s="268"/>
      <c r="IXY539" s="268"/>
      <c r="IXZ539" s="268"/>
      <c r="IYA539" s="268"/>
      <c r="IYB539" s="268"/>
      <c r="IYC539" s="268"/>
      <c r="IYD539" s="268"/>
      <c r="IYE539" s="268"/>
      <c r="IYF539" s="268"/>
      <c r="IYG539" s="268"/>
      <c r="IYH539" s="268"/>
      <c r="IYI539" s="268"/>
      <c r="IYJ539" s="268"/>
      <c r="IYK539" s="268"/>
      <c r="IYL539" s="268"/>
      <c r="IYM539" s="268"/>
      <c r="IYN539" s="268"/>
      <c r="IYO539" s="268"/>
      <c r="IYP539" s="268"/>
      <c r="IYQ539" s="268"/>
      <c r="IYR539" s="268"/>
      <c r="IYS539" s="268"/>
      <c r="IYT539" s="268"/>
      <c r="IYU539" s="268"/>
      <c r="IYV539" s="268"/>
      <c r="IYW539" s="268"/>
      <c r="IYX539" s="268"/>
      <c r="IYY539" s="268"/>
      <c r="IYZ539" s="268"/>
      <c r="IZA539" s="268"/>
      <c r="IZB539" s="268"/>
      <c r="IZC539" s="268"/>
      <c r="IZD539" s="268"/>
      <c r="IZE539" s="268"/>
      <c r="IZF539" s="268"/>
      <c r="IZG539" s="268"/>
      <c r="IZH539" s="268"/>
      <c r="IZI539" s="268"/>
      <c r="IZJ539" s="268"/>
      <c r="IZK539" s="268"/>
      <c r="IZL539" s="268"/>
      <c r="IZM539" s="268"/>
      <c r="IZN539" s="268"/>
      <c r="IZO539" s="268"/>
      <c r="IZP539" s="268"/>
      <c r="IZQ539" s="268"/>
      <c r="IZR539" s="268"/>
      <c r="IZS539" s="268"/>
      <c r="IZT539" s="268"/>
      <c r="IZU539" s="268"/>
      <c r="IZV539" s="268"/>
      <c r="IZW539" s="268"/>
      <c r="IZX539" s="268"/>
      <c r="IZY539" s="268"/>
      <c r="IZZ539" s="268"/>
      <c r="JAA539" s="268"/>
      <c r="JAB539" s="268"/>
      <c r="JAC539" s="268"/>
      <c r="JAD539" s="268"/>
      <c r="JAE539" s="268"/>
      <c r="JAF539" s="268"/>
      <c r="JAG539" s="268"/>
      <c r="JAH539" s="268"/>
      <c r="JAI539" s="268"/>
      <c r="JAJ539" s="268"/>
      <c r="JAK539" s="268"/>
      <c r="JAL539" s="268"/>
      <c r="JAM539" s="268"/>
      <c r="JAN539" s="268"/>
      <c r="JAO539" s="268"/>
      <c r="JAP539" s="268"/>
      <c r="JAQ539" s="268"/>
      <c r="JAR539" s="268"/>
      <c r="JAS539" s="268"/>
      <c r="JAT539" s="268"/>
      <c r="JAU539" s="268"/>
      <c r="JAV539" s="268"/>
      <c r="JAW539" s="268"/>
      <c r="JAX539" s="268"/>
      <c r="JAY539" s="268"/>
      <c r="JAZ539" s="268"/>
      <c r="JBA539" s="268"/>
      <c r="JBB539" s="268"/>
      <c r="JBC539" s="268"/>
      <c r="JBD539" s="268"/>
      <c r="JBE539" s="268"/>
      <c r="JBF539" s="268"/>
      <c r="JBG539" s="268"/>
      <c r="JBH539" s="268"/>
      <c r="JBI539" s="268"/>
      <c r="JBJ539" s="268"/>
      <c r="JBK539" s="268"/>
      <c r="JBL539" s="268"/>
      <c r="JBM539" s="268"/>
      <c r="JBN539" s="268"/>
      <c r="JBO539" s="268"/>
      <c r="JBP539" s="268"/>
      <c r="JBQ539" s="268"/>
      <c r="JBR539" s="268"/>
      <c r="JBS539" s="268"/>
      <c r="JBT539" s="268"/>
      <c r="JBU539" s="268"/>
      <c r="JBV539" s="268"/>
      <c r="JBW539" s="268"/>
      <c r="JBX539" s="268"/>
      <c r="JBY539" s="268"/>
      <c r="JBZ539" s="268"/>
      <c r="JCA539" s="268"/>
      <c r="JCB539" s="268"/>
      <c r="JCC539" s="268"/>
      <c r="JCD539" s="268"/>
      <c r="JCE539" s="268"/>
      <c r="JCF539" s="268"/>
      <c r="JCG539" s="268"/>
      <c r="JCH539" s="268"/>
      <c r="JCI539" s="268"/>
      <c r="JCJ539" s="268"/>
      <c r="JCK539" s="268"/>
      <c r="JCL539" s="268"/>
      <c r="JCM539" s="268"/>
      <c r="JCN539" s="268"/>
      <c r="JCO539" s="268"/>
      <c r="JCP539" s="268"/>
      <c r="JCQ539" s="268"/>
      <c r="JCR539" s="268"/>
      <c r="JCS539" s="268"/>
      <c r="JCT539" s="268"/>
      <c r="JCU539" s="268"/>
      <c r="JCV539" s="268"/>
      <c r="JCW539" s="268"/>
      <c r="JCX539" s="268"/>
      <c r="JCY539" s="268"/>
      <c r="JCZ539" s="268"/>
      <c r="JDA539" s="268"/>
      <c r="JDB539" s="268"/>
      <c r="JDC539" s="268"/>
      <c r="JDD539" s="268"/>
      <c r="JDE539" s="268"/>
      <c r="JDF539" s="268"/>
      <c r="JDG539" s="268"/>
      <c r="JDH539" s="268"/>
      <c r="JDI539" s="268"/>
      <c r="JDJ539" s="268"/>
      <c r="JDK539" s="268"/>
      <c r="JDL539" s="268"/>
      <c r="JDM539" s="268"/>
      <c r="JDN539" s="268"/>
      <c r="JDO539" s="268"/>
      <c r="JDP539" s="268"/>
      <c r="JDQ539" s="268"/>
      <c r="JDR539" s="268"/>
      <c r="JDS539" s="268"/>
      <c r="JDT539" s="268"/>
      <c r="JDU539" s="268"/>
      <c r="JDV539" s="268"/>
      <c r="JDW539" s="268"/>
      <c r="JDX539" s="268"/>
      <c r="JDY539" s="268"/>
      <c r="JDZ539" s="268"/>
      <c r="JEA539" s="268"/>
      <c r="JEB539" s="268"/>
      <c r="JEC539" s="268"/>
      <c r="JED539" s="268"/>
      <c r="JEE539" s="268"/>
      <c r="JEF539" s="268"/>
      <c r="JEG539" s="268"/>
      <c r="JEH539" s="268"/>
      <c r="JEI539" s="268"/>
      <c r="JEJ539" s="268"/>
      <c r="JEK539" s="268"/>
      <c r="JEL539" s="268"/>
      <c r="JEM539" s="268"/>
      <c r="JFA539" s="268"/>
      <c r="JFB539" s="268"/>
      <c r="JFC539" s="268"/>
      <c r="JFQ539" s="268"/>
      <c r="JFS539" s="268"/>
      <c r="JFT539" s="268"/>
      <c r="JFU539" s="268"/>
      <c r="JFV539" s="268"/>
      <c r="JFW539" s="268"/>
      <c r="JFX539" s="268"/>
      <c r="JFY539" s="268"/>
      <c r="JFZ539" s="268"/>
      <c r="JGA539" s="268"/>
      <c r="JGB539" s="268"/>
      <c r="JGC539" s="268"/>
      <c r="JGD539" s="268"/>
      <c r="JGE539" s="268"/>
      <c r="JGF539" s="268"/>
      <c r="JGG539" s="268"/>
      <c r="JGH539" s="268"/>
      <c r="JGI539" s="268"/>
      <c r="JGJ539" s="268"/>
      <c r="JGK539" s="268"/>
      <c r="JGL539" s="268"/>
      <c r="JGM539" s="268"/>
      <c r="JGN539" s="268"/>
      <c r="JGO539" s="268"/>
      <c r="JGP539" s="268"/>
      <c r="JGQ539" s="268"/>
      <c r="JGR539" s="268"/>
      <c r="JGS539" s="268"/>
      <c r="JGT539" s="268"/>
      <c r="JGU539" s="268"/>
      <c r="JGV539" s="268"/>
      <c r="JGW539" s="268"/>
      <c r="JGX539" s="268"/>
      <c r="JGY539" s="268"/>
      <c r="JGZ539" s="268"/>
      <c r="JHA539" s="268"/>
      <c r="JHB539" s="268"/>
      <c r="JHC539" s="268"/>
      <c r="JHD539" s="268"/>
      <c r="JHE539" s="268"/>
      <c r="JHF539" s="268"/>
      <c r="JHG539" s="268"/>
      <c r="JHH539" s="268"/>
      <c r="JHI539" s="268"/>
      <c r="JHJ539" s="268"/>
      <c r="JHK539" s="268"/>
      <c r="JHL539" s="268"/>
      <c r="JHM539" s="268"/>
      <c r="JHN539" s="268"/>
      <c r="JHO539" s="268"/>
      <c r="JHP539" s="268"/>
      <c r="JHQ539" s="268"/>
      <c r="JHR539" s="268"/>
      <c r="JHS539" s="268"/>
      <c r="JHT539" s="268"/>
      <c r="JHU539" s="268"/>
      <c r="JHV539" s="268"/>
      <c r="JHW539" s="268"/>
      <c r="JHX539" s="268"/>
      <c r="JHY539" s="268"/>
      <c r="JHZ539" s="268"/>
      <c r="JIA539" s="268"/>
      <c r="JIB539" s="268"/>
      <c r="JIC539" s="268"/>
      <c r="JID539" s="268"/>
      <c r="JIE539" s="268"/>
      <c r="JIF539" s="268"/>
      <c r="JIG539" s="268"/>
      <c r="JIH539" s="268"/>
      <c r="JII539" s="268"/>
      <c r="JIJ539" s="268"/>
      <c r="JIK539" s="268"/>
      <c r="JIL539" s="268"/>
      <c r="JIM539" s="268"/>
      <c r="JIN539" s="268"/>
      <c r="JIO539" s="268"/>
      <c r="JIP539" s="268"/>
      <c r="JIQ539" s="268"/>
      <c r="JIR539" s="268"/>
      <c r="JIS539" s="268"/>
      <c r="JIT539" s="268"/>
      <c r="JIU539" s="268"/>
      <c r="JIV539" s="268"/>
      <c r="JIW539" s="268"/>
      <c r="JIX539" s="268"/>
      <c r="JIY539" s="268"/>
      <c r="JIZ539" s="268"/>
      <c r="JJA539" s="268"/>
      <c r="JJB539" s="268"/>
      <c r="JJC539" s="268"/>
      <c r="JJD539" s="268"/>
      <c r="JJE539" s="268"/>
      <c r="JJF539" s="268"/>
      <c r="JJG539" s="268"/>
      <c r="JJH539" s="268"/>
      <c r="JJI539" s="268"/>
      <c r="JJJ539" s="268"/>
      <c r="JJK539" s="268"/>
      <c r="JJL539" s="268"/>
      <c r="JJM539" s="268"/>
      <c r="JJN539" s="268"/>
      <c r="JJO539" s="268"/>
      <c r="JJP539" s="268"/>
      <c r="JJQ539" s="268"/>
      <c r="JJR539" s="268"/>
      <c r="JJS539" s="268"/>
      <c r="JJT539" s="268"/>
      <c r="JJU539" s="268"/>
      <c r="JJV539" s="268"/>
      <c r="JJW539" s="268"/>
      <c r="JJX539" s="268"/>
      <c r="JJY539" s="268"/>
      <c r="JJZ539" s="268"/>
      <c r="JKA539" s="268"/>
      <c r="JKB539" s="268"/>
      <c r="JKC539" s="268"/>
      <c r="JKD539" s="268"/>
      <c r="JKE539" s="268"/>
      <c r="JKF539" s="268"/>
      <c r="JKG539" s="268"/>
      <c r="JKH539" s="268"/>
      <c r="JKI539" s="268"/>
      <c r="JKJ539" s="268"/>
      <c r="JKK539" s="268"/>
      <c r="JKL539" s="268"/>
      <c r="JKM539" s="268"/>
      <c r="JKN539" s="268"/>
      <c r="JKO539" s="268"/>
      <c r="JKP539" s="268"/>
      <c r="JKQ539" s="268"/>
      <c r="JKR539" s="268"/>
      <c r="JKS539" s="268"/>
      <c r="JKT539" s="268"/>
      <c r="JKU539" s="268"/>
      <c r="JKV539" s="268"/>
      <c r="JKW539" s="268"/>
      <c r="JKX539" s="268"/>
      <c r="JKY539" s="268"/>
      <c r="JKZ539" s="268"/>
      <c r="JLA539" s="268"/>
      <c r="JLB539" s="268"/>
      <c r="JLC539" s="268"/>
      <c r="JLD539" s="268"/>
      <c r="JLE539" s="268"/>
      <c r="JLF539" s="268"/>
      <c r="JLG539" s="268"/>
      <c r="JLH539" s="268"/>
      <c r="JLI539" s="268"/>
      <c r="JLJ539" s="268"/>
      <c r="JLK539" s="268"/>
      <c r="JLL539" s="268"/>
      <c r="JLM539" s="268"/>
      <c r="JLN539" s="268"/>
      <c r="JLO539" s="268"/>
      <c r="JLP539" s="268"/>
      <c r="JLQ539" s="268"/>
      <c r="JLR539" s="268"/>
      <c r="JLS539" s="268"/>
      <c r="JLT539" s="268"/>
      <c r="JLU539" s="268"/>
      <c r="JLV539" s="268"/>
      <c r="JLW539" s="268"/>
      <c r="JLX539" s="268"/>
      <c r="JLY539" s="268"/>
      <c r="JLZ539" s="268"/>
      <c r="JMA539" s="268"/>
      <c r="JMB539" s="268"/>
      <c r="JMC539" s="268"/>
      <c r="JMD539" s="268"/>
      <c r="JME539" s="268"/>
      <c r="JMF539" s="268"/>
      <c r="JMG539" s="268"/>
      <c r="JMH539" s="268"/>
      <c r="JMI539" s="268"/>
      <c r="JMJ539" s="268"/>
      <c r="JMK539" s="268"/>
      <c r="JML539" s="268"/>
      <c r="JMM539" s="268"/>
      <c r="JMN539" s="268"/>
      <c r="JMO539" s="268"/>
      <c r="JMP539" s="268"/>
      <c r="JMQ539" s="268"/>
      <c r="JMR539" s="268"/>
      <c r="JMS539" s="268"/>
      <c r="JMT539" s="268"/>
      <c r="JMU539" s="268"/>
      <c r="JMV539" s="268"/>
      <c r="JMW539" s="268"/>
      <c r="JMX539" s="268"/>
      <c r="JMY539" s="268"/>
      <c r="JMZ539" s="268"/>
      <c r="JNA539" s="268"/>
      <c r="JNB539" s="268"/>
      <c r="JNC539" s="268"/>
      <c r="JND539" s="268"/>
      <c r="JNE539" s="268"/>
      <c r="JNF539" s="268"/>
      <c r="JNG539" s="268"/>
      <c r="JNH539" s="268"/>
      <c r="JNI539" s="268"/>
      <c r="JNJ539" s="268"/>
      <c r="JNK539" s="268"/>
      <c r="JNL539" s="268"/>
      <c r="JNM539" s="268"/>
      <c r="JNN539" s="268"/>
      <c r="JNO539" s="268"/>
      <c r="JNP539" s="268"/>
      <c r="JNQ539" s="268"/>
      <c r="JNR539" s="268"/>
      <c r="JNS539" s="268"/>
      <c r="JNT539" s="268"/>
      <c r="JNU539" s="268"/>
      <c r="JNV539" s="268"/>
      <c r="JNW539" s="268"/>
      <c r="JNX539" s="268"/>
      <c r="JNY539" s="268"/>
      <c r="JNZ539" s="268"/>
      <c r="JOA539" s="268"/>
      <c r="JOB539" s="268"/>
      <c r="JOC539" s="268"/>
      <c r="JOD539" s="268"/>
      <c r="JOE539" s="268"/>
      <c r="JOF539" s="268"/>
      <c r="JOG539" s="268"/>
      <c r="JOH539" s="268"/>
      <c r="JOI539" s="268"/>
      <c r="JOW539" s="268"/>
      <c r="JOX539" s="268"/>
      <c r="JOY539" s="268"/>
      <c r="JPM539" s="268"/>
      <c r="JPO539" s="268"/>
      <c r="JPP539" s="268"/>
      <c r="JPQ539" s="268"/>
      <c r="JPR539" s="268"/>
      <c r="JPS539" s="268"/>
      <c r="JPT539" s="268"/>
      <c r="JPU539" s="268"/>
      <c r="JPV539" s="268"/>
      <c r="JPW539" s="268"/>
      <c r="JPX539" s="268"/>
      <c r="JPY539" s="268"/>
      <c r="JPZ539" s="268"/>
      <c r="JQA539" s="268"/>
      <c r="JQB539" s="268"/>
      <c r="JQC539" s="268"/>
      <c r="JQD539" s="268"/>
      <c r="JQE539" s="268"/>
      <c r="JQF539" s="268"/>
      <c r="JQG539" s="268"/>
      <c r="JQH539" s="268"/>
      <c r="JQI539" s="268"/>
      <c r="JQJ539" s="268"/>
      <c r="JQK539" s="268"/>
      <c r="JQL539" s="268"/>
      <c r="JQM539" s="268"/>
      <c r="JQN539" s="268"/>
      <c r="JQO539" s="268"/>
      <c r="JQP539" s="268"/>
      <c r="JQQ539" s="268"/>
      <c r="JQR539" s="268"/>
      <c r="JQS539" s="268"/>
      <c r="JQT539" s="268"/>
      <c r="JQU539" s="268"/>
      <c r="JQV539" s="268"/>
      <c r="JQW539" s="268"/>
      <c r="JQX539" s="268"/>
      <c r="JQY539" s="268"/>
      <c r="JQZ539" s="268"/>
      <c r="JRA539" s="268"/>
      <c r="JRB539" s="268"/>
      <c r="JRC539" s="268"/>
      <c r="JRD539" s="268"/>
      <c r="JRE539" s="268"/>
      <c r="JRF539" s="268"/>
      <c r="JRG539" s="268"/>
      <c r="JRH539" s="268"/>
      <c r="JRI539" s="268"/>
      <c r="JRJ539" s="268"/>
      <c r="JRK539" s="268"/>
      <c r="JRL539" s="268"/>
      <c r="JRM539" s="268"/>
      <c r="JRN539" s="268"/>
      <c r="JRO539" s="268"/>
      <c r="JRP539" s="268"/>
      <c r="JRQ539" s="268"/>
      <c r="JRR539" s="268"/>
      <c r="JRS539" s="268"/>
      <c r="JRT539" s="268"/>
      <c r="JRU539" s="268"/>
      <c r="JRV539" s="268"/>
      <c r="JRW539" s="268"/>
      <c r="JRX539" s="268"/>
      <c r="JRY539" s="268"/>
      <c r="JRZ539" s="268"/>
      <c r="JSA539" s="268"/>
      <c r="JSB539" s="268"/>
      <c r="JSC539" s="268"/>
      <c r="JSD539" s="268"/>
      <c r="JSE539" s="268"/>
      <c r="JSF539" s="268"/>
      <c r="JSG539" s="268"/>
      <c r="JSH539" s="268"/>
      <c r="JSI539" s="268"/>
      <c r="JSJ539" s="268"/>
      <c r="JSK539" s="268"/>
      <c r="JSL539" s="268"/>
      <c r="JSM539" s="268"/>
      <c r="JSN539" s="268"/>
      <c r="JSO539" s="268"/>
      <c r="JSP539" s="268"/>
      <c r="JSQ539" s="268"/>
      <c r="JSR539" s="268"/>
      <c r="JSS539" s="268"/>
      <c r="JST539" s="268"/>
      <c r="JSU539" s="268"/>
      <c r="JSV539" s="268"/>
      <c r="JSW539" s="268"/>
      <c r="JSX539" s="268"/>
      <c r="JSY539" s="268"/>
      <c r="JSZ539" s="268"/>
      <c r="JTA539" s="268"/>
      <c r="JTB539" s="268"/>
      <c r="JTC539" s="268"/>
      <c r="JTD539" s="268"/>
      <c r="JTE539" s="268"/>
      <c r="JTF539" s="268"/>
      <c r="JTG539" s="268"/>
      <c r="JTH539" s="268"/>
      <c r="JTI539" s="268"/>
      <c r="JTJ539" s="268"/>
      <c r="JTK539" s="268"/>
      <c r="JTL539" s="268"/>
      <c r="JTM539" s="268"/>
      <c r="JTN539" s="268"/>
      <c r="JTO539" s="268"/>
      <c r="JTP539" s="268"/>
      <c r="JTQ539" s="268"/>
      <c r="JTR539" s="268"/>
      <c r="JTS539" s="268"/>
      <c r="JTT539" s="268"/>
      <c r="JTU539" s="268"/>
      <c r="JTV539" s="268"/>
      <c r="JTW539" s="268"/>
      <c r="JTX539" s="268"/>
      <c r="JTY539" s="268"/>
      <c r="JTZ539" s="268"/>
      <c r="JUA539" s="268"/>
      <c r="JUB539" s="268"/>
      <c r="JUC539" s="268"/>
      <c r="JUD539" s="268"/>
      <c r="JUE539" s="268"/>
      <c r="JUF539" s="268"/>
      <c r="JUG539" s="268"/>
      <c r="JUH539" s="268"/>
      <c r="JUI539" s="268"/>
      <c r="JUJ539" s="268"/>
      <c r="JUK539" s="268"/>
      <c r="JUL539" s="268"/>
      <c r="JUM539" s="268"/>
      <c r="JUN539" s="268"/>
      <c r="JUO539" s="268"/>
      <c r="JUP539" s="268"/>
      <c r="JUQ539" s="268"/>
      <c r="JUR539" s="268"/>
      <c r="JUS539" s="268"/>
      <c r="JUT539" s="268"/>
      <c r="JUU539" s="268"/>
      <c r="JUV539" s="268"/>
      <c r="JUW539" s="268"/>
      <c r="JUX539" s="268"/>
      <c r="JUY539" s="268"/>
      <c r="JUZ539" s="268"/>
      <c r="JVA539" s="268"/>
      <c r="JVB539" s="268"/>
      <c r="JVC539" s="268"/>
      <c r="JVD539" s="268"/>
      <c r="JVE539" s="268"/>
      <c r="JVF539" s="268"/>
      <c r="JVG539" s="268"/>
      <c r="JVH539" s="268"/>
      <c r="JVI539" s="268"/>
      <c r="JVJ539" s="268"/>
      <c r="JVK539" s="268"/>
      <c r="JVL539" s="268"/>
      <c r="JVM539" s="268"/>
      <c r="JVN539" s="268"/>
      <c r="JVO539" s="268"/>
      <c r="JVP539" s="268"/>
      <c r="JVQ539" s="268"/>
      <c r="JVR539" s="268"/>
      <c r="JVS539" s="268"/>
      <c r="JVT539" s="268"/>
      <c r="JVU539" s="268"/>
      <c r="JVV539" s="268"/>
      <c r="JVW539" s="268"/>
      <c r="JVX539" s="268"/>
      <c r="JVY539" s="268"/>
      <c r="JVZ539" s="268"/>
      <c r="JWA539" s="268"/>
      <c r="JWB539" s="268"/>
      <c r="JWC539" s="268"/>
      <c r="JWD539" s="268"/>
      <c r="JWE539" s="268"/>
      <c r="JWF539" s="268"/>
      <c r="JWG539" s="268"/>
      <c r="JWH539" s="268"/>
      <c r="JWI539" s="268"/>
      <c r="JWJ539" s="268"/>
      <c r="JWK539" s="268"/>
      <c r="JWL539" s="268"/>
      <c r="JWM539" s="268"/>
      <c r="JWN539" s="268"/>
      <c r="JWO539" s="268"/>
      <c r="JWP539" s="268"/>
      <c r="JWQ539" s="268"/>
      <c r="JWR539" s="268"/>
      <c r="JWS539" s="268"/>
      <c r="JWT539" s="268"/>
      <c r="JWU539" s="268"/>
      <c r="JWV539" s="268"/>
      <c r="JWW539" s="268"/>
      <c r="JWX539" s="268"/>
      <c r="JWY539" s="268"/>
      <c r="JWZ539" s="268"/>
      <c r="JXA539" s="268"/>
      <c r="JXB539" s="268"/>
      <c r="JXC539" s="268"/>
      <c r="JXD539" s="268"/>
      <c r="JXE539" s="268"/>
      <c r="JXF539" s="268"/>
      <c r="JXG539" s="268"/>
      <c r="JXH539" s="268"/>
      <c r="JXI539" s="268"/>
      <c r="JXJ539" s="268"/>
      <c r="JXK539" s="268"/>
      <c r="JXL539" s="268"/>
      <c r="JXM539" s="268"/>
      <c r="JXN539" s="268"/>
      <c r="JXO539" s="268"/>
      <c r="JXP539" s="268"/>
      <c r="JXQ539" s="268"/>
      <c r="JXR539" s="268"/>
      <c r="JXS539" s="268"/>
      <c r="JXT539" s="268"/>
      <c r="JXU539" s="268"/>
      <c r="JXV539" s="268"/>
      <c r="JXW539" s="268"/>
      <c r="JXX539" s="268"/>
      <c r="JXY539" s="268"/>
      <c r="JXZ539" s="268"/>
      <c r="JYA539" s="268"/>
      <c r="JYB539" s="268"/>
      <c r="JYC539" s="268"/>
      <c r="JYD539" s="268"/>
      <c r="JYE539" s="268"/>
      <c r="JYS539" s="268"/>
      <c r="JYT539" s="268"/>
      <c r="JYU539" s="268"/>
      <c r="JZI539" s="268"/>
      <c r="JZK539" s="268"/>
      <c r="JZL539" s="268"/>
      <c r="JZM539" s="268"/>
      <c r="JZN539" s="268"/>
      <c r="JZO539" s="268"/>
      <c r="JZP539" s="268"/>
      <c r="JZQ539" s="268"/>
      <c r="JZR539" s="268"/>
      <c r="JZS539" s="268"/>
      <c r="JZT539" s="268"/>
      <c r="JZU539" s="268"/>
      <c r="JZV539" s="268"/>
      <c r="JZW539" s="268"/>
      <c r="JZX539" s="268"/>
      <c r="JZY539" s="268"/>
      <c r="JZZ539" s="268"/>
      <c r="KAA539" s="268"/>
      <c r="KAB539" s="268"/>
      <c r="KAC539" s="268"/>
      <c r="KAD539" s="268"/>
      <c r="KAE539" s="268"/>
      <c r="KAF539" s="268"/>
      <c r="KAG539" s="268"/>
      <c r="KAH539" s="268"/>
      <c r="KAI539" s="268"/>
      <c r="KAJ539" s="268"/>
      <c r="KAK539" s="268"/>
      <c r="KAL539" s="268"/>
      <c r="KAM539" s="268"/>
      <c r="KAN539" s="268"/>
      <c r="KAO539" s="268"/>
      <c r="KAP539" s="268"/>
      <c r="KAQ539" s="268"/>
      <c r="KAR539" s="268"/>
      <c r="KAS539" s="268"/>
      <c r="KAT539" s="268"/>
      <c r="KAU539" s="268"/>
      <c r="KAV539" s="268"/>
      <c r="KAW539" s="268"/>
      <c r="KAX539" s="268"/>
      <c r="KAY539" s="268"/>
      <c r="KAZ539" s="268"/>
      <c r="KBA539" s="268"/>
      <c r="KBB539" s="268"/>
      <c r="KBC539" s="268"/>
      <c r="KBD539" s="268"/>
      <c r="KBE539" s="268"/>
      <c r="KBF539" s="268"/>
      <c r="KBG539" s="268"/>
      <c r="KBH539" s="268"/>
      <c r="KBI539" s="268"/>
      <c r="KBJ539" s="268"/>
      <c r="KBK539" s="268"/>
      <c r="KBL539" s="268"/>
      <c r="KBM539" s="268"/>
      <c r="KBN539" s="268"/>
      <c r="KBO539" s="268"/>
      <c r="KBP539" s="268"/>
      <c r="KBQ539" s="268"/>
      <c r="KBR539" s="268"/>
      <c r="KBS539" s="268"/>
      <c r="KBT539" s="268"/>
      <c r="KBU539" s="268"/>
      <c r="KBV539" s="268"/>
      <c r="KBW539" s="268"/>
      <c r="KBX539" s="268"/>
      <c r="KBY539" s="268"/>
      <c r="KBZ539" s="268"/>
      <c r="KCA539" s="268"/>
      <c r="KCB539" s="268"/>
      <c r="KCC539" s="268"/>
      <c r="KCD539" s="268"/>
      <c r="KCE539" s="268"/>
      <c r="KCF539" s="268"/>
      <c r="KCG539" s="268"/>
      <c r="KCH539" s="268"/>
      <c r="KCI539" s="268"/>
      <c r="KCJ539" s="268"/>
      <c r="KCK539" s="268"/>
      <c r="KCL539" s="268"/>
      <c r="KCM539" s="268"/>
      <c r="KCN539" s="268"/>
      <c r="KCO539" s="268"/>
      <c r="KCP539" s="268"/>
      <c r="KCQ539" s="268"/>
      <c r="KCR539" s="268"/>
      <c r="KCS539" s="268"/>
      <c r="KCT539" s="268"/>
      <c r="KCU539" s="268"/>
      <c r="KCV539" s="268"/>
      <c r="KCW539" s="268"/>
      <c r="KCX539" s="268"/>
      <c r="KCY539" s="268"/>
      <c r="KCZ539" s="268"/>
      <c r="KDA539" s="268"/>
      <c r="KDB539" s="268"/>
      <c r="KDC539" s="268"/>
      <c r="KDD539" s="268"/>
      <c r="KDE539" s="268"/>
      <c r="KDF539" s="268"/>
      <c r="KDG539" s="268"/>
      <c r="KDH539" s="268"/>
      <c r="KDI539" s="268"/>
      <c r="KDJ539" s="268"/>
      <c r="KDK539" s="268"/>
      <c r="KDL539" s="268"/>
      <c r="KDM539" s="268"/>
      <c r="KDN539" s="268"/>
      <c r="KDO539" s="268"/>
      <c r="KDP539" s="268"/>
      <c r="KDQ539" s="268"/>
      <c r="KDR539" s="268"/>
      <c r="KDS539" s="268"/>
      <c r="KDT539" s="268"/>
      <c r="KDU539" s="268"/>
      <c r="KDV539" s="268"/>
      <c r="KDW539" s="268"/>
      <c r="KDX539" s="268"/>
      <c r="KDY539" s="268"/>
      <c r="KDZ539" s="268"/>
      <c r="KEA539" s="268"/>
      <c r="KEB539" s="268"/>
      <c r="KEC539" s="268"/>
      <c r="KED539" s="268"/>
      <c r="KEE539" s="268"/>
      <c r="KEF539" s="268"/>
      <c r="KEG539" s="268"/>
      <c r="KEH539" s="268"/>
      <c r="KEI539" s="268"/>
      <c r="KEJ539" s="268"/>
      <c r="KEK539" s="268"/>
      <c r="KEL539" s="268"/>
      <c r="KEM539" s="268"/>
      <c r="KEN539" s="268"/>
      <c r="KEO539" s="268"/>
      <c r="KEP539" s="268"/>
      <c r="KEQ539" s="268"/>
      <c r="KER539" s="268"/>
      <c r="KES539" s="268"/>
      <c r="KET539" s="268"/>
      <c r="KEU539" s="268"/>
      <c r="KEV539" s="268"/>
      <c r="KEW539" s="268"/>
      <c r="KEX539" s="268"/>
      <c r="KEY539" s="268"/>
      <c r="KEZ539" s="268"/>
      <c r="KFA539" s="268"/>
      <c r="KFB539" s="268"/>
      <c r="KFC539" s="268"/>
      <c r="KFD539" s="268"/>
      <c r="KFE539" s="268"/>
      <c r="KFF539" s="268"/>
      <c r="KFG539" s="268"/>
      <c r="KFH539" s="268"/>
      <c r="KFI539" s="268"/>
      <c r="KFJ539" s="268"/>
      <c r="KFK539" s="268"/>
      <c r="KFL539" s="268"/>
      <c r="KFM539" s="268"/>
      <c r="KFN539" s="268"/>
      <c r="KFO539" s="268"/>
      <c r="KFP539" s="268"/>
      <c r="KFQ539" s="268"/>
      <c r="KFR539" s="268"/>
      <c r="KFS539" s="268"/>
      <c r="KFT539" s="268"/>
      <c r="KFU539" s="268"/>
      <c r="KFV539" s="268"/>
      <c r="KFW539" s="268"/>
      <c r="KFX539" s="268"/>
      <c r="KFY539" s="268"/>
      <c r="KFZ539" s="268"/>
      <c r="KGA539" s="268"/>
      <c r="KGB539" s="268"/>
      <c r="KGC539" s="268"/>
      <c r="KGD539" s="268"/>
      <c r="KGE539" s="268"/>
      <c r="KGF539" s="268"/>
      <c r="KGG539" s="268"/>
      <c r="KGH539" s="268"/>
      <c r="KGI539" s="268"/>
      <c r="KGJ539" s="268"/>
      <c r="KGK539" s="268"/>
      <c r="KGL539" s="268"/>
      <c r="KGM539" s="268"/>
      <c r="KGN539" s="268"/>
      <c r="KGO539" s="268"/>
      <c r="KGP539" s="268"/>
      <c r="KGQ539" s="268"/>
      <c r="KGR539" s="268"/>
      <c r="KGS539" s="268"/>
      <c r="KGT539" s="268"/>
      <c r="KGU539" s="268"/>
      <c r="KGV539" s="268"/>
      <c r="KGW539" s="268"/>
      <c r="KGX539" s="268"/>
      <c r="KGY539" s="268"/>
      <c r="KGZ539" s="268"/>
      <c r="KHA539" s="268"/>
      <c r="KHB539" s="268"/>
      <c r="KHC539" s="268"/>
      <c r="KHD539" s="268"/>
      <c r="KHE539" s="268"/>
      <c r="KHF539" s="268"/>
      <c r="KHG539" s="268"/>
      <c r="KHH539" s="268"/>
      <c r="KHI539" s="268"/>
      <c r="KHJ539" s="268"/>
      <c r="KHK539" s="268"/>
      <c r="KHL539" s="268"/>
      <c r="KHM539" s="268"/>
      <c r="KHN539" s="268"/>
      <c r="KHO539" s="268"/>
      <c r="KHP539" s="268"/>
      <c r="KHQ539" s="268"/>
      <c r="KHR539" s="268"/>
      <c r="KHS539" s="268"/>
      <c r="KHT539" s="268"/>
      <c r="KHU539" s="268"/>
      <c r="KHV539" s="268"/>
      <c r="KHW539" s="268"/>
      <c r="KHX539" s="268"/>
      <c r="KHY539" s="268"/>
      <c r="KHZ539" s="268"/>
      <c r="KIA539" s="268"/>
      <c r="KIO539" s="268"/>
      <c r="KIP539" s="268"/>
      <c r="KIQ539" s="268"/>
      <c r="KJE539" s="268"/>
      <c r="KJG539" s="268"/>
      <c r="KJH539" s="268"/>
      <c r="KJI539" s="268"/>
      <c r="KJJ539" s="268"/>
      <c r="KJK539" s="268"/>
      <c r="KJL539" s="268"/>
      <c r="KJM539" s="268"/>
      <c r="KJN539" s="268"/>
      <c r="KJO539" s="268"/>
      <c r="KJP539" s="268"/>
      <c r="KJQ539" s="268"/>
      <c r="KJR539" s="268"/>
      <c r="KJS539" s="268"/>
      <c r="KJT539" s="268"/>
      <c r="KJU539" s="268"/>
      <c r="KJV539" s="268"/>
      <c r="KJW539" s="268"/>
      <c r="KJX539" s="268"/>
      <c r="KJY539" s="268"/>
      <c r="KJZ539" s="268"/>
      <c r="KKA539" s="268"/>
      <c r="KKB539" s="268"/>
      <c r="KKC539" s="268"/>
      <c r="KKD539" s="268"/>
      <c r="KKE539" s="268"/>
      <c r="KKF539" s="268"/>
      <c r="KKG539" s="268"/>
      <c r="KKH539" s="268"/>
      <c r="KKI539" s="268"/>
      <c r="KKJ539" s="268"/>
      <c r="KKK539" s="268"/>
      <c r="KKL539" s="268"/>
      <c r="KKM539" s="268"/>
      <c r="KKN539" s="268"/>
      <c r="KKO539" s="268"/>
      <c r="KKP539" s="268"/>
      <c r="KKQ539" s="268"/>
      <c r="KKR539" s="268"/>
      <c r="KKS539" s="268"/>
      <c r="KKT539" s="268"/>
      <c r="KKU539" s="268"/>
      <c r="KKV539" s="268"/>
      <c r="KKW539" s="268"/>
      <c r="KKX539" s="268"/>
      <c r="KKY539" s="268"/>
      <c r="KKZ539" s="268"/>
      <c r="KLA539" s="268"/>
      <c r="KLB539" s="268"/>
      <c r="KLC539" s="268"/>
      <c r="KLD539" s="268"/>
      <c r="KLE539" s="268"/>
      <c r="KLF539" s="268"/>
      <c r="KLG539" s="268"/>
      <c r="KLH539" s="268"/>
      <c r="KLI539" s="268"/>
      <c r="KLJ539" s="268"/>
      <c r="KLK539" s="268"/>
      <c r="KLL539" s="268"/>
      <c r="KLM539" s="268"/>
      <c r="KLN539" s="268"/>
      <c r="KLO539" s="268"/>
      <c r="KLP539" s="268"/>
      <c r="KLQ539" s="268"/>
      <c r="KLR539" s="268"/>
      <c r="KLS539" s="268"/>
      <c r="KLT539" s="268"/>
      <c r="KLU539" s="268"/>
      <c r="KLV539" s="268"/>
      <c r="KLW539" s="268"/>
      <c r="KLX539" s="268"/>
      <c r="KLY539" s="268"/>
      <c r="KLZ539" s="268"/>
      <c r="KMA539" s="268"/>
      <c r="KMB539" s="268"/>
      <c r="KMC539" s="268"/>
      <c r="KMD539" s="268"/>
      <c r="KME539" s="268"/>
      <c r="KMF539" s="268"/>
      <c r="KMG539" s="268"/>
      <c r="KMH539" s="268"/>
      <c r="KMI539" s="268"/>
      <c r="KMJ539" s="268"/>
      <c r="KMK539" s="268"/>
      <c r="KML539" s="268"/>
      <c r="KMM539" s="268"/>
      <c r="KMN539" s="268"/>
      <c r="KMO539" s="268"/>
      <c r="KMP539" s="268"/>
      <c r="KMQ539" s="268"/>
      <c r="KMR539" s="268"/>
      <c r="KMS539" s="268"/>
      <c r="KMT539" s="268"/>
      <c r="KMU539" s="268"/>
      <c r="KMV539" s="268"/>
      <c r="KMW539" s="268"/>
      <c r="KMX539" s="268"/>
      <c r="KMY539" s="268"/>
      <c r="KMZ539" s="268"/>
      <c r="KNA539" s="268"/>
      <c r="KNB539" s="268"/>
      <c r="KNC539" s="268"/>
      <c r="KND539" s="268"/>
      <c r="KNE539" s="268"/>
      <c r="KNF539" s="268"/>
      <c r="KNG539" s="268"/>
      <c r="KNH539" s="268"/>
      <c r="KNI539" s="268"/>
      <c r="KNJ539" s="268"/>
      <c r="KNK539" s="268"/>
      <c r="KNL539" s="268"/>
      <c r="KNM539" s="268"/>
      <c r="KNN539" s="268"/>
      <c r="KNO539" s="268"/>
      <c r="KNP539" s="268"/>
      <c r="KNQ539" s="268"/>
      <c r="KNR539" s="268"/>
      <c r="KNS539" s="268"/>
      <c r="KNT539" s="268"/>
      <c r="KNU539" s="268"/>
      <c r="KNV539" s="268"/>
      <c r="KNW539" s="268"/>
      <c r="KNX539" s="268"/>
      <c r="KNY539" s="268"/>
      <c r="KNZ539" s="268"/>
      <c r="KOA539" s="268"/>
      <c r="KOB539" s="268"/>
      <c r="KOC539" s="268"/>
      <c r="KOD539" s="268"/>
      <c r="KOE539" s="268"/>
      <c r="KOF539" s="268"/>
      <c r="KOG539" s="268"/>
      <c r="KOH539" s="268"/>
      <c r="KOI539" s="268"/>
      <c r="KOJ539" s="268"/>
      <c r="KOK539" s="268"/>
      <c r="KOL539" s="268"/>
      <c r="KOM539" s="268"/>
      <c r="KON539" s="268"/>
      <c r="KOO539" s="268"/>
      <c r="KOP539" s="268"/>
      <c r="KOQ539" s="268"/>
      <c r="KOR539" s="268"/>
      <c r="KOS539" s="268"/>
      <c r="KOT539" s="268"/>
      <c r="KOU539" s="268"/>
      <c r="KOV539" s="268"/>
      <c r="KOW539" s="268"/>
      <c r="KOX539" s="268"/>
      <c r="KOY539" s="268"/>
      <c r="KOZ539" s="268"/>
      <c r="KPA539" s="268"/>
      <c r="KPB539" s="268"/>
      <c r="KPC539" s="268"/>
      <c r="KPD539" s="268"/>
      <c r="KPE539" s="268"/>
      <c r="KPF539" s="268"/>
      <c r="KPG539" s="268"/>
      <c r="KPH539" s="268"/>
      <c r="KPI539" s="268"/>
      <c r="KPJ539" s="268"/>
      <c r="KPK539" s="268"/>
      <c r="KPL539" s="268"/>
      <c r="KPM539" s="268"/>
      <c r="KPN539" s="268"/>
      <c r="KPO539" s="268"/>
      <c r="KPP539" s="268"/>
      <c r="KPQ539" s="268"/>
      <c r="KPR539" s="268"/>
      <c r="KPS539" s="268"/>
      <c r="KPT539" s="268"/>
      <c r="KPU539" s="268"/>
      <c r="KPV539" s="268"/>
      <c r="KPW539" s="268"/>
      <c r="KPX539" s="268"/>
      <c r="KPY539" s="268"/>
      <c r="KPZ539" s="268"/>
      <c r="KQA539" s="268"/>
      <c r="KQB539" s="268"/>
      <c r="KQC539" s="268"/>
      <c r="KQD539" s="268"/>
      <c r="KQE539" s="268"/>
      <c r="KQF539" s="268"/>
      <c r="KQG539" s="268"/>
      <c r="KQH539" s="268"/>
      <c r="KQI539" s="268"/>
      <c r="KQJ539" s="268"/>
      <c r="KQK539" s="268"/>
      <c r="KQL539" s="268"/>
      <c r="KQM539" s="268"/>
      <c r="KQN539" s="268"/>
      <c r="KQO539" s="268"/>
      <c r="KQP539" s="268"/>
      <c r="KQQ539" s="268"/>
      <c r="KQR539" s="268"/>
      <c r="KQS539" s="268"/>
      <c r="KQT539" s="268"/>
      <c r="KQU539" s="268"/>
      <c r="KQV539" s="268"/>
      <c r="KQW539" s="268"/>
      <c r="KQX539" s="268"/>
      <c r="KQY539" s="268"/>
      <c r="KQZ539" s="268"/>
      <c r="KRA539" s="268"/>
      <c r="KRB539" s="268"/>
      <c r="KRC539" s="268"/>
      <c r="KRD539" s="268"/>
      <c r="KRE539" s="268"/>
      <c r="KRF539" s="268"/>
      <c r="KRG539" s="268"/>
      <c r="KRH539" s="268"/>
      <c r="KRI539" s="268"/>
      <c r="KRJ539" s="268"/>
      <c r="KRK539" s="268"/>
      <c r="KRL539" s="268"/>
      <c r="KRM539" s="268"/>
      <c r="KRN539" s="268"/>
      <c r="KRO539" s="268"/>
      <c r="KRP539" s="268"/>
      <c r="KRQ539" s="268"/>
      <c r="KRR539" s="268"/>
      <c r="KRS539" s="268"/>
      <c r="KRT539" s="268"/>
      <c r="KRU539" s="268"/>
      <c r="KRV539" s="268"/>
      <c r="KRW539" s="268"/>
      <c r="KSK539" s="268"/>
      <c r="KSL539" s="268"/>
      <c r="KSM539" s="268"/>
      <c r="KTA539" s="268"/>
      <c r="KTC539" s="268"/>
      <c r="KTD539" s="268"/>
      <c r="KTE539" s="268"/>
      <c r="KTF539" s="268"/>
      <c r="KTG539" s="268"/>
      <c r="KTH539" s="268"/>
      <c r="KTI539" s="268"/>
      <c r="KTJ539" s="268"/>
      <c r="KTK539" s="268"/>
      <c r="KTL539" s="268"/>
      <c r="KTM539" s="268"/>
      <c r="KTN539" s="268"/>
      <c r="KTO539" s="268"/>
      <c r="KTP539" s="268"/>
      <c r="KTQ539" s="268"/>
      <c r="KTR539" s="268"/>
      <c r="KTS539" s="268"/>
      <c r="KTT539" s="268"/>
      <c r="KTU539" s="268"/>
      <c r="KTV539" s="268"/>
      <c r="KTW539" s="268"/>
      <c r="KTX539" s="268"/>
      <c r="KTY539" s="268"/>
      <c r="KTZ539" s="268"/>
      <c r="KUA539" s="268"/>
      <c r="KUB539" s="268"/>
      <c r="KUC539" s="268"/>
      <c r="KUD539" s="268"/>
      <c r="KUE539" s="268"/>
      <c r="KUF539" s="268"/>
      <c r="KUG539" s="268"/>
      <c r="KUH539" s="268"/>
      <c r="KUI539" s="268"/>
      <c r="KUJ539" s="268"/>
      <c r="KUK539" s="268"/>
      <c r="KUL539" s="268"/>
      <c r="KUM539" s="268"/>
      <c r="KUN539" s="268"/>
      <c r="KUO539" s="268"/>
      <c r="KUP539" s="268"/>
      <c r="KUQ539" s="268"/>
      <c r="KUR539" s="268"/>
      <c r="KUS539" s="268"/>
      <c r="KUT539" s="268"/>
      <c r="KUU539" s="268"/>
      <c r="KUV539" s="268"/>
      <c r="KUW539" s="268"/>
      <c r="KUX539" s="268"/>
      <c r="KUY539" s="268"/>
      <c r="KUZ539" s="268"/>
      <c r="KVA539" s="268"/>
      <c r="KVB539" s="268"/>
      <c r="KVC539" s="268"/>
      <c r="KVD539" s="268"/>
      <c r="KVE539" s="268"/>
      <c r="KVF539" s="268"/>
      <c r="KVG539" s="268"/>
      <c r="KVH539" s="268"/>
      <c r="KVI539" s="268"/>
      <c r="KVJ539" s="268"/>
      <c r="KVK539" s="268"/>
      <c r="KVL539" s="268"/>
      <c r="KVM539" s="268"/>
      <c r="KVN539" s="268"/>
      <c r="KVO539" s="268"/>
      <c r="KVP539" s="268"/>
      <c r="KVQ539" s="268"/>
      <c r="KVR539" s="268"/>
      <c r="KVS539" s="268"/>
      <c r="KVT539" s="268"/>
      <c r="KVU539" s="268"/>
      <c r="KVV539" s="268"/>
      <c r="KVW539" s="268"/>
      <c r="KVX539" s="268"/>
      <c r="KVY539" s="268"/>
      <c r="KVZ539" s="268"/>
      <c r="KWA539" s="268"/>
      <c r="KWB539" s="268"/>
      <c r="KWC539" s="268"/>
      <c r="KWD539" s="268"/>
      <c r="KWE539" s="268"/>
      <c r="KWF539" s="268"/>
      <c r="KWG539" s="268"/>
      <c r="KWH539" s="268"/>
      <c r="KWI539" s="268"/>
      <c r="KWJ539" s="268"/>
      <c r="KWK539" s="268"/>
      <c r="KWL539" s="268"/>
      <c r="KWM539" s="268"/>
      <c r="KWN539" s="268"/>
      <c r="KWO539" s="268"/>
      <c r="KWP539" s="268"/>
      <c r="KWQ539" s="268"/>
      <c r="KWR539" s="268"/>
      <c r="KWS539" s="268"/>
      <c r="KWT539" s="268"/>
      <c r="KWU539" s="268"/>
      <c r="KWV539" s="268"/>
      <c r="KWW539" s="268"/>
      <c r="KWX539" s="268"/>
      <c r="KWY539" s="268"/>
      <c r="KWZ539" s="268"/>
      <c r="KXA539" s="268"/>
      <c r="KXB539" s="268"/>
      <c r="KXC539" s="268"/>
      <c r="KXD539" s="268"/>
      <c r="KXE539" s="268"/>
      <c r="KXF539" s="268"/>
      <c r="KXG539" s="268"/>
      <c r="KXH539" s="268"/>
      <c r="KXI539" s="268"/>
      <c r="KXJ539" s="268"/>
      <c r="KXK539" s="268"/>
      <c r="KXL539" s="268"/>
      <c r="KXM539" s="268"/>
      <c r="KXN539" s="268"/>
      <c r="KXO539" s="268"/>
      <c r="KXP539" s="268"/>
      <c r="KXQ539" s="268"/>
      <c r="KXR539" s="268"/>
      <c r="KXS539" s="268"/>
      <c r="KXT539" s="268"/>
      <c r="KXU539" s="268"/>
      <c r="KXV539" s="268"/>
      <c r="KXW539" s="268"/>
      <c r="KXX539" s="268"/>
      <c r="KXY539" s="268"/>
      <c r="KXZ539" s="268"/>
      <c r="KYA539" s="268"/>
      <c r="KYB539" s="268"/>
      <c r="KYC539" s="268"/>
      <c r="KYD539" s="268"/>
      <c r="KYE539" s="268"/>
      <c r="KYF539" s="268"/>
      <c r="KYG539" s="268"/>
      <c r="KYH539" s="268"/>
      <c r="KYI539" s="268"/>
      <c r="KYJ539" s="268"/>
      <c r="KYK539" s="268"/>
      <c r="KYL539" s="268"/>
      <c r="KYM539" s="268"/>
      <c r="KYN539" s="268"/>
      <c r="KYO539" s="268"/>
      <c r="KYP539" s="268"/>
      <c r="KYQ539" s="268"/>
      <c r="KYR539" s="268"/>
      <c r="KYS539" s="268"/>
      <c r="KYT539" s="268"/>
      <c r="KYU539" s="268"/>
      <c r="KYV539" s="268"/>
      <c r="KYW539" s="268"/>
      <c r="KYX539" s="268"/>
      <c r="KYY539" s="268"/>
      <c r="KYZ539" s="268"/>
      <c r="KZA539" s="268"/>
      <c r="KZB539" s="268"/>
      <c r="KZC539" s="268"/>
      <c r="KZD539" s="268"/>
      <c r="KZE539" s="268"/>
      <c r="KZF539" s="268"/>
      <c r="KZG539" s="268"/>
      <c r="KZH539" s="268"/>
      <c r="KZI539" s="268"/>
      <c r="KZJ539" s="268"/>
      <c r="KZK539" s="268"/>
      <c r="KZL539" s="268"/>
      <c r="KZM539" s="268"/>
      <c r="KZN539" s="268"/>
      <c r="KZO539" s="268"/>
      <c r="KZP539" s="268"/>
      <c r="KZQ539" s="268"/>
      <c r="KZR539" s="268"/>
      <c r="KZS539" s="268"/>
      <c r="KZT539" s="268"/>
      <c r="KZU539" s="268"/>
      <c r="KZV539" s="268"/>
      <c r="KZW539" s="268"/>
      <c r="KZX539" s="268"/>
      <c r="KZY539" s="268"/>
      <c r="KZZ539" s="268"/>
      <c r="LAA539" s="268"/>
      <c r="LAB539" s="268"/>
      <c r="LAC539" s="268"/>
      <c r="LAD539" s="268"/>
      <c r="LAE539" s="268"/>
      <c r="LAF539" s="268"/>
      <c r="LAG539" s="268"/>
      <c r="LAH539" s="268"/>
      <c r="LAI539" s="268"/>
      <c r="LAJ539" s="268"/>
      <c r="LAK539" s="268"/>
      <c r="LAL539" s="268"/>
      <c r="LAM539" s="268"/>
      <c r="LAN539" s="268"/>
      <c r="LAO539" s="268"/>
      <c r="LAP539" s="268"/>
      <c r="LAQ539" s="268"/>
      <c r="LAR539" s="268"/>
      <c r="LAS539" s="268"/>
      <c r="LAT539" s="268"/>
      <c r="LAU539" s="268"/>
      <c r="LAV539" s="268"/>
      <c r="LAW539" s="268"/>
      <c r="LAX539" s="268"/>
      <c r="LAY539" s="268"/>
      <c r="LAZ539" s="268"/>
      <c r="LBA539" s="268"/>
      <c r="LBB539" s="268"/>
      <c r="LBC539" s="268"/>
      <c r="LBD539" s="268"/>
      <c r="LBE539" s="268"/>
      <c r="LBF539" s="268"/>
      <c r="LBG539" s="268"/>
      <c r="LBH539" s="268"/>
      <c r="LBI539" s="268"/>
      <c r="LBJ539" s="268"/>
      <c r="LBK539" s="268"/>
      <c r="LBL539" s="268"/>
      <c r="LBM539" s="268"/>
      <c r="LBN539" s="268"/>
      <c r="LBO539" s="268"/>
      <c r="LBP539" s="268"/>
      <c r="LBQ539" s="268"/>
      <c r="LBR539" s="268"/>
      <c r="LBS539" s="268"/>
      <c r="LCG539" s="268"/>
      <c r="LCH539" s="268"/>
      <c r="LCI539" s="268"/>
      <c r="LCW539" s="268"/>
      <c r="LCY539" s="268"/>
      <c r="LCZ539" s="268"/>
      <c r="LDA539" s="268"/>
      <c r="LDB539" s="268"/>
      <c r="LDC539" s="268"/>
      <c r="LDD539" s="268"/>
      <c r="LDE539" s="268"/>
      <c r="LDF539" s="268"/>
      <c r="LDG539" s="268"/>
      <c r="LDH539" s="268"/>
      <c r="LDI539" s="268"/>
      <c r="LDJ539" s="268"/>
      <c r="LDK539" s="268"/>
      <c r="LDL539" s="268"/>
      <c r="LDM539" s="268"/>
      <c r="LDN539" s="268"/>
      <c r="LDO539" s="268"/>
      <c r="LDP539" s="268"/>
      <c r="LDQ539" s="268"/>
      <c r="LDR539" s="268"/>
      <c r="LDS539" s="268"/>
      <c r="LDT539" s="268"/>
      <c r="LDU539" s="268"/>
      <c r="LDV539" s="268"/>
      <c r="LDW539" s="268"/>
      <c r="LDX539" s="268"/>
      <c r="LDY539" s="268"/>
      <c r="LDZ539" s="268"/>
      <c r="LEA539" s="268"/>
      <c r="LEB539" s="268"/>
      <c r="LEC539" s="268"/>
      <c r="LED539" s="268"/>
      <c r="LEE539" s="268"/>
      <c r="LEF539" s="268"/>
      <c r="LEG539" s="268"/>
      <c r="LEH539" s="268"/>
      <c r="LEI539" s="268"/>
      <c r="LEJ539" s="268"/>
      <c r="LEK539" s="268"/>
      <c r="LEL539" s="268"/>
      <c r="LEM539" s="268"/>
      <c r="LEN539" s="268"/>
      <c r="LEO539" s="268"/>
      <c r="LEP539" s="268"/>
      <c r="LEQ539" s="268"/>
      <c r="LER539" s="268"/>
      <c r="LES539" s="268"/>
      <c r="LET539" s="268"/>
      <c r="LEU539" s="268"/>
      <c r="LEV539" s="268"/>
      <c r="LEW539" s="268"/>
      <c r="LEX539" s="268"/>
      <c r="LEY539" s="268"/>
      <c r="LEZ539" s="268"/>
      <c r="LFA539" s="268"/>
      <c r="LFB539" s="268"/>
      <c r="LFC539" s="268"/>
      <c r="LFD539" s="268"/>
      <c r="LFE539" s="268"/>
      <c r="LFF539" s="268"/>
      <c r="LFG539" s="268"/>
      <c r="LFH539" s="268"/>
      <c r="LFI539" s="268"/>
      <c r="LFJ539" s="268"/>
      <c r="LFK539" s="268"/>
      <c r="LFL539" s="268"/>
      <c r="LFM539" s="268"/>
      <c r="LFN539" s="268"/>
      <c r="LFO539" s="268"/>
      <c r="LFP539" s="268"/>
      <c r="LFQ539" s="268"/>
      <c r="LFR539" s="268"/>
      <c r="LFS539" s="268"/>
      <c r="LFT539" s="268"/>
      <c r="LFU539" s="268"/>
      <c r="LFV539" s="268"/>
      <c r="LFW539" s="268"/>
      <c r="LFX539" s="268"/>
      <c r="LFY539" s="268"/>
      <c r="LFZ539" s="268"/>
      <c r="LGA539" s="268"/>
      <c r="LGB539" s="268"/>
      <c r="LGC539" s="268"/>
      <c r="LGD539" s="268"/>
      <c r="LGE539" s="268"/>
      <c r="LGF539" s="268"/>
      <c r="LGG539" s="268"/>
      <c r="LGH539" s="268"/>
      <c r="LGI539" s="268"/>
      <c r="LGJ539" s="268"/>
      <c r="LGK539" s="268"/>
      <c r="LGL539" s="268"/>
      <c r="LGM539" s="268"/>
      <c r="LGN539" s="268"/>
      <c r="LGO539" s="268"/>
      <c r="LGP539" s="268"/>
      <c r="LGQ539" s="268"/>
      <c r="LGR539" s="268"/>
      <c r="LGS539" s="268"/>
      <c r="LGT539" s="268"/>
      <c r="LGU539" s="268"/>
      <c r="LGV539" s="268"/>
      <c r="LGW539" s="268"/>
      <c r="LGX539" s="268"/>
      <c r="LGY539" s="268"/>
      <c r="LGZ539" s="268"/>
      <c r="LHA539" s="268"/>
      <c r="LHB539" s="268"/>
      <c r="LHC539" s="268"/>
      <c r="LHD539" s="268"/>
      <c r="LHE539" s="268"/>
      <c r="LHF539" s="268"/>
      <c r="LHG539" s="268"/>
      <c r="LHH539" s="268"/>
      <c r="LHI539" s="268"/>
      <c r="LHJ539" s="268"/>
      <c r="LHK539" s="268"/>
      <c r="LHL539" s="268"/>
      <c r="LHM539" s="268"/>
      <c r="LHN539" s="268"/>
      <c r="LHO539" s="268"/>
      <c r="LHP539" s="268"/>
      <c r="LHQ539" s="268"/>
      <c r="LHR539" s="268"/>
      <c r="LHS539" s="268"/>
      <c r="LHT539" s="268"/>
      <c r="LHU539" s="268"/>
      <c r="LHV539" s="268"/>
      <c r="LHW539" s="268"/>
      <c r="LHX539" s="268"/>
      <c r="LHY539" s="268"/>
      <c r="LHZ539" s="268"/>
      <c r="LIA539" s="268"/>
      <c r="LIB539" s="268"/>
      <c r="LIC539" s="268"/>
      <c r="LID539" s="268"/>
      <c r="LIE539" s="268"/>
      <c r="LIF539" s="268"/>
      <c r="LIG539" s="268"/>
      <c r="LIH539" s="268"/>
      <c r="LII539" s="268"/>
      <c r="LIJ539" s="268"/>
      <c r="LIK539" s="268"/>
      <c r="LIL539" s="268"/>
      <c r="LIM539" s="268"/>
      <c r="LIN539" s="268"/>
      <c r="LIO539" s="268"/>
      <c r="LIP539" s="268"/>
      <c r="LIQ539" s="268"/>
      <c r="LIR539" s="268"/>
      <c r="LIS539" s="268"/>
      <c r="LIT539" s="268"/>
      <c r="LIU539" s="268"/>
      <c r="LIV539" s="268"/>
      <c r="LIW539" s="268"/>
      <c r="LIX539" s="268"/>
      <c r="LIY539" s="268"/>
      <c r="LIZ539" s="268"/>
      <c r="LJA539" s="268"/>
      <c r="LJB539" s="268"/>
      <c r="LJC539" s="268"/>
      <c r="LJD539" s="268"/>
      <c r="LJE539" s="268"/>
      <c r="LJF539" s="268"/>
      <c r="LJG539" s="268"/>
      <c r="LJH539" s="268"/>
      <c r="LJI539" s="268"/>
      <c r="LJJ539" s="268"/>
      <c r="LJK539" s="268"/>
      <c r="LJL539" s="268"/>
      <c r="LJM539" s="268"/>
      <c r="LJN539" s="268"/>
      <c r="LJO539" s="268"/>
      <c r="LJP539" s="268"/>
      <c r="LJQ539" s="268"/>
      <c r="LJR539" s="268"/>
      <c r="LJS539" s="268"/>
      <c r="LJT539" s="268"/>
      <c r="LJU539" s="268"/>
      <c r="LJV539" s="268"/>
      <c r="LJW539" s="268"/>
      <c r="LJX539" s="268"/>
      <c r="LJY539" s="268"/>
      <c r="LJZ539" s="268"/>
      <c r="LKA539" s="268"/>
      <c r="LKB539" s="268"/>
      <c r="LKC539" s="268"/>
      <c r="LKD539" s="268"/>
      <c r="LKE539" s="268"/>
      <c r="LKF539" s="268"/>
      <c r="LKG539" s="268"/>
      <c r="LKH539" s="268"/>
      <c r="LKI539" s="268"/>
      <c r="LKJ539" s="268"/>
      <c r="LKK539" s="268"/>
      <c r="LKL539" s="268"/>
      <c r="LKM539" s="268"/>
      <c r="LKN539" s="268"/>
      <c r="LKO539" s="268"/>
      <c r="LKP539" s="268"/>
      <c r="LKQ539" s="268"/>
      <c r="LKR539" s="268"/>
      <c r="LKS539" s="268"/>
      <c r="LKT539" s="268"/>
      <c r="LKU539" s="268"/>
      <c r="LKV539" s="268"/>
      <c r="LKW539" s="268"/>
      <c r="LKX539" s="268"/>
      <c r="LKY539" s="268"/>
      <c r="LKZ539" s="268"/>
      <c r="LLA539" s="268"/>
      <c r="LLB539" s="268"/>
      <c r="LLC539" s="268"/>
      <c r="LLD539" s="268"/>
      <c r="LLE539" s="268"/>
      <c r="LLF539" s="268"/>
      <c r="LLG539" s="268"/>
      <c r="LLH539" s="268"/>
      <c r="LLI539" s="268"/>
      <c r="LLJ539" s="268"/>
      <c r="LLK539" s="268"/>
      <c r="LLL539" s="268"/>
      <c r="LLM539" s="268"/>
      <c r="LLN539" s="268"/>
      <c r="LLO539" s="268"/>
      <c r="LMC539" s="268"/>
      <c r="LMD539" s="268"/>
      <c r="LME539" s="268"/>
      <c r="LMS539" s="268"/>
      <c r="LMU539" s="268"/>
      <c r="LMV539" s="268"/>
      <c r="LMW539" s="268"/>
      <c r="LMX539" s="268"/>
      <c r="LMY539" s="268"/>
      <c r="LMZ539" s="268"/>
      <c r="LNA539" s="268"/>
      <c r="LNB539" s="268"/>
      <c r="LNC539" s="268"/>
      <c r="LND539" s="268"/>
      <c r="LNE539" s="268"/>
      <c r="LNF539" s="268"/>
      <c r="LNG539" s="268"/>
      <c r="LNH539" s="268"/>
      <c r="LNI539" s="268"/>
      <c r="LNJ539" s="268"/>
      <c r="LNK539" s="268"/>
      <c r="LNL539" s="268"/>
      <c r="LNM539" s="268"/>
      <c r="LNN539" s="268"/>
      <c r="LNO539" s="268"/>
      <c r="LNP539" s="268"/>
      <c r="LNQ539" s="268"/>
      <c r="LNR539" s="268"/>
      <c r="LNS539" s="268"/>
      <c r="LNT539" s="268"/>
      <c r="LNU539" s="268"/>
      <c r="LNV539" s="268"/>
      <c r="LNW539" s="268"/>
      <c r="LNX539" s="268"/>
      <c r="LNY539" s="268"/>
      <c r="LNZ539" s="268"/>
      <c r="LOA539" s="268"/>
      <c r="LOB539" s="268"/>
      <c r="LOC539" s="268"/>
      <c r="LOD539" s="268"/>
      <c r="LOE539" s="268"/>
      <c r="LOF539" s="268"/>
      <c r="LOG539" s="268"/>
      <c r="LOH539" s="268"/>
      <c r="LOI539" s="268"/>
      <c r="LOJ539" s="268"/>
      <c r="LOK539" s="268"/>
      <c r="LOL539" s="268"/>
      <c r="LOM539" s="268"/>
      <c r="LON539" s="268"/>
      <c r="LOO539" s="268"/>
      <c r="LOP539" s="268"/>
      <c r="LOQ539" s="268"/>
      <c r="LOR539" s="268"/>
      <c r="LOS539" s="268"/>
      <c r="LOT539" s="268"/>
      <c r="LOU539" s="268"/>
      <c r="LOV539" s="268"/>
      <c r="LOW539" s="268"/>
      <c r="LOX539" s="268"/>
      <c r="LOY539" s="268"/>
      <c r="LOZ539" s="268"/>
      <c r="LPA539" s="268"/>
      <c r="LPB539" s="268"/>
      <c r="LPC539" s="268"/>
      <c r="LPD539" s="268"/>
      <c r="LPE539" s="268"/>
      <c r="LPF539" s="268"/>
      <c r="LPG539" s="268"/>
      <c r="LPH539" s="268"/>
      <c r="LPI539" s="268"/>
      <c r="LPJ539" s="268"/>
      <c r="LPK539" s="268"/>
      <c r="LPL539" s="268"/>
      <c r="LPM539" s="268"/>
      <c r="LPN539" s="268"/>
      <c r="LPO539" s="268"/>
      <c r="LPP539" s="268"/>
      <c r="LPQ539" s="268"/>
      <c r="LPR539" s="268"/>
      <c r="LPS539" s="268"/>
      <c r="LPT539" s="268"/>
      <c r="LPU539" s="268"/>
      <c r="LPV539" s="268"/>
      <c r="LPW539" s="268"/>
      <c r="LPX539" s="268"/>
      <c r="LPY539" s="268"/>
      <c r="LPZ539" s="268"/>
      <c r="LQA539" s="268"/>
      <c r="LQB539" s="268"/>
      <c r="LQC539" s="268"/>
      <c r="LQD539" s="268"/>
      <c r="LQE539" s="268"/>
      <c r="LQF539" s="268"/>
      <c r="LQG539" s="268"/>
      <c r="LQH539" s="268"/>
      <c r="LQI539" s="268"/>
      <c r="LQJ539" s="268"/>
      <c r="LQK539" s="268"/>
      <c r="LQL539" s="268"/>
      <c r="LQM539" s="268"/>
      <c r="LQN539" s="268"/>
      <c r="LQO539" s="268"/>
      <c r="LQP539" s="268"/>
      <c r="LQQ539" s="268"/>
      <c r="LQR539" s="268"/>
      <c r="LQS539" s="268"/>
      <c r="LQT539" s="268"/>
      <c r="LQU539" s="268"/>
      <c r="LQV539" s="268"/>
      <c r="LQW539" s="268"/>
      <c r="LQX539" s="268"/>
      <c r="LQY539" s="268"/>
      <c r="LQZ539" s="268"/>
      <c r="LRA539" s="268"/>
      <c r="LRB539" s="268"/>
      <c r="LRC539" s="268"/>
      <c r="LRD539" s="268"/>
      <c r="LRE539" s="268"/>
      <c r="LRF539" s="268"/>
      <c r="LRG539" s="268"/>
      <c r="LRH539" s="268"/>
      <c r="LRI539" s="268"/>
      <c r="LRJ539" s="268"/>
      <c r="LRK539" s="268"/>
      <c r="LRL539" s="268"/>
      <c r="LRM539" s="268"/>
      <c r="LRN539" s="268"/>
      <c r="LRO539" s="268"/>
      <c r="LRP539" s="268"/>
      <c r="LRQ539" s="268"/>
      <c r="LRR539" s="268"/>
      <c r="LRS539" s="268"/>
      <c r="LRT539" s="268"/>
      <c r="LRU539" s="268"/>
      <c r="LRV539" s="268"/>
      <c r="LRW539" s="268"/>
      <c r="LRX539" s="268"/>
      <c r="LRY539" s="268"/>
      <c r="LRZ539" s="268"/>
      <c r="LSA539" s="268"/>
      <c r="LSB539" s="268"/>
      <c r="LSC539" s="268"/>
      <c r="LSD539" s="268"/>
      <c r="LSE539" s="268"/>
      <c r="LSF539" s="268"/>
      <c r="LSG539" s="268"/>
      <c r="LSH539" s="268"/>
      <c r="LSI539" s="268"/>
      <c r="LSJ539" s="268"/>
      <c r="LSK539" s="268"/>
      <c r="LSL539" s="268"/>
      <c r="LSM539" s="268"/>
      <c r="LSN539" s="268"/>
      <c r="LSO539" s="268"/>
      <c r="LSP539" s="268"/>
      <c r="LSQ539" s="268"/>
      <c r="LSR539" s="268"/>
      <c r="LSS539" s="268"/>
      <c r="LST539" s="268"/>
      <c r="LSU539" s="268"/>
      <c r="LSV539" s="268"/>
      <c r="LSW539" s="268"/>
      <c r="LSX539" s="268"/>
      <c r="LSY539" s="268"/>
      <c r="LSZ539" s="268"/>
      <c r="LTA539" s="268"/>
      <c r="LTB539" s="268"/>
      <c r="LTC539" s="268"/>
      <c r="LTD539" s="268"/>
      <c r="LTE539" s="268"/>
      <c r="LTF539" s="268"/>
      <c r="LTG539" s="268"/>
      <c r="LTH539" s="268"/>
      <c r="LTI539" s="268"/>
      <c r="LTJ539" s="268"/>
      <c r="LTK539" s="268"/>
      <c r="LTL539" s="268"/>
      <c r="LTM539" s="268"/>
      <c r="LTN539" s="268"/>
      <c r="LTO539" s="268"/>
      <c r="LTP539" s="268"/>
      <c r="LTQ539" s="268"/>
      <c r="LTR539" s="268"/>
      <c r="LTS539" s="268"/>
      <c r="LTT539" s="268"/>
      <c r="LTU539" s="268"/>
      <c r="LTV539" s="268"/>
      <c r="LTW539" s="268"/>
      <c r="LTX539" s="268"/>
      <c r="LTY539" s="268"/>
      <c r="LTZ539" s="268"/>
      <c r="LUA539" s="268"/>
      <c r="LUB539" s="268"/>
      <c r="LUC539" s="268"/>
      <c r="LUD539" s="268"/>
      <c r="LUE539" s="268"/>
      <c r="LUF539" s="268"/>
      <c r="LUG539" s="268"/>
      <c r="LUH539" s="268"/>
      <c r="LUI539" s="268"/>
      <c r="LUJ539" s="268"/>
      <c r="LUK539" s="268"/>
      <c r="LUL539" s="268"/>
      <c r="LUM539" s="268"/>
      <c r="LUN539" s="268"/>
      <c r="LUO539" s="268"/>
      <c r="LUP539" s="268"/>
      <c r="LUQ539" s="268"/>
      <c r="LUR539" s="268"/>
      <c r="LUS539" s="268"/>
      <c r="LUT539" s="268"/>
      <c r="LUU539" s="268"/>
      <c r="LUV539" s="268"/>
      <c r="LUW539" s="268"/>
      <c r="LUX539" s="268"/>
      <c r="LUY539" s="268"/>
      <c r="LUZ539" s="268"/>
      <c r="LVA539" s="268"/>
      <c r="LVB539" s="268"/>
      <c r="LVC539" s="268"/>
      <c r="LVD539" s="268"/>
      <c r="LVE539" s="268"/>
      <c r="LVF539" s="268"/>
      <c r="LVG539" s="268"/>
      <c r="LVH539" s="268"/>
      <c r="LVI539" s="268"/>
      <c r="LVJ539" s="268"/>
      <c r="LVK539" s="268"/>
      <c r="LVY539" s="268"/>
      <c r="LVZ539" s="268"/>
      <c r="LWA539" s="268"/>
      <c r="LWO539" s="268"/>
      <c r="LWQ539" s="268"/>
      <c r="LWR539" s="268"/>
      <c r="LWS539" s="268"/>
      <c r="LWT539" s="268"/>
      <c r="LWU539" s="268"/>
      <c r="LWV539" s="268"/>
      <c r="LWW539" s="268"/>
      <c r="LWX539" s="268"/>
      <c r="LWY539" s="268"/>
      <c r="LWZ539" s="268"/>
      <c r="LXA539" s="268"/>
      <c r="LXB539" s="268"/>
      <c r="LXC539" s="268"/>
      <c r="LXD539" s="268"/>
      <c r="LXE539" s="268"/>
      <c r="LXF539" s="268"/>
      <c r="LXG539" s="268"/>
      <c r="LXH539" s="268"/>
      <c r="LXI539" s="268"/>
      <c r="LXJ539" s="268"/>
      <c r="LXK539" s="268"/>
      <c r="LXL539" s="268"/>
      <c r="LXM539" s="268"/>
      <c r="LXN539" s="268"/>
      <c r="LXO539" s="268"/>
      <c r="LXP539" s="268"/>
      <c r="LXQ539" s="268"/>
      <c r="LXR539" s="268"/>
      <c r="LXS539" s="268"/>
      <c r="LXT539" s="268"/>
      <c r="LXU539" s="268"/>
      <c r="LXV539" s="268"/>
      <c r="LXW539" s="268"/>
      <c r="LXX539" s="268"/>
      <c r="LXY539" s="268"/>
      <c r="LXZ539" s="268"/>
      <c r="LYA539" s="268"/>
      <c r="LYB539" s="268"/>
      <c r="LYC539" s="268"/>
      <c r="LYD539" s="268"/>
      <c r="LYE539" s="268"/>
      <c r="LYF539" s="268"/>
      <c r="LYG539" s="268"/>
      <c r="LYH539" s="268"/>
      <c r="LYI539" s="268"/>
      <c r="LYJ539" s="268"/>
      <c r="LYK539" s="268"/>
      <c r="LYL539" s="268"/>
      <c r="LYM539" s="268"/>
      <c r="LYN539" s="268"/>
      <c r="LYO539" s="268"/>
      <c r="LYP539" s="268"/>
      <c r="LYQ539" s="268"/>
      <c r="LYR539" s="268"/>
      <c r="LYS539" s="268"/>
      <c r="LYT539" s="268"/>
      <c r="LYU539" s="268"/>
      <c r="LYV539" s="268"/>
      <c r="LYW539" s="268"/>
      <c r="LYX539" s="268"/>
      <c r="LYY539" s="268"/>
      <c r="LYZ539" s="268"/>
      <c r="LZA539" s="268"/>
      <c r="LZB539" s="268"/>
      <c r="LZC539" s="268"/>
      <c r="LZD539" s="268"/>
      <c r="LZE539" s="268"/>
      <c r="LZF539" s="268"/>
      <c r="LZG539" s="268"/>
      <c r="LZH539" s="268"/>
      <c r="LZI539" s="268"/>
      <c r="LZJ539" s="268"/>
      <c r="LZK539" s="268"/>
      <c r="LZL539" s="268"/>
      <c r="LZM539" s="268"/>
      <c r="LZN539" s="268"/>
      <c r="LZO539" s="268"/>
      <c r="LZP539" s="268"/>
      <c r="LZQ539" s="268"/>
      <c r="LZR539" s="268"/>
      <c r="LZS539" s="268"/>
      <c r="LZT539" s="268"/>
      <c r="LZU539" s="268"/>
      <c r="LZV539" s="268"/>
      <c r="LZW539" s="268"/>
      <c r="LZX539" s="268"/>
      <c r="LZY539" s="268"/>
      <c r="LZZ539" s="268"/>
      <c r="MAA539" s="268"/>
      <c r="MAB539" s="268"/>
      <c r="MAC539" s="268"/>
      <c r="MAD539" s="268"/>
      <c r="MAE539" s="268"/>
      <c r="MAF539" s="268"/>
      <c r="MAG539" s="268"/>
      <c r="MAH539" s="268"/>
      <c r="MAI539" s="268"/>
      <c r="MAJ539" s="268"/>
      <c r="MAK539" s="268"/>
      <c r="MAL539" s="268"/>
      <c r="MAM539" s="268"/>
      <c r="MAN539" s="268"/>
      <c r="MAO539" s="268"/>
      <c r="MAP539" s="268"/>
      <c r="MAQ539" s="268"/>
      <c r="MAR539" s="268"/>
      <c r="MAS539" s="268"/>
      <c r="MAT539" s="268"/>
      <c r="MAU539" s="268"/>
      <c r="MAV539" s="268"/>
      <c r="MAW539" s="268"/>
      <c r="MAX539" s="268"/>
      <c r="MAY539" s="268"/>
      <c r="MAZ539" s="268"/>
      <c r="MBA539" s="268"/>
      <c r="MBB539" s="268"/>
      <c r="MBC539" s="268"/>
      <c r="MBD539" s="268"/>
      <c r="MBE539" s="268"/>
      <c r="MBF539" s="268"/>
      <c r="MBG539" s="268"/>
      <c r="MBH539" s="268"/>
      <c r="MBI539" s="268"/>
      <c r="MBJ539" s="268"/>
      <c r="MBK539" s="268"/>
      <c r="MBL539" s="268"/>
      <c r="MBM539" s="268"/>
      <c r="MBN539" s="268"/>
      <c r="MBO539" s="268"/>
      <c r="MBP539" s="268"/>
      <c r="MBQ539" s="268"/>
      <c r="MBR539" s="268"/>
      <c r="MBS539" s="268"/>
      <c r="MBT539" s="268"/>
      <c r="MBU539" s="268"/>
      <c r="MBV539" s="268"/>
      <c r="MBW539" s="268"/>
      <c r="MBX539" s="268"/>
      <c r="MBY539" s="268"/>
      <c r="MBZ539" s="268"/>
      <c r="MCA539" s="268"/>
      <c r="MCB539" s="268"/>
      <c r="MCC539" s="268"/>
      <c r="MCD539" s="268"/>
      <c r="MCE539" s="268"/>
      <c r="MCF539" s="268"/>
      <c r="MCG539" s="268"/>
      <c r="MCH539" s="268"/>
      <c r="MCI539" s="268"/>
      <c r="MCJ539" s="268"/>
      <c r="MCK539" s="268"/>
      <c r="MCL539" s="268"/>
      <c r="MCM539" s="268"/>
      <c r="MCN539" s="268"/>
      <c r="MCO539" s="268"/>
      <c r="MCP539" s="268"/>
      <c r="MCQ539" s="268"/>
      <c r="MCR539" s="268"/>
      <c r="MCS539" s="268"/>
      <c r="MCT539" s="268"/>
      <c r="MCU539" s="268"/>
      <c r="MCV539" s="268"/>
      <c r="MCW539" s="268"/>
      <c r="MCX539" s="268"/>
      <c r="MCY539" s="268"/>
      <c r="MCZ539" s="268"/>
      <c r="MDA539" s="268"/>
      <c r="MDB539" s="268"/>
      <c r="MDC539" s="268"/>
      <c r="MDD539" s="268"/>
      <c r="MDE539" s="268"/>
      <c r="MDF539" s="268"/>
      <c r="MDG539" s="268"/>
      <c r="MDH539" s="268"/>
      <c r="MDI539" s="268"/>
      <c r="MDJ539" s="268"/>
      <c r="MDK539" s="268"/>
      <c r="MDL539" s="268"/>
      <c r="MDM539" s="268"/>
      <c r="MDN539" s="268"/>
      <c r="MDO539" s="268"/>
      <c r="MDP539" s="268"/>
      <c r="MDQ539" s="268"/>
      <c r="MDR539" s="268"/>
      <c r="MDS539" s="268"/>
      <c r="MDT539" s="268"/>
      <c r="MDU539" s="268"/>
      <c r="MDV539" s="268"/>
      <c r="MDW539" s="268"/>
      <c r="MDX539" s="268"/>
      <c r="MDY539" s="268"/>
      <c r="MDZ539" s="268"/>
      <c r="MEA539" s="268"/>
      <c r="MEB539" s="268"/>
      <c r="MEC539" s="268"/>
      <c r="MED539" s="268"/>
      <c r="MEE539" s="268"/>
      <c r="MEF539" s="268"/>
      <c r="MEG539" s="268"/>
      <c r="MEH539" s="268"/>
      <c r="MEI539" s="268"/>
      <c r="MEJ539" s="268"/>
      <c r="MEK539" s="268"/>
      <c r="MEL539" s="268"/>
      <c r="MEM539" s="268"/>
      <c r="MEN539" s="268"/>
      <c r="MEO539" s="268"/>
      <c r="MEP539" s="268"/>
      <c r="MEQ539" s="268"/>
      <c r="MER539" s="268"/>
      <c r="MES539" s="268"/>
      <c r="MET539" s="268"/>
      <c r="MEU539" s="268"/>
      <c r="MEV539" s="268"/>
      <c r="MEW539" s="268"/>
      <c r="MEX539" s="268"/>
      <c r="MEY539" s="268"/>
      <c r="MEZ539" s="268"/>
      <c r="MFA539" s="268"/>
      <c r="MFB539" s="268"/>
      <c r="MFC539" s="268"/>
      <c r="MFD539" s="268"/>
      <c r="MFE539" s="268"/>
      <c r="MFF539" s="268"/>
      <c r="MFG539" s="268"/>
      <c r="MFU539" s="268"/>
      <c r="MFV539" s="268"/>
      <c r="MFW539" s="268"/>
      <c r="MGK539" s="268"/>
      <c r="MGM539" s="268"/>
      <c r="MGN539" s="268"/>
      <c r="MGO539" s="268"/>
      <c r="MGP539" s="268"/>
      <c r="MGQ539" s="268"/>
      <c r="MGR539" s="268"/>
      <c r="MGS539" s="268"/>
      <c r="MGT539" s="268"/>
      <c r="MGU539" s="268"/>
      <c r="MGV539" s="268"/>
      <c r="MGW539" s="268"/>
      <c r="MGX539" s="268"/>
      <c r="MGY539" s="268"/>
      <c r="MGZ539" s="268"/>
      <c r="MHA539" s="268"/>
      <c r="MHB539" s="268"/>
      <c r="MHC539" s="268"/>
      <c r="MHD539" s="268"/>
      <c r="MHE539" s="268"/>
      <c r="MHF539" s="268"/>
      <c r="MHG539" s="268"/>
      <c r="MHH539" s="268"/>
      <c r="MHI539" s="268"/>
      <c r="MHJ539" s="268"/>
      <c r="MHK539" s="268"/>
      <c r="MHL539" s="268"/>
      <c r="MHM539" s="268"/>
      <c r="MHN539" s="268"/>
      <c r="MHO539" s="268"/>
      <c r="MHP539" s="268"/>
      <c r="MHQ539" s="268"/>
      <c r="MHR539" s="268"/>
      <c r="MHS539" s="268"/>
      <c r="MHT539" s="268"/>
      <c r="MHU539" s="268"/>
      <c r="MHV539" s="268"/>
      <c r="MHW539" s="268"/>
      <c r="MHX539" s="268"/>
      <c r="MHY539" s="268"/>
      <c r="MHZ539" s="268"/>
      <c r="MIA539" s="268"/>
      <c r="MIB539" s="268"/>
      <c r="MIC539" s="268"/>
      <c r="MID539" s="268"/>
      <c r="MIE539" s="268"/>
      <c r="MIF539" s="268"/>
      <c r="MIG539" s="268"/>
      <c r="MIH539" s="268"/>
      <c r="MII539" s="268"/>
      <c r="MIJ539" s="268"/>
      <c r="MIK539" s="268"/>
      <c r="MIL539" s="268"/>
      <c r="MIM539" s="268"/>
      <c r="MIN539" s="268"/>
      <c r="MIO539" s="268"/>
      <c r="MIP539" s="268"/>
      <c r="MIQ539" s="268"/>
      <c r="MIR539" s="268"/>
      <c r="MIS539" s="268"/>
      <c r="MIT539" s="268"/>
      <c r="MIU539" s="268"/>
      <c r="MIV539" s="268"/>
      <c r="MIW539" s="268"/>
      <c r="MIX539" s="268"/>
      <c r="MIY539" s="268"/>
      <c r="MIZ539" s="268"/>
      <c r="MJA539" s="268"/>
      <c r="MJB539" s="268"/>
      <c r="MJC539" s="268"/>
      <c r="MJD539" s="268"/>
      <c r="MJE539" s="268"/>
      <c r="MJF539" s="268"/>
      <c r="MJG539" s="268"/>
      <c r="MJH539" s="268"/>
      <c r="MJI539" s="268"/>
      <c r="MJJ539" s="268"/>
      <c r="MJK539" s="268"/>
      <c r="MJL539" s="268"/>
      <c r="MJM539" s="268"/>
      <c r="MJN539" s="268"/>
      <c r="MJO539" s="268"/>
      <c r="MJP539" s="268"/>
      <c r="MJQ539" s="268"/>
      <c r="MJR539" s="268"/>
      <c r="MJS539" s="268"/>
      <c r="MJT539" s="268"/>
      <c r="MJU539" s="268"/>
      <c r="MJV539" s="268"/>
      <c r="MJW539" s="268"/>
      <c r="MJX539" s="268"/>
      <c r="MJY539" s="268"/>
      <c r="MJZ539" s="268"/>
      <c r="MKA539" s="268"/>
      <c r="MKB539" s="268"/>
      <c r="MKC539" s="268"/>
      <c r="MKD539" s="268"/>
      <c r="MKE539" s="268"/>
      <c r="MKF539" s="268"/>
      <c r="MKG539" s="268"/>
      <c r="MKH539" s="268"/>
      <c r="MKI539" s="268"/>
      <c r="MKJ539" s="268"/>
      <c r="MKK539" s="268"/>
      <c r="MKL539" s="268"/>
      <c r="MKM539" s="268"/>
      <c r="MKN539" s="268"/>
      <c r="MKO539" s="268"/>
      <c r="MKP539" s="268"/>
      <c r="MKQ539" s="268"/>
      <c r="MKR539" s="268"/>
      <c r="MKS539" s="268"/>
      <c r="MKT539" s="268"/>
      <c r="MKU539" s="268"/>
      <c r="MKV539" s="268"/>
      <c r="MKW539" s="268"/>
      <c r="MKX539" s="268"/>
      <c r="MKY539" s="268"/>
      <c r="MKZ539" s="268"/>
      <c r="MLA539" s="268"/>
      <c r="MLB539" s="268"/>
      <c r="MLC539" s="268"/>
      <c r="MLD539" s="268"/>
      <c r="MLE539" s="268"/>
      <c r="MLF539" s="268"/>
      <c r="MLG539" s="268"/>
      <c r="MLH539" s="268"/>
      <c r="MLI539" s="268"/>
      <c r="MLJ539" s="268"/>
      <c r="MLK539" s="268"/>
      <c r="MLL539" s="268"/>
      <c r="MLM539" s="268"/>
      <c r="MLN539" s="268"/>
      <c r="MLO539" s="268"/>
      <c r="MLP539" s="268"/>
      <c r="MLQ539" s="268"/>
      <c r="MLR539" s="268"/>
      <c r="MLS539" s="268"/>
      <c r="MLT539" s="268"/>
      <c r="MLU539" s="268"/>
      <c r="MLV539" s="268"/>
      <c r="MLW539" s="268"/>
      <c r="MLX539" s="268"/>
      <c r="MLY539" s="268"/>
      <c r="MLZ539" s="268"/>
      <c r="MMA539" s="268"/>
      <c r="MMB539" s="268"/>
      <c r="MMC539" s="268"/>
      <c r="MMD539" s="268"/>
      <c r="MME539" s="268"/>
      <c r="MMF539" s="268"/>
      <c r="MMG539" s="268"/>
      <c r="MMH539" s="268"/>
      <c r="MMI539" s="268"/>
      <c r="MMJ539" s="268"/>
      <c r="MMK539" s="268"/>
      <c r="MML539" s="268"/>
      <c r="MMM539" s="268"/>
      <c r="MMN539" s="268"/>
      <c r="MMO539" s="268"/>
      <c r="MMP539" s="268"/>
      <c r="MMQ539" s="268"/>
      <c r="MMR539" s="268"/>
      <c r="MMS539" s="268"/>
      <c r="MMT539" s="268"/>
      <c r="MMU539" s="268"/>
      <c r="MMV539" s="268"/>
      <c r="MMW539" s="268"/>
      <c r="MMX539" s="268"/>
      <c r="MMY539" s="268"/>
      <c r="MMZ539" s="268"/>
      <c r="MNA539" s="268"/>
      <c r="MNB539" s="268"/>
      <c r="MNC539" s="268"/>
      <c r="MND539" s="268"/>
      <c r="MNE539" s="268"/>
      <c r="MNF539" s="268"/>
      <c r="MNG539" s="268"/>
      <c r="MNH539" s="268"/>
      <c r="MNI539" s="268"/>
      <c r="MNJ539" s="268"/>
      <c r="MNK539" s="268"/>
      <c r="MNL539" s="268"/>
      <c r="MNM539" s="268"/>
      <c r="MNN539" s="268"/>
      <c r="MNO539" s="268"/>
      <c r="MNP539" s="268"/>
      <c r="MNQ539" s="268"/>
      <c r="MNR539" s="268"/>
      <c r="MNS539" s="268"/>
      <c r="MNT539" s="268"/>
      <c r="MNU539" s="268"/>
      <c r="MNV539" s="268"/>
      <c r="MNW539" s="268"/>
      <c r="MNX539" s="268"/>
      <c r="MNY539" s="268"/>
      <c r="MNZ539" s="268"/>
      <c r="MOA539" s="268"/>
      <c r="MOB539" s="268"/>
      <c r="MOC539" s="268"/>
      <c r="MOD539" s="268"/>
      <c r="MOE539" s="268"/>
      <c r="MOF539" s="268"/>
      <c r="MOG539" s="268"/>
      <c r="MOH539" s="268"/>
      <c r="MOI539" s="268"/>
      <c r="MOJ539" s="268"/>
      <c r="MOK539" s="268"/>
      <c r="MOL539" s="268"/>
      <c r="MOM539" s="268"/>
      <c r="MON539" s="268"/>
      <c r="MOO539" s="268"/>
      <c r="MOP539" s="268"/>
      <c r="MOQ539" s="268"/>
      <c r="MOR539" s="268"/>
      <c r="MOS539" s="268"/>
      <c r="MOT539" s="268"/>
      <c r="MOU539" s="268"/>
      <c r="MOV539" s="268"/>
      <c r="MOW539" s="268"/>
      <c r="MOX539" s="268"/>
      <c r="MOY539" s="268"/>
      <c r="MOZ539" s="268"/>
      <c r="MPA539" s="268"/>
      <c r="MPB539" s="268"/>
      <c r="MPC539" s="268"/>
      <c r="MPQ539" s="268"/>
      <c r="MPR539" s="268"/>
      <c r="MPS539" s="268"/>
      <c r="MQG539" s="268"/>
      <c r="MQI539" s="268"/>
      <c r="MQJ539" s="268"/>
      <c r="MQK539" s="268"/>
      <c r="MQL539" s="268"/>
      <c r="MQM539" s="268"/>
      <c r="MQN539" s="268"/>
      <c r="MQO539" s="268"/>
      <c r="MQP539" s="268"/>
      <c r="MQQ539" s="268"/>
      <c r="MQR539" s="268"/>
      <c r="MQS539" s="268"/>
      <c r="MQT539" s="268"/>
      <c r="MQU539" s="268"/>
      <c r="MQV539" s="268"/>
      <c r="MQW539" s="268"/>
      <c r="MQX539" s="268"/>
      <c r="MQY539" s="268"/>
      <c r="MQZ539" s="268"/>
      <c r="MRA539" s="268"/>
      <c r="MRB539" s="268"/>
      <c r="MRC539" s="268"/>
      <c r="MRD539" s="268"/>
      <c r="MRE539" s="268"/>
      <c r="MRF539" s="268"/>
      <c r="MRG539" s="268"/>
      <c r="MRH539" s="268"/>
      <c r="MRI539" s="268"/>
      <c r="MRJ539" s="268"/>
      <c r="MRK539" s="268"/>
      <c r="MRL539" s="268"/>
      <c r="MRM539" s="268"/>
      <c r="MRN539" s="268"/>
      <c r="MRO539" s="268"/>
      <c r="MRP539" s="268"/>
      <c r="MRQ539" s="268"/>
      <c r="MRR539" s="268"/>
      <c r="MRS539" s="268"/>
      <c r="MRT539" s="268"/>
      <c r="MRU539" s="268"/>
      <c r="MRV539" s="268"/>
      <c r="MRW539" s="268"/>
      <c r="MRX539" s="268"/>
      <c r="MRY539" s="268"/>
      <c r="MRZ539" s="268"/>
      <c r="MSA539" s="268"/>
      <c r="MSB539" s="268"/>
      <c r="MSC539" s="268"/>
      <c r="MSD539" s="268"/>
      <c r="MSE539" s="268"/>
      <c r="MSF539" s="268"/>
      <c r="MSG539" s="268"/>
      <c r="MSH539" s="268"/>
      <c r="MSI539" s="268"/>
      <c r="MSJ539" s="268"/>
      <c r="MSK539" s="268"/>
      <c r="MSL539" s="268"/>
      <c r="MSM539" s="268"/>
      <c r="MSN539" s="268"/>
      <c r="MSO539" s="268"/>
      <c r="MSP539" s="268"/>
      <c r="MSQ539" s="268"/>
      <c r="MSR539" s="268"/>
      <c r="MSS539" s="268"/>
      <c r="MST539" s="268"/>
      <c r="MSU539" s="268"/>
      <c r="MSV539" s="268"/>
      <c r="MSW539" s="268"/>
      <c r="MSX539" s="268"/>
      <c r="MSY539" s="268"/>
      <c r="MSZ539" s="268"/>
      <c r="MTA539" s="268"/>
      <c r="MTB539" s="268"/>
      <c r="MTC539" s="268"/>
      <c r="MTD539" s="268"/>
      <c r="MTE539" s="268"/>
      <c r="MTF539" s="268"/>
      <c r="MTG539" s="268"/>
      <c r="MTH539" s="268"/>
      <c r="MTI539" s="268"/>
      <c r="MTJ539" s="268"/>
      <c r="MTK539" s="268"/>
      <c r="MTL539" s="268"/>
      <c r="MTM539" s="268"/>
      <c r="MTN539" s="268"/>
      <c r="MTO539" s="268"/>
      <c r="MTP539" s="268"/>
      <c r="MTQ539" s="268"/>
      <c r="MTR539" s="268"/>
      <c r="MTS539" s="268"/>
      <c r="MTT539" s="268"/>
      <c r="MTU539" s="268"/>
      <c r="MTV539" s="268"/>
      <c r="MTW539" s="268"/>
      <c r="MTX539" s="268"/>
      <c r="MTY539" s="268"/>
      <c r="MTZ539" s="268"/>
      <c r="MUA539" s="268"/>
      <c r="MUB539" s="268"/>
      <c r="MUC539" s="268"/>
      <c r="MUD539" s="268"/>
      <c r="MUE539" s="268"/>
      <c r="MUF539" s="268"/>
      <c r="MUG539" s="268"/>
      <c r="MUH539" s="268"/>
      <c r="MUI539" s="268"/>
      <c r="MUJ539" s="268"/>
      <c r="MUK539" s="268"/>
      <c r="MUL539" s="268"/>
      <c r="MUM539" s="268"/>
      <c r="MUN539" s="268"/>
      <c r="MUO539" s="268"/>
      <c r="MUP539" s="268"/>
      <c r="MUQ539" s="268"/>
      <c r="MUR539" s="268"/>
      <c r="MUS539" s="268"/>
      <c r="MUT539" s="268"/>
      <c r="MUU539" s="268"/>
      <c r="MUV539" s="268"/>
      <c r="MUW539" s="268"/>
      <c r="MUX539" s="268"/>
      <c r="MUY539" s="268"/>
      <c r="MUZ539" s="268"/>
      <c r="MVA539" s="268"/>
      <c r="MVB539" s="268"/>
      <c r="MVC539" s="268"/>
      <c r="MVD539" s="268"/>
      <c r="MVE539" s="268"/>
      <c r="MVF539" s="268"/>
      <c r="MVG539" s="268"/>
      <c r="MVH539" s="268"/>
      <c r="MVI539" s="268"/>
      <c r="MVJ539" s="268"/>
      <c r="MVK539" s="268"/>
      <c r="MVL539" s="268"/>
      <c r="MVM539" s="268"/>
      <c r="MVN539" s="268"/>
      <c r="MVO539" s="268"/>
      <c r="MVP539" s="268"/>
      <c r="MVQ539" s="268"/>
      <c r="MVR539" s="268"/>
      <c r="MVS539" s="268"/>
      <c r="MVT539" s="268"/>
      <c r="MVU539" s="268"/>
      <c r="MVV539" s="268"/>
      <c r="MVW539" s="268"/>
      <c r="MVX539" s="268"/>
      <c r="MVY539" s="268"/>
      <c r="MVZ539" s="268"/>
      <c r="MWA539" s="268"/>
      <c r="MWB539" s="268"/>
      <c r="MWC539" s="268"/>
      <c r="MWD539" s="268"/>
      <c r="MWE539" s="268"/>
      <c r="MWF539" s="268"/>
      <c r="MWG539" s="268"/>
      <c r="MWH539" s="268"/>
      <c r="MWI539" s="268"/>
      <c r="MWJ539" s="268"/>
      <c r="MWK539" s="268"/>
      <c r="MWL539" s="268"/>
      <c r="MWM539" s="268"/>
      <c r="MWN539" s="268"/>
      <c r="MWO539" s="268"/>
      <c r="MWP539" s="268"/>
      <c r="MWQ539" s="268"/>
      <c r="MWR539" s="268"/>
      <c r="MWS539" s="268"/>
      <c r="MWT539" s="268"/>
      <c r="MWU539" s="268"/>
      <c r="MWV539" s="268"/>
      <c r="MWW539" s="268"/>
      <c r="MWX539" s="268"/>
      <c r="MWY539" s="268"/>
      <c r="MWZ539" s="268"/>
      <c r="MXA539" s="268"/>
      <c r="MXB539" s="268"/>
      <c r="MXC539" s="268"/>
      <c r="MXD539" s="268"/>
      <c r="MXE539" s="268"/>
      <c r="MXF539" s="268"/>
      <c r="MXG539" s="268"/>
      <c r="MXH539" s="268"/>
      <c r="MXI539" s="268"/>
      <c r="MXJ539" s="268"/>
      <c r="MXK539" s="268"/>
      <c r="MXL539" s="268"/>
      <c r="MXM539" s="268"/>
      <c r="MXN539" s="268"/>
      <c r="MXO539" s="268"/>
      <c r="MXP539" s="268"/>
      <c r="MXQ539" s="268"/>
      <c r="MXR539" s="268"/>
      <c r="MXS539" s="268"/>
      <c r="MXT539" s="268"/>
      <c r="MXU539" s="268"/>
      <c r="MXV539" s="268"/>
      <c r="MXW539" s="268"/>
      <c r="MXX539" s="268"/>
      <c r="MXY539" s="268"/>
      <c r="MXZ539" s="268"/>
      <c r="MYA539" s="268"/>
      <c r="MYB539" s="268"/>
      <c r="MYC539" s="268"/>
      <c r="MYD539" s="268"/>
      <c r="MYE539" s="268"/>
      <c r="MYF539" s="268"/>
      <c r="MYG539" s="268"/>
      <c r="MYH539" s="268"/>
      <c r="MYI539" s="268"/>
      <c r="MYJ539" s="268"/>
      <c r="MYK539" s="268"/>
      <c r="MYL539" s="268"/>
      <c r="MYM539" s="268"/>
      <c r="MYN539" s="268"/>
      <c r="MYO539" s="268"/>
      <c r="MYP539" s="268"/>
      <c r="MYQ539" s="268"/>
      <c r="MYR539" s="268"/>
      <c r="MYS539" s="268"/>
      <c r="MYT539" s="268"/>
      <c r="MYU539" s="268"/>
      <c r="MYV539" s="268"/>
      <c r="MYW539" s="268"/>
      <c r="MYX539" s="268"/>
      <c r="MYY539" s="268"/>
      <c r="MZM539" s="268"/>
      <c r="MZN539" s="268"/>
      <c r="MZO539" s="268"/>
      <c r="NAC539" s="268"/>
      <c r="NAE539" s="268"/>
      <c r="NAF539" s="268"/>
      <c r="NAG539" s="268"/>
      <c r="NAH539" s="268"/>
      <c r="NAI539" s="268"/>
      <c r="NAJ539" s="268"/>
      <c r="NAK539" s="268"/>
      <c r="NAL539" s="268"/>
      <c r="NAM539" s="268"/>
      <c r="NAN539" s="268"/>
      <c r="NAO539" s="268"/>
      <c r="NAP539" s="268"/>
      <c r="NAQ539" s="268"/>
      <c r="NAR539" s="268"/>
      <c r="NAS539" s="268"/>
      <c r="NAT539" s="268"/>
      <c r="NAU539" s="268"/>
      <c r="NAV539" s="268"/>
      <c r="NAW539" s="268"/>
      <c r="NAX539" s="268"/>
      <c r="NAY539" s="268"/>
      <c r="NAZ539" s="268"/>
      <c r="NBA539" s="268"/>
      <c r="NBB539" s="268"/>
      <c r="NBC539" s="268"/>
      <c r="NBD539" s="268"/>
      <c r="NBE539" s="268"/>
      <c r="NBF539" s="268"/>
      <c r="NBG539" s="268"/>
      <c r="NBH539" s="268"/>
      <c r="NBI539" s="268"/>
      <c r="NBJ539" s="268"/>
      <c r="NBK539" s="268"/>
      <c r="NBL539" s="268"/>
      <c r="NBM539" s="268"/>
      <c r="NBN539" s="268"/>
      <c r="NBO539" s="268"/>
      <c r="NBP539" s="268"/>
      <c r="NBQ539" s="268"/>
      <c r="NBR539" s="268"/>
      <c r="NBS539" s="268"/>
      <c r="NBT539" s="268"/>
      <c r="NBU539" s="268"/>
      <c r="NBV539" s="268"/>
      <c r="NBW539" s="268"/>
      <c r="NBX539" s="268"/>
      <c r="NBY539" s="268"/>
      <c r="NBZ539" s="268"/>
      <c r="NCA539" s="268"/>
      <c r="NCB539" s="268"/>
      <c r="NCC539" s="268"/>
      <c r="NCD539" s="268"/>
      <c r="NCE539" s="268"/>
      <c r="NCF539" s="268"/>
      <c r="NCG539" s="268"/>
      <c r="NCH539" s="268"/>
      <c r="NCI539" s="268"/>
      <c r="NCJ539" s="268"/>
      <c r="NCK539" s="268"/>
      <c r="NCL539" s="268"/>
      <c r="NCM539" s="268"/>
      <c r="NCN539" s="268"/>
      <c r="NCO539" s="268"/>
      <c r="NCP539" s="268"/>
      <c r="NCQ539" s="268"/>
      <c r="NCR539" s="268"/>
      <c r="NCS539" s="268"/>
      <c r="NCT539" s="268"/>
      <c r="NCU539" s="268"/>
      <c r="NCV539" s="268"/>
      <c r="NCW539" s="268"/>
      <c r="NCX539" s="268"/>
      <c r="NCY539" s="268"/>
      <c r="NCZ539" s="268"/>
      <c r="NDA539" s="268"/>
      <c r="NDB539" s="268"/>
      <c r="NDC539" s="268"/>
      <c r="NDD539" s="268"/>
      <c r="NDE539" s="268"/>
      <c r="NDF539" s="268"/>
      <c r="NDG539" s="268"/>
      <c r="NDH539" s="268"/>
      <c r="NDI539" s="268"/>
      <c r="NDJ539" s="268"/>
      <c r="NDK539" s="268"/>
      <c r="NDL539" s="268"/>
      <c r="NDM539" s="268"/>
      <c r="NDN539" s="268"/>
      <c r="NDO539" s="268"/>
      <c r="NDP539" s="268"/>
      <c r="NDQ539" s="268"/>
      <c r="NDR539" s="268"/>
      <c r="NDS539" s="268"/>
      <c r="NDT539" s="268"/>
      <c r="NDU539" s="268"/>
      <c r="NDV539" s="268"/>
      <c r="NDW539" s="268"/>
      <c r="NDX539" s="268"/>
      <c r="NDY539" s="268"/>
      <c r="NDZ539" s="268"/>
      <c r="NEA539" s="268"/>
      <c r="NEB539" s="268"/>
      <c r="NEC539" s="268"/>
      <c r="NED539" s="268"/>
      <c r="NEE539" s="268"/>
      <c r="NEF539" s="268"/>
      <c r="NEG539" s="268"/>
      <c r="NEH539" s="268"/>
      <c r="NEI539" s="268"/>
      <c r="NEJ539" s="268"/>
      <c r="NEK539" s="268"/>
      <c r="NEL539" s="268"/>
      <c r="NEM539" s="268"/>
      <c r="NEN539" s="268"/>
      <c r="NEO539" s="268"/>
      <c r="NEP539" s="268"/>
      <c r="NEQ539" s="268"/>
      <c r="NER539" s="268"/>
      <c r="NES539" s="268"/>
      <c r="NET539" s="268"/>
      <c r="NEU539" s="268"/>
      <c r="NEV539" s="268"/>
      <c r="NEW539" s="268"/>
      <c r="NEX539" s="268"/>
      <c r="NEY539" s="268"/>
      <c r="NEZ539" s="268"/>
      <c r="NFA539" s="268"/>
      <c r="NFB539" s="268"/>
      <c r="NFC539" s="268"/>
      <c r="NFD539" s="268"/>
      <c r="NFE539" s="268"/>
      <c r="NFF539" s="268"/>
      <c r="NFG539" s="268"/>
      <c r="NFH539" s="268"/>
      <c r="NFI539" s="268"/>
      <c r="NFJ539" s="268"/>
      <c r="NFK539" s="268"/>
      <c r="NFL539" s="268"/>
      <c r="NFM539" s="268"/>
      <c r="NFN539" s="268"/>
      <c r="NFO539" s="268"/>
      <c r="NFP539" s="268"/>
      <c r="NFQ539" s="268"/>
      <c r="NFR539" s="268"/>
      <c r="NFS539" s="268"/>
      <c r="NFT539" s="268"/>
      <c r="NFU539" s="268"/>
      <c r="NFV539" s="268"/>
      <c r="NFW539" s="268"/>
      <c r="NFX539" s="268"/>
      <c r="NFY539" s="268"/>
      <c r="NFZ539" s="268"/>
      <c r="NGA539" s="268"/>
      <c r="NGB539" s="268"/>
      <c r="NGC539" s="268"/>
      <c r="NGD539" s="268"/>
      <c r="NGE539" s="268"/>
      <c r="NGF539" s="268"/>
      <c r="NGG539" s="268"/>
      <c r="NGH539" s="268"/>
      <c r="NGI539" s="268"/>
      <c r="NGJ539" s="268"/>
      <c r="NGK539" s="268"/>
      <c r="NGL539" s="268"/>
      <c r="NGM539" s="268"/>
      <c r="NGN539" s="268"/>
      <c r="NGO539" s="268"/>
      <c r="NGP539" s="268"/>
      <c r="NGQ539" s="268"/>
      <c r="NGR539" s="268"/>
      <c r="NGS539" s="268"/>
      <c r="NGT539" s="268"/>
      <c r="NGU539" s="268"/>
      <c r="NGV539" s="268"/>
      <c r="NGW539" s="268"/>
      <c r="NGX539" s="268"/>
      <c r="NGY539" s="268"/>
      <c r="NGZ539" s="268"/>
      <c r="NHA539" s="268"/>
      <c r="NHB539" s="268"/>
      <c r="NHC539" s="268"/>
      <c r="NHD539" s="268"/>
      <c r="NHE539" s="268"/>
      <c r="NHF539" s="268"/>
      <c r="NHG539" s="268"/>
      <c r="NHH539" s="268"/>
      <c r="NHI539" s="268"/>
      <c r="NHJ539" s="268"/>
      <c r="NHK539" s="268"/>
      <c r="NHL539" s="268"/>
      <c r="NHM539" s="268"/>
      <c r="NHN539" s="268"/>
      <c r="NHO539" s="268"/>
      <c r="NHP539" s="268"/>
      <c r="NHQ539" s="268"/>
      <c r="NHR539" s="268"/>
      <c r="NHS539" s="268"/>
      <c r="NHT539" s="268"/>
      <c r="NHU539" s="268"/>
      <c r="NHV539" s="268"/>
      <c r="NHW539" s="268"/>
      <c r="NHX539" s="268"/>
      <c r="NHY539" s="268"/>
      <c r="NHZ539" s="268"/>
      <c r="NIA539" s="268"/>
      <c r="NIB539" s="268"/>
      <c r="NIC539" s="268"/>
      <c r="NID539" s="268"/>
      <c r="NIE539" s="268"/>
      <c r="NIF539" s="268"/>
      <c r="NIG539" s="268"/>
      <c r="NIH539" s="268"/>
      <c r="NII539" s="268"/>
      <c r="NIJ539" s="268"/>
      <c r="NIK539" s="268"/>
      <c r="NIL539" s="268"/>
      <c r="NIM539" s="268"/>
      <c r="NIN539" s="268"/>
      <c r="NIO539" s="268"/>
      <c r="NIP539" s="268"/>
      <c r="NIQ539" s="268"/>
      <c r="NIR539" s="268"/>
      <c r="NIS539" s="268"/>
      <c r="NIT539" s="268"/>
      <c r="NIU539" s="268"/>
      <c r="NJI539" s="268"/>
      <c r="NJJ539" s="268"/>
      <c r="NJK539" s="268"/>
      <c r="NJY539" s="268"/>
      <c r="NKA539" s="268"/>
      <c r="NKB539" s="268"/>
      <c r="NKC539" s="268"/>
      <c r="NKD539" s="268"/>
      <c r="NKE539" s="268"/>
      <c r="NKF539" s="268"/>
      <c r="NKG539" s="268"/>
      <c r="NKH539" s="268"/>
      <c r="NKI539" s="268"/>
      <c r="NKJ539" s="268"/>
      <c r="NKK539" s="268"/>
      <c r="NKL539" s="268"/>
      <c r="NKM539" s="268"/>
      <c r="NKN539" s="268"/>
      <c r="NKO539" s="268"/>
      <c r="NKP539" s="268"/>
      <c r="NKQ539" s="268"/>
      <c r="NKR539" s="268"/>
      <c r="NKS539" s="268"/>
      <c r="NKT539" s="268"/>
      <c r="NKU539" s="268"/>
      <c r="NKV539" s="268"/>
      <c r="NKW539" s="268"/>
      <c r="NKX539" s="268"/>
      <c r="NKY539" s="268"/>
      <c r="NKZ539" s="268"/>
      <c r="NLA539" s="268"/>
      <c r="NLB539" s="268"/>
      <c r="NLC539" s="268"/>
      <c r="NLD539" s="268"/>
      <c r="NLE539" s="268"/>
      <c r="NLF539" s="268"/>
      <c r="NLG539" s="268"/>
      <c r="NLH539" s="268"/>
      <c r="NLI539" s="268"/>
      <c r="NLJ539" s="268"/>
      <c r="NLK539" s="268"/>
      <c r="NLL539" s="268"/>
      <c r="NLM539" s="268"/>
      <c r="NLN539" s="268"/>
      <c r="NLO539" s="268"/>
      <c r="NLP539" s="268"/>
      <c r="NLQ539" s="268"/>
      <c r="NLR539" s="268"/>
      <c r="NLS539" s="268"/>
      <c r="NLT539" s="268"/>
      <c r="NLU539" s="268"/>
      <c r="NLV539" s="268"/>
      <c r="NLW539" s="268"/>
      <c r="NLX539" s="268"/>
      <c r="NLY539" s="268"/>
      <c r="NLZ539" s="268"/>
      <c r="NMA539" s="268"/>
      <c r="NMB539" s="268"/>
      <c r="NMC539" s="268"/>
      <c r="NMD539" s="268"/>
      <c r="NME539" s="268"/>
      <c r="NMF539" s="268"/>
      <c r="NMG539" s="268"/>
      <c r="NMH539" s="268"/>
      <c r="NMI539" s="268"/>
      <c r="NMJ539" s="268"/>
      <c r="NMK539" s="268"/>
      <c r="NML539" s="268"/>
      <c r="NMM539" s="268"/>
      <c r="NMN539" s="268"/>
      <c r="NMO539" s="268"/>
      <c r="NMP539" s="268"/>
      <c r="NMQ539" s="268"/>
      <c r="NMR539" s="268"/>
      <c r="NMS539" s="268"/>
      <c r="NMT539" s="268"/>
      <c r="NMU539" s="268"/>
      <c r="NMV539" s="268"/>
      <c r="NMW539" s="268"/>
      <c r="NMX539" s="268"/>
      <c r="NMY539" s="268"/>
      <c r="NMZ539" s="268"/>
      <c r="NNA539" s="268"/>
      <c r="NNB539" s="268"/>
      <c r="NNC539" s="268"/>
      <c r="NND539" s="268"/>
      <c r="NNE539" s="268"/>
      <c r="NNF539" s="268"/>
      <c r="NNG539" s="268"/>
      <c r="NNH539" s="268"/>
      <c r="NNI539" s="268"/>
      <c r="NNJ539" s="268"/>
      <c r="NNK539" s="268"/>
      <c r="NNL539" s="268"/>
      <c r="NNM539" s="268"/>
      <c r="NNN539" s="268"/>
      <c r="NNO539" s="268"/>
      <c r="NNP539" s="268"/>
      <c r="NNQ539" s="268"/>
      <c r="NNR539" s="268"/>
      <c r="NNS539" s="268"/>
      <c r="NNT539" s="268"/>
      <c r="NNU539" s="268"/>
      <c r="NNV539" s="268"/>
      <c r="NNW539" s="268"/>
      <c r="NNX539" s="268"/>
      <c r="NNY539" s="268"/>
      <c r="NNZ539" s="268"/>
      <c r="NOA539" s="268"/>
      <c r="NOB539" s="268"/>
      <c r="NOC539" s="268"/>
      <c r="NOD539" s="268"/>
      <c r="NOE539" s="268"/>
      <c r="NOF539" s="268"/>
      <c r="NOG539" s="268"/>
      <c r="NOH539" s="268"/>
      <c r="NOI539" s="268"/>
      <c r="NOJ539" s="268"/>
      <c r="NOK539" s="268"/>
      <c r="NOL539" s="268"/>
      <c r="NOM539" s="268"/>
      <c r="NON539" s="268"/>
      <c r="NOO539" s="268"/>
      <c r="NOP539" s="268"/>
      <c r="NOQ539" s="268"/>
      <c r="NOR539" s="268"/>
      <c r="NOS539" s="268"/>
      <c r="NOT539" s="268"/>
      <c r="NOU539" s="268"/>
      <c r="NOV539" s="268"/>
      <c r="NOW539" s="268"/>
      <c r="NOX539" s="268"/>
      <c r="NOY539" s="268"/>
      <c r="NOZ539" s="268"/>
      <c r="NPA539" s="268"/>
      <c r="NPB539" s="268"/>
      <c r="NPC539" s="268"/>
      <c r="NPD539" s="268"/>
      <c r="NPE539" s="268"/>
      <c r="NPF539" s="268"/>
      <c r="NPG539" s="268"/>
      <c r="NPH539" s="268"/>
      <c r="NPI539" s="268"/>
      <c r="NPJ539" s="268"/>
      <c r="NPK539" s="268"/>
      <c r="NPL539" s="268"/>
      <c r="NPM539" s="268"/>
      <c r="NPN539" s="268"/>
      <c r="NPO539" s="268"/>
      <c r="NPP539" s="268"/>
      <c r="NPQ539" s="268"/>
      <c r="NPR539" s="268"/>
      <c r="NPS539" s="268"/>
      <c r="NPT539" s="268"/>
      <c r="NPU539" s="268"/>
      <c r="NPV539" s="268"/>
      <c r="NPW539" s="268"/>
      <c r="NPX539" s="268"/>
      <c r="NPY539" s="268"/>
      <c r="NPZ539" s="268"/>
      <c r="NQA539" s="268"/>
      <c r="NQB539" s="268"/>
      <c r="NQC539" s="268"/>
      <c r="NQD539" s="268"/>
      <c r="NQE539" s="268"/>
      <c r="NQF539" s="268"/>
      <c r="NQG539" s="268"/>
      <c r="NQH539" s="268"/>
      <c r="NQI539" s="268"/>
      <c r="NQJ539" s="268"/>
      <c r="NQK539" s="268"/>
      <c r="NQL539" s="268"/>
      <c r="NQM539" s="268"/>
      <c r="NQN539" s="268"/>
      <c r="NQO539" s="268"/>
      <c r="NQP539" s="268"/>
      <c r="NQQ539" s="268"/>
      <c r="NQR539" s="268"/>
      <c r="NQS539" s="268"/>
      <c r="NQT539" s="268"/>
      <c r="NQU539" s="268"/>
      <c r="NQV539" s="268"/>
      <c r="NQW539" s="268"/>
      <c r="NQX539" s="268"/>
      <c r="NQY539" s="268"/>
      <c r="NQZ539" s="268"/>
      <c r="NRA539" s="268"/>
      <c r="NRB539" s="268"/>
      <c r="NRC539" s="268"/>
      <c r="NRD539" s="268"/>
      <c r="NRE539" s="268"/>
      <c r="NRF539" s="268"/>
      <c r="NRG539" s="268"/>
      <c r="NRH539" s="268"/>
      <c r="NRI539" s="268"/>
      <c r="NRJ539" s="268"/>
      <c r="NRK539" s="268"/>
      <c r="NRL539" s="268"/>
      <c r="NRM539" s="268"/>
      <c r="NRN539" s="268"/>
      <c r="NRO539" s="268"/>
      <c r="NRP539" s="268"/>
      <c r="NRQ539" s="268"/>
      <c r="NRR539" s="268"/>
      <c r="NRS539" s="268"/>
      <c r="NRT539" s="268"/>
      <c r="NRU539" s="268"/>
      <c r="NRV539" s="268"/>
      <c r="NRW539" s="268"/>
      <c r="NRX539" s="268"/>
      <c r="NRY539" s="268"/>
      <c r="NRZ539" s="268"/>
      <c r="NSA539" s="268"/>
      <c r="NSB539" s="268"/>
      <c r="NSC539" s="268"/>
      <c r="NSD539" s="268"/>
      <c r="NSE539" s="268"/>
      <c r="NSF539" s="268"/>
      <c r="NSG539" s="268"/>
      <c r="NSH539" s="268"/>
      <c r="NSI539" s="268"/>
      <c r="NSJ539" s="268"/>
      <c r="NSK539" s="268"/>
      <c r="NSL539" s="268"/>
      <c r="NSM539" s="268"/>
      <c r="NSN539" s="268"/>
      <c r="NSO539" s="268"/>
      <c r="NSP539" s="268"/>
      <c r="NSQ539" s="268"/>
      <c r="NTE539" s="268"/>
      <c r="NTF539" s="268"/>
      <c r="NTG539" s="268"/>
      <c r="NTU539" s="268"/>
      <c r="NTW539" s="268"/>
      <c r="NTX539" s="268"/>
      <c r="NTY539" s="268"/>
      <c r="NTZ539" s="268"/>
      <c r="NUA539" s="268"/>
      <c r="NUB539" s="268"/>
      <c r="NUC539" s="268"/>
      <c r="NUD539" s="268"/>
      <c r="NUE539" s="268"/>
      <c r="NUF539" s="268"/>
      <c r="NUG539" s="268"/>
      <c r="NUH539" s="268"/>
      <c r="NUI539" s="268"/>
      <c r="NUJ539" s="268"/>
      <c r="NUK539" s="268"/>
      <c r="NUL539" s="268"/>
      <c r="NUM539" s="268"/>
      <c r="NUN539" s="268"/>
      <c r="NUO539" s="268"/>
      <c r="NUP539" s="268"/>
      <c r="NUQ539" s="268"/>
      <c r="NUR539" s="268"/>
      <c r="NUS539" s="268"/>
      <c r="NUT539" s="268"/>
      <c r="NUU539" s="268"/>
      <c r="NUV539" s="268"/>
      <c r="NUW539" s="268"/>
      <c r="NUX539" s="268"/>
      <c r="NUY539" s="268"/>
      <c r="NUZ539" s="268"/>
      <c r="NVA539" s="268"/>
      <c r="NVB539" s="268"/>
      <c r="NVC539" s="268"/>
      <c r="NVD539" s="268"/>
      <c r="NVE539" s="268"/>
      <c r="NVF539" s="268"/>
      <c r="NVG539" s="268"/>
      <c r="NVH539" s="268"/>
      <c r="NVI539" s="268"/>
      <c r="NVJ539" s="268"/>
      <c r="NVK539" s="268"/>
      <c r="NVL539" s="268"/>
      <c r="NVM539" s="268"/>
      <c r="NVN539" s="268"/>
      <c r="NVO539" s="268"/>
      <c r="NVP539" s="268"/>
      <c r="NVQ539" s="268"/>
      <c r="NVR539" s="268"/>
      <c r="NVS539" s="268"/>
      <c r="NVT539" s="268"/>
      <c r="NVU539" s="268"/>
      <c r="NVV539" s="268"/>
      <c r="NVW539" s="268"/>
      <c r="NVX539" s="268"/>
      <c r="NVY539" s="268"/>
      <c r="NVZ539" s="268"/>
      <c r="NWA539" s="268"/>
      <c r="NWB539" s="268"/>
      <c r="NWC539" s="268"/>
      <c r="NWD539" s="268"/>
      <c r="NWE539" s="268"/>
      <c r="NWF539" s="268"/>
      <c r="NWG539" s="268"/>
      <c r="NWH539" s="268"/>
      <c r="NWI539" s="268"/>
      <c r="NWJ539" s="268"/>
      <c r="NWK539" s="268"/>
      <c r="NWL539" s="268"/>
      <c r="NWM539" s="268"/>
      <c r="NWN539" s="268"/>
      <c r="NWO539" s="268"/>
      <c r="NWP539" s="268"/>
      <c r="NWQ539" s="268"/>
      <c r="NWR539" s="268"/>
      <c r="NWS539" s="268"/>
      <c r="NWT539" s="268"/>
      <c r="NWU539" s="268"/>
      <c r="NWV539" s="268"/>
      <c r="NWW539" s="268"/>
      <c r="NWX539" s="268"/>
      <c r="NWY539" s="268"/>
      <c r="NWZ539" s="268"/>
      <c r="NXA539" s="268"/>
      <c r="NXB539" s="268"/>
      <c r="NXC539" s="268"/>
      <c r="NXD539" s="268"/>
      <c r="NXE539" s="268"/>
      <c r="NXF539" s="268"/>
      <c r="NXG539" s="268"/>
      <c r="NXH539" s="268"/>
      <c r="NXI539" s="268"/>
      <c r="NXJ539" s="268"/>
      <c r="NXK539" s="268"/>
      <c r="NXL539" s="268"/>
      <c r="NXM539" s="268"/>
      <c r="NXN539" s="268"/>
      <c r="NXO539" s="268"/>
      <c r="NXP539" s="268"/>
      <c r="NXQ539" s="268"/>
      <c r="NXR539" s="268"/>
      <c r="NXS539" s="268"/>
      <c r="NXT539" s="268"/>
      <c r="NXU539" s="268"/>
      <c r="NXV539" s="268"/>
      <c r="NXW539" s="268"/>
      <c r="NXX539" s="268"/>
      <c r="NXY539" s="268"/>
      <c r="NXZ539" s="268"/>
      <c r="NYA539" s="268"/>
      <c r="NYB539" s="268"/>
      <c r="NYC539" s="268"/>
      <c r="NYD539" s="268"/>
      <c r="NYE539" s="268"/>
      <c r="NYF539" s="268"/>
      <c r="NYG539" s="268"/>
      <c r="NYH539" s="268"/>
      <c r="NYI539" s="268"/>
      <c r="NYJ539" s="268"/>
      <c r="NYK539" s="268"/>
      <c r="NYL539" s="268"/>
      <c r="NYM539" s="268"/>
      <c r="NYN539" s="268"/>
      <c r="NYO539" s="268"/>
      <c r="NYP539" s="268"/>
      <c r="NYQ539" s="268"/>
      <c r="NYR539" s="268"/>
      <c r="NYS539" s="268"/>
      <c r="NYT539" s="268"/>
      <c r="NYU539" s="268"/>
      <c r="NYV539" s="268"/>
      <c r="NYW539" s="268"/>
      <c r="NYX539" s="268"/>
      <c r="NYY539" s="268"/>
      <c r="NYZ539" s="268"/>
      <c r="NZA539" s="268"/>
      <c r="NZB539" s="268"/>
      <c r="NZC539" s="268"/>
      <c r="NZD539" s="268"/>
      <c r="NZE539" s="268"/>
      <c r="NZF539" s="268"/>
      <c r="NZG539" s="268"/>
      <c r="NZH539" s="268"/>
      <c r="NZI539" s="268"/>
      <c r="NZJ539" s="268"/>
      <c r="NZK539" s="268"/>
      <c r="NZL539" s="268"/>
      <c r="NZM539" s="268"/>
      <c r="NZN539" s="268"/>
      <c r="NZO539" s="268"/>
      <c r="NZP539" s="268"/>
      <c r="NZQ539" s="268"/>
      <c r="NZR539" s="268"/>
      <c r="NZS539" s="268"/>
      <c r="NZT539" s="268"/>
      <c r="NZU539" s="268"/>
      <c r="NZV539" s="268"/>
      <c r="NZW539" s="268"/>
      <c r="NZX539" s="268"/>
      <c r="NZY539" s="268"/>
      <c r="NZZ539" s="268"/>
      <c r="OAA539" s="268"/>
      <c r="OAB539" s="268"/>
      <c r="OAC539" s="268"/>
      <c r="OAD539" s="268"/>
      <c r="OAE539" s="268"/>
      <c r="OAF539" s="268"/>
      <c r="OAG539" s="268"/>
      <c r="OAH539" s="268"/>
      <c r="OAI539" s="268"/>
      <c r="OAJ539" s="268"/>
      <c r="OAK539" s="268"/>
      <c r="OAL539" s="268"/>
      <c r="OAM539" s="268"/>
      <c r="OAN539" s="268"/>
      <c r="OAO539" s="268"/>
      <c r="OAP539" s="268"/>
      <c r="OAQ539" s="268"/>
      <c r="OAR539" s="268"/>
      <c r="OAS539" s="268"/>
      <c r="OAT539" s="268"/>
      <c r="OAU539" s="268"/>
      <c r="OAV539" s="268"/>
      <c r="OAW539" s="268"/>
      <c r="OAX539" s="268"/>
      <c r="OAY539" s="268"/>
      <c r="OAZ539" s="268"/>
      <c r="OBA539" s="268"/>
      <c r="OBB539" s="268"/>
      <c r="OBC539" s="268"/>
      <c r="OBD539" s="268"/>
      <c r="OBE539" s="268"/>
      <c r="OBF539" s="268"/>
      <c r="OBG539" s="268"/>
      <c r="OBH539" s="268"/>
      <c r="OBI539" s="268"/>
      <c r="OBJ539" s="268"/>
      <c r="OBK539" s="268"/>
      <c r="OBL539" s="268"/>
      <c r="OBM539" s="268"/>
      <c r="OBN539" s="268"/>
      <c r="OBO539" s="268"/>
      <c r="OBP539" s="268"/>
      <c r="OBQ539" s="268"/>
      <c r="OBR539" s="268"/>
      <c r="OBS539" s="268"/>
      <c r="OBT539" s="268"/>
      <c r="OBU539" s="268"/>
      <c r="OBV539" s="268"/>
      <c r="OBW539" s="268"/>
      <c r="OBX539" s="268"/>
      <c r="OBY539" s="268"/>
      <c r="OBZ539" s="268"/>
      <c r="OCA539" s="268"/>
      <c r="OCB539" s="268"/>
      <c r="OCC539" s="268"/>
      <c r="OCD539" s="268"/>
      <c r="OCE539" s="268"/>
      <c r="OCF539" s="268"/>
      <c r="OCG539" s="268"/>
      <c r="OCH539" s="268"/>
      <c r="OCI539" s="268"/>
      <c r="OCJ539" s="268"/>
      <c r="OCK539" s="268"/>
      <c r="OCL539" s="268"/>
      <c r="OCM539" s="268"/>
      <c r="ODA539" s="268"/>
      <c r="ODB539" s="268"/>
      <c r="ODC539" s="268"/>
      <c r="ODQ539" s="268"/>
      <c r="ODS539" s="268"/>
      <c r="ODT539" s="268"/>
      <c r="ODU539" s="268"/>
      <c r="ODV539" s="268"/>
      <c r="ODW539" s="268"/>
      <c r="ODX539" s="268"/>
      <c r="ODY539" s="268"/>
      <c r="ODZ539" s="268"/>
      <c r="OEA539" s="268"/>
      <c r="OEB539" s="268"/>
      <c r="OEC539" s="268"/>
      <c r="OED539" s="268"/>
      <c r="OEE539" s="268"/>
      <c r="OEF539" s="268"/>
      <c r="OEG539" s="268"/>
      <c r="OEH539" s="268"/>
      <c r="OEI539" s="268"/>
      <c r="OEJ539" s="268"/>
      <c r="OEK539" s="268"/>
      <c r="OEL539" s="268"/>
      <c r="OEM539" s="268"/>
      <c r="OEN539" s="268"/>
      <c r="OEO539" s="268"/>
      <c r="OEP539" s="268"/>
      <c r="OEQ539" s="268"/>
      <c r="OER539" s="268"/>
      <c r="OES539" s="268"/>
      <c r="OET539" s="268"/>
      <c r="OEU539" s="268"/>
      <c r="OEV539" s="268"/>
      <c r="OEW539" s="268"/>
      <c r="OEX539" s="268"/>
      <c r="OEY539" s="268"/>
      <c r="OEZ539" s="268"/>
      <c r="OFA539" s="268"/>
      <c r="OFB539" s="268"/>
      <c r="OFC539" s="268"/>
      <c r="OFD539" s="268"/>
      <c r="OFE539" s="268"/>
      <c r="OFF539" s="268"/>
      <c r="OFG539" s="268"/>
      <c r="OFH539" s="268"/>
      <c r="OFI539" s="268"/>
      <c r="OFJ539" s="268"/>
      <c r="OFK539" s="268"/>
      <c r="OFL539" s="268"/>
      <c r="OFM539" s="268"/>
      <c r="OFN539" s="268"/>
      <c r="OFO539" s="268"/>
      <c r="OFP539" s="268"/>
      <c r="OFQ539" s="268"/>
      <c r="OFR539" s="268"/>
      <c r="OFS539" s="268"/>
      <c r="OFT539" s="268"/>
      <c r="OFU539" s="268"/>
      <c r="OFV539" s="268"/>
      <c r="OFW539" s="268"/>
      <c r="OFX539" s="268"/>
      <c r="OFY539" s="268"/>
      <c r="OFZ539" s="268"/>
      <c r="OGA539" s="268"/>
      <c r="OGB539" s="268"/>
      <c r="OGC539" s="268"/>
      <c r="OGD539" s="268"/>
      <c r="OGE539" s="268"/>
      <c r="OGF539" s="268"/>
      <c r="OGG539" s="268"/>
      <c r="OGH539" s="268"/>
      <c r="OGI539" s="268"/>
      <c r="OGJ539" s="268"/>
      <c r="OGK539" s="268"/>
      <c r="OGL539" s="268"/>
      <c r="OGM539" s="268"/>
      <c r="OGN539" s="268"/>
      <c r="OGO539" s="268"/>
      <c r="OGP539" s="268"/>
      <c r="OGQ539" s="268"/>
      <c r="OGR539" s="268"/>
      <c r="OGS539" s="268"/>
      <c r="OGT539" s="268"/>
      <c r="OGU539" s="268"/>
      <c r="OGV539" s="268"/>
      <c r="OGW539" s="268"/>
      <c r="OGX539" s="268"/>
      <c r="OGY539" s="268"/>
      <c r="OGZ539" s="268"/>
      <c r="OHA539" s="268"/>
      <c r="OHB539" s="268"/>
      <c r="OHC539" s="268"/>
      <c r="OHD539" s="268"/>
      <c r="OHE539" s="268"/>
      <c r="OHF539" s="268"/>
      <c r="OHG539" s="268"/>
      <c r="OHH539" s="268"/>
      <c r="OHI539" s="268"/>
      <c r="OHJ539" s="268"/>
      <c r="OHK539" s="268"/>
      <c r="OHL539" s="268"/>
      <c r="OHM539" s="268"/>
      <c r="OHN539" s="268"/>
      <c r="OHO539" s="268"/>
      <c r="OHP539" s="268"/>
      <c r="OHQ539" s="268"/>
      <c r="OHR539" s="268"/>
      <c r="OHS539" s="268"/>
      <c r="OHT539" s="268"/>
      <c r="OHU539" s="268"/>
      <c r="OHV539" s="268"/>
      <c r="OHW539" s="268"/>
      <c r="OHX539" s="268"/>
      <c r="OHY539" s="268"/>
      <c r="OHZ539" s="268"/>
      <c r="OIA539" s="268"/>
      <c r="OIB539" s="268"/>
      <c r="OIC539" s="268"/>
      <c r="OID539" s="268"/>
      <c r="OIE539" s="268"/>
      <c r="OIF539" s="268"/>
      <c r="OIG539" s="268"/>
      <c r="OIH539" s="268"/>
      <c r="OII539" s="268"/>
      <c r="OIJ539" s="268"/>
      <c r="OIK539" s="268"/>
      <c r="OIL539" s="268"/>
      <c r="OIM539" s="268"/>
      <c r="OIN539" s="268"/>
      <c r="OIO539" s="268"/>
      <c r="OIP539" s="268"/>
      <c r="OIQ539" s="268"/>
      <c r="OIR539" s="268"/>
      <c r="OIS539" s="268"/>
      <c r="OIT539" s="268"/>
      <c r="OIU539" s="268"/>
      <c r="OIV539" s="268"/>
      <c r="OIW539" s="268"/>
      <c r="OIX539" s="268"/>
      <c r="OIY539" s="268"/>
      <c r="OIZ539" s="268"/>
      <c r="OJA539" s="268"/>
      <c r="OJB539" s="268"/>
      <c r="OJC539" s="268"/>
      <c r="OJD539" s="268"/>
      <c r="OJE539" s="268"/>
      <c r="OJF539" s="268"/>
      <c r="OJG539" s="268"/>
      <c r="OJH539" s="268"/>
      <c r="OJI539" s="268"/>
      <c r="OJJ539" s="268"/>
      <c r="OJK539" s="268"/>
      <c r="OJL539" s="268"/>
      <c r="OJM539" s="268"/>
      <c r="OJN539" s="268"/>
      <c r="OJO539" s="268"/>
      <c r="OJP539" s="268"/>
      <c r="OJQ539" s="268"/>
      <c r="OJR539" s="268"/>
      <c r="OJS539" s="268"/>
      <c r="OJT539" s="268"/>
      <c r="OJU539" s="268"/>
      <c r="OJV539" s="268"/>
      <c r="OJW539" s="268"/>
      <c r="OJX539" s="268"/>
      <c r="OJY539" s="268"/>
      <c r="OJZ539" s="268"/>
      <c r="OKA539" s="268"/>
      <c r="OKB539" s="268"/>
      <c r="OKC539" s="268"/>
      <c r="OKD539" s="268"/>
      <c r="OKE539" s="268"/>
      <c r="OKF539" s="268"/>
      <c r="OKG539" s="268"/>
      <c r="OKH539" s="268"/>
      <c r="OKI539" s="268"/>
      <c r="OKJ539" s="268"/>
      <c r="OKK539" s="268"/>
      <c r="OKL539" s="268"/>
      <c r="OKM539" s="268"/>
      <c r="OKN539" s="268"/>
      <c r="OKO539" s="268"/>
      <c r="OKP539" s="268"/>
      <c r="OKQ539" s="268"/>
      <c r="OKR539" s="268"/>
      <c r="OKS539" s="268"/>
      <c r="OKT539" s="268"/>
      <c r="OKU539" s="268"/>
      <c r="OKV539" s="268"/>
      <c r="OKW539" s="268"/>
      <c r="OKX539" s="268"/>
      <c r="OKY539" s="268"/>
      <c r="OKZ539" s="268"/>
      <c r="OLA539" s="268"/>
      <c r="OLB539" s="268"/>
      <c r="OLC539" s="268"/>
      <c r="OLD539" s="268"/>
      <c r="OLE539" s="268"/>
      <c r="OLF539" s="268"/>
      <c r="OLG539" s="268"/>
      <c r="OLH539" s="268"/>
      <c r="OLI539" s="268"/>
      <c r="OLJ539" s="268"/>
      <c r="OLK539" s="268"/>
      <c r="OLL539" s="268"/>
      <c r="OLM539" s="268"/>
      <c r="OLN539" s="268"/>
      <c r="OLO539" s="268"/>
      <c r="OLP539" s="268"/>
      <c r="OLQ539" s="268"/>
      <c r="OLR539" s="268"/>
      <c r="OLS539" s="268"/>
      <c r="OLT539" s="268"/>
      <c r="OLU539" s="268"/>
      <c r="OLV539" s="268"/>
      <c r="OLW539" s="268"/>
      <c r="OLX539" s="268"/>
      <c r="OLY539" s="268"/>
      <c r="OLZ539" s="268"/>
      <c r="OMA539" s="268"/>
      <c r="OMB539" s="268"/>
      <c r="OMC539" s="268"/>
      <c r="OMD539" s="268"/>
      <c r="OME539" s="268"/>
      <c r="OMF539" s="268"/>
      <c r="OMG539" s="268"/>
      <c r="OMH539" s="268"/>
      <c r="OMI539" s="268"/>
      <c r="OMW539" s="268"/>
      <c r="OMX539" s="268"/>
      <c r="OMY539" s="268"/>
      <c r="ONM539" s="268"/>
      <c r="ONO539" s="268"/>
      <c r="ONP539" s="268"/>
      <c r="ONQ539" s="268"/>
      <c r="ONR539" s="268"/>
      <c r="ONS539" s="268"/>
      <c r="ONT539" s="268"/>
      <c r="ONU539" s="268"/>
      <c r="ONV539" s="268"/>
      <c r="ONW539" s="268"/>
      <c r="ONX539" s="268"/>
      <c r="ONY539" s="268"/>
      <c r="ONZ539" s="268"/>
      <c r="OOA539" s="268"/>
      <c r="OOB539" s="268"/>
      <c r="OOC539" s="268"/>
      <c r="OOD539" s="268"/>
      <c r="OOE539" s="268"/>
      <c r="OOF539" s="268"/>
      <c r="OOG539" s="268"/>
      <c r="OOH539" s="268"/>
      <c r="OOI539" s="268"/>
      <c r="OOJ539" s="268"/>
      <c r="OOK539" s="268"/>
      <c r="OOL539" s="268"/>
      <c r="OOM539" s="268"/>
      <c r="OON539" s="268"/>
      <c r="OOO539" s="268"/>
      <c r="OOP539" s="268"/>
      <c r="OOQ539" s="268"/>
      <c r="OOR539" s="268"/>
      <c r="OOS539" s="268"/>
      <c r="OOT539" s="268"/>
      <c r="OOU539" s="268"/>
      <c r="OOV539" s="268"/>
      <c r="OOW539" s="268"/>
      <c r="OOX539" s="268"/>
      <c r="OOY539" s="268"/>
      <c r="OOZ539" s="268"/>
      <c r="OPA539" s="268"/>
      <c r="OPB539" s="268"/>
      <c r="OPC539" s="268"/>
      <c r="OPD539" s="268"/>
      <c r="OPE539" s="268"/>
      <c r="OPF539" s="268"/>
      <c r="OPG539" s="268"/>
      <c r="OPH539" s="268"/>
      <c r="OPI539" s="268"/>
      <c r="OPJ539" s="268"/>
      <c r="OPK539" s="268"/>
      <c r="OPL539" s="268"/>
      <c r="OPM539" s="268"/>
      <c r="OPN539" s="268"/>
      <c r="OPO539" s="268"/>
      <c r="OPP539" s="268"/>
      <c r="OPQ539" s="268"/>
      <c r="OPR539" s="268"/>
      <c r="OPS539" s="268"/>
      <c r="OPT539" s="268"/>
      <c r="OPU539" s="268"/>
      <c r="OPV539" s="268"/>
      <c r="OPW539" s="268"/>
      <c r="OPX539" s="268"/>
      <c r="OPY539" s="268"/>
      <c r="OPZ539" s="268"/>
      <c r="OQA539" s="268"/>
      <c r="OQB539" s="268"/>
      <c r="OQC539" s="268"/>
      <c r="OQD539" s="268"/>
      <c r="OQE539" s="268"/>
      <c r="OQF539" s="268"/>
      <c r="OQG539" s="268"/>
      <c r="OQH539" s="268"/>
      <c r="OQI539" s="268"/>
      <c r="OQJ539" s="268"/>
      <c r="OQK539" s="268"/>
      <c r="OQL539" s="268"/>
      <c r="OQM539" s="268"/>
      <c r="OQN539" s="268"/>
      <c r="OQO539" s="268"/>
      <c r="OQP539" s="268"/>
      <c r="OQQ539" s="268"/>
      <c r="OQR539" s="268"/>
      <c r="OQS539" s="268"/>
      <c r="OQT539" s="268"/>
      <c r="OQU539" s="268"/>
      <c r="OQV539" s="268"/>
      <c r="OQW539" s="268"/>
      <c r="OQX539" s="268"/>
      <c r="OQY539" s="268"/>
      <c r="OQZ539" s="268"/>
      <c r="ORA539" s="268"/>
      <c r="ORB539" s="268"/>
      <c r="ORC539" s="268"/>
      <c r="ORD539" s="268"/>
      <c r="ORE539" s="268"/>
      <c r="ORF539" s="268"/>
      <c r="ORG539" s="268"/>
      <c r="ORH539" s="268"/>
      <c r="ORI539" s="268"/>
      <c r="ORJ539" s="268"/>
      <c r="ORK539" s="268"/>
      <c r="ORL539" s="268"/>
      <c r="ORM539" s="268"/>
      <c r="ORN539" s="268"/>
      <c r="ORO539" s="268"/>
      <c r="ORP539" s="268"/>
      <c r="ORQ539" s="268"/>
      <c r="ORR539" s="268"/>
      <c r="ORS539" s="268"/>
      <c r="ORT539" s="268"/>
      <c r="ORU539" s="268"/>
      <c r="ORV539" s="268"/>
      <c r="ORW539" s="268"/>
      <c r="ORX539" s="268"/>
      <c r="ORY539" s="268"/>
      <c r="ORZ539" s="268"/>
      <c r="OSA539" s="268"/>
      <c r="OSB539" s="268"/>
      <c r="OSC539" s="268"/>
      <c r="OSD539" s="268"/>
      <c r="OSE539" s="268"/>
      <c r="OSF539" s="268"/>
      <c r="OSG539" s="268"/>
      <c r="OSH539" s="268"/>
      <c r="OSI539" s="268"/>
      <c r="OSJ539" s="268"/>
      <c r="OSK539" s="268"/>
      <c r="OSL539" s="268"/>
      <c r="OSM539" s="268"/>
      <c r="OSN539" s="268"/>
      <c r="OSO539" s="268"/>
      <c r="OSP539" s="268"/>
      <c r="OSQ539" s="268"/>
      <c r="OSR539" s="268"/>
      <c r="OSS539" s="268"/>
      <c r="OST539" s="268"/>
      <c r="OSU539" s="268"/>
      <c r="OSV539" s="268"/>
      <c r="OSW539" s="268"/>
      <c r="OSX539" s="268"/>
      <c r="OSY539" s="268"/>
      <c r="OSZ539" s="268"/>
      <c r="OTA539" s="268"/>
      <c r="OTB539" s="268"/>
      <c r="OTC539" s="268"/>
      <c r="OTD539" s="268"/>
      <c r="OTE539" s="268"/>
      <c r="OTF539" s="268"/>
      <c r="OTG539" s="268"/>
      <c r="OTH539" s="268"/>
      <c r="OTI539" s="268"/>
      <c r="OTJ539" s="268"/>
      <c r="OTK539" s="268"/>
      <c r="OTL539" s="268"/>
      <c r="OTM539" s="268"/>
      <c r="OTN539" s="268"/>
      <c r="OTO539" s="268"/>
      <c r="OTP539" s="268"/>
      <c r="OTQ539" s="268"/>
      <c r="OTR539" s="268"/>
      <c r="OTS539" s="268"/>
      <c r="OTT539" s="268"/>
      <c r="OTU539" s="268"/>
      <c r="OTV539" s="268"/>
      <c r="OTW539" s="268"/>
      <c r="OTX539" s="268"/>
      <c r="OTY539" s="268"/>
      <c r="OTZ539" s="268"/>
      <c r="OUA539" s="268"/>
      <c r="OUB539" s="268"/>
      <c r="OUC539" s="268"/>
      <c r="OUD539" s="268"/>
      <c r="OUE539" s="268"/>
      <c r="OUF539" s="268"/>
      <c r="OUG539" s="268"/>
      <c r="OUH539" s="268"/>
      <c r="OUI539" s="268"/>
      <c r="OUJ539" s="268"/>
      <c r="OUK539" s="268"/>
      <c r="OUL539" s="268"/>
      <c r="OUM539" s="268"/>
      <c r="OUN539" s="268"/>
      <c r="OUO539" s="268"/>
      <c r="OUP539" s="268"/>
      <c r="OUQ539" s="268"/>
      <c r="OUR539" s="268"/>
      <c r="OUS539" s="268"/>
      <c r="OUT539" s="268"/>
      <c r="OUU539" s="268"/>
      <c r="OUV539" s="268"/>
      <c r="OUW539" s="268"/>
      <c r="OUX539" s="268"/>
      <c r="OUY539" s="268"/>
      <c r="OUZ539" s="268"/>
      <c r="OVA539" s="268"/>
      <c r="OVB539" s="268"/>
      <c r="OVC539" s="268"/>
      <c r="OVD539" s="268"/>
      <c r="OVE539" s="268"/>
      <c r="OVF539" s="268"/>
      <c r="OVG539" s="268"/>
      <c r="OVH539" s="268"/>
      <c r="OVI539" s="268"/>
      <c r="OVJ539" s="268"/>
      <c r="OVK539" s="268"/>
      <c r="OVL539" s="268"/>
      <c r="OVM539" s="268"/>
      <c r="OVN539" s="268"/>
      <c r="OVO539" s="268"/>
      <c r="OVP539" s="268"/>
      <c r="OVQ539" s="268"/>
      <c r="OVR539" s="268"/>
      <c r="OVS539" s="268"/>
      <c r="OVT539" s="268"/>
      <c r="OVU539" s="268"/>
      <c r="OVV539" s="268"/>
      <c r="OVW539" s="268"/>
      <c r="OVX539" s="268"/>
      <c r="OVY539" s="268"/>
      <c r="OVZ539" s="268"/>
      <c r="OWA539" s="268"/>
      <c r="OWB539" s="268"/>
      <c r="OWC539" s="268"/>
      <c r="OWD539" s="268"/>
      <c r="OWE539" s="268"/>
      <c r="OWS539" s="268"/>
      <c r="OWT539" s="268"/>
      <c r="OWU539" s="268"/>
      <c r="OXI539" s="268"/>
      <c r="OXK539" s="268"/>
      <c r="OXL539" s="268"/>
      <c r="OXM539" s="268"/>
      <c r="OXN539" s="268"/>
      <c r="OXO539" s="268"/>
      <c r="OXP539" s="268"/>
      <c r="OXQ539" s="268"/>
      <c r="OXR539" s="268"/>
      <c r="OXS539" s="268"/>
      <c r="OXT539" s="268"/>
      <c r="OXU539" s="268"/>
      <c r="OXV539" s="268"/>
      <c r="OXW539" s="268"/>
      <c r="OXX539" s="268"/>
      <c r="OXY539" s="268"/>
      <c r="OXZ539" s="268"/>
      <c r="OYA539" s="268"/>
      <c r="OYB539" s="268"/>
      <c r="OYC539" s="268"/>
      <c r="OYD539" s="268"/>
      <c r="OYE539" s="268"/>
      <c r="OYF539" s="268"/>
      <c r="OYG539" s="268"/>
      <c r="OYH539" s="268"/>
      <c r="OYI539" s="268"/>
      <c r="OYJ539" s="268"/>
      <c r="OYK539" s="268"/>
      <c r="OYL539" s="268"/>
      <c r="OYM539" s="268"/>
      <c r="OYN539" s="268"/>
      <c r="OYO539" s="268"/>
      <c r="OYP539" s="268"/>
      <c r="OYQ539" s="268"/>
      <c r="OYR539" s="268"/>
      <c r="OYS539" s="268"/>
      <c r="OYT539" s="268"/>
      <c r="OYU539" s="268"/>
      <c r="OYV539" s="268"/>
      <c r="OYW539" s="268"/>
      <c r="OYX539" s="268"/>
      <c r="OYY539" s="268"/>
      <c r="OYZ539" s="268"/>
      <c r="OZA539" s="268"/>
      <c r="OZB539" s="268"/>
      <c r="OZC539" s="268"/>
      <c r="OZD539" s="268"/>
      <c r="OZE539" s="268"/>
      <c r="OZF539" s="268"/>
      <c r="OZG539" s="268"/>
      <c r="OZH539" s="268"/>
      <c r="OZI539" s="268"/>
      <c r="OZJ539" s="268"/>
      <c r="OZK539" s="268"/>
      <c r="OZL539" s="268"/>
      <c r="OZM539" s="268"/>
      <c r="OZN539" s="268"/>
      <c r="OZO539" s="268"/>
      <c r="OZP539" s="268"/>
      <c r="OZQ539" s="268"/>
      <c r="OZR539" s="268"/>
      <c r="OZS539" s="268"/>
      <c r="OZT539" s="268"/>
      <c r="OZU539" s="268"/>
      <c r="OZV539" s="268"/>
      <c r="OZW539" s="268"/>
      <c r="OZX539" s="268"/>
      <c r="OZY539" s="268"/>
      <c r="OZZ539" s="268"/>
      <c r="PAA539" s="268"/>
      <c r="PAB539" s="268"/>
      <c r="PAC539" s="268"/>
      <c r="PAD539" s="268"/>
      <c r="PAE539" s="268"/>
      <c r="PAF539" s="268"/>
      <c r="PAG539" s="268"/>
      <c r="PAH539" s="268"/>
      <c r="PAI539" s="268"/>
      <c r="PAJ539" s="268"/>
      <c r="PAK539" s="268"/>
      <c r="PAL539" s="268"/>
      <c r="PAM539" s="268"/>
      <c r="PAN539" s="268"/>
      <c r="PAO539" s="268"/>
      <c r="PAP539" s="268"/>
      <c r="PAQ539" s="268"/>
      <c r="PAR539" s="268"/>
      <c r="PAS539" s="268"/>
      <c r="PAT539" s="268"/>
      <c r="PAU539" s="268"/>
      <c r="PAV539" s="268"/>
      <c r="PAW539" s="268"/>
      <c r="PAX539" s="268"/>
      <c r="PAY539" s="268"/>
      <c r="PAZ539" s="268"/>
      <c r="PBA539" s="268"/>
      <c r="PBB539" s="268"/>
      <c r="PBC539" s="268"/>
      <c r="PBD539" s="268"/>
      <c r="PBE539" s="268"/>
      <c r="PBF539" s="268"/>
      <c r="PBG539" s="268"/>
      <c r="PBH539" s="268"/>
      <c r="PBI539" s="268"/>
      <c r="PBJ539" s="268"/>
      <c r="PBK539" s="268"/>
      <c r="PBL539" s="268"/>
      <c r="PBM539" s="268"/>
      <c r="PBN539" s="268"/>
      <c r="PBO539" s="268"/>
      <c r="PBP539" s="268"/>
      <c r="PBQ539" s="268"/>
      <c r="PBR539" s="268"/>
      <c r="PBS539" s="268"/>
      <c r="PBT539" s="268"/>
      <c r="PBU539" s="268"/>
      <c r="PBV539" s="268"/>
      <c r="PBW539" s="268"/>
      <c r="PBX539" s="268"/>
      <c r="PBY539" s="268"/>
      <c r="PBZ539" s="268"/>
      <c r="PCA539" s="268"/>
      <c r="PCB539" s="268"/>
      <c r="PCC539" s="268"/>
      <c r="PCD539" s="268"/>
      <c r="PCE539" s="268"/>
      <c r="PCF539" s="268"/>
      <c r="PCG539" s="268"/>
      <c r="PCH539" s="268"/>
      <c r="PCI539" s="268"/>
      <c r="PCJ539" s="268"/>
      <c r="PCK539" s="268"/>
      <c r="PCL539" s="268"/>
      <c r="PCM539" s="268"/>
      <c r="PCN539" s="268"/>
      <c r="PCO539" s="268"/>
      <c r="PCP539" s="268"/>
      <c r="PCQ539" s="268"/>
      <c r="PCR539" s="268"/>
      <c r="PCS539" s="268"/>
      <c r="PCT539" s="268"/>
      <c r="PCU539" s="268"/>
      <c r="PCV539" s="268"/>
      <c r="PCW539" s="268"/>
      <c r="PCX539" s="268"/>
      <c r="PCY539" s="268"/>
      <c r="PCZ539" s="268"/>
      <c r="PDA539" s="268"/>
      <c r="PDB539" s="268"/>
      <c r="PDC539" s="268"/>
      <c r="PDD539" s="268"/>
      <c r="PDE539" s="268"/>
      <c r="PDF539" s="268"/>
      <c r="PDG539" s="268"/>
      <c r="PDH539" s="268"/>
      <c r="PDI539" s="268"/>
      <c r="PDJ539" s="268"/>
      <c r="PDK539" s="268"/>
      <c r="PDL539" s="268"/>
      <c r="PDM539" s="268"/>
      <c r="PDN539" s="268"/>
      <c r="PDO539" s="268"/>
      <c r="PDP539" s="268"/>
      <c r="PDQ539" s="268"/>
      <c r="PDR539" s="268"/>
      <c r="PDS539" s="268"/>
      <c r="PDT539" s="268"/>
      <c r="PDU539" s="268"/>
      <c r="PDV539" s="268"/>
      <c r="PDW539" s="268"/>
      <c r="PDX539" s="268"/>
      <c r="PDY539" s="268"/>
      <c r="PDZ539" s="268"/>
      <c r="PEA539" s="268"/>
      <c r="PEB539" s="268"/>
      <c r="PEC539" s="268"/>
      <c r="PED539" s="268"/>
      <c r="PEE539" s="268"/>
      <c r="PEF539" s="268"/>
      <c r="PEG539" s="268"/>
      <c r="PEH539" s="268"/>
      <c r="PEI539" s="268"/>
      <c r="PEJ539" s="268"/>
      <c r="PEK539" s="268"/>
      <c r="PEL539" s="268"/>
      <c r="PEM539" s="268"/>
      <c r="PEN539" s="268"/>
      <c r="PEO539" s="268"/>
      <c r="PEP539" s="268"/>
      <c r="PEQ539" s="268"/>
      <c r="PER539" s="268"/>
      <c r="PES539" s="268"/>
      <c r="PET539" s="268"/>
      <c r="PEU539" s="268"/>
      <c r="PEV539" s="268"/>
      <c r="PEW539" s="268"/>
      <c r="PEX539" s="268"/>
      <c r="PEY539" s="268"/>
      <c r="PEZ539" s="268"/>
      <c r="PFA539" s="268"/>
      <c r="PFB539" s="268"/>
      <c r="PFC539" s="268"/>
      <c r="PFD539" s="268"/>
      <c r="PFE539" s="268"/>
      <c r="PFF539" s="268"/>
      <c r="PFG539" s="268"/>
      <c r="PFH539" s="268"/>
      <c r="PFI539" s="268"/>
      <c r="PFJ539" s="268"/>
      <c r="PFK539" s="268"/>
      <c r="PFL539" s="268"/>
      <c r="PFM539" s="268"/>
      <c r="PFN539" s="268"/>
      <c r="PFO539" s="268"/>
      <c r="PFP539" s="268"/>
      <c r="PFQ539" s="268"/>
      <c r="PFR539" s="268"/>
      <c r="PFS539" s="268"/>
      <c r="PFT539" s="268"/>
      <c r="PFU539" s="268"/>
      <c r="PFV539" s="268"/>
      <c r="PFW539" s="268"/>
      <c r="PFX539" s="268"/>
      <c r="PFY539" s="268"/>
      <c r="PFZ539" s="268"/>
      <c r="PGA539" s="268"/>
      <c r="PGO539" s="268"/>
      <c r="PGP539" s="268"/>
      <c r="PGQ539" s="268"/>
      <c r="PHE539" s="268"/>
      <c r="PHG539" s="268"/>
      <c r="PHH539" s="268"/>
      <c r="PHI539" s="268"/>
      <c r="PHJ539" s="268"/>
      <c r="PHK539" s="268"/>
      <c r="PHL539" s="268"/>
      <c r="PHM539" s="268"/>
      <c r="PHN539" s="268"/>
      <c r="PHO539" s="268"/>
      <c r="PHP539" s="268"/>
      <c r="PHQ539" s="268"/>
      <c r="PHR539" s="268"/>
      <c r="PHS539" s="268"/>
      <c r="PHT539" s="268"/>
      <c r="PHU539" s="268"/>
      <c r="PHV539" s="268"/>
      <c r="PHW539" s="268"/>
      <c r="PHX539" s="268"/>
      <c r="PHY539" s="268"/>
      <c r="PHZ539" s="268"/>
      <c r="PIA539" s="268"/>
      <c r="PIB539" s="268"/>
      <c r="PIC539" s="268"/>
      <c r="PID539" s="268"/>
      <c r="PIE539" s="268"/>
      <c r="PIF539" s="268"/>
      <c r="PIG539" s="268"/>
      <c r="PIH539" s="268"/>
      <c r="PII539" s="268"/>
      <c r="PIJ539" s="268"/>
      <c r="PIK539" s="268"/>
      <c r="PIL539" s="268"/>
      <c r="PIM539" s="268"/>
      <c r="PIN539" s="268"/>
      <c r="PIO539" s="268"/>
      <c r="PIP539" s="268"/>
      <c r="PIQ539" s="268"/>
      <c r="PIR539" s="268"/>
      <c r="PIS539" s="268"/>
      <c r="PIT539" s="268"/>
      <c r="PIU539" s="268"/>
      <c r="PIV539" s="268"/>
      <c r="PIW539" s="268"/>
      <c r="PIX539" s="268"/>
      <c r="PIY539" s="268"/>
      <c r="PIZ539" s="268"/>
      <c r="PJA539" s="268"/>
      <c r="PJB539" s="268"/>
      <c r="PJC539" s="268"/>
      <c r="PJD539" s="268"/>
      <c r="PJE539" s="268"/>
      <c r="PJF539" s="268"/>
      <c r="PJG539" s="268"/>
      <c r="PJH539" s="268"/>
      <c r="PJI539" s="268"/>
      <c r="PJJ539" s="268"/>
      <c r="PJK539" s="268"/>
      <c r="PJL539" s="268"/>
      <c r="PJM539" s="268"/>
      <c r="PJN539" s="268"/>
      <c r="PJO539" s="268"/>
      <c r="PJP539" s="268"/>
      <c r="PJQ539" s="268"/>
      <c r="PJR539" s="268"/>
      <c r="PJS539" s="268"/>
      <c r="PJT539" s="268"/>
      <c r="PJU539" s="268"/>
      <c r="PJV539" s="268"/>
      <c r="PJW539" s="268"/>
      <c r="PJX539" s="268"/>
      <c r="PJY539" s="268"/>
      <c r="PJZ539" s="268"/>
      <c r="PKA539" s="268"/>
      <c r="PKB539" s="268"/>
      <c r="PKC539" s="268"/>
      <c r="PKD539" s="268"/>
      <c r="PKE539" s="268"/>
      <c r="PKF539" s="268"/>
      <c r="PKG539" s="268"/>
      <c r="PKH539" s="268"/>
      <c r="PKI539" s="268"/>
      <c r="PKJ539" s="268"/>
      <c r="PKK539" s="268"/>
      <c r="PKL539" s="268"/>
      <c r="PKM539" s="268"/>
      <c r="PKN539" s="268"/>
      <c r="PKO539" s="268"/>
      <c r="PKP539" s="268"/>
      <c r="PKQ539" s="268"/>
      <c r="PKR539" s="268"/>
      <c r="PKS539" s="268"/>
      <c r="PKT539" s="268"/>
      <c r="PKU539" s="268"/>
      <c r="PKV539" s="268"/>
      <c r="PKW539" s="268"/>
      <c r="PKX539" s="268"/>
      <c r="PKY539" s="268"/>
      <c r="PKZ539" s="268"/>
      <c r="PLA539" s="268"/>
      <c r="PLB539" s="268"/>
      <c r="PLC539" s="268"/>
      <c r="PLD539" s="268"/>
      <c r="PLE539" s="268"/>
      <c r="PLF539" s="268"/>
      <c r="PLG539" s="268"/>
      <c r="PLH539" s="268"/>
      <c r="PLI539" s="268"/>
      <c r="PLJ539" s="268"/>
      <c r="PLK539" s="268"/>
      <c r="PLL539" s="268"/>
      <c r="PLM539" s="268"/>
      <c r="PLN539" s="268"/>
      <c r="PLO539" s="268"/>
      <c r="PLP539" s="268"/>
      <c r="PLQ539" s="268"/>
      <c r="PLR539" s="268"/>
      <c r="PLS539" s="268"/>
      <c r="PLT539" s="268"/>
      <c r="PLU539" s="268"/>
      <c r="PLV539" s="268"/>
      <c r="PLW539" s="268"/>
      <c r="PLX539" s="268"/>
      <c r="PLY539" s="268"/>
      <c r="PLZ539" s="268"/>
      <c r="PMA539" s="268"/>
      <c r="PMB539" s="268"/>
      <c r="PMC539" s="268"/>
      <c r="PMD539" s="268"/>
      <c r="PME539" s="268"/>
      <c r="PMF539" s="268"/>
      <c r="PMG539" s="268"/>
      <c r="PMH539" s="268"/>
      <c r="PMI539" s="268"/>
      <c r="PMJ539" s="268"/>
      <c r="PMK539" s="268"/>
      <c r="PML539" s="268"/>
      <c r="PMM539" s="268"/>
      <c r="PMN539" s="268"/>
      <c r="PMO539" s="268"/>
      <c r="PMP539" s="268"/>
      <c r="PMQ539" s="268"/>
      <c r="PMR539" s="268"/>
      <c r="PMS539" s="268"/>
      <c r="PMT539" s="268"/>
      <c r="PMU539" s="268"/>
      <c r="PMV539" s="268"/>
      <c r="PMW539" s="268"/>
      <c r="PMX539" s="268"/>
      <c r="PMY539" s="268"/>
      <c r="PMZ539" s="268"/>
      <c r="PNA539" s="268"/>
      <c r="PNB539" s="268"/>
      <c r="PNC539" s="268"/>
      <c r="PND539" s="268"/>
      <c r="PNE539" s="268"/>
      <c r="PNF539" s="268"/>
      <c r="PNG539" s="268"/>
      <c r="PNH539" s="268"/>
      <c r="PNI539" s="268"/>
      <c r="PNJ539" s="268"/>
      <c r="PNK539" s="268"/>
      <c r="PNL539" s="268"/>
      <c r="PNM539" s="268"/>
      <c r="PNN539" s="268"/>
      <c r="PNO539" s="268"/>
      <c r="PNP539" s="268"/>
      <c r="PNQ539" s="268"/>
      <c r="PNR539" s="268"/>
      <c r="PNS539" s="268"/>
      <c r="PNT539" s="268"/>
      <c r="PNU539" s="268"/>
      <c r="PNV539" s="268"/>
      <c r="PNW539" s="268"/>
      <c r="PNX539" s="268"/>
      <c r="PNY539" s="268"/>
      <c r="PNZ539" s="268"/>
      <c r="POA539" s="268"/>
      <c r="POB539" s="268"/>
      <c r="POC539" s="268"/>
      <c r="POD539" s="268"/>
      <c r="POE539" s="268"/>
      <c r="POF539" s="268"/>
      <c r="POG539" s="268"/>
      <c r="POH539" s="268"/>
      <c r="POI539" s="268"/>
      <c r="POJ539" s="268"/>
      <c r="POK539" s="268"/>
      <c r="POL539" s="268"/>
      <c r="POM539" s="268"/>
      <c r="PON539" s="268"/>
      <c r="POO539" s="268"/>
      <c r="POP539" s="268"/>
      <c r="POQ539" s="268"/>
      <c r="POR539" s="268"/>
      <c r="POS539" s="268"/>
      <c r="POT539" s="268"/>
      <c r="POU539" s="268"/>
      <c r="POV539" s="268"/>
      <c r="POW539" s="268"/>
      <c r="POX539" s="268"/>
      <c r="POY539" s="268"/>
      <c r="POZ539" s="268"/>
      <c r="PPA539" s="268"/>
      <c r="PPB539" s="268"/>
      <c r="PPC539" s="268"/>
      <c r="PPD539" s="268"/>
      <c r="PPE539" s="268"/>
      <c r="PPF539" s="268"/>
      <c r="PPG539" s="268"/>
      <c r="PPH539" s="268"/>
      <c r="PPI539" s="268"/>
      <c r="PPJ539" s="268"/>
      <c r="PPK539" s="268"/>
      <c r="PPL539" s="268"/>
      <c r="PPM539" s="268"/>
      <c r="PPN539" s="268"/>
      <c r="PPO539" s="268"/>
      <c r="PPP539" s="268"/>
      <c r="PPQ539" s="268"/>
      <c r="PPR539" s="268"/>
      <c r="PPS539" s="268"/>
      <c r="PPT539" s="268"/>
      <c r="PPU539" s="268"/>
      <c r="PPV539" s="268"/>
      <c r="PPW539" s="268"/>
      <c r="PQK539" s="268"/>
      <c r="PQL539" s="268"/>
      <c r="PQM539" s="268"/>
      <c r="PRA539" s="268"/>
      <c r="PRC539" s="268"/>
      <c r="PRD539" s="268"/>
      <c r="PRE539" s="268"/>
      <c r="PRF539" s="268"/>
      <c r="PRG539" s="268"/>
      <c r="PRH539" s="268"/>
      <c r="PRI539" s="268"/>
      <c r="PRJ539" s="268"/>
      <c r="PRK539" s="268"/>
      <c r="PRL539" s="268"/>
      <c r="PRM539" s="268"/>
      <c r="PRN539" s="268"/>
      <c r="PRO539" s="268"/>
      <c r="PRP539" s="268"/>
      <c r="PRQ539" s="268"/>
      <c r="PRR539" s="268"/>
      <c r="PRS539" s="268"/>
      <c r="PRT539" s="268"/>
      <c r="PRU539" s="268"/>
      <c r="PRV539" s="268"/>
      <c r="PRW539" s="268"/>
      <c r="PRX539" s="268"/>
      <c r="PRY539" s="268"/>
      <c r="PRZ539" s="268"/>
      <c r="PSA539" s="268"/>
      <c r="PSB539" s="268"/>
      <c r="PSC539" s="268"/>
      <c r="PSD539" s="268"/>
      <c r="PSE539" s="268"/>
      <c r="PSF539" s="268"/>
      <c r="PSG539" s="268"/>
      <c r="PSH539" s="268"/>
      <c r="PSI539" s="268"/>
      <c r="PSJ539" s="268"/>
      <c r="PSK539" s="268"/>
      <c r="PSL539" s="268"/>
      <c r="PSM539" s="268"/>
      <c r="PSN539" s="268"/>
      <c r="PSO539" s="268"/>
      <c r="PSP539" s="268"/>
      <c r="PSQ539" s="268"/>
      <c r="PSR539" s="268"/>
      <c r="PSS539" s="268"/>
      <c r="PST539" s="268"/>
      <c r="PSU539" s="268"/>
      <c r="PSV539" s="268"/>
      <c r="PSW539" s="268"/>
      <c r="PSX539" s="268"/>
      <c r="PSY539" s="268"/>
      <c r="PSZ539" s="268"/>
      <c r="PTA539" s="268"/>
      <c r="PTB539" s="268"/>
      <c r="PTC539" s="268"/>
      <c r="PTD539" s="268"/>
      <c r="PTE539" s="268"/>
      <c r="PTF539" s="268"/>
      <c r="PTG539" s="268"/>
      <c r="PTH539" s="268"/>
      <c r="PTI539" s="268"/>
      <c r="PTJ539" s="268"/>
      <c r="PTK539" s="268"/>
      <c r="PTL539" s="268"/>
      <c r="PTM539" s="268"/>
      <c r="PTN539" s="268"/>
      <c r="PTO539" s="268"/>
      <c r="PTP539" s="268"/>
      <c r="PTQ539" s="268"/>
      <c r="PTR539" s="268"/>
      <c r="PTS539" s="268"/>
      <c r="PTT539" s="268"/>
      <c r="PTU539" s="268"/>
      <c r="PTV539" s="268"/>
      <c r="PTW539" s="268"/>
      <c r="PTX539" s="268"/>
      <c r="PTY539" s="268"/>
      <c r="PTZ539" s="268"/>
      <c r="PUA539" s="268"/>
      <c r="PUB539" s="268"/>
      <c r="PUC539" s="268"/>
      <c r="PUD539" s="268"/>
      <c r="PUE539" s="268"/>
      <c r="PUF539" s="268"/>
      <c r="PUG539" s="268"/>
      <c r="PUH539" s="268"/>
      <c r="PUI539" s="268"/>
      <c r="PUJ539" s="268"/>
      <c r="PUK539" s="268"/>
      <c r="PUL539" s="268"/>
      <c r="PUM539" s="268"/>
      <c r="PUN539" s="268"/>
      <c r="PUO539" s="268"/>
      <c r="PUP539" s="268"/>
      <c r="PUQ539" s="268"/>
      <c r="PUR539" s="268"/>
      <c r="PUS539" s="268"/>
      <c r="PUT539" s="268"/>
      <c r="PUU539" s="268"/>
      <c r="PUV539" s="268"/>
      <c r="PUW539" s="268"/>
      <c r="PUX539" s="268"/>
      <c r="PUY539" s="268"/>
      <c r="PUZ539" s="268"/>
      <c r="PVA539" s="268"/>
      <c r="PVB539" s="268"/>
      <c r="PVC539" s="268"/>
      <c r="PVD539" s="268"/>
      <c r="PVE539" s="268"/>
      <c r="PVF539" s="268"/>
      <c r="PVG539" s="268"/>
      <c r="PVH539" s="268"/>
      <c r="PVI539" s="268"/>
      <c r="PVJ539" s="268"/>
      <c r="PVK539" s="268"/>
      <c r="PVL539" s="268"/>
      <c r="PVM539" s="268"/>
      <c r="PVN539" s="268"/>
      <c r="PVO539" s="268"/>
      <c r="PVP539" s="268"/>
      <c r="PVQ539" s="268"/>
      <c r="PVR539" s="268"/>
      <c r="PVS539" s="268"/>
      <c r="PVT539" s="268"/>
      <c r="PVU539" s="268"/>
      <c r="PVV539" s="268"/>
      <c r="PVW539" s="268"/>
      <c r="PVX539" s="268"/>
      <c r="PVY539" s="268"/>
      <c r="PVZ539" s="268"/>
      <c r="PWA539" s="268"/>
      <c r="PWB539" s="268"/>
      <c r="PWC539" s="268"/>
      <c r="PWD539" s="268"/>
      <c r="PWE539" s="268"/>
      <c r="PWF539" s="268"/>
      <c r="PWG539" s="268"/>
      <c r="PWH539" s="268"/>
      <c r="PWI539" s="268"/>
      <c r="PWJ539" s="268"/>
      <c r="PWK539" s="268"/>
      <c r="PWL539" s="268"/>
      <c r="PWM539" s="268"/>
      <c r="PWN539" s="268"/>
      <c r="PWO539" s="268"/>
      <c r="PWP539" s="268"/>
      <c r="PWQ539" s="268"/>
      <c r="PWR539" s="268"/>
      <c r="PWS539" s="268"/>
      <c r="PWT539" s="268"/>
      <c r="PWU539" s="268"/>
      <c r="PWV539" s="268"/>
      <c r="PWW539" s="268"/>
      <c r="PWX539" s="268"/>
      <c r="PWY539" s="268"/>
      <c r="PWZ539" s="268"/>
      <c r="PXA539" s="268"/>
      <c r="PXB539" s="268"/>
      <c r="PXC539" s="268"/>
      <c r="PXD539" s="268"/>
      <c r="PXE539" s="268"/>
      <c r="PXF539" s="268"/>
      <c r="PXG539" s="268"/>
      <c r="PXH539" s="268"/>
      <c r="PXI539" s="268"/>
      <c r="PXJ539" s="268"/>
      <c r="PXK539" s="268"/>
      <c r="PXL539" s="268"/>
      <c r="PXM539" s="268"/>
      <c r="PXN539" s="268"/>
      <c r="PXO539" s="268"/>
      <c r="PXP539" s="268"/>
      <c r="PXQ539" s="268"/>
      <c r="PXR539" s="268"/>
      <c r="PXS539" s="268"/>
      <c r="PXT539" s="268"/>
      <c r="PXU539" s="268"/>
      <c r="PXV539" s="268"/>
      <c r="PXW539" s="268"/>
      <c r="PXX539" s="268"/>
      <c r="PXY539" s="268"/>
      <c r="PXZ539" s="268"/>
      <c r="PYA539" s="268"/>
      <c r="PYB539" s="268"/>
      <c r="PYC539" s="268"/>
      <c r="PYD539" s="268"/>
      <c r="PYE539" s="268"/>
      <c r="PYF539" s="268"/>
      <c r="PYG539" s="268"/>
      <c r="PYH539" s="268"/>
      <c r="PYI539" s="268"/>
      <c r="PYJ539" s="268"/>
      <c r="PYK539" s="268"/>
      <c r="PYL539" s="268"/>
      <c r="PYM539" s="268"/>
      <c r="PYN539" s="268"/>
      <c r="PYO539" s="268"/>
      <c r="PYP539" s="268"/>
      <c r="PYQ539" s="268"/>
      <c r="PYR539" s="268"/>
      <c r="PYS539" s="268"/>
      <c r="PYT539" s="268"/>
      <c r="PYU539" s="268"/>
      <c r="PYV539" s="268"/>
      <c r="PYW539" s="268"/>
      <c r="PYX539" s="268"/>
      <c r="PYY539" s="268"/>
      <c r="PYZ539" s="268"/>
      <c r="PZA539" s="268"/>
      <c r="PZB539" s="268"/>
      <c r="PZC539" s="268"/>
      <c r="PZD539" s="268"/>
      <c r="PZE539" s="268"/>
      <c r="PZF539" s="268"/>
      <c r="PZG539" s="268"/>
      <c r="PZH539" s="268"/>
      <c r="PZI539" s="268"/>
      <c r="PZJ539" s="268"/>
      <c r="PZK539" s="268"/>
      <c r="PZL539" s="268"/>
      <c r="PZM539" s="268"/>
      <c r="PZN539" s="268"/>
      <c r="PZO539" s="268"/>
      <c r="PZP539" s="268"/>
      <c r="PZQ539" s="268"/>
      <c r="PZR539" s="268"/>
      <c r="PZS539" s="268"/>
      <c r="QAG539" s="268"/>
      <c r="QAH539" s="268"/>
      <c r="QAI539" s="268"/>
      <c r="QAW539" s="268"/>
      <c r="QAY539" s="268"/>
      <c r="QAZ539" s="268"/>
      <c r="QBA539" s="268"/>
      <c r="QBB539" s="268"/>
      <c r="QBC539" s="268"/>
      <c r="QBD539" s="268"/>
      <c r="QBE539" s="268"/>
      <c r="QBF539" s="268"/>
      <c r="QBG539" s="268"/>
      <c r="QBH539" s="268"/>
      <c r="QBI539" s="268"/>
      <c r="QBJ539" s="268"/>
      <c r="QBK539" s="268"/>
      <c r="QBL539" s="268"/>
      <c r="QBM539" s="268"/>
      <c r="QBN539" s="268"/>
      <c r="QBO539" s="268"/>
      <c r="QBP539" s="268"/>
      <c r="QBQ539" s="268"/>
      <c r="QBR539" s="268"/>
      <c r="QBS539" s="268"/>
      <c r="QBT539" s="268"/>
      <c r="QBU539" s="268"/>
      <c r="QBV539" s="268"/>
      <c r="QBW539" s="268"/>
      <c r="QBX539" s="268"/>
      <c r="QBY539" s="268"/>
      <c r="QBZ539" s="268"/>
      <c r="QCA539" s="268"/>
      <c r="QCB539" s="268"/>
      <c r="QCC539" s="268"/>
      <c r="QCD539" s="268"/>
      <c r="QCE539" s="268"/>
      <c r="QCF539" s="268"/>
      <c r="QCG539" s="268"/>
      <c r="QCH539" s="268"/>
      <c r="QCI539" s="268"/>
      <c r="QCJ539" s="268"/>
      <c r="QCK539" s="268"/>
      <c r="QCL539" s="268"/>
      <c r="QCM539" s="268"/>
      <c r="QCN539" s="268"/>
      <c r="QCO539" s="268"/>
      <c r="QCP539" s="268"/>
      <c r="QCQ539" s="268"/>
      <c r="QCR539" s="268"/>
      <c r="QCS539" s="268"/>
      <c r="QCT539" s="268"/>
      <c r="QCU539" s="268"/>
      <c r="QCV539" s="268"/>
      <c r="QCW539" s="268"/>
      <c r="QCX539" s="268"/>
      <c r="QCY539" s="268"/>
      <c r="QCZ539" s="268"/>
      <c r="QDA539" s="268"/>
      <c r="QDB539" s="268"/>
      <c r="QDC539" s="268"/>
      <c r="QDD539" s="268"/>
      <c r="QDE539" s="268"/>
      <c r="QDF539" s="268"/>
      <c r="QDG539" s="268"/>
      <c r="QDH539" s="268"/>
      <c r="QDI539" s="268"/>
      <c r="QDJ539" s="268"/>
      <c r="QDK539" s="268"/>
      <c r="QDL539" s="268"/>
      <c r="QDM539" s="268"/>
      <c r="QDN539" s="268"/>
      <c r="QDO539" s="268"/>
      <c r="QDP539" s="268"/>
      <c r="QDQ539" s="268"/>
      <c r="QDR539" s="268"/>
      <c r="QDS539" s="268"/>
      <c r="QDT539" s="268"/>
      <c r="QDU539" s="268"/>
      <c r="QDV539" s="268"/>
      <c r="QDW539" s="268"/>
      <c r="QDX539" s="268"/>
      <c r="QDY539" s="268"/>
      <c r="QDZ539" s="268"/>
      <c r="QEA539" s="268"/>
      <c r="QEB539" s="268"/>
      <c r="QEC539" s="268"/>
      <c r="QED539" s="268"/>
      <c r="QEE539" s="268"/>
      <c r="QEF539" s="268"/>
      <c r="QEG539" s="268"/>
      <c r="QEH539" s="268"/>
      <c r="QEI539" s="268"/>
      <c r="QEJ539" s="268"/>
      <c r="QEK539" s="268"/>
      <c r="QEL539" s="268"/>
      <c r="QEM539" s="268"/>
      <c r="QEN539" s="268"/>
      <c r="QEO539" s="268"/>
      <c r="QEP539" s="268"/>
      <c r="QEQ539" s="268"/>
      <c r="QER539" s="268"/>
      <c r="QES539" s="268"/>
      <c r="QET539" s="268"/>
      <c r="QEU539" s="268"/>
      <c r="QEV539" s="268"/>
      <c r="QEW539" s="268"/>
      <c r="QEX539" s="268"/>
      <c r="QEY539" s="268"/>
      <c r="QEZ539" s="268"/>
      <c r="QFA539" s="268"/>
      <c r="QFB539" s="268"/>
      <c r="QFC539" s="268"/>
      <c r="QFD539" s="268"/>
      <c r="QFE539" s="268"/>
      <c r="QFF539" s="268"/>
      <c r="QFG539" s="268"/>
      <c r="QFH539" s="268"/>
      <c r="QFI539" s="268"/>
      <c r="QFJ539" s="268"/>
      <c r="QFK539" s="268"/>
      <c r="QFL539" s="268"/>
      <c r="QFM539" s="268"/>
      <c r="QFN539" s="268"/>
      <c r="QFO539" s="268"/>
      <c r="QFP539" s="268"/>
      <c r="QFQ539" s="268"/>
      <c r="QFR539" s="268"/>
      <c r="QFS539" s="268"/>
      <c r="QFT539" s="268"/>
      <c r="QFU539" s="268"/>
      <c r="QFV539" s="268"/>
      <c r="QFW539" s="268"/>
      <c r="QFX539" s="268"/>
      <c r="QFY539" s="268"/>
      <c r="QFZ539" s="268"/>
      <c r="QGA539" s="268"/>
      <c r="QGB539" s="268"/>
      <c r="QGC539" s="268"/>
      <c r="QGD539" s="268"/>
      <c r="QGE539" s="268"/>
      <c r="QGF539" s="268"/>
      <c r="QGG539" s="268"/>
      <c r="QGH539" s="268"/>
      <c r="QGI539" s="268"/>
      <c r="QGJ539" s="268"/>
      <c r="QGK539" s="268"/>
      <c r="QGL539" s="268"/>
      <c r="QGM539" s="268"/>
      <c r="QGN539" s="268"/>
      <c r="QGO539" s="268"/>
      <c r="QGP539" s="268"/>
      <c r="QGQ539" s="268"/>
      <c r="QGR539" s="268"/>
      <c r="QGS539" s="268"/>
      <c r="QGT539" s="268"/>
      <c r="QGU539" s="268"/>
      <c r="QGV539" s="268"/>
      <c r="QGW539" s="268"/>
      <c r="QGX539" s="268"/>
      <c r="QGY539" s="268"/>
      <c r="QGZ539" s="268"/>
      <c r="QHA539" s="268"/>
      <c r="QHB539" s="268"/>
      <c r="QHC539" s="268"/>
      <c r="QHD539" s="268"/>
      <c r="QHE539" s="268"/>
      <c r="QHF539" s="268"/>
      <c r="QHG539" s="268"/>
      <c r="QHH539" s="268"/>
      <c r="QHI539" s="268"/>
      <c r="QHJ539" s="268"/>
      <c r="QHK539" s="268"/>
      <c r="QHL539" s="268"/>
      <c r="QHM539" s="268"/>
      <c r="QHN539" s="268"/>
      <c r="QHO539" s="268"/>
      <c r="QHP539" s="268"/>
      <c r="QHQ539" s="268"/>
      <c r="QHR539" s="268"/>
      <c r="QHS539" s="268"/>
      <c r="QHT539" s="268"/>
      <c r="QHU539" s="268"/>
      <c r="QHV539" s="268"/>
      <c r="QHW539" s="268"/>
      <c r="QHX539" s="268"/>
      <c r="QHY539" s="268"/>
      <c r="QHZ539" s="268"/>
      <c r="QIA539" s="268"/>
      <c r="QIB539" s="268"/>
      <c r="QIC539" s="268"/>
      <c r="QID539" s="268"/>
      <c r="QIE539" s="268"/>
      <c r="QIF539" s="268"/>
      <c r="QIG539" s="268"/>
      <c r="QIH539" s="268"/>
      <c r="QII539" s="268"/>
      <c r="QIJ539" s="268"/>
      <c r="QIK539" s="268"/>
      <c r="QIL539" s="268"/>
      <c r="QIM539" s="268"/>
      <c r="QIN539" s="268"/>
      <c r="QIO539" s="268"/>
      <c r="QIP539" s="268"/>
      <c r="QIQ539" s="268"/>
      <c r="QIR539" s="268"/>
      <c r="QIS539" s="268"/>
      <c r="QIT539" s="268"/>
      <c r="QIU539" s="268"/>
      <c r="QIV539" s="268"/>
      <c r="QIW539" s="268"/>
      <c r="QIX539" s="268"/>
      <c r="QIY539" s="268"/>
      <c r="QIZ539" s="268"/>
      <c r="QJA539" s="268"/>
      <c r="QJB539" s="268"/>
      <c r="QJC539" s="268"/>
      <c r="QJD539" s="268"/>
      <c r="QJE539" s="268"/>
      <c r="QJF539" s="268"/>
      <c r="QJG539" s="268"/>
      <c r="QJH539" s="268"/>
      <c r="QJI539" s="268"/>
      <c r="QJJ539" s="268"/>
      <c r="QJK539" s="268"/>
      <c r="QJL539" s="268"/>
      <c r="QJM539" s="268"/>
      <c r="QJN539" s="268"/>
      <c r="QJO539" s="268"/>
      <c r="QKC539" s="268"/>
      <c r="QKD539" s="268"/>
      <c r="QKE539" s="268"/>
      <c r="QKS539" s="268"/>
      <c r="QKU539" s="268"/>
      <c r="QKV539" s="268"/>
      <c r="QKW539" s="268"/>
      <c r="QKX539" s="268"/>
      <c r="QKY539" s="268"/>
      <c r="QKZ539" s="268"/>
      <c r="QLA539" s="268"/>
      <c r="QLB539" s="268"/>
      <c r="QLC539" s="268"/>
      <c r="QLD539" s="268"/>
      <c r="QLE539" s="268"/>
      <c r="QLF539" s="268"/>
      <c r="QLG539" s="268"/>
      <c r="QLH539" s="268"/>
      <c r="QLI539" s="268"/>
      <c r="QLJ539" s="268"/>
      <c r="QLK539" s="268"/>
      <c r="QLL539" s="268"/>
      <c r="QLM539" s="268"/>
      <c r="QLN539" s="268"/>
      <c r="QLO539" s="268"/>
      <c r="QLP539" s="268"/>
      <c r="QLQ539" s="268"/>
      <c r="QLR539" s="268"/>
      <c r="QLS539" s="268"/>
      <c r="QLT539" s="268"/>
      <c r="QLU539" s="268"/>
      <c r="QLV539" s="268"/>
      <c r="QLW539" s="268"/>
      <c r="QLX539" s="268"/>
      <c r="QLY539" s="268"/>
      <c r="QLZ539" s="268"/>
      <c r="QMA539" s="268"/>
      <c r="QMB539" s="268"/>
      <c r="QMC539" s="268"/>
      <c r="QMD539" s="268"/>
      <c r="QME539" s="268"/>
      <c r="QMF539" s="268"/>
      <c r="QMG539" s="268"/>
      <c r="QMH539" s="268"/>
      <c r="QMI539" s="268"/>
      <c r="QMJ539" s="268"/>
      <c r="QMK539" s="268"/>
      <c r="QML539" s="268"/>
      <c r="QMM539" s="268"/>
      <c r="QMN539" s="268"/>
      <c r="QMO539" s="268"/>
      <c r="QMP539" s="268"/>
      <c r="QMQ539" s="268"/>
      <c r="QMR539" s="268"/>
      <c r="QMS539" s="268"/>
      <c r="QMT539" s="268"/>
      <c r="QMU539" s="268"/>
      <c r="QMV539" s="268"/>
      <c r="QMW539" s="268"/>
      <c r="QMX539" s="268"/>
      <c r="QMY539" s="268"/>
      <c r="QMZ539" s="268"/>
      <c r="QNA539" s="268"/>
      <c r="QNB539" s="268"/>
      <c r="QNC539" s="268"/>
      <c r="QND539" s="268"/>
      <c r="QNE539" s="268"/>
      <c r="QNF539" s="268"/>
      <c r="QNG539" s="268"/>
      <c r="QNH539" s="268"/>
      <c r="QNI539" s="268"/>
      <c r="QNJ539" s="268"/>
      <c r="QNK539" s="268"/>
      <c r="QNL539" s="268"/>
      <c r="QNM539" s="268"/>
      <c r="QNN539" s="268"/>
      <c r="QNO539" s="268"/>
      <c r="QNP539" s="268"/>
      <c r="QNQ539" s="268"/>
      <c r="QNR539" s="268"/>
      <c r="QNS539" s="268"/>
      <c r="QNT539" s="268"/>
      <c r="QNU539" s="268"/>
      <c r="QNV539" s="268"/>
      <c r="QNW539" s="268"/>
      <c r="QNX539" s="268"/>
      <c r="QNY539" s="268"/>
      <c r="QNZ539" s="268"/>
      <c r="QOA539" s="268"/>
      <c r="QOB539" s="268"/>
      <c r="QOC539" s="268"/>
      <c r="QOD539" s="268"/>
      <c r="QOE539" s="268"/>
      <c r="QOF539" s="268"/>
      <c r="QOG539" s="268"/>
      <c r="QOH539" s="268"/>
      <c r="QOI539" s="268"/>
      <c r="QOJ539" s="268"/>
      <c r="QOK539" s="268"/>
      <c r="QOL539" s="268"/>
      <c r="QOM539" s="268"/>
      <c r="QON539" s="268"/>
      <c r="QOO539" s="268"/>
      <c r="QOP539" s="268"/>
      <c r="QOQ539" s="268"/>
      <c r="QOR539" s="268"/>
      <c r="QOS539" s="268"/>
      <c r="QOT539" s="268"/>
      <c r="QOU539" s="268"/>
      <c r="QOV539" s="268"/>
      <c r="QOW539" s="268"/>
      <c r="QOX539" s="268"/>
      <c r="QOY539" s="268"/>
      <c r="QOZ539" s="268"/>
      <c r="QPA539" s="268"/>
      <c r="QPB539" s="268"/>
      <c r="QPC539" s="268"/>
      <c r="QPD539" s="268"/>
      <c r="QPE539" s="268"/>
      <c r="QPF539" s="268"/>
      <c r="QPG539" s="268"/>
      <c r="QPH539" s="268"/>
      <c r="QPI539" s="268"/>
      <c r="QPJ539" s="268"/>
      <c r="QPK539" s="268"/>
      <c r="QPL539" s="268"/>
      <c r="QPM539" s="268"/>
      <c r="QPN539" s="268"/>
      <c r="QPO539" s="268"/>
      <c r="QPP539" s="268"/>
      <c r="QPQ539" s="268"/>
      <c r="QPR539" s="268"/>
      <c r="QPS539" s="268"/>
      <c r="QPT539" s="268"/>
      <c r="QPU539" s="268"/>
      <c r="QPV539" s="268"/>
      <c r="QPW539" s="268"/>
      <c r="QPX539" s="268"/>
      <c r="QPY539" s="268"/>
      <c r="QPZ539" s="268"/>
      <c r="QQA539" s="268"/>
      <c r="QQB539" s="268"/>
      <c r="QQC539" s="268"/>
      <c r="QQD539" s="268"/>
      <c r="QQE539" s="268"/>
      <c r="QQF539" s="268"/>
      <c r="QQG539" s="268"/>
      <c r="QQH539" s="268"/>
      <c r="QQI539" s="268"/>
      <c r="QQJ539" s="268"/>
      <c r="QQK539" s="268"/>
      <c r="QQL539" s="268"/>
      <c r="QQM539" s="268"/>
      <c r="QQN539" s="268"/>
      <c r="QQO539" s="268"/>
      <c r="QQP539" s="268"/>
      <c r="QQQ539" s="268"/>
      <c r="QQR539" s="268"/>
      <c r="QQS539" s="268"/>
      <c r="QQT539" s="268"/>
      <c r="QQU539" s="268"/>
      <c r="QQV539" s="268"/>
      <c r="QQW539" s="268"/>
      <c r="QQX539" s="268"/>
      <c r="QQY539" s="268"/>
      <c r="QQZ539" s="268"/>
      <c r="QRA539" s="268"/>
      <c r="QRB539" s="268"/>
      <c r="QRC539" s="268"/>
      <c r="QRD539" s="268"/>
      <c r="QRE539" s="268"/>
      <c r="QRF539" s="268"/>
      <c r="QRG539" s="268"/>
      <c r="QRH539" s="268"/>
      <c r="QRI539" s="268"/>
      <c r="QRJ539" s="268"/>
      <c r="QRK539" s="268"/>
      <c r="QRL539" s="268"/>
      <c r="QRM539" s="268"/>
      <c r="QRN539" s="268"/>
      <c r="QRO539" s="268"/>
      <c r="QRP539" s="268"/>
      <c r="QRQ539" s="268"/>
      <c r="QRR539" s="268"/>
      <c r="QRS539" s="268"/>
      <c r="QRT539" s="268"/>
      <c r="QRU539" s="268"/>
      <c r="QRV539" s="268"/>
      <c r="QRW539" s="268"/>
      <c r="QRX539" s="268"/>
      <c r="QRY539" s="268"/>
      <c r="QRZ539" s="268"/>
      <c r="QSA539" s="268"/>
      <c r="QSB539" s="268"/>
      <c r="QSC539" s="268"/>
      <c r="QSD539" s="268"/>
      <c r="QSE539" s="268"/>
      <c r="QSF539" s="268"/>
      <c r="QSG539" s="268"/>
      <c r="QSH539" s="268"/>
      <c r="QSI539" s="268"/>
      <c r="QSJ539" s="268"/>
      <c r="QSK539" s="268"/>
      <c r="QSL539" s="268"/>
      <c r="QSM539" s="268"/>
      <c r="QSN539" s="268"/>
      <c r="QSO539" s="268"/>
      <c r="QSP539" s="268"/>
      <c r="QSQ539" s="268"/>
      <c r="QSR539" s="268"/>
      <c r="QSS539" s="268"/>
      <c r="QST539" s="268"/>
      <c r="QSU539" s="268"/>
      <c r="QSV539" s="268"/>
      <c r="QSW539" s="268"/>
      <c r="QSX539" s="268"/>
      <c r="QSY539" s="268"/>
      <c r="QSZ539" s="268"/>
      <c r="QTA539" s="268"/>
      <c r="QTB539" s="268"/>
      <c r="QTC539" s="268"/>
      <c r="QTD539" s="268"/>
      <c r="QTE539" s="268"/>
      <c r="QTF539" s="268"/>
      <c r="QTG539" s="268"/>
      <c r="QTH539" s="268"/>
      <c r="QTI539" s="268"/>
      <c r="QTJ539" s="268"/>
      <c r="QTK539" s="268"/>
      <c r="QTY539" s="268"/>
      <c r="QTZ539" s="268"/>
      <c r="QUA539" s="268"/>
      <c r="QUO539" s="268"/>
      <c r="QUQ539" s="268"/>
      <c r="QUR539" s="268"/>
      <c r="QUS539" s="268"/>
      <c r="QUT539" s="268"/>
      <c r="QUU539" s="268"/>
      <c r="QUV539" s="268"/>
      <c r="QUW539" s="268"/>
      <c r="QUX539" s="268"/>
      <c r="QUY539" s="268"/>
      <c r="QUZ539" s="268"/>
      <c r="QVA539" s="268"/>
      <c r="QVB539" s="268"/>
      <c r="QVC539" s="268"/>
      <c r="QVD539" s="268"/>
      <c r="QVE539" s="268"/>
      <c r="QVF539" s="268"/>
      <c r="QVG539" s="268"/>
      <c r="QVH539" s="268"/>
      <c r="QVI539" s="268"/>
      <c r="QVJ539" s="268"/>
      <c r="QVK539" s="268"/>
      <c r="QVL539" s="268"/>
      <c r="QVM539" s="268"/>
      <c r="QVN539" s="268"/>
      <c r="QVO539" s="268"/>
      <c r="QVP539" s="268"/>
      <c r="QVQ539" s="268"/>
      <c r="QVR539" s="268"/>
      <c r="QVS539" s="268"/>
      <c r="QVT539" s="268"/>
      <c r="QVU539" s="268"/>
      <c r="QVV539" s="268"/>
      <c r="QVW539" s="268"/>
      <c r="QVX539" s="268"/>
      <c r="QVY539" s="268"/>
      <c r="QVZ539" s="268"/>
      <c r="QWA539" s="268"/>
      <c r="QWB539" s="268"/>
      <c r="QWC539" s="268"/>
      <c r="QWD539" s="268"/>
      <c r="QWE539" s="268"/>
      <c r="QWF539" s="268"/>
      <c r="QWG539" s="268"/>
      <c r="QWH539" s="268"/>
      <c r="QWI539" s="268"/>
      <c r="QWJ539" s="268"/>
      <c r="QWK539" s="268"/>
      <c r="QWL539" s="268"/>
      <c r="QWM539" s="268"/>
      <c r="QWN539" s="268"/>
      <c r="QWO539" s="268"/>
      <c r="QWP539" s="268"/>
      <c r="QWQ539" s="268"/>
      <c r="QWR539" s="268"/>
      <c r="QWS539" s="268"/>
      <c r="QWT539" s="268"/>
      <c r="QWU539" s="268"/>
      <c r="QWV539" s="268"/>
      <c r="QWW539" s="268"/>
      <c r="QWX539" s="268"/>
      <c r="QWY539" s="268"/>
      <c r="QWZ539" s="268"/>
      <c r="QXA539" s="268"/>
      <c r="QXB539" s="268"/>
      <c r="QXC539" s="268"/>
      <c r="QXD539" s="268"/>
      <c r="QXE539" s="268"/>
      <c r="QXF539" s="268"/>
      <c r="QXG539" s="268"/>
      <c r="QXH539" s="268"/>
      <c r="QXI539" s="268"/>
      <c r="QXJ539" s="268"/>
      <c r="QXK539" s="268"/>
      <c r="QXL539" s="268"/>
      <c r="QXM539" s="268"/>
      <c r="QXN539" s="268"/>
      <c r="QXO539" s="268"/>
      <c r="QXP539" s="268"/>
      <c r="QXQ539" s="268"/>
      <c r="QXR539" s="268"/>
      <c r="QXS539" s="268"/>
      <c r="QXT539" s="268"/>
      <c r="QXU539" s="268"/>
      <c r="QXV539" s="268"/>
      <c r="QXW539" s="268"/>
      <c r="QXX539" s="268"/>
      <c r="QXY539" s="268"/>
      <c r="QXZ539" s="268"/>
      <c r="QYA539" s="268"/>
      <c r="QYB539" s="268"/>
      <c r="QYC539" s="268"/>
      <c r="QYD539" s="268"/>
      <c r="QYE539" s="268"/>
      <c r="QYF539" s="268"/>
      <c r="QYG539" s="268"/>
      <c r="QYH539" s="268"/>
      <c r="QYI539" s="268"/>
      <c r="QYJ539" s="268"/>
      <c r="QYK539" s="268"/>
      <c r="QYL539" s="268"/>
      <c r="QYM539" s="268"/>
      <c r="QYN539" s="268"/>
      <c r="QYO539" s="268"/>
      <c r="QYP539" s="268"/>
      <c r="QYQ539" s="268"/>
      <c r="QYR539" s="268"/>
      <c r="QYS539" s="268"/>
      <c r="QYT539" s="268"/>
      <c r="QYU539" s="268"/>
      <c r="QYV539" s="268"/>
      <c r="QYW539" s="268"/>
      <c r="QYX539" s="268"/>
      <c r="QYY539" s="268"/>
      <c r="QYZ539" s="268"/>
      <c r="QZA539" s="268"/>
      <c r="QZB539" s="268"/>
      <c r="QZC539" s="268"/>
      <c r="QZD539" s="268"/>
      <c r="QZE539" s="268"/>
      <c r="QZF539" s="268"/>
      <c r="QZG539" s="268"/>
      <c r="QZH539" s="268"/>
      <c r="QZI539" s="268"/>
      <c r="QZJ539" s="268"/>
      <c r="QZK539" s="268"/>
      <c r="QZL539" s="268"/>
      <c r="QZM539" s="268"/>
      <c r="QZN539" s="268"/>
      <c r="QZO539" s="268"/>
      <c r="QZP539" s="268"/>
      <c r="QZQ539" s="268"/>
      <c r="QZR539" s="268"/>
      <c r="QZS539" s="268"/>
      <c r="QZT539" s="268"/>
      <c r="QZU539" s="268"/>
      <c r="QZV539" s="268"/>
      <c r="QZW539" s="268"/>
      <c r="QZX539" s="268"/>
      <c r="QZY539" s="268"/>
      <c r="QZZ539" s="268"/>
      <c r="RAA539" s="268"/>
      <c r="RAB539" s="268"/>
      <c r="RAC539" s="268"/>
      <c r="RAD539" s="268"/>
      <c r="RAE539" s="268"/>
      <c r="RAF539" s="268"/>
      <c r="RAG539" s="268"/>
      <c r="RAH539" s="268"/>
      <c r="RAI539" s="268"/>
      <c r="RAJ539" s="268"/>
      <c r="RAK539" s="268"/>
      <c r="RAL539" s="268"/>
      <c r="RAM539" s="268"/>
      <c r="RAN539" s="268"/>
      <c r="RAO539" s="268"/>
      <c r="RAP539" s="268"/>
      <c r="RAQ539" s="268"/>
      <c r="RAR539" s="268"/>
      <c r="RAS539" s="268"/>
      <c r="RAT539" s="268"/>
      <c r="RAU539" s="268"/>
      <c r="RAV539" s="268"/>
      <c r="RAW539" s="268"/>
      <c r="RAX539" s="268"/>
      <c r="RAY539" s="268"/>
      <c r="RAZ539" s="268"/>
      <c r="RBA539" s="268"/>
      <c r="RBB539" s="268"/>
      <c r="RBC539" s="268"/>
      <c r="RBD539" s="268"/>
      <c r="RBE539" s="268"/>
      <c r="RBF539" s="268"/>
      <c r="RBG539" s="268"/>
      <c r="RBH539" s="268"/>
      <c r="RBI539" s="268"/>
      <c r="RBJ539" s="268"/>
      <c r="RBK539" s="268"/>
      <c r="RBL539" s="268"/>
      <c r="RBM539" s="268"/>
      <c r="RBN539" s="268"/>
      <c r="RBO539" s="268"/>
      <c r="RBP539" s="268"/>
      <c r="RBQ539" s="268"/>
      <c r="RBR539" s="268"/>
      <c r="RBS539" s="268"/>
      <c r="RBT539" s="268"/>
      <c r="RBU539" s="268"/>
      <c r="RBV539" s="268"/>
      <c r="RBW539" s="268"/>
      <c r="RBX539" s="268"/>
      <c r="RBY539" s="268"/>
      <c r="RBZ539" s="268"/>
      <c r="RCA539" s="268"/>
      <c r="RCB539" s="268"/>
      <c r="RCC539" s="268"/>
      <c r="RCD539" s="268"/>
      <c r="RCE539" s="268"/>
      <c r="RCF539" s="268"/>
      <c r="RCG539" s="268"/>
      <c r="RCH539" s="268"/>
      <c r="RCI539" s="268"/>
      <c r="RCJ539" s="268"/>
      <c r="RCK539" s="268"/>
      <c r="RCL539" s="268"/>
      <c r="RCM539" s="268"/>
      <c r="RCN539" s="268"/>
      <c r="RCO539" s="268"/>
      <c r="RCP539" s="268"/>
      <c r="RCQ539" s="268"/>
      <c r="RCR539" s="268"/>
      <c r="RCS539" s="268"/>
      <c r="RCT539" s="268"/>
      <c r="RCU539" s="268"/>
      <c r="RCV539" s="268"/>
      <c r="RCW539" s="268"/>
      <c r="RCX539" s="268"/>
      <c r="RCY539" s="268"/>
      <c r="RCZ539" s="268"/>
      <c r="RDA539" s="268"/>
      <c r="RDB539" s="268"/>
      <c r="RDC539" s="268"/>
      <c r="RDD539" s="268"/>
      <c r="RDE539" s="268"/>
      <c r="RDF539" s="268"/>
      <c r="RDG539" s="268"/>
      <c r="RDU539" s="268"/>
      <c r="RDV539" s="268"/>
      <c r="RDW539" s="268"/>
      <c r="REK539" s="268"/>
      <c r="REM539" s="268"/>
      <c r="REN539" s="268"/>
      <c r="REO539" s="268"/>
      <c r="REP539" s="268"/>
      <c r="REQ539" s="268"/>
      <c r="RER539" s="268"/>
      <c r="RES539" s="268"/>
      <c r="RET539" s="268"/>
      <c r="REU539" s="268"/>
      <c r="REV539" s="268"/>
      <c r="REW539" s="268"/>
      <c r="REX539" s="268"/>
      <c r="REY539" s="268"/>
      <c r="REZ539" s="268"/>
      <c r="RFA539" s="268"/>
      <c r="RFB539" s="268"/>
      <c r="RFC539" s="268"/>
      <c r="RFD539" s="268"/>
      <c r="RFE539" s="268"/>
      <c r="RFF539" s="268"/>
      <c r="RFG539" s="268"/>
      <c r="RFH539" s="268"/>
      <c r="RFI539" s="268"/>
      <c r="RFJ539" s="268"/>
      <c r="RFK539" s="268"/>
      <c r="RFL539" s="268"/>
      <c r="RFM539" s="268"/>
      <c r="RFN539" s="268"/>
      <c r="RFO539" s="268"/>
      <c r="RFP539" s="268"/>
      <c r="RFQ539" s="268"/>
      <c r="RFR539" s="268"/>
      <c r="RFS539" s="268"/>
      <c r="RFT539" s="268"/>
      <c r="RFU539" s="268"/>
      <c r="RFV539" s="268"/>
      <c r="RFW539" s="268"/>
      <c r="RFX539" s="268"/>
      <c r="RFY539" s="268"/>
      <c r="RFZ539" s="268"/>
      <c r="RGA539" s="268"/>
      <c r="RGB539" s="268"/>
      <c r="RGC539" s="268"/>
      <c r="RGD539" s="268"/>
      <c r="RGE539" s="268"/>
      <c r="RGF539" s="268"/>
      <c r="RGG539" s="268"/>
      <c r="RGH539" s="268"/>
      <c r="RGI539" s="268"/>
      <c r="RGJ539" s="268"/>
      <c r="RGK539" s="268"/>
      <c r="RGL539" s="268"/>
      <c r="RGM539" s="268"/>
      <c r="RGN539" s="268"/>
      <c r="RGO539" s="268"/>
      <c r="RGP539" s="268"/>
      <c r="RGQ539" s="268"/>
      <c r="RGR539" s="268"/>
      <c r="RGS539" s="268"/>
      <c r="RGT539" s="268"/>
      <c r="RGU539" s="268"/>
      <c r="RGV539" s="268"/>
      <c r="RGW539" s="268"/>
      <c r="RGX539" s="268"/>
      <c r="RGY539" s="268"/>
      <c r="RGZ539" s="268"/>
      <c r="RHA539" s="268"/>
      <c r="RHB539" s="268"/>
      <c r="RHC539" s="268"/>
      <c r="RHD539" s="268"/>
      <c r="RHE539" s="268"/>
      <c r="RHF539" s="268"/>
      <c r="RHG539" s="268"/>
      <c r="RHH539" s="268"/>
      <c r="RHI539" s="268"/>
      <c r="RHJ539" s="268"/>
      <c r="RHK539" s="268"/>
      <c r="RHL539" s="268"/>
      <c r="RHM539" s="268"/>
      <c r="RHN539" s="268"/>
      <c r="RHO539" s="268"/>
      <c r="RHP539" s="268"/>
      <c r="RHQ539" s="268"/>
      <c r="RHR539" s="268"/>
      <c r="RHS539" s="268"/>
      <c r="RHT539" s="268"/>
      <c r="RHU539" s="268"/>
      <c r="RHV539" s="268"/>
      <c r="RHW539" s="268"/>
      <c r="RHX539" s="268"/>
      <c r="RHY539" s="268"/>
      <c r="RHZ539" s="268"/>
      <c r="RIA539" s="268"/>
      <c r="RIB539" s="268"/>
      <c r="RIC539" s="268"/>
      <c r="RID539" s="268"/>
      <c r="RIE539" s="268"/>
      <c r="RIF539" s="268"/>
      <c r="RIG539" s="268"/>
      <c r="RIH539" s="268"/>
      <c r="RII539" s="268"/>
      <c r="RIJ539" s="268"/>
      <c r="RIK539" s="268"/>
      <c r="RIL539" s="268"/>
      <c r="RIM539" s="268"/>
      <c r="RIN539" s="268"/>
      <c r="RIO539" s="268"/>
      <c r="RIP539" s="268"/>
      <c r="RIQ539" s="268"/>
      <c r="RIR539" s="268"/>
      <c r="RIS539" s="268"/>
      <c r="RIT539" s="268"/>
      <c r="RIU539" s="268"/>
      <c r="RIV539" s="268"/>
      <c r="RIW539" s="268"/>
      <c r="RIX539" s="268"/>
      <c r="RIY539" s="268"/>
      <c r="RIZ539" s="268"/>
      <c r="RJA539" s="268"/>
      <c r="RJB539" s="268"/>
      <c r="RJC539" s="268"/>
      <c r="RJD539" s="268"/>
      <c r="RJE539" s="268"/>
      <c r="RJF539" s="268"/>
      <c r="RJG539" s="268"/>
      <c r="RJH539" s="268"/>
      <c r="RJI539" s="268"/>
      <c r="RJJ539" s="268"/>
      <c r="RJK539" s="268"/>
      <c r="RJL539" s="268"/>
      <c r="RJM539" s="268"/>
      <c r="RJN539" s="268"/>
      <c r="RJO539" s="268"/>
      <c r="RJP539" s="268"/>
      <c r="RJQ539" s="268"/>
      <c r="RJR539" s="268"/>
      <c r="RJS539" s="268"/>
      <c r="RJT539" s="268"/>
      <c r="RJU539" s="268"/>
      <c r="RJV539" s="268"/>
      <c r="RJW539" s="268"/>
      <c r="RJX539" s="268"/>
      <c r="RJY539" s="268"/>
      <c r="RJZ539" s="268"/>
      <c r="RKA539" s="268"/>
      <c r="RKB539" s="268"/>
      <c r="RKC539" s="268"/>
      <c r="RKD539" s="268"/>
      <c r="RKE539" s="268"/>
      <c r="RKF539" s="268"/>
      <c r="RKG539" s="268"/>
      <c r="RKH539" s="268"/>
      <c r="RKI539" s="268"/>
      <c r="RKJ539" s="268"/>
      <c r="RKK539" s="268"/>
      <c r="RKL539" s="268"/>
      <c r="RKM539" s="268"/>
      <c r="RKN539" s="268"/>
      <c r="RKO539" s="268"/>
      <c r="RKP539" s="268"/>
      <c r="RKQ539" s="268"/>
      <c r="RKR539" s="268"/>
      <c r="RKS539" s="268"/>
      <c r="RKT539" s="268"/>
      <c r="RKU539" s="268"/>
      <c r="RKV539" s="268"/>
      <c r="RKW539" s="268"/>
      <c r="RKX539" s="268"/>
      <c r="RKY539" s="268"/>
      <c r="RKZ539" s="268"/>
      <c r="RLA539" s="268"/>
      <c r="RLB539" s="268"/>
      <c r="RLC539" s="268"/>
      <c r="RLD539" s="268"/>
      <c r="RLE539" s="268"/>
      <c r="RLF539" s="268"/>
      <c r="RLG539" s="268"/>
      <c r="RLH539" s="268"/>
      <c r="RLI539" s="268"/>
      <c r="RLJ539" s="268"/>
      <c r="RLK539" s="268"/>
      <c r="RLL539" s="268"/>
      <c r="RLM539" s="268"/>
      <c r="RLN539" s="268"/>
      <c r="RLO539" s="268"/>
      <c r="RLP539" s="268"/>
      <c r="RLQ539" s="268"/>
      <c r="RLR539" s="268"/>
      <c r="RLS539" s="268"/>
      <c r="RLT539" s="268"/>
      <c r="RLU539" s="268"/>
      <c r="RLV539" s="268"/>
      <c r="RLW539" s="268"/>
      <c r="RLX539" s="268"/>
      <c r="RLY539" s="268"/>
      <c r="RLZ539" s="268"/>
      <c r="RMA539" s="268"/>
      <c r="RMB539" s="268"/>
      <c r="RMC539" s="268"/>
      <c r="RMD539" s="268"/>
      <c r="RME539" s="268"/>
      <c r="RMF539" s="268"/>
      <c r="RMG539" s="268"/>
      <c r="RMH539" s="268"/>
      <c r="RMI539" s="268"/>
      <c r="RMJ539" s="268"/>
      <c r="RMK539" s="268"/>
      <c r="RML539" s="268"/>
      <c r="RMM539" s="268"/>
      <c r="RMN539" s="268"/>
      <c r="RMO539" s="268"/>
      <c r="RMP539" s="268"/>
      <c r="RMQ539" s="268"/>
      <c r="RMR539" s="268"/>
      <c r="RMS539" s="268"/>
      <c r="RMT539" s="268"/>
      <c r="RMU539" s="268"/>
      <c r="RMV539" s="268"/>
      <c r="RMW539" s="268"/>
      <c r="RMX539" s="268"/>
      <c r="RMY539" s="268"/>
      <c r="RMZ539" s="268"/>
      <c r="RNA539" s="268"/>
      <c r="RNB539" s="268"/>
      <c r="RNC539" s="268"/>
      <c r="RNQ539" s="268"/>
      <c r="RNR539" s="268"/>
      <c r="RNS539" s="268"/>
      <c r="ROG539" s="268"/>
      <c r="ROI539" s="268"/>
      <c r="ROJ539" s="268"/>
      <c r="ROK539" s="268"/>
      <c r="ROL539" s="268"/>
      <c r="ROM539" s="268"/>
      <c r="RON539" s="268"/>
      <c r="ROO539" s="268"/>
      <c r="ROP539" s="268"/>
      <c r="ROQ539" s="268"/>
      <c r="ROR539" s="268"/>
      <c r="ROS539" s="268"/>
      <c r="ROT539" s="268"/>
      <c r="ROU539" s="268"/>
      <c r="ROV539" s="268"/>
      <c r="ROW539" s="268"/>
      <c r="ROX539" s="268"/>
      <c r="ROY539" s="268"/>
      <c r="ROZ539" s="268"/>
      <c r="RPA539" s="268"/>
      <c r="RPB539" s="268"/>
      <c r="RPC539" s="268"/>
      <c r="RPD539" s="268"/>
      <c r="RPE539" s="268"/>
      <c r="RPF539" s="268"/>
      <c r="RPG539" s="268"/>
      <c r="RPH539" s="268"/>
      <c r="RPI539" s="268"/>
      <c r="RPJ539" s="268"/>
      <c r="RPK539" s="268"/>
      <c r="RPL539" s="268"/>
      <c r="RPM539" s="268"/>
      <c r="RPN539" s="268"/>
      <c r="RPO539" s="268"/>
      <c r="RPP539" s="268"/>
      <c r="RPQ539" s="268"/>
      <c r="RPR539" s="268"/>
      <c r="RPS539" s="268"/>
      <c r="RPT539" s="268"/>
      <c r="RPU539" s="268"/>
      <c r="RPV539" s="268"/>
      <c r="RPW539" s="268"/>
      <c r="RPX539" s="268"/>
      <c r="RPY539" s="268"/>
      <c r="RPZ539" s="268"/>
      <c r="RQA539" s="268"/>
      <c r="RQB539" s="268"/>
      <c r="RQC539" s="268"/>
      <c r="RQD539" s="268"/>
      <c r="RQE539" s="268"/>
      <c r="RQF539" s="268"/>
      <c r="RQG539" s="268"/>
      <c r="RQH539" s="268"/>
      <c r="RQI539" s="268"/>
      <c r="RQJ539" s="268"/>
      <c r="RQK539" s="268"/>
      <c r="RQL539" s="268"/>
      <c r="RQM539" s="268"/>
      <c r="RQN539" s="268"/>
      <c r="RQO539" s="268"/>
      <c r="RQP539" s="268"/>
      <c r="RQQ539" s="268"/>
      <c r="RQR539" s="268"/>
      <c r="RQS539" s="268"/>
      <c r="RQT539" s="268"/>
      <c r="RQU539" s="268"/>
      <c r="RQV539" s="268"/>
      <c r="RQW539" s="268"/>
      <c r="RQX539" s="268"/>
      <c r="RQY539" s="268"/>
      <c r="RQZ539" s="268"/>
      <c r="RRA539" s="268"/>
      <c r="RRB539" s="268"/>
      <c r="RRC539" s="268"/>
      <c r="RRD539" s="268"/>
      <c r="RRE539" s="268"/>
      <c r="RRF539" s="268"/>
      <c r="RRG539" s="268"/>
      <c r="RRH539" s="268"/>
      <c r="RRI539" s="268"/>
      <c r="RRJ539" s="268"/>
      <c r="RRK539" s="268"/>
      <c r="RRL539" s="268"/>
      <c r="RRM539" s="268"/>
      <c r="RRN539" s="268"/>
      <c r="RRO539" s="268"/>
      <c r="RRP539" s="268"/>
      <c r="RRQ539" s="268"/>
      <c r="RRR539" s="268"/>
      <c r="RRS539" s="268"/>
      <c r="RRT539" s="268"/>
      <c r="RRU539" s="268"/>
      <c r="RRV539" s="268"/>
      <c r="RRW539" s="268"/>
      <c r="RRX539" s="268"/>
      <c r="RRY539" s="268"/>
      <c r="RRZ539" s="268"/>
      <c r="RSA539" s="268"/>
      <c r="RSB539" s="268"/>
      <c r="RSC539" s="268"/>
      <c r="RSD539" s="268"/>
      <c r="RSE539" s="268"/>
      <c r="RSF539" s="268"/>
      <c r="RSG539" s="268"/>
      <c r="RSH539" s="268"/>
      <c r="RSI539" s="268"/>
      <c r="RSJ539" s="268"/>
      <c r="RSK539" s="268"/>
      <c r="RSL539" s="268"/>
      <c r="RSM539" s="268"/>
      <c r="RSN539" s="268"/>
      <c r="RSO539" s="268"/>
      <c r="RSP539" s="268"/>
      <c r="RSQ539" s="268"/>
      <c r="RSR539" s="268"/>
      <c r="RSS539" s="268"/>
      <c r="RST539" s="268"/>
      <c r="RSU539" s="268"/>
      <c r="RSV539" s="268"/>
      <c r="RSW539" s="268"/>
      <c r="RSX539" s="268"/>
      <c r="RSY539" s="268"/>
      <c r="RSZ539" s="268"/>
      <c r="RTA539" s="268"/>
      <c r="RTB539" s="268"/>
      <c r="RTC539" s="268"/>
      <c r="RTD539" s="268"/>
      <c r="RTE539" s="268"/>
      <c r="RTF539" s="268"/>
      <c r="RTG539" s="268"/>
      <c r="RTH539" s="268"/>
      <c r="RTI539" s="268"/>
      <c r="RTJ539" s="268"/>
      <c r="RTK539" s="268"/>
      <c r="RTL539" s="268"/>
      <c r="RTM539" s="268"/>
      <c r="RTN539" s="268"/>
      <c r="RTO539" s="268"/>
      <c r="RTP539" s="268"/>
      <c r="RTQ539" s="268"/>
      <c r="RTR539" s="268"/>
      <c r="RTS539" s="268"/>
      <c r="RTT539" s="268"/>
      <c r="RTU539" s="268"/>
      <c r="RTV539" s="268"/>
      <c r="RTW539" s="268"/>
      <c r="RTX539" s="268"/>
      <c r="RTY539" s="268"/>
      <c r="RTZ539" s="268"/>
      <c r="RUA539" s="268"/>
      <c r="RUB539" s="268"/>
      <c r="RUC539" s="268"/>
      <c r="RUD539" s="268"/>
      <c r="RUE539" s="268"/>
      <c r="RUF539" s="268"/>
      <c r="RUG539" s="268"/>
      <c r="RUH539" s="268"/>
      <c r="RUI539" s="268"/>
      <c r="RUJ539" s="268"/>
      <c r="RUK539" s="268"/>
      <c r="RUL539" s="268"/>
      <c r="RUM539" s="268"/>
      <c r="RUN539" s="268"/>
      <c r="RUO539" s="268"/>
      <c r="RUP539" s="268"/>
      <c r="RUQ539" s="268"/>
      <c r="RUR539" s="268"/>
      <c r="RUS539" s="268"/>
      <c r="RUT539" s="268"/>
      <c r="RUU539" s="268"/>
      <c r="RUV539" s="268"/>
      <c r="RUW539" s="268"/>
      <c r="RUX539" s="268"/>
      <c r="RUY539" s="268"/>
      <c r="RUZ539" s="268"/>
      <c r="RVA539" s="268"/>
      <c r="RVB539" s="268"/>
      <c r="RVC539" s="268"/>
      <c r="RVD539" s="268"/>
      <c r="RVE539" s="268"/>
      <c r="RVF539" s="268"/>
      <c r="RVG539" s="268"/>
      <c r="RVH539" s="268"/>
      <c r="RVI539" s="268"/>
      <c r="RVJ539" s="268"/>
      <c r="RVK539" s="268"/>
      <c r="RVL539" s="268"/>
      <c r="RVM539" s="268"/>
      <c r="RVN539" s="268"/>
      <c r="RVO539" s="268"/>
      <c r="RVP539" s="268"/>
      <c r="RVQ539" s="268"/>
      <c r="RVR539" s="268"/>
      <c r="RVS539" s="268"/>
      <c r="RVT539" s="268"/>
      <c r="RVU539" s="268"/>
      <c r="RVV539" s="268"/>
      <c r="RVW539" s="268"/>
      <c r="RVX539" s="268"/>
      <c r="RVY539" s="268"/>
      <c r="RVZ539" s="268"/>
      <c r="RWA539" s="268"/>
      <c r="RWB539" s="268"/>
      <c r="RWC539" s="268"/>
      <c r="RWD539" s="268"/>
      <c r="RWE539" s="268"/>
      <c r="RWF539" s="268"/>
      <c r="RWG539" s="268"/>
      <c r="RWH539" s="268"/>
      <c r="RWI539" s="268"/>
      <c r="RWJ539" s="268"/>
      <c r="RWK539" s="268"/>
      <c r="RWL539" s="268"/>
      <c r="RWM539" s="268"/>
      <c r="RWN539" s="268"/>
      <c r="RWO539" s="268"/>
      <c r="RWP539" s="268"/>
      <c r="RWQ539" s="268"/>
      <c r="RWR539" s="268"/>
      <c r="RWS539" s="268"/>
      <c r="RWT539" s="268"/>
      <c r="RWU539" s="268"/>
      <c r="RWV539" s="268"/>
      <c r="RWW539" s="268"/>
      <c r="RWX539" s="268"/>
      <c r="RWY539" s="268"/>
      <c r="RXM539" s="268"/>
      <c r="RXN539" s="268"/>
      <c r="RXO539" s="268"/>
      <c r="RYC539" s="268"/>
      <c r="RYE539" s="268"/>
      <c r="RYF539" s="268"/>
      <c r="RYG539" s="268"/>
      <c r="RYH539" s="268"/>
      <c r="RYI539" s="268"/>
      <c r="RYJ539" s="268"/>
      <c r="RYK539" s="268"/>
      <c r="RYL539" s="268"/>
      <c r="RYM539" s="268"/>
      <c r="RYN539" s="268"/>
      <c r="RYO539" s="268"/>
      <c r="RYP539" s="268"/>
      <c r="RYQ539" s="268"/>
      <c r="RYR539" s="268"/>
      <c r="RYS539" s="268"/>
      <c r="RYT539" s="268"/>
      <c r="RYU539" s="268"/>
      <c r="RYV539" s="268"/>
      <c r="RYW539" s="268"/>
      <c r="RYX539" s="268"/>
      <c r="RYY539" s="268"/>
      <c r="RYZ539" s="268"/>
      <c r="RZA539" s="268"/>
      <c r="RZB539" s="268"/>
      <c r="RZC539" s="268"/>
      <c r="RZD539" s="268"/>
      <c r="RZE539" s="268"/>
      <c r="RZF539" s="268"/>
      <c r="RZG539" s="268"/>
      <c r="RZH539" s="268"/>
      <c r="RZI539" s="268"/>
      <c r="RZJ539" s="268"/>
      <c r="RZK539" s="268"/>
      <c r="RZL539" s="268"/>
      <c r="RZM539" s="268"/>
      <c r="RZN539" s="268"/>
      <c r="RZO539" s="268"/>
      <c r="RZP539" s="268"/>
      <c r="RZQ539" s="268"/>
      <c r="RZR539" s="268"/>
      <c r="RZS539" s="268"/>
      <c r="RZT539" s="268"/>
      <c r="RZU539" s="268"/>
      <c r="RZV539" s="268"/>
      <c r="RZW539" s="268"/>
      <c r="RZX539" s="268"/>
      <c r="RZY539" s="268"/>
      <c r="RZZ539" s="268"/>
      <c r="SAA539" s="268"/>
      <c r="SAB539" s="268"/>
      <c r="SAC539" s="268"/>
      <c r="SAD539" s="268"/>
      <c r="SAE539" s="268"/>
      <c r="SAF539" s="268"/>
      <c r="SAG539" s="268"/>
      <c r="SAH539" s="268"/>
      <c r="SAI539" s="268"/>
      <c r="SAJ539" s="268"/>
      <c r="SAK539" s="268"/>
      <c r="SAL539" s="268"/>
      <c r="SAM539" s="268"/>
      <c r="SAN539" s="268"/>
      <c r="SAO539" s="268"/>
      <c r="SAP539" s="268"/>
      <c r="SAQ539" s="268"/>
      <c r="SAR539" s="268"/>
      <c r="SAS539" s="268"/>
      <c r="SAT539" s="268"/>
      <c r="SAU539" s="268"/>
      <c r="SAV539" s="268"/>
      <c r="SAW539" s="268"/>
      <c r="SAX539" s="268"/>
      <c r="SAY539" s="268"/>
      <c r="SAZ539" s="268"/>
      <c r="SBA539" s="268"/>
      <c r="SBB539" s="268"/>
      <c r="SBC539" s="268"/>
      <c r="SBD539" s="268"/>
      <c r="SBE539" s="268"/>
      <c r="SBF539" s="268"/>
      <c r="SBG539" s="268"/>
      <c r="SBH539" s="268"/>
      <c r="SBI539" s="268"/>
      <c r="SBJ539" s="268"/>
      <c r="SBK539" s="268"/>
      <c r="SBL539" s="268"/>
      <c r="SBM539" s="268"/>
      <c r="SBN539" s="268"/>
      <c r="SBO539" s="268"/>
      <c r="SBP539" s="268"/>
      <c r="SBQ539" s="268"/>
      <c r="SBR539" s="268"/>
      <c r="SBS539" s="268"/>
      <c r="SBT539" s="268"/>
      <c r="SBU539" s="268"/>
      <c r="SBV539" s="268"/>
      <c r="SBW539" s="268"/>
      <c r="SBX539" s="268"/>
      <c r="SBY539" s="268"/>
      <c r="SBZ539" s="268"/>
      <c r="SCA539" s="268"/>
      <c r="SCB539" s="268"/>
      <c r="SCC539" s="268"/>
      <c r="SCD539" s="268"/>
      <c r="SCE539" s="268"/>
      <c r="SCF539" s="268"/>
      <c r="SCG539" s="268"/>
      <c r="SCH539" s="268"/>
      <c r="SCI539" s="268"/>
      <c r="SCJ539" s="268"/>
      <c r="SCK539" s="268"/>
      <c r="SCL539" s="268"/>
      <c r="SCM539" s="268"/>
      <c r="SCN539" s="268"/>
      <c r="SCO539" s="268"/>
      <c r="SCP539" s="268"/>
      <c r="SCQ539" s="268"/>
      <c r="SCR539" s="268"/>
      <c r="SCS539" s="268"/>
      <c r="SCT539" s="268"/>
      <c r="SCU539" s="268"/>
      <c r="SCV539" s="268"/>
      <c r="SCW539" s="268"/>
      <c r="SCX539" s="268"/>
      <c r="SCY539" s="268"/>
      <c r="SCZ539" s="268"/>
      <c r="SDA539" s="268"/>
      <c r="SDB539" s="268"/>
      <c r="SDC539" s="268"/>
      <c r="SDD539" s="268"/>
      <c r="SDE539" s="268"/>
      <c r="SDF539" s="268"/>
      <c r="SDG539" s="268"/>
      <c r="SDH539" s="268"/>
      <c r="SDI539" s="268"/>
      <c r="SDJ539" s="268"/>
      <c r="SDK539" s="268"/>
      <c r="SDL539" s="268"/>
      <c r="SDM539" s="268"/>
      <c r="SDN539" s="268"/>
      <c r="SDO539" s="268"/>
      <c r="SDP539" s="268"/>
      <c r="SDQ539" s="268"/>
      <c r="SDR539" s="268"/>
      <c r="SDS539" s="268"/>
      <c r="SDT539" s="268"/>
      <c r="SDU539" s="268"/>
      <c r="SDV539" s="268"/>
      <c r="SDW539" s="268"/>
      <c r="SDX539" s="268"/>
      <c r="SDY539" s="268"/>
      <c r="SDZ539" s="268"/>
      <c r="SEA539" s="268"/>
      <c r="SEB539" s="268"/>
      <c r="SEC539" s="268"/>
      <c r="SED539" s="268"/>
      <c r="SEE539" s="268"/>
      <c r="SEF539" s="268"/>
      <c r="SEG539" s="268"/>
      <c r="SEH539" s="268"/>
      <c r="SEI539" s="268"/>
      <c r="SEJ539" s="268"/>
      <c r="SEK539" s="268"/>
      <c r="SEL539" s="268"/>
      <c r="SEM539" s="268"/>
      <c r="SEN539" s="268"/>
      <c r="SEO539" s="268"/>
      <c r="SEP539" s="268"/>
      <c r="SEQ539" s="268"/>
      <c r="SER539" s="268"/>
      <c r="SES539" s="268"/>
      <c r="SET539" s="268"/>
      <c r="SEU539" s="268"/>
      <c r="SEV539" s="268"/>
      <c r="SEW539" s="268"/>
      <c r="SEX539" s="268"/>
      <c r="SEY539" s="268"/>
      <c r="SEZ539" s="268"/>
      <c r="SFA539" s="268"/>
      <c r="SFB539" s="268"/>
      <c r="SFC539" s="268"/>
      <c r="SFD539" s="268"/>
      <c r="SFE539" s="268"/>
      <c r="SFF539" s="268"/>
      <c r="SFG539" s="268"/>
      <c r="SFH539" s="268"/>
      <c r="SFI539" s="268"/>
      <c r="SFJ539" s="268"/>
      <c r="SFK539" s="268"/>
      <c r="SFL539" s="268"/>
      <c r="SFM539" s="268"/>
      <c r="SFN539" s="268"/>
      <c r="SFO539" s="268"/>
      <c r="SFP539" s="268"/>
      <c r="SFQ539" s="268"/>
      <c r="SFR539" s="268"/>
      <c r="SFS539" s="268"/>
      <c r="SFT539" s="268"/>
      <c r="SFU539" s="268"/>
      <c r="SFV539" s="268"/>
      <c r="SFW539" s="268"/>
      <c r="SFX539" s="268"/>
      <c r="SFY539" s="268"/>
      <c r="SFZ539" s="268"/>
      <c r="SGA539" s="268"/>
      <c r="SGB539" s="268"/>
      <c r="SGC539" s="268"/>
      <c r="SGD539" s="268"/>
      <c r="SGE539" s="268"/>
      <c r="SGF539" s="268"/>
      <c r="SGG539" s="268"/>
      <c r="SGH539" s="268"/>
      <c r="SGI539" s="268"/>
      <c r="SGJ539" s="268"/>
      <c r="SGK539" s="268"/>
      <c r="SGL539" s="268"/>
      <c r="SGM539" s="268"/>
      <c r="SGN539" s="268"/>
      <c r="SGO539" s="268"/>
      <c r="SGP539" s="268"/>
      <c r="SGQ539" s="268"/>
      <c r="SGR539" s="268"/>
      <c r="SGS539" s="268"/>
      <c r="SGT539" s="268"/>
      <c r="SGU539" s="268"/>
      <c r="SHI539" s="268"/>
      <c r="SHJ539" s="268"/>
      <c r="SHK539" s="268"/>
      <c r="SHY539" s="268"/>
      <c r="SIA539" s="268"/>
      <c r="SIB539" s="268"/>
      <c r="SIC539" s="268"/>
      <c r="SID539" s="268"/>
      <c r="SIE539" s="268"/>
      <c r="SIF539" s="268"/>
      <c r="SIG539" s="268"/>
      <c r="SIH539" s="268"/>
      <c r="SII539" s="268"/>
      <c r="SIJ539" s="268"/>
      <c r="SIK539" s="268"/>
      <c r="SIL539" s="268"/>
      <c r="SIM539" s="268"/>
      <c r="SIN539" s="268"/>
      <c r="SIO539" s="268"/>
      <c r="SIP539" s="268"/>
      <c r="SIQ539" s="268"/>
      <c r="SIR539" s="268"/>
      <c r="SIS539" s="268"/>
      <c r="SIT539" s="268"/>
      <c r="SIU539" s="268"/>
      <c r="SIV539" s="268"/>
      <c r="SIW539" s="268"/>
      <c r="SIX539" s="268"/>
      <c r="SIY539" s="268"/>
      <c r="SIZ539" s="268"/>
      <c r="SJA539" s="268"/>
      <c r="SJB539" s="268"/>
      <c r="SJC539" s="268"/>
      <c r="SJD539" s="268"/>
      <c r="SJE539" s="268"/>
      <c r="SJF539" s="268"/>
      <c r="SJG539" s="268"/>
      <c r="SJH539" s="268"/>
      <c r="SJI539" s="268"/>
      <c r="SJJ539" s="268"/>
      <c r="SJK539" s="268"/>
      <c r="SJL539" s="268"/>
      <c r="SJM539" s="268"/>
      <c r="SJN539" s="268"/>
      <c r="SJO539" s="268"/>
      <c r="SJP539" s="268"/>
      <c r="SJQ539" s="268"/>
      <c r="SJR539" s="268"/>
      <c r="SJS539" s="268"/>
      <c r="SJT539" s="268"/>
      <c r="SJU539" s="268"/>
      <c r="SJV539" s="268"/>
      <c r="SJW539" s="268"/>
      <c r="SJX539" s="268"/>
      <c r="SJY539" s="268"/>
      <c r="SJZ539" s="268"/>
      <c r="SKA539" s="268"/>
      <c r="SKB539" s="268"/>
      <c r="SKC539" s="268"/>
      <c r="SKD539" s="268"/>
      <c r="SKE539" s="268"/>
      <c r="SKF539" s="268"/>
      <c r="SKG539" s="268"/>
      <c r="SKH539" s="268"/>
      <c r="SKI539" s="268"/>
      <c r="SKJ539" s="268"/>
      <c r="SKK539" s="268"/>
      <c r="SKL539" s="268"/>
      <c r="SKM539" s="268"/>
      <c r="SKN539" s="268"/>
      <c r="SKO539" s="268"/>
      <c r="SKP539" s="268"/>
      <c r="SKQ539" s="268"/>
      <c r="SKR539" s="268"/>
      <c r="SKS539" s="268"/>
      <c r="SKT539" s="268"/>
      <c r="SKU539" s="268"/>
      <c r="SKV539" s="268"/>
      <c r="SKW539" s="268"/>
      <c r="SKX539" s="268"/>
      <c r="SKY539" s="268"/>
      <c r="SKZ539" s="268"/>
      <c r="SLA539" s="268"/>
      <c r="SLB539" s="268"/>
      <c r="SLC539" s="268"/>
      <c r="SLD539" s="268"/>
      <c r="SLE539" s="268"/>
      <c r="SLF539" s="268"/>
      <c r="SLG539" s="268"/>
      <c r="SLH539" s="268"/>
      <c r="SLI539" s="268"/>
      <c r="SLJ539" s="268"/>
      <c r="SLK539" s="268"/>
      <c r="SLL539" s="268"/>
      <c r="SLM539" s="268"/>
      <c r="SLN539" s="268"/>
      <c r="SLO539" s="268"/>
      <c r="SLP539" s="268"/>
      <c r="SLQ539" s="268"/>
      <c r="SLR539" s="268"/>
      <c r="SLS539" s="268"/>
      <c r="SLT539" s="268"/>
      <c r="SLU539" s="268"/>
      <c r="SLV539" s="268"/>
      <c r="SLW539" s="268"/>
      <c r="SLX539" s="268"/>
      <c r="SLY539" s="268"/>
      <c r="SLZ539" s="268"/>
      <c r="SMA539" s="268"/>
      <c r="SMB539" s="268"/>
      <c r="SMC539" s="268"/>
      <c r="SMD539" s="268"/>
      <c r="SME539" s="268"/>
      <c r="SMF539" s="268"/>
      <c r="SMG539" s="268"/>
      <c r="SMH539" s="268"/>
      <c r="SMI539" s="268"/>
      <c r="SMJ539" s="268"/>
      <c r="SMK539" s="268"/>
      <c r="SML539" s="268"/>
      <c r="SMM539" s="268"/>
      <c r="SMN539" s="268"/>
      <c r="SMO539" s="268"/>
      <c r="SMP539" s="268"/>
      <c r="SMQ539" s="268"/>
      <c r="SMR539" s="268"/>
      <c r="SMS539" s="268"/>
      <c r="SMT539" s="268"/>
      <c r="SMU539" s="268"/>
      <c r="SMV539" s="268"/>
      <c r="SMW539" s="268"/>
      <c r="SMX539" s="268"/>
      <c r="SMY539" s="268"/>
      <c r="SMZ539" s="268"/>
      <c r="SNA539" s="268"/>
      <c r="SNB539" s="268"/>
      <c r="SNC539" s="268"/>
      <c r="SND539" s="268"/>
      <c r="SNE539" s="268"/>
      <c r="SNF539" s="268"/>
      <c r="SNG539" s="268"/>
      <c r="SNH539" s="268"/>
      <c r="SNI539" s="268"/>
      <c r="SNJ539" s="268"/>
      <c r="SNK539" s="268"/>
      <c r="SNL539" s="268"/>
      <c r="SNM539" s="268"/>
      <c r="SNN539" s="268"/>
      <c r="SNO539" s="268"/>
      <c r="SNP539" s="268"/>
      <c r="SNQ539" s="268"/>
      <c r="SNR539" s="268"/>
      <c r="SNS539" s="268"/>
      <c r="SNT539" s="268"/>
      <c r="SNU539" s="268"/>
      <c r="SNV539" s="268"/>
      <c r="SNW539" s="268"/>
      <c r="SNX539" s="268"/>
      <c r="SNY539" s="268"/>
      <c r="SNZ539" s="268"/>
      <c r="SOA539" s="268"/>
      <c r="SOB539" s="268"/>
      <c r="SOC539" s="268"/>
      <c r="SOD539" s="268"/>
      <c r="SOE539" s="268"/>
      <c r="SOF539" s="268"/>
      <c r="SOG539" s="268"/>
      <c r="SOH539" s="268"/>
      <c r="SOI539" s="268"/>
      <c r="SOJ539" s="268"/>
      <c r="SOK539" s="268"/>
      <c r="SOL539" s="268"/>
      <c r="SOM539" s="268"/>
      <c r="SON539" s="268"/>
      <c r="SOO539" s="268"/>
      <c r="SOP539" s="268"/>
      <c r="SOQ539" s="268"/>
      <c r="SOR539" s="268"/>
      <c r="SOS539" s="268"/>
      <c r="SOT539" s="268"/>
      <c r="SOU539" s="268"/>
      <c r="SOV539" s="268"/>
      <c r="SOW539" s="268"/>
      <c r="SOX539" s="268"/>
      <c r="SOY539" s="268"/>
      <c r="SOZ539" s="268"/>
      <c r="SPA539" s="268"/>
      <c r="SPB539" s="268"/>
      <c r="SPC539" s="268"/>
      <c r="SPD539" s="268"/>
      <c r="SPE539" s="268"/>
      <c r="SPF539" s="268"/>
      <c r="SPG539" s="268"/>
      <c r="SPH539" s="268"/>
      <c r="SPI539" s="268"/>
      <c r="SPJ539" s="268"/>
      <c r="SPK539" s="268"/>
      <c r="SPL539" s="268"/>
      <c r="SPM539" s="268"/>
      <c r="SPN539" s="268"/>
      <c r="SPO539" s="268"/>
      <c r="SPP539" s="268"/>
      <c r="SPQ539" s="268"/>
      <c r="SPR539" s="268"/>
      <c r="SPS539" s="268"/>
      <c r="SPT539" s="268"/>
      <c r="SPU539" s="268"/>
      <c r="SPV539" s="268"/>
      <c r="SPW539" s="268"/>
      <c r="SPX539" s="268"/>
      <c r="SPY539" s="268"/>
      <c r="SPZ539" s="268"/>
      <c r="SQA539" s="268"/>
      <c r="SQB539" s="268"/>
      <c r="SQC539" s="268"/>
      <c r="SQD539" s="268"/>
      <c r="SQE539" s="268"/>
      <c r="SQF539" s="268"/>
      <c r="SQG539" s="268"/>
      <c r="SQH539" s="268"/>
      <c r="SQI539" s="268"/>
      <c r="SQJ539" s="268"/>
      <c r="SQK539" s="268"/>
      <c r="SQL539" s="268"/>
      <c r="SQM539" s="268"/>
      <c r="SQN539" s="268"/>
      <c r="SQO539" s="268"/>
      <c r="SQP539" s="268"/>
      <c r="SQQ539" s="268"/>
      <c r="SRE539" s="268"/>
      <c r="SRF539" s="268"/>
      <c r="SRG539" s="268"/>
      <c r="SRU539" s="268"/>
      <c r="SRW539" s="268"/>
      <c r="SRX539" s="268"/>
      <c r="SRY539" s="268"/>
      <c r="SRZ539" s="268"/>
      <c r="SSA539" s="268"/>
      <c r="SSB539" s="268"/>
      <c r="SSC539" s="268"/>
      <c r="SSD539" s="268"/>
      <c r="SSE539" s="268"/>
      <c r="SSF539" s="268"/>
      <c r="SSG539" s="268"/>
      <c r="SSH539" s="268"/>
      <c r="SSI539" s="268"/>
      <c r="SSJ539" s="268"/>
      <c r="SSK539" s="268"/>
      <c r="SSL539" s="268"/>
      <c r="SSM539" s="268"/>
      <c r="SSN539" s="268"/>
      <c r="SSO539" s="268"/>
      <c r="SSP539" s="268"/>
      <c r="SSQ539" s="268"/>
      <c r="SSR539" s="268"/>
      <c r="SSS539" s="268"/>
      <c r="SST539" s="268"/>
      <c r="SSU539" s="268"/>
      <c r="SSV539" s="268"/>
      <c r="SSW539" s="268"/>
      <c r="SSX539" s="268"/>
      <c r="SSY539" s="268"/>
      <c r="SSZ539" s="268"/>
      <c r="STA539" s="268"/>
      <c r="STB539" s="268"/>
      <c r="STC539" s="268"/>
      <c r="STD539" s="268"/>
      <c r="STE539" s="268"/>
      <c r="STF539" s="268"/>
      <c r="STG539" s="268"/>
      <c r="STH539" s="268"/>
      <c r="STI539" s="268"/>
      <c r="STJ539" s="268"/>
      <c r="STK539" s="268"/>
      <c r="STL539" s="268"/>
      <c r="STM539" s="268"/>
      <c r="STN539" s="268"/>
      <c r="STO539" s="268"/>
      <c r="STP539" s="268"/>
      <c r="STQ539" s="268"/>
      <c r="STR539" s="268"/>
      <c r="STS539" s="268"/>
      <c r="STT539" s="268"/>
      <c r="STU539" s="268"/>
      <c r="STV539" s="268"/>
      <c r="STW539" s="268"/>
      <c r="STX539" s="268"/>
      <c r="STY539" s="268"/>
      <c r="STZ539" s="268"/>
      <c r="SUA539" s="268"/>
      <c r="SUB539" s="268"/>
      <c r="SUC539" s="268"/>
      <c r="SUD539" s="268"/>
      <c r="SUE539" s="268"/>
      <c r="SUF539" s="268"/>
      <c r="SUG539" s="268"/>
      <c r="SUH539" s="268"/>
      <c r="SUI539" s="268"/>
      <c r="SUJ539" s="268"/>
      <c r="SUK539" s="268"/>
      <c r="SUL539" s="268"/>
      <c r="SUM539" s="268"/>
      <c r="SUN539" s="268"/>
      <c r="SUO539" s="268"/>
      <c r="SUP539" s="268"/>
      <c r="SUQ539" s="268"/>
      <c r="SUR539" s="268"/>
      <c r="SUS539" s="268"/>
      <c r="SUT539" s="268"/>
      <c r="SUU539" s="268"/>
      <c r="SUV539" s="268"/>
      <c r="SUW539" s="268"/>
      <c r="SUX539" s="268"/>
      <c r="SUY539" s="268"/>
      <c r="SUZ539" s="268"/>
      <c r="SVA539" s="268"/>
      <c r="SVB539" s="268"/>
      <c r="SVC539" s="268"/>
      <c r="SVD539" s="268"/>
      <c r="SVE539" s="268"/>
      <c r="SVF539" s="268"/>
      <c r="SVG539" s="268"/>
      <c r="SVH539" s="268"/>
      <c r="SVI539" s="268"/>
      <c r="SVJ539" s="268"/>
      <c r="SVK539" s="268"/>
      <c r="SVL539" s="268"/>
      <c r="SVM539" s="268"/>
      <c r="SVN539" s="268"/>
      <c r="SVO539" s="268"/>
      <c r="SVP539" s="268"/>
      <c r="SVQ539" s="268"/>
      <c r="SVR539" s="268"/>
      <c r="SVS539" s="268"/>
      <c r="SVT539" s="268"/>
      <c r="SVU539" s="268"/>
      <c r="SVV539" s="268"/>
      <c r="SVW539" s="268"/>
      <c r="SVX539" s="268"/>
      <c r="SVY539" s="268"/>
      <c r="SVZ539" s="268"/>
      <c r="SWA539" s="268"/>
      <c r="SWB539" s="268"/>
      <c r="SWC539" s="268"/>
      <c r="SWD539" s="268"/>
      <c r="SWE539" s="268"/>
      <c r="SWF539" s="268"/>
      <c r="SWG539" s="268"/>
      <c r="SWH539" s="268"/>
      <c r="SWI539" s="268"/>
      <c r="SWJ539" s="268"/>
      <c r="SWK539" s="268"/>
      <c r="SWL539" s="268"/>
      <c r="SWM539" s="268"/>
      <c r="SWN539" s="268"/>
      <c r="SWO539" s="268"/>
      <c r="SWP539" s="268"/>
      <c r="SWQ539" s="268"/>
      <c r="SWR539" s="268"/>
      <c r="SWS539" s="268"/>
      <c r="SWT539" s="268"/>
      <c r="SWU539" s="268"/>
      <c r="SWV539" s="268"/>
      <c r="SWW539" s="268"/>
      <c r="SWX539" s="268"/>
      <c r="SWY539" s="268"/>
      <c r="SWZ539" s="268"/>
      <c r="SXA539" s="268"/>
      <c r="SXB539" s="268"/>
      <c r="SXC539" s="268"/>
      <c r="SXD539" s="268"/>
      <c r="SXE539" s="268"/>
      <c r="SXF539" s="268"/>
      <c r="SXG539" s="268"/>
      <c r="SXH539" s="268"/>
      <c r="SXI539" s="268"/>
      <c r="SXJ539" s="268"/>
      <c r="SXK539" s="268"/>
      <c r="SXL539" s="268"/>
      <c r="SXM539" s="268"/>
      <c r="SXN539" s="268"/>
      <c r="SXO539" s="268"/>
      <c r="SXP539" s="268"/>
      <c r="SXQ539" s="268"/>
      <c r="SXR539" s="268"/>
      <c r="SXS539" s="268"/>
      <c r="SXT539" s="268"/>
      <c r="SXU539" s="268"/>
      <c r="SXV539" s="268"/>
      <c r="SXW539" s="268"/>
      <c r="SXX539" s="268"/>
      <c r="SXY539" s="268"/>
      <c r="SXZ539" s="268"/>
      <c r="SYA539" s="268"/>
      <c r="SYB539" s="268"/>
      <c r="SYC539" s="268"/>
      <c r="SYD539" s="268"/>
      <c r="SYE539" s="268"/>
      <c r="SYF539" s="268"/>
      <c r="SYG539" s="268"/>
      <c r="SYH539" s="268"/>
      <c r="SYI539" s="268"/>
      <c r="SYJ539" s="268"/>
      <c r="SYK539" s="268"/>
      <c r="SYL539" s="268"/>
      <c r="SYM539" s="268"/>
      <c r="SYN539" s="268"/>
      <c r="SYO539" s="268"/>
      <c r="SYP539" s="268"/>
      <c r="SYQ539" s="268"/>
      <c r="SYR539" s="268"/>
      <c r="SYS539" s="268"/>
      <c r="SYT539" s="268"/>
      <c r="SYU539" s="268"/>
      <c r="SYV539" s="268"/>
      <c r="SYW539" s="268"/>
      <c r="SYX539" s="268"/>
      <c r="SYY539" s="268"/>
      <c r="SYZ539" s="268"/>
      <c r="SZA539" s="268"/>
      <c r="SZB539" s="268"/>
      <c r="SZC539" s="268"/>
      <c r="SZD539" s="268"/>
      <c r="SZE539" s="268"/>
      <c r="SZF539" s="268"/>
      <c r="SZG539" s="268"/>
      <c r="SZH539" s="268"/>
      <c r="SZI539" s="268"/>
      <c r="SZJ539" s="268"/>
      <c r="SZK539" s="268"/>
      <c r="SZL539" s="268"/>
      <c r="SZM539" s="268"/>
      <c r="SZN539" s="268"/>
      <c r="SZO539" s="268"/>
      <c r="SZP539" s="268"/>
      <c r="SZQ539" s="268"/>
      <c r="SZR539" s="268"/>
      <c r="SZS539" s="268"/>
      <c r="SZT539" s="268"/>
      <c r="SZU539" s="268"/>
      <c r="SZV539" s="268"/>
      <c r="SZW539" s="268"/>
      <c r="SZX539" s="268"/>
      <c r="SZY539" s="268"/>
      <c r="SZZ539" s="268"/>
      <c r="TAA539" s="268"/>
      <c r="TAB539" s="268"/>
      <c r="TAC539" s="268"/>
      <c r="TAD539" s="268"/>
      <c r="TAE539" s="268"/>
      <c r="TAF539" s="268"/>
      <c r="TAG539" s="268"/>
      <c r="TAH539" s="268"/>
      <c r="TAI539" s="268"/>
      <c r="TAJ539" s="268"/>
      <c r="TAK539" s="268"/>
      <c r="TAL539" s="268"/>
      <c r="TAM539" s="268"/>
      <c r="TBA539" s="268"/>
      <c r="TBB539" s="268"/>
      <c r="TBC539" s="268"/>
      <c r="TBQ539" s="268"/>
      <c r="TBS539" s="268"/>
      <c r="TBT539" s="268"/>
      <c r="TBU539" s="268"/>
      <c r="TBV539" s="268"/>
      <c r="TBW539" s="268"/>
      <c r="TBX539" s="268"/>
      <c r="TBY539" s="268"/>
      <c r="TBZ539" s="268"/>
      <c r="TCA539" s="268"/>
      <c r="TCB539" s="268"/>
      <c r="TCC539" s="268"/>
      <c r="TCD539" s="268"/>
      <c r="TCE539" s="268"/>
      <c r="TCF539" s="268"/>
      <c r="TCG539" s="268"/>
      <c r="TCH539" s="268"/>
      <c r="TCI539" s="268"/>
      <c r="TCJ539" s="268"/>
      <c r="TCK539" s="268"/>
      <c r="TCL539" s="268"/>
      <c r="TCM539" s="268"/>
      <c r="TCN539" s="268"/>
      <c r="TCO539" s="268"/>
      <c r="TCP539" s="268"/>
      <c r="TCQ539" s="268"/>
      <c r="TCR539" s="268"/>
      <c r="TCS539" s="268"/>
      <c r="TCT539" s="268"/>
      <c r="TCU539" s="268"/>
      <c r="TCV539" s="268"/>
      <c r="TCW539" s="268"/>
      <c r="TCX539" s="268"/>
      <c r="TCY539" s="268"/>
      <c r="TCZ539" s="268"/>
      <c r="TDA539" s="268"/>
      <c r="TDB539" s="268"/>
      <c r="TDC539" s="268"/>
      <c r="TDD539" s="268"/>
      <c r="TDE539" s="268"/>
      <c r="TDF539" s="268"/>
      <c r="TDG539" s="268"/>
      <c r="TDH539" s="268"/>
      <c r="TDI539" s="268"/>
      <c r="TDJ539" s="268"/>
      <c r="TDK539" s="268"/>
      <c r="TDL539" s="268"/>
      <c r="TDM539" s="268"/>
      <c r="TDN539" s="268"/>
      <c r="TDO539" s="268"/>
      <c r="TDP539" s="268"/>
      <c r="TDQ539" s="268"/>
      <c r="TDR539" s="268"/>
      <c r="TDS539" s="268"/>
      <c r="TDT539" s="268"/>
      <c r="TDU539" s="268"/>
      <c r="TDV539" s="268"/>
      <c r="TDW539" s="268"/>
      <c r="TDX539" s="268"/>
      <c r="TDY539" s="268"/>
      <c r="TDZ539" s="268"/>
      <c r="TEA539" s="268"/>
      <c r="TEB539" s="268"/>
      <c r="TEC539" s="268"/>
      <c r="TED539" s="268"/>
      <c r="TEE539" s="268"/>
      <c r="TEF539" s="268"/>
      <c r="TEG539" s="268"/>
      <c r="TEH539" s="268"/>
      <c r="TEI539" s="268"/>
      <c r="TEJ539" s="268"/>
      <c r="TEK539" s="268"/>
      <c r="TEL539" s="268"/>
      <c r="TEM539" s="268"/>
      <c r="TEN539" s="268"/>
      <c r="TEO539" s="268"/>
      <c r="TEP539" s="268"/>
      <c r="TEQ539" s="268"/>
      <c r="TER539" s="268"/>
      <c r="TES539" s="268"/>
      <c r="TET539" s="268"/>
      <c r="TEU539" s="268"/>
      <c r="TEV539" s="268"/>
      <c r="TEW539" s="268"/>
      <c r="TEX539" s="268"/>
      <c r="TEY539" s="268"/>
      <c r="TEZ539" s="268"/>
      <c r="TFA539" s="268"/>
      <c r="TFB539" s="268"/>
      <c r="TFC539" s="268"/>
      <c r="TFD539" s="268"/>
      <c r="TFE539" s="268"/>
      <c r="TFF539" s="268"/>
      <c r="TFG539" s="268"/>
      <c r="TFH539" s="268"/>
      <c r="TFI539" s="268"/>
      <c r="TFJ539" s="268"/>
      <c r="TFK539" s="268"/>
      <c r="TFL539" s="268"/>
      <c r="TFM539" s="268"/>
      <c r="TFN539" s="268"/>
      <c r="TFO539" s="268"/>
      <c r="TFP539" s="268"/>
      <c r="TFQ539" s="268"/>
      <c r="TFR539" s="268"/>
      <c r="TFS539" s="268"/>
      <c r="TFT539" s="268"/>
      <c r="TFU539" s="268"/>
      <c r="TFV539" s="268"/>
      <c r="TFW539" s="268"/>
      <c r="TFX539" s="268"/>
      <c r="TFY539" s="268"/>
      <c r="TFZ539" s="268"/>
      <c r="TGA539" s="268"/>
      <c r="TGB539" s="268"/>
      <c r="TGC539" s="268"/>
      <c r="TGD539" s="268"/>
      <c r="TGE539" s="268"/>
      <c r="TGF539" s="268"/>
      <c r="TGG539" s="268"/>
      <c r="TGH539" s="268"/>
      <c r="TGI539" s="268"/>
      <c r="TGJ539" s="268"/>
      <c r="TGK539" s="268"/>
      <c r="TGL539" s="268"/>
      <c r="TGM539" s="268"/>
      <c r="TGN539" s="268"/>
      <c r="TGO539" s="268"/>
      <c r="TGP539" s="268"/>
      <c r="TGQ539" s="268"/>
      <c r="TGR539" s="268"/>
      <c r="TGS539" s="268"/>
      <c r="TGT539" s="268"/>
      <c r="TGU539" s="268"/>
      <c r="TGV539" s="268"/>
      <c r="TGW539" s="268"/>
      <c r="TGX539" s="268"/>
      <c r="TGY539" s="268"/>
      <c r="TGZ539" s="268"/>
      <c r="THA539" s="268"/>
      <c r="THB539" s="268"/>
      <c r="THC539" s="268"/>
      <c r="THD539" s="268"/>
      <c r="THE539" s="268"/>
      <c r="THF539" s="268"/>
      <c r="THG539" s="268"/>
      <c r="THH539" s="268"/>
      <c r="THI539" s="268"/>
      <c r="THJ539" s="268"/>
      <c r="THK539" s="268"/>
      <c r="THL539" s="268"/>
      <c r="THM539" s="268"/>
      <c r="THN539" s="268"/>
      <c r="THO539" s="268"/>
      <c r="THP539" s="268"/>
      <c r="THQ539" s="268"/>
      <c r="THR539" s="268"/>
      <c r="THS539" s="268"/>
      <c r="THT539" s="268"/>
      <c r="THU539" s="268"/>
      <c r="THV539" s="268"/>
      <c r="THW539" s="268"/>
      <c r="THX539" s="268"/>
      <c r="THY539" s="268"/>
      <c r="THZ539" s="268"/>
      <c r="TIA539" s="268"/>
      <c r="TIB539" s="268"/>
      <c r="TIC539" s="268"/>
      <c r="TID539" s="268"/>
      <c r="TIE539" s="268"/>
      <c r="TIF539" s="268"/>
      <c r="TIG539" s="268"/>
      <c r="TIH539" s="268"/>
      <c r="TII539" s="268"/>
      <c r="TIJ539" s="268"/>
      <c r="TIK539" s="268"/>
      <c r="TIL539" s="268"/>
      <c r="TIM539" s="268"/>
      <c r="TIN539" s="268"/>
      <c r="TIO539" s="268"/>
      <c r="TIP539" s="268"/>
      <c r="TIQ539" s="268"/>
      <c r="TIR539" s="268"/>
      <c r="TIS539" s="268"/>
      <c r="TIT539" s="268"/>
      <c r="TIU539" s="268"/>
      <c r="TIV539" s="268"/>
      <c r="TIW539" s="268"/>
      <c r="TIX539" s="268"/>
      <c r="TIY539" s="268"/>
      <c r="TIZ539" s="268"/>
      <c r="TJA539" s="268"/>
      <c r="TJB539" s="268"/>
      <c r="TJC539" s="268"/>
      <c r="TJD539" s="268"/>
      <c r="TJE539" s="268"/>
      <c r="TJF539" s="268"/>
      <c r="TJG539" s="268"/>
      <c r="TJH539" s="268"/>
      <c r="TJI539" s="268"/>
      <c r="TJJ539" s="268"/>
      <c r="TJK539" s="268"/>
      <c r="TJL539" s="268"/>
      <c r="TJM539" s="268"/>
      <c r="TJN539" s="268"/>
      <c r="TJO539" s="268"/>
      <c r="TJP539" s="268"/>
      <c r="TJQ539" s="268"/>
      <c r="TJR539" s="268"/>
      <c r="TJS539" s="268"/>
      <c r="TJT539" s="268"/>
      <c r="TJU539" s="268"/>
      <c r="TJV539" s="268"/>
      <c r="TJW539" s="268"/>
      <c r="TJX539" s="268"/>
      <c r="TJY539" s="268"/>
      <c r="TJZ539" s="268"/>
      <c r="TKA539" s="268"/>
      <c r="TKB539" s="268"/>
      <c r="TKC539" s="268"/>
      <c r="TKD539" s="268"/>
      <c r="TKE539" s="268"/>
      <c r="TKF539" s="268"/>
      <c r="TKG539" s="268"/>
      <c r="TKH539" s="268"/>
      <c r="TKI539" s="268"/>
      <c r="TKW539" s="268"/>
      <c r="TKX539" s="268"/>
      <c r="TKY539" s="268"/>
      <c r="TLM539" s="268"/>
      <c r="TLO539" s="268"/>
      <c r="TLP539" s="268"/>
      <c r="TLQ539" s="268"/>
      <c r="TLR539" s="268"/>
      <c r="TLS539" s="268"/>
      <c r="TLT539" s="268"/>
      <c r="TLU539" s="268"/>
      <c r="TLV539" s="268"/>
      <c r="TLW539" s="268"/>
      <c r="TLX539" s="268"/>
      <c r="TLY539" s="268"/>
      <c r="TLZ539" s="268"/>
      <c r="TMA539" s="268"/>
      <c r="TMB539" s="268"/>
      <c r="TMC539" s="268"/>
      <c r="TMD539" s="268"/>
      <c r="TME539" s="268"/>
      <c r="TMF539" s="268"/>
      <c r="TMG539" s="268"/>
      <c r="TMH539" s="268"/>
      <c r="TMI539" s="268"/>
      <c r="TMJ539" s="268"/>
      <c r="TMK539" s="268"/>
      <c r="TML539" s="268"/>
      <c r="TMM539" s="268"/>
      <c r="TMN539" s="268"/>
      <c r="TMO539" s="268"/>
      <c r="TMP539" s="268"/>
      <c r="TMQ539" s="268"/>
      <c r="TMR539" s="268"/>
      <c r="TMS539" s="268"/>
      <c r="TMT539" s="268"/>
      <c r="TMU539" s="268"/>
      <c r="TMV539" s="268"/>
      <c r="TMW539" s="268"/>
      <c r="TMX539" s="268"/>
      <c r="TMY539" s="268"/>
      <c r="TMZ539" s="268"/>
      <c r="TNA539" s="268"/>
      <c r="TNB539" s="268"/>
      <c r="TNC539" s="268"/>
      <c r="TND539" s="268"/>
      <c r="TNE539" s="268"/>
      <c r="TNF539" s="268"/>
      <c r="TNG539" s="268"/>
      <c r="TNH539" s="268"/>
      <c r="TNI539" s="268"/>
      <c r="TNJ539" s="268"/>
      <c r="TNK539" s="268"/>
      <c r="TNL539" s="268"/>
      <c r="TNM539" s="268"/>
      <c r="TNN539" s="268"/>
      <c r="TNO539" s="268"/>
      <c r="TNP539" s="268"/>
      <c r="TNQ539" s="268"/>
      <c r="TNR539" s="268"/>
      <c r="TNS539" s="268"/>
      <c r="TNT539" s="268"/>
      <c r="TNU539" s="268"/>
      <c r="TNV539" s="268"/>
      <c r="TNW539" s="268"/>
      <c r="TNX539" s="268"/>
      <c r="TNY539" s="268"/>
      <c r="TNZ539" s="268"/>
      <c r="TOA539" s="268"/>
      <c r="TOB539" s="268"/>
      <c r="TOC539" s="268"/>
      <c r="TOD539" s="268"/>
      <c r="TOE539" s="268"/>
      <c r="TOF539" s="268"/>
      <c r="TOG539" s="268"/>
      <c r="TOH539" s="268"/>
      <c r="TOI539" s="268"/>
      <c r="TOJ539" s="268"/>
      <c r="TOK539" s="268"/>
      <c r="TOL539" s="268"/>
      <c r="TOM539" s="268"/>
      <c r="TON539" s="268"/>
      <c r="TOO539" s="268"/>
      <c r="TOP539" s="268"/>
      <c r="TOQ539" s="268"/>
      <c r="TOR539" s="268"/>
      <c r="TOS539" s="268"/>
      <c r="TOT539" s="268"/>
      <c r="TOU539" s="268"/>
      <c r="TOV539" s="268"/>
      <c r="TOW539" s="268"/>
      <c r="TOX539" s="268"/>
      <c r="TOY539" s="268"/>
      <c r="TOZ539" s="268"/>
      <c r="TPA539" s="268"/>
      <c r="TPB539" s="268"/>
      <c r="TPC539" s="268"/>
      <c r="TPD539" s="268"/>
      <c r="TPE539" s="268"/>
      <c r="TPF539" s="268"/>
      <c r="TPG539" s="268"/>
      <c r="TPH539" s="268"/>
      <c r="TPI539" s="268"/>
      <c r="TPJ539" s="268"/>
      <c r="TPK539" s="268"/>
      <c r="TPL539" s="268"/>
      <c r="TPM539" s="268"/>
      <c r="TPN539" s="268"/>
      <c r="TPO539" s="268"/>
      <c r="TPP539" s="268"/>
      <c r="TPQ539" s="268"/>
      <c r="TPR539" s="268"/>
      <c r="TPS539" s="268"/>
      <c r="TPT539" s="268"/>
      <c r="TPU539" s="268"/>
      <c r="TPV539" s="268"/>
      <c r="TPW539" s="268"/>
      <c r="TPX539" s="268"/>
      <c r="TPY539" s="268"/>
      <c r="TPZ539" s="268"/>
      <c r="TQA539" s="268"/>
      <c r="TQB539" s="268"/>
      <c r="TQC539" s="268"/>
      <c r="TQD539" s="268"/>
      <c r="TQE539" s="268"/>
      <c r="TQF539" s="268"/>
      <c r="TQG539" s="268"/>
      <c r="TQH539" s="268"/>
      <c r="TQI539" s="268"/>
      <c r="TQJ539" s="268"/>
      <c r="TQK539" s="268"/>
      <c r="TQL539" s="268"/>
      <c r="TQM539" s="268"/>
      <c r="TQN539" s="268"/>
      <c r="TQO539" s="268"/>
      <c r="TQP539" s="268"/>
      <c r="TQQ539" s="268"/>
      <c r="TQR539" s="268"/>
      <c r="TQS539" s="268"/>
      <c r="TQT539" s="268"/>
      <c r="TQU539" s="268"/>
      <c r="TQV539" s="268"/>
      <c r="TQW539" s="268"/>
      <c r="TQX539" s="268"/>
      <c r="TQY539" s="268"/>
      <c r="TQZ539" s="268"/>
      <c r="TRA539" s="268"/>
      <c r="TRB539" s="268"/>
      <c r="TRC539" s="268"/>
      <c r="TRD539" s="268"/>
      <c r="TRE539" s="268"/>
      <c r="TRF539" s="268"/>
      <c r="TRG539" s="268"/>
      <c r="TRH539" s="268"/>
      <c r="TRI539" s="268"/>
      <c r="TRJ539" s="268"/>
      <c r="TRK539" s="268"/>
      <c r="TRL539" s="268"/>
      <c r="TRM539" s="268"/>
      <c r="TRN539" s="268"/>
      <c r="TRO539" s="268"/>
      <c r="TRP539" s="268"/>
      <c r="TRQ539" s="268"/>
      <c r="TRR539" s="268"/>
      <c r="TRS539" s="268"/>
      <c r="TRT539" s="268"/>
      <c r="TRU539" s="268"/>
      <c r="TRV539" s="268"/>
      <c r="TRW539" s="268"/>
      <c r="TRX539" s="268"/>
      <c r="TRY539" s="268"/>
      <c r="TRZ539" s="268"/>
      <c r="TSA539" s="268"/>
      <c r="TSB539" s="268"/>
      <c r="TSC539" s="268"/>
      <c r="TSD539" s="268"/>
      <c r="TSE539" s="268"/>
      <c r="TSF539" s="268"/>
      <c r="TSG539" s="268"/>
      <c r="TSH539" s="268"/>
      <c r="TSI539" s="268"/>
      <c r="TSJ539" s="268"/>
      <c r="TSK539" s="268"/>
      <c r="TSL539" s="268"/>
      <c r="TSM539" s="268"/>
      <c r="TSN539" s="268"/>
      <c r="TSO539" s="268"/>
      <c r="TSP539" s="268"/>
      <c r="TSQ539" s="268"/>
      <c r="TSR539" s="268"/>
      <c r="TSS539" s="268"/>
      <c r="TST539" s="268"/>
      <c r="TSU539" s="268"/>
      <c r="TSV539" s="268"/>
      <c r="TSW539" s="268"/>
      <c r="TSX539" s="268"/>
      <c r="TSY539" s="268"/>
      <c r="TSZ539" s="268"/>
      <c r="TTA539" s="268"/>
      <c r="TTB539" s="268"/>
      <c r="TTC539" s="268"/>
      <c r="TTD539" s="268"/>
      <c r="TTE539" s="268"/>
      <c r="TTF539" s="268"/>
      <c r="TTG539" s="268"/>
      <c r="TTH539" s="268"/>
      <c r="TTI539" s="268"/>
      <c r="TTJ539" s="268"/>
      <c r="TTK539" s="268"/>
      <c r="TTL539" s="268"/>
      <c r="TTM539" s="268"/>
      <c r="TTN539" s="268"/>
      <c r="TTO539" s="268"/>
      <c r="TTP539" s="268"/>
      <c r="TTQ539" s="268"/>
      <c r="TTR539" s="268"/>
      <c r="TTS539" s="268"/>
      <c r="TTT539" s="268"/>
      <c r="TTU539" s="268"/>
      <c r="TTV539" s="268"/>
      <c r="TTW539" s="268"/>
      <c r="TTX539" s="268"/>
      <c r="TTY539" s="268"/>
      <c r="TTZ539" s="268"/>
      <c r="TUA539" s="268"/>
      <c r="TUB539" s="268"/>
      <c r="TUC539" s="268"/>
      <c r="TUD539" s="268"/>
      <c r="TUE539" s="268"/>
      <c r="TUS539" s="268"/>
      <c r="TUT539" s="268"/>
      <c r="TUU539" s="268"/>
      <c r="TVI539" s="268"/>
      <c r="TVK539" s="268"/>
      <c r="TVL539" s="268"/>
      <c r="TVM539" s="268"/>
      <c r="TVN539" s="268"/>
      <c r="TVO539" s="268"/>
      <c r="TVP539" s="268"/>
      <c r="TVQ539" s="268"/>
      <c r="TVR539" s="268"/>
      <c r="TVS539" s="268"/>
      <c r="TVT539" s="268"/>
      <c r="TVU539" s="268"/>
      <c r="TVV539" s="268"/>
      <c r="TVW539" s="268"/>
      <c r="TVX539" s="268"/>
      <c r="TVY539" s="268"/>
      <c r="TVZ539" s="268"/>
      <c r="TWA539" s="268"/>
      <c r="TWB539" s="268"/>
      <c r="TWC539" s="268"/>
      <c r="TWD539" s="268"/>
      <c r="TWE539" s="268"/>
      <c r="TWF539" s="268"/>
      <c r="TWG539" s="268"/>
      <c r="TWH539" s="268"/>
      <c r="TWI539" s="268"/>
      <c r="TWJ539" s="268"/>
      <c r="TWK539" s="268"/>
      <c r="TWL539" s="268"/>
      <c r="TWM539" s="268"/>
      <c r="TWN539" s="268"/>
      <c r="TWO539" s="268"/>
      <c r="TWP539" s="268"/>
      <c r="TWQ539" s="268"/>
      <c r="TWR539" s="268"/>
      <c r="TWS539" s="268"/>
      <c r="TWT539" s="268"/>
      <c r="TWU539" s="268"/>
      <c r="TWV539" s="268"/>
      <c r="TWW539" s="268"/>
      <c r="TWX539" s="268"/>
      <c r="TWY539" s="268"/>
      <c r="TWZ539" s="268"/>
      <c r="TXA539" s="268"/>
      <c r="TXB539" s="268"/>
      <c r="TXC539" s="268"/>
      <c r="TXD539" s="268"/>
      <c r="TXE539" s="268"/>
      <c r="TXF539" s="268"/>
      <c r="TXG539" s="268"/>
      <c r="TXH539" s="268"/>
      <c r="TXI539" s="268"/>
      <c r="TXJ539" s="268"/>
      <c r="TXK539" s="268"/>
      <c r="TXL539" s="268"/>
      <c r="TXM539" s="268"/>
      <c r="TXN539" s="268"/>
      <c r="TXO539" s="268"/>
      <c r="TXP539" s="268"/>
      <c r="TXQ539" s="268"/>
      <c r="TXR539" s="268"/>
      <c r="TXS539" s="268"/>
      <c r="TXT539" s="268"/>
      <c r="TXU539" s="268"/>
      <c r="TXV539" s="268"/>
      <c r="TXW539" s="268"/>
      <c r="TXX539" s="268"/>
      <c r="TXY539" s="268"/>
      <c r="TXZ539" s="268"/>
      <c r="TYA539" s="268"/>
      <c r="TYB539" s="268"/>
      <c r="TYC539" s="268"/>
      <c r="TYD539" s="268"/>
      <c r="TYE539" s="268"/>
      <c r="TYF539" s="268"/>
      <c r="TYG539" s="268"/>
      <c r="TYH539" s="268"/>
      <c r="TYI539" s="268"/>
      <c r="TYJ539" s="268"/>
      <c r="TYK539" s="268"/>
      <c r="TYL539" s="268"/>
      <c r="TYM539" s="268"/>
      <c r="TYN539" s="268"/>
      <c r="TYO539" s="268"/>
      <c r="TYP539" s="268"/>
      <c r="TYQ539" s="268"/>
      <c r="TYR539" s="268"/>
      <c r="TYS539" s="268"/>
      <c r="TYT539" s="268"/>
      <c r="TYU539" s="268"/>
      <c r="TYV539" s="268"/>
      <c r="TYW539" s="268"/>
      <c r="TYX539" s="268"/>
      <c r="TYY539" s="268"/>
      <c r="TYZ539" s="268"/>
      <c r="TZA539" s="268"/>
      <c r="TZB539" s="268"/>
      <c r="TZC539" s="268"/>
      <c r="TZD539" s="268"/>
      <c r="TZE539" s="268"/>
      <c r="TZF539" s="268"/>
      <c r="TZG539" s="268"/>
      <c r="TZH539" s="268"/>
      <c r="TZI539" s="268"/>
      <c r="TZJ539" s="268"/>
      <c r="TZK539" s="268"/>
      <c r="TZL539" s="268"/>
      <c r="TZM539" s="268"/>
      <c r="TZN539" s="268"/>
      <c r="TZO539" s="268"/>
      <c r="TZP539" s="268"/>
      <c r="TZQ539" s="268"/>
      <c r="TZR539" s="268"/>
      <c r="TZS539" s="268"/>
      <c r="TZT539" s="268"/>
      <c r="TZU539" s="268"/>
      <c r="TZV539" s="268"/>
      <c r="TZW539" s="268"/>
      <c r="TZX539" s="268"/>
      <c r="TZY539" s="268"/>
      <c r="TZZ539" s="268"/>
      <c r="UAA539" s="268"/>
      <c r="UAB539" s="268"/>
      <c r="UAC539" s="268"/>
      <c r="UAD539" s="268"/>
      <c r="UAE539" s="268"/>
      <c r="UAF539" s="268"/>
      <c r="UAG539" s="268"/>
      <c r="UAH539" s="268"/>
      <c r="UAI539" s="268"/>
      <c r="UAJ539" s="268"/>
      <c r="UAK539" s="268"/>
      <c r="UAL539" s="268"/>
      <c r="UAM539" s="268"/>
      <c r="UAN539" s="268"/>
      <c r="UAO539" s="268"/>
      <c r="UAP539" s="268"/>
      <c r="UAQ539" s="268"/>
      <c r="UAR539" s="268"/>
      <c r="UAS539" s="268"/>
      <c r="UAT539" s="268"/>
      <c r="UAU539" s="268"/>
      <c r="UAV539" s="268"/>
      <c r="UAW539" s="268"/>
      <c r="UAX539" s="268"/>
      <c r="UAY539" s="268"/>
      <c r="UAZ539" s="268"/>
      <c r="UBA539" s="268"/>
      <c r="UBB539" s="268"/>
      <c r="UBC539" s="268"/>
      <c r="UBD539" s="268"/>
      <c r="UBE539" s="268"/>
      <c r="UBF539" s="268"/>
      <c r="UBG539" s="268"/>
      <c r="UBH539" s="268"/>
      <c r="UBI539" s="268"/>
      <c r="UBJ539" s="268"/>
      <c r="UBK539" s="268"/>
      <c r="UBL539" s="268"/>
      <c r="UBM539" s="268"/>
      <c r="UBN539" s="268"/>
      <c r="UBO539" s="268"/>
      <c r="UBP539" s="268"/>
      <c r="UBQ539" s="268"/>
      <c r="UBR539" s="268"/>
      <c r="UBS539" s="268"/>
      <c r="UBT539" s="268"/>
      <c r="UBU539" s="268"/>
      <c r="UBV539" s="268"/>
      <c r="UBW539" s="268"/>
      <c r="UBX539" s="268"/>
      <c r="UBY539" s="268"/>
      <c r="UBZ539" s="268"/>
      <c r="UCA539" s="268"/>
      <c r="UCB539" s="268"/>
      <c r="UCC539" s="268"/>
      <c r="UCD539" s="268"/>
      <c r="UCE539" s="268"/>
      <c r="UCF539" s="268"/>
      <c r="UCG539" s="268"/>
      <c r="UCH539" s="268"/>
      <c r="UCI539" s="268"/>
      <c r="UCJ539" s="268"/>
      <c r="UCK539" s="268"/>
      <c r="UCL539" s="268"/>
      <c r="UCM539" s="268"/>
      <c r="UCN539" s="268"/>
      <c r="UCO539" s="268"/>
      <c r="UCP539" s="268"/>
      <c r="UCQ539" s="268"/>
      <c r="UCR539" s="268"/>
      <c r="UCS539" s="268"/>
      <c r="UCT539" s="268"/>
      <c r="UCU539" s="268"/>
      <c r="UCV539" s="268"/>
      <c r="UCW539" s="268"/>
      <c r="UCX539" s="268"/>
      <c r="UCY539" s="268"/>
      <c r="UCZ539" s="268"/>
      <c r="UDA539" s="268"/>
      <c r="UDB539" s="268"/>
      <c r="UDC539" s="268"/>
      <c r="UDD539" s="268"/>
      <c r="UDE539" s="268"/>
      <c r="UDF539" s="268"/>
      <c r="UDG539" s="268"/>
      <c r="UDH539" s="268"/>
      <c r="UDI539" s="268"/>
      <c r="UDJ539" s="268"/>
      <c r="UDK539" s="268"/>
      <c r="UDL539" s="268"/>
      <c r="UDM539" s="268"/>
      <c r="UDN539" s="268"/>
      <c r="UDO539" s="268"/>
      <c r="UDP539" s="268"/>
      <c r="UDQ539" s="268"/>
      <c r="UDR539" s="268"/>
      <c r="UDS539" s="268"/>
      <c r="UDT539" s="268"/>
      <c r="UDU539" s="268"/>
      <c r="UDV539" s="268"/>
      <c r="UDW539" s="268"/>
      <c r="UDX539" s="268"/>
      <c r="UDY539" s="268"/>
      <c r="UDZ539" s="268"/>
      <c r="UEA539" s="268"/>
      <c r="UEO539" s="268"/>
      <c r="UEP539" s="268"/>
      <c r="UEQ539" s="268"/>
      <c r="UFE539" s="268"/>
      <c r="UFG539" s="268"/>
      <c r="UFH539" s="268"/>
      <c r="UFI539" s="268"/>
      <c r="UFJ539" s="268"/>
      <c r="UFK539" s="268"/>
      <c r="UFL539" s="268"/>
      <c r="UFM539" s="268"/>
      <c r="UFN539" s="268"/>
      <c r="UFO539" s="268"/>
      <c r="UFP539" s="268"/>
      <c r="UFQ539" s="268"/>
      <c r="UFR539" s="268"/>
      <c r="UFS539" s="268"/>
      <c r="UFT539" s="268"/>
      <c r="UFU539" s="268"/>
      <c r="UFV539" s="268"/>
      <c r="UFW539" s="268"/>
      <c r="UFX539" s="268"/>
      <c r="UFY539" s="268"/>
      <c r="UFZ539" s="268"/>
      <c r="UGA539" s="268"/>
      <c r="UGB539" s="268"/>
      <c r="UGC539" s="268"/>
      <c r="UGD539" s="268"/>
      <c r="UGE539" s="268"/>
      <c r="UGF539" s="268"/>
      <c r="UGG539" s="268"/>
      <c r="UGH539" s="268"/>
      <c r="UGI539" s="268"/>
      <c r="UGJ539" s="268"/>
      <c r="UGK539" s="268"/>
      <c r="UGL539" s="268"/>
      <c r="UGM539" s="268"/>
      <c r="UGN539" s="268"/>
      <c r="UGO539" s="268"/>
      <c r="UGP539" s="268"/>
      <c r="UGQ539" s="268"/>
      <c r="UGR539" s="268"/>
      <c r="UGS539" s="268"/>
      <c r="UGT539" s="268"/>
      <c r="UGU539" s="268"/>
      <c r="UGV539" s="268"/>
      <c r="UGW539" s="268"/>
      <c r="UGX539" s="268"/>
      <c r="UGY539" s="268"/>
      <c r="UGZ539" s="268"/>
      <c r="UHA539" s="268"/>
      <c r="UHB539" s="268"/>
      <c r="UHC539" s="268"/>
      <c r="UHD539" s="268"/>
      <c r="UHE539" s="268"/>
      <c r="UHF539" s="268"/>
      <c r="UHG539" s="268"/>
      <c r="UHH539" s="268"/>
      <c r="UHI539" s="268"/>
      <c r="UHJ539" s="268"/>
      <c r="UHK539" s="268"/>
      <c r="UHL539" s="268"/>
      <c r="UHM539" s="268"/>
      <c r="UHN539" s="268"/>
      <c r="UHO539" s="268"/>
      <c r="UHP539" s="268"/>
      <c r="UHQ539" s="268"/>
      <c r="UHR539" s="268"/>
      <c r="UHS539" s="268"/>
      <c r="UHT539" s="268"/>
      <c r="UHU539" s="268"/>
      <c r="UHV539" s="268"/>
      <c r="UHW539" s="268"/>
      <c r="UHX539" s="268"/>
      <c r="UHY539" s="268"/>
      <c r="UHZ539" s="268"/>
      <c r="UIA539" s="268"/>
      <c r="UIB539" s="268"/>
      <c r="UIC539" s="268"/>
      <c r="UID539" s="268"/>
      <c r="UIE539" s="268"/>
      <c r="UIF539" s="268"/>
      <c r="UIG539" s="268"/>
      <c r="UIH539" s="268"/>
      <c r="UII539" s="268"/>
      <c r="UIJ539" s="268"/>
      <c r="UIK539" s="268"/>
      <c r="UIL539" s="268"/>
      <c r="UIM539" s="268"/>
      <c r="UIN539" s="268"/>
      <c r="UIO539" s="268"/>
      <c r="UIP539" s="268"/>
      <c r="UIQ539" s="268"/>
      <c r="UIR539" s="268"/>
      <c r="UIS539" s="268"/>
      <c r="UIT539" s="268"/>
      <c r="UIU539" s="268"/>
      <c r="UIV539" s="268"/>
      <c r="UIW539" s="268"/>
      <c r="UIX539" s="268"/>
      <c r="UIY539" s="268"/>
      <c r="UIZ539" s="268"/>
      <c r="UJA539" s="268"/>
      <c r="UJB539" s="268"/>
      <c r="UJC539" s="268"/>
      <c r="UJD539" s="268"/>
      <c r="UJE539" s="268"/>
      <c r="UJF539" s="268"/>
      <c r="UJG539" s="268"/>
      <c r="UJH539" s="268"/>
      <c r="UJI539" s="268"/>
      <c r="UJJ539" s="268"/>
      <c r="UJK539" s="268"/>
      <c r="UJL539" s="268"/>
      <c r="UJM539" s="268"/>
      <c r="UJN539" s="268"/>
      <c r="UJO539" s="268"/>
      <c r="UJP539" s="268"/>
      <c r="UJQ539" s="268"/>
      <c r="UJR539" s="268"/>
      <c r="UJS539" s="268"/>
      <c r="UJT539" s="268"/>
      <c r="UJU539" s="268"/>
      <c r="UJV539" s="268"/>
      <c r="UJW539" s="268"/>
      <c r="UJX539" s="268"/>
      <c r="UJY539" s="268"/>
      <c r="UJZ539" s="268"/>
      <c r="UKA539" s="268"/>
      <c r="UKB539" s="268"/>
      <c r="UKC539" s="268"/>
      <c r="UKD539" s="268"/>
      <c r="UKE539" s="268"/>
      <c r="UKF539" s="268"/>
      <c r="UKG539" s="268"/>
      <c r="UKH539" s="268"/>
      <c r="UKI539" s="268"/>
      <c r="UKJ539" s="268"/>
      <c r="UKK539" s="268"/>
      <c r="UKL539" s="268"/>
      <c r="UKM539" s="268"/>
      <c r="UKN539" s="268"/>
      <c r="UKO539" s="268"/>
      <c r="UKP539" s="268"/>
      <c r="UKQ539" s="268"/>
      <c r="UKR539" s="268"/>
      <c r="UKS539" s="268"/>
      <c r="UKT539" s="268"/>
      <c r="UKU539" s="268"/>
      <c r="UKV539" s="268"/>
      <c r="UKW539" s="268"/>
      <c r="UKX539" s="268"/>
      <c r="UKY539" s="268"/>
      <c r="UKZ539" s="268"/>
      <c r="ULA539" s="268"/>
      <c r="ULB539" s="268"/>
      <c r="ULC539" s="268"/>
      <c r="ULD539" s="268"/>
      <c r="ULE539" s="268"/>
      <c r="ULF539" s="268"/>
      <c r="ULG539" s="268"/>
      <c r="ULH539" s="268"/>
      <c r="ULI539" s="268"/>
      <c r="ULJ539" s="268"/>
      <c r="ULK539" s="268"/>
      <c r="ULL539" s="268"/>
      <c r="ULM539" s="268"/>
      <c r="ULN539" s="268"/>
      <c r="ULO539" s="268"/>
      <c r="ULP539" s="268"/>
      <c r="ULQ539" s="268"/>
      <c r="ULR539" s="268"/>
      <c r="ULS539" s="268"/>
      <c r="ULT539" s="268"/>
      <c r="ULU539" s="268"/>
      <c r="ULV539" s="268"/>
      <c r="ULW539" s="268"/>
      <c r="ULX539" s="268"/>
      <c r="ULY539" s="268"/>
      <c r="ULZ539" s="268"/>
      <c r="UMA539" s="268"/>
      <c r="UMB539" s="268"/>
      <c r="UMC539" s="268"/>
      <c r="UMD539" s="268"/>
      <c r="UME539" s="268"/>
      <c r="UMF539" s="268"/>
      <c r="UMG539" s="268"/>
      <c r="UMH539" s="268"/>
      <c r="UMI539" s="268"/>
      <c r="UMJ539" s="268"/>
      <c r="UMK539" s="268"/>
      <c r="UML539" s="268"/>
      <c r="UMM539" s="268"/>
      <c r="UMN539" s="268"/>
      <c r="UMO539" s="268"/>
      <c r="UMP539" s="268"/>
      <c r="UMQ539" s="268"/>
      <c r="UMR539" s="268"/>
      <c r="UMS539" s="268"/>
      <c r="UMT539" s="268"/>
      <c r="UMU539" s="268"/>
      <c r="UMV539" s="268"/>
      <c r="UMW539" s="268"/>
      <c r="UMX539" s="268"/>
      <c r="UMY539" s="268"/>
      <c r="UMZ539" s="268"/>
      <c r="UNA539" s="268"/>
      <c r="UNB539" s="268"/>
      <c r="UNC539" s="268"/>
      <c r="UND539" s="268"/>
      <c r="UNE539" s="268"/>
      <c r="UNF539" s="268"/>
      <c r="UNG539" s="268"/>
      <c r="UNH539" s="268"/>
      <c r="UNI539" s="268"/>
      <c r="UNJ539" s="268"/>
      <c r="UNK539" s="268"/>
      <c r="UNL539" s="268"/>
      <c r="UNM539" s="268"/>
      <c r="UNN539" s="268"/>
      <c r="UNO539" s="268"/>
      <c r="UNP539" s="268"/>
      <c r="UNQ539" s="268"/>
      <c r="UNR539" s="268"/>
      <c r="UNS539" s="268"/>
      <c r="UNT539" s="268"/>
      <c r="UNU539" s="268"/>
      <c r="UNV539" s="268"/>
      <c r="UNW539" s="268"/>
      <c r="UOK539" s="268"/>
      <c r="UOL539" s="268"/>
      <c r="UOM539" s="268"/>
      <c r="UPA539" s="268"/>
      <c r="UPC539" s="268"/>
      <c r="UPD539" s="268"/>
      <c r="UPE539" s="268"/>
      <c r="UPF539" s="268"/>
      <c r="UPG539" s="268"/>
      <c r="UPH539" s="268"/>
      <c r="UPI539" s="268"/>
      <c r="UPJ539" s="268"/>
      <c r="UPK539" s="268"/>
      <c r="UPL539" s="268"/>
      <c r="UPM539" s="268"/>
      <c r="UPN539" s="268"/>
      <c r="UPO539" s="268"/>
      <c r="UPP539" s="268"/>
      <c r="UPQ539" s="268"/>
      <c r="UPR539" s="268"/>
      <c r="UPS539" s="268"/>
      <c r="UPT539" s="268"/>
      <c r="UPU539" s="268"/>
      <c r="UPV539" s="268"/>
      <c r="UPW539" s="268"/>
      <c r="UPX539" s="268"/>
      <c r="UPY539" s="268"/>
      <c r="UPZ539" s="268"/>
      <c r="UQA539" s="268"/>
      <c r="UQB539" s="268"/>
      <c r="UQC539" s="268"/>
      <c r="UQD539" s="268"/>
      <c r="UQE539" s="268"/>
      <c r="UQF539" s="268"/>
      <c r="UQG539" s="268"/>
      <c r="UQH539" s="268"/>
      <c r="UQI539" s="268"/>
      <c r="UQJ539" s="268"/>
      <c r="UQK539" s="268"/>
      <c r="UQL539" s="268"/>
      <c r="UQM539" s="268"/>
      <c r="UQN539" s="268"/>
      <c r="UQO539" s="268"/>
      <c r="UQP539" s="268"/>
      <c r="UQQ539" s="268"/>
      <c r="UQR539" s="268"/>
      <c r="UQS539" s="268"/>
      <c r="UQT539" s="268"/>
      <c r="UQU539" s="268"/>
      <c r="UQV539" s="268"/>
      <c r="UQW539" s="268"/>
      <c r="UQX539" s="268"/>
      <c r="UQY539" s="268"/>
      <c r="UQZ539" s="268"/>
      <c r="URA539" s="268"/>
      <c r="URB539" s="268"/>
      <c r="URC539" s="268"/>
      <c r="URD539" s="268"/>
      <c r="URE539" s="268"/>
      <c r="URF539" s="268"/>
      <c r="URG539" s="268"/>
      <c r="URH539" s="268"/>
      <c r="URI539" s="268"/>
      <c r="URJ539" s="268"/>
      <c r="URK539" s="268"/>
      <c r="URL539" s="268"/>
      <c r="URM539" s="268"/>
      <c r="URN539" s="268"/>
      <c r="URO539" s="268"/>
      <c r="URP539" s="268"/>
      <c r="URQ539" s="268"/>
      <c r="URR539" s="268"/>
      <c r="URS539" s="268"/>
      <c r="URT539" s="268"/>
      <c r="URU539" s="268"/>
      <c r="URV539" s="268"/>
      <c r="URW539" s="268"/>
      <c r="URX539" s="268"/>
      <c r="URY539" s="268"/>
      <c r="URZ539" s="268"/>
      <c r="USA539" s="268"/>
      <c r="USB539" s="268"/>
      <c r="USC539" s="268"/>
      <c r="USD539" s="268"/>
      <c r="USE539" s="268"/>
      <c r="USF539" s="268"/>
      <c r="USG539" s="268"/>
      <c r="USH539" s="268"/>
      <c r="USI539" s="268"/>
      <c r="USJ539" s="268"/>
      <c r="USK539" s="268"/>
      <c r="USL539" s="268"/>
      <c r="USM539" s="268"/>
      <c r="USN539" s="268"/>
      <c r="USO539" s="268"/>
      <c r="USP539" s="268"/>
      <c r="USQ539" s="268"/>
      <c r="USR539" s="268"/>
      <c r="USS539" s="268"/>
      <c r="UST539" s="268"/>
      <c r="USU539" s="268"/>
      <c r="USV539" s="268"/>
      <c r="USW539" s="268"/>
      <c r="USX539" s="268"/>
      <c r="USY539" s="268"/>
      <c r="USZ539" s="268"/>
      <c r="UTA539" s="268"/>
      <c r="UTB539" s="268"/>
      <c r="UTC539" s="268"/>
      <c r="UTD539" s="268"/>
      <c r="UTE539" s="268"/>
      <c r="UTF539" s="268"/>
      <c r="UTG539" s="268"/>
      <c r="UTH539" s="268"/>
      <c r="UTI539" s="268"/>
      <c r="UTJ539" s="268"/>
      <c r="UTK539" s="268"/>
      <c r="UTL539" s="268"/>
      <c r="UTM539" s="268"/>
      <c r="UTN539" s="268"/>
      <c r="UTO539" s="268"/>
      <c r="UTP539" s="268"/>
      <c r="UTQ539" s="268"/>
      <c r="UTR539" s="268"/>
      <c r="UTS539" s="268"/>
      <c r="UTT539" s="268"/>
      <c r="UTU539" s="268"/>
      <c r="UTV539" s="268"/>
      <c r="UTW539" s="268"/>
      <c r="UTX539" s="268"/>
      <c r="UTY539" s="268"/>
      <c r="UTZ539" s="268"/>
      <c r="UUA539" s="268"/>
      <c r="UUB539" s="268"/>
      <c r="UUC539" s="268"/>
      <c r="UUD539" s="268"/>
      <c r="UUE539" s="268"/>
      <c r="UUF539" s="268"/>
      <c r="UUG539" s="268"/>
      <c r="UUH539" s="268"/>
      <c r="UUI539" s="268"/>
      <c r="UUJ539" s="268"/>
      <c r="UUK539" s="268"/>
      <c r="UUL539" s="268"/>
      <c r="UUM539" s="268"/>
      <c r="UUN539" s="268"/>
      <c r="UUO539" s="268"/>
      <c r="UUP539" s="268"/>
      <c r="UUQ539" s="268"/>
      <c r="UUR539" s="268"/>
      <c r="UUS539" s="268"/>
      <c r="UUT539" s="268"/>
      <c r="UUU539" s="268"/>
      <c r="UUV539" s="268"/>
      <c r="UUW539" s="268"/>
      <c r="UUX539" s="268"/>
      <c r="UUY539" s="268"/>
      <c r="UUZ539" s="268"/>
      <c r="UVA539" s="268"/>
      <c r="UVB539" s="268"/>
      <c r="UVC539" s="268"/>
      <c r="UVD539" s="268"/>
      <c r="UVE539" s="268"/>
      <c r="UVF539" s="268"/>
      <c r="UVG539" s="268"/>
      <c r="UVH539" s="268"/>
      <c r="UVI539" s="268"/>
      <c r="UVJ539" s="268"/>
      <c r="UVK539" s="268"/>
      <c r="UVL539" s="268"/>
      <c r="UVM539" s="268"/>
      <c r="UVN539" s="268"/>
      <c r="UVO539" s="268"/>
      <c r="UVP539" s="268"/>
      <c r="UVQ539" s="268"/>
      <c r="UVR539" s="268"/>
      <c r="UVS539" s="268"/>
      <c r="UVT539" s="268"/>
      <c r="UVU539" s="268"/>
      <c r="UVV539" s="268"/>
      <c r="UVW539" s="268"/>
      <c r="UVX539" s="268"/>
      <c r="UVY539" s="268"/>
      <c r="UVZ539" s="268"/>
      <c r="UWA539" s="268"/>
      <c r="UWB539" s="268"/>
      <c r="UWC539" s="268"/>
      <c r="UWD539" s="268"/>
      <c r="UWE539" s="268"/>
      <c r="UWF539" s="268"/>
      <c r="UWG539" s="268"/>
      <c r="UWH539" s="268"/>
      <c r="UWI539" s="268"/>
      <c r="UWJ539" s="268"/>
      <c r="UWK539" s="268"/>
      <c r="UWL539" s="268"/>
      <c r="UWM539" s="268"/>
      <c r="UWN539" s="268"/>
      <c r="UWO539" s="268"/>
      <c r="UWP539" s="268"/>
      <c r="UWQ539" s="268"/>
      <c r="UWR539" s="268"/>
      <c r="UWS539" s="268"/>
      <c r="UWT539" s="268"/>
      <c r="UWU539" s="268"/>
      <c r="UWV539" s="268"/>
      <c r="UWW539" s="268"/>
      <c r="UWX539" s="268"/>
      <c r="UWY539" s="268"/>
      <c r="UWZ539" s="268"/>
      <c r="UXA539" s="268"/>
      <c r="UXB539" s="268"/>
      <c r="UXC539" s="268"/>
      <c r="UXD539" s="268"/>
      <c r="UXE539" s="268"/>
      <c r="UXF539" s="268"/>
      <c r="UXG539" s="268"/>
      <c r="UXH539" s="268"/>
      <c r="UXI539" s="268"/>
      <c r="UXJ539" s="268"/>
      <c r="UXK539" s="268"/>
      <c r="UXL539" s="268"/>
      <c r="UXM539" s="268"/>
      <c r="UXN539" s="268"/>
      <c r="UXO539" s="268"/>
      <c r="UXP539" s="268"/>
      <c r="UXQ539" s="268"/>
      <c r="UXR539" s="268"/>
      <c r="UXS539" s="268"/>
      <c r="UYG539" s="268"/>
      <c r="UYH539" s="268"/>
      <c r="UYI539" s="268"/>
      <c r="UYW539" s="268"/>
      <c r="UYY539" s="268"/>
      <c r="UYZ539" s="268"/>
      <c r="UZA539" s="268"/>
      <c r="UZB539" s="268"/>
      <c r="UZC539" s="268"/>
      <c r="UZD539" s="268"/>
      <c r="UZE539" s="268"/>
      <c r="UZF539" s="268"/>
      <c r="UZG539" s="268"/>
      <c r="UZH539" s="268"/>
      <c r="UZI539" s="268"/>
      <c r="UZJ539" s="268"/>
      <c r="UZK539" s="268"/>
      <c r="UZL539" s="268"/>
      <c r="UZM539" s="268"/>
      <c r="UZN539" s="268"/>
      <c r="UZO539" s="268"/>
      <c r="UZP539" s="268"/>
      <c r="UZQ539" s="268"/>
      <c r="UZR539" s="268"/>
      <c r="UZS539" s="268"/>
      <c r="UZT539" s="268"/>
      <c r="UZU539" s="268"/>
      <c r="UZV539" s="268"/>
      <c r="UZW539" s="268"/>
      <c r="UZX539" s="268"/>
      <c r="UZY539" s="268"/>
      <c r="UZZ539" s="268"/>
      <c r="VAA539" s="268"/>
      <c r="VAB539" s="268"/>
      <c r="VAC539" s="268"/>
      <c r="VAD539" s="268"/>
      <c r="VAE539" s="268"/>
      <c r="VAF539" s="268"/>
      <c r="VAG539" s="268"/>
      <c r="VAH539" s="268"/>
      <c r="VAI539" s="268"/>
      <c r="VAJ539" s="268"/>
      <c r="VAK539" s="268"/>
      <c r="VAL539" s="268"/>
      <c r="VAM539" s="268"/>
      <c r="VAN539" s="268"/>
      <c r="VAO539" s="268"/>
      <c r="VAP539" s="268"/>
      <c r="VAQ539" s="268"/>
      <c r="VAR539" s="268"/>
      <c r="VAS539" s="268"/>
      <c r="VAT539" s="268"/>
      <c r="VAU539" s="268"/>
      <c r="VAV539" s="268"/>
      <c r="VAW539" s="268"/>
      <c r="VAX539" s="268"/>
      <c r="VAY539" s="268"/>
      <c r="VAZ539" s="268"/>
      <c r="VBA539" s="268"/>
      <c r="VBB539" s="268"/>
      <c r="VBC539" s="268"/>
      <c r="VBD539" s="268"/>
      <c r="VBE539" s="268"/>
      <c r="VBF539" s="268"/>
      <c r="VBG539" s="268"/>
      <c r="VBH539" s="268"/>
      <c r="VBI539" s="268"/>
      <c r="VBJ539" s="268"/>
      <c r="VBK539" s="268"/>
      <c r="VBL539" s="268"/>
      <c r="VBM539" s="268"/>
      <c r="VBN539" s="268"/>
      <c r="VBO539" s="268"/>
      <c r="VBP539" s="268"/>
      <c r="VBQ539" s="268"/>
      <c r="VBR539" s="268"/>
      <c r="VBS539" s="268"/>
      <c r="VBT539" s="268"/>
      <c r="VBU539" s="268"/>
      <c r="VBV539" s="268"/>
      <c r="VBW539" s="268"/>
      <c r="VBX539" s="268"/>
      <c r="VBY539" s="268"/>
      <c r="VBZ539" s="268"/>
      <c r="VCA539" s="268"/>
      <c r="VCB539" s="268"/>
      <c r="VCC539" s="268"/>
      <c r="VCD539" s="268"/>
      <c r="VCE539" s="268"/>
      <c r="VCF539" s="268"/>
      <c r="VCG539" s="268"/>
      <c r="VCH539" s="268"/>
      <c r="VCI539" s="268"/>
      <c r="VCJ539" s="268"/>
      <c r="VCK539" s="268"/>
      <c r="VCL539" s="268"/>
      <c r="VCM539" s="268"/>
      <c r="VCN539" s="268"/>
      <c r="VCO539" s="268"/>
      <c r="VCP539" s="268"/>
      <c r="VCQ539" s="268"/>
      <c r="VCR539" s="268"/>
      <c r="VCS539" s="268"/>
      <c r="VCT539" s="268"/>
      <c r="VCU539" s="268"/>
      <c r="VCV539" s="268"/>
      <c r="VCW539" s="268"/>
      <c r="VCX539" s="268"/>
      <c r="VCY539" s="268"/>
      <c r="VCZ539" s="268"/>
      <c r="VDA539" s="268"/>
      <c r="VDB539" s="268"/>
      <c r="VDC539" s="268"/>
      <c r="VDD539" s="268"/>
      <c r="VDE539" s="268"/>
      <c r="VDF539" s="268"/>
      <c r="VDG539" s="268"/>
      <c r="VDH539" s="268"/>
      <c r="VDI539" s="268"/>
      <c r="VDJ539" s="268"/>
      <c r="VDK539" s="268"/>
      <c r="VDL539" s="268"/>
      <c r="VDM539" s="268"/>
      <c r="VDN539" s="268"/>
      <c r="VDO539" s="268"/>
      <c r="VDP539" s="268"/>
      <c r="VDQ539" s="268"/>
      <c r="VDR539" s="268"/>
      <c r="VDS539" s="268"/>
      <c r="VDT539" s="268"/>
      <c r="VDU539" s="268"/>
      <c r="VDV539" s="268"/>
      <c r="VDW539" s="268"/>
      <c r="VDX539" s="268"/>
      <c r="VDY539" s="268"/>
      <c r="VDZ539" s="268"/>
      <c r="VEA539" s="268"/>
      <c r="VEB539" s="268"/>
      <c r="VEC539" s="268"/>
      <c r="VED539" s="268"/>
      <c r="VEE539" s="268"/>
      <c r="VEF539" s="268"/>
      <c r="VEG539" s="268"/>
      <c r="VEH539" s="268"/>
      <c r="VEI539" s="268"/>
      <c r="VEJ539" s="268"/>
      <c r="VEK539" s="268"/>
      <c r="VEL539" s="268"/>
      <c r="VEM539" s="268"/>
      <c r="VEN539" s="268"/>
      <c r="VEO539" s="268"/>
      <c r="VEP539" s="268"/>
      <c r="VEQ539" s="268"/>
      <c r="VER539" s="268"/>
      <c r="VES539" s="268"/>
      <c r="VET539" s="268"/>
      <c r="VEU539" s="268"/>
      <c r="VEV539" s="268"/>
      <c r="VEW539" s="268"/>
      <c r="VEX539" s="268"/>
      <c r="VEY539" s="268"/>
      <c r="VEZ539" s="268"/>
      <c r="VFA539" s="268"/>
      <c r="VFB539" s="268"/>
      <c r="VFC539" s="268"/>
      <c r="VFD539" s="268"/>
      <c r="VFE539" s="268"/>
      <c r="VFF539" s="268"/>
      <c r="VFG539" s="268"/>
      <c r="VFH539" s="268"/>
      <c r="VFI539" s="268"/>
      <c r="VFJ539" s="268"/>
      <c r="VFK539" s="268"/>
      <c r="VFL539" s="268"/>
      <c r="VFM539" s="268"/>
      <c r="VFN539" s="268"/>
      <c r="VFO539" s="268"/>
      <c r="VFP539" s="268"/>
      <c r="VFQ539" s="268"/>
      <c r="VFR539" s="268"/>
      <c r="VFS539" s="268"/>
      <c r="VFT539" s="268"/>
      <c r="VFU539" s="268"/>
      <c r="VFV539" s="268"/>
      <c r="VFW539" s="268"/>
      <c r="VFX539" s="268"/>
      <c r="VFY539" s="268"/>
      <c r="VFZ539" s="268"/>
      <c r="VGA539" s="268"/>
      <c r="VGB539" s="268"/>
      <c r="VGC539" s="268"/>
      <c r="VGD539" s="268"/>
      <c r="VGE539" s="268"/>
      <c r="VGF539" s="268"/>
      <c r="VGG539" s="268"/>
      <c r="VGH539" s="268"/>
      <c r="VGI539" s="268"/>
      <c r="VGJ539" s="268"/>
      <c r="VGK539" s="268"/>
      <c r="VGL539" s="268"/>
      <c r="VGM539" s="268"/>
      <c r="VGN539" s="268"/>
      <c r="VGO539" s="268"/>
      <c r="VGP539" s="268"/>
      <c r="VGQ539" s="268"/>
      <c r="VGR539" s="268"/>
      <c r="VGS539" s="268"/>
      <c r="VGT539" s="268"/>
      <c r="VGU539" s="268"/>
      <c r="VGV539" s="268"/>
      <c r="VGW539" s="268"/>
      <c r="VGX539" s="268"/>
      <c r="VGY539" s="268"/>
      <c r="VGZ539" s="268"/>
      <c r="VHA539" s="268"/>
      <c r="VHB539" s="268"/>
      <c r="VHC539" s="268"/>
      <c r="VHD539" s="268"/>
      <c r="VHE539" s="268"/>
      <c r="VHF539" s="268"/>
      <c r="VHG539" s="268"/>
      <c r="VHH539" s="268"/>
      <c r="VHI539" s="268"/>
      <c r="VHJ539" s="268"/>
      <c r="VHK539" s="268"/>
      <c r="VHL539" s="268"/>
      <c r="VHM539" s="268"/>
      <c r="VHN539" s="268"/>
      <c r="VHO539" s="268"/>
      <c r="VIC539" s="268"/>
      <c r="VID539" s="268"/>
      <c r="VIE539" s="268"/>
      <c r="VIS539" s="268"/>
      <c r="VIU539" s="268"/>
      <c r="VIV539" s="268"/>
      <c r="VIW539" s="268"/>
      <c r="VIX539" s="268"/>
      <c r="VIY539" s="268"/>
      <c r="VIZ539" s="268"/>
      <c r="VJA539" s="268"/>
      <c r="VJB539" s="268"/>
      <c r="VJC539" s="268"/>
      <c r="VJD539" s="268"/>
      <c r="VJE539" s="268"/>
      <c r="VJF539" s="268"/>
      <c r="VJG539" s="268"/>
      <c r="VJH539" s="268"/>
      <c r="VJI539" s="268"/>
      <c r="VJJ539" s="268"/>
      <c r="VJK539" s="268"/>
      <c r="VJL539" s="268"/>
      <c r="VJM539" s="268"/>
      <c r="VJN539" s="268"/>
      <c r="VJO539" s="268"/>
      <c r="VJP539" s="268"/>
      <c r="VJQ539" s="268"/>
      <c r="VJR539" s="268"/>
      <c r="VJS539" s="268"/>
      <c r="VJT539" s="268"/>
      <c r="VJU539" s="268"/>
      <c r="VJV539" s="268"/>
      <c r="VJW539" s="268"/>
      <c r="VJX539" s="268"/>
      <c r="VJY539" s="268"/>
      <c r="VJZ539" s="268"/>
      <c r="VKA539" s="268"/>
      <c r="VKB539" s="268"/>
      <c r="VKC539" s="268"/>
      <c r="VKD539" s="268"/>
      <c r="VKE539" s="268"/>
      <c r="VKF539" s="268"/>
      <c r="VKG539" s="268"/>
      <c r="VKH539" s="268"/>
      <c r="VKI539" s="268"/>
      <c r="VKJ539" s="268"/>
      <c r="VKK539" s="268"/>
      <c r="VKL539" s="268"/>
      <c r="VKM539" s="268"/>
      <c r="VKN539" s="268"/>
      <c r="VKO539" s="268"/>
      <c r="VKP539" s="268"/>
      <c r="VKQ539" s="268"/>
      <c r="VKR539" s="268"/>
      <c r="VKS539" s="268"/>
      <c r="VKT539" s="268"/>
      <c r="VKU539" s="268"/>
      <c r="VKV539" s="268"/>
      <c r="VKW539" s="268"/>
      <c r="VKX539" s="268"/>
      <c r="VKY539" s="268"/>
      <c r="VKZ539" s="268"/>
      <c r="VLA539" s="268"/>
      <c r="VLB539" s="268"/>
      <c r="VLC539" s="268"/>
      <c r="VLD539" s="268"/>
      <c r="VLE539" s="268"/>
      <c r="VLF539" s="268"/>
      <c r="VLG539" s="268"/>
      <c r="VLH539" s="268"/>
      <c r="VLI539" s="268"/>
      <c r="VLJ539" s="268"/>
      <c r="VLK539" s="268"/>
      <c r="VLL539" s="268"/>
      <c r="VLM539" s="268"/>
      <c r="VLN539" s="268"/>
      <c r="VLO539" s="268"/>
      <c r="VLP539" s="268"/>
      <c r="VLQ539" s="268"/>
      <c r="VLR539" s="268"/>
      <c r="VLS539" s="268"/>
      <c r="VLT539" s="268"/>
      <c r="VLU539" s="268"/>
      <c r="VLV539" s="268"/>
      <c r="VLW539" s="268"/>
      <c r="VLX539" s="268"/>
      <c r="VLY539" s="268"/>
      <c r="VLZ539" s="268"/>
      <c r="VMA539" s="268"/>
      <c r="VMB539" s="268"/>
      <c r="VMC539" s="268"/>
      <c r="VMD539" s="268"/>
      <c r="VME539" s="268"/>
      <c r="VMF539" s="268"/>
      <c r="VMG539" s="268"/>
      <c r="VMH539" s="268"/>
      <c r="VMI539" s="268"/>
      <c r="VMJ539" s="268"/>
      <c r="VMK539" s="268"/>
      <c r="VML539" s="268"/>
      <c r="VMM539" s="268"/>
      <c r="VMN539" s="268"/>
      <c r="VMO539" s="268"/>
      <c r="VMP539" s="268"/>
      <c r="VMQ539" s="268"/>
      <c r="VMR539" s="268"/>
      <c r="VMS539" s="268"/>
      <c r="VMT539" s="268"/>
      <c r="VMU539" s="268"/>
      <c r="VMV539" s="268"/>
      <c r="VMW539" s="268"/>
      <c r="VMX539" s="268"/>
      <c r="VMY539" s="268"/>
      <c r="VMZ539" s="268"/>
      <c r="VNA539" s="268"/>
      <c r="VNB539" s="268"/>
      <c r="VNC539" s="268"/>
      <c r="VND539" s="268"/>
      <c r="VNE539" s="268"/>
      <c r="VNF539" s="268"/>
      <c r="VNG539" s="268"/>
      <c r="VNH539" s="268"/>
      <c r="VNI539" s="268"/>
      <c r="VNJ539" s="268"/>
      <c r="VNK539" s="268"/>
      <c r="VNL539" s="268"/>
      <c r="VNM539" s="268"/>
      <c r="VNN539" s="268"/>
      <c r="VNO539" s="268"/>
      <c r="VNP539" s="268"/>
      <c r="VNQ539" s="268"/>
      <c r="VNR539" s="268"/>
      <c r="VNS539" s="268"/>
      <c r="VNT539" s="268"/>
      <c r="VNU539" s="268"/>
      <c r="VNV539" s="268"/>
      <c r="VNW539" s="268"/>
      <c r="VNX539" s="268"/>
      <c r="VNY539" s="268"/>
      <c r="VNZ539" s="268"/>
      <c r="VOA539" s="268"/>
      <c r="VOB539" s="268"/>
      <c r="VOC539" s="268"/>
      <c r="VOD539" s="268"/>
      <c r="VOE539" s="268"/>
      <c r="VOF539" s="268"/>
      <c r="VOG539" s="268"/>
      <c r="VOH539" s="268"/>
      <c r="VOI539" s="268"/>
      <c r="VOJ539" s="268"/>
      <c r="VOK539" s="268"/>
      <c r="VOL539" s="268"/>
      <c r="VOM539" s="268"/>
      <c r="VON539" s="268"/>
      <c r="VOO539" s="268"/>
      <c r="VOP539" s="268"/>
      <c r="VOQ539" s="268"/>
      <c r="VOR539" s="268"/>
      <c r="VOS539" s="268"/>
      <c r="VOT539" s="268"/>
      <c r="VOU539" s="268"/>
      <c r="VOV539" s="268"/>
      <c r="VOW539" s="268"/>
      <c r="VOX539" s="268"/>
      <c r="VOY539" s="268"/>
      <c r="VOZ539" s="268"/>
      <c r="VPA539" s="268"/>
      <c r="VPB539" s="268"/>
      <c r="VPC539" s="268"/>
      <c r="VPD539" s="268"/>
      <c r="VPE539" s="268"/>
      <c r="VPF539" s="268"/>
      <c r="VPG539" s="268"/>
      <c r="VPH539" s="268"/>
      <c r="VPI539" s="268"/>
      <c r="VPJ539" s="268"/>
      <c r="VPK539" s="268"/>
      <c r="VPL539" s="268"/>
      <c r="VPM539" s="268"/>
      <c r="VPN539" s="268"/>
      <c r="VPO539" s="268"/>
      <c r="VPP539" s="268"/>
      <c r="VPQ539" s="268"/>
      <c r="VPR539" s="268"/>
      <c r="VPS539" s="268"/>
      <c r="VPT539" s="268"/>
      <c r="VPU539" s="268"/>
      <c r="VPV539" s="268"/>
      <c r="VPW539" s="268"/>
      <c r="VPX539" s="268"/>
      <c r="VPY539" s="268"/>
      <c r="VPZ539" s="268"/>
      <c r="VQA539" s="268"/>
      <c r="VQB539" s="268"/>
      <c r="VQC539" s="268"/>
      <c r="VQD539" s="268"/>
      <c r="VQE539" s="268"/>
      <c r="VQF539" s="268"/>
      <c r="VQG539" s="268"/>
      <c r="VQH539" s="268"/>
      <c r="VQI539" s="268"/>
      <c r="VQJ539" s="268"/>
      <c r="VQK539" s="268"/>
      <c r="VQL539" s="268"/>
      <c r="VQM539" s="268"/>
      <c r="VQN539" s="268"/>
      <c r="VQO539" s="268"/>
      <c r="VQP539" s="268"/>
      <c r="VQQ539" s="268"/>
      <c r="VQR539" s="268"/>
      <c r="VQS539" s="268"/>
      <c r="VQT539" s="268"/>
      <c r="VQU539" s="268"/>
      <c r="VQV539" s="268"/>
      <c r="VQW539" s="268"/>
      <c r="VQX539" s="268"/>
      <c r="VQY539" s="268"/>
      <c r="VQZ539" s="268"/>
      <c r="VRA539" s="268"/>
      <c r="VRB539" s="268"/>
      <c r="VRC539" s="268"/>
      <c r="VRD539" s="268"/>
      <c r="VRE539" s="268"/>
      <c r="VRF539" s="268"/>
      <c r="VRG539" s="268"/>
      <c r="VRH539" s="268"/>
      <c r="VRI539" s="268"/>
      <c r="VRJ539" s="268"/>
      <c r="VRK539" s="268"/>
      <c r="VRY539" s="268"/>
      <c r="VRZ539" s="268"/>
      <c r="VSA539" s="268"/>
      <c r="VSO539" s="268"/>
      <c r="VSQ539" s="268"/>
      <c r="VSR539" s="268"/>
      <c r="VSS539" s="268"/>
      <c r="VST539" s="268"/>
      <c r="VSU539" s="268"/>
      <c r="VSV539" s="268"/>
      <c r="VSW539" s="268"/>
      <c r="VSX539" s="268"/>
      <c r="VSY539" s="268"/>
      <c r="VSZ539" s="268"/>
      <c r="VTA539" s="268"/>
      <c r="VTB539" s="268"/>
      <c r="VTC539" s="268"/>
      <c r="VTD539" s="268"/>
      <c r="VTE539" s="268"/>
      <c r="VTF539" s="268"/>
      <c r="VTG539" s="268"/>
      <c r="VTH539" s="268"/>
      <c r="VTI539" s="268"/>
      <c r="VTJ539" s="268"/>
      <c r="VTK539" s="268"/>
      <c r="VTL539" s="268"/>
      <c r="VTM539" s="268"/>
      <c r="VTN539" s="268"/>
      <c r="VTO539" s="268"/>
      <c r="VTP539" s="268"/>
      <c r="VTQ539" s="268"/>
      <c r="VTR539" s="268"/>
      <c r="VTS539" s="268"/>
      <c r="VTT539" s="268"/>
      <c r="VTU539" s="268"/>
      <c r="VTV539" s="268"/>
      <c r="VTW539" s="268"/>
      <c r="VTX539" s="268"/>
      <c r="VTY539" s="268"/>
      <c r="VTZ539" s="268"/>
      <c r="VUA539" s="268"/>
      <c r="VUB539" s="268"/>
      <c r="VUC539" s="268"/>
      <c r="VUD539" s="268"/>
      <c r="VUE539" s="268"/>
      <c r="VUF539" s="268"/>
      <c r="VUG539" s="268"/>
      <c r="VUH539" s="268"/>
      <c r="VUI539" s="268"/>
      <c r="VUJ539" s="268"/>
      <c r="VUK539" s="268"/>
      <c r="VUL539" s="268"/>
      <c r="VUM539" s="268"/>
      <c r="VUN539" s="268"/>
      <c r="VUO539" s="268"/>
      <c r="VUP539" s="268"/>
      <c r="VUQ539" s="268"/>
      <c r="VUR539" s="268"/>
      <c r="VUS539" s="268"/>
      <c r="VUT539" s="268"/>
      <c r="VUU539" s="268"/>
      <c r="VUV539" s="268"/>
      <c r="VUW539" s="268"/>
      <c r="VUX539" s="268"/>
      <c r="VUY539" s="268"/>
      <c r="VUZ539" s="268"/>
      <c r="VVA539" s="268"/>
      <c r="VVB539" s="268"/>
      <c r="VVC539" s="268"/>
      <c r="VVD539" s="268"/>
      <c r="VVE539" s="268"/>
      <c r="VVF539" s="268"/>
      <c r="VVG539" s="268"/>
      <c r="VVH539" s="268"/>
      <c r="VVI539" s="268"/>
      <c r="VVJ539" s="268"/>
      <c r="VVK539" s="268"/>
      <c r="VVL539" s="268"/>
      <c r="VVM539" s="268"/>
      <c r="VVN539" s="268"/>
      <c r="VVO539" s="268"/>
      <c r="VVP539" s="268"/>
      <c r="VVQ539" s="268"/>
      <c r="VVR539" s="268"/>
      <c r="VVS539" s="268"/>
      <c r="VVT539" s="268"/>
      <c r="VVU539" s="268"/>
      <c r="VVV539" s="268"/>
      <c r="VVW539" s="268"/>
      <c r="VVX539" s="268"/>
      <c r="VVY539" s="268"/>
      <c r="VVZ539" s="268"/>
      <c r="VWA539" s="268"/>
      <c r="VWB539" s="268"/>
      <c r="VWC539" s="268"/>
      <c r="VWD539" s="268"/>
      <c r="VWE539" s="268"/>
      <c r="VWF539" s="268"/>
      <c r="VWG539" s="268"/>
      <c r="VWH539" s="268"/>
      <c r="VWI539" s="268"/>
      <c r="VWJ539" s="268"/>
      <c r="VWK539" s="268"/>
      <c r="VWL539" s="268"/>
      <c r="VWM539" s="268"/>
      <c r="VWN539" s="268"/>
      <c r="VWO539" s="268"/>
      <c r="VWP539" s="268"/>
      <c r="VWQ539" s="268"/>
      <c r="VWR539" s="268"/>
      <c r="VWS539" s="268"/>
      <c r="VWT539" s="268"/>
      <c r="VWU539" s="268"/>
      <c r="VWV539" s="268"/>
      <c r="VWW539" s="268"/>
      <c r="VWX539" s="268"/>
      <c r="VWY539" s="268"/>
      <c r="VWZ539" s="268"/>
      <c r="VXA539" s="268"/>
      <c r="VXB539" s="268"/>
      <c r="VXC539" s="268"/>
      <c r="VXD539" s="268"/>
      <c r="VXE539" s="268"/>
      <c r="VXF539" s="268"/>
      <c r="VXG539" s="268"/>
      <c r="VXH539" s="268"/>
      <c r="VXI539" s="268"/>
      <c r="VXJ539" s="268"/>
      <c r="VXK539" s="268"/>
      <c r="VXL539" s="268"/>
      <c r="VXM539" s="268"/>
      <c r="VXN539" s="268"/>
      <c r="VXO539" s="268"/>
      <c r="VXP539" s="268"/>
      <c r="VXQ539" s="268"/>
      <c r="VXR539" s="268"/>
      <c r="VXS539" s="268"/>
      <c r="VXT539" s="268"/>
      <c r="VXU539" s="268"/>
      <c r="VXV539" s="268"/>
      <c r="VXW539" s="268"/>
      <c r="VXX539" s="268"/>
      <c r="VXY539" s="268"/>
      <c r="VXZ539" s="268"/>
      <c r="VYA539" s="268"/>
      <c r="VYB539" s="268"/>
      <c r="VYC539" s="268"/>
      <c r="VYD539" s="268"/>
      <c r="VYE539" s="268"/>
      <c r="VYF539" s="268"/>
      <c r="VYG539" s="268"/>
      <c r="VYH539" s="268"/>
      <c r="VYI539" s="268"/>
      <c r="VYJ539" s="268"/>
      <c r="VYK539" s="268"/>
      <c r="VYL539" s="268"/>
      <c r="VYM539" s="268"/>
      <c r="VYN539" s="268"/>
      <c r="VYO539" s="268"/>
      <c r="VYP539" s="268"/>
      <c r="VYQ539" s="268"/>
      <c r="VYR539" s="268"/>
      <c r="VYS539" s="268"/>
      <c r="VYT539" s="268"/>
      <c r="VYU539" s="268"/>
      <c r="VYV539" s="268"/>
      <c r="VYW539" s="268"/>
      <c r="VYX539" s="268"/>
      <c r="VYY539" s="268"/>
      <c r="VYZ539" s="268"/>
      <c r="VZA539" s="268"/>
      <c r="VZB539" s="268"/>
      <c r="VZC539" s="268"/>
      <c r="VZD539" s="268"/>
      <c r="VZE539" s="268"/>
      <c r="VZF539" s="268"/>
      <c r="VZG539" s="268"/>
      <c r="VZH539" s="268"/>
      <c r="VZI539" s="268"/>
      <c r="VZJ539" s="268"/>
      <c r="VZK539" s="268"/>
      <c r="VZL539" s="268"/>
      <c r="VZM539" s="268"/>
      <c r="VZN539" s="268"/>
      <c r="VZO539" s="268"/>
      <c r="VZP539" s="268"/>
      <c r="VZQ539" s="268"/>
      <c r="VZR539" s="268"/>
      <c r="VZS539" s="268"/>
      <c r="VZT539" s="268"/>
      <c r="VZU539" s="268"/>
      <c r="VZV539" s="268"/>
      <c r="VZW539" s="268"/>
      <c r="VZX539" s="268"/>
      <c r="VZY539" s="268"/>
      <c r="VZZ539" s="268"/>
      <c r="WAA539" s="268"/>
      <c r="WAB539" s="268"/>
      <c r="WAC539" s="268"/>
      <c r="WAD539" s="268"/>
      <c r="WAE539" s="268"/>
      <c r="WAF539" s="268"/>
      <c r="WAG539" s="268"/>
      <c r="WAH539" s="268"/>
      <c r="WAI539" s="268"/>
      <c r="WAJ539" s="268"/>
      <c r="WAK539" s="268"/>
      <c r="WAL539" s="268"/>
      <c r="WAM539" s="268"/>
      <c r="WAN539" s="268"/>
      <c r="WAO539" s="268"/>
      <c r="WAP539" s="268"/>
      <c r="WAQ539" s="268"/>
      <c r="WAR539" s="268"/>
      <c r="WAS539" s="268"/>
      <c r="WAT539" s="268"/>
      <c r="WAU539" s="268"/>
      <c r="WAV539" s="268"/>
      <c r="WAW539" s="268"/>
      <c r="WAX539" s="268"/>
      <c r="WAY539" s="268"/>
      <c r="WAZ539" s="268"/>
      <c r="WBA539" s="268"/>
      <c r="WBB539" s="268"/>
      <c r="WBC539" s="268"/>
      <c r="WBD539" s="268"/>
      <c r="WBE539" s="268"/>
      <c r="WBF539" s="268"/>
      <c r="WBG539" s="268"/>
      <c r="WBU539" s="268"/>
      <c r="WBV539" s="268"/>
      <c r="WBW539" s="268"/>
      <c r="WCK539" s="268"/>
      <c r="WCM539" s="268"/>
      <c r="WCN539" s="268"/>
      <c r="WCO539" s="268"/>
      <c r="WCP539" s="268"/>
      <c r="WCQ539" s="268"/>
      <c r="WCR539" s="268"/>
      <c r="WCS539" s="268"/>
      <c r="WCT539" s="268"/>
      <c r="WCU539" s="268"/>
      <c r="WCV539" s="268"/>
      <c r="WCW539" s="268"/>
      <c r="WCX539" s="268"/>
      <c r="WCY539" s="268"/>
      <c r="WCZ539" s="268"/>
      <c r="WDA539" s="268"/>
      <c r="WDB539" s="268"/>
      <c r="WDC539" s="268"/>
      <c r="WDD539" s="268"/>
      <c r="WDE539" s="268"/>
      <c r="WDF539" s="268"/>
      <c r="WDG539" s="268"/>
      <c r="WDH539" s="268"/>
      <c r="WDI539" s="268"/>
      <c r="WDJ539" s="268"/>
      <c r="WDK539" s="268"/>
      <c r="WDL539" s="268"/>
      <c r="WDM539" s="268"/>
      <c r="WDN539" s="268"/>
      <c r="WDO539" s="268"/>
      <c r="WDP539" s="268"/>
      <c r="WDQ539" s="268"/>
      <c r="WDR539" s="268"/>
      <c r="WDS539" s="268"/>
      <c r="WDT539" s="268"/>
      <c r="WDU539" s="268"/>
      <c r="WDV539" s="268"/>
      <c r="WDW539" s="268"/>
      <c r="WDX539" s="268"/>
      <c r="WDY539" s="268"/>
      <c r="WDZ539" s="268"/>
      <c r="WEA539" s="268"/>
      <c r="WEB539" s="268"/>
      <c r="WEC539" s="268"/>
      <c r="WED539" s="268"/>
      <c r="WEE539" s="268"/>
      <c r="WEF539" s="268"/>
      <c r="WEG539" s="268"/>
      <c r="WEH539" s="268"/>
      <c r="WEI539" s="268"/>
      <c r="WEJ539" s="268"/>
      <c r="WEK539" s="268"/>
      <c r="WEL539" s="268"/>
      <c r="WEM539" s="268"/>
      <c r="WEN539" s="268"/>
      <c r="WEO539" s="268"/>
      <c r="WEP539" s="268"/>
      <c r="WEQ539" s="268"/>
      <c r="WER539" s="268"/>
      <c r="WES539" s="268"/>
      <c r="WET539" s="268"/>
      <c r="WEU539" s="268"/>
      <c r="WEV539" s="268"/>
      <c r="WEW539" s="268"/>
      <c r="WEX539" s="268"/>
      <c r="WEY539" s="268"/>
      <c r="WEZ539" s="268"/>
      <c r="WFA539" s="268"/>
      <c r="WFB539" s="268"/>
      <c r="WFC539" s="268"/>
      <c r="WFD539" s="268"/>
      <c r="WFE539" s="268"/>
      <c r="WFF539" s="268"/>
      <c r="WFG539" s="268"/>
      <c r="WFH539" s="268"/>
      <c r="WFI539" s="268"/>
      <c r="WFJ539" s="268"/>
      <c r="WFK539" s="268"/>
      <c r="WFL539" s="268"/>
      <c r="WFM539" s="268"/>
      <c r="WFN539" s="268"/>
      <c r="WFO539" s="268"/>
      <c r="WFP539" s="268"/>
      <c r="WFQ539" s="268"/>
      <c r="WFR539" s="268"/>
      <c r="WFS539" s="268"/>
      <c r="WFT539" s="268"/>
      <c r="WFU539" s="268"/>
      <c r="WFV539" s="268"/>
      <c r="WFW539" s="268"/>
      <c r="WFX539" s="268"/>
      <c r="WFY539" s="268"/>
      <c r="WFZ539" s="268"/>
      <c r="WGA539" s="268"/>
      <c r="WGB539" s="268"/>
      <c r="WGC539" s="268"/>
      <c r="WGD539" s="268"/>
      <c r="WGE539" s="268"/>
      <c r="WGF539" s="268"/>
      <c r="WGG539" s="268"/>
      <c r="WGH539" s="268"/>
      <c r="WGI539" s="268"/>
      <c r="WGJ539" s="268"/>
      <c r="WGK539" s="268"/>
      <c r="WGL539" s="268"/>
      <c r="WGM539" s="268"/>
      <c r="WGN539" s="268"/>
      <c r="WGO539" s="268"/>
      <c r="WGP539" s="268"/>
      <c r="WGQ539" s="268"/>
      <c r="WGR539" s="268"/>
      <c r="WGS539" s="268"/>
      <c r="WGT539" s="268"/>
      <c r="WGU539" s="268"/>
      <c r="WGV539" s="268"/>
      <c r="WGW539" s="268"/>
      <c r="WGX539" s="268"/>
      <c r="WGY539" s="268"/>
      <c r="WGZ539" s="268"/>
      <c r="WHA539" s="268"/>
      <c r="WHB539" s="268"/>
      <c r="WHC539" s="268"/>
      <c r="WHD539" s="268"/>
      <c r="WHE539" s="268"/>
      <c r="WHF539" s="268"/>
      <c r="WHG539" s="268"/>
      <c r="WHH539" s="268"/>
      <c r="WHI539" s="268"/>
      <c r="WHJ539" s="268"/>
      <c r="WHK539" s="268"/>
      <c r="WHL539" s="268"/>
      <c r="WHM539" s="268"/>
      <c r="WHN539" s="268"/>
      <c r="WHO539" s="268"/>
      <c r="WHP539" s="268"/>
      <c r="WHQ539" s="268"/>
      <c r="WHR539" s="268"/>
      <c r="WHS539" s="268"/>
      <c r="WHT539" s="268"/>
      <c r="WHU539" s="268"/>
      <c r="WHV539" s="268"/>
      <c r="WHW539" s="268"/>
      <c r="WHX539" s="268"/>
      <c r="WHY539" s="268"/>
      <c r="WHZ539" s="268"/>
      <c r="WIA539" s="268"/>
      <c r="WIB539" s="268"/>
      <c r="WIC539" s="268"/>
      <c r="WID539" s="268"/>
      <c r="WIE539" s="268"/>
      <c r="WIF539" s="268"/>
      <c r="WIG539" s="268"/>
      <c r="WIH539" s="268"/>
      <c r="WII539" s="268"/>
      <c r="WIJ539" s="268"/>
      <c r="WIK539" s="268"/>
      <c r="WIL539" s="268"/>
      <c r="WIM539" s="268"/>
      <c r="WIN539" s="268"/>
      <c r="WIO539" s="268"/>
      <c r="WIP539" s="268"/>
      <c r="WIQ539" s="268"/>
      <c r="WIR539" s="268"/>
      <c r="WIS539" s="268"/>
      <c r="WIT539" s="268"/>
      <c r="WIU539" s="268"/>
      <c r="WIV539" s="268"/>
      <c r="WIW539" s="268"/>
      <c r="WIX539" s="268"/>
      <c r="WIY539" s="268"/>
      <c r="WIZ539" s="268"/>
      <c r="WJA539" s="268"/>
      <c r="WJB539" s="268"/>
      <c r="WJC539" s="268"/>
      <c r="WJD539" s="268"/>
      <c r="WJE539" s="268"/>
      <c r="WJF539" s="268"/>
      <c r="WJG539" s="268"/>
      <c r="WJH539" s="268"/>
      <c r="WJI539" s="268"/>
      <c r="WJJ539" s="268"/>
      <c r="WJK539" s="268"/>
      <c r="WJL539" s="268"/>
      <c r="WJM539" s="268"/>
      <c r="WJN539" s="268"/>
      <c r="WJO539" s="268"/>
      <c r="WJP539" s="268"/>
      <c r="WJQ539" s="268"/>
      <c r="WJR539" s="268"/>
      <c r="WJS539" s="268"/>
      <c r="WJT539" s="268"/>
      <c r="WJU539" s="268"/>
      <c r="WJV539" s="268"/>
      <c r="WJW539" s="268"/>
      <c r="WJX539" s="268"/>
      <c r="WJY539" s="268"/>
      <c r="WJZ539" s="268"/>
      <c r="WKA539" s="268"/>
      <c r="WKB539" s="268"/>
      <c r="WKC539" s="268"/>
      <c r="WKD539" s="268"/>
      <c r="WKE539" s="268"/>
      <c r="WKF539" s="268"/>
      <c r="WKG539" s="268"/>
      <c r="WKH539" s="268"/>
      <c r="WKI539" s="268"/>
      <c r="WKJ539" s="268"/>
      <c r="WKK539" s="268"/>
      <c r="WKL539" s="268"/>
      <c r="WKM539" s="268"/>
      <c r="WKN539" s="268"/>
      <c r="WKO539" s="268"/>
      <c r="WKP539" s="268"/>
      <c r="WKQ539" s="268"/>
      <c r="WKR539" s="268"/>
      <c r="WKS539" s="268"/>
      <c r="WKT539" s="268"/>
      <c r="WKU539" s="268"/>
      <c r="WKV539" s="268"/>
      <c r="WKW539" s="268"/>
      <c r="WKX539" s="268"/>
      <c r="WKY539" s="268"/>
      <c r="WKZ539" s="268"/>
      <c r="WLA539" s="268"/>
      <c r="WLB539" s="268"/>
      <c r="WLC539" s="268"/>
      <c r="WLQ539" s="268"/>
      <c r="WLR539" s="268"/>
      <c r="WLS539" s="268"/>
      <c r="WMG539" s="268"/>
      <c r="WMI539" s="268"/>
      <c r="WMJ539" s="268"/>
      <c r="WMK539" s="268"/>
      <c r="WML539" s="268"/>
      <c r="WMM539" s="268"/>
      <c r="WMN539" s="268"/>
      <c r="WMO539" s="268"/>
      <c r="WMP539" s="268"/>
      <c r="WMQ539" s="268"/>
      <c r="WMR539" s="268"/>
      <c r="WMS539" s="268"/>
      <c r="WMT539" s="268"/>
      <c r="WMU539" s="268"/>
      <c r="WMV539" s="268"/>
      <c r="WMW539" s="268"/>
      <c r="WMX539" s="268"/>
      <c r="WMY539" s="268"/>
      <c r="WMZ539" s="268"/>
      <c r="WNA539" s="268"/>
      <c r="WNB539" s="268"/>
      <c r="WNC539" s="268"/>
      <c r="WND539" s="268"/>
      <c r="WNE539" s="268"/>
      <c r="WNF539" s="268"/>
      <c r="WNG539" s="268"/>
      <c r="WNH539" s="268"/>
      <c r="WNI539" s="268"/>
      <c r="WNJ539" s="268"/>
      <c r="WNK539" s="268"/>
      <c r="WNL539" s="268"/>
      <c r="WNM539" s="268"/>
      <c r="WNN539" s="268"/>
      <c r="WNO539" s="268"/>
      <c r="WNP539" s="268"/>
      <c r="WNQ539" s="268"/>
      <c r="WNR539" s="268"/>
      <c r="WNS539" s="268"/>
      <c r="WNT539" s="268"/>
      <c r="WNU539" s="268"/>
      <c r="WNV539" s="268"/>
      <c r="WNW539" s="268"/>
      <c r="WNX539" s="268"/>
      <c r="WNY539" s="268"/>
      <c r="WNZ539" s="268"/>
      <c r="WOA539" s="268"/>
      <c r="WOB539" s="268"/>
      <c r="WOC539" s="268"/>
      <c r="WOD539" s="268"/>
      <c r="WOE539" s="268"/>
      <c r="WOF539" s="268"/>
      <c r="WOG539" s="268"/>
      <c r="WOH539" s="268"/>
      <c r="WOI539" s="268"/>
      <c r="WOJ539" s="268"/>
      <c r="WOK539" s="268"/>
      <c r="WOL539" s="268"/>
      <c r="WOM539" s="268"/>
      <c r="WON539" s="268"/>
      <c r="WOO539" s="268"/>
      <c r="WOP539" s="268"/>
      <c r="WOQ539" s="268"/>
      <c r="WOR539" s="268"/>
      <c r="WOS539" s="268"/>
      <c r="WOT539" s="268"/>
      <c r="WOU539" s="268"/>
      <c r="WOV539" s="268"/>
      <c r="WOW539" s="268"/>
      <c r="WOX539" s="268"/>
      <c r="WOY539" s="268"/>
      <c r="WOZ539" s="268"/>
      <c r="WPA539" s="268"/>
      <c r="WPB539" s="268"/>
      <c r="WPC539" s="268"/>
      <c r="WPD539" s="268"/>
      <c r="WPE539" s="268"/>
      <c r="WPF539" s="268"/>
      <c r="WPG539" s="268"/>
      <c r="WPH539" s="268"/>
      <c r="WPI539" s="268"/>
      <c r="WPJ539" s="268"/>
      <c r="WPK539" s="268"/>
      <c r="WPL539" s="268"/>
      <c r="WPM539" s="268"/>
      <c r="WPN539" s="268"/>
      <c r="WPO539" s="268"/>
      <c r="WPP539" s="268"/>
      <c r="WPQ539" s="268"/>
      <c r="WPR539" s="268"/>
      <c r="WPS539" s="268"/>
      <c r="WPT539" s="268"/>
      <c r="WPU539" s="268"/>
      <c r="WPV539" s="268"/>
      <c r="WPW539" s="268"/>
      <c r="WPX539" s="268"/>
      <c r="WPY539" s="268"/>
      <c r="WPZ539" s="268"/>
      <c r="WQA539" s="268"/>
      <c r="WQB539" s="268"/>
      <c r="WQC539" s="268"/>
      <c r="WQD539" s="268"/>
      <c r="WQE539" s="268"/>
      <c r="WQF539" s="268"/>
      <c r="WQG539" s="268"/>
      <c r="WQH539" s="268"/>
      <c r="WQI539" s="268"/>
      <c r="WQJ539" s="268"/>
      <c r="WQK539" s="268"/>
      <c r="WQL539" s="268"/>
      <c r="WQM539" s="268"/>
      <c r="WQN539" s="268"/>
      <c r="WQO539" s="268"/>
      <c r="WQP539" s="268"/>
      <c r="WQQ539" s="268"/>
      <c r="WQR539" s="268"/>
      <c r="WQS539" s="268"/>
      <c r="WQT539" s="268"/>
      <c r="WQU539" s="268"/>
      <c r="WQV539" s="268"/>
      <c r="WQW539" s="268"/>
      <c r="WQX539" s="268"/>
      <c r="WQY539" s="268"/>
      <c r="WQZ539" s="268"/>
      <c r="WRA539" s="268"/>
      <c r="WRB539" s="268"/>
      <c r="WRC539" s="268"/>
      <c r="WRD539" s="268"/>
      <c r="WRE539" s="268"/>
      <c r="WRF539" s="268"/>
      <c r="WRG539" s="268"/>
      <c r="WRH539" s="268"/>
      <c r="WRI539" s="268"/>
      <c r="WRJ539" s="268"/>
      <c r="WRK539" s="268"/>
      <c r="WRL539" s="268"/>
      <c r="WRM539" s="268"/>
      <c r="WRN539" s="268"/>
      <c r="WRO539" s="268"/>
      <c r="WRP539" s="268"/>
      <c r="WRQ539" s="268"/>
      <c r="WRR539" s="268"/>
      <c r="WRS539" s="268"/>
      <c r="WRT539" s="268"/>
      <c r="WRU539" s="268"/>
      <c r="WRV539" s="268"/>
      <c r="WRW539" s="268"/>
      <c r="WRX539" s="268"/>
      <c r="WRY539" s="268"/>
      <c r="WRZ539" s="268"/>
      <c r="WSA539" s="268"/>
      <c r="WSB539" s="268"/>
      <c r="WSC539" s="268"/>
      <c r="WSD539" s="268"/>
      <c r="WSE539" s="268"/>
      <c r="WSF539" s="268"/>
      <c r="WSG539" s="268"/>
      <c r="WSH539" s="268"/>
      <c r="WSI539" s="268"/>
      <c r="WSJ539" s="268"/>
      <c r="WSK539" s="268"/>
      <c r="WSL539" s="268"/>
      <c r="WSM539" s="268"/>
      <c r="WSN539" s="268"/>
      <c r="WSO539" s="268"/>
      <c r="WSP539" s="268"/>
      <c r="WSQ539" s="268"/>
      <c r="WSR539" s="268"/>
      <c r="WSS539" s="268"/>
      <c r="WST539" s="268"/>
      <c r="WSU539" s="268"/>
      <c r="WSV539" s="268"/>
      <c r="WSW539" s="268"/>
      <c r="WSX539" s="268"/>
      <c r="WSY539" s="268"/>
      <c r="WSZ539" s="268"/>
      <c r="WTA539" s="268"/>
      <c r="WTB539" s="268"/>
      <c r="WTC539" s="268"/>
      <c r="WTD539" s="268"/>
      <c r="WTE539" s="268"/>
      <c r="WTF539" s="268"/>
      <c r="WTG539" s="268"/>
      <c r="WTH539" s="268"/>
      <c r="WTI539" s="268"/>
      <c r="WTJ539" s="268"/>
      <c r="WTK539" s="268"/>
      <c r="WTL539" s="268"/>
      <c r="WTM539" s="268"/>
      <c r="WTN539" s="268"/>
      <c r="WTO539" s="268"/>
      <c r="WTP539" s="268"/>
      <c r="WTQ539" s="268"/>
      <c r="WTR539" s="268"/>
      <c r="WTS539" s="268"/>
      <c r="WTT539" s="268"/>
      <c r="WTU539" s="268"/>
      <c r="WTV539" s="268"/>
      <c r="WTW539" s="268"/>
      <c r="WTX539" s="268"/>
      <c r="WTY539" s="268"/>
      <c r="WTZ539" s="268"/>
      <c r="WUA539" s="268"/>
      <c r="WUB539" s="268"/>
      <c r="WUC539" s="268"/>
      <c r="WUD539" s="268"/>
      <c r="WUE539" s="268"/>
      <c r="WUF539" s="268"/>
      <c r="WUG539" s="268"/>
      <c r="WUH539" s="268"/>
      <c r="WUI539" s="268"/>
      <c r="WUJ539" s="268"/>
      <c r="WUK539" s="268"/>
      <c r="WUL539" s="268"/>
      <c r="WUM539" s="268"/>
      <c r="WUN539" s="268"/>
      <c r="WUO539" s="268"/>
      <c r="WUP539" s="268"/>
      <c r="WUQ539" s="268"/>
      <c r="WUR539" s="268"/>
      <c r="WUS539" s="268"/>
      <c r="WUT539" s="268"/>
      <c r="WUU539" s="268"/>
      <c r="WUV539" s="268"/>
      <c r="WUW539" s="268"/>
      <c r="WUX539" s="268"/>
      <c r="WUY539" s="268"/>
      <c r="WVM539" s="268"/>
      <c r="WVN539" s="268"/>
      <c r="WVO539" s="268"/>
      <c r="WWC539" s="268"/>
      <c r="WWE539" s="268"/>
      <c r="WWF539" s="268"/>
      <c r="WWG539" s="268"/>
      <c r="WWH539" s="268"/>
      <c r="WWI539" s="268"/>
      <c r="WWJ539" s="268"/>
      <c r="WWK539" s="268"/>
      <c r="WWL539" s="268"/>
      <c r="WWM539" s="268"/>
      <c r="WWN539" s="268"/>
      <c r="WWO539" s="268"/>
      <c r="WWP539" s="268"/>
      <c r="WWQ539" s="268"/>
      <c r="WWR539" s="268"/>
      <c r="WWS539" s="268"/>
      <c r="WWT539" s="268"/>
      <c r="WWU539" s="268"/>
      <c r="WWV539" s="268"/>
      <c r="WWW539" s="268"/>
      <c r="WWX539" s="268"/>
      <c r="WWY539" s="268"/>
      <c r="WWZ539" s="268"/>
      <c r="WXA539" s="268"/>
      <c r="WXB539" s="268"/>
      <c r="WXC539" s="268"/>
      <c r="WXD539" s="268"/>
      <c r="WXE539" s="268"/>
      <c r="WXF539" s="268"/>
      <c r="WXG539" s="268"/>
      <c r="WXH539" s="268"/>
      <c r="WXI539" s="268"/>
      <c r="WXJ539" s="268"/>
      <c r="WXK539" s="268"/>
      <c r="WXL539" s="268"/>
      <c r="WXM539" s="268"/>
      <c r="WXN539" s="268"/>
      <c r="WXO539" s="268"/>
      <c r="WXP539" s="268"/>
      <c r="WXQ539" s="268"/>
      <c r="WXR539" s="268"/>
      <c r="WXS539" s="268"/>
      <c r="WXT539" s="268"/>
      <c r="WXU539" s="268"/>
      <c r="WXV539" s="268"/>
      <c r="WXW539" s="268"/>
      <c r="WXX539" s="268"/>
      <c r="WXY539" s="268"/>
      <c r="WXZ539" s="268"/>
      <c r="WYA539" s="268"/>
      <c r="WYB539" s="268"/>
      <c r="WYC539" s="268"/>
      <c r="WYD539" s="268"/>
      <c r="WYE539" s="268"/>
      <c r="WYF539" s="268"/>
      <c r="WYG539" s="268"/>
      <c r="WYH539" s="268"/>
      <c r="WYI539" s="268"/>
      <c r="WYJ539" s="268"/>
      <c r="WYK539" s="268"/>
      <c r="WYL539" s="268"/>
      <c r="WYM539" s="268"/>
      <c r="WYN539" s="268"/>
      <c r="WYO539" s="268"/>
      <c r="WYP539" s="268"/>
      <c r="WYQ539" s="268"/>
      <c r="WYR539" s="268"/>
      <c r="WYS539" s="268"/>
      <c r="WYT539" s="268"/>
      <c r="WYU539" s="268"/>
      <c r="WYV539" s="268"/>
      <c r="WYW539" s="268"/>
      <c r="WYX539" s="268"/>
      <c r="WYY539" s="268"/>
      <c r="WYZ539" s="268"/>
      <c r="WZA539" s="268"/>
      <c r="WZB539" s="268"/>
      <c r="WZC539" s="268"/>
      <c r="WZD539" s="268"/>
      <c r="WZE539" s="268"/>
      <c r="WZF539" s="268"/>
      <c r="WZG539" s="268"/>
      <c r="WZH539" s="268"/>
      <c r="WZI539" s="268"/>
      <c r="WZJ539" s="268"/>
      <c r="WZK539" s="268"/>
      <c r="WZL539" s="268"/>
      <c r="WZM539" s="268"/>
      <c r="WZN539" s="268"/>
      <c r="WZO539" s="268"/>
      <c r="WZP539" s="268"/>
      <c r="WZQ539" s="268"/>
      <c r="WZR539" s="268"/>
      <c r="WZS539" s="268"/>
      <c r="WZT539" s="268"/>
      <c r="WZU539" s="268"/>
      <c r="WZV539" s="268"/>
      <c r="WZW539" s="268"/>
      <c r="WZX539" s="268"/>
      <c r="WZY539" s="268"/>
      <c r="WZZ539" s="268"/>
      <c r="XAA539" s="268"/>
      <c r="XAB539" s="268"/>
      <c r="XAC539" s="268"/>
      <c r="XAD539" s="268"/>
      <c r="XAE539" s="268"/>
      <c r="XAF539" s="268"/>
      <c r="XAG539" s="268"/>
      <c r="XAH539" s="268"/>
      <c r="XAI539" s="268"/>
      <c r="XAJ539" s="268"/>
      <c r="XAK539" s="268"/>
      <c r="XAL539" s="268"/>
      <c r="XAM539" s="268"/>
      <c r="XAN539" s="268"/>
      <c r="XAO539" s="268"/>
      <c r="XAP539" s="268"/>
      <c r="XAQ539" s="268"/>
      <c r="XAR539" s="268"/>
      <c r="XAS539" s="268"/>
      <c r="XAT539" s="268"/>
      <c r="XAU539" s="268"/>
      <c r="XAV539" s="268"/>
      <c r="XAW539" s="268"/>
      <c r="XAX539" s="268"/>
      <c r="XAY539" s="268"/>
      <c r="XAZ539" s="268"/>
      <c r="XBA539" s="268"/>
      <c r="XBB539" s="268"/>
      <c r="XBC539" s="268"/>
      <c r="XBD539" s="268"/>
      <c r="XBE539" s="268"/>
      <c r="XBF539" s="268"/>
      <c r="XBG539" s="268"/>
      <c r="XBH539" s="268"/>
      <c r="XBI539" s="268"/>
      <c r="XBJ539" s="268"/>
      <c r="XBK539" s="268"/>
      <c r="XBL539" s="268"/>
      <c r="XBM539" s="268"/>
      <c r="XBN539" s="268"/>
      <c r="XBO539" s="268"/>
      <c r="XBP539" s="268"/>
      <c r="XBQ539" s="268"/>
      <c r="XBR539" s="268"/>
      <c r="XBS539" s="268"/>
      <c r="XBT539" s="268"/>
      <c r="XBU539" s="268"/>
      <c r="XBV539" s="268"/>
      <c r="XBW539" s="268"/>
      <c r="XBX539" s="268"/>
      <c r="XBY539" s="268"/>
      <c r="XBZ539" s="268"/>
      <c r="XCA539" s="268"/>
      <c r="XCB539" s="268"/>
      <c r="XCC539" s="268"/>
      <c r="XCD539" s="268"/>
      <c r="XCE539" s="268"/>
      <c r="XCF539" s="268"/>
      <c r="XCG539" s="268"/>
      <c r="XCH539" s="268"/>
      <c r="XCI539" s="268"/>
      <c r="XCJ539" s="268"/>
      <c r="XCK539" s="268"/>
      <c r="XCL539" s="268"/>
      <c r="XCM539" s="268"/>
      <c r="XCN539" s="268"/>
      <c r="XCO539" s="268"/>
      <c r="XCP539" s="268"/>
      <c r="XCQ539" s="268"/>
      <c r="XCR539" s="268"/>
      <c r="XCS539" s="268"/>
      <c r="XCT539" s="268"/>
      <c r="XCU539" s="268"/>
      <c r="XCV539" s="268"/>
      <c r="XCW539" s="268"/>
      <c r="XCX539" s="268"/>
      <c r="XCY539" s="268"/>
      <c r="XCZ539" s="268"/>
      <c r="XDA539" s="268"/>
      <c r="XDB539" s="268"/>
      <c r="XDC539" s="268"/>
      <c r="XDD539" s="268"/>
      <c r="XDE539" s="268"/>
      <c r="XDF539" s="268"/>
      <c r="XDG539" s="268"/>
      <c r="XDH539" s="268"/>
      <c r="XDI539" s="268"/>
      <c r="XDJ539" s="268"/>
      <c r="XDK539" s="268"/>
      <c r="XDL539" s="268"/>
      <c r="XDM539" s="268"/>
      <c r="XDN539" s="268"/>
      <c r="XDO539" s="268"/>
      <c r="XDP539" s="268"/>
      <c r="XDQ539" s="268"/>
      <c r="XDR539" s="268"/>
      <c r="XDS539" s="268"/>
      <c r="XDT539" s="268"/>
      <c r="XDU539" s="268"/>
      <c r="XDV539" s="268"/>
      <c r="XDW539" s="268"/>
      <c r="XDX539" s="268"/>
      <c r="XDY539" s="268"/>
      <c r="XDZ539" s="268"/>
      <c r="XEA539" s="268"/>
      <c r="XEB539" s="268"/>
      <c r="XEC539" s="268"/>
      <c r="XED539" s="268"/>
      <c r="XEE539" s="268"/>
      <c r="XEF539" s="268"/>
      <c r="XEG539" s="268"/>
      <c r="XEH539" s="268"/>
      <c r="XEI539" s="268"/>
      <c r="XEJ539" s="268"/>
      <c r="XEK539" s="268"/>
      <c r="XEL539" s="268"/>
      <c r="XEM539" s="268"/>
      <c r="XEN539" s="268"/>
      <c r="XEO539" s="268"/>
      <c r="XEP539" s="268"/>
      <c r="XEQ539" s="268"/>
      <c r="XER539" s="268"/>
      <c r="XES539" s="268"/>
    </row>
    <row r="540" spans="1:1015 1029:2039 2053:3063 3077:4087 4101:5111 5125:6135 6149:7159 7173:8183 8197:9207 9221:10231 10245:11255 11269:12279 12293:13303 13317:14327 14341:15351 15365:16373" hidden="1" outlineLevel="1" x14ac:dyDescent="0.25">
      <c r="A540" s="7"/>
      <c r="B540" s="247">
        <f>SUM(B538:B539)</f>
        <v>8200</v>
      </c>
      <c r="C540" s="32"/>
      <c r="D540" s="247">
        <f>SUM(D538:D539)</f>
        <v>1045</v>
      </c>
      <c r="E540" s="247">
        <f>SUM(E538:E539)</f>
        <v>7155</v>
      </c>
      <c r="F540" s="247">
        <f>SUM(F538:F539)</f>
        <v>8200</v>
      </c>
      <c r="G540" s="32"/>
      <c r="H540" s="247">
        <f>SUM(H538:H539)</f>
        <v>0</v>
      </c>
      <c r="I540" s="32"/>
      <c r="J540" s="247">
        <f>SUM(J538:J539)</f>
        <v>1045</v>
      </c>
      <c r="K540" s="247">
        <f>SUM(K538:K539)</f>
        <v>7155</v>
      </c>
      <c r="L540" s="247">
        <f>SUM(L538:L539)</f>
        <v>8200</v>
      </c>
      <c r="M540" s="32"/>
      <c r="N540" s="247">
        <f>SUM(N538:N539)</f>
        <v>0</v>
      </c>
      <c r="P540" s="247">
        <f>SUM(P538:P539)</f>
        <v>10100.06</v>
      </c>
      <c r="R540" s="247">
        <f t="shared" ref="R540:Z540" si="349">SUM(R538:R539)</f>
        <v>2456</v>
      </c>
      <c r="S540" s="247">
        <f t="shared" si="349"/>
        <v>7644</v>
      </c>
      <c r="T540" s="247">
        <f t="shared" si="349"/>
        <v>10100</v>
      </c>
      <c r="U540" s="247">
        <f t="shared" si="349"/>
        <v>-5.9999999999490683E-2</v>
      </c>
      <c r="V540" s="247">
        <f t="shared" si="349"/>
        <v>2456</v>
      </c>
      <c r="W540" s="247">
        <f t="shared" si="349"/>
        <v>7644</v>
      </c>
      <c r="X540" s="247"/>
      <c r="Y540" s="247">
        <f t="shared" si="349"/>
        <v>10100</v>
      </c>
      <c r="Z540" s="247">
        <f t="shared" si="349"/>
        <v>0</v>
      </c>
      <c r="AC540" s="247">
        <f>SUM(AC538:AC539)</f>
        <v>2456</v>
      </c>
      <c r="AD540" s="247">
        <f>SUM(AD538:AD539)</f>
        <v>7144</v>
      </c>
      <c r="AE540" s="247">
        <f>SUM(AE538:AE539)</f>
        <v>9600</v>
      </c>
      <c r="AF540" s="247">
        <f>SUM(AF538:AF539)</f>
        <v>-500</v>
      </c>
      <c r="AG540" s="32"/>
      <c r="AI540" s="247">
        <f>SUM(AI538:AI539)</f>
        <v>9700</v>
      </c>
      <c r="AK540" s="247">
        <f>SUM(AK538:AK539)</f>
        <v>9823</v>
      </c>
      <c r="AM540" s="247">
        <f>SUM(AM538:AM539)</f>
        <v>9949.69</v>
      </c>
      <c r="AO540" s="247">
        <f>SUM(AO538:AO539)</f>
        <v>10080.180700000001</v>
      </c>
      <c r="AP540" s="32"/>
      <c r="AQ540" s="247">
        <f>SUM(AQ538:AQ539)</f>
        <v>10214.586121</v>
      </c>
      <c r="AS540" s="247">
        <f>SUM(AS538:AS539)</f>
        <v>10353.023704630003</v>
      </c>
      <c r="AU540" s="247">
        <f>SUM(AU538:AU539)</f>
        <v>10495.614415768901</v>
      </c>
      <c r="AW540" s="247">
        <f>SUM(AW538:AW539)</f>
        <v>10642.482848241969</v>
      </c>
      <c r="AY540" s="247">
        <f>SUM(AY538:AY539)</f>
        <v>10793.757333689229</v>
      </c>
      <c r="BA540" s="247">
        <f>SUM(BA538:BA539)</f>
        <v>10949.570053699907</v>
      </c>
      <c r="BC540" s="247">
        <f>SUM(BC538:BC539)</f>
        <v>11110.057155310904</v>
      </c>
      <c r="BE540" s="247">
        <f>SUM(BE538:BE539)</f>
        <v>11275.35886997023</v>
      </c>
    </row>
    <row r="541" spans="1:1015 1029:2039 2053:3063 3077:4087 4101:5111 5125:6135 6149:7159 7173:8183 8197:9207 9221:10231 10245:11255 11269:12279 12293:13303 13317:14327 14341:15351 15365:16373" ht="15.75" collapsed="1" thickBot="1" x14ac:dyDescent="0.3">
      <c r="A541" s="7" t="s">
        <v>1175</v>
      </c>
      <c r="B541" s="44">
        <f>B540+B536</f>
        <v>20851</v>
      </c>
      <c r="C541" s="32"/>
      <c r="D541" s="44">
        <f>D540+D536</f>
        <v>4071</v>
      </c>
      <c r="E541" s="44">
        <f>E540+E536</f>
        <v>16779</v>
      </c>
      <c r="F541" s="44">
        <f>F540+F536</f>
        <v>20850</v>
      </c>
      <c r="G541" s="32"/>
      <c r="H541" s="44">
        <f>H540+H536</f>
        <v>0</v>
      </c>
      <c r="I541" s="32"/>
      <c r="J541" s="44">
        <f>J540+J536</f>
        <v>5574</v>
      </c>
      <c r="K541" s="44">
        <f>K540+K536</f>
        <v>16276</v>
      </c>
      <c r="L541" s="44">
        <f>L540+L536</f>
        <v>21850</v>
      </c>
      <c r="M541" s="32"/>
      <c r="N541" s="44">
        <f>N540+N536</f>
        <v>1000</v>
      </c>
      <c r="P541" s="44">
        <f>P540+P536</f>
        <v>22950.135000000002</v>
      </c>
      <c r="R541" s="44">
        <f t="shared" ref="R541:Z541" si="350">R540+R536</f>
        <v>2456</v>
      </c>
      <c r="S541" s="44">
        <f t="shared" si="350"/>
        <v>20493.557107500001</v>
      </c>
      <c r="T541" s="44">
        <f t="shared" si="350"/>
        <v>22949.557107500001</v>
      </c>
      <c r="U541" s="44">
        <f t="shared" si="350"/>
        <v>-0.57789249999950698</v>
      </c>
      <c r="V541" s="44">
        <f t="shared" si="350"/>
        <v>4490</v>
      </c>
      <c r="W541" s="44">
        <f t="shared" si="350"/>
        <v>18260</v>
      </c>
      <c r="X541" s="44"/>
      <c r="Y541" s="44">
        <f t="shared" si="350"/>
        <v>22750</v>
      </c>
      <c r="Z541" s="44">
        <f t="shared" si="350"/>
        <v>-199.55710750000003</v>
      </c>
      <c r="AC541" s="44">
        <f>AC540+AC536</f>
        <v>12825</v>
      </c>
      <c r="AD541" s="44">
        <f>AD540+AD536</f>
        <v>13375</v>
      </c>
      <c r="AE541" s="44">
        <f>AE540+AE536</f>
        <v>26200</v>
      </c>
      <c r="AF541" s="44">
        <f>AF540+AF536</f>
        <v>3450</v>
      </c>
      <c r="AG541" s="32"/>
      <c r="AI541" s="44">
        <f>AI540+AI536</f>
        <v>27000</v>
      </c>
      <c r="AK541" s="44">
        <f>AK540+AK536</f>
        <v>24919.364999999998</v>
      </c>
      <c r="AM541" s="44">
        <f>AM540+AM536</f>
        <v>25243.7228565</v>
      </c>
      <c r="AO541" s="44">
        <f>AO540+AO536</f>
        <v>25573.22087976765</v>
      </c>
      <c r="AP541" s="32"/>
      <c r="AQ541" s="44">
        <f>AQ540+AQ536</f>
        <v>25908.010729819121</v>
      </c>
      <c r="AS541" s="44">
        <f>AS540+AS536</f>
        <v>26248.248544956939</v>
      </c>
      <c r="AU541" s="44">
        <f>AU540+AU536</f>
        <v>26594.095074109027</v>
      </c>
      <c r="AW541" s="44">
        <f>AW540+AW536</f>
        <v>26945.71581308145</v>
      </c>
      <c r="AY541" s="44">
        <f>AY540+AY536</f>
        <v>27303.281144840701</v>
      </c>
      <c r="BA541" s="44">
        <f>BA540+BA536</f>
        <v>27666.966483944736</v>
      </c>
      <c r="BC541" s="44">
        <f>BC540+BC536</f>
        <v>28036.95242524561</v>
      </c>
      <c r="BE541" s="44">
        <f>BE540+BE536</f>
        <v>28413.424896990105</v>
      </c>
    </row>
    <row r="542" spans="1:1015 1029:2039 2053:3063 3077:4087 4101:5111 5125:6135 6149:7159 7173:8183 8197:9207 9221:10231 10245:11255 11269:12279 12293:13303 13317:14327 14341:15351 15365:16373" ht="15.75" thickTop="1" x14ac:dyDescent="0.25">
      <c r="A542" s="7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P542" s="32"/>
      <c r="R542" s="32"/>
      <c r="S542" s="32"/>
      <c r="T542" s="32"/>
      <c r="U542" s="32"/>
      <c r="V542" s="32"/>
      <c r="W542" s="32"/>
      <c r="X542" s="32"/>
      <c r="Y542" s="32"/>
      <c r="Z542" s="32"/>
      <c r="AC542" s="32"/>
      <c r="AD542" s="32"/>
      <c r="AE542" s="32"/>
      <c r="AF542" s="32"/>
      <c r="AG542" s="32"/>
      <c r="AI542" s="32"/>
      <c r="AK542" s="32"/>
      <c r="AM542" s="32"/>
      <c r="AO542" s="32"/>
      <c r="AP542" s="32"/>
      <c r="AQ542" s="32"/>
      <c r="AS542" s="32"/>
      <c r="AU542" s="32"/>
      <c r="AW542" s="32"/>
      <c r="AY542" s="32"/>
      <c r="BA542" s="32"/>
      <c r="BC542" s="32"/>
      <c r="BE542" s="32"/>
    </row>
    <row r="543" spans="1:1015 1029:2039 2053:3063 3077:4087 4101:5111 5125:6135 6149:7159 7173:8183 8197:9207 9221:10231 10245:11255 11269:12279 12293:13303 13317:14327 14341:15351 15365:16373" x14ac:dyDescent="0.25">
      <c r="A543" s="7" t="s">
        <v>113</v>
      </c>
      <c r="BC543" s="3"/>
      <c r="BE543" s="3"/>
    </row>
    <row r="544" spans="1:1015 1029:2039 2053:3063 3077:4087 4101:5111 5125:6135 6149:7159 7173:8183 8197:9207 9221:10231 10245:11255 11269:12279 12293:13303 13317:14327 14341:15351 15365:16373" hidden="1" outlineLevel="1" x14ac:dyDescent="0.25">
      <c r="A544" s="7" t="s">
        <v>114</v>
      </c>
      <c r="BC544" s="3"/>
      <c r="BE544" s="3"/>
    </row>
    <row r="545" spans="1:1015 1029:2039 2053:3063 3077:4087 4101:5111 5125:6135 6149:7159 7173:8183 8197:9207 9221:10231 10245:11255 11269:12279 12293:13303 13317:14327 14341:15351 15365:16373" hidden="1" outlineLevel="1" x14ac:dyDescent="0.25">
      <c r="A545" s="3" t="s">
        <v>422</v>
      </c>
      <c r="B545" s="3">
        <f>1500+2500</f>
        <v>4000</v>
      </c>
      <c r="D545" s="3">
        <v>909</v>
      </c>
      <c r="E545" s="3">
        <f>F545-D545</f>
        <v>3091</v>
      </c>
      <c r="F545" s="3">
        <v>4000</v>
      </c>
      <c r="H545" s="3">
        <f>F545-B545</f>
        <v>0</v>
      </c>
      <c r="J545" s="3">
        <v>910</v>
      </c>
      <c r="K545" s="4">
        <f>L545-J545</f>
        <v>3090</v>
      </c>
      <c r="L545" s="4">
        <v>4000</v>
      </c>
      <c r="N545" s="4">
        <f>L545-F545</f>
        <v>0</v>
      </c>
      <c r="P545" s="3">
        <f>L545*1.0281+138</f>
        <v>4250.3999999999996</v>
      </c>
      <c r="R545" s="3">
        <v>931</v>
      </c>
      <c r="S545" s="3">
        <f>T545-R545</f>
        <v>3069</v>
      </c>
      <c r="T545" s="3">
        <v>4000</v>
      </c>
      <c r="U545" s="3">
        <f>T545-P545</f>
        <v>-250.39999999999964</v>
      </c>
      <c r="V545" s="3">
        <v>931</v>
      </c>
      <c r="W545" s="3">
        <f>Y545-V545</f>
        <v>2069</v>
      </c>
      <c r="Y545" s="3">
        <v>3000</v>
      </c>
      <c r="Z545" s="3">
        <f>Y545-T545</f>
        <v>-1000</v>
      </c>
      <c r="AC545" s="3">
        <v>1241</v>
      </c>
      <c r="AD545" s="3">
        <f>AE545-AC545</f>
        <v>1759</v>
      </c>
      <c r="AE545" s="3">
        <v>3000</v>
      </c>
      <c r="AF545" s="3">
        <f>AE545-Y545</f>
        <v>0</v>
      </c>
      <c r="AI545" s="3">
        <f>AE545*1.03+10</f>
        <v>3100</v>
      </c>
      <c r="AK545" s="3">
        <f>AI545*1.03</f>
        <v>3193</v>
      </c>
      <c r="AM545" s="3">
        <f t="shared" ref="AM545:AQ547" si="351">AK545*1.03</f>
        <v>3288.79</v>
      </c>
      <c r="AN545" s="3">
        <f t="shared" si="351"/>
        <v>0</v>
      </c>
      <c r="AO545" s="3">
        <f t="shared" si="351"/>
        <v>3387.4537</v>
      </c>
      <c r="AP545" s="4">
        <f t="shared" si="351"/>
        <v>0</v>
      </c>
      <c r="AQ545" s="3">
        <f t="shared" si="351"/>
        <v>3489.077311</v>
      </c>
      <c r="AR545" s="3"/>
      <c r="AS545" s="3">
        <f t="shared" ref="AS545:AW547" si="352">AQ545*1.03</f>
        <v>3593.7496303299999</v>
      </c>
      <c r="AT545" s="3">
        <f t="shared" si="352"/>
        <v>0</v>
      </c>
      <c r="AU545" s="3">
        <f t="shared" si="352"/>
        <v>3701.5621192398999</v>
      </c>
      <c r="AV545" s="3">
        <f t="shared" si="352"/>
        <v>0</v>
      </c>
      <c r="AW545" s="3">
        <f t="shared" si="352"/>
        <v>3812.6089828170971</v>
      </c>
      <c r="AX545" s="3"/>
      <c r="AY545" s="3">
        <f t="shared" ref="AY545:BE547" si="353">AW545*1.03</f>
        <v>3926.9872523016102</v>
      </c>
      <c r="AZ545" s="3">
        <f t="shared" si="353"/>
        <v>0</v>
      </c>
      <c r="BA545" s="3">
        <f t="shared" si="353"/>
        <v>4044.7968698706586</v>
      </c>
      <c r="BC545" s="3">
        <f t="shared" si="353"/>
        <v>4166.1407759667782</v>
      </c>
      <c r="BE545" s="3">
        <f t="shared" si="353"/>
        <v>4291.1249992457815</v>
      </c>
    </row>
    <row r="546" spans="1:1015 1029:2039 2053:3063 3077:4087 4101:5111 5125:6135 6149:7159 7173:8183 8197:9207 9221:10231 10245:11255 11269:12279 12293:13303 13317:14327 14341:15351 15365:16373" hidden="1" outlineLevel="1" x14ac:dyDescent="0.25">
      <c r="A546" s="3" t="s">
        <v>423</v>
      </c>
      <c r="K546" s="4"/>
      <c r="L546" s="4"/>
      <c r="N546" s="4"/>
      <c r="AC546" s="3">
        <v>3636</v>
      </c>
      <c r="AD546" s="3">
        <f>AE546-AC546</f>
        <v>2364</v>
      </c>
      <c r="AE546" s="3">
        <v>6000</v>
      </c>
      <c r="AF546" s="3">
        <f>AE546-Y546</f>
        <v>6000</v>
      </c>
      <c r="AK546" s="3">
        <f>AI546*1.03</f>
        <v>0</v>
      </c>
      <c r="AM546" s="3">
        <f t="shared" si="351"/>
        <v>0</v>
      </c>
      <c r="AN546" s="3">
        <f t="shared" si="351"/>
        <v>0</v>
      </c>
      <c r="AO546" s="3">
        <f t="shared" si="351"/>
        <v>0</v>
      </c>
      <c r="AP546" s="4">
        <f t="shared" si="351"/>
        <v>0</v>
      </c>
      <c r="AQ546" s="3">
        <f t="shared" si="351"/>
        <v>0</v>
      </c>
      <c r="AR546" s="3"/>
      <c r="AS546" s="3">
        <f t="shared" si="352"/>
        <v>0</v>
      </c>
      <c r="AT546" s="3">
        <f t="shared" si="352"/>
        <v>0</v>
      </c>
      <c r="AU546" s="3">
        <f t="shared" si="352"/>
        <v>0</v>
      </c>
      <c r="AV546" s="3">
        <f t="shared" si="352"/>
        <v>0</v>
      </c>
      <c r="AW546" s="3">
        <f t="shared" si="352"/>
        <v>0</v>
      </c>
      <c r="AX546" s="3"/>
      <c r="AY546" s="3">
        <f t="shared" si="353"/>
        <v>0</v>
      </c>
      <c r="AZ546" s="3">
        <f t="shared" si="353"/>
        <v>0</v>
      </c>
      <c r="BA546" s="3">
        <f t="shared" si="353"/>
        <v>0</v>
      </c>
      <c r="BC546" s="3">
        <f t="shared" si="353"/>
        <v>0</v>
      </c>
      <c r="BE546" s="3">
        <f t="shared" si="353"/>
        <v>0</v>
      </c>
    </row>
    <row r="547" spans="1:1015 1029:2039 2053:3063 3077:4087 4101:5111 5125:6135 6149:7159 7173:8183 8197:9207 9221:10231 10245:11255 11269:12279 12293:13303 13317:14327 14341:15351 15365:16373" hidden="1" outlineLevel="1" x14ac:dyDescent="0.25">
      <c r="A547" s="3" t="s">
        <v>424</v>
      </c>
      <c r="B547" s="3">
        <v>4500</v>
      </c>
      <c r="D547" s="3">
        <v>780</v>
      </c>
      <c r="E547" s="3">
        <f>F547-D547</f>
        <v>3220</v>
      </c>
      <c r="F547" s="3">
        <v>4000</v>
      </c>
      <c r="H547" s="3">
        <f>F547-B547</f>
        <v>-500</v>
      </c>
      <c r="J547" s="3">
        <v>1320</v>
      </c>
      <c r="K547" s="4">
        <f>L547-J547</f>
        <v>1680</v>
      </c>
      <c r="L547" s="4">
        <v>3000</v>
      </c>
      <c r="N547" s="4">
        <f>L547-F547</f>
        <v>-1000</v>
      </c>
      <c r="P547" s="3">
        <v>3500</v>
      </c>
      <c r="R547" s="3">
        <v>780</v>
      </c>
      <c r="S547" s="3">
        <f>T547-R547</f>
        <v>2720</v>
      </c>
      <c r="T547" s="3">
        <v>3500</v>
      </c>
      <c r="U547" s="3">
        <f>T547-P547</f>
        <v>0</v>
      </c>
      <c r="V547" s="3">
        <v>1560</v>
      </c>
      <c r="W547" s="3">
        <f>Y547-V547</f>
        <v>6440</v>
      </c>
      <c r="Y547" s="3">
        <v>8000</v>
      </c>
      <c r="Z547" s="3">
        <f>Y547-T547</f>
        <v>4500</v>
      </c>
      <c r="AC547" s="3">
        <v>4175</v>
      </c>
      <c r="AD547" s="3">
        <f>AE547-AC547</f>
        <v>2825</v>
      </c>
      <c r="AE547" s="3">
        <v>7000</v>
      </c>
      <c r="AF547" s="3">
        <f>AE547-Y547</f>
        <v>-1000</v>
      </c>
      <c r="AI547" s="3">
        <v>7020</v>
      </c>
      <c r="AK547" s="3">
        <f>AI547*1.03</f>
        <v>7230.6</v>
      </c>
      <c r="AM547" s="3">
        <f t="shared" si="351"/>
        <v>7447.5180000000009</v>
      </c>
      <c r="AN547" s="3">
        <f t="shared" si="351"/>
        <v>0</v>
      </c>
      <c r="AO547" s="3">
        <f t="shared" si="351"/>
        <v>7670.9435400000011</v>
      </c>
      <c r="AP547" s="4">
        <f t="shared" si="351"/>
        <v>0</v>
      </c>
      <c r="AQ547" s="3">
        <f t="shared" si="351"/>
        <v>7901.0718462000013</v>
      </c>
      <c r="AR547" s="3"/>
      <c r="AS547" s="3">
        <f t="shared" si="352"/>
        <v>8138.1040015860017</v>
      </c>
      <c r="AT547" s="3">
        <f t="shared" si="352"/>
        <v>0</v>
      </c>
      <c r="AU547" s="3">
        <f t="shared" si="352"/>
        <v>8382.2471216335816</v>
      </c>
      <c r="AV547" s="3">
        <f t="shared" si="352"/>
        <v>0</v>
      </c>
      <c r="AW547" s="3">
        <f t="shared" si="352"/>
        <v>8633.7145352825901</v>
      </c>
      <c r="AX547" s="3"/>
      <c r="AY547" s="3">
        <f t="shared" si="353"/>
        <v>8892.7259713410676</v>
      </c>
      <c r="AZ547" s="3">
        <f t="shared" si="353"/>
        <v>0</v>
      </c>
      <c r="BA547" s="3">
        <f t="shared" si="353"/>
        <v>9159.5077504812998</v>
      </c>
      <c r="BC547" s="3">
        <f t="shared" si="353"/>
        <v>9434.2929829957393</v>
      </c>
      <c r="BE547" s="3">
        <f t="shared" si="353"/>
        <v>9717.3217724856113</v>
      </c>
    </row>
    <row r="548" spans="1:1015 1029:2039 2053:3063 3077:4087 4101:5111 5125:6135 6149:7159 7173:8183 8197:9207 9221:10231 10245:11255 11269:12279 12293:13303 13317:14327 14341:15351 15365:16373" hidden="1" outlineLevel="1" x14ac:dyDescent="0.25">
      <c r="A548" s="267" t="s">
        <v>425</v>
      </c>
      <c r="B548" s="3">
        <v>3000</v>
      </c>
      <c r="D548" s="3">
        <v>0</v>
      </c>
      <c r="E548" s="3">
        <f>F548-D548</f>
        <v>3000</v>
      </c>
      <c r="F548" s="3">
        <v>3000</v>
      </c>
      <c r="H548" s="3">
        <f>F548-B548</f>
        <v>0</v>
      </c>
      <c r="J548" s="3">
        <v>0</v>
      </c>
      <c r="K548" s="4">
        <f>L548-J548</f>
        <v>3000</v>
      </c>
      <c r="L548" s="4">
        <v>3000</v>
      </c>
      <c r="N548" s="4">
        <f>L548-F548</f>
        <v>0</v>
      </c>
      <c r="S548" s="3">
        <f>T548-R548</f>
        <v>2500</v>
      </c>
      <c r="T548" s="3">
        <v>2500</v>
      </c>
      <c r="U548" s="3">
        <f>T548-P548</f>
        <v>2500</v>
      </c>
      <c r="W548" s="3">
        <f>Y548-V548</f>
        <v>2500</v>
      </c>
      <c r="Y548" s="3">
        <v>2500</v>
      </c>
      <c r="Z548" s="3">
        <f>Y548-T548</f>
        <v>0</v>
      </c>
      <c r="AC548" s="3">
        <v>0</v>
      </c>
      <c r="AD548" s="3">
        <f>AE548-AC548</f>
        <v>2500</v>
      </c>
      <c r="AE548" s="3">
        <v>2500</v>
      </c>
      <c r="AF548" s="3">
        <f>AE548-Y548</f>
        <v>0</v>
      </c>
      <c r="AI548" s="3">
        <v>2500</v>
      </c>
      <c r="AK548" s="3">
        <v>2500</v>
      </c>
      <c r="AM548" s="3">
        <v>2500</v>
      </c>
      <c r="AO548" s="3">
        <v>2500</v>
      </c>
      <c r="AQ548" s="3">
        <v>2500</v>
      </c>
      <c r="AS548" s="3">
        <v>2500</v>
      </c>
      <c r="AU548" s="3">
        <v>2500</v>
      </c>
      <c r="AW548" s="3">
        <v>2500</v>
      </c>
      <c r="AY548" s="3">
        <v>2500</v>
      </c>
      <c r="BA548" s="3">
        <v>2500</v>
      </c>
      <c r="BC548" s="3">
        <v>2500</v>
      </c>
      <c r="BE548" s="3">
        <v>2500</v>
      </c>
      <c r="BI548" s="268"/>
      <c r="BJ548" s="268"/>
      <c r="BK548" s="268"/>
      <c r="BL548" s="268"/>
      <c r="BM548" s="268"/>
      <c r="BN548" s="268"/>
      <c r="BO548" s="268"/>
      <c r="BP548" s="268"/>
      <c r="BQ548" s="268"/>
      <c r="BR548" s="268"/>
      <c r="BS548" s="268"/>
      <c r="BT548" s="268"/>
      <c r="BU548" s="268"/>
      <c r="BV548" s="268"/>
      <c r="BW548" s="268"/>
      <c r="BX548" s="268"/>
      <c r="BY548" s="268"/>
      <c r="BZ548" s="268"/>
      <c r="CA548" s="268"/>
      <c r="CB548" s="268"/>
      <c r="CC548" s="268"/>
      <c r="CD548" s="268"/>
      <c r="CE548" s="268"/>
      <c r="CF548" s="268"/>
      <c r="CG548" s="268"/>
      <c r="CH548" s="268"/>
      <c r="CI548" s="268"/>
      <c r="CJ548" s="268"/>
      <c r="CK548" s="268"/>
      <c r="CL548" s="268"/>
      <c r="CM548" s="268"/>
      <c r="CN548" s="268"/>
      <c r="CO548" s="268"/>
      <c r="CP548" s="268"/>
      <c r="CQ548" s="268"/>
      <c r="CR548" s="268"/>
      <c r="CS548" s="268"/>
      <c r="CT548" s="268"/>
      <c r="CU548" s="268"/>
      <c r="CV548" s="268"/>
      <c r="CW548" s="268"/>
      <c r="CX548" s="268"/>
      <c r="CY548" s="268"/>
      <c r="CZ548" s="268"/>
      <c r="DA548" s="268"/>
      <c r="DB548" s="268"/>
      <c r="DC548" s="268"/>
      <c r="DD548" s="268"/>
      <c r="DE548" s="268"/>
      <c r="DF548" s="268"/>
      <c r="DG548" s="268"/>
      <c r="DH548" s="268"/>
      <c r="DI548" s="268"/>
      <c r="DJ548" s="268"/>
      <c r="DK548" s="268"/>
      <c r="DL548" s="268"/>
      <c r="DM548" s="268"/>
      <c r="DN548" s="268"/>
      <c r="DO548" s="268"/>
      <c r="DP548" s="268"/>
      <c r="DQ548" s="268"/>
      <c r="DR548" s="268"/>
      <c r="DS548" s="268"/>
      <c r="DT548" s="268"/>
      <c r="DU548" s="268"/>
      <c r="DV548" s="268"/>
      <c r="DW548" s="268"/>
      <c r="DX548" s="268"/>
      <c r="DY548" s="268"/>
      <c r="DZ548" s="268"/>
      <c r="EA548" s="268"/>
      <c r="EB548" s="268"/>
      <c r="EC548" s="268"/>
      <c r="ED548" s="268"/>
      <c r="EE548" s="268"/>
      <c r="EF548" s="268"/>
      <c r="EG548" s="268"/>
      <c r="EH548" s="268"/>
      <c r="EI548" s="268"/>
      <c r="EJ548" s="268"/>
      <c r="EK548" s="268"/>
      <c r="EL548" s="268"/>
      <c r="EM548" s="268"/>
      <c r="EN548" s="268"/>
      <c r="EO548" s="268"/>
      <c r="EP548" s="268"/>
      <c r="EQ548" s="268"/>
      <c r="ER548" s="268"/>
      <c r="ES548" s="268"/>
      <c r="ET548" s="268"/>
      <c r="EU548" s="268"/>
      <c r="EV548" s="268"/>
      <c r="EW548" s="268"/>
      <c r="EX548" s="268"/>
      <c r="EY548" s="268"/>
      <c r="EZ548" s="268"/>
      <c r="FA548" s="268"/>
      <c r="FB548" s="268"/>
      <c r="FC548" s="268"/>
      <c r="FD548" s="268"/>
      <c r="FE548" s="268"/>
      <c r="FF548" s="268"/>
      <c r="FG548" s="268"/>
      <c r="FH548" s="268"/>
      <c r="FI548" s="268"/>
      <c r="FJ548" s="268"/>
      <c r="FK548" s="268"/>
      <c r="FL548" s="268"/>
      <c r="FM548" s="268"/>
      <c r="FN548" s="268"/>
      <c r="FO548" s="268"/>
      <c r="FP548" s="268"/>
      <c r="FQ548" s="268"/>
      <c r="FR548" s="268"/>
      <c r="FS548" s="268"/>
      <c r="FT548" s="268"/>
      <c r="FU548" s="268"/>
      <c r="FV548" s="268"/>
      <c r="FW548" s="268"/>
      <c r="FX548" s="268"/>
      <c r="FY548" s="268"/>
      <c r="FZ548" s="268"/>
      <c r="GA548" s="268"/>
      <c r="GB548" s="268"/>
      <c r="GC548" s="268"/>
      <c r="GD548" s="268"/>
      <c r="GE548" s="268"/>
      <c r="GF548" s="268"/>
      <c r="GG548" s="268"/>
      <c r="GH548" s="268"/>
      <c r="GI548" s="268"/>
      <c r="GJ548" s="268"/>
      <c r="GK548" s="268"/>
      <c r="GL548" s="268"/>
      <c r="GM548" s="268"/>
      <c r="GN548" s="268"/>
      <c r="GO548" s="268"/>
      <c r="GP548" s="268"/>
      <c r="GQ548" s="268"/>
      <c r="GR548" s="268"/>
      <c r="GS548" s="268"/>
      <c r="GT548" s="268"/>
      <c r="GU548" s="268"/>
      <c r="GV548" s="268"/>
      <c r="GW548" s="268"/>
      <c r="GX548" s="268"/>
      <c r="GY548" s="268"/>
      <c r="GZ548" s="268"/>
      <c r="HA548" s="268"/>
      <c r="HB548" s="268"/>
      <c r="HC548" s="268"/>
      <c r="HD548" s="268"/>
      <c r="HE548" s="268"/>
      <c r="HF548" s="268"/>
      <c r="HG548" s="268"/>
      <c r="HH548" s="268"/>
      <c r="HI548" s="268"/>
      <c r="HJ548" s="268"/>
      <c r="HK548" s="268"/>
      <c r="HL548" s="268"/>
      <c r="HM548" s="268"/>
      <c r="HN548" s="268"/>
      <c r="HO548" s="268"/>
      <c r="HP548" s="268"/>
      <c r="HQ548" s="268"/>
      <c r="HR548" s="268"/>
      <c r="HS548" s="268"/>
      <c r="HT548" s="268"/>
      <c r="HU548" s="268"/>
      <c r="HV548" s="268"/>
      <c r="HW548" s="268"/>
      <c r="HX548" s="268"/>
      <c r="HY548" s="268"/>
      <c r="HZ548" s="268"/>
      <c r="IA548" s="268"/>
      <c r="IB548" s="268"/>
      <c r="IC548" s="268"/>
      <c r="ID548" s="268"/>
      <c r="IE548" s="268"/>
      <c r="IF548" s="268"/>
      <c r="IG548" s="268"/>
      <c r="IH548" s="268"/>
      <c r="II548" s="268"/>
      <c r="IJ548" s="268"/>
      <c r="IK548" s="268"/>
      <c r="IL548" s="268"/>
      <c r="IM548" s="268"/>
      <c r="JA548" s="268"/>
      <c r="JB548" s="268"/>
      <c r="JC548" s="268"/>
      <c r="JQ548" s="268"/>
      <c r="JS548" s="268"/>
      <c r="JT548" s="268"/>
      <c r="JU548" s="268"/>
      <c r="JV548" s="268"/>
      <c r="JW548" s="268"/>
      <c r="JX548" s="268"/>
      <c r="JY548" s="268"/>
      <c r="JZ548" s="268"/>
      <c r="KA548" s="268"/>
      <c r="KB548" s="268"/>
      <c r="KC548" s="268"/>
      <c r="KD548" s="268"/>
      <c r="KE548" s="268"/>
      <c r="KF548" s="268"/>
      <c r="KG548" s="268"/>
      <c r="KH548" s="268"/>
      <c r="KI548" s="268"/>
      <c r="KJ548" s="268"/>
      <c r="KK548" s="268"/>
      <c r="KL548" s="268"/>
      <c r="KM548" s="268"/>
      <c r="KN548" s="268"/>
      <c r="KO548" s="268"/>
      <c r="KP548" s="268"/>
      <c r="KQ548" s="268"/>
      <c r="KR548" s="268"/>
      <c r="KS548" s="268"/>
      <c r="KT548" s="268"/>
      <c r="KU548" s="268"/>
      <c r="KV548" s="268"/>
      <c r="KW548" s="268"/>
      <c r="KX548" s="268"/>
      <c r="KY548" s="268"/>
      <c r="KZ548" s="268"/>
      <c r="LA548" s="268"/>
      <c r="LB548" s="268"/>
      <c r="LC548" s="268"/>
      <c r="LD548" s="268"/>
      <c r="LE548" s="268"/>
      <c r="LF548" s="268"/>
      <c r="LG548" s="268"/>
      <c r="LH548" s="268"/>
      <c r="LI548" s="268"/>
      <c r="LJ548" s="268"/>
      <c r="LK548" s="268"/>
      <c r="LL548" s="268"/>
      <c r="LM548" s="268"/>
      <c r="LN548" s="268"/>
      <c r="LO548" s="268"/>
      <c r="LP548" s="268"/>
      <c r="LQ548" s="268"/>
      <c r="LR548" s="268"/>
      <c r="LS548" s="268"/>
      <c r="LT548" s="268"/>
      <c r="LU548" s="268"/>
      <c r="LV548" s="268"/>
      <c r="LW548" s="268"/>
      <c r="LX548" s="268"/>
      <c r="LY548" s="268"/>
      <c r="LZ548" s="268"/>
      <c r="MA548" s="268"/>
      <c r="MB548" s="268"/>
      <c r="MC548" s="268"/>
      <c r="MD548" s="268"/>
      <c r="ME548" s="268"/>
      <c r="MF548" s="268"/>
      <c r="MG548" s="268"/>
      <c r="MH548" s="268"/>
      <c r="MI548" s="268"/>
      <c r="MJ548" s="268"/>
      <c r="MK548" s="268"/>
      <c r="ML548" s="268"/>
      <c r="MM548" s="268"/>
      <c r="MN548" s="268"/>
      <c r="MO548" s="268"/>
      <c r="MP548" s="268"/>
      <c r="MQ548" s="268"/>
      <c r="MR548" s="268"/>
      <c r="MS548" s="268"/>
      <c r="MT548" s="268"/>
      <c r="MU548" s="268"/>
      <c r="MV548" s="268"/>
      <c r="MW548" s="268"/>
      <c r="MX548" s="268"/>
      <c r="MY548" s="268"/>
      <c r="MZ548" s="268"/>
      <c r="NA548" s="268"/>
      <c r="NB548" s="268"/>
      <c r="NC548" s="268"/>
      <c r="ND548" s="268"/>
      <c r="NE548" s="268"/>
      <c r="NF548" s="268"/>
      <c r="NG548" s="268"/>
      <c r="NH548" s="268"/>
      <c r="NI548" s="268"/>
      <c r="NJ548" s="268"/>
      <c r="NK548" s="268"/>
      <c r="NL548" s="268"/>
      <c r="NM548" s="268"/>
      <c r="NN548" s="268"/>
      <c r="NO548" s="268"/>
      <c r="NP548" s="268"/>
      <c r="NQ548" s="268"/>
      <c r="NR548" s="268"/>
      <c r="NS548" s="268"/>
      <c r="NT548" s="268"/>
      <c r="NU548" s="268"/>
      <c r="NV548" s="268"/>
      <c r="NW548" s="268"/>
      <c r="NX548" s="268"/>
      <c r="NY548" s="268"/>
      <c r="NZ548" s="268"/>
      <c r="OA548" s="268"/>
      <c r="OB548" s="268"/>
      <c r="OC548" s="268"/>
      <c r="OD548" s="268"/>
      <c r="OE548" s="268"/>
      <c r="OF548" s="268"/>
      <c r="OG548" s="268"/>
      <c r="OH548" s="268"/>
      <c r="OI548" s="268"/>
      <c r="OJ548" s="268"/>
      <c r="OK548" s="268"/>
      <c r="OL548" s="268"/>
      <c r="OM548" s="268"/>
      <c r="ON548" s="268"/>
      <c r="OO548" s="268"/>
      <c r="OP548" s="268"/>
      <c r="OQ548" s="268"/>
      <c r="OR548" s="268"/>
      <c r="OS548" s="268"/>
      <c r="OT548" s="268"/>
      <c r="OU548" s="268"/>
      <c r="OV548" s="268"/>
      <c r="OW548" s="268"/>
      <c r="OX548" s="268"/>
      <c r="OY548" s="268"/>
      <c r="OZ548" s="268"/>
      <c r="PA548" s="268"/>
      <c r="PB548" s="268"/>
      <c r="PC548" s="268"/>
      <c r="PD548" s="268"/>
      <c r="PE548" s="268"/>
      <c r="PF548" s="268"/>
      <c r="PG548" s="268"/>
      <c r="PH548" s="268"/>
      <c r="PI548" s="268"/>
      <c r="PJ548" s="268"/>
      <c r="PK548" s="268"/>
      <c r="PL548" s="268"/>
      <c r="PM548" s="268"/>
      <c r="PN548" s="268"/>
      <c r="PO548" s="268"/>
      <c r="PP548" s="268"/>
      <c r="PQ548" s="268"/>
      <c r="PR548" s="268"/>
      <c r="PS548" s="268"/>
      <c r="PT548" s="268"/>
      <c r="PU548" s="268"/>
      <c r="PV548" s="268"/>
      <c r="PW548" s="268"/>
      <c r="PX548" s="268"/>
      <c r="PY548" s="268"/>
      <c r="PZ548" s="268"/>
      <c r="QA548" s="268"/>
      <c r="QB548" s="268"/>
      <c r="QC548" s="268"/>
      <c r="QD548" s="268"/>
      <c r="QE548" s="268"/>
      <c r="QF548" s="268"/>
      <c r="QG548" s="268"/>
      <c r="QH548" s="268"/>
      <c r="QI548" s="268"/>
      <c r="QJ548" s="268"/>
      <c r="QK548" s="268"/>
      <c r="QL548" s="268"/>
      <c r="QM548" s="268"/>
      <c r="QN548" s="268"/>
      <c r="QO548" s="268"/>
      <c r="QP548" s="268"/>
      <c r="QQ548" s="268"/>
      <c r="QR548" s="268"/>
      <c r="QS548" s="268"/>
      <c r="QT548" s="268"/>
      <c r="QU548" s="268"/>
      <c r="QV548" s="268"/>
      <c r="QW548" s="268"/>
      <c r="QX548" s="268"/>
      <c r="QY548" s="268"/>
      <c r="QZ548" s="268"/>
      <c r="RA548" s="268"/>
      <c r="RB548" s="268"/>
      <c r="RC548" s="268"/>
      <c r="RD548" s="268"/>
      <c r="RE548" s="268"/>
      <c r="RF548" s="268"/>
      <c r="RG548" s="268"/>
      <c r="RH548" s="268"/>
      <c r="RI548" s="268"/>
      <c r="RJ548" s="268"/>
      <c r="RK548" s="268"/>
      <c r="RL548" s="268"/>
      <c r="RM548" s="268"/>
      <c r="RN548" s="268"/>
      <c r="RO548" s="268"/>
      <c r="RP548" s="268"/>
      <c r="RQ548" s="268"/>
      <c r="RR548" s="268"/>
      <c r="RS548" s="268"/>
      <c r="RT548" s="268"/>
      <c r="RU548" s="268"/>
      <c r="RV548" s="268"/>
      <c r="RW548" s="268"/>
      <c r="RX548" s="268"/>
      <c r="RY548" s="268"/>
      <c r="RZ548" s="268"/>
      <c r="SA548" s="268"/>
      <c r="SB548" s="268"/>
      <c r="SC548" s="268"/>
      <c r="SD548" s="268"/>
      <c r="SE548" s="268"/>
      <c r="SF548" s="268"/>
      <c r="SG548" s="268"/>
      <c r="SH548" s="268"/>
      <c r="SI548" s="268"/>
      <c r="SW548" s="268"/>
      <c r="SX548" s="268"/>
      <c r="SY548" s="268"/>
      <c r="TM548" s="268"/>
      <c r="TO548" s="268"/>
      <c r="TP548" s="268"/>
      <c r="TQ548" s="268"/>
      <c r="TR548" s="268"/>
      <c r="TS548" s="268"/>
      <c r="TT548" s="268"/>
      <c r="TU548" s="268"/>
      <c r="TV548" s="268"/>
      <c r="TW548" s="268"/>
      <c r="TX548" s="268"/>
      <c r="TY548" s="268"/>
      <c r="TZ548" s="268"/>
      <c r="UA548" s="268"/>
      <c r="UB548" s="268"/>
      <c r="UC548" s="268"/>
      <c r="UD548" s="268"/>
      <c r="UE548" s="268"/>
      <c r="UF548" s="268"/>
      <c r="UG548" s="268"/>
      <c r="UH548" s="268"/>
      <c r="UI548" s="268"/>
      <c r="UJ548" s="268"/>
      <c r="UK548" s="268"/>
      <c r="UL548" s="268"/>
      <c r="UM548" s="268"/>
      <c r="UN548" s="268"/>
      <c r="UO548" s="268"/>
      <c r="UP548" s="268"/>
      <c r="UQ548" s="268"/>
      <c r="UR548" s="268"/>
      <c r="US548" s="268"/>
      <c r="UT548" s="268"/>
      <c r="UU548" s="268"/>
      <c r="UV548" s="268"/>
      <c r="UW548" s="268"/>
      <c r="UX548" s="268"/>
      <c r="UY548" s="268"/>
      <c r="UZ548" s="268"/>
      <c r="VA548" s="268"/>
      <c r="VB548" s="268"/>
      <c r="VC548" s="268"/>
      <c r="VD548" s="268"/>
      <c r="VE548" s="268"/>
      <c r="VF548" s="268"/>
      <c r="VG548" s="268"/>
      <c r="VH548" s="268"/>
      <c r="VI548" s="268"/>
      <c r="VJ548" s="268"/>
      <c r="VK548" s="268"/>
      <c r="VL548" s="268"/>
      <c r="VM548" s="268"/>
      <c r="VN548" s="268"/>
      <c r="VO548" s="268"/>
      <c r="VP548" s="268"/>
      <c r="VQ548" s="268"/>
      <c r="VR548" s="268"/>
      <c r="VS548" s="268"/>
      <c r="VT548" s="268"/>
      <c r="VU548" s="268"/>
      <c r="VV548" s="268"/>
      <c r="VW548" s="268"/>
      <c r="VX548" s="268"/>
      <c r="VY548" s="268"/>
      <c r="VZ548" s="268"/>
      <c r="WA548" s="268"/>
      <c r="WB548" s="268"/>
      <c r="WC548" s="268"/>
      <c r="WD548" s="268"/>
      <c r="WE548" s="268"/>
      <c r="WF548" s="268"/>
      <c r="WG548" s="268"/>
      <c r="WH548" s="268"/>
      <c r="WI548" s="268"/>
      <c r="WJ548" s="268"/>
      <c r="WK548" s="268"/>
      <c r="WL548" s="268"/>
      <c r="WM548" s="268"/>
      <c r="WN548" s="268"/>
      <c r="WO548" s="268"/>
      <c r="WP548" s="268"/>
      <c r="WQ548" s="268"/>
      <c r="WR548" s="268"/>
      <c r="WS548" s="268"/>
      <c r="WT548" s="268"/>
      <c r="WU548" s="268"/>
      <c r="WV548" s="268"/>
      <c r="WW548" s="268"/>
      <c r="WX548" s="268"/>
      <c r="WY548" s="268"/>
      <c r="WZ548" s="268"/>
      <c r="XA548" s="268"/>
      <c r="XB548" s="268"/>
      <c r="XC548" s="268"/>
      <c r="XD548" s="268"/>
      <c r="XE548" s="268"/>
      <c r="XF548" s="268"/>
      <c r="XG548" s="268"/>
      <c r="XH548" s="268"/>
      <c r="XI548" s="268"/>
      <c r="XJ548" s="268"/>
      <c r="XK548" s="268"/>
      <c r="XL548" s="268"/>
      <c r="XM548" s="268"/>
      <c r="XN548" s="268"/>
      <c r="XO548" s="268"/>
      <c r="XP548" s="268"/>
      <c r="XQ548" s="268"/>
      <c r="XR548" s="268"/>
      <c r="XS548" s="268"/>
      <c r="XT548" s="268"/>
      <c r="XU548" s="268"/>
      <c r="XV548" s="268"/>
      <c r="XW548" s="268"/>
      <c r="XX548" s="268"/>
      <c r="XY548" s="268"/>
      <c r="XZ548" s="268"/>
      <c r="YA548" s="268"/>
      <c r="YB548" s="268"/>
      <c r="YC548" s="268"/>
      <c r="YD548" s="268"/>
      <c r="YE548" s="268"/>
      <c r="YF548" s="268"/>
      <c r="YG548" s="268"/>
      <c r="YH548" s="268"/>
      <c r="YI548" s="268"/>
      <c r="YJ548" s="268"/>
      <c r="YK548" s="268"/>
      <c r="YL548" s="268"/>
      <c r="YM548" s="268"/>
      <c r="YN548" s="268"/>
      <c r="YO548" s="268"/>
      <c r="YP548" s="268"/>
      <c r="YQ548" s="268"/>
      <c r="YR548" s="268"/>
      <c r="YS548" s="268"/>
      <c r="YT548" s="268"/>
      <c r="YU548" s="268"/>
      <c r="YV548" s="268"/>
      <c r="YW548" s="268"/>
      <c r="YX548" s="268"/>
      <c r="YY548" s="268"/>
      <c r="YZ548" s="268"/>
      <c r="ZA548" s="268"/>
      <c r="ZB548" s="268"/>
      <c r="ZC548" s="268"/>
      <c r="ZD548" s="268"/>
      <c r="ZE548" s="268"/>
      <c r="ZF548" s="268"/>
      <c r="ZG548" s="268"/>
      <c r="ZH548" s="268"/>
      <c r="ZI548" s="268"/>
      <c r="ZJ548" s="268"/>
      <c r="ZK548" s="268"/>
      <c r="ZL548" s="268"/>
      <c r="ZM548" s="268"/>
      <c r="ZN548" s="268"/>
      <c r="ZO548" s="268"/>
      <c r="ZP548" s="268"/>
      <c r="ZQ548" s="268"/>
      <c r="ZR548" s="268"/>
      <c r="ZS548" s="268"/>
      <c r="ZT548" s="268"/>
      <c r="ZU548" s="268"/>
      <c r="ZV548" s="268"/>
      <c r="ZW548" s="268"/>
      <c r="ZX548" s="268"/>
      <c r="ZY548" s="268"/>
      <c r="ZZ548" s="268"/>
      <c r="AAA548" s="268"/>
      <c r="AAB548" s="268"/>
      <c r="AAC548" s="268"/>
      <c r="AAD548" s="268"/>
      <c r="AAE548" s="268"/>
      <c r="AAF548" s="268"/>
      <c r="AAG548" s="268"/>
      <c r="AAH548" s="268"/>
      <c r="AAI548" s="268"/>
      <c r="AAJ548" s="268"/>
      <c r="AAK548" s="268"/>
      <c r="AAL548" s="268"/>
      <c r="AAM548" s="268"/>
      <c r="AAN548" s="268"/>
      <c r="AAO548" s="268"/>
      <c r="AAP548" s="268"/>
      <c r="AAQ548" s="268"/>
      <c r="AAR548" s="268"/>
      <c r="AAS548" s="268"/>
      <c r="AAT548" s="268"/>
      <c r="AAU548" s="268"/>
      <c r="AAV548" s="268"/>
      <c r="AAW548" s="268"/>
      <c r="AAX548" s="268"/>
      <c r="AAY548" s="268"/>
      <c r="AAZ548" s="268"/>
      <c r="ABA548" s="268"/>
      <c r="ABB548" s="268"/>
      <c r="ABC548" s="268"/>
      <c r="ABD548" s="268"/>
      <c r="ABE548" s="268"/>
      <c r="ABF548" s="268"/>
      <c r="ABG548" s="268"/>
      <c r="ABH548" s="268"/>
      <c r="ABI548" s="268"/>
      <c r="ABJ548" s="268"/>
      <c r="ABK548" s="268"/>
      <c r="ABL548" s="268"/>
      <c r="ABM548" s="268"/>
      <c r="ABN548" s="268"/>
      <c r="ABO548" s="268"/>
      <c r="ABP548" s="268"/>
      <c r="ABQ548" s="268"/>
      <c r="ABR548" s="268"/>
      <c r="ABS548" s="268"/>
      <c r="ABT548" s="268"/>
      <c r="ABU548" s="268"/>
      <c r="ABV548" s="268"/>
      <c r="ABW548" s="268"/>
      <c r="ABX548" s="268"/>
      <c r="ABY548" s="268"/>
      <c r="ABZ548" s="268"/>
      <c r="ACA548" s="268"/>
      <c r="ACB548" s="268"/>
      <c r="ACC548" s="268"/>
      <c r="ACD548" s="268"/>
      <c r="ACE548" s="268"/>
      <c r="ACS548" s="268"/>
      <c r="ACT548" s="268"/>
      <c r="ACU548" s="268"/>
      <c r="ADI548" s="268"/>
      <c r="ADK548" s="268"/>
      <c r="ADL548" s="268"/>
      <c r="ADM548" s="268"/>
      <c r="ADN548" s="268"/>
      <c r="ADO548" s="268"/>
      <c r="ADP548" s="268"/>
      <c r="ADQ548" s="268"/>
      <c r="ADR548" s="268"/>
      <c r="ADS548" s="268"/>
      <c r="ADT548" s="268"/>
      <c r="ADU548" s="268"/>
      <c r="ADV548" s="268"/>
      <c r="ADW548" s="268"/>
      <c r="ADX548" s="268"/>
      <c r="ADY548" s="268"/>
      <c r="ADZ548" s="268"/>
      <c r="AEA548" s="268"/>
      <c r="AEB548" s="268"/>
      <c r="AEC548" s="268"/>
      <c r="AED548" s="268"/>
      <c r="AEE548" s="268"/>
      <c r="AEF548" s="268"/>
      <c r="AEG548" s="268"/>
      <c r="AEH548" s="268"/>
      <c r="AEI548" s="268"/>
      <c r="AEJ548" s="268"/>
      <c r="AEK548" s="268"/>
      <c r="AEL548" s="268"/>
      <c r="AEM548" s="268"/>
      <c r="AEN548" s="268"/>
      <c r="AEO548" s="268"/>
      <c r="AEP548" s="268"/>
      <c r="AEQ548" s="268"/>
      <c r="AER548" s="268"/>
      <c r="AES548" s="268"/>
      <c r="AET548" s="268"/>
      <c r="AEU548" s="268"/>
      <c r="AEV548" s="268"/>
      <c r="AEW548" s="268"/>
      <c r="AEX548" s="268"/>
      <c r="AEY548" s="268"/>
      <c r="AEZ548" s="268"/>
      <c r="AFA548" s="268"/>
      <c r="AFB548" s="268"/>
      <c r="AFC548" s="268"/>
      <c r="AFD548" s="268"/>
      <c r="AFE548" s="268"/>
      <c r="AFF548" s="268"/>
      <c r="AFG548" s="268"/>
      <c r="AFH548" s="268"/>
      <c r="AFI548" s="268"/>
      <c r="AFJ548" s="268"/>
      <c r="AFK548" s="268"/>
      <c r="AFL548" s="268"/>
      <c r="AFM548" s="268"/>
      <c r="AFN548" s="268"/>
      <c r="AFO548" s="268"/>
      <c r="AFP548" s="268"/>
      <c r="AFQ548" s="268"/>
      <c r="AFR548" s="268"/>
      <c r="AFS548" s="268"/>
      <c r="AFT548" s="268"/>
      <c r="AFU548" s="268"/>
      <c r="AFV548" s="268"/>
      <c r="AFW548" s="268"/>
      <c r="AFX548" s="268"/>
      <c r="AFY548" s="268"/>
      <c r="AFZ548" s="268"/>
      <c r="AGA548" s="268"/>
      <c r="AGB548" s="268"/>
      <c r="AGC548" s="268"/>
      <c r="AGD548" s="268"/>
      <c r="AGE548" s="268"/>
      <c r="AGF548" s="268"/>
      <c r="AGG548" s="268"/>
      <c r="AGH548" s="268"/>
      <c r="AGI548" s="268"/>
      <c r="AGJ548" s="268"/>
      <c r="AGK548" s="268"/>
      <c r="AGL548" s="268"/>
      <c r="AGM548" s="268"/>
      <c r="AGN548" s="268"/>
      <c r="AGO548" s="268"/>
      <c r="AGP548" s="268"/>
      <c r="AGQ548" s="268"/>
      <c r="AGR548" s="268"/>
      <c r="AGS548" s="268"/>
      <c r="AGT548" s="268"/>
      <c r="AGU548" s="268"/>
      <c r="AGV548" s="268"/>
      <c r="AGW548" s="268"/>
      <c r="AGX548" s="268"/>
      <c r="AGY548" s="268"/>
      <c r="AGZ548" s="268"/>
      <c r="AHA548" s="268"/>
      <c r="AHB548" s="268"/>
      <c r="AHC548" s="268"/>
      <c r="AHD548" s="268"/>
      <c r="AHE548" s="268"/>
      <c r="AHF548" s="268"/>
      <c r="AHG548" s="268"/>
      <c r="AHH548" s="268"/>
      <c r="AHI548" s="268"/>
      <c r="AHJ548" s="268"/>
      <c r="AHK548" s="268"/>
      <c r="AHL548" s="268"/>
      <c r="AHM548" s="268"/>
      <c r="AHN548" s="268"/>
      <c r="AHO548" s="268"/>
      <c r="AHP548" s="268"/>
      <c r="AHQ548" s="268"/>
      <c r="AHR548" s="268"/>
      <c r="AHS548" s="268"/>
      <c r="AHT548" s="268"/>
      <c r="AHU548" s="268"/>
      <c r="AHV548" s="268"/>
      <c r="AHW548" s="268"/>
      <c r="AHX548" s="268"/>
      <c r="AHY548" s="268"/>
      <c r="AHZ548" s="268"/>
      <c r="AIA548" s="268"/>
      <c r="AIB548" s="268"/>
      <c r="AIC548" s="268"/>
      <c r="AID548" s="268"/>
      <c r="AIE548" s="268"/>
      <c r="AIF548" s="268"/>
      <c r="AIG548" s="268"/>
      <c r="AIH548" s="268"/>
      <c r="AII548" s="268"/>
      <c r="AIJ548" s="268"/>
      <c r="AIK548" s="268"/>
      <c r="AIL548" s="268"/>
      <c r="AIM548" s="268"/>
      <c r="AIN548" s="268"/>
      <c r="AIO548" s="268"/>
      <c r="AIP548" s="268"/>
      <c r="AIQ548" s="268"/>
      <c r="AIR548" s="268"/>
      <c r="AIS548" s="268"/>
      <c r="AIT548" s="268"/>
      <c r="AIU548" s="268"/>
      <c r="AIV548" s="268"/>
      <c r="AIW548" s="268"/>
      <c r="AIX548" s="268"/>
      <c r="AIY548" s="268"/>
      <c r="AIZ548" s="268"/>
      <c r="AJA548" s="268"/>
      <c r="AJB548" s="268"/>
      <c r="AJC548" s="268"/>
      <c r="AJD548" s="268"/>
      <c r="AJE548" s="268"/>
      <c r="AJF548" s="268"/>
      <c r="AJG548" s="268"/>
      <c r="AJH548" s="268"/>
      <c r="AJI548" s="268"/>
      <c r="AJJ548" s="268"/>
      <c r="AJK548" s="268"/>
      <c r="AJL548" s="268"/>
      <c r="AJM548" s="268"/>
      <c r="AJN548" s="268"/>
      <c r="AJO548" s="268"/>
      <c r="AJP548" s="268"/>
      <c r="AJQ548" s="268"/>
      <c r="AJR548" s="268"/>
      <c r="AJS548" s="268"/>
      <c r="AJT548" s="268"/>
      <c r="AJU548" s="268"/>
      <c r="AJV548" s="268"/>
      <c r="AJW548" s="268"/>
      <c r="AJX548" s="268"/>
      <c r="AJY548" s="268"/>
      <c r="AJZ548" s="268"/>
      <c r="AKA548" s="268"/>
      <c r="AKB548" s="268"/>
      <c r="AKC548" s="268"/>
      <c r="AKD548" s="268"/>
      <c r="AKE548" s="268"/>
      <c r="AKF548" s="268"/>
      <c r="AKG548" s="268"/>
      <c r="AKH548" s="268"/>
      <c r="AKI548" s="268"/>
      <c r="AKJ548" s="268"/>
      <c r="AKK548" s="268"/>
      <c r="AKL548" s="268"/>
      <c r="AKM548" s="268"/>
      <c r="AKN548" s="268"/>
      <c r="AKO548" s="268"/>
      <c r="AKP548" s="268"/>
      <c r="AKQ548" s="268"/>
      <c r="AKR548" s="268"/>
      <c r="AKS548" s="268"/>
      <c r="AKT548" s="268"/>
      <c r="AKU548" s="268"/>
      <c r="AKV548" s="268"/>
      <c r="AKW548" s="268"/>
      <c r="AKX548" s="268"/>
      <c r="AKY548" s="268"/>
      <c r="AKZ548" s="268"/>
      <c r="ALA548" s="268"/>
      <c r="ALB548" s="268"/>
      <c r="ALC548" s="268"/>
      <c r="ALD548" s="268"/>
      <c r="ALE548" s="268"/>
      <c r="ALF548" s="268"/>
      <c r="ALG548" s="268"/>
      <c r="ALH548" s="268"/>
      <c r="ALI548" s="268"/>
      <c r="ALJ548" s="268"/>
      <c r="ALK548" s="268"/>
      <c r="ALL548" s="268"/>
      <c r="ALM548" s="268"/>
      <c r="ALN548" s="268"/>
      <c r="ALO548" s="268"/>
      <c r="ALP548" s="268"/>
      <c r="ALQ548" s="268"/>
      <c r="ALR548" s="268"/>
      <c r="ALS548" s="268"/>
      <c r="ALT548" s="268"/>
      <c r="ALU548" s="268"/>
      <c r="ALV548" s="268"/>
      <c r="ALW548" s="268"/>
      <c r="ALX548" s="268"/>
      <c r="ALY548" s="268"/>
      <c r="ALZ548" s="268"/>
      <c r="AMA548" s="268"/>
      <c r="AMO548" s="268"/>
      <c r="AMP548" s="268"/>
      <c r="AMQ548" s="268"/>
      <c r="ANE548" s="268"/>
      <c r="ANG548" s="268"/>
      <c r="ANH548" s="268"/>
      <c r="ANI548" s="268"/>
      <c r="ANJ548" s="268"/>
      <c r="ANK548" s="268"/>
      <c r="ANL548" s="268"/>
      <c r="ANM548" s="268"/>
      <c r="ANN548" s="268"/>
      <c r="ANO548" s="268"/>
      <c r="ANP548" s="268"/>
      <c r="ANQ548" s="268"/>
      <c r="ANR548" s="268"/>
      <c r="ANS548" s="268"/>
      <c r="ANT548" s="268"/>
      <c r="ANU548" s="268"/>
      <c r="ANV548" s="268"/>
      <c r="ANW548" s="268"/>
      <c r="ANX548" s="268"/>
      <c r="ANY548" s="268"/>
      <c r="ANZ548" s="268"/>
      <c r="AOA548" s="268"/>
      <c r="AOB548" s="268"/>
      <c r="AOC548" s="268"/>
      <c r="AOD548" s="268"/>
      <c r="AOE548" s="268"/>
      <c r="AOF548" s="268"/>
      <c r="AOG548" s="268"/>
      <c r="AOH548" s="268"/>
      <c r="AOI548" s="268"/>
      <c r="AOJ548" s="268"/>
      <c r="AOK548" s="268"/>
      <c r="AOL548" s="268"/>
      <c r="AOM548" s="268"/>
      <c r="AON548" s="268"/>
      <c r="AOO548" s="268"/>
      <c r="AOP548" s="268"/>
      <c r="AOQ548" s="268"/>
      <c r="AOR548" s="268"/>
      <c r="AOS548" s="268"/>
      <c r="AOT548" s="268"/>
      <c r="AOU548" s="268"/>
      <c r="AOV548" s="268"/>
      <c r="AOW548" s="268"/>
      <c r="AOX548" s="268"/>
      <c r="AOY548" s="268"/>
      <c r="AOZ548" s="268"/>
      <c r="APA548" s="268"/>
      <c r="APB548" s="268"/>
      <c r="APC548" s="268"/>
      <c r="APD548" s="268"/>
      <c r="APE548" s="268"/>
      <c r="APF548" s="268"/>
      <c r="APG548" s="268"/>
      <c r="APH548" s="268"/>
      <c r="API548" s="268"/>
      <c r="APJ548" s="268"/>
      <c r="APK548" s="268"/>
      <c r="APL548" s="268"/>
      <c r="APM548" s="268"/>
      <c r="APN548" s="268"/>
      <c r="APO548" s="268"/>
      <c r="APP548" s="268"/>
      <c r="APQ548" s="268"/>
      <c r="APR548" s="268"/>
      <c r="APS548" s="268"/>
      <c r="APT548" s="268"/>
      <c r="APU548" s="268"/>
      <c r="APV548" s="268"/>
      <c r="APW548" s="268"/>
      <c r="APX548" s="268"/>
      <c r="APY548" s="268"/>
      <c r="APZ548" s="268"/>
      <c r="AQA548" s="268"/>
      <c r="AQB548" s="268"/>
      <c r="AQC548" s="268"/>
      <c r="AQD548" s="268"/>
      <c r="AQE548" s="268"/>
      <c r="AQF548" s="268"/>
      <c r="AQG548" s="268"/>
      <c r="AQH548" s="268"/>
      <c r="AQI548" s="268"/>
      <c r="AQJ548" s="268"/>
      <c r="AQK548" s="268"/>
      <c r="AQL548" s="268"/>
      <c r="AQM548" s="268"/>
      <c r="AQN548" s="268"/>
      <c r="AQO548" s="268"/>
      <c r="AQP548" s="268"/>
      <c r="AQQ548" s="268"/>
      <c r="AQR548" s="268"/>
      <c r="AQS548" s="268"/>
      <c r="AQT548" s="268"/>
      <c r="AQU548" s="268"/>
      <c r="AQV548" s="268"/>
      <c r="AQW548" s="268"/>
      <c r="AQX548" s="268"/>
      <c r="AQY548" s="268"/>
      <c r="AQZ548" s="268"/>
      <c r="ARA548" s="268"/>
      <c r="ARB548" s="268"/>
      <c r="ARC548" s="268"/>
      <c r="ARD548" s="268"/>
      <c r="ARE548" s="268"/>
      <c r="ARF548" s="268"/>
      <c r="ARG548" s="268"/>
      <c r="ARH548" s="268"/>
      <c r="ARI548" s="268"/>
      <c r="ARJ548" s="268"/>
      <c r="ARK548" s="268"/>
      <c r="ARL548" s="268"/>
      <c r="ARM548" s="268"/>
      <c r="ARN548" s="268"/>
      <c r="ARO548" s="268"/>
      <c r="ARP548" s="268"/>
      <c r="ARQ548" s="268"/>
      <c r="ARR548" s="268"/>
      <c r="ARS548" s="268"/>
      <c r="ART548" s="268"/>
      <c r="ARU548" s="268"/>
      <c r="ARV548" s="268"/>
      <c r="ARW548" s="268"/>
      <c r="ARX548" s="268"/>
      <c r="ARY548" s="268"/>
      <c r="ARZ548" s="268"/>
      <c r="ASA548" s="268"/>
      <c r="ASB548" s="268"/>
      <c r="ASC548" s="268"/>
      <c r="ASD548" s="268"/>
      <c r="ASE548" s="268"/>
      <c r="ASF548" s="268"/>
      <c r="ASG548" s="268"/>
      <c r="ASH548" s="268"/>
      <c r="ASI548" s="268"/>
      <c r="ASJ548" s="268"/>
      <c r="ASK548" s="268"/>
      <c r="ASL548" s="268"/>
      <c r="ASM548" s="268"/>
      <c r="ASN548" s="268"/>
      <c r="ASO548" s="268"/>
      <c r="ASP548" s="268"/>
      <c r="ASQ548" s="268"/>
      <c r="ASR548" s="268"/>
      <c r="ASS548" s="268"/>
      <c r="AST548" s="268"/>
      <c r="ASU548" s="268"/>
      <c r="ASV548" s="268"/>
      <c r="ASW548" s="268"/>
      <c r="ASX548" s="268"/>
      <c r="ASY548" s="268"/>
      <c r="ASZ548" s="268"/>
      <c r="ATA548" s="268"/>
      <c r="ATB548" s="268"/>
      <c r="ATC548" s="268"/>
      <c r="ATD548" s="268"/>
      <c r="ATE548" s="268"/>
      <c r="ATF548" s="268"/>
      <c r="ATG548" s="268"/>
      <c r="ATH548" s="268"/>
      <c r="ATI548" s="268"/>
      <c r="ATJ548" s="268"/>
      <c r="ATK548" s="268"/>
      <c r="ATL548" s="268"/>
      <c r="ATM548" s="268"/>
      <c r="ATN548" s="268"/>
      <c r="ATO548" s="268"/>
      <c r="ATP548" s="268"/>
      <c r="ATQ548" s="268"/>
      <c r="ATR548" s="268"/>
      <c r="ATS548" s="268"/>
      <c r="ATT548" s="268"/>
      <c r="ATU548" s="268"/>
      <c r="ATV548" s="268"/>
      <c r="ATW548" s="268"/>
      <c r="ATX548" s="268"/>
      <c r="ATY548" s="268"/>
      <c r="ATZ548" s="268"/>
      <c r="AUA548" s="268"/>
      <c r="AUB548" s="268"/>
      <c r="AUC548" s="268"/>
      <c r="AUD548" s="268"/>
      <c r="AUE548" s="268"/>
      <c r="AUF548" s="268"/>
      <c r="AUG548" s="268"/>
      <c r="AUH548" s="268"/>
      <c r="AUI548" s="268"/>
      <c r="AUJ548" s="268"/>
      <c r="AUK548" s="268"/>
      <c r="AUL548" s="268"/>
      <c r="AUM548" s="268"/>
      <c r="AUN548" s="268"/>
      <c r="AUO548" s="268"/>
      <c r="AUP548" s="268"/>
      <c r="AUQ548" s="268"/>
      <c r="AUR548" s="268"/>
      <c r="AUS548" s="268"/>
      <c r="AUT548" s="268"/>
      <c r="AUU548" s="268"/>
      <c r="AUV548" s="268"/>
      <c r="AUW548" s="268"/>
      <c r="AUX548" s="268"/>
      <c r="AUY548" s="268"/>
      <c r="AUZ548" s="268"/>
      <c r="AVA548" s="268"/>
      <c r="AVB548" s="268"/>
      <c r="AVC548" s="268"/>
      <c r="AVD548" s="268"/>
      <c r="AVE548" s="268"/>
      <c r="AVF548" s="268"/>
      <c r="AVG548" s="268"/>
      <c r="AVH548" s="268"/>
      <c r="AVI548" s="268"/>
      <c r="AVJ548" s="268"/>
      <c r="AVK548" s="268"/>
      <c r="AVL548" s="268"/>
      <c r="AVM548" s="268"/>
      <c r="AVN548" s="268"/>
      <c r="AVO548" s="268"/>
      <c r="AVP548" s="268"/>
      <c r="AVQ548" s="268"/>
      <c r="AVR548" s="268"/>
      <c r="AVS548" s="268"/>
      <c r="AVT548" s="268"/>
      <c r="AVU548" s="268"/>
      <c r="AVV548" s="268"/>
      <c r="AVW548" s="268"/>
      <c r="AWK548" s="268"/>
      <c r="AWL548" s="268"/>
      <c r="AWM548" s="268"/>
      <c r="AXA548" s="268"/>
      <c r="AXC548" s="268"/>
      <c r="AXD548" s="268"/>
      <c r="AXE548" s="268"/>
      <c r="AXF548" s="268"/>
      <c r="AXG548" s="268"/>
      <c r="AXH548" s="268"/>
      <c r="AXI548" s="268"/>
      <c r="AXJ548" s="268"/>
      <c r="AXK548" s="268"/>
      <c r="AXL548" s="268"/>
      <c r="AXM548" s="268"/>
      <c r="AXN548" s="268"/>
      <c r="AXO548" s="268"/>
      <c r="AXP548" s="268"/>
      <c r="AXQ548" s="268"/>
      <c r="AXR548" s="268"/>
      <c r="AXS548" s="268"/>
      <c r="AXT548" s="268"/>
      <c r="AXU548" s="268"/>
      <c r="AXV548" s="268"/>
      <c r="AXW548" s="268"/>
      <c r="AXX548" s="268"/>
      <c r="AXY548" s="268"/>
      <c r="AXZ548" s="268"/>
      <c r="AYA548" s="268"/>
      <c r="AYB548" s="268"/>
      <c r="AYC548" s="268"/>
      <c r="AYD548" s="268"/>
      <c r="AYE548" s="268"/>
      <c r="AYF548" s="268"/>
      <c r="AYG548" s="268"/>
      <c r="AYH548" s="268"/>
      <c r="AYI548" s="268"/>
      <c r="AYJ548" s="268"/>
      <c r="AYK548" s="268"/>
      <c r="AYL548" s="268"/>
      <c r="AYM548" s="268"/>
      <c r="AYN548" s="268"/>
      <c r="AYO548" s="268"/>
      <c r="AYP548" s="268"/>
      <c r="AYQ548" s="268"/>
      <c r="AYR548" s="268"/>
      <c r="AYS548" s="268"/>
      <c r="AYT548" s="268"/>
      <c r="AYU548" s="268"/>
      <c r="AYV548" s="268"/>
      <c r="AYW548" s="268"/>
      <c r="AYX548" s="268"/>
      <c r="AYY548" s="268"/>
      <c r="AYZ548" s="268"/>
      <c r="AZA548" s="268"/>
      <c r="AZB548" s="268"/>
      <c r="AZC548" s="268"/>
      <c r="AZD548" s="268"/>
      <c r="AZE548" s="268"/>
      <c r="AZF548" s="268"/>
      <c r="AZG548" s="268"/>
      <c r="AZH548" s="268"/>
      <c r="AZI548" s="268"/>
      <c r="AZJ548" s="268"/>
      <c r="AZK548" s="268"/>
      <c r="AZL548" s="268"/>
      <c r="AZM548" s="268"/>
      <c r="AZN548" s="268"/>
      <c r="AZO548" s="268"/>
      <c r="AZP548" s="268"/>
      <c r="AZQ548" s="268"/>
      <c r="AZR548" s="268"/>
      <c r="AZS548" s="268"/>
      <c r="AZT548" s="268"/>
      <c r="AZU548" s="268"/>
      <c r="AZV548" s="268"/>
      <c r="AZW548" s="268"/>
      <c r="AZX548" s="268"/>
      <c r="AZY548" s="268"/>
      <c r="AZZ548" s="268"/>
      <c r="BAA548" s="268"/>
      <c r="BAB548" s="268"/>
      <c r="BAC548" s="268"/>
      <c r="BAD548" s="268"/>
      <c r="BAE548" s="268"/>
      <c r="BAF548" s="268"/>
      <c r="BAG548" s="268"/>
      <c r="BAH548" s="268"/>
      <c r="BAI548" s="268"/>
      <c r="BAJ548" s="268"/>
      <c r="BAK548" s="268"/>
      <c r="BAL548" s="268"/>
      <c r="BAM548" s="268"/>
      <c r="BAN548" s="268"/>
      <c r="BAO548" s="268"/>
      <c r="BAP548" s="268"/>
      <c r="BAQ548" s="268"/>
      <c r="BAR548" s="268"/>
      <c r="BAS548" s="268"/>
      <c r="BAT548" s="268"/>
      <c r="BAU548" s="268"/>
      <c r="BAV548" s="268"/>
      <c r="BAW548" s="268"/>
      <c r="BAX548" s="268"/>
      <c r="BAY548" s="268"/>
      <c r="BAZ548" s="268"/>
      <c r="BBA548" s="268"/>
      <c r="BBB548" s="268"/>
      <c r="BBC548" s="268"/>
      <c r="BBD548" s="268"/>
      <c r="BBE548" s="268"/>
      <c r="BBF548" s="268"/>
      <c r="BBG548" s="268"/>
      <c r="BBH548" s="268"/>
      <c r="BBI548" s="268"/>
      <c r="BBJ548" s="268"/>
      <c r="BBK548" s="268"/>
      <c r="BBL548" s="268"/>
      <c r="BBM548" s="268"/>
      <c r="BBN548" s="268"/>
      <c r="BBO548" s="268"/>
      <c r="BBP548" s="268"/>
      <c r="BBQ548" s="268"/>
      <c r="BBR548" s="268"/>
      <c r="BBS548" s="268"/>
      <c r="BBT548" s="268"/>
      <c r="BBU548" s="268"/>
      <c r="BBV548" s="268"/>
      <c r="BBW548" s="268"/>
      <c r="BBX548" s="268"/>
      <c r="BBY548" s="268"/>
      <c r="BBZ548" s="268"/>
      <c r="BCA548" s="268"/>
      <c r="BCB548" s="268"/>
      <c r="BCC548" s="268"/>
      <c r="BCD548" s="268"/>
      <c r="BCE548" s="268"/>
      <c r="BCF548" s="268"/>
      <c r="BCG548" s="268"/>
      <c r="BCH548" s="268"/>
      <c r="BCI548" s="268"/>
      <c r="BCJ548" s="268"/>
      <c r="BCK548" s="268"/>
      <c r="BCL548" s="268"/>
      <c r="BCM548" s="268"/>
      <c r="BCN548" s="268"/>
      <c r="BCO548" s="268"/>
      <c r="BCP548" s="268"/>
      <c r="BCQ548" s="268"/>
      <c r="BCR548" s="268"/>
      <c r="BCS548" s="268"/>
      <c r="BCT548" s="268"/>
      <c r="BCU548" s="268"/>
      <c r="BCV548" s="268"/>
      <c r="BCW548" s="268"/>
      <c r="BCX548" s="268"/>
      <c r="BCY548" s="268"/>
      <c r="BCZ548" s="268"/>
      <c r="BDA548" s="268"/>
      <c r="BDB548" s="268"/>
      <c r="BDC548" s="268"/>
      <c r="BDD548" s="268"/>
      <c r="BDE548" s="268"/>
      <c r="BDF548" s="268"/>
      <c r="BDG548" s="268"/>
      <c r="BDH548" s="268"/>
      <c r="BDI548" s="268"/>
      <c r="BDJ548" s="268"/>
      <c r="BDK548" s="268"/>
      <c r="BDL548" s="268"/>
      <c r="BDM548" s="268"/>
      <c r="BDN548" s="268"/>
      <c r="BDO548" s="268"/>
      <c r="BDP548" s="268"/>
      <c r="BDQ548" s="268"/>
      <c r="BDR548" s="268"/>
      <c r="BDS548" s="268"/>
      <c r="BDT548" s="268"/>
      <c r="BDU548" s="268"/>
      <c r="BDV548" s="268"/>
      <c r="BDW548" s="268"/>
      <c r="BDX548" s="268"/>
      <c r="BDY548" s="268"/>
      <c r="BDZ548" s="268"/>
      <c r="BEA548" s="268"/>
      <c r="BEB548" s="268"/>
      <c r="BEC548" s="268"/>
      <c r="BED548" s="268"/>
      <c r="BEE548" s="268"/>
      <c r="BEF548" s="268"/>
      <c r="BEG548" s="268"/>
      <c r="BEH548" s="268"/>
      <c r="BEI548" s="268"/>
      <c r="BEJ548" s="268"/>
      <c r="BEK548" s="268"/>
      <c r="BEL548" s="268"/>
      <c r="BEM548" s="268"/>
      <c r="BEN548" s="268"/>
      <c r="BEO548" s="268"/>
      <c r="BEP548" s="268"/>
      <c r="BEQ548" s="268"/>
      <c r="BER548" s="268"/>
      <c r="BES548" s="268"/>
      <c r="BET548" s="268"/>
      <c r="BEU548" s="268"/>
      <c r="BEV548" s="268"/>
      <c r="BEW548" s="268"/>
      <c r="BEX548" s="268"/>
      <c r="BEY548" s="268"/>
      <c r="BEZ548" s="268"/>
      <c r="BFA548" s="268"/>
      <c r="BFB548" s="268"/>
      <c r="BFC548" s="268"/>
      <c r="BFD548" s="268"/>
      <c r="BFE548" s="268"/>
      <c r="BFF548" s="268"/>
      <c r="BFG548" s="268"/>
      <c r="BFH548" s="268"/>
      <c r="BFI548" s="268"/>
      <c r="BFJ548" s="268"/>
      <c r="BFK548" s="268"/>
      <c r="BFL548" s="268"/>
      <c r="BFM548" s="268"/>
      <c r="BFN548" s="268"/>
      <c r="BFO548" s="268"/>
      <c r="BFP548" s="268"/>
      <c r="BFQ548" s="268"/>
      <c r="BFR548" s="268"/>
      <c r="BFS548" s="268"/>
      <c r="BGG548" s="268"/>
      <c r="BGH548" s="268"/>
      <c r="BGI548" s="268"/>
      <c r="BGW548" s="268"/>
      <c r="BGY548" s="268"/>
      <c r="BGZ548" s="268"/>
      <c r="BHA548" s="268"/>
      <c r="BHB548" s="268"/>
      <c r="BHC548" s="268"/>
      <c r="BHD548" s="268"/>
      <c r="BHE548" s="268"/>
      <c r="BHF548" s="268"/>
      <c r="BHG548" s="268"/>
      <c r="BHH548" s="268"/>
      <c r="BHI548" s="268"/>
      <c r="BHJ548" s="268"/>
      <c r="BHK548" s="268"/>
      <c r="BHL548" s="268"/>
      <c r="BHM548" s="268"/>
      <c r="BHN548" s="268"/>
      <c r="BHO548" s="268"/>
      <c r="BHP548" s="268"/>
      <c r="BHQ548" s="268"/>
      <c r="BHR548" s="268"/>
      <c r="BHS548" s="268"/>
      <c r="BHT548" s="268"/>
      <c r="BHU548" s="268"/>
      <c r="BHV548" s="268"/>
      <c r="BHW548" s="268"/>
      <c r="BHX548" s="268"/>
      <c r="BHY548" s="268"/>
      <c r="BHZ548" s="268"/>
      <c r="BIA548" s="268"/>
      <c r="BIB548" s="268"/>
      <c r="BIC548" s="268"/>
      <c r="BID548" s="268"/>
      <c r="BIE548" s="268"/>
      <c r="BIF548" s="268"/>
      <c r="BIG548" s="268"/>
      <c r="BIH548" s="268"/>
      <c r="BII548" s="268"/>
      <c r="BIJ548" s="268"/>
      <c r="BIK548" s="268"/>
      <c r="BIL548" s="268"/>
      <c r="BIM548" s="268"/>
      <c r="BIN548" s="268"/>
      <c r="BIO548" s="268"/>
      <c r="BIP548" s="268"/>
      <c r="BIQ548" s="268"/>
      <c r="BIR548" s="268"/>
      <c r="BIS548" s="268"/>
      <c r="BIT548" s="268"/>
      <c r="BIU548" s="268"/>
      <c r="BIV548" s="268"/>
      <c r="BIW548" s="268"/>
      <c r="BIX548" s="268"/>
      <c r="BIY548" s="268"/>
      <c r="BIZ548" s="268"/>
      <c r="BJA548" s="268"/>
      <c r="BJB548" s="268"/>
      <c r="BJC548" s="268"/>
      <c r="BJD548" s="268"/>
      <c r="BJE548" s="268"/>
      <c r="BJF548" s="268"/>
      <c r="BJG548" s="268"/>
      <c r="BJH548" s="268"/>
      <c r="BJI548" s="268"/>
      <c r="BJJ548" s="268"/>
      <c r="BJK548" s="268"/>
      <c r="BJL548" s="268"/>
      <c r="BJM548" s="268"/>
      <c r="BJN548" s="268"/>
      <c r="BJO548" s="268"/>
      <c r="BJP548" s="268"/>
      <c r="BJQ548" s="268"/>
      <c r="BJR548" s="268"/>
      <c r="BJS548" s="268"/>
      <c r="BJT548" s="268"/>
      <c r="BJU548" s="268"/>
      <c r="BJV548" s="268"/>
      <c r="BJW548" s="268"/>
      <c r="BJX548" s="268"/>
      <c r="BJY548" s="268"/>
      <c r="BJZ548" s="268"/>
      <c r="BKA548" s="268"/>
      <c r="BKB548" s="268"/>
      <c r="BKC548" s="268"/>
      <c r="BKD548" s="268"/>
      <c r="BKE548" s="268"/>
      <c r="BKF548" s="268"/>
      <c r="BKG548" s="268"/>
      <c r="BKH548" s="268"/>
      <c r="BKI548" s="268"/>
      <c r="BKJ548" s="268"/>
      <c r="BKK548" s="268"/>
      <c r="BKL548" s="268"/>
      <c r="BKM548" s="268"/>
      <c r="BKN548" s="268"/>
      <c r="BKO548" s="268"/>
      <c r="BKP548" s="268"/>
      <c r="BKQ548" s="268"/>
      <c r="BKR548" s="268"/>
      <c r="BKS548" s="268"/>
      <c r="BKT548" s="268"/>
      <c r="BKU548" s="268"/>
      <c r="BKV548" s="268"/>
      <c r="BKW548" s="268"/>
      <c r="BKX548" s="268"/>
      <c r="BKY548" s="268"/>
      <c r="BKZ548" s="268"/>
      <c r="BLA548" s="268"/>
      <c r="BLB548" s="268"/>
      <c r="BLC548" s="268"/>
      <c r="BLD548" s="268"/>
      <c r="BLE548" s="268"/>
      <c r="BLF548" s="268"/>
      <c r="BLG548" s="268"/>
      <c r="BLH548" s="268"/>
      <c r="BLI548" s="268"/>
      <c r="BLJ548" s="268"/>
      <c r="BLK548" s="268"/>
      <c r="BLL548" s="268"/>
      <c r="BLM548" s="268"/>
      <c r="BLN548" s="268"/>
      <c r="BLO548" s="268"/>
      <c r="BLP548" s="268"/>
      <c r="BLQ548" s="268"/>
      <c r="BLR548" s="268"/>
      <c r="BLS548" s="268"/>
      <c r="BLT548" s="268"/>
      <c r="BLU548" s="268"/>
      <c r="BLV548" s="268"/>
      <c r="BLW548" s="268"/>
      <c r="BLX548" s="268"/>
      <c r="BLY548" s="268"/>
      <c r="BLZ548" s="268"/>
      <c r="BMA548" s="268"/>
      <c r="BMB548" s="268"/>
      <c r="BMC548" s="268"/>
      <c r="BMD548" s="268"/>
      <c r="BME548" s="268"/>
      <c r="BMF548" s="268"/>
      <c r="BMG548" s="268"/>
      <c r="BMH548" s="268"/>
      <c r="BMI548" s="268"/>
      <c r="BMJ548" s="268"/>
      <c r="BMK548" s="268"/>
      <c r="BML548" s="268"/>
      <c r="BMM548" s="268"/>
      <c r="BMN548" s="268"/>
      <c r="BMO548" s="268"/>
      <c r="BMP548" s="268"/>
      <c r="BMQ548" s="268"/>
      <c r="BMR548" s="268"/>
      <c r="BMS548" s="268"/>
      <c r="BMT548" s="268"/>
      <c r="BMU548" s="268"/>
      <c r="BMV548" s="268"/>
      <c r="BMW548" s="268"/>
      <c r="BMX548" s="268"/>
      <c r="BMY548" s="268"/>
      <c r="BMZ548" s="268"/>
      <c r="BNA548" s="268"/>
      <c r="BNB548" s="268"/>
      <c r="BNC548" s="268"/>
      <c r="BND548" s="268"/>
      <c r="BNE548" s="268"/>
      <c r="BNF548" s="268"/>
      <c r="BNG548" s="268"/>
      <c r="BNH548" s="268"/>
      <c r="BNI548" s="268"/>
      <c r="BNJ548" s="268"/>
      <c r="BNK548" s="268"/>
      <c r="BNL548" s="268"/>
      <c r="BNM548" s="268"/>
      <c r="BNN548" s="268"/>
      <c r="BNO548" s="268"/>
      <c r="BNP548" s="268"/>
      <c r="BNQ548" s="268"/>
      <c r="BNR548" s="268"/>
      <c r="BNS548" s="268"/>
      <c r="BNT548" s="268"/>
      <c r="BNU548" s="268"/>
      <c r="BNV548" s="268"/>
      <c r="BNW548" s="268"/>
      <c r="BNX548" s="268"/>
      <c r="BNY548" s="268"/>
      <c r="BNZ548" s="268"/>
      <c r="BOA548" s="268"/>
      <c r="BOB548" s="268"/>
      <c r="BOC548" s="268"/>
      <c r="BOD548" s="268"/>
      <c r="BOE548" s="268"/>
      <c r="BOF548" s="268"/>
      <c r="BOG548" s="268"/>
      <c r="BOH548" s="268"/>
      <c r="BOI548" s="268"/>
      <c r="BOJ548" s="268"/>
      <c r="BOK548" s="268"/>
      <c r="BOL548" s="268"/>
      <c r="BOM548" s="268"/>
      <c r="BON548" s="268"/>
      <c r="BOO548" s="268"/>
      <c r="BOP548" s="268"/>
      <c r="BOQ548" s="268"/>
      <c r="BOR548" s="268"/>
      <c r="BOS548" s="268"/>
      <c r="BOT548" s="268"/>
      <c r="BOU548" s="268"/>
      <c r="BOV548" s="268"/>
      <c r="BOW548" s="268"/>
      <c r="BOX548" s="268"/>
      <c r="BOY548" s="268"/>
      <c r="BOZ548" s="268"/>
      <c r="BPA548" s="268"/>
      <c r="BPB548" s="268"/>
      <c r="BPC548" s="268"/>
      <c r="BPD548" s="268"/>
      <c r="BPE548" s="268"/>
      <c r="BPF548" s="268"/>
      <c r="BPG548" s="268"/>
      <c r="BPH548" s="268"/>
      <c r="BPI548" s="268"/>
      <c r="BPJ548" s="268"/>
      <c r="BPK548" s="268"/>
      <c r="BPL548" s="268"/>
      <c r="BPM548" s="268"/>
      <c r="BPN548" s="268"/>
      <c r="BPO548" s="268"/>
      <c r="BQC548" s="268"/>
      <c r="BQD548" s="268"/>
      <c r="BQE548" s="268"/>
      <c r="BQS548" s="268"/>
      <c r="BQU548" s="268"/>
      <c r="BQV548" s="268"/>
      <c r="BQW548" s="268"/>
      <c r="BQX548" s="268"/>
      <c r="BQY548" s="268"/>
      <c r="BQZ548" s="268"/>
      <c r="BRA548" s="268"/>
      <c r="BRB548" s="268"/>
      <c r="BRC548" s="268"/>
      <c r="BRD548" s="268"/>
      <c r="BRE548" s="268"/>
      <c r="BRF548" s="268"/>
      <c r="BRG548" s="268"/>
      <c r="BRH548" s="268"/>
      <c r="BRI548" s="268"/>
      <c r="BRJ548" s="268"/>
      <c r="BRK548" s="268"/>
      <c r="BRL548" s="268"/>
      <c r="BRM548" s="268"/>
      <c r="BRN548" s="268"/>
      <c r="BRO548" s="268"/>
      <c r="BRP548" s="268"/>
      <c r="BRQ548" s="268"/>
      <c r="BRR548" s="268"/>
      <c r="BRS548" s="268"/>
      <c r="BRT548" s="268"/>
      <c r="BRU548" s="268"/>
      <c r="BRV548" s="268"/>
      <c r="BRW548" s="268"/>
      <c r="BRX548" s="268"/>
      <c r="BRY548" s="268"/>
      <c r="BRZ548" s="268"/>
      <c r="BSA548" s="268"/>
      <c r="BSB548" s="268"/>
      <c r="BSC548" s="268"/>
      <c r="BSD548" s="268"/>
      <c r="BSE548" s="268"/>
      <c r="BSF548" s="268"/>
      <c r="BSG548" s="268"/>
      <c r="BSH548" s="268"/>
      <c r="BSI548" s="268"/>
      <c r="BSJ548" s="268"/>
      <c r="BSK548" s="268"/>
      <c r="BSL548" s="268"/>
      <c r="BSM548" s="268"/>
      <c r="BSN548" s="268"/>
      <c r="BSO548" s="268"/>
      <c r="BSP548" s="268"/>
      <c r="BSQ548" s="268"/>
      <c r="BSR548" s="268"/>
      <c r="BSS548" s="268"/>
      <c r="BST548" s="268"/>
      <c r="BSU548" s="268"/>
      <c r="BSV548" s="268"/>
      <c r="BSW548" s="268"/>
      <c r="BSX548" s="268"/>
      <c r="BSY548" s="268"/>
      <c r="BSZ548" s="268"/>
      <c r="BTA548" s="268"/>
      <c r="BTB548" s="268"/>
      <c r="BTC548" s="268"/>
      <c r="BTD548" s="268"/>
      <c r="BTE548" s="268"/>
      <c r="BTF548" s="268"/>
      <c r="BTG548" s="268"/>
      <c r="BTH548" s="268"/>
      <c r="BTI548" s="268"/>
      <c r="BTJ548" s="268"/>
      <c r="BTK548" s="268"/>
      <c r="BTL548" s="268"/>
      <c r="BTM548" s="268"/>
      <c r="BTN548" s="268"/>
      <c r="BTO548" s="268"/>
      <c r="BTP548" s="268"/>
      <c r="BTQ548" s="268"/>
      <c r="BTR548" s="268"/>
      <c r="BTS548" s="268"/>
      <c r="BTT548" s="268"/>
      <c r="BTU548" s="268"/>
      <c r="BTV548" s="268"/>
      <c r="BTW548" s="268"/>
      <c r="BTX548" s="268"/>
      <c r="BTY548" s="268"/>
      <c r="BTZ548" s="268"/>
      <c r="BUA548" s="268"/>
      <c r="BUB548" s="268"/>
      <c r="BUC548" s="268"/>
      <c r="BUD548" s="268"/>
      <c r="BUE548" s="268"/>
      <c r="BUF548" s="268"/>
      <c r="BUG548" s="268"/>
      <c r="BUH548" s="268"/>
      <c r="BUI548" s="268"/>
      <c r="BUJ548" s="268"/>
      <c r="BUK548" s="268"/>
      <c r="BUL548" s="268"/>
      <c r="BUM548" s="268"/>
      <c r="BUN548" s="268"/>
      <c r="BUO548" s="268"/>
      <c r="BUP548" s="268"/>
      <c r="BUQ548" s="268"/>
      <c r="BUR548" s="268"/>
      <c r="BUS548" s="268"/>
      <c r="BUT548" s="268"/>
      <c r="BUU548" s="268"/>
      <c r="BUV548" s="268"/>
      <c r="BUW548" s="268"/>
      <c r="BUX548" s="268"/>
      <c r="BUY548" s="268"/>
      <c r="BUZ548" s="268"/>
      <c r="BVA548" s="268"/>
      <c r="BVB548" s="268"/>
      <c r="BVC548" s="268"/>
      <c r="BVD548" s="268"/>
      <c r="BVE548" s="268"/>
      <c r="BVF548" s="268"/>
      <c r="BVG548" s="268"/>
      <c r="BVH548" s="268"/>
      <c r="BVI548" s="268"/>
      <c r="BVJ548" s="268"/>
      <c r="BVK548" s="268"/>
      <c r="BVL548" s="268"/>
      <c r="BVM548" s="268"/>
      <c r="BVN548" s="268"/>
      <c r="BVO548" s="268"/>
      <c r="BVP548" s="268"/>
      <c r="BVQ548" s="268"/>
      <c r="BVR548" s="268"/>
      <c r="BVS548" s="268"/>
      <c r="BVT548" s="268"/>
      <c r="BVU548" s="268"/>
      <c r="BVV548" s="268"/>
      <c r="BVW548" s="268"/>
      <c r="BVX548" s="268"/>
      <c r="BVY548" s="268"/>
      <c r="BVZ548" s="268"/>
      <c r="BWA548" s="268"/>
      <c r="BWB548" s="268"/>
      <c r="BWC548" s="268"/>
      <c r="BWD548" s="268"/>
      <c r="BWE548" s="268"/>
      <c r="BWF548" s="268"/>
      <c r="BWG548" s="268"/>
      <c r="BWH548" s="268"/>
      <c r="BWI548" s="268"/>
      <c r="BWJ548" s="268"/>
      <c r="BWK548" s="268"/>
      <c r="BWL548" s="268"/>
      <c r="BWM548" s="268"/>
      <c r="BWN548" s="268"/>
      <c r="BWO548" s="268"/>
      <c r="BWP548" s="268"/>
      <c r="BWQ548" s="268"/>
      <c r="BWR548" s="268"/>
      <c r="BWS548" s="268"/>
      <c r="BWT548" s="268"/>
      <c r="BWU548" s="268"/>
      <c r="BWV548" s="268"/>
      <c r="BWW548" s="268"/>
      <c r="BWX548" s="268"/>
      <c r="BWY548" s="268"/>
      <c r="BWZ548" s="268"/>
      <c r="BXA548" s="268"/>
      <c r="BXB548" s="268"/>
      <c r="BXC548" s="268"/>
      <c r="BXD548" s="268"/>
      <c r="BXE548" s="268"/>
      <c r="BXF548" s="268"/>
      <c r="BXG548" s="268"/>
      <c r="BXH548" s="268"/>
      <c r="BXI548" s="268"/>
      <c r="BXJ548" s="268"/>
      <c r="BXK548" s="268"/>
      <c r="BXL548" s="268"/>
      <c r="BXM548" s="268"/>
      <c r="BXN548" s="268"/>
      <c r="BXO548" s="268"/>
      <c r="BXP548" s="268"/>
      <c r="BXQ548" s="268"/>
      <c r="BXR548" s="268"/>
      <c r="BXS548" s="268"/>
      <c r="BXT548" s="268"/>
      <c r="BXU548" s="268"/>
      <c r="BXV548" s="268"/>
      <c r="BXW548" s="268"/>
      <c r="BXX548" s="268"/>
      <c r="BXY548" s="268"/>
      <c r="BXZ548" s="268"/>
      <c r="BYA548" s="268"/>
      <c r="BYB548" s="268"/>
      <c r="BYC548" s="268"/>
      <c r="BYD548" s="268"/>
      <c r="BYE548" s="268"/>
      <c r="BYF548" s="268"/>
      <c r="BYG548" s="268"/>
      <c r="BYH548" s="268"/>
      <c r="BYI548" s="268"/>
      <c r="BYJ548" s="268"/>
      <c r="BYK548" s="268"/>
      <c r="BYL548" s="268"/>
      <c r="BYM548" s="268"/>
      <c r="BYN548" s="268"/>
      <c r="BYO548" s="268"/>
      <c r="BYP548" s="268"/>
      <c r="BYQ548" s="268"/>
      <c r="BYR548" s="268"/>
      <c r="BYS548" s="268"/>
      <c r="BYT548" s="268"/>
      <c r="BYU548" s="268"/>
      <c r="BYV548" s="268"/>
      <c r="BYW548" s="268"/>
      <c r="BYX548" s="268"/>
      <c r="BYY548" s="268"/>
      <c r="BYZ548" s="268"/>
      <c r="BZA548" s="268"/>
      <c r="BZB548" s="268"/>
      <c r="BZC548" s="268"/>
      <c r="BZD548" s="268"/>
      <c r="BZE548" s="268"/>
      <c r="BZF548" s="268"/>
      <c r="BZG548" s="268"/>
      <c r="BZH548" s="268"/>
      <c r="BZI548" s="268"/>
      <c r="BZJ548" s="268"/>
      <c r="BZK548" s="268"/>
      <c r="BZY548" s="268"/>
      <c r="BZZ548" s="268"/>
      <c r="CAA548" s="268"/>
      <c r="CAO548" s="268"/>
      <c r="CAQ548" s="268"/>
      <c r="CAR548" s="268"/>
      <c r="CAS548" s="268"/>
      <c r="CAT548" s="268"/>
      <c r="CAU548" s="268"/>
      <c r="CAV548" s="268"/>
      <c r="CAW548" s="268"/>
      <c r="CAX548" s="268"/>
      <c r="CAY548" s="268"/>
      <c r="CAZ548" s="268"/>
      <c r="CBA548" s="268"/>
      <c r="CBB548" s="268"/>
      <c r="CBC548" s="268"/>
      <c r="CBD548" s="268"/>
      <c r="CBE548" s="268"/>
      <c r="CBF548" s="268"/>
      <c r="CBG548" s="268"/>
      <c r="CBH548" s="268"/>
      <c r="CBI548" s="268"/>
      <c r="CBJ548" s="268"/>
      <c r="CBK548" s="268"/>
      <c r="CBL548" s="268"/>
      <c r="CBM548" s="268"/>
      <c r="CBN548" s="268"/>
      <c r="CBO548" s="268"/>
      <c r="CBP548" s="268"/>
      <c r="CBQ548" s="268"/>
      <c r="CBR548" s="268"/>
      <c r="CBS548" s="268"/>
      <c r="CBT548" s="268"/>
      <c r="CBU548" s="268"/>
      <c r="CBV548" s="268"/>
      <c r="CBW548" s="268"/>
      <c r="CBX548" s="268"/>
      <c r="CBY548" s="268"/>
      <c r="CBZ548" s="268"/>
      <c r="CCA548" s="268"/>
      <c r="CCB548" s="268"/>
      <c r="CCC548" s="268"/>
      <c r="CCD548" s="268"/>
      <c r="CCE548" s="268"/>
      <c r="CCF548" s="268"/>
      <c r="CCG548" s="268"/>
      <c r="CCH548" s="268"/>
      <c r="CCI548" s="268"/>
      <c r="CCJ548" s="268"/>
      <c r="CCK548" s="268"/>
      <c r="CCL548" s="268"/>
      <c r="CCM548" s="268"/>
      <c r="CCN548" s="268"/>
      <c r="CCO548" s="268"/>
      <c r="CCP548" s="268"/>
      <c r="CCQ548" s="268"/>
      <c r="CCR548" s="268"/>
      <c r="CCS548" s="268"/>
      <c r="CCT548" s="268"/>
      <c r="CCU548" s="268"/>
      <c r="CCV548" s="268"/>
      <c r="CCW548" s="268"/>
      <c r="CCX548" s="268"/>
      <c r="CCY548" s="268"/>
      <c r="CCZ548" s="268"/>
      <c r="CDA548" s="268"/>
      <c r="CDB548" s="268"/>
      <c r="CDC548" s="268"/>
      <c r="CDD548" s="268"/>
      <c r="CDE548" s="268"/>
      <c r="CDF548" s="268"/>
      <c r="CDG548" s="268"/>
      <c r="CDH548" s="268"/>
      <c r="CDI548" s="268"/>
      <c r="CDJ548" s="268"/>
      <c r="CDK548" s="268"/>
      <c r="CDL548" s="268"/>
      <c r="CDM548" s="268"/>
      <c r="CDN548" s="268"/>
      <c r="CDO548" s="268"/>
      <c r="CDP548" s="268"/>
      <c r="CDQ548" s="268"/>
      <c r="CDR548" s="268"/>
      <c r="CDS548" s="268"/>
      <c r="CDT548" s="268"/>
      <c r="CDU548" s="268"/>
      <c r="CDV548" s="268"/>
      <c r="CDW548" s="268"/>
      <c r="CDX548" s="268"/>
      <c r="CDY548" s="268"/>
      <c r="CDZ548" s="268"/>
      <c r="CEA548" s="268"/>
      <c r="CEB548" s="268"/>
      <c r="CEC548" s="268"/>
      <c r="CED548" s="268"/>
      <c r="CEE548" s="268"/>
      <c r="CEF548" s="268"/>
      <c r="CEG548" s="268"/>
      <c r="CEH548" s="268"/>
      <c r="CEI548" s="268"/>
      <c r="CEJ548" s="268"/>
      <c r="CEK548" s="268"/>
      <c r="CEL548" s="268"/>
      <c r="CEM548" s="268"/>
      <c r="CEN548" s="268"/>
      <c r="CEO548" s="268"/>
      <c r="CEP548" s="268"/>
      <c r="CEQ548" s="268"/>
      <c r="CER548" s="268"/>
      <c r="CES548" s="268"/>
      <c r="CET548" s="268"/>
      <c r="CEU548" s="268"/>
      <c r="CEV548" s="268"/>
      <c r="CEW548" s="268"/>
      <c r="CEX548" s="268"/>
      <c r="CEY548" s="268"/>
      <c r="CEZ548" s="268"/>
      <c r="CFA548" s="268"/>
      <c r="CFB548" s="268"/>
      <c r="CFC548" s="268"/>
      <c r="CFD548" s="268"/>
      <c r="CFE548" s="268"/>
      <c r="CFF548" s="268"/>
      <c r="CFG548" s="268"/>
      <c r="CFH548" s="268"/>
      <c r="CFI548" s="268"/>
      <c r="CFJ548" s="268"/>
      <c r="CFK548" s="268"/>
      <c r="CFL548" s="268"/>
      <c r="CFM548" s="268"/>
      <c r="CFN548" s="268"/>
      <c r="CFO548" s="268"/>
      <c r="CFP548" s="268"/>
      <c r="CFQ548" s="268"/>
      <c r="CFR548" s="268"/>
      <c r="CFS548" s="268"/>
      <c r="CFT548" s="268"/>
      <c r="CFU548" s="268"/>
      <c r="CFV548" s="268"/>
      <c r="CFW548" s="268"/>
      <c r="CFX548" s="268"/>
      <c r="CFY548" s="268"/>
      <c r="CFZ548" s="268"/>
      <c r="CGA548" s="268"/>
      <c r="CGB548" s="268"/>
      <c r="CGC548" s="268"/>
      <c r="CGD548" s="268"/>
      <c r="CGE548" s="268"/>
      <c r="CGF548" s="268"/>
      <c r="CGG548" s="268"/>
      <c r="CGH548" s="268"/>
      <c r="CGI548" s="268"/>
      <c r="CGJ548" s="268"/>
      <c r="CGK548" s="268"/>
      <c r="CGL548" s="268"/>
      <c r="CGM548" s="268"/>
      <c r="CGN548" s="268"/>
      <c r="CGO548" s="268"/>
      <c r="CGP548" s="268"/>
      <c r="CGQ548" s="268"/>
      <c r="CGR548" s="268"/>
      <c r="CGS548" s="268"/>
      <c r="CGT548" s="268"/>
      <c r="CGU548" s="268"/>
      <c r="CGV548" s="268"/>
      <c r="CGW548" s="268"/>
      <c r="CGX548" s="268"/>
      <c r="CGY548" s="268"/>
      <c r="CGZ548" s="268"/>
      <c r="CHA548" s="268"/>
      <c r="CHB548" s="268"/>
      <c r="CHC548" s="268"/>
      <c r="CHD548" s="268"/>
      <c r="CHE548" s="268"/>
      <c r="CHF548" s="268"/>
      <c r="CHG548" s="268"/>
      <c r="CHH548" s="268"/>
      <c r="CHI548" s="268"/>
      <c r="CHJ548" s="268"/>
      <c r="CHK548" s="268"/>
      <c r="CHL548" s="268"/>
      <c r="CHM548" s="268"/>
      <c r="CHN548" s="268"/>
      <c r="CHO548" s="268"/>
      <c r="CHP548" s="268"/>
      <c r="CHQ548" s="268"/>
      <c r="CHR548" s="268"/>
      <c r="CHS548" s="268"/>
      <c r="CHT548" s="268"/>
      <c r="CHU548" s="268"/>
      <c r="CHV548" s="268"/>
      <c r="CHW548" s="268"/>
      <c r="CHX548" s="268"/>
      <c r="CHY548" s="268"/>
      <c r="CHZ548" s="268"/>
      <c r="CIA548" s="268"/>
      <c r="CIB548" s="268"/>
      <c r="CIC548" s="268"/>
      <c r="CID548" s="268"/>
      <c r="CIE548" s="268"/>
      <c r="CIF548" s="268"/>
      <c r="CIG548" s="268"/>
      <c r="CIH548" s="268"/>
      <c r="CII548" s="268"/>
      <c r="CIJ548" s="268"/>
      <c r="CIK548" s="268"/>
      <c r="CIL548" s="268"/>
      <c r="CIM548" s="268"/>
      <c r="CIN548" s="268"/>
      <c r="CIO548" s="268"/>
      <c r="CIP548" s="268"/>
      <c r="CIQ548" s="268"/>
      <c r="CIR548" s="268"/>
      <c r="CIS548" s="268"/>
      <c r="CIT548" s="268"/>
      <c r="CIU548" s="268"/>
      <c r="CIV548" s="268"/>
      <c r="CIW548" s="268"/>
      <c r="CIX548" s="268"/>
      <c r="CIY548" s="268"/>
      <c r="CIZ548" s="268"/>
      <c r="CJA548" s="268"/>
      <c r="CJB548" s="268"/>
      <c r="CJC548" s="268"/>
      <c r="CJD548" s="268"/>
      <c r="CJE548" s="268"/>
      <c r="CJF548" s="268"/>
      <c r="CJG548" s="268"/>
      <c r="CJU548" s="268"/>
      <c r="CJV548" s="268"/>
      <c r="CJW548" s="268"/>
      <c r="CKK548" s="268"/>
      <c r="CKM548" s="268"/>
      <c r="CKN548" s="268"/>
      <c r="CKO548" s="268"/>
      <c r="CKP548" s="268"/>
      <c r="CKQ548" s="268"/>
      <c r="CKR548" s="268"/>
      <c r="CKS548" s="268"/>
      <c r="CKT548" s="268"/>
      <c r="CKU548" s="268"/>
      <c r="CKV548" s="268"/>
      <c r="CKW548" s="268"/>
      <c r="CKX548" s="268"/>
      <c r="CKY548" s="268"/>
      <c r="CKZ548" s="268"/>
      <c r="CLA548" s="268"/>
      <c r="CLB548" s="268"/>
      <c r="CLC548" s="268"/>
      <c r="CLD548" s="268"/>
      <c r="CLE548" s="268"/>
      <c r="CLF548" s="268"/>
      <c r="CLG548" s="268"/>
      <c r="CLH548" s="268"/>
      <c r="CLI548" s="268"/>
      <c r="CLJ548" s="268"/>
      <c r="CLK548" s="268"/>
      <c r="CLL548" s="268"/>
      <c r="CLM548" s="268"/>
      <c r="CLN548" s="268"/>
      <c r="CLO548" s="268"/>
      <c r="CLP548" s="268"/>
      <c r="CLQ548" s="268"/>
      <c r="CLR548" s="268"/>
      <c r="CLS548" s="268"/>
      <c r="CLT548" s="268"/>
      <c r="CLU548" s="268"/>
      <c r="CLV548" s="268"/>
      <c r="CLW548" s="268"/>
      <c r="CLX548" s="268"/>
      <c r="CLY548" s="268"/>
      <c r="CLZ548" s="268"/>
      <c r="CMA548" s="268"/>
      <c r="CMB548" s="268"/>
      <c r="CMC548" s="268"/>
      <c r="CMD548" s="268"/>
      <c r="CME548" s="268"/>
      <c r="CMF548" s="268"/>
      <c r="CMG548" s="268"/>
      <c r="CMH548" s="268"/>
      <c r="CMI548" s="268"/>
      <c r="CMJ548" s="268"/>
      <c r="CMK548" s="268"/>
      <c r="CML548" s="268"/>
      <c r="CMM548" s="268"/>
      <c r="CMN548" s="268"/>
      <c r="CMO548" s="268"/>
      <c r="CMP548" s="268"/>
      <c r="CMQ548" s="268"/>
      <c r="CMR548" s="268"/>
      <c r="CMS548" s="268"/>
      <c r="CMT548" s="268"/>
      <c r="CMU548" s="268"/>
      <c r="CMV548" s="268"/>
      <c r="CMW548" s="268"/>
      <c r="CMX548" s="268"/>
      <c r="CMY548" s="268"/>
      <c r="CMZ548" s="268"/>
      <c r="CNA548" s="268"/>
      <c r="CNB548" s="268"/>
      <c r="CNC548" s="268"/>
      <c r="CND548" s="268"/>
      <c r="CNE548" s="268"/>
      <c r="CNF548" s="268"/>
      <c r="CNG548" s="268"/>
      <c r="CNH548" s="268"/>
      <c r="CNI548" s="268"/>
      <c r="CNJ548" s="268"/>
      <c r="CNK548" s="268"/>
      <c r="CNL548" s="268"/>
      <c r="CNM548" s="268"/>
      <c r="CNN548" s="268"/>
      <c r="CNO548" s="268"/>
      <c r="CNP548" s="268"/>
      <c r="CNQ548" s="268"/>
      <c r="CNR548" s="268"/>
      <c r="CNS548" s="268"/>
      <c r="CNT548" s="268"/>
      <c r="CNU548" s="268"/>
      <c r="CNV548" s="268"/>
      <c r="CNW548" s="268"/>
      <c r="CNX548" s="268"/>
      <c r="CNY548" s="268"/>
      <c r="CNZ548" s="268"/>
      <c r="COA548" s="268"/>
      <c r="COB548" s="268"/>
      <c r="COC548" s="268"/>
      <c r="COD548" s="268"/>
      <c r="COE548" s="268"/>
      <c r="COF548" s="268"/>
      <c r="COG548" s="268"/>
      <c r="COH548" s="268"/>
      <c r="COI548" s="268"/>
      <c r="COJ548" s="268"/>
      <c r="COK548" s="268"/>
      <c r="COL548" s="268"/>
      <c r="COM548" s="268"/>
      <c r="CON548" s="268"/>
      <c r="COO548" s="268"/>
      <c r="COP548" s="268"/>
      <c r="COQ548" s="268"/>
      <c r="COR548" s="268"/>
      <c r="COS548" s="268"/>
      <c r="COT548" s="268"/>
      <c r="COU548" s="268"/>
      <c r="COV548" s="268"/>
      <c r="COW548" s="268"/>
      <c r="COX548" s="268"/>
      <c r="COY548" s="268"/>
      <c r="COZ548" s="268"/>
      <c r="CPA548" s="268"/>
      <c r="CPB548" s="268"/>
      <c r="CPC548" s="268"/>
      <c r="CPD548" s="268"/>
      <c r="CPE548" s="268"/>
      <c r="CPF548" s="268"/>
      <c r="CPG548" s="268"/>
      <c r="CPH548" s="268"/>
      <c r="CPI548" s="268"/>
      <c r="CPJ548" s="268"/>
      <c r="CPK548" s="268"/>
      <c r="CPL548" s="268"/>
      <c r="CPM548" s="268"/>
      <c r="CPN548" s="268"/>
      <c r="CPO548" s="268"/>
      <c r="CPP548" s="268"/>
      <c r="CPQ548" s="268"/>
      <c r="CPR548" s="268"/>
      <c r="CPS548" s="268"/>
      <c r="CPT548" s="268"/>
      <c r="CPU548" s="268"/>
      <c r="CPV548" s="268"/>
      <c r="CPW548" s="268"/>
      <c r="CPX548" s="268"/>
      <c r="CPY548" s="268"/>
      <c r="CPZ548" s="268"/>
      <c r="CQA548" s="268"/>
      <c r="CQB548" s="268"/>
      <c r="CQC548" s="268"/>
      <c r="CQD548" s="268"/>
      <c r="CQE548" s="268"/>
      <c r="CQF548" s="268"/>
      <c r="CQG548" s="268"/>
      <c r="CQH548" s="268"/>
      <c r="CQI548" s="268"/>
      <c r="CQJ548" s="268"/>
      <c r="CQK548" s="268"/>
      <c r="CQL548" s="268"/>
      <c r="CQM548" s="268"/>
      <c r="CQN548" s="268"/>
      <c r="CQO548" s="268"/>
      <c r="CQP548" s="268"/>
      <c r="CQQ548" s="268"/>
      <c r="CQR548" s="268"/>
      <c r="CQS548" s="268"/>
      <c r="CQT548" s="268"/>
      <c r="CQU548" s="268"/>
      <c r="CQV548" s="268"/>
      <c r="CQW548" s="268"/>
      <c r="CQX548" s="268"/>
      <c r="CQY548" s="268"/>
      <c r="CQZ548" s="268"/>
      <c r="CRA548" s="268"/>
      <c r="CRB548" s="268"/>
      <c r="CRC548" s="268"/>
      <c r="CRD548" s="268"/>
      <c r="CRE548" s="268"/>
      <c r="CRF548" s="268"/>
      <c r="CRG548" s="268"/>
      <c r="CRH548" s="268"/>
      <c r="CRI548" s="268"/>
      <c r="CRJ548" s="268"/>
      <c r="CRK548" s="268"/>
      <c r="CRL548" s="268"/>
      <c r="CRM548" s="268"/>
      <c r="CRN548" s="268"/>
      <c r="CRO548" s="268"/>
      <c r="CRP548" s="268"/>
      <c r="CRQ548" s="268"/>
      <c r="CRR548" s="268"/>
      <c r="CRS548" s="268"/>
      <c r="CRT548" s="268"/>
      <c r="CRU548" s="268"/>
      <c r="CRV548" s="268"/>
      <c r="CRW548" s="268"/>
      <c r="CRX548" s="268"/>
      <c r="CRY548" s="268"/>
      <c r="CRZ548" s="268"/>
      <c r="CSA548" s="268"/>
      <c r="CSB548" s="268"/>
      <c r="CSC548" s="268"/>
      <c r="CSD548" s="268"/>
      <c r="CSE548" s="268"/>
      <c r="CSF548" s="268"/>
      <c r="CSG548" s="268"/>
      <c r="CSH548" s="268"/>
      <c r="CSI548" s="268"/>
      <c r="CSJ548" s="268"/>
      <c r="CSK548" s="268"/>
      <c r="CSL548" s="268"/>
      <c r="CSM548" s="268"/>
      <c r="CSN548" s="268"/>
      <c r="CSO548" s="268"/>
      <c r="CSP548" s="268"/>
      <c r="CSQ548" s="268"/>
      <c r="CSR548" s="268"/>
      <c r="CSS548" s="268"/>
      <c r="CST548" s="268"/>
      <c r="CSU548" s="268"/>
      <c r="CSV548" s="268"/>
      <c r="CSW548" s="268"/>
      <c r="CSX548" s="268"/>
      <c r="CSY548" s="268"/>
      <c r="CSZ548" s="268"/>
      <c r="CTA548" s="268"/>
      <c r="CTB548" s="268"/>
      <c r="CTC548" s="268"/>
      <c r="CTQ548" s="268"/>
      <c r="CTR548" s="268"/>
      <c r="CTS548" s="268"/>
      <c r="CUG548" s="268"/>
      <c r="CUI548" s="268"/>
      <c r="CUJ548" s="268"/>
      <c r="CUK548" s="268"/>
      <c r="CUL548" s="268"/>
      <c r="CUM548" s="268"/>
      <c r="CUN548" s="268"/>
      <c r="CUO548" s="268"/>
      <c r="CUP548" s="268"/>
      <c r="CUQ548" s="268"/>
      <c r="CUR548" s="268"/>
      <c r="CUS548" s="268"/>
      <c r="CUT548" s="268"/>
      <c r="CUU548" s="268"/>
      <c r="CUV548" s="268"/>
      <c r="CUW548" s="268"/>
      <c r="CUX548" s="268"/>
      <c r="CUY548" s="268"/>
      <c r="CUZ548" s="268"/>
      <c r="CVA548" s="268"/>
      <c r="CVB548" s="268"/>
      <c r="CVC548" s="268"/>
      <c r="CVD548" s="268"/>
      <c r="CVE548" s="268"/>
      <c r="CVF548" s="268"/>
      <c r="CVG548" s="268"/>
      <c r="CVH548" s="268"/>
      <c r="CVI548" s="268"/>
      <c r="CVJ548" s="268"/>
      <c r="CVK548" s="268"/>
      <c r="CVL548" s="268"/>
      <c r="CVM548" s="268"/>
      <c r="CVN548" s="268"/>
      <c r="CVO548" s="268"/>
      <c r="CVP548" s="268"/>
      <c r="CVQ548" s="268"/>
      <c r="CVR548" s="268"/>
      <c r="CVS548" s="268"/>
      <c r="CVT548" s="268"/>
      <c r="CVU548" s="268"/>
      <c r="CVV548" s="268"/>
      <c r="CVW548" s="268"/>
      <c r="CVX548" s="268"/>
      <c r="CVY548" s="268"/>
      <c r="CVZ548" s="268"/>
      <c r="CWA548" s="268"/>
      <c r="CWB548" s="268"/>
      <c r="CWC548" s="268"/>
      <c r="CWD548" s="268"/>
      <c r="CWE548" s="268"/>
      <c r="CWF548" s="268"/>
      <c r="CWG548" s="268"/>
      <c r="CWH548" s="268"/>
      <c r="CWI548" s="268"/>
      <c r="CWJ548" s="268"/>
      <c r="CWK548" s="268"/>
      <c r="CWL548" s="268"/>
      <c r="CWM548" s="268"/>
      <c r="CWN548" s="268"/>
      <c r="CWO548" s="268"/>
      <c r="CWP548" s="268"/>
      <c r="CWQ548" s="268"/>
      <c r="CWR548" s="268"/>
      <c r="CWS548" s="268"/>
      <c r="CWT548" s="268"/>
      <c r="CWU548" s="268"/>
      <c r="CWV548" s="268"/>
      <c r="CWW548" s="268"/>
      <c r="CWX548" s="268"/>
      <c r="CWY548" s="268"/>
      <c r="CWZ548" s="268"/>
      <c r="CXA548" s="268"/>
      <c r="CXB548" s="268"/>
      <c r="CXC548" s="268"/>
      <c r="CXD548" s="268"/>
      <c r="CXE548" s="268"/>
      <c r="CXF548" s="268"/>
      <c r="CXG548" s="268"/>
      <c r="CXH548" s="268"/>
      <c r="CXI548" s="268"/>
      <c r="CXJ548" s="268"/>
      <c r="CXK548" s="268"/>
      <c r="CXL548" s="268"/>
      <c r="CXM548" s="268"/>
      <c r="CXN548" s="268"/>
      <c r="CXO548" s="268"/>
      <c r="CXP548" s="268"/>
      <c r="CXQ548" s="268"/>
      <c r="CXR548" s="268"/>
      <c r="CXS548" s="268"/>
      <c r="CXT548" s="268"/>
      <c r="CXU548" s="268"/>
      <c r="CXV548" s="268"/>
      <c r="CXW548" s="268"/>
      <c r="CXX548" s="268"/>
      <c r="CXY548" s="268"/>
      <c r="CXZ548" s="268"/>
      <c r="CYA548" s="268"/>
      <c r="CYB548" s="268"/>
      <c r="CYC548" s="268"/>
      <c r="CYD548" s="268"/>
      <c r="CYE548" s="268"/>
      <c r="CYF548" s="268"/>
      <c r="CYG548" s="268"/>
      <c r="CYH548" s="268"/>
      <c r="CYI548" s="268"/>
      <c r="CYJ548" s="268"/>
      <c r="CYK548" s="268"/>
      <c r="CYL548" s="268"/>
      <c r="CYM548" s="268"/>
      <c r="CYN548" s="268"/>
      <c r="CYO548" s="268"/>
      <c r="CYP548" s="268"/>
      <c r="CYQ548" s="268"/>
      <c r="CYR548" s="268"/>
      <c r="CYS548" s="268"/>
      <c r="CYT548" s="268"/>
      <c r="CYU548" s="268"/>
      <c r="CYV548" s="268"/>
      <c r="CYW548" s="268"/>
      <c r="CYX548" s="268"/>
      <c r="CYY548" s="268"/>
      <c r="CYZ548" s="268"/>
      <c r="CZA548" s="268"/>
      <c r="CZB548" s="268"/>
      <c r="CZC548" s="268"/>
      <c r="CZD548" s="268"/>
      <c r="CZE548" s="268"/>
      <c r="CZF548" s="268"/>
      <c r="CZG548" s="268"/>
      <c r="CZH548" s="268"/>
      <c r="CZI548" s="268"/>
      <c r="CZJ548" s="268"/>
      <c r="CZK548" s="268"/>
      <c r="CZL548" s="268"/>
      <c r="CZM548" s="268"/>
      <c r="CZN548" s="268"/>
      <c r="CZO548" s="268"/>
      <c r="CZP548" s="268"/>
      <c r="CZQ548" s="268"/>
      <c r="CZR548" s="268"/>
      <c r="CZS548" s="268"/>
      <c r="CZT548" s="268"/>
      <c r="CZU548" s="268"/>
      <c r="CZV548" s="268"/>
      <c r="CZW548" s="268"/>
      <c r="CZX548" s="268"/>
      <c r="CZY548" s="268"/>
      <c r="CZZ548" s="268"/>
      <c r="DAA548" s="268"/>
      <c r="DAB548" s="268"/>
      <c r="DAC548" s="268"/>
      <c r="DAD548" s="268"/>
      <c r="DAE548" s="268"/>
      <c r="DAF548" s="268"/>
      <c r="DAG548" s="268"/>
      <c r="DAH548" s="268"/>
      <c r="DAI548" s="268"/>
      <c r="DAJ548" s="268"/>
      <c r="DAK548" s="268"/>
      <c r="DAL548" s="268"/>
      <c r="DAM548" s="268"/>
      <c r="DAN548" s="268"/>
      <c r="DAO548" s="268"/>
      <c r="DAP548" s="268"/>
      <c r="DAQ548" s="268"/>
      <c r="DAR548" s="268"/>
      <c r="DAS548" s="268"/>
      <c r="DAT548" s="268"/>
      <c r="DAU548" s="268"/>
      <c r="DAV548" s="268"/>
      <c r="DAW548" s="268"/>
      <c r="DAX548" s="268"/>
      <c r="DAY548" s="268"/>
      <c r="DAZ548" s="268"/>
      <c r="DBA548" s="268"/>
      <c r="DBB548" s="268"/>
      <c r="DBC548" s="268"/>
      <c r="DBD548" s="268"/>
      <c r="DBE548" s="268"/>
      <c r="DBF548" s="268"/>
      <c r="DBG548" s="268"/>
      <c r="DBH548" s="268"/>
      <c r="DBI548" s="268"/>
      <c r="DBJ548" s="268"/>
      <c r="DBK548" s="268"/>
      <c r="DBL548" s="268"/>
      <c r="DBM548" s="268"/>
      <c r="DBN548" s="268"/>
      <c r="DBO548" s="268"/>
      <c r="DBP548" s="268"/>
      <c r="DBQ548" s="268"/>
      <c r="DBR548" s="268"/>
      <c r="DBS548" s="268"/>
      <c r="DBT548" s="268"/>
      <c r="DBU548" s="268"/>
      <c r="DBV548" s="268"/>
      <c r="DBW548" s="268"/>
      <c r="DBX548" s="268"/>
      <c r="DBY548" s="268"/>
      <c r="DBZ548" s="268"/>
      <c r="DCA548" s="268"/>
      <c r="DCB548" s="268"/>
      <c r="DCC548" s="268"/>
      <c r="DCD548" s="268"/>
      <c r="DCE548" s="268"/>
      <c r="DCF548" s="268"/>
      <c r="DCG548" s="268"/>
      <c r="DCH548" s="268"/>
      <c r="DCI548" s="268"/>
      <c r="DCJ548" s="268"/>
      <c r="DCK548" s="268"/>
      <c r="DCL548" s="268"/>
      <c r="DCM548" s="268"/>
      <c r="DCN548" s="268"/>
      <c r="DCO548" s="268"/>
      <c r="DCP548" s="268"/>
      <c r="DCQ548" s="268"/>
      <c r="DCR548" s="268"/>
      <c r="DCS548" s="268"/>
      <c r="DCT548" s="268"/>
      <c r="DCU548" s="268"/>
      <c r="DCV548" s="268"/>
      <c r="DCW548" s="268"/>
      <c r="DCX548" s="268"/>
      <c r="DCY548" s="268"/>
      <c r="DDM548" s="268"/>
      <c r="DDN548" s="268"/>
      <c r="DDO548" s="268"/>
      <c r="DEC548" s="268"/>
      <c r="DEE548" s="268"/>
      <c r="DEF548" s="268"/>
      <c r="DEG548" s="268"/>
      <c r="DEH548" s="268"/>
      <c r="DEI548" s="268"/>
      <c r="DEJ548" s="268"/>
      <c r="DEK548" s="268"/>
      <c r="DEL548" s="268"/>
      <c r="DEM548" s="268"/>
      <c r="DEN548" s="268"/>
      <c r="DEO548" s="268"/>
      <c r="DEP548" s="268"/>
      <c r="DEQ548" s="268"/>
      <c r="DER548" s="268"/>
      <c r="DES548" s="268"/>
      <c r="DET548" s="268"/>
      <c r="DEU548" s="268"/>
      <c r="DEV548" s="268"/>
      <c r="DEW548" s="268"/>
      <c r="DEX548" s="268"/>
      <c r="DEY548" s="268"/>
      <c r="DEZ548" s="268"/>
      <c r="DFA548" s="268"/>
      <c r="DFB548" s="268"/>
      <c r="DFC548" s="268"/>
      <c r="DFD548" s="268"/>
      <c r="DFE548" s="268"/>
      <c r="DFF548" s="268"/>
      <c r="DFG548" s="268"/>
      <c r="DFH548" s="268"/>
      <c r="DFI548" s="268"/>
      <c r="DFJ548" s="268"/>
      <c r="DFK548" s="268"/>
      <c r="DFL548" s="268"/>
      <c r="DFM548" s="268"/>
      <c r="DFN548" s="268"/>
      <c r="DFO548" s="268"/>
      <c r="DFP548" s="268"/>
      <c r="DFQ548" s="268"/>
      <c r="DFR548" s="268"/>
      <c r="DFS548" s="268"/>
      <c r="DFT548" s="268"/>
      <c r="DFU548" s="268"/>
      <c r="DFV548" s="268"/>
      <c r="DFW548" s="268"/>
      <c r="DFX548" s="268"/>
      <c r="DFY548" s="268"/>
      <c r="DFZ548" s="268"/>
      <c r="DGA548" s="268"/>
      <c r="DGB548" s="268"/>
      <c r="DGC548" s="268"/>
      <c r="DGD548" s="268"/>
      <c r="DGE548" s="268"/>
      <c r="DGF548" s="268"/>
      <c r="DGG548" s="268"/>
      <c r="DGH548" s="268"/>
      <c r="DGI548" s="268"/>
      <c r="DGJ548" s="268"/>
      <c r="DGK548" s="268"/>
      <c r="DGL548" s="268"/>
      <c r="DGM548" s="268"/>
      <c r="DGN548" s="268"/>
      <c r="DGO548" s="268"/>
      <c r="DGP548" s="268"/>
      <c r="DGQ548" s="268"/>
      <c r="DGR548" s="268"/>
      <c r="DGS548" s="268"/>
      <c r="DGT548" s="268"/>
      <c r="DGU548" s="268"/>
      <c r="DGV548" s="268"/>
      <c r="DGW548" s="268"/>
      <c r="DGX548" s="268"/>
      <c r="DGY548" s="268"/>
      <c r="DGZ548" s="268"/>
      <c r="DHA548" s="268"/>
      <c r="DHB548" s="268"/>
      <c r="DHC548" s="268"/>
      <c r="DHD548" s="268"/>
      <c r="DHE548" s="268"/>
      <c r="DHF548" s="268"/>
      <c r="DHG548" s="268"/>
      <c r="DHH548" s="268"/>
      <c r="DHI548" s="268"/>
      <c r="DHJ548" s="268"/>
      <c r="DHK548" s="268"/>
      <c r="DHL548" s="268"/>
      <c r="DHM548" s="268"/>
      <c r="DHN548" s="268"/>
      <c r="DHO548" s="268"/>
      <c r="DHP548" s="268"/>
      <c r="DHQ548" s="268"/>
      <c r="DHR548" s="268"/>
      <c r="DHS548" s="268"/>
      <c r="DHT548" s="268"/>
      <c r="DHU548" s="268"/>
      <c r="DHV548" s="268"/>
      <c r="DHW548" s="268"/>
      <c r="DHX548" s="268"/>
      <c r="DHY548" s="268"/>
      <c r="DHZ548" s="268"/>
      <c r="DIA548" s="268"/>
      <c r="DIB548" s="268"/>
      <c r="DIC548" s="268"/>
      <c r="DID548" s="268"/>
      <c r="DIE548" s="268"/>
      <c r="DIF548" s="268"/>
      <c r="DIG548" s="268"/>
      <c r="DIH548" s="268"/>
      <c r="DII548" s="268"/>
      <c r="DIJ548" s="268"/>
      <c r="DIK548" s="268"/>
      <c r="DIL548" s="268"/>
      <c r="DIM548" s="268"/>
      <c r="DIN548" s="268"/>
      <c r="DIO548" s="268"/>
      <c r="DIP548" s="268"/>
      <c r="DIQ548" s="268"/>
      <c r="DIR548" s="268"/>
      <c r="DIS548" s="268"/>
      <c r="DIT548" s="268"/>
      <c r="DIU548" s="268"/>
      <c r="DIV548" s="268"/>
      <c r="DIW548" s="268"/>
      <c r="DIX548" s="268"/>
      <c r="DIY548" s="268"/>
      <c r="DIZ548" s="268"/>
      <c r="DJA548" s="268"/>
      <c r="DJB548" s="268"/>
      <c r="DJC548" s="268"/>
      <c r="DJD548" s="268"/>
      <c r="DJE548" s="268"/>
      <c r="DJF548" s="268"/>
      <c r="DJG548" s="268"/>
      <c r="DJH548" s="268"/>
      <c r="DJI548" s="268"/>
      <c r="DJJ548" s="268"/>
      <c r="DJK548" s="268"/>
      <c r="DJL548" s="268"/>
      <c r="DJM548" s="268"/>
      <c r="DJN548" s="268"/>
      <c r="DJO548" s="268"/>
      <c r="DJP548" s="268"/>
      <c r="DJQ548" s="268"/>
      <c r="DJR548" s="268"/>
      <c r="DJS548" s="268"/>
      <c r="DJT548" s="268"/>
      <c r="DJU548" s="268"/>
      <c r="DJV548" s="268"/>
      <c r="DJW548" s="268"/>
      <c r="DJX548" s="268"/>
      <c r="DJY548" s="268"/>
      <c r="DJZ548" s="268"/>
      <c r="DKA548" s="268"/>
      <c r="DKB548" s="268"/>
      <c r="DKC548" s="268"/>
      <c r="DKD548" s="268"/>
      <c r="DKE548" s="268"/>
      <c r="DKF548" s="268"/>
      <c r="DKG548" s="268"/>
      <c r="DKH548" s="268"/>
      <c r="DKI548" s="268"/>
      <c r="DKJ548" s="268"/>
      <c r="DKK548" s="268"/>
      <c r="DKL548" s="268"/>
      <c r="DKM548" s="268"/>
      <c r="DKN548" s="268"/>
      <c r="DKO548" s="268"/>
      <c r="DKP548" s="268"/>
      <c r="DKQ548" s="268"/>
      <c r="DKR548" s="268"/>
      <c r="DKS548" s="268"/>
      <c r="DKT548" s="268"/>
      <c r="DKU548" s="268"/>
      <c r="DKV548" s="268"/>
      <c r="DKW548" s="268"/>
      <c r="DKX548" s="268"/>
      <c r="DKY548" s="268"/>
      <c r="DKZ548" s="268"/>
      <c r="DLA548" s="268"/>
      <c r="DLB548" s="268"/>
      <c r="DLC548" s="268"/>
      <c r="DLD548" s="268"/>
      <c r="DLE548" s="268"/>
      <c r="DLF548" s="268"/>
      <c r="DLG548" s="268"/>
      <c r="DLH548" s="268"/>
      <c r="DLI548" s="268"/>
      <c r="DLJ548" s="268"/>
      <c r="DLK548" s="268"/>
      <c r="DLL548" s="268"/>
      <c r="DLM548" s="268"/>
      <c r="DLN548" s="268"/>
      <c r="DLO548" s="268"/>
      <c r="DLP548" s="268"/>
      <c r="DLQ548" s="268"/>
      <c r="DLR548" s="268"/>
      <c r="DLS548" s="268"/>
      <c r="DLT548" s="268"/>
      <c r="DLU548" s="268"/>
      <c r="DLV548" s="268"/>
      <c r="DLW548" s="268"/>
      <c r="DLX548" s="268"/>
      <c r="DLY548" s="268"/>
      <c r="DLZ548" s="268"/>
      <c r="DMA548" s="268"/>
      <c r="DMB548" s="268"/>
      <c r="DMC548" s="268"/>
      <c r="DMD548" s="268"/>
      <c r="DME548" s="268"/>
      <c r="DMF548" s="268"/>
      <c r="DMG548" s="268"/>
      <c r="DMH548" s="268"/>
      <c r="DMI548" s="268"/>
      <c r="DMJ548" s="268"/>
      <c r="DMK548" s="268"/>
      <c r="DML548" s="268"/>
      <c r="DMM548" s="268"/>
      <c r="DMN548" s="268"/>
      <c r="DMO548" s="268"/>
      <c r="DMP548" s="268"/>
      <c r="DMQ548" s="268"/>
      <c r="DMR548" s="268"/>
      <c r="DMS548" s="268"/>
      <c r="DMT548" s="268"/>
      <c r="DMU548" s="268"/>
      <c r="DNI548" s="268"/>
      <c r="DNJ548" s="268"/>
      <c r="DNK548" s="268"/>
      <c r="DNY548" s="268"/>
      <c r="DOA548" s="268"/>
      <c r="DOB548" s="268"/>
      <c r="DOC548" s="268"/>
      <c r="DOD548" s="268"/>
      <c r="DOE548" s="268"/>
      <c r="DOF548" s="268"/>
      <c r="DOG548" s="268"/>
      <c r="DOH548" s="268"/>
      <c r="DOI548" s="268"/>
      <c r="DOJ548" s="268"/>
      <c r="DOK548" s="268"/>
      <c r="DOL548" s="268"/>
      <c r="DOM548" s="268"/>
      <c r="DON548" s="268"/>
      <c r="DOO548" s="268"/>
      <c r="DOP548" s="268"/>
      <c r="DOQ548" s="268"/>
      <c r="DOR548" s="268"/>
      <c r="DOS548" s="268"/>
      <c r="DOT548" s="268"/>
      <c r="DOU548" s="268"/>
      <c r="DOV548" s="268"/>
      <c r="DOW548" s="268"/>
      <c r="DOX548" s="268"/>
      <c r="DOY548" s="268"/>
      <c r="DOZ548" s="268"/>
      <c r="DPA548" s="268"/>
      <c r="DPB548" s="268"/>
      <c r="DPC548" s="268"/>
      <c r="DPD548" s="268"/>
      <c r="DPE548" s="268"/>
      <c r="DPF548" s="268"/>
      <c r="DPG548" s="268"/>
      <c r="DPH548" s="268"/>
      <c r="DPI548" s="268"/>
      <c r="DPJ548" s="268"/>
      <c r="DPK548" s="268"/>
      <c r="DPL548" s="268"/>
      <c r="DPM548" s="268"/>
      <c r="DPN548" s="268"/>
      <c r="DPO548" s="268"/>
      <c r="DPP548" s="268"/>
      <c r="DPQ548" s="268"/>
      <c r="DPR548" s="268"/>
      <c r="DPS548" s="268"/>
      <c r="DPT548" s="268"/>
      <c r="DPU548" s="268"/>
      <c r="DPV548" s="268"/>
      <c r="DPW548" s="268"/>
      <c r="DPX548" s="268"/>
      <c r="DPY548" s="268"/>
      <c r="DPZ548" s="268"/>
      <c r="DQA548" s="268"/>
      <c r="DQB548" s="268"/>
      <c r="DQC548" s="268"/>
      <c r="DQD548" s="268"/>
      <c r="DQE548" s="268"/>
      <c r="DQF548" s="268"/>
      <c r="DQG548" s="268"/>
      <c r="DQH548" s="268"/>
      <c r="DQI548" s="268"/>
      <c r="DQJ548" s="268"/>
      <c r="DQK548" s="268"/>
      <c r="DQL548" s="268"/>
      <c r="DQM548" s="268"/>
      <c r="DQN548" s="268"/>
      <c r="DQO548" s="268"/>
      <c r="DQP548" s="268"/>
      <c r="DQQ548" s="268"/>
      <c r="DQR548" s="268"/>
      <c r="DQS548" s="268"/>
      <c r="DQT548" s="268"/>
      <c r="DQU548" s="268"/>
      <c r="DQV548" s="268"/>
      <c r="DQW548" s="268"/>
      <c r="DQX548" s="268"/>
      <c r="DQY548" s="268"/>
      <c r="DQZ548" s="268"/>
      <c r="DRA548" s="268"/>
      <c r="DRB548" s="268"/>
      <c r="DRC548" s="268"/>
      <c r="DRD548" s="268"/>
      <c r="DRE548" s="268"/>
      <c r="DRF548" s="268"/>
      <c r="DRG548" s="268"/>
      <c r="DRH548" s="268"/>
      <c r="DRI548" s="268"/>
      <c r="DRJ548" s="268"/>
      <c r="DRK548" s="268"/>
      <c r="DRL548" s="268"/>
      <c r="DRM548" s="268"/>
      <c r="DRN548" s="268"/>
      <c r="DRO548" s="268"/>
      <c r="DRP548" s="268"/>
      <c r="DRQ548" s="268"/>
      <c r="DRR548" s="268"/>
      <c r="DRS548" s="268"/>
      <c r="DRT548" s="268"/>
      <c r="DRU548" s="268"/>
      <c r="DRV548" s="268"/>
      <c r="DRW548" s="268"/>
      <c r="DRX548" s="268"/>
      <c r="DRY548" s="268"/>
      <c r="DRZ548" s="268"/>
      <c r="DSA548" s="268"/>
      <c r="DSB548" s="268"/>
      <c r="DSC548" s="268"/>
      <c r="DSD548" s="268"/>
      <c r="DSE548" s="268"/>
      <c r="DSF548" s="268"/>
      <c r="DSG548" s="268"/>
      <c r="DSH548" s="268"/>
      <c r="DSI548" s="268"/>
      <c r="DSJ548" s="268"/>
      <c r="DSK548" s="268"/>
      <c r="DSL548" s="268"/>
      <c r="DSM548" s="268"/>
      <c r="DSN548" s="268"/>
      <c r="DSO548" s="268"/>
      <c r="DSP548" s="268"/>
      <c r="DSQ548" s="268"/>
      <c r="DSR548" s="268"/>
      <c r="DSS548" s="268"/>
      <c r="DST548" s="268"/>
      <c r="DSU548" s="268"/>
      <c r="DSV548" s="268"/>
      <c r="DSW548" s="268"/>
      <c r="DSX548" s="268"/>
      <c r="DSY548" s="268"/>
      <c r="DSZ548" s="268"/>
      <c r="DTA548" s="268"/>
      <c r="DTB548" s="268"/>
      <c r="DTC548" s="268"/>
      <c r="DTD548" s="268"/>
      <c r="DTE548" s="268"/>
      <c r="DTF548" s="268"/>
      <c r="DTG548" s="268"/>
      <c r="DTH548" s="268"/>
      <c r="DTI548" s="268"/>
      <c r="DTJ548" s="268"/>
      <c r="DTK548" s="268"/>
      <c r="DTL548" s="268"/>
      <c r="DTM548" s="268"/>
      <c r="DTN548" s="268"/>
      <c r="DTO548" s="268"/>
      <c r="DTP548" s="268"/>
      <c r="DTQ548" s="268"/>
      <c r="DTR548" s="268"/>
      <c r="DTS548" s="268"/>
      <c r="DTT548" s="268"/>
      <c r="DTU548" s="268"/>
      <c r="DTV548" s="268"/>
      <c r="DTW548" s="268"/>
      <c r="DTX548" s="268"/>
      <c r="DTY548" s="268"/>
      <c r="DTZ548" s="268"/>
      <c r="DUA548" s="268"/>
      <c r="DUB548" s="268"/>
      <c r="DUC548" s="268"/>
      <c r="DUD548" s="268"/>
      <c r="DUE548" s="268"/>
      <c r="DUF548" s="268"/>
      <c r="DUG548" s="268"/>
      <c r="DUH548" s="268"/>
      <c r="DUI548" s="268"/>
      <c r="DUJ548" s="268"/>
      <c r="DUK548" s="268"/>
      <c r="DUL548" s="268"/>
      <c r="DUM548" s="268"/>
      <c r="DUN548" s="268"/>
      <c r="DUO548" s="268"/>
      <c r="DUP548" s="268"/>
      <c r="DUQ548" s="268"/>
      <c r="DUR548" s="268"/>
      <c r="DUS548" s="268"/>
      <c r="DUT548" s="268"/>
      <c r="DUU548" s="268"/>
      <c r="DUV548" s="268"/>
      <c r="DUW548" s="268"/>
      <c r="DUX548" s="268"/>
      <c r="DUY548" s="268"/>
      <c r="DUZ548" s="268"/>
      <c r="DVA548" s="268"/>
      <c r="DVB548" s="268"/>
      <c r="DVC548" s="268"/>
      <c r="DVD548" s="268"/>
      <c r="DVE548" s="268"/>
      <c r="DVF548" s="268"/>
      <c r="DVG548" s="268"/>
      <c r="DVH548" s="268"/>
      <c r="DVI548" s="268"/>
      <c r="DVJ548" s="268"/>
      <c r="DVK548" s="268"/>
      <c r="DVL548" s="268"/>
      <c r="DVM548" s="268"/>
      <c r="DVN548" s="268"/>
      <c r="DVO548" s="268"/>
      <c r="DVP548" s="268"/>
      <c r="DVQ548" s="268"/>
      <c r="DVR548" s="268"/>
      <c r="DVS548" s="268"/>
      <c r="DVT548" s="268"/>
      <c r="DVU548" s="268"/>
      <c r="DVV548" s="268"/>
      <c r="DVW548" s="268"/>
      <c r="DVX548" s="268"/>
      <c r="DVY548" s="268"/>
      <c r="DVZ548" s="268"/>
      <c r="DWA548" s="268"/>
      <c r="DWB548" s="268"/>
      <c r="DWC548" s="268"/>
      <c r="DWD548" s="268"/>
      <c r="DWE548" s="268"/>
      <c r="DWF548" s="268"/>
      <c r="DWG548" s="268"/>
      <c r="DWH548" s="268"/>
      <c r="DWI548" s="268"/>
      <c r="DWJ548" s="268"/>
      <c r="DWK548" s="268"/>
      <c r="DWL548" s="268"/>
      <c r="DWM548" s="268"/>
      <c r="DWN548" s="268"/>
      <c r="DWO548" s="268"/>
      <c r="DWP548" s="268"/>
      <c r="DWQ548" s="268"/>
      <c r="DXE548" s="268"/>
      <c r="DXF548" s="268"/>
      <c r="DXG548" s="268"/>
      <c r="DXU548" s="268"/>
      <c r="DXW548" s="268"/>
      <c r="DXX548" s="268"/>
      <c r="DXY548" s="268"/>
      <c r="DXZ548" s="268"/>
      <c r="DYA548" s="268"/>
      <c r="DYB548" s="268"/>
      <c r="DYC548" s="268"/>
      <c r="DYD548" s="268"/>
      <c r="DYE548" s="268"/>
      <c r="DYF548" s="268"/>
      <c r="DYG548" s="268"/>
      <c r="DYH548" s="268"/>
      <c r="DYI548" s="268"/>
      <c r="DYJ548" s="268"/>
      <c r="DYK548" s="268"/>
      <c r="DYL548" s="268"/>
      <c r="DYM548" s="268"/>
      <c r="DYN548" s="268"/>
      <c r="DYO548" s="268"/>
      <c r="DYP548" s="268"/>
      <c r="DYQ548" s="268"/>
      <c r="DYR548" s="268"/>
      <c r="DYS548" s="268"/>
      <c r="DYT548" s="268"/>
      <c r="DYU548" s="268"/>
      <c r="DYV548" s="268"/>
      <c r="DYW548" s="268"/>
      <c r="DYX548" s="268"/>
      <c r="DYY548" s="268"/>
      <c r="DYZ548" s="268"/>
      <c r="DZA548" s="268"/>
      <c r="DZB548" s="268"/>
      <c r="DZC548" s="268"/>
      <c r="DZD548" s="268"/>
      <c r="DZE548" s="268"/>
      <c r="DZF548" s="268"/>
      <c r="DZG548" s="268"/>
      <c r="DZH548" s="268"/>
      <c r="DZI548" s="268"/>
      <c r="DZJ548" s="268"/>
      <c r="DZK548" s="268"/>
      <c r="DZL548" s="268"/>
      <c r="DZM548" s="268"/>
      <c r="DZN548" s="268"/>
      <c r="DZO548" s="268"/>
      <c r="DZP548" s="268"/>
      <c r="DZQ548" s="268"/>
      <c r="DZR548" s="268"/>
      <c r="DZS548" s="268"/>
      <c r="DZT548" s="268"/>
      <c r="DZU548" s="268"/>
      <c r="DZV548" s="268"/>
      <c r="DZW548" s="268"/>
      <c r="DZX548" s="268"/>
      <c r="DZY548" s="268"/>
      <c r="DZZ548" s="268"/>
      <c r="EAA548" s="268"/>
      <c r="EAB548" s="268"/>
      <c r="EAC548" s="268"/>
      <c r="EAD548" s="268"/>
      <c r="EAE548" s="268"/>
      <c r="EAF548" s="268"/>
      <c r="EAG548" s="268"/>
      <c r="EAH548" s="268"/>
      <c r="EAI548" s="268"/>
      <c r="EAJ548" s="268"/>
      <c r="EAK548" s="268"/>
      <c r="EAL548" s="268"/>
      <c r="EAM548" s="268"/>
      <c r="EAN548" s="268"/>
      <c r="EAO548" s="268"/>
      <c r="EAP548" s="268"/>
      <c r="EAQ548" s="268"/>
      <c r="EAR548" s="268"/>
      <c r="EAS548" s="268"/>
      <c r="EAT548" s="268"/>
      <c r="EAU548" s="268"/>
      <c r="EAV548" s="268"/>
      <c r="EAW548" s="268"/>
      <c r="EAX548" s="268"/>
      <c r="EAY548" s="268"/>
      <c r="EAZ548" s="268"/>
      <c r="EBA548" s="268"/>
      <c r="EBB548" s="268"/>
      <c r="EBC548" s="268"/>
      <c r="EBD548" s="268"/>
      <c r="EBE548" s="268"/>
      <c r="EBF548" s="268"/>
      <c r="EBG548" s="268"/>
      <c r="EBH548" s="268"/>
      <c r="EBI548" s="268"/>
      <c r="EBJ548" s="268"/>
      <c r="EBK548" s="268"/>
      <c r="EBL548" s="268"/>
      <c r="EBM548" s="268"/>
      <c r="EBN548" s="268"/>
      <c r="EBO548" s="268"/>
      <c r="EBP548" s="268"/>
      <c r="EBQ548" s="268"/>
      <c r="EBR548" s="268"/>
      <c r="EBS548" s="268"/>
      <c r="EBT548" s="268"/>
      <c r="EBU548" s="268"/>
      <c r="EBV548" s="268"/>
      <c r="EBW548" s="268"/>
      <c r="EBX548" s="268"/>
      <c r="EBY548" s="268"/>
      <c r="EBZ548" s="268"/>
      <c r="ECA548" s="268"/>
      <c r="ECB548" s="268"/>
      <c r="ECC548" s="268"/>
      <c r="ECD548" s="268"/>
      <c r="ECE548" s="268"/>
      <c r="ECF548" s="268"/>
      <c r="ECG548" s="268"/>
      <c r="ECH548" s="268"/>
      <c r="ECI548" s="268"/>
      <c r="ECJ548" s="268"/>
      <c r="ECK548" s="268"/>
      <c r="ECL548" s="268"/>
      <c r="ECM548" s="268"/>
      <c r="ECN548" s="268"/>
      <c r="ECO548" s="268"/>
      <c r="ECP548" s="268"/>
      <c r="ECQ548" s="268"/>
      <c r="ECR548" s="268"/>
      <c r="ECS548" s="268"/>
      <c r="ECT548" s="268"/>
      <c r="ECU548" s="268"/>
      <c r="ECV548" s="268"/>
      <c r="ECW548" s="268"/>
      <c r="ECX548" s="268"/>
      <c r="ECY548" s="268"/>
      <c r="ECZ548" s="268"/>
      <c r="EDA548" s="268"/>
      <c r="EDB548" s="268"/>
      <c r="EDC548" s="268"/>
      <c r="EDD548" s="268"/>
      <c r="EDE548" s="268"/>
      <c r="EDF548" s="268"/>
      <c r="EDG548" s="268"/>
      <c r="EDH548" s="268"/>
      <c r="EDI548" s="268"/>
      <c r="EDJ548" s="268"/>
      <c r="EDK548" s="268"/>
      <c r="EDL548" s="268"/>
      <c r="EDM548" s="268"/>
      <c r="EDN548" s="268"/>
      <c r="EDO548" s="268"/>
      <c r="EDP548" s="268"/>
      <c r="EDQ548" s="268"/>
      <c r="EDR548" s="268"/>
      <c r="EDS548" s="268"/>
      <c r="EDT548" s="268"/>
      <c r="EDU548" s="268"/>
      <c r="EDV548" s="268"/>
      <c r="EDW548" s="268"/>
      <c r="EDX548" s="268"/>
      <c r="EDY548" s="268"/>
      <c r="EDZ548" s="268"/>
      <c r="EEA548" s="268"/>
      <c r="EEB548" s="268"/>
      <c r="EEC548" s="268"/>
      <c r="EED548" s="268"/>
      <c r="EEE548" s="268"/>
      <c r="EEF548" s="268"/>
      <c r="EEG548" s="268"/>
      <c r="EEH548" s="268"/>
      <c r="EEI548" s="268"/>
      <c r="EEJ548" s="268"/>
      <c r="EEK548" s="268"/>
      <c r="EEL548" s="268"/>
      <c r="EEM548" s="268"/>
      <c r="EEN548" s="268"/>
      <c r="EEO548" s="268"/>
      <c r="EEP548" s="268"/>
      <c r="EEQ548" s="268"/>
      <c r="EER548" s="268"/>
      <c r="EES548" s="268"/>
      <c r="EET548" s="268"/>
      <c r="EEU548" s="268"/>
      <c r="EEV548" s="268"/>
      <c r="EEW548" s="268"/>
      <c r="EEX548" s="268"/>
      <c r="EEY548" s="268"/>
      <c r="EEZ548" s="268"/>
      <c r="EFA548" s="268"/>
      <c r="EFB548" s="268"/>
      <c r="EFC548" s="268"/>
      <c r="EFD548" s="268"/>
      <c r="EFE548" s="268"/>
      <c r="EFF548" s="268"/>
      <c r="EFG548" s="268"/>
      <c r="EFH548" s="268"/>
      <c r="EFI548" s="268"/>
      <c r="EFJ548" s="268"/>
      <c r="EFK548" s="268"/>
      <c r="EFL548" s="268"/>
      <c r="EFM548" s="268"/>
      <c r="EFN548" s="268"/>
      <c r="EFO548" s="268"/>
      <c r="EFP548" s="268"/>
      <c r="EFQ548" s="268"/>
      <c r="EFR548" s="268"/>
      <c r="EFS548" s="268"/>
      <c r="EFT548" s="268"/>
      <c r="EFU548" s="268"/>
      <c r="EFV548" s="268"/>
      <c r="EFW548" s="268"/>
      <c r="EFX548" s="268"/>
      <c r="EFY548" s="268"/>
      <c r="EFZ548" s="268"/>
      <c r="EGA548" s="268"/>
      <c r="EGB548" s="268"/>
      <c r="EGC548" s="268"/>
      <c r="EGD548" s="268"/>
      <c r="EGE548" s="268"/>
      <c r="EGF548" s="268"/>
      <c r="EGG548" s="268"/>
      <c r="EGH548" s="268"/>
      <c r="EGI548" s="268"/>
      <c r="EGJ548" s="268"/>
      <c r="EGK548" s="268"/>
      <c r="EGL548" s="268"/>
      <c r="EGM548" s="268"/>
      <c r="EHA548" s="268"/>
      <c r="EHB548" s="268"/>
      <c r="EHC548" s="268"/>
      <c r="EHQ548" s="268"/>
      <c r="EHS548" s="268"/>
      <c r="EHT548" s="268"/>
      <c r="EHU548" s="268"/>
      <c r="EHV548" s="268"/>
      <c r="EHW548" s="268"/>
      <c r="EHX548" s="268"/>
      <c r="EHY548" s="268"/>
      <c r="EHZ548" s="268"/>
      <c r="EIA548" s="268"/>
      <c r="EIB548" s="268"/>
      <c r="EIC548" s="268"/>
      <c r="EID548" s="268"/>
      <c r="EIE548" s="268"/>
      <c r="EIF548" s="268"/>
      <c r="EIG548" s="268"/>
      <c r="EIH548" s="268"/>
      <c r="EII548" s="268"/>
      <c r="EIJ548" s="268"/>
      <c r="EIK548" s="268"/>
      <c r="EIL548" s="268"/>
      <c r="EIM548" s="268"/>
      <c r="EIN548" s="268"/>
      <c r="EIO548" s="268"/>
      <c r="EIP548" s="268"/>
      <c r="EIQ548" s="268"/>
      <c r="EIR548" s="268"/>
      <c r="EIS548" s="268"/>
      <c r="EIT548" s="268"/>
      <c r="EIU548" s="268"/>
      <c r="EIV548" s="268"/>
      <c r="EIW548" s="268"/>
      <c r="EIX548" s="268"/>
      <c r="EIY548" s="268"/>
      <c r="EIZ548" s="268"/>
      <c r="EJA548" s="268"/>
      <c r="EJB548" s="268"/>
      <c r="EJC548" s="268"/>
      <c r="EJD548" s="268"/>
      <c r="EJE548" s="268"/>
      <c r="EJF548" s="268"/>
      <c r="EJG548" s="268"/>
      <c r="EJH548" s="268"/>
      <c r="EJI548" s="268"/>
      <c r="EJJ548" s="268"/>
      <c r="EJK548" s="268"/>
      <c r="EJL548" s="268"/>
      <c r="EJM548" s="268"/>
      <c r="EJN548" s="268"/>
      <c r="EJO548" s="268"/>
      <c r="EJP548" s="268"/>
      <c r="EJQ548" s="268"/>
      <c r="EJR548" s="268"/>
      <c r="EJS548" s="268"/>
      <c r="EJT548" s="268"/>
      <c r="EJU548" s="268"/>
      <c r="EJV548" s="268"/>
      <c r="EJW548" s="268"/>
      <c r="EJX548" s="268"/>
      <c r="EJY548" s="268"/>
      <c r="EJZ548" s="268"/>
      <c r="EKA548" s="268"/>
      <c r="EKB548" s="268"/>
      <c r="EKC548" s="268"/>
      <c r="EKD548" s="268"/>
      <c r="EKE548" s="268"/>
      <c r="EKF548" s="268"/>
      <c r="EKG548" s="268"/>
      <c r="EKH548" s="268"/>
      <c r="EKI548" s="268"/>
      <c r="EKJ548" s="268"/>
      <c r="EKK548" s="268"/>
      <c r="EKL548" s="268"/>
      <c r="EKM548" s="268"/>
      <c r="EKN548" s="268"/>
      <c r="EKO548" s="268"/>
      <c r="EKP548" s="268"/>
      <c r="EKQ548" s="268"/>
      <c r="EKR548" s="268"/>
      <c r="EKS548" s="268"/>
      <c r="EKT548" s="268"/>
      <c r="EKU548" s="268"/>
      <c r="EKV548" s="268"/>
      <c r="EKW548" s="268"/>
      <c r="EKX548" s="268"/>
      <c r="EKY548" s="268"/>
      <c r="EKZ548" s="268"/>
      <c r="ELA548" s="268"/>
      <c r="ELB548" s="268"/>
      <c r="ELC548" s="268"/>
      <c r="ELD548" s="268"/>
      <c r="ELE548" s="268"/>
      <c r="ELF548" s="268"/>
      <c r="ELG548" s="268"/>
      <c r="ELH548" s="268"/>
      <c r="ELI548" s="268"/>
      <c r="ELJ548" s="268"/>
      <c r="ELK548" s="268"/>
      <c r="ELL548" s="268"/>
      <c r="ELM548" s="268"/>
      <c r="ELN548" s="268"/>
      <c r="ELO548" s="268"/>
      <c r="ELP548" s="268"/>
      <c r="ELQ548" s="268"/>
      <c r="ELR548" s="268"/>
      <c r="ELS548" s="268"/>
      <c r="ELT548" s="268"/>
      <c r="ELU548" s="268"/>
      <c r="ELV548" s="268"/>
      <c r="ELW548" s="268"/>
      <c r="ELX548" s="268"/>
      <c r="ELY548" s="268"/>
      <c r="ELZ548" s="268"/>
      <c r="EMA548" s="268"/>
      <c r="EMB548" s="268"/>
      <c r="EMC548" s="268"/>
      <c r="EMD548" s="268"/>
      <c r="EME548" s="268"/>
      <c r="EMF548" s="268"/>
      <c r="EMG548" s="268"/>
      <c r="EMH548" s="268"/>
      <c r="EMI548" s="268"/>
      <c r="EMJ548" s="268"/>
      <c r="EMK548" s="268"/>
      <c r="EML548" s="268"/>
      <c r="EMM548" s="268"/>
      <c r="EMN548" s="268"/>
      <c r="EMO548" s="268"/>
      <c r="EMP548" s="268"/>
      <c r="EMQ548" s="268"/>
      <c r="EMR548" s="268"/>
      <c r="EMS548" s="268"/>
      <c r="EMT548" s="268"/>
      <c r="EMU548" s="268"/>
      <c r="EMV548" s="268"/>
      <c r="EMW548" s="268"/>
      <c r="EMX548" s="268"/>
      <c r="EMY548" s="268"/>
      <c r="EMZ548" s="268"/>
      <c r="ENA548" s="268"/>
      <c r="ENB548" s="268"/>
      <c r="ENC548" s="268"/>
      <c r="END548" s="268"/>
      <c r="ENE548" s="268"/>
      <c r="ENF548" s="268"/>
      <c r="ENG548" s="268"/>
      <c r="ENH548" s="268"/>
      <c r="ENI548" s="268"/>
      <c r="ENJ548" s="268"/>
      <c r="ENK548" s="268"/>
      <c r="ENL548" s="268"/>
      <c r="ENM548" s="268"/>
      <c r="ENN548" s="268"/>
      <c r="ENO548" s="268"/>
      <c r="ENP548" s="268"/>
      <c r="ENQ548" s="268"/>
      <c r="ENR548" s="268"/>
      <c r="ENS548" s="268"/>
      <c r="ENT548" s="268"/>
      <c r="ENU548" s="268"/>
      <c r="ENV548" s="268"/>
      <c r="ENW548" s="268"/>
      <c r="ENX548" s="268"/>
      <c r="ENY548" s="268"/>
      <c r="ENZ548" s="268"/>
      <c r="EOA548" s="268"/>
      <c r="EOB548" s="268"/>
      <c r="EOC548" s="268"/>
      <c r="EOD548" s="268"/>
      <c r="EOE548" s="268"/>
      <c r="EOF548" s="268"/>
      <c r="EOG548" s="268"/>
      <c r="EOH548" s="268"/>
      <c r="EOI548" s="268"/>
      <c r="EOJ548" s="268"/>
      <c r="EOK548" s="268"/>
      <c r="EOL548" s="268"/>
      <c r="EOM548" s="268"/>
      <c r="EON548" s="268"/>
      <c r="EOO548" s="268"/>
      <c r="EOP548" s="268"/>
      <c r="EOQ548" s="268"/>
      <c r="EOR548" s="268"/>
      <c r="EOS548" s="268"/>
      <c r="EOT548" s="268"/>
      <c r="EOU548" s="268"/>
      <c r="EOV548" s="268"/>
      <c r="EOW548" s="268"/>
      <c r="EOX548" s="268"/>
      <c r="EOY548" s="268"/>
      <c r="EOZ548" s="268"/>
      <c r="EPA548" s="268"/>
      <c r="EPB548" s="268"/>
      <c r="EPC548" s="268"/>
      <c r="EPD548" s="268"/>
      <c r="EPE548" s="268"/>
      <c r="EPF548" s="268"/>
      <c r="EPG548" s="268"/>
      <c r="EPH548" s="268"/>
      <c r="EPI548" s="268"/>
      <c r="EPJ548" s="268"/>
      <c r="EPK548" s="268"/>
      <c r="EPL548" s="268"/>
      <c r="EPM548" s="268"/>
      <c r="EPN548" s="268"/>
      <c r="EPO548" s="268"/>
      <c r="EPP548" s="268"/>
      <c r="EPQ548" s="268"/>
      <c r="EPR548" s="268"/>
      <c r="EPS548" s="268"/>
      <c r="EPT548" s="268"/>
      <c r="EPU548" s="268"/>
      <c r="EPV548" s="268"/>
      <c r="EPW548" s="268"/>
      <c r="EPX548" s="268"/>
      <c r="EPY548" s="268"/>
      <c r="EPZ548" s="268"/>
      <c r="EQA548" s="268"/>
      <c r="EQB548" s="268"/>
      <c r="EQC548" s="268"/>
      <c r="EQD548" s="268"/>
      <c r="EQE548" s="268"/>
      <c r="EQF548" s="268"/>
      <c r="EQG548" s="268"/>
      <c r="EQH548" s="268"/>
      <c r="EQI548" s="268"/>
      <c r="EQW548" s="268"/>
      <c r="EQX548" s="268"/>
      <c r="EQY548" s="268"/>
      <c r="ERM548" s="268"/>
      <c r="ERO548" s="268"/>
      <c r="ERP548" s="268"/>
      <c r="ERQ548" s="268"/>
      <c r="ERR548" s="268"/>
      <c r="ERS548" s="268"/>
      <c r="ERT548" s="268"/>
      <c r="ERU548" s="268"/>
      <c r="ERV548" s="268"/>
      <c r="ERW548" s="268"/>
      <c r="ERX548" s="268"/>
      <c r="ERY548" s="268"/>
      <c r="ERZ548" s="268"/>
      <c r="ESA548" s="268"/>
      <c r="ESB548" s="268"/>
      <c r="ESC548" s="268"/>
      <c r="ESD548" s="268"/>
      <c r="ESE548" s="268"/>
      <c r="ESF548" s="268"/>
      <c r="ESG548" s="268"/>
      <c r="ESH548" s="268"/>
      <c r="ESI548" s="268"/>
      <c r="ESJ548" s="268"/>
      <c r="ESK548" s="268"/>
      <c r="ESL548" s="268"/>
      <c r="ESM548" s="268"/>
      <c r="ESN548" s="268"/>
      <c r="ESO548" s="268"/>
      <c r="ESP548" s="268"/>
      <c r="ESQ548" s="268"/>
      <c r="ESR548" s="268"/>
      <c r="ESS548" s="268"/>
      <c r="EST548" s="268"/>
      <c r="ESU548" s="268"/>
      <c r="ESV548" s="268"/>
      <c r="ESW548" s="268"/>
      <c r="ESX548" s="268"/>
      <c r="ESY548" s="268"/>
      <c r="ESZ548" s="268"/>
      <c r="ETA548" s="268"/>
      <c r="ETB548" s="268"/>
      <c r="ETC548" s="268"/>
      <c r="ETD548" s="268"/>
      <c r="ETE548" s="268"/>
      <c r="ETF548" s="268"/>
      <c r="ETG548" s="268"/>
      <c r="ETH548" s="268"/>
      <c r="ETI548" s="268"/>
      <c r="ETJ548" s="268"/>
      <c r="ETK548" s="268"/>
      <c r="ETL548" s="268"/>
      <c r="ETM548" s="268"/>
      <c r="ETN548" s="268"/>
      <c r="ETO548" s="268"/>
      <c r="ETP548" s="268"/>
      <c r="ETQ548" s="268"/>
      <c r="ETR548" s="268"/>
      <c r="ETS548" s="268"/>
      <c r="ETT548" s="268"/>
      <c r="ETU548" s="268"/>
      <c r="ETV548" s="268"/>
      <c r="ETW548" s="268"/>
      <c r="ETX548" s="268"/>
      <c r="ETY548" s="268"/>
      <c r="ETZ548" s="268"/>
      <c r="EUA548" s="268"/>
      <c r="EUB548" s="268"/>
      <c r="EUC548" s="268"/>
      <c r="EUD548" s="268"/>
      <c r="EUE548" s="268"/>
      <c r="EUF548" s="268"/>
      <c r="EUG548" s="268"/>
      <c r="EUH548" s="268"/>
      <c r="EUI548" s="268"/>
      <c r="EUJ548" s="268"/>
      <c r="EUK548" s="268"/>
      <c r="EUL548" s="268"/>
      <c r="EUM548" s="268"/>
      <c r="EUN548" s="268"/>
      <c r="EUO548" s="268"/>
      <c r="EUP548" s="268"/>
      <c r="EUQ548" s="268"/>
      <c r="EUR548" s="268"/>
      <c r="EUS548" s="268"/>
      <c r="EUT548" s="268"/>
      <c r="EUU548" s="268"/>
      <c r="EUV548" s="268"/>
      <c r="EUW548" s="268"/>
      <c r="EUX548" s="268"/>
      <c r="EUY548" s="268"/>
      <c r="EUZ548" s="268"/>
      <c r="EVA548" s="268"/>
      <c r="EVB548" s="268"/>
      <c r="EVC548" s="268"/>
      <c r="EVD548" s="268"/>
      <c r="EVE548" s="268"/>
      <c r="EVF548" s="268"/>
      <c r="EVG548" s="268"/>
      <c r="EVH548" s="268"/>
      <c r="EVI548" s="268"/>
      <c r="EVJ548" s="268"/>
      <c r="EVK548" s="268"/>
      <c r="EVL548" s="268"/>
      <c r="EVM548" s="268"/>
      <c r="EVN548" s="268"/>
      <c r="EVO548" s="268"/>
      <c r="EVP548" s="268"/>
      <c r="EVQ548" s="268"/>
      <c r="EVR548" s="268"/>
      <c r="EVS548" s="268"/>
      <c r="EVT548" s="268"/>
      <c r="EVU548" s="268"/>
      <c r="EVV548" s="268"/>
      <c r="EVW548" s="268"/>
      <c r="EVX548" s="268"/>
      <c r="EVY548" s="268"/>
      <c r="EVZ548" s="268"/>
      <c r="EWA548" s="268"/>
      <c r="EWB548" s="268"/>
      <c r="EWC548" s="268"/>
      <c r="EWD548" s="268"/>
      <c r="EWE548" s="268"/>
      <c r="EWF548" s="268"/>
      <c r="EWG548" s="268"/>
      <c r="EWH548" s="268"/>
      <c r="EWI548" s="268"/>
      <c r="EWJ548" s="268"/>
      <c r="EWK548" s="268"/>
      <c r="EWL548" s="268"/>
      <c r="EWM548" s="268"/>
      <c r="EWN548" s="268"/>
      <c r="EWO548" s="268"/>
      <c r="EWP548" s="268"/>
      <c r="EWQ548" s="268"/>
      <c r="EWR548" s="268"/>
      <c r="EWS548" s="268"/>
      <c r="EWT548" s="268"/>
      <c r="EWU548" s="268"/>
      <c r="EWV548" s="268"/>
      <c r="EWW548" s="268"/>
      <c r="EWX548" s="268"/>
      <c r="EWY548" s="268"/>
      <c r="EWZ548" s="268"/>
      <c r="EXA548" s="268"/>
      <c r="EXB548" s="268"/>
      <c r="EXC548" s="268"/>
      <c r="EXD548" s="268"/>
      <c r="EXE548" s="268"/>
      <c r="EXF548" s="268"/>
      <c r="EXG548" s="268"/>
      <c r="EXH548" s="268"/>
      <c r="EXI548" s="268"/>
      <c r="EXJ548" s="268"/>
      <c r="EXK548" s="268"/>
      <c r="EXL548" s="268"/>
      <c r="EXM548" s="268"/>
      <c r="EXN548" s="268"/>
      <c r="EXO548" s="268"/>
      <c r="EXP548" s="268"/>
      <c r="EXQ548" s="268"/>
      <c r="EXR548" s="268"/>
      <c r="EXS548" s="268"/>
      <c r="EXT548" s="268"/>
      <c r="EXU548" s="268"/>
      <c r="EXV548" s="268"/>
      <c r="EXW548" s="268"/>
      <c r="EXX548" s="268"/>
      <c r="EXY548" s="268"/>
      <c r="EXZ548" s="268"/>
      <c r="EYA548" s="268"/>
      <c r="EYB548" s="268"/>
      <c r="EYC548" s="268"/>
      <c r="EYD548" s="268"/>
      <c r="EYE548" s="268"/>
      <c r="EYF548" s="268"/>
      <c r="EYG548" s="268"/>
      <c r="EYH548" s="268"/>
      <c r="EYI548" s="268"/>
      <c r="EYJ548" s="268"/>
      <c r="EYK548" s="268"/>
      <c r="EYL548" s="268"/>
      <c r="EYM548" s="268"/>
      <c r="EYN548" s="268"/>
      <c r="EYO548" s="268"/>
      <c r="EYP548" s="268"/>
      <c r="EYQ548" s="268"/>
      <c r="EYR548" s="268"/>
      <c r="EYS548" s="268"/>
      <c r="EYT548" s="268"/>
      <c r="EYU548" s="268"/>
      <c r="EYV548" s="268"/>
      <c r="EYW548" s="268"/>
      <c r="EYX548" s="268"/>
      <c r="EYY548" s="268"/>
      <c r="EYZ548" s="268"/>
      <c r="EZA548" s="268"/>
      <c r="EZB548" s="268"/>
      <c r="EZC548" s="268"/>
      <c r="EZD548" s="268"/>
      <c r="EZE548" s="268"/>
      <c r="EZF548" s="268"/>
      <c r="EZG548" s="268"/>
      <c r="EZH548" s="268"/>
      <c r="EZI548" s="268"/>
      <c r="EZJ548" s="268"/>
      <c r="EZK548" s="268"/>
      <c r="EZL548" s="268"/>
      <c r="EZM548" s="268"/>
      <c r="EZN548" s="268"/>
      <c r="EZO548" s="268"/>
      <c r="EZP548" s="268"/>
      <c r="EZQ548" s="268"/>
      <c r="EZR548" s="268"/>
      <c r="EZS548" s="268"/>
      <c r="EZT548" s="268"/>
      <c r="EZU548" s="268"/>
      <c r="EZV548" s="268"/>
      <c r="EZW548" s="268"/>
      <c r="EZX548" s="268"/>
      <c r="EZY548" s="268"/>
      <c r="EZZ548" s="268"/>
      <c r="FAA548" s="268"/>
      <c r="FAB548" s="268"/>
      <c r="FAC548" s="268"/>
      <c r="FAD548" s="268"/>
      <c r="FAE548" s="268"/>
      <c r="FAS548" s="268"/>
      <c r="FAT548" s="268"/>
      <c r="FAU548" s="268"/>
      <c r="FBI548" s="268"/>
      <c r="FBK548" s="268"/>
      <c r="FBL548" s="268"/>
      <c r="FBM548" s="268"/>
      <c r="FBN548" s="268"/>
      <c r="FBO548" s="268"/>
      <c r="FBP548" s="268"/>
      <c r="FBQ548" s="268"/>
      <c r="FBR548" s="268"/>
      <c r="FBS548" s="268"/>
      <c r="FBT548" s="268"/>
      <c r="FBU548" s="268"/>
      <c r="FBV548" s="268"/>
      <c r="FBW548" s="268"/>
      <c r="FBX548" s="268"/>
      <c r="FBY548" s="268"/>
      <c r="FBZ548" s="268"/>
      <c r="FCA548" s="268"/>
      <c r="FCB548" s="268"/>
      <c r="FCC548" s="268"/>
      <c r="FCD548" s="268"/>
      <c r="FCE548" s="268"/>
      <c r="FCF548" s="268"/>
      <c r="FCG548" s="268"/>
      <c r="FCH548" s="268"/>
      <c r="FCI548" s="268"/>
      <c r="FCJ548" s="268"/>
      <c r="FCK548" s="268"/>
      <c r="FCL548" s="268"/>
      <c r="FCM548" s="268"/>
      <c r="FCN548" s="268"/>
      <c r="FCO548" s="268"/>
      <c r="FCP548" s="268"/>
      <c r="FCQ548" s="268"/>
      <c r="FCR548" s="268"/>
      <c r="FCS548" s="268"/>
      <c r="FCT548" s="268"/>
      <c r="FCU548" s="268"/>
      <c r="FCV548" s="268"/>
      <c r="FCW548" s="268"/>
      <c r="FCX548" s="268"/>
      <c r="FCY548" s="268"/>
      <c r="FCZ548" s="268"/>
      <c r="FDA548" s="268"/>
      <c r="FDB548" s="268"/>
      <c r="FDC548" s="268"/>
      <c r="FDD548" s="268"/>
      <c r="FDE548" s="268"/>
      <c r="FDF548" s="268"/>
      <c r="FDG548" s="268"/>
      <c r="FDH548" s="268"/>
      <c r="FDI548" s="268"/>
      <c r="FDJ548" s="268"/>
      <c r="FDK548" s="268"/>
      <c r="FDL548" s="268"/>
      <c r="FDM548" s="268"/>
      <c r="FDN548" s="268"/>
      <c r="FDO548" s="268"/>
      <c r="FDP548" s="268"/>
      <c r="FDQ548" s="268"/>
      <c r="FDR548" s="268"/>
      <c r="FDS548" s="268"/>
      <c r="FDT548" s="268"/>
      <c r="FDU548" s="268"/>
      <c r="FDV548" s="268"/>
      <c r="FDW548" s="268"/>
      <c r="FDX548" s="268"/>
      <c r="FDY548" s="268"/>
      <c r="FDZ548" s="268"/>
      <c r="FEA548" s="268"/>
      <c r="FEB548" s="268"/>
      <c r="FEC548" s="268"/>
      <c r="FED548" s="268"/>
      <c r="FEE548" s="268"/>
      <c r="FEF548" s="268"/>
      <c r="FEG548" s="268"/>
      <c r="FEH548" s="268"/>
      <c r="FEI548" s="268"/>
      <c r="FEJ548" s="268"/>
      <c r="FEK548" s="268"/>
      <c r="FEL548" s="268"/>
      <c r="FEM548" s="268"/>
      <c r="FEN548" s="268"/>
      <c r="FEO548" s="268"/>
      <c r="FEP548" s="268"/>
      <c r="FEQ548" s="268"/>
      <c r="FER548" s="268"/>
      <c r="FES548" s="268"/>
      <c r="FET548" s="268"/>
      <c r="FEU548" s="268"/>
      <c r="FEV548" s="268"/>
      <c r="FEW548" s="268"/>
      <c r="FEX548" s="268"/>
      <c r="FEY548" s="268"/>
      <c r="FEZ548" s="268"/>
      <c r="FFA548" s="268"/>
      <c r="FFB548" s="268"/>
      <c r="FFC548" s="268"/>
      <c r="FFD548" s="268"/>
      <c r="FFE548" s="268"/>
      <c r="FFF548" s="268"/>
      <c r="FFG548" s="268"/>
      <c r="FFH548" s="268"/>
      <c r="FFI548" s="268"/>
      <c r="FFJ548" s="268"/>
      <c r="FFK548" s="268"/>
      <c r="FFL548" s="268"/>
      <c r="FFM548" s="268"/>
      <c r="FFN548" s="268"/>
      <c r="FFO548" s="268"/>
      <c r="FFP548" s="268"/>
      <c r="FFQ548" s="268"/>
      <c r="FFR548" s="268"/>
      <c r="FFS548" s="268"/>
      <c r="FFT548" s="268"/>
      <c r="FFU548" s="268"/>
      <c r="FFV548" s="268"/>
      <c r="FFW548" s="268"/>
      <c r="FFX548" s="268"/>
      <c r="FFY548" s="268"/>
      <c r="FFZ548" s="268"/>
      <c r="FGA548" s="268"/>
      <c r="FGB548" s="268"/>
      <c r="FGC548" s="268"/>
      <c r="FGD548" s="268"/>
      <c r="FGE548" s="268"/>
      <c r="FGF548" s="268"/>
      <c r="FGG548" s="268"/>
      <c r="FGH548" s="268"/>
      <c r="FGI548" s="268"/>
      <c r="FGJ548" s="268"/>
      <c r="FGK548" s="268"/>
      <c r="FGL548" s="268"/>
      <c r="FGM548" s="268"/>
      <c r="FGN548" s="268"/>
      <c r="FGO548" s="268"/>
      <c r="FGP548" s="268"/>
      <c r="FGQ548" s="268"/>
      <c r="FGR548" s="268"/>
      <c r="FGS548" s="268"/>
      <c r="FGT548" s="268"/>
      <c r="FGU548" s="268"/>
      <c r="FGV548" s="268"/>
      <c r="FGW548" s="268"/>
      <c r="FGX548" s="268"/>
      <c r="FGY548" s="268"/>
      <c r="FGZ548" s="268"/>
      <c r="FHA548" s="268"/>
      <c r="FHB548" s="268"/>
      <c r="FHC548" s="268"/>
      <c r="FHD548" s="268"/>
      <c r="FHE548" s="268"/>
      <c r="FHF548" s="268"/>
      <c r="FHG548" s="268"/>
      <c r="FHH548" s="268"/>
      <c r="FHI548" s="268"/>
      <c r="FHJ548" s="268"/>
      <c r="FHK548" s="268"/>
      <c r="FHL548" s="268"/>
      <c r="FHM548" s="268"/>
      <c r="FHN548" s="268"/>
      <c r="FHO548" s="268"/>
      <c r="FHP548" s="268"/>
      <c r="FHQ548" s="268"/>
      <c r="FHR548" s="268"/>
      <c r="FHS548" s="268"/>
      <c r="FHT548" s="268"/>
      <c r="FHU548" s="268"/>
      <c r="FHV548" s="268"/>
      <c r="FHW548" s="268"/>
      <c r="FHX548" s="268"/>
      <c r="FHY548" s="268"/>
      <c r="FHZ548" s="268"/>
      <c r="FIA548" s="268"/>
      <c r="FIB548" s="268"/>
      <c r="FIC548" s="268"/>
      <c r="FID548" s="268"/>
      <c r="FIE548" s="268"/>
      <c r="FIF548" s="268"/>
      <c r="FIG548" s="268"/>
      <c r="FIH548" s="268"/>
      <c r="FII548" s="268"/>
      <c r="FIJ548" s="268"/>
      <c r="FIK548" s="268"/>
      <c r="FIL548" s="268"/>
      <c r="FIM548" s="268"/>
      <c r="FIN548" s="268"/>
      <c r="FIO548" s="268"/>
      <c r="FIP548" s="268"/>
      <c r="FIQ548" s="268"/>
      <c r="FIR548" s="268"/>
      <c r="FIS548" s="268"/>
      <c r="FIT548" s="268"/>
      <c r="FIU548" s="268"/>
      <c r="FIV548" s="268"/>
      <c r="FIW548" s="268"/>
      <c r="FIX548" s="268"/>
      <c r="FIY548" s="268"/>
      <c r="FIZ548" s="268"/>
      <c r="FJA548" s="268"/>
      <c r="FJB548" s="268"/>
      <c r="FJC548" s="268"/>
      <c r="FJD548" s="268"/>
      <c r="FJE548" s="268"/>
      <c r="FJF548" s="268"/>
      <c r="FJG548" s="268"/>
      <c r="FJH548" s="268"/>
      <c r="FJI548" s="268"/>
      <c r="FJJ548" s="268"/>
      <c r="FJK548" s="268"/>
      <c r="FJL548" s="268"/>
      <c r="FJM548" s="268"/>
      <c r="FJN548" s="268"/>
      <c r="FJO548" s="268"/>
      <c r="FJP548" s="268"/>
      <c r="FJQ548" s="268"/>
      <c r="FJR548" s="268"/>
      <c r="FJS548" s="268"/>
      <c r="FJT548" s="268"/>
      <c r="FJU548" s="268"/>
      <c r="FJV548" s="268"/>
      <c r="FJW548" s="268"/>
      <c r="FJX548" s="268"/>
      <c r="FJY548" s="268"/>
      <c r="FJZ548" s="268"/>
      <c r="FKA548" s="268"/>
      <c r="FKO548" s="268"/>
      <c r="FKP548" s="268"/>
      <c r="FKQ548" s="268"/>
      <c r="FLE548" s="268"/>
      <c r="FLG548" s="268"/>
      <c r="FLH548" s="268"/>
      <c r="FLI548" s="268"/>
      <c r="FLJ548" s="268"/>
      <c r="FLK548" s="268"/>
      <c r="FLL548" s="268"/>
      <c r="FLM548" s="268"/>
      <c r="FLN548" s="268"/>
      <c r="FLO548" s="268"/>
      <c r="FLP548" s="268"/>
      <c r="FLQ548" s="268"/>
      <c r="FLR548" s="268"/>
      <c r="FLS548" s="268"/>
      <c r="FLT548" s="268"/>
      <c r="FLU548" s="268"/>
      <c r="FLV548" s="268"/>
      <c r="FLW548" s="268"/>
      <c r="FLX548" s="268"/>
      <c r="FLY548" s="268"/>
      <c r="FLZ548" s="268"/>
      <c r="FMA548" s="268"/>
      <c r="FMB548" s="268"/>
      <c r="FMC548" s="268"/>
      <c r="FMD548" s="268"/>
      <c r="FME548" s="268"/>
      <c r="FMF548" s="268"/>
      <c r="FMG548" s="268"/>
      <c r="FMH548" s="268"/>
      <c r="FMI548" s="268"/>
      <c r="FMJ548" s="268"/>
      <c r="FMK548" s="268"/>
      <c r="FML548" s="268"/>
      <c r="FMM548" s="268"/>
      <c r="FMN548" s="268"/>
      <c r="FMO548" s="268"/>
      <c r="FMP548" s="268"/>
      <c r="FMQ548" s="268"/>
      <c r="FMR548" s="268"/>
      <c r="FMS548" s="268"/>
      <c r="FMT548" s="268"/>
      <c r="FMU548" s="268"/>
      <c r="FMV548" s="268"/>
      <c r="FMW548" s="268"/>
      <c r="FMX548" s="268"/>
      <c r="FMY548" s="268"/>
      <c r="FMZ548" s="268"/>
      <c r="FNA548" s="268"/>
      <c r="FNB548" s="268"/>
      <c r="FNC548" s="268"/>
      <c r="FND548" s="268"/>
      <c r="FNE548" s="268"/>
      <c r="FNF548" s="268"/>
      <c r="FNG548" s="268"/>
      <c r="FNH548" s="268"/>
      <c r="FNI548" s="268"/>
      <c r="FNJ548" s="268"/>
      <c r="FNK548" s="268"/>
      <c r="FNL548" s="268"/>
      <c r="FNM548" s="268"/>
      <c r="FNN548" s="268"/>
      <c r="FNO548" s="268"/>
      <c r="FNP548" s="268"/>
      <c r="FNQ548" s="268"/>
      <c r="FNR548" s="268"/>
      <c r="FNS548" s="268"/>
      <c r="FNT548" s="268"/>
      <c r="FNU548" s="268"/>
      <c r="FNV548" s="268"/>
      <c r="FNW548" s="268"/>
      <c r="FNX548" s="268"/>
      <c r="FNY548" s="268"/>
      <c r="FNZ548" s="268"/>
      <c r="FOA548" s="268"/>
      <c r="FOB548" s="268"/>
      <c r="FOC548" s="268"/>
      <c r="FOD548" s="268"/>
      <c r="FOE548" s="268"/>
      <c r="FOF548" s="268"/>
      <c r="FOG548" s="268"/>
      <c r="FOH548" s="268"/>
      <c r="FOI548" s="268"/>
      <c r="FOJ548" s="268"/>
      <c r="FOK548" s="268"/>
      <c r="FOL548" s="268"/>
      <c r="FOM548" s="268"/>
      <c r="FON548" s="268"/>
      <c r="FOO548" s="268"/>
      <c r="FOP548" s="268"/>
      <c r="FOQ548" s="268"/>
      <c r="FOR548" s="268"/>
      <c r="FOS548" s="268"/>
      <c r="FOT548" s="268"/>
      <c r="FOU548" s="268"/>
      <c r="FOV548" s="268"/>
      <c r="FOW548" s="268"/>
      <c r="FOX548" s="268"/>
      <c r="FOY548" s="268"/>
      <c r="FOZ548" s="268"/>
      <c r="FPA548" s="268"/>
      <c r="FPB548" s="268"/>
      <c r="FPC548" s="268"/>
      <c r="FPD548" s="268"/>
      <c r="FPE548" s="268"/>
      <c r="FPF548" s="268"/>
      <c r="FPG548" s="268"/>
      <c r="FPH548" s="268"/>
      <c r="FPI548" s="268"/>
      <c r="FPJ548" s="268"/>
      <c r="FPK548" s="268"/>
      <c r="FPL548" s="268"/>
      <c r="FPM548" s="268"/>
      <c r="FPN548" s="268"/>
      <c r="FPO548" s="268"/>
      <c r="FPP548" s="268"/>
      <c r="FPQ548" s="268"/>
      <c r="FPR548" s="268"/>
      <c r="FPS548" s="268"/>
      <c r="FPT548" s="268"/>
      <c r="FPU548" s="268"/>
      <c r="FPV548" s="268"/>
      <c r="FPW548" s="268"/>
      <c r="FPX548" s="268"/>
      <c r="FPY548" s="268"/>
      <c r="FPZ548" s="268"/>
      <c r="FQA548" s="268"/>
      <c r="FQB548" s="268"/>
      <c r="FQC548" s="268"/>
      <c r="FQD548" s="268"/>
      <c r="FQE548" s="268"/>
      <c r="FQF548" s="268"/>
      <c r="FQG548" s="268"/>
      <c r="FQH548" s="268"/>
      <c r="FQI548" s="268"/>
      <c r="FQJ548" s="268"/>
      <c r="FQK548" s="268"/>
      <c r="FQL548" s="268"/>
      <c r="FQM548" s="268"/>
      <c r="FQN548" s="268"/>
      <c r="FQO548" s="268"/>
      <c r="FQP548" s="268"/>
      <c r="FQQ548" s="268"/>
      <c r="FQR548" s="268"/>
      <c r="FQS548" s="268"/>
      <c r="FQT548" s="268"/>
      <c r="FQU548" s="268"/>
      <c r="FQV548" s="268"/>
      <c r="FQW548" s="268"/>
      <c r="FQX548" s="268"/>
      <c r="FQY548" s="268"/>
      <c r="FQZ548" s="268"/>
      <c r="FRA548" s="268"/>
      <c r="FRB548" s="268"/>
      <c r="FRC548" s="268"/>
      <c r="FRD548" s="268"/>
      <c r="FRE548" s="268"/>
      <c r="FRF548" s="268"/>
      <c r="FRG548" s="268"/>
      <c r="FRH548" s="268"/>
      <c r="FRI548" s="268"/>
      <c r="FRJ548" s="268"/>
      <c r="FRK548" s="268"/>
      <c r="FRL548" s="268"/>
      <c r="FRM548" s="268"/>
      <c r="FRN548" s="268"/>
      <c r="FRO548" s="268"/>
      <c r="FRP548" s="268"/>
      <c r="FRQ548" s="268"/>
      <c r="FRR548" s="268"/>
      <c r="FRS548" s="268"/>
      <c r="FRT548" s="268"/>
      <c r="FRU548" s="268"/>
      <c r="FRV548" s="268"/>
      <c r="FRW548" s="268"/>
      <c r="FRX548" s="268"/>
      <c r="FRY548" s="268"/>
      <c r="FRZ548" s="268"/>
      <c r="FSA548" s="268"/>
      <c r="FSB548" s="268"/>
      <c r="FSC548" s="268"/>
      <c r="FSD548" s="268"/>
      <c r="FSE548" s="268"/>
      <c r="FSF548" s="268"/>
      <c r="FSG548" s="268"/>
      <c r="FSH548" s="268"/>
      <c r="FSI548" s="268"/>
      <c r="FSJ548" s="268"/>
      <c r="FSK548" s="268"/>
      <c r="FSL548" s="268"/>
      <c r="FSM548" s="268"/>
      <c r="FSN548" s="268"/>
      <c r="FSO548" s="268"/>
      <c r="FSP548" s="268"/>
      <c r="FSQ548" s="268"/>
      <c r="FSR548" s="268"/>
      <c r="FSS548" s="268"/>
      <c r="FST548" s="268"/>
      <c r="FSU548" s="268"/>
      <c r="FSV548" s="268"/>
      <c r="FSW548" s="268"/>
      <c r="FSX548" s="268"/>
      <c r="FSY548" s="268"/>
      <c r="FSZ548" s="268"/>
      <c r="FTA548" s="268"/>
      <c r="FTB548" s="268"/>
      <c r="FTC548" s="268"/>
      <c r="FTD548" s="268"/>
      <c r="FTE548" s="268"/>
      <c r="FTF548" s="268"/>
      <c r="FTG548" s="268"/>
      <c r="FTH548" s="268"/>
      <c r="FTI548" s="268"/>
      <c r="FTJ548" s="268"/>
      <c r="FTK548" s="268"/>
      <c r="FTL548" s="268"/>
      <c r="FTM548" s="268"/>
      <c r="FTN548" s="268"/>
      <c r="FTO548" s="268"/>
      <c r="FTP548" s="268"/>
      <c r="FTQ548" s="268"/>
      <c r="FTR548" s="268"/>
      <c r="FTS548" s="268"/>
      <c r="FTT548" s="268"/>
      <c r="FTU548" s="268"/>
      <c r="FTV548" s="268"/>
      <c r="FTW548" s="268"/>
      <c r="FUK548" s="268"/>
      <c r="FUL548" s="268"/>
      <c r="FUM548" s="268"/>
      <c r="FVA548" s="268"/>
      <c r="FVC548" s="268"/>
      <c r="FVD548" s="268"/>
      <c r="FVE548" s="268"/>
      <c r="FVF548" s="268"/>
      <c r="FVG548" s="268"/>
      <c r="FVH548" s="268"/>
      <c r="FVI548" s="268"/>
      <c r="FVJ548" s="268"/>
      <c r="FVK548" s="268"/>
      <c r="FVL548" s="268"/>
      <c r="FVM548" s="268"/>
      <c r="FVN548" s="268"/>
      <c r="FVO548" s="268"/>
      <c r="FVP548" s="268"/>
      <c r="FVQ548" s="268"/>
      <c r="FVR548" s="268"/>
      <c r="FVS548" s="268"/>
      <c r="FVT548" s="268"/>
      <c r="FVU548" s="268"/>
      <c r="FVV548" s="268"/>
      <c r="FVW548" s="268"/>
      <c r="FVX548" s="268"/>
      <c r="FVY548" s="268"/>
      <c r="FVZ548" s="268"/>
      <c r="FWA548" s="268"/>
      <c r="FWB548" s="268"/>
      <c r="FWC548" s="268"/>
      <c r="FWD548" s="268"/>
      <c r="FWE548" s="268"/>
      <c r="FWF548" s="268"/>
      <c r="FWG548" s="268"/>
      <c r="FWH548" s="268"/>
      <c r="FWI548" s="268"/>
      <c r="FWJ548" s="268"/>
      <c r="FWK548" s="268"/>
      <c r="FWL548" s="268"/>
      <c r="FWM548" s="268"/>
      <c r="FWN548" s="268"/>
      <c r="FWO548" s="268"/>
      <c r="FWP548" s="268"/>
      <c r="FWQ548" s="268"/>
      <c r="FWR548" s="268"/>
      <c r="FWS548" s="268"/>
      <c r="FWT548" s="268"/>
      <c r="FWU548" s="268"/>
      <c r="FWV548" s="268"/>
      <c r="FWW548" s="268"/>
      <c r="FWX548" s="268"/>
      <c r="FWY548" s="268"/>
      <c r="FWZ548" s="268"/>
      <c r="FXA548" s="268"/>
      <c r="FXB548" s="268"/>
      <c r="FXC548" s="268"/>
      <c r="FXD548" s="268"/>
      <c r="FXE548" s="268"/>
      <c r="FXF548" s="268"/>
      <c r="FXG548" s="268"/>
      <c r="FXH548" s="268"/>
      <c r="FXI548" s="268"/>
      <c r="FXJ548" s="268"/>
      <c r="FXK548" s="268"/>
      <c r="FXL548" s="268"/>
      <c r="FXM548" s="268"/>
      <c r="FXN548" s="268"/>
      <c r="FXO548" s="268"/>
      <c r="FXP548" s="268"/>
      <c r="FXQ548" s="268"/>
      <c r="FXR548" s="268"/>
      <c r="FXS548" s="268"/>
      <c r="FXT548" s="268"/>
      <c r="FXU548" s="268"/>
      <c r="FXV548" s="268"/>
      <c r="FXW548" s="268"/>
      <c r="FXX548" s="268"/>
      <c r="FXY548" s="268"/>
      <c r="FXZ548" s="268"/>
      <c r="FYA548" s="268"/>
      <c r="FYB548" s="268"/>
      <c r="FYC548" s="268"/>
      <c r="FYD548" s="268"/>
      <c r="FYE548" s="268"/>
      <c r="FYF548" s="268"/>
      <c r="FYG548" s="268"/>
      <c r="FYH548" s="268"/>
      <c r="FYI548" s="268"/>
      <c r="FYJ548" s="268"/>
      <c r="FYK548" s="268"/>
      <c r="FYL548" s="268"/>
      <c r="FYM548" s="268"/>
      <c r="FYN548" s="268"/>
      <c r="FYO548" s="268"/>
      <c r="FYP548" s="268"/>
      <c r="FYQ548" s="268"/>
      <c r="FYR548" s="268"/>
      <c r="FYS548" s="268"/>
      <c r="FYT548" s="268"/>
      <c r="FYU548" s="268"/>
      <c r="FYV548" s="268"/>
      <c r="FYW548" s="268"/>
      <c r="FYX548" s="268"/>
      <c r="FYY548" s="268"/>
      <c r="FYZ548" s="268"/>
      <c r="FZA548" s="268"/>
      <c r="FZB548" s="268"/>
      <c r="FZC548" s="268"/>
      <c r="FZD548" s="268"/>
      <c r="FZE548" s="268"/>
      <c r="FZF548" s="268"/>
      <c r="FZG548" s="268"/>
      <c r="FZH548" s="268"/>
      <c r="FZI548" s="268"/>
      <c r="FZJ548" s="268"/>
      <c r="FZK548" s="268"/>
      <c r="FZL548" s="268"/>
      <c r="FZM548" s="268"/>
      <c r="FZN548" s="268"/>
      <c r="FZO548" s="268"/>
      <c r="FZP548" s="268"/>
      <c r="FZQ548" s="268"/>
      <c r="FZR548" s="268"/>
      <c r="FZS548" s="268"/>
      <c r="FZT548" s="268"/>
      <c r="FZU548" s="268"/>
      <c r="FZV548" s="268"/>
      <c r="FZW548" s="268"/>
      <c r="FZX548" s="268"/>
      <c r="FZY548" s="268"/>
      <c r="FZZ548" s="268"/>
      <c r="GAA548" s="268"/>
      <c r="GAB548" s="268"/>
      <c r="GAC548" s="268"/>
      <c r="GAD548" s="268"/>
      <c r="GAE548" s="268"/>
      <c r="GAF548" s="268"/>
      <c r="GAG548" s="268"/>
      <c r="GAH548" s="268"/>
      <c r="GAI548" s="268"/>
      <c r="GAJ548" s="268"/>
      <c r="GAK548" s="268"/>
      <c r="GAL548" s="268"/>
      <c r="GAM548" s="268"/>
      <c r="GAN548" s="268"/>
      <c r="GAO548" s="268"/>
      <c r="GAP548" s="268"/>
      <c r="GAQ548" s="268"/>
      <c r="GAR548" s="268"/>
      <c r="GAS548" s="268"/>
      <c r="GAT548" s="268"/>
      <c r="GAU548" s="268"/>
      <c r="GAV548" s="268"/>
      <c r="GAW548" s="268"/>
      <c r="GAX548" s="268"/>
      <c r="GAY548" s="268"/>
      <c r="GAZ548" s="268"/>
      <c r="GBA548" s="268"/>
      <c r="GBB548" s="268"/>
      <c r="GBC548" s="268"/>
      <c r="GBD548" s="268"/>
      <c r="GBE548" s="268"/>
      <c r="GBF548" s="268"/>
      <c r="GBG548" s="268"/>
      <c r="GBH548" s="268"/>
      <c r="GBI548" s="268"/>
      <c r="GBJ548" s="268"/>
      <c r="GBK548" s="268"/>
      <c r="GBL548" s="268"/>
      <c r="GBM548" s="268"/>
      <c r="GBN548" s="268"/>
      <c r="GBO548" s="268"/>
      <c r="GBP548" s="268"/>
      <c r="GBQ548" s="268"/>
      <c r="GBR548" s="268"/>
      <c r="GBS548" s="268"/>
      <c r="GBT548" s="268"/>
      <c r="GBU548" s="268"/>
      <c r="GBV548" s="268"/>
      <c r="GBW548" s="268"/>
      <c r="GBX548" s="268"/>
      <c r="GBY548" s="268"/>
      <c r="GBZ548" s="268"/>
      <c r="GCA548" s="268"/>
      <c r="GCB548" s="268"/>
      <c r="GCC548" s="268"/>
      <c r="GCD548" s="268"/>
      <c r="GCE548" s="268"/>
      <c r="GCF548" s="268"/>
      <c r="GCG548" s="268"/>
      <c r="GCH548" s="268"/>
      <c r="GCI548" s="268"/>
      <c r="GCJ548" s="268"/>
      <c r="GCK548" s="268"/>
      <c r="GCL548" s="268"/>
      <c r="GCM548" s="268"/>
      <c r="GCN548" s="268"/>
      <c r="GCO548" s="268"/>
      <c r="GCP548" s="268"/>
      <c r="GCQ548" s="268"/>
      <c r="GCR548" s="268"/>
      <c r="GCS548" s="268"/>
      <c r="GCT548" s="268"/>
      <c r="GCU548" s="268"/>
      <c r="GCV548" s="268"/>
      <c r="GCW548" s="268"/>
      <c r="GCX548" s="268"/>
      <c r="GCY548" s="268"/>
      <c r="GCZ548" s="268"/>
      <c r="GDA548" s="268"/>
      <c r="GDB548" s="268"/>
      <c r="GDC548" s="268"/>
      <c r="GDD548" s="268"/>
      <c r="GDE548" s="268"/>
      <c r="GDF548" s="268"/>
      <c r="GDG548" s="268"/>
      <c r="GDH548" s="268"/>
      <c r="GDI548" s="268"/>
      <c r="GDJ548" s="268"/>
      <c r="GDK548" s="268"/>
      <c r="GDL548" s="268"/>
      <c r="GDM548" s="268"/>
      <c r="GDN548" s="268"/>
      <c r="GDO548" s="268"/>
      <c r="GDP548" s="268"/>
      <c r="GDQ548" s="268"/>
      <c r="GDR548" s="268"/>
      <c r="GDS548" s="268"/>
      <c r="GEG548" s="268"/>
      <c r="GEH548" s="268"/>
      <c r="GEI548" s="268"/>
      <c r="GEW548" s="268"/>
      <c r="GEY548" s="268"/>
      <c r="GEZ548" s="268"/>
      <c r="GFA548" s="268"/>
      <c r="GFB548" s="268"/>
      <c r="GFC548" s="268"/>
      <c r="GFD548" s="268"/>
      <c r="GFE548" s="268"/>
      <c r="GFF548" s="268"/>
      <c r="GFG548" s="268"/>
      <c r="GFH548" s="268"/>
      <c r="GFI548" s="268"/>
      <c r="GFJ548" s="268"/>
      <c r="GFK548" s="268"/>
      <c r="GFL548" s="268"/>
      <c r="GFM548" s="268"/>
      <c r="GFN548" s="268"/>
      <c r="GFO548" s="268"/>
      <c r="GFP548" s="268"/>
      <c r="GFQ548" s="268"/>
      <c r="GFR548" s="268"/>
      <c r="GFS548" s="268"/>
      <c r="GFT548" s="268"/>
      <c r="GFU548" s="268"/>
      <c r="GFV548" s="268"/>
      <c r="GFW548" s="268"/>
      <c r="GFX548" s="268"/>
      <c r="GFY548" s="268"/>
      <c r="GFZ548" s="268"/>
      <c r="GGA548" s="268"/>
      <c r="GGB548" s="268"/>
      <c r="GGC548" s="268"/>
      <c r="GGD548" s="268"/>
      <c r="GGE548" s="268"/>
      <c r="GGF548" s="268"/>
      <c r="GGG548" s="268"/>
      <c r="GGH548" s="268"/>
      <c r="GGI548" s="268"/>
      <c r="GGJ548" s="268"/>
      <c r="GGK548" s="268"/>
      <c r="GGL548" s="268"/>
      <c r="GGM548" s="268"/>
      <c r="GGN548" s="268"/>
      <c r="GGO548" s="268"/>
      <c r="GGP548" s="268"/>
      <c r="GGQ548" s="268"/>
      <c r="GGR548" s="268"/>
      <c r="GGS548" s="268"/>
      <c r="GGT548" s="268"/>
      <c r="GGU548" s="268"/>
      <c r="GGV548" s="268"/>
      <c r="GGW548" s="268"/>
      <c r="GGX548" s="268"/>
      <c r="GGY548" s="268"/>
      <c r="GGZ548" s="268"/>
      <c r="GHA548" s="268"/>
      <c r="GHB548" s="268"/>
      <c r="GHC548" s="268"/>
      <c r="GHD548" s="268"/>
      <c r="GHE548" s="268"/>
      <c r="GHF548" s="268"/>
      <c r="GHG548" s="268"/>
      <c r="GHH548" s="268"/>
      <c r="GHI548" s="268"/>
      <c r="GHJ548" s="268"/>
      <c r="GHK548" s="268"/>
      <c r="GHL548" s="268"/>
      <c r="GHM548" s="268"/>
      <c r="GHN548" s="268"/>
      <c r="GHO548" s="268"/>
      <c r="GHP548" s="268"/>
      <c r="GHQ548" s="268"/>
      <c r="GHR548" s="268"/>
      <c r="GHS548" s="268"/>
      <c r="GHT548" s="268"/>
      <c r="GHU548" s="268"/>
      <c r="GHV548" s="268"/>
      <c r="GHW548" s="268"/>
      <c r="GHX548" s="268"/>
      <c r="GHY548" s="268"/>
      <c r="GHZ548" s="268"/>
      <c r="GIA548" s="268"/>
      <c r="GIB548" s="268"/>
      <c r="GIC548" s="268"/>
      <c r="GID548" s="268"/>
      <c r="GIE548" s="268"/>
      <c r="GIF548" s="268"/>
      <c r="GIG548" s="268"/>
      <c r="GIH548" s="268"/>
      <c r="GII548" s="268"/>
      <c r="GIJ548" s="268"/>
      <c r="GIK548" s="268"/>
      <c r="GIL548" s="268"/>
      <c r="GIM548" s="268"/>
      <c r="GIN548" s="268"/>
      <c r="GIO548" s="268"/>
      <c r="GIP548" s="268"/>
      <c r="GIQ548" s="268"/>
      <c r="GIR548" s="268"/>
      <c r="GIS548" s="268"/>
      <c r="GIT548" s="268"/>
      <c r="GIU548" s="268"/>
      <c r="GIV548" s="268"/>
      <c r="GIW548" s="268"/>
      <c r="GIX548" s="268"/>
      <c r="GIY548" s="268"/>
      <c r="GIZ548" s="268"/>
      <c r="GJA548" s="268"/>
      <c r="GJB548" s="268"/>
      <c r="GJC548" s="268"/>
      <c r="GJD548" s="268"/>
      <c r="GJE548" s="268"/>
      <c r="GJF548" s="268"/>
      <c r="GJG548" s="268"/>
      <c r="GJH548" s="268"/>
      <c r="GJI548" s="268"/>
      <c r="GJJ548" s="268"/>
      <c r="GJK548" s="268"/>
      <c r="GJL548" s="268"/>
      <c r="GJM548" s="268"/>
      <c r="GJN548" s="268"/>
      <c r="GJO548" s="268"/>
      <c r="GJP548" s="268"/>
      <c r="GJQ548" s="268"/>
      <c r="GJR548" s="268"/>
      <c r="GJS548" s="268"/>
      <c r="GJT548" s="268"/>
      <c r="GJU548" s="268"/>
      <c r="GJV548" s="268"/>
      <c r="GJW548" s="268"/>
      <c r="GJX548" s="268"/>
      <c r="GJY548" s="268"/>
      <c r="GJZ548" s="268"/>
      <c r="GKA548" s="268"/>
      <c r="GKB548" s="268"/>
      <c r="GKC548" s="268"/>
      <c r="GKD548" s="268"/>
      <c r="GKE548" s="268"/>
      <c r="GKF548" s="268"/>
      <c r="GKG548" s="268"/>
      <c r="GKH548" s="268"/>
      <c r="GKI548" s="268"/>
      <c r="GKJ548" s="268"/>
      <c r="GKK548" s="268"/>
      <c r="GKL548" s="268"/>
      <c r="GKM548" s="268"/>
      <c r="GKN548" s="268"/>
      <c r="GKO548" s="268"/>
      <c r="GKP548" s="268"/>
      <c r="GKQ548" s="268"/>
      <c r="GKR548" s="268"/>
      <c r="GKS548" s="268"/>
      <c r="GKT548" s="268"/>
      <c r="GKU548" s="268"/>
      <c r="GKV548" s="268"/>
      <c r="GKW548" s="268"/>
      <c r="GKX548" s="268"/>
      <c r="GKY548" s="268"/>
      <c r="GKZ548" s="268"/>
      <c r="GLA548" s="268"/>
      <c r="GLB548" s="268"/>
      <c r="GLC548" s="268"/>
      <c r="GLD548" s="268"/>
      <c r="GLE548" s="268"/>
      <c r="GLF548" s="268"/>
      <c r="GLG548" s="268"/>
      <c r="GLH548" s="268"/>
      <c r="GLI548" s="268"/>
      <c r="GLJ548" s="268"/>
      <c r="GLK548" s="268"/>
      <c r="GLL548" s="268"/>
      <c r="GLM548" s="268"/>
      <c r="GLN548" s="268"/>
      <c r="GLO548" s="268"/>
      <c r="GLP548" s="268"/>
      <c r="GLQ548" s="268"/>
      <c r="GLR548" s="268"/>
      <c r="GLS548" s="268"/>
      <c r="GLT548" s="268"/>
      <c r="GLU548" s="268"/>
      <c r="GLV548" s="268"/>
      <c r="GLW548" s="268"/>
      <c r="GLX548" s="268"/>
      <c r="GLY548" s="268"/>
      <c r="GLZ548" s="268"/>
      <c r="GMA548" s="268"/>
      <c r="GMB548" s="268"/>
      <c r="GMC548" s="268"/>
      <c r="GMD548" s="268"/>
      <c r="GME548" s="268"/>
      <c r="GMF548" s="268"/>
      <c r="GMG548" s="268"/>
      <c r="GMH548" s="268"/>
      <c r="GMI548" s="268"/>
      <c r="GMJ548" s="268"/>
      <c r="GMK548" s="268"/>
      <c r="GML548" s="268"/>
      <c r="GMM548" s="268"/>
      <c r="GMN548" s="268"/>
      <c r="GMO548" s="268"/>
      <c r="GMP548" s="268"/>
      <c r="GMQ548" s="268"/>
      <c r="GMR548" s="268"/>
      <c r="GMS548" s="268"/>
      <c r="GMT548" s="268"/>
      <c r="GMU548" s="268"/>
      <c r="GMV548" s="268"/>
      <c r="GMW548" s="268"/>
      <c r="GMX548" s="268"/>
      <c r="GMY548" s="268"/>
      <c r="GMZ548" s="268"/>
      <c r="GNA548" s="268"/>
      <c r="GNB548" s="268"/>
      <c r="GNC548" s="268"/>
      <c r="GND548" s="268"/>
      <c r="GNE548" s="268"/>
      <c r="GNF548" s="268"/>
      <c r="GNG548" s="268"/>
      <c r="GNH548" s="268"/>
      <c r="GNI548" s="268"/>
      <c r="GNJ548" s="268"/>
      <c r="GNK548" s="268"/>
      <c r="GNL548" s="268"/>
      <c r="GNM548" s="268"/>
      <c r="GNN548" s="268"/>
      <c r="GNO548" s="268"/>
      <c r="GOC548" s="268"/>
      <c r="GOD548" s="268"/>
      <c r="GOE548" s="268"/>
      <c r="GOS548" s="268"/>
      <c r="GOU548" s="268"/>
      <c r="GOV548" s="268"/>
      <c r="GOW548" s="268"/>
      <c r="GOX548" s="268"/>
      <c r="GOY548" s="268"/>
      <c r="GOZ548" s="268"/>
      <c r="GPA548" s="268"/>
      <c r="GPB548" s="268"/>
      <c r="GPC548" s="268"/>
      <c r="GPD548" s="268"/>
      <c r="GPE548" s="268"/>
      <c r="GPF548" s="268"/>
      <c r="GPG548" s="268"/>
      <c r="GPH548" s="268"/>
      <c r="GPI548" s="268"/>
      <c r="GPJ548" s="268"/>
      <c r="GPK548" s="268"/>
      <c r="GPL548" s="268"/>
      <c r="GPM548" s="268"/>
      <c r="GPN548" s="268"/>
      <c r="GPO548" s="268"/>
      <c r="GPP548" s="268"/>
      <c r="GPQ548" s="268"/>
      <c r="GPR548" s="268"/>
      <c r="GPS548" s="268"/>
      <c r="GPT548" s="268"/>
      <c r="GPU548" s="268"/>
      <c r="GPV548" s="268"/>
      <c r="GPW548" s="268"/>
      <c r="GPX548" s="268"/>
      <c r="GPY548" s="268"/>
      <c r="GPZ548" s="268"/>
      <c r="GQA548" s="268"/>
      <c r="GQB548" s="268"/>
      <c r="GQC548" s="268"/>
      <c r="GQD548" s="268"/>
      <c r="GQE548" s="268"/>
      <c r="GQF548" s="268"/>
      <c r="GQG548" s="268"/>
      <c r="GQH548" s="268"/>
      <c r="GQI548" s="268"/>
      <c r="GQJ548" s="268"/>
      <c r="GQK548" s="268"/>
      <c r="GQL548" s="268"/>
      <c r="GQM548" s="268"/>
      <c r="GQN548" s="268"/>
      <c r="GQO548" s="268"/>
      <c r="GQP548" s="268"/>
      <c r="GQQ548" s="268"/>
      <c r="GQR548" s="268"/>
      <c r="GQS548" s="268"/>
      <c r="GQT548" s="268"/>
      <c r="GQU548" s="268"/>
      <c r="GQV548" s="268"/>
      <c r="GQW548" s="268"/>
      <c r="GQX548" s="268"/>
      <c r="GQY548" s="268"/>
      <c r="GQZ548" s="268"/>
      <c r="GRA548" s="268"/>
      <c r="GRB548" s="268"/>
      <c r="GRC548" s="268"/>
      <c r="GRD548" s="268"/>
      <c r="GRE548" s="268"/>
      <c r="GRF548" s="268"/>
      <c r="GRG548" s="268"/>
      <c r="GRH548" s="268"/>
      <c r="GRI548" s="268"/>
      <c r="GRJ548" s="268"/>
      <c r="GRK548" s="268"/>
      <c r="GRL548" s="268"/>
      <c r="GRM548" s="268"/>
      <c r="GRN548" s="268"/>
      <c r="GRO548" s="268"/>
      <c r="GRP548" s="268"/>
      <c r="GRQ548" s="268"/>
      <c r="GRR548" s="268"/>
      <c r="GRS548" s="268"/>
      <c r="GRT548" s="268"/>
      <c r="GRU548" s="268"/>
      <c r="GRV548" s="268"/>
      <c r="GRW548" s="268"/>
      <c r="GRX548" s="268"/>
      <c r="GRY548" s="268"/>
      <c r="GRZ548" s="268"/>
      <c r="GSA548" s="268"/>
      <c r="GSB548" s="268"/>
      <c r="GSC548" s="268"/>
      <c r="GSD548" s="268"/>
      <c r="GSE548" s="268"/>
      <c r="GSF548" s="268"/>
      <c r="GSG548" s="268"/>
      <c r="GSH548" s="268"/>
      <c r="GSI548" s="268"/>
      <c r="GSJ548" s="268"/>
      <c r="GSK548" s="268"/>
      <c r="GSL548" s="268"/>
      <c r="GSM548" s="268"/>
      <c r="GSN548" s="268"/>
      <c r="GSO548" s="268"/>
      <c r="GSP548" s="268"/>
      <c r="GSQ548" s="268"/>
      <c r="GSR548" s="268"/>
      <c r="GSS548" s="268"/>
      <c r="GST548" s="268"/>
      <c r="GSU548" s="268"/>
      <c r="GSV548" s="268"/>
      <c r="GSW548" s="268"/>
      <c r="GSX548" s="268"/>
      <c r="GSY548" s="268"/>
      <c r="GSZ548" s="268"/>
      <c r="GTA548" s="268"/>
      <c r="GTB548" s="268"/>
      <c r="GTC548" s="268"/>
      <c r="GTD548" s="268"/>
      <c r="GTE548" s="268"/>
      <c r="GTF548" s="268"/>
      <c r="GTG548" s="268"/>
      <c r="GTH548" s="268"/>
      <c r="GTI548" s="268"/>
      <c r="GTJ548" s="268"/>
      <c r="GTK548" s="268"/>
      <c r="GTL548" s="268"/>
      <c r="GTM548" s="268"/>
      <c r="GTN548" s="268"/>
      <c r="GTO548" s="268"/>
      <c r="GTP548" s="268"/>
      <c r="GTQ548" s="268"/>
      <c r="GTR548" s="268"/>
      <c r="GTS548" s="268"/>
      <c r="GTT548" s="268"/>
      <c r="GTU548" s="268"/>
      <c r="GTV548" s="268"/>
      <c r="GTW548" s="268"/>
      <c r="GTX548" s="268"/>
      <c r="GTY548" s="268"/>
      <c r="GTZ548" s="268"/>
      <c r="GUA548" s="268"/>
      <c r="GUB548" s="268"/>
      <c r="GUC548" s="268"/>
      <c r="GUD548" s="268"/>
      <c r="GUE548" s="268"/>
      <c r="GUF548" s="268"/>
      <c r="GUG548" s="268"/>
      <c r="GUH548" s="268"/>
      <c r="GUI548" s="268"/>
      <c r="GUJ548" s="268"/>
      <c r="GUK548" s="268"/>
      <c r="GUL548" s="268"/>
      <c r="GUM548" s="268"/>
      <c r="GUN548" s="268"/>
      <c r="GUO548" s="268"/>
      <c r="GUP548" s="268"/>
      <c r="GUQ548" s="268"/>
      <c r="GUR548" s="268"/>
      <c r="GUS548" s="268"/>
      <c r="GUT548" s="268"/>
      <c r="GUU548" s="268"/>
      <c r="GUV548" s="268"/>
      <c r="GUW548" s="268"/>
      <c r="GUX548" s="268"/>
      <c r="GUY548" s="268"/>
      <c r="GUZ548" s="268"/>
      <c r="GVA548" s="268"/>
      <c r="GVB548" s="268"/>
      <c r="GVC548" s="268"/>
      <c r="GVD548" s="268"/>
      <c r="GVE548" s="268"/>
      <c r="GVF548" s="268"/>
      <c r="GVG548" s="268"/>
      <c r="GVH548" s="268"/>
      <c r="GVI548" s="268"/>
      <c r="GVJ548" s="268"/>
      <c r="GVK548" s="268"/>
      <c r="GVL548" s="268"/>
      <c r="GVM548" s="268"/>
      <c r="GVN548" s="268"/>
      <c r="GVO548" s="268"/>
      <c r="GVP548" s="268"/>
      <c r="GVQ548" s="268"/>
      <c r="GVR548" s="268"/>
      <c r="GVS548" s="268"/>
      <c r="GVT548" s="268"/>
      <c r="GVU548" s="268"/>
      <c r="GVV548" s="268"/>
      <c r="GVW548" s="268"/>
      <c r="GVX548" s="268"/>
      <c r="GVY548" s="268"/>
      <c r="GVZ548" s="268"/>
      <c r="GWA548" s="268"/>
      <c r="GWB548" s="268"/>
      <c r="GWC548" s="268"/>
      <c r="GWD548" s="268"/>
      <c r="GWE548" s="268"/>
      <c r="GWF548" s="268"/>
      <c r="GWG548" s="268"/>
      <c r="GWH548" s="268"/>
      <c r="GWI548" s="268"/>
      <c r="GWJ548" s="268"/>
      <c r="GWK548" s="268"/>
      <c r="GWL548" s="268"/>
      <c r="GWM548" s="268"/>
      <c r="GWN548" s="268"/>
      <c r="GWO548" s="268"/>
      <c r="GWP548" s="268"/>
      <c r="GWQ548" s="268"/>
      <c r="GWR548" s="268"/>
      <c r="GWS548" s="268"/>
      <c r="GWT548" s="268"/>
      <c r="GWU548" s="268"/>
      <c r="GWV548" s="268"/>
      <c r="GWW548" s="268"/>
      <c r="GWX548" s="268"/>
      <c r="GWY548" s="268"/>
      <c r="GWZ548" s="268"/>
      <c r="GXA548" s="268"/>
      <c r="GXB548" s="268"/>
      <c r="GXC548" s="268"/>
      <c r="GXD548" s="268"/>
      <c r="GXE548" s="268"/>
      <c r="GXF548" s="268"/>
      <c r="GXG548" s="268"/>
      <c r="GXH548" s="268"/>
      <c r="GXI548" s="268"/>
      <c r="GXJ548" s="268"/>
      <c r="GXK548" s="268"/>
      <c r="GXY548" s="268"/>
      <c r="GXZ548" s="268"/>
      <c r="GYA548" s="268"/>
      <c r="GYO548" s="268"/>
      <c r="GYQ548" s="268"/>
      <c r="GYR548" s="268"/>
      <c r="GYS548" s="268"/>
      <c r="GYT548" s="268"/>
      <c r="GYU548" s="268"/>
      <c r="GYV548" s="268"/>
      <c r="GYW548" s="268"/>
      <c r="GYX548" s="268"/>
      <c r="GYY548" s="268"/>
      <c r="GYZ548" s="268"/>
      <c r="GZA548" s="268"/>
      <c r="GZB548" s="268"/>
      <c r="GZC548" s="268"/>
      <c r="GZD548" s="268"/>
      <c r="GZE548" s="268"/>
      <c r="GZF548" s="268"/>
      <c r="GZG548" s="268"/>
      <c r="GZH548" s="268"/>
      <c r="GZI548" s="268"/>
      <c r="GZJ548" s="268"/>
      <c r="GZK548" s="268"/>
      <c r="GZL548" s="268"/>
      <c r="GZM548" s="268"/>
      <c r="GZN548" s="268"/>
      <c r="GZO548" s="268"/>
      <c r="GZP548" s="268"/>
      <c r="GZQ548" s="268"/>
      <c r="GZR548" s="268"/>
      <c r="GZS548" s="268"/>
      <c r="GZT548" s="268"/>
      <c r="GZU548" s="268"/>
      <c r="GZV548" s="268"/>
      <c r="GZW548" s="268"/>
      <c r="GZX548" s="268"/>
      <c r="GZY548" s="268"/>
      <c r="GZZ548" s="268"/>
      <c r="HAA548" s="268"/>
      <c r="HAB548" s="268"/>
      <c r="HAC548" s="268"/>
      <c r="HAD548" s="268"/>
      <c r="HAE548" s="268"/>
      <c r="HAF548" s="268"/>
      <c r="HAG548" s="268"/>
      <c r="HAH548" s="268"/>
      <c r="HAI548" s="268"/>
      <c r="HAJ548" s="268"/>
      <c r="HAK548" s="268"/>
      <c r="HAL548" s="268"/>
      <c r="HAM548" s="268"/>
      <c r="HAN548" s="268"/>
      <c r="HAO548" s="268"/>
      <c r="HAP548" s="268"/>
      <c r="HAQ548" s="268"/>
      <c r="HAR548" s="268"/>
      <c r="HAS548" s="268"/>
      <c r="HAT548" s="268"/>
      <c r="HAU548" s="268"/>
      <c r="HAV548" s="268"/>
      <c r="HAW548" s="268"/>
      <c r="HAX548" s="268"/>
      <c r="HAY548" s="268"/>
      <c r="HAZ548" s="268"/>
      <c r="HBA548" s="268"/>
      <c r="HBB548" s="268"/>
      <c r="HBC548" s="268"/>
      <c r="HBD548" s="268"/>
      <c r="HBE548" s="268"/>
      <c r="HBF548" s="268"/>
      <c r="HBG548" s="268"/>
      <c r="HBH548" s="268"/>
      <c r="HBI548" s="268"/>
      <c r="HBJ548" s="268"/>
      <c r="HBK548" s="268"/>
      <c r="HBL548" s="268"/>
      <c r="HBM548" s="268"/>
      <c r="HBN548" s="268"/>
      <c r="HBO548" s="268"/>
      <c r="HBP548" s="268"/>
      <c r="HBQ548" s="268"/>
      <c r="HBR548" s="268"/>
      <c r="HBS548" s="268"/>
      <c r="HBT548" s="268"/>
      <c r="HBU548" s="268"/>
      <c r="HBV548" s="268"/>
      <c r="HBW548" s="268"/>
      <c r="HBX548" s="268"/>
      <c r="HBY548" s="268"/>
      <c r="HBZ548" s="268"/>
      <c r="HCA548" s="268"/>
      <c r="HCB548" s="268"/>
      <c r="HCC548" s="268"/>
      <c r="HCD548" s="268"/>
      <c r="HCE548" s="268"/>
      <c r="HCF548" s="268"/>
      <c r="HCG548" s="268"/>
      <c r="HCH548" s="268"/>
      <c r="HCI548" s="268"/>
      <c r="HCJ548" s="268"/>
      <c r="HCK548" s="268"/>
      <c r="HCL548" s="268"/>
      <c r="HCM548" s="268"/>
      <c r="HCN548" s="268"/>
      <c r="HCO548" s="268"/>
      <c r="HCP548" s="268"/>
      <c r="HCQ548" s="268"/>
      <c r="HCR548" s="268"/>
      <c r="HCS548" s="268"/>
      <c r="HCT548" s="268"/>
      <c r="HCU548" s="268"/>
      <c r="HCV548" s="268"/>
      <c r="HCW548" s="268"/>
      <c r="HCX548" s="268"/>
      <c r="HCY548" s="268"/>
      <c r="HCZ548" s="268"/>
      <c r="HDA548" s="268"/>
      <c r="HDB548" s="268"/>
      <c r="HDC548" s="268"/>
      <c r="HDD548" s="268"/>
      <c r="HDE548" s="268"/>
      <c r="HDF548" s="268"/>
      <c r="HDG548" s="268"/>
      <c r="HDH548" s="268"/>
      <c r="HDI548" s="268"/>
      <c r="HDJ548" s="268"/>
      <c r="HDK548" s="268"/>
      <c r="HDL548" s="268"/>
      <c r="HDM548" s="268"/>
      <c r="HDN548" s="268"/>
      <c r="HDO548" s="268"/>
      <c r="HDP548" s="268"/>
      <c r="HDQ548" s="268"/>
      <c r="HDR548" s="268"/>
      <c r="HDS548" s="268"/>
      <c r="HDT548" s="268"/>
      <c r="HDU548" s="268"/>
      <c r="HDV548" s="268"/>
      <c r="HDW548" s="268"/>
      <c r="HDX548" s="268"/>
      <c r="HDY548" s="268"/>
      <c r="HDZ548" s="268"/>
      <c r="HEA548" s="268"/>
      <c r="HEB548" s="268"/>
      <c r="HEC548" s="268"/>
      <c r="HED548" s="268"/>
      <c r="HEE548" s="268"/>
      <c r="HEF548" s="268"/>
      <c r="HEG548" s="268"/>
      <c r="HEH548" s="268"/>
      <c r="HEI548" s="268"/>
      <c r="HEJ548" s="268"/>
      <c r="HEK548" s="268"/>
      <c r="HEL548" s="268"/>
      <c r="HEM548" s="268"/>
      <c r="HEN548" s="268"/>
      <c r="HEO548" s="268"/>
      <c r="HEP548" s="268"/>
      <c r="HEQ548" s="268"/>
      <c r="HER548" s="268"/>
      <c r="HES548" s="268"/>
      <c r="HET548" s="268"/>
      <c r="HEU548" s="268"/>
      <c r="HEV548" s="268"/>
      <c r="HEW548" s="268"/>
      <c r="HEX548" s="268"/>
      <c r="HEY548" s="268"/>
      <c r="HEZ548" s="268"/>
      <c r="HFA548" s="268"/>
      <c r="HFB548" s="268"/>
      <c r="HFC548" s="268"/>
      <c r="HFD548" s="268"/>
      <c r="HFE548" s="268"/>
      <c r="HFF548" s="268"/>
      <c r="HFG548" s="268"/>
      <c r="HFH548" s="268"/>
      <c r="HFI548" s="268"/>
      <c r="HFJ548" s="268"/>
      <c r="HFK548" s="268"/>
      <c r="HFL548" s="268"/>
      <c r="HFM548" s="268"/>
      <c r="HFN548" s="268"/>
      <c r="HFO548" s="268"/>
      <c r="HFP548" s="268"/>
      <c r="HFQ548" s="268"/>
      <c r="HFR548" s="268"/>
      <c r="HFS548" s="268"/>
      <c r="HFT548" s="268"/>
      <c r="HFU548" s="268"/>
      <c r="HFV548" s="268"/>
      <c r="HFW548" s="268"/>
      <c r="HFX548" s="268"/>
      <c r="HFY548" s="268"/>
      <c r="HFZ548" s="268"/>
      <c r="HGA548" s="268"/>
      <c r="HGB548" s="268"/>
      <c r="HGC548" s="268"/>
      <c r="HGD548" s="268"/>
      <c r="HGE548" s="268"/>
      <c r="HGF548" s="268"/>
      <c r="HGG548" s="268"/>
      <c r="HGH548" s="268"/>
      <c r="HGI548" s="268"/>
      <c r="HGJ548" s="268"/>
      <c r="HGK548" s="268"/>
      <c r="HGL548" s="268"/>
      <c r="HGM548" s="268"/>
      <c r="HGN548" s="268"/>
      <c r="HGO548" s="268"/>
      <c r="HGP548" s="268"/>
      <c r="HGQ548" s="268"/>
      <c r="HGR548" s="268"/>
      <c r="HGS548" s="268"/>
      <c r="HGT548" s="268"/>
      <c r="HGU548" s="268"/>
      <c r="HGV548" s="268"/>
      <c r="HGW548" s="268"/>
      <c r="HGX548" s="268"/>
      <c r="HGY548" s="268"/>
      <c r="HGZ548" s="268"/>
      <c r="HHA548" s="268"/>
      <c r="HHB548" s="268"/>
      <c r="HHC548" s="268"/>
      <c r="HHD548" s="268"/>
      <c r="HHE548" s="268"/>
      <c r="HHF548" s="268"/>
      <c r="HHG548" s="268"/>
      <c r="HHU548" s="268"/>
      <c r="HHV548" s="268"/>
      <c r="HHW548" s="268"/>
      <c r="HIK548" s="268"/>
      <c r="HIM548" s="268"/>
      <c r="HIN548" s="268"/>
      <c r="HIO548" s="268"/>
      <c r="HIP548" s="268"/>
      <c r="HIQ548" s="268"/>
      <c r="HIR548" s="268"/>
      <c r="HIS548" s="268"/>
      <c r="HIT548" s="268"/>
      <c r="HIU548" s="268"/>
      <c r="HIV548" s="268"/>
      <c r="HIW548" s="268"/>
      <c r="HIX548" s="268"/>
      <c r="HIY548" s="268"/>
      <c r="HIZ548" s="268"/>
      <c r="HJA548" s="268"/>
      <c r="HJB548" s="268"/>
      <c r="HJC548" s="268"/>
      <c r="HJD548" s="268"/>
      <c r="HJE548" s="268"/>
      <c r="HJF548" s="268"/>
      <c r="HJG548" s="268"/>
      <c r="HJH548" s="268"/>
      <c r="HJI548" s="268"/>
      <c r="HJJ548" s="268"/>
      <c r="HJK548" s="268"/>
      <c r="HJL548" s="268"/>
      <c r="HJM548" s="268"/>
      <c r="HJN548" s="268"/>
      <c r="HJO548" s="268"/>
      <c r="HJP548" s="268"/>
      <c r="HJQ548" s="268"/>
      <c r="HJR548" s="268"/>
      <c r="HJS548" s="268"/>
      <c r="HJT548" s="268"/>
      <c r="HJU548" s="268"/>
      <c r="HJV548" s="268"/>
      <c r="HJW548" s="268"/>
      <c r="HJX548" s="268"/>
      <c r="HJY548" s="268"/>
      <c r="HJZ548" s="268"/>
      <c r="HKA548" s="268"/>
      <c r="HKB548" s="268"/>
      <c r="HKC548" s="268"/>
      <c r="HKD548" s="268"/>
      <c r="HKE548" s="268"/>
      <c r="HKF548" s="268"/>
      <c r="HKG548" s="268"/>
      <c r="HKH548" s="268"/>
      <c r="HKI548" s="268"/>
      <c r="HKJ548" s="268"/>
      <c r="HKK548" s="268"/>
      <c r="HKL548" s="268"/>
      <c r="HKM548" s="268"/>
      <c r="HKN548" s="268"/>
      <c r="HKO548" s="268"/>
      <c r="HKP548" s="268"/>
      <c r="HKQ548" s="268"/>
      <c r="HKR548" s="268"/>
      <c r="HKS548" s="268"/>
      <c r="HKT548" s="268"/>
      <c r="HKU548" s="268"/>
      <c r="HKV548" s="268"/>
      <c r="HKW548" s="268"/>
      <c r="HKX548" s="268"/>
      <c r="HKY548" s="268"/>
      <c r="HKZ548" s="268"/>
      <c r="HLA548" s="268"/>
      <c r="HLB548" s="268"/>
      <c r="HLC548" s="268"/>
      <c r="HLD548" s="268"/>
      <c r="HLE548" s="268"/>
      <c r="HLF548" s="268"/>
      <c r="HLG548" s="268"/>
      <c r="HLH548" s="268"/>
      <c r="HLI548" s="268"/>
      <c r="HLJ548" s="268"/>
      <c r="HLK548" s="268"/>
      <c r="HLL548" s="268"/>
      <c r="HLM548" s="268"/>
      <c r="HLN548" s="268"/>
      <c r="HLO548" s="268"/>
      <c r="HLP548" s="268"/>
      <c r="HLQ548" s="268"/>
      <c r="HLR548" s="268"/>
      <c r="HLS548" s="268"/>
      <c r="HLT548" s="268"/>
      <c r="HLU548" s="268"/>
      <c r="HLV548" s="268"/>
      <c r="HLW548" s="268"/>
      <c r="HLX548" s="268"/>
      <c r="HLY548" s="268"/>
      <c r="HLZ548" s="268"/>
      <c r="HMA548" s="268"/>
      <c r="HMB548" s="268"/>
      <c r="HMC548" s="268"/>
      <c r="HMD548" s="268"/>
      <c r="HME548" s="268"/>
      <c r="HMF548" s="268"/>
      <c r="HMG548" s="268"/>
      <c r="HMH548" s="268"/>
      <c r="HMI548" s="268"/>
      <c r="HMJ548" s="268"/>
      <c r="HMK548" s="268"/>
      <c r="HML548" s="268"/>
      <c r="HMM548" s="268"/>
      <c r="HMN548" s="268"/>
      <c r="HMO548" s="268"/>
      <c r="HMP548" s="268"/>
      <c r="HMQ548" s="268"/>
      <c r="HMR548" s="268"/>
      <c r="HMS548" s="268"/>
      <c r="HMT548" s="268"/>
      <c r="HMU548" s="268"/>
      <c r="HMV548" s="268"/>
      <c r="HMW548" s="268"/>
      <c r="HMX548" s="268"/>
      <c r="HMY548" s="268"/>
      <c r="HMZ548" s="268"/>
      <c r="HNA548" s="268"/>
      <c r="HNB548" s="268"/>
      <c r="HNC548" s="268"/>
      <c r="HND548" s="268"/>
      <c r="HNE548" s="268"/>
      <c r="HNF548" s="268"/>
      <c r="HNG548" s="268"/>
      <c r="HNH548" s="268"/>
      <c r="HNI548" s="268"/>
      <c r="HNJ548" s="268"/>
      <c r="HNK548" s="268"/>
      <c r="HNL548" s="268"/>
      <c r="HNM548" s="268"/>
      <c r="HNN548" s="268"/>
      <c r="HNO548" s="268"/>
      <c r="HNP548" s="268"/>
      <c r="HNQ548" s="268"/>
      <c r="HNR548" s="268"/>
      <c r="HNS548" s="268"/>
      <c r="HNT548" s="268"/>
      <c r="HNU548" s="268"/>
      <c r="HNV548" s="268"/>
      <c r="HNW548" s="268"/>
      <c r="HNX548" s="268"/>
      <c r="HNY548" s="268"/>
      <c r="HNZ548" s="268"/>
      <c r="HOA548" s="268"/>
      <c r="HOB548" s="268"/>
      <c r="HOC548" s="268"/>
      <c r="HOD548" s="268"/>
      <c r="HOE548" s="268"/>
      <c r="HOF548" s="268"/>
      <c r="HOG548" s="268"/>
      <c r="HOH548" s="268"/>
      <c r="HOI548" s="268"/>
      <c r="HOJ548" s="268"/>
      <c r="HOK548" s="268"/>
      <c r="HOL548" s="268"/>
      <c r="HOM548" s="268"/>
      <c r="HON548" s="268"/>
      <c r="HOO548" s="268"/>
      <c r="HOP548" s="268"/>
      <c r="HOQ548" s="268"/>
      <c r="HOR548" s="268"/>
      <c r="HOS548" s="268"/>
      <c r="HOT548" s="268"/>
      <c r="HOU548" s="268"/>
      <c r="HOV548" s="268"/>
      <c r="HOW548" s="268"/>
      <c r="HOX548" s="268"/>
      <c r="HOY548" s="268"/>
      <c r="HOZ548" s="268"/>
      <c r="HPA548" s="268"/>
      <c r="HPB548" s="268"/>
      <c r="HPC548" s="268"/>
      <c r="HPD548" s="268"/>
      <c r="HPE548" s="268"/>
      <c r="HPF548" s="268"/>
      <c r="HPG548" s="268"/>
      <c r="HPH548" s="268"/>
      <c r="HPI548" s="268"/>
      <c r="HPJ548" s="268"/>
      <c r="HPK548" s="268"/>
      <c r="HPL548" s="268"/>
      <c r="HPM548" s="268"/>
      <c r="HPN548" s="268"/>
      <c r="HPO548" s="268"/>
      <c r="HPP548" s="268"/>
      <c r="HPQ548" s="268"/>
      <c r="HPR548" s="268"/>
      <c r="HPS548" s="268"/>
      <c r="HPT548" s="268"/>
      <c r="HPU548" s="268"/>
      <c r="HPV548" s="268"/>
      <c r="HPW548" s="268"/>
      <c r="HPX548" s="268"/>
      <c r="HPY548" s="268"/>
      <c r="HPZ548" s="268"/>
      <c r="HQA548" s="268"/>
      <c r="HQB548" s="268"/>
      <c r="HQC548" s="268"/>
      <c r="HQD548" s="268"/>
      <c r="HQE548" s="268"/>
      <c r="HQF548" s="268"/>
      <c r="HQG548" s="268"/>
      <c r="HQH548" s="268"/>
      <c r="HQI548" s="268"/>
      <c r="HQJ548" s="268"/>
      <c r="HQK548" s="268"/>
      <c r="HQL548" s="268"/>
      <c r="HQM548" s="268"/>
      <c r="HQN548" s="268"/>
      <c r="HQO548" s="268"/>
      <c r="HQP548" s="268"/>
      <c r="HQQ548" s="268"/>
      <c r="HQR548" s="268"/>
      <c r="HQS548" s="268"/>
      <c r="HQT548" s="268"/>
      <c r="HQU548" s="268"/>
      <c r="HQV548" s="268"/>
      <c r="HQW548" s="268"/>
      <c r="HQX548" s="268"/>
      <c r="HQY548" s="268"/>
      <c r="HQZ548" s="268"/>
      <c r="HRA548" s="268"/>
      <c r="HRB548" s="268"/>
      <c r="HRC548" s="268"/>
      <c r="HRQ548" s="268"/>
      <c r="HRR548" s="268"/>
      <c r="HRS548" s="268"/>
      <c r="HSG548" s="268"/>
      <c r="HSI548" s="268"/>
      <c r="HSJ548" s="268"/>
      <c r="HSK548" s="268"/>
      <c r="HSL548" s="268"/>
      <c r="HSM548" s="268"/>
      <c r="HSN548" s="268"/>
      <c r="HSO548" s="268"/>
      <c r="HSP548" s="268"/>
      <c r="HSQ548" s="268"/>
      <c r="HSR548" s="268"/>
      <c r="HSS548" s="268"/>
      <c r="HST548" s="268"/>
      <c r="HSU548" s="268"/>
      <c r="HSV548" s="268"/>
      <c r="HSW548" s="268"/>
      <c r="HSX548" s="268"/>
      <c r="HSY548" s="268"/>
      <c r="HSZ548" s="268"/>
      <c r="HTA548" s="268"/>
      <c r="HTB548" s="268"/>
      <c r="HTC548" s="268"/>
      <c r="HTD548" s="268"/>
      <c r="HTE548" s="268"/>
      <c r="HTF548" s="268"/>
      <c r="HTG548" s="268"/>
      <c r="HTH548" s="268"/>
      <c r="HTI548" s="268"/>
      <c r="HTJ548" s="268"/>
      <c r="HTK548" s="268"/>
      <c r="HTL548" s="268"/>
      <c r="HTM548" s="268"/>
      <c r="HTN548" s="268"/>
      <c r="HTO548" s="268"/>
      <c r="HTP548" s="268"/>
      <c r="HTQ548" s="268"/>
      <c r="HTR548" s="268"/>
      <c r="HTS548" s="268"/>
      <c r="HTT548" s="268"/>
      <c r="HTU548" s="268"/>
      <c r="HTV548" s="268"/>
      <c r="HTW548" s="268"/>
      <c r="HTX548" s="268"/>
      <c r="HTY548" s="268"/>
      <c r="HTZ548" s="268"/>
      <c r="HUA548" s="268"/>
      <c r="HUB548" s="268"/>
      <c r="HUC548" s="268"/>
      <c r="HUD548" s="268"/>
      <c r="HUE548" s="268"/>
      <c r="HUF548" s="268"/>
      <c r="HUG548" s="268"/>
      <c r="HUH548" s="268"/>
      <c r="HUI548" s="268"/>
      <c r="HUJ548" s="268"/>
      <c r="HUK548" s="268"/>
      <c r="HUL548" s="268"/>
      <c r="HUM548" s="268"/>
      <c r="HUN548" s="268"/>
      <c r="HUO548" s="268"/>
      <c r="HUP548" s="268"/>
      <c r="HUQ548" s="268"/>
      <c r="HUR548" s="268"/>
      <c r="HUS548" s="268"/>
      <c r="HUT548" s="268"/>
      <c r="HUU548" s="268"/>
      <c r="HUV548" s="268"/>
      <c r="HUW548" s="268"/>
      <c r="HUX548" s="268"/>
      <c r="HUY548" s="268"/>
      <c r="HUZ548" s="268"/>
      <c r="HVA548" s="268"/>
      <c r="HVB548" s="268"/>
      <c r="HVC548" s="268"/>
      <c r="HVD548" s="268"/>
      <c r="HVE548" s="268"/>
      <c r="HVF548" s="268"/>
      <c r="HVG548" s="268"/>
      <c r="HVH548" s="268"/>
      <c r="HVI548" s="268"/>
      <c r="HVJ548" s="268"/>
      <c r="HVK548" s="268"/>
      <c r="HVL548" s="268"/>
      <c r="HVM548" s="268"/>
      <c r="HVN548" s="268"/>
      <c r="HVO548" s="268"/>
      <c r="HVP548" s="268"/>
      <c r="HVQ548" s="268"/>
      <c r="HVR548" s="268"/>
      <c r="HVS548" s="268"/>
      <c r="HVT548" s="268"/>
      <c r="HVU548" s="268"/>
      <c r="HVV548" s="268"/>
      <c r="HVW548" s="268"/>
      <c r="HVX548" s="268"/>
      <c r="HVY548" s="268"/>
      <c r="HVZ548" s="268"/>
      <c r="HWA548" s="268"/>
      <c r="HWB548" s="268"/>
      <c r="HWC548" s="268"/>
      <c r="HWD548" s="268"/>
      <c r="HWE548" s="268"/>
      <c r="HWF548" s="268"/>
      <c r="HWG548" s="268"/>
      <c r="HWH548" s="268"/>
      <c r="HWI548" s="268"/>
      <c r="HWJ548" s="268"/>
      <c r="HWK548" s="268"/>
      <c r="HWL548" s="268"/>
      <c r="HWM548" s="268"/>
      <c r="HWN548" s="268"/>
      <c r="HWO548" s="268"/>
      <c r="HWP548" s="268"/>
      <c r="HWQ548" s="268"/>
      <c r="HWR548" s="268"/>
      <c r="HWS548" s="268"/>
      <c r="HWT548" s="268"/>
      <c r="HWU548" s="268"/>
      <c r="HWV548" s="268"/>
      <c r="HWW548" s="268"/>
      <c r="HWX548" s="268"/>
      <c r="HWY548" s="268"/>
      <c r="HWZ548" s="268"/>
      <c r="HXA548" s="268"/>
      <c r="HXB548" s="268"/>
      <c r="HXC548" s="268"/>
      <c r="HXD548" s="268"/>
      <c r="HXE548" s="268"/>
      <c r="HXF548" s="268"/>
      <c r="HXG548" s="268"/>
      <c r="HXH548" s="268"/>
      <c r="HXI548" s="268"/>
      <c r="HXJ548" s="268"/>
      <c r="HXK548" s="268"/>
      <c r="HXL548" s="268"/>
      <c r="HXM548" s="268"/>
      <c r="HXN548" s="268"/>
      <c r="HXO548" s="268"/>
      <c r="HXP548" s="268"/>
      <c r="HXQ548" s="268"/>
      <c r="HXR548" s="268"/>
      <c r="HXS548" s="268"/>
      <c r="HXT548" s="268"/>
      <c r="HXU548" s="268"/>
      <c r="HXV548" s="268"/>
      <c r="HXW548" s="268"/>
      <c r="HXX548" s="268"/>
      <c r="HXY548" s="268"/>
      <c r="HXZ548" s="268"/>
      <c r="HYA548" s="268"/>
      <c r="HYB548" s="268"/>
      <c r="HYC548" s="268"/>
      <c r="HYD548" s="268"/>
      <c r="HYE548" s="268"/>
      <c r="HYF548" s="268"/>
      <c r="HYG548" s="268"/>
      <c r="HYH548" s="268"/>
      <c r="HYI548" s="268"/>
      <c r="HYJ548" s="268"/>
      <c r="HYK548" s="268"/>
      <c r="HYL548" s="268"/>
      <c r="HYM548" s="268"/>
      <c r="HYN548" s="268"/>
      <c r="HYO548" s="268"/>
      <c r="HYP548" s="268"/>
      <c r="HYQ548" s="268"/>
      <c r="HYR548" s="268"/>
      <c r="HYS548" s="268"/>
      <c r="HYT548" s="268"/>
      <c r="HYU548" s="268"/>
      <c r="HYV548" s="268"/>
      <c r="HYW548" s="268"/>
      <c r="HYX548" s="268"/>
      <c r="HYY548" s="268"/>
      <c r="HYZ548" s="268"/>
      <c r="HZA548" s="268"/>
      <c r="HZB548" s="268"/>
      <c r="HZC548" s="268"/>
      <c r="HZD548" s="268"/>
      <c r="HZE548" s="268"/>
      <c r="HZF548" s="268"/>
      <c r="HZG548" s="268"/>
      <c r="HZH548" s="268"/>
      <c r="HZI548" s="268"/>
      <c r="HZJ548" s="268"/>
      <c r="HZK548" s="268"/>
      <c r="HZL548" s="268"/>
      <c r="HZM548" s="268"/>
      <c r="HZN548" s="268"/>
      <c r="HZO548" s="268"/>
      <c r="HZP548" s="268"/>
      <c r="HZQ548" s="268"/>
      <c r="HZR548" s="268"/>
      <c r="HZS548" s="268"/>
      <c r="HZT548" s="268"/>
      <c r="HZU548" s="268"/>
      <c r="HZV548" s="268"/>
      <c r="HZW548" s="268"/>
      <c r="HZX548" s="268"/>
      <c r="HZY548" s="268"/>
      <c r="HZZ548" s="268"/>
      <c r="IAA548" s="268"/>
      <c r="IAB548" s="268"/>
      <c r="IAC548" s="268"/>
      <c r="IAD548" s="268"/>
      <c r="IAE548" s="268"/>
      <c r="IAF548" s="268"/>
      <c r="IAG548" s="268"/>
      <c r="IAH548" s="268"/>
      <c r="IAI548" s="268"/>
      <c r="IAJ548" s="268"/>
      <c r="IAK548" s="268"/>
      <c r="IAL548" s="268"/>
      <c r="IAM548" s="268"/>
      <c r="IAN548" s="268"/>
      <c r="IAO548" s="268"/>
      <c r="IAP548" s="268"/>
      <c r="IAQ548" s="268"/>
      <c r="IAR548" s="268"/>
      <c r="IAS548" s="268"/>
      <c r="IAT548" s="268"/>
      <c r="IAU548" s="268"/>
      <c r="IAV548" s="268"/>
      <c r="IAW548" s="268"/>
      <c r="IAX548" s="268"/>
      <c r="IAY548" s="268"/>
      <c r="IBM548" s="268"/>
      <c r="IBN548" s="268"/>
      <c r="IBO548" s="268"/>
      <c r="ICC548" s="268"/>
      <c r="ICE548" s="268"/>
      <c r="ICF548" s="268"/>
      <c r="ICG548" s="268"/>
      <c r="ICH548" s="268"/>
      <c r="ICI548" s="268"/>
      <c r="ICJ548" s="268"/>
      <c r="ICK548" s="268"/>
      <c r="ICL548" s="268"/>
      <c r="ICM548" s="268"/>
      <c r="ICN548" s="268"/>
      <c r="ICO548" s="268"/>
      <c r="ICP548" s="268"/>
      <c r="ICQ548" s="268"/>
      <c r="ICR548" s="268"/>
      <c r="ICS548" s="268"/>
      <c r="ICT548" s="268"/>
      <c r="ICU548" s="268"/>
      <c r="ICV548" s="268"/>
      <c r="ICW548" s="268"/>
      <c r="ICX548" s="268"/>
      <c r="ICY548" s="268"/>
      <c r="ICZ548" s="268"/>
      <c r="IDA548" s="268"/>
      <c r="IDB548" s="268"/>
      <c r="IDC548" s="268"/>
      <c r="IDD548" s="268"/>
      <c r="IDE548" s="268"/>
      <c r="IDF548" s="268"/>
      <c r="IDG548" s="268"/>
      <c r="IDH548" s="268"/>
      <c r="IDI548" s="268"/>
      <c r="IDJ548" s="268"/>
      <c r="IDK548" s="268"/>
      <c r="IDL548" s="268"/>
      <c r="IDM548" s="268"/>
      <c r="IDN548" s="268"/>
      <c r="IDO548" s="268"/>
      <c r="IDP548" s="268"/>
      <c r="IDQ548" s="268"/>
      <c r="IDR548" s="268"/>
      <c r="IDS548" s="268"/>
      <c r="IDT548" s="268"/>
      <c r="IDU548" s="268"/>
      <c r="IDV548" s="268"/>
      <c r="IDW548" s="268"/>
      <c r="IDX548" s="268"/>
      <c r="IDY548" s="268"/>
      <c r="IDZ548" s="268"/>
      <c r="IEA548" s="268"/>
      <c r="IEB548" s="268"/>
      <c r="IEC548" s="268"/>
      <c r="IED548" s="268"/>
      <c r="IEE548" s="268"/>
      <c r="IEF548" s="268"/>
      <c r="IEG548" s="268"/>
      <c r="IEH548" s="268"/>
      <c r="IEI548" s="268"/>
      <c r="IEJ548" s="268"/>
      <c r="IEK548" s="268"/>
      <c r="IEL548" s="268"/>
      <c r="IEM548" s="268"/>
      <c r="IEN548" s="268"/>
      <c r="IEO548" s="268"/>
      <c r="IEP548" s="268"/>
      <c r="IEQ548" s="268"/>
      <c r="IER548" s="268"/>
      <c r="IES548" s="268"/>
      <c r="IET548" s="268"/>
      <c r="IEU548" s="268"/>
      <c r="IEV548" s="268"/>
      <c r="IEW548" s="268"/>
      <c r="IEX548" s="268"/>
      <c r="IEY548" s="268"/>
      <c r="IEZ548" s="268"/>
      <c r="IFA548" s="268"/>
      <c r="IFB548" s="268"/>
      <c r="IFC548" s="268"/>
      <c r="IFD548" s="268"/>
      <c r="IFE548" s="268"/>
      <c r="IFF548" s="268"/>
      <c r="IFG548" s="268"/>
      <c r="IFH548" s="268"/>
      <c r="IFI548" s="268"/>
      <c r="IFJ548" s="268"/>
      <c r="IFK548" s="268"/>
      <c r="IFL548" s="268"/>
      <c r="IFM548" s="268"/>
      <c r="IFN548" s="268"/>
      <c r="IFO548" s="268"/>
      <c r="IFP548" s="268"/>
      <c r="IFQ548" s="268"/>
      <c r="IFR548" s="268"/>
      <c r="IFS548" s="268"/>
      <c r="IFT548" s="268"/>
      <c r="IFU548" s="268"/>
      <c r="IFV548" s="268"/>
      <c r="IFW548" s="268"/>
      <c r="IFX548" s="268"/>
      <c r="IFY548" s="268"/>
      <c r="IFZ548" s="268"/>
      <c r="IGA548" s="268"/>
      <c r="IGB548" s="268"/>
      <c r="IGC548" s="268"/>
      <c r="IGD548" s="268"/>
      <c r="IGE548" s="268"/>
      <c r="IGF548" s="268"/>
      <c r="IGG548" s="268"/>
      <c r="IGH548" s="268"/>
      <c r="IGI548" s="268"/>
      <c r="IGJ548" s="268"/>
      <c r="IGK548" s="268"/>
      <c r="IGL548" s="268"/>
      <c r="IGM548" s="268"/>
      <c r="IGN548" s="268"/>
      <c r="IGO548" s="268"/>
      <c r="IGP548" s="268"/>
      <c r="IGQ548" s="268"/>
      <c r="IGR548" s="268"/>
      <c r="IGS548" s="268"/>
      <c r="IGT548" s="268"/>
      <c r="IGU548" s="268"/>
      <c r="IGV548" s="268"/>
      <c r="IGW548" s="268"/>
      <c r="IGX548" s="268"/>
      <c r="IGY548" s="268"/>
      <c r="IGZ548" s="268"/>
      <c r="IHA548" s="268"/>
      <c r="IHB548" s="268"/>
      <c r="IHC548" s="268"/>
      <c r="IHD548" s="268"/>
      <c r="IHE548" s="268"/>
      <c r="IHF548" s="268"/>
      <c r="IHG548" s="268"/>
      <c r="IHH548" s="268"/>
      <c r="IHI548" s="268"/>
      <c r="IHJ548" s="268"/>
      <c r="IHK548" s="268"/>
      <c r="IHL548" s="268"/>
      <c r="IHM548" s="268"/>
      <c r="IHN548" s="268"/>
      <c r="IHO548" s="268"/>
      <c r="IHP548" s="268"/>
      <c r="IHQ548" s="268"/>
      <c r="IHR548" s="268"/>
      <c r="IHS548" s="268"/>
      <c r="IHT548" s="268"/>
      <c r="IHU548" s="268"/>
      <c r="IHV548" s="268"/>
      <c r="IHW548" s="268"/>
      <c r="IHX548" s="268"/>
      <c r="IHY548" s="268"/>
      <c r="IHZ548" s="268"/>
      <c r="IIA548" s="268"/>
      <c r="IIB548" s="268"/>
      <c r="IIC548" s="268"/>
      <c r="IID548" s="268"/>
      <c r="IIE548" s="268"/>
      <c r="IIF548" s="268"/>
      <c r="IIG548" s="268"/>
      <c r="IIH548" s="268"/>
      <c r="III548" s="268"/>
      <c r="IIJ548" s="268"/>
      <c r="IIK548" s="268"/>
      <c r="IIL548" s="268"/>
      <c r="IIM548" s="268"/>
      <c r="IIN548" s="268"/>
      <c r="IIO548" s="268"/>
      <c r="IIP548" s="268"/>
      <c r="IIQ548" s="268"/>
      <c r="IIR548" s="268"/>
      <c r="IIS548" s="268"/>
      <c r="IIT548" s="268"/>
      <c r="IIU548" s="268"/>
      <c r="IIV548" s="268"/>
      <c r="IIW548" s="268"/>
      <c r="IIX548" s="268"/>
      <c r="IIY548" s="268"/>
      <c r="IIZ548" s="268"/>
      <c r="IJA548" s="268"/>
      <c r="IJB548" s="268"/>
      <c r="IJC548" s="268"/>
      <c r="IJD548" s="268"/>
      <c r="IJE548" s="268"/>
      <c r="IJF548" s="268"/>
      <c r="IJG548" s="268"/>
      <c r="IJH548" s="268"/>
      <c r="IJI548" s="268"/>
      <c r="IJJ548" s="268"/>
      <c r="IJK548" s="268"/>
      <c r="IJL548" s="268"/>
      <c r="IJM548" s="268"/>
      <c r="IJN548" s="268"/>
      <c r="IJO548" s="268"/>
      <c r="IJP548" s="268"/>
      <c r="IJQ548" s="268"/>
      <c r="IJR548" s="268"/>
      <c r="IJS548" s="268"/>
      <c r="IJT548" s="268"/>
      <c r="IJU548" s="268"/>
      <c r="IJV548" s="268"/>
      <c r="IJW548" s="268"/>
      <c r="IJX548" s="268"/>
      <c r="IJY548" s="268"/>
      <c r="IJZ548" s="268"/>
      <c r="IKA548" s="268"/>
      <c r="IKB548" s="268"/>
      <c r="IKC548" s="268"/>
      <c r="IKD548" s="268"/>
      <c r="IKE548" s="268"/>
      <c r="IKF548" s="268"/>
      <c r="IKG548" s="268"/>
      <c r="IKH548" s="268"/>
      <c r="IKI548" s="268"/>
      <c r="IKJ548" s="268"/>
      <c r="IKK548" s="268"/>
      <c r="IKL548" s="268"/>
      <c r="IKM548" s="268"/>
      <c r="IKN548" s="268"/>
      <c r="IKO548" s="268"/>
      <c r="IKP548" s="268"/>
      <c r="IKQ548" s="268"/>
      <c r="IKR548" s="268"/>
      <c r="IKS548" s="268"/>
      <c r="IKT548" s="268"/>
      <c r="IKU548" s="268"/>
      <c r="ILI548" s="268"/>
      <c r="ILJ548" s="268"/>
      <c r="ILK548" s="268"/>
      <c r="ILY548" s="268"/>
      <c r="IMA548" s="268"/>
      <c r="IMB548" s="268"/>
      <c r="IMC548" s="268"/>
      <c r="IMD548" s="268"/>
      <c r="IME548" s="268"/>
      <c r="IMF548" s="268"/>
      <c r="IMG548" s="268"/>
      <c r="IMH548" s="268"/>
      <c r="IMI548" s="268"/>
      <c r="IMJ548" s="268"/>
      <c r="IMK548" s="268"/>
      <c r="IML548" s="268"/>
      <c r="IMM548" s="268"/>
      <c r="IMN548" s="268"/>
      <c r="IMO548" s="268"/>
      <c r="IMP548" s="268"/>
      <c r="IMQ548" s="268"/>
      <c r="IMR548" s="268"/>
      <c r="IMS548" s="268"/>
      <c r="IMT548" s="268"/>
      <c r="IMU548" s="268"/>
      <c r="IMV548" s="268"/>
      <c r="IMW548" s="268"/>
      <c r="IMX548" s="268"/>
      <c r="IMY548" s="268"/>
      <c r="IMZ548" s="268"/>
      <c r="INA548" s="268"/>
      <c r="INB548" s="268"/>
      <c r="INC548" s="268"/>
      <c r="IND548" s="268"/>
      <c r="INE548" s="268"/>
      <c r="INF548" s="268"/>
      <c r="ING548" s="268"/>
      <c r="INH548" s="268"/>
      <c r="INI548" s="268"/>
      <c r="INJ548" s="268"/>
      <c r="INK548" s="268"/>
      <c r="INL548" s="268"/>
      <c r="INM548" s="268"/>
      <c r="INN548" s="268"/>
      <c r="INO548" s="268"/>
      <c r="INP548" s="268"/>
      <c r="INQ548" s="268"/>
      <c r="INR548" s="268"/>
      <c r="INS548" s="268"/>
      <c r="INT548" s="268"/>
      <c r="INU548" s="268"/>
      <c r="INV548" s="268"/>
      <c r="INW548" s="268"/>
      <c r="INX548" s="268"/>
      <c r="INY548" s="268"/>
      <c r="INZ548" s="268"/>
      <c r="IOA548" s="268"/>
      <c r="IOB548" s="268"/>
      <c r="IOC548" s="268"/>
      <c r="IOD548" s="268"/>
      <c r="IOE548" s="268"/>
      <c r="IOF548" s="268"/>
      <c r="IOG548" s="268"/>
      <c r="IOH548" s="268"/>
      <c r="IOI548" s="268"/>
      <c r="IOJ548" s="268"/>
      <c r="IOK548" s="268"/>
      <c r="IOL548" s="268"/>
      <c r="IOM548" s="268"/>
      <c r="ION548" s="268"/>
      <c r="IOO548" s="268"/>
      <c r="IOP548" s="268"/>
      <c r="IOQ548" s="268"/>
      <c r="IOR548" s="268"/>
      <c r="IOS548" s="268"/>
      <c r="IOT548" s="268"/>
      <c r="IOU548" s="268"/>
      <c r="IOV548" s="268"/>
      <c r="IOW548" s="268"/>
      <c r="IOX548" s="268"/>
      <c r="IOY548" s="268"/>
      <c r="IOZ548" s="268"/>
      <c r="IPA548" s="268"/>
      <c r="IPB548" s="268"/>
      <c r="IPC548" s="268"/>
      <c r="IPD548" s="268"/>
      <c r="IPE548" s="268"/>
      <c r="IPF548" s="268"/>
      <c r="IPG548" s="268"/>
      <c r="IPH548" s="268"/>
      <c r="IPI548" s="268"/>
      <c r="IPJ548" s="268"/>
      <c r="IPK548" s="268"/>
      <c r="IPL548" s="268"/>
      <c r="IPM548" s="268"/>
      <c r="IPN548" s="268"/>
      <c r="IPO548" s="268"/>
      <c r="IPP548" s="268"/>
      <c r="IPQ548" s="268"/>
      <c r="IPR548" s="268"/>
      <c r="IPS548" s="268"/>
      <c r="IPT548" s="268"/>
      <c r="IPU548" s="268"/>
      <c r="IPV548" s="268"/>
      <c r="IPW548" s="268"/>
      <c r="IPX548" s="268"/>
      <c r="IPY548" s="268"/>
      <c r="IPZ548" s="268"/>
      <c r="IQA548" s="268"/>
      <c r="IQB548" s="268"/>
      <c r="IQC548" s="268"/>
      <c r="IQD548" s="268"/>
      <c r="IQE548" s="268"/>
      <c r="IQF548" s="268"/>
      <c r="IQG548" s="268"/>
      <c r="IQH548" s="268"/>
      <c r="IQI548" s="268"/>
      <c r="IQJ548" s="268"/>
      <c r="IQK548" s="268"/>
      <c r="IQL548" s="268"/>
      <c r="IQM548" s="268"/>
      <c r="IQN548" s="268"/>
      <c r="IQO548" s="268"/>
      <c r="IQP548" s="268"/>
      <c r="IQQ548" s="268"/>
      <c r="IQR548" s="268"/>
      <c r="IQS548" s="268"/>
      <c r="IQT548" s="268"/>
      <c r="IQU548" s="268"/>
      <c r="IQV548" s="268"/>
      <c r="IQW548" s="268"/>
      <c r="IQX548" s="268"/>
      <c r="IQY548" s="268"/>
      <c r="IQZ548" s="268"/>
      <c r="IRA548" s="268"/>
      <c r="IRB548" s="268"/>
      <c r="IRC548" s="268"/>
      <c r="IRD548" s="268"/>
      <c r="IRE548" s="268"/>
      <c r="IRF548" s="268"/>
      <c r="IRG548" s="268"/>
      <c r="IRH548" s="268"/>
      <c r="IRI548" s="268"/>
      <c r="IRJ548" s="268"/>
      <c r="IRK548" s="268"/>
      <c r="IRL548" s="268"/>
      <c r="IRM548" s="268"/>
      <c r="IRN548" s="268"/>
      <c r="IRO548" s="268"/>
      <c r="IRP548" s="268"/>
      <c r="IRQ548" s="268"/>
      <c r="IRR548" s="268"/>
      <c r="IRS548" s="268"/>
      <c r="IRT548" s="268"/>
      <c r="IRU548" s="268"/>
      <c r="IRV548" s="268"/>
      <c r="IRW548" s="268"/>
      <c r="IRX548" s="268"/>
      <c r="IRY548" s="268"/>
      <c r="IRZ548" s="268"/>
      <c r="ISA548" s="268"/>
      <c r="ISB548" s="268"/>
      <c r="ISC548" s="268"/>
      <c r="ISD548" s="268"/>
      <c r="ISE548" s="268"/>
      <c r="ISF548" s="268"/>
      <c r="ISG548" s="268"/>
      <c r="ISH548" s="268"/>
      <c r="ISI548" s="268"/>
      <c r="ISJ548" s="268"/>
      <c r="ISK548" s="268"/>
      <c r="ISL548" s="268"/>
      <c r="ISM548" s="268"/>
      <c r="ISN548" s="268"/>
      <c r="ISO548" s="268"/>
      <c r="ISP548" s="268"/>
      <c r="ISQ548" s="268"/>
      <c r="ISR548" s="268"/>
      <c r="ISS548" s="268"/>
      <c r="IST548" s="268"/>
      <c r="ISU548" s="268"/>
      <c r="ISV548" s="268"/>
      <c r="ISW548" s="268"/>
      <c r="ISX548" s="268"/>
      <c r="ISY548" s="268"/>
      <c r="ISZ548" s="268"/>
      <c r="ITA548" s="268"/>
      <c r="ITB548" s="268"/>
      <c r="ITC548" s="268"/>
      <c r="ITD548" s="268"/>
      <c r="ITE548" s="268"/>
      <c r="ITF548" s="268"/>
      <c r="ITG548" s="268"/>
      <c r="ITH548" s="268"/>
      <c r="ITI548" s="268"/>
      <c r="ITJ548" s="268"/>
      <c r="ITK548" s="268"/>
      <c r="ITL548" s="268"/>
      <c r="ITM548" s="268"/>
      <c r="ITN548" s="268"/>
      <c r="ITO548" s="268"/>
      <c r="ITP548" s="268"/>
      <c r="ITQ548" s="268"/>
      <c r="ITR548" s="268"/>
      <c r="ITS548" s="268"/>
      <c r="ITT548" s="268"/>
      <c r="ITU548" s="268"/>
      <c r="ITV548" s="268"/>
      <c r="ITW548" s="268"/>
      <c r="ITX548" s="268"/>
      <c r="ITY548" s="268"/>
      <c r="ITZ548" s="268"/>
      <c r="IUA548" s="268"/>
      <c r="IUB548" s="268"/>
      <c r="IUC548" s="268"/>
      <c r="IUD548" s="268"/>
      <c r="IUE548" s="268"/>
      <c r="IUF548" s="268"/>
      <c r="IUG548" s="268"/>
      <c r="IUH548" s="268"/>
      <c r="IUI548" s="268"/>
      <c r="IUJ548" s="268"/>
      <c r="IUK548" s="268"/>
      <c r="IUL548" s="268"/>
      <c r="IUM548" s="268"/>
      <c r="IUN548" s="268"/>
      <c r="IUO548" s="268"/>
      <c r="IUP548" s="268"/>
      <c r="IUQ548" s="268"/>
      <c r="IVE548" s="268"/>
      <c r="IVF548" s="268"/>
      <c r="IVG548" s="268"/>
      <c r="IVU548" s="268"/>
      <c r="IVW548" s="268"/>
      <c r="IVX548" s="268"/>
      <c r="IVY548" s="268"/>
      <c r="IVZ548" s="268"/>
      <c r="IWA548" s="268"/>
      <c r="IWB548" s="268"/>
      <c r="IWC548" s="268"/>
      <c r="IWD548" s="268"/>
      <c r="IWE548" s="268"/>
      <c r="IWF548" s="268"/>
      <c r="IWG548" s="268"/>
      <c r="IWH548" s="268"/>
      <c r="IWI548" s="268"/>
      <c r="IWJ548" s="268"/>
      <c r="IWK548" s="268"/>
      <c r="IWL548" s="268"/>
      <c r="IWM548" s="268"/>
      <c r="IWN548" s="268"/>
      <c r="IWO548" s="268"/>
      <c r="IWP548" s="268"/>
      <c r="IWQ548" s="268"/>
      <c r="IWR548" s="268"/>
      <c r="IWS548" s="268"/>
      <c r="IWT548" s="268"/>
      <c r="IWU548" s="268"/>
      <c r="IWV548" s="268"/>
      <c r="IWW548" s="268"/>
      <c r="IWX548" s="268"/>
      <c r="IWY548" s="268"/>
      <c r="IWZ548" s="268"/>
      <c r="IXA548" s="268"/>
      <c r="IXB548" s="268"/>
      <c r="IXC548" s="268"/>
      <c r="IXD548" s="268"/>
      <c r="IXE548" s="268"/>
      <c r="IXF548" s="268"/>
      <c r="IXG548" s="268"/>
      <c r="IXH548" s="268"/>
      <c r="IXI548" s="268"/>
      <c r="IXJ548" s="268"/>
      <c r="IXK548" s="268"/>
      <c r="IXL548" s="268"/>
      <c r="IXM548" s="268"/>
      <c r="IXN548" s="268"/>
      <c r="IXO548" s="268"/>
      <c r="IXP548" s="268"/>
      <c r="IXQ548" s="268"/>
      <c r="IXR548" s="268"/>
      <c r="IXS548" s="268"/>
      <c r="IXT548" s="268"/>
      <c r="IXU548" s="268"/>
      <c r="IXV548" s="268"/>
      <c r="IXW548" s="268"/>
      <c r="IXX548" s="268"/>
      <c r="IXY548" s="268"/>
      <c r="IXZ548" s="268"/>
      <c r="IYA548" s="268"/>
      <c r="IYB548" s="268"/>
      <c r="IYC548" s="268"/>
      <c r="IYD548" s="268"/>
      <c r="IYE548" s="268"/>
      <c r="IYF548" s="268"/>
      <c r="IYG548" s="268"/>
      <c r="IYH548" s="268"/>
      <c r="IYI548" s="268"/>
      <c r="IYJ548" s="268"/>
      <c r="IYK548" s="268"/>
      <c r="IYL548" s="268"/>
      <c r="IYM548" s="268"/>
      <c r="IYN548" s="268"/>
      <c r="IYO548" s="268"/>
      <c r="IYP548" s="268"/>
      <c r="IYQ548" s="268"/>
      <c r="IYR548" s="268"/>
      <c r="IYS548" s="268"/>
      <c r="IYT548" s="268"/>
      <c r="IYU548" s="268"/>
      <c r="IYV548" s="268"/>
      <c r="IYW548" s="268"/>
      <c r="IYX548" s="268"/>
      <c r="IYY548" s="268"/>
      <c r="IYZ548" s="268"/>
      <c r="IZA548" s="268"/>
      <c r="IZB548" s="268"/>
      <c r="IZC548" s="268"/>
      <c r="IZD548" s="268"/>
      <c r="IZE548" s="268"/>
      <c r="IZF548" s="268"/>
      <c r="IZG548" s="268"/>
      <c r="IZH548" s="268"/>
      <c r="IZI548" s="268"/>
      <c r="IZJ548" s="268"/>
      <c r="IZK548" s="268"/>
      <c r="IZL548" s="268"/>
      <c r="IZM548" s="268"/>
      <c r="IZN548" s="268"/>
      <c r="IZO548" s="268"/>
      <c r="IZP548" s="268"/>
      <c r="IZQ548" s="268"/>
      <c r="IZR548" s="268"/>
      <c r="IZS548" s="268"/>
      <c r="IZT548" s="268"/>
      <c r="IZU548" s="268"/>
      <c r="IZV548" s="268"/>
      <c r="IZW548" s="268"/>
      <c r="IZX548" s="268"/>
      <c r="IZY548" s="268"/>
      <c r="IZZ548" s="268"/>
      <c r="JAA548" s="268"/>
      <c r="JAB548" s="268"/>
      <c r="JAC548" s="268"/>
      <c r="JAD548" s="268"/>
      <c r="JAE548" s="268"/>
      <c r="JAF548" s="268"/>
      <c r="JAG548" s="268"/>
      <c r="JAH548" s="268"/>
      <c r="JAI548" s="268"/>
      <c r="JAJ548" s="268"/>
      <c r="JAK548" s="268"/>
      <c r="JAL548" s="268"/>
      <c r="JAM548" s="268"/>
      <c r="JAN548" s="268"/>
      <c r="JAO548" s="268"/>
      <c r="JAP548" s="268"/>
      <c r="JAQ548" s="268"/>
      <c r="JAR548" s="268"/>
      <c r="JAS548" s="268"/>
      <c r="JAT548" s="268"/>
      <c r="JAU548" s="268"/>
      <c r="JAV548" s="268"/>
      <c r="JAW548" s="268"/>
      <c r="JAX548" s="268"/>
      <c r="JAY548" s="268"/>
      <c r="JAZ548" s="268"/>
      <c r="JBA548" s="268"/>
      <c r="JBB548" s="268"/>
      <c r="JBC548" s="268"/>
      <c r="JBD548" s="268"/>
      <c r="JBE548" s="268"/>
      <c r="JBF548" s="268"/>
      <c r="JBG548" s="268"/>
      <c r="JBH548" s="268"/>
      <c r="JBI548" s="268"/>
      <c r="JBJ548" s="268"/>
      <c r="JBK548" s="268"/>
      <c r="JBL548" s="268"/>
      <c r="JBM548" s="268"/>
      <c r="JBN548" s="268"/>
      <c r="JBO548" s="268"/>
      <c r="JBP548" s="268"/>
      <c r="JBQ548" s="268"/>
      <c r="JBR548" s="268"/>
      <c r="JBS548" s="268"/>
      <c r="JBT548" s="268"/>
      <c r="JBU548" s="268"/>
      <c r="JBV548" s="268"/>
      <c r="JBW548" s="268"/>
      <c r="JBX548" s="268"/>
      <c r="JBY548" s="268"/>
      <c r="JBZ548" s="268"/>
      <c r="JCA548" s="268"/>
      <c r="JCB548" s="268"/>
      <c r="JCC548" s="268"/>
      <c r="JCD548" s="268"/>
      <c r="JCE548" s="268"/>
      <c r="JCF548" s="268"/>
      <c r="JCG548" s="268"/>
      <c r="JCH548" s="268"/>
      <c r="JCI548" s="268"/>
      <c r="JCJ548" s="268"/>
      <c r="JCK548" s="268"/>
      <c r="JCL548" s="268"/>
      <c r="JCM548" s="268"/>
      <c r="JCN548" s="268"/>
      <c r="JCO548" s="268"/>
      <c r="JCP548" s="268"/>
      <c r="JCQ548" s="268"/>
      <c r="JCR548" s="268"/>
      <c r="JCS548" s="268"/>
      <c r="JCT548" s="268"/>
      <c r="JCU548" s="268"/>
      <c r="JCV548" s="268"/>
      <c r="JCW548" s="268"/>
      <c r="JCX548" s="268"/>
      <c r="JCY548" s="268"/>
      <c r="JCZ548" s="268"/>
      <c r="JDA548" s="268"/>
      <c r="JDB548" s="268"/>
      <c r="JDC548" s="268"/>
      <c r="JDD548" s="268"/>
      <c r="JDE548" s="268"/>
      <c r="JDF548" s="268"/>
      <c r="JDG548" s="268"/>
      <c r="JDH548" s="268"/>
      <c r="JDI548" s="268"/>
      <c r="JDJ548" s="268"/>
      <c r="JDK548" s="268"/>
      <c r="JDL548" s="268"/>
      <c r="JDM548" s="268"/>
      <c r="JDN548" s="268"/>
      <c r="JDO548" s="268"/>
      <c r="JDP548" s="268"/>
      <c r="JDQ548" s="268"/>
      <c r="JDR548" s="268"/>
      <c r="JDS548" s="268"/>
      <c r="JDT548" s="268"/>
      <c r="JDU548" s="268"/>
      <c r="JDV548" s="268"/>
      <c r="JDW548" s="268"/>
      <c r="JDX548" s="268"/>
      <c r="JDY548" s="268"/>
      <c r="JDZ548" s="268"/>
      <c r="JEA548" s="268"/>
      <c r="JEB548" s="268"/>
      <c r="JEC548" s="268"/>
      <c r="JED548" s="268"/>
      <c r="JEE548" s="268"/>
      <c r="JEF548" s="268"/>
      <c r="JEG548" s="268"/>
      <c r="JEH548" s="268"/>
      <c r="JEI548" s="268"/>
      <c r="JEJ548" s="268"/>
      <c r="JEK548" s="268"/>
      <c r="JEL548" s="268"/>
      <c r="JEM548" s="268"/>
      <c r="JFA548" s="268"/>
      <c r="JFB548" s="268"/>
      <c r="JFC548" s="268"/>
      <c r="JFQ548" s="268"/>
      <c r="JFS548" s="268"/>
      <c r="JFT548" s="268"/>
      <c r="JFU548" s="268"/>
      <c r="JFV548" s="268"/>
      <c r="JFW548" s="268"/>
      <c r="JFX548" s="268"/>
      <c r="JFY548" s="268"/>
      <c r="JFZ548" s="268"/>
      <c r="JGA548" s="268"/>
      <c r="JGB548" s="268"/>
      <c r="JGC548" s="268"/>
      <c r="JGD548" s="268"/>
      <c r="JGE548" s="268"/>
      <c r="JGF548" s="268"/>
      <c r="JGG548" s="268"/>
      <c r="JGH548" s="268"/>
      <c r="JGI548" s="268"/>
      <c r="JGJ548" s="268"/>
      <c r="JGK548" s="268"/>
      <c r="JGL548" s="268"/>
      <c r="JGM548" s="268"/>
      <c r="JGN548" s="268"/>
      <c r="JGO548" s="268"/>
      <c r="JGP548" s="268"/>
      <c r="JGQ548" s="268"/>
      <c r="JGR548" s="268"/>
      <c r="JGS548" s="268"/>
      <c r="JGT548" s="268"/>
      <c r="JGU548" s="268"/>
      <c r="JGV548" s="268"/>
      <c r="JGW548" s="268"/>
      <c r="JGX548" s="268"/>
      <c r="JGY548" s="268"/>
      <c r="JGZ548" s="268"/>
      <c r="JHA548" s="268"/>
      <c r="JHB548" s="268"/>
      <c r="JHC548" s="268"/>
      <c r="JHD548" s="268"/>
      <c r="JHE548" s="268"/>
      <c r="JHF548" s="268"/>
      <c r="JHG548" s="268"/>
      <c r="JHH548" s="268"/>
      <c r="JHI548" s="268"/>
      <c r="JHJ548" s="268"/>
      <c r="JHK548" s="268"/>
      <c r="JHL548" s="268"/>
      <c r="JHM548" s="268"/>
      <c r="JHN548" s="268"/>
      <c r="JHO548" s="268"/>
      <c r="JHP548" s="268"/>
      <c r="JHQ548" s="268"/>
      <c r="JHR548" s="268"/>
      <c r="JHS548" s="268"/>
      <c r="JHT548" s="268"/>
      <c r="JHU548" s="268"/>
      <c r="JHV548" s="268"/>
      <c r="JHW548" s="268"/>
      <c r="JHX548" s="268"/>
      <c r="JHY548" s="268"/>
      <c r="JHZ548" s="268"/>
      <c r="JIA548" s="268"/>
      <c r="JIB548" s="268"/>
      <c r="JIC548" s="268"/>
      <c r="JID548" s="268"/>
      <c r="JIE548" s="268"/>
      <c r="JIF548" s="268"/>
      <c r="JIG548" s="268"/>
      <c r="JIH548" s="268"/>
      <c r="JII548" s="268"/>
      <c r="JIJ548" s="268"/>
      <c r="JIK548" s="268"/>
      <c r="JIL548" s="268"/>
      <c r="JIM548" s="268"/>
      <c r="JIN548" s="268"/>
      <c r="JIO548" s="268"/>
      <c r="JIP548" s="268"/>
      <c r="JIQ548" s="268"/>
      <c r="JIR548" s="268"/>
      <c r="JIS548" s="268"/>
      <c r="JIT548" s="268"/>
      <c r="JIU548" s="268"/>
      <c r="JIV548" s="268"/>
      <c r="JIW548" s="268"/>
      <c r="JIX548" s="268"/>
      <c r="JIY548" s="268"/>
      <c r="JIZ548" s="268"/>
      <c r="JJA548" s="268"/>
      <c r="JJB548" s="268"/>
      <c r="JJC548" s="268"/>
      <c r="JJD548" s="268"/>
      <c r="JJE548" s="268"/>
      <c r="JJF548" s="268"/>
      <c r="JJG548" s="268"/>
      <c r="JJH548" s="268"/>
      <c r="JJI548" s="268"/>
      <c r="JJJ548" s="268"/>
      <c r="JJK548" s="268"/>
      <c r="JJL548" s="268"/>
      <c r="JJM548" s="268"/>
      <c r="JJN548" s="268"/>
      <c r="JJO548" s="268"/>
      <c r="JJP548" s="268"/>
      <c r="JJQ548" s="268"/>
      <c r="JJR548" s="268"/>
      <c r="JJS548" s="268"/>
      <c r="JJT548" s="268"/>
      <c r="JJU548" s="268"/>
      <c r="JJV548" s="268"/>
      <c r="JJW548" s="268"/>
      <c r="JJX548" s="268"/>
      <c r="JJY548" s="268"/>
      <c r="JJZ548" s="268"/>
      <c r="JKA548" s="268"/>
      <c r="JKB548" s="268"/>
      <c r="JKC548" s="268"/>
      <c r="JKD548" s="268"/>
      <c r="JKE548" s="268"/>
      <c r="JKF548" s="268"/>
      <c r="JKG548" s="268"/>
      <c r="JKH548" s="268"/>
      <c r="JKI548" s="268"/>
      <c r="JKJ548" s="268"/>
      <c r="JKK548" s="268"/>
      <c r="JKL548" s="268"/>
      <c r="JKM548" s="268"/>
      <c r="JKN548" s="268"/>
      <c r="JKO548" s="268"/>
      <c r="JKP548" s="268"/>
      <c r="JKQ548" s="268"/>
      <c r="JKR548" s="268"/>
      <c r="JKS548" s="268"/>
      <c r="JKT548" s="268"/>
      <c r="JKU548" s="268"/>
      <c r="JKV548" s="268"/>
      <c r="JKW548" s="268"/>
      <c r="JKX548" s="268"/>
      <c r="JKY548" s="268"/>
      <c r="JKZ548" s="268"/>
      <c r="JLA548" s="268"/>
      <c r="JLB548" s="268"/>
      <c r="JLC548" s="268"/>
      <c r="JLD548" s="268"/>
      <c r="JLE548" s="268"/>
      <c r="JLF548" s="268"/>
      <c r="JLG548" s="268"/>
      <c r="JLH548" s="268"/>
      <c r="JLI548" s="268"/>
      <c r="JLJ548" s="268"/>
      <c r="JLK548" s="268"/>
      <c r="JLL548" s="268"/>
      <c r="JLM548" s="268"/>
      <c r="JLN548" s="268"/>
      <c r="JLO548" s="268"/>
      <c r="JLP548" s="268"/>
      <c r="JLQ548" s="268"/>
      <c r="JLR548" s="268"/>
      <c r="JLS548" s="268"/>
      <c r="JLT548" s="268"/>
      <c r="JLU548" s="268"/>
      <c r="JLV548" s="268"/>
      <c r="JLW548" s="268"/>
      <c r="JLX548" s="268"/>
      <c r="JLY548" s="268"/>
      <c r="JLZ548" s="268"/>
      <c r="JMA548" s="268"/>
      <c r="JMB548" s="268"/>
      <c r="JMC548" s="268"/>
      <c r="JMD548" s="268"/>
      <c r="JME548" s="268"/>
      <c r="JMF548" s="268"/>
      <c r="JMG548" s="268"/>
      <c r="JMH548" s="268"/>
      <c r="JMI548" s="268"/>
      <c r="JMJ548" s="268"/>
      <c r="JMK548" s="268"/>
      <c r="JML548" s="268"/>
      <c r="JMM548" s="268"/>
      <c r="JMN548" s="268"/>
      <c r="JMO548" s="268"/>
      <c r="JMP548" s="268"/>
      <c r="JMQ548" s="268"/>
      <c r="JMR548" s="268"/>
      <c r="JMS548" s="268"/>
      <c r="JMT548" s="268"/>
      <c r="JMU548" s="268"/>
      <c r="JMV548" s="268"/>
      <c r="JMW548" s="268"/>
      <c r="JMX548" s="268"/>
      <c r="JMY548" s="268"/>
      <c r="JMZ548" s="268"/>
      <c r="JNA548" s="268"/>
      <c r="JNB548" s="268"/>
      <c r="JNC548" s="268"/>
      <c r="JND548" s="268"/>
      <c r="JNE548" s="268"/>
      <c r="JNF548" s="268"/>
      <c r="JNG548" s="268"/>
      <c r="JNH548" s="268"/>
      <c r="JNI548" s="268"/>
      <c r="JNJ548" s="268"/>
      <c r="JNK548" s="268"/>
      <c r="JNL548" s="268"/>
      <c r="JNM548" s="268"/>
      <c r="JNN548" s="268"/>
      <c r="JNO548" s="268"/>
      <c r="JNP548" s="268"/>
      <c r="JNQ548" s="268"/>
      <c r="JNR548" s="268"/>
      <c r="JNS548" s="268"/>
      <c r="JNT548" s="268"/>
      <c r="JNU548" s="268"/>
      <c r="JNV548" s="268"/>
      <c r="JNW548" s="268"/>
      <c r="JNX548" s="268"/>
      <c r="JNY548" s="268"/>
      <c r="JNZ548" s="268"/>
      <c r="JOA548" s="268"/>
      <c r="JOB548" s="268"/>
      <c r="JOC548" s="268"/>
      <c r="JOD548" s="268"/>
      <c r="JOE548" s="268"/>
      <c r="JOF548" s="268"/>
      <c r="JOG548" s="268"/>
      <c r="JOH548" s="268"/>
      <c r="JOI548" s="268"/>
      <c r="JOW548" s="268"/>
      <c r="JOX548" s="268"/>
      <c r="JOY548" s="268"/>
      <c r="JPM548" s="268"/>
      <c r="JPO548" s="268"/>
      <c r="JPP548" s="268"/>
      <c r="JPQ548" s="268"/>
      <c r="JPR548" s="268"/>
      <c r="JPS548" s="268"/>
      <c r="JPT548" s="268"/>
      <c r="JPU548" s="268"/>
      <c r="JPV548" s="268"/>
      <c r="JPW548" s="268"/>
      <c r="JPX548" s="268"/>
      <c r="JPY548" s="268"/>
      <c r="JPZ548" s="268"/>
      <c r="JQA548" s="268"/>
      <c r="JQB548" s="268"/>
      <c r="JQC548" s="268"/>
      <c r="JQD548" s="268"/>
      <c r="JQE548" s="268"/>
      <c r="JQF548" s="268"/>
      <c r="JQG548" s="268"/>
      <c r="JQH548" s="268"/>
      <c r="JQI548" s="268"/>
      <c r="JQJ548" s="268"/>
      <c r="JQK548" s="268"/>
      <c r="JQL548" s="268"/>
      <c r="JQM548" s="268"/>
      <c r="JQN548" s="268"/>
      <c r="JQO548" s="268"/>
      <c r="JQP548" s="268"/>
      <c r="JQQ548" s="268"/>
      <c r="JQR548" s="268"/>
      <c r="JQS548" s="268"/>
      <c r="JQT548" s="268"/>
      <c r="JQU548" s="268"/>
      <c r="JQV548" s="268"/>
      <c r="JQW548" s="268"/>
      <c r="JQX548" s="268"/>
      <c r="JQY548" s="268"/>
      <c r="JQZ548" s="268"/>
      <c r="JRA548" s="268"/>
      <c r="JRB548" s="268"/>
      <c r="JRC548" s="268"/>
      <c r="JRD548" s="268"/>
      <c r="JRE548" s="268"/>
      <c r="JRF548" s="268"/>
      <c r="JRG548" s="268"/>
      <c r="JRH548" s="268"/>
      <c r="JRI548" s="268"/>
      <c r="JRJ548" s="268"/>
      <c r="JRK548" s="268"/>
      <c r="JRL548" s="268"/>
      <c r="JRM548" s="268"/>
      <c r="JRN548" s="268"/>
      <c r="JRO548" s="268"/>
      <c r="JRP548" s="268"/>
      <c r="JRQ548" s="268"/>
      <c r="JRR548" s="268"/>
      <c r="JRS548" s="268"/>
      <c r="JRT548" s="268"/>
      <c r="JRU548" s="268"/>
      <c r="JRV548" s="268"/>
      <c r="JRW548" s="268"/>
      <c r="JRX548" s="268"/>
      <c r="JRY548" s="268"/>
      <c r="JRZ548" s="268"/>
      <c r="JSA548" s="268"/>
      <c r="JSB548" s="268"/>
      <c r="JSC548" s="268"/>
      <c r="JSD548" s="268"/>
      <c r="JSE548" s="268"/>
      <c r="JSF548" s="268"/>
      <c r="JSG548" s="268"/>
      <c r="JSH548" s="268"/>
      <c r="JSI548" s="268"/>
      <c r="JSJ548" s="268"/>
      <c r="JSK548" s="268"/>
      <c r="JSL548" s="268"/>
      <c r="JSM548" s="268"/>
      <c r="JSN548" s="268"/>
      <c r="JSO548" s="268"/>
      <c r="JSP548" s="268"/>
      <c r="JSQ548" s="268"/>
      <c r="JSR548" s="268"/>
      <c r="JSS548" s="268"/>
      <c r="JST548" s="268"/>
      <c r="JSU548" s="268"/>
      <c r="JSV548" s="268"/>
      <c r="JSW548" s="268"/>
      <c r="JSX548" s="268"/>
      <c r="JSY548" s="268"/>
      <c r="JSZ548" s="268"/>
      <c r="JTA548" s="268"/>
      <c r="JTB548" s="268"/>
      <c r="JTC548" s="268"/>
      <c r="JTD548" s="268"/>
      <c r="JTE548" s="268"/>
      <c r="JTF548" s="268"/>
      <c r="JTG548" s="268"/>
      <c r="JTH548" s="268"/>
      <c r="JTI548" s="268"/>
      <c r="JTJ548" s="268"/>
      <c r="JTK548" s="268"/>
      <c r="JTL548" s="268"/>
      <c r="JTM548" s="268"/>
      <c r="JTN548" s="268"/>
      <c r="JTO548" s="268"/>
      <c r="JTP548" s="268"/>
      <c r="JTQ548" s="268"/>
      <c r="JTR548" s="268"/>
      <c r="JTS548" s="268"/>
      <c r="JTT548" s="268"/>
      <c r="JTU548" s="268"/>
      <c r="JTV548" s="268"/>
      <c r="JTW548" s="268"/>
      <c r="JTX548" s="268"/>
      <c r="JTY548" s="268"/>
      <c r="JTZ548" s="268"/>
      <c r="JUA548" s="268"/>
      <c r="JUB548" s="268"/>
      <c r="JUC548" s="268"/>
      <c r="JUD548" s="268"/>
      <c r="JUE548" s="268"/>
      <c r="JUF548" s="268"/>
      <c r="JUG548" s="268"/>
      <c r="JUH548" s="268"/>
      <c r="JUI548" s="268"/>
      <c r="JUJ548" s="268"/>
      <c r="JUK548" s="268"/>
      <c r="JUL548" s="268"/>
      <c r="JUM548" s="268"/>
      <c r="JUN548" s="268"/>
      <c r="JUO548" s="268"/>
      <c r="JUP548" s="268"/>
      <c r="JUQ548" s="268"/>
      <c r="JUR548" s="268"/>
      <c r="JUS548" s="268"/>
      <c r="JUT548" s="268"/>
      <c r="JUU548" s="268"/>
      <c r="JUV548" s="268"/>
      <c r="JUW548" s="268"/>
      <c r="JUX548" s="268"/>
      <c r="JUY548" s="268"/>
      <c r="JUZ548" s="268"/>
      <c r="JVA548" s="268"/>
      <c r="JVB548" s="268"/>
      <c r="JVC548" s="268"/>
      <c r="JVD548" s="268"/>
      <c r="JVE548" s="268"/>
      <c r="JVF548" s="268"/>
      <c r="JVG548" s="268"/>
      <c r="JVH548" s="268"/>
      <c r="JVI548" s="268"/>
      <c r="JVJ548" s="268"/>
      <c r="JVK548" s="268"/>
      <c r="JVL548" s="268"/>
      <c r="JVM548" s="268"/>
      <c r="JVN548" s="268"/>
      <c r="JVO548" s="268"/>
      <c r="JVP548" s="268"/>
      <c r="JVQ548" s="268"/>
      <c r="JVR548" s="268"/>
      <c r="JVS548" s="268"/>
      <c r="JVT548" s="268"/>
      <c r="JVU548" s="268"/>
      <c r="JVV548" s="268"/>
      <c r="JVW548" s="268"/>
      <c r="JVX548" s="268"/>
      <c r="JVY548" s="268"/>
      <c r="JVZ548" s="268"/>
      <c r="JWA548" s="268"/>
      <c r="JWB548" s="268"/>
      <c r="JWC548" s="268"/>
      <c r="JWD548" s="268"/>
      <c r="JWE548" s="268"/>
      <c r="JWF548" s="268"/>
      <c r="JWG548" s="268"/>
      <c r="JWH548" s="268"/>
      <c r="JWI548" s="268"/>
      <c r="JWJ548" s="268"/>
      <c r="JWK548" s="268"/>
      <c r="JWL548" s="268"/>
      <c r="JWM548" s="268"/>
      <c r="JWN548" s="268"/>
      <c r="JWO548" s="268"/>
      <c r="JWP548" s="268"/>
      <c r="JWQ548" s="268"/>
      <c r="JWR548" s="268"/>
      <c r="JWS548" s="268"/>
      <c r="JWT548" s="268"/>
      <c r="JWU548" s="268"/>
      <c r="JWV548" s="268"/>
      <c r="JWW548" s="268"/>
      <c r="JWX548" s="268"/>
      <c r="JWY548" s="268"/>
      <c r="JWZ548" s="268"/>
      <c r="JXA548" s="268"/>
      <c r="JXB548" s="268"/>
      <c r="JXC548" s="268"/>
      <c r="JXD548" s="268"/>
      <c r="JXE548" s="268"/>
      <c r="JXF548" s="268"/>
      <c r="JXG548" s="268"/>
      <c r="JXH548" s="268"/>
      <c r="JXI548" s="268"/>
      <c r="JXJ548" s="268"/>
      <c r="JXK548" s="268"/>
      <c r="JXL548" s="268"/>
      <c r="JXM548" s="268"/>
      <c r="JXN548" s="268"/>
      <c r="JXO548" s="268"/>
      <c r="JXP548" s="268"/>
      <c r="JXQ548" s="268"/>
      <c r="JXR548" s="268"/>
      <c r="JXS548" s="268"/>
      <c r="JXT548" s="268"/>
      <c r="JXU548" s="268"/>
      <c r="JXV548" s="268"/>
      <c r="JXW548" s="268"/>
      <c r="JXX548" s="268"/>
      <c r="JXY548" s="268"/>
      <c r="JXZ548" s="268"/>
      <c r="JYA548" s="268"/>
      <c r="JYB548" s="268"/>
      <c r="JYC548" s="268"/>
      <c r="JYD548" s="268"/>
      <c r="JYE548" s="268"/>
      <c r="JYS548" s="268"/>
      <c r="JYT548" s="268"/>
      <c r="JYU548" s="268"/>
      <c r="JZI548" s="268"/>
      <c r="JZK548" s="268"/>
      <c r="JZL548" s="268"/>
      <c r="JZM548" s="268"/>
      <c r="JZN548" s="268"/>
      <c r="JZO548" s="268"/>
      <c r="JZP548" s="268"/>
      <c r="JZQ548" s="268"/>
      <c r="JZR548" s="268"/>
      <c r="JZS548" s="268"/>
      <c r="JZT548" s="268"/>
      <c r="JZU548" s="268"/>
      <c r="JZV548" s="268"/>
      <c r="JZW548" s="268"/>
      <c r="JZX548" s="268"/>
      <c r="JZY548" s="268"/>
      <c r="JZZ548" s="268"/>
      <c r="KAA548" s="268"/>
      <c r="KAB548" s="268"/>
      <c r="KAC548" s="268"/>
      <c r="KAD548" s="268"/>
      <c r="KAE548" s="268"/>
      <c r="KAF548" s="268"/>
      <c r="KAG548" s="268"/>
      <c r="KAH548" s="268"/>
      <c r="KAI548" s="268"/>
      <c r="KAJ548" s="268"/>
      <c r="KAK548" s="268"/>
      <c r="KAL548" s="268"/>
      <c r="KAM548" s="268"/>
      <c r="KAN548" s="268"/>
      <c r="KAO548" s="268"/>
      <c r="KAP548" s="268"/>
      <c r="KAQ548" s="268"/>
      <c r="KAR548" s="268"/>
      <c r="KAS548" s="268"/>
      <c r="KAT548" s="268"/>
      <c r="KAU548" s="268"/>
      <c r="KAV548" s="268"/>
      <c r="KAW548" s="268"/>
      <c r="KAX548" s="268"/>
      <c r="KAY548" s="268"/>
      <c r="KAZ548" s="268"/>
      <c r="KBA548" s="268"/>
      <c r="KBB548" s="268"/>
      <c r="KBC548" s="268"/>
      <c r="KBD548" s="268"/>
      <c r="KBE548" s="268"/>
      <c r="KBF548" s="268"/>
      <c r="KBG548" s="268"/>
      <c r="KBH548" s="268"/>
      <c r="KBI548" s="268"/>
      <c r="KBJ548" s="268"/>
      <c r="KBK548" s="268"/>
      <c r="KBL548" s="268"/>
      <c r="KBM548" s="268"/>
      <c r="KBN548" s="268"/>
      <c r="KBO548" s="268"/>
      <c r="KBP548" s="268"/>
      <c r="KBQ548" s="268"/>
      <c r="KBR548" s="268"/>
      <c r="KBS548" s="268"/>
      <c r="KBT548" s="268"/>
      <c r="KBU548" s="268"/>
      <c r="KBV548" s="268"/>
      <c r="KBW548" s="268"/>
      <c r="KBX548" s="268"/>
      <c r="KBY548" s="268"/>
      <c r="KBZ548" s="268"/>
      <c r="KCA548" s="268"/>
      <c r="KCB548" s="268"/>
      <c r="KCC548" s="268"/>
      <c r="KCD548" s="268"/>
      <c r="KCE548" s="268"/>
      <c r="KCF548" s="268"/>
      <c r="KCG548" s="268"/>
      <c r="KCH548" s="268"/>
      <c r="KCI548" s="268"/>
      <c r="KCJ548" s="268"/>
      <c r="KCK548" s="268"/>
      <c r="KCL548" s="268"/>
      <c r="KCM548" s="268"/>
      <c r="KCN548" s="268"/>
      <c r="KCO548" s="268"/>
      <c r="KCP548" s="268"/>
      <c r="KCQ548" s="268"/>
      <c r="KCR548" s="268"/>
      <c r="KCS548" s="268"/>
      <c r="KCT548" s="268"/>
      <c r="KCU548" s="268"/>
      <c r="KCV548" s="268"/>
      <c r="KCW548" s="268"/>
      <c r="KCX548" s="268"/>
      <c r="KCY548" s="268"/>
      <c r="KCZ548" s="268"/>
      <c r="KDA548" s="268"/>
      <c r="KDB548" s="268"/>
      <c r="KDC548" s="268"/>
      <c r="KDD548" s="268"/>
      <c r="KDE548" s="268"/>
      <c r="KDF548" s="268"/>
      <c r="KDG548" s="268"/>
      <c r="KDH548" s="268"/>
      <c r="KDI548" s="268"/>
      <c r="KDJ548" s="268"/>
      <c r="KDK548" s="268"/>
      <c r="KDL548" s="268"/>
      <c r="KDM548" s="268"/>
      <c r="KDN548" s="268"/>
      <c r="KDO548" s="268"/>
      <c r="KDP548" s="268"/>
      <c r="KDQ548" s="268"/>
      <c r="KDR548" s="268"/>
      <c r="KDS548" s="268"/>
      <c r="KDT548" s="268"/>
      <c r="KDU548" s="268"/>
      <c r="KDV548" s="268"/>
      <c r="KDW548" s="268"/>
      <c r="KDX548" s="268"/>
      <c r="KDY548" s="268"/>
      <c r="KDZ548" s="268"/>
      <c r="KEA548" s="268"/>
      <c r="KEB548" s="268"/>
      <c r="KEC548" s="268"/>
      <c r="KED548" s="268"/>
      <c r="KEE548" s="268"/>
      <c r="KEF548" s="268"/>
      <c r="KEG548" s="268"/>
      <c r="KEH548" s="268"/>
      <c r="KEI548" s="268"/>
      <c r="KEJ548" s="268"/>
      <c r="KEK548" s="268"/>
      <c r="KEL548" s="268"/>
      <c r="KEM548" s="268"/>
      <c r="KEN548" s="268"/>
      <c r="KEO548" s="268"/>
      <c r="KEP548" s="268"/>
      <c r="KEQ548" s="268"/>
      <c r="KER548" s="268"/>
      <c r="KES548" s="268"/>
      <c r="KET548" s="268"/>
      <c r="KEU548" s="268"/>
      <c r="KEV548" s="268"/>
      <c r="KEW548" s="268"/>
      <c r="KEX548" s="268"/>
      <c r="KEY548" s="268"/>
      <c r="KEZ548" s="268"/>
      <c r="KFA548" s="268"/>
      <c r="KFB548" s="268"/>
      <c r="KFC548" s="268"/>
      <c r="KFD548" s="268"/>
      <c r="KFE548" s="268"/>
      <c r="KFF548" s="268"/>
      <c r="KFG548" s="268"/>
      <c r="KFH548" s="268"/>
      <c r="KFI548" s="268"/>
      <c r="KFJ548" s="268"/>
      <c r="KFK548" s="268"/>
      <c r="KFL548" s="268"/>
      <c r="KFM548" s="268"/>
      <c r="KFN548" s="268"/>
      <c r="KFO548" s="268"/>
      <c r="KFP548" s="268"/>
      <c r="KFQ548" s="268"/>
      <c r="KFR548" s="268"/>
      <c r="KFS548" s="268"/>
      <c r="KFT548" s="268"/>
      <c r="KFU548" s="268"/>
      <c r="KFV548" s="268"/>
      <c r="KFW548" s="268"/>
      <c r="KFX548" s="268"/>
      <c r="KFY548" s="268"/>
      <c r="KFZ548" s="268"/>
      <c r="KGA548" s="268"/>
      <c r="KGB548" s="268"/>
      <c r="KGC548" s="268"/>
      <c r="KGD548" s="268"/>
      <c r="KGE548" s="268"/>
      <c r="KGF548" s="268"/>
      <c r="KGG548" s="268"/>
      <c r="KGH548" s="268"/>
      <c r="KGI548" s="268"/>
      <c r="KGJ548" s="268"/>
      <c r="KGK548" s="268"/>
      <c r="KGL548" s="268"/>
      <c r="KGM548" s="268"/>
      <c r="KGN548" s="268"/>
      <c r="KGO548" s="268"/>
      <c r="KGP548" s="268"/>
      <c r="KGQ548" s="268"/>
      <c r="KGR548" s="268"/>
      <c r="KGS548" s="268"/>
      <c r="KGT548" s="268"/>
      <c r="KGU548" s="268"/>
      <c r="KGV548" s="268"/>
      <c r="KGW548" s="268"/>
      <c r="KGX548" s="268"/>
      <c r="KGY548" s="268"/>
      <c r="KGZ548" s="268"/>
      <c r="KHA548" s="268"/>
      <c r="KHB548" s="268"/>
      <c r="KHC548" s="268"/>
      <c r="KHD548" s="268"/>
      <c r="KHE548" s="268"/>
      <c r="KHF548" s="268"/>
      <c r="KHG548" s="268"/>
      <c r="KHH548" s="268"/>
      <c r="KHI548" s="268"/>
      <c r="KHJ548" s="268"/>
      <c r="KHK548" s="268"/>
      <c r="KHL548" s="268"/>
      <c r="KHM548" s="268"/>
      <c r="KHN548" s="268"/>
      <c r="KHO548" s="268"/>
      <c r="KHP548" s="268"/>
      <c r="KHQ548" s="268"/>
      <c r="KHR548" s="268"/>
      <c r="KHS548" s="268"/>
      <c r="KHT548" s="268"/>
      <c r="KHU548" s="268"/>
      <c r="KHV548" s="268"/>
      <c r="KHW548" s="268"/>
      <c r="KHX548" s="268"/>
      <c r="KHY548" s="268"/>
      <c r="KHZ548" s="268"/>
      <c r="KIA548" s="268"/>
      <c r="KIO548" s="268"/>
      <c r="KIP548" s="268"/>
      <c r="KIQ548" s="268"/>
      <c r="KJE548" s="268"/>
      <c r="KJG548" s="268"/>
      <c r="KJH548" s="268"/>
      <c r="KJI548" s="268"/>
      <c r="KJJ548" s="268"/>
      <c r="KJK548" s="268"/>
      <c r="KJL548" s="268"/>
      <c r="KJM548" s="268"/>
      <c r="KJN548" s="268"/>
      <c r="KJO548" s="268"/>
      <c r="KJP548" s="268"/>
      <c r="KJQ548" s="268"/>
      <c r="KJR548" s="268"/>
      <c r="KJS548" s="268"/>
      <c r="KJT548" s="268"/>
      <c r="KJU548" s="268"/>
      <c r="KJV548" s="268"/>
      <c r="KJW548" s="268"/>
      <c r="KJX548" s="268"/>
      <c r="KJY548" s="268"/>
      <c r="KJZ548" s="268"/>
      <c r="KKA548" s="268"/>
      <c r="KKB548" s="268"/>
      <c r="KKC548" s="268"/>
      <c r="KKD548" s="268"/>
      <c r="KKE548" s="268"/>
      <c r="KKF548" s="268"/>
      <c r="KKG548" s="268"/>
      <c r="KKH548" s="268"/>
      <c r="KKI548" s="268"/>
      <c r="KKJ548" s="268"/>
      <c r="KKK548" s="268"/>
      <c r="KKL548" s="268"/>
      <c r="KKM548" s="268"/>
      <c r="KKN548" s="268"/>
      <c r="KKO548" s="268"/>
      <c r="KKP548" s="268"/>
      <c r="KKQ548" s="268"/>
      <c r="KKR548" s="268"/>
      <c r="KKS548" s="268"/>
      <c r="KKT548" s="268"/>
      <c r="KKU548" s="268"/>
      <c r="KKV548" s="268"/>
      <c r="KKW548" s="268"/>
      <c r="KKX548" s="268"/>
      <c r="KKY548" s="268"/>
      <c r="KKZ548" s="268"/>
      <c r="KLA548" s="268"/>
      <c r="KLB548" s="268"/>
      <c r="KLC548" s="268"/>
      <c r="KLD548" s="268"/>
      <c r="KLE548" s="268"/>
      <c r="KLF548" s="268"/>
      <c r="KLG548" s="268"/>
      <c r="KLH548" s="268"/>
      <c r="KLI548" s="268"/>
      <c r="KLJ548" s="268"/>
      <c r="KLK548" s="268"/>
      <c r="KLL548" s="268"/>
      <c r="KLM548" s="268"/>
      <c r="KLN548" s="268"/>
      <c r="KLO548" s="268"/>
      <c r="KLP548" s="268"/>
      <c r="KLQ548" s="268"/>
      <c r="KLR548" s="268"/>
      <c r="KLS548" s="268"/>
      <c r="KLT548" s="268"/>
      <c r="KLU548" s="268"/>
      <c r="KLV548" s="268"/>
      <c r="KLW548" s="268"/>
      <c r="KLX548" s="268"/>
      <c r="KLY548" s="268"/>
      <c r="KLZ548" s="268"/>
      <c r="KMA548" s="268"/>
      <c r="KMB548" s="268"/>
      <c r="KMC548" s="268"/>
      <c r="KMD548" s="268"/>
      <c r="KME548" s="268"/>
      <c r="KMF548" s="268"/>
      <c r="KMG548" s="268"/>
      <c r="KMH548" s="268"/>
      <c r="KMI548" s="268"/>
      <c r="KMJ548" s="268"/>
      <c r="KMK548" s="268"/>
      <c r="KML548" s="268"/>
      <c r="KMM548" s="268"/>
      <c r="KMN548" s="268"/>
      <c r="KMO548" s="268"/>
      <c r="KMP548" s="268"/>
      <c r="KMQ548" s="268"/>
      <c r="KMR548" s="268"/>
      <c r="KMS548" s="268"/>
      <c r="KMT548" s="268"/>
      <c r="KMU548" s="268"/>
      <c r="KMV548" s="268"/>
      <c r="KMW548" s="268"/>
      <c r="KMX548" s="268"/>
      <c r="KMY548" s="268"/>
      <c r="KMZ548" s="268"/>
      <c r="KNA548" s="268"/>
      <c r="KNB548" s="268"/>
      <c r="KNC548" s="268"/>
      <c r="KND548" s="268"/>
      <c r="KNE548" s="268"/>
      <c r="KNF548" s="268"/>
      <c r="KNG548" s="268"/>
      <c r="KNH548" s="268"/>
      <c r="KNI548" s="268"/>
      <c r="KNJ548" s="268"/>
      <c r="KNK548" s="268"/>
      <c r="KNL548" s="268"/>
      <c r="KNM548" s="268"/>
      <c r="KNN548" s="268"/>
      <c r="KNO548" s="268"/>
      <c r="KNP548" s="268"/>
      <c r="KNQ548" s="268"/>
      <c r="KNR548" s="268"/>
      <c r="KNS548" s="268"/>
      <c r="KNT548" s="268"/>
      <c r="KNU548" s="268"/>
      <c r="KNV548" s="268"/>
      <c r="KNW548" s="268"/>
      <c r="KNX548" s="268"/>
      <c r="KNY548" s="268"/>
      <c r="KNZ548" s="268"/>
      <c r="KOA548" s="268"/>
      <c r="KOB548" s="268"/>
      <c r="KOC548" s="268"/>
      <c r="KOD548" s="268"/>
      <c r="KOE548" s="268"/>
      <c r="KOF548" s="268"/>
      <c r="KOG548" s="268"/>
      <c r="KOH548" s="268"/>
      <c r="KOI548" s="268"/>
      <c r="KOJ548" s="268"/>
      <c r="KOK548" s="268"/>
      <c r="KOL548" s="268"/>
      <c r="KOM548" s="268"/>
      <c r="KON548" s="268"/>
      <c r="KOO548" s="268"/>
      <c r="KOP548" s="268"/>
      <c r="KOQ548" s="268"/>
      <c r="KOR548" s="268"/>
      <c r="KOS548" s="268"/>
      <c r="KOT548" s="268"/>
      <c r="KOU548" s="268"/>
      <c r="KOV548" s="268"/>
      <c r="KOW548" s="268"/>
      <c r="KOX548" s="268"/>
      <c r="KOY548" s="268"/>
      <c r="KOZ548" s="268"/>
      <c r="KPA548" s="268"/>
      <c r="KPB548" s="268"/>
      <c r="KPC548" s="268"/>
      <c r="KPD548" s="268"/>
      <c r="KPE548" s="268"/>
      <c r="KPF548" s="268"/>
      <c r="KPG548" s="268"/>
      <c r="KPH548" s="268"/>
      <c r="KPI548" s="268"/>
      <c r="KPJ548" s="268"/>
      <c r="KPK548" s="268"/>
      <c r="KPL548" s="268"/>
      <c r="KPM548" s="268"/>
      <c r="KPN548" s="268"/>
      <c r="KPO548" s="268"/>
      <c r="KPP548" s="268"/>
      <c r="KPQ548" s="268"/>
      <c r="KPR548" s="268"/>
      <c r="KPS548" s="268"/>
      <c r="KPT548" s="268"/>
      <c r="KPU548" s="268"/>
      <c r="KPV548" s="268"/>
      <c r="KPW548" s="268"/>
      <c r="KPX548" s="268"/>
      <c r="KPY548" s="268"/>
      <c r="KPZ548" s="268"/>
      <c r="KQA548" s="268"/>
      <c r="KQB548" s="268"/>
      <c r="KQC548" s="268"/>
      <c r="KQD548" s="268"/>
      <c r="KQE548" s="268"/>
      <c r="KQF548" s="268"/>
      <c r="KQG548" s="268"/>
      <c r="KQH548" s="268"/>
      <c r="KQI548" s="268"/>
      <c r="KQJ548" s="268"/>
      <c r="KQK548" s="268"/>
      <c r="KQL548" s="268"/>
      <c r="KQM548" s="268"/>
      <c r="KQN548" s="268"/>
      <c r="KQO548" s="268"/>
      <c r="KQP548" s="268"/>
      <c r="KQQ548" s="268"/>
      <c r="KQR548" s="268"/>
      <c r="KQS548" s="268"/>
      <c r="KQT548" s="268"/>
      <c r="KQU548" s="268"/>
      <c r="KQV548" s="268"/>
      <c r="KQW548" s="268"/>
      <c r="KQX548" s="268"/>
      <c r="KQY548" s="268"/>
      <c r="KQZ548" s="268"/>
      <c r="KRA548" s="268"/>
      <c r="KRB548" s="268"/>
      <c r="KRC548" s="268"/>
      <c r="KRD548" s="268"/>
      <c r="KRE548" s="268"/>
      <c r="KRF548" s="268"/>
      <c r="KRG548" s="268"/>
      <c r="KRH548" s="268"/>
      <c r="KRI548" s="268"/>
      <c r="KRJ548" s="268"/>
      <c r="KRK548" s="268"/>
      <c r="KRL548" s="268"/>
      <c r="KRM548" s="268"/>
      <c r="KRN548" s="268"/>
      <c r="KRO548" s="268"/>
      <c r="KRP548" s="268"/>
      <c r="KRQ548" s="268"/>
      <c r="KRR548" s="268"/>
      <c r="KRS548" s="268"/>
      <c r="KRT548" s="268"/>
      <c r="KRU548" s="268"/>
      <c r="KRV548" s="268"/>
      <c r="KRW548" s="268"/>
      <c r="KSK548" s="268"/>
      <c r="KSL548" s="268"/>
      <c r="KSM548" s="268"/>
      <c r="KTA548" s="268"/>
      <c r="KTC548" s="268"/>
      <c r="KTD548" s="268"/>
      <c r="KTE548" s="268"/>
      <c r="KTF548" s="268"/>
      <c r="KTG548" s="268"/>
      <c r="KTH548" s="268"/>
      <c r="KTI548" s="268"/>
      <c r="KTJ548" s="268"/>
      <c r="KTK548" s="268"/>
      <c r="KTL548" s="268"/>
      <c r="KTM548" s="268"/>
      <c r="KTN548" s="268"/>
      <c r="KTO548" s="268"/>
      <c r="KTP548" s="268"/>
      <c r="KTQ548" s="268"/>
      <c r="KTR548" s="268"/>
      <c r="KTS548" s="268"/>
      <c r="KTT548" s="268"/>
      <c r="KTU548" s="268"/>
      <c r="KTV548" s="268"/>
      <c r="KTW548" s="268"/>
      <c r="KTX548" s="268"/>
      <c r="KTY548" s="268"/>
      <c r="KTZ548" s="268"/>
      <c r="KUA548" s="268"/>
      <c r="KUB548" s="268"/>
      <c r="KUC548" s="268"/>
      <c r="KUD548" s="268"/>
      <c r="KUE548" s="268"/>
      <c r="KUF548" s="268"/>
      <c r="KUG548" s="268"/>
      <c r="KUH548" s="268"/>
      <c r="KUI548" s="268"/>
      <c r="KUJ548" s="268"/>
      <c r="KUK548" s="268"/>
      <c r="KUL548" s="268"/>
      <c r="KUM548" s="268"/>
      <c r="KUN548" s="268"/>
      <c r="KUO548" s="268"/>
      <c r="KUP548" s="268"/>
      <c r="KUQ548" s="268"/>
      <c r="KUR548" s="268"/>
      <c r="KUS548" s="268"/>
      <c r="KUT548" s="268"/>
      <c r="KUU548" s="268"/>
      <c r="KUV548" s="268"/>
      <c r="KUW548" s="268"/>
      <c r="KUX548" s="268"/>
      <c r="KUY548" s="268"/>
      <c r="KUZ548" s="268"/>
      <c r="KVA548" s="268"/>
      <c r="KVB548" s="268"/>
      <c r="KVC548" s="268"/>
      <c r="KVD548" s="268"/>
      <c r="KVE548" s="268"/>
      <c r="KVF548" s="268"/>
      <c r="KVG548" s="268"/>
      <c r="KVH548" s="268"/>
      <c r="KVI548" s="268"/>
      <c r="KVJ548" s="268"/>
      <c r="KVK548" s="268"/>
      <c r="KVL548" s="268"/>
      <c r="KVM548" s="268"/>
      <c r="KVN548" s="268"/>
      <c r="KVO548" s="268"/>
      <c r="KVP548" s="268"/>
      <c r="KVQ548" s="268"/>
      <c r="KVR548" s="268"/>
      <c r="KVS548" s="268"/>
      <c r="KVT548" s="268"/>
      <c r="KVU548" s="268"/>
      <c r="KVV548" s="268"/>
      <c r="KVW548" s="268"/>
      <c r="KVX548" s="268"/>
      <c r="KVY548" s="268"/>
      <c r="KVZ548" s="268"/>
      <c r="KWA548" s="268"/>
      <c r="KWB548" s="268"/>
      <c r="KWC548" s="268"/>
      <c r="KWD548" s="268"/>
      <c r="KWE548" s="268"/>
      <c r="KWF548" s="268"/>
      <c r="KWG548" s="268"/>
      <c r="KWH548" s="268"/>
      <c r="KWI548" s="268"/>
      <c r="KWJ548" s="268"/>
      <c r="KWK548" s="268"/>
      <c r="KWL548" s="268"/>
      <c r="KWM548" s="268"/>
      <c r="KWN548" s="268"/>
      <c r="KWO548" s="268"/>
      <c r="KWP548" s="268"/>
      <c r="KWQ548" s="268"/>
      <c r="KWR548" s="268"/>
      <c r="KWS548" s="268"/>
      <c r="KWT548" s="268"/>
      <c r="KWU548" s="268"/>
      <c r="KWV548" s="268"/>
      <c r="KWW548" s="268"/>
      <c r="KWX548" s="268"/>
      <c r="KWY548" s="268"/>
      <c r="KWZ548" s="268"/>
      <c r="KXA548" s="268"/>
      <c r="KXB548" s="268"/>
      <c r="KXC548" s="268"/>
      <c r="KXD548" s="268"/>
      <c r="KXE548" s="268"/>
      <c r="KXF548" s="268"/>
      <c r="KXG548" s="268"/>
      <c r="KXH548" s="268"/>
      <c r="KXI548" s="268"/>
      <c r="KXJ548" s="268"/>
      <c r="KXK548" s="268"/>
      <c r="KXL548" s="268"/>
      <c r="KXM548" s="268"/>
      <c r="KXN548" s="268"/>
      <c r="KXO548" s="268"/>
      <c r="KXP548" s="268"/>
      <c r="KXQ548" s="268"/>
      <c r="KXR548" s="268"/>
      <c r="KXS548" s="268"/>
      <c r="KXT548" s="268"/>
      <c r="KXU548" s="268"/>
      <c r="KXV548" s="268"/>
      <c r="KXW548" s="268"/>
      <c r="KXX548" s="268"/>
      <c r="KXY548" s="268"/>
      <c r="KXZ548" s="268"/>
      <c r="KYA548" s="268"/>
      <c r="KYB548" s="268"/>
      <c r="KYC548" s="268"/>
      <c r="KYD548" s="268"/>
      <c r="KYE548" s="268"/>
      <c r="KYF548" s="268"/>
      <c r="KYG548" s="268"/>
      <c r="KYH548" s="268"/>
      <c r="KYI548" s="268"/>
      <c r="KYJ548" s="268"/>
      <c r="KYK548" s="268"/>
      <c r="KYL548" s="268"/>
      <c r="KYM548" s="268"/>
      <c r="KYN548" s="268"/>
      <c r="KYO548" s="268"/>
      <c r="KYP548" s="268"/>
      <c r="KYQ548" s="268"/>
      <c r="KYR548" s="268"/>
      <c r="KYS548" s="268"/>
      <c r="KYT548" s="268"/>
      <c r="KYU548" s="268"/>
      <c r="KYV548" s="268"/>
      <c r="KYW548" s="268"/>
      <c r="KYX548" s="268"/>
      <c r="KYY548" s="268"/>
      <c r="KYZ548" s="268"/>
      <c r="KZA548" s="268"/>
      <c r="KZB548" s="268"/>
      <c r="KZC548" s="268"/>
      <c r="KZD548" s="268"/>
      <c r="KZE548" s="268"/>
      <c r="KZF548" s="268"/>
      <c r="KZG548" s="268"/>
      <c r="KZH548" s="268"/>
      <c r="KZI548" s="268"/>
      <c r="KZJ548" s="268"/>
      <c r="KZK548" s="268"/>
      <c r="KZL548" s="268"/>
      <c r="KZM548" s="268"/>
      <c r="KZN548" s="268"/>
      <c r="KZO548" s="268"/>
      <c r="KZP548" s="268"/>
      <c r="KZQ548" s="268"/>
      <c r="KZR548" s="268"/>
      <c r="KZS548" s="268"/>
      <c r="KZT548" s="268"/>
      <c r="KZU548" s="268"/>
      <c r="KZV548" s="268"/>
      <c r="KZW548" s="268"/>
      <c r="KZX548" s="268"/>
      <c r="KZY548" s="268"/>
      <c r="KZZ548" s="268"/>
      <c r="LAA548" s="268"/>
      <c r="LAB548" s="268"/>
      <c r="LAC548" s="268"/>
      <c r="LAD548" s="268"/>
      <c r="LAE548" s="268"/>
      <c r="LAF548" s="268"/>
      <c r="LAG548" s="268"/>
      <c r="LAH548" s="268"/>
      <c r="LAI548" s="268"/>
      <c r="LAJ548" s="268"/>
      <c r="LAK548" s="268"/>
      <c r="LAL548" s="268"/>
      <c r="LAM548" s="268"/>
      <c r="LAN548" s="268"/>
      <c r="LAO548" s="268"/>
      <c r="LAP548" s="268"/>
      <c r="LAQ548" s="268"/>
      <c r="LAR548" s="268"/>
      <c r="LAS548" s="268"/>
      <c r="LAT548" s="268"/>
      <c r="LAU548" s="268"/>
      <c r="LAV548" s="268"/>
      <c r="LAW548" s="268"/>
      <c r="LAX548" s="268"/>
      <c r="LAY548" s="268"/>
      <c r="LAZ548" s="268"/>
      <c r="LBA548" s="268"/>
      <c r="LBB548" s="268"/>
      <c r="LBC548" s="268"/>
      <c r="LBD548" s="268"/>
      <c r="LBE548" s="268"/>
      <c r="LBF548" s="268"/>
      <c r="LBG548" s="268"/>
      <c r="LBH548" s="268"/>
      <c r="LBI548" s="268"/>
      <c r="LBJ548" s="268"/>
      <c r="LBK548" s="268"/>
      <c r="LBL548" s="268"/>
      <c r="LBM548" s="268"/>
      <c r="LBN548" s="268"/>
      <c r="LBO548" s="268"/>
      <c r="LBP548" s="268"/>
      <c r="LBQ548" s="268"/>
      <c r="LBR548" s="268"/>
      <c r="LBS548" s="268"/>
      <c r="LCG548" s="268"/>
      <c r="LCH548" s="268"/>
      <c r="LCI548" s="268"/>
      <c r="LCW548" s="268"/>
      <c r="LCY548" s="268"/>
      <c r="LCZ548" s="268"/>
      <c r="LDA548" s="268"/>
      <c r="LDB548" s="268"/>
      <c r="LDC548" s="268"/>
      <c r="LDD548" s="268"/>
      <c r="LDE548" s="268"/>
      <c r="LDF548" s="268"/>
      <c r="LDG548" s="268"/>
      <c r="LDH548" s="268"/>
      <c r="LDI548" s="268"/>
      <c r="LDJ548" s="268"/>
      <c r="LDK548" s="268"/>
      <c r="LDL548" s="268"/>
      <c r="LDM548" s="268"/>
      <c r="LDN548" s="268"/>
      <c r="LDO548" s="268"/>
      <c r="LDP548" s="268"/>
      <c r="LDQ548" s="268"/>
      <c r="LDR548" s="268"/>
      <c r="LDS548" s="268"/>
      <c r="LDT548" s="268"/>
      <c r="LDU548" s="268"/>
      <c r="LDV548" s="268"/>
      <c r="LDW548" s="268"/>
      <c r="LDX548" s="268"/>
      <c r="LDY548" s="268"/>
      <c r="LDZ548" s="268"/>
      <c r="LEA548" s="268"/>
      <c r="LEB548" s="268"/>
      <c r="LEC548" s="268"/>
      <c r="LED548" s="268"/>
      <c r="LEE548" s="268"/>
      <c r="LEF548" s="268"/>
      <c r="LEG548" s="268"/>
      <c r="LEH548" s="268"/>
      <c r="LEI548" s="268"/>
      <c r="LEJ548" s="268"/>
      <c r="LEK548" s="268"/>
      <c r="LEL548" s="268"/>
      <c r="LEM548" s="268"/>
      <c r="LEN548" s="268"/>
      <c r="LEO548" s="268"/>
      <c r="LEP548" s="268"/>
      <c r="LEQ548" s="268"/>
      <c r="LER548" s="268"/>
      <c r="LES548" s="268"/>
      <c r="LET548" s="268"/>
      <c r="LEU548" s="268"/>
      <c r="LEV548" s="268"/>
      <c r="LEW548" s="268"/>
      <c r="LEX548" s="268"/>
      <c r="LEY548" s="268"/>
      <c r="LEZ548" s="268"/>
      <c r="LFA548" s="268"/>
      <c r="LFB548" s="268"/>
      <c r="LFC548" s="268"/>
      <c r="LFD548" s="268"/>
      <c r="LFE548" s="268"/>
      <c r="LFF548" s="268"/>
      <c r="LFG548" s="268"/>
      <c r="LFH548" s="268"/>
      <c r="LFI548" s="268"/>
      <c r="LFJ548" s="268"/>
      <c r="LFK548" s="268"/>
      <c r="LFL548" s="268"/>
      <c r="LFM548" s="268"/>
      <c r="LFN548" s="268"/>
      <c r="LFO548" s="268"/>
      <c r="LFP548" s="268"/>
      <c r="LFQ548" s="268"/>
      <c r="LFR548" s="268"/>
      <c r="LFS548" s="268"/>
      <c r="LFT548" s="268"/>
      <c r="LFU548" s="268"/>
      <c r="LFV548" s="268"/>
      <c r="LFW548" s="268"/>
      <c r="LFX548" s="268"/>
      <c r="LFY548" s="268"/>
      <c r="LFZ548" s="268"/>
      <c r="LGA548" s="268"/>
      <c r="LGB548" s="268"/>
      <c r="LGC548" s="268"/>
      <c r="LGD548" s="268"/>
      <c r="LGE548" s="268"/>
      <c r="LGF548" s="268"/>
      <c r="LGG548" s="268"/>
      <c r="LGH548" s="268"/>
      <c r="LGI548" s="268"/>
      <c r="LGJ548" s="268"/>
      <c r="LGK548" s="268"/>
      <c r="LGL548" s="268"/>
      <c r="LGM548" s="268"/>
      <c r="LGN548" s="268"/>
      <c r="LGO548" s="268"/>
      <c r="LGP548" s="268"/>
      <c r="LGQ548" s="268"/>
      <c r="LGR548" s="268"/>
      <c r="LGS548" s="268"/>
      <c r="LGT548" s="268"/>
      <c r="LGU548" s="268"/>
      <c r="LGV548" s="268"/>
      <c r="LGW548" s="268"/>
      <c r="LGX548" s="268"/>
      <c r="LGY548" s="268"/>
      <c r="LGZ548" s="268"/>
      <c r="LHA548" s="268"/>
      <c r="LHB548" s="268"/>
      <c r="LHC548" s="268"/>
      <c r="LHD548" s="268"/>
      <c r="LHE548" s="268"/>
      <c r="LHF548" s="268"/>
      <c r="LHG548" s="268"/>
      <c r="LHH548" s="268"/>
      <c r="LHI548" s="268"/>
      <c r="LHJ548" s="268"/>
      <c r="LHK548" s="268"/>
      <c r="LHL548" s="268"/>
      <c r="LHM548" s="268"/>
      <c r="LHN548" s="268"/>
      <c r="LHO548" s="268"/>
      <c r="LHP548" s="268"/>
      <c r="LHQ548" s="268"/>
      <c r="LHR548" s="268"/>
      <c r="LHS548" s="268"/>
      <c r="LHT548" s="268"/>
      <c r="LHU548" s="268"/>
      <c r="LHV548" s="268"/>
      <c r="LHW548" s="268"/>
      <c r="LHX548" s="268"/>
      <c r="LHY548" s="268"/>
      <c r="LHZ548" s="268"/>
      <c r="LIA548" s="268"/>
      <c r="LIB548" s="268"/>
      <c r="LIC548" s="268"/>
      <c r="LID548" s="268"/>
      <c r="LIE548" s="268"/>
      <c r="LIF548" s="268"/>
      <c r="LIG548" s="268"/>
      <c r="LIH548" s="268"/>
      <c r="LII548" s="268"/>
      <c r="LIJ548" s="268"/>
      <c r="LIK548" s="268"/>
      <c r="LIL548" s="268"/>
      <c r="LIM548" s="268"/>
      <c r="LIN548" s="268"/>
      <c r="LIO548" s="268"/>
      <c r="LIP548" s="268"/>
      <c r="LIQ548" s="268"/>
      <c r="LIR548" s="268"/>
      <c r="LIS548" s="268"/>
      <c r="LIT548" s="268"/>
      <c r="LIU548" s="268"/>
      <c r="LIV548" s="268"/>
      <c r="LIW548" s="268"/>
      <c r="LIX548" s="268"/>
      <c r="LIY548" s="268"/>
      <c r="LIZ548" s="268"/>
      <c r="LJA548" s="268"/>
      <c r="LJB548" s="268"/>
      <c r="LJC548" s="268"/>
      <c r="LJD548" s="268"/>
      <c r="LJE548" s="268"/>
      <c r="LJF548" s="268"/>
      <c r="LJG548" s="268"/>
      <c r="LJH548" s="268"/>
      <c r="LJI548" s="268"/>
      <c r="LJJ548" s="268"/>
      <c r="LJK548" s="268"/>
      <c r="LJL548" s="268"/>
      <c r="LJM548" s="268"/>
      <c r="LJN548" s="268"/>
      <c r="LJO548" s="268"/>
      <c r="LJP548" s="268"/>
      <c r="LJQ548" s="268"/>
      <c r="LJR548" s="268"/>
      <c r="LJS548" s="268"/>
      <c r="LJT548" s="268"/>
      <c r="LJU548" s="268"/>
      <c r="LJV548" s="268"/>
      <c r="LJW548" s="268"/>
      <c r="LJX548" s="268"/>
      <c r="LJY548" s="268"/>
      <c r="LJZ548" s="268"/>
      <c r="LKA548" s="268"/>
      <c r="LKB548" s="268"/>
      <c r="LKC548" s="268"/>
      <c r="LKD548" s="268"/>
      <c r="LKE548" s="268"/>
      <c r="LKF548" s="268"/>
      <c r="LKG548" s="268"/>
      <c r="LKH548" s="268"/>
      <c r="LKI548" s="268"/>
      <c r="LKJ548" s="268"/>
      <c r="LKK548" s="268"/>
      <c r="LKL548" s="268"/>
      <c r="LKM548" s="268"/>
      <c r="LKN548" s="268"/>
      <c r="LKO548" s="268"/>
      <c r="LKP548" s="268"/>
      <c r="LKQ548" s="268"/>
      <c r="LKR548" s="268"/>
      <c r="LKS548" s="268"/>
      <c r="LKT548" s="268"/>
      <c r="LKU548" s="268"/>
      <c r="LKV548" s="268"/>
      <c r="LKW548" s="268"/>
      <c r="LKX548" s="268"/>
      <c r="LKY548" s="268"/>
      <c r="LKZ548" s="268"/>
      <c r="LLA548" s="268"/>
      <c r="LLB548" s="268"/>
      <c r="LLC548" s="268"/>
      <c r="LLD548" s="268"/>
      <c r="LLE548" s="268"/>
      <c r="LLF548" s="268"/>
      <c r="LLG548" s="268"/>
      <c r="LLH548" s="268"/>
      <c r="LLI548" s="268"/>
      <c r="LLJ548" s="268"/>
      <c r="LLK548" s="268"/>
      <c r="LLL548" s="268"/>
      <c r="LLM548" s="268"/>
      <c r="LLN548" s="268"/>
      <c r="LLO548" s="268"/>
      <c r="LMC548" s="268"/>
      <c r="LMD548" s="268"/>
      <c r="LME548" s="268"/>
      <c r="LMS548" s="268"/>
      <c r="LMU548" s="268"/>
      <c r="LMV548" s="268"/>
      <c r="LMW548" s="268"/>
      <c r="LMX548" s="268"/>
      <c r="LMY548" s="268"/>
      <c r="LMZ548" s="268"/>
      <c r="LNA548" s="268"/>
      <c r="LNB548" s="268"/>
      <c r="LNC548" s="268"/>
      <c r="LND548" s="268"/>
      <c r="LNE548" s="268"/>
      <c r="LNF548" s="268"/>
      <c r="LNG548" s="268"/>
      <c r="LNH548" s="268"/>
      <c r="LNI548" s="268"/>
      <c r="LNJ548" s="268"/>
      <c r="LNK548" s="268"/>
      <c r="LNL548" s="268"/>
      <c r="LNM548" s="268"/>
      <c r="LNN548" s="268"/>
      <c r="LNO548" s="268"/>
      <c r="LNP548" s="268"/>
      <c r="LNQ548" s="268"/>
      <c r="LNR548" s="268"/>
      <c r="LNS548" s="268"/>
      <c r="LNT548" s="268"/>
      <c r="LNU548" s="268"/>
      <c r="LNV548" s="268"/>
      <c r="LNW548" s="268"/>
      <c r="LNX548" s="268"/>
      <c r="LNY548" s="268"/>
      <c r="LNZ548" s="268"/>
      <c r="LOA548" s="268"/>
      <c r="LOB548" s="268"/>
      <c r="LOC548" s="268"/>
      <c r="LOD548" s="268"/>
      <c r="LOE548" s="268"/>
      <c r="LOF548" s="268"/>
      <c r="LOG548" s="268"/>
      <c r="LOH548" s="268"/>
      <c r="LOI548" s="268"/>
      <c r="LOJ548" s="268"/>
      <c r="LOK548" s="268"/>
      <c r="LOL548" s="268"/>
      <c r="LOM548" s="268"/>
      <c r="LON548" s="268"/>
      <c r="LOO548" s="268"/>
      <c r="LOP548" s="268"/>
      <c r="LOQ548" s="268"/>
      <c r="LOR548" s="268"/>
      <c r="LOS548" s="268"/>
      <c r="LOT548" s="268"/>
      <c r="LOU548" s="268"/>
      <c r="LOV548" s="268"/>
      <c r="LOW548" s="268"/>
      <c r="LOX548" s="268"/>
      <c r="LOY548" s="268"/>
      <c r="LOZ548" s="268"/>
      <c r="LPA548" s="268"/>
      <c r="LPB548" s="268"/>
      <c r="LPC548" s="268"/>
      <c r="LPD548" s="268"/>
      <c r="LPE548" s="268"/>
      <c r="LPF548" s="268"/>
      <c r="LPG548" s="268"/>
      <c r="LPH548" s="268"/>
      <c r="LPI548" s="268"/>
      <c r="LPJ548" s="268"/>
      <c r="LPK548" s="268"/>
      <c r="LPL548" s="268"/>
      <c r="LPM548" s="268"/>
      <c r="LPN548" s="268"/>
      <c r="LPO548" s="268"/>
      <c r="LPP548" s="268"/>
      <c r="LPQ548" s="268"/>
      <c r="LPR548" s="268"/>
      <c r="LPS548" s="268"/>
      <c r="LPT548" s="268"/>
      <c r="LPU548" s="268"/>
      <c r="LPV548" s="268"/>
      <c r="LPW548" s="268"/>
      <c r="LPX548" s="268"/>
      <c r="LPY548" s="268"/>
      <c r="LPZ548" s="268"/>
      <c r="LQA548" s="268"/>
      <c r="LQB548" s="268"/>
      <c r="LQC548" s="268"/>
      <c r="LQD548" s="268"/>
      <c r="LQE548" s="268"/>
      <c r="LQF548" s="268"/>
      <c r="LQG548" s="268"/>
      <c r="LQH548" s="268"/>
      <c r="LQI548" s="268"/>
      <c r="LQJ548" s="268"/>
      <c r="LQK548" s="268"/>
      <c r="LQL548" s="268"/>
      <c r="LQM548" s="268"/>
      <c r="LQN548" s="268"/>
      <c r="LQO548" s="268"/>
      <c r="LQP548" s="268"/>
      <c r="LQQ548" s="268"/>
      <c r="LQR548" s="268"/>
      <c r="LQS548" s="268"/>
      <c r="LQT548" s="268"/>
      <c r="LQU548" s="268"/>
      <c r="LQV548" s="268"/>
      <c r="LQW548" s="268"/>
      <c r="LQX548" s="268"/>
      <c r="LQY548" s="268"/>
      <c r="LQZ548" s="268"/>
      <c r="LRA548" s="268"/>
      <c r="LRB548" s="268"/>
      <c r="LRC548" s="268"/>
      <c r="LRD548" s="268"/>
      <c r="LRE548" s="268"/>
      <c r="LRF548" s="268"/>
      <c r="LRG548" s="268"/>
      <c r="LRH548" s="268"/>
      <c r="LRI548" s="268"/>
      <c r="LRJ548" s="268"/>
      <c r="LRK548" s="268"/>
      <c r="LRL548" s="268"/>
      <c r="LRM548" s="268"/>
      <c r="LRN548" s="268"/>
      <c r="LRO548" s="268"/>
      <c r="LRP548" s="268"/>
      <c r="LRQ548" s="268"/>
      <c r="LRR548" s="268"/>
      <c r="LRS548" s="268"/>
      <c r="LRT548" s="268"/>
      <c r="LRU548" s="268"/>
      <c r="LRV548" s="268"/>
      <c r="LRW548" s="268"/>
      <c r="LRX548" s="268"/>
      <c r="LRY548" s="268"/>
      <c r="LRZ548" s="268"/>
      <c r="LSA548" s="268"/>
      <c r="LSB548" s="268"/>
      <c r="LSC548" s="268"/>
      <c r="LSD548" s="268"/>
      <c r="LSE548" s="268"/>
      <c r="LSF548" s="268"/>
      <c r="LSG548" s="268"/>
      <c r="LSH548" s="268"/>
      <c r="LSI548" s="268"/>
      <c r="LSJ548" s="268"/>
      <c r="LSK548" s="268"/>
      <c r="LSL548" s="268"/>
      <c r="LSM548" s="268"/>
      <c r="LSN548" s="268"/>
      <c r="LSO548" s="268"/>
      <c r="LSP548" s="268"/>
      <c r="LSQ548" s="268"/>
      <c r="LSR548" s="268"/>
      <c r="LSS548" s="268"/>
      <c r="LST548" s="268"/>
      <c r="LSU548" s="268"/>
      <c r="LSV548" s="268"/>
      <c r="LSW548" s="268"/>
      <c r="LSX548" s="268"/>
      <c r="LSY548" s="268"/>
      <c r="LSZ548" s="268"/>
      <c r="LTA548" s="268"/>
      <c r="LTB548" s="268"/>
      <c r="LTC548" s="268"/>
      <c r="LTD548" s="268"/>
      <c r="LTE548" s="268"/>
      <c r="LTF548" s="268"/>
      <c r="LTG548" s="268"/>
      <c r="LTH548" s="268"/>
      <c r="LTI548" s="268"/>
      <c r="LTJ548" s="268"/>
      <c r="LTK548" s="268"/>
      <c r="LTL548" s="268"/>
      <c r="LTM548" s="268"/>
      <c r="LTN548" s="268"/>
      <c r="LTO548" s="268"/>
      <c r="LTP548" s="268"/>
      <c r="LTQ548" s="268"/>
      <c r="LTR548" s="268"/>
      <c r="LTS548" s="268"/>
      <c r="LTT548" s="268"/>
      <c r="LTU548" s="268"/>
      <c r="LTV548" s="268"/>
      <c r="LTW548" s="268"/>
      <c r="LTX548" s="268"/>
      <c r="LTY548" s="268"/>
      <c r="LTZ548" s="268"/>
      <c r="LUA548" s="268"/>
      <c r="LUB548" s="268"/>
      <c r="LUC548" s="268"/>
      <c r="LUD548" s="268"/>
      <c r="LUE548" s="268"/>
      <c r="LUF548" s="268"/>
      <c r="LUG548" s="268"/>
      <c r="LUH548" s="268"/>
      <c r="LUI548" s="268"/>
      <c r="LUJ548" s="268"/>
      <c r="LUK548" s="268"/>
      <c r="LUL548" s="268"/>
      <c r="LUM548" s="268"/>
      <c r="LUN548" s="268"/>
      <c r="LUO548" s="268"/>
      <c r="LUP548" s="268"/>
      <c r="LUQ548" s="268"/>
      <c r="LUR548" s="268"/>
      <c r="LUS548" s="268"/>
      <c r="LUT548" s="268"/>
      <c r="LUU548" s="268"/>
      <c r="LUV548" s="268"/>
      <c r="LUW548" s="268"/>
      <c r="LUX548" s="268"/>
      <c r="LUY548" s="268"/>
      <c r="LUZ548" s="268"/>
      <c r="LVA548" s="268"/>
      <c r="LVB548" s="268"/>
      <c r="LVC548" s="268"/>
      <c r="LVD548" s="268"/>
      <c r="LVE548" s="268"/>
      <c r="LVF548" s="268"/>
      <c r="LVG548" s="268"/>
      <c r="LVH548" s="268"/>
      <c r="LVI548" s="268"/>
      <c r="LVJ548" s="268"/>
      <c r="LVK548" s="268"/>
      <c r="LVY548" s="268"/>
      <c r="LVZ548" s="268"/>
      <c r="LWA548" s="268"/>
      <c r="LWO548" s="268"/>
      <c r="LWQ548" s="268"/>
      <c r="LWR548" s="268"/>
      <c r="LWS548" s="268"/>
      <c r="LWT548" s="268"/>
      <c r="LWU548" s="268"/>
      <c r="LWV548" s="268"/>
      <c r="LWW548" s="268"/>
      <c r="LWX548" s="268"/>
      <c r="LWY548" s="268"/>
      <c r="LWZ548" s="268"/>
      <c r="LXA548" s="268"/>
      <c r="LXB548" s="268"/>
      <c r="LXC548" s="268"/>
      <c r="LXD548" s="268"/>
      <c r="LXE548" s="268"/>
      <c r="LXF548" s="268"/>
      <c r="LXG548" s="268"/>
      <c r="LXH548" s="268"/>
      <c r="LXI548" s="268"/>
      <c r="LXJ548" s="268"/>
      <c r="LXK548" s="268"/>
      <c r="LXL548" s="268"/>
      <c r="LXM548" s="268"/>
      <c r="LXN548" s="268"/>
      <c r="LXO548" s="268"/>
      <c r="LXP548" s="268"/>
      <c r="LXQ548" s="268"/>
      <c r="LXR548" s="268"/>
      <c r="LXS548" s="268"/>
      <c r="LXT548" s="268"/>
      <c r="LXU548" s="268"/>
      <c r="LXV548" s="268"/>
      <c r="LXW548" s="268"/>
      <c r="LXX548" s="268"/>
      <c r="LXY548" s="268"/>
      <c r="LXZ548" s="268"/>
      <c r="LYA548" s="268"/>
      <c r="LYB548" s="268"/>
      <c r="LYC548" s="268"/>
      <c r="LYD548" s="268"/>
      <c r="LYE548" s="268"/>
      <c r="LYF548" s="268"/>
      <c r="LYG548" s="268"/>
      <c r="LYH548" s="268"/>
      <c r="LYI548" s="268"/>
      <c r="LYJ548" s="268"/>
      <c r="LYK548" s="268"/>
      <c r="LYL548" s="268"/>
      <c r="LYM548" s="268"/>
      <c r="LYN548" s="268"/>
      <c r="LYO548" s="268"/>
      <c r="LYP548" s="268"/>
      <c r="LYQ548" s="268"/>
      <c r="LYR548" s="268"/>
      <c r="LYS548" s="268"/>
      <c r="LYT548" s="268"/>
      <c r="LYU548" s="268"/>
      <c r="LYV548" s="268"/>
      <c r="LYW548" s="268"/>
      <c r="LYX548" s="268"/>
      <c r="LYY548" s="268"/>
      <c r="LYZ548" s="268"/>
      <c r="LZA548" s="268"/>
      <c r="LZB548" s="268"/>
      <c r="LZC548" s="268"/>
      <c r="LZD548" s="268"/>
      <c r="LZE548" s="268"/>
      <c r="LZF548" s="268"/>
      <c r="LZG548" s="268"/>
      <c r="LZH548" s="268"/>
      <c r="LZI548" s="268"/>
      <c r="LZJ548" s="268"/>
      <c r="LZK548" s="268"/>
      <c r="LZL548" s="268"/>
      <c r="LZM548" s="268"/>
      <c r="LZN548" s="268"/>
      <c r="LZO548" s="268"/>
      <c r="LZP548" s="268"/>
      <c r="LZQ548" s="268"/>
      <c r="LZR548" s="268"/>
      <c r="LZS548" s="268"/>
      <c r="LZT548" s="268"/>
      <c r="LZU548" s="268"/>
      <c r="LZV548" s="268"/>
      <c r="LZW548" s="268"/>
      <c r="LZX548" s="268"/>
      <c r="LZY548" s="268"/>
      <c r="LZZ548" s="268"/>
      <c r="MAA548" s="268"/>
      <c r="MAB548" s="268"/>
      <c r="MAC548" s="268"/>
      <c r="MAD548" s="268"/>
      <c r="MAE548" s="268"/>
      <c r="MAF548" s="268"/>
      <c r="MAG548" s="268"/>
      <c r="MAH548" s="268"/>
      <c r="MAI548" s="268"/>
      <c r="MAJ548" s="268"/>
      <c r="MAK548" s="268"/>
      <c r="MAL548" s="268"/>
      <c r="MAM548" s="268"/>
      <c r="MAN548" s="268"/>
      <c r="MAO548" s="268"/>
      <c r="MAP548" s="268"/>
      <c r="MAQ548" s="268"/>
      <c r="MAR548" s="268"/>
      <c r="MAS548" s="268"/>
      <c r="MAT548" s="268"/>
      <c r="MAU548" s="268"/>
      <c r="MAV548" s="268"/>
      <c r="MAW548" s="268"/>
      <c r="MAX548" s="268"/>
      <c r="MAY548" s="268"/>
      <c r="MAZ548" s="268"/>
      <c r="MBA548" s="268"/>
      <c r="MBB548" s="268"/>
      <c r="MBC548" s="268"/>
      <c r="MBD548" s="268"/>
      <c r="MBE548" s="268"/>
      <c r="MBF548" s="268"/>
      <c r="MBG548" s="268"/>
      <c r="MBH548" s="268"/>
      <c r="MBI548" s="268"/>
      <c r="MBJ548" s="268"/>
      <c r="MBK548" s="268"/>
      <c r="MBL548" s="268"/>
      <c r="MBM548" s="268"/>
      <c r="MBN548" s="268"/>
      <c r="MBO548" s="268"/>
      <c r="MBP548" s="268"/>
      <c r="MBQ548" s="268"/>
      <c r="MBR548" s="268"/>
      <c r="MBS548" s="268"/>
      <c r="MBT548" s="268"/>
      <c r="MBU548" s="268"/>
      <c r="MBV548" s="268"/>
      <c r="MBW548" s="268"/>
      <c r="MBX548" s="268"/>
      <c r="MBY548" s="268"/>
      <c r="MBZ548" s="268"/>
      <c r="MCA548" s="268"/>
      <c r="MCB548" s="268"/>
      <c r="MCC548" s="268"/>
      <c r="MCD548" s="268"/>
      <c r="MCE548" s="268"/>
      <c r="MCF548" s="268"/>
      <c r="MCG548" s="268"/>
      <c r="MCH548" s="268"/>
      <c r="MCI548" s="268"/>
      <c r="MCJ548" s="268"/>
      <c r="MCK548" s="268"/>
      <c r="MCL548" s="268"/>
      <c r="MCM548" s="268"/>
      <c r="MCN548" s="268"/>
      <c r="MCO548" s="268"/>
      <c r="MCP548" s="268"/>
      <c r="MCQ548" s="268"/>
      <c r="MCR548" s="268"/>
      <c r="MCS548" s="268"/>
      <c r="MCT548" s="268"/>
      <c r="MCU548" s="268"/>
      <c r="MCV548" s="268"/>
      <c r="MCW548" s="268"/>
      <c r="MCX548" s="268"/>
      <c r="MCY548" s="268"/>
      <c r="MCZ548" s="268"/>
      <c r="MDA548" s="268"/>
      <c r="MDB548" s="268"/>
      <c r="MDC548" s="268"/>
      <c r="MDD548" s="268"/>
      <c r="MDE548" s="268"/>
      <c r="MDF548" s="268"/>
      <c r="MDG548" s="268"/>
      <c r="MDH548" s="268"/>
      <c r="MDI548" s="268"/>
      <c r="MDJ548" s="268"/>
      <c r="MDK548" s="268"/>
      <c r="MDL548" s="268"/>
      <c r="MDM548" s="268"/>
      <c r="MDN548" s="268"/>
      <c r="MDO548" s="268"/>
      <c r="MDP548" s="268"/>
      <c r="MDQ548" s="268"/>
      <c r="MDR548" s="268"/>
      <c r="MDS548" s="268"/>
      <c r="MDT548" s="268"/>
      <c r="MDU548" s="268"/>
      <c r="MDV548" s="268"/>
      <c r="MDW548" s="268"/>
      <c r="MDX548" s="268"/>
      <c r="MDY548" s="268"/>
      <c r="MDZ548" s="268"/>
      <c r="MEA548" s="268"/>
      <c r="MEB548" s="268"/>
      <c r="MEC548" s="268"/>
      <c r="MED548" s="268"/>
      <c r="MEE548" s="268"/>
      <c r="MEF548" s="268"/>
      <c r="MEG548" s="268"/>
      <c r="MEH548" s="268"/>
      <c r="MEI548" s="268"/>
      <c r="MEJ548" s="268"/>
      <c r="MEK548" s="268"/>
      <c r="MEL548" s="268"/>
      <c r="MEM548" s="268"/>
      <c r="MEN548" s="268"/>
      <c r="MEO548" s="268"/>
      <c r="MEP548" s="268"/>
      <c r="MEQ548" s="268"/>
      <c r="MER548" s="268"/>
      <c r="MES548" s="268"/>
      <c r="MET548" s="268"/>
      <c r="MEU548" s="268"/>
      <c r="MEV548" s="268"/>
      <c r="MEW548" s="268"/>
      <c r="MEX548" s="268"/>
      <c r="MEY548" s="268"/>
      <c r="MEZ548" s="268"/>
      <c r="MFA548" s="268"/>
      <c r="MFB548" s="268"/>
      <c r="MFC548" s="268"/>
      <c r="MFD548" s="268"/>
      <c r="MFE548" s="268"/>
      <c r="MFF548" s="268"/>
      <c r="MFG548" s="268"/>
      <c r="MFU548" s="268"/>
      <c r="MFV548" s="268"/>
      <c r="MFW548" s="268"/>
      <c r="MGK548" s="268"/>
      <c r="MGM548" s="268"/>
      <c r="MGN548" s="268"/>
      <c r="MGO548" s="268"/>
      <c r="MGP548" s="268"/>
      <c r="MGQ548" s="268"/>
      <c r="MGR548" s="268"/>
      <c r="MGS548" s="268"/>
      <c r="MGT548" s="268"/>
      <c r="MGU548" s="268"/>
      <c r="MGV548" s="268"/>
      <c r="MGW548" s="268"/>
      <c r="MGX548" s="268"/>
      <c r="MGY548" s="268"/>
      <c r="MGZ548" s="268"/>
      <c r="MHA548" s="268"/>
      <c r="MHB548" s="268"/>
      <c r="MHC548" s="268"/>
      <c r="MHD548" s="268"/>
      <c r="MHE548" s="268"/>
      <c r="MHF548" s="268"/>
      <c r="MHG548" s="268"/>
      <c r="MHH548" s="268"/>
      <c r="MHI548" s="268"/>
      <c r="MHJ548" s="268"/>
      <c r="MHK548" s="268"/>
      <c r="MHL548" s="268"/>
      <c r="MHM548" s="268"/>
      <c r="MHN548" s="268"/>
      <c r="MHO548" s="268"/>
      <c r="MHP548" s="268"/>
      <c r="MHQ548" s="268"/>
      <c r="MHR548" s="268"/>
      <c r="MHS548" s="268"/>
      <c r="MHT548" s="268"/>
      <c r="MHU548" s="268"/>
      <c r="MHV548" s="268"/>
      <c r="MHW548" s="268"/>
      <c r="MHX548" s="268"/>
      <c r="MHY548" s="268"/>
      <c r="MHZ548" s="268"/>
      <c r="MIA548" s="268"/>
      <c r="MIB548" s="268"/>
      <c r="MIC548" s="268"/>
      <c r="MID548" s="268"/>
      <c r="MIE548" s="268"/>
      <c r="MIF548" s="268"/>
      <c r="MIG548" s="268"/>
      <c r="MIH548" s="268"/>
      <c r="MII548" s="268"/>
      <c r="MIJ548" s="268"/>
      <c r="MIK548" s="268"/>
      <c r="MIL548" s="268"/>
      <c r="MIM548" s="268"/>
      <c r="MIN548" s="268"/>
      <c r="MIO548" s="268"/>
      <c r="MIP548" s="268"/>
      <c r="MIQ548" s="268"/>
      <c r="MIR548" s="268"/>
      <c r="MIS548" s="268"/>
      <c r="MIT548" s="268"/>
      <c r="MIU548" s="268"/>
      <c r="MIV548" s="268"/>
      <c r="MIW548" s="268"/>
      <c r="MIX548" s="268"/>
      <c r="MIY548" s="268"/>
      <c r="MIZ548" s="268"/>
      <c r="MJA548" s="268"/>
      <c r="MJB548" s="268"/>
      <c r="MJC548" s="268"/>
      <c r="MJD548" s="268"/>
      <c r="MJE548" s="268"/>
      <c r="MJF548" s="268"/>
      <c r="MJG548" s="268"/>
      <c r="MJH548" s="268"/>
      <c r="MJI548" s="268"/>
      <c r="MJJ548" s="268"/>
      <c r="MJK548" s="268"/>
      <c r="MJL548" s="268"/>
      <c r="MJM548" s="268"/>
      <c r="MJN548" s="268"/>
      <c r="MJO548" s="268"/>
      <c r="MJP548" s="268"/>
      <c r="MJQ548" s="268"/>
      <c r="MJR548" s="268"/>
      <c r="MJS548" s="268"/>
      <c r="MJT548" s="268"/>
      <c r="MJU548" s="268"/>
      <c r="MJV548" s="268"/>
      <c r="MJW548" s="268"/>
      <c r="MJX548" s="268"/>
      <c r="MJY548" s="268"/>
      <c r="MJZ548" s="268"/>
      <c r="MKA548" s="268"/>
      <c r="MKB548" s="268"/>
      <c r="MKC548" s="268"/>
      <c r="MKD548" s="268"/>
      <c r="MKE548" s="268"/>
      <c r="MKF548" s="268"/>
      <c r="MKG548" s="268"/>
      <c r="MKH548" s="268"/>
      <c r="MKI548" s="268"/>
      <c r="MKJ548" s="268"/>
      <c r="MKK548" s="268"/>
      <c r="MKL548" s="268"/>
      <c r="MKM548" s="268"/>
      <c r="MKN548" s="268"/>
      <c r="MKO548" s="268"/>
      <c r="MKP548" s="268"/>
      <c r="MKQ548" s="268"/>
      <c r="MKR548" s="268"/>
      <c r="MKS548" s="268"/>
      <c r="MKT548" s="268"/>
      <c r="MKU548" s="268"/>
      <c r="MKV548" s="268"/>
      <c r="MKW548" s="268"/>
      <c r="MKX548" s="268"/>
      <c r="MKY548" s="268"/>
      <c r="MKZ548" s="268"/>
      <c r="MLA548" s="268"/>
      <c r="MLB548" s="268"/>
      <c r="MLC548" s="268"/>
      <c r="MLD548" s="268"/>
      <c r="MLE548" s="268"/>
      <c r="MLF548" s="268"/>
      <c r="MLG548" s="268"/>
      <c r="MLH548" s="268"/>
      <c r="MLI548" s="268"/>
      <c r="MLJ548" s="268"/>
      <c r="MLK548" s="268"/>
      <c r="MLL548" s="268"/>
      <c r="MLM548" s="268"/>
      <c r="MLN548" s="268"/>
      <c r="MLO548" s="268"/>
      <c r="MLP548" s="268"/>
      <c r="MLQ548" s="268"/>
      <c r="MLR548" s="268"/>
      <c r="MLS548" s="268"/>
      <c r="MLT548" s="268"/>
      <c r="MLU548" s="268"/>
      <c r="MLV548" s="268"/>
      <c r="MLW548" s="268"/>
      <c r="MLX548" s="268"/>
      <c r="MLY548" s="268"/>
      <c r="MLZ548" s="268"/>
      <c r="MMA548" s="268"/>
      <c r="MMB548" s="268"/>
      <c r="MMC548" s="268"/>
      <c r="MMD548" s="268"/>
      <c r="MME548" s="268"/>
      <c r="MMF548" s="268"/>
      <c r="MMG548" s="268"/>
      <c r="MMH548" s="268"/>
      <c r="MMI548" s="268"/>
      <c r="MMJ548" s="268"/>
      <c r="MMK548" s="268"/>
      <c r="MML548" s="268"/>
      <c r="MMM548" s="268"/>
      <c r="MMN548" s="268"/>
      <c r="MMO548" s="268"/>
      <c r="MMP548" s="268"/>
      <c r="MMQ548" s="268"/>
      <c r="MMR548" s="268"/>
      <c r="MMS548" s="268"/>
      <c r="MMT548" s="268"/>
      <c r="MMU548" s="268"/>
      <c r="MMV548" s="268"/>
      <c r="MMW548" s="268"/>
      <c r="MMX548" s="268"/>
      <c r="MMY548" s="268"/>
      <c r="MMZ548" s="268"/>
      <c r="MNA548" s="268"/>
      <c r="MNB548" s="268"/>
      <c r="MNC548" s="268"/>
      <c r="MND548" s="268"/>
      <c r="MNE548" s="268"/>
      <c r="MNF548" s="268"/>
      <c r="MNG548" s="268"/>
      <c r="MNH548" s="268"/>
      <c r="MNI548" s="268"/>
      <c r="MNJ548" s="268"/>
      <c r="MNK548" s="268"/>
      <c r="MNL548" s="268"/>
      <c r="MNM548" s="268"/>
      <c r="MNN548" s="268"/>
      <c r="MNO548" s="268"/>
      <c r="MNP548" s="268"/>
      <c r="MNQ548" s="268"/>
      <c r="MNR548" s="268"/>
      <c r="MNS548" s="268"/>
      <c r="MNT548" s="268"/>
      <c r="MNU548" s="268"/>
      <c r="MNV548" s="268"/>
      <c r="MNW548" s="268"/>
      <c r="MNX548" s="268"/>
      <c r="MNY548" s="268"/>
      <c r="MNZ548" s="268"/>
      <c r="MOA548" s="268"/>
      <c r="MOB548" s="268"/>
      <c r="MOC548" s="268"/>
      <c r="MOD548" s="268"/>
      <c r="MOE548" s="268"/>
      <c r="MOF548" s="268"/>
      <c r="MOG548" s="268"/>
      <c r="MOH548" s="268"/>
      <c r="MOI548" s="268"/>
      <c r="MOJ548" s="268"/>
      <c r="MOK548" s="268"/>
      <c r="MOL548" s="268"/>
      <c r="MOM548" s="268"/>
      <c r="MON548" s="268"/>
      <c r="MOO548" s="268"/>
      <c r="MOP548" s="268"/>
      <c r="MOQ548" s="268"/>
      <c r="MOR548" s="268"/>
      <c r="MOS548" s="268"/>
      <c r="MOT548" s="268"/>
      <c r="MOU548" s="268"/>
      <c r="MOV548" s="268"/>
      <c r="MOW548" s="268"/>
      <c r="MOX548" s="268"/>
      <c r="MOY548" s="268"/>
      <c r="MOZ548" s="268"/>
      <c r="MPA548" s="268"/>
      <c r="MPB548" s="268"/>
      <c r="MPC548" s="268"/>
      <c r="MPQ548" s="268"/>
      <c r="MPR548" s="268"/>
      <c r="MPS548" s="268"/>
      <c r="MQG548" s="268"/>
      <c r="MQI548" s="268"/>
      <c r="MQJ548" s="268"/>
      <c r="MQK548" s="268"/>
      <c r="MQL548" s="268"/>
      <c r="MQM548" s="268"/>
      <c r="MQN548" s="268"/>
      <c r="MQO548" s="268"/>
      <c r="MQP548" s="268"/>
      <c r="MQQ548" s="268"/>
      <c r="MQR548" s="268"/>
      <c r="MQS548" s="268"/>
      <c r="MQT548" s="268"/>
      <c r="MQU548" s="268"/>
      <c r="MQV548" s="268"/>
      <c r="MQW548" s="268"/>
      <c r="MQX548" s="268"/>
      <c r="MQY548" s="268"/>
      <c r="MQZ548" s="268"/>
      <c r="MRA548" s="268"/>
      <c r="MRB548" s="268"/>
      <c r="MRC548" s="268"/>
      <c r="MRD548" s="268"/>
      <c r="MRE548" s="268"/>
      <c r="MRF548" s="268"/>
      <c r="MRG548" s="268"/>
      <c r="MRH548" s="268"/>
      <c r="MRI548" s="268"/>
      <c r="MRJ548" s="268"/>
      <c r="MRK548" s="268"/>
      <c r="MRL548" s="268"/>
      <c r="MRM548" s="268"/>
      <c r="MRN548" s="268"/>
      <c r="MRO548" s="268"/>
      <c r="MRP548" s="268"/>
      <c r="MRQ548" s="268"/>
      <c r="MRR548" s="268"/>
      <c r="MRS548" s="268"/>
      <c r="MRT548" s="268"/>
      <c r="MRU548" s="268"/>
      <c r="MRV548" s="268"/>
      <c r="MRW548" s="268"/>
      <c r="MRX548" s="268"/>
      <c r="MRY548" s="268"/>
      <c r="MRZ548" s="268"/>
      <c r="MSA548" s="268"/>
      <c r="MSB548" s="268"/>
      <c r="MSC548" s="268"/>
      <c r="MSD548" s="268"/>
      <c r="MSE548" s="268"/>
      <c r="MSF548" s="268"/>
      <c r="MSG548" s="268"/>
      <c r="MSH548" s="268"/>
      <c r="MSI548" s="268"/>
      <c r="MSJ548" s="268"/>
      <c r="MSK548" s="268"/>
      <c r="MSL548" s="268"/>
      <c r="MSM548" s="268"/>
      <c r="MSN548" s="268"/>
      <c r="MSO548" s="268"/>
      <c r="MSP548" s="268"/>
      <c r="MSQ548" s="268"/>
      <c r="MSR548" s="268"/>
      <c r="MSS548" s="268"/>
      <c r="MST548" s="268"/>
      <c r="MSU548" s="268"/>
      <c r="MSV548" s="268"/>
      <c r="MSW548" s="268"/>
      <c r="MSX548" s="268"/>
      <c r="MSY548" s="268"/>
      <c r="MSZ548" s="268"/>
      <c r="MTA548" s="268"/>
      <c r="MTB548" s="268"/>
      <c r="MTC548" s="268"/>
      <c r="MTD548" s="268"/>
      <c r="MTE548" s="268"/>
      <c r="MTF548" s="268"/>
      <c r="MTG548" s="268"/>
      <c r="MTH548" s="268"/>
      <c r="MTI548" s="268"/>
      <c r="MTJ548" s="268"/>
      <c r="MTK548" s="268"/>
      <c r="MTL548" s="268"/>
      <c r="MTM548" s="268"/>
      <c r="MTN548" s="268"/>
      <c r="MTO548" s="268"/>
      <c r="MTP548" s="268"/>
      <c r="MTQ548" s="268"/>
      <c r="MTR548" s="268"/>
      <c r="MTS548" s="268"/>
      <c r="MTT548" s="268"/>
      <c r="MTU548" s="268"/>
      <c r="MTV548" s="268"/>
      <c r="MTW548" s="268"/>
      <c r="MTX548" s="268"/>
      <c r="MTY548" s="268"/>
      <c r="MTZ548" s="268"/>
      <c r="MUA548" s="268"/>
      <c r="MUB548" s="268"/>
      <c r="MUC548" s="268"/>
      <c r="MUD548" s="268"/>
      <c r="MUE548" s="268"/>
      <c r="MUF548" s="268"/>
      <c r="MUG548" s="268"/>
      <c r="MUH548" s="268"/>
      <c r="MUI548" s="268"/>
      <c r="MUJ548" s="268"/>
      <c r="MUK548" s="268"/>
      <c r="MUL548" s="268"/>
      <c r="MUM548" s="268"/>
      <c r="MUN548" s="268"/>
      <c r="MUO548" s="268"/>
      <c r="MUP548" s="268"/>
      <c r="MUQ548" s="268"/>
      <c r="MUR548" s="268"/>
      <c r="MUS548" s="268"/>
      <c r="MUT548" s="268"/>
      <c r="MUU548" s="268"/>
      <c r="MUV548" s="268"/>
      <c r="MUW548" s="268"/>
      <c r="MUX548" s="268"/>
      <c r="MUY548" s="268"/>
      <c r="MUZ548" s="268"/>
      <c r="MVA548" s="268"/>
      <c r="MVB548" s="268"/>
      <c r="MVC548" s="268"/>
      <c r="MVD548" s="268"/>
      <c r="MVE548" s="268"/>
      <c r="MVF548" s="268"/>
      <c r="MVG548" s="268"/>
      <c r="MVH548" s="268"/>
      <c r="MVI548" s="268"/>
      <c r="MVJ548" s="268"/>
      <c r="MVK548" s="268"/>
      <c r="MVL548" s="268"/>
      <c r="MVM548" s="268"/>
      <c r="MVN548" s="268"/>
      <c r="MVO548" s="268"/>
      <c r="MVP548" s="268"/>
      <c r="MVQ548" s="268"/>
      <c r="MVR548" s="268"/>
      <c r="MVS548" s="268"/>
      <c r="MVT548" s="268"/>
      <c r="MVU548" s="268"/>
      <c r="MVV548" s="268"/>
      <c r="MVW548" s="268"/>
      <c r="MVX548" s="268"/>
      <c r="MVY548" s="268"/>
      <c r="MVZ548" s="268"/>
      <c r="MWA548" s="268"/>
      <c r="MWB548" s="268"/>
      <c r="MWC548" s="268"/>
      <c r="MWD548" s="268"/>
      <c r="MWE548" s="268"/>
      <c r="MWF548" s="268"/>
      <c r="MWG548" s="268"/>
      <c r="MWH548" s="268"/>
      <c r="MWI548" s="268"/>
      <c r="MWJ548" s="268"/>
      <c r="MWK548" s="268"/>
      <c r="MWL548" s="268"/>
      <c r="MWM548" s="268"/>
      <c r="MWN548" s="268"/>
      <c r="MWO548" s="268"/>
      <c r="MWP548" s="268"/>
      <c r="MWQ548" s="268"/>
      <c r="MWR548" s="268"/>
      <c r="MWS548" s="268"/>
      <c r="MWT548" s="268"/>
      <c r="MWU548" s="268"/>
      <c r="MWV548" s="268"/>
      <c r="MWW548" s="268"/>
      <c r="MWX548" s="268"/>
      <c r="MWY548" s="268"/>
      <c r="MWZ548" s="268"/>
      <c r="MXA548" s="268"/>
      <c r="MXB548" s="268"/>
      <c r="MXC548" s="268"/>
      <c r="MXD548" s="268"/>
      <c r="MXE548" s="268"/>
      <c r="MXF548" s="268"/>
      <c r="MXG548" s="268"/>
      <c r="MXH548" s="268"/>
      <c r="MXI548" s="268"/>
      <c r="MXJ548" s="268"/>
      <c r="MXK548" s="268"/>
      <c r="MXL548" s="268"/>
      <c r="MXM548" s="268"/>
      <c r="MXN548" s="268"/>
      <c r="MXO548" s="268"/>
      <c r="MXP548" s="268"/>
      <c r="MXQ548" s="268"/>
      <c r="MXR548" s="268"/>
      <c r="MXS548" s="268"/>
      <c r="MXT548" s="268"/>
      <c r="MXU548" s="268"/>
      <c r="MXV548" s="268"/>
      <c r="MXW548" s="268"/>
      <c r="MXX548" s="268"/>
      <c r="MXY548" s="268"/>
      <c r="MXZ548" s="268"/>
      <c r="MYA548" s="268"/>
      <c r="MYB548" s="268"/>
      <c r="MYC548" s="268"/>
      <c r="MYD548" s="268"/>
      <c r="MYE548" s="268"/>
      <c r="MYF548" s="268"/>
      <c r="MYG548" s="268"/>
      <c r="MYH548" s="268"/>
      <c r="MYI548" s="268"/>
      <c r="MYJ548" s="268"/>
      <c r="MYK548" s="268"/>
      <c r="MYL548" s="268"/>
      <c r="MYM548" s="268"/>
      <c r="MYN548" s="268"/>
      <c r="MYO548" s="268"/>
      <c r="MYP548" s="268"/>
      <c r="MYQ548" s="268"/>
      <c r="MYR548" s="268"/>
      <c r="MYS548" s="268"/>
      <c r="MYT548" s="268"/>
      <c r="MYU548" s="268"/>
      <c r="MYV548" s="268"/>
      <c r="MYW548" s="268"/>
      <c r="MYX548" s="268"/>
      <c r="MYY548" s="268"/>
      <c r="MZM548" s="268"/>
      <c r="MZN548" s="268"/>
      <c r="MZO548" s="268"/>
      <c r="NAC548" s="268"/>
      <c r="NAE548" s="268"/>
      <c r="NAF548" s="268"/>
      <c r="NAG548" s="268"/>
      <c r="NAH548" s="268"/>
      <c r="NAI548" s="268"/>
      <c r="NAJ548" s="268"/>
      <c r="NAK548" s="268"/>
      <c r="NAL548" s="268"/>
      <c r="NAM548" s="268"/>
      <c r="NAN548" s="268"/>
      <c r="NAO548" s="268"/>
      <c r="NAP548" s="268"/>
      <c r="NAQ548" s="268"/>
      <c r="NAR548" s="268"/>
      <c r="NAS548" s="268"/>
      <c r="NAT548" s="268"/>
      <c r="NAU548" s="268"/>
      <c r="NAV548" s="268"/>
      <c r="NAW548" s="268"/>
      <c r="NAX548" s="268"/>
      <c r="NAY548" s="268"/>
      <c r="NAZ548" s="268"/>
      <c r="NBA548" s="268"/>
      <c r="NBB548" s="268"/>
      <c r="NBC548" s="268"/>
      <c r="NBD548" s="268"/>
      <c r="NBE548" s="268"/>
      <c r="NBF548" s="268"/>
      <c r="NBG548" s="268"/>
      <c r="NBH548" s="268"/>
      <c r="NBI548" s="268"/>
      <c r="NBJ548" s="268"/>
      <c r="NBK548" s="268"/>
      <c r="NBL548" s="268"/>
      <c r="NBM548" s="268"/>
      <c r="NBN548" s="268"/>
      <c r="NBO548" s="268"/>
      <c r="NBP548" s="268"/>
      <c r="NBQ548" s="268"/>
      <c r="NBR548" s="268"/>
      <c r="NBS548" s="268"/>
      <c r="NBT548" s="268"/>
      <c r="NBU548" s="268"/>
      <c r="NBV548" s="268"/>
      <c r="NBW548" s="268"/>
      <c r="NBX548" s="268"/>
      <c r="NBY548" s="268"/>
      <c r="NBZ548" s="268"/>
      <c r="NCA548" s="268"/>
      <c r="NCB548" s="268"/>
      <c r="NCC548" s="268"/>
      <c r="NCD548" s="268"/>
      <c r="NCE548" s="268"/>
      <c r="NCF548" s="268"/>
      <c r="NCG548" s="268"/>
      <c r="NCH548" s="268"/>
      <c r="NCI548" s="268"/>
      <c r="NCJ548" s="268"/>
      <c r="NCK548" s="268"/>
      <c r="NCL548" s="268"/>
      <c r="NCM548" s="268"/>
      <c r="NCN548" s="268"/>
      <c r="NCO548" s="268"/>
      <c r="NCP548" s="268"/>
      <c r="NCQ548" s="268"/>
      <c r="NCR548" s="268"/>
      <c r="NCS548" s="268"/>
      <c r="NCT548" s="268"/>
      <c r="NCU548" s="268"/>
      <c r="NCV548" s="268"/>
      <c r="NCW548" s="268"/>
      <c r="NCX548" s="268"/>
      <c r="NCY548" s="268"/>
      <c r="NCZ548" s="268"/>
      <c r="NDA548" s="268"/>
      <c r="NDB548" s="268"/>
      <c r="NDC548" s="268"/>
      <c r="NDD548" s="268"/>
      <c r="NDE548" s="268"/>
      <c r="NDF548" s="268"/>
      <c r="NDG548" s="268"/>
      <c r="NDH548" s="268"/>
      <c r="NDI548" s="268"/>
      <c r="NDJ548" s="268"/>
      <c r="NDK548" s="268"/>
      <c r="NDL548" s="268"/>
      <c r="NDM548" s="268"/>
      <c r="NDN548" s="268"/>
      <c r="NDO548" s="268"/>
      <c r="NDP548" s="268"/>
      <c r="NDQ548" s="268"/>
      <c r="NDR548" s="268"/>
      <c r="NDS548" s="268"/>
      <c r="NDT548" s="268"/>
      <c r="NDU548" s="268"/>
      <c r="NDV548" s="268"/>
      <c r="NDW548" s="268"/>
      <c r="NDX548" s="268"/>
      <c r="NDY548" s="268"/>
      <c r="NDZ548" s="268"/>
      <c r="NEA548" s="268"/>
      <c r="NEB548" s="268"/>
      <c r="NEC548" s="268"/>
      <c r="NED548" s="268"/>
      <c r="NEE548" s="268"/>
      <c r="NEF548" s="268"/>
      <c r="NEG548" s="268"/>
      <c r="NEH548" s="268"/>
      <c r="NEI548" s="268"/>
      <c r="NEJ548" s="268"/>
      <c r="NEK548" s="268"/>
      <c r="NEL548" s="268"/>
      <c r="NEM548" s="268"/>
      <c r="NEN548" s="268"/>
      <c r="NEO548" s="268"/>
      <c r="NEP548" s="268"/>
      <c r="NEQ548" s="268"/>
      <c r="NER548" s="268"/>
      <c r="NES548" s="268"/>
      <c r="NET548" s="268"/>
      <c r="NEU548" s="268"/>
      <c r="NEV548" s="268"/>
      <c r="NEW548" s="268"/>
      <c r="NEX548" s="268"/>
      <c r="NEY548" s="268"/>
      <c r="NEZ548" s="268"/>
      <c r="NFA548" s="268"/>
      <c r="NFB548" s="268"/>
      <c r="NFC548" s="268"/>
      <c r="NFD548" s="268"/>
      <c r="NFE548" s="268"/>
      <c r="NFF548" s="268"/>
      <c r="NFG548" s="268"/>
      <c r="NFH548" s="268"/>
      <c r="NFI548" s="268"/>
      <c r="NFJ548" s="268"/>
      <c r="NFK548" s="268"/>
      <c r="NFL548" s="268"/>
      <c r="NFM548" s="268"/>
      <c r="NFN548" s="268"/>
      <c r="NFO548" s="268"/>
      <c r="NFP548" s="268"/>
      <c r="NFQ548" s="268"/>
      <c r="NFR548" s="268"/>
      <c r="NFS548" s="268"/>
      <c r="NFT548" s="268"/>
      <c r="NFU548" s="268"/>
      <c r="NFV548" s="268"/>
      <c r="NFW548" s="268"/>
      <c r="NFX548" s="268"/>
      <c r="NFY548" s="268"/>
      <c r="NFZ548" s="268"/>
      <c r="NGA548" s="268"/>
      <c r="NGB548" s="268"/>
      <c r="NGC548" s="268"/>
      <c r="NGD548" s="268"/>
      <c r="NGE548" s="268"/>
      <c r="NGF548" s="268"/>
      <c r="NGG548" s="268"/>
      <c r="NGH548" s="268"/>
      <c r="NGI548" s="268"/>
      <c r="NGJ548" s="268"/>
      <c r="NGK548" s="268"/>
      <c r="NGL548" s="268"/>
      <c r="NGM548" s="268"/>
      <c r="NGN548" s="268"/>
      <c r="NGO548" s="268"/>
      <c r="NGP548" s="268"/>
      <c r="NGQ548" s="268"/>
      <c r="NGR548" s="268"/>
      <c r="NGS548" s="268"/>
      <c r="NGT548" s="268"/>
      <c r="NGU548" s="268"/>
      <c r="NGV548" s="268"/>
      <c r="NGW548" s="268"/>
      <c r="NGX548" s="268"/>
      <c r="NGY548" s="268"/>
      <c r="NGZ548" s="268"/>
      <c r="NHA548" s="268"/>
      <c r="NHB548" s="268"/>
      <c r="NHC548" s="268"/>
      <c r="NHD548" s="268"/>
      <c r="NHE548" s="268"/>
      <c r="NHF548" s="268"/>
      <c r="NHG548" s="268"/>
      <c r="NHH548" s="268"/>
      <c r="NHI548" s="268"/>
      <c r="NHJ548" s="268"/>
      <c r="NHK548" s="268"/>
      <c r="NHL548" s="268"/>
      <c r="NHM548" s="268"/>
      <c r="NHN548" s="268"/>
      <c r="NHO548" s="268"/>
      <c r="NHP548" s="268"/>
      <c r="NHQ548" s="268"/>
      <c r="NHR548" s="268"/>
      <c r="NHS548" s="268"/>
      <c r="NHT548" s="268"/>
      <c r="NHU548" s="268"/>
      <c r="NHV548" s="268"/>
      <c r="NHW548" s="268"/>
      <c r="NHX548" s="268"/>
      <c r="NHY548" s="268"/>
      <c r="NHZ548" s="268"/>
      <c r="NIA548" s="268"/>
      <c r="NIB548" s="268"/>
      <c r="NIC548" s="268"/>
      <c r="NID548" s="268"/>
      <c r="NIE548" s="268"/>
      <c r="NIF548" s="268"/>
      <c r="NIG548" s="268"/>
      <c r="NIH548" s="268"/>
      <c r="NII548" s="268"/>
      <c r="NIJ548" s="268"/>
      <c r="NIK548" s="268"/>
      <c r="NIL548" s="268"/>
      <c r="NIM548" s="268"/>
      <c r="NIN548" s="268"/>
      <c r="NIO548" s="268"/>
      <c r="NIP548" s="268"/>
      <c r="NIQ548" s="268"/>
      <c r="NIR548" s="268"/>
      <c r="NIS548" s="268"/>
      <c r="NIT548" s="268"/>
      <c r="NIU548" s="268"/>
      <c r="NJI548" s="268"/>
      <c r="NJJ548" s="268"/>
      <c r="NJK548" s="268"/>
      <c r="NJY548" s="268"/>
      <c r="NKA548" s="268"/>
      <c r="NKB548" s="268"/>
      <c r="NKC548" s="268"/>
      <c r="NKD548" s="268"/>
      <c r="NKE548" s="268"/>
      <c r="NKF548" s="268"/>
      <c r="NKG548" s="268"/>
      <c r="NKH548" s="268"/>
      <c r="NKI548" s="268"/>
      <c r="NKJ548" s="268"/>
      <c r="NKK548" s="268"/>
      <c r="NKL548" s="268"/>
      <c r="NKM548" s="268"/>
      <c r="NKN548" s="268"/>
      <c r="NKO548" s="268"/>
      <c r="NKP548" s="268"/>
      <c r="NKQ548" s="268"/>
      <c r="NKR548" s="268"/>
      <c r="NKS548" s="268"/>
      <c r="NKT548" s="268"/>
      <c r="NKU548" s="268"/>
      <c r="NKV548" s="268"/>
      <c r="NKW548" s="268"/>
      <c r="NKX548" s="268"/>
      <c r="NKY548" s="268"/>
      <c r="NKZ548" s="268"/>
      <c r="NLA548" s="268"/>
      <c r="NLB548" s="268"/>
      <c r="NLC548" s="268"/>
      <c r="NLD548" s="268"/>
      <c r="NLE548" s="268"/>
      <c r="NLF548" s="268"/>
      <c r="NLG548" s="268"/>
      <c r="NLH548" s="268"/>
      <c r="NLI548" s="268"/>
      <c r="NLJ548" s="268"/>
      <c r="NLK548" s="268"/>
      <c r="NLL548" s="268"/>
      <c r="NLM548" s="268"/>
      <c r="NLN548" s="268"/>
      <c r="NLO548" s="268"/>
      <c r="NLP548" s="268"/>
      <c r="NLQ548" s="268"/>
      <c r="NLR548" s="268"/>
      <c r="NLS548" s="268"/>
      <c r="NLT548" s="268"/>
      <c r="NLU548" s="268"/>
      <c r="NLV548" s="268"/>
      <c r="NLW548" s="268"/>
      <c r="NLX548" s="268"/>
      <c r="NLY548" s="268"/>
      <c r="NLZ548" s="268"/>
      <c r="NMA548" s="268"/>
      <c r="NMB548" s="268"/>
      <c r="NMC548" s="268"/>
      <c r="NMD548" s="268"/>
      <c r="NME548" s="268"/>
      <c r="NMF548" s="268"/>
      <c r="NMG548" s="268"/>
      <c r="NMH548" s="268"/>
      <c r="NMI548" s="268"/>
      <c r="NMJ548" s="268"/>
      <c r="NMK548" s="268"/>
      <c r="NML548" s="268"/>
      <c r="NMM548" s="268"/>
      <c r="NMN548" s="268"/>
      <c r="NMO548" s="268"/>
      <c r="NMP548" s="268"/>
      <c r="NMQ548" s="268"/>
      <c r="NMR548" s="268"/>
      <c r="NMS548" s="268"/>
      <c r="NMT548" s="268"/>
      <c r="NMU548" s="268"/>
      <c r="NMV548" s="268"/>
      <c r="NMW548" s="268"/>
      <c r="NMX548" s="268"/>
      <c r="NMY548" s="268"/>
      <c r="NMZ548" s="268"/>
      <c r="NNA548" s="268"/>
      <c r="NNB548" s="268"/>
      <c r="NNC548" s="268"/>
      <c r="NND548" s="268"/>
      <c r="NNE548" s="268"/>
      <c r="NNF548" s="268"/>
      <c r="NNG548" s="268"/>
      <c r="NNH548" s="268"/>
      <c r="NNI548" s="268"/>
      <c r="NNJ548" s="268"/>
      <c r="NNK548" s="268"/>
      <c r="NNL548" s="268"/>
      <c r="NNM548" s="268"/>
      <c r="NNN548" s="268"/>
      <c r="NNO548" s="268"/>
      <c r="NNP548" s="268"/>
      <c r="NNQ548" s="268"/>
      <c r="NNR548" s="268"/>
      <c r="NNS548" s="268"/>
      <c r="NNT548" s="268"/>
      <c r="NNU548" s="268"/>
      <c r="NNV548" s="268"/>
      <c r="NNW548" s="268"/>
      <c r="NNX548" s="268"/>
      <c r="NNY548" s="268"/>
      <c r="NNZ548" s="268"/>
      <c r="NOA548" s="268"/>
      <c r="NOB548" s="268"/>
      <c r="NOC548" s="268"/>
      <c r="NOD548" s="268"/>
      <c r="NOE548" s="268"/>
      <c r="NOF548" s="268"/>
      <c r="NOG548" s="268"/>
      <c r="NOH548" s="268"/>
      <c r="NOI548" s="268"/>
      <c r="NOJ548" s="268"/>
      <c r="NOK548" s="268"/>
      <c r="NOL548" s="268"/>
      <c r="NOM548" s="268"/>
      <c r="NON548" s="268"/>
      <c r="NOO548" s="268"/>
      <c r="NOP548" s="268"/>
      <c r="NOQ548" s="268"/>
      <c r="NOR548" s="268"/>
      <c r="NOS548" s="268"/>
      <c r="NOT548" s="268"/>
      <c r="NOU548" s="268"/>
      <c r="NOV548" s="268"/>
      <c r="NOW548" s="268"/>
      <c r="NOX548" s="268"/>
      <c r="NOY548" s="268"/>
      <c r="NOZ548" s="268"/>
      <c r="NPA548" s="268"/>
      <c r="NPB548" s="268"/>
      <c r="NPC548" s="268"/>
      <c r="NPD548" s="268"/>
      <c r="NPE548" s="268"/>
      <c r="NPF548" s="268"/>
      <c r="NPG548" s="268"/>
      <c r="NPH548" s="268"/>
      <c r="NPI548" s="268"/>
      <c r="NPJ548" s="268"/>
      <c r="NPK548" s="268"/>
      <c r="NPL548" s="268"/>
      <c r="NPM548" s="268"/>
      <c r="NPN548" s="268"/>
      <c r="NPO548" s="268"/>
      <c r="NPP548" s="268"/>
      <c r="NPQ548" s="268"/>
      <c r="NPR548" s="268"/>
      <c r="NPS548" s="268"/>
      <c r="NPT548" s="268"/>
      <c r="NPU548" s="268"/>
      <c r="NPV548" s="268"/>
      <c r="NPW548" s="268"/>
      <c r="NPX548" s="268"/>
      <c r="NPY548" s="268"/>
      <c r="NPZ548" s="268"/>
      <c r="NQA548" s="268"/>
      <c r="NQB548" s="268"/>
      <c r="NQC548" s="268"/>
      <c r="NQD548" s="268"/>
      <c r="NQE548" s="268"/>
      <c r="NQF548" s="268"/>
      <c r="NQG548" s="268"/>
      <c r="NQH548" s="268"/>
      <c r="NQI548" s="268"/>
      <c r="NQJ548" s="268"/>
      <c r="NQK548" s="268"/>
      <c r="NQL548" s="268"/>
      <c r="NQM548" s="268"/>
      <c r="NQN548" s="268"/>
      <c r="NQO548" s="268"/>
      <c r="NQP548" s="268"/>
      <c r="NQQ548" s="268"/>
      <c r="NQR548" s="268"/>
      <c r="NQS548" s="268"/>
      <c r="NQT548" s="268"/>
      <c r="NQU548" s="268"/>
      <c r="NQV548" s="268"/>
      <c r="NQW548" s="268"/>
      <c r="NQX548" s="268"/>
      <c r="NQY548" s="268"/>
      <c r="NQZ548" s="268"/>
      <c r="NRA548" s="268"/>
      <c r="NRB548" s="268"/>
      <c r="NRC548" s="268"/>
      <c r="NRD548" s="268"/>
      <c r="NRE548" s="268"/>
      <c r="NRF548" s="268"/>
      <c r="NRG548" s="268"/>
      <c r="NRH548" s="268"/>
      <c r="NRI548" s="268"/>
      <c r="NRJ548" s="268"/>
      <c r="NRK548" s="268"/>
      <c r="NRL548" s="268"/>
      <c r="NRM548" s="268"/>
      <c r="NRN548" s="268"/>
      <c r="NRO548" s="268"/>
      <c r="NRP548" s="268"/>
      <c r="NRQ548" s="268"/>
      <c r="NRR548" s="268"/>
      <c r="NRS548" s="268"/>
      <c r="NRT548" s="268"/>
      <c r="NRU548" s="268"/>
      <c r="NRV548" s="268"/>
      <c r="NRW548" s="268"/>
      <c r="NRX548" s="268"/>
      <c r="NRY548" s="268"/>
      <c r="NRZ548" s="268"/>
      <c r="NSA548" s="268"/>
      <c r="NSB548" s="268"/>
      <c r="NSC548" s="268"/>
      <c r="NSD548" s="268"/>
      <c r="NSE548" s="268"/>
      <c r="NSF548" s="268"/>
      <c r="NSG548" s="268"/>
      <c r="NSH548" s="268"/>
      <c r="NSI548" s="268"/>
      <c r="NSJ548" s="268"/>
      <c r="NSK548" s="268"/>
      <c r="NSL548" s="268"/>
      <c r="NSM548" s="268"/>
      <c r="NSN548" s="268"/>
      <c r="NSO548" s="268"/>
      <c r="NSP548" s="268"/>
      <c r="NSQ548" s="268"/>
      <c r="NTE548" s="268"/>
      <c r="NTF548" s="268"/>
      <c r="NTG548" s="268"/>
      <c r="NTU548" s="268"/>
      <c r="NTW548" s="268"/>
      <c r="NTX548" s="268"/>
      <c r="NTY548" s="268"/>
      <c r="NTZ548" s="268"/>
      <c r="NUA548" s="268"/>
      <c r="NUB548" s="268"/>
      <c r="NUC548" s="268"/>
      <c r="NUD548" s="268"/>
      <c r="NUE548" s="268"/>
      <c r="NUF548" s="268"/>
      <c r="NUG548" s="268"/>
      <c r="NUH548" s="268"/>
      <c r="NUI548" s="268"/>
      <c r="NUJ548" s="268"/>
      <c r="NUK548" s="268"/>
      <c r="NUL548" s="268"/>
      <c r="NUM548" s="268"/>
      <c r="NUN548" s="268"/>
      <c r="NUO548" s="268"/>
      <c r="NUP548" s="268"/>
      <c r="NUQ548" s="268"/>
      <c r="NUR548" s="268"/>
      <c r="NUS548" s="268"/>
      <c r="NUT548" s="268"/>
      <c r="NUU548" s="268"/>
      <c r="NUV548" s="268"/>
      <c r="NUW548" s="268"/>
      <c r="NUX548" s="268"/>
      <c r="NUY548" s="268"/>
      <c r="NUZ548" s="268"/>
      <c r="NVA548" s="268"/>
      <c r="NVB548" s="268"/>
      <c r="NVC548" s="268"/>
      <c r="NVD548" s="268"/>
      <c r="NVE548" s="268"/>
      <c r="NVF548" s="268"/>
      <c r="NVG548" s="268"/>
      <c r="NVH548" s="268"/>
      <c r="NVI548" s="268"/>
      <c r="NVJ548" s="268"/>
      <c r="NVK548" s="268"/>
      <c r="NVL548" s="268"/>
      <c r="NVM548" s="268"/>
      <c r="NVN548" s="268"/>
      <c r="NVO548" s="268"/>
      <c r="NVP548" s="268"/>
      <c r="NVQ548" s="268"/>
      <c r="NVR548" s="268"/>
      <c r="NVS548" s="268"/>
      <c r="NVT548" s="268"/>
      <c r="NVU548" s="268"/>
      <c r="NVV548" s="268"/>
      <c r="NVW548" s="268"/>
      <c r="NVX548" s="268"/>
      <c r="NVY548" s="268"/>
      <c r="NVZ548" s="268"/>
      <c r="NWA548" s="268"/>
      <c r="NWB548" s="268"/>
      <c r="NWC548" s="268"/>
      <c r="NWD548" s="268"/>
      <c r="NWE548" s="268"/>
      <c r="NWF548" s="268"/>
      <c r="NWG548" s="268"/>
      <c r="NWH548" s="268"/>
      <c r="NWI548" s="268"/>
      <c r="NWJ548" s="268"/>
      <c r="NWK548" s="268"/>
      <c r="NWL548" s="268"/>
      <c r="NWM548" s="268"/>
      <c r="NWN548" s="268"/>
      <c r="NWO548" s="268"/>
      <c r="NWP548" s="268"/>
      <c r="NWQ548" s="268"/>
      <c r="NWR548" s="268"/>
      <c r="NWS548" s="268"/>
      <c r="NWT548" s="268"/>
      <c r="NWU548" s="268"/>
      <c r="NWV548" s="268"/>
      <c r="NWW548" s="268"/>
      <c r="NWX548" s="268"/>
      <c r="NWY548" s="268"/>
      <c r="NWZ548" s="268"/>
      <c r="NXA548" s="268"/>
      <c r="NXB548" s="268"/>
      <c r="NXC548" s="268"/>
      <c r="NXD548" s="268"/>
      <c r="NXE548" s="268"/>
      <c r="NXF548" s="268"/>
      <c r="NXG548" s="268"/>
      <c r="NXH548" s="268"/>
      <c r="NXI548" s="268"/>
      <c r="NXJ548" s="268"/>
      <c r="NXK548" s="268"/>
      <c r="NXL548" s="268"/>
      <c r="NXM548" s="268"/>
      <c r="NXN548" s="268"/>
      <c r="NXO548" s="268"/>
      <c r="NXP548" s="268"/>
      <c r="NXQ548" s="268"/>
      <c r="NXR548" s="268"/>
      <c r="NXS548" s="268"/>
      <c r="NXT548" s="268"/>
      <c r="NXU548" s="268"/>
      <c r="NXV548" s="268"/>
      <c r="NXW548" s="268"/>
      <c r="NXX548" s="268"/>
      <c r="NXY548" s="268"/>
      <c r="NXZ548" s="268"/>
      <c r="NYA548" s="268"/>
      <c r="NYB548" s="268"/>
      <c r="NYC548" s="268"/>
      <c r="NYD548" s="268"/>
      <c r="NYE548" s="268"/>
      <c r="NYF548" s="268"/>
      <c r="NYG548" s="268"/>
      <c r="NYH548" s="268"/>
      <c r="NYI548" s="268"/>
      <c r="NYJ548" s="268"/>
      <c r="NYK548" s="268"/>
      <c r="NYL548" s="268"/>
      <c r="NYM548" s="268"/>
      <c r="NYN548" s="268"/>
      <c r="NYO548" s="268"/>
      <c r="NYP548" s="268"/>
      <c r="NYQ548" s="268"/>
      <c r="NYR548" s="268"/>
      <c r="NYS548" s="268"/>
      <c r="NYT548" s="268"/>
      <c r="NYU548" s="268"/>
      <c r="NYV548" s="268"/>
      <c r="NYW548" s="268"/>
      <c r="NYX548" s="268"/>
      <c r="NYY548" s="268"/>
      <c r="NYZ548" s="268"/>
      <c r="NZA548" s="268"/>
      <c r="NZB548" s="268"/>
      <c r="NZC548" s="268"/>
      <c r="NZD548" s="268"/>
      <c r="NZE548" s="268"/>
      <c r="NZF548" s="268"/>
      <c r="NZG548" s="268"/>
      <c r="NZH548" s="268"/>
      <c r="NZI548" s="268"/>
      <c r="NZJ548" s="268"/>
      <c r="NZK548" s="268"/>
      <c r="NZL548" s="268"/>
      <c r="NZM548" s="268"/>
      <c r="NZN548" s="268"/>
      <c r="NZO548" s="268"/>
      <c r="NZP548" s="268"/>
      <c r="NZQ548" s="268"/>
      <c r="NZR548" s="268"/>
      <c r="NZS548" s="268"/>
      <c r="NZT548" s="268"/>
      <c r="NZU548" s="268"/>
      <c r="NZV548" s="268"/>
      <c r="NZW548" s="268"/>
      <c r="NZX548" s="268"/>
      <c r="NZY548" s="268"/>
      <c r="NZZ548" s="268"/>
      <c r="OAA548" s="268"/>
      <c r="OAB548" s="268"/>
      <c r="OAC548" s="268"/>
      <c r="OAD548" s="268"/>
      <c r="OAE548" s="268"/>
      <c r="OAF548" s="268"/>
      <c r="OAG548" s="268"/>
      <c r="OAH548" s="268"/>
      <c r="OAI548" s="268"/>
      <c r="OAJ548" s="268"/>
      <c r="OAK548" s="268"/>
      <c r="OAL548" s="268"/>
      <c r="OAM548" s="268"/>
      <c r="OAN548" s="268"/>
      <c r="OAO548" s="268"/>
      <c r="OAP548" s="268"/>
      <c r="OAQ548" s="268"/>
      <c r="OAR548" s="268"/>
      <c r="OAS548" s="268"/>
      <c r="OAT548" s="268"/>
      <c r="OAU548" s="268"/>
      <c r="OAV548" s="268"/>
      <c r="OAW548" s="268"/>
      <c r="OAX548" s="268"/>
      <c r="OAY548" s="268"/>
      <c r="OAZ548" s="268"/>
      <c r="OBA548" s="268"/>
      <c r="OBB548" s="268"/>
      <c r="OBC548" s="268"/>
      <c r="OBD548" s="268"/>
      <c r="OBE548" s="268"/>
      <c r="OBF548" s="268"/>
      <c r="OBG548" s="268"/>
      <c r="OBH548" s="268"/>
      <c r="OBI548" s="268"/>
      <c r="OBJ548" s="268"/>
      <c r="OBK548" s="268"/>
      <c r="OBL548" s="268"/>
      <c r="OBM548" s="268"/>
      <c r="OBN548" s="268"/>
      <c r="OBO548" s="268"/>
      <c r="OBP548" s="268"/>
      <c r="OBQ548" s="268"/>
      <c r="OBR548" s="268"/>
      <c r="OBS548" s="268"/>
      <c r="OBT548" s="268"/>
      <c r="OBU548" s="268"/>
      <c r="OBV548" s="268"/>
      <c r="OBW548" s="268"/>
      <c r="OBX548" s="268"/>
      <c r="OBY548" s="268"/>
      <c r="OBZ548" s="268"/>
      <c r="OCA548" s="268"/>
      <c r="OCB548" s="268"/>
      <c r="OCC548" s="268"/>
      <c r="OCD548" s="268"/>
      <c r="OCE548" s="268"/>
      <c r="OCF548" s="268"/>
      <c r="OCG548" s="268"/>
      <c r="OCH548" s="268"/>
      <c r="OCI548" s="268"/>
      <c r="OCJ548" s="268"/>
      <c r="OCK548" s="268"/>
      <c r="OCL548" s="268"/>
      <c r="OCM548" s="268"/>
      <c r="ODA548" s="268"/>
      <c r="ODB548" s="268"/>
      <c r="ODC548" s="268"/>
      <c r="ODQ548" s="268"/>
      <c r="ODS548" s="268"/>
      <c r="ODT548" s="268"/>
      <c r="ODU548" s="268"/>
      <c r="ODV548" s="268"/>
      <c r="ODW548" s="268"/>
      <c r="ODX548" s="268"/>
      <c r="ODY548" s="268"/>
      <c r="ODZ548" s="268"/>
      <c r="OEA548" s="268"/>
      <c r="OEB548" s="268"/>
      <c r="OEC548" s="268"/>
      <c r="OED548" s="268"/>
      <c r="OEE548" s="268"/>
      <c r="OEF548" s="268"/>
      <c r="OEG548" s="268"/>
      <c r="OEH548" s="268"/>
      <c r="OEI548" s="268"/>
      <c r="OEJ548" s="268"/>
      <c r="OEK548" s="268"/>
      <c r="OEL548" s="268"/>
      <c r="OEM548" s="268"/>
      <c r="OEN548" s="268"/>
      <c r="OEO548" s="268"/>
      <c r="OEP548" s="268"/>
      <c r="OEQ548" s="268"/>
      <c r="OER548" s="268"/>
      <c r="OES548" s="268"/>
      <c r="OET548" s="268"/>
      <c r="OEU548" s="268"/>
      <c r="OEV548" s="268"/>
      <c r="OEW548" s="268"/>
      <c r="OEX548" s="268"/>
      <c r="OEY548" s="268"/>
      <c r="OEZ548" s="268"/>
      <c r="OFA548" s="268"/>
      <c r="OFB548" s="268"/>
      <c r="OFC548" s="268"/>
      <c r="OFD548" s="268"/>
      <c r="OFE548" s="268"/>
      <c r="OFF548" s="268"/>
      <c r="OFG548" s="268"/>
      <c r="OFH548" s="268"/>
      <c r="OFI548" s="268"/>
      <c r="OFJ548" s="268"/>
      <c r="OFK548" s="268"/>
      <c r="OFL548" s="268"/>
      <c r="OFM548" s="268"/>
      <c r="OFN548" s="268"/>
      <c r="OFO548" s="268"/>
      <c r="OFP548" s="268"/>
      <c r="OFQ548" s="268"/>
      <c r="OFR548" s="268"/>
      <c r="OFS548" s="268"/>
      <c r="OFT548" s="268"/>
      <c r="OFU548" s="268"/>
      <c r="OFV548" s="268"/>
      <c r="OFW548" s="268"/>
      <c r="OFX548" s="268"/>
      <c r="OFY548" s="268"/>
      <c r="OFZ548" s="268"/>
      <c r="OGA548" s="268"/>
      <c r="OGB548" s="268"/>
      <c r="OGC548" s="268"/>
      <c r="OGD548" s="268"/>
      <c r="OGE548" s="268"/>
      <c r="OGF548" s="268"/>
      <c r="OGG548" s="268"/>
      <c r="OGH548" s="268"/>
      <c r="OGI548" s="268"/>
      <c r="OGJ548" s="268"/>
      <c r="OGK548" s="268"/>
      <c r="OGL548" s="268"/>
      <c r="OGM548" s="268"/>
      <c r="OGN548" s="268"/>
      <c r="OGO548" s="268"/>
      <c r="OGP548" s="268"/>
      <c r="OGQ548" s="268"/>
      <c r="OGR548" s="268"/>
      <c r="OGS548" s="268"/>
      <c r="OGT548" s="268"/>
      <c r="OGU548" s="268"/>
      <c r="OGV548" s="268"/>
      <c r="OGW548" s="268"/>
      <c r="OGX548" s="268"/>
      <c r="OGY548" s="268"/>
      <c r="OGZ548" s="268"/>
      <c r="OHA548" s="268"/>
      <c r="OHB548" s="268"/>
      <c r="OHC548" s="268"/>
      <c r="OHD548" s="268"/>
      <c r="OHE548" s="268"/>
      <c r="OHF548" s="268"/>
      <c r="OHG548" s="268"/>
      <c r="OHH548" s="268"/>
      <c r="OHI548" s="268"/>
      <c r="OHJ548" s="268"/>
      <c r="OHK548" s="268"/>
      <c r="OHL548" s="268"/>
      <c r="OHM548" s="268"/>
      <c r="OHN548" s="268"/>
      <c r="OHO548" s="268"/>
      <c r="OHP548" s="268"/>
      <c r="OHQ548" s="268"/>
      <c r="OHR548" s="268"/>
      <c r="OHS548" s="268"/>
      <c r="OHT548" s="268"/>
      <c r="OHU548" s="268"/>
      <c r="OHV548" s="268"/>
      <c r="OHW548" s="268"/>
      <c r="OHX548" s="268"/>
      <c r="OHY548" s="268"/>
      <c r="OHZ548" s="268"/>
      <c r="OIA548" s="268"/>
      <c r="OIB548" s="268"/>
      <c r="OIC548" s="268"/>
      <c r="OID548" s="268"/>
      <c r="OIE548" s="268"/>
      <c r="OIF548" s="268"/>
      <c r="OIG548" s="268"/>
      <c r="OIH548" s="268"/>
      <c r="OII548" s="268"/>
      <c r="OIJ548" s="268"/>
      <c r="OIK548" s="268"/>
      <c r="OIL548" s="268"/>
      <c r="OIM548" s="268"/>
      <c r="OIN548" s="268"/>
      <c r="OIO548" s="268"/>
      <c r="OIP548" s="268"/>
      <c r="OIQ548" s="268"/>
      <c r="OIR548" s="268"/>
      <c r="OIS548" s="268"/>
      <c r="OIT548" s="268"/>
      <c r="OIU548" s="268"/>
      <c r="OIV548" s="268"/>
      <c r="OIW548" s="268"/>
      <c r="OIX548" s="268"/>
      <c r="OIY548" s="268"/>
      <c r="OIZ548" s="268"/>
      <c r="OJA548" s="268"/>
      <c r="OJB548" s="268"/>
      <c r="OJC548" s="268"/>
      <c r="OJD548" s="268"/>
      <c r="OJE548" s="268"/>
      <c r="OJF548" s="268"/>
      <c r="OJG548" s="268"/>
      <c r="OJH548" s="268"/>
      <c r="OJI548" s="268"/>
      <c r="OJJ548" s="268"/>
      <c r="OJK548" s="268"/>
      <c r="OJL548" s="268"/>
      <c r="OJM548" s="268"/>
      <c r="OJN548" s="268"/>
      <c r="OJO548" s="268"/>
      <c r="OJP548" s="268"/>
      <c r="OJQ548" s="268"/>
      <c r="OJR548" s="268"/>
      <c r="OJS548" s="268"/>
      <c r="OJT548" s="268"/>
      <c r="OJU548" s="268"/>
      <c r="OJV548" s="268"/>
      <c r="OJW548" s="268"/>
      <c r="OJX548" s="268"/>
      <c r="OJY548" s="268"/>
      <c r="OJZ548" s="268"/>
      <c r="OKA548" s="268"/>
      <c r="OKB548" s="268"/>
      <c r="OKC548" s="268"/>
      <c r="OKD548" s="268"/>
      <c r="OKE548" s="268"/>
      <c r="OKF548" s="268"/>
      <c r="OKG548" s="268"/>
      <c r="OKH548" s="268"/>
      <c r="OKI548" s="268"/>
      <c r="OKJ548" s="268"/>
      <c r="OKK548" s="268"/>
      <c r="OKL548" s="268"/>
      <c r="OKM548" s="268"/>
      <c r="OKN548" s="268"/>
      <c r="OKO548" s="268"/>
      <c r="OKP548" s="268"/>
      <c r="OKQ548" s="268"/>
      <c r="OKR548" s="268"/>
      <c r="OKS548" s="268"/>
      <c r="OKT548" s="268"/>
      <c r="OKU548" s="268"/>
      <c r="OKV548" s="268"/>
      <c r="OKW548" s="268"/>
      <c r="OKX548" s="268"/>
      <c r="OKY548" s="268"/>
      <c r="OKZ548" s="268"/>
      <c r="OLA548" s="268"/>
      <c r="OLB548" s="268"/>
      <c r="OLC548" s="268"/>
      <c r="OLD548" s="268"/>
      <c r="OLE548" s="268"/>
      <c r="OLF548" s="268"/>
      <c r="OLG548" s="268"/>
      <c r="OLH548" s="268"/>
      <c r="OLI548" s="268"/>
      <c r="OLJ548" s="268"/>
      <c r="OLK548" s="268"/>
      <c r="OLL548" s="268"/>
      <c r="OLM548" s="268"/>
      <c r="OLN548" s="268"/>
      <c r="OLO548" s="268"/>
      <c r="OLP548" s="268"/>
      <c r="OLQ548" s="268"/>
      <c r="OLR548" s="268"/>
      <c r="OLS548" s="268"/>
      <c r="OLT548" s="268"/>
      <c r="OLU548" s="268"/>
      <c r="OLV548" s="268"/>
      <c r="OLW548" s="268"/>
      <c r="OLX548" s="268"/>
      <c r="OLY548" s="268"/>
      <c r="OLZ548" s="268"/>
      <c r="OMA548" s="268"/>
      <c r="OMB548" s="268"/>
      <c r="OMC548" s="268"/>
      <c r="OMD548" s="268"/>
      <c r="OME548" s="268"/>
      <c r="OMF548" s="268"/>
      <c r="OMG548" s="268"/>
      <c r="OMH548" s="268"/>
      <c r="OMI548" s="268"/>
      <c r="OMW548" s="268"/>
      <c r="OMX548" s="268"/>
      <c r="OMY548" s="268"/>
      <c r="ONM548" s="268"/>
      <c r="ONO548" s="268"/>
      <c r="ONP548" s="268"/>
      <c r="ONQ548" s="268"/>
      <c r="ONR548" s="268"/>
      <c r="ONS548" s="268"/>
      <c r="ONT548" s="268"/>
      <c r="ONU548" s="268"/>
      <c r="ONV548" s="268"/>
      <c r="ONW548" s="268"/>
      <c r="ONX548" s="268"/>
      <c r="ONY548" s="268"/>
      <c r="ONZ548" s="268"/>
      <c r="OOA548" s="268"/>
      <c r="OOB548" s="268"/>
      <c r="OOC548" s="268"/>
      <c r="OOD548" s="268"/>
      <c r="OOE548" s="268"/>
      <c r="OOF548" s="268"/>
      <c r="OOG548" s="268"/>
      <c r="OOH548" s="268"/>
      <c r="OOI548" s="268"/>
      <c r="OOJ548" s="268"/>
      <c r="OOK548" s="268"/>
      <c r="OOL548" s="268"/>
      <c r="OOM548" s="268"/>
      <c r="OON548" s="268"/>
      <c r="OOO548" s="268"/>
      <c r="OOP548" s="268"/>
      <c r="OOQ548" s="268"/>
      <c r="OOR548" s="268"/>
      <c r="OOS548" s="268"/>
      <c r="OOT548" s="268"/>
      <c r="OOU548" s="268"/>
      <c r="OOV548" s="268"/>
      <c r="OOW548" s="268"/>
      <c r="OOX548" s="268"/>
      <c r="OOY548" s="268"/>
      <c r="OOZ548" s="268"/>
      <c r="OPA548" s="268"/>
      <c r="OPB548" s="268"/>
      <c r="OPC548" s="268"/>
      <c r="OPD548" s="268"/>
      <c r="OPE548" s="268"/>
      <c r="OPF548" s="268"/>
      <c r="OPG548" s="268"/>
      <c r="OPH548" s="268"/>
      <c r="OPI548" s="268"/>
      <c r="OPJ548" s="268"/>
      <c r="OPK548" s="268"/>
      <c r="OPL548" s="268"/>
      <c r="OPM548" s="268"/>
      <c r="OPN548" s="268"/>
      <c r="OPO548" s="268"/>
      <c r="OPP548" s="268"/>
      <c r="OPQ548" s="268"/>
      <c r="OPR548" s="268"/>
      <c r="OPS548" s="268"/>
      <c r="OPT548" s="268"/>
      <c r="OPU548" s="268"/>
      <c r="OPV548" s="268"/>
      <c r="OPW548" s="268"/>
      <c r="OPX548" s="268"/>
      <c r="OPY548" s="268"/>
      <c r="OPZ548" s="268"/>
      <c r="OQA548" s="268"/>
      <c r="OQB548" s="268"/>
      <c r="OQC548" s="268"/>
      <c r="OQD548" s="268"/>
      <c r="OQE548" s="268"/>
      <c r="OQF548" s="268"/>
      <c r="OQG548" s="268"/>
      <c r="OQH548" s="268"/>
      <c r="OQI548" s="268"/>
      <c r="OQJ548" s="268"/>
      <c r="OQK548" s="268"/>
      <c r="OQL548" s="268"/>
      <c r="OQM548" s="268"/>
      <c r="OQN548" s="268"/>
      <c r="OQO548" s="268"/>
      <c r="OQP548" s="268"/>
      <c r="OQQ548" s="268"/>
      <c r="OQR548" s="268"/>
      <c r="OQS548" s="268"/>
      <c r="OQT548" s="268"/>
      <c r="OQU548" s="268"/>
      <c r="OQV548" s="268"/>
      <c r="OQW548" s="268"/>
      <c r="OQX548" s="268"/>
      <c r="OQY548" s="268"/>
      <c r="OQZ548" s="268"/>
      <c r="ORA548" s="268"/>
      <c r="ORB548" s="268"/>
      <c r="ORC548" s="268"/>
      <c r="ORD548" s="268"/>
      <c r="ORE548" s="268"/>
      <c r="ORF548" s="268"/>
      <c r="ORG548" s="268"/>
      <c r="ORH548" s="268"/>
      <c r="ORI548" s="268"/>
      <c r="ORJ548" s="268"/>
      <c r="ORK548" s="268"/>
      <c r="ORL548" s="268"/>
      <c r="ORM548" s="268"/>
      <c r="ORN548" s="268"/>
      <c r="ORO548" s="268"/>
      <c r="ORP548" s="268"/>
      <c r="ORQ548" s="268"/>
      <c r="ORR548" s="268"/>
      <c r="ORS548" s="268"/>
      <c r="ORT548" s="268"/>
      <c r="ORU548" s="268"/>
      <c r="ORV548" s="268"/>
      <c r="ORW548" s="268"/>
      <c r="ORX548" s="268"/>
      <c r="ORY548" s="268"/>
      <c r="ORZ548" s="268"/>
      <c r="OSA548" s="268"/>
      <c r="OSB548" s="268"/>
      <c r="OSC548" s="268"/>
      <c r="OSD548" s="268"/>
      <c r="OSE548" s="268"/>
      <c r="OSF548" s="268"/>
      <c r="OSG548" s="268"/>
      <c r="OSH548" s="268"/>
      <c r="OSI548" s="268"/>
      <c r="OSJ548" s="268"/>
      <c r="OSK548" s="268"/>
      <c r="OSL548" s="268"/>
      <c r="OSM548" s="268"/>
      <c r="OSN548" s="268"/>
      <c r="OSO548" s="268"/>
      <c r="OSP548" s="268"/>
      <c r="OSQ548" s="268"/>
      <c r="OSR548" s="268"/>
      <c r="OSS548" s="268"/>
      <c r="OST548" s="268"/>
      <c r="OSU548" s="268"/>
      <c r="OSV548" s="268"/>
      <c r="OSW548" s="268"/>
      <c r="OSX548" s="268"/>
      <c r="OSY548" s="268"/>
      <c r="OSZ548" s="268"/>
      <c r="OTA548" s="268"/>
      <c r="OTB548" s="268"/>
      <c r="OTC548" s="268"/>
      <c r="OTD548" s="268"/>
      <c r="OTE548" s="268"/>
      <c r="OTF548" s="268"/>
      <c r="OTG548" s="268"/>
      <c r="OTH548" s="268"/>
      <c r="OTI548" s="268"/>
      <c r="OTJ548" s="268"/>
      <c r="OTK548" s="268"/>
      <c r="OTL548" s="268"/>
      <c r="OTM548" s="268"/>
      <c r="OTN548" s="268"/>
      <c r="OTO548" s="268"/>
      <c r="OTP548" s="268"/>
      <c r="OTQ548" s="268"/>
      <c r="OTR548" s="268"/>
      <c r="OTS548" s="268"/>
      <c r="OTT548" s="268"/>
      <c r="OTU548" s="268"/>
      <c r="OTV548" s="268"/>
      <c r="OTW548" s="268"/>
      <c r="OTX548" s="268"/>
      <c r="OTY548" s="268"/>
      <c r="OTZ548" s="268"/>
      <c r="OUA548" s="268"/>
      <c r="OUB548" s="268"/>
      <c r="OUC548" s="268"/>
      <c r="OUD548" s="268"/>
      <c r="OUE548" s="268"/>
      <c r="OUF548" s="268"/>
      <c r="OUG548" s="268"/>
      <c r="OUH548" s="268"/>
      <c r="OUI548" s="268"/>
      <c r="OUJ548" s="268"/>
      <c r="OUK548" s="268"/>
      <c r="OUL548" s="268"/>
      <c r="OUM548" s="268"/>
      <c r="OUN548" s="268"/>
      <c r="OUO548" s="268"/>
      <c r="OUP548" s="268"/>
      <c r="OUQ548" s="268"/>
      <c r="OUR548" s="268"/>
      <c r="OUS548" s="268"/>
      <c r="OUT548" s="268"/>
      <c r="OUU548" s="268"/>
      <c r="OUV548" s="268"/>
      <c r="OUW548" s="268"/>
      <c r="OUX548" s="268"/>
      <c r="OUY548" s="268"/>
      <c r="OUZ548" s="268"/>
      <c r="OVA548" s="268"/>
      <c r="OVB548" s="268"/>
      <c r="OVC548" s="268"/>
      <c r="OVD548" s="268"/>
      <c r="OVE548" s="268"/>
      <c r="OVF548" s="268"/>
      <c r="OVG548" s="268"/>
      <c r="OVH548" s="268"/>
      <c r="OVI548" s="268"/>
      <c r="OVJ548" s="268"/>
      <c r="OVK548" s="268"/>
      <c r="OVL548" s="268"/>
      <c r="OVM548" s="268"/>
      <c r="OVN548" s="268"/>
      <c r="OVO548" s="268"/>
      <c r="OVP548" s="268"/>
      <c r="OVQ548" s="268"/>
      <c r="OVR548" s="268"/>
      <c r="OVS548" s="268"/>
      <c r="OVT548" s="268"/>
      <c r="OVU548" s="268"/>
      <c r="OVV548" s="268"/>
      <c r="OVW548" s="268"/>
      <c r="OVX548" s="268"/>
      <c r="OVY548" s="268"/>
      <c r="OVZ548" s="268"/>
      <c r="OWA548" s="268"/>
      <c r="OWB548" s="268"/>
      <c r="OWC548" s="268"/>
      <c r="OWD548" s="268"/>
      <c r="OWE548" s="268"/>
      <c r="OWS548" s="268"/>
      <c r="OWT548" s="268"/>
      <c r="OWU548" s="268"/>
      <c r="OXI548" s="268"/>
      <c r="OXK548" s="268"/>
      <c r="OXL548" s="268"/>
      <c r="OXM548" s="268"/>
      <c r="OXN548" s="268"/>
      <c r="OXO548" s="268"/>
      <c r="OXP548" s="268"/>
      <c r="OXQ548" s="268"/>
      <c r="OXR548" s="268"/>
      <c r="OXS548" s="268"/>
      <c r="OXT548" s="268"/>
      <c r="OXU548" s="268"/>
      <c r="OXV548" s="268"/>
      <c r="OXW548" s="268"/>
      <c r="OXX548" s="268"/>
      <c r="OXY548" s="268"/>
      <c r="OXZ548" s="268"/>
      <c r="OYA548" s="268"/>
      <c r="OYB548" s="268"/>
      <c r="OYC548" s="268"/>
      <c r="OYD548" s="268"/>
      <c r="OYE548" s="268"/>
      <c r="OYF548" s="268"/>
      <c r="OYG548" s="268"/>
      <c r="OYH548" s="268"/>
      <c r="OYI548" s="268"/>
      <c r="OYJ548" s="268"/>
      <c r="OYK548" s="268"/>
      <c r="OYL548" s="268"/>
      <c r="OYM548" s="268"/>
      <c r="OYN548" s="268"/>
      <c r="OYO548" s="268"/>
      <c r="OYP548" s="268"/>
      <c r="OYQ548" s="268"/>
      <c r="OYR548" s="268"/>
      <c r="OYS548" s="268"/>
      <c r="OYT548" s="268"/>
      <c r="OYU548" s="268"/>
      <c r="OYV548" s="268"/>
      <c r="OYW548" s="268"/>
      <c r="OYX548" s="268"/>
      <c r="OYY548" s="268"/>
      <c r="OYZ548" s="268"/>
      <c r="OZA548" s="268"/>
      <c r="OZB548" s="268"/>
      <c r="OZC548" s="268"/>
      <c r="OZD548" s="268"/>
      <c r="OZE548" s="268"/>
      <c r="OZF548" s="268"/>
      <c r="OZG548" s="268"/>
      <c r="OZH548" s="268"/>
      <c r="OZI548" s="268"/>
      <c r="OZJ548" s="268"/>
      <c r="OZK548" s="268"/>
      <c r="OZL548" s="268"/>
      <c r="OZM548" s="268"/>
      <c r="OZN548" s="268"/>
      <c r="OZO548" s="268"/>
      <c r="OZP548" s="268"/>
      <c r="OZQ548" s="268"/>
      <c r="OZR548" s="268"/>
      <c r="OZS548" s="268"/>
      <c r="OZT548" s="268"/>
      <c r="OZU548" s="268"/>
      <c r="OZV548" s="268"/>
      <c r="OZW548" s="268"/>
      <c r="OZX548" s="268"/>
      <c r="OZY548" s="268"/>
      <c r="OZZ548" s="268"/>
      <c r="PAA548" s="268"/>
      <c r="PAB548" s="268"/>
      <c r="PAC548" s="268"/>
      <c r="PAD548" s="268"/>
      <c r="PAE548" s="268"/>
      <c r="PAF548" s="268"/>
      <c r="PAG548" s="268"/>
      <c r="PAH548" s="268"/>
      <c r="PAI548" s="268"/>
      <c r="PAJ548" s="268"/>
      <c r="PAK548" s="268"/>
      <c r="PAL548" s="268"/>
      <c r="PAM548" s="268"/>
      <c r="PAN548" s="268"/>
      <c r="PAO548" s="268"/>
      <c r="PAP548" s="268"/>
      <c r="PAQ548" s="268"/>
      <c r="PAR548" s="268"/>
      <c r="PAS548" s="268"/>
      <c r="PAT548" s="268"/>
      <c r="PAU548" s="268"/>
      <c r="PAV548" s="268"/>
      <c r="PAW548" s="268"/>
      <c r="PAX548" s="268"/>
      <c r="PAY548" s="268"/>
      <c r="PAZ548" s="268"/>
      <c r="PBA548" s="268"/>
      <c r="PBB548" s="268"/>
      <c r="PBC548" s="268"/>
      <c r="PBD548" s="268"/>
      <c r="PBE548" s="268"/>
      <c r="PBF548" s="268"/>
      <c r="PBG548" s="268"/>
      <c r="PBH548" s="268"/>
      <c r="PBI548" s="268"/>
      <c r="PBJ548" s="268"/>
      <c r="PBK548" s="268"/>
      <c r="PBL548" s="268"/>
      <c r="PBM548" s="268"/>
      <c r="PBN548" s="268"/>
      <c r="PBO548" s="268"/>
      <c r="PBP548" s="268"/>
      <c r="PBQ548" s="268"/>
      <c r="PBR548" s="268"/>
      <c r="PBS548" s="268"/>
      <c r="PBT548" s="268"/>
      <c r="PBU548" s="268"/>
      <c r="PBV548" s="268"/>
      <c r="PBW548" s="268"/>
      <c r="PBX548" s="268"/>
      <c r="PBY548" s="268"/>
      <c r="PBZ548" s="268"/>
      <c r="PCA548" s="268"/>
      <c r="PCB548" s="268"/>
      <c r="PCC548" s="268"/>
      <c r="PCD548" s="268"/>
      <c r="PCE548" s="268"/>
      <c r="PCF548" s="268"/>
      <c r="PCG548" s="268"/>
      <c r="PCH548" s="268"/>
      <c r="PCI548" s="268"/>
      <c r="PCJ548" s="268"/>
      <c r="PCK548" s="268"/>
      <c r="PCL548" s="268"/>
      <c r="PCM548" s="268"/>
      <c r="PCN548" s="268"/>
      <c r="PCO548" s="268"/>
      <c r="PCP548" s="268"/>
      <c r="PCQ548" s="268"/>
      <c r="PCR548" s="268"/>
      <c r="PCS548" s="268"/>
      <c r="PCT548" s="268"/>
      <c r="PCU548" s="268"/>
      <c r="PCV548" s="268"/>
      <c r="PCW548" s="268"/>
      <c r="PCX548" s="268"/>
      <c r="PCY548" s="268"/>
      <c r="PCZ548" s="268"/>
      <c r="PDA548" s="268"/>
      <c r="PDB548" s="268"/>
      <c r="PDC548" s="268"/>
      <c r="PDD548" s="268"/>
      <c r="PDE548" s="268"/>
      <c r="PDF548" s="268"/>
      <c r="PDG548" s="268"/>
      <c r="PDH548" s="268"/>
      <c r="PDI548" s="268"/>
      <c r="PDJ548" s="268"/>
      <c r="PDK548" s="268"/>
      <c r="PDL548" s="268"/>
      <c r="PDM548" s="268"/>
      <c r="PDN548" s="268"/>
      <c r="PDO548" s="268"/>
      <c r="PDP548" s="268"/>
      <c r="PDQ548" s="268"/>
      <c r="PDR548" s="268"/>
      <c r="PDS548" s="268"/>
      <c r="PDT548" s="268"/>
      <c r="PDU548" s="268"/>
      <c r="PDV548" s="268"/>
      <c r="PDW548" s="268"/>
      <c r="PDX548" s="268"/>
      <c r="PDY548" s="268"/>
      <c r="PDZ548" s="268"/>
      <c r="PEA548" s="268"/>
      <c r="PEB548" s="268"/>
      <c r="PEC548" s="268"/>
      <c r="PED548" s="268"/>
      <c r="PEE548" s="268"/>
      <c r="PEF548" s="268"/>
      <c r="PEG548" s="268"/>
      <c r="PEH548" s="268"/>
      <c r="PEI548" s="268"/>
      <c r="PEJ548" s="268"/>
      <c r="PEK548" s="268"/>
      <c r="PEL548" s="268"/>
      <c r="PEM548" s="268"/>
      <c r="PEN548" s="268"/>
      <c r="PEO548" s="268"/>
      <c r="PEP548" s="268"/>
      <c r="PEQ548" s="268"/>
      <c r="PER548" s="268"/>
      <c r="PES548" s="268"/>
      <c r="PET548" s="268"/>
      <c r="PEU548" s="268"/>
      <c r="PEV548" s="268"/>
      <c r="PEW548" s="268"/>
      <c r="PEX548" s="268"/>
      <c r="PEY548" s="268"/>
      <c r="PEZ548" s="268"/>
      <c r="PFA548" s="268"/>
      <c r="PFB548" s="268"/>
      <c r="PFC548" s="268"/>
      <c r="PFD548" s="268"/>
      <c r="PFE548" s="268"/>
      <c r="PFF548" s="268"/>
      <c r="PFG548" s="268"/>
      <c r="PFH548" s="268"/>
      <c r="PFI548" s="268"/>
      <c r="PFJ548" s="268"/>
      <c r="PFK548" s="268"/>
      <c r="PFL548" s="268"/>
      <c r="PFM548" s="268"/>
      <c r="PFN548" s="268"/>
      <c r="PFO548" s="268"/>
      <c r="PFP548" s="268"/>
      <c r="PFQ548" s="268"/>
      <c r="PFR548" s="268"/>
      <c r="PFS548" s="268"/>
      <c r="PFT548" s="268"/>
      <c r="PFU548" s="268"/>
      <c r="PFV548" s="268"/>
      <c r="PFW548" s="268"/>
      <c r="PFX548" s="268"/>
      <c r="PFY548" s="268"/>
      <c r="PFZ548" s="268"/>
      <c r="PGA548" s="268"/>
      <c r="PGO548" s="268"/>
      <c r="PGP548" s="268"/>
      <c r="PGQ548" s="268"/>
      <c r="PHE548" s="268"/>
      <c r="PHG548" s="268"/>
      <c r="PHH548" s="268"/>
      <c r="PHI548" s="268"/>
      <c r="PHJ548" s="268"/>
      <c r="PHK548" s="268"/>
      <c r="PHL548" s="268"/>
      <c r="PHM548" s="268"/>
      <c r="PHN548" s="268"/>
      <c r="PHO548" s="268"/>
      <c r="PHP548" s="268"/>
      <c r="PHQ548" s="268"/>
      <c r="PHR548" s="268"/>
      <c r="PHS548" s="268"/>
      <c r="PHT548" s="268"/>
      <c r="PHU548" s="268"/>
      <c r="PHV548" s="268"/>
      <c r="PHW548" s="268"/>
      <c r="PHX548" s="268"/>
      <c r="PHY548" s="268"/>
      <c r="PHZ548" s="268"/>
      <c r="PIA548" s="268"/>
      <c r="PIB548" s="268"/>
      <c r="PIC548" s="268"/>
      <c r="PID548" s="268"/>
      <c r="PIE548" s="268"/>
      <c r="PIF548" s="268"/>
      <c r="PIG548" s="268"/>
      <c r="PIH548" s="268"/>
      <c r="PII548" s="268"/>
      <c r="PIJ548" s="268"/>
      <c r="PIK548" s="268"/>
      <c r="PIL548" s="268"/>
      <c r="PIM548" s="268"/>
      <c r="PIN548" s="268"/>
      <c r="PIO548" s="268"/>
      <c r="PIP548" s="268"/>
      <c r="PIQ548" s="268"/>
      <c r="PIR548" s="268"/>
      <c r="PIS548" s="268"/>
      <c r="PIT548" s="268"/>
      <c r="PIU548" s="268"/>
      <c r="PIV548" s="268"/>
      <c r="PIW548" s="268"/>
      <c r="PIX548" s="268"/>
      <c r="PIY548" s="268"/>
      <c r="PIZ548" s="268"/>
      <c r="PJA548" s="268"/>
      <c r="PJB548" s="268"/>
      <c r="PJC548" s="268"/>
      <c r="PJD548" s="268"/>
      <c r="PJE548" s="268"/>
      <c r="PJF548" s="268"/>
      <c r="PJG548" s="268"/>
      <c r="PJH548" s="268"/>
      <c r="PJI548" s="268"/>
      <c r="PJJ548" s="268"/>
      <c r="PJK548" s="268"/>
      <c r="PJL548" s="268"/>
      <c r="PJM548" s="268"/>
      <c r="PJN548" s="268"/>
      <c r="PJO548" s="268"/>
      <c r="PJP548" s="268"/>
      <c r="PJQ548" s="268"/>
      <c r="PJR548" s="268"/>
      <c r="PJS548" s="268"/>
      <c r="PJT548" s="268"/>
      <c r="PJU548" s="268"/>
      <c r="PJV548" s="268"/>
      <c r="PJW548" s="268"/>
      <c r="PJX548" s="268"/>
      <c r="PJY548" s="268"/>
      <c r="PJZ548" s="268"/>
      <c r="PKA548" s="268"/>
      <c r="PKB548" s="268"/>
      <c r="PKC548" s="268"/>
      <c r="PKD548" s="268"/>
      <c r="PKE548" s="268"/>
      <c r="PKF548" s="268"/>
      <c r="PKG548" s="268"/>
      <c r="PKH548" s="268"/>
      <c r="PKI548" s="268"/>
      <c r="PKJ548" s="268"/>
      <c r="PKK548" s="268"/>
      <c r="PKL548" s="268"/>
      <c r="PKM548" s="268"/>
      <c r="PKN548" s="268"/>
      <c r="PKO548" s="268"/>
      <c r="PKP548" s="268"/>
      <c r="PKQ548" s="268"/>
      <c r="PKR548" s="268"/>
      <c r="PKS548" s="268"/>
      <c r="PKT548" s="268"/>
      <c r="PKU548" s="268"/>
      <c r="PKV548" s="268"/>
      <c r="PKW548" s="268"/>
      <c r="PKX548" s="268"/>
      <c r="PKY548" s="268"/>
      <c r="PKZ548" s="268"/>
      <c r="PLA548" s="268"/>
      <c r="PLB548" s="268"/>
      <c r="PLC548" s="268"/>
      <c r="PLD548" s="268"/>
      <c r="PLE548" s="268"/>
      <c r="PLF548" s="268"/>
      <c r="PLG548" s="268"/>
      <c r="PLH548" s="268"/>
      <c r="PLI548" s="268"/>
      <c r="PLJ548" s="268"/>
      <c r="PLK548" s="268"/>
      <c r="PLL548" s="268"/>
      <c r="PLM548" s="268"/>
      <c r="PLN548" s="268"/>
      <c r="PLO548" s="268"/>
      <c r="PLP548" s="268"/>
      <c r="PLQ548" s="268"/>
      <c r="PLR548" s="268"/>
      <c r="PLS548" s="268"/>
      <c r="PLT548" s="268"/>
      <c r="PLU548" s="268"/>
      <c r="PLV548" s="268"/>
      <c r="PLW548" s="268"/>
      <c r="PLX548" s="268"/>
      <c r="PLY548" s="268"/>
      <c r="PLZ548" s="268"/>
      <c r="PMA548" s="268"/>
      <c r="PMB548" s="268"/>
      <c r="PMC548" s="268"/>
      <c r="PMD548" s="268"/>
      <c r="PME548" s="268"/>
      <c r="PMF548" s="268"/>
      <c r="PMG548" s="268"/>
      <c r="PMH548" s="268"/>
      <c r="PMI548" s="268"/>
      <c r="PMJ548" s="268"/>
      <c r="PMK548" s="268"/>
      <c r="PML548" s="268"/>
      <c r="PMM548" s="268"/>
      <c r="PMN548" s="268"/>
      <c r="PMO548" s="268"/>
      <c r="PMP548" s="268"/>
      <c r="PMQ548" s="268"/>
      <c r="PMR548" s="268"/>
      <c r="PMS548" s="268"/>
      <c r="PMT548" s="268"/>
      <c r="PMU548" s="268"/>
      <c r="PMV548" s="268"/>
      <c r="PMW548" s="268"/>
      <c r="PMX548" s="268"/>
      <c r="PMY548" s="268"/>
      <c r="PMZ548" s="268"/>
      <c r="PNA548" s="268"/>
      <c r="PNB548" s="268"/>
      <c r="PNC548" s="268"/>
      <c r="PND548" s="268"/>
      <c r="PNE548" s="268"/>
      <c r="PNF548" s="268"/>
      <c r="PNG548" s="268"/>
      <c r="PNH548" s="268"/>
      <c r="PNI548" s="268"/>
      <c r="PNJ548" s="268"/>
      <c r="PNK548" s="268"/>
      <c r="PNL548" s="268"/>
      <c r="PNM548" s="268"/>
      <c r="PNN548" s="268"/>
      <c r="PNO548" s="268"/>
      <c r="PNP548" s="268"/>
      <c r="PNQ548" s="268"/>
      <c r="PNR548" s="268"/>
      <c r="PNS548" s="268"/>
      <c r="PNT548" s="268"/>
      <c r="PNU548" s="268"/>
      <c r="PNV548" s="268"/>
      <c r="PNW548" s="268"/>
      <c r="PNX548" s="268"/>
      <c r="PNY548" s="268"/>
      <c r="PNZ548" s="268"/>
      <c r="POA548" s="268"/>
      <c r="POB548" s="268"/>
      <c r="POC548" s="268"/>
      <c r="POD548" s="268"/>
      <c r="POE548" s="268"/>
      <c r="POF548" s="268"/>
      <c r="POG548" s="268"/>
      <c r="POH548" s="268"/>
      <c r="POI548" s="268"/>
      <c r="POJ548" s="268"/>
      <c r="POK548" s="268"/>
      <c r="POL548" s="268"/>
      <c r="POM548" s="268"/>
      <c r="PON548" s="268"/>
      <c r="POO548" s="268"/>
      <c r="POP548" s="268"/>
      <c r="POQ548" s="268"/>
      <c r="POR548" s="268"/>
      <c r="POS548" s="268"/>
      <c r="POT548" s="268"/>
      <c r="POU548" s="268"/>
      <c r="POV548" s="268"/>
      <c r="POW548" s="268"/>
      <c r="POX548" s="268"/>
      <c r="POY548" s="268"/>
      <c r="POZ548" s="268"/>
      <c r="PPA548" s="268"/>
      <c r="PPB548" s="268"/>
      <c r="PPC548" s="268"/>
      <c r="PPD548" s="268"/>
      <c r="PPE548" s="268"/>
      <c r="PPF548" s="268"/>
      <c r="PPG548" s="268"/>
      <c r="PPH548" s="268"/>
      <c r="PPI548" s="268"/>
      <c r="PPJ548" s="268"/>
      <c r="PPK548" s="268"/>
      <c r="PPL548" s="268"/>
      <c r="PPM548" s="268"/>
      <c r="PPN548" s="268"/>
      <c r="PPO548" s="268"/>
      <c r="PPP548" s="268"/>
      <c r="PPQ548" s="268"/>
      <c r="PPR548" s="268"/>
      <c r="PPS548" s="268"/>
      <c r="PPT548" s="268"/>
      <c r="PPU548" s="268"/>
      <c r="PPV548" s="268"/>
      <c r="PPW548" s="268"/>
      <c r="PQK548" s="268"/>
      <c r="PQL548" s="268"/>
      <c r="PQM548" s="268"/>
      <c r="PRA548" s="268"/>
      <c r="PRC548" s="268"/>
      <c r="PRD548" s="268"/>
      <c r="PRE548" s="268"/>
      <c r="PRF548" s="268"/>
      <c r="PRG548" s="268"/>
      <c r="PRH548" s="268"/>
      <c r="PRI548" s="268"/>
      <c r="PRJ548" s="268"/>
      <c r="PRK548" s="268"/>
      <c r="PRL548" s="268"/>
      <c r="PRM548" s="268"/>
      <c r="PRN548" s="268"/>
      <c r="PRO548" s="268"/>
      <c r="PRP548" s="268"/>
      <c r="PRQ548" s="268"/>
      <c r="PRR548" s="268"/>
      <c r="PRS548" s="268"/>
      <c r="PRT548" s="268"/>
      <c r="PRU548" s="268"/>
      <c r="PRV548" s="268"/>
      <c r="PRW548" s="268"/>
      <c r="PRX548" s="268"/>
      <c r="PRY548" s="268"/>
      <c r="PRZ548" s="268"/>
      <c r="PSA548" s="268"/>
      <c r="PSB548" s="268"/>
      <c r="PSC548" s="268"/>
      <c r="PSD548" s="268"/>
      <c r="PSE548" s="268"/>
      <c r="PSF548" s="268"/>
      <c r="PSG548" s="268"/>
      <c r="PSH548" s="268"/>
      <c r="PSI548" s="268"/>
      <c r="PSJ548" s="268"/>
      <c r="PSK548" s="268"/>
      <c r="PSL548" s="268"/>
      <c r="PSM548" s="268"/>
      <c r="PSN548" s="268"/>
      <c r="PSO548" s="268"/>
      <c r="PSP548" s="268"/>
      <c r="PSQ548" s="268"/>
      <c r="PSR548" s="268"/>
      <c r="PSS548" s="268"/>
      <c r="PST548" s="268"/>
      <c r="PSU548" s="268"/>
      <c r="PSV548" s="268"/>
      <c r="PSW548" s="268"/>
      <c r="PSX548" s="268"/>
      <c r="PSY548" s="268"/>
      <c r="PSZ548" s="268"/>
      <c r="PTA548" s="268"/>
      <c r="PTB548" s="268"/>
      <c r="PTC548" s="268"/>
      <c r="PTD548" s="268"/>
      <c r="PTE548" s="268"/>
      <c r="PTF548" s="268"/>
      <c r="PTG548" s="268"/>
      <c r="PTH548" s="268"/>
      <c r="PTI548" s="268"/>
      <c r="PTJ548" s="268"/>
      <c r="PTK548" s="268"/>
      <c r="PTL548" s="268"/>
      <c r="PTM548" s="268"/>
      <c r="PTN548" s="268"/>
      <c r="PTO548" s="268"/>
      <c r="PTP548" s="268"/>
      <c r="PTQ548" s="268"/>
      <c r="PTR548" s="268"/>
      <c r="PTS548" s="268"/>
      <c r="PTT548" s="268"/>
      <c r="PTU548" s="268"/>
      <c r="PTV548" s="268"/>
      <c r="PTW548" s="268"/>
      <c r="PTX548" s="268"/>
      <c r="PTY548" s="268"/>
      <c r="PTZ548" s="268"/>
      <c r="PUA548" s="268"/>
      <c r="PUB548" s="268"/>
      <c r="PUC548" s="268"/>
      <c r="PUD548" s="268"/>
      <c r="PUE548" s="268"/>
      <c r="PUF548" s="268"/>
      <c r="PUG548" s="268"/>
      <c r="PUH548" s="268"/>
      <c r="PUI548" s="268"/>
      <c r="PUJ548" s="268"/>
      <c r="PUK548" s="268"/>
      <c r="PUL548" s="268"/>
      <c r="PUM548" s="268"/>
      <c r="PUN548" s="268"/>
      <c r="PUO548" s="268"/>
      <c r="PUP548" s="268"/>
      <c r="PUQ548" s="268"/>
      <c r="PUR548" s="268"/>
      <c r="PUS548" s="268"/>
      <c r="PUT548" s="268"/>
      <c r="PUU548" s="268"/>
      <c r="PUV548" s="268"/>
      <c r="PUW548" s="268"/>
      <c r="PUX548" s="268"/>
      <c r="PUY548" s="268"/>
      <c r="PUZ548" s="268"/>
      <c r="PVA548" s="268"/>
      <c r="PVB548" s="268"/>
      <c r="PVC548" s="268"/>
      <c r="PVD548" s="268"/>
      <c r="PVE548" s="268"/>
      <c r="PVF548" s="268"/>
      <c r="PVG548" s="268"/>
      <c r="PVH548" s="268"/>
      <c r="PVI548" s="268"/>
      <c r="PVJ548" s="268"/>
      <c r="PVK548" s="268"/>
      <c r="PVL548" s="268"/>
      <c r="PVM548" s="268"/>
      <c r="PVN548" s="268"/>
      <c r="PVO548" s="268"/>
      <c r="PVP548" s="268"/>
      <c r="PVQ548" s="268"/>
      <c r="PVR548" s="268"/>
      <c r="PVS548" s="268"/>
      <c r="PVT548" s="268"/>
      <c r="PVU548" s="268"/>
      <c r="PVV548" s="268"/>
      <c r="PVW548" s="268"/>
      <c r="PVX548" s="268"/>
      <c r="PVY548" s="268"/>
      <c r="PVZ548" s="268"/>
      <c r="PWA548" s="268"/>
      <c r="PWB548" s="268"/>
      <c r="PWC548" s="268"/>
      <c r="PWD548" s="268"/>
      <c r="PWE548" s="268"/>
      <c r="PWF548" s="268"/>
      <c r="PWG548" s="268"/>
      <c r="PWH548" s="268"/>
      <c r="PWI548" s="268"/>
      <c r="PWJ548" s="268"/>
      <c r="PWK548" s="268"/>
      <c r="PWL548" s="268"/>
      <c r="PWM548" s="268"/>
      <c r="PWN548" s="268"/>
      <c r="PWO548" s="268"/>
      <c r="PWP548" s="268"/>
      <c r="PWQ548" s="268"/>
      <c r="PWR548" s="268"/>
      <c r="PWS548" s="268"/>
      <c r="PWT548" s="268"/>
      <c r="PWU548" s="268"/>
      <c r="PWV548" s="268"/>
      <c r="PWW548" s="268"/>
      <c r="PWX548" s="268"/>
      <c r="PWY548" s="268"/>
      <c r="PWZ548" s="268"/>
      <c r="PXA548" s="268"/>
      <c r="PXB548" s="268"/>
      <c r="PXC548" s="268"/>
      <c r="PXD548" s="268"/>
      <c r="PXE548" s="268"/>
      <c r="PXF548" s="268"/>
      <c r="PXG548" s="268"/>
      <c r="PXH548" s="268"/>
      <c r="PXI548" s="268"/>
      <c r="PXJ548" s="268"/>
      <c r="PXK548" s="268"/>
      <c r="PXL548" s="268"/>
      <c r="PXM548" s="268"/>
      <c r="PXN548" s="268"/>
      <c r="PXO548" s="268"/>
      <c r="PXP548" s="268"/>
      <c r="PXQ548" s="268"/>
      <c r="PXR548" s="268"/>
      <c r="PXS548" s="268"/>
      <c r="PXT548" s="268"/>
      <c r="PXU548" s="268"/>
      <c r="PXV548" s="268"/>
      <c r="PXW548" s="268"/>
      <c r="PXX548" s="268"/>
      <c r="PXY548" s="268"/>
      <c r="PXZ548" s="268"/>
      <c r="PYA548" s="268"/>
      <c r="PYB548" s="268"/>
      <c r="PYC548" s="268"/>
      <c r="PYD548" s="268"/>
      <c r="PYE548" s="268"/>
      <c r="PYF548" s="268"/>
      <c r="PYG548" s="268"/>
      <c r="PYH548" s="268"/>
      <c r="PYI548" s="268"/>
      <c r="PYJ548" s="268"/>
      <c r="PYK548" s="268"/>
      <c r="PYL548" s="268"/>
      <c r="PYM548" s="268"/>
      <c r="PYN548" s="268"/>
      <c r="PYO548" s="268"/>
      <c r="PYP548" s="268"/>
      <c r="PYQ548" s="268"/>
      <c r="PYR548" s="268"/>
      <c r="PYS548" s="268"/>
      <c r="PYT548" s="268"/>
      <c r="PYU548" s="268"/>
      <c r="PYV548" s="268"/>
      <c r="PYW548" s="268"/>
      <c r="PYX548" s="268"/>
      <c r="PYY548" s="268"/>
      <c r="PYZ548" s="268"/>
      <c r="PZA548" s="268"/>
      <c r="PZB548" s="268"/>
      <c r="PZC548" s="268"/>
      <c r="PZD548" s="268"/>
      <c r="PZE548" s="268"/>
      <c r="PZF548" s="268"/>
      <c r="PZG548" s="268"/>
      <c r="PZH548" s="268"/>
      <c r="PZI548" s="268"/>
      <c r="PZJ548" s="268"/>
      <c r="PZK548" s="268"/>
      <c r="PZL548" s="268"/>
      <c r="PZM548" s="268"/>
      <c r="PZN548" s="268"/>
      <c r="PZO548" s="268"/>
      <c r="PZP548" s="268"/>
      <c r="PZQ548" s="268"/>
      <c r="PZR548" s="268"/>
      <c r="PZS548" s="268"/>
      <c r="QAG548" s="268"/>
      <c r="QAH548" s="268"/>
      <c r="QAI548" s="268"/>
      <c r="QAW548" s="268"/>
      <c r="QAY548" s="268"/>
      <c r="QAZ548" s="268"/>
      <c r="QBA548" s="268"/>
      <c r="QBB548" s="268"/>
      <c r="QBC548" s="268"/>
      <c r="QBD548" s="268"/>
      <c r="QBE548" s="268"/>
      <c r="QBF548" s="268"/>
      <c r="QBG548" s="268"/>
      <c r="QBH548" s="268"/>
      <c r="QBI548" s="268"/>
      <c r="QBJ548" s="268"/>
      <c r="QBK548" s="268"/>
      <c r="QBL548" s="268"/>
      <c r="QBM548" s="268"/>
      <c r="QBN548" s="268"/>
      <c r="QBO548" s="268"/>
      <c r="QBP548" s="268"/>
      <c r="QBQ548" s="268"/>
      <c r="QBR548" s="268"/>
      <c r="QBS548" s="268"/>
      <c r="QBT548" s="268"/>
      <c r="QBU548" s="268"/>
      <c r="QBV548" s="268"/>
      <c r="QBW548" s="268"/>
      <c r="QBX548" s="268"/>
      <c r="QBY548" s="268"/>
      <c r="QBZ548" s="268"/>
      <c r="QCA548" s="268"/>
      <c r="QCB548" s="268"/>
      <c r="QCC548" s="268"/>
      <c r="QCD548" s="268"/>
      <c r="QCE548" s="268"/>
      <c r="QCF548" s="268"/>
      <c r="QCG548" s="268"/>
      <c r="QCH548" s="268"/>
      <c r="QCI548" s="268"/>
      <c r="QCJ548" s="268"/>
      <c r="QCK548" s="268"/>
      <c r="QCL548" s="268"/>
      <c r="QCM548" s="268"/>
      <c r="QCN548" s="268"/>
      <c r="QCO548" s="268"/>
      <c r="QCP548" s="268"/>
      <c r="QCQ548" s="268"/>
      <c r="QCR548" s="268"/>
      <c r="QCS548" s="268"/>
      <c r="QCT548" s="268"/>
      <c r="QCU548" s="268"/>
      <c r="QCV548" s="268"/>
      <c r="QCW548" s="268"/>
      <c r="QCX548" s="268"/>
      <c r="QCY548" s="268"/>
      <c r="QCZ548" s="268"/>
      <c r="QDA548" s="268"/>
      <c r="QDB548" s="268"/>
      <c r="QDC548" s="268"/>
      <c r="QDD548" s="268"/>
      <c r="QDE548" s="268"/>
      <c r="QDF548" s="268"/>
      <c r="QDG548" s="268"/>
      <c r="QDH548" s="268"/>
      <c r="QDI548" s="268"/>
      <c r="QDJ548" s="268"/>
      <c r="QDK548" s="268"/>
      <c r="QDL548" s="268"/>
      <c r="QDM548" s="268"/>
      <c r="QDN548" s="268"/>
      <c r="QDO548" s="268"/>
      <c r="QDP548" s="268"/>
      <c r="QDQ548" s="268"/>
      <c r="QDR548" s="268"/>
      <c r="QDS548" s="268"/>
      <c r="QDT548" s="268"/>
      <c r="QDU548" s="268"/>
      <c r="QDV548" s="268"/>
      <c r="QDW548" s="268"/>
      <c r="QDX548" s="268"/>
      <c r="QDY548" s="268"/>
      <c r="QDZ548" s="268"/>
      <c r="QEA548" s="268"/>
      <c r="QEB548" s="268"/>
      <c r="QEC548" s="268"/>
      <c r="QED548" s="268"/>
      <c r="QEE548" s="268"/>
      <c r="QEF548" s="268"/>
      <c r="QEG548" s="268"/>
      <c r="QEH548" s="268"/>
      <c r="QEI548" s="268"/>
      <c r="QEJ548" s="268"/>
      <c r="QEK548" s="268"/>
      <c r="QEL548" s="268"/>
      <c r="QEM548" s="268"/>
      <c r="QEN548" s="268"/>
      <c r="QEO548" s="268"/>
      <c r="QEP548" s="268"/>
      <c r="QEQ548" s="268"/>
      <c r="QER548" s="268"/>
      <c r="QES548" s="268"/>
      <c r="QET548" s="268"/>
      <c r="QEU548" s="268"/>
      <c r="QEV548" s="268"/>
      <c r="QEW548" s="268"/>
      <c r="QEX548" s="268"/>
      <c r="QEY548" s="268"/>
      <c r="QEZ548" s="268"/>
      <c r="QFA548" s="268"/>
      <c r="QFB548" s="268"/>
      <c r="QFC548" s="268"/>
      <c r="QFD548" s="268"/>
      <c r="QFE548" s="268"/>
      <c r="QFF548" s="268"/>
      <c r="QFG548" s="268"/>
      <c r="QFH548" s="268"/>
      <c r="QFI548" s="268"/>
      <c r="QFJ548" s="268"/>
      <c r="QFK548" s="268"/>
      <c r="QFL548" s="268"/>
      <c r="QFM548" s="268"/>
      <c r="QFN548" s="268"/>
      <c r="QFO548" s="268"/>
      <c r="QFP548" s="268"/>
      <c r="QFQ548" s="268"/>
      <c r="QFR548" s="268"/>
      <c r="QFS548" s="268"/>
      <c r="QFT548" s="268"/>
      <c r="QFU548" s="268"/>
      <c r="QFV548" s="268"/>
      <c r="QFW548" s="268"/>
      <c r="QFX548" s="268"/>
      <c r="QFY548" s="268"/>
      <c r="QFZ548" s="268"/>
      <c r="QGA548" s="268"/>
      <c r="QGB548" s="268"/>
      <c r="QGC548" s="268"/>
      <c r="QGD548" s="268"/>
      <c r="QGE548" s="268"/>
      <c r="QGF548" s="268"/>
      <c r="QGG548" s="268"/>
      <c r="QGH548" s="268"/>
      <c r="QGI548" s="268"/>
      <c r="QGJ548" s="268"/>
      <c r="QGK548" s="268"/>
      <c r="QGL548" s="268"/>
      <c r="QGM548" s="268"/>
      <c r="QGN548" s="268"/>
      <c r="QGO548" s="268"/>
      <c r="QGP548" s="268"/>
      <c r="QGQ548" s="268"/>
      <c r="QGR548" s="268"/>
      <c r="QGS548" s="268"/>
      <c r="QGT548" s="268"/>
      <c r="QGU548" s="268"/>
      <c r="QGV548" s="268"/>
      <c r="QGW548" s="268"/>
      <c r="QGX548" s="268"/>
      <c r="QGY548" s="268"/>
      <c r="QGZ548" s="268"/>
      <c r="QHA548" s="268"/>
      <c r="QHB548" s="268"/>
      <c r="QHC548" s="268"/>
      <c r="QHD548" s="268"/>
      <c r="QHE548" s="268"/>
      <c r="QHF548" s="268"/>
      <c r="QHG548" s="268"/>
      <c r="QHH548" s="268"/>
      <c r="QHI548" s="268"/>
      <c r="QHJ548" s="268"/>
      <c r="QHK548" s="268"/>
      <c r="QHL548" s="268"/>
      <c r="QHM548" s="268"/>
      <c r="QHN548" s="268"/>
      <c r="QHO548" s="268"/>
      <c r="QHP548" s="268"/>
      <c r="QHQ548" s="268"/>
      <c r="QHR548" s="268"/>
      <c r="QHS548" s="268"/>
      <c r="QHT548" s="268"/>
      <c r="QHU548" s="268"/>
      <c r="QHV548" s="268"/>
      <c r="QHW548" s="268"/>
      <c r="QHX548" s="268"/>
      <c r="QHY548" s="268"/>
      <c r="QHZ548" s="268"/>
      <c r="QIA548" s="268"/>
      <c r="QIB548" s="268"/>
      <c r="QIC548" s="268"/>
      <c r="QID548" s="268"/>
      <c r="QIE548" s="268"/>
      <c r="QIF548" s="268"/>
      <c r="QIG548" s="268"/>
      <c r="QIH548" s="268"/>
      <c r="QII548" s="268"/>
      <c r="QIJ548" s="268"/>
      <c r="QIK548" s="268"/>
      <c r="QIL548" s="268"/>
      <c r="QIM548" s="268"/>
      <c r="QIN548" s="268"/>
      <c r="QIO548" s="268"/>
      <c r="QIP548" s="268"/>
      <c r="QIQ548" s="268"/>
      <c r="QIR548" s="268"/>
      <c r="QIS548" s="268"/>
      <c r="QIT548" s="268"/>
      <c r="QIU548" s="268"/>
      <c r="QIV548" s="268"/>
      <c r="QIW548" s="268"/>
      <c r="QIX548" s="268"/>
      <c r="QIY548" s="268"/>
      <c r="QIZ548" s="268"/>
      <c r="QJA548" s="268"/>
      <c r="QJB548" s="268"/>
      <c r="QJC548" s="268"/>
      <c r="QJD548" s="268"/>
      <c r="QJE548" s="268"/>
      <c r="QJF548" s="268"/>
      <c r="QJG548" s="268"/>
      <c r="QJH548" s="268"/>
      <c r="QJI548" s="268"/>
      <c r="QJJ548" s="268"/>
      <c r="QJK548" s="268"/>
      <c r="QJL548" s="268"/>
      <c r="QJM548" s="268"/>
      <c r="QJN548" s="268"/>
      <c r="QJO548" s="268"/>
      <c r="QKC548" s="268"/>
      <c r="QKD548" s="268"/>
      <c r="QKE548" s="268"/>
      <c r="QKS548" s="268"/>
      <c r="QKU548" s="268"/>
      <c r="QKV548" s="268"/>
      <c r="QKW548" s="268"/>
      <c r="QKX548" s="268"/>
      <c r="QKY548" s="268"/>
      <c r="QKZ548" s="268"/>
      <c r="QLA548" s="268"/>
      <c r="QLB548" s="268"/>
      <c r="QLC548" s="268"/>
      <c r="QLD548" s="268"/>
      <c r="QLE548" s="268"/>
      <c r="QLF548" s="268"/>
      <c r="QLG548" s="268"/>
      <c r="QLH548" s="268"/>
      <c r="QLI548" s="268"/>
      <c r="QLJ548" s="268"/>
      <c r="QLK548" s="268"/>
      <c r="QLL548" s="268"/>
      <c r="QLM548" s="268"/>
      <c r="QLN548" s="268"/>
      <c r="QLO548" s="268"/>
      <c r="QLP548" s="268"/>
      <c r="QLQ548" s="268"/>
      <c r="QLR548" s="268"/>
      <c r="QLS548" s="268"/>
      <c r="QLT548" s="268"/>
      <c r="QLU548" s="268"/>
      <c r="QLV548" s="268"/>
      <c r="QLW548" s="268"/>
      <c r="QLX548" s="268"/>
      <c r="QLY548" s="268"/>
      <c r="QLZ548" s="268"/>
      <c r="QMA548" s="268"/>
      <c r="QMB548" s="268"/>
      <c r="QMC548" s="268"/>
      <c r="QMD548" s="268"/>
      <c r="QME548" s="268"/>
      <c r="QMF548" s="268"/>
      <c r="QMG548" s="268"/>
      <c r="QMH548" s="268"/>
      <c r="QMI548" s="268"/>
      <c r="QMJ548" s="268"/>
      <c r="QMK548" s="268"/>
      <c r="QML548" s="268"/>
      <c r="QMM548" s="268"/>
      <c r="QMN548" s="268"/>
      <c r="QMO548" s="268"/>
      <c r="QMP548" s="268"/>
      <c r="QMQ548" s="268"/>
      <c r="QMR548" s="268"/>
      <c r="QMS548" s="268"/>
      <c r="QMT548" s="268"/>
      <c r="QMU548" s="268"/>
      <c r="QMV548" s="268"/>
      <c r="QMW548" s="268"/>
      <c r="QMX548" s="268"/>
      <c r="QMY548" s="268"/>
      <c r="QMZ548" s="268"/>
      <c r="QNA548" s="268"/>
      <c r="QNB548" s="268"/>
      <c r="QNC548" s="268"/>
      <c r="QND548" s="268"/>
      <c r="QNE548" s="268"/>
      <c r="QNF548" s="268"/>
      <c r="QNG548" s="268"/>
      <c r="QNH548" s="268"/>
      <c r="QNI548" s="268"/>
      <c r="QNJ548" s="268"/>
      <c r="QNK548" s="268"/>
      <c r="QNL548" s="268"/>
      <c r="QNM548" s="268"/>
      <c r="QNN548" s="268"/>
      <c r="QNO548" s="268"/>
      <c r="QNP548" s="268"/>
      <c r="QNQ548" s="268"/>
      <c r="QNR548" s="268"/>
      <c r="QNS548" s="268"/>
      <c r="QNT548" s="268"/>
      <c r="QNU548" s="268"/>
      <c r="QNV548" s="268"/>
      <c r="QNW548" s="268"/>
      <c r="QNX548" s="268"/>
      <c r="QNY548" s="268"/>
      <c r="QNZ548" s="268"/>
      <c r="QOA548" s="268"/>
      <c r="QOB548" s="268"/>
      <c r="QOC548" s="268"/>
      <c r="QOD548" s="268"/>
      <c r="QOE548" s="268"/>
      <c r="QOF548" s="268"/>
      <c r="QOG548" s="268"/>
      <c r="QOH548" s="268"/>
      <c r="QOI548" s="268"/>
      <c r="QOJ548" s="268"/>
      <c r="QOK548" s="268"/>
      <c r="QOL548" s="268"/>
      <c r="QOM548" s="268"/>
      <c r="QON548" s="268"/>
      <c r="QOO548" s="268"/>
      <c r="QOP548" s="268"/>
      <c r="QOQ548" s="268"/>
      <c r="QOR548" s="268"/>
      <c r="QOS548" s="268"/>
      <c r="QOT548" s="268"/>
      <c r="QOU548" s="268"/>
      <c r="QOV548" s="268"/>
      <c r="QOW548" s="268"/>
      <c r="QOX548" s="268"/>
      <c r="QOY548" s="268"/>
      <c r="QOZ548" s="268"/>
      <c r="QPA548" s="268"/>
      <c r="QPB548" s="268"/>
      <c r="QPC548" s="268"/>
      <c r="QPD548" s="268"/>
      <c r="QPE548" s="268"/>
      <c r="QPF548" s="268"/>
      <c r="QPG548" s="268"/>
      <c r="QPH548" s="268"/>
      <c r="QPI548" s="268"/>
      <c r="QPJ548" s="268"/>
      <c r="QPK548" s="268"/>
      <c r="QPL548" s="268"/>
      <c r="QPM548" s="268"/>
      <c r="QPN548" s="268"/>
      <c r="QPO548" s="268"/>
      <c r="QPP548" s="268"/>
      <c r="QPQ548" s="268"/>
      <c r="QPR548" s="268"/>
      <c r="QPS548" s="268"/>
      <c r="QPT548" s="268"/>
      <c r="QPU548" s="268"/>
      <c r="QPV548" s="268"/>
      <c r="QPW548" s="268"/>
      <c r="QPX548" s="268"/>
      <c r="QPY548" s="268"/>
      <c r="QPZ548" s="268"/>
      <c r="QQA548" s="268"/>
      <c r="QQB548" s="268"/>
      <c r="QQC548" s="268"/>
      <c r="QQD548" s="268"/>
      <c r="QQE548" s="268"/>
      <c r="QQF548" s="268"/>
      <c r="QQG548" s="268"/>
      <c r="QQH548" s="268"/>
      <c r="QQI548" s="268"/>
      <c r="QQJ548" s="268"/>
      <c r="QQK548" s="268"/>
      <c r="QQL548" s="268"/>
      <c r="QQM548" s="268"/>
      <c r="QQN548" s="268"/>
      <c r="QQO548" s="268"/>
      <c r="QQP548" s="268"/>
      <c r="QQQ548" s="268"/>
      <c r="QQR548" s="268"/>
      <c r="QQS548" s="268"/>
      <c r="QQT548" s="268"/>
      <c r="QQU548" s="268"/>
      <c r="QQV548" s="268"/>
      <c r="QQW548" s="268"/>
      <c r="QQX548" s="268"/>
      <c r="QQY548" s="268"/>
      <c r="QQZ548" s="268"/>
      <c r="QRA548" s="268"/>
      <c r="QRB548" s="268"/>
      <c r="QRC548" s="268"/>
      <c r="QRD548" s="268"/>
      <c r="QRE548" s="268"/>
      <c r="QRF548" s="268"/>
      <c r="QRG548" s="268"/>
      <c r="QRH548" s="268"/>
      <c r="QRI548" s="268"/>
      <c r="QRJ548" s="268"/>
      <c r="QRK548" s="268"/>
      <c r="QRL548" s="268"/>
      <c r="QRM548" s="268"/>
      <c r="QRN548" s="268"/>
      <c r="QRO548" s="268"/>
      <c r="QRP548" s="268"/>
      <c r="QRQ548" s="268"/>
      <c r="QRR548" s="268"/>
      <c r="QRS548" s="268"/>
      <c r="QRT548" s="268"/>
      <c r="QRU548" s="268"/>
      <c r="QRV548" s="268"/>
      <c r="QRW548" s="268"/>
      <c r="QRX548" s="268"/>
      <c r="QRY548" s="268"/>
      <c r="QRZ548" s="268"/>
      <c r="QSA548" s="268"/>
      <c r="QSB548" s="268"/>
      <c r="QSC548" s="268"/>
      <c r="QSD548" s="268"/>
      <c r="QSE548" s="268"/>
      <c r="QSF548" s="268"/>
      <c r="QSG548" s="268"/>
      <c r="QSH548" s="268"/>
      <c r="QSI548" s="268"/>
      <c r="QSJ548" s="268"/>
      <c r="QSK548" s="268"/>
      <c r="QSL548" s="268"/>
      <c r="QSM548" s="268"/>
      <c r="QSN548" s="268"/>
      <c r="QSO548" s="268"/>
      <c r="QSP548" s="268"/>
      <c r="QSQ548" s="268"/>
      <c r="QSR548" s="268"/>
      <c r="QSS548" s="268"/>
      <c r="QST548" s="268"/>
      <c r="QSU548" s="268"/>
      <c r="QSV548" s="268"/>
      <c r="QSW548" s="268"/>
      <c r="QSX548" s="268"/>
      <c r="QSY548" s="268"/>
      <c r="QSZ548" s="268"/>
      <c r="QTA548" s="268"/>
      <c r="QTB548" s="268"/>
      <c r="QTC548" s="268"/>
      <c r="QTD548" s="268"/>
      <c r="QTE548" s="268"/>
      <c r="QTF548" s="268"/>
      <c r="QTG548" s="268"/>
      <c r="QTH548" s="268"/>
      <c r="QTI548" s="268"/>
      <c r="QTJ548" s="268"/>
      <c r="QTK548" s="268"/>
      <c r="QTY548" s="268"/>
      <c r="QTZ548" s="268"/>
      <c r="QUA548" s="268"/>
      <c r="QUO548" s="268"/>
      <c r="QUQ548" s="268"/>
      <c r="QUR548" s="268"/>
      <c r="QUS548" s="268"/>
      <c r="QUT548" s="268"/>
      <c r="QUU548" s="268"/>
      <c r="QUV548" s="268"/>
      <c r="QUW548" s="268"/>
      <c r="QUX548" s="268"/>
      <c r="QUY548" s="268"/>
      <c r="QUZ548" s="268"/>
      <c r="QVA548" s="268"/>
      <c r="QVB548" s="268"/>
      <c r="QVC548" s="268"/>
      <c r="QVD548" s="268"/>
      <c r="QVE548" s="268"/>
      <c r="QVF548" s="268"/>
      <c r="QVG548" s="268"/>
      <c r="QVH548" s="268"/>
      <c r="QVI548" s="268"/>
      <c r="QVJ548" s="268"/>
      <c r="QVK548" s="268"/>
      <c r="QVL548" s="268"/>
      <c r="QVM548" s="268"/>
      <c r="QVN548" s="268"/>
      <c r="QVO548" s="268"/>
      <c r="QVP548" s="268"/>
      <c r="QVQ548" s="268"/>
      <c r="QVR548" s="268"/>
      <c r="QVS548" s="268"/>
      <c r="QVT548" s="268"/>
      <c r="QVU548" s="268"/>
      <c r="QVV548" s="268"/>
      <c r="QVW548" s="268"/>
      <c r="QVX548" s="268"/>
      <c r="QVY548" s="268"/>
      <c r="QVZ548" s="268"/>
      <c r="QWA548" s="268"/>
      <c r="QWB548" s="268"/>
      <c r="QWC548" s="268"/>
      <c r="QWD548" s="268"/>
      <c r="QWE548" s="268"/>
      <c r="QWF548" s="268"/>
      <c r="QWG548" s="268"/>
      <c r="QWH548" s="268"/>
      <c r="QWI548" s="268"/>
      <c r="QWJ548" s="268"/>
      <c r="QWK548" s="268"/>
      <c r="QWL548" s="268"/>
      <c r="QWM548" s="268"/>
      <c r="QWN548" s="268"/>
      <c r="QWO548" s="268"/>
      <c r="QWP548" s="268"/>
      <c r="QWQ548" s="268"/>
      <c r="QWR548" s="268"/>
      <c r="QWS548" s="268"/>
      <c r="QWT548" s="268"/>
      <c r="QWU548" s="268"/>
      <c r="QWV548" s="268"/>
      <c r="QWW548" s="268"/>
      <c r="QWX548" s="268"/>
      <c r="QWY548" s="268"/>
      <c r="QWZ548" s="268"/>
      <c r="QXA548" s="268"/>
      <c r="QXB548" s="268"/>
      <c r="QXC548" s="268"/>
      <c r="QXD548" s="268"/>
      <c r="QXE548" s="268"/>
      <c r="QXF548" s="268"/>
      <c r="QXG548" s="268"/>
      <c r="QXH548" s="268"/>
      <c r="QXI548" s="268"/>
      <c r="QXJ548" s="268"/>
      <c r="QXK548" s="268"/>
      <c r="QXL548" s="268"/>
      <c r="QXM548" s="268"/>
      <c r="QXN548" s="268"/>
      <c r="QXO548" s="268"/>
      <c r="QXP548" s="268"/>
      <c r="QXQ548" s="268"/>
      <c r="QXR548" s="268"/>
      <c r="QXS548" s="268"/>
      <c r="QXT548" s="268"/>
      <c r="QXU548" s="268"/>
      <c r="QXV548" s="268"/>
      <c r="QXW548" s="268"/>
      <c r="QXX548" s="268"/>
      <c r="QXY548" s="268"/>
      <c r="QXZ548" s="268"/>
      <c r="QYA548" s="268"/>
      <c r="QYB548" s="268"/>
      <c r="QYC548" s="268"/>
      <c r="QYD548" s="268"/>
      <c r="QYE548" s="268"/>
      <c r="QYF548" s="268"/>
      <c r="QYG548" s="268"/>
      <c r="QYH548" s="268"/>
      <c r="QYI548" s="268"/>
      <c r="QYJ548" s="268"/>
      <c r="QYK548" s="268"/>
      <c r="QYL548" s="268"/>
      <c r="QYM548" s="268"/>
      <c r="QYN548" s="268"/>
      <c r="QYO548" s="268"/>
      <c r="QYP548" s="268"/>
      <c r="QYQ548" s="268"/>
      <c r="QYR548" s="268"/>
      <c r="QYS548" s="268"/>
      <c r="QYT548" s="268"/>
      <c r="QYU548" s="268"/>
      <c r="QYV548" s="268"/>
      <c r="QYW548" s="268"/>
      <c r="QYX548" s="268"/>
      <c r="QYY548" s="268"/>
      <c r="QYZ548" s="268"/>
      <c r="QZA548" s="268"/>
      <c r="QZB548" s="268"/>
      <c r="QZC548" s="268"/>
      <c r="QZD548" s="268"/>
      <c r="QZE548" s="268"/>
      <c r="QZF548" s="268"/>
      <c r="QZG548" s="268"/>
      <c r="QZH548" s="268"/>
      <c r="QZI548" s="268"/>
      <c r="QZJ548" s="268"/>
      <c r="QZK548" s="268"/>
      <c r="QZL548" s="268"/>
      <c r="QZM548" s="268"/>
      <c r="QZN548" s="268"/>
      <c r="QZO548" s="268"/>
      <c r="QZP548" s="268"/>
      <c r="QZQ548" s="268"/>
      <c r="QZR548" s="268"/>
      <c r="QZS548" s="268"/>
      <c r="QZT548" s="268"/>
      <c r="QZU548" s="268"/>
      <c r="QZV548" s="268"/>
      <c r="QZW548" s="268"/>
      <c r="QZX548" s="268"/>
      <c r="QZY548" s="268"/>
      <c r="QZZ548" s="268"/>
      <c r="RAA548" s="268"/>
      <c r="RAB548" s="268"/>
      <c r="RAC548" s="268"/>
      <c r="RAD548" s="268"/>
      <c r="RAE548" s="268"/>
      <c r="RAF548" s="268"/>
      <c r="RAG548" s="268"/>
      <c r="RAH548" s="268"/>
      <c r="RAI548" s="268"/>
      <c r="RAJ548" s="268"/>
      <c r="RAK548" s="268"/>
      <c r="RAL548" s="268"/>
      <c r="RAM548" s="268"/>
      <c r="RAN548" s="268"/>
      <c r="RAO548" s="268"/>
      <c r="RAP548" s="268"/>
      <c r="RAQ548" s="268"/>
      <c r="RAR548" s="268"/>
      <c r="RAS548" s="268"/>
      <c r="RAT548" s="268"/>
      <c r="RAU548" s="268"/>
      <c r="RAV548" s="268"/>
      <c r="RAW548" s="268"/>
      <c r="RAX548" s="268"/>
      <c r="RAY548" s="268"/>
      <c r="RAZ548" s="268"/>
      <c r="RBA548" s="268"/>
      <c r="RBB548" s="268"/>
      <c r="RBC548" s="268"/>
      <c r="RBD548" s="268"/>
      <c r="RBE548" s="268"/>
      <c r="RBF548" s="268"/>
      <c r="RBG548" s="268"/>
      <c r="RBH548" s="268"/>
      <c r="RBI548" s="268"/>
      <c r="RBJ548" s="268"/>
      <c r="RBK548" s="268"/>
      <c r="RBL548" s="268"/>
      <c r="RBM548" s="268"/>
      <c r="RBN548" s="268"/>
      <c r="RBO548" s="268"/>
      <c r="RBP548" s="268"/>
      <c r="RBQ548" s="268"/>
      <c r="RBR548" s="268"/>
      <c r="RBS548" s="268"/>
      <c r="RBT548" s="268"/>
      <c r="RBU548" s="268"/>
      <c r="RBV548" s="268"/>
      <c r="RBW548" s="268"/>
      <c r="RBX548" s="268"/>
      <c r="RBY548" s="268"/>
      <c r="RBZ548" s="268"/>
      <c r="RCA548" s="268"/>
      <c r="RCB548" s="268"/>
      <c r="RCC548" s="268"/>
      <c r="RCD548" s="268"/>
      <c r="RCE548" s="268"/>
      <c r="RCF548" s="268"/>
      <c r="RCG548" s="268"/>
      <c r="RCH548" s="268"/>
      <c r="RCI548" s="268"/>
      <c r="RCJ548" s="268"/>
      <c r="RCK548" s="268"/>
      <c r="RCL548" s="268"/>
      <c r="RCM548" s="268"/>
      <c r="RCN548" s="268"/>
      <c r="RCO548" s="268"/>
      <c r="RCP548" s="268"/>
      <c r="RCQ548" s="268"/>
      <c r="RCR548" s="268"/>
      <c r="RCS548" s="268"/>
      <c r="RCT548" s="268"/>
      <c r="RCU548" s="268"/>
      <c r="RCV548" s="268"/>
      <c r="RCW548" s="268"/>
      <c r="RCX548" s="268"/>
      <c r="RCY548" s="268"/>
      <c r="RCZ548" s="268"/>
      <c r="RDA548" s="268"/>
      <c r="RDB548" s="268"/>
      <c r="RDC548" s="268"/>
      <c r="RDD548" s="268"/>
      <c r="RDE548" s="268"/>
      <c r="RDF548" s="268"/>
      <c r="RDG548" s="268"/>
      <c r="RDU548" s="268"/>
      <c r="RDV548" s="268"/>
      <c r="RDW548" s="268"/>
      <c r="REK548" s="268"/>
      <c r="REM548" s="268"/>
      <c r="REN548" s="268"/>
      <c r="REO548" s="268"/>
      <c r="REP548" s="268"/>
      <c r="REQ548" s="268"/>
      <c r="RER548" s="268"/>
      <c r="RES548" s="268"/>
      <c r="RET548" s="268"/>
      <c r="REU548" s="268"/>
      <c r="REV548" s="268"/>
      <c r="REW548" s="268"/>
      <c r="REX548" s="268"/>
      <c r="REY548" s="268"/>
      <c r="REZ548" s="268"/>
      <c r="RFA548" s="268"/>
      <c r="RFB548" s="268"/>
      <c r="RFC548" s="268"/>
      <c r="RFD548" s="268"/>
      <c r="RFE548" s="268"/>
      <c r="RFF548" s="268"/>
      <c r="RFG548" s="268"/>
      <c r="RFH548" s="268"/>
      <c r="RFI548" s="268"/>
      <c r="RFJ548" s="268"/>
      <c r="RFK548" s="268"/>
      <c r="RFL548" s="268"/>
      <c r="RFM548" s="268"/>
      <c r="RFN548" s="268"/>
      <c r="RFO548" s="268"/>
      <c r="RFP548" s="268"/>
      <c r="RFQ548" s="268"/>
      <c r="RFR548" s="268"/>
      <c r="RFS548" s="268"/>
      <c r="RFT548" s="268"/>
      <c r="RFU548" s="268"/>
      <c r="RFV548" s="268"/>
      <c r="RFW548" s="268"/>
      <c r="RFX548" s="268"/>
      <c r="RFY548" s="268"/>
      <c r="RFZ548" s="268"/>
      <c r="RGA548" s="268"/>
      <c r="RGB548" s="268"/>
      <c r="RGC548" s="268"/>
      <c r="RGD548" s="268"/>
      <c r="RGE548" s="268"/>
      <c r="RGF548" s="268"/>
      <c r="RGG548" s="268"/>
      <c r="RGH548" s="268"/>
      <c r="RGI548" s="268"/>
      <c r="RGJ548" s="268"/>
      <c r="RGK548" s="268"/>
      <c r="RGL548" s="268"/>
      <c r="RGM548" s="268"/>
      <c r="RGN548" s="268"/>
      <c r="RGO548" s="268"/>
      <c r="RGP548" s="268"/>
      <c r="RGQ548" s="268"/>
      <c r="RGR548" s="268"/>
      <c r="RGS548" s="268"/>
      <c r="RGT548" s="268"/>
      <c r="RGU548" s="268"/>
      <c r="RGV548" s="268"/>
      <c r="RGW548" s="268"/>
      <c r="RGX548" s="268"/>
      <c r="RGY548" s="268"/>
      <c r="RGZ548" s="268"/>
      <c r="RHA548" s="268"/>
      <c r="RHB548" s="268"/>
      <c r="RHC548" s="268"/>
      <c r="RHD548" s="268"/>
      <c r="RHE548" s="268"/>
      <c r="RHF548" s="268"/>
      <c r="RHG548" s="268"/>
      <c r="RHH548" s="268"/>
      <c r="RHI548" s="268"/>
      <c r="RHJ548" s="268"/>
      <c r="RHK548" s="268"/>
      <c r="RHL548" s="268"/>
      <c r="RHM548" s="268"/>
      <c r="RHN548" s="268"/>
      <c r="RHO548" s="268"/>
      <c r="RHP548" s="268"/>
      <c r="RHQ548" s="268"/>
      <c r="RHR548" s="268"/>
      <c r="RHS548" s="268"/>
      <c r="RHT548" s="268"/>
      <c r="RHU548" s="268"/>
      <c r="RHV548" s="268"/>
      <c r="RHW548" s="268"/>
      <c r="RHX548" s="268"/>
      <c r="RHY548" s="268"/>
      <c r="RHZ548" s="268"/>
      <c r="RIA548" s="268"/>
      <c r="RIB548" s="268"/>
      <c r="RIC548" s="268"/>
      <c r="RID548" s="268"/>
      <c r="RIE548" s="268"/>
      <c r="RIF548" s="268"/>
      <c r="RIG548" s="268"/>
      <c r="RIH548" s="268"/>
      <c r="RII548" s="268"/>
      <c r="RIJ548" s="268"/>
      <c r="RIK548" s="268"/>
      <c r="RIL548" s="268"/>
      <c r="RIM548" s="268"/>
      <c r="RIN548" s="268"/>
      <c r="RIO548" s="268"/>
      <c r="RIP548" s="268"/>
      <c r="RIQ548" s="268"/>
      <c r="RIR548" s="268"/>
      <c r="RIS548" s="268"/>
      <c r="RIT548" s="268"/>
      <c r="RIU548" s="268"/>
      <c r="RIV548" s="268"/>
      <c r="RIW548" s="268"/>
      <c r="RIX548" s="268"/>
      <c r="RIY548" s="268"/>
      <c r="RIZ548" s="268"/>
      <c r="RJA548" s="268"/>
      <c r="RJB548" s="268"/>
      <c r="RJC548" s="268"/>
      <c r="RJD548" s="268"/>
      <c r="RJE548" s="268"/>
      <c r="RJF548" s="268"/>
      <c r="RJG548" s="268"/>
      <c r="RJH548" s="268"/>
      <c r="RJI548" s="268"/>
      <c r="RJJ548" s="268"/>
      <c r="RJK548" s="268"/>
      <c r="RJL548" s="268"/>
      <c r="RJM548" s="268"/>
      <c r="RJN548" s="268"/>
      <c r="RJO548" s="268"/>
      <c r="RJP548" s="268"/>
      <c r="RJQ548" s="268"/>
      <c r="RJR548" s="268"/>
      <c r="RJS548" s="268"/>
      <c r="RJT548" s="268"/>
      <c r="RJU548" s="268"/>
      <c r="RJV548" s="268"/>
      <c r="RJW548" s="268"/>
      <c r="RJX548" s="268"/>
      <c r="RJY548" s="268"/>
      <c r="RJZ548" s="268"/>
      <c r="RKA548" s="268"/>
      <c r="RKB548" s="268"/>
      <c r="RKC548" s="268"/>
      <c r="RKD548" s="268"/>
      <c r="RKE548" s="268"/>
      <c r="RKF548" s="268"/>
      <c r="RKG548" s="268"/>
      <c r="RKH548" s="268"/>
      <c r="RKI548" s="268"/>
      <c r="RKJ548" s="268"/>
      <c r="RKK548" s="268"/>
      <c r="RKL548" s="268"/>
      <c r="RKM548" s="268"/>
      <c r="RKN548" s="268"/>
      <c r="RKO548" s="268"/>
      <c r="RKP548" s="268"/>
      <c r="RKQ548" s="268"/>
      <c r="RKR548" s="268"/>
      <c r="RKS548" s="268"/>
      <c r="RKT548" s="268"/>
      <c r="RKU548" s="268"/>
      <c r="RKV548" s="268"/>
      <c r="RKW548" s="268"/>
      <c r="RKX548" s="268"/>
      <c r="RKY548" s="268"/>
      <c r="RKZ548" s="268"/>
      <c r="RLA548" s="268"/>
      <c r="RLB548" s="268"/>
      <c r="RLC548" s="268"/>
      <c r="RLD548" s="268"/>
      <c r="RLE548" s="268"/>
      <c r="RLF548" s="268"/>
      <c r="RLG548" s="268"/>
      <c r="RLH548" s="268"/>
      <c r="RLI548" s="268"/>
      <c r="RLJ548" s="268"/>
      <c r="RLK548" s="268"/>
      <c r="RLL548" s="268"/>
      <c r="RLM548" s="268"/>
      <c r="RLN548" s="268"/>
      <c r="RLO548" s="268"/>
      <c r="RLP548" s="268"/>
      <c r="RLQ548" s="268"/>
      <c r="RLR548" s="268"/>
      <c r="RLS548" s="268"/>
      <c r="RLT548" s="268"/>
      <c r="RLU548" s="268"/>
      <c r="RLV548" s="268"/>
      <c r="RLW548" s="268"/>
      <c r="RLX548" s="268"/>
      <c r="RLY548" s="268"/>
      <c r="RLZ548" s="268"/>
      <c r="RMA548" s="268"/>
      <c r="RMB548" s="268"/>
      <c r="RMC548" s="268"/>
      <c r="RMD548" s="268"/>
      <c r="RME548" s="268"/>
      <c r="RMF548" s="268"/>
      <c r="RMG548" s="268"/>
      <c r="RMH548" s="268"/>
      <c r="RMI548" s="268"/>
      <c r="RMJ548" s="268"/>
      <c r="RMK548" s="268"/>
      <c r="RML548" s="268"/>
      <c r="RMM548" s="268"/>
      <c r="RMN548" s="268"/>
      <c r="RMO548" s="268"/>
      <c r="RMP548" s="268"/>
      <c r="RMQ548" s="268"/>
      <c r="RMR548" s="268"/>
      <c r="RMS548" s="268"/>
      <c r="RMT548" s="268"/>
      <c r="RMU548" s="268"/>
      <c r="RMV548" s="268"/>
      <c r="RMW548" s="268"/>
      <c r="RMX548" s="268"/>
      <c r="RMY548" s="268"/>
      <c r="RMZ548" s="268"/>
      <c r="RNA548" s="268"/>
      <c r="RNB548" s="268"/>
      <c r="RNC548" s="268"/>
      <c r="RNQ548" s="268"/>
      <c r="RNR548" s="268"/>
      <c r="RNS548" s="268"/>
      <c r="ROG548" s="268"/>
      <c r="ROI548" s="268"/>
      <c r="ROJ548" s="268"/>
      <c r="ROK548" s="268"/>
      <c r="ROL548" s="268"/>
      <c r="ROM548" s="268"/>
      <c r="RON548" s="268"/>
      <c r="ROO548" s="268"/>
      <c r="ROP548" s="268"/>
      <c r="ROQ548" s="268"/>
      <c r="ROR548" s="268"/>
      <c r="ROS548" s="268"/>
      <c r="ROT548" s="268"/>
      <c r="ROU548" s="268"/>
      <c r="ROV548" s="268"/>
      <c r="ROW548" s="268"/>
      <c r="ROX548" s="268"/>
      <c r="ROY548" s="268"/>
      <c r="ROZ548" s="268"/>
      <c r="RPA548" s="268"/>
      <c r="RPB548" s="268"/>
      <c r="RPC548" s="268"/>
      <c r="RPD548" s="268"/>
      <c r="RPE548" s="268"/>
      <c r="RPF548" s="268"/>
      <c r="RPG548" s="268"/>
      <c r="RPH548" s="268"/>
      <c r="RPI548" s="268"/>
      <c r="RPJ548" s="268"/>
      <c r="RPK548" s="268"/>
      <c r="RPL548" s="268"/>
      <c r="RPM548" s="268"/>
      <c r="RPN548" s="268"/>
      <c r="RPO548" s="268"/>
      <c r="RPP548" s="268"/>
      <c r="RPQ548" s="268"/>
      <c r="RPR548" s="268"/>
      <c r="RPS548" s="268"/>
      <c r="RPT548" s="268"/>
      <c r="RPU548" s="268"/>
      <c r="RPV548" s="268"/>
      <c r="RPW548" s="268"/>
      <c r="RPX548" s="268"/>
      <c r="RPY548" s="268"/>
      <c r="RPZ548" s="268"/>
      <c r="RQA548" s="268"/>
      <c r="RQB548" s="268"/>
      <c r="RQC548" s="268"/>
      <c r="RQD548" s="268"/>
      <c r="RQE548" s="268"/>
      <c r="RQF548" s="268"/>
      <c r="RQG548" s="268"/>
      <c r="RQH548" s="268"/>
      <c r="RQI548" s="268"/>
      <c r="RQJ548" s="268"/>
      <c r="RQK548" s="268"/>
      <c r="RQL548" s="268"/>
      <c r="RQM548" s="268"/>
      <c r="RQN548" s="268"/>
      <c r="RQO548" s="268"/>
      <c r="RQP548" s="268"/>
      <c r="RQQ548" s="268"/>
      <c r="RQR548" s="268"/>
      <c r="RQS548" s="268"/>
      <c r="RQT548" s="268"/>
      <c r="RQU548" s="268"/>
      <c r="RQV548" s="268"/>
      <c r="RQW548" s="268"/>
      <c r="RQX548" s="268"/>
      <c r="RQY548" s="268"/>
      <c r="RQZ548" s="268"/>
      <c r="RRA548" s="268"/>
      <c r="RRB548" s="268"/>
      <c r="RRC548" s="268"/>
      <c r="RRD548" s="268"/>
      <c r="RRE548" s="268"/>
      <c r="RRF548" s="268"/>
      <c r="RRG548" s="268"/>
      <c r="RRH548" s="268"/>
      <c r="RRI548" s="268"/>
      <c r="RRJ548" s="268"/>
      <c r="RRK548" s="268"/>
      <c r="RRL548" s="268"/>
      <c r="RRM548" s="268"/>
      <c r="RRN548" s="268"/>
      <c r="RRO548" s="268"/>
      <c r="RRP548" s="268"/>
      <c r="RRQ548" s="268"/>
      <c r="RRR548" s="268"/>
      <c r="RRS548" s="268"/>
      <c r="RRT548" s="268"/>
      <c r="RRU548" s="268"/>
      <c r="RRV548" s="268"/>
      <c r="RRW548" s="268"/>
      <c r="RRX548" s="268"/>
      <c r="RRY548" s="268"/>
      <c r="RRZ548" s="268"/>
      <c r="RSA548" s="268"/>
      <c r="RSB548" s="268"/>
      <c r="RSC548" s="268"/>
      <c r="RSD548" s="268"/>
      <c r="RSE548" s="268"/>
      <c r="RSF548" s="268"/>
      <c r="RSG548" s="268"/>
      <c r="RSH548" s="268"/>
      <c r="RSI548" s="268"/>
      <c r="RSJ548" s="268"/>
      <c r="RSK548" s="268"/>
      <c r="RSL548" s="268"/>
      <c r="RSM548" s="268"/>
      <c r="RSN548" s="268"/>
      <c r="RSO548" s="268"/>
      <c r="RSP548" s="268"/>
      <c r="RSQ548" s="268"/>
      <c r="RSR548" s="268"/>
      <c r="RSS548" s="268"/>
      <c r="RST548" s="268"/>
      <c r="RSU548" s="268"/>
      <c r="RSV548" s="268"/>
      <c r="RSW548" s="268"/>
      <c r="RSX548" s="268"/>
      <c r="RSY548" s="268"/>
      <c r="RSZ548" s="268"/>
      <c r="RTA548" s="268"/>
      <c r="RTB548" s="268"/>
      <c r="RTC548" s="268"/>
      <c r="RTD548" s="268"/>
      <c r="RTE548" s="268"/>
      <c r="RTF548" s="268"/>
      <c r="RTG548" s="268"/>
      <c r="RTH548" s="268"/>
      <c r="RTI548" s="268"/>
      <c r="RTJ548" s="268"/>
      <c r="RTK548" s="268"/>
      <c r="RTL548" s="268"/>
      <c r="RTM548" s="268"/>
      <c r="RTN548" s="268"/>
      <c r="RTO548" s="268"/>
      <c r="RTP548" s="268"/>
      <c r="RTQ548" s="268"/>
      <c r="RTR548" s="268"/>
      <c r="RTS548" s="268"/>
      <c r="RTT548" s="268"/>
      <c r="RTU548" s="268"/>
      <c r="RTV548" s="268"/>
      <c r="RTW548" s="268"/>
      <c r="RTX548" s="268"/>
      <c r="RTY548" s="268"/>
      <c r="RTZ548" s="268"/>
      <c r="RUA548" s="268"/>
      <c r="RUB548" s="268"/>
      <c r="RUC548" s="268"/>
      <c r="RUD548" s="268"/>
      <c r="RUE548" s="268"/>
      <c r="RUF548" s="268"/>
      <c r="RUG548" s="268"/>
      <c r="RUH548" s="268"/>
      <c r="RUI548" s="268"/>
      <c r="RUJ548" s="268"/>
      <c r="RUK548" s="268"/>
      <c r="RUL548" s="268"/>
      <c r="RUM548" s="268"/>
      <c r="RUN548" s="268"/>
      <c r="RUO548" s="268"/>
      <c r="RUP548" s="268"/>
      <c r="RUQ548" s="268"/>
      <c r="RUR548" s="268"/>
      <c r="RUS548" s="268"/>
      <c r="RUT548" s="268"/>
      <c r="RUU548" s="268"/>
      <c r="RUV548" s="268"/>
      <c r="RUW548" s="268"/>
      <c r="RUX548" s="268"/>
      <c r="RUY548" s="268"/>
      <c r="RUZ548" s="268"/>
      <c r="RVA548" s="268"/>
      <c r="RVB548" s="268"/>
      <c r="RVC548" s="268"/>
      <c r="RVD548" s="268"/>
      <c r="RVE548" s="268"/>
      <c r="RVF548" s="268"/>
      <c r="RVG548" s="268"/>
      <c r="RVH548" s="268"/>
      <c r="RVI548" s="268"/>
      <c r="RVJ548" s="268"/>
      <c r="RVK548" s="268"/>
      <c r="RVL548" s="268"/>
      <c r="RVM548" s="268"/>
      <c r="RVN548" s="268"/>
      <c r="RVO548" s="268"/>
      <c r="RVP548" s="268"/>
      <c r="RVQ548" s="268"/>
      <c r="RVR548" s="268"/>
      <c r="RVS548" s="268"/>
      <c r="RVT548" s="268"/>
      <c r="RVU548" s="268"/>
      <c r="RVV548" s="268"/>
      <c r="RVW548" s="268"/>
      <c r="RVX548" s="268"/>
      <c r="RVY548" s="268"/>
      <c r="RVZ548" s="268"/>
      <c r="RWA548" s="268"/>
      <c r="RWB548" s="268"/>
      <c r="RWC548" s="268"/>
      <c r="RWD548" s="268"/>
      <c r="RWE548" s="268"/>
      <c r="RWF548" s="268"/>
      <c r="RWG548" s="268"/>
      <c r="RWH548" s="268"/>
      <c r="RWI548" s="268"/>
      <c r="RWJ548" s="268"/>
      <c r="RWK548" s="268"/>
      <c r="RWL548" s="268"/>
      <c r="RWM548" s="268"/>
      <c r="RWN548" s="268"/>
      <c r="RWO548" s="268"/>
      <c r="RWP548" s="268"/>
      <c r="RWQ548" s="268"/>
      <c r="RWR548" s="268"/>
      <c r="RWS548" s="268"/>
      <c r="RWT548" s="268"/>
      <c r="RWU548" s="268"/>
      <c r="RWV548" s="268"/>
      <c r="RWW548" s="268"/>
      <c r="RWX548" s="268"/>
      <c r="RWY548" s="268"/>
      <c r="RXM548" s="268"/>
      <c r="RXN548" s="268"/>
      <c r="RXO548" s="268"/>
      <c r="RYC548" s="268"/>
      <c r="RYE548" s="268"/>
      <c r="RYF548" s="268"/>
      <c r="RYG548" s="268"/>
      <c r="RYH548" s="268"/>
      <c r="RYI548" s="268"/>
      <c r="RYJ548" s="268"/>
      <c r="RYK548" s="268"/>
      <c r="RYL548" s="268"/>
      <c r="RYM548" s="268"/>
      <c r="RYN548" s="268"/>
      <c r="RYO548" s="268"/>
      <c r="RYP548" s="268"/>
      <c r="RYQ548" s="268"/>
      <c r="RYR548" s="268"/>
      <c r="RYS548" s="268"/>
      <c r="RYT548" s="268"/>
      <c r="RYU548" s="268"/>
      <c r="RYV548" s="268"/>
      <c r="RYW548" s="268"/>
      <c r="RYX548" s="268"/>
      <c r="RYY548" s="268"/>
      <c r="RYZ548" s="268"/>
      <c r="RZA548" s="268"/>
      <c r="RZB548" s="268"/>
      <c r="RZC548" s="268"/>
      <c r="RZD548" s="268"/>
      <c r="RZE548" s="268"/>
      <c r="RZF548" s="268"/>
      <c r="RZG548" s="268"/>
      <c r="RZH548" s="268"/>
      <c r="RZI548" s="268"/>
      <c r="RZJ548" s="268"/>
      <c r="RZK548" s="268"/>
      <c r="RZL548" s="268"/>
      <c r="RZM548" s="268"/>
      <c r="RZN548" s="268"/>
      <c r="RZO548" s="268"/>
      <c r="RZP548" s="268"/>
      <c r="RZQ548" s="268"/>
      <c r="RZR548" s="268"/>
      <c r="RZS548" s="268"/>
      <c r="RZT548" s="268"/>
      <c r="RZU548" s="268"/>
      <c r="RZV548" s="268"/>
      <c r="RZW548" s="268"/>
      <c r="RZX548" s="268"/>
      <c r="RZY548" s="268"/>
      <c r="RZZ548" s="268"/>
      <c r="SAA548" s="268"/>
      <c r="SAB548" s="268"/>
      <c r="SAC548" s="268"/>
      <c r="SAD548" s="268"/>
      <c r="SAE548" s="268"/>
      <c r="SAF548" s="268"/>
      <c r="SAG548" s="268"/>
      <c r="SAH548" s="268"/>
      <c r="SAI548" s="268"/>
      <c r="SAJ548" s="268"/>
      <c r="SAK548" s="268"/>
      <c r="SAL548" s="268"/>
      <c r="SAM548" s="268"/>
      <c r="SAN548" s="268"/>
      <c r="SAO548" s="268"/>
      <c r="SAP548" s="268"/>
      <c r="SAQ548" s="268"/>
      <c r="SAR548" s="268"/>
      <c r="SAS548" s="268"/>
      <c r="SAT548" s="268"/>
      <c r="SAU548" s="268"/>
      <c r="SAV548" s="268"/>
      <c r="SAW548" s="268"/>
      <c r="SAX548" s="268"/>
      <c r="SAY548" s="268"/>
      <c r="SAZ548" s="268"/>
      <c r="SBA548" s="268"/>
      <c r="SBB548" s="268"/>
      <c r="SBC548" s="268"/>
      <c r="SBD548" s="268"/>
      <c r="SBE548" s="268"/>
      <c r="SBF548" s="268"/>
      <c r="SBG548" s="268"/>
      <c r="SBH548" s="268"/>
      <c r="SBI548" s="268"/>
      <c r="SBJ548" s="268"/>
      <c r="SBK548" s="268"/>
      <c r="SBL548" s="268"/>
      <c r="SBM548" s="268"/>
      <c r="SBN548" s="268"/>
      <c r="SBO548" s="268"/>
      <c r="SBP548" s="268"/>
      <c r="SBQ548" s="268"/>
      <c r="SBR548" s="268"/>
      <c r="SBS548" s="268"/>
      <c r="SBT548" s="268"/>
      <c r="SBU548" s="268"/>
      <c r="SBV548" s="268"/>
      <c r="SBW548" s="268"/>
      <c r="SBX548" s="268"/>
      <c r="SBY548" s="268"/>
      <c r="SBZ548" s="268"/>
      <c r="SCA548" s="268"/>
      <c r="SCB548" s="268"/>
      <c r="SCC548" s="268"/>
      <c r="SCD548" s="268"/>
      <c r="SCE548" s="268"/>
      <c r="SCF548" s="268"/>
      <c r="SCG548" s="268"/>
      <c r="SCH548" s="268"/>
      <c r="SCI548" s="268"/>
      <c r="SCJ548" s="268"/>
      <c r="SCK548" s="268"/>
      <c r="SCL548" s="268"/>
      <c r="SCM548" s="268"/>
      <c r="SCN548" s="268"/>
      <c r="SCO548" s="268"/>
      <c r="SCP548" s="268"/>
      <c r="SCQ548" s="268"/>
      <c r="SCR548" s="268"/>
      <c r="SCS548" s="268"/>
      <c r="SCT548" s="268"/>
      <c r="SCU548" s="268"/>
      <c r="SCV548" s="268"/>
      <c r="SCW548" s="268"/>
      <c r="SCX548" s="268"/>
      <c r="SCY548" s="268"/>
      <c r="SCZ548" s="268"/>
      <c r="SDA548" s="268"/>
      <c r="SDB548" s="268"/>
      <c r="SDC548" s="268"/>
      <c r="SDD548" s="268"/>
      <c r="SDE548" s="268"/>
      <c r="SDF548" s="268"/>
      <c r="SDG548" s="268"/>
      <c r="SDH548" s="268"/>
      <c r="SDI548" s="268"/>
      <c r="SDJ548" s="268"/>
      <c r="SDK548" s="268"/>
      <c r="SDL548" s="268"/>
      <c r="SDM548" s="268"/>
      <c r="SDN548" s="268"/>
      <c r="SDO548" s="268"/>
      <c r="SDP548" s="268"/>
      <c r="SDQ548" s="268"/>
      <c r="SDR548" s="268"/>
      <c r="SDS548" s="268"/>
      <c r="SDT548" s="268"/>
      <c r="SDU548" s="268"/>
      <c r="SDV548" s="268"/>
      <c r="SDW548" s="268"/>
      <c r="SDX548" s="268"/>
      <c r="SDY548" s="268"/>
      <c r="SDZ548" s="268"/>
      <c r="SEA548" s="268"/>
      <c r="SEB548" s="268"/>
      <c r="SEC548" s="268"/>
      <c r="SED548" s="268"/>
      <c r="SEE548" s="268"/>
      <c r="SEF548" s="268"/>
      <c r="SEG548" s="268"/>
      <c r="SEH548" s="268"/>
      <c r="SEI548" s="268"/>
      <c r="SEJ548" s="268"/>
      <c r="SEK548" s="268"/>
      <c r="SEL548" s="268"/>
      <c r="SEM548" s="268"/>
      <c r="SEN548" s="268"/>
      <c r="SEO548" s="268"/>
      <c r="SEP548" s="268"/>
      <c r="SEQ548" s="268"/>
      <c r="SER548" s="268"/>
      <c r="SES548" s="268"/>
      <c r="SET548" s="268"/>
      <c r="SEU548" s="268"/>
      <c r="SEV548" s="268"/>
      <c r="SEW548" s="268"/>
      <c r="SEX548" s="268"/>
      <c r="SEY548" s="268"/>
      <c r="SEZ548" s="268"/>
      <c r="SFA548" s="268"/>
      <c r="SFB548" s="268"/>
      <c r="SFC548" s="268"/>
      <c r="SFD548" s="268"/>
      <c r="SFE548" s="268"/>
      <c r="SFF548" s="268"/>
      <c r="SFG548" s="268"/>
      <c r="SFH548" s="268"/>
      <c r="SFI548" s="268"/>
      <c r="SFJ548" s="268"/>
      <c r="SFK548" s="268"/>
      <c r="SFL548" s="268"/>
      <c r="SFM548" s="268"/>
      <c r="SFN548" s="268"/>
      <c r="SFO548" s="268"/>
      <c r="SFP548" s="268"/>
      <c r="SFQ548" s="268"/>
      <c r="SFR548" s="268"/>
      <c r="SFS548" s="268"/>
      <c r="SFT548" s="268"/>
      <c r="SFU548" s="268"/>
      <c r="SFV548" s="268"/>
      <c r="SFW548" s="268"/>
      <c r="SFX548" s="268"/>
      <c r="SFY548" s="268"/>
      <c r="SFZ548" s="268"/>
      <c r="SGA548" s="268"/>
      <c r="SGB548" s="268"/>
      <c r="SGC548" s="268"/>
      <c r="SGD548" s="268"/>
      <c r="SGE548" s="268"/>
      <c r="SGF548" s="268"/>
      <c r="SGG548" s="268"/>
      <c r="SGH548" s="268"/>
      <c r="SGI548" s="268"/>
      <c r="SGJ548" s="268"/>
      <c r="SGK548" s="268"/>
      <c r="SGL548" s="268"/>
      <c r="SGM548" s="268"/>
      <c r="SGN548" s="268"/>
      <c r="SGO548" s="268"/>
      <c r="SGP548" s="268"/>
      <c r="SGQ548" s="268"/>
      <c r="SGR548" s="268"/>
      <c r="SGS548" s="268"/>
      <c r="SGT548" s="268"/>
      <c r="SGU548" s="268"/>
      <c r="SHI548" s="268"/>
      <c r="SHJ548" s="268"/>
      <c r="SHK548" s="268"/>
      <c r="SHY548" s="268"/>
      <c r="SIA548" s="268"/>
      <c r="SIB548" s="268"/>
      <c r="SIC548" s="268"/>
      <c r="SID548" s="268"/>
      <c r="SIE548" s="268"/>
      <c r="SIF548" s="268"/>
      <c r="SIG548" s="268"/>
      <c r="SIH548" s="268"/>
      <c r="SII548" s="268"/>
      <c r="SIJ548" s="268"/>
      <c r="SIK548" s="268"/>
      <c r="SIL548" s="268"/>
      <c r="SIM548" s="268"/>
      <c r="SIN548" s="268"/>
      <c r="SIO548" s="268"/>
      <c r="SIP548" s="268"/>
      <c r="SIQ548" s="268"/>
      <c r="SIR548" s="268"/>
      <c r="SIS548" s="268"/>
      <c r="SIT548" s="268"/>
      <c r="SIU548" s="268"/>
      <c r="SIV548" s="268"/>
      <c r="SIW548" s="268"/>
      <c r="SIX548" s="268"/>
      <c r="SIY548" s="268"/>
      <c r="SIZ548" s="268"/>
      <c r="SJA548" s="268"/>
      <c r="SJB548" s="268"/>
      <c r="SJC548" s="268"/>
      <c r="SJD548" s="268"/>
      <c r="SJE548" s="268"/>
      <c r="SJF548" s="268"/>
      <c r="SJG548" s="268"/>
      <c r="SJH548" s="268"/>
      <c r="SJI548" s="268"/>
      <c r="SJJ548" s="268"/>
      <c r="SJK548" s="268"/>
      <c r="SJL548" s="268"/>
      <c r="SJM548" s="268"/>
      <c r="SJN548" s="268"/>
      <c r="SJO548" s="268"/>
      <c r="SJP548" s="268"/>
      <c r="SJQ548" s="268"/>
      <c r="SJR548" s="268"/>
      <c r="SJS548" s="268"/>
      <c r="SJT548" s="268"/>
      <c r="SJU548" s="268"/>
      <c r="SJV548" s="268"/>
      <c r="SJW548" s="268"/>
      <c r="SJX548" s="268"/>
      <c r="SJY548" s="268"/>
      <c r="SJZ548" s="268"/>
      <c r="SKA548" s="268"/>
      <c r="SKB548" s="268"/>
      <c r="SKC548" s="268"/>
      <c r="SKD548" s="268"/>
      <c r="SKE548" s="268"/>
      <c r="SKF548" s="268"/>
      <c r="SKG548" s="268"/>
      <c r="SKH548" s="268"/>
      <c r="SKI548" s="268"/>
      <c r="SKJ548" s="268"/>
      <c r="SKK548" s="268"/>
      <c r="SKL548" s="268"/>
      <c r="SKM548" s="268"/>
      <c r="SKN548" s="268"/>
      <c r="SKO548" s="268"/>
      <c r="SKP548" s="268"/>
      <c r="SKQ548" s="268"/>
      <c r="SKR548" s="268"/>
      <c r="SKS548" s="268"/>
      <c r="SKT548" s="268"/>
      <c r="SKU548" s="268"/>
      <c r="SKV548" s="268"/>
      <c r="SKW548" s="268"/>
      <c r="SKX548" s="268"/>
      <c r="SKY548" s="268"/>
      <c r="SKZ548" s="268"/>
      <c r="SLA548" s="268"/>
      <c r="SLB548" s="268"/>
      <c r="SLC548" s="268"/>
      <c r="SLD548" s="268"/>
      <c r="SLE548" s="268"/>
      <c r="SLF548" s="268"/>
      <c r="SLG548" s="268"/>
      <c r="SLH548" s="268"/>
      <c r="SLI548" s="268"/>
      <c r="SLJ548" s="268"/>
      <c r="SLK548" s="268"/>
      <c r="SLL548" s="268"/>
      <c r="SLM548" s="268"/>
      <c r="SLN548" s="268"/>
      <c r="SLO548" s="268"/>
      <c r="SLP548" s="268"/>
      <c r="SLQ548" s="268"/>
      <c r="SLR548" s="268"/>
      <c r="SLS548" s="268"/>
      <c r="SLT548" s="268"/>
      <c r="SLU548" s="268"/>
      <c r="SLV548" s="268"/>
      <c r="SLW548" s="268"/>
      <c r="SLX548" s="268"/>
      <c r="SLY548" s="268"/>
      <c r="SLZ548" s="268"/>
      <c r="SMA548" s="268"/>
      <c r="SMB548" s="268"/>
      <c r="SMC548" s="268"/>
      <c r="SMD548" s="268"/>
      <c r="SME548" s="268"/>
      <c r="SMF548" s="268"/>
      <c r="SMG548" s="268"/>
      <c r="SMH548" s="268"/>
      <c r="SMI548" s="268"/>
      <c r="SMJ548" s="268"/>
      <c r="SMK548" s="268"/>
      <c r="SML548" s="268"/>
      <c r="SMM548" s="268"/>
      <c r="SMN548" s="268"/>
      <c r="SMO548" s="268"/>
      <c r="SMP548" s="268"/>
      <c r="SMQ548" s="268"/>
      <c r="SMR548" s="268"/>
      <c r="SMS548" s="268"/>
      <c r="SMT548" s="268"/>
      <c r="SMU548" s="268"/>
      <c r="SMV548" s="268"/>
      <c r="SMW548" s="268"/>
      <c r="SMX548" s="268"/>
      <c r="SMY548" s="268"/>
      <c r="SMZ548" s="268"/>
      <c r="SNA548" s="268"/>
      <c r="SNB548" s="268"/>
      <c r="SNC548" s="268"/>
      <c r="SND548" s="268"/>
      <c r="SNE548" s="268"/>
      <c r="SNF548" s="268"/>
      <c r="SNG548" s="268"/>
      <c r="SNH548" s="268"/>
      <c r="SNI548" s="268"/>
      <c r="SNJ548" s="268"/>
      <c r="SNK548" s="268"/>
      <c r="SNL548" s="268"/>
      <c r="SNM548" s="268"/>
      <c r="SNN548" s="268"/>
      <c r="SNO548" s="268"/>
      <c r="SNP548" s="268"/>
      <c r="SNQ548" s="268"/>
      <c r="SNR548" s="268"/>
      <c r="SNS548" s="268"/>
      <c r="SNT548" s="268"/>
      <c r="SNU548" s="268"/>
      <c r="SNV548" s="268"/>
      <c r="SNW548" s="268"/>
      <c r="SNX548" s="268"/>
      <c r="SNY548" s="268"/>
      <c r="SNZ548" s="268"/>
      <c r="SOA548" s="268"/>
      <c r="SOB548" s="268"/>
      <c r="SOC548" s="268"/>
      <c r="SOD548" s="268"/>
      <c r="SOE548" s="268"/>
      <c r="SOF548" s="268"/>
      <c r="SOG548" s="268"/>
      <c r="SOH548" s="268"/>
      <c r="SOI548" s="268"/>
      <c r="SOJ548" s="268"/>
      <c r="SOK548" s="268"/>
      <c r="SOL548" s="268"/>
      <c r="SOM548" s="268"/>
      <c r="SON548" s="268"/>
      <c r="SOO548" s="268"/>
      <c r="SOP548" s="268"/>
      <c r="SOQ548" s="268"/>
      <c r="SOR548" s="268"/>
      <c r="SOS548" s="268"/>
      <c r="SOT548" s="268"/>
      <c r="SOU548" s="268"/>
      <c r="SOV548" s="268"/>
      <c r="SOW548" s="268"/>
      <c r="SOX548" s="268"/>
      <c r="SOY548" s="268"/>
      <c r="SOZ548" s="268"/>
      <c r="SPA548" s="268"/>
      <c r="SPB548" s="268"/>
      <c r="SPC548" s="268"/>
      <c r="SPD548" s="268"/>
      <c r="SPE548" s="268"/>
      <c r="SPF548" s="268"/>
      <c r="SPG548" s="268"/>
      <c r="SPH548" s="268"/>
      <c r="SPI548" s="268"/>
      <c r="SPJ548" s="268"/>
      <c r="SPK548" s="268"/>
      <c r="SPL548" s="268"/>
      <c r="SPM548" s="268"/>
      <c r="SPN548" s="268"/>
      <c r="SPO548" s="268"/>
      <c r="SPP548" s="268"/>
      <c r="SPQ548" s="268"/>
      <c r="SPR548" s="268"/>
      <c r="SPS548" s="268"/>
      <c r="SPT548" s="268"/>
      <c r="SPU548" s="268"/>
      <c r="SPV548" s="268"/>
      <c r="SPW548" s="268"/>
      <c r="SPX548" s="268"/>
      <c r="SPY548" s="268"/>
      <c r="SPZ548" s="268"/>
      <c r="SQA548" s="268"/>
      <c r="SQB548" s="268"/>
      <c r="SQC548" s="268"/>
      <c r="SQD548" s="268"/>
      <c r="SQE548" s="268"/>
      <c r="SQF548" s="268"/>
      <c r="SQG548" s="268"/>
      <c r="SQH548" s="268"/>
      <c r="SQI548" s="268"/>
      <c r="SQJ548" s="268"/>
      <c r="SQK548" s="268"/>
      <c r="SQL548" s="268"/>
      <c r="SQM548" s="268"/>
      <c r="SQN548" s="268"/>
      <c r="SQO548" s="268"/>
      <c r="SQP548" s="268"/>
      <c r="SQQ548" s="268"/>
      <c r="SRE548" s="268"/>
      <c r="SRF548" s="268"/>
      <c r="SRG548" s="268"/>
      <c r="SRU548" s="268"/>
      <c r="SRW548" s="268"/>
      <c r="SRX548" s="268"/>
      <c r="SRY548" s="268"/>
      <c r="SRZ548" s="268"/>
      <c r="SSA548" s="268"/>
      <c r="SSB548" s="268"/>
      <c r="SSC548" s="268"/>
      <c r="SSD548" s="268"/>
      <c r="SSE548" s="268"/>
      <c r="SSF548" s="268"/>
      <c r="SSG548" s="268"/>
      <c r="SSH548" s="268"/>
      <c r="SSI548" s="268"/>
      <c r="SSJ548" s="268"/>
      <c r="SSK548" s="268"/>
      <c r="SSL548" s="268"/>
      <c r="SSM548" s="268"/>
      <c r="SSN548" s="268"/>
      <c r="SSO548" s="268"/>
      <c r="SSP548" s="268"/>
      <c r="SSQ548" s="268"/>
      <c r="SSR548" s="268"/>
      <c r="SSS548" s="268"/>
      <c r="SST548" s="268"/>
      <c r="SSU548" s="268"/>
      <c r="SSV548" s="268"/>
      <c r="SSW548" s="268"/>
      <c r="SSX548" s="268"/>
      <c r="SSY548" s="268"/>
      <c r="SSZ548" s="268"/>
      <c r="STA548" s="268"/>
      <c r="STB548" s="268"/>
      <c r="STC548" s="268"/>
      <c r="STD548" s="268"/>
      <c r="STE548" s="268"/>
      <c r="STF548" s="268"/>
      <c r="STG548" s="268"/>
      <c r="STH548" s="268"/>
      <c r="STI548" s="268"/>
      <c r="STJ548" s="268"/>
      <c r="STK548" s="268"/>
      <c r="STL548" s="268"/>
      <c r="STM548" s="268"/>
      <c r="STN548" s="268"/>
      <c r="STO548" s="268"/>
      <c r="STP548" s="268"/>
      <c r="STQ548" s="268"/>
      <c r="STR548" s="268"/>
      <c r="STS548" s="268"/>
      <c r="STT548" s="268"/>
      <c r="STU548" s="268"/>
      <c r="STV548" s="268"/>
      <c r="STW548" s="268"/>
      <c r="STX548" s="268"/>
      <c r="STY548" s="268"/>
      <c r="STZ548" s="268"/>
      <c r="SUA548" s="268"/>
      <c r="SUB548" s="268"/>
      <c r="SUC548" s="268"/>
      <c r="SUD548" s="268"/>
      <c r="SUE548" s="268"/>
      <c r="SUF548" s="268"/>
      <c r="SUG548" s="268"/>
      <c r="SUH548" s="268"/>
      <c r="SUI548" s="268"/>
      <c r="SUJ548" s="268"/>
      <c r="SUK548" s="268"/>
      <c r="SUL548" s="268"/>
      <c r="SUM548" s="268"/>
      <c r="SUN548" s="268"/>
      <c r="SUO548" s="268"/>
      <c r="SUP548" s="268"/>
      <c r="SUQ548" s="268"/>
      <c r="SUR548" s="268"/>
      <c r="SUS548" s="268"/>
      <c r="SUT548" s="268"/>
      <c r="SUU548" s="268"/>
      <c r="SUV548" s="268"/>
      <c r="SUW548" s="268"/>
      <c r="SUX548" s="268"/>
      <c r="SUY548" s="268"/>
      <c r="SUZ548" s="268"/>
      <c r="SVA548" s="268"/>
      <c r="SVB548" s="268"/>
      <c r="SVC548" s="268"/>
      <c r="SVD548" s="268"/>
      <c r="SVE548" s="268"/>
      <c r="SVF548" s="268"/>
      <c r="SVG548" s="268"/>
      <c r="SVH548" s="268"/>
      <c r="SVI548" s="268"/>
      <c r="SVJ548" s="268"/>
      <c r="SVK548" s="268"/>
      <c r="SVL548" s="268"/>
      <c r="SVM548" s="268"/>
      <c r="SVN548" s="268"/>
      <c r="SVO548" s="268"/>
      <c r="SVP548" s="268"/>
      <c r="SVQ548" s="268"/>
      <c r="SVR548" s="268"/>
      <c r="SVS548" s="268"/>
      <c r="SVT548" s="268"/>
      <c r="SVU548" s="268"/>
      <c r="SVV548" s="268"/>
      <c r="SVW548" s="268"/>
      <c r="SVX548" s="268"/>
      <c r="SVY548" s="268"/>
      <c r="SVZ548" s="268"/>
      <c r="SWA548" s="268"/>
      <c r="SWB548" s="268"/>
      <c r="SWC548" s="268"/>
      <c r="SWD548" s="268"/>
      <c r="SWE548" s="268"/>
      <c r="SWF548" s="268"/>
      <c r="SWG548" s="268"/>
      <c r="SWH548" s="268"/>
      <c r="SWI548" s="268"/>
      <c r="SWJ548" s="268"/>
      <c r="SWK548" s="268"/>
      <c r="SWL548" s="268"/>
      <c r="SWM548" s="268"/>
      <c r="SWN548" s="268"/>
      <c r="SWO548" s="268"/>
      <c r="SWP548" s="268"/>
      <c r="SWQ548" s="268"/>
      <c r="SWR548" s="268"/>
      <c r="SWS548" s="268"/>
      <c r="SWT548" s="268"/>
      <c r="SWU548" s="268"/>
      <c r="SWV548" s="268"/>
      <c r="SWW548" s="268"/>
      <c r="SWX548" s="268"/>
      <c r="SWY548" s="268"/>
      <c r="SWZ548" s="268"/>
      <c r="SXA548" s="268"/>
      <c r="SXB548" s="268"/>
      <c r="SXC548" s="268"/>
      <c r="SXD548" s="268"/>
      <c r="SXE548" s="268"/>
      <c r="SXF548" s="268"/>
      <c r="SXG548" s="268"/>
      <c r="SXH548" s="268"/>
      <c r="SXI548" s="268"/>
      <c r="SXJ548" s="268"/>
      <c r="SXK548" s="268"/>
      <c r="SXL548" s="268"/>
      <c r="SXM548" s="268"/>
      <c r="SXN548" s="268"/>
      <c r="SXO548" s="268"/>
      <c r="SXP548" s="268"/>
      <c r="SXQ548" s="268"/>
      <c r="SXR548" s="268"/>
      <c r="SXS548" s="268"/>
      <c r="SXT548" s="268"/>
      <c r="SXU548" s="268"/>
      <c r="SXV548" s="268"/>
      <c r="SXW548" s="268"/>
      <c r="SXX548" s="268"/>
      <c r="SXY548" s="268"/>
      <c r="SXZ548" s="268"/>
      <c r="SYA548" s="268"/>
      <c r="SYB548" s="268"/>
      <c r="SYC548" s="268"/>
      <c r="SYD548" s="268"/>
      <c r="SYE548" s="268"/>
      <c r="SYF548" s="268"/>
      <c r="SYG548" s="268"/>
      <c r="SYH548" s="268"/>
      <c r="SYI548" s="268"/>
      <c r="SYJ548" s="268"/>
      <c r="SYK548" s="268"/>
      <c r="SYL548" s="268"/>
      <c r="SYM548" s="268"/>
      <c r="SYN548" s="268"/>
      <c r="SYO548" s="268"/>
      <c r="SYP548" s="268"/>
      <c r="SYQ548" s="268"/>
      <c r="SYR548" s="268"/>
      <c r="SYS548" s="268"/>
      <c r="SYT548" s="268"/>
      <c r="SYU548" s="268"/>
      <c r="SYV548" s="268"/>
      <c r="SYW548" s="268"/>
      <c r="SYX548" s="268"/>
      <c r="SYY548" s="268"/>
      <c r="SYZ548" s="268"/>
      <c r="SZA548" s="268"/>
      <c r="SZB548" s="268"/>
      <c r="SZC548" s="268"/>
      <c r="SZD548" s="268"/>
      <c r="SZE548" s="268"/>
      <c r="SZF548" s="268"/>
      <c r="SZG548" s="268"/>
      <c r="SZH548" s="268"/>
      <c r="SZI548" s="268"/>
      <c r="SZJ548" s="268"/>
      <c r="SZK548" s="268"/>
      <c r="SZL548" s="268"/>
      <c r="SZM548" s="268"/>
      <c r="SZN548" s="268"/>
      <c r="SZO548" s="268"/>
      <c r="SZP548" s="268"/>
      <c r="SZQ548" s="268"/>
      <c r="SZR548" s="268"/>
      <c r="SZS548" s="268"/>
      <c r="SZT548" s="268"/>
      <c r="SZU548" s="268"/>
      <c r="SZV548" s="268"/>
      <c r="SZW548" s="268"/>
      <c r="SZX548" s="268"/>
      <c r="SZY548" s="268"/>
      <c r="SZZ548" s="268"/>
      <c r="TAA548" s="268"/>
      <c r="TAB548" s="268"/>
      <c r="TAC548" s="268"/>
      <c r="TAD548" s="268"/>
      <c r="TAE548" s="268"/>
      <c r="TAF548" s="268"/>
      <c r="TAG548" s="268"/>
      <c r="TAH548" s="268"/>
      <c r="TAI548" s="268"/>
      <c r="TAJ548" s="268"/>
      <c r="TAK548" s="268"/>
      <c r="TAL548" s="268"/>
      <c r="TAM548" s="268"/>
      <c r="TBA548" s="268"/>
      <c r="TBB548" s="268"/>
      <c r="TBC548" s="268"/>
      <c r="TBQ548" s="268"/>
      <c r="TBS548" s="268"/>
      <c r="TBT548" s="268"/>
      <c r="TBU548" s="268"/>
      <c r="TBV548" s="268"/>
      <c r="TBW548" s="268"/>
      <c r="TBX548" s="268"/>
      <c r="TBY548" s="268"/>
      <c r="TBZ548" s="268"/>
      <c r="TCA548" s="268"/>
      <c r="TCB548" s="268"/>
      <c r="TCC548" s="268"/>
      <c r="TCD548" s="268"/>
      <c r="TCE548" s="268"/>
      <c r="TCF548" s="268"/>
      <c r="TCG548" s="268"/>
      <c r="TCH548" s="268"/>
      <c r="TCI548" s="268"/>
      <c r="TCJ548" s="268"/>
      <c r="TCK548" s="268"/>
      <c r="TCL548" s="268"/>
      <c r="TCM548" s="268"/>
      <c r="TCN548" s="268"/>
      <c r="TCO548" s="268"/>
      <c r="TCP548" s="268"/>
      <c r="TCQ548" s="268"/>
      <c r="TCR548" s="268"/>
      <c r="TCS548" s="268"/>
      <c r="TCT548" s="268"/>
      <c r="TCU548" s="268"/>
      <c r="TCV548" s="268"/>
      <c r="TCW548" s="268"/>
      <c r="TCX548" s="268"/>
      <c r="TCY548" s="268"/>
      <c r="TCZ548" s="268"/>
      <c r="TDA548" s="268"/>
      <c r="TDB548" s="268"/>
      <c r="TDC548" s="268"/>
      <c r="TDD548" s="268"/>
      <c r="TDE548" s="268"/>
      <c r="TDF548" s="268"/>
      <c r="TDG548" s="268"/>
      <c r="TDH548" s="268"/>
      <c r="TDI548" s="268"/>
      <c r="TDJ548" s="268"/>
      <c r="TDK548" s="268"/>
      <c r="TDL548" s="268"/>
      <c r="TDM548" s="268"/>
      <c r="TDN548" s="268"/>
      <c r="TDO548" s="268"/>
      <c r="TDP548" s="268"/>
      <c r="TDQ548" s="268"/>
      <c r="TDR548" s="268"/>
      <c r="TDS548" s="268"/>
      <c r="TDT548" s="268"/>
      <c r="TDU548" s="268"/>
      <c r="TDV548" s="268"/>
      <c r="TDW548" s="268"/>
      <c r="TDX548" s="268"/>
      <c r="TDY548" s="268"/>
      <c r="TDZ548" s="268"/>
      <c r="TEA548" s="268"/>
      <c r="TEB548" s="268"/>
      <c r="TEC548" s="268"/>
      <c r="TED548" s="268"/>
      <c r="TEE548" s="268"/>
      <c r="TEF548" s="268"/>
      <c r="TEG548" s="268"/>
      <c r="TEH548" s="268"/>
      <c r="TEI548" s="268"/>
      <c r="TEJ548" s="268"/>
      <c r="TEK548" s="268"/>
      <c r="TEL548" s="268"/>
      <c r="TEM548" s="268"/>
      <c r="TEN548" s="268"/>
      <c r="TEO548" s="268"/>
      <c r="TEP548" s="268"/>
      <c r="TEQ548" s="268"/>
      <c r="TER548" s="268"/>
      <c r="TES548" s="268"/>
      <c r="TET548" s="268"/>
      <c r="TEU548" s="268"/>
      <c r="TEV548" s="268"/>
      <c r="TEW548" s="268"/>
      <c r="TEX548" s="268"/>
      <c r="TEY548" s="268"/>
      <c r="TEZ548" s="268"/>
      <c r="TFA548" s="268"/>
      <c r="TFB548" s="268"/>
      <c r="TFC548" s="268"/>
      <c r="TFD548" s="268"/>
      <c r="TFE548" s="268"/>
      <c r="TFF548" s="268"/>
      <c r="TFG548" s="268"/>
      <c r="TFH548" s="268"/>
      <c r="TFI548" s="268"/>
      <c r="TFJ548" s="268"/>
      <c r="TFK548" s="268"/>
      <c r="TFL548" s="268"/>
      <c r="TFM548" s="268"/>
      <c r="TFN548" s="268"/>
      <c r="TFO548" s="268"/>
      <c r="TFP548" s="268"/>
      <c r="TFQ548" s="268"/>
      <c r="TFR548" s="268"/>
      <c r="TFS548" s="268"/>
      <c r="TFT548" s="268"/>
      <c r="TFU548" s="268"/>
      <c r="TFV548" s="268"/>
      <c r="TFW548" s="268"/>
      <c r="TFX548" s="268"/>
      <c r="TFY548" s="268"/>
      <c r="TFZ548" s="268"/>
      <c r="TGA548" s="268"/>
      <c r="TGB548" s="268"/>
      <c r="TGC548" s="268"/>
      <c r="TGD548" s="268"/>
      <c r="TGE548" s="268"/>
      <c r="TGF548" s="268"/>
      <c r="TGG548" s="268"/>
      <c r="TGH548" s="268"/>
      <c r="TGI548" s="268"/>
      <c r="TGJ548" s="268"/>
      <c r="TGK548" s="268"/>
      <c r="TGL548" s="268"/>
      <c r="TGM548" s="268"/>
      <c r="TGN548" s="268"/>
      <c r="TGO548" s="268"/>
      <c r="TGP548" s="268"/>
      <c r="TGQ548" s="268"/>
      <c r="TGR548" s="268"/>
      <c r="TGS548" s="268"/>
      <c r="TGT548" s="268"/>
      <c r="TGU548" s="268"/>
      <c r="TGV548" s="268"/>
      <c r="TGW548" s="268"/>
      <c r="TGX548" s="268"/>
      <c r="TGY548" s="268"/>
      <c r="TGZ548" s="268"/>
      <c r="THA548" s="268"/>
      <c r="THB548" s="268"/>
      <c r="THC548" s="268"/>
      <c r="THD548" s="268"/>
      <c r="THE548" s="268"/>
      <c r="THF548" s="268"/>
      <c r="THG548" s="268"/>
      <c r="THH548" s="268"/>
      <c r="THI548" s="268"/>
      <c r="THJ548" s="268"/>
      <c r="THK548" s="268"/>
      <c r="THL548" s="268"/>
      <c r="THM548" s="268"/>
      <c r="THN548" s="268"/>
      <c r="THO548" s="268"/>
      <c r="THP548" s="268"/>
      <c r="THQ548" s="268"/>
      <c r="THR548" s="268"/>
      <c r="THS548" s="268"/>
      <c r="THT548" s="268"/>
      <c r="THU548" s="268"/>
      <c r="THV548" s="268"/>
      <c r="THW548" s="268"/>
      <c r="THX548" s="268"/>
      <c r="THY548" s="268"/>
      <c r="THZ548" s="268"/>
      <c r="TIA548" s="268"/>
      <c r="TIB548" s="268"/>
      <c r="TIC548" s="268"/>
      <c r="TID548" s="268"/>
      <c r="TIE548" s="268"/>
      <c r="TIF548" s="268"/>
      <c r="TIG548" s="268"/>
      <c r="TIH548" s="268"/>
      <c r="TII548" s="268"/>
      <c r="TIJ548" s="268"/>
      <c r="TIK548" s="268"/>
      <c r="TIL548" s="268"/>
      <c r="TIM548" s="268"/>
      <c r="TIN548" s="268"/>
      <c r="TIO548" s="268"/>
      <c r="TIP548" s="268"/>
      <c r="TIQ548" s="268"/>
      <c r="TIR548" s="268"/>
      <c r="TIS548" s="268"/>
      <c r="TIT548" s="268"/>
      <c r="TIU548" s="268"/>
      <c r="TIV548" s="268"/>
      <c r="TIW548" s="268"/>
      <c r="TIX548" s="268"/>
      <c r="TIY548" s="268"/>
      <c r="TIZ548" s="268"/>
      <c r="TJA548" s="268"/>
      <c r="TJB548" s="268"/>
      <c r="TJC548" s="268"/>
      <c r="TJD548" s="268"/>
      <c r="TJE548" s="268"/>
      <c r="TJF548" s="268"/>
      <c r="TJG548" s="268"/>
      <c r="TJH548" s="268"/>
      <c r="TJI548" s="268"/>
      <c r="TJJ548" s="268"/>
      <c r="TJK548" s="268"/>
      <c r="TJL548" s="268"/>
      <c r="TJM548" s="268"/>
      <c r="TJN548" s="268"/>
      <c r="TJO548" s="268"/>
      <c r="TJP548" s="268"/>
      <c r="TJQ548" s="268"/>
      <c r="TJR548" s="268"/>
      <c r="TJS548" s="268"/>
      <c r="TJT548" s="268"/>
      <c r="TJU548" s="268"/>
      <c r="TJV548" s="268"/>
      <c r="TJW548" s="268"/>
      <c r="TJX548" s="268"/>
      <c r="TJY548" s="268"/>
      <c r="TJZ548" s="268"/>
      <c r="TKA548" s="268"/>
      <c r="TKB548" s="268"/>
      <c r="TKC548" s="268"/>
      <c r="TKD548" s="268"/>
      <c r="TKE548" s="268"/>
      <c r="TKF548" s="268"/>
      <c r="TKG548" s="268"/>
      <c r="TKH548" s="268"/>
      <c r="TKI548" s="268"/>
      <c r="TKW548" s="268"/>
      <c r="TKX548" s="268"/>
      <c r="TKY548" s="268"/>
      <c r="TLM548" s="268"/>
      <c r="TLO548" s="268"/>
      <c r="TLP548" s="268"/>
      <c r="TLQ548" s="268"/>
      <c r="TLR548" s="268"/>
      <c r="TLS548" s="268"/>
      <c r="TLT548" s="268"/>
      <c r="TLU548" s="268"/>
      <c r="TLV548" s="268"/>
      <c r="TLW548" s="268"/>
      <c r="TLX548" s="268"/>
      <c r="TLY548" s="268"/>
      <c r="TLZ548" s="268"/>
      <c r="TMA548" s="268"/>
      <c r="TMB548" s="268"/>
      <c r="TMC548" s="268"/>
      <c r="TMD548" s="268"/>
      <c r="TME548" s="268"/>
      <c r="TMF548" s="268"/>
      <c r="TMG548" s="268"/>
      <c r="TMH548" s="268"/>
      <c r="TMI548" s="268"/>
      <c r="TMJ548" s="268"/>
      <c r="TMK548" s="268"/>
      <c r="TML548" s="268"/>
      <c r="TMM548" s="268"/>
      <c r="TMN548" s="268"/>
      <c r="TMO548" s="268"/>
      <c r="TMP548" s="268"/>
      <c r="TMQ548" s="268"/>
      <c r="TMR548" s="268"/>
      <c r="TMS548" s="268"/>
      <c r="TMT548" s="268"/>
      <c r="TMU548" s="268"/>
      <c r="TMV548" s="268"/>
      <c r="TMW548" s="268"/>
      <c r="TMX548" s="268"/>
      <c r="TMY548" s="268"/>
      <c r="TMZ548" s="268"/>
      <c r="TNA548" s="268"/>
      <c r="TNB548" s="268"/>
      <c r="TNC548" s="268"/>
      <c r="TND548" s="268"/>
      <c r="TNE548" s="268"/>
      <c r="TNF548" s="268"/>
      <c r="TNG548" s="268"/>
      <c r="TNH548" s="268"/>
      <c r="TNI548" s="268"/>
      <c r="TNJ548" s="268"/>
      <c r="TNK548" s="268"/>
      <c r="TNL548" s="268"/>
      <c r="TNM548" s="268"/>
      <c r="TNN548" s="268"/>
      <c r="TNO548" s="268"/>
      <c r="TNP548" s="268"/>
      <c r="TNQ548" s="268"/>
      <c r="TNR548" s="268"/>
      <c r="TNS548" s="268"/>
      <c r="TNT548" s="268"/>
      <c r="TNU548" s="268"/>
      <c r="TNV548" s="268"/>
      <c r="TNW548" s="268"/>
      <c r="TNX548" s="268"/>
      <c r="TNY548" s="268"/>
      <c r="TNZ548" s="268"/>
      <c r="TOA548" s="268"/>
      <c r="TOB548" s="268"/>
      <c r="TOC548" s="268"/>
      <c r="TOD548" s="268"/>
      <c r="TOE548" s="268"/>
      <c r="TOF548" s="268"/>
      <c r="TOG548" s="268"/>
      <c r="TOH548" s="268"/>
      <c r="TOI548" s="268"/>
      <c r="TOJ548" s="268"/>
      <c r="TOK548" s="268"/>
      <c r="TOL548" s="268"/>
      <c r="TOM548" s="268"/>
      <c r="TON548" s="268"/>
      <c r="TOO548" s="268"/>
      <c r="TOP548" s="268"/>
      <c r="TOQ548" s="268"/>
      <c r="TOR548" s="268"/>
      <c r="TOS548" s="268"/>
      <c r="TOT548" s="268"/>
      <c r="TOU548" s="268"/>
      <c r="TOV548" s="268"/>
      <c r="TOW548" s="268"/>
      <c r="TOX548" s="268"/>
      <c r="TOY548" s="268"/>
      <c r="TOZ548" s="268"/>
      <c r="TPA548" s="268"/>
      <c r="TPB548" s="268"/>
      <c r="TPC548" s="268"/>
      <c r="TPD548" s="268"/>
      <c r="TPE548" s="268"/>
      <c r="TPF548" s="268"/>
      <c r="TPG548" s="268"/>
      <c r="TPH548" s="268"/>
      <c r="TPI548" s="268"/>
      <c r="TPJ548" s="268"/>
      <c r="TPK548" s="268"/>
      <c r="TPL548" s="268"/>
      <c r="TPM548" s="268"/>
      <c r="TPN548" s="268"/>
      <c r="TPO548" s="268"/>
      <c r="TPP548" s="268"/>
      <c r="TPQ548" s="268"/>
      <c r="TPR548" s="268"/>
      <c r="TPS548" s="268"/>
      <c r="TPT548" s="268"/>
      <c r="TPU548" s="268"/>
      <c r="TPV548" s="268"/>
      <c r="TPW548" s="268"/>
      <c r="TPX548" s="268"/>
      <c r="TPY548" s="268"/>
      <c r="TPZ548" s="268"/>
      <c r="TQA548" s="268"/>
      <c r="TQB548" s="268"/>
      <c r="TQC548" s="268"/>
      <c r="TQD548" s="268"/>
      <c r="TQE548" s="268"/>
      <c r="TQF548" s="268"/>
      <c r="TQG548" s="268"/>
      <c r="TQH548" s="268"/>
      <c r="TQI548" s="268"/>
      <c r="TQJ548" s="268"/>
      <c r="TQK548" s="268"/>
      <c r="TQL548" s="268"/>
      <c r="TQM548" s="268"/>
      <c r="TQN548" s="268"/>
      <c r="TQO548" s="268"/>
      <c r="TQP548" s="268"/>
      <c r="TQQ548" s="268"/>
      <c r="TQR548" s="268"/>
      <c r="TQS548" s="268"/>
      <c r="TQT548" s="268"/>
      <c r="TQU548" s="268"/>
      <c r="TQV548" s="268"/>
      <c r="TQW548" s="268"/>
      <c r="TQX548" s="268"/>
      <c r="TQY548" s="268"/>
      <c r="TQZ548" s="268"/>
      <c r="TRA548" s="268"/>
      <c r="TRB548" s="268"/>
      <c r="TRC548" s="268"/>
      <c r="TRD548" s="268"/>
      <c r="TRE548" s="268"/>
      <c r="TRF548" s="268"/>
      <c r="TRG548" s="268"/>
      <c r="TRH548" s="268"/>
      <c r="TRI548" s="268"/>
      <c r="TRJ548" s="268"/>
      <c r="TRK548" s="268"/>
      <c r="TRL548" s="268"/>
      <c r="TRM548" s="268"/>
      <c r="TRN548" s="268"/>
      <c r="TRO548" s="268"/>
      <c r="TRP548" s="268"/>
      <c r="TRQ548" s="268"/>
      <c r="TRR548" s="268"/>
      <c r="TRS548" s="268"/>
      <c r="TRT548" s="268"/>
      <c r="TRU548" s="268"/>
      <c r="TRV548" s="268"/>
      <c r="TRW548" s="268"/>
      <c r="TRX548" s="268"/>
      <c r="TRY548" s="268"/>
      <c r="TRZ548" s="268"/>
      <c r="TSA548" s="268"/>
      <c r="TSB548" s="268"/>
      <c r="TSC548" s="268"/>
      <c r="TSD548" s="268"/>
      <c r="TSE548" s="268"/>
      <c r="TSF548" s="268"/>
      <c r="TSG548" s="268"/>
      <c r="TSH548" s="268"/>
      <c r="TSI548" s="268"/>
      <c r="TSJ548" s="268"/>
      <c r="TSK548" s="268"/>
      <c r="TSL548" s="268"/>
      <c r="TSM548" s="268"/>
      <c r="TSN548" s="268"/>
      <c r="TSO548" s="268"/>
      <c r="TSP548" s="268"/>
      <c r="TSQ548" s="268"/>
      <c r="TSR548" s="268"/>
      <c r="TSS548" s="268"/>
      <c r="TST548" s="268"/>
      <c r="TSU548" s="268"/>
      <c r="TSV548" s="268"/>
      <c r="TSW548" s="268"/>
      <c r="TSX548" s="268"/>
      <c r="TSY548" s="268"/>
      <c r="TSZ548" s="268"/>
      <c r="TTA548" s="268"/>
      <c r="TTB548" s="268"/>
      <c r="TTC548" s="268"/>
      <c r="TTD548" s="268"/>
      <c r="TTE548" s="268"/>
      <c r="TTF548" s="268"/>
      <c r="TTG548" s="268"/>
      <c r="TTH548" s="268"/>
      <c r="TTI548" s="268"/>
      <c r="TTJ548" s="268"/>
      <c r="TTK548" s="268"/>
      <c r="TTL548" s="268"/>
      <c r="TTM548" s="268"/>
      <c r="TTN548" s="268"/>
      <c r="TTO548" s="268"/>
      <c r="TTP548" s="268"/>
      <c r="TTQ548" s="268"/>
      <c r="TTR548" s="268"/>
      <c r="TTS548" s="268"/>
      <c r="TTT548" s="268"/>
      <c r="TTU548" s="268"/>
      <c r="TTV548" s="268"/>
      <c r="TTW548" s="268"/>
      <c r="TTX548" s="268"/>
      <c r="TTY548" s="268"/>
      <c r="TTZ548" s="268"/>
      <c r="TUA548" s="268"/>
      <c r="TUB548" s="268"/>
      <c r="TUC548" s="268"/>
      <c r="TUD548" s="268"/>
      <c r="TUE548" s="268"/>
      <c r="TUS548" s="268"/>
      <c r="TUT548" s="268"/>
      <c r="TUU548" s="268"/>
      <c r="TVI548" s="268"/>
      <c r="TVK548" s="268"/>
      <c r="TVL548" s="268"/>
      <c r="TVM548" s="268"/>
      <c r="TVN548" s="268"/>
      <c r="TVO548" s="268"/>
      <c r="TVP548" s="268"/>
      <c r="TVQ548" s="268"/>
      <c r="TVR548" s="268"/>
      <c r="TVS548" s="268"/>
      <c r="TVT548" s="268"/>
      <c r="TVU548" s="268"/>
      <c r="TVV548" s="268"/>
      <c r="TVW548" s="268"/>
      <c r="TVX548" s="268"/>
      <c r="TVY548" s="268"/>
      <c r="TVZ548" s="268"/>
      <c r="TWA548" s="268"/>
      <c r="TWB548" s="268"/>
      <c r="TWC548" s="268"/>
      <c r="TWD548" s="268"/>
      <c r="TWE548" s="268"/>
      <c r="TWF548" s="268"/>
      <c r="TWG548" s="268"/>
      <c r="TWH548" s="268"/>
      <c r="TWI548" s="268"/>
      <c r="TWJ548" s="268"/>
      <c r="TWK548" s="268"/>
      <c r="TWL548" s="268"/>
      <c r="TWM548" s="268"/>
      <c r="TWN548" s="268"/>
      <c r="TWO548" s="268"/>
      <c r="TWP548" s="268"/>
      <c r="TWQ548" s="268"/>
      <c r="TWR548" s="268"/>
      <c r="TWS548" s="268"/>
      <c r="TWT548" s="268"/>
      <c r="TWU548" s="268"/>
      <c r="TWV548" s="268"/>
      <c r="TWW548" s="268"/>
      <c r="TWX548" s="268"/>
      <c r="TWY548" s="268"/>
      <c r="TWZ548" s="268"/>
      <c r="TXA548" s="268"/>
      <c r="TXB548" s="268"/>
      <c r="TXC548" s="268"/>
      <c r="TXD548" s="268"/>
      <c r="TXE548" s="268"/>
      <c r="TXF548" s="268"/>
      <c r="TXG548" s="268"/>
      <c r="TXH548" s="268"/>
      <c r="TXI548" s="268"/>
      <c r="TXJ548" s="268"/>
      <c r="TXK548" s="268"/>
      <c r="TXL548" s="268"/>
      <c r="TXM548" s="268"/>
      <c r="TXN548" s="268"/>
      <c r="TXO548" s="268"/>
      <c r="TXP548" s="268"/>
      <c r="TXQ548" s="268"/>
      <c r="TXR548" s="268"/>
      <c r="TXS548" s="268"/>
      <c r="TXT548" s="268"/>
      <c r="TXU548" s="268"/>
      <c r="TXV548" s="268"/>
      <c r="TXW548" s="268"/>
      <c r="TXX548" s="268"/>
      <c r="TXY548" s="268"/>
      <c r="TXZ548" s="268"/>
      <c r="TYA548" s="268"/>
      <c r="TYB548" s="268"/>
      <c r="TYC548" s="268"/>
      <c r="TYD548" s="268"/>
      <c r="TYE548" s="268"/>
      <c r="TYF548" s="268"/>
      <c r="TYG548" s="268"/>
      <c r="TYH548" s="268"/>
      <c r="TYI548" s="268"/>
      <c r="TYJ548" s="268"/>
      <c r="TYK548" s="268"/>
      <c r="TYL548" s="268"/>
      <c r="TYM548" s="268"/>
      <c r="TYN548" s="268"/>
      <c r="TYO548" s="268"/>
      <c r="TYP548" s="268"/>
      <c r="TYQ548" s="268"/>
      <c r="TYR548" s="268"/>
      <c r="TYS548" s="268"/>
      <c r="TYT548" s="268"/>
      <c r="TYU548" s="268"/>
      <c r="TYV548" s="268"/>
      <c r="TYW548" s="268"/>
      <c r="TYX548" s="268"/>
      <c r="TYY548" s="268"/>
      <c r="TYZ548" s="268"/>
      <c r="TZA548" s="268"/>
      <c r="TZB548" s="268"/>
      <c r="TZC548" s="268"/>
      <c r="TZD548" s="268"/>
      <c r="TZE548" s="268"/>
      <c r="TZF548" s="268"/>
      <c r="TZG548" s="268"/>
      <c r="TZH548" s="268"/>
      <c r="TZI548" s="268"/>
      <c r="TZJ548" s="268"/>
      <c r="TZK548" s="268"/>
      <c r="TZL548" s="268"/>
      <c r="TZM548" s="268"/>
      <c r="TZN548" s="268"/>
      <c r="TZO548" s="268"/>
      <c r="TZP548" s="268"/>
      <c r="TZQ548" s="268"/>
      <c r="TZR548" s="268"/>
      <c r="TZS548" s="268"/>
      <c r="TZT548" s="268"/>
      <c r="TZU548" s="268"/>
      <c r="TZV548" s="268"/>
      <c r="TZW548" s="268"/>
      <c r="TZX548" s="268"/>
      <c r="TZY548" s="268"/>
      <c r="TZZ548" s="268"/>
      <c r="UAA548" s="268"/>
      <c r="UAB548" s="268"/>
      <c r="UAC548" s="268"/>
      <c r="UAD548" s="268"/>
      <c r="UAE548" s="268"/>
      <c r="UAF548" s="268"/>
      <c r="UAG548" s="268"/>
      <c r="UAH548" s="268"/>
      <c r="UAI548" s="268"/>
      <c r="UAJ548" s="268"/>
      <c r="UAK548" s="268"/>
      <c r="UAL548" s="268"/>
      <c r="UAM548" s="268"/>
      <c r="UAN548" s="268"/>
      <c r="UAO548" s="268"/>
      <c r="UAP548" s="268"/>
      <c r="UAQ548" s="268"/>
      <c r="UAR548" s="268"/>
      <c r="UAS548" s="268"/>
      <c r="UAT548" s="268"/>
      <c r="UAU548" s="268"/>
      <c r="UAV548" s="268"/>
      <c r="UAW548" s="268"/>
      <c r="UAX548" s="268"/>
      <c r="UAY548" s="268"/>
      <c r="UAZ548" s="268"/>
      <c r="UBA548" s="268"/>
      <c r="UBB548" s="268"/>
      <c r="UBC548" s="268"/>
      <c r="UBD548" s="268"/>
      <c r="UBE548" s="268"/>
      <c r="UBF548" s="268"/>
      <c r="UBG548" s="268"/>
      <c r="UBH548" s="268"/>
      <c r="UBI548" s="268"/>
      <c r="UBJ548" s="268"/>
      <c r="UBK548" s="268"/>
      <c r="UBL548" s="268"/>
      <c r="UBM548" s="268"/>
      <c r="UBN548" s="268"/>
      <c r="UBO548" s="268"/>
      <c r="UBP548" s="268"/>
      <c r="UBQ548" s="268"/>
      <c r="UBR548" s="268"/>
      <c r="UBS548" s="268"/>
      <c r="UBT548" s="268"/>
      <c r="UBU548" s="268"/>
      <c r="UBV548" s="268"/>
      <c r="UBW548" s="268"/>
      <c r="UBX548" s="268"/>
      <c r="UBY548" s="268"/>
      <c r="UBZ548" s="268"/>
      <c r="UCA548" s="268"/>
      <c r="UCB548" s="268"/>
      <c r="UCC548" s="268"/>
      <c r="UCD548" s="268"/>
      <c r="UCE548" s="268"/>
      <c r="UCF548" s="268"/>
      <c r="UCG548" s="268"/>
      <c r="UCH548" s="268"/>
      <c r="UCI548" s="268"/>
      <c r="UCJ548" s="268"/>
      <c r="UCK548" s="268"/>
      <c r="UCL548" s="268"/>
      <c r="UCM548" s="268"/>
      <c r="UCN548" s="268"/>
      <c r="UCO548" s="268"/>
      <c r="UCP548" s="268"/>
      <c r="UCQ548" s="268"/>
      <c r="UCR548" s="268"/>
      <c r="UCS548" s="268"/>
      <c r="UCT548" s="268"/>
      <c r="UCU548" s="268"/>
      <c r="UCV548" s="268"/>
      <c r="UCW548" s="268"/>
      <c r="UCX548" s="268"/>
      <c r="UCY548" s="268"/>
      <c r="UCZ548" s="268"/>
      <c r="UDA548" s="268"/>
      <c r="UDB548" s="268"/>
      <c r="UDC548" s="268"/>
      <c r="UDD548" s="268"/>
      <c r="UDE548" s="268"/>
      <c r="UDF548" s="268"/>
      <c r="UDG548" s="268"/>
      <c r="UDH548" s="268"/>
      <c r="UDI548" s="268"/>
      <c r="UDJ548" s="268"/>
      <c r="UDK548" s="268"/>
      <c r="UDL548" s="268"/>
      <c r="UDM548" s="268"/>
      <c r="UDN548" s="268"/>
      <c r="UDO548" s="268"/>
      <c r="UDP548" s="268"/>
      <c r="UDQ548" s="268"/>
      <c r="UDR548" s="268"/>
      <c r="UDS548" s="268"/>
      <c r="UDT548" s="268"/>
      <c r="UDU548" s="268"/>
      <c r="UDV548" s="268"/>
      <c r="UDW548" s="268"/>
      <c r="UDX548" s="268"/>
      <c r="UDY548" s="268"/>
      <c r="UDZ548" s="268"/>
      <c r="UEA548" s="268"/>
      <c r="UEO548" s="268"/>
      <c r="UEP548" s="268"/>
      <c r="UEQ548" s="268"/>
      <c r="UFE548" s="268"/>
      <c r="UFG548" s="268"/>
      <c r="UFH548" s="268"/>
      <c r="UFI548" s="268"/>
      <c r="UFJ548" s="268"/>
      <c r="UFK548" s="268"/>
      <c r="UFL548" s="268"/>
      <c r="UFM548" s="268"/>
      <c r="UFN548" s="268"/>
      <c r="UFO548" s="268"/>
      <c r="UFP548" s="268"/>
      <c r="UFQ548" s="268"/>
      <c r="UFR548" s="268"/>
      <c r="UFS548" s="268"/>
      <c r="UFT548" s="268"/>
      <c r="UFU548" s="268"/>
      <c r="UFV548" s="268"/>
      <c r="UFW548" s="268"/>
      <c r="UFX548" s="268"/>
      <c r="UFY548" s="268"/>
      <c r="UFZ548" s="268"/>
      <c r="UGA548" s="268"/>
      <c r="UGB548" s="268"/>
      <c r="UGC548" s="268"/>
      <c r="UGD548" s="268"/>
      <c r="UGE548" s="268"/>
      <c r="UGF548" s="268"/>
      <c r="UGG548" s="268"/>
      <c r="UGH548" s="268"/>
      <c r="UGI548" s="268"/>
      <c r="UGJ548" s="268"/>
      <c r="UGK548" s="268"/>
      <c r="UGL548" s="268"/>
      <c r="UGM548" s="268"/>
      <c r="UGN548" s="268"/>
      <c r="UGO548" s="268"/>
      <c r="UGP548" s="268"/>
      <c r="UGQ548" s="268"/>
      <c r="UGR548" s="268"/>
      <c r="UGS548" s="268"/>
      <c r="UGT548" s="268"/>
      <c r="UGU548" s="268"/>
      <c r="UGV548" s="268"/>
      <c r="UGW548" s="268"/>
      <c r="UGX548" s="268"/>
      <c r="UGY548" s="268"/>
      <c r="UGZ548" s="268"/>
      <c r="UHA548" s="268"/>
      <c r="UHB548" s="268"/>
      <c r="UHC548" s="268"/>
      <c r="UHD548" s="268"/>
      <c r="UHE548" s="268"/>
      <c r="UHF548" s="268"/>
      <c r="UHG548" s="268"/>
      <c r="UHH548" s="268"/>
      <c r="UHI548" s="268"/>
      <c r="UHJ548" s="268"/>
      <c r="UHK548" s="268"/>
      <c r="UHL548" s="268"/>
      <c r="UHM548" s="268"/>
      <c r="UHN548" s="268"/>
      <c r="UHO548" s="268"/>
      <c r="UHP548" s="268"/>
      <c r="UHQ548" s="268"/>
      <c r="UHR548" s="268"/>
      <c r="UHS548" s="268"/>
      <c r="UHT548" s="268"/>
      <c r="UHU548" s="268"/>
      <c r="UHV548" s="268"/>
      <c r="UHW548" s="268"/>
      <c r="UHX548" s="268"/>
      <c r="UHY548" s="268"/>
      <c r="UHZ548" s="268"/>
      <c r="UIA548" s="268"/>
      <c r="UIB548" s="268"/>
      <c r="UIC548" s="268"/>
      <c r="UID548" s="268"/>
      <c r="UIE548" s="268"/>
      <c r="UIF548" s="268"/>
      <c r="UIG548" s="268"/>
      <c r="UIH548" s="268"/>
      <c r="UII548" s="268"/>
      <c r="UIJ548" s="268"/>
      <c r="UIK548" s="268"/>
      <c r="UIL548" s="268"/>
      <c r="UIM548" s="268"/>
      <c r="UIN548" s="268"/>
      <c r="UIO548" s="268"/>
      <c r="UIP548" s="268"/>
      <c r="UIQ548" s="268"/>
      <c r="UIR548" s="268"/>
      <c r="UIS548" s="268"/>
      <c r="UIT548" s="268"/>
      <c r="UIU548" s="268"/>
      <c r="UIV548" s="268"/>
      <c r="UIW548" s="268"/>
      <c r="UIX548" s="268"/>
      <c r="UIY548" s="268"/>
      <c r="UIZ548" s="268"/>
      <c r="UJA548" s="268"/>
      <c r="UJB548" s="268"/>
      <c r="UJC548" s="268"/>
      <c r="UJD548" s="268"/>
      <c r="UJE548" s="268"/>
      <c r="UJF548" s="268"/>
      <c r="UJG548" s="268"/>
      <c r="UJH548" s="268"/>
      <c r="UJI548" s="268"/>
      <c r="UJJ548" s="268"/>
      <c r="UJK548" s="268"/>
      <c r="UJL548" s="268"/>
      <c r="UJM548" s="268"/>
      <c r="UJN548" s="268"/>
      <c r="UJO548" s="268"/>
      <c r="UJP548" s="268"/>
      <c r="UJQ548" s="268"/>
      <c r="UJR548" s="268"/>
      <c r="UJS548" s="268"/>
      <c r="UJT548" s="268"/>
      <c r="UJU548" s="268"/>
      <c r="UJV548" s="268"/>
      <c r="UJW548" s="268"/>
      <c r="UJX548" s="268"/>
      <c r="UJY548" s="268"/>
      <c r="UJZ548" s="268"/>
      <c r="UKA548" s="268"/>
      <c r="UKB548" s="268"/>
      <c r="UKC548" s="268"/>
      <c r="UKD548" s="268"/>
      <c r="UKE548" s="268"/>
      <c r="UKF548" s="268"/>
      <c r="UKG548" s="268"/>
      <c r="UKH548" s="268"/>
      <c r="UKI548" s="268"/>
      <c r="UKJ548" s="268"/>
      <c r="UKK548" s="268"/>
      <c r="UKL548" s="268"/>
      <c r="UKM548" s="268"/>
      <c r="UKN548" s="268"/>
      <c r="UKO548" s="268"/>
      <c r="UKP548" s="268"/>
      <c r="UKQ548" s="268"/>
      <c r="UKR548" s="268"/>
      <c r="UKS548" s="268"/>
      <c r="UKT548" s="268"/>
      <c r="UKU548" s="268"/>
      <c r="UKV548" s="268"/>
      <c r="UKW548" s="268"/>
      <c r="UKX548" s="268"/>
      <c r="UKY548" s="268"/>
      <c r="UKZ548" s="268"/>
      <c r="ULA548" s="268"/>
      <c r="ULB548" s="268"/>
      <c r="ULC548" s="268"/>
      <c r="ULD548" s="268"/>
      <c r="ULE548" s="268"/>
      <c r="ULF548" s="268"/>
      <c r="ULG548" s="268"/>
      <c r="ULH548" s="268"/>
      <c r="ULI548" s="268"/>
      <c r="ULJ548" s="268"/>
      <c r="ULK548" s="268"/>
      <c r="ULL548" s="268"/>
      <c r="ULM548" s="268"/>
      <c r="ULN548" s="268"/>
      <c r="ULO548" s="268"/>
      <c r="ULP548" s="268"/>
      <c r="ULQ548" s="268"/>
      <c r="ULR548" s="268"/>
      <c r="ULS548" s="268"/>
      <c r="ULT548" s="268"/>
      <c r="ULU548" s="268"/>
      <c r="ULV548" s="268"/>
      <c r="ULW548" s="268"/>
      <c r="ULX548" s="268"/>
      <c r="ULY548" s="268"/>
      <c r="ULZ548" s="268"/>
      <c r="UMA548" s="268"/>
      <c r="UMB548" s="268"/>
      <c r="UMC548" s="268"/>
      <c r="UMD548" s="268"/>
      <c r="UME548" s="268"/>
      <c r="UMF548" s="268"/>
      <c r="UMG548" s="268"/>
      <c r="UMH548" s="268"/>
      <c r="UMI548" s="268"/>
      <c r="UMJ548" s="268"/>
      <c r="UMK548" s="268"/>
      <c r="UML548" s="268"/>
      <c r="UMM548" s="268"/>
      <c r="UMN548" s="268"/>
      <c r="UMO548" s="268"/>
      <c r="UMP548" s="268"/>
      <c r="UMQ548" s="268"/>
      <c r="UMR548" s="268"/>
      <c r="UMS548" s="268"/>
      <c r="UMT548" s="268"/>
      <c r="UMU548" s="268"/>
      <c r="UMV548" s="268"/>
      <c r="UMW548" s="268"/>
      <c r="UMX548" s="268"/>
      <c r="UMY548" s="268"/>
      <c r="UMZ548" s="268"/>
      <c r="UNA548" s="268"/>
      <c r="UNB548" s="268"/>
      <c r="UNC548" s="268"/>
      <c r="UND548" s="268"/>
      <c r="UNE548" s="268"/>
      <c r="UNF548" s="268"/>
      <c r="UNG548" s="268"/>
      <c r="UNH548" s="268"/>
      <c r="UNI548" s="268"/>
      <c r="UNJ548" s="268"/>
      <c r="UNK548" s="268"/>
      <c r="UNL548" s="268"/>
      <c r="UNM548" s="268"/>
      <c r="UNN548" s="268"/>
      <c r="UNO548" s="268"/>
      <c r="UNP548" s="268"/>
      <c r="UNQ548" s="268"/>
      <c r="UNR548" s="268"/>
      <c r="UNS548" s="268"/>
      <c r="UNT548" s="268"/>
      <c r="UNU548" s="268"/>
      <c r="UNV548" s="268"/>
      <c r="UNW548" s="268"/>
      <c r="UOK548" s="268"/>
      <c r="UOL548" s="268"/>
      <c r="UOM548" s="268"/>
      <c r="UPA548" s="268"/>
      <c r="UPC548" s="268"/>
      <c r="UPD548" s="268"/>
      <c r="UPE548" s="268"/>
      <c r="UPF548" s="268"/>
      <c r="UPG548" s="268"/>
      <c r="UPH548" s="268"/>
      <c r="UPI548" s="268"/>
      <c r="UPJ548" s="268"/>
      <c r="UPK548" s="268"/>
      <c r="UPL548" s="268"/>
      <c r="UPM548" s="268"/>
      <c r="UPN548" s="268"/>
      <c r="UPO548" s="268"/>
      <c r="UPP548" s="268"/>
      <c r="UPQ548" s="268"/>
      <c r="UPR548" s="268"/>
      <c r="UPS548" s="268"/>
      <c r="UPT548" s="268"/>
      <c r="UPU548" s="268"/>
      <c r="UPV548" s="268"/>
      <c r="UPW548" s="268"/>
      <c r="UPX548" s="268"/>
      <c r="UPY548" s="268"/>
      <c r="UPZ548" s="268"/>
      <c r="UQA548" s="268"/>
      <c r="UQB548" s="268"/>
      <c r="UQC548" s="268"/>
      <c r="UQD548" s="268"/>
      <c r="UQE548" s="268"/>
      <c r="UQF548" s="268"/>
      <c r="UQG548" s="268"/>
      <c r="UQH548" s="268"/>
      <c r="UQI548" s="268"/>
      <c r="UQJ548" s="268"/>
      <c r="UQK548" s="268"/>
      <c r="UQL548" s="268"/>
      <c r="UQM548" s="268"/>
      <c r="UQN548" s="268"/>
      <c r="UQO548" s="268"/>
      <c r="UQP548" s="268"/>
      <c r="UQQ548" s="268"/>
      <c r="UQR548" s="268"/>
      <c r="UQS548" s="268"/>
      <c r="UQT548" s="268"/>
      <c r="UQU548" s="268"/>
      <c r="UQV548" s="268"/>
      <c r="UQW548" s="268"/>
      <c r="UQX548" s="268"/>
      <c r="UQY548" s="268"/>
      <c r="UQZ548" s="268"/>
      <c r="URA548" s="268"/>
      <c r="URB548" s="268"/>
      <c r="URC548" s="268"/>
      <c r="URD548" s="268"/>
      <c r="URE548" s="268"/>
      <c r="URF548" s="268"/>
      <c r="URG548" s="268"/>
      <c r="URH548" s="268"/>
      <c r="URI548" s="268"/>
      <c r="URJ548" s="268"/>
      <c r="URK548" s="268"/>
      <c r="URL548" s="268"/>
      <c r="URM548" s="268"/>
      <c r="URN548" s="268"/>
      <c r="URO548" s="268"/>
      <c r="URP548" s="268"/>
      <c r="URQ548" s="268"/>
      <c r="URR548" s="268"/>
      <c r="URS548" s="268"/>
      <c r="URT548" s="268"/>
      <c r="URU548" s="268"/>
      <c r="URV548" s="268"/>
      <c r="URW548" s="268"/>
      <c r="URX548" s="268"/>
      <c r="URY548" s="268"/>
      <c r="URZ548" s="268"/>
      <c r="USA548" s="268"/>
      <c r="USB548" s="268"/>
      <c r="USC548" s="268"/>
      <c r="USD548" s="268"/>
      <c r="USE548" s="268"/>
      <c r="USF548" s="268"/>
      <c r="USG548" s="268"/>
      <c r="USH548" s="268"/>
      <c r="USI548" s="268"/>
      <c r="USJ548" s="268"/>
      <c r="USK548" s="268"/>
      <c r="USL548" s="268"/>
      <c r="USM548" s="268"/>
      <c r="USN548" s="268"/>
      <c r="USO548" s="268"/>
      <c r="USP548" s="268"/>
      <c r="USQ548" s="268"/>
      <c r="USR548" s="268"/>
      <c r="USS548" s="268"/>
      <c r="UST548" s="268"/>
      <c r="USU548" s="268"/>
      <c r="USV548" s="268"/>
      <c r="USW548" s="268"/>
      <c r="USX548" s="268"/>
      <c r="USY548" s="268"/>
      <c r="USZ548" s="268"/>
      <c r="UTA548" s="268"/>
      <c r="UTB548" s="268"/>
      <c r="UTC548" s="268"/>
      <c r="UTD548" s="268"/>
      <c r="UTE548" s="268"/>
      <c r="UTF548" s="268"/>
      <c r="UTG548" s="268"/>
      <c r="UTH548" s="268"/>
      <c r="UTI548" s="268"/>
      <c r="UTJ548" s="268"/>
      <c r="UTK548" s="268"/>
      <c r="UTL548" s="268"/>
      <c r="UTM548" s="268"/>
      <c r="UTN548" s="268"/>
      <c r="UTO548" s="268"/>
      <c r="UTP548" s="268"/>
      <c r="UTQ548" s="268"/>
      <c r="UTR548" s="268"/>
      <c r="UTS548" s="268"/>
      <c r="UTT548" s="268"/>
      <c r="UTU548" s="268"/>
      <c r="UTV548" s="268"/>
      <c r="UTW548" s="268"/>
      <c r="UTX548" s="268"/>
      <c r="UTY548" s="268"/>
      <c r="UTZ548" s="268"/>
      <c r="UUA548" s="268"/>
      <c r="UUB548" s="268"/>
      <c r="UUC548" s="268"/>
      <c r="UUD548" s="268"/>
      <c r="UUE548" s="268"/>
      <c r="UUF548" s="268"/>
      <c r="UUG548" s="268"/>
      <c r="UUH548" s="268"/>
      <c r="UUI548" s="268"/>
      <c r="UUJ548" s="268"/>
      <c r="UUK548" s="268"/>
      <c r="UUL548" s="268"/>
      <c r="UUM548" s="268"/>
      <c r="UUN548" s="268"/>
      <c r="UUO548" s="268"/>
      <c r="UUP548" s="268"/>
      <c r="UUQ548" s="268"/>
      <c r="UUR548" s="268"/>
      <c r="UUS548" s="268"/>
      <c r="UUT548" s="268"/>
      <c r="UUU548" s="268"/>
      <c r="UUV548" s="268"/>
      <c r="UUW548" s="268"/>
      <c r="UUX548" s="268"/>
      <c r="UUY548" s="268"/>
      <c r="UUZ548" s="268"/>
      <c r="UVA548" s="268"/>
      <c r="UVB548" s="268"/>
      <c r="UVC548" s="268"/>
      <c r="UVD548" s="268"/>
      <c r="UVE548" s="268"/>
      <c r="UVF548" s="268"/>
      <c r="UVG548" s="268"/>
      <c r="UVH548" s="268"/>
      <c r="UVI548" s="268"/>
      <c r="UVJ548" s="268"/>
      <c r="UVK548" s="268"/>
      <c r="UVL548" s="268"/>
      <c r="UVM548" s="268"/>
      <c r="UVN548" s="268"/>
      <c r="UVO548" s="268"/>
      <c r="UVP548" s="268"/>
      <c r="UVQ548" s="268"/>
      <c r="UVR548" s="268"/>
      <c r="UVS548" s="268"/>
      <c r="UVT548" s="268"/>
      <c r="UVU548" s="268"/>
      <c r="UVV548" s="268"/>
      <c r="UVW548" s="268"/>
      <c r="UVX548" s="268"/>
      <c r="UVY548" s="268"/>
      <c r="UVZ548" s="268"/>
      <c r="UWA548" s="268"/>
      <c r="UWB548" s="268"/>
      <c r="UWC548" s="268"/>
      <c r="UWD548" s="268"/>
      <c r="UWE548" s="268"/>
      <c r="UWF548" s="268"/>
      <c r="UWG548" s="268"/>
      <c r="UWH548" s="268"/>
      <c r="UWI548" s="268"/>
      <c r="UWJ548" s="268"/>
      <c r="UWK548" s="268"/>
      <c r="UWL548" s="268"/>
      <c r="UWM548" s="268"/>
      <c r="UWN548" s="268"/>
      <c r="UWO548" s="268"/>
      <c r="UWP548" s="268"/>
      <c r="UWQ548" s="268"/>
      <c r="UWR548" s="268"/>
      <c r="UWS548" s="268"/>
      <c r="UWT548" s="268"/>
      <c r="UWU548" s="268"/>
      <c r="UWV548" s="268"/>
      <c r="UWW548" s="268"/>
      <c r="UWX548" s="268"/>
      <c r="UWY548" s="268"/>
      <c r="UWZ548" s="268"/>
      <c r="UXA548" s="268"/>
      <c r="UXB548" s="268"/>
      <c r="UXC548" s="268"/>
      <c r="UXD548" s="268"/>
      <c r="UXE548" s="268"/>
      <c r="UXF548" s="268"/>
      <c r="UXG548" s="268"/>
      <c r="UXH548" s="268"/>
      <c r="UXI548" s="268"/>
      <c r="UXJ548" s="268"/>
      <c r="UXK548" s="268"/>
      <c r="UXL548" s="268"/>
      <c r="UXM548" s="268"/>
      <c r="UXN548" s="268"/>
      <c r="UXO548" s="268"/>
      <c r="UXP548" s="268"/>
      <c r="UXQ548" s="268"/>
      <c r="UXR548" s="268"/>
      <c r="UXS548" s="268"/>
      <c r="UYG548" s="268"/>
      <c r="UYH548" s="268"/>
      <c r="UYI548" s="268"/>
      <c r="UYW548" s="268"/>
      <c r="UYY548" s="268"/>
      <c r="UYZ548" s="268"/>
      <c r="UZA548" s="268"/>
      <c r="UZB548" s="268"/>
      <c r="UZC548" s="268"/>
      <c r="UZD548" s="268"/>
      <c r="UZE548" s="268"/>
      <c r="UZF548" s="268"/>
      <c r="UZG548" s="268"/>
      <c r="UZH548" s="268"/>
      <c r="UZI548" s="268"/>
      <c r="UZJ548" s="268"/>
      <c r="UZK548" s="268"/>
      <c r="UZL548" s="268"/>
      <c r="UZM548" s="268"/>
      <c r="UZN548" s="268"/>
      <c r="UZO548" s="268"/>
      <c r="UZP548" s="268"/>
      <c r="UZQ548" s="268"/>
      <c r="UZR548" s="268"/>
      <c r="UZS548" s="268"/>
      <c r="UZT548" s="268"/>
      <c r="UZU548" s="268"/>
      <c r="UZV548" s="268"/>
      <c r="UZW548" s="268"/>
      <c r="UZX548" s="268"/>
      <c r="UZY548" s="268"/>
      <c r="UZZ548" s="268"/>
      <c r="VAA548" s="268"/>
      <c r="VAB548" s="268"/>
      <c r="VAC548" s="268"/>
      <c r="VAD548" s="268"/>
      <c r="VAE548" s="268"/>
      <c r="VAF548" s="268"/>
      <c r="VAG548" s="268"/>
      <c r="VAH548" s="268"/>
      <c r="VAI548" s="268"/>
      <c r="VAJ548" s="268"/>
      <c r="VAK548" s="268"/>
      <c r="VAL548" s="268"/>
      <c r="VAM548" s="268"/>
      <c r="VAN548" s="268"/>
      <c r="VAO548" s="268"/>
      <c r="VAP548" s="268"/>
      <c r="VAQ548" s="268"/>
      <c r="VAR548" s="268"/>
      <c r="VAS548" s="268"/>
      <c r="VAT548" s="268"/>
      <c r="VAU548" s="268"/>
      <c r="VAV548" s="268"/>
      <c r="VAW548" s="268"/>
      <c r="VAX548" s="268"/>
      <c r="VAY548" s="268"/>
      <c r="VAZ548" s="268"/>
      <c r="VBA548" s="268"/>
      <c r="VBB548" s="268"/>
      <c r="VBC548" s="268"/>
      <c r="VBD548" s="268"/>
      <c r="VBE548" s="268"/>
      <c r="VBF548" s="268"/>
      <c r="VBG548" s="268"/>
      <c r="VBH548" s="268"/>
      <c r="VBI548" s="268"/>
      <c r="VBJ548" s="268"/>
      <c r="VBK548" s="268"/>
      <c r="VBL548" s="268"/>
      <c r="VBM548" s="268"/>
      <c r="VBN548" s="268"/>
      <c r="VBO548" s="268"/>
      <c r="VBP548" s="268"/>
      <c r="VBQ548" s="268"/>
      <c r="VBR548" s="268"/>
      <c r="VBS548" s="268"/>
      <c r="VBT548" s="268"/>
      <c r="VBU548" s="268"/>
      <c r="VBV548" s="268"/>
      <c r="VBW548" s="268"/>
      <c r="VBX548" s="268"/>
      <c r="VBY548" s="268"/>
      <c r="VBZ548" s="268"/>
      <c r="VCA548" s="268"/>
      <c r="VCB548" s="268"/>
      <c r="VCC548" s="268"/>
      <c r="VCD548" s="268"/>
      <c r="VCE548" s="268"/>
      <c r="VCF548" s="268"/>
      <c r="VCG548" s="268"/>
      <c r="VCH548" s="268"/>
      <c r="VCI548" s="268"/>
      <c r="VCJ548" s="268"/>
      <c r="VCK548" s="268"/>
      <c r="VCL548" s="268"/>
      <c r="VCM548" s="268"/>
      <c r="VCN548" s="268"/>
      <c r="VCO548" s="268"/>
      <c r="VCP548" s="268"/>
      <c r="VCQ548" s="268"/>
      <c r="VCR548" s="268"/>
      <c r="VCS548" s="268"/>
      <c r="VCT548" s="268"/>
      <c r="VCU548" s="268"/>
      <c r="VCV548" s="268"/>
      <c r="VCW548" s="268"/>
      <c r="VCX548" s="268"/>
      <c r="VCY548" s="268"/>
      <c r="VCZ548" s="268"/>
      <c r="VDA548" s="268"/>
      <c r="VDB548" s="268"/>
      <c r="VDC548" s="268"/>
      <c r="VDD548" s="268"/>
      <c r="VDE548" s="268"/>
      <c r="VDF548" s="268"/>
      <c r="VDG548" s="268"/>
      <c r="VDH548" s="268"/>
      <c r="VDI548" s="268"/>
      <c r="VDJ548" s="268"/>
      <c r="VDK548" s="268"/>
      <c r="VDL548" s="268"/>
      <c r="VDM548" s="268"/>
      <c r="VDN548" s="268"/>
      <c r="VDO548" s="268"/>
      <c r="VDP548" s="268"/>
      <c r="VDQ548" s="268"/>
      <c r="VDR548" s="268"/>
      <c r="VDS548" s="268"/>
      <c r="VDT548" s="268"/>
      <c r="VDU548" s="268"/>
      <c r="VDV548" s="268"/>
      <c r="VDW548" s="268"/>
      <c r="VDX548" s="268"/>
      <c r="VDY548" s="268"/>
      <c r="VDZ548" s="268"/>
      <c r="VEA548" s="268"/>
      <c r="VEB548" s="268"/>
      <c r="VEC548" s="268"/>
      <c r="VED548" s="268"/>
      <c r="VEE548" s="268"/>
      <c r="VEF548" s="268"/>
      <c r="VEG548" s="268"/>
      <c r="VEH548" s="268"/>
      <c r="VEI548" s="268"/>
      <c r="VEJ548" s="268"/>
      <c r="VEK548" s="268"/>
      <c r="VEL548" s="268"/>
      <c r="VEM548" s="268"/>
      <c r="VEN548" s="268"/>
      <c r="VEO548" s="268"/>
      <c r="VEP548" s="268"/>
      <c r="VEQ548" s="268"/>
      <c r="VER548" s="268"/>
      <c r="VES548" s="268"/>
      <c r="VET548" s="268"/>
      <c r="VEU548" s="268"/>
      <c r="VEV548" s="268"/>
      <c r="VEW548" s="268"/>
      <c r="VEX548" s="268"/>
      <c r="VEY548" s="268"/>
      <c r="VEZ548" s="268"/>
      <c r="VFA548" s="268"/>
      <c r="VFB548" s="268"/>
      <c r="VFC548" s="268"/>
      <c r="VFD548" s="268"/>
      <c r="VFE548" s="268"/>
      <c r="VFF548" s="268"/>
      <c r="VFG548" s="268"/>
      <c r="VFH548" s="268"/>
      <c r="VFI548" s="268"/>
      <c r="VFJ548" s="268"/>
      <c r="VFK548" s="268"/>
      <c r="VFL548" s="268"/>
      <c r="VFM548" s="268"/>
      <c r="VFN548" s="268"/>
      <c r="VFO548" s="268"/>
      <c r="VFP548" s="268"/>
      <c r="VFQ548" s="268"/>
      <c r="VFR548" s="268"/>
      <c r="VFS548" s="268"/>
      <c r="VFT548" s="268"/>
      <c r="VFU548" s="268"/>
      <c r="VFV548" s="268"/>
      <c r="VFW548" s="268"/>
      <c r="VFX548" s="268"/>
      <c r="VFY548" s="268"/>
      <c r="VFZ548" s="268"/>
      <c r="VGA548" s="268"/>
      <c r="VGB548" s="268"/>
      <c r="VGC548" s="268"/>
      <c r="VGD548" s="268"/>
      <c r="VGE548" s="268"/>
      <c r="VGF548" s="268"/>
      <c r="VGG548" s="268"/>
      <c r="VGH548" s="268"/>
      <c r="VGI548" s="268"/>
      <c r="VGJ548" s="268"/>
      <c r="VGK548" s="268"/>
      <c r="VGL548" s="268"/>
      <c r="VGM548" s="268"/>
      <c r="VGN548" s="268"/>
      <c r="VGO548" s="268"/>
      <c r="VGP548" s="268"/>
      <c r="VGQ548" s="268"/>
      <c r="VGR548" s="268"/>
      <c r="VGS548" s="268"/>
      <c r="VGT548" s="268"/>
      <c r="VGU548" s="268"/>
      <c r="VGV548" s="268"/>
      <c r="VGW548" s="268"/>
      <c r="VGX548" s="268"/>
      <c r="VGY548" s="268"/>
      <c r="VGZ548" s="268"/>
      <c r="VHA548" s="268"/>
      <c r="VHB548" s="268"/>
      <c r="VHC548" s="268"/>
      <c r="VHD548" s="268"/>
      <c r="VHE548" s="268"/>
      <c r="VHF548" s="268"/>
      <c r="VHG548" s="268"/>
      <c r="VHH548" s="268"/>
      <c r="VHI548" s="268"/>
      <c r="VHJ548" s="268"/>
      <c r="VHK548" s="268"/>
      <c r="VHL548" s="268"/>
      <c r="VHM548" s="268"/>
      <c r="VHN548" s="268"/>
      <c r="VHO548" s="268"/>
      <c r="VIC548" s="268"/>
      <c r="VID548" s="268"/>
      <c r="VIE548" s="268"/>
      <c r="VIS548" s="268"/>
      <c r="VIU548" s="268"/>
      <c r="VIV548" s="268"/>
      <c r="VIW548" s="268"/>
      <c r="VIX548" s="268"/>
      <c r="VIY548" s="268"/>
      <c r="VIZ548" s="268"/>
      <c r="VJA548" s="268"/>
      <c r="VJB548" s="268"/>
      <c r="VJC548" s="268"/>
      <c r="VJD548" s="268"/>
      <c r="VJE548" s="268"/>
      <c r="VJF548" s="268"/>
      <c r="VJG548" s="268"/>
      <c r="VJH548" s="268"/>
      <c r="VJI548" s="268"/>
      <c r="VJJ548" s="268"/>
      <c r="VJK548" s="268"/>
      <c r="VJL548" s="268"/>
      <c r="VJM548" s="268"/>
      <c r="VJN548" s="268"/>
      <c r="VJO548" s="268"/>
      <c r="VJP548" s="268"/>
      <c r="VJQ548" s="268"/>
      <c r="VJR548" s="268"/>
      <c r="VJS548" s="268"/>
      <c r="VJT548" s="268"/>
      <c r="VJU548" s="268"/>
      <c r="VJV548" s="268"/>
      <c r="VJW548" s="268"/>
      <c r="VJX548" s="268"/>
      <c r="VJY548" s="268"/>
      <c r="VJZ548" s="268"/>
      <c r="VKA548" s="268"/>
      <c r="VKB548" s="268"/>
      <c r="VKC548" s="268"/>
      <c r="VKD548" s="268"/>
      <c r="VKE548" s="268"/>
      <c r="VKF548" s="268"/>
      <c r="VKG548" s="268"/>
      <c r="VKH548" s="268"/>
      <c r="VKI548" s="268"/>
      <c r="VKJ548" s="268"/>
      <c r="VKK548" s="268"/>
      <c r="VKL548" s="268"/>
      <c r="VKM548" s="268"/>
      <c r="VKN548" s="268"/>
      <c r="VKO548" s="268"/>
      <c r="VKP548" s="268"/>
      <c r="VKQ548" s="268"/>
      <c r="VKR548" s="268"/>
      <c r="VKS548" s="268"/>
      <c r="VKT548" s="268"/>
      <c r="VKU548" s="268"/>
      <c r="VKV548" s="268"/>
      <c r="VKW548" s="268"/>
      <c r="VKX548" s="268"/>
      <c r="VKY548" s="268"/>
      <c r="VKZ548" s="268"/>
      <c r="VLA548" s="268"/>
      <c r="VLB548" s="268"/>
      <c r="VLC548" s="268"/>
      <c r="VLD548" s="268"/>
      <c r="VLE548" s="268"/>
      <c r="VLF548" s="268"/>
      <c r="VLG548" s="268"/>
      <c r="VLH548" s="268"/>
      <c r="VLI548" s="268"/>
      <c r="VLJ548" s="268"/>
      <c r="VLK548" s="268"/>
      <c r="VLL548" s="268"/>
      <c r="VLM548" s="268"/>
      <c r="VLN548" s="268"/>
      <c r="VLO548" s="268"/>
      <c r="VLP548" s="268"/>
      <c r="VLQ548" s="268"/>
      <c r="VLR548" s="268"/>
      <c r="VLS548" s="268"/>
      <c r="VLT548" s="268"/>
      <c r="VLU548" s="268"/>
      <c r="VLV548" s="268"/>
      <c r="VLW548" s="268"/>
      <c r="VLX548" s="268"/>
      <c r="VLY548" s="268"/>
      <c r="VLZ548" s="268"/>
      <c r="VMA548" s="268"/>
      <c r="VMB548" s="268"/>
      <c r="VMC548" s="268"/>
      <c r="VMD548" s="268"/>
      <c r="VME548" s="268"/>
      <c r="VMF548" s="268"/>
      <c r="VMG548" s="268"/>
      <c r="VMH548" s="268"/>
      <c r="VMI548" s="268"/>
      <c r="VMJ548" s="268"/>
      <c r="VMK548" s="268"/>
      <c r="VML548" s="268"/>
      <c r="VMM548" s="268"/>
      <c r="VMN548" s="268"/>
      <c r="VMO548" s="268"/>
      <c r="VMP548" s="268"/>
      <c r="VMQ548" s="268"/>
      <c r="VMR548" s="268"/>
      <c r="VMS548" s="268"/>
      <c r="VMT548" s="268"/>
      <c r="VMU548" s="268"/>
      <c r="VMV548" s="268"/>
      <c r="VMW548" s="268"/>
      <c r="VMX548" s="268"/>
      <c r="VMY548" s="268"/>
      <c r="VMZ548" s="268"/>
      <c r="VNA548" s="268"/>
      <c r="VNB548" s="268"/>
      <c r="VNC548" s="268"/>
      <c r="VND548" s="268"/>
      <c r="VNE548" s="268"/>
      <c r="VNF548" s="268"/>
      <c r="VNG548" s="268"/>
      <c r="VNH548" s="268"/>
      <c r="VNI548" s="268"/>
      <c r="VNJ548" s="268"/>
      <c r="VNK548" s="268"/>
      <c r="VNL548" s="268"/>
      <c r="VNM548" s="268"/>
      <c r="VNN548" s="268"/>
      <c r="VNO548" s="268"/>
      <c r="VNP548" s="268"/>
      <c r="VNQ548" s="268"/>
      <c r="VNR548" s="268"/>
      <c r="VNS548" s="268"/>
      <c r="VNT548" s="268"/>
      <c r="VNU548" s="268"/>
      <c r="VNV548" s="268"/>
      <c r="VNW548" s="268"/>
      <c r="VNX548" s="268"/>
      <c r="VNY548" s="268"/>
      <c r="VNZ548" s="268"/>
      <c r="VOA548" s="268"/>
      <c r="VOB548" s="268"/>
      <c r="VOC548" s="268"/>
      <c r="VOD548" s="268"/>
      <c r="VOE548" s="268"/>
      <c r="VOF548" s="268"/>
      <c r="VOG548" s="268"/>
      <c r="VOH548" s="268"/>
      <c r="VOI548" s="268"/>
      <c r="VOJ548" s="268"/>
      <c r="VOK548" s="268"/>
      <c r="VOL548" s="268"/>
      <c r="VOM548" s="268"/>
      <c r="VON548" s="268"/>
      <c r="VOO548" s="268"/>
      <c r="VOP548" s="268"/>
      <c r="VOQ548" s="268"/>
      <c r="VOR548" s="268"/>
      <c r="VOS548" s="268"/>
      <c r="VOT548" s="268"/>
      <c r="VOU548" s="268"/>
      <c r="VOV548" s="268"/>
      <c r="VOW548" s="268"/>
      <c r="VOX548" s="268"/>
      <c r="VOY548" s="268"/>
      <c r="VOZ548" s="268"/>
      <c r="VPA548" s="268"/>
      <c r="VPB548" s="268"/>
      <c r="VPC548" s="268"/>
      <c r="VPD548" s="268"/>
      <c r="VPE548" s="268"/>
      <c r="VPF548" s="268"/>
      <c r="VPG548" s="268"/>
      <c r="VPH548" s="268"/>
      <c r="VPI548" s="268"/>
      <c r="VPJ548" s="268"/>
      <c r="VPK548" s="268"/>
      <c r="VPL548" s="268"/>
      <c r="VPM548" s="268"/>
      <c r="VPN548" s="268"/>
      <c r="VPO548" s="268"/>
      <c r="VPP548" s="268"/>
      <c r="VPQ548" s="268"/>
      <c r="VPR548" s="268"/>
      <c r="VPS548" s="268"/>
      <c r="VPT548" s="268"/>
      <c r="VPU548" s="268"/>
      <c r="VPV548" s="268"/>
      <c r="VPW548" s="268"/>
      <c r="VPX548" s="268"/>
      <c r="VPY548" s="268"/>
      <c r="VPZ548" s="268"/>
      <c r="VQA548" s="268"/>
      <c r="VQB548" s="268"/>
      <c r="VQC548" s="268"/>
      <c r="VQD548" s="268"/>
      <c r="VQE548" s="268"/>
      <c r="VQF548" s="268"/>
      <c r="VQG548" s="268"/>
      <c r="VQH548" s="268"/>
      <c r="VQI548" s="268"/>
      <c r="VQJ548" s="268"/>
      <c r="VQK548" s="268"/>
      <c r="VQL548" s="268"/>
      <c r="VQM548" s="268"/>
      <c r="VQN548" s="268"/>
      <c r="VQO548" s="268"/>
      <c r="VQP548" s="268"/>
      <c r="VQQ548" s="268"/>
      <c r="VQR548" s="268"/>
      <c r="VQS548" s="268"/>
      <c r="VQT548" s="268"/>
      <c r="VQU548" s="268"/>
      <c r="VQV548" s="268"/>
      <c r="VQW548" s="268"/>
      <c r="VQX548" s="268"/>
      <c r="VQY548" s="268"/>
      <c r="VQZ548" s="268"/>
      <c r="VRA548" s="268"/>
      <c r="VRB548" s="268"/>
      <c r="VRC548" s="268"/>
      <c r="VRD548" s="268"/>
      <c r="VRE548" s="268"/>
      <c r="VRF548" s="268"/>
      <c r="VRG548" s="268"/>
      <c r="VRH548" s="268"/>
      <c r="VRI548" s="268"/>
      <c r="VRJ548" s="268"/>
      <c r="VRK548" s="268"/>
      <c r="VRY548" s="268"/>
      <c r="VRZ548" s="268"/>
      <c r="VSA548" s="268"/>
      <c r="VSO548" s="268"/>
      <c r="VSQ548" s="268"/>
      <c r="VSR548" s="268"/>
      <c r="VSS548" s="268"/>
      <c r="VST548" s="268"/>
      <c r="VSU548" s="268"/>
      <c r="VSV548" s="268"/>
      <c r="VSW548" s="268"/>
      <c r="VSX548" s="268"/>
      <c r="VSY548" s="268"/>
      <c r="VSZ548" s="268"/>
      <c r="VTA548" s="268"/>
      <c r="VTB548" s="268"/>
      <c r="VTC548" s="268"/>
      <c r="VTD548" s="268"/>
      <c r="VTE548" s="268"/>
      <c r="VTF548" s="268"/>
      <c r="VTG548" s="268"/>
      <c r="VTH548" s="268"/>
      <c r="VTI548" s="268"/>
      <c r="VTJ548" s="268"/>
      <c r="VTK548" s="268"/>
      <c r="VTL548" s="268"/>
      <c r="VTM548" s="268"/>
      <c r="VTN548" s="268"/>
      <c r="VTO548" s="268"/>
      <c r="VTP548" s="268"/>
      <c r="VTQ548" s="268"/>
      <c r="VTR548" s="268"/>
      <c r="VTS548" s="268"/>
      <c r="VTT548" s="268"/>
      <c r="VTU548" s="268"/>
      <c r="VTV548" s="268"/>
      <c r="VTW548" s="268"/>
      <c r="VTX548" s="268"/>
      <c r="VTY548" s="268"/>
      <c r="VTZ548" s="268"/>
      <c r="VUA548" s="268"/>
      <c r="VUB548" s="268"/>
      <c r="VUC548" s="268"/>
      <c r="VUD548" s="268"/>
      <c r="VUE548" s="268"/>
      <c r="VUF548" s="268"/>
      <c r="VUG548" s="268"/>
      <c r="VUH548" s="268"/>
      <c r="VUI548" s="268"/>
      <c r="VUJ548" s="268"/>
      <c r="VUK548" s="268"/>
      <c r="VUL548" s="268"/>
      <c r="VUM548" s="268"/>
      <c r="VUN548" s="268"/>
      <c r="VUO548" s="268"/>
      <c r="VUP548" s="268"/>
      <c r="VUQ548" s="268"/>
      <c r="VUR548" s="268"/>
      <c r="VUS548" s="268"/>
      <c r="VUT548" s="268"/>
      <c r="VUU548" s="268"/>
      <c r="VUV548" s="268"/>
      <c r="VUW548" s="268"/>
      <c r="VUX548" s="268"/>
      <c r="VUY548" s="268"/>
      <c r="VUZ548" s="268"/>
      <c r="VVA548" s="268"/>
      <c r="VVB548" s="268"/>
      <c r="VVC548" s="268"/>
      <c r="VVD548" s="268"/>
      <c r="VVE548" s="268"/>
      <c r="VVF548" s="268"/>
      <c r="VVG548" s="268"/>
      <c r="VVH548" s="268"/>
      <c r="VVI548" s="268"/>
      <c r="VVJ548" s="268"/>
      <c r="VVK548" s="268"/>
      <c r="VVL548" s="268"/>
      <c r="VVM548" s="268"/>
      <c r="VVN548" s="268"/>
      <c r="VVO548" s="268"/>
      <c r="VVP548" s="268"/>
      <c r="VVQ548" s="268"/>
      <c r="VVR548" s="268"/>
      <c r="VVS548" s="268"/>
      <c r="VVT548" s="268"/>
      <c r="VVU548" s="268"/>
      <c r="VVV548" s="268"/>
      <c r="VVW548" s="268"/>
      <c r="VVX548" s="268"/>
      <c r="VVY548" s="268"/>
      <c r="VVZ548" s="268"/>
      <c r="VWA548" s="268"/>
      <c r="VWB548" s="268"/>
      <c r="VWC548" s="268"/>
      <c r="VWD548" s="268"/>
      <c r="VWE548" s="268"/>
      <c r="VWF548" s="268"/>
      <c r="VWG548" s="268"/>
      <c r="VWH548" s="268"/>
      <c r="VWI548" s="268"/>
      <c r="VWJ548" s="268"/>
      <c r="VWK548" s="268"/>
      <c r="VWL548" s="268"/>
      <c r="VWM548" s="268"/>
      <c r="VWN548" s="268"/>
      <c r="VWO548" s="268"/>
      <c r="VWP548" s="268"/>
      <c r="VWQ548" s="268"/>
      <c r="VWR548" s="268"/>
      <c r="VWS548" s="268"/>
      <c r="VWT548" s="268"/>
      <c r="VWU548" s="268"/>
      <c r="VWV548" s="268"/>
      <c r="VWW548" s="268"/>
      <c r="VWX548" s="268"/>
      <c r="VWY548" s="268"/>
      <c r="VWZ548" s="268"/>
      <c r="VXA548" s="268"/>
      <c r="VXB548" s="268"/>
      <c r="VXC548" s="268"/>
      <c r="VXD548" s="268"/>
      <c r="VXE548" s="268"/>
      <c r="VXF548" s="268"/>
      <c r="VXG548" s="268"/>
      <c r="VXH548" s="268"/>
      <c r="VXI548" s="268"/>
      <c r="VXJ548" s="268"/>
      <c r="VXK548" s="268"/>
      <c r="VXL548" s="268"/>
      <c r="VXM548" s="268"/>
      <c r="VXN548" s="268"/>
      <c r="VXO548" s="268"/>
      <c r="VXP548" s="268"/>
      <c r="VXQ548" s="268"/>
      <c r="VXR548" s="268"/>
      <c r="VXS548" s="268"/>
      <c r="VXT548" s="268"/>
      <c r="VXU548" s="268"/>
      <c r="VXV548" s="268"/>
      <c r="VXW548" s="268"/>
      <c r="VXX548" s="268"/>
      <c r="VXY548" s="268"/>
      <c r="VXZ548" s="268"/>
      <c r="VYA548" s="268"/>
      <c r="VYB548" s="268"/>
      <c r="VYC548" s="268"/>
      <c r="VYD548" s="268"/>
      <c r="VYE548" s="268"/>
      <c r="VYF548" s="268"/>
      <c r="VYG548" s="268"/>
      <c r="VYH548" s="268"/>
      <c r="VYI548" s="268"/>
      <c r="VYJ548" s="268"/>
      <c r="VYK548" s="268"/>
      <c r="VYL548" s="268"/>
      <c r="VYM548" s="268"/>
      <c r="VYN548" s="268"/>
      <c r="VYO548" s="268"/>
      <c r="VYP548" s="268"/>
      <c r="VYQ548" s="268"/>
      <c r="VYR548" s="268"/>
      <c r="VYS548" s="268"/>
      <c r="VYT548" s="268"/>
      <c r="VYU548" s="268"/>
      <c r="VYV548" s="268"/>
      <c r="VYW548" s="268"/>
      <c r="VYX548" s="268"/>
      <c r="VYY548" s="268"/>
      <c r="VYZ548" s="268"/>
      <c r="VZA548" s="268"/>
      <c r="VZB548" s="268"/>
      <c r="VZC548" s="268"/>
      <c r="VZD548" s="268"/>
      <c r="VZE548" s="268"/>
      <c r="VZF548" s="268"/>
      <c r="VZG548" s="268"/>
      <c r="VZH548" s="268"/>
      <c r="VZI548" s="268"/>
      <c r="VZJ548" s="268"/>
      <c r="VZK548" s="268"/>
      <c r="VZL548" s="268"/>
      <c r="VZM548" s="268"/>
      <c r="VZN548" s="268"/>
      <c r="VZO548" s="268"/>
      <c r="VZP548" s="268"/>
      <c r="VZQ548" s="268"/>
      <c r="VZR548" s="268"/>
      <c r="VZS548" s="268"/>
      <c r="VZT548" s="268"/>
      <c r="VZU548" s="268"/>
      <c r="VZV548" s="268"/>
      <c r="VZW548" s="268"/>
      <c r="VZX548" s="268"/>
      <c r="VZY548" s="268"/>
      <c r="VZZ548" s="268"/>
      <c r="WAA548" s="268"/>
      <c r="WAB548" s="268"/>
      <c r="WAC548" s="268"/>
      <c r="WAD548" s="268"/>
      <c r="WAE548" s="268"/>
      <c r="WAF548" s="268"/>
      <c r="WAG548" s="268"/>
      <c r="WAH548" s="268"/>
      <c r="WAI548" s="268"/>
      <c r="WAJ548" s="268"/>
      <c r="WAK548" s="268"/>
      <c r="WAL548" s="268"/>
      <c r="WAM548" s="268"/>
      <c r="WAN548" s="268"/>
      <c r="WAO548" s="268"/>
      <c r="WAP548" s="268"/>
      <c r="WAQ548" s="268"/>
      <c r="WAR548" s="268"/>
      <c r="WAS548" s="268"/>
      <c r="WAT548" s="268"/>
      <c r="WAU548" s="268"/>
      <c r="WAV548" s="268"/>
      <c r="WAW548" s="268"/>
      <c r="WAX548" s="268"/>
      <c r="WAY548" s="268"/>
      <c r="WAZ548" s="268"/>
      <c r="WBA548" s="268"/>
      <c r="WBB548" s="268"/>
      <c r="WBC548" s="268"/>
      <c r="WBD548" s="268"/>
      <c r="WBE548" s="268"/>
      <c r="WBF548" s="268"/>
      <c r="WBG548" s="268"/>
      <c r="WBU548" s="268"/>
      <c r="WBV548" s="268"/>
      <c r="WBW548" s="268"/>
      <c r="WCK548" s="268"/>
      <c r="WCM548" s="268"/>
      <c r="WCN548" s="268"/>
      <c r="WCO548" s="268"/>
      <c r="WCP548" s="268"/>
      <c r="WCQ548" s="268"/>
      <c r="WCR548" s="268"/>
      <c r="WCS548" s="268"/>
      <c r="WCT548" s="268"/>
      <c r="WCU548" s="268"/>
      <c r="WCV548" s="268"/>
      <c r="WCW548" s="268"/>
      <c r="WCX548" s="268"/>
      <c r="WCY548" s="268"/>
      <c r="WCZ548" s="268"/>
      <c r="WDA548" s="268"/>
      <c r="WDB548" s="268"/>
      <c r="WDC548" s="268"/>
      <c r="WDD548" s="268"/>
      <c r="WDE548" s="268"/>
      <c r="WDF548" s="268"/>
      <c r="WDG548" s="268"/>
      <c r="WDH548" s="268"/>
      <c r="WDI548" s="268"/>
      <c r="WDJ548" s="268"/>
      <c r="WDK548" s="268"/>
      <c r="WDL548" s="268"/>
      <c r="WDM548" s="268"/>
      <c r="WDN548" s="268"/>
      <c r="WDO548" s="268"/>
      <c r="WDP548" s="268"/>
      <c r="WDQ548" s="268"/>
      <c r="WDR548" s="268"/>
      <c r="WDS548" s="268"/>
      <c r="WDT548" s="268"/>
      <c r="WDU548" s="268"/>
      <c r="WDV548" s="268"/>
      <c r="WDW548" s="268"/>
      <c r="WDX548" s="268"/>
      <c r="WDY548" s="268"/>
      <c r="WDZ548" s="268"/>
      <c r="WEA548" s="268"/>
      <c r="WEB548" s="268"/>
      <c r="WEC548" s="268"/>
      <c r="WED548" s="268"/>
      <c r="WEE548" s="268"/>
      <c r="WEF548" s="268"/>
      <c r="WEG548" s="268"/>
      <c r="WEH548" s="268"/>
      <c r="WEI548" s="268"/>
      <c r="WEJ548" s="268"/>
      <c r="WEK548" s="268"/>
      <c r="WEL548" s="268"/>
      <c r="WEM548" s="268"/>
      <c r="WEN548" s="268"/>
      <c r="WEO548" s="268"/>
      <c r="WEP548" s="268"/>
      <c r="WEQ548" s="268"/>
      <c r="WER548" s="268"/>
      <c r="WES548" s="268"/>
      <c r="WET548" s="268"/>
      <c r="WEU548" s="268"/>
      <c r="WEV548" s="268"/>
      <c r="WEW548" s="268"/>
      <c r="WEX548" s="268"/>
      <c r="WEY548" s="268"/>
      <c r="WEZ548" s="268"/>
      <c r="WFA548" s="268"/>
      <c r="WFB548" s="268"/>
      <c r="WFC548" s="268"/>
      <c r="WFD548" s="268"/>
      <c r="WFE548" s="268"/>
      <c r="WFF548" s="268"/>
      <c r="WFG548" s="268"/>
      <c r="WFH548" s="268"/>
      <c r="WFI548" s="268"/>
      <c r="WFJ548" s="268"/>
      <c r="WFK548" s="268"/>
      <c r="WFL548" s="268"/>
      <c r="WFM548" s="268"/>
      <c r="WFN548" s="268"/>
      <c r="WFO548" s="268"/>
      <c r="WFP548" s="268"/>
      <c r="WFQ548" s="268"/>
      <c r="WFR548" s="268"/>
      <c r="WFS548" s="268"/>
      <c r="WFT548" s="268"/>
      <c r="WFU548" s="268"/>
      <c r="WFV548" s="268"/>
      <c r="WFW548" s="268"/>
      <c r="WFX548" s="268"/>
      <c r="WFY548" s="268"/>
      <c r="WFZ548" s="268"/>
      <c r="WGA548" s="268"/>
      <c r="WGB548" s="268"/>
      <c r="WGC548" s="268"/>
      <c r="WGD548" s="268"/>
      <c r="WGE548" s="268"/>
      <c r="WGF548" s="268"/>
      <c r="WGG548" s="268"/>
      <c r="WGH548" s="268"/>
      <c r="WGI548" s="268"/>
      <c r="WGJ548" s="268"/>
      <c r="WGK548" s="268"/>
      <c r="WGL548" s="268"/>
      <c r="WGM548" s="268"/>
      <c r="WGN548" s="268"/>
      <c r="WGO548" s="268"/>
      <c r="WGP548" s="268"/>
      <c r="WGQ548" s="268"/>
      <c r="WGR548" s="268"/>
      <c r="WGS548" s="268"/>
      <c r="WGT548" s="268"/>
      <c r="WGU548" s="268"/>
      <c r="WGV548" s="268"/>
      <c r="WGW548" s="268"/>
      <c r="WGX548" s="268"/>
      <c r="WGY548" s="268"/>
      <c r="WGZ548" s="268"/>
      <c r="WHA548" s="268"/>
      <c r="WHB548" s="268"/>
      <c r="WHC548" s="268"/>
      <c r="WHD548" s="268"/>
      <c r="WHE548" s="268"/>
      <c r="WHF548" s="268"/>
      <c r="WHG548" s="268"/>
      <c r="WHH548" s="268"/>
      <c r="WHI548" s="268"/>
      <c r="WHJ548" s="268"/>
      <c r="WHK548" s="268"/>
      <c r="WHL548" s="268"/>
      <c r="WHM548" s="268"/>
      <c r="WHN548" s="268"/>
      <c r="WHO548" s="268"/>
      <c r="WHP548" s="268"/>
      <c r="WHQ548" s="268"/>
      <c r="WHR548" s="268"/>
      <c r="WHS548" s="268"/>
      <c r="WHT548" s="268"/>
      <c r="WHU548" s="268"/>
      <c r="WHV548" s="268"/>
      <c r="WHW548" s="268"/>
      <c r="WHX548" s="268"/>
      <c r="WHY548" s="268"/>
      <c r="WHZ548" s="268"/>
      <c r="WIA548" s="268"/>
      <c r="WIB548" s="268"/>
      <c r="WIC548" s="268"/>
      <c r="WID548" s="268"/>
      <c r="WIE548" s="268"/>
      <c r="WIF548" s="268"/>
      <c r="WIG548" s="268"/>
      <c r="WIH548" s="268"/>
      <c r="WII548" s="268"/>
      <c r="WIJ548" s="268"/>
      <c r="WIK548" s="268"/>
      <c r="WIL548" s="268"/>
      <c r="WIM548" s="268"/>
      <c r="WIN548" s="268"/>
      <c r="WIO548" s="268"/>
      <c r="WIP548" s="268"/>
      <c r="WIQ548" s="268"/>
      <c r="WIR548" s="268"/>
      <c r="WIS548" s="268"/>
      <c r="WIT548" s="268"/>
      <c r="WIU548" s="268"/>
      <c r="WIV548" s="268"/>
      <c r="WIW548" s="268"/>
      <c r="WIX548" s="268"/>
      <c r="WIY548" s="268"/>
      <c r="WIZ548" s="268"/>
      <c r="WJA548" s="268"/>
      <c r="WJB548" s="268"/>
      <c r="WJC548" s="268"/>
      <c r="WJD548" s="268"/>
      <c r="WJE548" s="268"/>
      <c r="WJF548" s="268"/>
      <c r="WJG548" s="268"/>
      <c r="WJH548" s="268"/>
      <c r="WJI548" s="268"/>
      <c r="WJJ548" s="268"/>
      <c r="WJK548" s="268"/>
      <c r="WJL548" s="268"/>
      <c r="WJM548" s="268"/>
      <c r="WJN548" s="268"/>
      <c r="WJO548" s="268"/>
      <c r="WJP548" s="268"/>
      <c r="WJQ548" s="268"/>
      <c r="WJR548" s="268"/>
      <c r="WJS548" s="268"/>
      <c r="WJT548" s="268"/>
      <c r="WJU548" s="268"/>
      <c r="WJV548" s="268"/>
      <c r="WJW548" s="268"/>
      <c r="WJX548" s="268"/>
      <c r="WJY548" s="268"/>
      <c r="WJZ548" s="268"/>
      <c r="WKA548" s="268"/>
      <c r="WKB548" s="268"/>
      <c r="WKC548" s="268"/>
      <c r="WKD548" s="268"/>
      <c r="WKE548" s="268"/>
      <c r="WKF548" s="268"/>
      <c r="WKG548" s="268"/>
      <c r="WKH548" s="268"/>
      <c r="WKI548" s="268"/>
      <c r="WKJ548" s="268"/>
      <c r="WKK548" s="268"/>
      <c r="WKL548" s="268"/>
      <c r="WKM548" s="268"/>
      <c r="WKN548" s="268"/>
      <c r="WKO548" s="268"/>
      <c r="WKP548" s="268"/>
      <c r="WKQ548" s="268"/>
      <c r="WKR548" s="268"/>
      <c r="WKS548" s="268"/>
      <c r="WKT548" s="268"/>
      <c r="WKU548" s="268"/>
      <c r="WKV548" s="268"/>
      <c r="WKW548" s="268"/>
      <c r="WKX548" s="268"/>
      <c r="WKY548" s="268"/>
      <c r="WKZ548" s="268"/>
      <c r="WLA548" s="268"/>
      <c r="WLB548" s="268"/>
      <c r="WLC548" s="268"/>
      <c r="WLQ548" s="268"/>
      <c r="WLR548" s="268"/>
      <c r="WLS548" s="268"/>
      <c r="WMG548" s="268"/>
      <c r="WMI548" s="268"/>
      <c r="WMJ548" s="268"/>
      <c r="WMK548" s="268"/>
      <c r="WML548" s="268"/>
      <c r="WMM548" s="268"/>
      <c r="WMN548" s="268"/>
      <c r="WMO548" s="268"/>
      <c r="WMP548" s="268"/>
      <c r="WMQ548" s="268"/>
      <c r="WMR548" s="268"/>
      <c r="WMS548" s="268"/>
      <c r="WMT548" s="268"/>
      <c r="WMU548" s="268"/>
      <c r="WMV548" s="268"/>
      <c r="WMW548" s="268"/>
      <c r="WMX548" s="268"/>
      <c r="WMY548" s="268"/>
      <c r="WMZ548" s="268"/>
      <c r="WNA548" s="268"/>
      <c r="WNB548" s="268"/>
      <c r="WNC548" s="268"/>
      <c r="WND548" s="268"/>
      <c r="WNE548" s="268"/>
      <c r="WNF548" s="268"/>
      <c r="WNG548" s="268"/>
      <c r="WNH548" s="268"/>
      <c r="WNI548" s="268"/>
      <c r="WNJ548" s="268"/>
      <c r="WNK548" s="268"/>
      <c r="WNL548" s="268"/>
      <c r="WNM548" s="268"/>
      <c r="WNN548" s="268"/>
      <c r="WNO548" s="268"/>
      <c r="WNP548" s="268"/>
      <c r="WNQ548" s="268"/>
      <c r="WNR548" s="268"/>
      <c r="WNS548" s="268"/>
      <c r="WNT548" s="268"/>
      <c r="WNU548" s="268"/>
      <c r="WNV548" s="268"/>
      <c r="WNW548" s="268"/>
      <c r="WNX548" s="268"/>
      <c r="WNY548" s="268"/>
      <c r="WNZ548" s="268"/>
      <c r="WOA548" s="268"/>
      <c r="WOB548" s="268"/>
      <c r="WOC548" s="268"/>
      <c r="WOD548" s="268"/>
      <c r="WOE548" s="268"/>
      <c r="WOF548" s="268"/>
      <c r="WOG548" s="268"/>
      <c r="WOH548" s="268"/>
      <c r="WOI548" s="268"/>
      <c r="WOJ548" s="268"/>
      <c r="WOK548" s="268"/>
      <c r="WOL548" s="268"/>
      <c r="WOM548" s="268"/>
      <c r="WON548" s="268"/>
      <c r="WOO548" s="268"/>
      <c r="WOP548" s="268"/>
      <c r="WOQ548" s="268"/>
      <c r="WOR548" s="268"/>
      <c r="WOS548" s="268"/>
      <c r="WOT548" s="268"/>
      <c r="WOU548" s="268"/>
      <c r="WOV548" s="268"/>
      <c r="WOW548" s="268"/>
      <c r="WOX548" s="268"/>
      <c r="WOY548" s="268"/>
      <c r="WOZ548" s="268"/>
      <c r="WPA548" s="268"/>
      <c r="WPB548" s="268"/>
      <c r="WPC548" s="268"/>
      <c r="WPD548" s="268"/>
      <c r="WPE548" s="268"/>
      <c r="WPF548" s="268"/>
      <c r="WPG548" s="268"/>
      <c r="WPH548" s="268"/>
      <c r="WPI548" s="268"/>
      <c r="WPJ548" s="268"/>
      <c r="WPK548" s="268"/>
      <c r="WPL548" s="268"/>
      <c r="WPM548" s="268"/>
      <c r="WPN548" s="268"/>
      <c r="WPO548" s="268"/>
      <c r="WPP548" s="268"/>
      <c r="WPQ548" s="268"/>
      <c r="WPR548" s="268"/>
      <c r="WPS548" s="268"/>
      <c r="WPT548" s="268"/>
      <c r="WPU548" s="268"/>
      <c r="WPV548" s="268"/>
      <c r="WPW548" s="268"/>
      <c r="WPX548" s="268"/>
      <c r="WPY548" s="268"/>
      <c r="WPZ548" s="268"/>
      <c r="WQA548" s="268"/>
      <c r="WQB548" s="268"/>
      <c r="WQC548" s="268"/>
      <c r="WQD548" s="268"/>
      <c r="WQE548" s="268"/>
      <c r="WQF548" s="268"/>
      <c r="WQG548" s="268"/>
      <c r="WQH548" s="268"/>
      <c r="WQI548" s="268"/>
      <c r="WQJ548" s="268"/>
      <c r="WQK548" s="268"/>
      <c r="WQL548" s="268"/>
      <c r="WQM548" s="268"/>
      <c r="WQN548" s="268"/>
      <c r="WQO548" s="268"/>
      <c r="WQP548" s="268"/>
      <c r="WQQ548" s="268"/>
      <c r="WQR548" s="268"/>
      <c r="WQS548" s="268"/>
      <c r="WQT548" s="268"/>
      <c r="WQU548" s="268"/>
      <c r="WQV548" s="268"/>
      <c r="WQW548" s="268"/>
      <c r="WQX548" s="268"/>
      <c r="WQY548" s="268"/>
      <c r="WQZ548" s="268"/>
      <c r="WRA548" s="268"/>
      <c r="WRB548" s="268"/>
      <c r="WRC548" s="268"/>
      <c r="WRD548" s="268"/>
      <c r="WRE548" s="268"/>
      <c r="WRF548" s="268"/>
      <c r="WRG548" s="268"/>
      <c r="WRH548" s="268"/>
      <c r="WRI548" s="268"/>
      <c r="WRJ548" s="268"/>
      <c r="WRK548" s="268"/>
      <c r="WRL548" s="268"/>
      <c r="WRM548" s="268"/>
      <c r="WRN548" s="268"/>
      <c r="WRO548" s="268"/>
      <c r="WRP548" s="268"/>
      <c r="WRQ548" s="268"/>
      <c r="WRR548" s="268"/>
      <c r="WRS548" s="268"/>
      <c r="WRT548" s="268"/>
      <c r="WRU548" s="268"/>
      <c r="WRV548" s="268"/>
      <c r="WRW548" s="268"/>
      <c r="WRX548" s="268"/>
      <c r="WRY548" s="268"/>
      <c r="WRZ548" s="268"/>
      <c r="WSA548" s="268"/>
      <c r="WSB548" s="268"/>
      <c r="WSC548" s="268"/>
      <c r="WSD548" s="268"/>
      <c r="WSE548" s="268"/>
      <c r="WSF548" s="268"/>
      <c r="WSG548" s="268"/>
      <c r="WSH548" s="268"/>
      <c r="WSI548" s="268"/>
      <c r="WSJ548" s="268"/>
      <c r="WSK548" s="268"/>
      <c r="WSL548" s="268"/>
      <c r="WSM548" s="268"/>
      <c r="WSN548" s="268"/>
      <c r="WSO548" s="268"/>
      <c r="WSP548" s="268"/>
      <c r="WSQ548" s="268"/>
      <c r="WSR548" s="268"/>
      <c r="WSS548" s="268"/>
      <c r="WST548" s="268"/>
      <c r="WSU548" s="268"/>
      <c r="WSV548" s="268"/>
      <c r="WSW548" s="268"/>
      <c r="WSX548" s="268"/>
      <c r="WSY548" s="268"/>
      <c r="WSZ548" s="268"/>
      <c r="WTA548" s="268"/>
      <c r="WTB548" s="268"/>
      <c r="WTC548" s="268"/>
      <c r="WTD548" s="268"/>
      <c r="WTE548" s="268"/>
      <c r="WTF548" s="268"/>
      <c r="WTG548" s="268"/>
      <c r="WTH548" s="268"/>
      <c r="WTI548" s="268"/>
      <c r="WTJ548" s="268"/>
      <c r="WTK548" s="268"/>
      <c r="WTL548" s="268"/>
      <c r="WTM548" s="268"/>
      <c r="WTN548" s="268"/>
      <c r="WTO548" s="268"/>
      <c r="WTP548" s="268"/>
      <c r="WTQ548" s="268"/>
      <c r="WTR548" s="268"/>
      <c r="WTS548" s="268"/>
      <c r="WTT548" s="268"/>
      <c r="WTU548" s="268"/>
      <c r="WTV548" s="268"/>
      <c r="WTW548" s="268"/>
      <c r="WTX548" s="268"/>
      <c r="WTY548" s="268"/>
      <c r="WTZ548" s="268"/>
      <c r="WUA548" s="268"/>
      <c r="WUB548" s="268"/>
      <c r="WUC548" s="268"/>
      <c r="WUD548" s="268"/>
      <c r="WUE548" s="268"/>
      <c r="WUF548" s="268"/>
      <c r="WUG548" s="268"/>
      <c r="WUH548" s="268"/>
      <c r="WUI548" s="268"/>
      <c r="WUJ548" s="268"/>
      <c r="WUK548" s="268"/>
      <c r="WUL548" s="268"/>
      <c r="WUM548" s="268"/>
      <c r="WUN548" s="268"/>
      <c r="WUO548" s="268"/>
      <c r="WUP548" s="268"/>
      <c r="WUQ548" s="268"/>
      <c r="WUR548" s="268"/>
      <c r="WUS548" s="268"/>
      <c r="WUT548" s="268"/>
      <c r="WUU548" s="268"/>
      <c r="WUV548" s="268"/>
      <c r="WUW548" s="268"/>
      <c r="WUX548" s="268"/>
      <c r="WUY548" s="268"/>
      <c r="WVM548" s="268"/>
      <c r="WVN548" s="268"/>
      <c r="WVO548" s="268"/>
      <c r="WWC548" s="268"/>
      <c r="WWE548" s="268"/>
      <c r="WWF548" s="268"/>
      <c r="WWG548" s="268"/>
      <c r="WWH548" s="268"/>
      <c r="WWI548" s="268"/>
      <c r="WWJ548" s="268"/>
      <c r="WWK548" s="268"/>
      <c r="WWL548" s="268"/>
      <c r="WWM548" s="268"/>
      <c r="WWN548" s="268"/>
      <c r="WWO548" s="268"/>
      <c r="WWP548" s="268"/>
      <c r="WWQ548" s="268"/>
      <c r="WWR548" s="268"/>
      <c r="WWS548" s="268"/>
      <c r="WWT548" s="268"/>
      <c r="WWU548" s="268"/>
      <c r="WWV548" s="268"/>
      <c r="WWW548" s="268"/>
      <c r="WWX548" s="268"/>
      <c r="WWY548" s="268"/>
      <c r="WWZ548" s="268"/>
      <c r="WXA548" s="268"/>
      <c r="WXB548" s="268"/>
      <c r="WXC548" s="268"/>
      <c r="WXD548" s="268"/>
      <c r="WXE548" s="268"/>
      <c r="WXF548" s="268"/>
      <c r="WXG548" s="268"/>
      <c r="WXH548" s="268"/>
      <c r="WXI548" s="268"/>
      <c r="WXJ548" s="268"/>
      <c r="WXK548" s="268"/>
      <c r="WXL548" s="268"/>
      <c r="WXM548" s="268"/>
      <c r="WXN548" s="268"/>
      <c r="WXO548" s="268"/>
      <c r="WXP548" s="268"/>
      <c r="WXQ548" s="268"/>
      <c r="WXR548" s="268"/>
      <c r="WXS548" s="268"/>
      <c r="WXT548" s="268"/>
      <c r="WXU548" s="268"/>
      <c r="WXV548" s="268"/>
      <c r="WXW548" s="268"/>
      <c r="WXX548" s="268"/>
      <c r="WXY548" s="268"/>
      <c r="WXZ548" s="268"/>
      <c r="WYA548" s="268"/>
      <c r="WYB548" s="268"/>
      <c r="WYC548" s="268"/>
      <c r="WYD548" s="268"/>
      <c r="WYE548" s="268"/>
      <c r="WYF548" s="268"/>
      <c r="WYG548" s="268"/>
      <c r="WYH548" s="268"/>
      <c r="WYI548" s="268"/>
      <c r="WYJ548" s="268"/>
      <c r="WYK548" s="268"/>
      <c r="WYL548" s="268"/>
      <c r="WYM548" s="268"/>
      <c r="WYN548" s="268"/>
      <c r="WYO548" s="268"/>
      <c r="WYP548" s="268"/>
      <c r="WYQ548" s="268"/>
      <c r="WYR548" s="268"/>
      <c r="WYS548" s="268"/>
      <c r="WYT548" s="268"/>
      <c r="WYU548" s="268"/>
      <c r="WYV548" s="268"/>
      <c r="WYW548" s="268"/>
      <c r="WYX548" s="268"/>
      <c r="WYY548" s="268"/>
      <c r="WYZ548" s="268"/>
      <c r="WZA548" s="268"/>
      <c r="WZB548" s="268"/>
      <c r="WZC548" s="268"/>
      <c r="WZD548" s="268"/>
      <c r="WZE548" s="268"/>
      <c r="WZF548" s="268"/>
      <c r="WZG548" s="268"/>
      <c r="WZH548" s="268"/>
      <c r="WZI548" s="268"/>
      <c r="WZJ548" s="268"/>
      <c r="WZK548" s="268"/>
      <c r="WZL548" s="268"/>
      <c r="WZM548" s="268"/>
      <c r="WZN548" s="268"/>
      <c r="WZO548" s="268"/>
      <c r="WZP548" s="268"/>
      <c r="WZQ548" s="268"/>
      <c r="WZR548" s="268"/>
      <c r="WZS548" s="268"/>
      <c r="WZT548" s="268"/>
      <c r="WZU548" s="268"/>
      <c r="WZV548" s="268"/>
      <c r="WZW548" s="268"/>
      <c r="WZX548" s="268"/>
      <c r="WZY548" s="268"/>
      <c r="WZZ548" s="268"/>
      <c r="XAA548" s="268"/>
      <c r="XAB548" s="268"/>
      <c r="XAC548" s="268"/>
      <c r="XAD548" s="268"/>
      <c r="XAE548" s="268"/>
      <c r="XAF548" s="268"/>
      <c r="XAG548" s="268"/>
      <c r="XAH548" s="268"/>
      <c r="XAI548" s="268"/>
      <c r="XAJ548" s="268"/>
      <c r="XAK548" s="268"/>
      <c r="XAL548" s="268"/>
      <c r="XAM548" s="268"/>
      <c r="XAN548" s="268"/>
      <c r="XAO548" s="268"/>
      <c r="XAP548" s="268"/>
      <c r="XAQ548" s="268"/>
      <c r="XAR548" s="268"/>
      <c r="XAS548" s="268"/>
      <c r="XAT548" s="268"/>
      <c r="XAU548" s="268"/>
      <c r="XAV548" s="268"/>
      <c r="XAW548" s="268"/>
      <c r="XAX548" s="268"/>
      <c r="XAY548" s="268"/>
      <c r="XAZ548" s="268"/>
      <c r="XBA548" s="268"/>
      <c r="XBB548" s="268"/>
      <c r="XBC548" s="268"/>
      <c r="XBD548" s="268"/>
      <c r="XBE548" s="268"/>
      <c r="XBF548" s="268"/>
      <c r="XBG548" s="268"/>
      <c r="XBH548" s="268"/>
      <c r="XBI548" s="268"/>
      <c r="XBJ548" s="268"/>
      <c r="XBK548" s="268"/>
      <c r="XBL548" s="268"/>
      <c r="XBM548" s="268"/>
      <c r="XBN548" s="268"/>
      <c r="XBO548" s="268"/>
      <c r="XBP548" s="268"/>
      <c r="XBQ548" s="268"/>
      <c r="XBR548" s="268"/>
      <c r="XBS548" s="268"/>
      <c r="XBT548" s="268"/>
      <c r="XBU548" s="268"/>
      <c r="XBV548" s="268"/>
      <c r="XBW548" s="268"/>
      <c r="XBX548" s="268"/>
      <c r="XBY548" s="268"/>
      <c r="XBZ548" s="268"/>
      <c r="XCA548" s="268"/>
      <c r="XCB548" s="268"/>
      <c r="XCC548" s="268"/>
      <c r="XCD548" s="268"/>
      <c r="XCE548" s="268"/>
      <c r="XCF548" s="268"/>
      <c r="XCG548" s="268"/>
      <c r="XCH548" s="268"/>
      <c r="XCI548" s="268"/>
      <c r="XCJ548" s="268"/>
      <c r="XCK548" s="268"/>
      <c r="XCL548" s="268"/>
      <c r="XCM548" s="268"/>
      <c r="XCN548" s="268"/>
      <c r="XCO548" s="268"/>
      <c r="XCP548" s="268"/>
      <c r="XCQ548" s="268"/>
      <c r="XCR548" s="268"/>
      <c r="XCS548" s="268"/>
      <c r="XCT548" s="268"/>
      <c r="XCU548" s="268"/>
      <c r="XCV548" s="268"/>
      <c r="XCW548" s="268"/>
      <c r="XCX548" s="268"/>
      <c r="XCY548" s="268"/>
      <c r="XCZ548" s="268"/>
      <c r="XDA548" s="268"/>
      <c r="XDB548" s="268"/>
      <c r="XDC548" s="268"/>
      <c r="XDD548" s="268"/>
      <c r="XDE548" s="268"/>
      <c r="XDF548" s="268"/>
      <c r="XDG548" s="268"/>
      <c r="XDH548" s="268"/>
      <c r="XDI548" s="268"/>
      <c r="XDJ548" s="268"/>
      <c r="XDK548" s="268"/>
      <c r="XDL548" s="268"/>
      <c r="XDM548" s="268"/>
      <c r="XDN548" s="268"/>
      <c r="XDO548" s="268"/>
      <c r="XDP548" s="268"/>
      <c r="XDQ548" s="268"/>
      <c r="XDR548" s="268"/>
      <c r="XDS548" s="268"/>
      <c r="XDT548" s="268"/>
      <c r="XDU548" s="268"/>
      <c r="XDV548" s="268"/>
      <c r="XDW548" s="268"/>
      <c r="XDX548" s="268"/>
      <c r="XDY548" s="268"/>
      <c r="XDZ548" s="268"/>
      <c r="XEA548" s="268"/>
      <c r="XEB548" s="268"/>
      <c r="XEC548" s="268"/>
      <c r="XED548" s="268"/>
      <c r="XEE548" s="268"/>
      <c r="XEF548" s="268"/>
      <c r="XEG548" s="268"/>
      <c r="XEH548" s="268"/>
      <c r="XEI548" s="268"/>
      <c r="XEJ548" s="268"/>
      <c r="XEK548" s="268"/>
      <c r="XEL548" s="268"/>
      <c r="XEM548" s="268"/>
      <c r="XEN548" s="268"/>
      <c r="XEO548" s="268"/>
      <c r="XEP548" s="268"/>
      <c r="XEQ548" s="268"/>
      <c r="XER548" s="268"/>
      <c r="XES548" s="268"/>
    </row>
    <row r="549" spans="1:1015 1029:2039 2053:3063 3077:4087 4101:5111 5125:6135 6149:7159 7173:8183 8197:9207 9221:10231 10245:11255 11269:12279 12293:13303 13317:14327 14341:15351 15365:16373" hidden="1" outlineLevel="1" x14ac:dyDescent="0.25">
      <c r="A549" s="3"/>
      <c r="B549" s="62">
        <f>SUM(B545:B548)</f>
        <v>11500</v>
      </c>
      <c r="C549" s="32"/>
      <c r="D549" s="62">
        <f>SUM(D545:D548)</f>
        <v>1689</v>
      </c>
      <c r="E549" s="62">
        <f>SUM(E545:E548)</f>
        <v>9311</v>
      </c>
      <c r="F549" s="62">
        <f>SUM(F545:F548)</f>
        <v>11000</v>
      </c>
      <c r="G549" s="32"/>
      <c r="H549" s="62">
        <f>SUM(H545:H548)</f>
        <v>-500</v>
      </c>
      <c r="I549" s="32"/>
      <c r="J549" s="62">
        <f>SUM(J545:J548)</f>
        <v>2230</v>
      </c>
      <c r="K549" s="62">
        <f>SUM(K545:K548)</f>
        <v>7770</v>
      </c>
      <c r="L549" s="62">
        <f>SUM(L545:L548)</f>
        <v>10000</v>
      </c>
      <c r="M549" s="32"/>
      <c r="N549" s="62">
        <f>SUM(N545:N548)</f>
        <v>-1000</v>
      </c>
      <c r="P549" s="62">
        <f>SUM(P545:P548)</f>
        <v>7750.4</v>
      </c>
      <c r="R549" s="62">
        <f t="shared" ref="R549:Z549" si="354">SUM(R545:R548)</f>
        <v>1711</v>
      </c>
      <c r="S549" s="62">
        <f t="shared" si="354"/>
        <v>8289</v>
      </c>
      <c r="T549" s="62">
        <f t="shared" si="354"/>
        <v>10000</v>
      </c>
      <c r="U549" s="62">
        <f t="shared" si="354"/>
        <v>2249.6000000000004</v>
      </c>
      <c r="V549" s="62">
        <f t="shared" si="354"/>
        <v>2491</v>
      </c>
      <c r="W549" s="62">
        <f t="shared" si="354"/>
        <v>11009</v>
      </c>
      <c r="X549" s="62"/>
      <c r="Y549" s="62">
        <f t="shared" si="354"/>
        <v>13500</v>
      </c>
      <c r="Z549" s="62">
        <f t="shared" si="354"/>
        <v>3500</v>
      </c>
      <c r="AC549" s="62">
        <f>SUM(AC545:AC548)</f>
        <v>9052</v>
      </c>
      <c r="AD549" s="62">
        <f>SUM(AD545:AD548)</f>
        <v>9448</v>
      </c>
      <c r="AE549" s="62">
        <f>SUM(AE545:AE548)</f>
        <v>18500</v>
      </c>
      <c r="AF549" s="62">
        <f>SUM(AF545:AF548)</f>
        <v>5000</v>
      </c>
      <c r="AG549" s="32"/>
      <c r="AI549" s="62">
        <f>SUM(AI545:AI548)</f>
        <v>12620</v>
      </c>
      <c r="AK549" s="62">
        <f>SUM(AK545:AK548)</f>
        <v>12923.6</v>
      </c>
      <c r="AM549" s="62">
        <f>SUM(AM545:AM548)</f>
        <v>13236.308000000001</v>
      </c>
      <c r="AO549" s="62">
        <f>SUM(AO545:AO548)</f>
        <v>13558.397240000002</v>
      </c>
      <c r="AP549" s="32"/>
      <c r="AQ549" s="62">
        <f>SUM(AQ545:AQ548)</f>
        <v>13890.149157200001</v>
      </c>
      <c r="AS549" s="62">
        <f>SUM(AS545:AS548)</f>
        <v>14231.853631916001</v>
      </c>
      <c r="AU549" s="62">
        <f>SUM(AU545:AU548)</f>
        <v>14583.809240873481</v>
      </c>
      <c r="AW549" s="62">
        <f>SUM(AW545:AW548)</f>
        <v>14946.323518099687</v>
      </c>
      <c r="AY549" s="62">
        <f>SUM(AY545:AY548)</f>
        <v>15319.713223642677</v>
      </c>
      <c r="BA549" s="62">
        <f>SUM(BA545:BA548)</f>
        <v>15704.304620351959</v>
      </c>
      <c r="BC549" s="62">
        <f>SUM(BC545:BC548)</f>
        <v>16100.433758962517</v>
      </c>
      <c r="BE549" s="62">
        <f>SUM(BE545:BE548)</f>
        <v>16508.446771731393</v>
      </c>
    </row>
    <row r="550" spans="1:1015 1029:2039 2053:3063 3077:4087 4101:5111 5125:6135 6149:7159 7173:8183 8197:9207 9221:10231 10245:11255 11269:12279 12293:13303 13317:14327 14341:15351 15365:16373" hidden="1" outlineLevel="1" x14ac:dyDescent="0.25">
      <c r="A550" s="7" t="s">
        <v>426</v>
      </c>
      <c r="BC550" s="3"/>
      <c r="BE550" s="3"/>
    </row>
    <row r="551" spans="1:1015 1029:2039 2053:3063 3077:4087 4101:5111 5125:6135 6149:7159 7173:8183 8197:9207 9221:10231 10245:11255 11269:12279 12293:13303 13317:14327 14341:15351 15365:16373" hidden="1" outlineLevel="1" x14ac:dyDescent="0.25">
      <c r="A551" s="3" t="s">
        <v>90</v>
      </c>
      <c r="BC551" s="3"/>
      <c r="BE551" s="3"/>
    </row>
    <row r="552" spans="1:1015 1029:2039 2053:3063 3077:4087 4101:5111 5125:6135 6149:7159 7173:8183 8197:9207 9221:10231 10245:11255 11269:12279 12293:13303 13317:14327 14341:15351 15365:16373" hidden="1" outlineLevel="1" x14ac:dyDescent="0.25">
      <c r="A552" s="3" t="s">
        <v>427</v>
      </c>
      <c r="B552" s="3">
        <v>9000</v>
      </c>
      <c r="D552" s="3">
        <v>875</v>
      </c>
      <c r="E552" s="3">
        <f t="shared" ref="E552:E557" si="355">F552-D552</f>
        <v>8125</v>
      </c>
      <c r="F552" s="3">
        <v>9000</v>
      </c>
      <c r="H552" s="3">
        <f t="shared" ref="H552:H557" si="356">F552-B552</f>
        <v>0</v>
      </c>
      <c r="J552" s="3">
        <v>875</v>
      </c>
      <c r="K552" s="4">
        <f t="shared" ref="K552:K557" si="357">L552-J552</f>
        <v>6625</v>
      </c>
      <c r="L552" s="4">
        <v>7500</v>
      </c>
      <c r="N552" s="4">
        <f t="shared" ref="N552:N557" si="358">L552-F552</f>
        <v>-1500</v>
      </c>
      <c r="P552" s="3">
        <f>L552*1.0281+39</f>
        <v>7749.75</v>
      </c>
      <c r="R552" s="3">
        <v>0</v>
      </c>
      <c r="S552" s="3">
        <f t="shared" ref="S552:S557" si="359">T552-R552</f>
        <v>6750</v>
      </c>
      <c r="T552" s="3">
        <v>6750</v>
      </c>
      <c r="U552" s="3">
        <f t="shared" ref="U552:U557" si="360">T552-P552</f>
        <v>-999.75</v>
      </c>
      <c r="V552" s="3">
        <v>0</v>
      </c>
      <c r="W552" s="3">
        <f t="shared" ref="W552:W557" si="361">Y552-V552</f>
        <v>6750</v>
      </c>
      <c r="Y552" s="3">
        <v>6750</v>
      </c>
      <c r="Z552" s="3">
        <f t="shared" ref="Z552:Z557" si="362">Y552-T552</f>
        <v>0</v>
      </c>
      <c r="AC552" s="3">
        <v>6084</v>
      </c>
      <c r="AD552" s="3">
        <f t="shared" ref="AD552:AD557" si="363">AE552-AC552</f>
        <v>1416</v>
      </c>
      <c r="AE552" s="3">
        <v>7500</v>
      </c>
      <c r="AF552" s="3">
        <f t="shared" ref="AF552:AF557" si="364">AE552-Y552</f>
        <v>750</v>
      </c>
      <c r="AI552" s="3">
        <f>AE552*1.03+275</f>
        <v>8000</v>
      </c>
      <c r="AK552" s="3">
        <f>AI552*1.03</f>
        <v>8240</v>
      </c>
      <c r="AM552" s="3">
        <f t="shared" ref="AM552:AQ555" si="365">AK552*1.03</f>
        <v>8487.2000000000007</v>
      </c>
      <c r="AN552" s="3">
        <f t="shared" si="365"/>
        <v>0</v>
      </c>
      <c r="AO552" s="3">
        <f t="shared" si="365"/>
        <v>8741.8160000000007</v>
      </c>
      <c r="AP552" s="4">
        <f t="shared" si="365"/>
        <v>0</v>
      </c>
      <c r="AQ552" s="3">
        <f t="shared" si="365"/>
        <v>9004.0704800000003</v>
      </c>
      <c r="AR552" s="3"/>
      <c r="AS552" s="3">
        <f t="shared" ref="AS552:AW555" si="366">AQ552*1.03</f>
        <v>9274.1925944000013</v>
      </c>
      <c r="AT552" s="3">
        <f t="shared" si="366"/>
        <v>0</v>
      </c>
      <c r="AU552" s="3">
        <f t="shared" si="366"/>
        <v>9552.4183722320013</v>
      </c>
      <c r="AV552" s="3">
        <f t="shared" si="366"/>
        <v>0</v>
      </c>
      <c r="AW552" s="3">
        <f t="shared" si="366"/>
        <v>9838.990923398962</v>
      </c>
      <c r="AX552" s="3"/>
      <c r="AY552" s="3">
        <f t="shared" ref="AY552:BE555" si="367">AW552*1.03</f>
        <v>10134.16065110093</v>
      </c>
      <c r="AZ552" s="3">
        <f t="shared" si="367"/>
        <v>0</v>
      </c>
      <c r="BA552" s="3">
        <f t="shared" si="367"/>
        <v>10438.185470633958</v>
      </c>
      <c r="BC552" s="3">
        <f t="shared" si="367"/>
        <v>10751.331034752977</v>
      </c>
      <c r="BE552" s="3">
        <f t="shared" si="367"/>
        <v>11073.870965795566</v>
      </c>
    </row>
    <row r="553" spans="1:1015 1029:2039 2053:3063 3077:4087 4101:5111 5125:6135 6149:7159 7173:8183 8197:9207 9221:10231 10245:11255 11269:12279 12293:13303 13317:14327 14341:15351 15365:16373" hidden="1" outlineLevel="1" x14ac:dyDescent="0.25">
      <c r="A553" s="3" t="s">
        <v>428</v>
      </c>
      <c r="B553" s="3">
        <v>8300</v>
      </c>
      <c r="D553" s="3">
        <v>0</v>
      </c>
      <c r="E553" s="3">
        <f t="shared" si="355"/>
        <v>8300</v>
      </c>
      <c r="F553" s="3">
        <v>8300</v>
      </c>
      <c r="H553" s="3">
        <f t="shared" si="356"/>
        <v>0</v>
      </c>
      <c r="J553" s="3">
        <v>0</v>
      </c>
      <c r="K553" s="4">
        <f t="shared" si="357"/>
        <v>8300</v>
      </c>
      <c r="L553" s="4">
        <v>8300</v>
      </c>
      <c r="N553" s="4">
        <f t="shared" si="358"/>
        <v>0</v>
      </c>
      <c r="P553" s="3">
        <v>8530</v>
      </c>
      <c r="R553" s="3">
        <v>0</v>
      </c>
      <c r="S553" s="3">
        <f t="shared" si="359"/>
        <v>8530</v>
      </c>
      <c r="T553" s="3">
        <v>8530</v>
      </c>
      <c r="U553" s="3">
        <f t="shared" si="360"/>
        <v>0</v>
      </c>
      <c r="V553" s="3">
        <v>0</v>
      </c>
      <c r="W553" s="3">
        <f t="shared" si="361"/>
        <v>8530</v>
      </c>
      <c r="Y553" s="3">
        <v>8530</v>
      </c>
      <c r="Z553" s="3">
        <f t="shared" si="362"/>
        <v>0</v>
      </c>
      <c r="AC553" s="3">
        <v>0</v>
      </c>
      <c r="AD553" s="3">
        <f t="shared" si="363"/>
        <v>8530</v>
      </c>
      <c r="AE553" s="3">
        <v>8530</v>
      </c>
      <c r="AF553" s="3">
        <f t="shared" si="364"/>
        <v>0</v>
      </c>
      <c r="AI553" s="3">
        <f>AE553*1.03+214</f>
        <v>8999.9</v>
      </c>
      <c r="AK553" s="3">
        <f>AI553*1.03</f>
        <v>9269.896999999999</v>
      </c>
      <c r="AM553" s="3">
        <f t="shared" si="365"/>
        <v>9547.9939099999992</v>
      </c>
      <c r="AN553" s="3">
        <f t="shared" si="365"/>
        <v>0</v>
      </c>
      <c r="AO553" s="3">
        <f t="shared" si="365"/>
        <v>9834.4337273000001</v>
      </c>
      <c r="AP553" s="4">
        <f t="shared" si="365"/>
        <v>0</v>
      </c>
      <c r="AQ553" s="3">
        <f t="shared" si="365"/>
        <v>10129.466739119</v>
      </c>
      <c r="AR553" s="3"/>
      <c r="AS553" s="3">
        <f t="shared" si="366"/>
        <v>10433.35074129257</v>
      </c>
      <c r="AT553" s="3">
        <f t="shared" si="366"/>
        <v>0</v>
      </c>
      <c r="AU553" s="3">
        <f t="shared" si="366"/>
        <v>10746.351263531347</v>
      </c>
      <c r="AV553" s="3">
        <f t="shared" si="366"/>
        <v>0</v>
      </c>
      <c r="AW553" s="3">
        <f t="shared" si="366"/>
        <v>11068.741801437289</v>
      </c>
      <c r="AX553" s="3"/>
      <c r="AY553" s="3">
        <f t="shared" si="367"/>
        <v>11400.804055480408</v>
      </c>
      <c r="AZ553" s="3">
        <f t="shared" si="367"/>
        <v>0</v>
      </c>
      <c r="BA553" s="3">
        <f t="shared" si="367"/>
        <v>11742.82817714482</v>
      </c>
      <c r="BC553" s="3">
        <f t="shared" si="367"/>
        <v>12095.113022459165</v>
      </c>
      <c r="BE553" s="3">
        <f t="shared" si="367"/>
        <v>12457.966413132941</v>
      </c>
    </row>
    <row r="554" spans="1:1015 1029:2039 2053:3063 3077:4087 4101:5111 5125:6135 6149:7159 7173:8183 8197:9207 9221:10231 10245:11255 11269:12279 12293:13303 13317:14327 14341:15351 15365:16373" hidden="1" outlineLevel="1" x14ac:dyDescent="0.25">
      <c r="A554" s="3" t="s">
        <v>429</v>
      </c>
      <c r="B554" s="3">
        <v>16000</v>
      </c>
      <c r="D554" s="3">
        <v>362</v>
      </c>
      <c r="E554" s="3">
        <f t="shared" si="355"/>
        <v>15638</v>
      </c>
      <c r="F554" s="3">
        <v>16000</v>
      </c>
      <c r="H554" s="3">
        <f t="shared" si="356"/>
        <v>0</v>
      </c>
      <c r="J554" s="3">
        <v>658</v>
      </c>
      <c r="K554" s="4">
        <f t="shared" si="357"/>
        <v>8842</v>
      </c>
      <c r="L554" s="4">
        <v>9500</v>
      </c>
      <c r="N554" s="4">
        <f t="shared" si="358"/>
        <v>-6500</v>
      </c>
      <c r="P554" s="3">
        <v>12500</v>
      </c>
      <c r="R554" s="3">
        <v>3306</v>
      </c>
      <c r="S554" s="3">
        <f t="shared" si="359"/>
        <v>9194</v>
      </c>
      <c r="T554" s="3">
        <v>12500</v>
      </c>
      <c r="U554" s="3">
        <f t="shared" si="360"/>
        <v>0</v>
      </c>
      <c r="V554" s="3">
        <v>6573</v>
      </c>
      <c r="W554" s="3">
        <f t="shared" si="361"/>
        <v>5927</v>
      </c>
      <c r="Y554" s="3">
        <v>12500</v>
      </c>
      <c r="Z554" s="3">
        <f t="shared" si="362"/>
        <v>0</v>
      </c>
      <c r="AC554" s="3">
        <v>9510</v>
      </c>
      <c r="AD554" s="3">
        <f t="shared" si="363"/>
        <v>3490</v>
      </c>
      <c r="AE554" s="3">
        <v>13000</v>
      </c>
      <c r="AF554" s="3">
        <f t="shared" si="364"/>
        <v>500</v>
      </c>
      <c r="AI554" s="3">
        <f>AE554*1.03+110</f>
        <v>13500</v>
      </c>
      <c r="AK554" s="3">
        <f>AI554*1.03</f>
        <v>13905</v>
      </c>
      <c r="AM554" s="3">
        <f t="shared" si="365"/>
        <v>14322.15</v>
      </c>
      <c r="AN554" s="3">
        <f t="shared" si="365"/>
        <v>0</v>
      </c>
      <c r="AO554" s="3">
        <f t="shared" si="365"/>
        <v>14751.8145</v>
      </c>
      <c r="AP554" s="4">
        <f t="shared" si="365"/>
        <v>0</v>
      </c>
      <c r="AQ554" s="3">
        <f t="shared" si="365"/>
        <v>15194.368935</v>
      </c>
      <c r="AR554" s="3"/>
      <c r="AS554" s="3">
        <f t="shared" si="366"/>
        <v>15650.20000305</v>
      </c>
      <c r="AT554" s="3">
        <f t="shared" si="366"/>
        <v>0</v>
      </c>
      <c r="AU554" s="3">
        <f t="shared" si="366"/>
        <v>16119.7060031415</v>
      </c>
      <c r="AV554" s="3">
        <f t="shared" si="366"/>
        <v>0</v>
      </c>
      <c r="AW554" s="3">
        <f t="shared" si="366"/>
        <v>16603.297183235747</v>
      </c>
      <c r="AX554" s="3"/>
      <c r="AY554" s="3">
        <f t="shared" si="367"/>
        <v>17101.396098732821</v>
      </c>
      <c r="AZ554" s="3">
        <f t="shared" si="367"/>
        <v>0</v>
      </c>
      <c r="BA554" s="3">
        <f t="shared" si="367"/>
        <v>17614.437981694806</v>
      </c>
      <c r="BC554" s="3">
        <f t="shared" si="367"/>
        <v>18142.87112114565</v>
      </c>
      <c r="BE554" s="3">
        <f t="shared" si="367"/>
        <v>18687.157254780021</v>
      </c>
    </row>
    <row r="555" spans="1:1015 1029:2039 2053:3063 3077:4087 4101:5111 5125:6135 6149:7159 7173:8183 8197:9207 9221:10231 10245:11255 11269:12279 12293:13303 13317:14327 14341:15351 15365:16373" hidden="1" outlineLevel="1" x14ac:dyDescent="0.25">
      <c r="A555" s="3" t="s">
        <v>430</v>
      </c>
      <c r="B555" s="3">
        <v>6000</v>
      </c>
      <c r="D555" s="3">
        <v>0</v>
      </c>
      <c r="E555" s="3">
        <f t="shared" si="355"/>
        <v>6000</v>
      </c>
      <c r="F555" s="3">
        <v>6000</v>
      </c>
      <c r="H555" s="3">
        <f t="shared" si="356"/>
        <v>0</v>
      </c>
      <c r="J555" s="3">
        <v>0</v>
      </c>
      <c r="K555" s="4">
        <f t="shared" si="357"/>
        <v>5000</v>
      </c>
      <c r="L555" s="4">
        <v>5000</v>
      </c>
      <c r="N555" s="4">
        <f t="shared" si="358"/>
        <v>-1000</v>
      </c>
      <c r="P555" s="3">
        <f>L555*1.0281+9</f>
        <v>5149.5</v>
      </c>
      <c r="R555" s="3">
        <v>0</v>
      </c>
      <c r="S555" s="3">
        <f t="shared" si="359"/>
        <v>5150</v>
      </c>
      <c r="T555" s="3">
        <v>5150</v>
      </c>
      <c r="U555" s="3">
        <f t="shared" si="360"/>
        <v>0.5</v>
      </c>
      <c r="W555" s="3">
        <f t="shared" si="361"/>
        <v>5150</v>
      </c>
      <c r="Y555" s="3">
        <v>5150</v>
      </c>
      <c r="Z555" s="3">
        <f t="shared" si="362"/>
        <v>0</v>
      </c>
      <c r="AC555" s="3">
        <v>0</v>
      </c>
      <c r="AD555" s="3">
        <f t="shared" si="363"/>
        <v>4000</v>
      </c>
      <c r="AE555" s="3">
        <v>4000</v>
      </c>
      <c r="AF555" s="3">
        <f t="shared" si="364"/>
        <v>-1150</v>
      </c>
      <c r="AI555" s="3">
        <f>AE555*1.03+380</f>
        <v>4500</v>
      </c>
      <c r="AK555" s="3">
        <f>AI555*1.03</f>
        <v>4635</v>
      </c>
      <c r="AM555" s="3">
        <f t="shared" si="365"/>
        <v>4774.05</v>
      </c>
      <c r="AN555" s="3">
        <f t="shared" si="365"/>
        <v>0</v>
      </c>
      <c r="AO555" s="3">
        <f t="shared" si="365"/>
        <v>4917.2715000000007</v>
      </c>
      <c r="AP555" s="4">
        <f t="shared" si="365"/>
        <v>0</v>
      </c>
      <c r="AQ555" s="3">
        <f t="shared" si="365"/>
        <v>5064.7896450000007</v>
      </c>
      <c r="AR555" s="3"/>
      <c r="AS555" s="3">
        <f t="shared" si="366"/>
        <v>5216.7333343500013</v>
      </c>
      <c r="AT555" s="3">
        <f t="shared" si="366"/>
        <v>0</v>
      </c>
      <c r="AU555" s="3">
        <f t="shared" si="366"/>
        <v>5373.2353343805016</v>
      </c>
      <c r="AV555" s="3">
        <f t="shared" si="366"/>
        <v>0</v>
      </c>
      <c r="AW555" s="3">
        <f t="shared" si="366"/>
        <v>5534.4323944119169</v>
      </c>
      <c r="AX555" s="3"/>
      <c r="AY555" s="3">
        <f t="shared" si="367"/>
        <v>5700.4653662442743</v>
      </c>
      <c r="AZ555" s="3">
        <f t="shared" si="367"/>
        <v>0</v>
      </c>
      <c r="BA555" s="3">
        <f t="shared" si="367"/>
        <v>5871.4793272316028</v>
      </c>
      <c r="BC555" s="3">
        <f t="shared" si="367"/>
        <v>6047.6237070485513</v>
      </c>
      <c r="BE555" s="3">
        <f t="shared" si="367"/>
        <v>6229.0524182600084</v>
      </c>
    </row>
    <row r="556" spans="1:1015 1029:2039 2053:3063 3077:4087 4101:5111 5125:6135 6149:7159 7173:8183 8197:9207 9221:10231 10245:11255 11269:12279 12293:13303 13317:14327 14341:15351 15365:16373" hidden="1" outlineLevel="1" x14ac:dyDescent="0.25">
      <c r="A556" s="3" t="s">
        <v>431</v>
      </c>
      <c r="B556" s="3">
        <v>5000</v>
      </c>
      <c r="D556" s="3">
        <v>0</v>
      </c>
      <c r="E556" s="3">
        <f t="shared" si="355"/>
        <v>5000</v>
      </c>
      <c r="F556" s="3">
        <v>5000</v>
      </c>
      <c r="H556" s="3">
        <f t="shared" si="356"/>
        <v>0</v>
      </c>
      <c r="J556" s="3">
        <v>0</v>
      </c>
      <c r="K556" s="4">
        <f t="shared" si="357"/>
        <v>5000</v>
      </c>
      <c r="L556" s="4">
        <v>5000</v>
      </c>
      <c r="N556" s="4">
        <f t="shared" si="358"/>
        <v>0</v>
      </c>
      <c r="P556" s="3">
        <v>1000</v>
      </c>
      <c r="R556" s="3">
        <v>0</v>
      </c>
      <c r="S556" s="3">
        <f t="shared" si="359"/>
        <v>1000</v>
      </c>
      <c r="T556" s="3">
        <v>1000</v>
      </c>
      <c r="U556" s="3">
        <f t="shared" si="360"/>
        <v>0</v>
      </c>
      <c r="W556" s="3">
        <f t="shared" si="361"/>
        <v>1000</v>
      </c>
      <c r="Y556" s="3">
        <v>1000</v>
      </c>
      <c r="Z556" s="3">
        <f t="shared" si="362"/>
        <v>0</v>
      </c>
      <c r="AC556" s="3">
        <v>0</v>
      </c>
      <c r="AD556" s="3">
        <f t="shared" si="363"/>
        <v>0</v>
      </c>
      <c r="AE556" s="3">
        <v>0</v>
      </c>
      <c r="AF556" s="3">
        <f t="shared" si="364"/>
        <v>-1000</v>
      </c>
      <c r="AI556" s="3">
        <f>AE556*1.03</f>
        <v>0</v>
      </c>
      <c r="AK556" s="3">
        <f>AI556*1.0281</f>
        <v>0</v>
      </c>
      <c r="AM556" s="3">
        <f>AK556*1.0281</f>
        <v>0</v>
      </c>
      <c r="AO556" s="3">
        <f>AM556*1.0281</f>
        <v>0</v>
      </c>
      <c r="AQ556" s="3">
        <f>AO556*1.0281</f>
        <v>0</v>
      </c>
      <c r="AS556" s="3">
        <f>AQ556*1.0281</f>
        <v>0</v>
      </c>
      <c r="AU556" s="3">
        <f>AS556*1.0281</f>
        <v>0</v>
      </c>
      <c r="AW556" s="3">
        <f>AU556*1.0281</f>
        <v>0</v>
      </c>
      <c r="AY556" s="3">
        <f>AW556*1.0281</f>
        <v>0</v>
      </c>
      <c r="BA556" s="3">
        <f>AY556*1.0281</f>
        <v>0</v>
      </c>
      <c r="BC556" s="3">
        <f>BA556*1.0281</f>
        <v>0</v>
      </c>
      <c r="BE556" s="3">
        <f>BC556*1.0281</f>
        <v>0</v>
      </c>
    </row>
    <row r="557" spans="1:1015 1029:2039 2053:3063 3077:4087 4101:5111 5125:6135 6149:7159 7173:8183 8197:9207 9221:10231 10245:11255 11269:12279 12293:13303 13317:14327 14341:15351 15365:16373" hidden="1" outlineLevel="1" x14ac:dyDescent="0.25">
      <c r="A557" s="3" t="s">
        <v>432</v>
      </c>
      <c r="B557" s="3">
        <v>2000</v>
      </c>
      <c r="D557" s="3">
        <v>0</v>
      </c>
      <c r="E557" s="3">
        <f t="shared" si="355"/>
        <v>2000</v>
      </c>
      <c r="F557" s="3">
        <v>2000</v>
      </c>
      <c r="H557" s="3">
        <f t="shared" si="356"/>
        <v>0</v>
      </c>
      <c r="J557" s="3">
        <v>0</v>
      </c>
      <c r="K557" s="4">
        <f t="shared" si="357"/>
        <v>2000</v>
      </c>
      <c r="L557" s="4">
        <v>2000</v>
      </c>
      <c r="N557" s="4">
        <f t="shared" si="358"/>
        <v>0</v>
      </c>
      <c r="S557" s="3">
        <f t="shared" si="359"/>
        <v>0</v>
      </c>
      <c r="U557" s="3">
        <f t="shared" si="360"/>
        <v>0</v>
      </c>
      <c r="W557" s="3">
        <f t="shared" si="361"/>
        <v>0</v>
      </c>
      <c r="Z557" s="3">
        <f t="shared" si="362"/>
        <v>0</v>
      </c>
      <c r="AD557" s="3">
        <f t="shared" si="363"/>
        <v>0</v>
      </c>
      <c r="AF557" s="3">
        <f t="shared" si="364"/>
        <v>0</v>
      </c>
      <c r="BC557" s="3"/>
      <c r="BE557" s="3"/>
    </row>
    <row r="558" spans="1:1015 1029:2039 2053:3063 3077:4087 4101:5111 5125:6135 6149:7159 7173:8183 8197:9207 9221:10231 10245:11255 11269:12279 12293:13303 13317:14327 14341:15351 15365:16373" hidden="1" outlineLevel="1" x14ac:dyDescent="0.25">
      <c r="A558" s="3"/>
      <c r="B558" s="62">
        <f>SUM(B551:B557)</f>
        <v>46300</v>
      </c>
      <c r="C558" s="32"/>
      <c r="D558" s="62">
        <f>SUM(D551:D557)</f>
        <v>1237</v>
      </c>
      <c r="E558" s="62">
        <f>SUM(E551:E557)</f>
        <v>45063</v>
      </c>
      <c r="F558" s="62">
        <f>SUM(F551:F557)</f>
        <v>46300</v>
      </c>
      <c r="G558" s="32"/>
      <c r="H558" s="62">
        <f>SUM(H551:H557)</f>
        <v>0</v>
      </c>
      <c r="I558" s="32"/>
      <c r="J558" s="62">
        <f>SUM(J551:J557)</f>
        <v>1533</v>
      </c>
      <c r="K558" s="62">
        <f>SUM(K551:K557)</f>
        <v>35767</v>
      </c>
      <c r="L558" s="62">
        <f>SUM(L551:L557)</f>
        <v>37300</v>
      </c>
      <c r="M558" s="32"/>
      <c r="N558" s="62">
        <f>SUM(N551:N557)</f>
        <v>-9000</v>
      </c>
      <c r="P558" s="62">
        <f>SUM(P551:P557)</f>
        <v>34929.25</v>
      </c>
      <c r="R558" s="62">
        <f t="shared" ref="R558:Z558" si="368">SUM(R551:R557)</f>
        <v>3306</v>
      </c>
      <c r="S558" s="62">
        <f t="shared" si="368"/>
        <v>30624</v>
      </c>
      <c r="T558" s="62">
        <f t="shared" si="368"/>
        <v>33930</v>
      </c>
      <c r="U558" s="62">
        <f t="shared" si="368"/>
        <v>-999.25</v>
      </c>
      <c r="V558" s="62">
        <f t="shared" si="368"/>
        <v>6573</v>
      </c>
      <c r="W558" s="62">
        <f t="shared" si="368"/>
        <v>27357</v>
      </c>
      <c r="X558" s="62"/>
      <c r="Y558" s="62">
        <f t="shared" si="368"/>
        <v>33930</v>
      </c>
      <c r="Z558" s="62">
        <f t="shared" si="368"/>
        <v>0</v>
      </c>
      <c r="AC558" s="62">
        <f>SUM(AC551:AC557)</f>
        <v>15594</v>
      </c>
      <c r="AD558" s="62">
        <f>SUM(AD551:AD557)</f>
        <v>17436</v>
      </c>
      <c r="AE558" s="62">
        <f>SUM(AE551:AE557)</f>
        <v>33030</v>
      </c>
      <c r="AF558" s="62">
        <f>SUM(AF551:AF557)</f>
        <v>-900</v>
      </c>
      <c r="AG558" s="32"/>
      <c r="AI558" s="62">
        <f>SUM(AI551:AI557)</f>
        <v>34999.9</v>
      </c>
      <c r="AK558" s="62">
        <f>SUM(AK551:AK557)</f>
        <v>36049.896999999997</v>
      </c>
      <c r="AM558" s="62">
        <f>SUM(AM551:AM557)</f>
        <v>37131.393910000006</v>
      </c>
      <c r="AO558" s="62">
        <f>SUM(AO551:AO557)</f>
        <v>38245.3357273</v>
      </c>
      <c r="AP558" s="32"/>
      <c r="AQ558" s="62">
        <f>SUM(AQ551:AQ557)</f>
        <v>39392.695799118999</v>
      </c>
      <c r="AS558" s="62">
        <f>SUM(AS551:AS557)</f>
        <v>40574.476673092569</v>
      </c>
      <c r="AU558" s="62">
        <f>SUM(AU551:AU557)</f>
        <v>41791.71097328535</v>
      </c>
      <c r="AW558" s="62">
        <f>SUM(AW551:AW557)</f>
        <v>43045.462302483917</v>
      </c>
      <c r="AY558" s="62">
        <f>SUM(AY551:AY557)</f>
        <v>44336.826171558438</v>
      </c>
      <c r="BA558" s="62">
        <f>SUM(BA551:BA557)</f>
        <v>45666.930956705182</v>
      </c>
      <c r="BC558" s="62">
        <f>SUM(BC551:BC557)</f>
        <v>47036.938885406344</v>
      </c>
      <c r="BE558" s="62">
        <f>SUM(BE551:BE557)</f>
        <v>48448.047051968533</v>
      </c>
    </row>
    <row r="559" spans="1:1015 1029:2039 2053:3063 3077:4087 4101:5111 5125:6135 6149:7159 7173:8183 8197:9207 9221:10231 10245:11255 11269:12279 12293:13303 13317:14327 14341:15351 15365:16373" hidden="1" outlineLevel="1" x14ac:dyDescent="0.25">
      <c r="A559" s="7" t="s">
        <v>433</v>
      </c>
      <c r="BC559" s="3"/>
      <c r="BE559" s="3"/>
    </row>
    <row r="560" spans="1:1015 1029:2039 2053:3063 3077:4087 4101:5111 5125:6135 6149:7159 7173:8183 8197:9207 9221:10231 10245:11255 11269:12279 12293:13303 13317:14327 14341:15351 15365:16373" hidden="1" outlineLevel="1" x14ac:dyDescent="0.25">
      <c r="A560" s="3" t="s">
        <v>434</v>
      </c>
      <c r="B560" s="3">
        <v>35020</v>
      </c>
      <c r="D560" s="3">
        <v>0</v>
      </c>
      <c r="E560" s="3">
        <f t="shared" ref="E560:E578" si="369">F560-D560</f>
        <v>35020</v>
      </c>
      <c r="F560" s="3">
        <v>35020</v>
      </c>
      <c r="H560" s="3">
        <f t="shared" ref="H560:H578" si="370">F560-B560</f>
        <v>0</v>
      </c>
      <c r="J560" s="3">
        <v>0</v>
      </c>
      <c r="K560" s="4">
        <f t="shared" ref="K560:K578" si="371">L560-J560</f>
        <v>35020</v>
      </c>
      <c r="L560" s="4">
        <v>35020</v>
      </c>
      <c r="N560" s="4">
        <f t="shared" ref="N560:N578" si="372">L560-F560</f>
        <v>0</v>
      </c>
      <c r="P560" s="3">
        <v>36070</v>
      </c>
      <c r="R560" s="3">
        <v>0</v>
      </c>
      <c r="S560" s="3">
        <f t="shared" ref="S560:S578" si="373">T560-R560</f>
        <v>36070</v>
      </c>
      <c r="T560" s="3">
        <v>36070</v>
      </c>
      <c r="U560" s="3">
        <f t="shared" ref="U560:U578" si="374">T560-P560</f>
        <v>0</v>
      </c>
      <c r="W560" s="3">
        <f t="shared" ref="W560:W578" si="375">Y560-V560</f>
        <v>36070</v>
      </c>
      <c r="Y560" s="3">
        <v>36070</v>
      </c>
      <c r="Z560" s="3">
        <f t="shared" ref="Z560:Z578" si="376">Y560-T560</f>
        <v>0</v>
      </c>
      <c r="AC560" s="3">
        <v>0</v>
      </c>
      <c r="AD560" s="3">
        <f t="shared" ref="AD560:AD578" si="377">AE560-AC560</f>
        <v>36070</v>
      </c>
      <c r="AE560" s="3">
        <v>36070</v>
      </c>
      <c r="AF560" s="3">
        <f t="shared" ref="AF560:AF578" si="378">AE560-Y560</f>
        <v>0</v>
      </c>
      <c r="AI560" s="3">
        <f>AE560*1.05+26</f>
        <v>37899.5</v>
      </c>
      <c r="AK560" s="3">
        <f>AI560*1.05</f>
        <v>39794.474999999999</v>
      </c>
      <c r="AM560" s="3">
        <f>AK560*1.05</f>
        <v>41784.198750000003</v>
      </c>
      <c r="AO560" s="3">
        <f>AM560*1.05</f>
        <v>43873.408687500007</v>
      </c>
      <c r="AQ560" s="3">
        <f>AO560*1.05</f>
        <v>46067.079121875009</v>
      </c>
      <c r="AR560" s="3"/>
      <c r="AS560" s="3">
        <f>AQ560*1.05</f>
        <v>48370.433077968759</v>
      </c>
      <c r="AU560" s="3">
        <f>AS560*1.05</f>
        <v>50788.954731867198</v>
      </c>
      <c r="AW560" s="3">
        <f>AU560*1.05</f>
        <v>53328.402468460561</v>
      </c>
      <c r="AY560" s="3">
        <f>AW560*1.05</f>
        <v>55994.822591883589</v>
      </c>
      <c r="BA560" s="3">
        <f>AY560*1.05</f>
        <v>58794.563721477767</v>
      </c>
      <c r="BC560" s="3">
        <f>BA560*1.05</f>
        <v>61734.291907551655</v>
      </c>
      <c r="BE560" s="3">
        <f>BC560*1.05</f>
        <v>64821.006502929238</v>
      </c>
    </row>
    <row r="561" spans="1:1015 1029:2039 2053:3063 3077:4087 4101:5111 5125:6135 6149:7159 7173:8183 8197:9207 9221:10231 10245:11255 11269:12279 12293:13303 13317:14327 14341:15351 15365:16373" hidden="1" outlineLevel="1" x14ac:dyDescent="0.25">
      <c r="A561" s="3" t="s">
        <v>435</v>
      </c>
      <c r="B561" s="3">
        <v>7720</v>
      </c>
      <c r="D561" s="3">
        <v>0</v>
      </c>
      <c r="E561" s="3">
        <f t="shared" si="369"/>
        <v>7720</v>
      </c>
      <c r="F561" s="3">
        <v>7720</v>
      </c>
      <c r="H561" s="3">
        <f t="shared" si="370"/>
        <v>0</v>
      </c>
      <c r="J561" s="3">
        <v>0</v>
      </c>
      <c r="K561" s="4">
        <f t="shared" si="371"/>
        <v>7720</v>
      </c>
      <c r="L561" s="4">
        <v>7720</v>
      </c>
      <c r="N561" s="4">
        <f t="shared" si="372"/>
        <v>0</v>
      </c>
      <c r="P561" s="3">
        <v>7940</v>
      </c>
      <c r="R561" s="3">
        <v>0</v>
      </c>
      <c r="S561" s="3">
        <f t="shared" si="373"/>
        <v>7940</v>
      </c>
      <c r="T561" s="3">
        <v>7940</v>
      </c>
      <c r="U561" s="3">
        <f t="shared" si="374"/>
        <v>0</v>
      </c>
      <c r="W561" s="3">
        <f t="shared" si="375"/>
        <v>7940</v>
      </c>
      <c r="Y561" s="3">
        <v>7940</v>
      </c>
      <c r="Z561" s="3">
        <f t="shared" si="376"/>
        <v>0</v>
      </c>
      <c r="AC561" s="3">
        <v>0</v>
      </c>
      <c r="AD561" s="3">
        <f t="shared" si="377"/>
        <v>7940</v>
      </c>
      <c r="AE561" s="3">
        <v>7940</v>
      </c>
      <c r="AF561" s="3">
        <f t="shared" si="378"/>
        <v>0</v>
      </c>
      <c r="AI561" s="3">
        <f>AE561*1.05+13</f>
        <v>8350</v>
      </c>
      <c r="AK561" s="3">
        <f>AI561*1.05</f>
        <v>8767.5</v>
      </c>
      <c r="AM561" s="3">
        <f>AK561*1.05</f>
        <v>9205.875</v>
      </c>
      <c r="AO561" s="3">
        <f>AM561*1.05</f>
        <v>9666.1687500000007</v>
      </c>
      <c r="AQ561" s="3">
        <f>AO561*1.05</f>
        <v>10149.477187500001</v>
      </c>
      <c r="AS561" s="3">
        <f>AQ561*1.05</f>
        <v>10656.951046875001</v>
      </c>
      <c r="AU561" s="3">
        <f>AS561*1.05</f>
        <v>11189.798599218751</v>
      </c>
      <c r="AW561" s="3">
        <f>AU561*1.05</f>
        <v>11749.28852917969</v>
      </c>
      <c r="AY561" s="3">
        <f>AW561*1.05</f>
        <v>12336.752955638674</v>
      </c>
      <c r="BA561" s="3">
        <f>AY561*1.05</f>
        <v>12953.590603420609</v>
      </c>
      <c r="BC561" s="3">
        <f>BA561*1.05</f>
        <v>13601.270133591641</v>
      </c>
      <c r="BE561" s="3">
        <f>BC561*1.05</f>
        <v>14281.333640271223</v>
      </c>
    </row>
    <row r="562" spans="1:1015 1029:2039 2053:3063 3077:4087 4101:5111 5125:6135 6149:7159 7173:8183 8197:9207 9221:10231 10245:11255 11269:12279 12293:13303 13317:14327 14341:15351 15365:16373" hidden="1" outlineLevel="1" x14ac:dyDescent="0.25">
      <c r="A562" s="320" t="s">
        <v>436</v>
      </c>
      <c r="B562" s="3">
        <v>31850</v>
      </c>
      <c r="D562" s="3">
        <v>6800</v>
      </c>
      <c r="E562" s="3">
        <f t="shared" si="369"/>
        <v>25050</v>
      </c>
      <c r="F562" s="3">
        <v>31850</v>
      </c>
      <c r="H562" s="3">
        <f t="shared" si="370"/>
        <v>0</v>
      </c>
      <c r="J562" s="3">
        <v>13188</v>
      </c>
      <c r="K562" s="4">
        <f t="shared" si="371"/>
        <v>16812</v>
      </c>
      <c r="L562" s="4">
        <v>30000</v>
      </c>
      <c r="N562" s="4">
        <f t="shared" si="372"/>
        <v>-1850</v>
      </c>
      <c r="P562" s="3">
        <f>L562*1.0275+75</f>
        <v>30900.000000000004</v>
      </c>
      <c r="R562" s="3">
        <v>7052</v>
      </c>
      <c r="S562" s="3">
        <f t="shared" si="373"/>
        <v>23848</v>
      </c>
      <c r="T562" s="3">
        <v>30900</v>
      </c>
      <c r="U562" s="3">
        <f t="shared" si="374"/>
        <v>0</v>
      </c>
      <c r="V562" s="3">
        <v>13221</v>
      </c>
      <c r="W562" s="3">
        <f t="shared" si="375"/>
        <v>17679</v>
      </c>
      <c r="Y562" s="3">
        <v>30900</v>
      </c>
      <c r="Z562" s="3">
        <f t="shared" si="376"/>
        <v>0</v>
      </c>
      <c r="AC562" s="3">
        <v>19589</v>
      </c>
      <c r="AD562" s="3">
        <f t="shared" si="377"/>
        <v>12311</v>
      </c>
      <c r="AE562" s="3">
        <v>31900</v>
      </c>
      <c r="AF562" s="3">
        <f t="shared" si="378"/>
        <v>1000</v>
      </c>
      <c r="AI562" s="3">
        <f>AE562*1.0325+13</f>
        <v>32949.75</v>
      </c>
      <c r="AK562" s="3">
        <f t="shared" ref="AK562:AK575" si="379">AI562*1.03</f>
        <v>33938.2425</v>
      </c>
      <c r="AM562" s="3">
        <f t="shared" ref="AM562:AQ575" si="380">AK562*1.03</f>
        <v>34956.389775000003</v>
      </c>
      <c r="AN562" s="3">
        <f t="shared" si="380"/>
        <v>0</v>
      </c>
      <c r="AO562" s="3">
        <f t="shared" si="380"/>
        <v>36005.081468250006</v>
      </c>
      <c r="AP562" s="4">
        <f t="shared" si="380"/>
        <v>0</v>
      </c>
      <c r="AQ562" s="3">
        <f t="shared" si="380"/>
        <v>37085.23391229751</v>
      </c>
      <c r="AR562" s="3"/>
      <c r="AS562" s="3">
        <f t="shared" ref="AS562:AW575" si="381">AQ562*1.03</f>
        <v>38197.790929666437</v>
      </c>
      <c r="AT562" s="3">
        <f t="shared" si="381"/>
        <v>0</v>
      </c>
      <c r="AU562" s="3">
        <f t="shared" si="381"/>
        <v>39343.724657556428</v>
      </c>
      <c r="AV562" s="3">
        <f t="shared" si="381"/>
        <v>0</v>
      </c>
      <c r="AW562" s="3">
        <f t="shared" si="381"/>
        <v>40524.036397283118</v>
      </c>
      <c r="AX562" s="3"/>
      <c r="AY562" s="3">
        <f t="shared" ref="AY562:BE575" si="382">AW562*1.03</f>
        <v>41739.757489201613</v>
      </c>
      <c r="AZ562" s="3">
        <f t="shared" si="382"/>
        <v>0</v>
      </c>
      <c r="BA562" s="3">
        <f t="shared" si="382"/>
        <v>42991.950213877659</v>
      </c>
      <c r="BC562" s="3">
        <f t="shared" si="382"/>
        <v>44281.708720293987</v>
      </c>
      <c r="BE562" s="3">
        <f t="shared" si="382"/>
        <v>45610.159981902805</v>
      </c>
    </row>
    <row r="563" spans="1:1015 1029:2039 2053:3063 3077:4087 4101:5111 5125:6135 6149:7159 7173:8183 8197:9207 9221:10231 10245:11255 11269:12279 12293:13303 13317:14327 14341:15351 15365:16373" hidden="1" outlineLevel="1" x14ac:dyDescent="0.25">
      <c r="A563" s="3" t="s">
        <v>437</v>
      </c>
      <c r="B563" s="3">
        <v>33000</v>
      </c>
      <c r="D563" s="3">
        <v>13434</v>
      </c>
      <c r="E563" s="3">
        <f t="shared" si="369"/>
        <v>40166</v>
      </c>
      <c r="F563" s="3">
        <v>53600</v>
      </c>
      <c r="H563" s="3">
        <f t="shared" si="370"/>
        <v>20600</v>
      </c>
      <c r="J563" s="3">
        <v>24421</v>
      </c>
      <c r="K563" s="4">
        <f t="shared" si="371"/>
        <v>28179</v>
      </c>
      <c r="L563" s="4">
        <v>52600</v>
      </c>
      <c r="N563" s="4">
        <f t="shared" si="372"/>
        <v>-1000</v>
      </c>
      <c r="P563" s="3">
        <f>B563*1.0325+27</f>
        <v>34099.5</v>
      </c>
      <c r="R563" s="3">
        <v>11712</v>
      </c>
      <c r="S563" s="3">
        <f t="shared" si="373"/>
        <v>22388</v>
      </c>
      <c r="T563" s="3">
        <v>34100</v>
      </c>
      <c r="U563" s="3">
        <f t="shared" si="374"/>
        <v>0.5</v>
      </c>
      <c r="V563" s="3">
        <v>23379</v>
      </c>
      <c r="W563" s="3">
        <f t="shared" si="375"/>
        <v>10721</v>
      </c>
      <c r="Y563" s="3">
        <v>34100</v>
      </c>
      <c r="Z563" s="3">
        <f t="shared" si="376"/>
        <v>0</v>
      </c>
      <c r="AC563" s="3">
        <v>15409</v>
      </c>
      <c r="AD563" s="3">
        <f t="shared" si="377"/>
        <v>14591</v>
      </c>
      <c r="AE563" s="3">
        <v>30000</v>
      </c>
      <c r="AF563" s="3">
        <f t="shared" si="378"/>
        <v>-4100</v>
      </c>
      <c r="AI563" s="3">
        <f>AE563*1.03</f>
        <v>30900</v>
      </c>
      <c r="AK563" s="3">
        <f t="shared" si="379"/>
        <v>31827</v>
      </c>
      <c r="AM563" s="3">
        <f t="shared" si="380"/>
        <v>32781.81</v>
      </c>
      <c r="AN563" s="3">
        <f t="shared" si="380"/>
        <v>0</v>
      </c>
      <c r="AO563" s="3">
        <f t="shared" si="380"/>
        <v>33765.264299999995</v>
      </c>
      <c r="AP563" s="4">
        <f t="shared" si="380"/>
        <v>0</v>
      </c>
      <c r="AQ563" s="3">
        <f t="shared" si="380"/>
        <v>34778.222228999999</v>
      </c>
      <c r="AR563" s="3"/>
      <c r="AS563" s="3">
        <f t="shared" si="381"/>
        <v>35821.568895869998</v>
      </c>
      <c r="AT563" s="3">
        <f t="shared" si="381"/>
        <v>0</v>
      </c>
      <c r="AU563" s="3">
        <f t="shared" si="381"/>
        <v>36896.215962746101</v>
      </c>
      <c r="AV563" s="3">
        <f t="shared" si="381"/>
        <v>0</v>
      </c>
      <c r="AW563" s="3">
        <f t="shared" si="381"/>
        <v>38003.102441628485</v>
      </c>
      <c r="AX563" s="3"/>
      <c r="AY563" s="3">
        <f t="shared" si="382"/>
        <v>39143.195514877341</v>
      </c>
      <c r="AZ563" s="3">
        <f t="shared" si="382"/>
        <v>0</v>
      </c>
      <c r="BA563" s="3">
        <f t="shared" si="382"/>
        <v>40317.491380323663</v>
      </c>
      <c r="BC563" s="3">
        <f t="shared" si="382"/>
        <v>41527.016121733373</v>
      </c>
      <c r="BE563" s="3">
        <f t="shared" si="382"/>
        <v>42772.826605385373</v>
      </c>
    </row>
    <row r="564" spans="1:1015 1029:2039 2053:3063 3077:4087 4101:5111 5125:6135 6149:7159 7173:8183 8197:9207 9221:10231 10245:11255 11269:12279 12293:13303 13317:14327 14341:15351 15365:16373" hidden="1" outlineLevel="1" x14ac:dyDescent="0.25">
      <c r="A564" s="3" t="s">
        <v>438</v>
      </c>
      <c r="B564" s="3">
        <v>17000</v>
      </c>
      <c r="D564" s="3">
        <v>4617</v>
      </c>
      <c r="E564" s="3">
        <f t="shared" si="369"/>
        <v>15383</v>
      </c>
      <c r="F564" s="3">
        <v>20000</v>
      </c>
      <c r="H564" s="3">
        <f t="shared" si="370"/>
        <v>3000</v>
      </c>
      <c r="J564" s="3">
        <v>0</v>
      </c>
      <c r="K564" s="4">
        <f t="shared" si="371"/>
        <v>15000</v>
      </c>
      <c r="L564" s="4">
        <v>15000</v>
      </c>
      <c r="N564" s="4">
        <f t="shared" si="372"/>
        <v>-5000</v>
      </c>
      <c r="P564" s="3">
        <f>B564*1.0325+47</f>
        <v>17599.5</v>
      </c>
      <c r="S564" s="3">
        <f t="shared" si="373"/>
        <v>17600</v>
      </c>
      <c r="T564" s="3">
        <v>17600</v>
      </c>
      <c r="U564" s="3">
        <f t="shared" si="374"/>
        <v>0.5</v>
      </c>
      <c r="V564" s="3">
        <v>12955</v>
      </c>
      <c r="W564" s="3">
        <f t="shared" si="375"/>
        <v>4645</v>
      </c>
      <c r="Y564" s="3">
        <v>17600</v>
      </c>
      <c r="Z564" s="3">
        <f t="shared" si="376"/>
        <v>0</v>
      </c>
      <c r="AC564" s="3">
        <v>7875</v>
      </c>
      <c r="AD564" s="3">
        <f t="shared" si="377"/>
        <v>7125</v>
      </c>
      <c r="AE564" s="3">
        <v>15000</v>
      </c>
      <c r="AF564" s="3">
        <f t="shared" si="378"/>
        <v>-2600</v>
      </c>
      <c r="AI564" s="3">
        <f t="shared" ref="AI564:AI575" si="383">AE564*1.03</f>
        <v>15450</v>
      </c>
      <c r="AK564" s="3">
        <f t="shared" si="379"/>
        <v>15913.5</v>
      </c>
      <c r="AM564" s="3">
        <f t="shared" si="380"/>
        <v>16390.904999999999</v>
      </c>
      <c r="AN564" s="3">
        <f t="shared" si="380"/>
        <v>0</v>
      </c>
      <c r="AO564" s="3">
        <f t="shared" si="380"/>
        <v>16882.632149999998</v>
      </c>
      <c r="AP564" s="4">
        <f t="shared" si="380"/>
        <v>0</v>
      </c>
      <c r="AQ564" s="3">
        <f t="shared" si="380"/>
        <v>17389.1111145</v>
      </c>
      <c r="AR564" s="3"/>
      <c r="AS564" s="3">
        <f t="shared" si="381"/>
        <v>17910.784447934999</v>
      </c>
      <c r="AT564" s="3">
        <f t="shared" si="381"/>
        <v>0</v>
      </c>
      <c r="AU564" s="3">
        <f t="shared" si="381"/>
        <v>18448.10798137305</v>
      </c>
      <c r="AV564" s="3">
        <f t="shared" si="381"/>
        <v>0</v>
      </c>
      <c r="AW564" s="3">
        <f t="shared" si="381"/>
        <v>19001.551220814243</v>
      </c>
      <c r="AX564" s="3"/>
      <c r="AY564" s="3">
        <f t="shared" si="382"/>
        <v>19571.597757438671</v>
      </c>
      <c r="AZ564" s="3">
        <f t="shared" si="382"/>
        <v>0</v>
      </c>
      <c r="BA564" s="3">
        <f t="shared" si="382"/>
        <v>20158.745690161832</v>
      </c>
      <c r="BC564" s="3">
        <f t="shared" si="382"/>
        <v>20763.508060866687</v>
      </c>
      <c r="BE564" s="3">
        <f t="shared" si="382"/>
        <v>21386.413302692687</v>
      </c>
    </row>
    <row r="565" spans="1:1015 1029:2039 2053:3063 3077:4087 4101:5111 5125:6135 6149:7159 7173:8183 8197:9207 9221:10231 10245:11255 11269:12279 12293:13303 13317:14327 14341:15351 15365:16373" hidden="1" outlineLevel="1" x14ac:dyDescent="0.25">
      <c r="A565" s="3" t="s">
        <v>439</v>
      </c>
      <c r="B565" s="3">
        <v>23450</v>
      </c>
      <c r="E565" s="3">
        <f t="shared" si="369"/>
        <v>0</v>
      </c>
      <c r="F565" s="3">
        <v>0</v>
      </c>
      <c r="H565" s="3">
        <f t="shared" si="370"/>
        <v>-23450</v>
      </c>
      <c r="J565" s="3">
        <v>0</v>
      </c>
      <c r="K565" s="4">
        <f t="shared" si="371"/>
        <v>0</v>
      </c>
      <c r="L565" s="4">
        <v>0</v>
      </c>
      <c r="N565" s="4">
        <f t="shared" si="372"/>
        <v>0</v>
      </c>
      <c r="P565" s="3">
        <f>B565*1.0325+88</f>
        <v>24300.125</v>
      </c>
      <c r="S565" s="3">
        <f t="shared" si="373"/>
        <v>24300</v>
      </c>
      <c r="T565" s="3">
        <v>24300</v>
      </c>
      <c r="U565" s="3">
        <f t="shared" si="374"/>
        <v>-0.125</v>
      </c>
      <c r="W565" s="3">
        <f t="shared" si="375"/>
        <v>24300</v>
      </c>
      <c r="Y565" s="3">
        <v>24300</v>
      </c>
      <c r="Z565" s="3">
        <f t="shared" si="376"/>
        <v>0</v>
      </c>
      <c r="AC565" s="3">
        <v>10959</v>
      </c>
      <c r="AD565" s="3">
        <f t="shared" si="377"/>
        <v>9041</v>
      </c>
      <c r="AE565" s="3">
        <v>20000</v>
      </c>
      <c r="AF565" s="3">
        <f t="shared" si="378"/>
        <v>-4300</v>
      </c>
      <c r="AI565" s="3">
        <f t="shared" si="383"/>
        <v>20600</v>
      </c>
      <c r="AK565" s="3">
        <f t="shared" si="379"/>
        <v>21218</v>
      </c>
      <c r="AM565" s="3">
        <f t="shared" si="380"/>
        <v>21854.54</v>
      </c>
      <c r="AN565" s="3">
        <f t="shared" si="380"/>
        <v>0</v>
      </c>
      <c r="AO565" s="3">
        <f t="shared" si="380"/>
        <v>22510.176200000002</v>
      </c>
      <c r="AP565" s="4">
        <f t="shared" si="380"/>
        <v>0</v>
      </c>
      <c r="AQ565" s="3">
        <f t="shared" si="380"/>
        <v>23185.481486000001</v>
      </c>
      <c r="AR565" s="3"/>
      <c r="AS565" s="3">
        <f t="shared" si="381"/>
        <v>23881.04593058</v>
      </c>
      <c r="AT565" s="3">
        <f t="shared" si="381"/>
        <v>0</v>
      </c>
      <c r="AU565" s="3">
        <f t="shared" si="381"/>
        <v>24597.4773084974</v>
      </c>
      <c r="AV565" s="3">
        <f t="shared" si="381"/>
        <v>0</v>
      </c>
      <c r="AW565" s="3">
        <f t="shared" si="381"/>
        <v>25335.401627752322</v>
      </c>
      <c r="AX565" s="3"/>
      <c r="AY565" s="3">
        <f t="shared" si="382"/>
        <v>26095.463676584892</v>
      </c>
      <c r="AZ565" s="3">
        <f t="shared" si="382"/>
        <v>0</v>
      </c>
      <c r="BA565" s="3">
        <f t="shared" si="382"/>
        <v>26878.327586882438</v>
      </c>
      <c r="BC565" s="3">
        <f t="shared" si="382"/>
        <v>27684.677414488913</v>
      </c>
      <c r="BE565" s="3">
        <f t="shared" si="382"/>
        <v>28515.21773692358</v>
      </c>
    </row>
    <row r="566" spans="1:1015 1029:2039 2053:3063 3077:4087 4101:5111 5125:6135 6149:7159 7173:8183 8197:9207 9221:10231 10245:11255 11269:12279 12293:13303 13317:14327 14341:15351 15365:16373" hidden="1" outlineLevel="1" x14ac:dyDescent="0.25">
      <c r="A566" s="3" t="s">
        <v>440</v>
      </c>
      <c r="B566" s="3">
        <v>24950</v>
      </c>
      <c r="D566" s="3">
        <v>10283</v>
      </c>
      <c r="E566" s="3">
        <f t="shared" si="369"/>
        <v>14667</v>
      </c>
      <c r="F566" s="3">
        <v>24950</v>
      </c>
      <c r="H566" s="3">
        <f t="shared" si="370"/>
        <v>0</v>
      </c>
      <c r="J566" s="3">
        <v>13592</v>
      </c>
      <c r="K566" s="4">
        <f t="shared" si="371"/>
        <v>11358</v>
      </c>
      <c r="L566" s="4">
        <v>24950</v>
      </c>
      <c r="N566" s="4">
        <f t="shared" si="372"/>
        <v>0</v>
      </c>
      <c r="P566" s="3">
        <f>B566*1.0281-1</f>
        <v>25650.095000000001</v>
      </c>
      <c r="R566" s="3">
        <v>6722</v>
      </c>
      <c r="S566" s="3">
        <f t="shared" si="373"/>
        <v>18928</v>
      </c>
      <c r="T566" s="3">
        <v>25650</v>
      </c>
      <c r="U566" s="3">
        <f t="shared" si="374"/>
        <v>-9.5000000001164153E-2</v>
      </c>
      <c r="W566" s="3">
        <f t="shared" si="375"/>
        <v>25650</v>
      </c>
      <c r="Y566" s="3">
        <v>25650</v>
      </c>
      <c r="Z566" s="3">
        <f t="shared" si="376"/>
        <v>0</v>
      </c>
      <c r="AC566" s="3">
        <v>19100</v>
      </c>
      <c r="AD566" s="3">
        <f t="shared" si="377"/>
        <v>8400</v>
      </c>
      <c r="AE566" s="3">
        <v>27500</v>
      </c>
      <c r="AF566" s="3">
        <f t="shared" si="378"/>
        <v>1850</v>
      </c>
      <c r="AI566" s="3">
        <f>AE566*1.03+25</f>
        <v>28350</v>
      </c>
      <c r="AK566" s="3">
        <f t="shared" si="379"/>
        <v>29200.5</v>
      </c>
      <c r="AM566" s="3">
        <f t="shared" si="380"/>
        <v>30076.514999999999</v>
      </c>
      <c r="AN566" s="3">
        <f t="shared" si="380"/>
        <v>0</v>
      </c>
      <c r="AO566" s="3">
        <f t="shared" si="380"/>
        <v>30978.810450000001</v>
      </c>
      <c r="AP566" s="4">
        <f t="shared" si="380"/>
        <v>0</v>
      </c>
      <c r="AQ566" s="3">
        <f t="shared" si="380"/>
        <v>31908.174763500003</v>
      </c>
      <c r="AR566" s="3"/>
      <c r="AS566" s="3">
        <f t="shared" si="381"/>
        <v>32865.420006405002</v>
      </c>
      <c r="AT566" s="3">
        <f t="shared" si="381"/>
        <v>0</v>
      </c>
      <c r="AU566" s="3">
        <f t="shared" si="381"/>
        <v>33851.382606597152</v>
      </c>
      <c r="AV566" s="3">
        <f t="shared" si="381"/>
        <v>0</v>
      </c>
      <c r="AW566" s="3">
        <f t="shared" si="381"/>
        <v>34866.924084795064</v>
      </c>
      <c r="AX566" s="3"/>
      <c r="AY566" s="3">
        <f t="shared" si="382"/>
        <v>35912.931807338915</v>
      </c>
      <c r="AZ566" s="3">
        <f t="shared" si="382"/>
        <v>0</v>
      </c>
      <c r="BA566" s="3">
        <f t="shared" si="382"/>
        <v>36990.319761559083</v>
      </c>
      <c r="BC566" s="3">
        <f t="shared" si="382"/>
        <v>38100.029354405859</v>
      </c>
      <c r="BE566" s="3">
        <f t="shared" si="382"/>
        <v>39243.030235038037</v>
      </c>
    </row>
    <row r="567" spans="1:1015 1029:2039 2053:3063 3077:4087 4101:5111 5125:6135 6149:7159 7173:8183 8197:9207 9221:10231 10245:11255 11269:12279 12293:13303 13317:14327 14341:15351 15365:16373" hidden="1" outlineLevel="1" x14ac:dyDescent="0.25">
      <c r="A567" s="3" t="s">
        <v>441</v>
      </c>
      <c r="B567" s="3">
        <v>3200</v>
      </c>
      <c r="E567" s="3">
        <f t="shared" si="369"/>
        <v>3200</v>
      </c>
      <c r="F567" s="3">
        <v>3200</v>
      </c>
      <c r="H567" s="3">
        <f t="shared" si="370"/>
        <v>0</v>
      </c>
      <c r="J567" s="3">
        <v>6862</v>
      </c>
      <c r="K567" s="4">
        <f t="shared" si="371"/>
        <v>2138</v>
      </c>
      <c r="L567" s="4">
        <v>9000</v>
      </c>
      <c r="N567" s="4">
        <f t="shared" si="372"/>
        <v>5800</v>
      </c>
      <c r="P567" s="3">
        <f>L567*1.0281+47</f>
        <v>9299.9</v>
      </c>
      <c r="S567" s="3">
        <f t="shared" si="373"/>
        <v>9300</v>
      </c>
      <c r="T567" s="3">
        <v>9300</v>
      </c>
      <c r="U567" s="3">
        <f t="shared" si="374"/>
        <v>0.1000000000003638</v>
      </c>
      <c r="W567" s="3">
        <f t="shared" si="375"/>
        <v>9300</v>
      </c>
      <c r="Y567" s="3">
        <v>9300</v>
      </c>
      <c r="Z567" s="3">
        <f t="shared" si="376"/>
        <v>0</v>
      </c>
      <c r="AC567" s="3">
        <v>0</v>
      </c>
      <c r="AD567" s="3">
        <f t="shared" si="377"/>
        <v>5000</v>
      </c>
      <c r="AE567" s="3">
        <v>5000</v>
      </c>
      <c r="AF567" s="3">
        <f t="shared" si="378"/>
        <v>-4300</v>
      </c>
      <c r="AI567" s="3">
        <f t="shared" si="383"/>
        <v>5150</v>
      </c>
      <c r="AK567" s="3">
        <f t="shared" si="379"/>
        <v>5304.5</v>
      </c>
      <c r="AM567" s="3">
        <f t="shared" si="380"/>
        <v>5463.6350000000002</v>
      </c>
      <c r="AN567" s="3">
        <f t="shared" si="380"/>
        <v>0</v>
      </c>
      <c r="AO567" s="3">
        <f t="shared" si="380"/>
        <v>5627.5440500000004</v>
      </c>
      <c r="AP567" s="4">
        <f t="shared" si="380"/>
        <v>0</v>
      </c>
      <c r="AQ567" s="3">
        <f t="shared" si="380"/>
        <v>5796.3703715000001</v>
      </c>
      <c r="AR567" s="3"/>
      <c r="AS567" s="3">
        <f t="shared" si="381"/>
        <v>5970.2614826449999</v>
      </c>
      <c r="AT567" s="3">
        <f t="shared" si="381"/>
        <v>0</v>
      </c>
      <c r="AU567" s="3">
        <f t="shared" si="381"/>
        <v>6149.3693271243501</v>
      </c>
      <c r="AV567" s="3">
        <f t="shared" si="381"/>
        <v>0</v>
      </c>
      <c r="AW567" s="3">
        <f t="shared" si="381"/>
        <v>6333.8504069380806</v>
      </c>
      <c r="AX567" s="3"/>
      <c r="AY567" s="3">
        <f t="shared" si="382"/>
        <v>6523.865919146223</v>
      </c>
      <c r="AZ567" s="3">
        <f t="shared" si="382"/>
        <v>0</v>
      </c>
      <c r="BA567" s="3">
        <f t="shared" si="382"/>
        <v>6719.5818967206096</v>
      </c>
      <c r="BC567" s="3">
        <f t="shared" si="382"/>
        <v>6921.1693536222283</v>
      </c>
      <c r="BE567" s="3">
        <f t="shared" si="382"/>
        <v>7128.8044342308949</v>
      </c>
    </row>
    <row r="568" spans="1:1015 1029:2039 2053:3063 3077:4087 4101:5111 5125:6135 6149:7159 7173:8183 8197:9207 9221:10231 10245:11255 11269:12279 12293:13303 13317:14327 14341:15351 15365:16373" hidden="1" outlineLevel="1" x14ac:dyDescent="0.25">
      <c r="A568" s="3" t="s">
        <v>442</v>
      </c>
      <c r="B568" s="3">
        <v>79600</v>
      </c>
      <c r="D568" s="3">
        <v>28004</v>
      </c>
      <c r="E568" s="3">
        <f t="shared" si="369"/>
        <v>51596</v>
      </c>
      <c r="F568" s="3">
        <v>79600</v>
      </c>
      <c r="H568" s="3">
        <f t="shared" si="370"/>
        <v>0</v>
      </c>
      <c r="J568" s="3">
        <v>62822</v>
      </c>
      <c r="K568" s="4">
        <f t="shared" si="371"/>
        <v>16778</v>
      </c>
      <c r="L568" s="4">
        <v>79600</v>
      </c>
      <c r="N568" s="4">
        <f t="shared" si="372"/>
        <v>0</v>
      </c>
      <c r="P568" s="3">
        <f>L568*1.0281+63</f>
        <v>81899.759999999995</v>
      </c>
      <c r="R568" s="3">
        <v>27820</v>
      </c>
      <c r="S568" s="3">
        <f t="shared" si="373"/>
        <v>54080</v>
      </c>
      <c r="T568" s="3">
        <v>81900</v>
      </c>
      <c r="U568" s="3">
        <f t="shared" si="374"/>
        <v>0.24000000000523869</v>
      </c>
      <c r="V568" s="3">
        <v>68748</v>
      </c>
      <c r="W568" s="3">
        <f t="shared" si="375"/>
        <v>13152</v>
      </c>
      <c r="Y568" s="3">
        <v>81900</v>
      </c>
      <c r="Z568" s="3">
        <f t="shared" si="376"/>
        <v>0</v>
      </c>
      <c r="AC568" s="3">
        <v>114784</v>
      </c>
      <c r="AD568" s="3">
        <f t="shared" si="377"/>
        <v>15216</v>
      </c>
      <c r="AE568" s="3">
        <v>130000</v>
      </c>
      <c r="AF568" s="3">
        <f t="shared" si="378"/>
        <v>48100</v>
      </c>
      <c r="AI568" s="3">
        <f t="shared" si="383"/>
        <v>133900</v>
      </c>
      <c r="AK568" s="3">
        <f t="shared" si="379"/>
        <v>137917</v>
      </c>
      <c r="AM568" s="3">
        <f t="shared" si="380"/>
        <v>142054.51</v>
      </c>
      <c r="AN568" s="3">
        <f t="shared" si="380"/>
        <v>0</v>
      </c>
      <c r="AO568" s="3">
        <f t="shared" si="380"/>
        <v>146316.1453</v>
      </c>
      <c r="AP568" s="4">
        <f t="shared" si="380"/>
        <v>0</v>
      </c>
      <c r="AQ568" s="3">
        <f t="shared" si="380"/>
        <v>150705.629659</v>
      </c>
      <c r="AR568" s="3"/>
      <c r="AS568" s="3">
        <f t="shared" si="381"/>
        <v>155226.79854876999</v>
      </c>
      <c r="AT568" s="3">
        <f t="shared" si="381"/>
        <v>0</v>
      </c>
      <c r="AU568" s="3">
        <f t="shared" si="381"/>
        <v>159883.60250523311</v>
      </c>
      <c r="AV568" s="3">
        <f t="shared" si="381"/>
        <v>0</v>
      </c>
      <c r="AW568" s="3">
        <f t="shared" si="381"/>
        <v>164680.11058039012</v>
      </c>
      <c r="AX568" s="3"/>
      <c r="AY568" s="3">
        <f t="shared" si="382"/>
        <v>169620.51389780184</v>
      </c>
      <c r="AZ568" s="3">
        <f t="shared" si="382"/>
        <v>0</v>
      </c>
      <c r="BA568" s="3">
        <f t="shared" si="382"/>
        <v>174709.12931473591</v>
      </c>
      <c r="BC568" s="3">
        <f t="shared" si="382"/>
        <v>179950.40319417798</v>
      </c>
      <c r="BE568" s="3">
        <f t="shared" si="382"/>
        <v>185348.91529000332</v>
      </c>
    </row>
    <row r="569" spans="1:1015 1029:2039 2053:3063 3077:4087 4101:5111 5125:6135 6149:7159 7173:8183 8197:9207 9221:10231 10245:11255 11269:12279 12293:13303 13317:14327 14341:15351 15365:16373" hidden="1" outlineLevel="1" x14ac:dyDescent="0.25">
      <c r="A569" s="3" t="s">
        <v>443</v>
      </c>
      <c r="B569" s="3">
        <v>47750</v>
      </c>
      <c r="D569" s="3">
        <v>5617</v>
      </c>
      <c r="E569" s="3">
        <f t="shared" si="369"/>
        <v>41983</v>
      </c>
      <c r="F569" s="3">
        <v>47600</v>
      </c>
      <c r="H569" s="3">
        <f t="shared" si="370"/>
        <v>-150</v>
      </c>
      <c r="J569" s="3">
        <v>16127</v>
      </c>
      <c r="K569" s="4">
        <f t="shared" si="371"/>
        <v>31473</v>
      </c>
      <c r="L569" s="4">
        <v>47600</v>
      </c>
      <c r="N569" s="4">
        <f t="shared" si="372"/>
        <v>0</v>
      </c>
      <c r="P569" s="3">
        <f>L569*1.0281+62</f>
        <v>48999.56</v>
      </c>
      <c r="R569" s="3">
        <v>3816</v>
      </c>
      <c r="S569" s="3">
        <f t="shared" si="373"/>
        <v>45184</v>
      </c>
      <c r="T569" s="3">
        <v>49000</v>
      </c>
      <c r="U569" s="3">
        <f t="shared" si="374"/>
        <v>0.44000000000232831</v>
      </c>
      <c r="V569" s="3">
        <v>7366</v>
      </c>
      <c r="W569" s="3">
        <f t="shared" si="375"/>
        <v>41634</v>
      </c>
      <c r="Y569" s="3">
        <v>49000</v>
      </c>
      <c r="Z569" s="3">
        <f t="shared" si="376"/>
        <v>0</v>
      </c>
      <c r="AC569" s="3">
        <v>10861</v>
      </c>
      <c r="AD569" s="3">
        <f t="shared" si="377"/>
        <v>9139</v>
      </c>
      <c r="AE569" s="3">
        <v>20000</v>
      </c>
      <c r="AF569" s="3">
        <f t="shared" si="378"/>
        <v>-29000</v>
      </c>
      <c r="AI569" s="3">
        <f t="shared" si="383"/>
        <v>20600</v>
      </c>
      <c r="AK569" s="3">
        <f t="shared" si="379"/>
        <v>21218</v>
      </c>
      <c r="AM569" s="3">
        <f t="shared" si="380"/>
        <v>21854.54</v>
      </c>
      <c r="AN569" s="3">
        <f t="shared" si="380"/>
        <v>0</v>
      </c>
      <c r="AO569" s="3">
        <f t="shared" si="380"/>
        <v>22510.176200000002</v>
      </c>
      <c r="AP569" s="4">
        <f t="shared" si="380"/>
        <v>0</v>
      </c>
      <c r="AQ569" s="3">
        <f t="shared" si="380"/>
        <v>23185.481486000001</v>
      </c>
      <c r="AR569" s="3"/>
      <c r="AS569" s="3">
        <f t="shared" si="381"/>
        <v>23881.04593058</v>
      </c>
      <c r="AT569" s="3">
        <f t="shared" si="381"/>
        <v>0</v>
      </c>
      <c r="AU569" s="3">
        <f t="shared" si="381"/>
        <v>24597.4773084974</v>
      </c>
      <c r="AV569" s="3">
        <f t="shared" si="381"/>
        <v>0</v>
      </c>
      <c r="AW569" s="3">
        <f t="shared" si="381"/>
        <v>25335.401627752322</v>
      </c>
      <c r="AX569" s="3"/>
      <c r="AY569" s="3">
        <f t="shared" si="382"/>
        <v>26095.463676584892</v>
      </c>
      <c r="AZ569" s="3">
        <f t="shared" si="382"/>
        <v>0</v>
      </c>
      <c r="BA569" s="3">
        <f t="shared" si="382"/>
        <v>26878.327586882438</v>
      </c>
      <c r="BC569" s="3">
        <f t="shared" si="382"/>
        <v>27684.677414488913</v>
      </c>
      <c r="BE569" s="3">
        <f t="shared" si="382"/>
        <v>28515.21773692358</v>
      </c>
    </row>
    <row r="570" spans="1:1015 1029:2039 2053:3063 3077:4087 4101:5111 5125:6135 6149:7159 7173:8183 8197:9207 9221:10231 10245:11255 11269:12279 12293:13303 13317:14327 14341:15351 15365:16373" hidden="1" outlineLevel="1" x14ac:dyDescent="0.25">
      <c r="A570" s="3" t="s">
        <v>444</v>
      </c>
      <c r="B570" s="3">
        <v>26550</v>
      </c>
      <c r="D570" s="3">
        <v>7101</v>
      </c>
      <c r="E570" s="3">
        <f t="shared" si="369"/>
        <v>19449</v>
      </c>
      <c r="F570" s="3">
        <v>26550</v>
      </c>
      <c r="H570" s="3">
        <f t="shared" si="370"/>
        <v>0</v>
      </c>
      <c r="J570" s="3">
        <v>12880</v>
      </c>
      <c r="K570" s="4">
        <f t="shared" si="371"/>
        <v>13620</v>
      </c>
      <c r="L570" s="4">
        <v>26500</v>
      </c>
      <c r="N570" s="4">
        <f t="shared" si="372"/>
        <v>-50</v>
      </c>
      <c r="P570" s="3">
        <f>L570*1.0281+55</f>
        <v>27299.65</v>
      </c>
      <c r="R570" s="3">
        <v>5105</v>
      </c>
      <c r="S570" s="3">
        <f t="shared" si="373"/>
        <v>22195</v>
      </c>
      <c r="T570" s="3">
        <v>27300</v>
      </c>
      <c r="U570" s="3">
        <f t="shared" si="374"/>
        <v>0.34999999999854481</v>
      </c>
      <c r="V570" s="3">
        <v>12063</v>
      </c>
      <c r="W570" s="3">
        <f t="shared" si="375"/>
        <v>15237</v>
      </c>
      <c r="Y570" s="3">
        <v>27300</v>
      </c>
      <c r="Z570" s="3">
        <f t="shared" si="376"/>
        <v>0</v>
      </c>
      <c r="AC570" s="3">
        <v>18905</v>
      </c>
      <c r="AD570" s="3">
        <f t="shared" si="377"/>
        <v>10395</v>
      </c>
      <c r="AE570" s="3">
        <v>29300</v>
      </c>
      <c r="AF570" s="3">
        <f t="shared" si="378"/>
        <v>2000</v>
      </c>
      <c r="AI570" s="3">
        <f>AE570*1.03+21</f>
        <v>30200</v>
      </c>
      <c r="AK570" s="3">
        <f t="shared" si="379"/>
        <v>31106</v>
      </c>
      <c r="AM570" s="3">
        <f t="shared" si="380"/>
        <v>32039.18</v>
      </c>
      <c r="AN570" s="3">
        <f t="shared" si="380"/>
        <v>0</v>
      </c>
      <c r="AO570" s="3">
        <f t="shared" si="380"/>
        <v>33000.3554</v>
      </c>
      <c r="AP570" s="4">
        <f t="shared" si="380"/>
        <v>0</v>
      </c>
      <c r="AQ570" s="3">
        <f t="shared" si="380"/>
        <v>33990.366062000001</v>
      </c>
      <c r="AR570" s="3"/>
      <c r="AS570" s="3">
        <f t="shared" si="381"/>
        <v>35010.077043860001</v>
      </c>
      <c r="AT570" s="3">
        <f t="shared" si="381"/>
        <v>0</v>
      </c>
      <c r="AU570" s="3">
        <f t="shared" si="381"/>
        <v>36060.379355175799</v>
      </c>
      <c r="AV570" s="3">
        <f t="shared" si="381"/>
        <v>0</v>
      </c>
      <c r="AW570" s="3">
        <f t="shared" si="381"/>
        <v>37142.190735831071</v>
      </c>
      <c r="AX570" s="3"/>
      <c r="AY570" s="3">
        <f t="shared" si="382"/>
        <v>38256.456457906002</v>
      </c>
      <c r="AZ570" s="3">
        <f t="shared" si="382"/>
        <v>0</v>
      </c>
      <c r="BA570" s="3">
        <f t="shared" si="382"/>
        <v>39404.150151643182</v>
      </c>
      <c r="BC570" s="3">
        <f t="shared" si="382"/>
        <v>40586.27465619248</v>
      </c>
      <c r="BE570" s="3">
        <f t="shared" si="382"/>
        <v>41803.862895878257</v>
      </c>
    </row>
    <row r="571" spans="1:1015 1029:2039 2053:3063 3077:4087 4101:5111 5125:6135 6149:7159 7173:8183 8197:9207 9221:10231 10245:11255 11269:12279 12293:13303 13317:14327 14341:15351 15365:16373" hidden="1" outlineLevel="1" x14ac:dyDescent="0.25">
      <c r="A571" s="3" t="s">
        <v>445</v>
      </c>
      <c r="B571" s="3">
        <v>2000</v>
      </c>
      <c r="D571" s="3">
        <v>175</v>
      </c>
      <c r="E571" s="3">
        <f t="shared" si="369"/>
        <v>1825</v>
      </c>
      <c r="F571" s="3">
        <v>2000</v>
      </c>
      <c r="H571" s="3">
        <f t="shared" si="370"/>
        <v>0</v>
      </c>
      <c r="J571" s="3">
        <v>292</v>
      </c>
      <c r="K571" s="4">
        <f t="shared" si="371"/>
        <v>1708</v>
      </c>
      <c r="L571" s="4">
        <v>2000</v>
      </c>
      <c r="N571" s="4">
        <f t="shared" si="372"/>
        <v>0</v>
      </c>
      <c r="P571" s="3">
        <f>L571*1.0281-6</f>
        <v>2050.1999999999998</v>
      </c>
      <c r="R571" s="3">
        <v>4918</v>
      </c>
      <c r="S571" s="3">
        <f t="shared" si="373"/>
        <v>2132</v>
      </c>
      <c r="T571" s="3">
        <v>7050</v>
      </c>
      <c r="U571" s="3">
        <f t="shared" si="374"/>
        <v>4999.8</v>
      </c>
      <c r="V571" s="3">
        <v>9257</v>
      </c>
      <c r="W571" s="3">
        <f t="shared" si="375"/>
        <v>4243</v>
      </c>
      <c r="Y571" s="3">
        <v>13500</v>
      </c>
      <c r="Z571" s="3">
        <f t="shared" si="376"/>
        <v>6450</v>
      </c>
      <c r="AC571" s="3">
        <v>15259</v>
      </c>
      <c r="AD571" s="3">
        <f t="shared" si="377"/>
        <v>7141</v>
      </c>
      <c r="AE571" s="3">
        <v>22400</v>
      </c>
      <c r="AF571" s="3">
        <f>AE571-Y571</f>
        <v>8900</v>
      </c>
      <c r="AI571" s="3">
        <f>AE571*1.03+28</f>
        <v>23100</v>
      </c>
      <c r="AK571" s="3">
        <f t="shared" si="379"/>
        <v>23793</v>
      </c>
      <c r="AM571" s="3">
        <f t="shared" si="380"/>
        <v>24506.79</v>
      </c>
      <c r="AN571" s="3">
        <f t="shared" si="380"/>
        <v>0</v>
      </c>
      <c r="AO571" s="3">
        <f t="shared" si="380"/>
        <v>25241.993700000003</v>
      </c>
      <c r="AP571" s="4">
        <f t="shared" si="380"/>
        <v>0</v>
      </c>
      <c r="AQ571" s="3">
        <f t="shared" si="380"/>
        <v>25999.253511000003</v>
      </c>
      <c r="AR571" s="3"/>
      <c r="AS571" s="3">
        <f t="shared" si="381"/>
        <v>26779.231116330004</v>
      </c>
      <c r="AT571" s="3">
        <f t="shared" si="381"/>
        <v>0</v>
      </c>
      <c r="AU571" s="3">
        <f t="shared" si="381"/>
        <v>27582.608049819904</v>
      </c>
      <c r="AV571" s="3">
        <f t="shared" si="381"/>
        <v>0</v>
      </c>
      <c r="AW571" s="3">
        <f t="shared" si="381"/>
        <v>28410.086291314503</v>
      </c>
      <c r="AX571" s="3"/>
      <c r="AY571" s="3">
        <f t="shared" si="382"/>
        <v>29262.388880053939</v>
      </c>
      <c r="AZ571" s="3">
        <f t="shared" si="382"/>
        <v>0</v>
      </c>
      <c r="BA571" s="3">
        <f t="shared" si="382"/>
        <v>30140.260546455556</v>
      </c>
      <c r="BC571" s="3">
        <f t="shared" si="382"/>
        <v>31044.468362849224</v>
      </c>
      <c r="BE571" s="3">
        <f t="shared" si="382"/>
        <v>31975.802413734702</v>
      </c>
    </row>
    <row r="572" spans="1:1015 1029:2039 2053:3063 3077:4087 4101:5111 5125:6135 6149:7159 7173:8183 8197:9207 9221:10231 10245:11255 11269:12279 12293:13303 13317:14327 14341:15351 15365:16373" hidden="1" outlineLevel="1" x14ac:dyDescent="0.25">
      <c r="A572" s="3" t="s">
        <v>446</v>
      </c>
      <c r="B572" s="3">
        <v>1600</v>
      </c>
      <c r="E572" s="3">
        <f t="shared" si="369"/>
        <v>1600</v>
      </c>
      <c r="F572" s="3">
        <v>1600</v>
      </c>
      <c r="H572" s="3">
        <f>F572-B572</f>
        <v>0</v>
      </c>
      <c r="K572" s="4">
        <f t="shared" si="371"/>
        <v>0</v>
      </c>
      <c r="L572" s="4"/>
      <c r="N572" s="4">
        <f t="shared" si="372"/>
        <v>-1600</v>
      </c>
      <c r="P572" s="3">
        <f>B572*1.0281+5</f>
        <v>1649.96</v>
      </c>
      <c r="S572" s="3">
        <f t="shared" si="373"/>
        <v>1650</v>
      </c>
      <c r="T572" s="3">
        <v>1650</v>
      </c>
      <c r="U572" s="3">
        <f t="shared" si="374"/>
        <v>3.999999999996362E-2</v>
      </c>
      <c r="W572" s="3">
        <f t="shared" si="375"/>
        <v>1650</v>
      </c>
      <c r="Y572" s="3">
        <v>1650</v>
      </c>
      <c r="Z572" s="3">
        <f t="shared" si="376"/>
        <v>0</v>
      </c>
      <c r="AC572" s="3">
        <v>0</v>
      </c>
      <c r="AD572" s="3">
        <f t="shared" si="377"/>
        <v>1650</v>
      </c>
      <c r="AE572" s="3">
        <v>1650</v>
      </c>
      <c r="AF572" s="3">
        <f t="shared" si="378"/>
        <v>0</v>
      </c>
      <c r="AI572" s="3">
        <f t="shared" si="383"/>
        <v>1699.5</v>
      </c>
      <c r="AK572" s="3">
        <f t="shared" si="379"/>
        <v>1750.4850000000001</v>
      </c>
      <c r="AM572" s="3">
        <f t="shared" si="380"/>
        <v>1802.9995500000002</v>
      </c>
      <c r="AN572" s="3">
        <f t="shared" si="380"/>
        <v>0</v>
      </c>
      <c r="AO572" s="3">
        <f t="shared" si="380"/>
        <v>1857.0895365000003</v>
      </c>
      <c r="AP572" s="4">
        <f t="shared" si="380"/>
        <v>0</v>
      </c>
      <c r="AQ572" s="3">
        <f t="shared" si="380"/>
        <v>1912.8022225950003</v>
      </c>
      <c r="AR572" s="3"/>
      <c r="AS572" s="3">
        <f t="shared" si="381"/>
        <v>1970.1862892728504</v>
      </c>
      <c r="AT572" s="3">
        <f t="shared" si="381"/>
        <v>0</v>
      </c>
      <c r="AU572" s="3">
        <f t="shared" si="381"/>
        <v>2029.291877951036</v>
      </c>
      <c r="AV572" s="3">
        <f t="shared" si="381"/>
        <v>0</v>
      </c>
      <c r="AW572" s="3">
        <f t="shared" si="381"/>
        <v>2090.1706342895673</v>
      </c>
      <c r="AX572" s="3"/>
      <c r="AY572" s="3">
        <f t="shared" si="382"/>
        <v>2152.8757533182543</v>
      </c>
      <c r="AZ572" s="3">
        <f t="shared" si="382"/>
        <v>0</v>
      </c>
      <c r="BA572" s="3">
        <f t="shared" si="382"/>
        <v>2217.4620259178018</v>
      </c>
      <c r="BC572" s="3">
        <f t="shared" si="382"/>
        <v>2283.9858866953359</v>
      </c>
      <c r="BE572" s="3">
        <f t="shared" si="382"/>
        <v>2352.505463296196</v>
      </c>
    </row>
    <row r="573" spans="1:1015 1029:2039 2053:3063 3077:4087 4101:5111 5125:6135 6149:7159 7173:8183 8197:9207 9221:10231 10245:11255 11269:12279 12293:13303 13317:14327 14341:15351 15365:16373" hidden="1" outlineLevel="1" x14ac:dyDescent="0.25">
      <c r="A573" s="3" t="s">
        <v>447</v>
      </c>
      <c r="E573" s="3">
        <f t="shared" si="369"/>
        <v>0</v>
      </c>
      <c r="H573" s="3">
        <f t="shared" si="370"/>
        <v>0</v>
      </c>
      <c r="K573" s="4">
        <f t="shared" si="371"/>
        <v>0</v>
      </c>
      <c r="L573" s="4"/>
      <c r="N573" s="4">
        <f t="shared" si="372"/>
        <v>0</v>
      </c>
      <c r="S573" s="3">
        <f t="shared" si="373"/>
        <v>0</v>
      </c>
      <c r="U573" s="3">
        <f t="shared" si="374"/>
        <v>0</v>
      </c>
      <c r="W573" s="3">
        <f t="shared" si="375"/>
        <v>0</v>
      </c>
      <c r="Z573" s="3">
        <f t="shared" si="376"/>
        <v>0</v>
      </c>
      <c r="AD573" s="3">
        <f t="shared" si="377"/>
        <v>0</v>
      </c>
      <c r="AF573" s="3">
        <f t="shared" si="378"/>
        <v>0</v>
      </c>
      <c r="AI573" s="3">
        <f t="shared" si="383"/>
        <v>0</v>
      </c>
      <c r="AK573" s="3">
        <f t="shared" si="379"/>
        <v>0</v>
      </c>
      <c r="AM573" s="3">
        <f t="shared" si="380"/>
        <v>0</v>
      </c>
      <c r="AN573" s="3">
        <f t="shared" si="380"/>
        <v>0</v>
      </c>
      <c r="AO573" s="3">
        <f t="shared" si="380"/>
        <v>0</v>
      </c>
      <c r="AP573" s="4">
        <f t="shared" si="380"/>
        <v>0</v>
      </c>
      <c r="AQ573" s="3">
        <f t="shared" si="380"/>
        <v>0</v>
      </c>
      <c r="AR573" s="3"/>
      <c r="AS573" s="3">
        <f t="shared" si="381"/>
        <v>0</v>
      </c>
      <c r="AT573" s="3">
        <f t="shared" si="381"/>
        <v>0</v>
      </c>
      <c r="AU573" s="3">
        <f t="shared" si="381"/>
        <v>0</v>
      </c>
      <c r="AV573" s="3">
        <f t="shared" si="381"/>
        <v>0</v>
      </c>
      <c r="AW573" s="3">
        <f t="shared" si="381"/>
        <v>0</v>
      </c>
      <c r="AX573" s="3"/>
      <c r="AY573" s="3">
        <f t="shared" si="382"/>
        <v>0</v>
      </c>
      <c r="AZ573" s="3">
        <f t="shared" si="382"/>
        <v>0</v>
      </c>
      <c r="BA573" s="3">
        <f t="shared" si="382"/>
        <v>0</v>
      </c>
      <c r="BC573" s="3">
        <f t="shared" si="382"/>
        <v>0</v>
      </c>
      <c r="BE573" s="3">
        <f t="shared" si="382"/>
        <v>0</v>
      </c>
    </row>
    <row r="574" spans="1:1015 1029:2039 2053:3063 3077:4087 4101:5111 5125:6135 6149:7159 7173:8183 8197:9207 9221:10231 10245:11255 11269:12279 12293:13303 13317:14327 14341:15351 15365:16373" hidden="1" outlineLevel="1" x14ac:dyDescent="0.25">
      <c r="A574" s="3" t="s">
        <v>448</v>
      </c>
      <c r="B574" s="3">
        <v>2500</v>
      </c>
      <c r="E574" s="3">
        <f t="shared" si="369"/>
        <v>2500</v>
      </c>
      <c r="F574" s="3">
        <v>2500</v>
      </c>
      <c r="H574" s="3">
        <f t="shared" si="370"/>
        <v>0</v>
      </c>
      <c r="K574" s="4">
        <f t="shared" si="371"/>
        <v>0</v>
      </c>
      <c r="L574" s="4"/>
      <c r="N574" s="4">
        <f t="shared" si="372"/>
        <v>-2500</v>
      </c>
      <c r="P574" s="3">
        <f>2500*1.0281-70</f>
        <v>2500.25</v>
      </c>
      <c r="S574" s="3">
        <f t="shared" si="373"/>
        <v>2500</v>
      </c>
      <c r="T574" s="3">
        <v>2500</v>
      </c>
      <c r="U574" s="3">
        <f t="shared" si="374"/>
        <v>-0.25</v>
      </c>
      <c r="W574" s="3">
        <f t="shared" si="375"/>
        <v>2500</v>
      </c>
      <c r="Y574" s="3">
        <v>2500</v>
      </c>
      <c r="Z574" s="3">
        <f t="shared" si="376"/>
        <v>0</v>
      </c>
      <c r="AD574" s="3">
        <f t="shared" si="377"/>
        <v>2500</v>
      </c>
      <c r="AE574" s="3">
        <v>2500</v>
      </c>
      <c r="AF574" s="3">
        <f t="shared" si="378"/>
        <v>0</v>
      </c>
      <c r="AI574" s="3">
        <f>AE574*1.03+25</f>
        <v>2600</v>
      </c>
      <c r="AK574" s="3">
        <f t="shared" si="379"/>
        <v>2678</v>
      </c>
      <c r="AM574" s="3">
        <f t="shared" si="380"/>
        <v>2758.34</v>
      </c>
      <c r="AN574" s="3">
        <f t="shared" si="380"/>
        <v>0</v>
      </c>
      <c r="AO574" s="3">
        <f t="shared" si="380"/>
        <v>2841.0902000000001</v>
      </c>
      <c r="AP574" s="4">
        <f t="shared" si="380"/>
        <v>0</v>
      </c>
      <c r="AQ574" s="3">
        <f t="shared" si="380"/>
        <v>2926.3229060000003</v>
      </c>
      <c r="AR574" s="3"/>
      <c r="AS574" s="3">
        <f t="shared" si="381"/>
        <v>3014.1125931800002</v>
      </c>
      <c r="AT574" s="3">
        <f t="shared" si="381"/>
        <v>0</v>
      </c>
      <c r="AU574" s="3">
        <f t="shared" si="381"/>
        <v>3104.5359709754002</v>
      </c>
      <c r="AV574" s="3">
        <f t="shared" si="381"/>
        <v>0</v>
      </c>
      <c r="AW574" s="3">
        <f t="shared" si="381"/>
        <v>3197.6720501046625</v>
      </c>
      <c r="AX574" s="3"/>
      <c r="AY574" s="3">
        <f t="shared" si="382"/>
        <v>3293.6022116078025</v>
      </c>
      <c r="AZ574" s="3">
        <f t="shared" si="382"/>
        <v>0</v>
      </c>
      <c r="BA574" s="3">
        <f t="shared" si="382"/>
        <v>3392.4102779560367</v>
      </c>
      <c r="BC574" s="3">
        <f t="shared" si="382"/>
        <v>3494.182586294718</v>
      </c>
      <c r="BE574" s="3">
        <f t="shared" si="382"/>
        <v>3599.0080638835598</v>
      </c>
    </row>
    <row r="575" spans="1:1015 1029:2039 2053:3063 3077:4087 4101:5111 5125:6135 6149:7159 7173:8183 8197:9207 9221:10231 10245:11255 11269:12279 12293:13303 13317:14327 14341:15351 15365:16373" hidden="1" outlineLevel="1" x14ac:dyDescent="0.25">
      <c r="A575" s="3" t="s">
        <v>449</v>
      </c>
      <c r="B575" s="3">
        <v>13800</v>
      </c>
      <c r="D575" s="3">
        <f>6905+1854</f>
        <v>8759</v>
      </c>
      <c r="E575" s="3">
        <f t="shared" si="369"/>
        <v>5041</v>
      </c>
      <c r="F575" s="3">
        <v>13800</v>
      </c>
      <c r="H575" s="3">
        <f t="shared" si="370"/>
        <v>0</v>
      </c>
      <c r="J575" s="3">
        <v>18688</v>
      </c>
      <c r="K575" s="4">
        <f t="shared" si="371"/>
        <v>1312</v>
      </c>
      <c r="L575" s="4">
        <v>20000</v>
      </c>
      <c r="N575" s="4">
        <f t="shared" si="372"/>
        <v>6200</v>
      </c>
      <c r="P575" s="3">
        <v>30000</v>
      </c>
      <c r="R575" s="3">
        <v>2636</v>
      </c>
      <c r="S575" s="3">
        <f t="shared" si="373"/>
        <v>22364</v>
      </c>
      <c r="T575" s="3">
        <v>25000</v>
      </c>
      <c r="U575" s="3">
        <f t="shared" si="374"/>
        <v>-5000</v>
      </c>
      <c r="V575" s="3">
        <v>3378</v>
      </c>
      <c r="W575" s="3">
        <f t="shared" si="375"/>
        <v>21622</v>
      </c>
      <c r="Y575" s="3">
        <v>25000</v>
      </c>
      <c r="Z575" s="3">
        <f t="shared" si="376"/>
        <v>0</v>
      </c>
      <c r="AC575" s="3">
        <v>3378</v>
      </c>
      <c r="AD575" s="3">
        <f t="shared" si="377"/>
        <v>16622</v>
      </c>
      <c r="AE575" s="3">
        <v>20000</v>
      </c>
      <c r="AF575" s="3">
        <f t="shared" si="378"/>
        <v>-5000</v>
      </c>
      <c r="AI575" s="3">
        <f t="shared" si="383"/>
        <v>20600</v>
      </c>
      <c r="AK575" s="3">
        <f t="shared" si="379"/>
        <v>21218</v>
      </c>
      <c r="AM575" s="3">
        <f t="shared" si="380"/>
        <v>21854.54</v>
      </c>
      <c r="AN575" s="3">
        <f t="shared" si="380"/>
        <v>0</v>
      </c>
      <c r="AO575" s="3">
        <f t="shared" si="380"/>
        <v>22510.176200000002</v>
      </c>
      <c r="AP575" s="4">
        <f t="shared" si="380"/>
        <v>0</v>
      </c>
      <c r="AQ575" s="3">
        <f t="shared" si="380"/>
        <v>23185.481486000001</v>
      </c>
      <c r="AR575" s="3"/>
      <c r="AS575" s="3">
        <f t="shared" si="381"/>
        <v>23881.04593058</v>
      </c>
      <c r="AT575" s="3">
        <f t="shared" si="381"/>
        <v>0</v>
      </c>
      <c r="AU575" s="3">
        <f t="shared" si="381"/>
        <v>24597.4773084974</v>
      </c>
      <c r="AV575" s="3">
        <f t="shared" si="381"/>
        <v>0</v>
      </c>
      <c r="AW575" s="3">
        <f t="shared" si="381"/>
        <v>25335.401627752322</v>
      </c>
      <c r="AX575" s="3"/>
      <c r="AY575" s="3">
        <f t="shared" si="382"/>
        <v>26095.463676584892</v>
      </c>
      <c r="AZ575" s="3">
        <f t="shared" si="382"/>
        <v>0</v>
      </c>
      <c r="BA575" s="3">
        <f t="shared" si="382"/>
        <v>26878.327586882438</v>
      </c>
      <c r="BC575" s="3">
        <f t="shared" si="382"/>
        <v>27684.677414488913</v>
      </c>
      <c r="BE575" s="3">
        <f t="shared" si="382"/>
        <v>28515.21773692358</v>
      </c>
    </row>
    <row r="576" spans="1:1015 1029:2039 2053:3063 3077:4087 4101:5111 5125:6135 6149:7159 7173:8183 8197:9207 9221:10231 10245:11255 11269:12279 12293:13303 13317:14327 14341:15351 15365:16373" hidden="1" outlineLevel="1" x14ac:dyDescent="0.25">
      <c r="A576" s="267" t="s">
        <v>289</v>
      </c>
      <c r="B576" s="3">
        <v>3500</v>
      </c>
      <c r="D576" s="3">
        <v>0</v>
      </c>
      <c r="E576" s="3">
        <f t="shared" si="369"/>
        <v>3500</v>
      </c>
      <c r="F576" s="3">
        <v>3500</v>
      </c>
      <c r="H576" s="3">
        <f t="shared" si="370"/>
        <v>0</v>
      </c>
      <c r="J576" s="3">
        <v>0</v>
      </c>
      <c r="K576" s="4">
        <f t="shared" si="371"/>
        <v>3500</v>
      </c>
      <c r="L576" s="4">
        <v>3500</v>
      </c>
      <c r="N576" s="4">
        <f t="shared" si="372"/>
        <v>0</v>
      </c>
      <c r="P576" s="3">
        <v>3500</v>
      </c>
      <c r="R576" s="3">
        <v>0</v>
      </c>
      <c r="S576" s="3">
        <f t="shared" si="373"/>
        <v>3500</v>
      </c>
      <c r="T576" s="3">
        <v>3500</v>
      </c>
      <c r="U576" s="3">
        <f t="shared" si="374"/>
        <v>0</v>
      </c>
      <c r="V576" s="3">
        <v>0</v>
      </c>
      <c r="W576" s="3">
        <f t="shared" si="375"/>
        <v>3500</v>
      </c>
      <c r="Y576" s="3">
        <v>3500</v>
      </c>
      <c r="Z576" s="3">
        <f t="shared" si="376"/>
        <v>0</v>
      </c>
      <c r="AC576" s="3">
        <v>0</v>
      </c>
      <c r="AD576" s="3">
        <f t="shared" si="377"/>
        <v>3500</v>
      </c>
      <c r="AE576" s="3">
        <v>3500</v>
      </c>
      <c r="AF576" s="3">
        <f t="shared" si="378"/>
        <v>0</v>
      </c>
      <c r="AI576" s="3">
        <v>3500</v>
      </c>
      <c r="AK576" s="3">
        <v>3500</v>
      </c>
      <c r="AM576" s="3">
        <v>3500</v>
      </c>
      <c r="AO576" s="3">
        <v>3500</v>
      </c>
      <c r="AQ576" s="3">
        <v>3500</v>
      </c>
      <c r="AS576" s="3">
        <v>3500</v>
      </c>
      <c r="AU576" s="3">
        <v>3500</v>
      </c>
      <c r="AW576" s="3">
        <v>3500</v>
      </c>
      <c r="AY576" s="3">
        <v>3500</v>
      </c>
      <c r="BA576" s="3">
        <v>3500</v>
      </c>
      <c r="BC576" s="3">
        <v>3500</v>
      </c>
      <c r="BE576" s="3">
        <v>3500</v>
      </c>
      <c r="BI576" s="268"/>
      <c r="BJ576" s="268"/>
      <c r="BK576" s="268"/>
      <c r="BL576" s="268"/>
      <c r="BM576" s="268"/>
      <c r="BN576" s="268"/>
      <c r="BO576" s="268"/>
      <c r="BP576" s="268"/>
      <c r="BQ576" s="268"/>
      <c r="BR576" s="268"/>
      <c r="BS576" s="268"/>
      <c r="BT576" s="268"/>
      <c r="BU576" s="268"/>
      <c r="BV576" s="268"/>
      <c r="BW576" s="268"/>
      <c r="BX576" s="268"/>
      <c r="BY576" s="268"/>
      <c r="BZ576" s="268"/>
      <c r="CA576" s="268"/>
      <c r="CB576" s="268"/>
      <c r="CC576" s="268"/>
      <c r="CD576" s="268"/>
      <c r="CE576" s="268"/>
      <c r="CF576" s="268"/>
      <c r="CG576" s="268"/>
      <c r="CH576" s="268"/>
      <c r="CI576" s="268"/>
      <c r="CJ576" s="268"/>
      <c r="CK576" s="268"/>
      <c r="CL576" s="268"/>
      <c r="CM576" s="268"/>
      <c r="CN576" s="268"/>
      <c r="CO576" s="268"/>
      <c r="CP576" s="268"/>
      <c r="CQ576" s="268"/>
      <c r="CR576" s="268"/>
      <c r="CS576" s="268"/>
      <c r="CT576" s="268"/>
      <c r="CU576" s="268"/>
      <c r="CV576" s="268"/>
      <c r="CW576" s="268"/>
      <c r="CX576" s="268"/>
      <c r="CY576" s="268"/>
      <c r="CZ576" s="268"/>
      <c r="DA576" s="268"/>
      <c r="DB576" s="268"/>
      <c r="DC576" s="268"/>
      <c r="DD576" s="268"/>
      <c r="DE576" s="268"/>
      <c r="DF576" s="268"/>
      <c r="DG576" s="268"/>
      <c r="DH576" s="268"/>
      <c r="DI576" s="268"/>
      <c r="DJ576" s="268"/>
      <c r="DK576" s="268"/>
      <c r="DL576" s="268"/>
      <c r="DM576" s="268"/>
      <c r="DN576" s="268"/>
      <c r="DO576" s="268"/>
      <c r="DP576" s="268"/>
      <c r="DQ576" s="268"/>
      <c r="DR576" s="268"/>
      <c r="DS576" s="268"/>
      <c r="DT576" s="268"/>
      <c r="DU576" s="268"/>
      <c r="DV576" s="268"/>
      <c r="DW576" s="268"/>
      <c r="DX576" s="268"/>
      <c r="DY576" s="268"/>
      <c r="DZ576" s="268"/>
      <c r="EA576" s="268"/>
      <c r="EB576" s="268"/>
      <c r="EC576" s="268"/>
      <c r="ED576" s="268"/>
      <c r="EE576" s="268"/>
      <c r="EF576" s="268"/>
      <c r="EG576" s="268"/>
      <c r="EH576" s="268"/>
      <c r="EI576" s="268"/>
      <c r="EJ576" s="268"/>
      <c r="EK576" s="268"/>
      <c r="EL576" s="268"/>
      <c r="EM576" s="268"/>
      <c r="EN576" s="268"/>
      <c r="EO576" s="268"/>
      <c r="EP576" s="268"/>
      <c r="EQ576" s="268"/>
      <c r="ER576" s="268"/>
      <c r="ES576" s="268"/>
      <c r="ET576" s="268"/>
      <c r="EU576" s="268"/>
      <c r="EV576" s="268"/>
      <c r="EW576" s="268"/>
      <c r="EX576" s="268"/>
      <c r="EY576" s="268"/>
      <c r="EZ576" s="268"/>
      <c r="FA576" s="268"/>
      <c r="FB576" s="268"/>
      <c r="FC576" s="268"/>
      <c r="FD576" s="268"/>
      <c r="FE576" s="268"/>
      <c r="FF576" s="268"/>
      <c r="FG576" s="268"/>
      <c r="FH576" s="268"/>
      <c r="FI576" s="268"/>
      <c r="FJ576" s="268"/>
      <c r="FK576" s="268"/>
      <c r="FL576" s="268"/>
      <c r="FM576" s="268"/>
      <c r="FN576" s="268"/>
      <c r="FO576" s="268"/>
      <c r="FP576" s="268"/>
      <c r="FQ576" s="268"/>
      <c r="FR576" s="268"/>
      <c r="FS576" s="268"/>
      <c r="FT576" s="268"/>
      <c r="FU576" s="268"/>
      <c r="FV576" s="268"/>
      <c r="FW576" s="268"/>
      <c r="FX576" s="268"/>
      <c r="FY576" s="268"/>
      <c r="FZ576" s="268"/>
      <c r="GA576" s="268"/>
      <c r="GB576" s="268"/>
      <c r="GC576" s="268"/>
      <c r="GD576" s="268"/>
      <c r="GE576" s="268"/>
      <c r="GF576" s="268"/>
      <c r="GG576" s="268"/>
      <c r="GH576" s="268"/>
      <c r="GI576" s="268"/>
      <c r="GJ576" s="268"/>
      <c r="GK576" s="268"/>
      <c r="GL576" s="268"/>
      <c r="GM576" s="268"/>
      <c r="GN576" s="268"/>
      <c r="GO576" s="268"/>
      <c r="GP576" s="268"/>
      <c r="GQ576" s="268"/>
      <c r="GR576" s="268"/>
      <c r="GS576" s="268"/>
      <c r="GT576" s="268"/>
      <c r="GU576" s="268"/>
      <c r="GV576" s="268"/>
      <c r="GW576" s="268"/>
      <c r="GX576" s="268"/>
      <c r="GY576" s="268"/>
      <c r="GZ576" s="268"/>
      <c r="HA576" s="268"/>
      <c r="HB576" s="268"/>
      <c r="HC576" s="268"/>
      <c r="HD576" s="268"/>
      <c r="HE576" s="268"/>
      <c r="HF576" s="268"/>
      <c r="HG576" s="268"/>
      <c r="HH576" s="268"/>
      <c r="HI576" s="268"/>
      <c r="HJ576" s="268"/>
      <c r="HK576" s="268"/>
      <c r="HL576" s="268"/>
      <c r="HM576" s="268"/>
      <c r="HN576" s="268"/>
      <c r="HO576" s="268"/>
      <c r="HP576" s="268"/>
      <c r="HQ576" s="268"/>
      <c r="HR576" s="268"/>
      <c r="HS576" s="268"/>
      <c r="HT576" s="268"/>
      <c r="HU576" s="268"/>
      <c r="HV576" s="268"/>
      <c r="HW576" s="268"/>
      <c r="HX576" s="268"/>
      <c r="HY576" s="268"/>
      <c r="HZ576" s="268"/>
      <c r="IA576" s="268"/>
      <c r="IB576" s="268"/>
      <c r="IC576" s="268"/>
      <c r="ID576" s="268"/>
      <c r="IE576" s="268"/>
      <c r="IF576" s="268"/>
      <c r="IG576" s="268"/>
      <c r="IH576" s="268"/>
      <c r="II576" s="268"/>
      <c r="IJ576" s="268"/>
      <c r="IK576" s="268"/>
      <c r="IL576" s="268"/>
      <c r="IM576" s="268"/>
      <c r="JA576" s="268"/>
      <c r="JB576" s="268"/>
      <c r="JC576" s="268"/>
      <c r="JQ576" s="268"/>
      <c r="JS576" s="268"/>
      <c r="JT576" s="268"/>
      <c r="JU576" s="268"/>
      <c r="JV576" s="268"/>
      <c r="JW576" s="268"/>
      <c r="JX576" s="268"/>
      <c r="JY576" s="268"/>
      <c r="JZ576" s="268"/>
      <c r="KA576" s="268"/>
      <c r="KB576" s="268"/>
      <c r="KC576" s="268"/>
      <c r="KD576" s="268"/>
      <c r="KE576" s="268"/>
      <c r="KF576" s="268"/>
      <c r="KG576" s="268"/>
      <c r="KH576" s="268"/>
      <c r="KI576" s="268"/>
      <c r="KJ576" s="268"/>
      <c r="KK576" s="268"/>
      <c r="KL576" s="268"/>
      <c r="KM576" s="268"/>
      <c r="KN576" s="268"/>
      <c r="KO576" s="268"/>
      <c r="KP576" s="268"/>
      <c r="KQ576" s="268"/>
      <c r="KR576" s="268"/>
      <c r="KS576" s="268"/>
      <c r="KT576" s="268"/>
      <c r="KU576" s="268"/>
      <c r="KV576" s="268"/>
      <c r="KW576" s="268"/>
      <c r="KX576" s="268"/>
      <c r="KY576" s="268"/>
      <c r="KZ576" s="268"/>
      <c r="LA576" s="268"/>
      <c r="LB576" s="268"/>
      <c r="LC576" s="268"/>
      <c r="LD576" s="268"/>
      <c r="LE576" s="268"/>
      <c r="LF576" s="268"/>
      <c r="LG576" s="268"/>
      <c r="LH576" s="268"/>
      <c r="LI576" s="268"/>
      <c r="LJ576" s="268"/>
      <c r="LK576" s="268"/>
      <c r="LL576" s="268"/>
      <c r="LM576" s="268"/>
      <c r="LN576" s="268"/>
      <c r="LO576" s="268"/>
      <c r="LP576" s="268"/>
      <c r="LQ576" s="268"/>
      <c r="LR576" s="268"/>
      <c r="LS576" s="268"/>
      <c r="LT576" s="268"/>
      <c r="LU576" s="268"/>
      <c r="LV576" s="268"/>
      <c r="LW576" s="268"/>
      <c r="LX576" s="268"/>
      <c r="LY576" s="268"/>
      <c r="LZ576" s="268"/>
      <c r="MA576" s="268"/>
      <c r="MB576" s="268"/>
      <c r="MC576" s="268"/>
      <c r="MD576" s="268"/>
      <c r="ME576" s="268"/>
      <c r="MF576" s="268"/>
      <c r="MG576" s="268"/>
      <c r="MH576" s="268"/>
      <c r="MI576" s="268"/>
      <c r="MJ576" s="268"/>
      <c r="MK576" s="268"/>
      <c r="ML576" s="268"/>
      <c r="MM576" s="268"/>
      <c r="MN576" s="268"/>
      <c r="MO576" s="268"/>
      <c r="MP576" s="268"/>
      <c r="MQ576" s="268"/>
      <c r="MR576" s="268"/>
      <c r="MS576" s="268"/>
      <c r="MT576" s="268"/>
      <c r="MU576" s="268"/>
      <c r="MV576" s="268"/>
      <c r="MW576" s="268"/>
      <c r="MX576" s="268"/>
      <c r="MY576" s="268"/>
      <c r="MZ576" s="268"/>
      <c r="NA576" s="268"/>
      <c r="NB576" s="268"/>
      <c r="NC576" s="268"/>
      <c r="ND576" s="268"/>
      <c r="NE576" s="268"/>
      <c r="NF576" s="268"/>
      <c r="NG576" s="268"/>
      <c r="NH576" s="268"/>
      <c r="NI576" s="268"/>
      <c r="NJ576" s="268"/>
      <c r="NK576" s="268"/>
      <c r="NL576" s="268"/>
      <c r="NM576" s="268"/>
      <c r="NN576" s="268"/>
      <c r="NO576" s="268"/>
      <c r="NP576" s="268"/>
      <c r="NQ576" s="268"/>
      <c r="NR576" s="268"/>
      <c r="NS576" s="268"/>
      <c r="NT576" s="268"/>
      <c r="NU576" s="268"/>
      <c r="NV576" s="268"/>
      <c r="NW576" s="268"/>
      <c r="NX576" s="268"/>
      <c r="NY576" s="268"/>
      <c r="NZ576" s="268"/>
      <c r="OA576" s="268"/>
      <c r="OB576" s="268"/>
      <c r="OC576" s="268"/>
      <c r="OD576" s="268"/>
      <c r="OE576" s="268"/>
      <c r="OF576" s="268"/>
      <c r="OG576" s="268"/>
      <c r="OH576" s="268"/>
      <c r="OI576" s="268"/>
      <c r="OJ576" s="268"/>
      <c r="OK576" s="268"/>
      <c r="OL576" s="268"/>
      <c r="OM576" s="268"/>
      <c r="ON576" s="268"/>
      <c r="OO576" s="268"/>
      <c r="OP576" s="268"/>
      <c r="OQ576" s="268"/>
      <c r="OR576" s="268"/>
      <c r="OS576" s="268"/>
      <c r="OT576" s="268"/>
      <c r="OU576" s="268"/>
      <c r="OV576" s="268"/>
      <c r="OW576" s="268"/>
      <c r="OX576" s="268"/>
      <c r="OY576" s="268"/>
      <c r="OZ576" s="268"/>
      <c r="PA576" s="268"/>
      <c r="PB576" s="268"/>
      <c r="PC576" s="268"/>
      <c r="PD576" s="268"/>
      <c r="PE576" s="268"/>
      <c r="PF576" s="268"/>
      <c r="PG576" s="268"/>
      <c r="PH576" s="268"/>
      <c r="PI576" s="268"/>
      <c r="PJ576" s="268"/>
      <c r="PK576" s="268"/>
      <c r="PL576" s="268"/>
      <c r="PM576" s="268"/>
      <c r="PN576" s="268"/>
      <c r="PO576" s="268"/>
      <c r="PP576" s="268"/>
      <c r="PQ576" s="268"/>
      <c r="PR576" s="268"/>
      <c r="PS576" s="268"/>
      <c r="PT576" s="268"/>
      <c r="PU576" s="268"/>
      <c r="PV576" s="268"/>
      <c r="PW576" s="268"/>
      <c r="PX576" s="268"/>
      <c r="PY576" s="268"/>
      <c r="PZ576" s="268"/>
      <c r="QA576" s="268"/>
      <c r="QB576" s="268"/>
      <c r="QC576" s="268"/>
      <c r="QD576" s="268"/>
      <c r="QE576" s="268"/>
      <c r="QF576" s="268"/>
      <c r="QG576" s="268"/>
      <c r="QH576" s="268"/>
      <c r="QI576" s="268"/>
      <c r="QJ576" s="268"/>
      <c r="QK576" s="268"/>
      <c r="QL576" s="268"/>
      <c r="QM576" s="268"/>
      <c r="QN576" s="268"/>
      <c r="QO576" s="268"/>
      <c r="QP576" s="268"/>
      <c r="QQ576" s="268"/>
      <c r="QR576" s="268"/>
      <c r="QS576" s="268"/>
      <c r="QT576" s="268"/>
      <c r="QU576" s="268"/>
      <c r="QV576" s="268"/>
      <c r="QW576" s="268"/>
      <c r="QX576" s="268"/>
      <c r="QY576" s="268"/>
      <c r="QZ576" s="268"/>
      <c r="RA576" s="268"/>
      <c r="RB576" s="268"/>
      <c r="RC576" s="268"/>
      <c r="RD576" s="268"/>
      <c r="RE576" s="268"/>
      <c r="RF576" s="268"/>
      <c r="RG576" s="268"/>
      <c r="RH576" s="268"/>
      <c r="RI576" s="268"/>
      <c r="RJ576" s="268"/>
      <c r="RK576" s="268"/>
      <c r="RL576" s="268"/>
      <c r="RM576" s="268"/>
      <c r="RN576" s="268"/>
      <c r="RO576" s="268"/>
      <c r="RP576" s="268"/>
      <c r="RQ576" s="268"/>
      <c r="RR576" s="268"/>
      <c r="RS576" s="268"/>
      <c r="RT576" s="268"/>
      <c r="RU576" s="268"/>
      <c r="RV576" s="268"/>
      <c r="RW576" s="268"/>
      <c r="RX576" s="268"/>
      <c r="RY576" s="268"/>
      <c r="RZ576" s="268"/>
      <c r="SA576" s="268"/>
      <c r="SB576" s="268"/>
      <c r="SC576" s="268"/>
      <c r="SD576" s="268"/>
      <c r="SE576" s="268"/>
      <c r="SF576" s="268"/>
      <c r="SG576" s="268"/>
      <c r="SH576" s="268"/>
      <c r="SI576" s="268"/>
      <c r="SW576" s="268"/>
      <c r="SX576" s="268"/>
      <c r="SY576" s="268"/>
      <c r="TM576" s="268"/>
      <c r="TO576" s="268"/>
      <c r="TP576" s="268"/>
      <c r="TQ576" s="268"/>
      <c r="TR576" s="268"/>
      <c r="TS576" s="268"/>
      <c r="TT576" s="268"/>
      <c r="TU576" s="268"/>
      <c r="TV576" s="268"/>
      <c r="TW576" s="268"/>
      <c r="TX576" s="268"/>
      <c r="TY576" s="268"/>
      <c r="TZ576" s="268"/>
      <c r="UA576" s="268"/>
      <c r="UB576" s="268"/>
      <c r="UC576" s="268"/>
      <c r="UD576" s="268"/>
      <c r="UE576" s="268"/>
      <c r="UF576" s="268"/>
      <c r="UG576" s="268"/>
      <c r="UH576" s="268"/>
      <c r="UI576" s="268"/>
      <c r="UJ576" s="268"/>
      <c r="UK576" s="268"/>
      <c r="UL576" s="268"/>
      <c r="UM576" s="268"/>
      <c r="UN576" s="268"/>
      <c r="UO576" s="268"/>
      <c r="UP576" s="268"/>
      <c r="UQ576" s="268"/>
      <c r="UR576" s="268"/>
      <c r="US576" s="268"/>
      <c r="UT576" s="268"/>
      <c r="UU576" s="268"/>
      <c r="UV576" s="268"/>
      <c r="UW576" s="268"/>
      <c r="UX576" s="268"/>
      <c r="UY576" s="268"/>
      <c r="UZ576" s="268"/>
      <c r="VA576" s="268"/>
      <c r="VB576" s="268"/>
      <c r="VC576" s="268"/>
      <c r="VD576" s="268"/>
      <c r="VE576" s="268"/>
      <c r="VF576" s="268"/>
      <c r="VG576" s="268"/>
      <c r="VH576" s="268"/>
      <c r="VI576" s="268"/>
      <c r="VJ576" s="268"/>
      <c r="VK576" s="268"/>
      <c r="VL576" s="268"/>
      <c r="VM576" s="268"/>
      <c r="VN576" s="268"/>
      <c r="VO576" s="268"/>
      <c r="VP576" s="268"/>
      <c r="VQ576" s="268"/>
      <c r="VR576" s="268"/>
      <c r="VS576" s="268"/>
      <c r="VT576" s="268"/>
      <c r="VU576" s="268"/>
      <c r="VV576" s="268"/>
      <c r="VW576" s="268"/>
      <c r="VX576" s="268"/>
      <c r="VY576" s="268"/>
      <c r="VZ576" s="268"/>
      <c r="WA576" s="268"/>
      <c r="WB576" s="268"/>
      <c r="WC576" s="268"/>
      <c r="WD576" s="268"/>
      <c r="WE576" s="268"/>
      <c r="WF576" s="268"/>
      <c r="WG576" s="268"/>
      <c r="WH576" s="268"/>
      <c r="WI576" s="268"/>
      <c r="WJ576" s="268"/>
      <c r="WK576" s="268"/>
      <c r="WL576" s="268"/>
      <c r="WM576" s="268"/>
      <c r="WN576" s="268"/>
      <c r="WO576" s="268"/>
      <c r="WP576" s="268"/>
      <c r="WQ576" s="268"/>
      <c r="WR576" s="268"/>
      <c r="WS576" s="268"/>
      <c r="WT576" s="268"/>
      <c r="WU576" s="268"/>
      <c r="WV576" s="268"/>
      <c r="WW576" s="268"/>
      <c r="WX576" s="268"/>
      <c r="WY576" s="268"/>
      <c r="WZ576" s="268"/>
      <c r="XA576" s="268"/>
      <c r="XB576" s="268"/>
      <c r="XC576" s="268"/>
      <c r="XD576" s="268"/>
      <c r="XE576" s="268"/>
      <c r="XF576" s="268"/>
      <c r="XG576" s="268"/>
      <c r="XH576" s="268"/>
      <c r="XI576" s="268"/>
      <c r="XJ576" s="268"/>
      <c r="XK576" s="268"/>
      <c r="XL576" s="268"/>
      <c r="XM576" s="268"/>
      <c r="XN576" s="268"/>
      <c r="XO576" s="268"/>
      <c r="XP576" s="268"/>
      <c r="XQ576" s="268"/>
      <c r="XR576" s="268"/>
      <c r="XS576" s="268"/>
      <c r="XT576" s="268"/>
      <c r="XU576" s="268"/>
      <c r="XV576" s="268"/>
      <c r="XW576" s="268"/>
      <c r="XX576" s="268"/>
      <c r="XY576" s="268"/>
      <c r="XZ576" s="268"/>
      <c r="YA576" s="268"/>
      <c r="YB576" s="268"/>
      <c r="YC576" s="268"/>
      <c r="YD576" s="268"/>
      <c r="YE576" s="268"/>
      <c r="YF576" s="268"/>
      <c r="YG576" s="268"/>
      <c r="YH576" s="268"/>
      <c r="YI576" s="268"/>
      <c r="YJ576" s="268"/>
      <c r="YK576" s="268"/>
      <c r="YL576" s="268"/>
      <c r="YM576" s="268"/>
      <c r="YN576" s="268"/>
      <c r="YO576" s="268"/>
      <c r="YP576" s="268"/>
      <c r="YQ576" s="268"/>
      <c r="YR576" s="268"/>
      <c r="YS576" s="268"/>
      <c r="YT576" s="268"/>
      <c r="YU576" s="268"/>
      <c r="YV576" s="268"/>
      <c r="YW576" s="268"/>
      <c r="YX576" s="268"/>
      <c r="YY576" s="268"/>
      <c r="YZ576" s="268"/>
      <c r="ZA576" s="268"/>
      <c r="ZB576" s="268"/>
      <c r="ZC576" s="268"/>
      <c r="ZD576" s="268"/>
      <c r="ZE576" s="268"/>
      <c r="ZF576" s="268"/>
      <c r="ZG576" s="268"/>
      <c r="ZH576" s="268"/>
      <c r="ZI576" s="268"/>
      <c r="ZJ576" s="268"/>
      <c r="ZK576" s="268"/>
      <c r="ZL576" s="268"/>
      <c r="ZM576" s="268"/>
      <c r="ZN576" s="268"/>
      <c r="ZO576" s="268"/>
      <c r="ZP576" s="268"/>
      <c r="ZQ576" s="268"/>
      <c r="ZR576" s="268"/>
      <c r="ZS576" s="268"/>
      <c r="ZT576" s="268"/>
      <c r="ZU576" s="268"/>
      <c r="ZV576" s="268"/>
      <c r="ZW576" s="268"/>
      <c r="ZX576" s="268"/>
      <c r="ZY576" s="268"/>
      <c r="ZZ576" s="268"/>
      <c r="AAA576" s="268"/>
      <c r="AAB576" s="268"/>
      <c r="AAC576" s="268"/>
      <c r="AAD576" s="268"/>
      <c r="AAE576" s="268"/>
      <c r="AAF576" s="268"/>
      <c r="AAG576" s="268"/>
      <c r="AAH576" s="268"/>
      <c r="AAI576" s="268"/>
      <c r="AAJ576" s="268"/>
      <c r="AAK576" s="268"/>
      <c r="AAL576" s="268"/>
      <c r="AAM576" s="268"/>
      <c r="AAN576" s="268"/>
      <c r="AAO576" s="268"/>
      <c r="AAP576" s="268"/>
      <c r="AAQ576" s="268"/>
      <c r="AAR576" s="268"/>
      <c r="AAS576" s="268"/>
      <c r="AAT576" s="268"/>
      <c r="AAU576" s="268"/>
      <c r="AAV576" s="268"/>
      <c r="AAW576" s="268"/>
      <c r="AAX576" s="268"/>
      <c r="AAY576" s="268"/>
      <c r="AAZ576" s="268"/>
      <c r="ABA576" s="268"/>
      <c r="ABB576" s="268"/>
      <c r="ABC576" s="268"/>
      <c r="ABD576" s="268"/>
      <c r="ABE576" s="268"/>
      <c r="ABF576" s="268"/>
      <c r="ABG576" s="268"/>
      <c r="ABH576" s="268"/>
      <c r="ABI576" s="268"/>
      <c r="ABJ576" s="268"/>
      <c r="ABK576" s="268"/>
      <c r="ABL576" s="268"/>
      <c r="ABM576" s="268"/>
      <c r="ABN576" s="268"/>
      <c r="ABO576" s="268"/>
      <c r="ABP576" s="268"/>
      <c r="ABQ576" s="268"/>
      <c r="ABR576" s="268"/>
      <c r="ABS576" s="268"/>
      <c r="ABT576" s="268"/>
      <c r="ABU576" s="268"/>
      <c r="ABV576" s="268"/>
      <c r="ABW576" s="268"/>
      <c r="ABX576" s="268"/>
      <c r="ABY576" s="268"/>
      <c r="ABZ576" s="268"/>
      <c r="ACA576" s="268"/>
      <c r="ACB576" s="268"/>
      <c r="ACC576" s="268"/>
      <c r="ACD576" s="268"/>
      <c r="ACE576" s="268"/>
      <c r="ACS576" s="268"/>
      <c r="ACT576" s="268"/>
      <c r="ACU576" s="268"/>
      <c r="ADI576" s="268"/>
      <c r="ADK576" s="268"/>
      <c r="ADL576" s="268"/>
      <c r="ADM576" s="268"/>
      <c r="ADN576" s="268"/>
      <c r="ADO576" s="268"/>
      <c r="ADP576" s="268"/>
      <c r="ADQ576" s="268"/>
      <c r="ADR576" s="268"/>
      <c r="ADS576" s="268"/>
      <c r="ADT576" s="268"/>
      <c r="ADU576" s="268"/>
      <c r="ADV576" s="268"/>
      <c r="ADW576" s="268"/>
      <c r="ADX576" s="268"/>
      <c r="ADY576" s="268"/>
      <c r="ADZ576" s="268"/>
      <c r="AEA576" s="268"/>
      <c r="AEB576" s="268"/>
      <c r="AEC576" s="268"/>
      <c r="AED576" s="268"/>
      <c r="AEE576" s="268"/>
      <c r="AEF576" s="268"/>
      <c r="AEG576" s="268"/>
      <c r="AEH576" s="268"/>
      <c r="AEI576" s="268"/>
      <c r="AEJ576" s="268"/>
      <c r="AEK576" s="268"/>
      <c r="AEL576" s="268"/>
      <c r="AEM576" s="268"/>
      <c r="AEN576" s="268"/>
      <c r="AEO576" s="268"/>
      <c r="AEP576" s="268"/>
      <c r="AEQ576" s="268"/>
      <c r="AER576" s="268"/>
      <c r="AES576" s="268"/>
      <c r="AET576" s="268"/>
      <c r="AEU576" s="268"/>
      <c r="AEV576" s="268"/>
      <c r="AEW576" s="268"/>
      <c r="AEX576" s="268"/>
      <c r="AEY576" s="268"/>
      <c r="AEZ576" s="268"/>
      <c r="AFA576" s="268"/>
      <c r="AFB576" s="268"/>
      <c r="AFC576" s="268"/>
      <c r="AFD576" s="268"/>
      <c r="AFE576" s="268"/>
      <c r="AFF576" s="268"/>
      <c r="AFG576" s="268"/>
      <c r="AFH576" s="268"/>
      <c r="AFI576" s="268"/>
      <c r="AFJ576" s="268"/>
      <c r="AFK576" s="268"/>
      <c r="AFL576" s="268"/>
      <c r="AFM576" s="268"/>
      <c r="AFN576" s="268"/>
      <c r="AFO576" s="268"/>
      <c r="AFP576" s="268"/>
      <c r="AFQ576" s="268"/>
      <c r="AFR576" s="268"/>
      <c r="AFS576" s="268"/>
      <c r="AFT576" s="268"/>
      <c r="AFU576" s="268"/>
      <c r="AFV576" s="268"/>
      <c r="AFW576" s="268"/>
      <c r="AFX576" s="268"/>
      <c r="AFY576" s="268"/>
      <c r="AFZ576" s="268"/>
      <c r="AGA576" s="268"/>
      <c r="AGB576" s="268"/>
      <c r="AGC576" s="268"/>
      <c r="AGD576" s="268"/>
      <c r="AGE576" s="268"/>
      <c r="AGF576" s="268"/>
      <c r="AGG576" s="268"/>
      <c r="AGH576" s="268"/>
      <c r="AGI576" s="268"/>
      <c r="AGJ576" s="268"/>
      <c r="AGK576" s="268"/>
      <c r="AGL576" s="268"/>
      <c r="AGM576" s="268"/>
      <c r="AGN576" s="268"/>
      <c r="AGO576" s="268"/>
      <c r="AGP576" s="268"/>
      <c r="AGQ576" s="268"/>
      <c r="AGR576" s="268"/>
      <c r="AGS576" s="268"/>
      <c r="AGT576" s="268"/>
      <c r="AGU576" s="268"/>
      <c r="AGV576" s="268"/>
      <c r="AGW576" s="268"/>
      <c r="AGX576" s="268"/>
      <c r="AGY576" s="268"/>
      <c r="AGZ576" s="268"/>
      <c r="AHA576" s="268"/>
      <c r="AHB576" s="268"/>
      <c r="AHC576" s="268"/>
      <c r="AHD576" s="268"/>
      <c r="AHE576" s="268"/>
      <c r="AHF576" s="268"/>
      <c r="AHG576" s="268"/>
      <c r="AHH576" s="268"/>
      <c r="AHI576" s="268"/>
      <c r="AHJ576" s="268"/>
      <c r="AHK576" s="268"/>
      <c r="AHL576" s="268"/>
      <c r="AHM576" s="268"/>
      <c r="AHN576" s="268"/>
      <c r="AHO576" s="268"/>
      <c r="AHP576" s="268"/>
      <c r="AHQ576" s="268"/>
      <c r="AHR576" s="268"/>
      <c r="AHS576" s="268"/>
      <c r="AHT576" s="268"/>
      <c r="AHU576" s="268"/>
      <c r="AHV576" s="268"/>
      <c r="AHW576" s="268"/>
      <c r="AHX576" s="268"/>
      <c r="AHY576" s="268"/>
      <c r="AHZ576" s="268"/>
      <c r="AIA576" s="268"/>
      <c r="AIB576" s="268"/>
      <c r="AIC576" s="268"/>
      <c r="AID576" s="268"/>
      <c r="AIE576" s="268"/>
      <c r="AIF576" s="268"/>
      <c r="AIG576" s="268"/>
      <c r="AIH576" s="268"/>
      <c r="AII576" s="268"/>
      <c r="AIJ576" s="268"/>
      <c r="AIK576" s="268"/>
      <c r="AIL576" s="268"/>
      <c r="AIM576" s="268"/>
      <c r="AIN576" s="268"/>
      <c r="AIO576" s="268"/>
      <c r="AIP576" s="268"/>
      <c r="AIQ576" s="268"/>
      <c r="AIR576" s="268"/>
      <c r="AIS576" s="268"/>
      <c r="AIT576" s="268"/>
      <c r="AIU576" s="268"/>
      <c r="AIV576" s="268"/>
      <c r="AIW576" s="268"/>
      <c r="AIX576" s="268"/>
      <c r="AIY576" s="268"/>
      <c r="AIZ576" s="268"/>
      <c r="AJA576" s="268"/>
      <c r="AJB576" s="268"/>
      <c r="AJC576" s="268"/>
      <c r="AJD576" s="268"/>
      <c r="AJE576" s="268"/>
      <c r="AJF576" s="268"/>
      <c r="AJG576" s="268"/>
      <c r="AJH576" s="268"/>
      <c r="AJI576" s="268"/>
      <c r="AJJ576" s="268"/>
      <c r="AJK576" s="268"/>
      <c r="AJL576" s="268"/>
      <c r="AJM576" s="268"/>
      <c r="AJN576" s="268"/>
      <c r="AJO576" s="268"/>
      <c r="AJP576" s="268"/>
      <c r="AJQ576" s="268"/>
      <c r="AJR576" s="268"/>
      <c r="AJS576" s="268"/>
      <c r="AJT576" s="268"/>
      <c r="AJU576" s="268"/>
      <c r="AJV576" s="268"/>
      <c r="AJW576" s="268"/>
      <c r="AJX576" s="268"/>
      <c r="AJY576" s="268"/>
      <c r="AJZ576" s="268"/>
      <c r="AKA576" s="268"/>
      <c r="AKB576" s="268"/>
      <c r="AKC576" s="268"/>
      <c r="AKD576" s="268"/>
      <c r="AKE576" s="268"/>
      <c r="AKF576" s="268"/>
      <c r="AKG576" s="268"/>
      <c r="AKH576" s="268"/>
      <c r="AKI576" s="268"/>
      <c r="AKJ576" s="268"/>
      <c r="AKK576" s="268"/>
      <c r="AKL576" s="268"/>
      <c r="AKM576" s="268"/>
      <c r="AKN576" s="268"/>
      <c r="AKO576" s="268"/>
      <c r="AKP576" s="268"/>
      <c r="AKQ576" s="268"/>
      <c r="AKR576" s="268"/>
      <c r="AKS576" s="268"/>
      <c r="AKT576" s="268"/>
      <c r="AKU576" s="268"/>
      <c r="AKV576" s="268"/>
      <c r="AKW576" s="268"/>
      <c r="AKX576" s="268"/>
      <c r="AKY576" s="268"/>
      <c r="AKZ576" s="268"/>
      <c r="ALA576" s="268"/>
      <c r="ALB576" s="268"/>
      <c r="ALC576" s="268"/>
      <c r="ALD576" s="268"/>
      <c r="ALE576" s="268"/>
      <c r="ALF576" s="268"/>
      <c r="ALG576" s="268"/>
      <c r="ALH576" s="268"/>
      <c r="ALI576" s="268"/>
      <c r="ALJ576" s="268"/>
      <c r="ALK576" s="268"/>
      <c r="ALL576" s="268"/>
      <c r="ALM576" s="268"/>
      <c r="ALN576" s="268"/>
      <c r="ALO576" s="268"/>
      <c r="ALP576" s="268"/>
      <c r="ALQ576" s="268"/>
      <c r="ALR576" s="268"/>
      <c r="ALS576" s="268"/>
      <c r="ALT576" s="268"/>
      <c r="ALU576" s="268"/>
      <c r="ALV576" s="268"/>
      <c r="ALW576" s="268"/>
      <c r="ALX576" s="268"/>
      <c r="ALY576" s="268"/>
      <c r="ALZ576" s="268"/>
      <c r="AMA576" s="268"/>
      <c r="AMO576" s="268"/>
      <c r="AMP576" s="268"/>
      <c r="AMQ576" s="268"/>
      <c r="ANE576" s="268"/>
      <c r="ANG576" s="268"/>
      <c r="ANH576" s="268"/>
      <c r="ANI576" s="268"/>
      <c r="ANJ576" s="268"/>
      <c r="ANK576" s="268"/>
      <c r="ANL576" s="268"/>
      <c r="ANM576" s="268"/>
      <c r="ANN576" s="268"/>
      <c r="ANO576" s="268"/>
      <c r="ANP576" s="268"/>
      <c r="ANQ576" s="268"/>
      <c r="ANR576" s="268"/>
      <c r="ANS576" s="268"/>
      <c r="ANT576" s="268"/>
      <c r="ANU576" s="268"/>
      <c r="ANV576" s="268"/>
      <c r="ANW576" s="268"/>
      <c r="ANX576" s="268"/>
      <c r="ANY576" s="268"/>
      <c r="ANZ576" s="268"/>
      <c r="AOA576" s="268"/>
      <c r="AOB576" s="268"/>
      <c r="AOC576" s="268"/>
      <c r="AOD576" s="268"/>
      <c r="AOE576" s="268"/>
      <c r="AOF576" s="268"/>
      <c r="AOG576" s="268"/>
      <c r="AOH576" s="268"/>
      <c r="AOI576" s="268"/>
      <c r="AOJ576" s="268"/>
      <c r="AOK576" s="268"/>
      <c r="AOL576" s="268"/>
      <c r="AOM576" s="268"/>
      <c r="AON576" s="268"/>
      <c r="AOO576" s="268"/>
      <c r="AOP576" s="268"/>
      <c r="AOQ576" s="268"/>
      <c r="AOR576" s="268"/>
      <c r="AOS576" s="268"/>
      <c r="AOT576" s="268"/>
      <c r="AOU576" s="268"/>
      <c r="AOV576" s="268"/>
      <c r="AOW576" s="268"/>
      <c r="AOX576" s="268"/>
      <c r="AOY576" s="268"/>
      <c r="AOZ576" s="268"/>
      <c r="APA576" s="268"/>
      <c r="APB576" s="268"/>
      <c r="APC576" s="268"/>
      <c r="APD576" s="268"/>
      <c r="APE576" s="268"/>
      <c r="APF576" s="268"/>
      <c r="APG576" s="268"/>
      <c r="APH576" s="268"/>
      <c r="API576" s="268"/>
      <c r="APJ576" s="268"/>
      <c r="APK576" s="268"/>
      <c r="APL576" s="268"/>
      <c r="APM576" s="268"/>
      <c r="APN576" s="268"/>
      <c r="APO576" s="268"/>
      <c r="APP576" s="268"/>
      <c r="APQ576" s="268"/>
      <c r="APR576" s="268"/>
      <c r="APS576" s="268"/>
      <c r="APT576" s="268"/>
      <c r="APU576" s="268"/>
      <c r="APV576" s="268"/>
      <c r="APW576" s="268"/>
      <c r="APX576" s="268"/>
      <c r="APY576" s="268"/>
      <c r="APZ576" s="268"/>
      <c r="AQA576" s="268"/>
      <c r="AQB576" s="268"/>
      <c r="AQC576" s="268"/>
      <c r="AQD576" s="268"/>
      <c r="AQE576" s="268"/>
      <c r="AQF576" s="268"/>
      <c r="AQG576" s="268"/>
      <c r="AQH576" s="268"/>
      <c r="AQI576" s="268"/>
      <c r="AQJ576" s="268"/>
      <c r="AQK576" s="268"/>
      <c r="AQL576" s="268"/>
      <c r="AQM576" s="268"/>
      <c r="AQN576" s="268"/>
      <c r="AQO576" s="268"/>
      <c r="AQP576" s="268"/>
      <c r="AQQ576" s="268"/>
      <c r="AQR576" s="268"/>
      <c r="AQS576" s="268"/>
      <c r="AQT576" s="268"/>
      <c r="AQU576" s="268"/>
      <c r="AQV576" s="268"/>
      <c r="AQW576" s="268"/>
      <c r="AQX576" s="268"/>
      <c r="AQY576" s="268"/>
      <c r="AQZ576" s="268"/>
      <c r="ARA576" s="268"/>
      <c r="ARB576" s="268"/>
      <c r="ARC576" s="268"/>
      <c r="ARD576" s="268"/>
      <c r="ARE576" s="268"/>
      <c r="ARF576" s="268"/>
      <c r="ARG576" s="268"/>
      <c r="ARH576" s="268"/>
      <c r="ARI576" s="268"/>
      <c r="ARJ576" s="268"/>
      <c r="ARK576" s="268"/>
      <c r="ARL576" s="268"/>
      <c r="ARM576" s="268"/>
      <c r="ARN576" s="268"/>
      <c r="ARO576" s="268"/>
      <c r="ARP576" s="268"/>
      <c r="ARQ576" s="268"/>
      <c r="ARR576" s="268"/>
      <c r="ARS576" s="268"/>
      <c r="ART576" s="268"/>
      <c r="ARU576" s="268"/>
      <c r="ARV576" s="268"/>
      <c r="ARW576" s="268"/>
      <c r="ARX576" s="268"/>
      <c r="ARY576" s="268"/>
      <c r="ARZ576" s="268"/>
      <c r="ASA576" s="268"/>
      <c r="ASB576" s="268"/>
      <c r="ASC576" s="268"/>
      <c r="ASD576" s="268"/>
      <c r="ASE576" s="268"/>
      <c r="ASF576" s="268"/>
      <c r="ASG576" s="268"/>
      <c r="ASH576" s="268"/>
      <c r="ASI576" s="268"/>
      <c r="ASJ576" s="268"/>
      <c r="ASK576" s="268"/>
      <c r="ASL576" s="268"/>
      <c r="ASM576" s="268"/>
      <c r="ASN576" s="268"/>
      <c r="ASO576" s="268"/>
      <c r="ASP576" s="268"/>
      <c r="ASQ576" s="268"/>
      <c r="ASR576" s="268"/>
      <c r="ASS576" s="268"/>
      <c r="AST576" s="268"/>
      <c r="ASU576" s="268"/>
      <c r="ASV576" s="268"/>
      <c r="ASW576" s="268"/>
      <c r="ASX576" s="268"/>
      <c r="ASY576" s="268"/>
      <c r="ASZ576" s="268"/>
      <c r="ATA576" s="268"/>
      <c r="ATB576" s="268"/>
      <c r="ATC576" s="268"/>
      <c r="ATD576" s="268"/>
      <c r="ATE576" s="268"/>
      <c r="ATF576" s="268"/>
      <c r="ATG576" s="268"/>
      <c r="ATH576" s="268"/>
      <c r="ATI576" s="268"/>
      <c r="ATJ576" s="268"/>
      <c r="ATK576" s="268"/>
      <c r="ATL576" s="268"/>
      <c r="ATM576" s="268"/>
      <c r="ATN576" s="268"/>
      <c r="ATO576" s="268"/>
      <c r="ATP576" s="268"/>
      <c r="ATQ576" s="268"/>
      <c r="ATR576" s="268"/>
      <c r="ATS576" s="268"/>
      <c r="ATT576" s="268"/>
      <c r="ATU576" s="268"/>
      <c r="ATV576" s="268"/>
      <c r="ATW576" s="268"/>
      <c r="ATX576" s="268"/>
      <c r="ATY576" s="268"/>
      <c r="ATZ576" s="268"/>
      <c r="AUA576" s="268"/>
      <c r="AUB576" s="268"/>
      <c r="AUC576" s="268"/>
      <c r="AUD576" s="268"/>
      <c r="AUE576" s="268"/>
      <c r="AUF576" s="268"/>
      <c r="AUG576" s="268"/>
      <c r="AUH576" s="268"/>
      <c r="AUI576" s="268"/>
      <c r="AUJ576" s="268"/>
      <c r="AUK576" s="268"/>
      <c r="AUL576" s="268"/>
      <c r="AUM576" s="268"/>
      <c r="AUN576" s="268"/>
      <c r="AUO576" s="268"/>
      <c r="AUP576" s="268"/>
      <c r="AUQ576" s="268"/>
      <c r="AUR576" s="268"/>
      <c r="AUS576" s="268"/>
      <c r="AUT576" s="268"/>
      <c r="AUU576" s="268"/>
      <c r="AUV576" s="268"/>
      <c r="AUW576" s="268"/>
      <c r="AUX576" s="268"/>
      <c r="AUY576" s="268"/>
      <c r="AUZ576" s="268"/>
      <c r="AVA576" s="268"/>
      <c r="AVB576" s="268"/>
      <c r="AVC576" s="268"/>
      <c r="AVD576" s="268"/>
      <c r="AVE576" s="268"/>
      <c r="AVF576" s="268"/>
      <c r="AVG576" s="268"/>
      <c r="AVH576" s="268"/>
      <c r="AVI576" s="268"/>
      <c r="AVJ576" s="268"/>
      <c r="AVK576" s="268"/>
      <c r="AVL576" s="268"/>
      <c r="AVM576" s="268"/>
      <c r="AVN576" s="268"/>
      <c r="AVO576" s="268"/>
      <c r="AVP576" s="268"/>
      <c r="AVQ576" s="268"/>
      <c r="AVR576" s="268"/>
      <c r="AVS576" s="268"/>
      <c r="AVT576" s="268"/>
      <c r="AVU576" s="268"/>
      <c r="AVV576" s="268"/>
      <c r="AVW576" s="268"/>
      <c r="AWK576" s="268"/>
      <c r="AWL576" s="268"/>
      <c r="AWM576" s="268"/>
      <c r="AXA576" s="268"/>
      <c r="AXC576" s="268"/>
      <c r="AXD576" s="268"/>
      <c r="AXE576" s="268"/>
      <c r="AXF576" s="268"/>
      <c r="AXG576" s="268"/>
      <c r="AXH576" s="268"/>
      <c r="AXI576" s="268"/>
      <c r="AXJ576" s="268"/>
      <c r="AXK576" s="268"/>
      <c r="AXL576" s="268"/>
      <c r="AXM576" s="268"/>
      <c r="AXN576" s="268"/>
      <c r="AXO576" s="268"/>
      <c r="AXP576" s="268"/>
      <c r="AXQ576" s="268"/>
      <c r="AXR576" s="268"/>
      <c r="AXS576" s="268"/>
      <c r="AXT576" s="268"/>
      <c r="AXU576" s="268"/>
      <c r="AXV576" s="268"/>
      <c r="AXW576" s="268"/>
      <c r="AXX576" s="268"/>
      <c r="AXY576" s="268"/>
      <c r="AXZ576" s="268"/>
      <c r="AYA576" s="268"/>
      <c r="AYB576" s="268"/>
      <c r="AYC576" s="268"/>
      <c r="AYD576" s="268"/>
      <c r="AYE576" s="268"/>
      <c r="AYF576" s="268"/>
      <c r="AYG576" s="268"/>
      <c r="AYH576" s="268"/>
      <c r="AYI576" s="268"/>
      <c r="AYJ576" s="268"/>
      <c r="AYK576" s="268"/>
      <c r="AYL576" s="268"/>
      <c r="AYM576" s="268"/>
      <c r="AYN576" s="268"/>
      <c r="AYO576" s="268"/>
      <c r="AYP576" s="268"/>
      <c r="AYQ576" s="268"/>
      <c r="AYR576" s="268"/>
      <c r="AYS576" s="268"/>
      <c r="AYT576" s="268"/>
      <c r="AYU576" s="268"/>
      <c r="AYV576" s="268"/>
      <c r="AYW576" s="268"/>
      <c r="AYX576" s="268"/>
      <c r="AYY576" s="268"/>
      <c r="AYZ576" s="268"/>
      <c r="AZA576" s="268"/>
      <c r="AZB576" s="268"/>
      <c r="AZC576" s="268"/>
      <c r="AZD576" s="268"/>
      <c r="AZE576" s="268"/>
      <c r="AZF576" s="268"/>
      <c r="AZG576" s="268"/>
      <c r="AZH576" s="268"/>
      <c r="AZI576" s="268"/>
      <c r="AZJ576" s="268"/>
      <c r="AZK576" s="268"/>
      <c r="AZL576" s="268"/>
      <c r="AZM576" s="268"/>
      <c r="AZN576" s="268"/>
      <c r="AZO576" s="268"/>
      <c r="AZP576" s="268"/>
      <c r="AZQ576" s="268"/>
      <c r="AZR576" s="268"/>
      <c r="AZS576" s="268"/>
      <c r="AZT576" s="268"/>
      <c r="AZU576" s="268"/>
      <c r="AZV576" s="268"/>
      <c r="AZW576" s="268"/>
      <c r="AZX576" s="268"/>
      <c r="AZY576" s="268"/>
      <c r="AZZ576" s="268"/>
      <c r="BAA576" s="268"/>
      <c r="BAB576" s="268"/>
      <c r="BAC576" s="268"/>
      <c r="BAD576" s="268"/>
      <c r="BAE576" s="268"/>
      <c r="BAF576" s="268"/>
      <c r="BAG576" s="268"/>
      <c r="BAH576" s="268"/>
      <c r="BAI576" s="268"/>
      <c r="BAJ576" s="268"/>
      <c r="BAK576" s="268"/>
      <c r="BAL576" s="268"/>
      <c r="BAM576" s="268"/>
      <c r="BAN576" s="268"/>
      <c r="BAO576" s="268"/>
      <c r="BAP576" s="268"/>
      <c r="BAQ576" s="268"/>
      <c r="BAR576" s="268"/>
      <c r="BAS576" s="268"/>
      <c r="BAT576" s="268"/>
      <c r="BAU576" s="268"/>
      <c r="BAV576" s="268"/>
      <c r="BAW576" s="268"/>
      <c r="BAX576" s="268"/>
      <c r="BAY576" s="268"/>
      <c r="BAZ576" s="268"/>
      <c r="BBA576" s="268"/>
      <c r="BBB576" s="268"/>
      <c r="BBC576" s="268"/>
      <c r="BBD576" s="268"/>
      <c r="BBE576" s="268"/>
      <c r="BBF576" s="268"/>
      <c r="BBG576" s="268"/>
      <c r="BBH576" s="268"/>
      <c r="BBI576" s="268"/>
      <c r="BBJ576" s="268"/>
      <c r="BBK576" s="268"/>
      <c r="BBL576" s="268"/>
      <c r="BBM576" s="268"/>
      <c r="BBN576" s="268"/>
      <c r="BBO576" s="268"/>
      <c r="BBP576" s="268"/>
      <c r="BBQ576" s="268"/>
      <c r="BBR576" s="268"/>
      <c r="BBS576" s="268"/>
      <c r="BBT576" s="268"/>
      <c r="BBU576" s="268"/>
      <c r="BBV576" s="268"/>
      <c r="BBW576" s="268"/>
      <c r="BBX576" s="268"/>
      <c r="BBY576" s="268"/>
      <c r="BBZ576" s="268"/>
      <c r="BCA576" s="268"/>
      <c r="BCB576" s="268"/>
      <c r="BCC576" s="268"/>
      <c r="BCD576" s="268"/>
      <c r="BCE576" s="268"/>
      <c r="BCF576" s="268"/>
      <c r="BCG576" s="268"/>
      <c r="BCH576" s="268"/>
      <c r="BCI576" s="268"/>
      <c r="BCJ576" s="268"/>
      <c r="BCK576" s="268"/>
      <c r="BCL576" s="268"/>
      <c r="BCM576" s="268"/>
      <c r="BCN576" s="268"/>
      <c r="BCO576" s="268"/>
      <c r="BCP576" s="268"/>
      <c r="BCQ576" s="268"/>
      <c r="BCR576" s="268"/>
      <c r="BCS576" s="268"/>
      <c r="BCT576" s="268"/>
      <c r="BCU576" s="268"/>
      <c r="BCV576" s="268"/>
      <c r="BCW576" s="268"/>
      <c r="BCX576" s="268"/>
      <c r="BCY576" s="268"/>
      <c r="BCZ576" s="268"/>
      <c r="BDA576" s="268"/>
      <c r="BDB576" s="268"/>
      <c r="BDC576" s="268"/>
      <c r="BDD576" s="268"/>
      <c r="BDE576" s="268"/>
      <c r="BDF576" s="268"/>
      <c r="BDG576" s="268"/>
      <c r="BDH576" s="268"/>
      <c r="BDI576" s="268"/>
      <c r="BDJ576" s="268"/>
      <c r="BDK576" s="268"/>
      <c r="BDL576" s="268"/>
      <c r="BDM576" s="268"/>
      <c r="BDN576" s="268"/>
      <c r="BDO576" s="268"/>
      <c r="BDP576" s="268"/>
      <c r="BDQ576" s="268"/>
      <c r="BDR576" s="268"/>
      <c r="BDS576" s="268"/>
      <c r="BDT576" s="268"/>
      <c r="BDU576" s="268"/>
      <c r="BDV576" s="268"/>
      <c r="BDW576" s="268"/>
      <c r="BDX576" s="268"/>
      <c r="BDY576" s="268"/>
      <c r="BDZ576" s="268"/>
      <c r="BEA576" s="268"/>
      <c r="BEB576" s="268"/>
      <c r="BEC576" s="268"/>
      <c r="BED576" s="268"/>
      <c r="BEE576" s="268"/>
      <c r="BEF576" s="268"/>
      <c r="BEG576" s="268"/>
      <c r="BEH576" s="268"/>
      <c r="BEI576" s="268"/>
      <c r="BEJ576" s="268"/>
      <c r="BEK576" s="268"/>
      <c r="BEL576" s="268"/>
      <c r="BEM576" s="268"/>
      <c r="BEN576" s="268"/>
      <c r="BEO576" s="268"/>
      <c r="BEP576" s="268"/>
      <c r="BEQ576" s="268"/>
      <c r="BER576" s="268"/>
      <c r="BES576" s="268"/>
      <c r="BET576" s="268"/>
      <c r="BEU576" s="268"/>
      <c r="BEV576" s="268"/>
      <c r="BEW576" s="268"/>
      <c r="BEX576" s="268"/>
      <c r="BEY576" s="268"/>
      <c r="BEZ576" s="268"/>
      <c r="BFA576" s="268"/>
      <c r="BFB576" s="268"/>
      <c r="BFC576" s="268"/>
      <c r="BFD576" s="268"/>
      <c r="BFE576" s="268"/>
      <c r="BFF576" s="268"/>
      <c r="BFG576" s="268"/>
      <c r="BFH576" s="268"/>
      <c r="BFI576" s="268"/>
      <c r="BFJ576" s="268"/>
      <c r="BFK576" s="268"/>
      <c r="BFL576" s="268"/>
      <c r="BFM576" s="268"/>
      <c r="BFN576" s="268"/>
      <c r="BFO576" s="268"/>
      <c r="BFP576" s="268"/>
      <c r="BFQ576" s="268"/>
      <c r="BFR576" s="268"/>
      <c r="BFS576" s="268"/>
      <c r="BGG576" s="268"/>
      <c r="BGH576" s="268"/>
      <c r="BGI576" s="268"/>
      <c r="BGW576" s="268"/>
      <c r="BGY576" s="268"/>
      <c r="BGZ576" s="268"/>
      <c r="BHA576" s="268"/>
      <c r="BHB576" s="268"/>
      <c r="BHC576" s="268"/>
      <c r="BHD576" s="268"/>
      <c r="BHE576" s="268"/>
      <c r="BHF576" s="268"/>
      <c r="BHG576" s="268"/>
      <c r="BHH576" s="268"/>
      <c r="BHI576" s="268"/>
      <c r="BHJ576" s="268"/>
      <c r="BHK576" s="268"/>
      <c r="BHL576" s="268"/>
      <c r="BHM576" s="268"/>
      <c r="BHN576" s="268"/>
      <c r="BHO576" s="268"/>
      <c r="BHP576" s="268"/>
      <c r="BHQ576" s="268"/>
      <c r="BHR576" s="268"/>
      <c r="BHS576" s="268"/>
      <c r="BHT576" s="268"/>
      <c r="BHU576" s="268"/>
      <c r="BHV576" s="268"/>
      <c r="BHW576" s="268"/>
      <c r="BHX576" s="268"/>
      <c r="BHY576" s="268"/>
      <c r="BHZ576" s="268"/>
      <c r="BIA576" s="268"/>
      <c r="BIB576" s="268"/>
      <c r="BIC576" s="268"/>
      <c r="BID576" s="268"/>
      <c r="BIE576" s="268"/>
      <c r="BIF576" s="268"/>
      <c r="BIG576" s="268"/>
      <c r="BIH576" s="268"/>
      <c r="BII576" s="268"/>
      <c r="BIJ576" s="268"/>
      <c r="BIK576" s="268"/>
      <c r="BIL576" s="268"/>
      <c r="BIM576" s="268"/>
      <c r="BIN576" s="268"/>
      <c r="BIO576" s="268"/>
      <c r="BIP576" s="268"/>
      <c r="BIQ576" s="268"/>
      <c r="BIR576" s="268"/>
      <c r="BIS576" s="268"/>
      <c r="BIT576" s="268"/>
      <c r="BIU576" s="268"/>
      <c r="BIV576" s="268"/>
      <c r="BIW576" s="268"/>
      <c r="BIX576" s="268"/>
      <c r="BIY576" s="268"/>
      <c r="BIZ576" s="268"/>
      <c r="BJA576" s="268"/>
      <c r="BJB576" s="268"/>
      <c r="BJC576" s="268"/>
      <c r="BJD576" s="268"/>
      <c r="BJE576" s="268"/>
      <c r="BJF576" s="268"/>
      <c r="BJG576" s="268"/>
      <c r="BJH576" s="268"/>
      <c r="BJI576" s="268"/>
      <c r="BJJ576" s="268"/>
      <c r="BJK576" s="268"/>
      <c r="BJL576" s="268"/>
      <c r="BJM576" s="268"/>
      <c r="BJN576" s="268"/>
      <c r="BJO576" s="268"/>
      <c r="BJP576" s="268"/>
      <c r="BJQ576" s="268"/>
      <c r="BJR576" s="268"/>
      <c r="BJS576" s="268"/>
      <c r="BJT576" s="268"/>
      <c r="BJU576" s="268"/>
      <c r="BJV576" s="268"/>
      <c r="BJW576" s="268"/>
      <c r="BJX576" s="268"/>
      <c r="BJY576" s="268"/>
      <c r="BJZ576" s="268"/>
      <c r="BKA576" s="268"/>
      <c r="BKB576" s="268"/>
      <c r="BKC576" s="268"/>
      <c r="BKD576" s="268"/>
      <c r="BKE576" s="268"/>
      <c r="BKF576" s="268"/>
      <c r="BKG576" s="268"/>
      <c r="BKH576" s="268"/>
      <c r="BKI576" s="268"/>
      <c r="BKJ576" s="268"/>
      <c r="BKK576" s="268"/>
      <c r="BKL576" s="268"/>
      <c r="BKM576" s="268"/>
      <c r="BKN576" s="268"/>
      <c r="BKO576" s="268"/>
      <c r="BKP576" s="268"/>
      <c r="BKQ576" s="268"/>
      <c r="BKR576" s="268"/>
      <c r="BKS576" s="268"/>
      <c r="BKT576" s="268"/>
      <c r="BKU576" s="268"/>
      <c r="BKV576" s="268"/>
      <c r="BKW576" s="268"/>
      <c r="BKX576" s="268"/>
      <c r="BKY576" s="268"/>
      <c r="BKZ576" s="268"/>
      <c r="BLA576" s="268"/>
      <c r="BLB576" s="268"/>
      <c r="BLC576" s="268"/>
      <c r="BLD576" s="268"/>
      <c r="BLE576" s="268"/>
      <c r="BLF576" s="268"/>
      <c r="BLG576" s="268"/>
      <c r="BLH576" s="268"/>
      <c r="BLI576" s="268"/>
      <c r="BLJ576" s="268"/>
      <c r="BLK576" s="268"/>
      <c r="BLL576" s="268"/>
      <c r="BLM576" s="268"/>
      <c r="BLN576" s="268"/>
      <c r="BLO576" s="268"/>
      <c r="BLP576" s="268"/>
      <c r="BLQ576" s="268"/>
      <c r="BLR576" s="268"/>
      <c r="BLS576" s="268"/>
      <c r="BLT576" s="268"/>
      <c r="BLU576" s="268"/>
      <c r="BLV576" s="268"/>
      <c r="BLW576" s="268"/>
      <c r="BLX576" s="268"/>
      <c r="BLY576" s="268"/>
      <c r="BLZ576" s="268"/>
      <c r="BMA576" s="268"/>
      <c r="BMB576" s="268"/>
      <c r="BMC576" s="268"/>
      <c r="BMD576" s="268"/>
      <c r="BME576" s="268"/>
      <c r="BMF576" s="268"/>
      <c r="BMG576" s="268"/>
      <c r="BMH576" s="268"/>
      <c r="BMI576" s="268"/>
      <c r="BMJ576" s="268"/>
      <c r="BMK576" s="268"/>
      <c r="BML576" s="268"/>
      <c r="BMM576" s="268"/>
      <c r="BMN576" s="268"/>
      <c r="BMO576" s="268"/>
      <c r="BMP576" s="268"/>
      <c r="BMQ576" s="268"/>
      <c r="BMR576" s="268"/>
      <c r="BMS576" s="268"/>
      <c r="BMT576" s="268"/>
      <c r="BMU576" s="268"/>
      <c r="BMV576" s="268"/>
      <c r="BMW576" s="268"/>
      <c r="BMX576" s="268"/>
      <c r="BMY576" s="268"/>
      <c r="BMZ576" s="268"/>
      <c r="BNA576" s="268"/>
      <c r="BNB576" s="268"/>
      <c r="BNC576" s="268"/>
      <c r="BND576" s="268"/>
      <c r="BNE576" s="268"/>
      <c r="BNF576" s="268"/>
      <c r="BNG576" s="268"/>
      <c r="BNH576" s="268"/>
      <c r="BNI576" s="268"/>
      <c r="BNJ576" s="268"/>
      <c r="BNK576" s="268"/>
      <c r="BNL576" s="268"/>
      <c r="BNM576" s="268"/>
      <c r="BNN576" s="268"/>
      <c r="BNO576" s="268"/>
      <c r="BNP576" s="268"/>
      <c r="BNQ576" s="268"/>
      <c r="BNR576" s="268"/>
      <c r="BNS576" s="268"/>
      <c r="BNT576" s="268"/>
      <c r="BNU576" s="268"/>
      <c r="BNV576" s="268"/>
      <c r="BNW576" s="268"/>
      <c r="BNX576" s="268"/>
      <c r="BNY576" s="268"/>
      <c r="BNZ576" s="268"/>
      <c r="BOA576" s="268"/>
      <c r="BOB576" s="268"/>
      <c r="BOC576" s="268"/>
      <c r="BOD576" s="268"/>
      <c r="BOE576" s="268"/>
      <c r="BOF576" s="268"/>
      <c r="BOG576" s="268"/>
      <c r="BOH576" s="268"/>
      <c r="BOI576" s="268"/>
      <c r="BOJ576" s="268"/>
      <c r="BOK576" s="268"/>
      <c r="BOL576" s="268"/>
      <c r="BOM576" s="268"/>
      <c r="BON576" s="268"/>
      <c r="BOO576" s="268"/>
      <c r="BOP576" s="268"/>
      <c r="BOQ576" s="268"/>
      <c r="BOR576" s="268"/>
      <c r="BOS576" s="268"/>
      <c r="BOT576" s="268"/>
      <c r="BOU576" s="268"/>
      <c r="BOV576" s="268"/>
      <c r="BOW576" s="268"/>
      <c r="BOX576" s="268"/>
      <c r="BOY576" s="268"/>
      <c r="BOZ576" s="268"/>
      <c r="BPA576" s="268"/>
      <c r="BPB576" s="268"/>
      <c r="BPC576" s="268"/>
      <c r="BPD576" s="268"/>
      <c r="BPE576" s="268"/>
      <c r="BPF576" s="268"/>
      <c r="BPG576" s="268"/>
      <c r="BPH576" s="268"/>
      <c r="BPI576" s="268"/>
      <c r="BPJ576" s="268"/>
      <c r="BPK576" s="268"/>
      <c r="BPL576" s="268"/>
      <c r="BPM576" s="268"/>
      <c r="BPN576" s="268"/>
      <c r="BPO576" s="268"/>
      <c r="BQC576" s="268"/>
      <c r="BQD576" s="268"/>
      <c r="BQE576" s="268"/>
      <c r="BQS576" s="268"/>
      <c r="BQU576" s="268"/>
      <c r="BQV576" s="268"/>
      <c r="BQW576" s="268"/>
      <c r="BQX576" s="268"/>
      <c r="BQY576" s="268"/>
      <c r="BQZ576" s="268"/>
      <c r="BRA576" s="268"/>
      <c r="BRB576" s="268"/>
      <c r="BRC576" s="268"/>
      <c r="BRD576" s="268"/>
      <c r="BRE576" s="268"/>
      <c r="BRF576" s="268"/>
      <c r="BRG576" s="268"/>
      <c r="BRH576" s="268"/>
      <c r="BRI576" s="268"/>
      <c r="BRJ576" s="268"/>
      <c r="BRK576" s="268"/>
      <c r="BRL576" s="268"/>
      <c r="BRM576" s="268"/>
      <c r="BRN576" s="268"/>
      <c r="BRO576" s="268"/>
      <c r="BRP576" s="268"/>
      <c r="BRQ576" s="268"/>
      <c r="BRR576" s="268"/>
      <c r="BRS576" s="268"/>
      <c r="BRT576" s="268"/>
      <c r="BRU576" s="268"/>
      <c r="BRV576" s="268"/>
      <c r="BRW576" s="268"/>
      <c r="BRX576" s="268"/>
      <c r="BRY576" s="268"/>
      <c r="BRZ576" s="268"/>
      <c r="BSA576" s="268"/>
      <c r="BSB576" s="268"/>
      <c r="BSC576" s="268"/>
      <c r="BSD576" s="268"/>
      <c r="BSE576" s="268"/>
      <c r="BSF576" s="268"/>
      <c r="BSG576" s="268"/>
      <c r="BSH576" s="268"/>
      <c r="BSI576" s="268"/>
      <c r="BSJ576" s="268"/>
      <c r="BSK576" s="268"/>
      <c r="BSL576" s="268"/>
      <c r="BSM576" s="268"/>
      <c r="BSN576" s="268"/>
      <c r="BSO576" s="268"/>
      <c r="BSP576" s="268"/>
      <c r="BSQ576" s="268"/>
      <c r="BSR576" s="268"/>
      <c r="BSS576" s="268"/>
      <c r="BST576" s="268"/>
      <c r="BSU576" s="268"/>
      <c r="BSV576" s="268"/>
      <c r="BSW576" s="268"/>
      <c r="BSX576" s="268"/>
      <c r="BSY576" s="268"/>
      <c r="BSZ576" s="268"/>
      <c r="BTA576" s="268"/>
      <c r="BTB576" s="268"/>
      <c r="BTC576" s="268"/>
      <c r="BTD576" s="268"/>
      <c r="BTE576" s="268"/>
      <c r="BTF576" s="268"/>
      <c r="BTG576" s="268"/>
      <c r="BTH576" s="268"/>
      <c r="BTI576" s="268"/>
      <c r="BTJ576" s="268"/>
      <c r="BTK576" s="268"/>
      <c r="BTL576" s="268"/>
      <c r="BTM576" s="268"/>
      <c r="BTN576" s="268"/>
      <c r="BTO576" s="268"/>
      <c r="BTP576" s="268"/>
      <c r="BTQ576" s="268"/>
      <c r="BTR576" s="268"/>
      <c r="BTS576" s="268"/>
      <c r="BTT576" s="268"/>
      <c r="BTU576" s="268"/>
      <c r="BTV576" s="268"/>
      <c r="BTW576" s="268"/>
      <c r="BTX576" s="268"/>
      <c r="BTY576" s="268"/>
      <c r="BTZ576" s="268"/>
      <c r="BUA576" s="268"/>
      <c r="BUB576" s="268"/>
      <c r="BUC576" s="268"/>
      <c r="BUD576" s="268"/>
      <c r="BUE576" s="268"/>
      <c r="BUF576" s="268"/>
      <c r="BUG576" s="268"/>
      <c r="BUH576" s="268"/>
      <c r="BUI576" s="268"/>
      <c r="BUJ576" s="268"/>
      <c r="BUK576" s="268"/>
      <c r="BUL576" s="268"/>
      <c r="BUM576" s="268"/>
      <c r="BUN576" s="268"/>
      <c r="BUO576" s="268"/>
      <c r="BUP576" s="268"/>
      <c r="BUQ576" s="268"/>
      <c r="BUR576" s="268"/>
      <c r="BUS576" s="268"/>
      <c r="BUT576" s="268"/>
      <c r="BUU576" s="268"/>
      <c r="BUV576" s="268"/>
      <c r="BUW576" s="268"/>
      <c r="BUX576" s="268"/>
      <c r="BUY576" s="268"/>
      <c r="BUZ576" s="268"/>
      <c r="BVA576" s="268"/>
      <c r="BVB576" s="268"/>
      <c r="BVC576" s="268"/>
      <c r="BVD576" s="268"/>
      <c r="BVE576" s="268"/>
      <c r="BVF576" s="268"/>
      <c r="BVG576" s="268"/>
      <c r="BVH576" s="268"/>
      <c r="BVI576" s="268"/>
      <c r="BVJ576" s="268"/>
      <c r="BVK576" s="268"/>
      <c r="BVL576" s="268"/>
      <c r="BVM576" s="268"/>
      <c r="BVN576" s="268"/>
      <c r="BVO576" s="268"/>
      <c r="BVP576" s="268"/>
      <c r="BVQ576" s="268"/>
      <c r="BVR576" s="268"/>
      <c r="BVS576" s="268"/>
      <c r="BVT576" s="268"/>
      <c r="BVU576" s="268"/>
      <c r="BVV576" s="268"/>
      <c r="BVW576" s="268"/>
      <c r="BVX576" s="268"/>
      <c r="BVY576" s="268"/>
      <c r="BVZ576" s="268"/>
      <c r="BWA576" s="268"/>
      <c r="BWB576" s="268"/>
      <c r="BWC576" s="268"/>
      <c r="BWD576" s="268"/>
      <c r="BWE576" s="268"/>
      <c r="BWF576" s="268"/>
      <c r="BWG576" s="268"/>
      <c r="BWH576" s="268"/>
      <c r="BWI576" s="268"/>
      <c r="BWJ576" s="268"/>
      <c r="BWK576" s="268"/>
      <c r="BWL576" s="268"/>
      <c r="BWM576" s="268"/>
      <c r="BWN576" s="268"/>
      <c r="BWO576" s="268"/>
      <c r="BWP576" s="268"/>
      <c r="BWQ576" s="268"/>
      <c r="BWR576" s="268"/>
      <c r="BWS576" s="268"/>
      <c r="BWT576" s="268"/>
      <c r="BWU576" s="268"/>
      <c r="BWV576" s="268"/>
      <c r="BWW576" s="268"/>
      <c r="BWX576" s="268"/>
      <c r="BWY576" s="268"/>
      <c r="BWZ576" s="268"/>
      <c r="BXA576" s="268"/>
      <c r="BXB576" s="268"/>
      <c r="BXC576" s="268"/>
      <c r="BXD576" s="268"/>
      <c r="BXE576" s="268"/>
      <c r="BXF576" s="268"/>
      <c r="BXG576" s="268"/>
      <c r="BXH576" s="268"/>
      <c r="BXI576" s="268"/>
      <c r="BXJ576" s="268"/>
      <c r="BXK576" s="268"/>
      <c r="BXL576" s="268"/>
      <c r="BXM576" s="268"/>
      <c r="BXN576" s="268"/>
      <c r="BXO576" s="268"/>
      <c r="BXP576" s="268"/>
      <c r="BXQ576" s="268"/>
      <c r="BXR576" s="268"/>
      <c r="BXS576" s="268"/>
      <c r="BXT576" s="268"/>
      <c r="BXU576" s="268"/>
      <c r="BXV576" s="268"/>
      <c r="BXW576" s="268"/>
      <c r="BXX576" s="268"/>
      <c r="BXY576" s="268"/>
      <c r="BXZ576" s="268"/>
      <c r="BYA576" s="268"/>
      <c r="BYB576" s="268"/>
      <c r="BYC576" s="268"/>
      <c r="BYD576" s="268"/>
      <c r="BYE576" s="268"/>
      <c r="BYF576" s="268"/>
      <c r="BYG576" s="268"/>
      <c r="BYH576" s="268"/>
      <c r="BYI576" s="268"/>
      <c r="BYJ576" s="268"/>
      <c r="BYK576" s="268"/>
      <c r="BYL576" s="268"/>
      <c r="BYM576" s="268"/>
      <c r="BYN576" s="268"/>
      <c r="BYO576" s="268"/>
      <c r="BYP576" s="268"/>
      <c r="BYQ576" s="268"/>
      <c r="BYR576" s="268"/>
      <c r="BYS576" s="268"/>
      <c r="BYT576" s="268"/>
      <c r="BYU576" s="268"/>
      <c r="BYV576" s="268"/>
      <c r="BYW576" s="268"/>
      <c r="BYX576" s="268"/>
      <c r="BYY576" s="268"/>
      <c r="BYZ576" s="268"/>
      <c r="BZA576" s="268"/>
      <c r="BZB576" s="268"/>
      <c r="BZC576" s="268"/>
      <c r="BZD576" s="268"/>
      <c r="BZE576" s="268"/>
      <c r="BZF576" s="268"/>
      <c r="BZG576" s="268"/>
      <c r="BZH576" s="268"/>
      <c r="BZI576" s="268"/>
      <c r="BZJ576" s="268"/>
      <c r="BZK576" s="268"/>
      <c r="BZY576" s="268"/>
      <c r="BZZ576" s="268"/>
      <c r="CAA576" s="268"/>
      <c r="CAO576" s="268"/>
      <c r="CAQ576" s="268"/>
      <c r="CAR576" s="268"/>
      <c r="CAS576" s="268"/>
      <c r="CAT576" s="268"/>
      <c r="CAU576" s="268"/>
      <c r="CAV576" s="268"/>
      <c r="CAW576" s="268"/>
      <c r="CAX576" s="268"/>
      <c r="CAY576" s="268"/>
      <c r="CAZ576" s="268"/>
      <c r="CBA576" s="268"/>
      <c r="CBB576" s="268"/>
      <c r="CBC576" s="268"/>
      <c r="CBD576" s="268"/>
      <c r="CBE576" s="268"/>
      <c r="CBF576" s="268"/>
      <c r="CBG576" s="268"/>
      <c r="CBH576" s="268"/>
      <c r="CBI576" s="268"/>
      <c r="CBJ576" s="268"/>
      <c r="CBK576" s="268"/>
      <c r="CBL576" s="268"/>
      <c r="CBM576" s="268"/>
      <c r="CBN576" s="268"/>
      <c r="CBO576" s="268"/>
      <c r="CBP576" s="268"/>
      <c r="CBQ576" s="268"/>
      <c r="CBR576" s="268"/>
      <c r="CBS576" s="268"/>
      <c r="CBT576" s="268"/>
      <c r="CBU576" s="268"/>
      <c r="CBV576" s="268"/>
      <c r="CBW576" s="268"/>
      <c r="CBX576" s="268"/>
      <c r="CBY576" s="268"/>
      <c r="CBZ576" s="268"/>
      <c r="CCA576" s="268"/>
      <c r="CCB576" s="268"/>
      <c r="CCC576" s="268"/>
      <c r="CCD576" s="268"/>
      <c r="CCE576" s="268"/>
      <c r="CCF576" s="268"/>
      <c r="CCG576" s="268"/>
      <c r="CCH576" s="268"/>
      <c r="CCI576" s="268"/>
      <c r="CCJ576" s="268"/>
      <c r="CCK576" s="268"/>
      <c r="CCL576" s="268"/>
      <c r="CCM576" s="268"/>
      <c r="CCN576" s="268"/>
      <c r="CCO576" s="268"/>
      <c r="CCP576" s="268"/>
      <c r="CCQ576" s="268"/>
      <c r="CCR576" s="268"/>
      <c r="CCS576" s="268"/>
      <c r="CCT576" s="268"/>
      <c r="CCU576" s="268"/>
      <c r="CCV576" s="268"/>
      <c r="CCW576" s="268"/>
      <c r="CCX576" s="268"/>
      <c r="CCY576" s="268"/>
      <c r="CCZ576" s="268"/>
      <c r="CDA576" s="268"/>
      <c r="CDB576" s="268"/>
      <c r="CDC576" s="268"/>
      <c r="CDD576" s="268"/>
      <c r="CDE576" s="268"/>
      <c r="CDF576" s="268"/>
      <c r="CDG576" s="268"/>
      <c r="CDH576" s="268"/>
      <c r="CDI576" s="268"/>
      <c r="CDJ576" s="268"/>
      <c r="CDK576" s="268"/>
      <c r="CDL576" s="268"/>
      <c r="CDM576" s="268"/>
      <c r="CDN576" s="268"/>
      <c r="CDO576" s="268"/>
      <c r="CDP576" s="268"/>
      <c r="CDQ576" s="268"/>
      <c r="CDR576" s="268"/>
      <c r="CDS576" s="268"/>
      <c r="CDT576" s="268"/>
      <c r="CDU576" s="268"/>
      <c r="CDV576" s="268"/>
      <c r="CDW576" s="268"/>
      <c r="CDX576" s="268"/>
      <c r="CDY576" s="268"/>
      <c r="CDZ576" s="268"/>
      <c r="CEA576" s="268"/>
      <c r="CEB576" s="268"/>
      <c r="CEC576" s="268"/>
      <c r="CED576" s="268"/>
      <c r="CEE576" s="268"/>
      <c r="CEF576" s="268"/>
      <c r="CEG576" s="268"/>
      <c r="CEH576" s="268"/>
      <c r="CEI576" s="268"/>
      <c r="CEJ576" s="268"/>
      <c r="CEK576" s="268"/>
      <c r="CEL576" s="268"/>
      <c r="CEM576" s="268"/>
      <c r="CEN576" s="268"/>
      <c r="CEO576" s="268"/>
      <c r="CEP576" s="268"/>
      <c r="CEQ576" s="268"/>
      <c r="CER576" s="268"/>
      <c r="CES576" s="268"/>
      <c r="CET576" s="268"/>
      <c r="CEU576" s="268"/>
      <c r="CEV576" s="268"/>
      <c r="CEW576" s="268"/>
      <c r="CEX576" s="268"/>
      <c r="CEY576" s="268"/>
      <c r="CEZ576" s="268"/>
      <c r="CFA576" s="268"/>
      <c r="CFB576" s="268"/>
      <c r="CFC576" s="268"/>
      <c r="CFD576" s="268"/>
      <c r="CFE576" s="268"/>
      <c r="CFF576" s="268"/>
      <c r="CFG576" s="268"/>
      <c r="CFH576" s="268"/>
      <c r="CFI576" s="268"/>
      <c r="CFJ576" s="268"/>
      <c r="CFK576" s="268"/>
      <c r="CFL576" s="268"/>
      <c r="CFM576" s="268"/>
      <c r="CFN576" s="268"/>
      <c r="CFO576" s="268"/>
      <c r="CFP576" s="268"/>
      <c r="CFQ576" s="268"/>
      <c r="CFR576" s="268"/>
      <c r="CFS576" s="268"/>
      <c r="CFT576" s="268"/>
      <c r="CFU576" s="268"/>
      <c r="CFV576" s="268"/>
      <c r="CFW576" s="268"/>
      <c r="CFX576" s="268"/>
      <c r="CFY576" s="268"/>
      <c r="CFZ576" s="268"/>
      <c r="CGA576" s="268"/>
      <c r="CGB576" s="268"/>
      <c r="CGC576" s="268"/>
      <c r="CGD576" s="268"/>
      <c r="CGE576" s="268"/>
      <c r="CGF576" s="268"/>
      <c r="CGG576" s="268"/>
      <c r="CGH576" s="268"/>
      <c r="CGI576" s="268"/>
      <c r="CGJ576" s="268"/>
      <c r="CGK576" s="268"/>
      <c r="CGL576" s="268"/>
      <c r="CGM576" s="268"/>
      <c r="CGN576" s="268"/>
      <c r="CGO576" s="268"/>
      <c r="CGP576" s="268"/>
      <c r="CGQ576" s="268"/>
      <c r="CGR576" s="268"/>
      <c r="CGS576" s="268"/>
      <c r="CGT576" s="268"/>
      <c r="CGU576" s="268"/>
      <c r="CGV576" s="268"/>
      <c r="CGW576" s="268"/>
      <c r="CGX576" s="268"/>
      <c r="CGY576" s="268"/>
      <c r="CGZ576" s="268"/>
      <c r="CHA576" s="268"/>
      <c r="CHB576" s="268"/>
      <c r="CHC576" s="268"/>
      <c r="CHD576" s="268"/>
      <c r="CHE576" s="268"/>
      <c r="CHF576" s="268"/>
      <c r="CHG576" s="268"/>
      <c r="CHH576" s="268"/>
      <c r="CHI576" s="268"/>
      <c r="CHJ576" s="268"/>
      <c r="CHK576" s="268"/>
      <c r="CHL576" s="268"/>
      <c r="CHM576" s="268"/>
      <c r="CHN576" s="268"/>
      <c r="CHO576" s="268"/>
      <c r="CHP576" s="268"/>
      <c r="CHQ576" s="268"/>
      <c r="CHR576" s="268"/>
      <c r="CHS576" s="268"/>
      <c r="CHT576" s="268"/>
      <c r="CHU576" s="268"/>
      <c r="CHV576" s="268"/>
      <c r="CHW576" s="268"/>
      <c r="CHX576" s="268"/>
      <c r="CHY576" s="268"/>
      <c r="CHZ576" s="268"/>
      <c r="CIA576" s="268"/>
      <c r="CIB576" s="268"/>
      <c r="CIC576" s="268"/>
      <c r="CID576" s="268"/>
      <c r="CIE576" s="268"/>
      <c r="CIF576" s="268"/>
      <c r="CIG576" s="268"/>
      <c r="CIH576" s="268"/>
      <c r="CII576" s="268"/>
      <c r="CIJ576" s="268"/>
      <c r="CIK576" s="268"/>
      <c r="CIL576" s="268"/>
      <c r="CIM576" s="268"/>
      <c r="CIN576" s="268"/>
      <c r="CIO576" s="268"/>
      <c r="CIP576" s="268"/>
      <c r="CIQ576" s="268"/>
      <c r="CIR576" s="268"/>
      <c r="CIS576" s="268"/>
      <c r="CIT576" s="268"/>
      <c r="CIU576" s="268"/>
      <c r="CIV576" s="268"/>
      <c r="CIW576" s="268"/>
      <c r="CIX576" s="268"/>
      <c r="CIY576" s="268"/>
      <c r="CIZ576" s="268"/>
      <c r="CJA576" s="268"/>
      <c r="CJB576" s="268"/>
      <c r="CJC576" s="268"/>
      <c r="CJD576" s="268"/>
      <c r="CJE576" s="268"/>
      <c r="CJF576" s="268"/>
      <c r="CJG576" s="268"/>
      <c r="CJU576" s="268"/>
      <c r="CJV576" s="268"/>
      <c r="CJW576" s="268"/>
      <c r="CKK576" s="268"/>
      <c r="CKM576" s="268"/>
      <c r="CKN576" s="268"/>
      <c r="CKO576" s="268"/>
      <c r="CKP576" s="268"/>
      <c r="CKQ576" s="268"/>
      <c r="CKR576" s="268"/>
      <c r="CKS576" s="268"/>
      <c r="CKT576" s="268"/>
      <c r="CKU576" s="268"/>
      <c r="CKV576" s="268"/>
      <c r="CKW576" s="268"/>
      <c r="CKX576" s="268"/>
      <c r="CKY576" s="268"/>
      <c r="CKZ576" s="268"/>
      <c r="CLA576" s="268"/>
      <c r="CLB576" s="268"/>
      <c r="CLC576" s="268"/>
      <c r="CLD576" s="268"/>
      <c r="CLE576" s="268"/>
      <c r="CLF576" s="268"/>
      <c r="CLG576" s="268"/>
      <c r="CLH576" s="268"/>
      <c r="CLI576" s="268"/>
      <c r="CLJ576" s="268"/>
      <c r="CLK576" s="268"/>
      <c r="CLL576" s="268"/>
      <c r="CLM576" s="268"/>
      <c r="CLN576" s="268"/>
      <c r="CLO576" s="268"/>
      <c r="CLP576" s="268"/>
      <c r="CLQ576" s="268"/>
      <c r="CLR576" s="268"/>
      <c r="CLS576" s="268"/>
      <c r="CLT576" s="268"/>
      <c r="CLU576" s="268"/>
      <c r="CLV576" s="268"/>
      <c r="CLW576" s="268"/>
      <c r="CLX576" s="268"/>
      <c r="CLY576" s="268"/>
      <c r="CLZ576" s="268"/>
      <c r="CMA576" s="268"/>
      <c r="CMB576" s="268"/>
      <c r="CMC576" s="268"/>
      <c r="CMD576" s="268"/>
      <c r="CME576" s="268"/>
      <c r="CMF576" s="268"/>
      <c r="CMG576" s="268"/>
      <c r="CMH576" s="268"/>
      <c r="CMI576" s="268"/>
      <c r="CMJ576" s="268"/>
      <c r="CMK576" s="268"/>
      <c r="CML576" s="268"/>
      <c r="CMM576" s="268"/>
      <c r="CMN576" s="268"/>
      <c r="CMO576" s="268"/>
      <c r="CMP576" s="268"/>
      <c r="CMQ576" s="268"/>
      <c r="CMR576" s="268"/>
      <c r="CMS576" s="268"/>
      <c r="CMT576" s="268"/>
      <c r="CMU576" s="268"/>
      <c r="CMV576" s="268"/>
      <c r="CMW576" s="268"/>
      <c r="CMX576" s="268"/>
      <c r="CMY576" s="268"/>
      <c r="CMZ576" s="268"/>
      <c r="CNA576" s="268"/>
      <c r="CNB576" s="268"/>
      <c r="CNC576" s="268"/>
      <c r="CND576" s="268"/>
      <c r="CNE576" s="268"/>
      <c r="CNF576" s="268"/>
      <c r="CNG576" s="268"/>
      <c r="CNH576" s="268"/>
      <c r="CNI576" s="268"/>
      <c r="CNJ576" s="268"/>
      <c r="CNK576" s="268"/>
      <c r="CNL576" s="268"/>
      <c r="CNM576" s="268"/>
      <c r="CNN576" s="268"/>
      <c r="CNO576" s="268"/>
      <c r="CNP576" s="268"/>
      <c r="CNQ576" s="268"/>
      <c r="CNR576" s="268"/>
      <c r="CNS576" s="268"/>
      <c r="CNT576" s="268"/>
      <c r="CNU576" s="268"/>
      <c r="CNV576" s="268"/>
      <c r="CNW576" s="268"/>
      <c r="CNX576" s="268"/>
      <c r="CNY576" s="268"/>
      <c r="CNZ576" s="268"/>
      <c r="COA576" s="268"/>
      <c r="COB576" s="268"/>
      <c r="COC576" s="268"/>
      <c r="COD576" s="268"/>
      <c r="COE576" s="268"/>
      <c r="COF576" s="268"/>
      <c r="COG576" s="268"/>
      <c r="COH576" s="268"/>
      <c r="COI576" s="268"/>
      <c r="COJ576" s="268"/>
      <c r="COK576" s="268"/>
      <c r="COL576" s="268"/>
      <c r="COM576" s="268"/>
      <c r="CON576" s="268"/>
      <c r="COO576" s="268"/>
      <c r="COP576" s="268"/>
      <c r="COQ576" s="268"/>
      <c r="COR576" s="268"/>
      <c r="COS576" s="268"/>
      <c r="COT576" s="268"/>
      <c r="COU576" s="268"/>
      <c r="COV576" s="268"/>
      <c r="COW576" s="268"/>
      <c r="COX576" s="268"/>
      <c r="COY576" s="268"/>
      <c r="COZ576" s="268"/>
      <c r="CPA576" s="268"/>
      <c r="CPB576" s="268"/>
      <c r="CPC576" s="268"/>
      <c r="CPD576" s="268"/>
      <c r="CPE576" s="268"/>
      <c r="CPF576" s="268"/>
      <c r="CPG576" s="268"/>
      <c r="CPH576" s="268"/>
      <c r="CPI576" s="268"/>
      <c r="CPJ576" s="268"/>
      <c r="CPK576" s="268"/>
      <c r="CPL576" s="268"/>
      <c r="CPM576" s="268"/>
      <c r="CPN576" s="268"/>
      <c r="CPO576" s="268"/>
      <c r="CPP576" s="268"/>
      <c r="CPQ576" s="268"/>
      <c r="CPR576" s="268"/>
      <c r="CPS576" s="268"/>
      <c r="CPT576" s="268"/>
      <c r="CPU576" s="268"/>
      <c r="CPV576" s="268"/>
      <c r="CPW576" s="268"/>
      <c r="CPX576" s="268"/>
      <c r="CPY576" s="268"/>
      <c r="CPZ576" s="268"/>
      <c r="CQA576" s="268"/>
      <c r="CQB576" s="268"/>
      <c r="CQC576" s="268"/>
      <c r="CQD576" s="268"/>
      <c r="CQE576" s="268"/>
      <c r="CQF576" s="268"/>
      <c r="CQG576" s="268"/>
      <c r="CQH576" s="268"/>
      <c r="CQI576" s="268"/>
      <c r="CQJ576" s="268"/>
      <c r="CQK576" s="268"/>
      <c r="CQL576" s="268"/>
      <c r="CQM576" s="268"/>
      <c r="CQN576" s="268"/>
      <c r="CQO576" s="268"/>
      <c r="CQP576" s="268"/>
      <c r="CQQ576" s="268"/>
      <c r="CQR576" s="268"/>
      <c r="CQS576" s="268"/>
      <c r="CQT576" s="268"/>
      <c r="CQU576" s="268"/>
      <c r="CQV576" s="268"/>
      <c r="CQW576" s="268"/>
      <c r="CQX576" s="268"/>
      <c r="CQY576" s="268"/>
      <c r="CQZ576" s="268"/>
      <c r="CRA576" s="268"/>
      <c r="CRB576" s="268"/>
      <c r="CRC576" s="268"/>
      <c r="CRD576" s="268"/>
      <c r="CRE576" s="268"/>
      <c r="CRF576" s="268"/>
      <c r="CRG576" s="268"/>
      <c r="CRH576" s="268"/>
      <c r="CRI576" s="268"/>
      <c r="CRJ576" s="268"/>
      <c r="CRK576" s="268"/>
      <c r="CRL576" s="268"/>
      <c r="CRM576" s="268"/>
      <c r="CRN576" s="268"/>
      <c r="CRO576" s="268"/>
      <c r="CRP576" s="268"/>
      <c r="CRQ576" s="268"/>
      <c r="CRR576" s="268"/>
      <c r="CRS576" s="268"/>
      <c r="CRT576" s="268"/>
      <c r="CRU576" s="268"/>
      <c r="CRV576" s="268"/>
      <c r="CRW576" s="268"/>
      <c r="CRX576" s="268"/>
      <c r="CRY576" s="268"/>
      <c r="CRZ576" s="268"/>
      <c r="CSA576" s="268"/>
      <c r="CSB576" s="268"/>
      <c r="CSC576" s="268"/>
      <c r="CSD576" s="268"/>
      <c r="CSE576" s="268"/>
      <c r="CSF576" s="268"/>
      <c r="CSG576" s="268"/>
      <c r="CSH576" s="268"/>
      <c r="CSI576" s="268"/>
      <c r="CSJ576" s="268"/>
      <c r="CSK576" s="268"/>
      <c r="CSL576" s="268"/>
      <c r="CSM576" s="268"/>
      <c r="CSN576" s="268"/>
      <c r="CSO576" s="268"/>
      <c r="CSP576" s="268"/>
      <c r="CSQ576" s="268"/>
      <c r="CSR576" s="268"/>
      <c r="CSS576" s="268"/>
      <c r="CST576" s="268"/>
      <c r="CSU576" s="268"/>
      <c r="CSV576" s="268"/>
      <c r="CSW576" s="268"/>
      <c r="CSX576" s="268"/>
      <c r="CSY576" s="268"/>
      <c r="CSZ576" s="268"/>
      <c r="CTA576" s="268"/>
      <c r="CTB576" s="268"/>
      <c r="CTC576" s="268"/>
      <c r="CTQ576" s="268"/>
      <c r="CTR576" s="268"/>
      <c r="CTS576" s="268"/>
      <c r="CUG576" s="268"/>
      <c r="CUI576" s="268"/>
      <c r="CUJ576" s="268"/>
      <c r="CUK576" s="268"/>
      <c r="CUL576" s="268"/>
      <c r="CUM576" s="268"/>
      <c r="CUN576" s="268"/>
      <c r="CUO576" s="268"/>
      <c r="CUP576" s="268"/>
      <c r="CUQ576" s="268"/>
      <c r="CUR576" s="268"/>
      <c r="CUS576" s="268"/>
      <c r="CUT576" s="268"/>
      <c r="CUU576" s="268"/>
      <c r="CUV576" s="268"/>
      <c r="CUW576" s="268"/>
      <c r="CUX576" s="268"/>
      <c r="CUY576" s="268"/>
      <c r="CUZ576" s="268"/>
      <c r="CVA576" s="268"/>
      <c r="CVB576" s="268"/>
      <c r="CVC576" s="268"/>
      <c r="CVD576" s="268"/>
      <c r="CVE576" s="268"/>
      <c r="CVF576" s="268"/>
      <c r="CVG576" s="268"/>
      <c r="CVH576" s="268"/>
      <c r="CVI576" s="268"/>
      <c r="CVJ576" s="268"/>
      <c r="CVK576" s="268"/>
      <c r="CVL576" s="268"/>
      <c r="CVM576" s="268"/>
      <c r="CVN576" s="268"/>
      <c r="CVO576" s="268"/>
      <c r="CVP576" s="268"/>
      <c r="CVQ576" s="268"/>
      <c r="CVR576" s="268"/>
      <c r="CVS576" s="268"/>
      <c r="CVT576" s="268"/>
      <c r="CVU576" s="268"/>
      <c r="CVV576" s="268"/>
      <c r="CVW576" s="268"/>
      <c r="CVX576" s="268"/>
      <c r="CVY576" s="268"/>
      <c r="CVZ576" s="268"/>
      <c r="CWA576" s="268"/>
      <c r="CWB576" s="268"/>
      <c r="CWC576" s="268"/>
      <c r="CWD576" s="268"/>
      <c r="CWE576" s="268"/>
      <c r="CWF576" s="268"/>
      <c r="CWG576" s="268"/>
      <c r="CWH576" s="268"/>
      <c r="CWI576" s="268"/>
      <c r="CWJ576" s="268"/>
      <c r="CWK576" s="268"/>
      <c r="CWL576" s="268"/>
      <c r="CWM576" s="268"/>
      <c r="CWN576" s="268"/>
      <c r="CWO576" s="268"/>
      <c r="CWP576" s="268"/>
      <c r="CWQ576" s="268"/>
      <c r="CWR576" s="268"/>
      <c r="CWS576" s="268"/>
      <c r="CWT576" s="268"/>
      <c r="CWU576" s="268"/>
      <c r="CWV576" s="268"/>
      <c r="CWW576" s="268"/>
      <c r="CWX576" s="268"/>
      <c r="CWY576" s="268"/>
      <c r="CWZ576" s="268"/>
      <c r="CXA576" s="268"/>
      <c r="CXB576" s="268"/>
      <c r="CXC576" s="268"/>
      <c r="CXD576" s="268"/>
      <c r="CXE576" s="268"/>
      <c r="CXF576" s="268"/>
      <c r="CXG576" s="268"/>
      <c r="CXH576" s="268"/>
      <c r="CXI576" s="268"/>
      <c r="CXJ576" s="268"/>
      <c r="CXK576" s="268"/>
      <c r="CXL576" s="268"/>
      <c r="CXM576" s="268"/>
      <c r="CXN576" s="268"/>
      <c r="CXO576" s="268"/>
      <c r="CXP576" s="268"/>
      <c r="CXQ576" s="268"/>
      <c r="CXR576" s="268"/>
      <c r="CXS576" s="268"/>
      <c r="CXT576" s="268"/>
      <c r="CXU576" s="268"/>
      <c r="CXV576" s="268"/>
      <c r="CXW576" s="268"/>
      <c r="CXX576" s="268"/>
      <c r="CXY576" s="268"/>
      <c r="CXZ576" s="268"/>
      <c r="CYA576" s="268"/>
      <c r="CYB576" s="268"/>
      <c r="CYC576" s="268"/>
      <c r="CYD576" s="268"/>
      <c r="CYE576" s="268"/>
      <c r="CYF576" s="268"/>
      <c r="CYG576" s="268"/>
      <c r="CYH576" s="268"/>
      <c r="CYI576" s="268"/>
      <c r="CYJ576" s="268"/>
      <c r="CYK576" s="268"/>
      <c r="CYL576" s="268"/>
      <c r="CYM576" s="268"/>
      <c r="CYN576" s="268"/>
      <c r="CYO576" s="268"/>
      <c r="CYP576" s="268"/>
      <c r="CYQ576" s="268"/>
      <c r="CYR576" s="268"/>
      <c r="CYS576" s="268"/>
      <c r="CYT576" s="268"/>
      <c r="CYU576" s="268"/>
      <c r="CYV576" s="268"/>
      <c r="CYW576" s="268"/>
      <c r="CYX576" s="268"/>
      <c r="CYY576" s="268"/>
      <c r="CYZ576" s="268"/>
      <c r="CZA576" s="268"/>
      <c r="CZB576" s="268"/>
      <c r="CZC576" s="268"/>
      <c r="CZD576" s="268"/>
      <c r="CZE576" s="268"/>
      <c r="CZF576" s="268"/>
      <c r="CZG576" s="268"/>
      <c r="CZH576" s="268"/>
      <c r="CZI576" s="268"/>
      <c r="CZJ576" s="268"/>
      <c r="CZK576" s="268"/>
      <c r="CZL576" s="268"/>
      <c r="CZM576" s="268"/>
      <c r="CZN576" s="268"/>
      <c r="CZO576" s="268"/>
      <c r="CZP576" s="268"/>
      <c r="CZQ576" s="268"/>
      <c r="CZR576" s="268"/>
      <c r="CZS576" s="268"/>
      <c r="CZT576" s="268"/>
      <c r="CZU576" s="268"/>
      <c r="CZV576" s="268"/>
      <c r="CZW576" s="268"/>
      <c r="CZX576" s="268"/>
      <c r="CZY576" s="268"/>
      <c r="CZZ576" s="268"/>
      <c r="DAA576" s="268"/>
      <c r="DAB576" s="268"/>
      <c r="DAC576" s="268"/>
      <c r="DAD576" s="268"/>
      <c r="DAE576" s="268"/>
      <c r="DAF576" s="268"/>
      <c r="DAG576" s="268"/>
      <c r="DAH576" s="268"/>
      <c r="DAI576" s="268"/>
      <c r="DAJ576" s="268"/>
      <c r="DAK576" s="268"/>
      <c r="DAL576" s="268"/>
      <c r="DAM576" s="268"/>
      <c r="DAN576" s="268"/>
      <c r="DAO576" s="268"/>
      <c r="DAP576" s="268"/>
      <c r="DAQ576" s="268"/>
      <c r="DAR576" s="268"/>
      <c r="DAS576" s="268"/>
      <c r="DAT576" s="268"/>
      <c r="DAU576" s="268"/>
      <c r="DAV576" s="268"/>
      <c r="DAW576" s="268"/>
      <c r="DAX576" s="268"/>
      <c r="DAY576" s="268"/>
      <c r="DAZ576" s="268"/>
      <c r="DBA576" s="268"/>
      <c r="DBB576" s="268"/>
      <c r="DBC576" s="268"/>
      <c r="DBD576" s="268"/>
      <c r="DBE576" s="268"/>
      <c r="DBF576" s="268"/>
      <c r="DBG576" s="268"/>
      <c r="DBH576" s="268"/>
      <c r="DBI576" s="268"/>
      <c r="DBJ576" s="268"/>
      <c r="DBK576" s="268"/>
      <c r="DBL576" s="268"/>
      <c r="DBM576" s="268"/>
      <c r="DBN576" s="268"/>
      <c r="DBO576" s="268"/>
      <c r="DBP576" s="268"/>
      <c r="DBQ576" s="268"/>
      <c r="DBR576" s="268"/>
      <c r="DBS576" s="268"/>
      <c r="DBT576" s="268"/>
      <c r="DBU576" s="268"/>
      <c r="DBV576" s="268"/>
      <c r="DBW576" s="268"/>
      <c r="DBX576" s="268"/>
      <c r="DBY576" s="268"/>
      <c r="DBZ576" s="268"/>
      <c r="DCA576" s="268"/>
      <c r="DCB576" s="268"/>
      <c r="DCC576" s="268"/>
      <c r="DCD576" s="268"/>
      <c r="DCE576" s="268"/>
      <c r="DCF576" s="268"/>
      <c r="DCG576" s="268"/>
      <c r="DCH576" s="268"/>
      <c r="DCI576" s="268"/>
      <c r="DCJ576" s="268"/>
      <c r="DCK576" s="268"/>
      <c r="DCL576" s="268"/>
      <c r="DCM576" s="268"/>
      <c r="DCN576" s="268"/>
      <c r="DCO576" s="268"/>
      <c r="DCP576" s="268"/>
      <c r="DCQ576" s="268"/>
      <c r="DCR576" s="268"/>
      <c r="DCS576" s="268"/>
      <c r="DCT576" s="268"/>
      <c r="DCU576" s="268"/>
      <c r="DCV576" s="268"/>
      <c r="DCW576" s="268"/>
      <c r="DCX576" s="268"/>
      <c r="DCY576" s="268"/>
      <c r="DDM576" s="268"/>
      <c r="DDN576" s="268"/>
      <c r="DDO576" s="268"/>
      <c r="DEC576" s="268"/>
      <c r="DEE576" s="268"/>
      <c r="DEF576" s="268"/>
      <c r="DEG576" s="268"/>
      <c r="DEH576" s="268"/>
      <c r="DEI576" s="268"/>
      <c r="DEJ576" s="268"/>
      <c r="DEK576" s="268"/>
      <c r="DEL576" s="268"/>
      <c r="DEM576" s="268"/>
      <c r="DEN576" s="268"/>
      <c r="DEO576" s="268"/>
      <c r="DEP576" s="268"/>
      <c r="DEQ576" s="268"/>
      <c r="DER576" s="268"/>
      <c r="DES576" s="268"/>
      <c r="DET576" s="268"/>
      <c r="DEU576" s="268"/>
      <c r="DEV576" s="268"/>
      <c r="DEW576" s="268"/>
      <c r="DEX576" s="268"/>
      <c r="DEY576" s="268"/>
      <c r="DEZ576" s="268"/>
      <c r="DFA576" s="268"/>
      <c r="DFB576" s="268"/>
      <c r="DFC576" s="268"/>
      <c r="DFD576" s="268"/>
      <c r="DFE576" s="268"/>
      <c r="DFF576" s="268"/>
      <c r="DFG576" s="268"/>
      <c r="DFH576" s="268"/>
      <c r="DFI576" s="268"/>
      <c r="DFJ576" s="268"/>
      <c r="DFK576" s="268"/>
      <c r="DFL576" s="268"/>
      <c r="DFM576" s="268"/>
      <c r="DFN576" s="268"/>
      <c r="DFO576" s="268"/>
      <c r="DFP576" s="268"/>
      <c r="DFQ576" s="268"/>
      <c r="DFR576" s="268"/>
      <c r="DFS576" s="268"/>
      <c r="DFT576" s="268"/>
      <c r="DFU576" s="268"/>
      <c r="DFV576" s="268"/>
      <c r="DFW576" s="268"/>
      <c r="DFX576" s="268"/>
      <c r="DFY576" s="268"/>
      <c r="DFZ576" s="268"/>
      <c r="DGA576" s="268"/>
      <c r="DGB576" s="268"/>
      <c r="DGC576" s="268"/>
      <c r="DGD576" s="268"/>
      <c r="DGE576" s="268"/>
      <c r="DGF576" s="268"/>
      <c r="DGG576" s="268"/>
      <c r="DGH576" s="268"/>
      <c r="DGI576" s="268"/>
      <c r="DGJ576" s="268"/>
      <c r="DGK576" s="268"/>
      <c r="DGL576" s="268"/>
      <c r="DGM576" s="268"/>
      <c r="DGN576" s="268"/>
      <c r="DGO576" s="268"/>
      <c r="DGP576" s="268"/>
      <c r="DGQ576" s="268"/>
      <c r="DGR576" s="268"/>
      <c r="DGS576" s="268"/>
      <c r="DGT576" s="268"/>
      <c r="DGU576" s="268"/>
      <c r="DGV576" s="268"/>
      <c r="DGW576" s="268"/>
      <c r="DGX576" s="268"/>
      <c r="DGY576" s="268"/>
      <c r="DGZ576" s="268"/>
      <c r="DHA576" s="268"/>
      <c r="DHB576" s="268"/>
      <c r="DHC576" s="268"/>
      <c r="DHD576" s="268"/>
      <c r="DHE576" s="268"/>
      <c r="DHF576" s="268"/>
      <c r="DHG576" s="268"/>
      <c r="DHH576" s="268"/>
      <c r="DHI576" s="268"/>
      <c r="DHJ576" s="268"/>
      <c r="DHK576" s="268"/>
      <c r="DHL576" s="268"/>
      <c r="DHM576" s="268"/>
      <c r="DHN576" s="268"/>
      <c r="DHO576" s="268"/>
      <c r="DHP576" s="268"/>
      <c r="DHQ576" s="268"/>
      <c r="DHR576" s="268"/>
      <c r="DHS576" s="268"/>
      <c r="DHT576" s="268"/>
      <c r="DHU576" s="268"/>
      <c r="DHV576" s="268"/>
      <c r="DHW576" s="268"/>
      <c r="DHX576" s="268"/>
      <c r="DHY576" s="268"/>
      <c r="DHZ576" s="268"/>
      <c r="DIA576" s="268"/>
      <c r="DIB576" s="268"/>
      <c r="DIC576" s="268"/>
      <c r="DID576" s="268"/>
      <c r="DIE576" s="268"/>
      <c r="DIF576" s="268"/>
      <c r="DIG576" s="268"/>
      <c r="DIH576" s="268"/>
      <c r="DII576" s="268"/>
      <c r="DIJ576" s="268"/>
      <c r="DIK576" s="268"/>
      <c r="DIL576" s="268"/>
      <c r="DIM576" s="268"/>
      <c r="DIN576" s="268"/>
      <c r="DIO576" s="268"/>
      <c r="DIP576" s="268"/>
      <c r="DIQ576" s="268"/>
      <c r="DIR576" s="268"/>
      <c r="DIS576" s="268"/>
      <c r="DIT576" s="268"/>
      <c r="DIU576" s="268"/>
      <c r="DIV576" s="268"/>
      <c r="DIW576" s="268"/>
      <c r="DIX576" s="268"/>
      <c r="DIY576" s="268"/>
      <c r="DIZ576" s="268"/>
      <c r="DJA576" s="268"/>
      <c r="DJB576" s="268"/>
      <c r="DJC576" s="268"/>
      <c r="DJD576" s="268"/>
      <c r="DJE576" s="268"/>
      <c r="DJF576" s="268"/>
      <c r="DJG576" s="268"/>
      <c r="DJH576" s="268"/>
      <c r="DJI576" s="268"/>
      <c r="DJJ576" s="268"/>
      <c r="DJK576" s="268"/>
      <c r="DJL576" s="268"/>
      <c r="DJM576" s="268"/>
      <c r="DJN576" s="268"/>
      <c r="DJO576" s="268"/>
      <c r="DJP576" s="268"/>
      <c r="DJQ576" s="268"/>
      <c r="DJR576" s="268"/>
      <c r="DJS576" s="268"/>
      <c r="DJT576" s="268"/>
      <c r="DJU576" s="268"/>
      <c r="DJV576" s="268"/>
      <c r="DJW576" s="268"/>
      <c r="DJX576" s="268"/>
      <c r="DJY576" s="268"/>
      <c r="DJZ576" s="268"/>
      <c r="DKA576" s="268"/>
      <c r="DKB576" s="268"/>
      <c r="DKC576" s="268"/>
      <c r="DKD576" s="268"/>
      <c r="DKE576" s="268"/>
      <c r="DKF576" s="268"/>
      <c r="DKG576" s="268"/>
      <c r="DKH576" s="268"/>
      <c r="DKI576" s="268"/>
      <c r="DKJ576" s="268"/>
      <c r="DKK576" s="268"/>
      <c r="DKL576" s="268"/>
      <c r="DKM576" s="268"/>
      <c r="DKN576" s="268"/>
      <c r="DKO576" s="268"/>
      <c r="DKP576" s="268"/>
      <c r="DKQ576" s="268"/>
      <c r="DKR576" s="268"/>
      <c r="DKS576" s="268"/>
      <c r="DKT576" s="268"/>
      <c r="DKU576" s="268"/>
      <c r="DKV576" s="268"/>
      <c r="DKW576" s="268"/>
      <c r="DKX576" s="268"/>
      <c r="DKY576" s="268"/>
      <c r="DKZ576" s="268"/>
      <c r="DLA576" s="268"/>
      <c r="DLB576" s="268"/>
      <c r="DLC576" s="268"/>
      <c r="DLD576" s="268"/>
      <c r="DLE576" s="268"/>
      <c r="DLF576" s="268"/>
      <c r="DLG576" s="268"/>
      <c r="DLH576" s="268"/>
      <c r="DLI576" s="268"/>
      <c r="DLJ576" s="268"/>
      <c r="DLK576" s="268"/>
      <c r="DLL576" s="268"/>
      <c r="DLM576" s="268"/>
      <c r="DLN576" s="268"/>
      <c r="DLO576" s="268"/>
      <c r="DLP576" s="268"/>
      <c r="DLQ576" s="268"/>
      <c r="DLR576" s="268"/>
      <c r="DLS576" s="268"/>
      <c r="DLT576" s="268"/>
      <c r="DLU576" s="268"/>
      <c r="DLV576" s="268"/>
      <c r="DLW576" s="268"/>
      <c r="DLX576" s="268"/>
      <c r="DLY576" s="268"/>
      <c r="DLZ576" s="268"/>
      <c r="DMA576" s="268"/>
      <c r="DMB576" s="268"/>
      <c r="DMC576" s="268"/>
      <c r="DMD576" s="268"/>
      <c r="DME576" s="268"/>
      <c r="DMF576" s="268"/>
      <c r="DMG576" s="268"/>
      <c r="DMH576" s="268"/>
      <c r="DMI576" s="268"/>
      <c r="DMJ576" s="268"/>
      <c r="DMK576" s="268"/>
      <c r="DML576" s="268"/>
      <c r="DMM576" s="268"/>
      <c r="DMN576" s="268"/>
      <c r="DMO576" s="268"/>
      <c r="DMP576" s="268"/>
      <c r="DMQ576" s="268"/>
      <c r="DMR576" s="268"/>
      <c r="DMS576" s="268"/>
      <c r="DMT576" s="268"/>
      <c r="DMU576" s="268"/>
      <c r="DNI576" s="268"/>
      <c r="DNJ576" s="268"/>
      <c r="DNK576" s="268"/>
      <c r="DNY576" s="268"/>
      <c r="DOA576" s="268"/>
      <c r="DOB576" s="268"/>
      <c r="DOC576" s="268"/>
      <c r="DOD576" s="268"/>
      <c r="DOE576" s="268"/>
      <c r="DOF576" s="268"/>
      <c r="DOG576" s="268"/>
      <c r="DOH576" s="268"/>
      <c r="DOI576" s="268"/>
      <c r="DOJ576" s="268"/>
      <c r="DOK576" s="268"/>
      <c r="DOL576" s="268"/>
      <c r="DOM576" s="268"/>
      <c r="DON576" s="268"/>
      <c r="DOO576" s="268"/>
      <c r="DOP576" s="268"/>
      <c r="DOQ576" s="268"/>
      <c r="DOR576" s="268"/>
      <c r="DOS576" s="268"/>
      <c r="DOT576" s="268"/>
      <c r="DOU576" s="268"/>
      <c r="DOV576" s="268"/>
      <c r="DOW576" s="268"/>
      <c r="DOX576" s="268"/>
      <c r="DOY576" s="268"/>
      <c r="DOZ576" s="268"/>
      <c r="DPA576" s="268"/>
      <c r="DPB576" s="268"/>
      <c r="DPC576" s="268"/>
      <c r="DPD576" s="268"/>
      <c r="DPE576" s="268"/>
      <c r="DPF576" s="268"/>
      <c r="DPG576" s="268"/>
      <c r="DPH576" s="268"/>
      <c r="DPI576" s="268"/>
      <c r="DPJ576" s="268"/>
      <c r="DPK576" s="268"/>
      <c r="DPL576" s="268"/>
      <c r="DPM576" s="268"/>
      <c r="DPN576" s="268"/>
      <c r="DPO576" s="268"/>
      <c r="DPP576" s="268"/>
      <c r="DPQ576" s="268"/>
      <c r="DPR576" s="268"/>
      <c r="DPS576" s="268"/>
      <c r="DPT576" s="268"/>
      <c r="DPU576" s="268"/>
      <c r="DPV576" s="268"/>
      <c r="DPW576" s="268"/>
      <c r="DPX576" s="268"/>
      <c r="DPY576" s="268"/>
      <c r="DPZ576" s="268"/>
      <c r="DQA576" s="268"/>
      <c r="DQB576" s="268"/>
      <c r="DQC576" s="268"/>
      <c r="DQD576" s="268"/>
      <c r="DQE576" s="268"/>
      <c r="DQF576" s="268"/>
      <c r="DQG576" s="268"/>
      <c r="DQH576" s="268"/>
      <c r="DQI576" s="268"/>
      <c r="DQJ576" s="268"/>
      <c r="DQK576" s="268"/>
      <c r="DQL576" s="268"/>
      <c r="DQM576" s="268"/>
      <c r="DQN576" s="268"/>
      <c r="DQO576" s="268"/>
      <c r="DQP576" s="268"/>
      <c r="DQQ576" s="268"/>
      <c r="DQR576" s="268"/>
      <c r="DQS576" s="268"/>
      <c r="DQT576" s="268"/>
      <c r="DQU576" s="268"/>
      <c r="DQV576" s="268"/>
      <c r="DQW576" s="268"/>
      <c r="DQX576" s="268"/>
      <c r="DQY576" s="268"/>
      <c r="DQZ576" s="268"/>
      <c r="DRA576" s="268"/>
      <c r="DRB576" s="268"/>
      <c r="DRC576" s="268"/>
      <c r="DRD576" s="268"/>
      <c r="DRE576" s="268"/>
      <c r="DRF576" s="268"/>
      <c r="DRG576" s="268"/>
      <c r="DRH576" s="268"/>
      <c r="DRI576" s="268"/>
      <c r="DRJ576" s="268"/>
      <c r="DRK576" s="268"/>
      <c r="DRL576" s="268"/>
      <c r="DRM576" s="268"/>
      <c r="DRN576" s="268"/>
      <c r="DRO576" s="268"/>
      <c r="DRP576" s="268"/>
      <c r="DRQ576" s="268"/>
      <c r="DRR576" s="268"/>
      <c r="DRS576" s="268"/>
      <c r="DRT576" s="268"/>
      <c r="DRU576" s="268"/>
      <c r="DRV576" s="268"/>
      <c r="DRW576" s="268"/>
      <c r="DRX576" s="268"/>
      <c r="DRY576" s="268"/>
      <c r="DRZ576" s="268"/>
      <c r="DSA576" s="268"/>
      <c r="DSB576" s="268"/>
      <c r="DSC576" s="268"/>
      <c r="DSD576" s="268"/>
      <c r="DSE576" s="268"/>
      <c r="DSF576" s="268"/>
      <c r="DSG576" s="268"/>
      <c r="DSH576" s="268"/>
      <c r="DSI576" s="268"/>
      <c r="DSJ576" s="268"/>
      <c r="DSK576" s="268"/>
      <c r="DSL576" s="268"/>
      <c r="DSM576" s="268"/>
      <c r="DSN576" s="268"/>
      <c r="DSO576" s="268"/>
      <c r="DSP576" s="268"/>
      <c r="DSQ576" s="268"/>
      <c r="DSR576" s="268"/>
      <c r="DSS576" s="268"/>
      <c r="DST576" s="268"/>
      <c r="DSU576" s="268"/>
      <c r="DSV576" s="268"/>
      <c r="DSW576" s="268"/>
      <c r="DSX576" s="268"/>
      <c r="DSY576" s="268"/>
      <c r="DSZ576" s="268"/>
      <c r="DTA576" s="268"/>
      <c r="DTB576" s="268"/>
      <c r="DTC576" s="268"/>
      <c r="DTD576" s="268"/>
      <c r="DTE576" s="268"/>
      <c r="DTF576" s="268"/>
      <c r="DTG576" s="268"/>
      <c r="DTH576" s="268"/>
      <c r="DTI576" s="268"/>
      <c r="DTJ576" s="268"/>
      <c r="DTK576" s="268"/>
      <c r="DTL576" s="268"/>
      <c r="DTM576" s="268"/>
      <c r="DTN576" s="268"/>
      <c r="DTO576" s="268"/>
      <c r="DTP576" s="268"/>
      <c r="DTQ576" s="268"/>
      <c r="DTR576" s="268"/>
      <c r="DTS576" s="268"/>
      <c r="DTT576" s="268"/>
      <c r="DTU576" s="268"/>
      <c r="DTV576" s="268"/>
      <c r="DTW576" s="268"/>
      <c r="DTX576" s="268"/>
      <c r="DTY576" s="268"/>
      <c r="DTZ576" s="268"/>
      <c r="DUA576" s="268"/>
      <c r="DUB576" s="268"/>
      <c r="DUC576" s="268"/>
      <c r="DUD576" s="268"/>
      <c r="DUE576" s="268"/>
      <c r="DUF576" s="268"/>
      <c r="DUG576" s="268"/>
      <c r="DUH576" s="268"/>
      <c r="DUI576" s="268"/>
      <c r="DUJ576" s="268"/>
      <c r="DUK576" s="268"/>
      <c r="DUL576" s="268"/>
      <c r="DUM576" s="268"/>
      <c r="DUN576" s="268"/>
      <c r="DUO576" s="268"/>
      <c r="DUP576" s="268"/>
      <c r="DUQ576" s="268"/>
      <c r="DUR576" s="268"/>
      <c r="DUS576" s="268"/>
      <c r="DUT576" s="268"/>
      <c r="DUU576" s="268"/>
      <c r="DUV576" s="268"/>
      <c r="DUW576" s="268"/>
      <c r="DUX576" s="268"/>
      <c r="DUY576" s="268"/>
      <c r="DUZ576" s="268"/>
      <c r="DVA576" s="268"/>
      <c r="DVB576" s="268"/>
      <c r="DVC576" s="268"/>
      <c r="DVD576" s="268"/>
      <c r="DVE576" s="268"/>
      <c r="DVF576" s="268"/>
      <c r="DVG576" s="268"/>
      <c r="DVH576" s="268"/>
      <c r="DVI576" s="268"/>
      <c r="DVJ576" s="268"/>
      <c r="DVK576" s="268"/>
      <c r="DVL576" s="268"/>
      <c r="DVM576" s="268"/>
      <c r="DVN576" s="268"/>
      <c r="DVO576" s="268"/>
      <c r="DVP576" s="268"/>
      <c r="DVQ576" s="268"/>
      <c r="DVR576" s="268"/>
      <c r="DVS576" s="268"/>
      <c r="DVT576" s="268"/>
      <c r="DVU576" s="268"/>
      <c r="DVV576" s="268"/>
      <c r="DVW576" s="268"/>
      <c r="DVX576" s="268"/>
      <c r="DVY576" s="268"/>
      <c r="DVZ576" s="268"/>
      <c r="DWA576" s="268"/>
      <c r="DWB576" s="268"/>
      <c r="DWC576" s="268"/>
      <c r="DWD576" s="268"/>
      <c r="DWE576" s="268"/>
      <c r="DWF576" s="268"/>
      <c r="DWG576" s="268"/>
      <c r="DWH576" s="268"/>
      <c r="DWI576" s="268"/>
      <c r="DWJ576" s="268"/>
      <c r="DWK576" s="268"/>
      <c r="DWL576" s="268"/>
      <c r="DWM576" s="268"/>
      <c r="DWN576" s="268"/>
      <c r="DWO576" s="268"/>
      <c r="DWP576" s="268"/>
      <c r="DWQ576" s="268"/>
      <c r="DXE576" s="268"/>
      <c r="DXF576" s="268"/>
      <c r="DXG576" s="268"/>
      <c r="DXU576" s="268"/>
      <c r="DXW576" s="268"/>
      <c r="DXX576" s="268"/>
      <c r="DXY576" s="268"/>
      <c r="DXZ576" s="268"/>
      <c r="DYA576" s="268"/>
      <c r="DYB576" s="268"/>
      <c r="DYC576" s="268"/>
      <c r="DYD576" s="268"/>
      <c r="DYE576" s="268"/>
      <c r="DYF576" s="268"/>
      <c r="DYG576" s="268"/>
      <c r="DYH576" s="268"/>
      <c r="DYI576" s="268"/>
      <c r="DYJ576" s="268"/>
      <c r="DYK576" s="268"/>
      <c r="DYL576" s="268"/>
      <c r="DYM576" s="268"/>
      <c r="DYN576" s="268"/>
      <c r="DYO576" s="268"/>
      <c r="DYP576" s="268"/>
      <c r="DYQ576" s="268"/>
      <c r="DYR576" s="268"/>
      <c r="DYS576" s="268"/>
      <c r="DYT576" s="268"/>
      <c r="DYU576" s="268"/>
      <c r="DYV576" s="268"/>
      <c r="DYW576" s="268"/>
      <c r="DYX576" s="268"/>
      <c r="DYY576" s="268"/>
      <c r="DYZ576" s="268"/>
      <c r="DZA576" s="268"/>
      <c r="DZB576" s="268"/>
      <c r="DZC576" s="268"/>
      <c r="DZD576" s="268"/>
      <c r="DZE576" s="268"/>
      <c r="DZF576" s="268"/>
      <c r="DZG576" s="268"/>
      <c r="DZH576" s="268"/>
      <c r="DZI576" s="268"/>
      <c r="DZJ576" s="268"/>
      <c r="DZK576" s="268"/>
      <c r="DZL576" s="268"/>
      <c r="DZM576" s="268"/>
      <c r="DZN576" s="268"/>
      <c r="DZO576" s="268"/>
      <c r="DZP576" s="268"/>
      <c r="DZQ576" s="268"/>
      <c r="DZR576" s="268"/>
      <c r="DZS576" s="268"/>
      <c r="DZT576" s="268"/>
      <c r="DZU576" s="268"/>
      <c r="DZV576" s="268"/>
      <c r="DZW576" s="268"/>
      <c r="DZX576" s="268"/>
      <c r="DZY576" s="268"/>
      <c r="DZZ576" s="268"/>
      <c r="EAA576" s="268"/>
      <c r="EAB576" s="268"/>
      <c r="EAC576" s="268"/>
      <c r="EAD576" s="268"/>
      <c r="EAE576" s="268"/>
      <c r="EAF576" s="268"/>
      <c r="EAG576" s="268"/>
      <c r="EAH576" s="268"/>
      <c r="EAI576" s="268"/>
      <c r="EAJ576" s="268"/>
      <c r="EAK576" s="268"/>
      <c r="EAL576" s="268"/>
      <c r="EAM576" s="268"/>
      <c r="EAN576" s="268"/>
      <c r="EAO576" s="268"/>
      <c r="EAP576" s="268"/>
      <c r="EAQ576" s="268"/>
      <c r="EAR576" s="268"/>
      <c r="EAS576" s="268"/>
      <c r="EAT576" s="268"/>
      <c r="EAU576" s="268"/>
      <c r="EAV576" s="268"/>
      <c r="EAW576" s="268"/>
      <c r="EAX576" s="268"/>
      <c r="EAY576" s="268"/>
      <c r="EAZ576" s="268"/>
      <c r="EBA576" s="268"/>
      <c r="EBB576" s="268"/>
      <c r="EBC576" s="268"/>
      <c r="EBD576" s="268"/>
      <c r="EBE576" s="268"/>
      <c r="EBF576" s="268"/>
      <c r="EBG576" s="268"/>
      <c r="EBH576" s="268"/>
      <c r="EBI576" s="268"/>
      <c r="EBJ576" s="268"/>
      <c r="EBK576" s="268"/>
      <c r="EBL576" s="268"/>
      <c r="EBM576" s="268"/>
      <c r="EBN576" s="268"/>
      <c r="EBO576" s="268"/>
      <c r="EBP576" s="268"/>
      <c r="EBQ576" s="268"/>
      <c r="EBR576" s="268"/>
      <c r="EBS576" s="268"/>
      <c r="EBT576" s="268"/>
      <c r="EBU576" s="268"/>
      <c r="EBV576" s="268"/>
      <c r="EBW576" s="268"/>
      <c r="EBX576" s="268"/>
      <c r="EBY576" s="268"/>
      <c r="EBZ576" s="268"/>
      <c r="ECA576" s="268"/>
      <c r="ECB576" s="268"/>
      <c r="ECC576" s="268"/>
      <c r="ECD576" s="268"/>
      <c r="ECE576" s="268"/>
      <c r="ECF576" s="268"/>
      <c r="ECG576" s="268"/>
      <c r="ECH576" s="268"/>
      <c r="ECI576" s="268"/>
      <c r="ECJ576" s="268"/>
      <c r="ECK576" s="268"/>
      <c r="ECL576" s="268"/>
      <c r="ECM576" s="268"/>
      <c r="ECN576" s="268"/>
      <c r="ECO576" s="268"/>
      <c r="ECP576" s="268"/>
      <c r="ECQ576" s="268"/>
      <c r="ECR576" s="268"/>
      <c r="ECS576" s="268"/>
      <c r="ECT576" s="268"/>
      <c r="ECU576" s="268"/>
      <c r="ECV576" s="268"/>
      <c r="ECW576" s="268"/>
      <c r="ECX576" s="268"/>
      <c r="ECY576" s="268"/>
      <c r="ECZ576" s="268"/>
      <c r="EDA576" s="268"/>
      <c r="EDB576" s="268"/>
      <c r="EDC576" s="268"/>
      <c r="EDD576" s="268"/>
      <c r="EDE576" s="268"/>
      <c r="EDF576" s="268"/>
      <c r="EDG576" s="268"/>
      <c r="EDH576" s="268"/>
      <c r="EDI576" s="268"/>
      <c r="EDJ576" s="268"/>
      <c r="EDK576" s="268"/>
      <c r="EDL576" s="268"/>
      <c r="EDM576" s="268"/>
      <c r="EDN576" s="268"/>
      <c r="EDO576" s="268"/>
      <c r="EDP576" s="268"/>
      <c r="EDQ576" s="268"/>
      <c r="EDR576" s="268"/>
      <c r="EDS576" s="268"/>
      <c r="EDT576" s="268"/>
      <c r="EDU576" s="268"/>
      <c r="EDV576" s="268"/>
      <c r="EDW576" s="268"/>
      <c r="EDX576" s="268"/>
      <c r="EDY576" s="268"/>
      <c r="EDZ576" s="268"/>
      <c r="EEA576" s="268"/>
      <c r="EEB576" s="268"/>
      <c r="EEC576" s="268"/>
      <c r="EED576" s="268"/>
      <c r="EEE576" s="268"/>
      <c r="EEF576" s="268"/>
      <c r="EEG576" s="268"/>
      <c r="EEH576" s="268"/>
      <c r="EEI576" s="268"/>
      <c r="EEJ576" s="268"/>
      <c r="EEK576" s="268"/>
      <c r="EEL576" s="268"/>
      <c r="EEM576" s="268"/>
      <c r="EEN576" s="268"/>
      <c r="EEO576" s="268"/>
      <c r="EEP576" s="268"/>
      <c r="EEQ576" s="268"/>
      <c r="EER576" s="268"/>
      <c r="EES576" s="268"/>
      <c r="EET576" s="268"/>
      <c r="EEU576" s="268"/>
      <c r="EEV576" s="268"/>
      <c r="EEW576" s="268"/>
      <c r="EEX576" s="268"/>
      <c r="EEY576" s="268"/>
      <c r="EEZ576" s="268"/>
      <c r="EFA576" s="268"/>
      <c r="EFB576" s="268"/>
      <c r="EFC576" s="268"/>
      <c r="EFD576" s="268"/>
      <c r="EFE576" s="268"/>
      <c r="EFF576" s="268"/>
      <c r="EFG576" s="268"/>
      <c r="EFH576" s="268"/>
      <c r="EFI576" s="268"/>
      <c r="EFJ576" s="268"/>
      <c r="EFK576" s="268"/>
      <c r="EFL576" s="268"/>
      <c r="EFM576" s="268"/>
      <c r="EFN576" s="268"/>
      <c r="EFO576" s="268"/>
      <c r="EFP576" s="268"/>
      <c r="EFQ576" s="268"/>
      <c r="EFR576" s="268"/>
      <c r="EFS576" s="268"/>
      <c r="EFT576" s="268"/>
      <c r="EFU576" s="268"/>
      <c r="EFV576" s="268"/>
      <c r="EFW576" s="268"/>
      <c r="EFX576" s="268"/>
      <c r="EFY576" s="268"/>
      <c r="EFZ576" s="268"/>
      <c r="EGA576" s="268"/>
      <c r="EGB576" s="268"/>
      <c r="EGC576" s="268"/>
      <c r="EGD576" s="268"/>
      <c r="EGE576" s="268"/>
      <c r="EGF576" s="268"/>
      <c r="EGG576" s="268"/>
      <c r="EGH576" s="268"/>
      <c r="EGI576" s="268"/>
      <c r="EGJ576" s="268"/>
      <c r="EGK576" s="268"/>
      <c r="EGL576" s="268"/>
      <c r="EGM576" s="268"/>
      <c r="EHA576" s="268"/>
      <c r="EHB576" s="268"/>
      <c r="EHC576" s="268"/>
      <c r="EHQ576" s="268"/>
      <c r="EHS576" s="268"/>
      <c r="EHT576" s="268"/>
      <c r="EHU576" s="268"/>
      <c r="EHV576" s="268"/>
      <c r="EHW576" s="268"/>
      <c r="EHX576" s="268"/>
      <c r="EHY576" s="268"/>
      <c r="EHZ576" s="268"/>
      <c r="EIA576" s="268"/>
      <c r="EIB576" s="268"/>
      <c r="EIC576" s="268"/>
      <c r="EID576" s="268"/>
      <c r="EIE576" s="268"/>
      <c r="EIF576" s="268"/>
      <c r="EIG576" s="268"/>
      <c r="EIH576" s="268"/>
      <c r="EII576" s="268"/>
      <c r="EIJ576" s="268"/>
      <c r="EIK576" s="268"/>
      <c r="EIL576" s="268"/>
      <c r="EIM576" s="268"/>
      <c r="EIN576" s="268"/>
      <c r="EIO576" s="268"/>
      <c r="EIP576" s="268"/>
      <c r="EIQ576" s="268"/>
      <c r="EIR576" s="268"/>
      <c r="EIS576" s="268"/>
      <c r="EIT576" s="268"/>
      <c r="EIU576" s="268"/>
      <c r="EIV576" s="268"/>
      <c r="EIW576" s="268"/>
      <c r="EIX576" s="268"/>
      <c r="EIY576" s="268"/>
      <c r="EIZ576" s="268"/>
      <c r="EJA576" s="268"/>
      <c r="EJB576" s="268"/>
      <c r="EJC576" s="268"/>
      <c r="EJD576" s="268"/>
      <c r="EJE576" s="268"/>
      <c r="EJF576" s="268"/>
      <c r="EJG576" s="268"/>
      <c r="EJH576" s="268"/>
      <c r="EJI576" s="268"/>
      <c r="EJJ576" s="268"/>
      <c r="EJK576" s="268"/>
      <c r="EJL576" s="268"/>
      <c r="EJM576" s="268"/>
      <c r="EJN576" s="268"/>
      <c r="EJO576" s="268"/>
      <c r="EJP576" s="268"/>
      <c r="EJQ576" s="268"/>
      <c r="EJR576" s="268"/>
      <c r="EJS576" s="268"/>
      <c r="EJT576" s="268"/>
      <c r="EJU576" s="268"/>
      <c r="EJV576" s="268"/>
      <c r="EJW576" s="268"/>
      <c r="EJX576" s="268"/>
      <c r="EJY576" s="268"/>
      <c r="EJZ576" s="268"/>
      <c r="EKA576" s="268"/>
      <c r="EKB576" s="268"/>
      <c r="EKC576" s="268"/>
      <c r="EKD576" s="268"/>
      <c r="EKE576" s="268"/>
      <c r="EKF576" s="268"/>
      <c r="EKG576" s="268"/>
      <c r="EKH576" s="268"/>
      <c r="EKI576" s="268"/>
      <c r="EKJ576" s="268"/>
      <c r="EKK576" s="268"/>
      <c r="EKL576" s="268"/>
      <c r="EKM576" s="268"/>
      <c r="EKN576" s="268"/>
      <c r="EKO576" s="268"/>
      <c r="EKP576" s="268"/>
      <c r="EKQ576" s="268"/>
      <c r="EKR576" s="268"/>
      <c r="EKS576" s="268"/>
      <c r="EKT576" s="268"/>
      <c r="EKU576" s="268"/>
      <c r="EKV576" s="268"/>
      <c r="EKW576" s="268"/>
      <c r="EKX576" s="268"/>
      <c r="EKY576" s="268"/>
      <c r="EKZ576" s="268"/>
      <c r="ELA576" s="268"/>
      <c r="ELB576" s="268"/>
      <c r="ELC576" s="268"/>
      <c r="ELD576" s="268"/>
      <c r="ELE576" s="268"/>
      <c r="ELF576" s="268"/>
      <c r="ELG576" s="268"/>
      <c r="ELH576" s="268"/>
      <c r="ELI576" s="268"/>
      <c r="ELJ576" s="268"/>
      <c r="ELK576" s="268"/>
      <c r="ELL576" s="268"/>
      <c r="ELM576" s="268"/>
      <c r="ELN576" s="268"/>
      <c r="ELO576" s="268"/>
      <c r="ELP576" s="268"/>
      <c r="ELQ576" s="268"/>
      <c r="ELR576" s="268"/>
      <c r="ELS576" s="268"/>
      <c r="ELT576" s="268"/>
      <c r="ELU576" s="268"/>
      <c r="ELV576" s="268"/>
      <c r="ELW576" s="268"/>
      <c r="ELX576" s="268"/>
      <c r="ELY576" s="268"/>
      <c r="ELZ576" s="268"/>
      <c r="EMA576" s="268"/>
      <c r="EMB576" s="268"/>
      <c r="EMC576" s="268"/>
      <c r="EMD576" s="268"/>
      <c r="EME576" s="268"/>
      <c r="EMF576" s="268"/>
      <c r="EMG576" s="268"/>
      <c r="EMH576" s="268"/>
      <c r="EMI576" s="268"/>
      <c r="EMJ576" s="268"/>
      <c r="EMK576" s="268"/>
      <c r="EML576" s="268"/>
      <c r="EMM576" s="268"/>
      <c r="EMN576" s="268"/>
      <c r="EMO576" s="268"/>
      <c r="EMP576" s="268"/>
      <c r="EMQ576" s="268"/>
      <c r="EMR576" s="268"/>
      <c r="EMS576" s="268"/>
      <c r="EMT576" s="268"/>
      <c r="EMU576" s="268"/>
      <c r="EMV576" s="268"/>
      <c r="EMW576" s="268"/>
      <c r="EMX576" s="268"/>
      <c r="EMY576" s="268"/>
      <c r="EMZ576" s="268"/>
      <c r="ENA576" s="268"/>
      <c r="ENB576" s="268"/>
      <c r="ENC576" s="268"/>
      <c r="END576" s="268"/>
      <c r="ENE576" s="268"/>
      <c r="ENF576" s="268"/>
      <c r="ENG576" s="268"/>
      <c r="ENH576" s="268"/>
      <c r="ENI576" s="268"/>
      <c r="ENJ576" s="268"/>
      <c r="ENK576" s="268"/>
      <c r="ENL576" s="268"/>
      <c r="ENM576" s="268"/>
      <c r="ENN576" s="268"/>
      <c r="ENO576" s="268"/>
      <c r="ENP576" s="268"/>
      <c r="ENQ576" s="268"/>
      <c r="ENR576" s="268"/>
      <c r="ENS576" s="268"/>
      <c r="ENT576" s="268"/>
      <c r="ENU576" s="268"/>
      <c r="ENV576" s="268"/>
      <c r="ENW576" s="268"/>
      <c r="ENX576" s="268"/>
      <c r="ENY576" s="268"/>
      <c r="ENZ576" s="268"/>
      <c r="EOA576" s="268"/>
      <c r="EOB576" s="268"/>
      <c r="EOC576" s="268"/>
      <c r="EOD576" s="268"/>
      <c r="EOE576" s="268"/>
      <c r="EOF576" s="268"/>
      <c r="EOG576" s="268"/>
      <c r="EOH576" s="268"/>
      <c r="EOI576" s="268"/>
      <c r="EOJ576" s="268"/>
      <c r="EOK576" s="268"/>
      <c r="EOL576" s="268"/>
      <c r="EOM576" s="268"/>
      <c r="EON576" s="268"/>
      <c r="EOO576" s="268"/>
      <c r="EOP576" s="268"/>
      <c r="EOQ576" s="268"/>
      <c r="EOR576" s="268"/>
      <c r="EOS576" s="268"/>
      <c r="EOT576" s="268"/>
      <c r="EOU576" s="268"/>
      <c r="EOV576" s="268"/>
      <c r="EOW576" s="268"/>
      <c r="EOX576" s="268"/>
      <c r="EOY576" s="268"/>
      <c r="EOZ576" s="268"/>
      <c r="EPA576" s="268"/>
      <c r="EPB576" s="268"/>
      <c r="EPC576" s="268"/>
      <c r="EPD576" s="268"/>
      <c r="EPE576" s="268"/>
      <c r="EPF576" s="268"/>
      <c r="EPG576" s="268"/>
      <c r="EPH576" s="268"/>
      <c r="EPI576" s="268"/>
      <c r="EPJ576" s="268"/>
      <c r="EPK576" s="268"/>
      <c r="EPL576" s="268"/>
      <c r="EPM576" s="268"/>
      <c r="EPN576" s="268"/>
      <c r="EPO576" s="268"/>
      <c r="EPP576" s="268"/>
      <c r="EPQ576" s="268"/>
      <c r="EPR576" s="268"/>
      <c r="EPS576" s="268"/>
      <c r="EPT576" s="268"/>
      <c r="EPU576" s="268"/>
      <c r="EPV576" s="268"/>
      <c r="EPW576" s="268"/>
      <c r="EPX576" s="268"/>
      <c r="EPY576" s="268"/>
      <c r="EPZ576" s="268"/>
      <c r="EQA576" s="268"/>
      <c r="EQB576" s="268"/>
      <c r="EQC576" s="268"/>
      <c r="EQD576" s="268"/>
      <c r="EQE576" s="268"/>
      <c r="EQF576" s="268"/>
      <c r="EQG576" s="268"/>
      <c r="EQH576" s="268"/>
      <c r="EQI576" s="268"/>
      <c r="EQW576" s="268"/>
      <c r="EQX576" s="268"/>
      <c r="EQY576" s="268"/>
      <c r="ERM576" s="268"/>
      <c r="ERO576" s="268"/>
      <c r="ERP576" s="268"/>
      <c r="ERQ576" s="268"/>
      <c r="ERR576" s="268"/>
      <c r="ERS576" s="268"/>
      <c r="ERT576" s="268"/>
      <c r="ERU576" s="268"/>
      <c r="ERV576" s="268"/>
      <c r="ERW576" s="268"/>
      <c r="ERX576" s="268"/>
      <c r="ERY576" s="268"/>
      <c r="ERZ576" s="268"/>
      <c r="ESA576" s="268"/>
      <c r="ESB576" s="268"/>
      <c r="ESC576" s="268"/>
      <c r="ESD576" s="268"/>
      <c r="ESE576" s="268"/>
      <c r="ESF576" s="268"/>
      <c r="ESG576" s="268"/>
      <c r="ESH576" s="268"/>
      <c r="ESI576" s="268"/>
      <c r="ESJ576" s="268"/>
      <c r="ESK576" s="268"/>
      <c r="ESL576" s="268"/>
      <c r="ESM576" s="268"/>
      <c r="ESN576" s="268"/>
      <c r="ESO576" s="268"/>
      <c r="ESP576" s="268"/>
      <c r="ESQ576" s="268"/>
      <c r="ESR576" s="268"/>
      <c r="ESS576" s="268"/>
      <c r="EST576" s="268"/>
      <c r="ESU576" s="268"/>
      <c r="ESV576" s="268"/>
      <c r="ESW576" s="268"/>
      <c r="ESX576" s="268"/>
      <c r="ESY576" s="268"/>
      <c r="ESZ576" s="268"/>
      <c r="ETA576" s="268"/>
      <c r="ETB576" s="268"/>
      <c r="ETC576" s="268"/>
      <c r="ETD576" s="268"/>
      <c r="ETE576" s="268"/>
      <c r="ETF576" s="268"/>
      <c r="ETG576" s="268"/>
      <c r="ETH576" s="268"/>
      <c r="ETI576" s="268"/>
      <c r="ETJ576" s="268"/>
      <c r="ETK576" s="268"/>
      <c r="ETL576" s="268"/>
      <c r="ETM576" s="268"/>
      <c r="ETN576" s="268"/>
      <c r="ETO576" s="268"/>
      <c r="ETP576" s="268"/>
      <c r="ETQ576" s="268"/>
      <c r="ETR576" s="268"/>
      <c r="ETS576" s="268"/>
      <c r="ETT576" s="268"/>
      <c r="ETU576" s="268"/>
      <c r="ETV576" s="268"/>
      <c r="ETW576" s="268"/>
      <c r="ETX576" s="268"/>
      <c r="ETY576" s="268"/>
      <c r="ETZ576" s="268"/>
      <c r="EUA576" s="268"/>
      <c r="EUB576" s="268"/>
      <c r="EUC576" s="268"/>
      <c r="EUD576" s="268"/>
      <c r="EUE576" s="268"/>
      <c r="EUF576" s="268"/>
      <c r="EUG576" s="268"/>
      <c r="EUH576" s="268"/>
      <c r="EUI576" s="268"/>
      <c r="EUJ576" s="268"/>
      <c r="EUK576" s="268"/>
      <c r="EUL576" s="268"/>
      <c r="EUM576" s="268"/>
      <c r="EUN576" s="268"/>
      <c r="EUO576" s="268"/>
      <c r="EUP576" s="268"/>
      <c r="EUQ576" s="268"/>
      <c r="EUR576" s="268"/>
      <c r="EUS576" s="268"/>
      <c r="EUT576" s="268"/>
      <c r="EUU576" s="268"/>
      <c r="EUV576" s="268"/>
      <c r="EUW576" s="268"/>
      <c r="EUX576" s="268"/>
      <c r="EUY576" s="268"/>
      <c r="EUZ576" s="268"/>
      <c r="EVA576" s="268"/>
      <c r="EVB576" s="268"/>
      <c r="EVC576" s="268"/>
      <c r="EVD576" s="268"/>
      <c r="EVE576" s="268"/>
      <c r="EVF576" s="268"/>
      <c r="EVG576" s="268"/>
      <c r="EVH576" s="268"/>
      <c r="EVI576" s="268"/>
      <c r="EVJ576" s="268"/>
      <c r="EVK576" s="268"/>
      <c r="EVL576" s="268"/>
      <c r="EVM576" s="268"/>
      <c r="EVN576" s="268"/>
      <c r="EVO576" s="268"/>
      <c r="EVP576" s="268"/>
      <c r="EVQ576" s="268"/>
      <c r="EVR576" s="268"/>
      <c r="EVS576" s="268"/>
      <c r="EVT576" s="268"/>
      <c r="EVU576" s="268"/>
      <c r="EVV576" s="268"/>
      <c r="EVW576" s="268"/>
      <c r="EVX576" s="268"/>
      <c r="EVY576" s="268"/>
      <c r="EVZ576" s="268"/>
      <c r="EWA576" s="268"/>
      <c r="EWB576" s="268"/>
      <c r="EWC576" s="268"/>
      <c r="EWD576" s="268"/>
      <c r="EWE576" s="268"/>
      <c r="EWF576" s="268"/>
      <c r="EWG576" s="268"/>
      <c r="EWH576" s="268"/>
      <c r="EWI576" s="268"/>
      <c r="EWJ576" s="268"/>
      <c r="EWK576" s="268"/>
      <c r="EWL576" s="268"/>
      <c r="EWM576" s="268"/>
      <c r="EWN576" s="268"/>
      <c r="EWO576" s="268"/>
      <c r="EWP576" s="268"/>
      <c r="EWQ576" s="268"/>
      <c r="EWR576" s="268"/>
      <c r="EWS576" s="268"/>
      <c r="EWT576" s="268"/>
      <c r="EWU576" s="268"/>
      <c r="EWV576" s="268"/>
      <c r="EWW576" s="268"/>
      <c r="EWX576" s="268"/>
      <c r="EWY576" s="268"/>
      <c r="EWZ576" s="268"/>
      <c r="EXA576" s="268"/>
      <c r="EXB576" s="268"/>
      <c r="EXC576" s="268"/>
      <c r="EXD576" s="268"/>
      <c r="EXE576" s="268"/>
      <c r="EXF576" s="268"/>
      <c r="EXG576" s="268"/>
      <c r="EXH576" s="268"/>
      <c r="EXI576" s="268"/>
      <c r="EXJ576" s="268"/>
      <c r="EXK576" s="268"/>
      <c r="EXL576" s="268"/>
      <c r="EXM576" s="268"/>
      <c r="EXN576" s="268"/>
      <c r="EXO576" s="268"/>
      <c r="EXP576" s="268"/>
      <c r="EXQ576" s="268"/>
      <c r="EXR576" s="268"/>
      <c r="EXS576" s="268"/>
      <c r="EXT576" s="268"/>
      <c r="EXU576" s="268"/>
      <c r="EXV576" s="268"/>
      <c r="EXW576" s="268"/>
      <c r="EXX576" s="268"/>
      <c r="EXY576" s="268"/>
      <c r="EXZ576" s="268"/>
      <c r="EYA576" s="268"/>
      <c r="EYB576" s="268"/>
      <c r="EYC576" s="268"/>
      <c r="EYD576" s="268"/>
      <c r="EYE576" s="268"/>
      <c r="EYF576" s="268"/>
      <c r="EYG576" s="268"/>
      <c r="EYH576" s="268"/>
      <c r="EYI576" s="268"/>
      <c r="EYJ576" s="268"/>
      <c r="EYK576" s="268"/>
      <c r="EYL576" s="268"/>
      <c r="EYM576" s="268"/>
      <c r="EYN576" s="268"/>
      <c r="EYO576" s="268"/>
      <c r="EYP576" s="268"/>
      <c r="EYQ576" s="268"/>
      <c r="EYR576" s="268"/>
      <c r="EYS576" s="268"/>
      <c r="EYT576" s="268"/>
      <c r="EYU576" s="268"/>
      <c r="EYV576" s="268"/>
      <c r="EYW576" s="268"/>
      <c r="EYX576" s="268"/>
      <c r="EYY576" s="268"/>
      <c r="EYZ576" s="268"/>
      <c r="EZA576" s="268"/>
      <c r="EZB576" s="268"/>
      <c r="EZC576" s="268"/>
      <c r="EZD576" s="268"/>
      <c r="EZE576" s="268"/>
      <c r="EZF576" s="268"/>
      <c r="EZG576" s="268"/>
      <c r="EZH576" s="268"/>
      <c r="EZI576" s="268"/>
      <c r="EZJ576" s="268"/>
      <c r="EZK576" s="268"/>
      <c r="EZL576" s="268"/>
      <c r="EZM576" s="268"/>
      <c r="EZN576" s="268"/>
      <c r="EZO576" s="268"/>
      <c r="EZP576" s="268"/>
      <c r="EZQ576" s="268"/>
      <c r="EZR576" s="268"/>
      <c r="EZS576" s="268"/>
      <c r="EZT576" s="268"/>
      <c r="EZU576" s="268"/>
      <c r="EZV576" s="268"/>
      <c r="EZW576" s="268"/>
      <c r="EZX576" s="268"/>
      <c r="EZY576" s="268"/>
      <c r="EZZ576" s="268"/>
      <c r="FAA576" s="268"/>
      <c r="FAB576" s="268"/>
      <c r="FAC576" s="268"/>
      <c r="FAD576" s="268"/>
      <c r="FAE576" s="268"/>
      <c r="FAS576" s="268"/>
      <c r="FAT576" s="268"/>
      <c r="FAU576" s="268"/>
      <c r="FBI576" s="268"/>
      <c r="FBK576" s="268"/>
      <c r="FBL576" s="268"/>
      <c r="FBM576" s="268"/>
      <c r="FBN576" s="268"/>
      <c r="FBO576" s="268"/>
      <c r="FBP576" s="268"/>
      <c r="FBQ576" s="268"/>
      <c r="FBR576" s="268"/>
      <c r="FBS576" s="268"/>
      <c r="FBT576" s="268"/>
      <c r="FBU576" s="268"/>
      <c r="FBV576" s="268"/>
      <c r="FBW576" s="268"/>
      <c r="FBX576" s="268"/>
      <c r="FBY576" s="268"/>
      <c r="FBZ576" s="268"/>
      <c r="FCA576" s="268"/>
      <c r="FCB576" s="268"/>
      <c r="FCC576" s="268"/>
      <c r="FCD576" s="268"/>
      <c r="FCE576" s="268"/>
      <c r="FCF576" s="268"/>
      <c r="FCG576" s="268"/>
      <c r="FCH576" s="268"/>
      <c r="FCI576" s="268"/>
      <c r="FCJ576" s="268"/>
      <c r="FCK576" s="268"/>
      <c r="FCL576" s="268"/>
      <c r="FCM576" s="268"/>
      <c r="FCN576" s="268"/>
      <c r="FCO576" s="268"/>
      <c r="FCP576" s="268"/>
      <c r="FCQ576" s="268"/>
      <c r="FCR576" s="268"/>
      <c r="FCS576" s="268"/>
      <c r="FCT576" s="268"/>
      <c r="FCU576" s="268"/>
      <c r="FCV576" s="268"/>
      <c r="FCW576" s="268"/>
      <c r="FCX576" s="268"/>
      <c r="FCY576" s="268"/>
      <c r="FCZ576" s="268"/>
      <c r="FDA576" s="268"/>
      <c r="FDB576" s="268"/>
      <c r="FDC576" s="268"/>
      <c r="FDD576" s="268"/>
      <c r="FDE576" s="268"/>
      <c r="FDF576" s="268"/>
      <c r="FDG576" s="268"/>
      <c r="FDH576" s="268"/>
      <c r="FDI576" s="268"/>
      <c r="FDJ576" s="268"/>
      <c r="FDK576" s="268"/>
      <c r="FDL576" s="268"/>
      <c r="FDM576" s="268"/>
      <c r="FDN576" s="268"/>
      <c r="FDO576" s="268"/>
      <c r="FDP576" s="268"/>
      <c r="FDQ576" s="268"/>
      <c r="FDR576" s="268"/>
      <c r="FDS576" s="268"/>
      <c r="FDT576" s="268"/>
      <c r="FDU576" s="268"/>
      <c r="FDV576" s="268"/>
      <c r="FDW576" s="268"/>
      <c r="FDX576" s="268"/>
      <c r="FDY576" s="268"/>
      <c r="FDZ576" s="268"/>
      <c r="FEA576" s="268"/>
      <c r="FEB576" s="268"/>
      <c r="FEC576" s="268"/>
      <c r="FED576" s="268"/>
      <c r="FEE576" s="268"/>
      <c r="FEF576" s="268"/>
      <c r="FEG576" s="268"/>
      <c r="FEH576" s="268"/>
      <c r="FEI576" s="268"/>
      <c r="FEJ576" s="268"/>
      <c r="FEK576" s="268"/>
      <c r="FEL576" s="268"/>
      <c r="FEM576" s="268"/>
      <c r="FEN576" s="268"/>
      <c r="FEO576" s="268"/>
      <c r="FEP576" s="268"/>
      <c r="FEQ576" s="268"/>
      <c r="FER576" s="268"/>
      <c r="FES576" s="268"/>
      <c r="FET576" s="268"/>
      <c r="FEU576" s="268"/>
      <c r="FEV576" s="268"/>
      <c r="FEW576" s="268"/>
      <c r="FEX576" s="268"/>
      <c r="FEY576" s="268"/>
      <c r="FEZ576" s="268"/>
      <c r="FFA576" s="268"/>
      <c r="FFB576" s="268"/>
      <c r="FFC576" s="268"/>
      <c r="FFD576" s="268"/>
      <c r="FFE576" s="268"/>
      <c r="FFF576" s="268"/>
      <c r="FFG576" s="268"/>
      <c r="FFH576" s="268"/>
      <c r="FFI576" s="268"/>
      <c r="FFJ576" s="268"/>
      <c r="FFK576" s="268"/>
      <c r="FFL576" s="268"/>
      <c r="FFM576" s="268"/>
      <c r="FFN576" s="268"/>
      <c r="FFO576" s="268"/>
      <c r="FFP576" s="268"/>
      <c r="FFQ576" s="268"/>
      <c r="FFR576" s="268"/>
      <c r="FFS576" s="268"/>
      <c r="FFT576" s="268"/>
      <c r="FFU576" s="268"/>
      <c r="FFV576" s="268"/>
      <c r="FFW576" s="268"/>
      <c r="FFX576" s="268"/>
      <c r="FFY576" s="268"/>
      <c r="FFZ576" s="268"/>
      <c r="FGA576" s="268"/>
      <c r="FGB576" s="268"/>
      <c r="FGC576" s="268"/>
      <c r="FGD576" s="268"/>
      <c r="FGE576" s="268"/>
      <c r="FGF576" s="268"/>
      <c r="FGG576" s="268"/>
      <c r="FGH576" s="268"/>
      <c r="FGI576" s="268"/>
      <c r="FGJ576" s="268"/>
      <c r="FGK576" s="268"/>
      <c r="FGL576" s="268"/>
      <c r="FGM576" s="268"/>
      <c r="FGN576" s="268"/>
      <c r="FGO576" s="268"/>
      <c r="FGP576" s="268"/>
      <c r="FGQ576" s="268"/>
      <c r="FGR576" s="268"/>
      <c r="FGS576" s="268"/>
      <c r="FGT576" s="268"/>
      <c r="FGU576" s="268"/>
      <c r="FGV576" s="268"/>
      <c r="FGW576" s="268"/>
      <c r="FGX576" s="268"/>
      <c r="FGY576" s="268"/>
      <c r="FGZ576" s="268"/>
      <c r="FHA576" s="268"/>
      <c r="FHB576" s="268"/>
      <c r="FHC576" s="268"/>
      <c r="FHD576" s="268"/>
      <c r="FHE576" s="268"/>
      <c r="FHF576" s="268"/>
      <c r="FHG576" s="268"/>
      <c r="FHH576" s="268"/>
      <c r="FHI576" s="268"/>
      <c r="FHJ576" s="268"/>
      <c r="FHK576" s="268"/>
      <c r="FHL576" s="268"/>
      <c r="FHM576" s="268"/>
      <c r="FHN576" s="268"/>
      <c r="FHO576" s="268"/>
      <c r="FHP576" s="268"/>
      <c r="FHQ576" s="268"/>
      <c r="FHR576" s="268"/>
      <c r="FHS576" s="268"/>
      <c r="FHT576" s="268"/>
      <c r="FHU576" s="268"/>
      <c r="FHV576" s="268"/>
      <c r="FHW576" s="268"/>
      <c r="FHX576" s="268"/>
      <c r="FHY576" s="268"/>
      <c r="FHZ576" s="268"/>
      <c r="FIA576" s="268"/>
      <c r="FIB576" s="268"/>
      <c r="FIC576" s="268"/>
      <c r="FID576" s="268"/>
      <c r="FIE576" s="268"/>
      <c r="FIF576" s="268"/>
      <c r="FIG576" s="268"/>
      <c r="FIH576" s="268"/>
      <c r="FII576" s="268"/>
      <c r="FIJ576" s="268"/>
      <c r="FIK576" s="268"/>
      <c r="FIL576" s="268"/>
      <c r="FIM576" s="268"/>
      <c r="FIN576" s="268"/>
      <c r="FIO576" s="268"/>
      <c r="FIP576" s="268"/>
      <c r="FIQ576" s="268"/>
      <c r="FIR576" s="268"/>
      <c r="FIS576" s="268"/>
      <c r="FIT576" s="268"/>
      <c r="FIU576" s="268"/>
      <c r="FIV576" s="268"/>
      <c r="FIW576" s="268"/>
      <c r="FIX576" s="268"/>
      <c r="FIY576" s="268"/>
      <c r="FIZ576" s="268"/>
      <c r="FJA576" s="268"/>
      <c r="FJB576" s="268"/>
      <c r="FJC576" s="268"/>
      <c r="FJD576" s="268"/>
      <c r="FJE576" s="268"/>
      <c r="FJF576" s="268"/>
      <c r="FJG576" s="268"/>
      <c r="FJH576" s="268"/>
      <c r="FJI576" s="268"/>
      <c r="FJJ576" s="268"/>
      <c r="FJK576" s="268"/>
      <c r="FJL576" s="268"/>
      <c r="FJM576" s="268"/>
      <c r="FJN576" s="268"/>
      <c r="FJO576" s="268"/>
      <c r="FJP576" s="268"/>
      <c r="FJQ576" s="268"/>
      <c r="FJR576" s="268"/>
      <c r="FJS576" s="268"/>
      <c r="FJT576" s="268"/>
      <c r="FJU576" s="268"/>
      <c r="FJV576" s="268"/>
      <c r="FJW576" s="268"/>
      <c r="FJX576" s="268"/>
      <c r="FJY576" s="268"/>
      <c r="FJZ576" s="268"/>
      <c r="FKA576" s="268"/>
      <c r="FKO576" s="268"/>
      <c r="FKP576" s="268"/>
      <c r="FKQ576" s="268"/>
      <c r="FLE576" s="268"/>
      <c r="FLG576" s="268"/>
      <c r="FLH576" s="268"/>
      <c r="FLI576" s="268"/>
      <c r="FLJ576" s="268"/>
      <c r="FLK576" s="268"/>
      <c r="FLL576" s="268"/>
      <c r="FLM576" s="268"/>
      <c r="FLN576" s="268"/>
      <c r="FLO576" s="268"/>
      <c r="FLP576" s="268"/>
      <c r="FLQ576" s="268"/>
      <c r="FLR576" s="268"/>
      <c r="FLS576" s="268"/>
      <c r="FLT576" s="268"/>
      <c r="FLU576" s="268"/>
      <c r="FLV576" s="268"/>
      <c r="FLW576" s="268"/>
      <c r="FLX576" s="268"/>
      <c r="FLY576" s="268"/>
      <c r="FLZ576" s="268"/>
      <c r="FMA576" s="268"/>
      <c r="FMB576" s="268"/>
      <c r="FMC576" s="268"/>
      <c r="FMD576" s="268"/>
      <c r="FME576" s="268"/>
      <c r="FMF576" s="268"/>
      <c r="FMG576" s="268"/>
      <c r="FMH576" s="268"/>
      <c r="FMI576" s="268"/>
      <c r="FMJ576" s="268"/>
      <c r="FMK576" s="268"/>
      <c r="FML576" s="268"/>
      <c r="FMM576" s="268"/>
      <c r="FMN576" s="268"/>
      <c r="FMO576" s="268"/>
      <c r="FMP576" s="268"/>
      <c r="FMQ576" s="268"/>
      <c r="FMR576" s="268"/>
      <c r="FMS576" s="268"/>
      <c r="FMT576" s="268"/>
      <c r="FMU576" s="268"/>
      <c r="FMV576" s="268"/>
      <c r="FMW576" s="268"/>
      <c r="FMX576" s="268"/>
      <c r="FMY576" s="268"/>
      <c r="FMZ576" s="268"/>
      <c r="FNA576" s="268"/>
      <c r="FNB576" s="268"/>
      <c r="FNC576" s="268"/>
      <c r="FND576" s="268"/>
      <c r="FNE576" s="268"/>
      <c r="FNF576" s="268"/>
      <c r="FNG576" s="268"/>
      <c r="FNH576" s="268"/>
      <c r="FNI576" s="268"/>
      <c r="FNJ576" s="268"/>
      <c r="FNK576" s="268"/>
      <c r="FNL576" s="268"/>
      <c r="FNM576" s="268"/>
      <c r="FNN576" s="268"/>
      <c r="FNO576" s="268"/>
      <c r="FNP576" s="268"/>
      <c r="FNQ576" s="268"/>
      <c r="FNR576" s="268"/>
      <c r="FNS576" s="268"/>
      <c r="FNT576" s="268"/>
      <c r="FNU576" s="268"/>
      <c r="FNV576" s="268"/>
      <c r="FNW576" s="268"/>
      <c r="FNX576" s="268"/>
      <c r="FNY576" s="268"/>
      <c r="FNZ576" s="268"/>
      <c r="FOA576" s="268"/>
      <c r="FOB576" s="268"/>
      <c r="FOC576" s="268"/>
      <c r="FOD576" s="268"/>
      <c r="FOE576" s="268"/>
      <c r="FOF576" s="268"/>
      <c r="FOG576" s="268"/>
      <c r="FOH576" s="268"/>
      <c r="FOI576" s="268"/>
      <c r="FOJ576" s="268"/>
      <c r="FOK576" s="268"/>
      <c r="FOL576" s="268"/>
      <c r="FOM576" s="268"/>
      <c r="FON576" s="268"/>
      <c r="FOO576" s="268"/>
      <c r="FOP576" s="268"/>
      <c r="FOQ576" s="268"/>
      <c r="FOR576" s="268"/>
      <c r="FOS576" s="268"/>
      <c r="FOT576" s="268"/>
      <c r="FOU576" s="268"/>
      <c r="FOV576" s="268"/>
      <c r="FOW576" s="268"/>
      <c r="FOX576" s="268"/>
      <c r="FOY576" s="268"/>
      <c r="FOZ576" s="268"/>
      <c r="FPA576" s="268"/>
      <c r="FPB576" s="268"/>
      <c r="FPC576" s="268"/>
      <c r="FPD576" s="268"/>
      <c r="FPE576" s="268"/>
      <c r="FPF576" s="268"/>
      <c r="FPG576" s="268"/>
      <c r="FPH576" s="268"/>
      <c r="FPI576" s="268"/>
      <c r="FPJ576" s="268"/>
      <c r="FPK576" s="268"/>
      <c r="FPL576" s="268"/>
      <c r="FPM576" s="268"/>
      <c r="FPN576" s="268"/>
      <c r="FPO576" s="268"/>
      <c r="FPP576" s="268"/>
      <c r="FPQ576" s="268"/>
      <c r="FPR576" s="268"/>
      <c r="FPS576" s="268"/>
      <c r="FPT576" s="268"/>
      <c r="FPU576" s="268"/>
      <c r="FPV576" s="268"/>
      <c r="FPW576" s="268"/>
      <c r="FPX576" s="268"/>
      <c r="FPY576" s="268"/>
      <c r="FPZ576" s="268"/>
      <c r="FQA576" s="268"/>
      <c r="FQB576" s="268"/>
      <c r="FQC576" s="268"/>
      <c r="FQD576" s="268"/>
      <c r="FQE576" s="268"/>
      <c r="FQF576" s="268"/>
      <c r="FQG576" s="268"/>
      <c r="FQH576" s="268"/>
      <c r="FQI576" s="268"/>
      <c r="FQJ576" s="268"/>
      <c r="FQK576" s="268"/>
      <c r="FQL576" s="268"/>
      <c r="FQM576" s="268"/>
      <c r="FQN576" s="268"/>
      <c r="FQO576" s="268"/>
      <c r="FQP576" s="268"/>
      <c r="FQQ576" s="268"/>
      <c r="FQR576" s="268"/>
      <c r="FQS576" s="268"/>
      <c r="FQT576" s="268"/>
      <c r="FQU576" s="268"/>
      <c r="FQV576" s="268"/>
      <c r="FQW576" s="268"/>
      <c r="FQX576" s="268"/>
      <c r="FQY576" s="268"/>
      <c r="FQZ576" s="268"/>
      <c r="FRA576" s="268"/>
      <c r="FRB576" s="268"/>
      <c r="FRC576" s="268"/>
      <c r="FRD576" s="268"/>
      <c r="FRE576" s="268"/>
      <c r="FRF576" s="268"/>
      <c r="FRG576" s="268"/>
      <c r="FRH576" s="268"/>
      <c r="FRI576" s="268"/>
      <c r="FRJ576" s="268"/>
      <c r="FRK576" s="268"/>
      <c r="FRL576" s="268"/>
      <c r="FRM576" s="268"/>
      <c r="FRN576" s="268"/>
      <c r="FRO576" s="268"/>
      <c r="FRP576" s="268"/>
      <c r="FRQ576" s="268"/>
      <c r="FRR576" s="268"/>
      <c r="FRS576" s="268"/>
      <c r="FRT576" s="268"/>
      <c r="FRU576" s="268"/>
      <c r="FRV576" s="268"/>
      <c r="FRW576" s="268"/>
      <c r="FRX576" s="268"/>
      <c r="FRY576" s="268"/>
      <c r="FRZ576" s="268"/>
      <c r="FSA576" s="268"/>
      <c r="FSB576" s="268"/>
      <c r="FSC576" s="268"/>
      <c r="FSD576" s="268"/>
      <c r="FSE576" s="268"/>
      <c r="FSF576" s="268"/>
      <c r="FSG576" s="268"/>
      <c r="FSH576" s="268"/>
      <c r="FSI576" s="268"/>
      <c r="FSJ576" s="268"/>
      <c r="FSK576" s="268"/>
      <c r="FSL576" s="268"/>
      <c r="FSM576" s="268"/>
      <c r="FSN576" s="268"/>
      <c r="FSO576" s="268"/>
      <c r="FSP576" s="268"/>
      <c r="FSQ576" s="268"/>
      <c r="FSR576" s="268"/>
      <c r="FSS576" s="268"/>
      <c r="FST576" s="268"/>
      <c r="FSU576" s="268"/>
      <c r="FSV576" s="268"/>
      <c r="FSW576" s="268"/>
      <c r="FSX576" s="268"/>
      <c r="FSY576" s="268"/>
      <c r="FSZ576" s="268"/>
      <c r="FTA576" s="268"/>
      <c r="FTB576" s="268"/>
      <c r="FTC576" s="268"/>
      <c r="FTD576" s="268"/>
      <c r="FTE576" s="268"/>
      <c r="FTF576" s="268"/>
      <c r="FTG576" s="268"/>
      <c r="FTH576" s="268"/>
      <c r="FTI576" s="268"/>
      <c r="FTJ576" s="268"/>
      <c r="FTK576" s="268"/>
      <c r="FTL576" s="268"/>
      <c r="FTM576" s="268"/>
      <c r="FTN576" s="268"/>
      <c r="FTO576" s="268"/>
      <c r="FTP576" s="268"/>
      <c r="FTQ576" s="268"/>
      <c r="FTR576" s="268"/>
      <c r="FTS576" s="268"/>
      <c r="FTT576" s="268"/>
      <c r="FTU576" s="268"/>
      <c r="FTV576" s="268"/>
      <c r="FTW576" s="268"/>
      <c r="FUK576" s="268"/>
      <c r="FUL576" s="268"/>
      <c r="FUM576" s="268"/>
      <c r="FVA576" s="268"/>
      <c r="FVC576" s="268"/>
      <c r="FVD576" s="268"/>
      <c r="FVE576" s="268"/>
      <c r="FVF576" s="268"/>
      <c r="FVG576" s="268"/>
      <c r="FVH576" s="268"/>
      <c r="FVI576" s="268"/>
      <c r="FVJ576" s="268"/>
      <c r="FVK576" s="268"/>
      <c r="FVL576" s="268"/>
      <c r="FVM576" s="268"/>
      <c r="FVN576" s="268"/>
      <c r="FVO576" s="268"/>
      <c r="FVP576" s="268"/>
      <c r="FVQ576" s="268"/>
      <c r="FVR576" s="268"/>
      <c r="FVS576" s="268"/>
      <c r="FVT576" s="268"/>
      <c r="FVU576" s="268"/>
      <c r="FVV576" s="268"/>
      <c r="FVW576" s="268"/>
      <c r="FVX576" s="268"/>
      <c r="FVY576" s="268"/>
      <c r="FVZ576" s="268"/>
      <c r="FWA576" s="268"/>
      <c r="FWB576" s="268"/>
      <c r="FWC576" s="268"/>
      <c r="FWD576" s="268"/>
      <c r="FWE576" s="268"/>
      <c r="FWF576" s="268"/>
      <c r="FWG576" s="268"/>
      <c r="FWH576" s="268"/>
      <c r="FWI576" s="268"/>
      <c r="FWJ576" s="268"/>
      <c r="FWK576" s="268"/>
      <c r="FWL576" s="268"/>
      <c r="FWM576" s="268"/>
      <c r="FWN576" s="268"/>
      <c r="FWO576" s="268"/>
      <c r="FWP576" s="268"/>
      <c r="FWQ576" s="268"/>
      <c r="FWR576" s="268"/>
      <c r="FWS576" s="268"/>
      <c r="FWT576" s="268"/>
      <c r="FWU576" s="268"/>
      <c r="FWV576" s="268"/>
      <c r="FWW576" s="268"/>
      <c r="FWX576" s="268"/>
      <c r="FWY576" s="268"/>
      <c r="FWZ576" s="268"/>
      <c r="FXA576" s="268"/>
      <c r="FXB576" s="268"/>
      <c r="FXC576" s="268"/>
      <c r="FXD576" s="268"/>
      <c r="FXE576" s="268"/>
      <c r="FXF576" s="268"/>
      <c r="FXG576" s="268"/>
      <c r="FXH576" s="268"/>
      <c r="FXI576" s="268"/>
      <c r="FXJ576" s="268"/>
      <c r="FXK576" s="268"/>
      <c r="FXL576" s="268"/>
      <c r="FXM576" s="268"/>
      <c r="FXN576" s="268"/>
      <c r="FXO576" s="268"/>
      <c r="FXP576" s="268"/>
      <c r="FXQ576" s="268"/>
      <c r="FXR576" s="268"/>
      <c r="FXS576" s="268"/>
      <c r="FXT576" s="268"/>
      <c r="FXU576" s="268"/>
      <c r="FXV576" s="268"/>
      <c r="FXW576" s="268"/>
      <c r="FXX576" s="268"/>
      <c r="FXY576" s="268"/>
      <c r="FXZ576" s="268"/>
      <c r="FYA576" s="268"/>
      <c r="FYB576" s="268"/>
      <c r="FYC576" s="268"/>
      <c r="FYD576" s="268"/>
      <c r="FYE576" s="268"/>
      <c r="FYF576" s="268"/>
      <c r="FYG576" s="268"/>
      <c r="FYH576" s="268"/>
      <c r="FYI576" s="268"/>
      <c r="FYJ576" s="268"/>
      <c r="FYK576" s="268"/>
      <c r="FYL576" s="268"/>
      <c r="FYM576" s="268"/>
      <c r="FYN576" s="268"/>
      <c r="FYO576" s="268"/>
      <c r="FYP576" s="268"/>
      <c r="FYQ576" s="268"/>
      <c r="FYR576" s="268"/>
      <c r="FYS576" s="268"/>
      <c r="FYT576" s="268"/>
      <c r="FYU576" s="268"/>
      <c r="FYV576" s="268"/>
      <c r="FYW576" s="268"/>
      <c r="FYX576" s="268"/>
      <c r="FYY576" s="268"/>
      <c r="FYZ576" s="268"/>
      <c r="FZA576" s="268"/>
      <c r="FZB576" s="268"/>
      <c r="FZC576" s="268"/>
      <c r="FZD576" s="268"/>
      <c r="FZE576" s="268"/>
      <c r="FZF576" s="268"/>
      <c r="FZG576" s="268"/>
      <c r="FZH576" s="268"/>
      <c r="FZI576" s="268"/>
      <c r="FZJ576" s="268"/>
      <c r="FZK576" s="268"/>
      <c r="FZL576" s="268"/>
      <c r="FZM576" s="268"/>
      <c r="FZN576" s="268"/>
      <c r="FZO576" s="268"/>
      <c r="FZP576" s="268"/>
      <c r="FZQ576" s="268"/>
      <c r="FZR576" s="268"/>
      <c r="FZS576" s="268"/>
      <c r="FZT576" s="268"/>
      <c r="FZU576" s="268"/>
      <c r="FZV576" s="268"/>
      <c r="FZW576" s="268"/>
      <c r="FZX576" s="268"/>
      <c r="FZY576" s="268"/>
      <c r="FZZ576" s="268"/>
      <c r="GAA576" s="268"/>
      <c r="GAB576" s="268"/>
      <c r="GAC576" s="268"/>
      <c r="GAD576" s="268"/>
      <c r="GAE576" s="268"/>
      <c r="GAF576" s="268"/>
      <c r="GAG576" s="268"/>
      <c r="GAH576" s="268"/>
      <c r="GAI576" s="268"/>
      <c r="GAJ576" s="268"/>
      <c r="GAK576" s="268"/>
      <c r="GAL576" s="268"/>
      <c r="GAM576" s="268"/>
      <c r="GAN576" s="268"/>
      <c r="GAO576" s="268"/>
      <c r="GAP576" s="268"/>
      <c r="GAQ576" s="268"/>
      <c r="GAR576" s="268"/>
      <c r="GAS576" s="268"/>
      <c r="GAT576" s="268"/>
      <c r="GAU576" s="268"/>
      <c r="GAV576" s="268"/>
      <c r="GAW576" s="268"/>
      <c r="GAX576" s="268"/>
      <c r="GAY576" s="268"/>
      <c r="GAZ576" s="268"/>
      <c r="GBA576" s="268"/>
      <c r="GBB576" s="268"/>
      <c r="GBC576" s="268"/>
      <c r="GBD576" s="268"/>
      <c r="GBE576" s="268"/>
      <c r="GBF576" s="268"/>
      <c r="GBG576" s="268"/>
      <c r="GBH576" s="268"/>
      <c r="GBI576" s="268"/>
      <c r="GBJ576" s="268"/>
      <c r="GBK576" s="268"/>
      <c r="GBL576" s="268"/>
      <c r="GBM576" s="268"/>
      <c r="GBN576" s="268"/>
      <c r="GBO576" s="268"/>
      <c r="GBP576" s="268"/>
      <c r="GBQ576" s="268"/>
      <c r="GBR576" s="268"/>
      <c r="GBS576" s="268"/>
      <c r="GBT576" s="268"/>
      <c r="GBU576" s="268"/>
      <c r="GBV576" s="268"/>
      <c r="GBW576" s="268"/>
      <c r="GBX576" s="268"/>
      <c r="GBY576" s="268"/>
      <c r="GBZ576" s="268"/>
      <c r="GCA576" s="268"/>
      <c r="GCB576" s="268"/>
      <c r="GCC576" s="268"/>
      <c r="GCD576" s="268"/>
      <c r="GCE576" s="268"/>
      <c r="GCF576" s="268"/>
      <c r="GCG576" s="268"/>
      <c r="GCH576" s="268"/>
      <c r="GCI576" s="268"/>
      <c r="GCJ576" s="268"/>
      <c r="GCK576" s="268"/>
      <c r="GCL576" s="268"/>
      <c r="GCM576" s="268"/>
      <c r="GCN576" s="268"/>
      <c r="GCO576" s="268"/>
      <c r="GCP576" s="268"/>
      <c r="GCQ576" s="268"/>
      <c r="GCR576" s="268"/>
      <c r="GCS576" s="268"/>
      <c r="GCT576" s="268"/>
      <c r="GCU576" s="268"/>
      <c r="GCV576" s="268"/>
      <c r="GCW576" s="268"/>
      <c r="GCX576" s="268"/>
      <c r="GCY576" s="268"/>
      <c r="GCZ576" s="268"/>
      <c r="GDA576" s="268"/>
      <c r="GDB576" s="268"/>
      <c r="GDC576" s="268"/>
      <c r="GDD576" s="268"/>
      <c r="GDE576" s="268"/>
      <c r="GDF576" s="268"/>
      <c r="GDG576" s="268"/>
      <c r="GDH576" s="268"/>
      <c r="GDI576" s="268"/>
      <c r="GDJ576" s="268"/>
      <c r="GDK576" s="268"/>
      <c r="GDL576" s="268"/>
      <c r="GDM576" s="268"/>
      <c r="GDN576" s="268"/>
      <c r="GDO576" s="268"/>
      <c r="GDP576" s="268"/>
      <c r="GDQ576" s="268"/>
      <c r="GDR576" s="268"/>
      <c r="GDS576" s="268"/>
      <c r="GEG576" s="268"/>
      <c r="GEH576" s="268"/>
      <c r="GEI576" s="268"/>
      <c r="GEW576" s="268"/>
      <c r="GEY576" s="268"/>
      <c r="GEZ576" s="268"/>
      <c r="GFA576" s="268"/>
      <c r="GFB576" s="268"/>
      <c r="GFC576" s="268"/>
      <c r="GFD576" s="268"/>
      <c r="GFE576" s="268"/>
      <c r="GFF576" s="268"/>
      <c r="GFG576" s="268"/>
      <c r="GFH576" s="268"/>
      <c r="GFI576" s="268"/>
      <c r="GFJ576" s="268"/>
      <c r="GFK576" s="268"/>
      <c r="GFL576" s="268"/>
      <c r="GFM576" s="268"/>
      <c r="GFN576" s="268"/>
      <c r="GFO576" s="268"/>
      <c r="GFP576" s="268"/>
      <c r="GFQ576" s="268"/>
      <c r="GFR576" s="268"/>
      <c r="GFS576" s="268"/>
      <c r="GFT576" s="268"/>
      <c r="GFU576" s="268"/>
      <c r="GFV576" s="268"/>
      <c r="GFW576" s="268"/>
      <c r="GFX576" s="268"/>
      <c r="GFY576" s="268"/>
      <c r="GFZ576" s="268"/>
      <c r="GGA576" s="268"/>
      <c r="GGB576" s="268"/>
      <c r="GGC576" s="268"/>
      <c r="GGD576" s="268"/>
      <c r="GGE576" s="268"/>
      <c r="GGF576" s="268"/>
      <c r="GGG576" s="268"/>
      <c r="GGH576" s="268"/>
      <c r="GGI576" s="268"/>
      <c r="GGJ576" s="268"/>
      <c r="GGK576" s="268"/>
      <c r="GGL576" s="268"/>
      <c r="GGM576" s="268"/>
      <c r="GGN576" s="268"/>
      <c r="GGO576" s="268"/>
      <c r="GGP576" s="268"/>
      <c r="GGQ576" s="268"/>
      <c r="GGR576" s="268"/>
      <c r="GGS576" s="268"/>
      <c r="GGT576" s="268"/>
      <c r="GGU576" s="268"/>
      <c r="GGV576" s="268"/>
      <c r="GGW576" s="268"/>
      <c r="GGX576" s="268"/>
      <c r="GGY576" s="268"/>
      <c r="GGZ576" s="268"/>
      <c r="GHA576" s="268"/>
      <c r="GHB576" s="268"/>
      <c r="GHC576" s="268"/>
      <c r="GHD576" s="268"/>
      <c r="GHE576" s="268"/>
      <c r="GHF576" s="268"/>
      <c r="GHG576" s="268"/>
      <c r="GHH576" s="268"/>
      <c r="GHI576" s="268"/>
      <c r="GHJ576" s="268"/>
      <c r="GHK576" s="268"/>
      <c r="GHL576" s="268"/>
      <c r="GHM576" s="268"/>
      <c r="GHN576" s="268"/>
      <c r="GHO576" s="268"/>
      <c r="GHP576" s="268"/>
      <c r="GHQ576" s="268"/>
      <c r="GHR576" s="268"/>
      <c r="GHS576" s="268"/>
      <c r="GHT576" s="268"/>
      <c r="GHU576" s="268"/>
      <c r="GHV576" s="268"/>
      <c r="GHW576" s="268"/>
      <c r="GHX576" s="268"/>
      <c r="GHY576" s="268"/>
      <c r="GHZ576" s="268"/>
      <c r="GIA576" s="268"/>
      <c r="GIB576" s="268"/>
      <c r="GIC576" s="268"/>
      <c r="GID576" s="268"/>
      <c r="GIE576" s="268"/>
      <c r="GIF576" s="268"/>
      <c r="GIG576" s="268"/>
      <c r="GIH576" s="268"/>
      <c r="GII576" s="268"/>
      <c r="GIJ576" s="268"/>
      <c r="GIK576" s="268"/>
      <c r="GIL576" s="268"/>
      <c r="GIM576" s="268"/>
      <c r="GIN576" s="268"/>
      <c r="GIO576" s="268"/>
      <c r="GIP576" s="268"/>
      <c r="GIQ576" s="268"/>
      <c r="GIR576" s="268"/>
      <c r="GIS576" s="268"/>
      <c r="GIT576" s="268"/>
      <c r="GIU576" s="268"/>
      <c r="GIV576" s="268"/>
      <c r="GIW576" s="268"/>
      <c r="GIX576" s="268"/>
      <c r="GIY576" s="268"/>
      <c r="GIZ576" s="268"/>
      <c r="GJA576" s="268"/>
      <c r="GJB576" s="268"/>
      <c r="GJC576" s="268"/>
      <c r="GJD576" s="268"/>
      <c r="GJE576" s="268"/>
      <c r="GJF576" s="268"/>
      <c r="GJG576" s="268"/>
      <c r="GJH576" s="268"/>
      <c r="GJI576" s="268"/>
      <c r="GJJ576" s="268"/>
      <c r="GJK576" s="268"/>
      <c r="GJL576" s="268"/>
      <c r="GJM576" s="268"/>
      <c r="GJN576" s="268"/>
      <c r="GJO576" s="268"/>
      <c r="GJP576" s="268"/>
      <c r="GJQ576" s="268"/>
      <c r="GJR576" s="268"/>
      <c r="GJS576" s="268"/>
      <c r="GJT576" s="268"/>
      <c r="GJU576" s="268"/>
      <c r="GJV576" s="268"/>
      <c r="GJW576" s="268"/>
      <c r="GJX576" s="268"/>
      <c r="GJY576" s="268"/>
      <c r="GJZ576" s="268"/>
      <c r="GKA576" s="268"/>
      <c r="GKB576" s="268"/>
      <c r="GKC576" s="268"/>
      <c r="GKD576" s="268"/>
      <c r="GKE576" s="268"/>
      <c r="GKF576" s="268"/>
      <c r="GKG576" s="268"/>
      <c r="GKH576" s="268"/>
      <c r="GKI576" s="268"/>
      <c r="GKJ576" s="268"/>
      <c r="GKK576" s="268"/>
      <c r="GKL576" s="268"/>
      <c r="GKM576" s="268"/>
      <c r="GKN576" s="268"/>
      <c r="GKO576" s="268"/>
      <c r="GKP576" s="268"/>
      <c r="GKQ576" s="268"/>
      <c r="GKR576" s="268"/>
      <c r="GKS576" s="268"/>
      <c r="GKT576" s="268"/>
      <c r="GKU576" s="268"/>
      <c r="GKV576" s="268"/>
      <c r="GKW576" s="268"/>
      <c r="GKX576" s="268"/>
      <c r="GKY576" s="268"/>
      <c r="GKZ576" s="268"/>
      <c r="GLA576" s="268"/>
      <c r="GLB576" s="268"/>
      <c r="GLC576" s="268"/>
      <c r="GLD576" s="268"/>
      <c r="GLE576" s="268"/>
      <c r="GLF576" s="268"/>
      <c r="GLG576" s="268"/>
      <c r="GLH576" s="268"/>
      <c r="GLI576" s="268"/>
      <c r="GLJ576" s="268"/>
      <c r="GLK576" s="268"/>
      <c r="GLL576" s="268"/>
      <c r="GLM576" s="268"/>
      <c r="GLN576" s="268"/>
      <c r="GLO576" s="268"/>
      <c r="GLP576" s="268"/>
      <c r="GLQ576" s="268"/>
      <c r="GLR576" s="268"/>
      <c r="GLS576" s="268"/>
      <c r="GLT576" s="268"/>
      <c r="GLU576" s="268"/>
      <c r="GLV576" s="268"/>
      <c r="GLW576" s="268"/>
      <c r="GLX576" s="268"/>
      <c r="GLY576" s="268"/>
      <c r="GLZ576" s="268"/>
      <c r="GMA576" s="268"/>
      <c r="GMB576" s="268"/>
      <c r="GMC576" s="268"/>
      <c r="GMD576" s="268"/>
      <c r="GME576" s="268"/>
      <c r="GMF576" s="268"/>
      <c r="GMG576" s="268"/>
      <c r="GMH576" s="268"/>
      <c r="GMI576" s="268"/>
      <c r="GMJ576" s="268"/>
      <c r="GMK576" s="268"/>
      <c r="GML576" s="268"/>
      <c r="GMM576" s="268"/>
      <c r="GMN576" s="268"/>
      <c r="GMO576" s="268"/>
      <c r="GMP576" s="268"/>
      <c r="GMQ576" s="268"/>
      <c r="GMR576" s="268"/>
      <c r="GMS576" s="268"/>
      <c r="GMT576" s="268"/>
      <c r="GMU576" s="268"/>
      <c r="GMV576" s="268"/>
      <c r="GMW576" s="268"/>
      <c r="GMX576" s="268"/>
      <c r="GMY576" s="268"/>
      <c r="GMZ576" s="268"/>
      <c r="GNA576" s="268"/>
      <c r="GNB576" s="268"/>
      <c r="GNC576" s="268"/>
      <c r="GND576" s="268"/>
      <c r="GNE576" s="268"/>
      <c r="GNF576" s="268"/>
      <c r="GNG576" s="268"/>
      <c r="GNH576" s="268"/>
      <c r="GNI576" s="268"/>
      <c r="GNJ576" s="268"/>
      <c r="GNK576" s="268"/>
      <c r="GNL576" s="268"/>
      <c r="GNM576" s="268"/>
      <c r="GNN576" s="268"/>
      <c r="GNO576" s="268"/>
      <c r="GOC576" s="268"/>
      <c r="GOD576" s="268"/>
      <c r="GOE576" s="268"/>
      <c r="GOS576" s="268"/>
      <c r="GOU576" s="268"/>
      <c r="GOV576" s="268"/>
      <c r="GOW576" s="268"/>
      <c r="GOX576" s="268"/>
      <c r="GOY576" s="268"/>
      <c r="GOZ576" s="268"/>
      <c r="GPA576" s="268"/>
      <c r="GPB576" s="268"/>
      <c r="GPC576" s="268"/>
      <c r="GPD576" s="268"/>
      <c r="GPE576" s="268"/>
      <c r="GPF576" s="268"/>
      <c r="GPG576" s="268"/>
      <c r="GPH576" s="268"/>
      <c r="GPI576" s="268"/>
      <c r="GPJ576" s="268"/>
      <c r="GPK576" s="268"/>
      <c r="GPL576" s="268"/>
      <c r="GPM576" s="268"/>
      <c r="GPN576" s="268"/>
      <c r="GPO576" s="268"/>
      <c r="GPP576" s="268"/>
      <c r="GPQ576" s="268"/>
      <c r="GPR576" s="268"/>
      <c r="GPS576" s="268"/>
      <c r="GPT576" s="268"/>
      <c r="GPU576" s="268"/>
      <c r="GPV576" s="268"/>
      <c r="GPW576" s="268"/>
      <c r="GPX576" s="268"/>
      <c r="GPY576" s="268"/>
      <c r="GPZ576" s="268"/>
      <c r="GQA576" s="268"/>
      <c r="GQB576" s="268"/>
      <c r="GQC576" s="268"/>
      <c r="GQD576" s="268"/>
      <c r="GQE576" s="268"/>
      <c r="GQF576" s="268"/>
      <c r="GQG576" s="268"/>
      <c r="GQH576" s="268"/>
      <c r="GQI576" s="268"/>
      <c r="GQJ576" s="268"/>
      <c r="GQK576" s="268"/>
      <c r="GQL576" s="268"/>
      <c r="GQM576" s="268"/>
      <c r="GQN576" s="268"/>
      <c r="GQO576" s="268"/>
      <c r="GQP576" s="268"/>
      <c r="GQQ576" s="268"/>
      <c r="GQR576" s="268"/>
      <c r="GQS576" s="268"/>
      <c r="GQT576" s="268"/>
      <c r="GQU576" s="268"/>
      <c r="GQV576" s="268"/>
      <c r="GQW576" s="268"/>
      <c r="GQX576" s="268"/>
      <c r="GQY576" s="268"/>
      <c r="GQZ576" s="268"/>
      <c r="GRA576" s="268"/>
      <c r="GRB576" s="268"/>
      <c r="GRC576" s="268"/>
      <c r="GRD576" s="268"/>
      <c r="GRE576" s="268"/>
      <c r="GRF576" s="268"/>
      <c r="GRG576" s="268"/>
      <c r="GRH576" s="268"/>
      <c r="GRI576" s="268"/>
      <c r="GRJ576" s="268"/>
      <c r="GRK576" s="268"/>
      <c r="GRL576" s="268"/>
      <c r="GRM576" s="268"/>
      <c r="GRN576" s="268"/>
      <c r="GRO576" s="268"/>
      <c r="GRP576" s="268"/>
      <c r="GRQ576" s="268"/>
      <c r="GRR576" s="268"/>
      <c r="GRS576" s="268"/>
      <c r="GRT576" s="268"/>
      <c r="GRU576" s="268"/>
      <c r="GRV576" s="268"/>
      <c r="GRW576" s="268"/>
      <c r="GRX576" s="268"/>
      <c r="GRY576" s="268"/>
      <c r="GRZ576" s="268"/>
      <c r="GSA576" s="268"/>
      <c r="GSB576" s="268"/>
      <c r="GSC576" s="268"/>
      <c r="GSD576" s="268"/>
      <c r="GSE576" s="268"/>
      <c r="GSF576" s="268"/>
      <c r="GSG576" s="268"/>
      <c r="GSH576" s="268"/>
      <c r="GSI576" s="268"/>
      <c r="GSJ576" s="268"/>
      <c r="GSK576" s="268"/>
      <c r="GSL576" s="268"/>
      <c r="GSM576" s="268"/>
      <c r="GSN576" s="268"/>
      <c r="GSO576" s="268"/>
      <c r="GSP576" s="268"/>
      <c r="GSQ576" s="268"/>
      <c r="GSR576" s="268"/>
      <c r="GSS576" s="268"/>
      <c r="GST576" s="268"/>
      <c r="GSU576" s="268"/>
      <c r="GSV576" s="268"/>
      <c r="GSW576" s="268"/>
      <c r="GSX576" s="268"/>
      <c r="GSY576" s="268"/>
      <c r="GSZ576" s="268"/>
      <c r="GTA576" s="268"/>
      <c r="GTB576" s="268"/>
      <c r="GTC576" s="268"/>
      <c r="GTD576" s="268"/>
      <c r="GTE576" s="268"/>
      <c r="GTF576" s="268"/>
      <c r="GTG576" s="268"/>
      <c r="GTH576" s="268"/>
      <c r="GTI576" s="268"/>
      <c r="GTJ576" s="268"/>
      <c r="GTK576" s="268"/>
      <c r="GTL576" s="268"/>
      <c r="GTM576" s="268"/>
      <c r="GTN576" s="268"/>
      <c r="GTO576" s="268"/>
      <c r="GTP576" s="268"/>
      <c r="GTQ576" s="268"/>
      <c r="GTR576" s="268"/>
      <c r="GTS576" s="268"/>
      <c r="GTT576" s="268"/>
      <c r="GTU576" s="268"/>
      <c r="GTV576" s="268"/>
      <c r="GTW576" s="268"/>
      <c r="GTX576" s="268"/>
      <c r="GTY576" s="268"/>
      <c r="GTZ576" s="268"/>
      <c r="GUA576" s="268"/>
      <c r="GUB576" s="268"/>
      <c r="GUC576" s="268"/>
      <c r="GUD576" s="268"/>
      <c r="GUE576" s="268"/>
      <c r="GUF576" s="268"/>
      <c r="GUG576" s="268"/>
      <c r="GUH576" s="268"/>
      <c r="GUI576" s="268"/>
      <c r="GUJ576" s="268"/>
      <c r="GUK576" s="268"/>
      <c r="GUL576" s="268"/>
      <c r="GUM576" s="268"/>
      <c r="GUN576" s="268"/>
      <c r="GUO576" s="268"/>
      <c r="GUP576" s="268"/>
      <c r="GUQ576" s="268"/>
      <c r="GUR576" s="268"/>
      <c r="GUS576" s="268"/>
      <c r="GUT576" s="268"/>
      <c r="GUU576" s="268"/>
      <c r="GUV576" s="268"/>
      <c r="GUW576" s="268"/>
      <c r="GUX576" s="268"/>
      <c r="GUY576" s="268"/>
      <c r="GUZ576" s="268"/>
      <c r="GVA576" s="268"/>
      <c r="GVB576" s="268"/>
      <c r="GVC576" s="268"/>
      <c r="GVD576" s="268"/>
      <c r="GVE576" s="268"/>
      <c r="GVF576" s="268"/>
      <c r="GVG576" s="268"/>
      <c r="GVH576" s="268"/>
      <c r="GVI576" s="268"/>
      <c r="GVJ576" s="268"/>
      <c r="GVK576" s="268"/>
      <c r="GVL576" s="268"/>
      <c r="GVM576" s="268"/>
      <c r="GVN576" s="268"/>
      <c r="GVO576" s="268"/>
      <c r="GVP576" s="268"/>
      <c r="GVQ576" s="268"/>
      <c r="GVR576" s="268"/>
      <c r="GVS576" s="268"/>
      <c r="GVT576" s="268"/>
      <c r="GVU576" s="268"/>
      <c r="GVV576" s="268"/>
      <c r="GVW576" s="268"/>
      <c r="GVX576" s="268"/>
      <c r="GVY576" s="268"/>
      <c r="GVZ576" s="268"/>
      <c r="GWA576" s="268"/>
      <c r="GWB576" s="268"/>
      <c r="GWC576" s="268"/>
      <c r="GWD576" s="268"/>
      <c r="GWE576" s="268"/>
      <c r="GWF576" s="268"/>
      <c r="GWG576" s="268"/>
      <c r="GWH576" s="268"/>
      <c r="GWI576" s="268"/>
      <c r="GWJ576" s="268"/>
      <c r="GWK576" s="268"/>
      <c r="GWL576" s="268"/>
      <c r="GWM576" s="268"/>
      <c r="GWN576" s="268"/>
      <c r="GWO576" s="268"/>
      <c r="GWP576" s="268"/>
      <c r="GWQ576" s="268"/>
      <c r="GWR576" s="268"/>
      <c r="GWS576" s="268"/>
      <c r="GWT576" s="268"/>
      <c r="GWU576" s="268"/>
      <c r="GWV576" s="268"/>
      <c r="GWW576" s="268"/>
      <c r="GWX576" s="268"/>
      <c r="GWY576" s="268"/>
      <c r="GWZ576" s="268"/>
      <c r="GXA576" s="268"/>
      <c r="GXB576" s="268"/>
      <c r="GXC576" s="268"/>
      <c r="GXD576" s="268"/>
      <c r="GXE576" s="268"/>
      <c r="GXF576" s="268"/>
      <c r="GXG576" s="268"/>
      <c r="GXH576" s="268"/>
      <c r="GXI576" s="268"/>
      <c r="GXJ576" s="268"/>
      <c r="GXK576" s="268"/>
      <c r="GXY576" s="268"/>
      <c r="GXZ576" s="268"/>
      <c r="GYA576" s="268"/>
      <c r="GYO576" s="268"/>
      <c r="GYQ576" s="268"/>
      <c r="GYR576" s="268"/>
      <c r="GYS576" s="268"/>
      <c r="GYT576" s="268"/>
      <c r="GYU576" s="268"/>
      <c r="GYV576" s="268"/>
      <c r="GYW576" s="268"/>
      <c r="GYX576" s="268"/>
      <c r="GYY576" s="268"/>
      <c r="GYZ576" s="268"/>
      <c r="GZA576" s="268"/>
      <c r="GZB576" s="268"/>
      <c r="GZC576" s="268"/>
      <c r="GZD576" s="268"/>
      <c r="GZE576" s="268"/>
      <c r="GZF576" s="268"/>
      <c r="GZG576" s="268"/>
      <c r="GZH576" s="268"/>
      <c r="GZI576" s="268"/>
      <c r="GZJ576" s="268"/>
      <c r="GZK576" s="268"/>
      <c r="GZL576" s="268"/>
      <c r="GZM576" s="268"/>
      <c r="GZN576" s="268"/>
      <c r="GZO576" s="268"/>
      <c r="GZP576" s="268"/>
      <c r="GZQ576" s="268"/>
      <c r="GZR576" s="268"/>
      <c r="GZS576" s="268"/>
      <c r="GZT576" s="268"/>
      <c r="GZU576" s="268"/>
      <c r="GZV576" s="268"/>
      <c r="GZW576" s="268"/>
      <c r="GZX576" s="268"/>
      <c r="GZY576" s="268"/>
      <c r="GZZ576" s="268"/>
      <c r="HAA576" s="268"/>
      <c r="HAB576" s="268"/>
      <c r="HAC576" s="268"/>
      <c r="HAD576" s="268"/>
      <c r="HAE576" s="268"/>
      <c r="HAF576" s="268"/>
      <c r="HAG576" s="268"/>
      <c r="HAH576" s="268"/>
      <c r="HAI576" s="268"/>
      <c r="HAJ576" s="268"/>
      <c r="HAK576" s="268"/>
      <c r="HAL576" s="268"/>
      <c r="HAM576" s="268"/>
      <c r="HAN576" s="268"/>
      <c r="HAO576" s="268"/>
      <c r="HAP576" s="268"/>
      <c r="HAQ576" s="268"/>
      <c r="HAR576" s="268"/>
      <c r="HAS576" s="268"/>
      <c r="HAT576" s="268"/>
      <c r="HAU576" s="268"/>
      <c r="HAV576" s="268"/>
      <c r="HAW576" s="268"/>
      <c r="HAX576" s="268"/>
      <c r="HAY576" s="268"/>
      <c r="HAZ576" s="268"/>
      <c r="HBA576" s="268"/>
      <c r="HBB576" s="268"/>
      <c r="HBC576" s="268"/>
      <c r="HBD576" s="268"/>
      <c r="HBE576" s="268"/>
      <c r="HBF576" s="268"/>
      <c r="HBG576" s="268"/>
      <c r="HBH576" s="268"/>
      <c r="HBI576" s="268"/>
      <c r="HBJ576" s="268"/>
      <c r="HBK576" s="268"/>
      <c r="HBL576" s="268"/>
      <c r="HBM576" s="268"/>
      <c r="HBN576" s="268"/>
      <c r="HBO576" s="268"/>
      <c r="HBP576" s="268"/>
      <c r="HBQ576" s="268"/>
      <c r="HBR576" s="268"/>
      <c r="HBS576" s="268"/>
      <c r="HBT576" s="268"/>
      <c r="HBU576" s="268"/>
      <c r="HBV576" s="268"/>
      <c r="HBW576" s="268"/>
      <c r="HBX576" s="268"/>
      <c r="HBY576" s="268"/>
      <c r="HBZ576" s="268"/>
      <c r="HCA576" s="268"/>
      <c r="HCB576" s="268"/>
      <c r="HCC576" s="268"/>
      <c r="HCD576" s="268"/>
      <c r="HCE576" s="268"/>
      <c r="HCF576" s="268"/>
      <c r="HCG576" s="268"/>
      <c r="HCH576" s="268"/>
      <c r="HCI576" s="268"/>
      <c r="HCJ576" s="268"/>
      <c r="HCK576" s="268"/>
      <c r="HCL576" s="268"/>
      <c r="HCM576" s="268"/>
      <c r="HCN576" s="268"/>
      <c r="HCO576" s="268"/>
      <c r="HCP576" s="268"/>
      <c r="HCQ576" s="268"/>
      <c r="HCR576" s="268"/>
      <c r="HCS576" s="268"/>
      <c r="HCT576" s="268"/>
      <c r="HCU576" s="268"/>
      <c r="HCV576" s="268"/>
      <c r="HCW576" s="268"/>
      <c r="HCX576" s="268"/>
      <c r="HCY576" s="268"/>
      <c r="HCZ576" s="268"/>
      <c r="HDA576" s="268"/>
      <c r="HDB576" s="268"/>
      <c r="HDC576" s="268"/>
      <c r="HDD576" s="268"/>
      <c r="HDE576" s="268"/>
      <c r="HDF576" s="268"/>
      <c r="HDG576" s="268"/>
      <c r="HDH576" s="268"/>
      <c r="HDI576" s="268"/>
      <c r="HDJ576" s="268"/>
      <c r="HDK576" s="268"/>
      <c r="HDL576" s="268"/>
      <c r="HDM576" s="268"/>
      <c r="HDN576" s="268"/>
      <c r="HDO576" s="268"/>
      <c r="HDP576" s="268"/>
      <c r="HDQ576" s="268"/>
      <c r="HDR576" s="268"/>
      <c r="HDS576" s="268"/>
      <c r="HDT576" s="268"/>
      <c r="HDU576" s="268"/>
      <c r="HDV576" s="268"/>
      <c r="HDW576" s="268"/>
      <c r="HDX576" s="268"/>
      <c r="HDY576" s="268"/>
      <c r="HDZ576" s="268"/>
      <c r="HEA576" s="268"/>
      <c r="HEB576" s="268"/>
      <c r="HEC576" s="268"/>
      <c r="HED576" s="268"/>
      <c r="HEE576" s="268"/>
      <c r="HEF576" s="268"/>
      <c r="HEG576" s="268"/>
      <c r="HEH576" s="268"/>
      <c r="HEI576" s="268"/>
      <c r="HEJ576" s="268"/>
      <c r="HEK576" s="268"/>
      <c r="HEL576" s="268"/>
      <c r="HEM576" s="268"/>
      <c r="HEN576" s="268"/>
      <c r="HEO576" s="268"/>
      <c r="HEP576" s="268"/>
      <c r="HEQ576" s="268"/>
      <c r="HER576" s="268"/>
      <c r="HES576" s="268"/>
      <c r="HET576" s="268"/>
      <c r="HEU576" s="268"/>
      <c r="HEV576" s="268"/>
      <c r="HEW576" s="268"/>
      <c r="HEX576" s="268"/>
      <c r="HEY576" s="268"/>
      <c r="HEZ576" s="268"/>
      <c r="HFA576" s="268"/>
      <c r="HFB576" s="268"/>
      <c r="HFC576" s="268"/>
      <c r="HFD576" s="268"/>
      <c r="HFE576" s="268"/>
      <c r="HFF576" s="268"/>
      <c r="HFG576" s="268"/>
      <c r="HFH576" s="268"/>
      <c r="HFI576" s="268"/>
      <c r="HFJ576" s="268"/>
      <c r="HFK576" s="268"/>
      <c r="HFL576" s="268"/>
      <c r="HFM576" s="268"/>
      <c r="HFN576" s="268"/>
      <c r="HFO576" s="268"/>
      <c r="HFP576" s="268"/>
      <c r="HFQ576" s="268"/>
      <c r="HFR576" s="268"/>
      <c r="HFS576" s="268"/>
      <c r="HFT576" s="268"/>
      <c r="HFU576" s="268"/>
      <c r="HFV576" s="268"/>
      <c r="HFW576" s="268"/>
      <c r="HFX576" s="268"/>
      <c r="HFY576" s="268"/>
      <c r="HFZ576" s="268"/>
      <c r="HGA576" s="268"/>
      <c r="HGB576" s="268"/>
      <c r="HGC576" s="268"/>
      <c r="HGD576" s="268"/>
      <c r="HGE576" s="268"/>
      <c r="HGF576" s="268"/>
      <c r="HGG576" s="268"/>
      <c r="HGH576" s="268"/>
      <c r="HGI576" s="268"/>
      <c r="HGJ576" s="268"/>
      <c r="HGK576" s="268"/>
      <c r="HGL576" s="268"/>
      <c r="HGM576" s="268"/>
      <c r="HGN576" s="268"/>
      <c r="HGO576" s="268"/>
      <c r="HGP576" s="268"/>
      <c r="HGQ576" s="268"/>
      <c r="HGR576" s="268"/>
      <c r="HGS576" s="268"/>
      <c r="HGT576" s="268"/>
      <c r="HGU576" s="268"/>
      <c r="HGV576" s="268"/>
      <c r="HGW576" s="268"/>
      <c r="HGX576" s="268"/>
      <c r="HGY576" s="268"/>
      <c r="HGZ576" s="268"/>
      <c r="HHA576" s="268"/>
      <c r="HHB576" s="268"/>
      <c r="HHC576" s="268"/>
      <c r="HHD576" s="268"/>
      <c r="HHE576" s="268"/>
      <c r="HHF576" s="268"/>
      <c r="HHG576" s="268"/>
      <c r="HHU576" s="268"/>
      <c r="HHV576" s="268"/>
      <c r="HHW576" s="268"/>
      <c r="HIK576" s="268"/>
      <c r="HIM576" s="268"/>
      <c r="HIN576" s="268"/>
      <c r="HIO576" s="268"/>
      <c r="HIP576" s="268"/>
      <c r="HIQ576" s="268"/>
      <c r="HIR576" s="268"/>
      <c r="HIS576" s="268"/>
      <c r="HIT576" s="268"/>
      <c r="HIU576" s="268"/>
      <c r="HIV576" s="268"/>
      <c r="HIW576" s="268"/>
      <c r="HIX576" s="268"/>
      <c r="HIY576" s="268"/>
      <c r="HIZ576" s="268"/>
      <c r="HJA576" s="268"/>
      <c r="HJB576" s="268"/>
      <c r="HJC576" s="268"/>
      <c r="HJD576" s="268"/>
      <c r="HJE576" s="268"/>
      <c r="HJF576" s="268"/>
      <c r="HJG576" s="268"/>
      <c r="HJH576" s="268"/>
      <c r="HJI576" s="268"/>
      <c r="HJJ576" s="268"/>
      <c r="HJK576" s="268"/>
      <c r="HJL576" s="268"/>
      <c r="HJM576" s="268"/>
      <c r="HJN576" s="268"/>
      <c r="HJO576" s="268"/>
      <c r="HJP576" s="268"/>
      <c r="HJQ576" s="268"/>
      <c r="HJR576" s="268"/>
      <c r="HJS576" s="268"/>
      <c r="HJT576" s="268"/>
      <c r="HJU576" s="268"/>
      <c r="HJV576" s="268"/>
      <c r="HJW576" s="268"/>
      <c r="HJX576" s="268"/>
      <c r="HJY576" s="268"/>
      <c r="HJZ576" s="268"/>
      <c r="HKA576" s="268"/>
      <c r="HKB576" s="268"/>
      <c r="HKC576" s="268"/>
      <c r="HKD576" s="268"/>
      <c r="HKE576" s="268"/>
      <c r="HKF576" s="268"/>
      <c r="HKG576" s="268"/>
      <c r="HKH576" s="268"/>
      <c r="HKI576" s="268"/>
      <c r="HKJ576" s="268"/>
      <c r="HKK576" s="268"/>
      <c r="HKL576" s="268"/>
      <c r="HKM576" s="268"/>
      <c r="HKN576" s="268"/>
      <c r="HKO576" s="268"/>
      <c r="HKP576" s="268"/>
      <c r="HKQ576" s="268"/>
      <c r="HKR576" s="268"/>
      <c r="HKS576" s="268"/>
      <c r="HKT576" s="268"/>
      <c r="HKU576" s="268"/>
      <c r="HKV576" s="268"/>
      <c r="HKW576" s="268"/>
      <c r="HKX576" s="268"/>
      <c r="HKY576" s="268"/>
      <c r="HKZ576" s="268"/>
      <c r="HLA576" s="268"/>
      <c r="HLB576" s="268"/>
      <c r="HLC576" s="268"/>
      <c r="HLD576" s="268"/>
      <c r="HLE576" s="268"/>
      <c r="HLF576" s="268"/>
      <c r="HLG576" s="268"/>
      <c r="HLH576" s="268"/>
      <c r="HLI576" s="268"/>
      <c r="HLJ576" s="268"/>
      <c r="HLK576" s="268"/>
      <c r="HLL576" s="268"/>
      <c r="HLM576" s="268"/>
      <c r="HLN576" s="268"/>
      <c r="HLO576" s="268"/>
      <c r="HLP576" s="268"/>
      <c r="HLQ576" s="268"/>
      <c r="HLR576" s="268"/>
      <c r="HLS576" s="268"/>
      <c r="HLT576" s="268"/>
      <c r="HLU576" s="268"/>
      <c r="HLV576" s="268"/>
      <c r="HLW576" s="268"/>
      <c r="HLX576" s="268"/>
      <c r="HLY576" s="268"/>
      <c r="HLZ576" s="268"/>
      <c r="HMA576" s="268"/>
      <c r="HMB576" s="268"/>
      <c r="HMC576" s="268"/>
      <c r="HMD576" s="268"/>
      <c r="HME576" s="268"/>
      <c r="HMF576" s="268"/>
      <c r="HMG576" s="268"/>
      <c r="HMH576" s="268"/>
      <c r="HMI576" s="268"/>
      <c r="HMJ576" s="268"/>
      <c r="HMK576" s="268"/>
      <c r="HML576" s="268"/>
      <c r="HMM576" s="268"/>
      <c r="HMN576" s="268"/>
      <c r="HMO576" s="268"/>
      <c r="HMP576" s="268"/>
      <c r="HMQ576" s="268"/>
      <c r="HMR576" s="268"/>
      <c r="HMS576" s="268"/>
      <c r="HMT576" s="268"/>
      <c r="HMU576" s="268"/>
      <c r="HMV576" s="268"/>
      <c r="HMW576" s="268"/>
      <c r="HMX576" s="268"/>
      <c r="HMY576" s="268"/>
      <c r="HMZ576" s="268"/>
      <c r="HNA576" s="268"/>
      <c r="HNB576" s="268"/>
      <c r="HNC576" s="268"/>
      <c r="HND576" s="268"/>
      <c r="HNE576" s="268"/>
      <c r="HNF576" s="268"/>
      <c r="HNG576" s="268"/>
      <c r="HNH576" s="268"/>
      <c r="HNI576" s="268"/>
      <c r="HNJ576" s="268"/>
      <c r="HNK576" s="268"/>
      <c r="HNL576" s="268"/>
      <c r="HNM576" s="268"/>
      <c r="HNN576" s="268"/>
      <c r="HNO576" s="268"/>
      <c r="HNP576" s="268"/>
      <c r="HNQ576" s="268"/>
      <c r="HNR576" s="268"/>
      <c r="HNS576" s="268"/>
      <c r="HNT576" s="268"/>
      <c r="HNU576" s="268"/>
      <c r="HNV576" s="268"/>
      <c r="HNW576" s="268"/>
      <c r="HNX576" s="268"/>
      <c r="HNY576" s="268"/>
      <c r="HNZ576" s="268"/>
      <c r="HOA576" s="268"/>
      <c r="HOB576" s="268"/>
      <c r="HOC576" s="268"/>
      <c r="HOD576" s="268"/>
      <c r="HOE576" s="268"/>
      <c r="HOF576" s="268"/>
      <c r="HOG576" s="268"/>
      <c r="HOH576" s="268"/>
      <c r="HOI576" s="268"/>
      <c r="HOJ576" s="268"/>
      <c r="HOK576" s="268"/>
      <c r="HOL576" s="268"/>
      <c r="HOM576" s="268"/>
      <c r="HON576" s="268"/>
      <c r="HOO576" s="268"/>
      <c r="HOP576" s="268"/>
      <c r="HOQ576" s="268"/>
      <c r="HOR576" s="268"/>
      <c r="HOS576" s="268"/>
      <c r="HOT576" s="268"/>
      <c r="HOU576" s="268"/>
      <c r="HOV576" s="268"/>
      <c r="HOW576" s="268"/>
      <c r="HOX576" s="268"/>
      <c r="HOY576" s="268"/>
      <c r="HOZ576" s="268"/>
      <c r="HPA576" s="268"/>
      <c r="HPB576" s="268"/>
      <c r="HPC576" s="268"/>
      <c r="HPD576" s="268"/>
      <c r="HPE576" s="268"/>
      <c r="HPF576" s="268"/>
      <c r="HPG576" s="268"/>
      <c r="HPH576" s="268"/>
      <c r="HPI576" s="268"/>
      <c r="HPJ576" s="268"/>
      <c r="HPK576" s="268"/>
      <c r="HPL576" s="268"/>
      <c r="HPM576" s="268"/>
      <c r="HPN576" s="268"/>
      <c r="HPO576" s="268"/>
      <c r="HPP576" s="268"/>
      <c r="HPQ576" s="268"/>
      <c r="HPR576" s="268"/>
      <c r="HPS576" s="268"/>
      <c r="HPT576" s="268"/>
      <c r="HPU576" s="268"/>
      <c r="HPV576" s="268"/>
      <c r="HPW576" s="268"/>
      <c r="HPX576" s="268"/>
      <c r="HPY576" s="268"/>
      <c r="HPZ576" s="268"/>
      <c r="HQA576" s="268"/>
      <c r="HQB576" s="268"/>
      <c r="HQC576" s="268"/>
      <c r="HQD576" s="268"/>
      <c r="HQE576" s="268"/>
      <c r="HQF576" s="268"/>
      <c r="HQG576" s="268"/>
      <c r="HQH576" s="268"/>
      <c r="HQI576" s="268"/>
      <c r="HQJ576" s="268"/>
      <c r="HQK576" s="268"/>
      <c r="HQL576" s="268"/>
      <c r="HQM576" s="268"/>
      <c r="HQN576" s="268"/>
      <c r="HQO576" s="268"/>
      <c r="HQP576" s="268"/>
      <c r="HQQ576" s="268"/>
      <c r="HQR576" s="268"/>
      <c r="HQS576" s="268"/>
      <c r="HQT576" s="268"/>
      <c r="HQU576" s="268"/>
      <c r="HQV576" s="268"/>
      <c r="HQW576" s="268"/>
      <c r="HQX576" s="268"/>
      <c r="HQY576" s="268"/>
      <c r="HQZ576" s="268"/>
      <c r="HRA576" s="268"/>
      <c r="HRB576" s="268"/>
      <c r="HRC576" s="268"/>
      <c r="HRQ576" s="268"/>
      <c r="HRR576" s="268"/>
      <c r="HRS576" s="268"/>
      <c r="HSG576" s="268"/>
      <c r="HSI576" s="268"/>
      <c r="HSJ576" s="268"/>
      <c r="HSK576" s="268"/>
      <c r="HSL576" s="268"/>
      <c r="HSM576" s="268"/>
      <c r="HSN576" s="268"/>
      <c r="HSO576" s="268"/>
      <c r="HSP576" s="268"/>
      <c r="HSQ576" s="268"/>
      <c r="HSR576" s="268"/>
      <c r="HSS576" s="268"/>
      <c r="HST576" s="268"/>
      <c r="HSU576" s="268"/>
      <c r="HSV576" s="268"/>
      <c r="HSW576" s="268"/>
      <c r="HSX576" s="268"/>
      <c r="HSY576" s="268"/>
      <c r="HSZ576" s="268"/>
      <c r="HTA576" s="268"/>
      <c r="HTB576" s="268"/>
      <c r="HTC576" s="268"/>
      <c r="HTD576" s="268"/>
      <c r="HTE576" s="268"/>
      <c r="HTF576" s="268"/>
      <c r="HTG576" s="268"/>
      <c r="HTH576" s="268"/>
      <c r="HTI576" s="268"/>
      <c r="HTJ576" s="268"/>
      <c r="HTK576" s="268"/>
      <c r="HTL576" s="268"/>
      <c r="HTM576" s="268"/>
      <c r="HTN576" s="268"/>
      <c r="HTO576" s="268"/>
      <c r="HTP576" s="268"/>
      <c r="HTQ576" s="268"/>
      <c r="HTR576" s="268"/>
      <c r="HTS576" s="268"/>
      <c r="HTT576" s="268"/>
      <c r="HTU576" s="268"/>
      <c r="HTV576" s="268"/>
      <c r="HTW576" s="268"/>
      <c r="HTX576" s="268"/>
      <c r="HTY576" s="268"/>
      <c r="HTZ576" s="268"/>
      <c r="HUA576" s="268"/>
      <c r="HUB576" s="268"/>
      <c r="HUC576" s="268"/>
      <c r="HUD576" s="268"/>
      <c r="HUE576" s="268"/>
      <c r="HUF576" s="268"/>
      <c r="HUG576" s="268"/>
      <c r="HUH576" s="268"/>
      <c r="HUI576" s="268"/>
      <c r="HUJ576" s="268"/>
      <c r="HUK576" s="268"/>
      <c r="HUL576" s="268"/>
      <c r="HUM576" s="268"/>
      <c r="HUN576" s="268"/>
      <c r="HUO576" s="268"/>
      <c r="HUP576" s="268"/>
      <c r="HUQ576" s="268"/>
      <c r="HUR576" s="268"/>
      <c r="HUS576" s="268"/>
      <c r="HUT576" s="268"/>
      <c r="HUU576" s="268"/>
      <c r="HUV576" s="268"/>
      <c r="HUW576" s="268"/>
      <c r="HUX576" s="268"/>
      <c r="HUY576" s="268"/>
      <c r="HUZ576" s="268"/>
      <c r="HVA576" s="268"/>
      <c r="HVB576" s="268"/>
      <c r="HVC576" s="268"/>
      <c r="HVD576" s="268"/>
      <c r="HVE576" s="268"/>
      <c r="HVF576" s="268"/>
      <c r="HVG576" s="268"/>
      <c r="HVH576" s="268"/>
      <c r="HVI576" s="268"/>
      <c r="HVJ576" s="268"/>
      <c r="HVK576" s="268"/>
      <c r="HVL576" s="268"/>
      <c r="HVM576" s="268"/>
      <c r="HVN576" s="268"/>
      <c r="HVO576" s="268"/>
      <c r="HVP576" s="268"/>
      <c r="HVQ576" s="268"/>
      <c r="HVR576" s="268"/>
      <c r="HVS576" s="268"/>
      <c r="HVT576" s="268"/>
      <c r="HVU576" s="268"/>
      <c r="HVV576" s="268"/>
      <c r="HVW576" s="268"/>
      <c r="HVX576" s="268"/>
      <c r="HVY576" s="268"/>
      <c r="HVZ576" s="268"/>
      <c r="HWA576" s="268"/>
      <c r="HWB576" s="268"/>
      <c r="HWC576" s="268"/>
      <c r="HWD576" s="268"/>
      <c r="HWE576" s="268"/>
      <c r="HWF576" s="268"/>
      <c r="HWG576" s="268"/>
      <c r="HWH576" s="268"/>
      <c r="HWI576" s="268"/>
      <c r="HWJ576" s="268"/>
      <c r="HWK576" s="268"/>
      <c r="HWL576" s="268"/>
      <c r="HWM576" s="268"/>
      <c r="HWN576" s="268"/>
      <c r="HWO576" s="268"/>
      <c r="HWP576" s="268"/>
      <c r="HWQ576" s="268"/>
      <c r="HWR576" s="268"/>
      <c r="HWS576" s="268"/>
      <c r="HWT576" s="268"/>
      <c r="HWU576" s="268"/>
      <c r="HWV576" s="268"/>
      <c r="HWW576" s="268"/>
      <c r="HWX576" s="268"/>
      <c r="HWY576" s="268"/>
      <c r="HWZ576" s="268"/>
      <c r="HXA576" s="268"/>
      <c r="HXB576" s="268"/>
      <c r="HXC576" s="268"/>
      <c r="HXD576" s="268"/>
      <c r="HXE576" s="268"/>
      <c r="HXF576" s="268"/>
      <c r="HXG576" s="268"/>
      <c r="HXH576" s="268"/>
      <c r="HXI576" s="268"/>
      <c r="HXJ576" s="268"/>
      <c r="HXK576" s="268"/>
      <c r="HXL576" s="268"/>
      <c r="HXM576" s="268"/>
      <c r="HXN576" s="268"/>
      <c r="HXO576" s="268"/>
      <c r="HXP576" s="268"/>
      <c r="HXQ576" s="268"/>
      <c r="HXR576" s="268"/>
      <c r="HXS576" s="268"/>
      <c r="HXT576" s="268"/>
      <c r="HXU576" s="268"/>
      <c r="HXV576" s="268"/>
      <c r="HXW576" s="268"/>
      <c r="HXX576" s="268"/>
      <c r="HXY576" s="268"/>
      <c r="HXZ576" s="268"/>
      <c r="HYA576" s="268"/>
      <c r="HYB576" s="268"/>
      <c r="HYC576" s="268"/>
      <c r="HYD576" s="268"/>
      <c r="HYE576" s="268"/>
      <c r="HYF576" s="268"/>
      <c r="HYG576" s="268"/>
      <c r="HYH576" s="268"/>
      <c r="HYI576" s="268"/>
      <c r="HYJ576" s="268"/>
      <c r="HYK576" s="268"/>
      <c r="HYL576" s="268"/>
      <c r="HYM576" s="268"/>
      <c r="HYN576" s="268"/>
      <c r="HYO576" s="268"/>
      <c r="HYP576" s="268"/>
      <c r="HYQ576" s="268"/>
      <c r="HYR576" s="268"/>
      <c r="HYS576" s="268"/>
      <c r="HYT576" s="268"/>
      <c r="HYU576" s="268"/>
      <c r="HYV576" s="268"/>
      <c r="HYW576" s="268"/>
      <c r="HYX576" s="268"/>
      <c r="HYY576" s="268"/>
      <c r="HYZ576" s="268"/>
      <c r="HZA576" s="268"/>
      <c r="HZB576" s="268"/>
      <c r="HZC576" s="268"/>
      <c r="HZD576" s="268"/>
      <c r="HZE576" s="268"/>
      <c r="HZF576" s="268"/>
      <c r="HZG576" s="268"/>
      <c r="HZH576" s="268"/>
      <c r="HZI576" s="268"/>
      <c r="HZJ576" s="268"/>
      <c r="HZK576" s="268"/>
      <c r="HZL576" s="268"/>
      <c r="HZM576" s="268"/>
      <c r="HZN576" s="268"/>
      <c r="HZO576" s="268"/>
      <c r="HZP576" s="268"/>
      <c r="HZQ576" s="268"/>
      <c r="HZR576" s="268"/>
      <c r="HZS576" s="268"/>
      <c r="HZT576" s="268"/>
      <c r="HZU576" s="268"/>
      <c r="HZV576" s="268"/>
      <c r="HZW576" s="268"/>
      <c r="HZX576" s="268"/>
      <c r="HZY576" s="268"/>
      <c r="HZZ576" s="268"/>
      <c r="IAA576" s="268"/>
      <c r="IAB576" s="268"/>
      <c r="IAC576" s="268"/>
      <c r="IAD576" s="268"/>
      <c r="IAE576" s="268"/>
      <c r="IAF576" s="268"/>
      <c r="IAG576" s="268"/>
      <c r="IAH576" s="268"/>
      <c r="IAI576" s="268"/>
      <c r="IAJ576" s="268"/>
      <c r="IAK576" s="268"/>
      <c r="IAL576" s="268"/>
      <c r="IAM576" s="268"/>
      <c r="IAN576" s="268"/>
      <c r="IAO576" s="268"/>
      <c r="IAP576" s="268"/>
      <c r="IAQ576" s="268"/>
      <c r="IAR576" s="268"/>
      <c r="IAS576" s="268"/>
      <c r="IAT576" s="268"/>
      <c r="IAU576" s="268"/>
      <c r="IAV576" s="268"/>
      <c r="IAW576" s="268"/>
      <c r="IAX576" s="268"/>
      <c r="IAY576" s="268"/>
      <c r="IBM576" s="268"/>
      <c r="IBN576" s="268"/>
      <c r="IBO576" s="268"/>
      <c r="ICC576" s="268"/>
      <c r="ICE576" s="268"/>
      <c r="ICF576" s="268"/>
      <c r="ICG576" s="268"/>
      <c r="ICH576" s="268"/>
      <c r="ICI576" s="268"/>
      <c r="ICJ576" s="268"/>
      <c r="ICK576" s="268"/>
      <c r="ICL576" s="268"/>
      <c r="ICM576" s="268"/>
      <c r="ICN576" s="268"/>
      <c r="ICO576" s="268"/>
      <c r="ICP576" s="268"/>
      <c r="ICQ576" s="268"/>
      <c r="ICR576" s="268"/>
      <c r="ICS576" s="268"/>
      <c r="ICT576" s="268"/>
      <c r="ICU576" s="268"/>
      <c r="ICV576" s="268"/>
      <c r="ICW576" s="268"/>
      <c r="ICX576" s="268"/>
      <c r="ICY576" s="268"/>
      <c r="ICZ576" s="268"/>
      <c r="IDA576" s="268"/>
      <c r="IDB576" s="268"/>
      <c r="IDC576" s="268"/>
      <c r="IDD576" s="268"/>
      <c r="IDE576" s="268"/>
      <c r="IDF576" s="268"/>
      <c r="IDG576" s="268"/>
      <c r="IDH576" s="268"/>
      <c r="IDI576" s="268"/>
      <c r="IDJ576" s="268"/>
      <c r="IDK576" s="268"/>
      <c r="IDL576" s="268"/>
      <c r="IDM576" s="268"/>
      <c r="IDN576" s="268"/>
      <c r="IDO576" s="268"/>
      <c r="IDP576" s="268"/>
      <c r="IDQ576" s="268"/>
      <c r="IDR576" s="268"/>
      <c r="IDS576" s="268"/>
      <c r="IDT576" s="268"/>
      <c r="IDU576" s="268"/>
      <c r="IDV576" s="268"/>
      <c r="IDW576" s="268"/>
      <c r="IDX576" s="268"/>
      <c r="IDY576" s="268"/>
      <c r="IDZ576" s="268"/>
      <c r="IEA576" s="268"/>
      <c r="IEB576" s="268"/>
      <c r="IEC576" s="268"/>
      <c r="IED576" s="268"/>
      <c r="IEE576" s="268"/>
      <c r="IEF576" s="268"/>
      <c r="IEG576" s="268"/>
      <c r="IEH576" s="268"/>
      <c r="IEI576" s="268"/>
      <c r="IEJ576" s="268"/>
      <c r="IEK576" s="268"/>
      <c r="IEL576" s="268"/>
      <c r="IEM576" s="268"/>
      <c r="IEN576" s="268"/>
      <c r="IEO576" s="268"/>
      <c r="IEP576" s="268"/>
      <c r="IEQ576" s="268"/>
      <c r="IER576" s="268"/>
      <c r="IES576" s="268"/>
      <c r="IET576" s="268"/>
      <c r="IEU576" s="268"/>
      <c r="IEV576" s="268"/>
      <c r="IEW576" s="268"/>
      <c r="IEX576" s="268"/>
      <c r="IEY576" s="268"/>
      <c r="IEZ576" s="268"/>
      <c r="IFA576" s="268"/>
      <c r="IFB576" s="268"/>
      <c r="IFC576" s="268"/>
      <c r="IFD576" s="268"/>
      <c r="IFE576" s="268"/>
      <c r="IFF576" s="268"/>
      <c r="IFG576" s="268"/>
      <c r="IFH576" s="268"/>
      <c r="IFI576" s="268"/>
      <c r="IFJ576" s="268"/>
      <c r="IFK576" s="268"/>
      <c r="IFL576" s="268"/>
      <c r="IFM576" s="268"/>
      <c r="IFN576" s="268"/>
      <c r="IFO576" s="268"/>
      <c r="IFP576" s="268"/>
      <c r="IFQ576" s="268"/>
      <c r="IFR576" s="268"/>
      <c r="IFS576" s="268"/>
      <c r="IFT576" s="268"/>
      <c r="IFU576" s="268"/>
      <c r="IFV576" s="268"/>
      <c r="IFW576" s="268"/>
      <c r="IFX576" s="268"/>
      <c r="IFY576" s="268"/>
      <c r="IFZ576" s="268"/>
      <c r="IGA576" s="268"/>
      <c r="IGB576" s="268"/>
      <c r="IGC576" s="268"/>
      <c r="IGD576" s="268"/>
      <c r="IGE576" s="268"/>
      <c r="IGF576" s="268"/>
      <c r="IGG576" s="268"/>
      <c r="IGH576" s="268"/>
      <c r="IGI576" s="268"/>
      <c r="IGJ576" s="268"/>
      <c r="IGK576" s="268"/>
      <c r="IGL576" s="268"/>
      <c r="IGM576" s="268"/>
      <c r="IGN576" s="268"/>
      <c r="IGO576" s="268"/>
      <c r="IGP576" s="268"/>
      <c r="IGQ576" s="268"/>
      <c r="IGR576" s="268"/>
      <c r="IGS576" s="268"/>
      <c r="IGT576" s="268"/>
      <c r="IGU576" s="268"/>
      <c r="IGV576" s="268"/>
      <c r="IGW576" s="268"/>
      <c r="IGX576" s="268"/>
      <c r="IGY576" s="268"/>
      <c r="IGZ576" s="268"/>
      <c r="IHA576" s="268"/>
      <c r="IHB576" s="268"/>
      <c r="IHC576" s="268"/>
      <c r="IHD576" s="268"/>
      <c r="IHE576" s="268"/>
      <c r="IHF576" s="268"/>
      <c r="IHG576" s="268"/>
      <c r="IHH576" s="268"/>
      <c r="IHI576" s="268"/>
      <c r="IHJ576" s="268"/>
      <c r="IHK576" s="268"/>
      <c r="IHL576" s="268"/>
      <c r="IHM576" s="268"/>
      <c r="IHN576" s="268"/>
      <c r="IHO576" s="268"/>
      <c r="IHP576" s="268"/>
      <c r="IHQ576" s="268"/>
      <c r="IHR576" s="268"/>
      <c r="IHS576" s="268"/>
      <c r="IHT576" s="268"/>
      <c r="IHU576" s="268"/>
      <c r="IHV576" s="268"/>
      <c r="IHW576" s="268"/>
      <c r="IHX576" s="268"/>
      <c r="IHY576" s="268"/>
      <c r="IHZ576" s="268"/>
      <c r="IIA576" s="268"/>
      <c r="IIB576" s="268"/>
      <c r="IIC576" s="268"/>
      <c r="IID576" s="268"/>
      <c r="IIE576" s="268"/>
      <c r="IIF576" s="268"/>
      <c r="IIG576" s="268"/>
      <c r="IIH576" s="268"/>
      <c r="III576" s="268"/>
      <c r="IIJ576" s="268"/>
      <c r="IIK576" s="268"/>
      <c r="IIL576" s="268"/>
      <c r="IIM576" s="268"/>
      <c r="IIN576" s="268"/>
      <c r="IIO576" s="268"/>
      <c r="IIP576" s="268"/>
      <c r="IIQ576" s="268"/>
      <c r="IIR576" s="268"/>
      <c r="IIS576" s="268"/>
      <c r="IIT576" s="268"/>
      <c r="IIU576" s="268"/>
      <c r="IIV576" s="268"/>
      <c r="IIW576" s="268"/>
      <c r="IIX576" s="268"/>
      <c r="IIY576" s="268"/>
      <c r="IIZ576" s="268"/>
      <c r="IJA576" s="268"/>
      <c r="IJB576" s="268"/>
      <c r="IJC576" s="268"/>
      <c r="IJD576" s="268"/>
      <c r="IJE576" s="268"/>
      <c r="IJF576" s="268"/>
      <c r="IJG576" s="268"/>
      <c r="IJH576" s="268"/>
      <c r="IJI576" s="268"/>
      <c r="IJJ576" s="268"/>
      <c r="IJK576" s="268"/>
      <c r="IJL576" s="268"/>
      <c r="IJM576" s="268"/>
      <c r="IJN576" s="268"/>
      <c r="IJO576" s="268"/>
      <c r="IJP576" s="268"/>
      <c r="IJQ576" s="268"/>
      <c r="IJR576" s="268"/>
      <c r="IJS576" s="268"/>
      <c r="IJT576" s="268"/>
      <c r="IJU576" s="268"/>
      <c r="IJV576" s="268"/>
      <c r="IJW576" s="268"/>
      <c r="IJX576" s="268"/>
      <c r="IJY576" s="268"/>
      <c r="IJZ576" s="268"/>
      <c r="IKA576" s="268"/>
      <c r="IKB576" s="268"/>
      <c r="IKC576" s="268"/>
      <c r="IKD576" s="268"/>
      <c r="IKE576" s="268"/>
      <c r="IKF576" s="268"/>
      <c r="IKG576" s="268"/>
      <c r="IKH576" s="268"/>
      <c r="IKI576" s="268"/>
      <c r="IKJ576" s="268"/>
      <c r="IKK576" s="268"/>
      <c r="IKL576" s="268"/>
      <c r="IKM576" s="268"/>
      <c r="IKN576" s="268"/>
      <c r="IKO576" s="268"/>
      <c r="IKP576" s="268"/>
      <c r="IKQ576" s="268"/>
      <c r="IKR576" s="268"/>
      <c r="IKS576" s="268"/>
      <c r="IKT576" s="268"/>
      <c r="IKU576" s="268"/>
      <c r="ILI576" s="268"/>
      <c r="ILJ576" s="268"/>
      <c r="ILK576" s="268"/>
      <c r="ILY576" s="268"/>
      <c r="IMA576" s="268"/>
      <c r="IMB576" s="268"/>
      <c r="IMC576" s="268"/>
      <c r="IMD576" s="268"/>
      <c r="IME576" s="268"/>
      <c r="IMF576" s="268"/>
      <c r="IMG576" s="268"/>
      <c r="IMH576" s="268"/>
      <c r="IMI576" s="268"/>
      <c r="IMJ576" s="268"/>
      <c r="IMK576" s="268"/>
      <c r="IML576" s="268"/>
      <c r="IMM576" s="268"/>
      <c r="IMN576" s="268"/>
      <c r="IMO576" s="268"/>
      <c r="IMP576" s="268"/>
      <c r="IMQ576" s="268"/>
      <c r="IMR576" s="268"/>
      <c r="IMS576" s="268"/>
      <c r="IMT576" s="268"/>
      <c r="IMU576" s="268"/>
      <c r="IMV576" s="268"/>
      <c r="IMW576" s="268"/>
      <c r="IMX576" s="268"/>
      <c r="IMY576" s="268"/>
      <c r="IMZ576" s="268"/>
      <c r="INA576" s="268"/>
      <c r="INB576" s="268"/>
      <c r="INC576" s="268"/>
      <c r="IND576" s="268"/>
      <c r="INE576" s="268"/>
      <c r="INF576" s="268"/>
      <c r="ING576" s="268"/>
      <c r="INH576" s="268"/>
      <c r="INI576" s="268"/>
      <c r="INJ576" s="268"/>
      <c r="INK576" s="268"/>
      <c r="INL576" s="268"/>
      <c r="INM576" s="268"/>
      <c r="INN576" s="268"/>
      <c r="INO576" s="268"/>
      <c r="INP576" s="268"/>
      <c r="INQ576" s="268"/>
      <c r="INR576" s="268"/>
      <c r="INS576" s="268"/>
      <c r="INT576" s="268"/>
      <c r="INU576" s="268"/>
      <c r="INV576" s="268"/>
      <c r="INW576" s="268"/>
      <c r="INX576" s="268"/>
      <c r="INY576" s="268"/>
      <c r="INZ576" s="268"/>
      <c r="IOA576" s="268"/>
      <c r="IOB576" s="268"/>
      <c r="IOC576" s="268"/>
      <c r="IOD576" s="268"/>
      <c r="IOE576" s="268"/>
      <c r="IOF576" s="268"/>
      <c r="IOG576" s="268"/>
      <c r="IOH576" s="268"/>
      <c r="IOI576" s="268"/>
      <c r="IOJ576" s="268"/>
      <c r="IOK576" s="268"/>
      <c r="IOL576" s="268"/>
      <c r="IOM576" s="268"/>
      <c r="ION576" s="268"/>
      <c r="IOO576" s="268"/>
      <c r="IOP576" s="268"/>
      <c r="IOQ576" s="268"/>
      <c r="IOR576" s="268"/>
      <c r="IOS576" s="268"/>
      <c r="IOT576" s="268"/>
      <c r="IOU576" s="268"/>
      <c r="IOV576" s="268"/>
      <c r="IOW576" s="268"/>
      <c r="IOX576" s="268"/>
      <c r="IOY576" s="268"/>
      <c r="IOZ576" s="268"/>
      <c r="IPA576" s="268"/>
      <c r="IPB576" s="268"/>
      <c r="IPC576" s="268"/>
      <c r="IPD576" s="268"/>
      <c r="IPE576" s="268"/>
      <c r="IPF576" s="268"/>
      <c r="IPG576" s="268"/>
      <c r="IPH576" s="268"/>
      <c r="IPI576" s="268"/>
      <c r="IPJ576" s="268"/>
      <c r="IPK576" s="268"/>
      <c r="IPL576" s="268"/>
      <c r="IPM576" s="268"/>
      <c r="IPN576" s="268"/>
      <c r="IPO576" s="268"/>
      <c r="IPP576" s="268"/>
      <c r="IPQ576" s="268"/>
      <c r="IPR576" s="268"/>
      <c r="IPS576" s="268"/>
      <c r="IPT576" s="268"/>
      <c r="IPU576" s="268"/>
      <c r="IPV576" s="268"/>
      <c r="IPW576" s="268"/>
      <c r="IPX576" s="268"/>
      <c r="IPY576" s="268"/>
      <c r="IPZ576" s="268"/>
      <c r="IQA576" s="268"/>
      <c r="IQB576" s="268"/>
      <c r="IQC576" s="268"/>
      <c r="IQD576" s="268"/>
      <c r="IQE576" s="268"/>
      <c r="IQF576" s="268"/>
      <c r="IQG576" s="268"/>
      <c r="IQH576" s="268"/>
      <c r="IQI576" s="268"/>
      <c r="IQJ576" s="268"/>
      <c r="IQK576" s="268"/>
      <c r="IQL576" s="268"/>
      <c r="IQM576" s="268"/>
      <c r="IQN576" s="268"/>
      <c r="IQO576" s="268"/>
      <c r="IQP576" s="268"/>
      <c r="IQQ576" s="268"/>
      <c r="IQR576" s="268"/>
      <c r="IQS576" s="268"/>
      <c r="IQT576" s="268"/>
      <c r="IQU576" s="268"/>
      <c r="IQV576" s="268"/>
      <c r="IQW576" s="268"/>
      <c r="IQX576" s="268"/>
      <c r="IQY576" s="268"/>
      <c r="IQZ576" s="268"/>
      <c r="IRA576" s="268"/>
      <c r="IRB576" s="268"/>
      <c r="IRC576" s="268"/>
      <c r="IRD576" s="268"/>
      <c r="IRE576" s="268"/>
      <c r="IRF576" s="268"/>
      <c r="IRG576" s="268"/>
      <c r="IRH576" s="268"/>
      <c r="IRI576" s="268"/>
      <c r="IRJ576" s="268"/>
      <c r="IRK576" s="268"/>
      <c r="IRL576" s="268"/>
      <c r="IRM576" s="268"/>
      <c r="IRN576" s="268"/>
      <c r="IRO576" s="268"/>
      <c r="IRP576" s="268"/>
      <c r="IRQ576" s="268"/>
      <c r="IRR576" s="268"/>
      <c r="IRS576" s="268"/>
      <c r="IRT576" s="268"/>
      <c r="IRU576" s="268"/>
      <c r="IRV576" s="268"/>
      <c r="IRW576" s="268"/>
      <c r="IRX576" s="268"/>
      <c r="IRY576" s="268"/>
      <c r="IRZ576" s="268"/>
      <c r="ISA576" s="268"/>
      <c r="ISB576" s="268"/>
      <c r="ISC576" s="268"/>
      <c r="ISD576" s="268"/>
      <c r="ISE576" s="268"/>
      <c r="ISF576" s="268"/>
      <c r="ISG576" s="268"/>
      <c r="ISH576" s="268"/>
      <c r="ISI576" s="268"/>
      <c r="ISJ576" s="268"/>
      <c r="ISK576" s="268"/>
      <c r="ISL576" s="268"/>
      <c r="ISM576" s="268"/>
      <c r="ISN576" s="268"/>
      <c r="ISO576" s="268"/>
      <c r="ISP576" s="268"/>
      <c r="ISQ576" s="268"/>
      <c r="ISR576" s="268"/>
      <c r="ISS576" s="268"/>
      <c r="IST576" s="268"/>
      <c r="ISU576" s="268"/>
      <c r="ISV576" s="268"/>
      <c r="ISW576" s="268"/>
      <c r="ISX576" s="268"/>
      <c r="ISY576" s="268"/>
      <c r="ISZ576" s="268"/>
      <c r="ITA576" s="268"/>
      <c r="ITB576" s="268"/>
      <c r="ITC576" s="268"/>
      <c r="ITD576" s="268"/>
      <c r="ITE576" s="268"/>
      <c r="ITF576" s="268"/>
      <c r="ITG576" s="268"/>
      <c r="ITH576" s="268"/>
      <c r="ITI576" s="268"/>
      <c r="ITJ576" s="268"/>
      <c r="ITK576" s="268"/>
      <c r="ITL576" s="268"/>
      <c r="ITM576" s="268"/>
      <c r="ITN576" s="268"/>
      <c r="ITO576" s="268"/>
      <c r="ITP576" s="268"/>
      <c r="ITQ576" s="268"/>
      <c r="ITR576" s="268"/>
      <c r="ITS576" s="268"/>
      <c r="ITT576" s="268"/>
      <c r="ITU576" s="268"/>
      <c r="ITV576" s="268"/>
      <c r="ITW576" s="268"/>
      <c r="ITX576" s="268"/>
      <c r="ITY576" s="268"/>
      <c r="ITZ576" s="268"/>
      <c r="IUA576" s="268"/>
      <c r="IUB576" s="268"/>
      <c r="IUC576" s="268"/>
      <c r="IUD576" s="268"/>
      <c r="IUE576" s="268"/>
      <c r="IUF576" s="268"/>
      <c r="IUG576" s="268"/>
      <c r="IUH576" s="268"/>
      <c r="IUI576" s="268"/>
      <c r="IUJ576" s="268"/>
      <c r="IUK576" s="268"/>
      <c r="IUL576" s="268"/>
      <c r="IUM576" s="268"/>
      <c r="IUN576" s="268"/>
      <c r="IUO576" s="268"/>
      <c r="IUP576" s="268"/>
      <c r="IUQ576" s="268"/>
      <c r="IVE576" s="268"/>
      <c r="IVF576" s="268"/>
      <c r="IVG576" s="268"/>
      <c r="IVU576" s="268"/>
      <c r="IVW576" s="268"/>
      <c r="IVX576" s="268"/>
      <c r="IVY576" s="268"/>
      <c r="IVZ576" s="268"/>
      <c r="IWA576" s="268"/>
      <c r="IWB576" s="268"/>
      <c r="IWC576" s="268"/>
      <c r="IWD576" s="268"/>
      <c r="IWE576" s="268"/>
      <c r="IWF576" s="268"/>
      <c r="IWG576" s="268"/>
      <c r="IWH576" s="268"/>
      <c r="IWI576" s="268"/>
      <c r="IWJ576" s="268"/>
      <c r="IWK576" s="268"/>
      <c r="IWL576" s="268"/>
      <c r="IWM576" s="268"/>
      <c r="IWN576" s="268"/>
      <c r="IWO576" s="268"/>
      <c r="IWP576" s="268"/>
      <c r="IWQ576" s="268"/>
      <c r="IWR576" s="268"/>
      <c r="IWS576" s="268"/>
      <c r="IWT576" s="268"/>
      <c r="IWU576" s="268"/>
      <c r="IWV576" s="268"/>
      <c r="IWW576" s="268"/>
      <c r="IWX576" s="268"/>
      <c r="IWY576" s="268"/>
      <c r="IWZ576" s="268"/>
      <c r="IXA576" s="268"/>
      <c r="IXB576" s="268"/>
      <c r="IXC576" s="268"/>
      <c r="IXD576" s="268"/>
      <c r="IXE576" s="268"/>
      <c r="IXF576" s="268"/>
      <c r="IXG576" s="268"/>
      <c r="IXH576" s="268"/>
      <c r="IXI576" s="268"/>
      <c r="IXJ576" s="268"/>
      <c r="IXK576" s="268"/>
      <c r="IXL576" s="268"/>
      <c r="IXM576" s="268"/>
      <c r="IXN576" s="268"/>
      <c r="IXO576" s="268"/>
      <c r="IXP576" s="268"/>
      <c r="IXQ576" s="268"/>
      <c r="IXR576" s="268"/>
      <c r="IXS576" s="268"/>
      <c r="IXT576" s="268"/>
      <c r="IXU576" s="268"/>
      <c r="IXV576" s="268"/>
      <c r="IXW576" s="268"/>
      <c r="IXX576" s="268"/>
      <c r="IXY576" s="268"/>
      <c r="IXZ576" s="268"/>
      <c r="IYA576" s="268"/>
      <c r="IYB576" s="268"/>
      <c r="IYC576" s="268"/>
      <c r="IYD576" s="268"/>
      <c r="IYE576" s="268"/>
      <c r="IYF576" s="268"/>
      <c r="IYG576" s="268"/>
      <c r="IYH576" s="268"/>
      <c r="IYI576" s="268"/>
      <c r="IYJ576" s="268"/>
      <c r="IYK576" s="268"/>
      <c r="IYL576" s="268"/>
      <c r="IYM576" s="268"/>
      <c r="IYN576" s="268"/>
      <c r="IYO576" s="268"/>
      <c r="IYP576" s="268"/>
      <c r="IYQ576" s="268"/>
      <c r="IYR576" s="268"/>
      <c r="IYS576" s="268"/>
      <c r="IYT576" s="268"/>
      <c r="IYU576" s="268"/>
      <c r="IYV576" s="268"/>
      <c r="IYW576" s="268"/>
      <c r="IYX576" s="268"/>
      <c r="IYY576" s="268"/>
      <c r="IYZ576" s="268"/>
      <c r="IZA576" s="268"/>
      <c r="IZB576" s="268"/>
      <c r="IZC576" s="268"/>
      <c r="IZD576" s="268"/>
      <c r="IZE576" s="268"/>
      <c r="IZF576" s="268"/>
      <c r="IZG576" s="268"/>
      <c r="IZH576" s="268"/>
      <c r="IZI576" s="268"/>
      <c r="IZJ576" s="268"/>
      <c r="IZK576" s="268"/>
      <c r="IZL576" s="268"/>
      <c r="IZM576" s="268"/>
      <c r="IZN576" s="268"/>
      <c r="IZO576" s="268"/>
      <c r="IZP576" s="268"/>
      <c r="IZQ576" s="268"/>
      <c r="IZR576" s="268"/>
      <c r="IZS576" s="268"/>
      <c r="IZT576" s="268"/>
      <c r="IZU576" s="268"/>
      <c r="IZV576" s="268"/>
      <c r="IZW576" s="268"/>
      <c r="IZX576" s="268"/>
      <c r="IZY576" s="268"/>
      <c r="IZZ576" s="268"/>
      <c r="JAA576" s="268"/>
      <c r="JAB576" s="268"/>
      <c r="JAC576" s="268"/>
      <c r="JAD576" s="268"/>
      <c r="JAE576" s="268"/>
      <c r="JAF576" s="268"/>
      <c r="JAG576" s="268"/>
      <c r="JAH576" s="268"/>
      <c r="JAI576" s="268"/>
      <c r="JAJ576" s="268"/>
      <c r="JAK576" s="268"/>
      <c r="JAL576" s="268"/>
      <c r="JAM576" s="268"/>
      <c r="JAN576" s="268"/>
      <c r="JAO576" s="268"/>
      <c r="JAP576" s="268"/>
      <c r="JAQ576" s="268"/>
      <c r="JAR576" s="268"/>
      <c r="JAS576" s="268"/>
      <c r="JAT576" s="268"/>
      <c r="JAU576" s="268"/>
      <c r="JAV576" s="268"/>
      <c r="JAW576" s="268"/>
      <c r="JAX576" s="268"/>
      <c r="JAY576" s="268"/>
      <c r="JAZ576" s="268"/>
      <c r="JBA576" s="268"/>
      <c r="JBB576" s="268"/>
      <c r="JBC576" s="268"/>
      <c r="JBD576" s="268"/>
      <c r="JBE576" s="268"/>
      <c r="JBF576" s="268"/>
      <c r="JBG576" s="268"/>
      <c r="JBH576" s="268"/>
      <c r="JBI576" s="268"/>
      <c r="JBJ576" s="268"/>
      <c r="JBK576" s="268"/>
      <c r="JBL576" s="268"/>
      <c r="JBM576" s="268"/>
      <c r="JBN576" s="268"/>
      <c r="JBO576" s="268"/>
      <c r="JBP576" s="268"/>
      <c r="JBQ576" s="268"/>
      <c r="JBR576" s="268"/>
      <c r="JBS576" s="268"/>
      <c r="JBT576" s="268"/>
      <c r="JBU576" s="268"/>
      <c r="JBV576" s="268"/>
      <c r="JBW576" s="268"/>
      <c r="JBX576" s="268"/>
      <c r="JBY576" s="268"/>
      <c r="JBZ576" s="268"/>
      <c r="JCA576" s="268"/>
      <c r="JCB576" s="268"/>
      <c r="JCC576" s="268"/>
      <c r="JCD576" s="268"/>
      <c r="JCE576" s="268"/>
      <c r="JCF576" s="268"/>
      <c r="JCG576" s="268"/>
      <c r="JCH576" s="268"/>
      <c r="JCI576" s="268"/>
      <c r="JCJ576" s="268"/>
      <c r="JCK576" s="268"/>
      <c r="JCL576" s="268"/>
      <c r="JCM576" s="268"/>
      <c r="JCN576" s="268"/>
      <c r="JCO576" s="268"/>
      <c r="JCP576" s="268"/>
      <c r="JCQ576" s="268"/>
      <c r="JCR576" s="268"/>
      <c r="JCS576" s="268"/>
      <c r="JCT576" s="268"/>
      <c r="JCU576" s="268"/>
      <c r="JCV576" s="268"/>
      <c r="JCW576" s="268"/>
      <c r="JCX576" s="268"/>
      <c r="JCY576" s="268"/>
      <c r="JCZ576" s="268"/>
      <c r="JDA576" s="268"/>
      <c r="JDB576" s="268"/>
      <c r="JDC576" s="268"/>
      <c r="JDD576" s="268"/>
      <c r="JDE576" s="268"/>
      <c r="JDF576" s="268"/>
      <c r="JDG576" s="268"/>
      <c r="JDH576" s="268"/>
      <c r="JDI576" s="268"/>
      <c r="JDJ576" s="268"/>
      <c r="JDK576" s="268"/>
      <c r="JDL576" s="268"/>
      <c r="JDM576" s="268"/>
      <c r="JDN576" s="268"/>
      <c r="JDO576" s="268"/>
      <c r="JDP576" s="268"/>
      <c r="JDQ576" s="268"/>
      <c r="JDR576" s="268"/>
      <c r="JDS576" s="268"/>
      <c r="JDT576" s="268"/>
      <c r="JDU576" s="268"/>
      <c r="JDV576" s="268"/>
      <c r="JDW576" s="268"/>
      <c r="JDX576" s="268"/>
      <c r="JDY576" s="268"/>
      <c r="JDZ576" s="268"/>
      <c r="JEA576" s="268"/>
      <c r="JEB576" s="268"/>
      <c r="JEC576" s="268"/>
      <c r="JED576" s="268"/>
      <c r="JEE576" s="268"/>
      <c r="JEF576" s="268"/>
      <c r="JEG576" s="268"/>
      <c r="JEH576" s="268"/>
      <c r="JEI576" s="268"/>
      <c r="JEJ576" s="268"/>
      <c r="JEK576" s="268"/>
      <c r="JEL576" s="268"/>
      <c r="JEM576" s="268"/>
      <c r="JFA576" s="268"/>
      <c r="JFB576" s="268"/>
      <c r="JFC576" s="268"/>
      <c r="JFQ576" s="268"/>
      <c r="JFS576" s="268"/>
      <c r="JFT576" s="268"/>
      <c r="JFU576" s="268"/>
      <c r="JFV576" s="268"/>
      <c r="JFW576" s="268"/>
      <c r="JFX576" s="268"/>
      <c r="JFY576" s="268"/>
      <c r="JFZ576" s="268"/>
      <c r="JGA576" s="268"/>
      <c r="JGB576" s="268"/>
      <c r="JGC576" s="268"/>
      <c r="JGD576" s="268"/>
      <c r="JGE576" s="268"/>
      <c r="JGF576" s="268"/>
      <c r="JGG576" s="268"/>
      <c r="JGH576" s="268"/>
      <c r="JGI576" s="268"/>
      <c r="JGJ576" s="268"/>
      <c r="JGK576" s="268"/>
      <c r="JGL576" s="268"/>
      <c r="JGM576" s="268"/>
      <c r="JGN576" s="268"/>
      <c r="JGO576" s="268"/>
      <c r="JGP576" s="268"/>
      <c r="JGQ576" s="268"/>
      <c r="JGR576" s="268"/>
      <c r="JGS576" s="268"/>
      <c r="JGT576" s="268"/>
      <c r="JGU576" s="268"/>
      <c r="JGV576" s="268"/>
      <c r="JGW576" s="268"/>
      <c r="JGX576" s="268"/>
      <c r="JGY576" s="268"/>
      <c r="JGZ576" s="268"/>
      <c r="JHA576" s="268"/>
      <c r="JHB576" s="268"/>
      <c r="JHC576" s="268"/>
      <c r="JHD576" s="268"/>
      <c r="JHE576" s="268"/>
      <c r="JHF576" s="268"/>
      <c r="JHG576" s="268"/>
      <c r="JHH576" s="268"/>
      <c r="JHI576" s="268"/>
      <c r="JHJ576" s="268"/>
      <c r="JHK576" s="268"/>
      <c r="JHL576" s="268"/>
      <c r="JHM576" s="268"/>
      <c r="JHN576" s="268"/>
      <c r="JHO576" s="268"/>
      <c r="JHP576" s="268"/>
      <c r="JHQ576" s="268"/>
      <c r="JHR576" s="268"/>
      <c r="JHS576" s="268"/>
      <c r="JHT576" s="268"/>
      <c r="JHU576" s="268"/>
      <c r="JHV576" s="268"/>
      <c r="JHW576" s="268"/>
      <c r="JHX576" s="268"/>
      <c r="JHY576" s="268"/>
      <c r="JHZ576" s="268"/>
      <c r="JIA576" s="268"/>
      <c r="JIB576" s="268"/>
      <c r="JIC576" s="268"/>
      <c r="JID576" s="268"/>
      <c r="JIE576" s="268"/>
      <c r="JIF576" s="268"/>
      <c r="JIG576" s="268"/>
      <c r="JIH576" s="268"/>
      <c r="JII576" s="268"/>
      <c r="JIJ576" s="268"/>
      <c r="JIK576" s="268"/>
      <c r="JIL576" s="268"/>
      <c r="JIM576" s="268"/>
      <c r="JIN576" s="268"/>
      <c r="JIO576" s="268"/>
      <c r="JIP576" s="268"/>
      <c r="JIQ576" s="268"/>
      <c r="JIR576" s="268"/>
      <c r="JIS576" s="268"/>
      <c r="JIT576" s="268"/>
      <c r="JIU576" s="268"/>
      <c r="JIV576" s="268"/>
      <c r="JIW576" s="268"/>
      <c r="JIX576" s="268"/>
      <c r="JIY576" s="268"/>
      <c r="JIZ576" s="268"/>
      <c r="JJA576" s="268"/>
      <c r="JJB576" s="268"/>
      <c r="JJC576" s="268"/>
      <c r="JJD576" s="268"/>
      <c r="JJE576" s="268"/>
      <c r="JJF576" s="268"/>
      <c r="JJG576" s="268"/>
      <c r="JJH576" s="268"/>
      <c r="JJI576" s="268"/>
      <c r="JJJ576" s="268"/>
      <c r="JJK576" s="268"/>
      <c r="JJL576" s="268"/>
      <c r="JJM576" s="268"/>
      <c r="JJN576" s="268"/>
      <c r="JJO576" s="268"/>
      <c r="JJP576" s="268"/>
      <c r="JJQ576" s="268"/>
      <c r="JJR576" s="268"/>
      <c r="JJS576" s="268"/>
      <c r="JJT576" s="268"/>
      <c r="JJU576" s="268"/>
      <c r="JJV576" s="268"/>
      <c r="JJW576" s="268"/>
      <c r="JJX576" s="268"/>
      <c r="JJY576" s="268"/>
      <c r="JJZ576" s="268"/>
      <c r="JKA576" s="268"/>
      <c r="JKB576" s="268"/>
      <c r="JKC576" s="268"/>
      <c r="JKD576" s="268"/>
      <c r="JKE576" s="268"/>
      <c r="JKF576" s="268"/>
      <c r="JKG576" s="268"/>
      <c r="JKH576" s="268"/>
      <c r="JKI576" s="268"/>
      <c r="JKJ576" s="268"/>
      <c r="JKK576" s="268"/>
      <c r="JKL576" s="268"/>
      <c r="JKM576" s="268"/>
      <c r="JKN576" s="268"/>
      <c r="JKO576" s="268"/>
      <c r="JKP576" s="268"/>
      <c r="JKQ576" s="268"/>
      <c r="JKR576" s="268"/>
      <c r="JKS576" s="268"/>
      <c r="JKT576" s="268"/>
      <c r="JKU576" s="268"/>
      <c r="JKV576" s="268"/>
      <c r="JKW576" s="268"/>
      <c r="JKX576" s="268"/>
      <c r="JKY576" s="268"/>
      <c r="JKZ576" s="268"/>
      <c r="JLA576" s="268"/>
      <c r="JLB576" s="268"/>
      <c r="JLC576" s="268"/>
      <c r="JLD576" s="268"/>
      <c r="JLE576" s="268"/>
      <c r="JLF576" s="268"/>
      <c r="JLG576" s="268"/>
      <c r="JLH576" s="268"/>
      <c r="JLI576" s="268"/>
      <c r="JLJ576" s="268"/>
      <c r="JLK576" s="268"/>
      <c r="JLL576" s="268"/>
      <c r="JLM576" s="268"/>
      <c r="JLN576" s="268"/>
      <c r="JLO576" s="268"/>
      <c r="JLP576" s="268"/>
      <c r="JLQ576" s="268"/>
      <c r="JLR576" s="268"/>
      <c r="JLS576" s="268"/>
      <c r="JLT576" s="268"/>
      <c r="JLU576" s="268"/>
      <c r="JLV576" s="268"/>
      <c r="JLW576" s="268"/>
      <c r="JLX576" s="268"/>
      <c r="JLY576" s="268"/>
      <c r="JLZ576" s="268"/>
      <c r="JMA576" s="268"/>
      <c r="JMB576" s="268"/>
      <c r="JMC576" s="268"/>
      <c r="JMD576" s="268"/>
      <c r="JME576" s="268"/>
      <c r="JMF576" s="268"/>
      <c r="JMG576" s="268"/>
      <c r="JMH576" s="268"/>
      <c r="JMI576" s="268"/>
      <c r="JMJ576" s="268"/>
      <c r="JMK576" s="268"/>
      <c r="JML576" s="268"/>
      <c r="JMM576" s="268"/>
      <c r="JMN576" s="268"/>
      <c r="JMO576" s="268"/>
      <c r="JMP576" s="268"/>
      <c r="JMQ576" s="268"/>
      <c r="JMR576" s="268"/>
      <c r="JMS576" s="268"/>
      <c r="JMT576" s="268"/>
      <c r="JMU576" s="268"/>
      <c r="JMV576" s="268"/>
      <c r="JMW576" s="268"/>
      <c r="JMX576" s="268"/>
      <c r="JMY576" s="268"/>
      <c r="JMZ576" s="268"/>
      <c r="JNA576" s="268"/>
      <c r="JNB576" s="268"/>
      <c r="JNC576" s="268"/>
      <c r="JND576" s="268"/>
      <c r="JNE576" s="268"/>
      <c r="JNF576" s="268"/>
      <c r="JNG576" s="268"/>
      <c r="JNH576" s="268"/>
      <c r="JNI576" s="268"/>
      <c r="JNJ576" s="268"/>
      <c r="JNK576" s="268"/>
      <c r="JNL576" s="268"/>
      <c r="JNM576" s="268"/>
      <c r="JNN576" s="268"/>
      <c r="JNO576" s="268"/>
      <c r="JNP576" s="268"/>
      <c r="JNQ576" s="268"/>
      <c r="JNR576" s="268"/>
      <c r="JNS576" s="268"/>
      <c r="JNT576" s="268"/>
      <c r="JNU576" s="268"/>
      <c r="JNV576" s="268"/>
      <c r="JNW576" s="268"/>
      <c r="JNX576" s="268"/>
      <c r="JNY576" s="268"/>
      <c r="JNZ576" s="268"/>
      <c r="JOA576" s="268"/>
      <c r="JOB576" s="268"/>
      <c r="JOC576" s="268"/>
      <c r="JOD576" s="268"/>
      <c r="JOE576" s="268"/>
      <c r="JOF576" s="268"/>
      <c r="JOG576" s="268"/>
      <c r="JOH576" s="268"/>
      <c r="JOI576" s="268"/>
      <c r="JOW576" s="268"/>
      <c r="JOX576" s="268"/>
      <c r="JOY576" s="268"/>
      <c r="JPM576" s="268"/>
      <c r="JPO576" s="268"/>
      <c r="JPP576" s="268"/>
      <c r="JPQ576" s="268"/>
      <c r="JPR576" s="268"/>
      <c r="JPS576" s="268"/>
      <c r="JPT576" s="268"/>
      <c r="JPU576" s="268"/>
      <c r="JPV576" s="268"/>
      <c r="JPW576" s="268"/>
      <c r="JPX576" s="268"/>
      <c r="JPY576" s="268"/>
      <c r="JPZ576" s="268"/>
      <c r="JQA576" s="268"/>
      <c r="JQB576" s="268"/>
      <c r="JQC576" s="268"/>
      <c r="JQD576" s="268"/>
      <c r="JQE576" s="268"/>
      <c r="JQF576" s="268"/>
      <c r="JQG576" s="268"/>
      <c r="JQH576" s="268"/>
      <c r="JQI576" s="268"/>
      <c r="JQJ576" s="268"/>
      <c r="JQK576" s="268"/>
      <c r="JQL576" s="268"/>
      <c r="JQM576" s="268"/>
      <c r="JQN576" s="268"/>
      <c r="JQO576" s="268"/>
      <c r="JQP576" s="268"/>
      <c r="JQQ576" s="268"/>
      <c r="JQR576" s="268"/>
      <c r="JQS576" s="268"/>
      <c r="JQT576" s="268"/>
      <c r="JQU576" s="268"/>
      <c r="JQV576" s="268"/>
      <c r="JQW576" s="268"/>
      <c r="JQX576" s="268"/>
      <c r="JQY576" s="268"/>
      <c r="JQZ576" s="268"/>
      <c r="JRA576" s="268"/>
      <c r="JRB576" s="268"/>
      <c r="JRC576" s="268"/>
      <c r="JRD576" s="268"/>
      <c r="JRE576" s="268"/>
      <c r="JRF576" s="268"/>
      <c r="JRG576" s="268"/>
      <c r="JRH576" s="268"/>
      <c r="JRI576" s="268"/>
      <c r="JRJ576" s="268"/>
      <c r="JRK576" s="268"/>
      <c r="JRL576" s="268"/>
      <c r="JRM576" s="268"/>
      <c r="JRN576" s="268"/>
      <c r="JRO576" s="268"/>
      <c r="JRP576" s="268"/>
      <c r="JRQ576" s="268"/>
      <c r="JRR576" s="268"/>
      <c r="JRS576" s="268"/>
      <c r="JRT576" s="268"/>
      <c r="JRU576" s="268"/>
      <c r="JRV576" s="268"/>
      <c r="JRW576" s="268"/>
      <c r="JRX576" s="268"/>
      <c r="JRY576" s="268"/>
      <c r="JRZ576" s="268"/>
      <c r="JSA576" s="268"/>
      <c r="JSB576" s="268"/>
      <c r="JSC576" s="268"/>
      <c r="JSD576" s="268"/>
      <c r="JSE576" s="268"/>
      <c r="JSF576" s="268"/>
      <c r="JSG576" s="268"/>
      <c r="JSH576" s="268"/>
      <c r="JSI576" s="268"/>
      <c r="JSJ576" s="268"/>
      <c r="JSK576" s="268"/>
      <c r="JSL576" s="268"/>
      <c r="JSM576" s="268"/>
      <c r="JSN576" s="268"/>
      <c r="JSO576" s="268"/>
      <c r="JSP576" s="268"/>
      <c r="JSQ576" s="268"/>
      <c r="JSR576" s="268"/>
      <c r="JSS576" s="268"/>
      <c r="JST576" s="268"/>
      <c r="JSU576" s="268"/>
      <c r="JSV576" s="268"/>
      <c r="JSW576" s="268"/>
      <c r="JSX576" s="268"/>
      <c r="JSY576" s="268"/>
      <c r="JSZ576" s="268"/>
      <c r="JTA576" s="268"/>
      <c r="JTB576" s="268"/>
      <c r="JTC576" s="268"/>
      <c r="JTD576" s="268"/>
      <c r="JTE576" s="268"/>
      <c r="JTF576" s="268"/>
      <c r="JTG576" s="268"/>
      <c r="JTH576" s="268"/>
      <c r="JTI576" s="268"/>
      <c r="JTJ576" s="268"/>
      <c r="JTK576" s="268"/>
      <c r="JTL576" s="268"/>
      <c r="JTM576" s="268"/>
      <c r="JTN576" s="268"/>
      <c r="JTO576" s="268"/>
      <c r="JTP576" s="268"/>
      <c r="JTQ576" s="268"/>
      <c r="JTR576" s="268"/>
      <c r="JTS576" s="268"/>
      <c r="JTT576" s="268"/>
      <c r="JTU576" s="268"/>
      <c r="JTV576" s="268"/>
      <c r="JTW576" s="268"/>
      <c r="JTX576" s="268"/>
      <c r="JTY576" s="268"/>
      <c r="JTZ576" s="268"/>
      <c r="JUA576" s="268"/>
      <c r="JUB576" s="268"/>
      <c r="JUC576" s="268"/>
      <c r="JUD576" s="268"/>
      <c r="JUE576" s="268"/>
      <c r="JUF576" s="268"/>
      <c r="JUG576" s="268"/>
      <c r="JUH576" s="268"/>
      <c r="JUI576" s="268"/>
      <c r="JUJ576" s="268"/>
      <c r="JUK576" s="268"/>
      <c r="JUL576" s="268"/>
      <c r="JUM576" s="268"/>
      <c r="JUN576" s="268"/>
      <c r="JUO576" s="268"/>
      <c r="JUP576" s="268"/>
      <c r="JUQ576" s="268"/>
      <c r="JUR576" s="268"/>
      <c r="JUS576" s="268"/>
      <c r="JUT576" s="268"/>
      <c r="JUU576" s="268"/>
      <c r="JUV576" s="268"/>
      <c r="JUW576" s="268"/>
      <c r="JUX576" s="268"/>
      <c r="JUY576" s="268"/>
      <c r="JUZ576" s="268"/>
      <c r="JVA576" s="268"/>
      <c r="JVB576" s="268"/>
      <c r="JVC576" s="268"/>
      <c r="JVD576" s="268"/>
      <c r="JVE576" s="268"/>
      <c r="JVF576" s="268"/>
      <c r="JVG576" s="268"/>
      <c r="JVH576" s="268"/>
      <c r="JVI576" s="268"/>
      <c r="JVJ576" s="268"/>
      <c r="JVK576" s="268"/>
      <c r="JVL576" s="268"/>
      <c r="JVM576" s="268"/>
      <c r="JVN576" s="268"/>
      <c r="JVO576" s="268"/>
      <c r="JVP576" s="268"/>
      <c r="JVQ576" s="268"/>
      <c r="JVR576" s="268"/>
      <c r="JVS576" s="268"/>
      <c r="JVT576" s="268"/>
      <c r="JVU576" s="268"/>
      <c r="JVV576" s="268"/>
      <c r="JVW576" s="268"/>
      <c r="JVX576" s="268"/>
      <c r="JVY576" s="268"/>
      <c r="JVZ576" s="268"/>
      <c r="JWA576" s="268"/>
      <c r="JWB576" s="268"/>
      <c r="JWC576" s="268"/>
      <c r="JWD576" s="268"/>
      <c r="JWE576" s="268"/>
      <c r="JWF576" s="268"/>
      <c r="JWG576" s="268"/>
      <c r="JWH576" s="268"/>
      <c r="JWI576" s="268"/>
      <c r="JWJ576" s="268"/>
      <c r="JWK576" s="268"/>
      <c r="JWL576" s="268"/>
      <c r="JWM576" s="268"/>
      <c r="JWN576" s="268"/>
      <c r="JWO576" s="268"/>
      <c r="JWP576" s="268"/>
      <c r="JWQ576" s="268"/>
      <c r="JWR576" s="268"/>
      <c r="JWS576" s="268"/>
      <c r="JWT576" s="268"/>
      <c r="JWU576" s="268"/>
      <c r="JWV576" s="268"/>
      <c r="JWW576" s="268"/>
      <c r="JWX576" s="268"/>
      <c r="JWY576" s="268"/>
      <c r="JWZ576" s="268"/>
      <c r="JXA576" s="268"/>
      <c r="JXB576" s="268"/>
      <c r="JXC576" s="268"/>
      <c r="JXD576" s="268"/>
      <c r="JXE576" s="268"/>
      <c r="JXF576" s="268"/>
      <c r="JXG576" s="268"/>
      <c r="JXH576" s="268"/>
      <c r="JXI576" s="268"/>
      <c r="JXJ576" s="268"/>
      <c r="JXK576" s="268"/>
      <c r="JXL576" s="268"/>
      <c r="JXM576" s="268"/>
      <c r="JXN576" s="268"/>
      <c r="JXO576" s="268"/>
      <c r="JXP576" s="268"/>
      <c r="JXQ576" s="268"/>
      <c r="JXR576" s="268"/>
      <c r="JXS576" s="268"/>
      <c r="JXT576" s="268"/>
      <c r="JXU576" s="268"/>
      <c r="JXV576" s="268"/>
      <c r="JXW576" s="268"/>
      <c r="JXX576" s="268"/>
      <c r="JXY576" s="268"/>
      <c r="JXZ576" s="268"/>
      <c r="JYA576" s="268"/>
      <c r="JYB576" s="268"/>
      <c r="JYC576" s="268"/>
      <c r="JYD576" s="268"/>
      <c r="JYE576" s="268"/>
      <c r="JYS576" s="268"/>
      <c r="JYT576" s="268"/>
      <c r="JYU576" s="268"/>
      <c r="JZI576" s="268"/>
      <c r="JZK576" s="268"/>
      <c r="JZL576" s="268"/>
      <c r="JZM576" s="268"/>
      <c r="JZN576" s="268"/>
      <c r="JZO576" s="268"/>
      <c r="JZP576" s="268"/>
      <c r="JZQ576" s="268"/>
      <c r="JZR576" s="268"/>
      <c r="JZS576" s="268"/>
      <c r="JZT576" s="268"/>
      <c r="JZU576" s="268"/>
      <c r="JZV576" s="268"/>
      <c r="JZW576" s="268"/>
      <c r="JZX576" s="268"/>
      <c r="JZY576" s="268"/>
      <c r="JZZ576" s="268"/>
      <c r="KAA576" s="268"/>
      <c r="KAB576" s="268"/>
      <c r="KAC576" s="268"/>
      <c r="KAD576" s="268"/>
      <c r="KAE576" s="268"/>
      <c r="KAF576" s="268"/>
      <c r="KAG576" s="268"/>
      <c r="KAH576" s="268"/>
      <c r="KAI576" s="268"/>
      <c r="KAJ576" s="268"/>
      <c r="KAK576" s="268"/>
      <c r="KAL576" s="268"/>
      <c r="KAM576" s="268"/>
      <c r="KAN576" s="268"/>
      <c r="KAO576" s="268"/>
      <c r="KAP576" s="268"/>
      <c r="KAQ576" s="268"/>
      <c r="KAR576" s="268"/>
      <c r="KAS576" s="268"/>
      <c r="KAT576" s="268"/>
      <c r="KAU576" s="268"/>
      <c r="KAV576" s="268"/>
      <c r="KAW576" s="268"/>
      <c r="KAX576" s="268"/>
      <c r="KAY576" s="268"/>
      <c r="KAZ576" s="268"/>
      <c r="KBA576" s="268"/>
      <c r="KBB576" s="268"/>
      <c r="KBC576" s="268"/>
      <c r="KBD576" s="268"/>
      <c r="KBE576" s="268"/>
      <c r="KBF576" s="268"/>
      <c r="KBG576" s="268"/>
      <c r="KBH576" s="268"/>
      <c r="KBI576" s="268"/>
      <c r="KBJ576" s="268"/>
      <c r="KBK576" s="268"/>
      <c r="KBL576" s="268"/>
      <c r="KBM576" s="268"/>
      <c r="KBN576" s="268"/>
      <c r="KBO576" s="268"/>
      <c r="KBP576" s="268"/>
      <c r="KBQ576" s="268"/>
      <c r="KBR576" s="268"/>
      <c r="KBS576" s="268"/>
      <c r="KBT576" s="268"/>
      <c r="KBU576" s="268"/>
      <c r="KBV576" s="268"/>
      <c r="KBW576" s="268"/>
      <c r="KBX576" s="268"/>
      <c r="KBY576" s="268"/>
      <c r="KBZ576" s="268"/>
      <c r="KCA576" s="268"/>
      <c r="KCB576" s="268"/>
      <c r="KCC576" s="268"/>
      <c r="KCD576" s="268"/>
      <c r="KCE576" s="268"/>
      <c r="KCF576" s="268"/>
      <c r="KCG576" s="268"/>
      <c r="KCH576" s="268"/>
      <c r="KCI576" s="268"/>
      <c r="KCJ576" s="268"/>
      <c r="KCK576" s="268"/>
      <c r="KCL576" s="268"/>
      <c r="KCM576" s="268"/>
      <c r="KCN576" s="268"/>
      <c r="KCO576" s="268"/>
      <c r="KCP576" s="268"/>
      <c r="KCQ576" s="268"/>
      <c r="KCR576" s="268"/>
      <c r="KCS576" s="268"/>
      <c r="KCT576" s="268"/>
      <c r="KCU576" s="268"/>
      <c r="KCV576" s="268"/>
      <c r="KCW576" s="268"/>
      <c r="KCX576" s="268"/>
      <c r="KCY576" s="268"/>
      <c r="KCZ576" s="268"/>
      <c r="KDA576" s="268"/>
      <c r="KDB576" s="268"/>
      <c r="KDC576" s="268"/>
      <c r="KDD576" s="268"/>
      <c r="KDE576" s="268"/>
      <c r="KDF576" s="268"/>
      <c r="KDG576" s="268"/>
      <c r="KDH576" s="268"/>
      <c r="KDI576" s="268"/>
      <c r="KDJ576" s="268"/>
      <c r="KDK576" s="268"/>
      <c r="KDL576" s="268"/>
      <c r="KDM576" s="268"/>
      <c r="KDN576" s="268"/>
      <c r="KDO576" s="268"/>
      <c r="KDP576" s="268"/>
      <c r="KDQ576" s="268"/>
      <c r="KDR576" s="268"/>
      <c r="KDS576" s="268"/>
      <c r="KDT576" s="268"/>
      <c r="KDU576" s="268"/>
      <c r="KDV576" s="268"/>
      <c r="KDW576" s="268"/>
      <c r="KDX576" s="268"/>
      <c r="KDY576" s="268"/>
      <c r="KDZ576" s="268"/>
      <c r="KEA576" s="268"/>
      <c r="KEB576" s="268"/>
      <c r="KEC576" s="268"/>
      <c r="KED576" s="268"/>
      <c r="KEE576" s="268"/>
      <c r="KEF576" s="268"/>
      <c r="KEG576" s="268"/>
      <c r="KEH576" s="268"/>
      <c r="KEI576" s="268"/>
      <c r="KEJ576" s="268"/>
      <c r="KEK576" s="268"/>
      <c r="KEL576" s="268"/>
      <c r="KEM576" s="268"/>
      <c r="KEN576" s="268"/>
      <c r="KEO576" s="268"/>
      <c r="KEP576" s="268"/>
      <c r="KEQ576" s="268"/>
      <c r="KER576" s="268"/>
      <c r="KES576" s="268"/>
      <c r="KET576" s="268"/>
      <c r="KEU576" s="268"/>
      <c r="KEV576" s="268"/>
      <c r="KEW576" s="268"/>
      <c r="KEX576" s="268"/>
      <c r="KEY576" s="268"/>
      <c r="KEZ576" s="268"/>
      <c r="KFA576" s="268"/>
      <c r="KFB576" s="268"/>
      <c r="KFC576" s="268"/>
      <c r="KFD576" s="268"/>
      <c r="KFE576" s="268"/>
      <c r="KFF576" s="268"/>
      <c r="KFG576" s="268"/>
      <c r="KFH576" s="268"/>
      <c r="KFI576" s="268"/>
      <c r="KFJ576" s="268"/>
      <c r="KFK576" s="268"/>
      <c r="KFL576" s="268"/>
      <c r="KFM576" s="268"/>
      <c r="KFN576" s="268"/>
      <c r="KFO576" s="268"/>
      <c r="KFP576" s="268"/>
      <c r="KFQ576" s="268"/>
      <c r="KFR576" s="268"/>
      <c r="KFS576" s="268"/>
      <c r="KFT576" s="268"/>
      <c r="KFU576" s="268"/>
      <c r="KFV576" s="268"/>
      <c r="KFW576" s="268"/>
      <c r="KFX576" s="268"/>
      <c r="KFY576" s="268"/>
      <c r="KFZ576" s="268"/>
      <c r="KGA576" s="268"/>
      <c r="KGB576" s="268"/>
      <c r="KGC576" s="268"/>
      <c r="KGD576" s="268"/>
      <c r="KGE576" s="268"/>
      <c r="KGF576" s="268"/>
      <c r="KGG576" s="268"/>
      <c r="KGH576" s="268"/>
      <c r="KGI576" s="268"/>
      <c r="KGJ576" s="268"/>
      <c r="KGK576" s="268"/>
      <c r="KGL576" s="268"/>
      <c r="KGM576" s="268"/>
      <c r="KGN576" s="268"/>
      <c r="KGO576" s="268"/>
      <c r="KGP576" s="268"/>
      <c r="KGQ576" s="268"/>
      <c r="KGR576" s="268"/>
      <c r="KGS576" s="268"/>
      <c r="KGT576" s="268"/>
      <c r="KGU576" s="268"/>
      <c r="KGV576" s="268"/>
      <c r="KGW576" s="268"/>
      <c r="KGX576" s="268"/>
      <c r="KGY576" s="268"/>
      <c r="KGZ576" s="268"/>
      <c r="KHA576" s="268"/>
      <c r="KHB576" s="268"/>
      <c r="KHC576" s="268"/>
      <c r="KHD576" s="268"/>
      <c r="KHE576" s="268"/>
      <c r="KHF576" s="268"/>
      <c r="KHG576" s="268"/>
      <c r="KHH576" s="268"/>
      <c r="KHI576" s="268"/>
      <c r="KHJ576" s="268"/>
      <c r="KHK576" s="268"/>
      <c r="KHL576" s="268"/>
      <c r="KHM576" s="268"/>
      <c r="KHN576" s="268"/>
      <c r="KHO576" s="268"/>
      <c r="KHP576" s="268"/>
      <c r="KHQ576" s="268"/>
      <c r="KHR576" s="268"/>
      <c r="KHS576" s="268"/>
      <c r="KHT576" s="268"/>
      <c r="KHU576" s="268"/>
      <c r="KHV576" s="268"/>
      <c r="KHW576" s="268"/>
      <c r="KHX576" s="268"/>
      <c r="KHY576" s="268"/>
      <c r="KHZ576" s="268"/>
      <c r="KIA576" s="268"/>
      <c r="KIO576" s="268"/>
      <c r="KIP576" s="268"/>
      <c r="KIQ576" s="268"/>
      <c r="KJE576" s="268"/>
      <c r="KJG576" s="268"/>
      <c r="KJH576" s="268"/>
      <c r="KJI576" s="268"/>
      <c r="KJJ576" s="268"/>
      <c r="KJK576" s="268"/>
      <c r="KJL576" s="268"/>
      <c r="KJM576" s="268"/>
      <c r="KJN576" s="268"/>
      <c r="KJO576" s="268"/>
      <c r="KJP576" s="268"/>
      <c r="KJQ576" s="268"/>
      <c r="KJR576" s="268"/>
      <c r="KJS576" s="268"/>
      <c r="KJT576" s="268"/>
      <c r="KJU576" s="268"/>
      <c r="KJV576" s="268"/>
      <c r="KJW576" s="268"/>
      <c r="KJX576" s="268"/>
      <c r="KJY576" s="268"/>
      <c r="KJZ576" s="268"/>
      <c r="KKA576" s="268"/>
      <c r="KKB576" s="268"/>
      <c r="KKC576" s="268"/>
      <c r="KKD576" s="268"/>
      <c r="KKE576" s="268"/>
      <c r="KKF576" s="268"/>
      <c r="KKG576" s="268"/>
      <c r="KKH576" s="268"/>
      <c r="KKI576" s="268"/>
      <c r="KKJ576" s="268"/>
      <c r="KKK576" s="268"/>
      <c r="KKL576" s="268"/>
      <c r="KKM576" s="268"/>
      <c r="KKN576" s="268"/>
      <c r="KKO576" s="268"/>
      <c r="KKP576" s="268"/>
      <c r="KKQ576" s="268"/>
      <c r="KKR576" s="268"/>
      <c r="KKS576" s="268"/>
      <c r="KKT576" s="268"/>
      <c r="KKU576" s="268"/>
      <c r="KKV576" s="268"/>
      <c r="KKW576" s="268"/>
      <c r="KKX576" s="268"/>
      <c r="KKY576" s="268"/>
      <c r="KKZ576" s="268"/>
      <c r="KLA576" s="268"/>
      <c r="KLB576" s="268"/>
      <c r="KLC576" s="268"/>
      <c r="KLD576" s="268"/>
      <c r="KLE576" s="268"/>
      <c r="KLF576" s="268"/>
      <c r="KLG576" s="268"/>
      <c r="KLH576" s="268"/>
      <c r="KLI576" s="268"/>
      <c r="KLJ576" s="268"/>
      <c r="KLK576" s="268"/>
      <c r="KLL576" s="268"/>
      <c r="KLM576" s="268"/>
      <c r="KLN576" s="268"/>
      <c r="KLO576" s="268"/>
      <c r="KLP576" s="268"/>
      <c r="KLQ576" s="268"/>
      <c r="KLR576" s="268"/>
      <c r="KLS576" s="268"/>
      <c r="KLT576" s="268"/>
      <c r="KLU576" s="268"/>
      <c r="KLV576" s="268"/>
      <c r="KLW576" s="268"/>
      <c r="KLX576" s="268"/>
      <c r="KLY576" s="268"/>
      <c r="KLZ576" s="268"/>
      <c r="KMA576" s="268"/>
      <c r="KMB576" s="268"/>
      <c r="KMC576" s="268"/>
      <c r="KMD576" s="268"/>
      <c r="KME576" s="268"/>
      <c r="KMF576" s="268"/>
      <c r="KMG576" s="268"/>
      <c r="KMH576" s="268"/>
      <c r="KMI576" s="268"/>
      <c r="KMJ576" s="268"/>
      <c r="KMK576" s="268"/>
      <c r="KML576" s="268"/>
      <c r="KMM576" s="268"/>
      <c r="KMN576" s="268"/>
      <c r="KMO576" s="268"/>
      <c r="KMP576" s="268"/>
      <c r="KMQ576" s="268"/>
      <c r="KMR576" s="268"/>
      <c r="KMS576" s="268"/>
      <c r="KMT576" s="268"/>
      <c r="KMU576" s="268"/>
      <c r="KMV576" s="268"/>
      <c r="KMW576" s="268"/>
      <c r="KMX576" s="268"/>
      <c r="KMY576" s="268"/>
      <c r="KMZ576" s="268"/>
      <c r="KNA576" s="268"/>
      <c r="KNB576" s="268"/>
      <c r="KNC576" s="268"/>
      <c r="KND576" s="268"/>
      <c r="KNE576" s="268"/>
      <c r="KNF576" s="268"/>
      <c r="KNG576" s="268"/>
      <c r="KNH576" s="268"/>
      <c r="KNI576" s="268"/>
      <c r="KNJ576" s="268"/>
      <c r="KNK576" s="268"/>
      <c r="KNL576" s="268"/>
      <c r="KNM576" s="268"/>
      <c r="KNN576" s="268"/>
      <c r="KNO576" s="268"/>
      <c r="KNP576" s="268"/>
      <c r="KNQ576" s="268"/>
      <c r="KNR576" s="268"/>
      <c r="KNS576" s="268"/>
      <c r="KNT576" s="268"/>
      <c r="KNU576" s="268"/>
      <c r="KNV576" s="268"/>
      <c r="KNW576" s="268"/>
      <c r="KNX576" s="268"/>
      <c r="KNY576" s="268"/>
      <c r="KNZ576" s="268"/>
      <c r="KOA576" s="268"/>
      <c r="KOB576" s="268"/>
      <c r="KOC576" s="268"/>
      <c r="KOD576" s="268"/>
      <c r="KOE576" s="268"/>
      <c r="KOF576" s="268"/>
      <c r="KOG576" s="268"/>
      <c r="KOH576" s="268"/>
      <c r="KOI576" s="268"/>
      <c r="KOJ576" s="268"/>
      <c r="KOK576" s="268"/>
      <c r="KOL576" s="268"/>
      <c r="KOM576" s="268"/>
      <c r="KON576" s="268"/>
      <c r="KOO576" s="268"/>
      <c r="KOP576" s="268"/>
      <c r="KOQ576" s="268"/>
      <c r="KOR576" s="268"/>
      <c r="KOS576" s="268"/>
      <c r="KOT576" s="268"/>
      <c r="KOU576" s="268"/>
      <c r="KOV576" s="268"/>
      <c r="KOW576" s="268"/>
      <c r="KOX576" s="268"/>
      <c r="KOY576" s="268"/>
      <c r="KOZ576" s="268"/>
      <c r="KPA576" s="268"/>
      <c r="KPB576" s="268"/>
      <c r="KPC576" s="268"/>
      <c r="KPD576" s="268"/>
      <c r="KPE576" s="268"/>
      <c r="KPF576" s="268"/>
      <c r="KPG576" s="268"/>
      <c r="KPH576" s="268"/>
      <c r="KPI576" s="268"/>
      <c r="KPJ576" s="268"/>
      <c r="KPK576" s="268"/>
      <c r="KPL576" s="268"/>
      <c r="KPM576" s="268"/>
      <c r="KPN576" s="268"/>
      <c r="KPO576" s="268"/>
      <c r="KPP576" s="268"/>
      <c r="KPQ576" s="268"/>
      <c r="KPR576" s="268"/>
      <c r="KPS576" s="268"/>
      <c r="KPT576" s="268"/>
      <c r="KPU576" s="268"/>
      <c r="KPV576" s="268"/>
      <c r="KPW576" s="268"/>
      <c r="KPX576" s="268"/>
      <c r="KPY576" s="268"/>
      <c r="KPZ576" s="268"/>
      <c r="KQA576" s="268"/>
      <c r="KQB576" s="268"/>
      <c r="KQC576" s="268"/>
      <c r="KQD576" s="268"/>
      <c r="KQE576" s="268"/>
      <c r="KQF576" s="268"/>
      <c r="KQG576" s="268"/>
      <c r="KQH576" s="268"/>
      <c r="KQI576" s="268"/>
      <c r="KQJ576" s="268"/>
      <c r="KQK576" s="268"/>
      <c r="KQL576" s="268"/>
      <c r="KQM576" s="268"/>
      <c r="KQN576" s="268"/>
      <c r="KQO576" s="268"/>
      <c r="KQP576" s="268"/>
      <c r="KQQ576" s="268"/>
      <c r="KQR576" s="268"/>
      <c r="KQS576" s="268"/>
      <c r="KQT576" s="268"/>
      <c r="KQU576" s="268"/>
      <c r="KQV576" s="268"/>
      <c r="KQW576" s="268"/>
      <c r="KQX576" s="268"/>
      <c r="KQY576" s="268"/>
      <c r="KQZ576" s="268"/>
      <c r="KRA576" s="268"/>
      <c r="KRB576" s="268"/>
      <c r="KRC576" s="268"/>
      <c r="KRD576" s="268"/>
      <c r="KRE576" s="268"/>
      <c r="KRF576" s="268"/>
      <c r="KRG576" s="268"/>
      <c r="KRH576" s="268"/>
      <c r="KRI576" s="268"/>
      <c r="KRJ576" s="268"/>
      <c r="KRK576" s="268"/>
      <c r="KRL576" s="268"/>
      <c r="KRM576" s="268"/>
      <c r="KRN576" s="268"/>
      <c r="KRO576" s="268"/>
      <c r="KRP576" s="268"/>
      <c r="KRQ576" s="268"/>
      <c r="KRR576" s="268"/>
      <c r="KRS576" s="268"/>
      <c r="KRT576" s="268"/>
      <c r="KRU576" s="268"/>
      <c r="KRV576" s="268"/>
      <c r="KRW576" s="268"/>
      <c r="KSK576" s="268"/>
      <c r="KSL576" s="268"/>
      <c r="KSM576" s="268"/>
      <c r="KTA576" s="268"/>
      <c r="KTC576" s="268"/>
      <c r="KTD576" s="268"/>
      <c r="KTE576" s="268"/>
      <c r="KTF576" s="268"/>
      <c r="KTG576" s="268"/>
      <c r="KTH576" s="268"/>
      <c r="KTI576" s="268"/>
      <c r="KTJ576" s="268"/>
      <c r="KTK576" s="268"/>
      <c r="KTL576" s="268"/>
      <c r="KTM576" s="268"/>
      <c r="KTN576" s="268"/>
      <c r="KTO576" s="268"/>
      <c r="KTP576" s="268"/>
      <c r="KTQ576" s="268"/>
      <c r="KTR576" s="268"/>
      <c r="KTS576" s="268"/>
      <c r="KTT576" s="268"/>
      <c r="KTU576" s="268"/>
      <c r="KTV576" s="268"/>
      <c r="KTW576" s="268"/>
      <c r="KTX576" s="268"/>
      <c r="KTY576" s="268"/>
      <c r="KTZ576" s="268"/>
      <c r="KUA576" s="268"/>
      <c r="KUB576" s="268"/>
      <c r="KUC576" s="268"/>
      <c r="KUD576" s="268"/>
      <c r="KUE576" s="268"/>
      <c r="KUF576" s="268"/>
      <c r="KUG576" s="268"/>
      <c r="KUH576" s="268"/>
      <c r="KUI576" s="268"/>
      <c r="KUJ576" s="268"/>
      <c r="KUK576" s="268"/>
      <c r="KUL576" s="268"/>
      <c r="KUM576" s="268"/>
      <c r="KUN576" s="268"/>
      <c r="KUO576" s="268"/>
      <c r="KUP576" s="268"/>
      <c r="KUQ576" s="268"/>
      <c r="KUR576" s="268"/>
      <c r="KUS576" s="268"/>
      <c r="KUT576" s="268"/>
      <c r="KUU576" s="268"/>
      <c r="KUV576" s="268"/>
      <c r="KUW576" s="268"/>
      <c r="KUX576" s="268"/>
      <c r="KUY576" s="268"/>
      <c r="KUZ576" s="268"/>
      <c r="KVA576" s="268"/>
      <c r="KVB576" s="268"/>
      <c r="KVC576" s="268"/>
      <c r="KVD576" s="268"/>
      <c r="KVE576" s="268"/>
      <c r="KVF576" s="268"/>
      <c r="KVG576" s="268"/>
      <c r="KVH576" s="268"/>
      <c r="KVI576" s="268"/>
      <c r="KVJ576" s="268"/>
      <c r="KVK576" s="268"/>
      <c r="KVL576" s="268"/>
      <c r="KVM576" s="268"/>
      <c r="KVN576" s="268"/>
      <c r="KVO576" s="268"/>
      <c r="KVP576" s="268"/>
      <c r="KVQ576" s="268"/>
      <c r="KVR576" s="268"/>
      <c r="KVS576" s="268"/>
      <c r="KVT576" s="268"/>
      <c r="KVU576" s="268"/>
      <c r="KVV576" s="268"/>
      <c r="KVW576" s="268"/>
      <c r="KVX576" s="268"/>
      <c r="KVY576" s="268"/>
      <c r="KVZ576" s="268"/>
      <c r="KWA576" s="268"/>
      <c r="KWB576" s="268"/>
      <c r="KWC576" s="268"/>
      <c r="KWD576" s="268"/>
      <c r="KWE576" s="268"/>
      <c r="KWF576" s="268"/>
      <c r="KWG576" s="268"/>
      <c r="KWH576" s="268"/>
      <c r="KWI576" s="268"/>
      <c r="KWJ576" s="268"/>
      <c r="KWK576" s="268"/>
      <c r="KWL576" s="268"/>
      <c r="KWM576" s="268"/>
      <c r="KWN576" s="268"/>
      <c r="KWO576" s="268"/>
      <c r="KWP576" s="268"/>
      <c r="KWQ576" s="268"/>
      <c r="KWR576" s="268"/>
      <c r="KWS576" s="268"/>
      <c r="KWT576" s="268"/>
      <c r="KWU576" s="268"/>
      <c r="KWV576" s="268"/>
      <c r="KWW576" s="268"/>
      <c r="KWX576" s="268"/>
      <c r="KWY576" s="268"/>
      <c r="KWZ576" s="268"/>
      <c r="KXA576" s="268"/>
      <c r="KXB576" s="268"/>
      <c r="KXC576" s="268"/>
      <c r="KXD576" s="268"/>
      <c r="KXE576" s="268"/>
      <c r="KXF576" s="268"/>
      <c r="KXG576" s="268"/>
      <c r="KXH576" s="268"/>
      <c r="KXI576" s="268"/>
      <c r="KXJ576" s="268"/>
      <c r="KXK576" s="268"/>
      <c r="KXL576" s="268"/>
      <c r="KXM576" s="268"/>
      <c r="KXN576" s="268"/>
      <c r="KXO576" s="268"/>
      <c r="KXP576" s="268"/>
      <c r="KXQ576" s="268"/>
      <c r="KXR576" s="268"/>
      <c r="KXS576" s="268"/>
      <c r="KXT576" s="268"/>
      <c r="KXU576" s="268"/>
      <c r="KXV576" s="268"/>
      <c r="KXW576" s="268"/>
      <c r="KXX576" s="268"/>
      <c r="KXY576" s="268"/>
      <c r="KXZ576" s="268"/>
      <c r="KYA576" s="268"/>
      <c r="KYB576" s="268"/>
      <c r="KYC576" s="268"/>
      <c r="KYD576" s="268"/>
      <c r="KYE576" s="268"/>
      <c r="KYF576" s="268"/>
      <c r="KYG576" s="268"/>
      <c r="KYH576" s="268"/>
      <c r="KYI576" s="268"/>
      <c r="KYJ576" s="268"/>
      <c r="KYK576" s="268"/>
      <c r="KYL576" s="268"/>
      <c r="KYM576" s="268"/>
      <c r="KYN576" s="268"/>
      <c r="KYO576" s="268"/>
      <c r="KYP576" s="268"/>
      <c r="KYQ576" s="268"/>
      <c r="KYR576" s="268"/>
      <c r="KYS576" s="268"/>
      <c r="KYT576" s="268"/>
      <c r="KYU576" s="268"/>
      <c r="KYV576" s="268"/>
      <c r="KYW576" s="268"/>
      <c r="KYX576" s="268"/>
      <c r="KYY576" s="268"/>
      <c r="KYZ576" s="268"/>
      <c r="KZA576" s="268"/>
      <c r="KZB576" s="268"/>
      <c r="KZC576" s="268"/>
      <c r="KZD576" s="268"/>
      <c r="KZE576" s="268"/>
      <c r="KZF576" s="268"/>
      <c r="KZG576" s="268"/>
      <c r="KZH576" s="268"/>
      <c r="KZI576" s="268"/>
      <c r="KZJ576" s="268"/>
      <c r="KZK576" s="268"/>
      <c r="KZL576" s="268"/>
      <c r="KZM576" s="268"/>
      <c r="KZN576" s="268"/>
      <c r="KZO576" s="268"/>
      <c r="KZP576" s="268"/>
      <c r="KZQ576" s="268"/>
      <c r="KZR576" s="268"/>
      <c r="KZS576" s="268"/>
      <c r="KZT576" s="268"/>
      <c r="KZU576" s="268"/>
      <c r="KZV576" s="268"/>
      <c r="KZW576" s="268"/>
      <c r="KZX576" s="268"/>
      <c r="KZY576" s="268"/>
      <c r="KZZ576" s="268"/>
      <c r="LAA576" s="268"/>
      <c r="LAB576" s="268"/>
      <c r="LAC576" s="268"/>
      <c r="LAD576" s="268"/>
      <c r="LAE576" s="268"/>
      <c r="LAF576" s="268"/>
      <c r="LAG576" s="268"/>
      <c r="LAH576" s="268"/>
      <c r="LAI576" s="268"/>
      <c r="LAJ576" s="268"/>
      <c r="LAK576" s="268"/>
      <c r="LAL576" s="268"/>
      <c r="LAM576" s="268"/>
      <c r="LAN576" s="268"/>
      <c r="LAO576" s="268"/>
      <c r="LAP576" s="268"/>
      <c r="LAQ576" s="268"/>
      <c r="LAR576" s="268"/>
      <c r="LAS576" s="268"/>
      <c r="LAT576" s="268"/>
      <c r="LAU576" s="268"/>
      <c r="LAV576" s="268"/>
      <c r="LAW576" s="268"/>
      <c r="LAX576" s="268"/>
      <c r="LAY576" s="268"/>
      <c r="LAZ576" s="268"/>
      <c r="LBA576" s="268"/>
      <c r="LBB576" s="268"/>
      <c r="LBC576" s="268"/>
      <c r="LBD576" s="268"/>
      <c r="LBE576" s="268"/>
      <c r="LBF576" s="268"/>
      <c r="LBG576" s="268"/>
      <c r="LBH576" s="268"/>
      <c r="LBI576" s="268"/>
      <c r="LBJ576" s="268"/>
      <c r="LBK576" s="268"/>
      <c r="LBL576" s="268"/>
      <c r="LBM576" s="268"/>
      <c r="LBN576" s="268"/>
      <c r="LBO576" s="268"/>
      <c r="LBP576" s="268"/>
      <c r="LBQ576" s="268"/>
      <c r="LBR576" s="268"/>
      <c r="LBS576" s="268"/>
      <c r="LCG576" s="268"/>
      <c r="LCH576" s="268"/>
      <c r="LCI576" s="268"/>
      <c r="LCW576" s="268"/>
      <c r="LCY576" s="268"/>
      <c r="LCZ576" s="268"/>
      <c r="LDA576" s="268"/>
      <c r="LDB576" s="268"/>
      <c r="LDC576" s="268"/>
      <c r="LDD576" s="268"/>
      <c r="LDE576" s="268"/>
      <c r="LDF576" s="268"/>
      <c r="LDG576" s="268"/>
      <c r="LDH576" s="268"/>
      <c r="LDI576" s="268"/>
      <c r="LDJ576" s="268"/>
      <c r="LDK576" s="268"/>
      <c r="LDL576" s="268"/>
      <c r="LDM576" s="268"/>
      <c r="LDN576" s="268"/>
      <c r="LDO576" s="268"/>
      <c r="LDP576" s="268"/>
      <c r="LDQ576" s="268"/>
      <c r="LDR576" s="268"/>
      <c r="LDS576" s="268"/>
      <c r="LDT576" s="268"/>
      <c r="LDU576" s="268"/>
      <c r="LDV576" s="268"/>
      <c r="LDW576" s="268"/>
      <c r="LDX576" s="268"/>
      <c r="LDY576" s="268"/>
      <c r="LDZ576" s="268"/>
      <c r="LEA576" s="268"/>
      <c r="LEB576" s="268"/>
      <c r="LEC576" s="268"/>
      <c r="LED576" s="268"/>
      <c r="LEE576" s="268"/>
      <c r="LEF576" s="268"/>
      <c r="LEG576" s="268"/>
      <c r="LEH576" s="268"/>
      <c r="LEI576" s="268"/>
      <c r="LEJ576" s="268"/>
      <c r="LEK576" s="268"/>
      <c r="LEL576" s="268"/>
      <c r="LEM576" s="268"/>
      <c r="LEN576" s="268"/>
      <c r="LEO576" s="268"/>
      <c r="LEP576" s="268"/>
      <c r="LEQ576" s="268"/>
      <c r="LER576" s="268"/>
      <c r="LES576" s="268"/>
      <c r="LET576" s="268"/>
      <c r="LEU576" s="268"/>
      <c r="LEV576" s="268"/>
      <c r="LEW576" s="268"/>
      <c r="LEX576" s="268"/>
      <c r="LEY576" s="268"/>
      <c r="LEZ576" s="268"/>
      <c r="LFA576" s="268"/>
      <c r="LFB576" s="268"/>
      <c r="LFC576" s="268"/>
      <c r="LFD576" s="268"/>
      <c r="LFE576" s="268"/>
      <c r="LFF576" s="268"/>
      <c r="LFG576" s="268"/>
      <c r="LFH576" s="268"/>
      <c r="LFI576" s="268"/>
      <c r="LFJ576" s="268"/>
      <c r="LFK576" s="268"/>
      <c r="LFL576" s="268"/>
      <c r="LFM576" s="268"/>
      <c r="LFN576" s="268"/>
      <c r="LFO576" s="268"/>
      <c r="LFP576" s="268"/>
      <c r="LFQ576" s="268"/>
      <c r="LFR576" s="268"/>
      <c r="LFS576" s="268"/>
      <c r="LFT576" s="268"/>
      <c r="LFU576" s="268"/>
      <c r="LFV576" s="268"/>
      <c r="LFW576" s="268"/>
      <c r="LFX576" s="268"/>
      <c r="LFY576" s="268"/>
      <c r="LFZ576" s="268"/>
      <c r="LGA576" s="268"/>
      <c r="LGB576" s="268"/>
      <c r="LGC576" s="268"/>
      <c r="LGD576" s="268"/>
      <c r="LGE576" s="268"/>
      <c r="LGF576" s="268"/>
      <c r="LGG576" s="268"/>
      <c r="LGH576" s="268"/>
      <c r="LGI576" s="268"/>
      <c r="LGJ576" s="268"/>
      <c r="LGK576" s="268"/>
      <c r="LGL576" s="268"/>
      <c r="LGM576" s="268"/>
      <c r="LGN576" s="268"/>
      <c r="LGO576" s="268"/>
      <c r="LGP576" s="268"/>
      <c r="LGQ576" s="268"/>
      <c r="LGR576" s="268"/>
      <c r="LGS576" s="268"/>
      <c r="LGT576" s="268"/>
      <c r="LGU576" s="268"/>
      <c r="LGV576" s="268"/>
      <c r="LGW576" s="268"/>
      <c r="LGX576" s="268"/>
      <c r="LGY576" s="268"/>
      <c r="LGZ576" s="268"/>
      <c r="LHA576" s="268"/>
      <c r="LHB576" s="268"/>
      <c r="LHC576" s="268"/>
      <c r="LHD576" s="268"/>
      <c r="LHE576" s="268"/>
      <c r="LHF576" s="268"/>
      <c r="LHG576" s="268"/>
      <c r="LHH576" s="268"/>
      <c r="LHI576" s="268"/>
      <c r="LHJ576" s="268"/>
      <c r="LHK576" s="268"/>
      <c r="LHL576" s="268"/>
      <c r="LHM576" s="268"/>
      <c r="LHN576" s="268"/>
      <c r="LHO576" s="268"/>
      <c r="LHP576" s="268"/>
      <c r="LHQ576" s="268"/>
      <c r="LHR576" s="268"/>
      <c r="LHS576" s="268"/>
      <c r="LHT576" s="268"/>
      <c r="LHU576" s="268"/>
      <c r="LHV576" s="268"/>
      <c r="LHW576" s="268"/>
      <c r="LHX576" s="268"/>
      <c r="LHY576" s="268"/>
      <c r="LHZ576" s="268"/>
      <c r="LIA576" s="268"/>
      <c r="LIB576" s="268"/>
      <c r="LIC576" s="268"/>
      <c r="LID576" s="268"/>
      <c r="LIE576" s="268"/>
      <c r="LIF576" s="268"/>
      <c r="LIG576" s="268"/>
      <c r="LIH576" s="268"/>
      <c r="LII576" s="268"/>
      <c r="LIJ576" s="268"/>
      <c r="LIK576" s="268"/>
      <c r="LIL576" s="268"/>
      <c r="LIM576" s="268"/>
      <c r="LIN576" s="268"/>
      <c r="LIO576" s="268"/>
      <c r="LIP576" s="268"/>
      <c r="LIQ576" s="268"/>
      <c r="LIR576" s="268"/>
      <c r="LIS576" s="268"/>
      <c r="LIT576" s="268"/>
      <c r="LIU576" s="268"/>
      <c r="LIV576" s="268"/>
      <c r="LIW576" s="268"/>
      <c r="LIX576" s="268"/>
      <c r="LIY576" s="268"/>
      <c r="LIZ576" s="268"/>
      <c r="LJA576" s="268"/>
      <c r="LJB576" s="268"/>
      <c r="LJC576" s="268"/>
      <c r="LJD576" s="268"/>
      <c r="LJE576" s="268"/>
      <c r="LJF576" s="268"/>
      <c r="LJG576" s="268"/>
      <c r="LJH576" s="268"/>
      <c r="LJI576" s="268"/>
      <c r="LJJ576" s="268"/>
      <c r="LJK576" s="268"/>
      <c r="LJL576" s="268"/>
      <c r="LJM576" s="268"/>
      <c r="LJN576" s="268"/>
      <c r="LJO576" s="268"/>
      <c r="LJP576" s="268"/>
      <c r="LJQ576" s="268"/>
      <c r="LJR576" s="268"/>
      <c r="LJS576" s="268"/>
      <c r="LJT576" s="268"/>
      <c r="LJU576" s="268"/>
      <c r="LJV576" s="268"/>
      <c r="LJW576" s="268"/>
      <c r="LJX576" s="268"/>
      <c r="LJY576" s="268"/>
      <c r="LJZ576" s="268"/>
      <c r="LKA576" s="268"/>
      <c r="LKB576" s="268"/>
      <c r="LKC576" s="268"/>
      <c r="LKD576" s="268"/>
      <c r="LKE576" s="268"/>
      <c r="LKF576" s="268"/>
      <c r="LKG576" s="268"/>
      <c r="LKH576" s="268"/>
      <c r="LKI576" s="268"/>
      <c r="LKJ576" s="268"/>
      <c r="LKK576" s="268"/>
      <c r="LKL576" s="268"/>
      <c r="LKM576" s="268"/>
      <c r="LKN576" s="268"/>
      <c r="LKO576" s="268"/>
      <c r="LKP576" s="268"/>
      <c r="LKQ576" s="268"/>
      <c r="LKR576" s="268"/>
      <c r="LKS576" s="268"/>
      <c r="LKT576" s="268"/>
      <c r="LKU576" s="268"/>
      <c r="LKV576" s="268"/>
      <c r="LKW576" s="268"/>
      <c r="LKX576" s="268"/>
      <c r="LKY576" s="268"/>
      <c r="LKZ576" s="268"/>
      <c r="LLA576" s="268"/>
      <c r="LLB576" s="268"/>
      <c r="LLC576" s="268"/>
      <c r="LLD576" s="268"/>
      <c r="LLE576" s="268"/>
      <c r="LLF576" s="268"/>
      <c r="LLG576" s="268"/>
      <c r="LLH576" s="268"/>
      <c r="LLI576" s="268"/>
      <c r="LLJ576" s="268"/>
      <c r="LLK576" s="268"/>
      <c r="LLL576" s="268"/>
      <c r="LLM576" s="268"/>
      <c r="LLN576" s="268"/>
      <c r="LLO576" s="268"/>
      <c r="LMC576" s="268"/>
      <c r="LMD576" s="268"/>
      <c r="LME576" s="268"/>
      <c r="LMS576" s="268"/>
      <c r="LMU576" s="268"/>
      <c r="LMV576" s="268"/>
      <c r="LMW576" s="268"/>
      <c r="LMX576" s="268"/>
      <c r="LMY576" s="268"/>
      <c r="LMZ576" s="268"/>
      <c r="LNA576" s="268"/>
      <c r="LNB576" s="268"/>
      <c r="LNC576" s="268"/>
      <c r="LND576" s="268"/>
      <c r="LNE576" s="268"/>
      <c r="LNF576" s="268"/>
      <c r="LNG576" s="268"/>
      <c r="LNH576" s="268"/>
      <c r="LNI576" s="268"/>
      <c r="LNJ576" s="268"/>
      <c r="LNK576" s="268"/>
      <c r="LNL576" s="268"/>
      <c r="LNM576" s="268"/>
      <c r="LNN576" s="268"/>
      <c r="LNO576" s="268"/>
      <c r="LNP576" s="268"/>
      <c r="LNQ576" s="268"/>
      <c r="LNR576" s="268"/>
      <c r="LNS576" s="268"/>
      <c r="LNT576" s="268"/>
      <c r="LNU576" s="268"/>
      <c r="LNV576" s="268"/>
      <c r="LNW576" s="268"/>
      <c r="LNX576" s="268"/>
      <c r="LNY576" s="268"/>
      <c r="LNZ576" s="268"/>
      <c r="LOA576" s="268"/>
      <c r="LOB576" s="268"/>
      <c r="LOC576" s="268"/>
      <c r="LOD576" s="268"/>
      <c r="LOE576" s="268"/>
      <c r="LOF576" s="268"/>
      <c r="LOG576" s="268"/>
      <c r="LOH576" s="268"/>
      <c r="LOI576" s="268"/>
      <c r="LOJ576" s="268"/>
      <c r="LOK576" s="268"/>
      <c r="LOL576" s="268"/>
      <c r="LOM576" s="268"/>
      <c r="LON576" s="268"/>
      <c r="LOO576" s="268"/>
      <c r="LOP576" s="268"/>
      <c r="LOQ576" s="268"/>
      <c r="LOR576" s="268"/>
      <c r="LOS576" s="268"/>
      <c r="LOT576" s="268"/>
      <c r="LOU576" s="268"/>
      <c r="LOV576" s="268"/>
      <c r="LOW576" s="268"/>
      <c r="LOX576" s="268"/>
      <c r="LOY576" s="268"/>
      <c r="LOZ576" s="268"/>
      <c r="LPA576" s="268"/>
      <c r="LPB576" s="268"/>
      <c r="LPC576" s="268"/>
      <c r="LPD576" s="268"/>
      <c r="LPE576" s="268"/>
      <c r="LPF576" s="268"/>
      <c r="LPG576" s="268"/>
      <c r="LPH576" s="268"/>
      <c r="LPI576" s="268"/>
      <c r="LPJ576" s="268"/>
      <c r="LPK576" s="268"/>
      <c r="LPL576" s="268"/>
      <c r="LPM576" s="268"/>
      <c r="LPN576" s="268"/>
      <c r="LPO576" s="268"/>
      <c r="LPP576" s="268"/>
      <c r="LPQ576" s="268"/>
      <c r="LPR576" s="268"/>
      <c r="LPS576" s="268"/>
      <c r="LPT576" s="268"/>
      <c r="LPU576" s="268"/>
      <c r="LPV576" s="268"/>
      <c r="LPW576" s="268"/>
      <c r="LPX576" s="268"/>
      <c r="LPY576" s="268"/>
      <c r="LPZ576" s="268"/>
      <c r="LQA576" s="268"/>
      <c r="LQB576" s="268"/>
      <c r="LQC576" s="268"/>
      <c r="LQD576" s="268"/>
      <c r="LQE576" s="268"/>
      <c r="LQF576" s="268"/>
      <c r="LQG576" s="268"/>
      <c r="LQH576" s="268"/>
      <c r="LQI576" s="268"/>
      <c r="LQJ576" s="268"/>
      <c r="LQK576" s="268"/>
      <c r="LQL576" s="268"/>
      <c r="LQM576" s="268"/>
      <c r="LQN576" s="268"/>
      <c r="LQO576" s="268"/>
      <c r="LQP576" s="268"/>
      <c r="LQQ576" s="268"/>
      <c r="LQR576" s="268"/>
      <c r="LQS576" s="268"/>
      <c r="LQT576" s="268"/>
      <c r="LQU576" s="268"/>
      <c r="LQV576" s="268"/>
      <c r="LQW576" s="268"/>
      <c r="LQX576" s="268"/>
      <c r="LQY576" s="268"/>
      <c r="LQZ576" s="268"/>
      <c r="LRA576" s="268"/>
      <c r="LRB576" s="268"/>
      <c r="LRC576" s="268"/>
      <c r="LRD576" s="268"/>
      <c r="LRE576" s="268"/>
      <c r="LRF576" s="268"/>
      <c r="LRG576" s="268"/>
      <c r="LRH576" s="268"/>
      <c r="LRI576" s="268"/>
      <c r="LRJ576" s="268"/>
      <c r="LRK576" s="268"/>
      <c r="LRL576" s="268"/>
      <c r="LRM576" s="268"/>
      <c r="LRN576" s="268"/>
      <c r="LRO576" s="268"/>
      <c r="LRP576" s="268"/>
      <c r="LRQ576" s="268"/>
      <c r="LRR576" s="268"/>
      <c r="LRS576" s="268"/>
      <c r="LRT576" s="268"/>
      <c r="LRU576" s="268"/>
      <c r="LRV576" s="268"/>
      <c r="LRW576" s="268"/>
      <c r="LRX576" s="268"/>
      <c r="LRY576" s="268"/>
      <c r="LRZ576" s="268"/>
      <c r="LSA576" s="268"/>
      <c r="LSB576" s="268"/>
      <c r="LSC576" s="268"/>
      <c r="LSD576" s="268"/>
      <c r="LSE576" s="268"/>
      <c r="LSF576" s="268"/>
      <c r="LSG576" s="268"/>
      <c r="LSH576" s="268"/>
      <c r="LSI576" s="268"/>
      <c r="LSJ576" s="268"/>
      <c r="LSK576" s="268"/>
      <c r="LSL576" s="268"/>
      <c r="LSM576" s="268"/>
      <c r="LSN576" s="268"/>
      <c r="LSO576" s="268"/>
      <c r="LSP576" s="268"/>
      <c r="LSQ576" s="268"/>
      <c r="LSR576" s="268"/>
      <c r="LSS576" s="268"/>
      <c r="LST576" s="268"/>
      <c r="LSU576" s="268"/>
      <c r="LSV576" s="268"/>
      <c r="LSW576" s="268"/>
      <c r="LSX576" s="268"/>
      <c r="LSY576" s="268"/>
      <c r="LSZ576" s="268"/>
      <c r="LTA576" s="268"/>
      <c r="LTB576" s="268"/>
      <c r="LTC576" s="268"/>
      <c r="LTD576" s="268"/>
      <c r="LTE576" s="268"/>
      <c r="LTF576" s="268"/>
      <c r="LTG576" s="268"/>
      <c r="LTH576" s="268"/>
      <c r="LTI576" s="268"/>
      <c r="LTJ576" s="268"/>
      <c r="LTK576" s="268"/>
      <c r="LTL576" s="268"/>
      <c r="LTM576" s="268"/>
      <c r="LTN576" s="268"/>
      <c r="LTO576" s="268"/>
      <c r="LTP576" s="268"/>
      <c r="LTQ576" s="268"/>
      <c r="LTR576" s="268"/>
      <c r="LTS576" s="268"/>
      <c r="LTT576" s="268"/>
      <c r="LTU576" s="268"/>
      <c r="LTV576" s="268"/>
      <c r="LTW576" s="268"/>
      <c r="LTX576" s="268"/>
      <c r="LTY576" s="268"/>
      <c r="LTZ576" s="268"/>
      <c r="LUA576" s="268"/>
      <c r="LUB576" s="268"/>
      <c r="LUC576" s="268"/>
      <c r="LUD576" s="268"/>
      <c r="LUE576" s="268"/>
      <c r="LUF576" s="268"/>
      <c r="LUG576" s="268"/>
      <c r="LUH576" s="268"/>
      <c r="LUI576" s="268"/>
      <c r="LUJ576" s="268"/>
      <c r="LUK576" s="268"/>
      <c r="LUL576" s="268"/>
      <c r="LUM576" s="268"/>
      <c r="LUN576" s="268"/>
      <c r="LUO576" s="268"/>
      <c r="LUP576" s="268"/>
      <c r="LUQ576" s="268"/>
      <c r="LUR576" s="268"/>
      <c r="LUS576" s="268"/>
      <c r="LUT576" s="268"/>
      <c r="LUU576" s="268"/>
      <c r="LUV576" s="268"/>
      <c r="LUW576" s="268"/>
      <c r="LUX576" s="268"/>
      <c r="LUY576" s="268"/>
      <c r="LUZ576" s="268"/>
      <c r="LVA576" s="268"/>
      <c r="LVB576" s="268"/>
      <c r="LVC576" s="268"/>
      <c r="LVD576" s="268"/>
      <c r="LVE576" s="268"/>
      <c r="LVF576" s="268"/>
      <c r="LVG576" s="268"/>
      <c r="LVH576" s="268"/>
      <c r="LVI576" s="268"/>
      <c r="LVJ576" s="268"/>
      <c r="LVK576" s="268"/>
      <c r="LVY576" s="268"/>
      <c r="LVZ576" s="268"/>
      <c r="LWA576" s="268"/>
      <c r="LWO576" s="268"/>
      <c r="LWQ576" s="268"/>
      <c r="LWR576" s="268"/>
      <c r="LWS576" s="268"/>
      <c r="LWT576" s="268"/>
      <c r="LWU576" s="268"/>
      <c r="LWV576" s="268"/>
      <c r="LWW576" s="268"/>
      <c r="LWX576" s="268"/>
      <c r="LWY576" s="268"/>
      <c r="LWZ576" s="268"/>
      <c r="LXA576" s="268"/>
      <c r="LXB576" s="268"/>
      <c r="LXC576" s="268"/>
      <c r="LXD576" s="268"/>
      <c r="LXE576" s="268"/>
      <c r="LXF576" s="268"/>
      <c r="LXG576" s="268"/>
      <c r="LXH576" s="268"/>
      <c r="LXI576" s="268"/>
      <c r="LXJ576" s="268"/>
      <c r="LXK576" s="268"/>
      <c r="LXL576" s="268"/>
      <c r="LXM576" s="268"/>
      <c r="LXN576" s="268"/>
      <c r="LXO576" s="268"/>
      <c r="LXP576" s="268"/>
      <c r="LXQ576" s="268"/>
      <c r="LXR576" s="268"/>
      <c r="LXS576" s="268"/>
      <c r="LXT576" s="268"/>
      <c r="LXU576" s="268"/>
      <c r="LXV576" s="268"/>
      <c r="LXW576" s="268"/>
      <c r="LXX576" s="268"/>
      <c r="LXY576" s="268"/>
      <c r="LXZ576" s="268"/>
      <c r="LYA576" s="268"/>
      <c r="LYB576" s="268"/>
      <c r="LYC576" s="268"/>
      <c r="LYD576" s="268"/>
      <c r="LYE576" s="268"/>
      <c r="LYF576" s="268"/>
      <c r="LYG576" s="268"/>
      <c r="LYH576" s="268"/>
      <c r="LYI576" s="268"/>
      <c r="LYJ576" s="268"/>
      <c r="LYK576" s="268"/>
      <c r="LYL576" s="268"/>
      <c r="LYM576" s="268"/>
      <c r="LYN576" s="268"/>
      <c r="LYO576" s="268"/>
      <c r="LYP576" s="268"/>
      <c r="LYQ576" s="268"/>
      <c r="LYR576" s="268"/>
      <c r="LYS576" s="268"/>
      <c r="LYT576" s="268"/>
      <c r="LYU576" s="268"/>
      <c r="LYV576" s="268"/>
      <c r="LYW576" s="268"/>
      <c r="LYX576" s="268"/>
      <c r="LYY576" s="268"/>
      <c r="LYZ576" s="268"/>
      <c r="LZA576" s="268"/>
      <c r="LZB576" s="268"/>
      <c r="LZC576" s="268"/>
      <c r="LZD576" s="268"/>
      <c r="LZE576" s="268"/>
      <c r="LZF576" s="268"/>
      <c r="LZG576" s="268"/>
      <c r="LZH576" s="268"/>
      <c r="LZI576" s="268"/>
      <c r="LZJ576" s="268"/>
      <c r="LZK576" s="268"/>
      <c r="LZL576" s="268"/>
      <c r="LZM576" s="268"/>
      <c r="LZN576" s="268"/>
      <c r="LZO576" s="268"/>
      <c r="LZP576" s="268"/>
      <c r="LZQ576" s="268"/>
      <c r="LZR576" s="268"/>
      <c r="LZS576" s="268"/>
      <c r="LZT576" s="268"/>
      <c r="LZU576" s="268"/>
      <c r="LZV576" s="268"/>
      <c r="LZW576" s="268"/>
      <c r="LZX576" s="268"/>
      <c r="LZY576" s="268"/>
      <c r="LZZ576" s="268"/>
      <c r="MAA576" s="268"/>
      <c r="MAB576" s="268"/>
      <c r="MAC576" s="268"/>
      <c r="MAD576" s="268"/>
      <c r="MAE576" s="268"/>
      <c r="MAF576" s="268"/>
      <c r="MAG576" s="268"/>
      <c r="MAH576" s="268"/>
      <c r="MAI576" s="268"/>
      <c r="MAJ576" s="268"/>
      <c r="MAK576" s="268"/>
      <c r="MAL576" s="268"/>
      <c r="MAM576" s="268"/>
      <c r="MAN576" s="268"/>
      <c r="MAO576" s="268"/>
      <c r="MAP576" s="268"/>
      <c r="MAQ576" s="268"/>
      <c r="MAR576" s="268"/>
      <c r="MAS576" s="268"/>
      <c r="MAT576" s="268"/>
      <c r="MAU576" s="268"/>
      <c r="MAV576" s="268"/>
      <c r="MAW576" s="268"/>
      <c r="MAX576" s="268"/>
      <c r="MAY576" s="268"/>
      <c r="MAZ576" s="268"/>
      <c r="MBA576" s="268"/>
      <c r="MBB576" s="268"/>
      <c r="MBC576" s="268"/>
      <c r="MBD576" s="268"/>
      <c r="MBE576" s="268"/>
      <c r="MBF576" s="268"/>
      <c r="MBG576" s="268"/>
      <c r="MBH576" s="268"/>
      <c r="MBI576" s="268"/>
      <c r="MBJ576" s="268"/>
      <c r="MBK576" s="268"/>
      <c r="MBL576" s="268"/>
      <c r="MBM576" s="268"/>
      <c r="MBN576" s="268"/>
      <c r="MBO576" s="268"/>
      <c r="MBP576" s="268"/>
      <c r="MBQ576" s="268"/>
      <c r="MBR576" s="268"/>
      <c r="MBS576" s="268"/>
      <c r="MBT576" s="268"/>
      <c r="MBU576" s="268"/>
      <c r="MBV576" s="268"/>
      <c r="MBW576" s="268"/>
      <c r="MBX576" s="268"/>
      <c r="MBY576" s="268"/>
      <c r="MBZ576" s="268"/>
      <c r="MCA576" s="268"/>
      <c r="MCB576" s="268"/>
      <c r="MCC576" s="268"/>
      <c r="MCD576" s="268"/>
      <c r="MCE576" s="268"/>
      <c r="MCF576" s="268"/>
      <c r="MCG576" s="268"/>
      <c r="MCH576" s="268"/>
      <c r="MCI576" s="268"/>
      <c r="MCJ576" s="268"/>
      <c r="MCK576" s="268"/>
      <c r="MCL576" s="268"/>
      <c r="MCM576" s="268"/>
      <c r="MCN576" s="268"/>
      <c r="MCO576" s="268"/>
      <c r="MCP576" s="268"/>
      <c r="MCQ576" s="268"/>
      <c r="MCR576" s="268"/>
      <c r="MCS576" s="268"/>
      <c r="MCT576" s="268"/>
      <c r="MCU576" s="268"/>
      <c r="MCV576" s="268"/>
      <c r="MCW576" s="268"/>
      <c r="MCX576" s="268"/>
      <c r="MCY576" s="268"/>
      <c r="MCZ576" s="268"/>
      <c r="MDA576" s="268"/>
      <c r="MDB576" s="268"/>
      <c r="MDC576" s="268"/>
      <c r="MDD576" s="268"/>
      <c r="MDE576" s="268"/>
      <c r="MDF576" s="268"/>
      <c r="MDG576" s="268"/>
      <c r="MDH576" s="268"/>
      <c r="MDI576" s="268"/>
      <c r="MDJ576" s="268"/>
      <c r="MDK576" s="268"/>
      <c r="MDL576" s="268"/>
      <c r="MDM576" s="268"/>
      <c r="MDN576" s="268"/>
      <c r="MDO576" s="268"/>
      <c r="MDP576" s="268"/>
      <c r="MDQ576" s="268"/>
      <c r="MDR576" s="268"/>
      <c r="MDS576" s="268"/>
      <c r="MDT576" s="268"/>
      <c r="MDU576" s="268"/>
      <c r="MDV576" s="268"/>
      <c r="MDW576" s="268"/>
      <c r="MDX576" s="268"/>
      <c r="MDY576" s="268"/>
      <c r="MDZ576" s="268"/>
      <c r="MEA576" s="268"/>
      <c r="MEB576" s="268"/>
      <c r="MEC576" s="268"/>
      <c r="MED576" s="268"/>
      <c r="MEE576" s="268"/>
      <c r="MEF576" s="268"/>
      <c r="MEG576" s="268"/>
      <c r="MEH576" s="268"/>
      <c r="MEI576" s="268"/>
      <c r="MEJ576" s="268"/>
      <c r="MEK576" s="268"/>
      <c r="MEL576" s="268"/>
      <c r="MEM576" s="268"/>
      <c r="MEN576" s="268"/>
      <c r="MEO576" s="268"/>
      <c r="MEP576" s="268"/>
      <c r="MEQ576" s="268"/>
      <c r="MER576" s="268"/>
      <c r="MES576" s="268"/>
      <c r="MET576" s="268"/>
      <c r="MEU576" s="268"/>
      <c r="MEV576" s="268"/>
      <c r="MEW576" s="268"/>
      <c r="MEX576" s="268"/>
      <c r="MEY576" s="268"/>
      <c r="MEZ576" s="268"/>
      <c r="MFA576" s="268"/>
      <c r="MFB576" s="268"/>
      <c r="MFC576" s="268"/>
      <c r="MFD576" s="268"/>
      <c r="MFE576" s="268"/>
      <c r="MFF576" s="268"/>
      <c r="MFG576" s="268"/>
      <c r="MFU576" s="268"/>
      <c r="MFV576" s="268"/>
      <c r="MFW576" s="268"/>
      <c r="MGK576" s="268"/>
      <c r="MGM576" s="268"/>
      <c r="MGN576" s="268"/>
      <c r="MGO576" s="268"/>
      <c r="MGP576" s="268"/>
      <c r="MGQ576" s="268"/>
      <c r="MGR576" s="268"/>
      <c r="MGS576" s="268"/>
      <c r="MGT576" s="268"/>
      <c r="MGU576" s="268"/>
      <c r="MGV576" s="268"/>
      <c r="MGW576" s="268"/>
      <c r="MGX576" s="268"/>
      <c r="MGY576" s="268"/>
      <c r="MGZ576" s="268"/>
      <c r="MHA576" s="268"/>
      <c r="MHB576" s="268"/>
      <c r="MHC576" s="268"/>
      <c r="MHD576" s="268"/>
      <c r="MHE576" s="268"/>
      <c r="MHF576" s="268"/>
      <c r="MHG576" s="268"/>
      <c r="MHH576" s="268"/>
      <c r="MHI576" s="268"/>
      <c r="MHJ576" s="268"/>
      <c r="MHK576" s="268"/>
      <c r="MHL576" s="268"/>
      <c r="MHM576" s="268"/>
      <c r="MHN576" s="268"/>
      <c r="MHO576" s="268"/>
      <c r="MHP576" s="268"/>
      <c r="MHQ576" s="268"/>
      <c r="MHR576" s="268"/>
      <c r="MHS576" s="268"/>
      <c r="MHT576" s="268"/>
      <c r="MHU576" s="268"/>
      <c r="MHV576" s="268"/>
      <c r="MHW576" s="268"/>
      <c r="MHX576" s="268"/>
      <c r="MHY576" s="268"/>
      <c r="MHZ576" s="268"/>
      <c r="MIA576" s="268"/>
      <c r="MIB576" s="268"/>
      <c r="MIC576" s="268"/>
      <c r="MID576" s="268"/>
      <c r="MIE576" s="268"/>
      <c r="MIF576" s="268"/>
      <c r="MIG576" s="268"/>
      <c r="MIH576" s="268"/>
      <c r="MII576" s="268"/>
      <c r="MIJ576" s="268"/>
      <c r="MIK576" s="268"/>
      <c r="MIL576" s="268"/>
      <c r="MIM576" s="268"/>
      <c r="MIN576" s="268"/>
      <c r="MIO576" s="268"/>
      <c r="MIP576" s="268"/>
      <c r="MIQ576" s="268"/>
      <c r="MIR576" s="268"/>
      <c r="MIS576" s="268"/>
      <c r="MIT576" s="268"/>
      <c r="MIU576" s="268"/>
      <c r="MIV576" s="268"/>
      <c r="MIW576" s="268"/>
      <c r="MIX576" s="268"/>
      <c r="MIY576" s="268"/>
      <c r="MIZ576" s="268"/>
      <c r="MJA576" s="268"/>
      <c r="MJB576" s="268"/>
      <c r="MJC576" s="268"/>
      <c r="MJD576" s="268"/>
      <c r="MJE576" s="268"/>
      <c r="MJF576" s="268"/>
      <c r="MJG576" s="268"/>
      <c r="MJH576" s="268"/>
      <c r="MJI576" s="268"/>
      <c r="MJJ576" s="268"/>
      <c r="MJK576" s="268"/>
      <c r="MJL576" s="268"/>
      <c r="MJM576" s="268"/>
      <c r="MJN576" s="268"/>
      <c r="MJO576" s="268"/>
      <c r="MJP576" s="268"/>
      <c r="MJQ576" s="268"/>
      <c r="MJR576" s="268"/>
      <c r="MJS576" s="268"/>
      <c r="MJT576" s="268"/>
      <c r="MJU576" s="268"/>
      <c r="MJV576" s="268"/>
      <c r="MJW576" s="268"/>
      <c r="MJX576" s="268"/>
      <c r="MJY576" s="268"/>
      <c r="MJZ576" s="268"/>
      <c r="MKA576" s="268"/>
      <c r="MKB576" s="268"/>
      <c r="MKC576" s="268"/>
      <c r="MKD576" s="268"/>
      <c r="MKE576" s="268"/>
      <c r="MKF576" s="268"/>
      <c r="MKG576" s="268"/>
      <c r="MKH576" s="268"/>
      <c r="MKI576" s="268"/>
      <c r="MKJ576" s="268"/>
      <c r="MKK576" s="268"/>
      <c r="MKL576" s="268"/>
      <c r="MKM576" s="268"/>
      <c r="MKN576" s="268"/>
      <c r="MKO576" s="268"/>
      <c r="MKP576" s="268"/>
      <c r="MKQ576" s="268"/>
      <c r="MKR576" s="268"/>
      <c r="MKS576" s="268"/>
      <c r="MKT576" s="268"/>
      <c r="MKU576" s="268"/>
      <c r="MKV576" s="268"/>
      <c r="MKW576" s="268"/>
      <c r="MKX576" s="268"/>
      <c r="MKY576" s="268"/>
      <c r="MKZ576" s="268"/>
      <c r="MLA576" s="268"/>
      <c r="MLB576" s="268"/>
      <c r="MLC576" s="268"/>
      <c r="MLD576" s="268"/>
      <c r="MLE576" s="268"/>
      <c r="MLF576" s="268"/>
      <c r="MLG576" s="268"/>
      <c r="MLH576" s="268"/>
      <c r="MLI576" s="268"/>
      <c r="MLJ576" s="268"/>
      <c r="MLK576" s="268"/>
      <c r="MLL576" s="268"/>
      <c r="MLM576" s="268"/>
      <c r="MLN576" s="268"/>
      <c r="MLO576" s="268"/>
      <c r="MLP576" s="268"/>
      <c r="MLQ576" s="268"/>
      <c r="MLR576" s="268"/>
      <c r="MLS576" s="268"/>
      <c r="MLT576" s="268"/>
      <c r="MLU576" s="268"/>
      <c r="MLV576" s="268"/>
      <c r="MLW576" s="268"/>
      <c r="MLX576" s="268"/>
      <c r="MLY576" s="268"/>
      <c r="MLZ576" s="268"/>
      <c r="MMA576" s="268"/>
      <c r="MMB576" s="268"/>
      <c r="MMC576" s="268"/>
      <c r="MMD576" s="268"/>
      <c r="MME576" s="268"/>
      <c r="MMF576" s="268"/>
      <c r="MMG576" s="268"/>
      <c r="MMH576" s="268"/>
      <c r="MMI576" s="268"/>
      <c r="MMJ576" s="268"/>
      <c r="MMK576" s="268"/>
      <c r="MML576" s="268"/>
      <c r="MMM576" s="268"/>
      <c r="MMN576" s="268"/>
      <c r="MMO576" s="268"/>
      <c r="MMP576" s="268"/>
      <c r="MMQ576" s="268"/>
      <c r="MMR576" s="268"/>
      <c r="MMS576" s="268"/>
      <c r="MMT576" s="268"/>
      <c r="MMU576" s="268"/>
      <c r="MMV576" s="268"/>
      <c r="MMW576" s="268"/>
      <c r="MMX576" s="268"/>
      <c r="MMY576" s="268"/>
      <c r="MMZ576" s="268"/>
      <c r="MNA576" s="268"/>
      <c r="MNB576" s="268"/>
      <c r="MNC576" s="268"/>
      <c r="MND576" s="268"/>
      <c r="MNE576" s="268"/>
      <c r="MNF576" s="268"/>
      <c r="MNG576" s="268"/>
      <c r="MNH576" s="268"/>
      <c r="MNI576" s="268"/>
      <c r="MNJ576" s="268"/>
      <c r="MNK576" s="268"/>
      <c r="MNL576" s="268"/>
      <c r="MNM576" s="268"/>
      <c r="MNN576" s="268"/>
      <c r="MNO576" s="268"/>
      <c r="MNP576" s="268"/>
      <c r="MNQ576" s="268"/>
      <c r="MNR576" s="268"/>
      <c r="MNS576" s="268"/>
      <c r="MNT576" s="268"/>
      <c r="MNU576" s="268"/>
      <c r="MNV576" s="268"/>
      <c r="MNW576" s="268"/>
      <c r="MNX576" s="268"/>
      <c r="MNY576" s="268"/>
      <c r="MNZ576" s="268"/>
      <c r="MOA576" s="268"/>
      <c r="MOB576" s="268"/>
      <c r="MOC576" s="268"/>
      <c r="MOD576" s="268"/>
      <c r="MOE576" s="268"/>
      <c r="MOF576" s="268"/>
      <c r="MOG576" s="268"/>
      <c r="MOH576" s="268"/>
      <c r="MOI576" s="268"/>
      <c r="MOJ576" s="268"/>
      <c r="MOK576" s="268"/>
      <c r="MOL576" s="268"/>
      <c r="MOM576" s="268"/>
      <c r="MON576" s="268"/>
      <c r="MOO576" s="268"/>
      <c r="MOP576" s="268"/>
      <c r="MOQ576" s="268"/>
      <c r="MOR576" s="268"/>
      <c r="MOS576" s="268"/>
      <c r="MOT576" s="268"/>
      <c r="MOU576" s="268"/>
      <c r="MOV576" s="268"/>
      <c r="MOW576" s="268"/>
      <c r="MOX576" s="268"/>
      <c r="MOY576" s="268"/>
      <c r="MOZ576" s="268"/>
      <c r="MPA576" s="268"/>
      <c r="MPB576" s="268"/>
      <c r="MPC576" s="268"/>
      <c r="MPQ576" s="268"/>
      <c r="MPR576" s="268"/>
      <c r="MPS576" s="268"/>
      <c r="MQG576" s="268"/>
      <c r="MQI576" s="268"/>
      <c r="MQJ576" s="268"/>
      <c r="MQK576" s="268"/>
      <c r="MQL576" s="268"/>
      <c r="MQM576" s="268"/>
      <c r="MQN576" s="268"/>
      <c r="MQO576" s="268"/>
      <c r="MQP576" s="268"/>
      <c r="MQQ576" s="268"/>
      <c r="MQR576" s="268"/>
      <c r="MQS576" s="268"/>
      <c r="MQT576" s="268"/>
      <c r="MQU576" s="268"/>
      <c r="MQV576" s="268"/>
      <c r="MQW576" s="268"/>
      <c r="MQX576" s="268"/>
      <c r="MQY576" s="268"/>
      <c r="MQZ576" s="268"/>
      <c r="MRA576" s="268"/>
      <c r="MRB576" s="268"/>
      <c r="MRC576" s="268"/>
      <c r="MRD576" s="268"/>
      <c r="MRE576" s="268"/>
      <c r="MRF576" s="268"/>
      <c r="MRG576" s="268"/>
      <c r="MRH576" s="268"/>
      <c r="MRI576" s="268"/>
      <c r="MRJ576" s="268"/>
      <c r="MRK576" s="268"/>
      <c r="MRL576" s="268"/>
      <c r="MRM576" s="268"/>
      <c r="MRN576" s="268"/>
      <c r="MRO576" s="268"/>
      <c r="MRP576" s="268"/>
      <c r="MRQ576" s="268"/>
      <c r="MRR576" s="268"/>
      <c r="MRS576" s="268"/>
      <c r="MRT576" s="268"/>
      <c r="MRU576" s="268"/>
      <c r="MRV576" s="268"/>
      <c r="MRW576" s="268"/>
      <c r="MRX576" s="268"/>
      <c r="MRY576" s="268"/>
      <c r="MRZ576" s="268"/>
      <c r="MSA576" s="268"/>
      <c r="MSB576" s="268"/>
      <c r="MSC576" s="268"/>
      <c r="MSD576" s="268"/>
      <c r="MSE576" s="268"/>
      <c r="MSF576" s="268"/>
      <c r="MSG576" s="268"/>
      <c r="MSH576" s="268"/>
      <c r="MSI576" s="268"/>
      <c r="MSJ576" s="268"/>
      <c r="MSK576" s="268"/>
      <c r="MSL576" s="268"/>
      <c r="MSM576" s="268"/>
      <c r="MSN576" s="268"/>
      <c r="MSO576" s="268"/>
      <c r="MSP576" s="268"/>
      <c r="MSQ576" s="268"/>
      <c r="MSR576" s="268"/>
      <c r="MSS576" s="268"/>
      <c r="MST576" s="268"/>
      <c r="MSU576" s="268"/>
      <c r="MSV576" s="268"/>
      <c r="MSW576" s="268"/>
      <c r="MSX576" s="268"/>
      <c r="MSY576" s="268"/>
      <c r="MSZ576" s="268"/>
      <c r="MTA576" s="268"/>
      <c r="MTB576" s="268"/>
      <c r="MTC576" s="268"/>
      <c r="MTD576" s="268"/>
      <c r="MTE576" s="268"/>
      <c r="MTF576" s="268"/>
      <c r="MTG576" s="268"/>
      <c r="MTH576" s="268"/>
      <c r="MTI576" s="268"/>
      <c r="MTJ576" s="268"/>
      <c r="MTK576" s="268"/>
      <c r="MTL576" s="268"/>
      <c r="MTM576" s="268"/>
      <c r="MTN576" s="268"/>
      <c r="MTO576" s="268"/>
      <c r="MTP576" s="268"/>
      <c r="MTQ576" s="268"/>
      <c r="MTR576" s="268"/>
      <c r="MTS576" s="268"/>
      <c r="MTT576" s="268"/>
      <c r="MTU576" s="268"/>
      <c r="MTV576" s="268"/>
      <c r="MTW576" s="268"/>
      <c r="MTX576" s="268"/>
      <c r="MTY576" s="268"/>
      <c r="MTZ576" s="268"/>
      <c r="MUA576" s="268"/>
      <c r="MUB576" s="268"/>
      <c r="MUC576" s="268"/>
      <c r="MUD576" s="268"/>
      <c r="MUE576" s="268"/>
      <c r="MUF576" s="268"/>
      <c r="MUG576" s="268"/>
      <c r="MUH576" s="268"/>
      <c r="MUI576" s="268"/>
      <c r="MUJ576" s="268"/>
      <c r="MUK576" s="268"/>
      <c r="MUL576" s="268"/>
      <c r="MUM576" s="268"/>
      <c r="MUN576" s="268"/>
      <c r="MUO576" s="268"/>
      <c r="MUP576" s="268"/>
      <c r="MUQ576" s="268"/>
      <c r="MUR576" s="268"/>
      <c r="MUS576" s="268"/>
      <c r="MUT576" s="268"/>
      <c r="MUU576" s="268"/>
      <c r="MUV576" s="268"/>
      <c r="MUW576" s="268"/>
      <c r="MUX576" s="268"/>
      <c r="MUY576" s="268"/>
      <c r="MUZ576" s="268"/>
      <c r="MVA576" s="268"/>
      <c r="MVB576" s="268"/>
      <c r="MVC576" s="268"/>
      <c r="MVD576" s="268"/>
      <c r="MVE576" s="268"/>
      <c r="MVF576" s="268"/>
      <c r="MVG576" s="268"/>
      <c r="MVH576" s="268"/>
      <c r="MVI576" s="268"/>
      <c r="MVJ576" s="268"/>
      <c r="MVK576" s="268"/>
      <c r="MVL576" s="268"/>
      <c r="MVM576" s="268"/>
      <c r="MVN576" s="268"/>
      <c r="MVO576" s="268"/>
      <c r="MVP576" s="268"/>
      <c r="MVQ576" s="268"/>
      <c r="MVR576" s="268"/>
      <c r="MVS576" s="268"/>
      <c r="MVT576" s="268"/>
      <c r="MVU576" s="268"/>
      <c r="MVV576" s="268"/>
      <c r="MVW576" s="268"/>
      <c r="MVX576" s="268"/>
      <c r="MVY576" s="268"/>
      <c r="MVZ576" s="268"/>
      <c r="MWA576" s="268"/>
      <c r="MWB576" s="268"/>
      <c r="MWC576" s="268"/>
      <c r="MWD576" s="268"/>
      <c r="MWE576" s="268"/>
      <c r="MWF576" s="268"/>
      <c r="MWG576" s="268"/>
      <c r="MWH576" s="268"/>
      <c r="MWI576" s="268"/>
      <c r="MWJ576" s="268"/>
      <c r="MWK576" s="268"/>
      <c r="MWL576" s="268"/>
      <c r="MWM576" s="268"/>
      <c r="MWN576" s="268"/>
      <c r="MWO576" s="268"/>
      <c r="MWP576" s="268"/>
      <c r="MWQ576" s="268"/>
      <c r="MWR576" s="268"/>
      <c r="MWS576" s="268"/>
      <c r="MWT576" s="268"/>
      <c r="MWU576" s="268"/>
      <c r="MWV576" s="268"/>
      <c r="MWW576" s="268"/>
      <c r="MWX576" s="268"/>
      <c r="MWY576" s="268"/>
      <c r="MWZ576" s="268"/>
      <c r="MXA576" s="268"/>
      <c r="MXB576" s="268"/>
      <c r="MXC576" s="268"/>
      <c r="MXD576" s="268"/>
      <c r="MXE576" s="268"/>
      <c r="MXF576" s="268"/>
      <c r="MXG576" s="268"/>
      <c r="MXH576" s="268"/>
      <c r="MXI576" s="268"/>
      <c r="MXJ576" s="268"/>
      <c r="MXK576" s="268"/>
      <c r="MXL576" s="268"/>
      <c r="MXM576" s="268"/>
      <c r="MXN576" s="268"/>
      <c r="MXO576" s="268"/>
      <c r="MXP576" s="268"/>
      <c r="MXQ576" s="268"/>
      <c r="MXR576" s="268"/>
      <c r="MXS576" s="268"/>
      <c r="MXT576" s="268"/>
      <c r="MXU576" s="268"/>
      <c r="MXV576" s="268"/>
      <c r="MXW576" s="268"/>
      <c r="MXX576" s="268"/>
      <c r="MXY576" s="268"/>
      <c r="MXZ576" s="268"/>
      <c r="MYA576" s="268"/>
      <c r="MYB576" s="268"/>
      <c r="MYC576" s="268"/>
      <c r="MYD576" s="268"/>
      <c r="MYE576" s="268"/>
      <c r="MYF576" s="268"/>
      <c r="MYG576" s="268"/>
      <c r="MYH576" s="268"/>
      <c r="MYI576" s="268"/>
      <c r="MYJ576" s="268"/>
      <c r="MYK576" s="268"/>
      <c r="MYL576" s="268"/>
      <c r="MYM576" s="268"/>
      <c r="MYN576" s="268"/>
      <c r="MYO576" s="268"/>
      <c r="MYP576" s="268"/>
      <c r="MYQ576" s="268"/>
      <c r="MYR576" s="268"/>
      <c r="MYS576" s="268"/>
      <c r="MYT576" s="268"/>
      <c r="MYU576" s="268"/>
      <c r="MYV576" s="268"/>
      <c r="MYW576" s="268"/>
      <c r="MYX576" s="268"/>
      <c r="MYY576" s="268"/>
      <c r="MZM576" s="268"/>
      <c r="MZN576" s="268"/>
      <c r="MZO576" s="268"/>
      <c r="NAC576" s="268"/>
      <c r="NAE576" s="268"/>
      <c r="NAF576" s="268"/>
      <c r="NAG576" s="268"/>
      <c r="NAH576" s="268"/>
      <c r="NAI576" s="268"/>
      <c r="NAJ576" s="268"/>
      <c r="NAK576" s="268"/>
      <c r="NAL576" s="268"/>
      <c r="NAM576" s="268"/>
      <c r="NAN576" s="268"/>
      <c r="NAO576" s="268"/>
      <c r="NAP576" s="268"/>
      <c r="NAQ576" s="268"/>
      <c r="NAR576" s="268"/>
      <c r="NAS576" s="268"/>
      <c r="NAT576" s="268"/>
      <c r="NAU576" s="268"/>
      <c r="NAV576" s="268"/>
      <c r="NAW576" s="268"/>
      <c r="NAX576" s="268"/>
      <c r="NAY576" s="268"/>
      <c r="NAZ576" s="268"/>
      <c r="NBA576" s="268"/>
      <c r="NBB576" s="268"/>
      <c r="NBC576" s="268"/>
      <c r="NBD576" s="268"/>
      <c r="NBE576" s="268"/>
      <c r="NBF576" s="268"/>
      <c r="NBG576" s="268"/>
      <c r="NBH576" s="268"/>
      <c r="NBI576" s="268"/>
      <c r="NBJ576" s="268"/>
      <c r="NBK576" s="268"/>
      <c r="NBL576" s="268"/>
      <c r="NBM576" s="268"/>
      <c r="NBN576" s="268"/>
      <c r="NBO576" s="268"/>
      <c r="NBP576" s="268"/>
      <c r="NBQ576" s="268"/>
      <c r="NBR576" s="268"/>
      <c r="NBS576" s="268"/>
      <c r="NBT576" s="268"/>
      <c r="NBU576" s="268"/>
      <c r="NBV576" s="268"/>
      <c r="NBW576" s="268"/>
      <c r="NBX576" s="268"/>
      <c r="NBY576" s="268"/>
      <c r="NBZ576" s="268"/>
      <c r="NCA576" s="268"/>
      <c r="NCB576" s="268"/>
      <c r="NCC576" s="268"/>
      <c r="NCD576" s="268"/>
      <c r="NCE576" s="268"/>
      <c r="NCF576" s="268"/>
      <c r="NCG576" s="268"/>
      <c r="NCH576" s="268"/>
      <c r="NCI576" s="268"/>
      <c r="NCJ576" s="268"/>
      <c r="NCK576" s="268"/>
      <c r="NCL576" s="268"/>
      <c r="NCM576" s="268"/>
      <c r="NCN576" s="268"/>
      <c r="NCO576" s="268"/>
      <c r="NCP576" s="268"/>
      <c r="NCQ576" s="268"/>
      <c r="NCR576" s="268"/>
      <c r="NCS576" s="268"/>
      <c r="NCT576" s="268"/>
      <c r="NCU576" s="268"/>
      <c r="NCV576" s="268"/>
      <c r="NCW576" s="268"/>
      <c r="NCX576" s="268"/>
      <c r="NCY576" s="268"/>
      <c r="NCZ576" s="268"/>
      <c r="NDA576" s="268"/>
      <c r="NDB576" s="268"/>
      <c r="NDC576" s="268"/>
      <c r="NDD576" s="268"/>
      <c r="NDE576" s="268"/>
      <c r="NDF576" s="268"/>
      <c r="NDG576" s="268"/>
      <c r="NDH576" s="268"/>
      <c r="NDI576" s="268"/>
      <c r="NDJ576" s="268"/>
      <c r="NDK576" s="268"/>
      <c r="NDL576" s="268"/>
      <c r="NDM576" s="268"/>
      <c r="NDN576" s="268"/>
      <c r="NDO576" s="268"/>
      <c r="NDP576" s="268"/>
      <c r="NDQ576" s="268"/>
      <c r="NDR576" s="268"/>
      <c r="NDS576" s="268"/>
      <c r="NDT576" s="268"/>
      <c r="NDU576" s="268"/>
      <c r="NDV576" s="268"/>
      <c r="NDW576" s="268"/>
      <c r="NDX576" s="268"/>
      <c r="NDY576" s="268"/>
      <c r="NDZ576" s="268"/>
      <c r="NEA576" s="268"/>
      <c r="NEB576" s="268"/>
      <c r="NEC576" s="268"/>
      <c r="NED576" s="268"/>
      <c r="NEE576" s="268"/>
      <c r="NEF576" s="268"/>
      <c r="NEG576" s="268"/>
      <c r="NEH576" s="268"/>
      <c r="NEI576" s="268"/>
      <c r="NEJ576" s="268"/>
      <c r="NEK576" s="268"/>
      <c r="NEL576" s="268"/>
      <c r="NEM576" s="268"/>
      <c r="NEN576" s="268"/>
      <c r="NEO576" s="268"/>
      <c r="NEP576" s="268"/>
      <c r="NEQ576" s="268"/>
      <c r="NER576" s="268"/>
      <c r="NES576" s="268"/>
      <c r="NET576" s="268"/>
      <c r="NEU576" s="268"/>
      <c r="NEV576" s="268"/>
      <c r="NEW576" s="268"/>
      <c r="NEX576" s="268"/>
      <c r="NEY576" s="268"/>
      <c r="NEZ576" s="268"/>
      <c r="NFA576" s="268"/>
      <c r="NFB576" s="268"/>
      <c r="NFC576" s="268"/>
      <c r="NFD576" s="268"/>
      <c r="NFE576" s="268"/>
      <c r="NFF576" s="268"/>
      <c r="NFG576" s="268"/>
      <c r="NFH576" s="268"/>
      <c r="NFI576" s="268"/>
      <c r="NFJ576" s="268"/>
      <c r="NFK576" s="268"/>
      <c r="NFL576" s="268"/>
      <c r="NFM576" s="268"/>
      <c r="NFN576" s="268"/>
      <c r="NFO576" s="268"/>
      <c r="NFP576" s="268"/>
      <c r="NFQ576" s="268"/>
      <c r="NFR576" s="268"/>
      <c r="NFS576" s="268"/>
      <c r="NFT576" s="268"/>
      <c r="NFU576" s="268"/>
      <c r="NFV576" s="268"/>
      <c r="NFW576" s="268"/>
      <c r="NFX576" s="268"/>
      <c r="NFY576" s="268"/>
      <c r="NFZ576" s="268"/>
      <c r="NGA576" s="268"/>
      <c r="NGB576" s="268"/>
      <c r="NGC576" s="268"/>
      <c r="NGD576" s="268"/>
      <c r="NGE576" s="268"/>
      <c r="NGF576" s="268"/>
      <c r="NGG576" s="268"/>
      <c r="NGH576" s="268"/>
      <c r="NGI576" s="268"/>
      <c r="NGJ576" s="268"/>
      <c r="NGK576" s="268"/>
      <c r="NGL576" s="268"/>
      <c r="NGM576" s="268"/>
      <c r="NGN576" s="268"/>
      <c r="NGO576" s="268"/>
      <c r="NGP576" s="268"/>
      <c r="NGQ576" s="268"/>
      <c r="NGR576" s="268"/>
      <c r="NGS576" s="268"/>
      <c r="NGT576" s="268"/>
      <c r="NGU576" s="268"/>
      <c r="NGV576" s="268"/>
      <c r="NGW576" s="268"/>
      <c r="NGX576" s="268"/>
      <c r="NGY576" s="268"/>
      <c r="NGZ576" s="268"/>
      <c r="NHA576" s="268"/>
      <c r="NHB576" s="268"/>
      <c r="NHC576" s="268"/>
      <c r="NHD576" s="268"/>
      <c r="NHE576" s="268"/>
      <c r="NHF576" s="268"/>
      <c r="NHG576" s="268"/>
      <c r="NHH576" s="268"/>
      <c r="NHI576" s="268"/>
      <c r="NHJ576" s="268"/>
      <c r="NHK576" s="268"/>
      <c r="NHL576" s="268"/>
      <c r="NHM576" s="268"/>
      <c r="NHN576" s="268"/>
      <c r="NHO576" s="268"/>
      <c r="NHP576" s="268"/>
      <c r="NHQ576" s="268"/>
      <c r="NHR576" s="268"/>
      <c r="NHS576" s="268"/>
      <c r="NHT576" s="268"/>
      <c r="NHU576" s="268"/>
      <c r="NHV576" s="268"/>
      <c r="NHW576" s="268"/>
      <c r="NHX576" s="268"/>
      <c r="NHY576" s="268"/>
      <c r="NHZ576" s="268"/>
      <c r="NIA576" s="268"/>
      <c r="NIB576" s="268"/>
      <c r="NIC576" s="268"/>
      <c r="NID576" s="268"/>
      <c r="NIE576" s="268"/>
      <c r="NIF576" s="268"/>
      <c r="NIG576" s="268"/>
      <c r="NIH576" s="268"/>
      <c r="NII576" s="268"/>
      <c r="NIJ576" s="268"/>
      <c r="NIK576" s="268"/>
      <c r="NIL576" s="268"/>
      <c r="NIM576" s="268"/>
      <c r="NIN576" s="268"/>
      <c r="NIO576" s="268"/>
      <c r="NIP576" s="268"/>
      <c r="NIQ576" s="268"/>
      <c r="NIR576" s="268"/>
      <c r="NIS576" s="268"/>
      <c r="NIT576" s="268"/>
      <c r="NIU576" s="268"/>
      <c r="NJI576" s="268"/>
      <c r="NJJ576" s="268"/>
      <c r="NJK576" s="268"/>
      <c r="NJY576" s="268"/>
      <c r="NKA576" s="268"/>
      <c r="NKB576" s="268"/>
      <c r="NKC576" s="268"/>
      <c r="NKD576" s="268"/>
      <c r="NKE576" s="268"/>
      <c r="NKF576" s="268"/>
      <c r="NKG576" s="268"/>
      <c r="NKH576" s="268"/>
      <c r="NKI576" s="268"/>
      <c r="NKJ576" s="268"/>
      <c r="NKK576" s="268"/>
      <c r="NKL576" s="268"/>
      <c r="NKM576" s="268"/>
      <c r="NKN576" s="268"/>
      <c r="NKO576" s="268"/>
      <c r="NKP576" s="268"/>
      <c r="NKQ576" s="268"/>
      <c r="NKR576" s="268"/>
      <c r="NKS576" s="268"/>
      <c r="NKT576" s="268"/>
      <c r="NKU576" s="268"/>
      <c r="NKV576" s="268"/>
      <c r="NKW576" s="268"/>
      <c r="NKX576" s="268"/>
      <c r="NKY576" s="268"/>
      <c r="NKZ576" s="268"/>
      <c r="NLA576" s="268"/>
      <c r="NLB576" s="268"/>
      <c r="NLC576" s="268"/>
      <c r="NLD576" s="268"/>
      <c r="NLE576" s="268"/>
      <c r="NLF576" s="268"/>
      <c r="NLG576" s="268"/>
      <c r="NLH576" s="268"/>
      <c r="NLI576" s="268"/>
      <c r="NLJ576" s="268"/>
      <c r="NLK576" s="268"/>
      <c r="NLL576" s="268"/>
      <c r="NLM576" s="268"/>
      <c r="NLN576" s="268"/>
      <c r="NLO576" s="268"/>
      <c r="NLP576" s="268"/>
      <c r="NLQ576" s="268"/>
      <c r="NLR576" s="268"/>
      <c r="NLS576" s="268"/>
      <c r="NLT576" s="268"/>
      <c r="NLU576" s="268"/>
      <c r="NLV576" s="268"/>
      <c r="NLW576" s="268"/>
      <c r="NLX576" s="268"/>
      <c r="NLY576" s="268"/>
      <c r="NLZ576" s="268"/>
      <c r="NMA576" s="268"/>
      <c r="NMB576" s="268"/>
      <c r="NMC576" s="268"/>
      <c r="NMD576" s="268"/>
      <c r="NME576" s="268"/>
      <c r="NMF576" s="268"/>
      <c r="NMG576" s="268"/>
      <c r="NMH576" s="268"/>
      <c r="NMI576" s="268"/>
      <c r="NMJ576" s="268"/>
      <c r="NMK576" s="268"/>
      <c r="NML576" s="268"/>
      <c r="NMM576" s="268"/>
      <c r="NMN576" s="268"/>
      <c r="NMO576" s="268"/>
      <c r="NMP576" s="268"/>
      <c r="NMQ576" s="268"/>
      <c r="NMR576" s="268"/>
      <c r="NMS576" s="268"/>
      <c r="NMT576" s="268"/>
      <c r="NMU576" s="268"/>
      <c r="NMV576" s="268"/>
      <c r="NMW576" s="268"/>
      <c r="NMX576" s="268"/>
      <c r="NMY576" s="268"/>
      <c r="NMZ576" s="268"/>
      <c r="NNA576" s="268"/>
      <c r="NNB576" s="268"/>
      <c r="NNC576" s="268"/>
      <c r="NND576" s="268"/>
      <c r="NNE576" s="268"/>
      <c r="NNF576" s="268"/>
      <c r="NNG576" s="268"/>
      <c r="NNH576" s="268"/>
      <c r="NNI576" s="268"/>
      <c r="NNJ576" s="268"/>
      <c r="NNK576" s="268"/>
      <c r="NNL576" s="268"/>
      <c r="NNM576" s="268"/>
      <c r="NNN576" s="268"/>
      <c r="NNO576" s="268"/>
      <c r="NNP576" s="268"/>
      <c r="NNQ576" s="268"/>
      <c r="NNR576" s="268"/>
      <c r="NNS576" s="268"/>
      <c r="NNT576" s="268"/>
      <c r="NNU576" s="268"/>
      <c r="NNV576" s="268"/>
      <c r="NNW576" s="268"/>
      <c r="NNX576" s="268"/>
      <c r="NNY576" s="268"/>
      <c r="NNZ576" s="268"/>
      <c r="NOA576" s="268"/>
      <c r="NOB576" s="268"/>
      <c r="NOC576" s="268"/>
      <c r="NOD576" s="268"/>
      <c r="NOE576" s="268"/>
      <c r="NOF576" s="268"/>
      <c r="NOG576" s="268"/>
      <c r="NOH576" s="268"/>
      <c r="NOI576" s="268"/>
      <c r="NOJ576" s="268"/>
      <c r="NOK576" s="268"/>
      <c r="NOL576" s="268"/>
      <c r="NOM576" s="268"/>
      <c r="NON576" s="268"/>
      <c r="NOO576" s="268"/>
      <c r="NOP576" s="268"/>
      <c r="NOQ576" s="268"/>
      <c r="NOR576" s="268"/>
      <c r="NOS576" s="268"/>
      <c r="NOT576" s="268"/>
      <c r="NOU576" s="268"/>
      <c r="NOV576" s="268"/>
      <c r="NOW576" s="268"/>
      <c r="NOX576" s="268"/>
      <c r="NOY576" s="268"/>
      <c r="NOZ576" s="268"/>
      <c r="NPA576" s="268"/>
      <c r="NPB576" s="268"/>
      <c r="NPC576" s="268"/>
      <c r="NPD576" s="268"/>
      <c r="NPE576" s="268"/>
      <c r="NPF576" s="268"/>
      <c r="NPG576" s="268"/>
      <c r="NPH576" s="268"/>
      <c r="NPI576" s="268"/>
      <c r="NPJ576" s="268"/>
      <c r="NPK576" s="268"/>
      <c r="NPL576" s="268"/>
      <c r="NPM576" s="268"/>
      <c r="NPN576" s="268"/>
      <c r="NPO576" s="268"/>
      <c r="NPP576" s="268"/>
      <c r="NPQ576" s="268"/>
      <c r="NPR576" s="268"/>
      <c r="NPS576" s="268"/>
      <c r="NPT576" s="268"/>
      <c r="NPU576" s="268"/>
      <c r="NPV576" s="268"/>
      <c r="NPW576" s="268"/>
      <c r="NPX576" s="268"/>
      <c r="NPY576" s="268"/>
      <c r="NPZ576" s="268"/>
      <c r="NQA576" s="268"/>
      <c r="NQB576" s="268"/>
      <c r="NQC576" s="268"/>
      <c r="NQD576" s="268"/>
      <c r="NQE576" s="268"/>
      <c r="NQF576" s="268"/>
      <c r="NQG576" s="268"/>
      <c r="NQH576" s="268"/>
      <c r="NQI576" s="268"/>
      <c r="NQJ576" s="268"/>
      <c r="NQK576" s="268"/>
      <c r="NQL576" s="268"/>
      <c r="NQM576" s="268"/>
      <c r="NQN576" s="268"/>
      <c r="NQO576" s="268"/>
      <c r="NQP576" s="268"/>
      <c r="NQQ576" s="268"/>
      <c r="NQR576" s="268"/>
      <c r="NQS576" s="268"/>
      <c r="NQT576" s="268"/>
      <c r="NQU576" s="268"/>
      <c r="NQV576" s="268"/>
      <c r="NQW576" s="268"/>
      <c r="NQX576" s="268"/>
      <c r="NQY576" s="268"/>
      <c r="NQZ576" s="268"/>
      <c r="NRA576" s="268"/>
      <c r="NRB576" s="268"/>
      <c r="NRC576" s="268"/>
      <c r="NRD576" s="268"/>
      <c r="NRE576" s="268"/>
      <c r="NRF576" s="268"/>
      <c r="NRG576" s="268"/>
      <c r="NRH576" s="268"/>
      <c r="NRI576" s="268"/>
      <c r="NRJ576" s="268"/>
      <c r="NRK576" s="268"/>
      <c r="NRL576" s="268"/>
      <c r="NRM576" s="268"/>
      <c r="NRN576" s="268"/>
      <c r="NRO576" s="268"/>
      <c r="NRP576" s="268"/>
      <c r="NRQ576" s="268"/>
      <c r="NRR576" s="268"/>
      <c r="NRS576" s="268"/>
      <c r="NRT576" s="268"/>
      <c r="NRU576" s="268"/>
      <c r="NRV576" s="268"/>
      <c r="NRW576" s="268"/>
      <c r="NRX576" s="268"/>
      <c r="NRY576" s="268"/>
      <c r="NRZ576" s="268"/>
      <c r="NSA576" s="268"/>
      <c r="NSB576" s="268"/>
      <c r="NSC576" s="268"/>
      <c r="NSD576" s="268"/>
      <c r="NSE576" s="268"/>
      <c r="NSF576" s="268"/>
      <c r="NSG576" s="268"/>
      <c r="NSH576" s="268"/>
      <c r="NSI576" s="268"/>
      <c r="NSJ576" s="268"/>
      <c r="NSK576" s="268"/>
      <c r="NSL576" s="268"/>
      <c r="NSM576" s="268"/>
      <c r="NSN576" s="268"/>
      <c r="NSO576" s="268"/>
      <c r="NSP576" s="268"/>
      <c r="NSQ576" s="268"/>
      <c r="NTE576" s="268"/>
      <c r="NTF576" s="268"/>
      <c r="NTG576" s="268"/>
      <c r="NTU576" s="268"/>
      <c r="NTW576" s="268"/>
      <c r="NTX576" s="268"/>
      <c r="NTY576" s="268"/>
      <c r="NTZ576" s="268"/>
      <c r="NUA576" s="268"/>
      <c r="NUB576" s="268"/>
      <c r="NUC576" s="268"/>
      <c r="NUD576" s="268"/>
      <c r="NUE576" s="268"/>
      <c r="NUF576" s="268"/>
      <c r="NUG576" s="268"/>
      <c r="NUH576" s="268"/>
      <c r="NUI576" s="268"/>
      <c r="NUJ576" s="268"/>
      <c r="NUK576" s="268"/>
      <c r="NUL576" s="268"/>
      <c r="NUM576" s="268"/>
      <c r="NUN576" s="268"/>
      <c r="NUO576" s="268"/>
      <c r="NUP576" s="268"/>
      <c r="NUQ576" s="268"/>
      <c r="NUR576" s="268"/>
      <c r="NUS576" s="268"/>
      <c r="NUT576" s="268"/>
      <c r="NUU576" s="268"/>
      <c r="NUV576" s="268"/>
      <c r="NUW576" s="268"/>
      <c r="NUX576" s="268"/>
      <c r="NUY576" s="268"/>
      <c r="NUZ576" s="268"/>
      <c r="NVA576" s="268"/>
      <c r="NVB576" s="268"/>
      <c r="NVC576" s="268"/>
      <c r="NVD576" s="268"/>
      <c r="NVE576" s="268"/>
      <c r="NVF576" s="268"/>
      <c r="NVG576" s="268"/>
      <c r="NVH576" s="268"/>
      <c r="NVI576" s="268"/>
      <c r="NVJ576" s="268"/>
      <c r="NVK576" s="268"/>
      <c r="NVL576" s="268"/>
      <c r="NVM576" s="268"/>
      <c r="NVN576" s="268"/>
      <c r="NVO576" s="268"/>
      <c r="NVP576" s="268"/>
      <c r="NVQ576" s="268"/>
      <c r="NVR576" s="268"/>
      <c r="NVS576" s="268"/>
      <c r="NVT576" s="268"/>
      <c r="NVU576" s="268"/>
      <c r="NVV576" s="268"/>
      <c r="NVW576" s="268"/>
      <c r="NVX576" s="268"/>
      <c r="NVY576" s="268"/>
      <c r="NVZ576" s="268"/>
      <c r="NWA576" s="268"/>
      <c r="NWB576" s="268"/>
      <c r="NWC576" s="268"/>
      <c r="NWD576" s="268"/>
      <c r="NWE576" s="268"/>
      <c r="NWF576" s="268"/>
      <c r="NWG576" s="268"/>
      <c r="NWH576" s="268"/>
      <c r="NWI576" s="268"/>
      <c r="NWJ576" s="268"/>
      <c r="NWK576" s="268"/>
      <c r="NWL576" s="268"/>
      <c r="NWM576" s="268"/>
      <c r="NWN576" s="268"/>
      <c r="NWO576" s="268"/>
      <c r="NWP576" s="268"/>
      <c r="NWQ576" s="268"/>
      <c r="NWR576" s="268"/>
      <c r="NWS576" s="268"/>
      <c r="NWT576" s="268"/>
      <c r="NWU576" s="268"/>
      <c r="NWV576" s="268"/>
      <c r="NWW576" s="268"/>
      <c r="NWX576" s="268"/>
      <c r="NWY576" s="268"/>
      <c r="NWZ576" s="268"/>
      <c r="NXA576" s="268"/>
      <c r="NXB576" s="268"/>
      <c r="NXC576" s="268"/>
      <c r="NXD576" s="268"/>
      <c r="NXE576" s="268"/>
      <c r="NXF576" s="268"/>
      <c r="NXG576" s="268"/>
      <c r="NXH576" s="268"/>
      <c r="NXI576" s="268"/>
      <c r="NXJ576" s="268"/>
      <c r="NXK576" s="268"/>
      <c r="NXL576" s="268"/>
      <c r="NXM576" s="268"/>
      <c r="NXN576" s="268"/>
      <c r="NXO576" s="268"/>
      <c r="NXP576" s="268"/>
      <c r="NXQ576" s="268"/>
      <c r="NXR576" s="268"/>
      <c r="NXS576" s="268"/>
      <c r="NXT576" s="268"/>
      <c r="NXU576" s="268"/>
      <c r="NXV576" s="268"/>
      <c r="NXW576" s="268"/>
      <c r="NXX576" s="268"/>
      <c r="NXY576" s="268"/>
      <c r="NXZ576" s="268"/>
      <c r="NYA576" s="268"/>
      <c r="NYB576" s="268"/>
      <c r="NYC576" s="268"/>
      <c r="NYD576" s="268"/>
      <c r="NYE576" s="268"/>
      <c r="NYF576" s="268"/>
      <c r="NYG576" s="268"/>
      <c r="NYH576" s="268"/>
      <c r="NYI576" s="268"/>
      <c r="NYJ576" s="268"/>
      <c r="NYK576" s="268"/>
      <c r="NYL576" s="268"/>
      <c r="NYM576" s="268"/>
      <c r="NYN576" s="268"/>
      <c r="NYO576" s="268"/>
      <c r="NYP576" s="268"/>
      <c r="NYQ576" s="268"/>
      <c r="NYR576" s="268"/>
      <c r="NYS576" s="268"/>
      <c r="NYT576" s="268"/>
      <c r="NYU576" s="268"/>
      <c r="NYV576" s="268"/>
      <c r="NYW576" s="268"/>
      <c r="NYX576" s="268"/>
      <c r="NYY576" s="268"/>
      <c r="NYZ576" s="268"/>
      <c r="NZA576" s="268"/>
      <c r="NZB576" s="268"/>
      <c r="NZC576" s="268"/>
      <c r="NZD576" s="268"/>
      <c r="NZE576" s="268"/>
      <c r="NZF576" s="268"/>
      <c r="NZG576" s="268"/>
      <c r="NZH576" s="268"/>
      <c r="NZI576" s="268"/>
      <c r="NZJ576" s="268"/>
      <c r="NZK576" s="268"/>
      <c r="NZL576" s="268"/>
      <c r="NZM576" s="268"/>
      <c r="NZN576" s="268"/>
      <c r="NZO576" s="268"/>
      <c r="NZP576" s="268"/>
      <c r="NZQ576" s="268"/>
      <c r="NZR576" s="268"/>
      <c r="NZS576" s="268"/>
      <c r="NZT576" s="268"/>
      <c r="NZU576" s="268"/>
      <c r="NZV576" s="268"/>
      <c r="NZW576" s="268"/>
      <c r="NZX576" s="268"/>
      <c r="NZY576" s="268"/>
      <c r="NZZ576" s="268"/>
      <c r="OAA576" s="268"/>
      <c r="OAB576" s="268"/>
      <c r="OAC576" s="268"/>
      <c r="OAD576" s="268"/>
      <c r="OAE576" s="268"/>
      <c r="OAF576" s="268"/>
      <c r="OAG576" s="268"/>
      <c r="OAH576" s="268"/>
      <c r="OAI576" s="268"/>
      <c r="OAJ576" s="268"/>
      <c r="OAK576" s="268"/>
      <c r="OAL576" s="268"/>
      <c r="OAM576" s="268"/>
      <c r="OAN576" s="268"/>
      <c r="OAO576" s="268"/>
      <c r="OAP576" s="268"/>
      <c r="OAQ576" s="268"/>
      <c r="OAR576" s="268"/>
      <c r="OAS576" s="268"/>
      <c r="OAT576" s="268"/>
      <c r="OAU576" s="268"/>
      <c r="OAV576" s="268"/>
      <c r="OAW576" s="268"/>
      <c r="OAX576" s="268"/>
      <c r="OAY576" s="268"/>
      <c r="OAZ576" s="268"/>
      <c r="OBA576" s="268"/>
      <c r="OBB576" s="268"/>
      <c r="OBC576" s="268"/>
      <c r="OBD576" s="268"/>
      <c r="OBE576" s="268"/>
      <c r="OBF576" s="268"/>
      <c r="OBG576" s="268"/>
      <c r="OBH576" s="268"/>
      <c r="OBI576" s="268"/>
      <c r="OBJ576" s="268"/>
      <c r="OBK576" s="268"/>
      <c r="OBL576" s="268"/>
      <c r="OBM576" s="268"/>
      <c r="OBN576" s="268"/>
      <c r="OBO576" s="268"/>
      <c r="OBP576" s="268"/>
      <c r="OBQ576" s="268"/>
      <c r="OBR576" s="268"/>
      <c r="OBS576" s="268"/>
      <c r="OBT576" s="268"/>
      <c r="OBU576" s="268"/>
      <c r="OBV576" s="268"/>
      <c r="OBW576" s="268"/>
      <c r="OBX576" s="268"/>
      <c r="OBY576" s="268"/>
      <c r="OBZ576" s="268"/>
      <c r="OCA576" s="268"/>
      <c r="OCB576" s="268"/>
      <c r="OCC576" s="268"/>
      <c r="OCD576" s="268"/>
      <c r="OCE576" s="268"/>
      <c r="OCF576" s="268"/>
      <c r="OCG576" s="268"/>
      <c r="OCH576" s="268"/>
      <c r="OCI576" s="268"/>
      <c r="OCJ576" s="268"/>
      <c r="OCK576" s="268"/>
      <c r="OCL576" s="268"/>
      <c r="OCM576" s="268"/>
      <c r="ODA576" s="268"/>
      <c r="ODB576" s="268"/>
      <c r="ODC576" s="268"/>
      <c r="ODQ576" s="268"/>
      <c r="ODS576" s="268"/>
      <c r="ODT576" s="268"/>
      <c r="ODU576" s="268"/>
      <c r="ODV576" s="268"/>
      <c r="ODW576" s="268"/>
      <c r="ODX576" s="268"/>
      <c r="ODY576" s="268"/>
      <c r="ODZ576" s="268"/>
      <c r="OEA576" s="268"/>
      <c r="OEB576" s="268"/>
      <c r="OEC576" s="268"/>
      <c r="OED576" s="268"/>
      <c r="OEE576" s="268"/>
      <c r="OEF576" s="268"/>
      <c r="OEG576" s="268"/>
      <c r="OEH576" s="268"/>
      <c r="OEI576" s="268"/>
      <c r="OEJ576" s="268"/>
      <c r="OEK576" s="268"/>
      <c r="OEL576" s="268"/>
      <c r="OEM576" s="268"/>
      <c r="OEN576" s="268"/>
      <c r="OEO576" s="268"/>
      <c r="OEP576" s="268"/>
      <c r="OEQ576" s="268"/>
      <c r="OER576" s="268"/>
      <c r="OES576" s="268"/>
      <c r="OET576" s="268"/>
      <c r="OEU576" s="268"/>
      <c r="OEV576" s="268"/>
      <c r="OEW576" s="268"/>
      <c r="OEX576" s="268"/>
      <c r="OEY576" s="268"/>
      <c r="OEZ576" s="268"/>
      <c r="OFA576" s="268"/>
      <c r="OFB576" s="268"/>
      <c r="OFC576" s="268"/>
      <c r="OFD576" s="268"/>
      <c r="OFE576" s="268"/>
      <c r="OFF576" s="268"/>
      <c r="OFG576" s="268"/>
      <c r="OFH576" s="268"/>
      <c r="OFI576" s="268"/>
      <c r="OFJ576" s="268"/>
      <c r="OFK576" s="268"/>
      <c r="OFL576" s="268"/>
      <c r="OFM576" s="268"/>
      <c r="OFN576" s="268"/>
      <c r="OFO576" s="268"/>
      <c r="OFP576" s="268"/>
      <c r="OFQ576" s="268"/>
      <c r="OFR576" s="268"/>
      <c r="OFS576" s="268"/>
      <c r="OFT576" s="268"/>
      <c r="OFU576" s="268"/>
      <c r="OFV576" s="268"/>
      <c r="OFW576" s="268"/>
      <c r="OFX576" s="268"/>
      <c r="OFY576" s="268"/>
      <c r="OFZ576" s="268"/>
      <c r="OGA576" s="268"/>
      <c r="OGB576" s="268"/>
      <c r="OGC576" s="268"/>
      <c r="OGD576" s="268"/>
      <c r="OGE576" s="268"/>
      <c r="OGF576" s="268"/>
      <c r="OGG576" s="268"/>
      <c r="OGH576" s="268"/>
      <c r="OGI576" s="268"/>
      <c r="OGJ576" s="268"/>
      <c r="OGK576" s="268"/>
      <c r="OGL576" s="268"/>
      <c r="OGM576" s="268"/>
      <c r="OGN576" s="268"/>
      <c r="OGO576" s="268"/>
      <c r="OGP576" s="268"/>
      <c r="OGQ576" s="268"/>
      <c r="OGR576" s="268"/>
      <c r="OGS576" s="268"/>
      <c r="OGT576" s="268"/>
      <c r="OGU576" s="268"/>
      <c r="OGV576" s="268"/>
      <c r="OGW576" s="268"/>
      <c r="OGX576" s="268"/>
      <c r="OGY576" s="268"/>
      <c r="OGZ576" s="268"/>
      <c r="OHA576" s="268"/>
      <c r="OHB576" s="268"/>
      <c r="OHC576" s="268"/>
      <c r="OHD576" s="268"/>
      <c r="OHE576" s="268"/>
      <c r="OHF576" s="268"/>
      <c r="OHG576" s="268"/>
      <c r="OHH576" s="268"/>
      <c r="OHI576" s="268"/>
      <c r="OHJ576" s="268"/>
      <c r="OHK576" s="268"/>
      <c r="OHL576" s="268"/>
      <c r="OHM576" s="268"/>
      <c r="OHN576" s="268"/>
      <c r="OHO576" s="268"/>
      <c r="OHP576" s="268"/>
      <c r="OHQ576" s="268"/>
      <c r="OHR576" s="268"/>
      <c r="OHS576" s="268"/>
      <c r="OHT576" s="268"/>
      <c r="OHU576" s="268"/>
      <c r="OHV576" s="268"/>
      <c r="OHW576" s="268"/>
      <c r="OHX576" s="268"/>
      <c r="OHY576" s="268"/>
      <c r="OHZ576" s="268"/>
      <c r="OIA576" s="268"/>
      <c r="OIB576" s="268"/>
      <c r="OIC576" s="268"/>
      <c r="OID576" s="268"/>
      <c r="OIE576" s="268"/>
      <c r="OIF576" s="268"/>
      <c r="OIG576" s="268"/>
      <c r="OIH576" s="268"/>
      <c r="OII576" s="268"/>
      <c r="OIJ576" s="268"/>
      <c r="OIK576" s="268"/>
      <c r="OIL576" s="268"/>
      <c r="OIM576" s="268"/>
      <c r="OIN576" s="268"/>
      <c r="OIO576" s="268"/>
      <c r="OIP576" s="268"/>
      <c r="OIQ576" s="268"/>
      <c r="OIR576" s="268"/>
      <c r="OIS576" s="268"/>
      <c r="OIT576" s="268"/>
      <c r="OIU576" s="268"/>
      <c r="OIV576" s="268"/>
      <c r="OIW576" s="268"/>
      <c r="OIX576" s="268"/>
      <c r="OIY576" s="268"/>
      <c r="OIZ576" s="268"/>
      <c r="OJA576" s="268"/>
      <c r="OJB576" s="268"/>
      <c r="OJC576" s="268"/>
      <c r="OJD576" s="268"/>
      <c r="OJE576" s="268"/>
      <c r="OJF576" s="268"/>
      <c r="OJG576" s="268"/>
      <c r="OJH576" s="268"/>
      <c r="OJI576" s="268"/>
      <c r="OJJ576" s="268"/>
      <c r="OJK576" s="268"/>
      <c r="OJL576" s="268"/>
      <c r="OJM576" s="268"/>
      <c r="OJN576" s="268"/>
      <c r="OJO576" s="268"/>
      <c r="OJP576" s="268"/>
      <c r="OJQ576" s="268"/>
      <c r="OJR576" s="268"/>
      <c r="OJS576" s="268"/>
      <c r="OJT576" s="268"/>
      <c r="OJU576" s="268"/>
      <c r="OJV576" s="268"/>
      <c r="OJW576" s="268"/>
      <c r="OJX576" s="268"/>
      <c r="OJY576" s="268"/>
      <c r="OJZ576" s="268"/>
      <c r="OKA576" s="268"/>
      <c r="OKB576" s="268"/>
      <c r="OKC576" s="268"/>
      <c r="OKD576" s="268"/>
      <c r="OKE576" s="268"/>
      <c r="OKF576" s="268"/>
      <c r="OKG576" s="268"/>
      <c r="OKH576" s="268"/>
      <c r="OKI576" s="268"/>
      <c r="OKJ576" s="268"/>
      <c r="OKK576" s="268"/>
      <c r="OKL576" s="268"/>
      <c r="OKM576" s="268"/>
      <c r="OKN576" s="268"/>
      <c r="OKO576" s="268"/>
      <c r="OKP576" s="268"/>
      <c r="OKQ576" s="268"/>
      <c r="OKR576" s="268"/>
      <c r="OKS576" s="268"/>
      <c r="OKT576" s="268"/>
      <c r="OKU576" s="268"/>
      <c r="OKV576" s="268"/>
      <c r="OKW576" s="268"/>
      <c r="OKX576" s="268"/>
      <c r="OKY576" s="268"/>
      <c r="OKZ576" s="268"/>
      <c r="OLA576" s="268"/>
      <c r="OLB576" s="268"/>
      <c r="OLC576" s="268"/>
      <c r="OLD576" s="268"/>
      <c r="OLE576" s="268"/>
      <c r="OLF576" s="268"/>
      <c r="OLG576" s="268"/>
      <c r="OLH576" s="268"/>
      <c r="OLI576" s="268"/>
      <c r="OLJ576" s="268"/>
      <c r="OLK576" s="268"/>
      <c r="OLL576" s="268"/>
      <c r="OLM576" s="268"/>
      <c r="OLN576" s="268"/>
      <c r="OLO576" s="268"/>
      <c r="OLP576" s="268"/>
      <c r="OLQ576" s="268"/>
      <c r="OLR576" s="268"/>
      <c r="OLS576" s="268"/>
      <c r="OLT576" s="268"/>
      <c r="OLU576" s="268"/>
      <c r="OLV576" s="268"/>
      <c r="OLW576" s="268"/>
      <c r="OLX576" s="268"/>
      <c r="OLY576" s="268"/>
      <c r="OLZ576" s="268"/>
      <c r="OMA576" s="268"/>
      <c r="OMB576" s="268"/>
      <c r="OMC576" s="268"/>
      <c r="OMD576" s="268"/>
      <c r="OME576" s="268"/>
      <c r="OMF576" s="268"/>
      <c r="OMG576" s="268"/>
      <c r="OMH576" s="268"/>
      <c r="OMI576" s="268"/>
      <c r="OMW576" s="268"/>
      <c r="OMX576" s="268"/>
      <c r="OMY576" s="268"/>
      <c r="ONM576" s="268"/>
      <c r="ONO576" s="268"/>
      <c r="ONP576" s="268"/>
      <c r="ONQ576" s="268"/>
      <c r="ONR576" s="268"/>
      <c r="ONS576" s="268"/>
      <c r="ONT576" s="268"/>
      <c r="ONU576" s="268"/>
      <c r="ONV576" s="268"/>
      <c r="ONW576" s="268"/>
      <c r="ONX576" s="268"/>
      <c r="ONY576" s="268"/>
      <c r="ONZ576" s="268"/>
      <c r="OOA576" s="268"/>
      <c r="OOB576" s="268"/>
      <c r="OOC576" s="268"/>
      <c r="OOD576" s="268"/>
      <c r="OOE576" s="268"/>
      <c r="OOF576" s="268"/>
      <c r="OOG576" s="268"/>
      <c r="OOH576" s="268"/>
      <c r="OOI576" s="268"/>
      <c r="OOJ576" s="268"/>
      <c r="OOK576" s="268"/>
      <c r="OOL576" s="268"/>
      <c r="OOM576" s="268"/>
      <c r="OON576" s="268"/>
      <c r="OOO576" s="268"/>
      <c r="OOP576" s="268"/>
      <c r="OOQ576" s="268"/>
      <c r="OOR576" s="268"/>
      <c r="OOS576" s="268"/>
      <c r="OOT576" s="268"/>
      <c r="OOU576" s="268"/>
      <c r="OOV576" s="268"/>
      <c r="OOW576" s="268"/>
      <c r="OOX576" s="268"/>
      <c r="OOY576" s="268"/>
      <c r="OOZ576" s="268"/>
      <c r="OPA576" s="268"/>
      <c r="OPB576" s="268"/>
      <c r="OPC576" s="268"/>
      <c r="OPD576" s="268"/>
      <c r="OPE576" s="268"/>
      <c r="OPF576" s="268"/>
      <c r="OPG576" s="268"/>
      <c r="OPH576" s="268"/>
      <c r="OPI576" s="268"/>
      <c r="OPJ576" s="268"/>
      <c r="OPK576" s="268"/>
      <c r="OPL576" s="268"/>
      <c r="OPM576" s="268"/>
      <c r="OPN576" s="268"/>
      <c r="OPO576" s="268"/>
      <c r="OPP576" s="268"/>
      <c r="OPQ576" s="268"/>
      <c r="OPR576" s="268"/>
      <c r="OPS576" s="268"/>
      <c r="OPT576" s="268"/>
      <c r="OPU576" s="268"/>
      <c r="OPV576" s="268"/>
      <c r="OPW576" s="268"/>
      <c r="OPX576" s="268"/>
      <c r="OPY576" s="268"/>
      <c r="OPZ576" s="268"/>
      <c r="OQA576" s="268"/>
      <c r="OQB576" s="268"/>
      <c r="OQC576" s="268"/>
      <c r="OQD576" s="268"/>
      <c r="OQE576" s="268"/>
      <c r="OQF576" s="268"/>
      <c r="OQG576" s="268"/>
      <c r="OQH576" s="268"/>
      <c r="OQI576" s="268"/>
      <c r="OQJ576" s="268"/>
      <c r="OQK576" s="268"/>
      <c r="OQL576" s="268"/>
      <c r="OQM576" s="268"/>
      <c r="OQN576" s="268"/>
      <c r="OQO576" s="268"/>
      <c r="OQP576" s="268"/>
      <c r="OQQ576" s="268"/>
      <c r="OQR576" s="268"/>
      <c r="OQS576" s="268"/>
      <c r="OQT576" s="268"/>
      <c r="OQU576" s="268"/>
      <c r="OQV576" s="268"/>
      <c r="OQW576" s="268"/>
      <c r="OQX576" s="268"/>
      <c r="OQY576" s="268"/>
      <c r="OQZ576" s="268"/>
      <c r="ORA576" s="268"/>
      <c r="ORB576" s="268"/>
      <c r="ORC576" s="268"/>
      <c r="ORD576" s="268"/>
      <c r="ORE576" s="268"/>
      <c r="ORF576" s="268"/>
      <c r="ORG576" s="268"/>
      <c r="ORH576" s="268"/>
      <c r="ORI576" s="268"/>
      <c r="ORJ576" s="268"/>
      <c r="ORK576" s="268"/>
      <c r="ORL576" s="268"/>
      <c r="ORM576" s="268"/>
      <c r="ORN576" s="268"/>
      <c r="ORO576" s="268"/>
      <c r="ORP576" s="268"/>
      <c r="ORQ576" s="268"/>
      <c r="ORR576" s="268"/>
      <c r="ORS576" s="268"/>
      <c r="ORT576" s="268"/>
      <c r="ORU576" s="268"/>
      <c r="ORV576" s="268"/>
      <c r="ORW576" s="268"/>
      <c r="ORX576" s="268"/>
      <c r="ORY576" s="268"/>
      <c r="ORZ576" s="268"/>
      <c r="OSA576" s="268"/>
      <c r="OSB576" s="268"/>
      <c r="OSC576" s="268"/>
      <c r="OSD576" s="268"/>
      <c r="OSE576" s="268"/>
      <c r="OSF576" s="268"/>
      <c r="OSG576" s="268"/>
      <c r="OSH576" s="268"/>
      <c r="OSI576" s="268"/>
      <c r="OSJ576" s="268"/>
      <c r="OSK576" s="268"/>
      <c r="OSL576" s="268"/>
      <c r="OSM576" s="268"/>
      <c r="OSN576" s="268"/>
      <c r="OSO576" s="268"/>
      <c r="OSP576" s="268"/>
      <c r="OSQ576" s="268"/>
      <c r="OSR576" s="268"/>
      <c r="OSS576" s="268"/>
      <c r="OST576" s="268"/>
      <c r="OSU576" s="268"/>
      <c r="OSV576" s="268"/>
      <c r="OSW576" s="268"/>
      <c r="OSX576" s="268"/>
      <c r="OSY576" s="268"/>
      <c r="OSZ576" s="268"/>
      <c r="OTA576" s="268"/>
      <c r="OTB576" s="268"/>
      <c r="OTC576" s="268"/>
      <c r="OTD576" s="268"/>
      <c r="OTE576" s="268"/>
      <c r="OTF576" s="268"/>
      <c r="OTG576" s="268"/>
      <c r="OTH576" s="268"/>
      <c r="OTI576" s="268"/>
      <c r="OTJ576" s="268"/>
      <c r="OTK576" s="268"/>
      <c r="OTL576" s="268"/>
      <c r="OTM576" s="268"/>
      <c r="OTN576" s="268"/>
      <c r="OTO576" s="268"/>
      <c r="OTP576" s="268"/>
      <c r="OTQ576" s="268"/>
      <c r="OTR576" s="268"/>
      <c r="OTS576" s="268"/>
      <c r="OTT576" s="268"/>
      <c r="OTU576" s="268"/>
      <c r="OTV576" s="268"/>
      <c r="OTW576" s="268"/>
      <c r="OTX576" s="268"/>
      <c r="OTY576" s="268"/>
      <c r="OTZ576" s="268"/>
      <c r="OUA576" s="268"/>
      <c r="OUB576" s="268"/>
      <c r="OUC576" s="268"/>
      <c r="OUD576" s="268"/>
      <c r="OUE576" s="268"/>
      <c r="OUF576" s="268"/>
      <c r="OUG576" s="268"/>
      <c r="OUH576" s="268"/>
      <c r="OUI576" s="268"/>
      <c r="OUJ576" s="268"/>
      <c r="OUK576" s="268"/>
      <c r="OUL576" s="268"/>
      <c r="OUM576" s="268"/>
      <c r="OUN576" s="268"/>
      <c r="OUO576" s="268"/>
      <c r="OUP576" s="268"/>
      <c r="OUQ576" s="268"/>
      <c r="OUR576" s="268"/>
      <c r="OUS576" s="268"/>
      <c r="OUT576" s="268"/>
      <c r="OUU576" s="268"/>
      <c r="OUV576" s="268"/>
      <c r="OUW576" s="268"/>
      <c r="OUX576" s="268"/>
      <c r="OUY576" s="268"/>
      <c r="OUZ576" s="268"/>
      <c r="OVA576" s="268"/>
      <c r="OVB576" s="268"/>
      <c r="OVC576" s="268"/>
      <c r="OVD576" s="268"/>
      <c r="OVE576" s="268"/>
      <c r="OVF576" s="268"/>
      <c r="OVG576" s="268"/>
      <c r="OVH576" s="268"/>
      <c r="OVI576" s="268"/>
      <c r="OVJ576" s="268"/>
      <c r="OVK576" s="268"/>
      <c r="OVL576" s="268"/>
      <c r="OVM576" s="268"/>
      <c r="OVN576" s="268"/>
      <c r="OVO576" s="268"/>
      <c r="OVP576" s="268"/>
      <c r="OVQ576" s="268"/>
      <c r="OVR576" s="268"/>
      <c r="OVS576" s="268"/>
      <c r="OVT576" s="268"/>
      <c r="OVU576" s="268"/>
      <c r="OVV576" s="268"/>
      <c r="OVW576" s="268"/>
      <c r="OVX576" s="268"/>
      <c r="OVY576" s="268"/>
      <c r="OVZ576" s="268"/>
      <c r="OWA576" s="268"/>
      <c r="OWB576" s="268"/>
      <c r="OWC576" s="268"/>
      <c r="OWD576" s="268"/>
      <c r="OWE576" s="268"/>
      <c r="OWS576" s="268"/>
      <c r="OWT576" s="268"/>
      <c r="OWU576" s="268"/>
      <c r="OXI576" s="268"/>
      <c r="OXK576" s="268"/>
      <c r="OXL576" s="268"/>
      <c r="OXM576" s="268"/>
      <c r="OXN576" s="268"/>
      <c r="OXO576" s="268"/>
      <c r="OXP576" s="268"/>
      <c r="OXQ576" s="268"/>
      <c r="OXR576" s="268"/>
      <c r="OXS576" s="268"/>
      <c r="OXT576" s="268"/>
      <c r="OXU576" s="268"/>
      <c r="OXV576" s="268"/>
      <c r="OXW576" s="268"/>
      <c r="OXX576" s="268"/>
      <c r="OXY576" s="268"/>
      <c r="OXZ576" s="268"/>
      <c r="OYA576" s="268"/>
      <c r="OYB576" s="268"/>
      <c r="OYC576" s="268"/>
      <c r="OYD576" s="268"/>
      <c r="OYE576" s="268"/>
      <c r="OYF576" s="268"/>
      <c r="OYG576" s="268"/>
      <c r="OYH576" s="268"/>
      <c r="OYI576" s="268"/>
      <c r="OYJ576" s="268"/>
      <c r="OYK576" s="268"/>
      <c r="OYL576" s="268"/>
      <c r="OYM576" s="268"/>
      <c r="OYN576" s="268"/>
      <c r="OYO576" s="268"/>
      <c r="OYP576" s="268"/>
      <c r="OYQ576" s="268"/>
      <c r="OYR576" s="268"/>
      <c r="OYS576" s="268"/>
      <c r="OYT576" s="268"/>
      <c r="OYU576" s="268"/>
      <c r="OYV576" s="268"/>
      <c r="OYW576" s="268"/>
      <c r="OYX576" s="268"/>
      <c r="OYY576" s="268"/>
      <c r="OYZ576" s="268"/>
      <c r="OZA576" s="268"/>
      <c r="OZB576" s="268"/>
      <c r="OZC576" s="268"/>
      <c r="OZD576" s="268"/>
      <c r="OZE576" s="268"/>
      <c r="OZF576" s="268"/>
      <c r="OZG576" s="268"/>
      <c r="OZH576" s="268"/>
      <c r="OZI576" s="268"/>
      <c r="OZJ576" s="268"/>
      <c r="OZK576" s="268"/>
      <c r="OZL576" s="268"/>
      <c r="OZM576" s="268"/>
      <c r="OZN576" s="268"/>
      <c r="OZO576" s="268"/>
      <c r="OZP576" s="268"/>
      <c r="OZQ576" s="268"/>
      <c r="OZR576" s="268"/>
      <c r="OZS576" s="268"/>
      <c r="OZT576" s="268"/>
      <c r="OZU576" s="268"/>
      <c r="OZV576" s="268"/>
      <c r="OZW576" s="268"/>
      <c r="OZX576" s="268"/>
      <c r="OZY576" s="268"/>
      <c r="OZZ576" s="268"/>
      <c r="PAA576" s="268"/>
      <c r="PAB576" s="268"/>
      <c r="PAC576" s="268"/>
      <c r="PAD576" s="268"/>
      <c r="PAE576" s="268"/>
      <c r="PAF576" s="268"/>
      <c r="PAG576" s="268"/>
      <c r="PAH576" s="268"/>
      <c r="PAI576" s="268"/>
      <c r="PAJ576" s="268"/>
      <c r="PAK576" s="268"/>
      <c r="PAL576" s="268"/>
      <c r="PAM576" s="268"/>
      <c r="PAN576" s="268"/>
      <c r="PAO576" s="268"/>
      <c r="PAP576" s="268"/>
      <c r="PAQ576" s="268"/>
      <c r="PAR576" s="268"/>
      <c r="PAS576" s="268"/>
      <c r="PAT576" s="268"/>
      <c r="PAU576" s="268"/>
      <c r="PAV576" s="268"/>
      <c r="PAW576" s="268"/>
      <c r="PAX576" s="268"/>
      <c r="PAY576" s="268"/>
      <c r="PAZ576" s="268"/>
      <c r="PBA576" s="268"/>
      <c r="PBB576" s="268"/>
      <c r="PBC576" s="268"/>
      <c r="PBD576" s="268"/>
      <c r="PBE576" s="268"/>
      <c r="PBF576" s="268"/>
      <c r="PBG576" s="268"/>
      <c r="PBH576" s="268"/>
      <c r="PBI576" s="268"/>
      <c r="PBJ576" s="268"/>
      <c r="PBK576" s="268"/>
      <c r="PBL576" s="268"/>
      <c r="PBM576" s="268"/>
      <c r="PBN576" s="268"/>
      <c r="PBO576" s="268"/>
      <c r="PBP576" s="268"/>
      <c r="PBQ576" s="268"/>
      <c r="PBR576" s="268"/>
      <c r="PBS576" s="268"/>
      <c r="PBT576" s="268"/>
      <c r="PBU576" s="268"/>
      <c r="PBV576" s="268"/>
      <c r="PBW576" s="268"/>
      <c r="PBX576" s="268"/>
      <c r="PBY576" s="268"/>
      <c r="PBZ576" s="268"/>
      <c r="PCA576" s="268"/>
      <c r="PCB576" s="268"/>
      <c r="PCC576" s="268"/>
      <c r="PCD576" s="268"/>
      <c r="PCE576" s="268"/>
      <c r="PCF576" s="268"/>
      <c r="PCG576" s="268"/>
      <c r="PCH576" s="268"/>
      <c r="PCI576" s="268"/>
      <c r="PCJ576" s="268"/>
      <c r="PCK576" s="268"/>
      <c r="PCL576" s="268"/>
      <c r="PCM576" s="268"/>
      <c r="PCN576" s="268"/>
      <c r="PCO576" s="268"/>
      <c r="PCP576" s="268"/>
      <c r="PCQ576" s="268"/>
      <c r="PCR576" s="268"/>
      <c r="PCS576" s="268"/>
      <c r="PCT576" s="268"/>
      <c r="PCU576" s="268"/>
      <c r="PCV576" s="268"/>
      <c r="PCW576" s="268"/>
      <c r="PCX576" s="268"/>
      <c r="PCY576" s="268"/>
      <c r="PCZ576" s="268"/>
      <c r="PDA576" s="268"/>
      <c r="PDB576" s="268"/>
      <c r="PDC576" s="268"/>
      <c r="PDD576" s="268"/>
      <c r="PDE576" s="268"/>
      <c r="PDF576" s="268"/>
      <c r="PDG576" s="268"/>
      <c r="PDH576" s="268"/>
      <c r="PDI576" s="268"/>
      <c r="PDJ576" s="268"/>
      <c r="PDK576" s="268"/>
      <c r="PDL576" s="268"/>
      <c r="PDM576" s="268"/>
      <c r="PDN576" s="268"/>
      <c r="PDO576" s="268"/>
      <c r="PDP576" s="268"/>
      <c r="PDQ576" s="268"/>
      <c r="PDR576" s="268"/>
      <c r="PDS576" s="268"/>
      <c r="PDT576" s="268"/>
      <c r="PDU576" s="268"/>
      <c r="PDV576" s="268"/>
      <c r="PDW576" s="268"/>
      <c r="PDX576" s="268"/>
      <c r="PDY576" s="268"/>
      <c r="PDZ576" s="268"/>
      <c r="PEA576" s="268"/>
      <c r="PEB576" s="268"/>
      <c r="PEC576" s="268"/>
      <c r="PED576" s="268"/>
      <c r="PEE576" s="268"/>
      <c r="PEF576" s="268"/>
      <c r="PEG576" s="268"/>
      <c r="PEH576" s="268"/>
      <c r="PEI576" s="268"/>
      <c r="PEJ576" s="268"/>
      <c r="PEK576" s="268"/>
      <c r="PEL576" s="268"/>
      <c r="PEM576" s="268"/>
      <c r="PEN576" s="268"/>
      <c r="PEO576" s="268"/>
      <c r="PEP576" s="268"/>
      <c r="PEQ576" s="268"/>
      <c r="PER576" s="268"/>
      <c r="PES576" s="268"/>
      <c r="PET576" s="268"/>
      <c r="PEU576" s="268"/>
      <c r="PEV576" s="268"/>
      <c r="PEW576" s="268"/>
      <c r="PEX576" s="268"/>
      <c r="PEY576" s="268"/>
      <c r="PEZ576" s="268"/>
      <c r="PFA576" s="268"/>
      <c r="PFB576" s="268"/>
      <c r="PFC576" s="268"/>
      <c r="PFD576" s="268"/>
      <c r="PFE576" s="268"/>
      <c r="PFF576" s="268"/>
      <c r="PFG576" s="268"/>
      <c r="PFH576" s="268"/>
      <c r="PFI576" s="268"/>
      <c r="PFJ576" s="268"/>
      <c r="PFK576" s="268"/>
      <c r="PFL576" s="268"/>
      <c r="PFM576" s="268"/>
      <c r="PFN576" s="268"/>
      <c r="PFO576" s="268"/>
      <c r="PFP576" s="268"/>
      <c r="PFQ576" s="268"/>
      <c r="PFR576" s="268"/>
      <c r="PFS576" s="268"/>
      <c r="PFT576" s="268"/>
      <c r="PFU576" s="268"/>
      <c r="PFV576" s="268"/>
      <c r="PFW576" s="268"/>
      <c r="PFX576" s="268"/>
      <c r="PFY576" s="268"/>
      <c r="PFZ576" s="268"/>
      <c r="PGA576" s="268"/>
      <c r="PGO576" s="268"/>
      <c r="PGP576" s="268"/>
      <c r="PGQ576" s="268"/>
      <c r="PHE576" s="268"/>
      <c r="PHG576" s="268"/>
      <c r="PHH576" s="268"/>
      <c r="PHI576" s="268"/>
      <c r="PHJ576" s="268"/>
      <c r="PHK576" s="268"/>
      <c r="PHL576" s="268"/>
      <c r="PHM576" s="268"/>
      <c r="PHN576" s="268"/>
      <c r="PHO576" s="268"/>
      <c r="PHP576" s="268"/>
      <c r="PHQ576" s="268"/>
      <c r="PHR576" s="268"/>
      <c r="PHS576" s="268"/>
      <c r="PHT576" s="268"/>
      <c r="PHU576" s="268"/>
      <c r="PHV576" s="268"/>
      <c r="PHW576" s="268"/>
      <c r="PHX576" s="268"/>
      <c r="PHY576" s="268"/>
      <c r="PHZ576" s="268"/>
      <c r="PIA576" s="268"/>
      <c r="PIB576" s="268"/>
      <c r="PIC576" s="268"/>
      <c r="PID576" s="268"/>
      <c r="PIE576" s="268"/>
      <c r="PIF576" s="268"/>
      <c r="PIG576" s="268"/>
      <c r="PIH576" s="268"/>
      <c r="PII576" s="268"/>
      <c r="PIJ576" s="268"/>
      <c r="PIK576" s="268"/>
      <c r="PIL576" s="268"/>
      <c r="PIM576" s="268"/>
      <c r="PIN576" s="268"/>
      <c r="PIO576" s="268"/>
      <c r="PIP576" s="268"/>
      <c r="PIQ576" s="268"/>
      <c r="PIR576" s="268"/>
      <c r="PIS576" s="268"/>
      <c r="PIT576" s="268"/>
      <c r="PIU576" s="268"/>
      <c r="PIV576" s="268"/>
      <c r="PIW576" s="268"/>
      <c r="PIX576" s="268"/>
      <c r="PIY576" s="268"/>
      <c r="PIZ576" s="268"/>
      <c r="PJA576" s="268"/>
      <c r="PJB576" s="268"/>
      <c r="PJC576" s="268"/>
      <c r="PJD576" s="268"/>
      <c r="PJE576" s="268"/>
      <c r="PJF576" s="268"/>
      <c r="PJG576" s="268"/>
      <c r="PJH576" s="268"/>
      <c r="PJI576" s="268"/>
      <c r="PJJ576" s="268"/>
      <c r="PJK576" s="268"/>
      <c r="PJL576" s="268"/>
      <c r="PJM576" s="268"/>
      <c r="PJN576" s="268"/>
      <c r="PJO576" s="268"/>
      <c r="PJP576" s="268"/>
      <c r="PJQ576" s="268"/>
      <c r="PJR576" s="268"/>
      <c r="PJS576" s="268"/>
      <c r="PJT576" s="268"/>
      <c r="PJU576" s="268"/>
      <c r="PJV576" s="268"/>
      <c r="PJW576" s="268"/>
      <c r="PJX576" s="268"/>
      <c r="PJY576" s="268"/>
      <c r="PJZ576" s="268"/>
      <c r="PKA576" s="268"/>
      <c r="PKB576" s="268"/>
      <c r="PKC576" s="268"/>
      <c r="PKD576" s="268"/>
      <c r="PKE576" s="268"/>
      <c r="PKF576" s="268"/>
      <c r="PKG576" s="268"/>
      <c r="PKH576" s="268"/>
      <c r="PKI576" s="268"/>
      <c r="PKJ576" s="268"/>
      <c r="PKK576" s="268"/>
      <c r="PKL576" s="268"/>
      <c r="PKM576" s="268"/>
      <c r="PKN576" s="268"/>
      <c r="PKO576" s="268"/>
      <c r="PKP576" s="268"/>
      <c r="PKQ576" s="268"/>
      <c r="PKR576" s="268"/>
      <c r="PKS576" s="268"/>
      <c r="PKT576" s="268"/>
      <c r="PKU576" s="268"/>
      <c r="PKV576" s="268"/>
      <c r="PKW576" s="268"/>
      <c r="PKX576" s="268"/>
      <c r="PKY576" s="268"/>
      <c r="PKZ576" s="268"/>
      <c r="PLA576" s="268"/>
      <c r="PLB576" s="268"/>
      <c r="PLC576" s="268"/>
      <c r="PLD576" s="268"/>
      <c r="PLE576" s="268"/>
      <c r="PLF576" s="268"/>
      <c r="PLG576" s="268"/>
      <c r="PLH576" s="268"/>
      <c r="PLI576" s="268"/>
      <c r="PLJ576" s="268"/>
      <c r="PLK576" s="268"/>
      <c r="PLL576" s="268"/>
      <c r="PLM576" s="268"/>
      <c r="PLN576" s="268"/>
      <c r="PLO576" s="268"/>
      <c r="PLP576" s="268"/>
      <c r="PLQ576" s="268"/>
      <c r="PLR576" s="268"/>
      <c r="PLS576" s="268"/>
      <c r="PLT576" s="268"/>
      <c r="PLU576" s="268"/>
      <c r="PLV576" s="268"/>
      <c r="PLW576" s="268"/>
      <c r="PLX576" s="268"/>
      <c r="PLY576" s="268"/>
      <c r="PLZ576" s="268"/>
      <c r="PMA576" s="268"/>
      <c r="PMB576" s="268"/>
      <c r="PMC576" s="268"/>
      <c r="PMD576" s="268"/>
      <c r="PME576" s="268"/>
      <c r="PMF576" s="268"/>
      <c r="PMG576" s="268"/>
      <c r="PMH576" s="268"/>
      <c r="PMI576" s="268"/>
      <c r="PMJ576" s="268"/>
      <c r="PMK576" s="268"/>
      <c r="PML576" s="268"/>
      <c r="PMM576" s="268"/>
      <c r="PMN576" s="268"/>
      <c r="PMO576" s="268"/>
      <c r="PMP576" s="268"/>
      <c r="PMQ576" s="268"/>
      <c r="PMR576" s="268"/>
      <c r="PMS576" s="268"/>
      <c r="PMT576" s="268"/>
      <c r="PMU576" s="268"/>
      <c r="PMV576" s="268"/>
      <c r="PMW576" s="268"/>
      <c r="PMX576" s="268"/>
      <c r="PMY576" s="268"/>
      <c r="PMZ576" s="268"/>
      <c r="PNA576" s="268"/>
      <c r="PNB576" s="268"/>
      <c r="PNC576" s="268"/>
      <c r="PND576" s="268"/>
      <c r="PNE576" s="268"/>
      <c r="PNF576" s="268"/>
      <c r="PNG576" s="268"/>
      <c r="PNH576" s="268"/>
      <c r="PNI576" s="268"/>
      <c r="PNJ576" s="268"/>
      <c r="PNK576" s="268"/>
      <c r="PNL576" s="268"/>
      <c r="PNM576" s="268"/>
      <c r="PNN576" s="268"/>
      <c r="PNO576" s="268"/>
      <c r="PNP576" s="268"/>
      <c r="PNQ576" s="268"/>
      <c r="PNR576" s="268"/>
      <c r="PNS576" s="268"/>
      <c r="PNT576" s="268"/>
      <c r="PNU576" s="268"/>
      <c r="PNV576" s="268"/>
      <c r="PNW576" s="268"/>
      <c r="PNX576" s="268"/>
      <c r="PNY576" s="268"/>
      <c r="PNZ576" s="268"/>
      <c r="POA576" s="268"/>
      <c r="POB576" s="268"/>
      <c r="POC576" s="268"/>
      <c r="POD576" s="268"/>
      <c r="POE576" s="268"/>
      <c r="POF576" s="268"/>
      <c r="POG576" s="268"/>
      <c r="POH576" s="268"/>
      <c r="POI576" s="268"/>
      <c r="POJ576" s="268"/>
      <c r="POK576" s="268"/>
      <c r="POL576" s="268"/>
      <c r="POM576" s="268"/>
      <c r="PON576" s="268"/>
      <c r="POO576" s="268"/>
      <c r="POP576" s="268"/>
      <c r="POQ576" s="268"/>
      <c r="POR576" s="268"/>
      <c r="POS576" s="268"/>
      <c r="POT576" s="268"/>
      <c r="POU576" s="268"/>
      <c r="POV576" s="268"/>
      <c r="POW576" s="268"/>
      <c r="POX576" s="268"/>
      <c r="POY576" s="268"/>
      <c r="POZ576" s="268"/>
      <c r="PPA576" s="268"/>
      <c r="PPB576" s="268"/>
      <c r="PPC576" s="268"/>
      <c r="PPD576" s="268"/>
      <c r="PPE576" s="268"/>
      <c r="PPF576" s="268"/>
      <c r="PPG576" s="268"/>
      <c r="PPH576" s="268"/>
      <c r="PPI576" s="268"/>
      <c r="PPJ576" s="268"/>
      <c r="PPK576" s="268"/>
      <c r="PPL576" s="268"/>
      <c r="PPM576" s="268"/>
      <c r="PPN576" s="268"/>
      <c r="PPO576" s="268"/>
      <c r="PPP576" s="268"/>
      <c r="PPQ576" s="268"/>
      <c r="PPR576" s="268"/>
      <c r="PPS576" s="268"/>
      <c r="PPT576" s="268"/>
      <c r="PPU576" s="268"/>
      <c r="PPV576" s="268"/>
      <c r="PPW576" s="268"/>
      <c r="PQK576" s="268"/>
      <c r="PQL576" s="268"/>
      <c r="PQM576" s="268"/>
      <c r="PRA576" s="268"/>
      <c r="PRC576" s="268"/>
      <c r="PRD576" s="268"/>
      <c r="PRE576" s="268"/>
      <c r="PRF576" s="268"/>
      <c r="PRG576" s="268"/>
      <c r="PRH576" s="268"/>
      <c r="PRI576" s="268"/>
      <c r="PRJ576" s="268"/>
      <c r="PRK576" s="268"/>
      <c r="PRL576" s="268"/>
      <c r="PRM576" s="268"/>
      <c r="PRN576" s="268"/>
      <c r="PRO576" s="268"/>
      <c r="PRP576" s="268"/>
      <c r="PRQ576" s="268"/>
      <c r="PRR576" s="268"/>
      <c r="PRS576" s="268"/>
      <c r="PRT576" s="268"/>
      <c r="PRU576" s="268"/>
      <c r="PRV576" s="268"/>
      <c r="PRW576" s="268"/>
      <c r="PRX576" s="268"/>
      <c r="PRY576" s="268"/>
      <c r="PRZ576" s="268"/>
      <c r="PSA576" s="268"/>
      <c r="PSB576" s="268"/>
      <c r="PSC576" s="268"/>
      <c r="PSD576" s="268"/>
      <c r="PSE576" s="268"/>
      <c r="PSF576" s="268"/>
      <c r="PSG576" s="268"/>
      <c r="PSH576" s="268"/>
      <c r="PSI576" s="268"/>
      <c r="PSJ576" s="268"/>
      <c r="PSK576" s="268"/>
      <c r="PSL576" s="268"/>
      <c r="PSM576" s="268"/>
      <c r="PSN576" s="268"/>
      <c r="PSO576" s="268"/>
      <c r="PSP576" s="268"/>
      <c r="PSQ576" s="268"/>
      <c r="PSR576" s="268"/>
      <c r="PSS576" s="268"/>
      <c r="PST576" s="268"/>
      <c r="PSU576" s="268"/>
      <c r="PSV576" s="268"/>
      <c r="PSW576" s="268"/>
      <c r="PSX576" s="268"/>
      <c r="PSY576" s="268"/>
      <c r="PSZ576" s="268"/>
      <c r="PTA576" s="268"/>
      <c r="PTB576" s="268"/>
      <c r="PTC576" s="268"/>
      <c r="PTD576" s="268"/>
      <c r="PTE576" s="268"/>
      <c r="PTF576" s="268"/>
      <c r="PTG576" s="268"/>
      <c r="PTH576" s="268"/>
      <c r="PTI576" s="268"/>
      <c r="PTJ576" s="268"/>
      <c r="PTK576" s="268"/>
      <c r="PTL576" s="268"/>
      <c r="PTM576" s="268"/>
      <c r="PTN576" s="268"/>
      <c r="PTO576" s="268"/>
      <c r="PTP576" s="268"/>
      <c r="PTQ576" s="268"/>
      <c r="PTR576" s="268"/>
      <c r="PTS576" s="268"/>
      <c r="PTT576" s="268"/>
      <c r="PTU576" s="268"/>
      <c r="PTV576" s="268"/>
      <c r="PTW576" s="268"/>
      <c r="PTX576" s="268"/>
      <c r="PTY576" s="268"/>
      <c r="PTZ576" s="268"/>
      <c r="PUA576" s="268"/>
      <c r="PUB576" s="268"/>
      <c r="PUC576" s="268"/>
      <c r="PUD576" s="268"/>
      <c r="PUE576" s="268"/>
      <c r="PUF576" s="268"/>
      <c r="PUG576" s="268"/>
      <c r="PUH576" s="268"/>
      <c r="PUI576" s="268"/>
      <c r="PUJ576" s="268"/>
      <c r="PUK576" s="268"/>
      <c r="PUL576" s="268"/>
      <c r="PUM576" s="268"/>
      <c r="PUN576" s="268"/>
      <c r="PUO576" s="268"/>
      <c r="PUP576" s="268"/>
      <c r="PUQ576" s="268"/>
      <c r="PUR576" s="268"/>
      <c r="PUS576" s="268"/>
      <c r="PUT576" s="268"/>
      <c r="PUU576" s="268"/>
      <c r="PUV576" s="268"/>
      <c r="PUW576" s="268"/>
      <c r="PUX576" s="268"/>
      <c r="PUY576" s="268"/>
      <c r="PUZ576" s="268"/>
      <c r="PVA576" s="268"/>
      <c r="PVB576" s="268"/>
      <c r="PVC576" s="268"/>
      <c r="PVD576" s="268"/>
      <c r="PVE576" s="268"/>
      <c r="PVF576" s="268"/>
      <c r="PVG576" s="268"/>
      <c r="PVH576" s="268"/>
      <c r="PVI576" s="268"/>
      <c r="PVJ576" s="268"/>
      <c r="PVK576" s="268"/>
      <c r="PVL576" s="268"/>
      <c r="PVM576" s="268"/>
      <c r="PVN576" s="268"/>
      <c r="PVO576" s="268"/>
      <c r="PVP576" s="268"/>
      <c r="PVQ576" s="268"/>
      <c r="PVR576" s="268"/>
      <c r="PVS576" s="268"/>
      <c r="PVT576" s="268"/>
      <c r="PVU576" s="268"/>
      <c r="PVV576" s="268"/>
      <c r="PVW576" s="268"/>
      <c r="PVX576" s="268"/>
      <c r="PVY576" s="268"/>
      <c r="PVZ576" s="268"/>
      <c r="PWA576" s="268"/>
      <c r="PWB576" s="268"/>
      <c r="PWC576" s="268"/>
      <c r="PWD576" s="268"/>
      <c r="PWE576" s="268"/>
      <c r="PWF576" s="268"/>
      <c r="PWG576" s="268"/>
      <c r="PWH576" s="268"/>
      <c r="PWI576" s="268"/>
      <c r="PWJ576" s="268"/>
      <c r="PWK576" s="268"/>
      <c r="PWL576" s="268"/>
      <c r="PWM576" s="268"/>
      <c r="PWN576" s="268"/>
      <c r="PWO576" s="268"/>
      <c r="PWP576" s="268"/>
      <c r="PWQ576" s="268"/>
      <c r="PWR576" s="268"/>
      <c r="PWS576" s="268"/>
      <c r="PWT576" s="268"/>
      <c r="PWU576" s="268"/>
      <c r="PWV576" s="268"/>
      <c r="PWW576" s="268"/>
      <c r="PWX576" s="268"/>
      <c r="PWY576" s="268"/>
      <c r="PWZ576" s="268"/>
      <c r="PXA576" s="268"/>
      <c r="PXB576" s="268"/>
      <c r="PXC576" s="268"/>
      <c r="PXD576" s="268"/>
      <c r="PXE576" s="268"/>
      <c r="PXF576" s="268"/>
      <c r="PXG576" s="268"/>
      <c r="PXH576" s="268"/>
      <c r="PXI576" s="268"/>
      <c r="PXJ576" s="268"/>
      <c r="PXK576" s="268"/>
      <c r="PXL576" s="268"/>
      <c r="PXM576" s="268"/>
      <c r="PXN576" s="268"/>
      <c r="PXO576" s="268"/>
      <c r="PXP576" s="268"/>
      <c r="PXQ576" s="268"/>
      <c r="PXR576" s="268"/>
      <c r="PXS576" s="268"/>
      <c r="PXT576" s="268"/>
      <c r="PXU576" s="268"/>
      <c r="PXV576" s="268"/>
      <c r="PXW576" s="268"/>
      <c r="PXX576" s="268"/>
      <c r="PXY576" s="268"/>
      <c r="PXZ576" s="268"/>
      <c r="PYA576" s="268"/>
      <c r="PYB576" s="268"/>
      <c r="PYC576" s="268"/>
      <c r="PYD576" s="268"/>
      <c r="PYE576" s="268"/>
      <c r="PYF576" s="268"/>
      <c r="PYG576" s="268"/>
      <c r="PYH576" s="268"/>
      <c r="PYI576" s="268"/>
      <c r="PYJ576" s="268"/>
      <c r="PYK576" s="268"/>
      <c r="PYL576" s="268"/>
      <c r="PYM576" s="268"/>
      <c r="PYN576" s="268"/>
      <c r="PYO576" s="268"/>
      <c r="PYP576" s="268"/>
      <c r="PYQ576" s="268"/>
      <c r="PYR576" s="268"/>
      <c r="PYS576" s="268"/>
      <c r="PYT576" s="268"/>
      <c r="PYU576" s="268"/>
      <c r="PYV576" s="268"/>
      <c r="PYW576" s="268"/>
      <c r="PYX576" s="268"/>
      <c r="PYY576" s="268"/>
      <c r="PYZ576" s="268"/>
      <c r="PZA576" s="268"/>
      <c r="PZB576" s="268"/>
      <c r="PZC576" s="268"/>
      <c r="PZD576" s="268"/>
      <c r="PZE576" s="268"/>
      <c r="PZF576" s="268"/>
      <c r="PZG576" s="268"/>
      <c r="PZH576" s="268"/>
      <c r="PZI576" s="268"/>
      <c r="PZJ576" s="268"/>
      <c r="PZK576" s="268"/>
      <c r="PZL576" s="268"/>
      <c r="PZM576" s="268"/>
      <c r="PZN576" s="268"/>
      <c r="PZO576" s="268"/>
      <c r="PZP576" s="268"/>
      <c r="PZQ576" s="268"/>
      <c r="PZR576" s="268"/>
      <c r="PZS576" s="268"/>
      <c r="QAG576" s="268"/>
      <c r="QAH576" s="268"/>
      <c r="QAI576" s="268"/>
      <c r="QAW576" s="268"/>
      <c r="QAY576" s="268"/>
      <c r="QAZ576" s="268"/>
      <c r="QBA576" s="268"/>
      <c r="QBB576" s="268"/>
      <c r="QBC576" s="268"/>
      <c r="QBD576" s="268"/>
      <c r="QBE576" s="268"/>
      <c r="QBF576" s="268"/>
      <c r="QBG576" s="268"/>
      <c r="QBH576" s="268"/>
      <c r="QBI576" s="268"/>
      <c r="QBJ576" s="268"/>
      <c r="QBK576" s="268"/>
      <c r="QBL576" s="268"/>
      <c r="QBM576" s="268"/>
      <c r="QBN576" s="268"/>
      <c r="QBO576" s="268"/>
      <c r="QBP576" s="268"/>
      <c r="QBQ576" s="268"/>
      <c r="QBR576" s="268"/>
      <c r="QBS576" s="268"/>
      <c r="QBT576" s="268"/>
      <c r="QBU576" s="268"/>
      <c r="QBV576" s="268"/>
      <c r="QBW576" s="268"/>
      <c r="QBX576" s="268"/>
      <c r="QBY576" s="268"/>
      <c r="QBZ576" s="268"/>
      <c r="QCA576" s="268"/>
      <c r="QCB576" s="268"/>
      <c r="QCC576" s="268"/>
      <c r="QCD576" s="268"/>
      <c r="QCE576" s="268"/>
      <c r="QCF576" s="268"/>
      <c r="QCG576" s="268"/>
      <c r="QCH576" s="268"/>
      <c r="QCI576" s="268"/>
      <c r="QCJ576" s="268"/>
      <c r="QCK576" s="268"/>
      <c r="QCL576" s="268"/>
      <c r="QCM576" s="268"/>
      <c r="QCN576" s="268"/>
      <c r="QCO576" s="268"/>
      <c r="QCP576" s="268"/>
      <c r="QCQ576" s="268"/>
      <c r="QCR576" s="268"/>
      <c r="QCS576" s="268"/>
      <c r="QCT576" s="268"/>
      <c r="QCU576" s="268"/>
      <c r="QCV576" s="268"/>
      <c r="QCW576" s="268"/>
      <c r="QCX576" s="268"/>
      <c r="QCY576" s="268"/>
      <c r="QCZ576" s="268"/>
      <c r="QDA576" s="268"/>
      <c r="QDB576" s="268"/>
      <c r="QDC576" s="268"/>
      <c r="QDD576" s="268"/>
      <c r="QDE576" s="268"/>
      <c r="QDF576" s="268"/>
      <c r="QDG576" s="268"/>
      <c r="QDH576" s="268"/>
      <c r="QDI576" s="268"/>
      <c r="QDJ576" s="268"/>
      <c r="QDK576" s="268"/>
      <c r="QDL576" s="268"/>
      <c r="QDM576" s="268"/>
      <c r="QDN576" s="268"/>
      <c r="QDO576" s="268"/>
      <c r="QDP576" s="268"/>
      <c r="QDQ576" s="268"/>
      <c r="QDR576" s="268"/>
      <c r="QDS576" s="268"/>
      <c r="QDT576" s="268"/>
      <c r="QDU576" s="268"/>
      <c r="QDV576" s="268"/>
      <c r="QDW576" s="268"/>
      <c r="QDX576" s="268"/>
      <c r="QDY576" s="268"/>
      <c r="QDZ576" s="268"/>
      <c r="QEA576" s="268"/>
      <c r="QEB576" s="268"/>
      <c r="QEC576" s="268"/>
      <c r="QED576" s="268"/>
      <c r="QEE576" s="268"/>
      <c r="QEF576" s="268"/>
      <c r="QEG576" s="268"/>
      <c r="QEH576" s="268"/>
      <c r="QEI576" s="268"/>
      <c r="QEJ576" s="268"/>
      <c r="QEK576" s="268"/>
      <c r="QEL576" s="268"/>
      <c r="QEM576" s="268"/>
      <c r="QEN576" s="268"/>
      <c r="QEO576" s="268"/>
      <c r="QEP576" s="268"/>
      <c r="QEQ576" s="268"/>
      <c r="QER576" s="268"/>
      <c r="QES576" s="268"/>
      <c r="QET576" s="268"/>
      <c r="QEU576" s="268"/>
      <c r="QEV576" s="268"/>
      <c r="QEW576" s="268"/>
      <c r="QEX576" s="268"/>
      <c r="QEY576" s="268"/>
      <c r="QEZ576" s="268"/>
      <c r="QFA576" s="268"/>
      <c r="QFB576" s="268"/>
      <c r="QFC576" s="268"/>
      <c r="QFD576" s="268"/>
      <c r="QFE576" s="268"/>
      <c r="QFF576" s="268"/>
      <c r="QFG576" s="268"/>
      <c r="QFH576" s="268"/>
      <c r="QFI576" s="268"/>
      <c r="QFJ576" s="268"/>
      <c r="QFK576" s="268"/>
      <c r="QFL576" s="268"/>
      <c r="QFM576" s="268"/>
      <c r="QFN576" s="268"/>
      <c r="QFO576" s="268"/>
      <c r="QFP576" s="268"/>
      <c r="QFQ576" s="268"/>
      <c r="QFR576" s="268"/>
      <c r="QFS576" s="268"/>
      <c r="QFT576" s="268"/>
      <c r="QFU576" s="268"/>
      <c r="QFV576" s="268"/>
      <c r="QFW576" s="268"/>
      <c r="QFX576" s="268"/>
      <c r="QFY576" s="268"/>
      <c r="QFZ576" s="268"/>
      <c r="QGA576" s="268"/>
      <c r="QGB576" s="268"/>
      <c r="QGC576" s="268"/>
      <c r="QGD576" s="268"/>
      <c r="QGE576" s="268"/>
      <c r="QGF576" s="268"/>
      <c r="QGG576" s="268"/>
      <c r="QGH576" s="268"/>
      <c r="QGI576" s="268"/>
      <c r="QGJ576" s="268"/>
      <c r="QGK576" s="268"/>
      <c r="QGL576" s="268"/>
      <c r="QGM576" s="268"/>
      <c r="QGN576" s="268"/>
      <c r="QGO576" s="268"/>
      <c r="QGP576" s="268"/>
      <c r="QGQ576" s="268"/>
      <c r="QGR576" s="268"/>
      <c r="QGS576" s="268"/>
      <c r="QGT576" s="268"/>
      <c r="QGU576" s="268"/>
      <c r="QGV576" s="268"/>
      <c r="QGW576" s="268"/>
      <c r="QGX576" s="268"/>
      <c r="QGY576" s="268"/>
      <c r="QGZ576" s="268"/>
      <c r="QHA576" s="268"/>
      <c r="QHB576" s="268"/>
      <c r="QHC576" s="268"/>
      <c r="QHD576" s="268"/>
      <c r="QHE576" s="268"/>
      <c r="QHF576" s="268"/>
      <c r="QHG576" s="268"/>
      <c r="QHH576" s="268"/>
      <c r="QHI576" s="268"/>
      <c r="QHJ576" s="268"/>
      <c r="QHK576" s="268"/>
      <c r="QHL576" s="268"/>
      <c r="QHM576" s="268"/>
      <c r="QHN576" s="268"/>
      <c r="QHO576" s="268"/>
      <c r="QHP576" s="268"/>
      <c r="QHQ576" s="268"/>
      <c r="QHR576" s="268"/>
      <c r="QHS576" s="268"/>
      <c r="QHT576" s="268"/>
      <c r="QHU576" s="268"/>
      <c r="QHV576" s="268"/>
      <c r="QHW576" s="268"/>
      <c r="QHX576" s="268"/>
      <c r="QHY576" s="268"/>
      <c r="QHZ576" s="268"/>
      <c r="QIA576" s="268"/>
      <c r="QIB576" s="268"/>
      <c r="QIC576" s="268"/>
      <c r="QID576" s="268"/>
      <c r="QIE576" s="268"/>
      <c r="QIF576" s="268"/>
      <c r="QIG576" s="268"/>
      <c r="QIH576" s="268"/>
      <c r="QII576" s="268"/>
      <c r="QIJ576" s="268"/>
      <c r="QIK576" s="268"/>
      <c r="QIL576" s="268"/>
      <c r="QIM576" s="268"/>
      <c r="QIN576" s="268"/>
      <c r="QIO576" s="268"/>
      <c r="QIP576" s="268"/>
      <c r="QIQ576" s="268"/>
      <c r="QIR576" s="268"/>
      <c r="QIS576" s="268"/>
      <c r="QIT576" s="268"/>
      <c r="QIU576" s="268"/>
      <c r="QIV576" s="268"/>
      <c r="QIW576" s="268"/>
      <c r="QIX576" s="268"/>
      <c r="QIY576" s="268"/>
      <c r="QIZ576" s="268"/>
      <c r="QJA576" s="268"/>
      <c r="QJB576" s="268"/>
      <c r="QJC576" s="268"/>
      <c r="QJD576" s="268"/>
      <c r="QJE576" s="268"/>
      <c r="QJF576" s="268"/>
      <c r="QJG576" s="268"/>
      <c r="QJH576" s="268"/>
      <c r="QJI576" s="268"/>
      <c r="QJJ576" s="268"/>
      <c r="QJK576" s="268"/>
      <c r="QJL576" s="268"/>
      <c r="QJM576" s="268"/>
      <c r="QJN576" s="268"/>
      <c r="QJO576" s="268"/>
      <c r="QKC576" s="268"/>
      <c r="QKD576" s="268"/>
      <c r="QKE576" s="268"/>
      <c r="QKS576" s="268"/>
      <c r="QKU576" s="268"/>
      <c r="QKV576" s="268"/>
      <c r="QKW576" s="268"/>
      <c r="QKX576" s="268"/>
      <c r="QKY576" s="268"/>
      <c r="QKZ576" s="268"/>
      <c r="QLA576" s="268"/>
      <c r="QLB576" s="268"/>
      <c r="QLC576" s="268"/>
      <c r="QLD576" s="268"/>
      <c r="QLE576" s="268"/>
      <c r="QLF576" s="268"/>
      <c r="QLG576" s="268"/>
      <c r="QLH576" s="268"/>
      <c r="QLI576" s="268"/>
      <c r="QLJ576" s="268"/>
      <c r="QLK576" s="268"/>
      <c r="QLL576" s="268"/>
      <c r="QLM576" s="268"/>
      <c r="QLN576" s="268"/>
      <c r="QLO576" s="268"/>
      <c r="QLP576" s="268"/>
      <c r="QLQ576" s="268"/>
      <c r="QLR576" s="268"/>
      <c r="QLS576" s="268"/>
      <c r="QLT576" s="268"/>
      <c r="QLU576" s="268"/>
      <c r="QLV576" s="268"/>
      <c r="QLW576" s="268"/>
      <c r="QLX576" s="268"/>
      <c r="QLY576" s="268"/>
      <c r="QLZ576" s="268"/>
      <c r="QMA576" s="268"/>
      <c r="QMB576" s="268"/>
      <c r="QMC576" s="268"/>
      <c r="QMD576" s="268"/>
      <c r="QME576" s="268"/>
      <c r="QMF576" s="268"/>
      <c r="QMG576" s="268"/>
      <c r="QMH576" s="268"/>
      <c r="QMI576" s="268"/>
      <c r="QMJ576" s="268"/>
      <c r="QMK576" s="268"/>
      <c r="QML576" s="268"/>
      <c r="QMM576" s="268"/>
      <c r="QMN576" s="268"/>
      <c r="QMO576" s="268"/>
      <c r="QMP576" s="268"/>
      <c r="QMQ576" s="268"/>
      <c r="QMR576" s="268"/>
      <c r="QMS576" s="268"/>
      <c r="QMT576" s="268"/>
      <c r="QMU576" s="268"/>
      <c r="QMV576" s="268"/>
      <c r="QMW576" s="268"/>
      <c r="QMX576" s="268"/>
      <c r="QMY576" s="268"/>
      <c r="QMZ576" s="268"/>
      <c r="QNA576" s="268"/>
      <c r="QNB576" s="268"/>
      <c r="QNC576" s="268"/>
      <c r="QND576" s="268"/>
      <c r="QNE576" s="268"/>
      <c r="QNF576" s="268"/>
      <c r="QNG576" s="268"/>
      <c r="QNH576" s="268"/>
      <c r="QNI576" s="268"/>
      <c r="QNJ576" s="268"/>
      <c r="QNK576" s="268"/>
      <c r="QNL576" s="268"/>
      <c r="QNM576" s="268"/>
      <c r="QNN576" s="268"/>
      <c r="QNO576" s="268"/>
      <c r="QNP576" s="268"/>
      <c r="QNQ576" s="268"/>
      <c r="QNR576" s="268"/>
      <c r="QNS576" s="268"/>
      <c r="QNT576" s="268"/>
      <c r="QNU576" s="268"/>
      <c r="QNV576" s="268"/>
      <c r="QNW576" s="268"/>
      <c r="QNX576" s="268"/>
      <c r="QNY576" s="268"/>
      <c r="QNZ576" s="268"/>
      <c r="QOA576" s="268"/>
      <c r="QOB576" s="268"/>
      <c r="QOC576" s="268"/>
      <c r="QOD576" s="268"/>
      <c r="QOE576" s="268"/>
      <c r="QOF576" s="268"/>
      <c r="QOG576" s="268"/>
      <c r="QOH576" s="268"/>
      <c r="QOI576" s="268"/>
      <c r="QOJ576" s="268"/>
      <c r="QOK576" s="268"/>
      <c r="QOL576" s="268"/>
      <c r="QOM576" s="268"/>
      <c r="QON576" s="268"/>
      <c r="QOO576" s="268"/>
      <c r="QOP576" s="268"/>
      <c r="QOQ576" s="268"/>
      <c r="QOR576" s="268"/>
      <c r="QOS576" s="268"/>
      <c r="QOT576" s="268"/>
      <c r="QOU576" s="268"/>
      <c r="QOV576" s="268"/>
      <c r="QOW576" s="268"/>
      <c r="QOX576" s="268"/>
      <c r="QOY576" s="268"/>
      <c r="QOZ576" s="268"/>
      <c r="QPA576" s="268"/>
      <c r="QPB576" s="268"/>
      <c r="QPC576" s="268"/>
      <c r="QPD576" s="268"/>
      <c r="QPE576" s="268"/>
      <c r="QPF576" s="268"/>
      <c r="QPG576" s="268"/>
      <c r="QPH576" s="268"/>
      <c r="QPI576" s="268"/>
      <c r="QPJ576" s="268"/>
      <c r="QPK576" s="268"/>
      <c r="QPL576" s="268"/>
      <c r="QPM576" s="268"/>
      <c r="QPN576" s="268"/>
      <c r="QPO576" s="268"/>
      <c r="QPP576" s="268"/>
      <c r="QPQ576" s="268"/>
      <c r="QPR576" s="268"/>
      <c r="QPS576" s="268"/>
      <c r="QPT576" s="268"/>
      <c r="QPU576" s="268"/>
      <c r="QPV576" s="268"/>
      <c r="QPW576" s="268"/>
      <c r="QPX576" s="268"/>
      <c r="QPY576" s="268"/>
      <c r="QPZ576" s="268"/>
      <c r="QQA576" s="268"/>
      <c r="QQB576" s="268"/>
      <c r="QQC576" s="268"/>
      <c r="QQD576" s="268"/>
      <c r="QQE576" s="268"/>
      <c r="QQF576" s="268"/>
      <c r="QQG576" s="268"/>
      <c r="QQH576" s="268"/>
      <c r="QQI576" s="268"/>
      <c r="QQJ576" s="268"/>
      <c r="QQK576" s="268"/>
      <c r="QQL576" s="268"/>
      <c r="QQM576" s="268"/>
      <c r="QQN576" s="268"/>
      <c r="QQO576" s="268"/>
      <c r="QQP576" s="268"/>
      <c r="QQQ576" s="268"/>
      <c r="QQR576" s="268"/>
      <c r="QQS576" s="268"/>
      <c r="QQT576" s="268"/>
      <c r="QQU576" s="268"/>
      <c r="QQV576" s="268"/>
      <c r="QQW576" s="268"/>
      <c r="QQX576" s="268"/>
      <c r="QQY576" s="268"/>
      <c r="QQZ576" s="268"/>
      <c r="QRA576" s="268"/>
      <c r="QRB576" s="268"/>
      <c r="QRC576" s="268"/>
      <c r="QRD576" s="268"/>
      <c r="QRE576" s="268"/>
      <c r="QRF576" s="268"/>
      <c r="QRG576" s="268"/>
      <c r="QRH576" s="268"/>
      <c r="QRI576" s="268"/>
      <c r="QRJ576" s="268"/>
      <c r="QRK576" s="268"/>
      <c r="QRL576" s="268"/>
      <c r="QRM576" s="268"/>
      <c r="QRN576" s="268"/>
      <c r="QRO576" s="268"/>
      <c r="QRP576" s="268"/>
      <c r="QRQ576" s="268"/>
      <c r="QRR576" s="268"/>
      <c r="QRS576" s="268"/>
      <c r="QRT576" s="268"/>
      <c r="QRU576" s="268"/>
      <c r="QRV576" s="268"/>
      <c r="QRW576" s="268"/>
      <c r="QRX576" s="268"/>
      <c r="QRY576" s="268"/>
      <c r="QRZ576" s="268"/>
      <c r="QSA576" s="268"/>
      <c r="QSB576" s="268"/>
      <c r="QSC576" s="268"/>
      <c r="QSD576" s="268"/>
      <c r="QSE576" s="268"/>
      <c r="QSF576" s="268"/>
      <c r="QSG576" s="268"/>
      <c r="QSH576" s="268"/>
      <c r="QSI576" s="268"/>
      <c r="QSJ576" s="268"/>
      <c r="QSK576" s="268"/>
      <c r="QSL576" s="268"/>
      <c r="QSM576" s="268"/>
      <c r="QSN576" s="268"/>
      <c r="QSO576" s="268"/>
      <c r="QSP576" s="268"/>
      <c r="QSQ576" s="268"/>
      <c r="QSR576" s="268"/>
      <c r="QSS576" s="268"/>
      <c r="QST576" s="268"/>
      <c r="QSU576" s="268"/>
      <c r="QSV576" s="268"/>
      <c r="QSW576" s="268"/>
      <c r="QSX576" s="268"/>
      <c r="QSY576" s="268"/>
      <c r="QSZ576" s="268"/>
      <c r="QTA576" s="268"/>
      <c r="QTB576" s="268"/>
      <c r="QTC576" s="268"/>
      <c r="QTD576" s="268"/>
      <c r="QTE576" s="268"/>
      <c r="QTF576" s="268"/>
      <c r="QTG576" s="268"/>
      <c r="QTH576" s="268"/>
      <c r="QTI576" s="268"/>
      <c r="QTJ576" s="268"/>
      <c r="QTK576" s="268"/>
      <c r="QTY576" s="268"/>
      <c r="QTZ576" s="268"/>
      <c r="QUA576" s="268"/>
      <c r="QUO576" s="268"/>
      <c r="QUQ576" s="268"/>
      <c r="QUR576" s="268"/>
      <c r="QUS576" s="268"/>
      <c r="QUT576" s="268"/>
      <c r="QUU576" s="268"/>
      <c r="QUV576" s="268"/>
      <c r="QUW576" s="268"/>
      <c r="QUX576" s="268"/>
      <c r="QUY576" s="268"/>
      <c r="QUZ576" s="268"/>
      <c r="QVA576" s="268"/>
      <c r="QVB576" s="268"/>
      <c r="QVC576" s="268"/>
      <c r="QVD576" s="268"/>
      <c r="QVE576" s="268"/>
      <c r="QVF576" s="268"/>
      <c r="QVG576" s="268"/>
      <c r="QVH576" s="268"/>
      <c r="QVI576" s="268"/>
      <c r="QVJ576" s="268"/>
      <c r="QVK576" s="268"/>
      <c r="QVL576" s="268"/>
      <c r="QVM576" s="268"/>
      <c r="QVN576" s="268"/>
      <c r="QVO576" s="268"/>
      <c r="QVP576" s="268"/>
      <c r="QVQ576" s="268"/>
      <c r="QVR576" s="268"/>
      <c r="QVS576" s="268"/>
      <c r="QVT576" s="268"/>
      <c r="QVU576" s="268"/>
      <c r="QVV576" s="268"/>
      <c r="QVW576" s="268"/>
      <c r="QVX576" s="268"/>
      <c r="QVY576" s="268"/>
      <c r="QVZ576" s="268"/>
      <c r="QWA576" s="268"/>
      <c r="QWB576" s="268"/>
      <c r="QWC576" s="268"/>
      <c r="QWD576" s="268"/>
      <c r="QWE576" s="268"/>
      <c r="QWF576" s="268"/>
      <c r="QWG576" s="268"/>
      <c r="QWH576" s="268"/>
      <c r="QWI576" s="268"/>
      <c r="QWJ576" s="268"/>
      <c r="QWK576" s="268"/>
      <c r="QWL576" s="268"/>
      <c r="QWM576" s="268"/>
      <c r="QWN576" s="268"/>
      <c r="QWO576" s="268"/>
      <c r="QWP576" s="268"/>
      <c r="QWQ576" s="268"/>
      <c r="QWR576" s="268"/>
      <c r="QWS576" s="268"/>
      <c r="QWT576" s="268"/>
      <c r="QWU576" s="268"/>
      <c r="QWV576" s="268"/>
      <c r="QWW576" s="268"/>
      <c r="QWX576" s="268"/>
      <c r="QWY576" s="268"/>
      <c r="QWZ576" s="268"/>
      <c r="QXA576" s="268"/>
      <c r="QXB576" s="268"/>
      <c r="QXC576" s="268"/>
      <c r="QXD576" s="268"/>
      <c r="QXE576" s="268"/>
      <c r="QXF576" s="268"/>
      <c r="QXG576" s="268"/>
      <c r="QXH576" s="268"/>
      <c r="QXI576" s="268"/>
      <c r="QXJ576" s="268"/>
      <c r="QXK576" s="268"/>
      <c r="QXL576" s="268"/>
      <c r="QXM576" s="268"/>
      <c r="QXN576" s="268"/>
      <c r="QXO576" s="268"/>
      <c r="QXP576" s="268"/>
      <c r="QXQ576" s="268"/>
      <c r="QXR576" s="268"/>
      <c r="QXS576" s="268"/>
      <c r="QXT576" s="268"/>
      <c r="QXU576" s="268"/>
      <c r="QXV576" s="268"/>
      <c r="QXW576" s="268"/>
      <c r="QXX576" s="268"/>
      <c r="QXY576" s="268"/>
      <c r="QXZ576" s="268"/>
      <c r="QYA576" s="268"/>
      <c r="QYB576" s="268"/>
      <c r="QYC576" s="268"/>
      <c r="QYD576" s="268"/>
      <c r="QYE576" s="268"/>
      <c r="QYF576" s="268"/>
      <c r="QYG576" s="268"/>
      <c r="QYH576" s="268"/>
      <c r="QYI576" s="268"/>
      <c r="QYJ576" s="268"/>
      <c r="QYK576" s="268"/>
      <c r="QYL576" s="268"/>
      <c r="QYM576" s="268"/>
      <c r="QYN576" s="268"/>
      <c r="QYO576" s="268"/>
      <c r="QYP576" s="268"/>
      <c r="QYQ576" s="268"/>
      <c r="QYR576" s="268"/>
      <c r="QYS576" s="268"/>
      <c r="QYT576" s="268"/>
      <c r="QYU576" s="268"/>
      <c r="QYV576" s="268"/>
      <c r="QYW576" s="268"/>
      <c r="QYX576" s="268"/>
      <c r="QYY576" s="268"/>
      <c r="QYZ576" s="268"/>
      <c r="QZA576" s="268"/>
      <c r="QZB576" s="268"/>
      <c r="QZC576" s="268"/>
      <c r="QZD576" s="268"/>
      <c r="QZE576" s="268"/>
      <c r="QZF576" s="268"/>
      <c r="QZG576" s="268"/>
      <c r="QZH576" s="268"/>
      <c r="QZI576" s="268"/>
      <c r="QZJ576" s="268"/>
      <c r="QZK576" s="268"/>
      <c r="QZL576" s="268"/>
      <c r="QZM576" s="268"/>
      <c r="QZN576" s="268"/>
      <c r="QZO576" s="268"/>
      <c r="QZP576" s="268"/>
      <c r="QZQ576" s="268"/>
      <c r="QZR576" s="268"/>
      <c r="QZS576" s="268"/>
      <c r="QZT576" s="268"/>
      <c r="QZU576" s="268"/>
      <c r="QZV576" s="268"/>
      <c r="QZW576" s="268"/>
      <c r="QZX576" s="268"/>
      <c r="QZY576" s="268"/>
      <c r="QZZ576" s="268"/>
      <c r="RAA576" s="268"/>
      <c r="RAB576" s="268"/>
      <c r="RAC576" s="268"/>
      <c r="RAD576" s="268"/>
      <c r="RAE576" s="268"/>
      <c r="RAF576" s="268"/>
      <c r="RAG576" s="268"/>
      <c r="RAH576" s="268"/>
      <c r="RAI576" s="268"/>
      <c r="RAJ576" s="268"/>
      <c r="RAK576" s="268"/>
      <c r="RAL576" s="268"/>
      <c r="RAM576" s="268"/>
      <c r="RAN576" s="268"/>
      <c r="RAO576" s="268"/>
      <c r="RAP576" s="268"/>
      <c r="RAQ576" s="268"/>
      <c r="RAR576" s="268"/>
      <c r="RAS576" s="268"/>
      <c r="RAT576" s="268"/>
      <c r="RAU576" s="268"/>
      <c r="RAV576" s="268"/>
      <c r="RAW576" s="268"/>
      <c r="RAX576" s="268"/>
      <c r="RAY576" s="268"/>
      <c r="RAZ576" s="268"/>
      <c r="RBA576" s="268"/>
      <c r="RBB576" s="268"/>
      <c r="RBC576" s="268"/>
      <c r="RBD576" s="268"/>
      <c r="RBE576" s="268"/>
      <c r="RBF576" s="268"/>
      <c r="RBG576" s="268"/>
      <c r="RBH576" s="268"/>
      <c r="RBI576" s="268"/>
      <c r="RBJ576" s="268"/>
      <c r="RBK576" s="268"/>
      <c r="RBL576" s="268"/>
      <c r="RBM576" s="268"/>
      <c r="RBN576" s="268"/>
      <c r="RBO576" s="268"/>
      <c r="RBP576" s="268"/>
      <c r="RBQ576" s="268"/>
      <c r="RBR576" s="268"/>
      <c r="RBS576" s="268"/>
      <c r="RBT576" s="268"/>
      <c r="RBU576" s="268"/>
      <c r="RBV576" s="268"/>
      <c r="RBW576" s="268"/>
      <c r="RBX576" s="268"/>
      <c r="RBY576" s="268"/>
      <c r="RBZ576" s="268"/>
      <c r="RCA576" s="268"/>
      <c r="RCB576" s="268"/>
      <c r="RCC576" s="268"/>
      <c r="RCD576" s="268"/>
      <c r="RCE576" s="268"/>
      <c r="RCF576" s="268"/>
      <c r="RCG576" s="268"/>
      <c r="RCH576" s="268"/>
      <c r="RCI576" s="268"/>
      <c r="RCJ576" s="268"/>
      <c r="RCK576" s="268"/>
      <c r="RCL576" s="268"/>
      <c r="RCM576" s="268"/>
      <c r="RCN576" s="268"/>
      <c r="RCO576" s="268"/>
      <c r="RCP576" s="268"/>
      <c r="RCQ576" s="268"/>
      <c r="RCR576" s="268"/>
      <c r="RCS576" s="268"/>
      <c r="RCT576" s="268"/>
      <c r="RCU576" s="268"/>
      <c r="RCV576" s="268"/>
      <c r="RCW576" s="268"/>
      <c r="RCX576" s="268"/>
      <c r="RCY576" s="268"/>
      <c r="RCZ576" s="268"/>
      <c r="RDA576" s="268"/>
      <c r="RDB576" s="268"/>
      <c r="RDC576" s="268"/>
      <c r="RDD576" s="268"/>
      <c r="RDE576" s="268"/>
      <c r="RDF576" s="268"/>
      <c r="RDG576" s="268"/>
      <c r="RDU576" s="268"/>
      <c r="RDV576" s="268"/>
      <c r="RDW576" s="268"/>
      <c r="REK576" s="268"/>
      <c r="REM576" s="268"/>
      <c r="REN576" s="268"/>
      <c r="REO576" s="268"/>
      <c r="REP576" s="268"/>
      <c r="REQ576" s="268"/>
      <c r="RER576" s="268"/>
      <c r="RES576" s="268"/>
      <c r="RET576" s="268"/>
      <c r="REU576" s="268"/>
      <c r="REV576" s="268"/>
      <c r="REW576" s="268"/>
      <c r="REX576" s="268"/>
      <c r="REY576" s="268"/>
      <c r="REZ576" s="268"/>
      <c r="RFA576" s="268"/>
      <c r="RFB576" s="268"/>
      <c r="RFC576" s="268"/>
      <c r="RFD576" s="268"/>
      <c r="RFE576" s="268"/>
      <c r="RFF576" s="268"/>
      <c r="RFG576" s="268"/>
      <c r="RFH576" s="268"/>
      <c r="RFI576" s="268"/>
      <c r="RFJ576" s="268"/>
      <c r="RFK576" s="268"/>
      <c r="RFL576" s="268"/>
      <c r="RFM576" s="268"/>
      <c r="RFN576" s="268"/>
      <c r="RFO576" s="268"/>
      <c r="RFP576" s="268"/>
      <c r="RFQ576" s="268"/>
      <c r="RFR576" s="268"/>
      <c r="RFS576" s="268"/>
      <c r="RFT576" s="268"/>
      <c r="RFU576" s="268"/>
      <c r="RFV576" s="268"/>
      <c r="RFW576" s="268"/>
      <c r="RFX576" s="268"/>
      <c r="RFY576" s="268"/>
      <c r="RFZ576" s="268"/>
      <c r="RGA576" s="268"/>
      <c r="RGB576" s="268"/>
      <c r="RGC576" s="268"/>
      <c r="RGD576" s="268"/>
      <c r="RGE576" s="268"/>
      <c r="RGF576" s="268"/>
      <c r="RGG576" s="268"/>
      <c r="RGH576" s="268"/>
      <c r="RGI576" s="268"/>
      <c r="RGJ576" s="268"/>
      <c r="RGK576" s="268"/>
      <c r="RGL576" s="268"/>
      <c r="RGM576" s="268"/>
      <c r="RGN576" s="268"/>
      <c r="RGO576" s="268"/>
      <c r="RGP576" s="268"/>
      <c r="RGQ576" s="268"/>
      <c r="RGR576" s="268"/>
      <c r="RGS576" s="268"/>
      <c r="RGT576" s="268"/>
      <c r="RGU576" s="268"/>
      <c r="RGV576" s="268"/>
      <c r="RGW576" s="268"/>
      <c r="RGX576" s="268"/>
      <c r="RGY576" s="268"/>
      <c r="RGZ576" s="268"/>
      <c r="RHA576" s="268"/>
      <c r="RHB576" s="268"/>
      <c r="RHC576" s="268"/>
      <c r="RHD576" s="268"/>
      <c r="RHE576" s="268"/>
      <c r="RHF576" s="268"/>
      <c r="RHG576" s="268"/>
      <c r="RHH576" s="268"/>
      <c r="RHI576" s="268"/>
      <c r="RHJ576" s="268"/>
      <c r="RHK576" s="268"/>
      <c r="RHL576" s="268"/>
      <c r="RHM576" s="268"/>
      <c r="RHN576" s="268"/>
      <c r="RHO576" s="268"/>
      <c r="RHP576" s="268"/>
      <c r="RHQ576" s="268"/>
      <c r="RHR576" s="268"/>
      <c r="RHS576" s="268"/>
      <c r="RHT576" s="268"/>
      <c r="RHU576" s="268"/>
      <c r="RHV576" s="268"/>
      <c r="RHW576" s="268"/>
      <c r="RHX576" s="268"/>
      <c r="RHY576" s="268"/>
      <c r="RHZ576" s="268"/>
      <c r="RIA576" s="268"/>
      <c r="RIB576" s="268"/>
      <c r="RIC576" s="268"/>
      <c r="RID576" s="268"/>
      <c r="RIE576" s="268"/>
      <c r="RIF576" s="268"/>
      <c r="RIG576" s="268"/>
      <c r="RIH576" s="268"/>
      <c r="RII576" s="268"/>
      <c r="RIJ576" s="268"/>
      <c r="RIK576" s="268"/>
      <c r="RIL576" s="268"/>
      <c r="RIM576" s="268"/>
      <c r="RIN576" s="268"/>
      <c r="RIO576" s="268"/>
      <c r="RIP576" s="268"/>
      <c r="RIQ576" s="268"/>
      <c r="RIR576" s="268"/>
      <c r="RIS576" s="268"/>
      <c r="RIT576" s="268"/>
      <c r="RIU576" s="268"/>
      <c r="RIV576" s="268"/>
      <c r="RIW576" s="268"/>
      <c r="RIX576" s="268"/>
      <c r="RIY576" s="268"/>
      <c r="RIZ576" s="268"/>
      <c r="RJA576" s="268"/>
      <c r="RJB576" s="268"/>
      <c r="RJC576" s="268"/>
      <c r="RJD576" s="268"/>
      <c r="RJE576" s="268"/>
      <c r="RJF576" s="268"/>
      <c r="RJG576" s="268"/>
      <c r="RJH576" s="268"/>
      <c r="RJI576" s="268"/>
      <c r="RJJ576" s="268"/>
      <c r="RJK576" s="268"/>
      <c r="RJL576" s="268"/>
      <c r="RJM576" s="268"/>
      <c r="RJN576" s="268"/>
      <c r="RJO576" s="268"/>
      <c r="RJP576" s="268"/>
      <c r="RJQ576" s="268"/>
      <c r="RJR576" s="268"/>
      <c r="RJS576" s="268"/>
      <c r="RJT576" s="268"/>
      <c r="RJU576" s="268"/>
      <c r="RJV576" s="268"/>
      <c r="RJW576" s="268"/>
      <c r="RJX576" s="268"/>
      <c r="RJY576" s="268"/>
      <c r="RJZ576" s="268"/>
      <c r="RKA576" s="268"/>
      <c r="RKB576" s="268"/>
      <c r="RKC576" s="268"/>
      <c r="RKD576" s="268"/>
      <c r="RKE576" s="268"/>
      <c r="RKF576" s="268"/>
      <c r="RKG576" s="268"/>
      <c r="RKH576" s="268"/>
      <c r="RKI576" s="268"/>
      <c r="RKJ576" s="268"/>
      <c r="RKK576" s="268"/>
      <c r="RKL576" s="268"/>
      <c r="RKM576" s="268"/>
      <c r="RKN576" s="268"/>
      <c r="RKO576" s="268"/>
      <c r="RKP576" s="268"/>
      <c r="RKQ576" s="268"/>
      <c r="RKR576" s="268"/>
      <c r="RKS576" s="268"/>
      <c r="RKT576" s="268"/>
      <c r="RKU576" s="268"/>
      <c r="RKV576" s="268"/>
      <c r="RKW576" s="268"/>
      <c r="RKX576" s="268"/>
      <c r="RKY576" s="268"/>
      <c r="RKZ576" s="268"/>
      <c r="RLA576" s="268"/>
      <c r="RLB576" s="268"/>
      <c r="RLC576" s="268"/>
      <c r="RLD576" s="268"/>
      <c r="RLE576" s="268"/>
      <c r="RLF576" s="268"/>
      <c r="RLG576" s="268"/>
      <c r="RLH576" s="268"/>
      <c r="RLI576" s="268"/>
      <c r="RLJ576" s="268"/>
      <c r="RLK576" s="268"/>
      <c r="RLL576" s="268"/>
      <c r="RLM576" s="268"/>
      <c r="RLN576" s="268"/>
      <c r="RLO576" s="268"/>
      <c r="RLP576" s="268"/>
      <c r="RLQ576" s="268"/>
      <c r="RLR576" s="268"/>
      <c r="RLS576" s="268"/>
      <c r="RLT576" s="268"/>
      <c r="RLU576" s="268"/>
      <c r="RLV576" s="268"/>
      <c r="RLW576" s="268"/>
      <c r="RLX576" s="268"/>
      <c r="RLY576" s="268"/>
      <c r="RLZ576" s="268"/>
      <c r="RMA576" s="268"/>
      <c r="RMB576" s="268"/>
      <c r="RMC576" s="268"/>
      <c r="RMD576" s="268"/>
      <c r="RME576" s="268"/>
      <c r="RMF576" s="268"/>
      <c r="RMG576" s="268"/>
      <c r="RMH576" s="268"/>
      <c r="RMI576" s="268"/>
      <c r="RMJ576" s="268"/>
      <c r="RMK576" s="268"/>
      <c r="RML576" s="268"/>
      <c r="RMM576" s="268"/>
      <c r="RMN576" s="268"/>
      <c r="RMO576" s="268"/>
      <c r="RMP576" s="268"/>
      <c r="RMQ576" s="268"/>
      <c r="RMR576" s="268"/>
      <c r="RMS576" s="268"/>
      <c r="RMT576" s="268"/>
      <c r="RMU576" s="268"/>
      <c r="RMV576" s="268"/>
      <c r="RMW576" s="268"/>
      <c r="RMX576" s="268"/>
      <c r="RMY576" s="268"/>
      <c r="RMZ576" s="268"/>
      <c r="RNA576" s="268"/>
      <c r="RNB576" s="268"/>
      <c r="RNC576" s="268"/>
      <c r="RNQ576" s="268"/>
      <c r="RNR576" s="268"/>
      <c r="RNS576" s="268"/>
      <c r="ROG576" s="268"/>
      <c r="ROI576" s="268"/>
      <c r="ROJ576" s="268"/>
      <c r="ROK576" s="268"/>
      <c r="ROL576" s="268"/>
      <c r="ROM576" s="268"/>
      <c r="RON576" s="268"/>
      <c r="ROO576" s="268"/>
      <c r="ROP576" s="268"/>
      <c r="ROQ576" s="268"/>
      <c r="ROR576" s="268"/>
      <c r="ROS576" s="268"/>
      <c r="ROT576" s="268"/>
      <c r="ROU576" s="268"/>
      <c r="ROV576" s="268"/>
      <c r="ROW576" s="268"/>
      <c r="ROX576" s="268"/>
      <c r="ROY576" s="268"/>
      <c r="ROZ576" s="268"/>
      <c r="RPA576" s="268"/>
      <c r="RPB576" s="268"/>
      <c r="RPC576" s="268"/>
      <c r="RPD576" s="268"/>
      <c r="RPE576" s="268"/>
      <c r="RPF576" s="268"/>
      <c r="RPG576" s="268"/>
      <c r="RPH576" s="268"/>
      <c r="RPI576" s="268"/>
      <c r="RPJ576" s="268"/>
      <c r="RPK576" s="268"/>
      <c r="RPL576" s="268"/>
      <c r="RPM576" s="268"/>
      <c r="RPN576" s="268"/>
      <c r="RPO576" s="268"/>
      <c r="RPP576" s="268"/>
      <c r="RPQ576" s="268"/>
      <c r="RPR576" s="268"/>
      <c r="RPS576" s="268"/>
      <c r="RPT576" s="268"/>
      <c r="RPU576" s="268"/>
      <c r="RPV576" s="268"/>
      <c r="RPW576" s="268"/>
      <c r="RPX576" s="268"/>
      <c r="RPY576" s="268"/>
      <c r="RPZ576" s="268"/>
      <c r="RQA576" s="268"/>
      <c r="RQB576" s="268"/>
      <c r="RQC576" s="268"/>
      <c r="RQD576" s="268"/>
      <c r="RQE576" s="268"/>
      <c r="RQF576" s="268"/>
      <c r="RQG576" s="268"/>
      <c r="RQH576" s="268"/>
      <c r="RQI576" s="268"/>
      <c r="RQJ576" s="268"/>
      <c r="RQK576" s="268"/>
      <c r="RQL576" s="268"/>
      <c r="RQM576" s="268"/>
      <c r="RQN576" s="268"/>
      <c r="RQO576" s="268"/>
      <c r="RQP576" s="268"/>
      <c r="RQQ576" s="268"/>
      <c r="RQR576" s="268"/>
      <c r="RQS576" s="268"/>
      <c r="RQT576" s="268"/>
      <c r="RQU576" s="268"/>
      <c r="RQV576" s="268"/>
      <c r="RQW576" s="268"/>
      <c r="RQX576" s="268"/>
      <c r="RQY576" s="268"/>
      <c r="RQZ576" s="268"/>
      <c r="RRA576" s="268"/>
      <c r="RRB576" s="268"/>
      <c r="RRC576" s="268"/>
      <c r="RRD576" s="268"/>
      <c r="RRE576" s="268"/>
      <c r="RRF576" s="268"/>
      <c r="RRG576" s="268"/>
      <c r="RRH576" s="268"/>
      <c r="RRI576" s="268"/>
      <c r="RRJ576" s="268"/>
      <c r="RRK576" s="268"/>
      <c r="RRL576" s="268"/>
      <c r="RRM576" s="268"/>
      <c r="RRN576" s="268"/>
      <c r="RRO576" s="268"/>
      <c r="RRP576" s="268"/>
      <c r="RRQ576" s="268"/>
      <c r="RRR576" s="268"/>
      <c r="RRS576" s="268"/>
      <c r="RRT576" s="268"/>
      <c r="RRU576" s="268"/>
      <c r="RRV576" s="268"/>
      <c r="RRW576" s="268"/>
      <c r="RRX576" s="268"/>
      <c r="RRY576" s="268"/>
      <c r="RRZ576" s="268"/>
      <c r="RSA576" s="268"/>
      <c r="RSB576" s="268"/>
      <c r="RSC576" s="268"/>
      <c r="RSD576" s="268"/>
      <c r="RSE576" s="268"/>
      <c r="RSF576" s="268"/>
      <c r="RSG576" s="268"/>
      <c r="RSH576" s="268"/>
      <c r="RSI576" s="268"/>
      <c r="RSJ576" s="268"/>
      <c r="RSK576" s="268"/>
      <c r="RSL576" s="268"/>
      <c r="RSM576" s="268"/>
      <c r="RSN576" s="268"/>
      <c r="RSO576" s="268"/>
      <c r="RSP576" s="268"/>
      <c r="RSQ576" s="268"/>
      <c r="RSR576" s="268"/>
      <c r="RSS576" s="268"/>
      <c r="RST576" s="268"/>
      <c r="RSU576" s="268"/>
      <c r="RSV576" s="268"/>
      <c r="RSW576" s="268"/>
      <c r="RSX576" s="268"/>
      <c r="RSY576" s="268"/>
      <c r="RSZ576" s="268"/>
      <c r="RTA576" s="268"/>
      <c r="RTB576" s="268"/>
      <c r="RTC576" s="268"/>
      <c r="RTD576" s="268"/>
      <c r="RTE576" s="268"/>
      <c r="RTF576" s="268"/>
      <c r="RTG576" s="268"/>
      <c r="RTH576" s="268"/>
      <c r="RTI576" s="268"/>
      <c r="RTJ576" s="268"/>
      <c r="RTK576" s="268"/>
      <c r="RTL576" s="268"/>
      <c r="RTM576" s="268"/>
      <c r="RTN576" s="268"/>
      <c r="RTO576" s="268"/>
      <c r="RTP576" s="268"/>
      <c r="RTQ576" s="268"/>
      <c r="RTR576" s="268"/>
      <c r="RTS576" s="268"/>
      <c r="RTT576" s="268"/>
      <c r="RTU576" s="268"/>
      <c r="RTV576" s="268"/>
      <c r="RTW576" s="268"/>
      <c r="RTX576" s="268"/>
      <c r="RTY576" s="268"/>
      <c r="RTZ576" s="268"/>
      <c r="RUA576" s="268"/>
      <c r="RUB576" s="268"/>
      <c r="RUC576" s="268"/>
      <c r="RUD576" s="268"/>
      <c r="RUE576" s="268"/>
      <c r="RUF576" s="268"/>
      <c r="RUG576" s="268"/>
      <c r="RUH576" s="268"/>
      <c r="RUI576" s="268"/>
      <c r="RUJ576" s="268"/>
      <c r="RUK576" s="268"/>
      <c r="RUL576" s="268"/>
      <c r="RUM576" s="268"/>
      <c r="RUN576" s="268"/>
      <c r="RUO576" s="268"/>
      <c r="RUP576" s="268"/>
      <c r="RUQ576" s="268"/>
      <c r="RUR576" s="268"/>
      <c r="RUS576" s="268"/>
      <c r="RUT576" s="268"/>
      <c r="RUU576" s="268"/>
      <c r="RUV576" s="268"/>
      <c r="RUW576" s="268"/>
      <c r="RUX576" s="268"/>
      <c r="RUY576" s="268"/>
      <c r="RUZ576" s="268"/>
      <c r="RVA576" s="268"/>
      <c r="RVB576" s="268"/>
      <c r="RVC576" s="268"/>
      <c r="RVD576" s="268"/>
      <c r="RVE576" s="268"/>
      <c r="RVF576" s="268"/>
      <c r="RVG576" s="268"/>
      <c r="RVH576" s="268"/>
      <c r="RVI576" s="268"/>
      <c r="RVJ576" s="268"/>
      <c r="RVK576" s="268"/>
      <c r="RVL576" s="268"/>
      <c r="RVM576" s="268"/>
      <c r="RVN576" s="268"/>
      <c r="RVO576" s="268"/>
      <c r="RVP576" s="268"/>
      <c r="RVQ576" s="268"/>
      <c r="RVR576" s="268"/>
      <c r="RVS576" s="268"/>
      <c r="RVT576" s="268"/>
      <c r="RVU576" s="268"/>
      <c r="RVV576" s="268"/>
      <c r="RVW576" s="268"/>
      <c r="RVX576" s="268"/>
      <c r="RVY576" s="268"/>
      <c r="RVZ576" s="268"/>
      <c r="RWA576" s="268"/>
      <c r="RWB576" s="268"/>
      <c r="RWC576" s="268"/>
      <c r="RWD576" s="268"/>
      <c r="RWE576" s="268"/>
      <c r="RWF576" s="268"/>
      <c r="RWG576" s="268"/>
      <c r="RWH576" s="268"/>
      <c r="RWI576" s="268"/>
      <c r="RWJ576" s="268"/>
      <c r="RWK576" s="268"/>
      <c r="RWL576" s="268"/>
      <c r="RWM576" s="268"/>
      <c r="RWN576" s="268"/>
      <c r="RWO576" s="268"/>
      <c r="RWP576" s="268"/>
      <c r="RWQ576" s="268"/>
      <c r="RWR576" s="268"/>
      <c r="RWS576" s="268"/>
      <c r="RWT576" s="268"/>
      <c r="RWU576" s="268"/>
      <c r="RWV576" s="268"/>
      <c r="RWW576" s="268"/>
      <c r="RWX576" s="268"/>
      <c r="RWY576" s="268"/>
      <c r="RXM576" s="268"/>
      <c r="RXN576" s="268"/>
      <c r="RXO576" s="268"/>
      <c r="RYC576" s="268"/>
      <c r="RYE576" s="268"/>
      <c r="RYF576" s="268"/>
      <c r="RYG576" s="268"/>
      <c r="RYH576" s="268"/>
      <c r="RYI576" s="268"/>
      <c r="RYJ576" s="268"/>
      <c r="RYK576" s="268"/>
      <c r="RYL576" s="268"/>
      <c r="RYM576" s="268"/>
      <c r="RYN576" s="268"/>
      <c r="RYO576" s="268"/>
      <c r="RYP576" s="268"/>
      <c r="RYQ576" s="268"/>
      <c r="RYR576" s="268"/>
      <c r="RYS576" s="268"/>
      <c r="RYT576" s="268"/>
      <c r="RYU576" s="268"/>
      <c r="RYV576" s="268"/>
      <c r="RYW576" s="268"/>
      <c r="RYX576" s="268"/>
      <c r="RYY576" s="268"/>
      <c r="RYZ576" s="268"/>
      <c r="RZA576" s="268"/>
      <c r="RZB576" s="268"/>
      <c r="RZC576" s="268"/>
      <c r="RZD576" s="268"/>
      <c r="RZE576" s="268"/>
      <c r="RZF576" s="268"/>
      <c r="RZG576" s="268"/>
      <c r="RZH576" s="268"/>
      <c r="RZI576" s="268"/>
      <c r="RZJ576" s="268"/>
      <c r="RZK576" s="268"/>
      <c r="RZL576" s="268"/>
      <c r="RZM576" s="268"/>
      <c r="RZN576" s="268"/>
      <c r="RZO576" s="268"/>
      <c r="RZP576" s="268"/>
      <c r="RZQ576" s="268"/>
      <c r="RZR576" s="268"/>
      <c r="RZS576" s="268"/>
      <c r="RZT576" s="268"/>
      <c r="RZU576" s="268"/>
      <c r="RZV576" s="268"/>
      <c r="RZW576" s="268"/>
      <c r="RZX576" s="268"/>
      <c r="RZY576" s="268"/>
      <c r="RZZ576" s="268"/>
      <c r="SAA576" s="268"/>
      <c r="SAB576" s="268"/>
      <c r="SAC576" s="268"/>
      <c r="SAD576" s="268"/>
      <c r="SAE576" s="268"/>
      <c r="SAF576" s="268"/>
      <c r="SAG576" s="268"/>
      <c r="SAH576" s="268"/>
      <c r="SAI576" s="268"/>
      <c r="SAJ576" s="268"/>
      <c r="SAK576" s="268"/>
      <c r="SAL576" s="268"/>
      <c r="SAM576" s="268"/>
      <c r="SAN576" s="268"/>
      <c r="SAO576" s="268"/>
      <c r="SAP576" s="268"/>
      <c r="SAQ576" s="268"/>
      <c r="SAR576" s="268"/>
      <c r="SAS576" s="268"/>
      <c r="SAT576" s="268"/>
      <c r="SAU576" s="268"/>
      <c r="SAV576" s="268"/>
      <c r="SAW576" s="268"/>
      <c r="SAX576" s="268"/>
      <c r="SAY576" s="268"/>
      <c r="SAZ576" s="268"/>
      <c r="SBA576" s="268"/>
      <c r="SBB576" s="268"/>
      <c r="SBC576" s="268"/>
      <c r="SBD576" s="268"/>
      <c r="SBE576" s="268"/>
      <c r="SBF576" s="268"/>
      <c r="SBG576" s="268"/>
      <c r="SBH576" s="268"/>
      <c r="SBI576" s="268"/>
      <c r="SBJ576" s="268"/>
      <c r="SBK576" s="268"/>
      <c r="SBL576" s="268"/>
      <c r="SBM576" s="268"/>
      <c r="SBN576" s="268"/>
      <c r="SBO576" s="268"/>
      <c r="SBP576" s="268"/>
      <c r="SBQ576" s="268"/>
      <c r="SBR576" s="268"/>
      <c r="SBS576" s="268"/>
      <c r="SBT576" s="268"/>
      <c r="SBU576" s="268"/>
      <c r="SBV576" s="268"/>
      <c r="SBW576" s="268"/>
      <c r="SBX576" s="268"/>
      <c r="SBY576" s="268"/>
      <c r="SBZ576" s="268"/>
      <c r="SCA576" s="268"/>
      <c r="SCB576" s="268"/>
      <c r="SCC576" s="268"/>
      <c r="SCD576" s="268"/>
      <c r="SCE576" s="268"/>
      <c r="SCF576" s="268"/>
      <c r="SCG576" s="268"/>
      <c r="SCH576" s="268"/>
      <c r="SCI576" s="268"/>
      <c r="SCJ576" s="268"/>
      <c r="SCK576" s="268"/>
      <c r="SCL576" s="268"/>
      <c r="SCM576" s="268"/>
      <c r="SCN576" s="268"/>
      <c r="SCO576" s="268"/>
      <c r="SCP576" s="268"/>
      <c r="SCQ576" s="268"/>
      <c r="SCR576" s="268"/>
      <c r="SCS576" s="268"/>
      <c r="SCT576" s="268"/>
      <c r="SCU576" s="268"/>
      <c r="SCV576" s="268"/>
      <c r="SCW576" s="268"/>
      <c r="SCX576" s="268"/>
      <c r="SCY576" s="268"/>
      <c r="SCZ576" s="268"/>
      <c r="SDA576" s="268"/>
      <c r="SDB576" s="268"/>
      <c r="SDC576" s="268"/>
      <c r="SDD576" s="268"/>
      <c r="SDE576" s="268"/>
      <c r="SDF576" s="268"/>
      <c r="SDG576" s="268"/>
      <c r="SDH576" s="268"/>
      <c r="SDI576" s="268"/>
      <c r="SDJ576" s="268"/>
      <c r="SDK576" s="268"/>
      <c r="SDL576" s="268"/>
      <c r="SDM576" s="268"/>
      <c r="SDN576" s="268"/>
      <c r="SDO576" s="268"/>
      <c r="SDP576" s="268"/>
      <c r="SDQ576" s="268"/>
      <c r="SDR576" s="268"/>
      <c r="SDS576" s="268"/>
      <c r="SDT576" s="268"/>
      <c r="SDU576" s="268"/>
      <c r="SDV576" s="268"/>
      <c r="SDW576" s="268"/>
      <c r="SDX576" s="268"/>
      <c r="SDY576" s="268"/>
      <c r="SDZ576" s="268"/>
      <c r="SEA576" s="268"/>
      <c r="SEB576" s="268"/>
      <c r="SEC576" s="268"/>
      <c r="SED576" s="268"/>
      <c r="SEE576" s="268"/>
      <c r="SEF576" s="268"/>
      <c r="SEG576" s="268"/>
      <c r="SEH576" s="268"/>
      <c r="SEI576" s="268"/>
      <c r="SEJ576" s="268"/>
      <c r="SEK576" s="268"/>
      <c r="SEL576" s="268"/>
      <c r="SEM576" s="268"/>
      <c r="SEN576" s="268"/>
      <c r="SEO576" s="268"/>
      <c r="SEP576" s="268"/>
      <c r="SEQ576" s="268"/>
      <c r="SER576" s="268"/>
      <c r="SES576" s="268"/>
      <c r="SET576" s="268"/>
      <c r="SEU576" s="268"/>
      <c r="SEV576" s="268"/>
      <c r="SEW576" s="268"/>
      <c r="SEX576" s="268"/>
      <c r="SEY576" s="268"/>
      <c r="SEZ576" s="268"/>
      <c r="SFA576" s="268"/>
      <c r="SFB576" s="268"/>
      <c r="SFC576" s="268"/>
      <c r="SFD576" s="268"/>
      <c r="SFE576" s="268"/>
      <c r="SFF576" s="268"/>
      <c r="SFG576" s="268"/>
      <c r="SFH576" s="268"/>
      <c r="SFI576" s="268"/>
      <c r="SFJ576" s="268"/>
      <c r="SFK576" s="268"/>
      <c r="SFL576" s="268"/>
      <c r="SFM576" s="268"/>
      <c r="SFN576" s="268"/>
      <c r="SFO576" s="268"/>
      <c r="SFP576" s="268"/>
      <c r="SFQ576" s="268"/>
      <c r="SFR576" s="268"/>
      <c r="SFS576" s="268"/>
      <c r="SFT576" s="268"/>
      <c r="SFU576" s="268"/>
      <c r="SFV576" s="268"/>
      <c r="SFW576" s="268"/>
      <c r="SFX576" s="268"/>
      <c r="SFY576" s="268"/>
      <c r="SFZ576" s="268"/>
      <c r="SGA576" s="268"/>
      <c r="SGB576" s="268"/>
      <c r="SGC576" s="268"/>
      <c r="SGD576" s="268"/>
      <c r="SGE576" s="268"/>
      <c r="SGF576" s="268"/>
      <c r="SGG576" s="268"/>
      <c r="SGH576" s="268"/>
      <c r="SGI576" s="268"/>
      <c r="SGJ576" s="268"/>
      <c r="SGK576" s="268"/>
      <c r="SGL576" s="268"/>
      <c r="SGM576" s="268"/>
      <c r="SGN576" s="268"/>
      <c r="SGO576" s="268"/>
      <c r="SGP576" s="268"/>
      <c r="SGQ576" s="268"/>
      <c r="SGR576" s="268"/>
      <c r="SGS576" s="268"/>
      <c r="SGT576" s="268"/>
      <c r="SGU576" s="268"/>
      <c r="SHI576" s="268"/>
      <c r="SHJ576" s="268"/>
      <c r="SHK576" s="268"/>
      <c r="SHY576" s="268"/>
      <c r="SIA576" s="268"/>
      <c r="SIB576" s="268"/>
      <c r="SIC576" s="268"/>
      <c r="SID576" s="268"/>
      <c r="SIE576" s="268"/>
      <c r="SIF576" s="268"/>
      <c r="SIG576" s="268"/>
      <c r="SIH576" s="268"/>
      <c r="SII576" s="268"/>
      <c r="SIJ576" s="268"/>
      <c r="SIK576" s="268"/>
      <c r="SIL576" s="268"/>
      <c r="SIM576" s="268"/>
      <c r="SIN576" s="268"/>
      <c r="SIO576" s="268"/>
      <c r="SIP576" s="268"/>
      <c r="SIQ576" s="268"/>
      <c r="SIR576" s="268"/>
      <c r="SIS576" s="268"/>
      <c r="SIT576" s="268"/>
      <c r="SIU576" s="268"/>
      <c r="SIV576" s="268"/>
      <c r="SIW576" s="268"/>
      <c r="SIX576" s="268"/>
      <c r="SIY576" s="268"/>
      <c r="SIZ576" s="268"/>
      <c r="SJA576" s="268"/>
      <c r="SJB576" s="268"/>
      <c r="SJC576" s="268"/>
      <c r="SJD576" s="268"/>
      <c r="SJE576" s="268"/>
      <c r="SJF576" s="268"/>
      <c r="SJG576" s="268"/>
      <c r="SJH576" s="268"/>
      <c r="SJI576" s="268"/>
      <c r="SJJ576" s="268"/>
      <c r="SJK576" s="268"/>
      <c r="SJL576" s="268"/>
      <c r="SJM576" s="268"/>
      <c r="SJN576" s="268"/>
      <c r="SJO576" s="268"/>
      <c r="SJP576" s="268"/>
      <c r="SJQ576" s="268"/>
      <c r="SJR576" s="268"/>
      <c r="SJS576" s="268"/>
      <c r="SJT576" s="268"/>
      <c r="SJU576" s="268"/>
      <c r="SJV576" s="268"/>
      <c r="SJW576" s="268"/>
      <c r="SJX576" s="268"/>
      <c r="SJY576" s="268"/>
      <c r="SJZ576" s="268"/>
      <c r="SKA576" s="268"/>
      <c r="SKB576" s="268"/>
      <c r="SKC576" s="268"/>
      <c r="SKD576" s="268"/>
      <c r="SKE576" s="268"/>
      <c r="SKF576" s="268"/>
      <c r="SKG576" s="268"/>
      <c r="SKH576" s="268"/>
      <c r="SKI576" s="268"/>
      <c r="SKJ576" s="268"/>
      <c r="SKK576" s="268"/>
      <c r="SKL576" s="268"/>
      <c r="SKM576" s="268"/>
      <c r="SKN576" s="268"/>
      <c r="SKO576" s="268"/>
      <c r="SKP576" s="268"/>
      <c r="SKQ576" s="268"/>
      <c r="SKR576" s="268"/>
      <c r="SKS576" s="268"/>
      <c r="SKT576" s="268"/>
      <c r="SKU576" s="268"/>
      <c r="SKV576" s="268"/>
      <c r="SKW576" s="268"/>
      <c r="SKX576" s="268"/>
      <c r="SKY576" s="268"/>
      <c r="SKZ576" s="268"/>
      <c r="SLA576" s="268"/>
      <c r="SLB576" s="268"/>
      <c r="SLC576" s="268"/>
      <c r="SLD576" s="268"/>
      <c r="SLE576" s="268"/>
      <c r="SLF576" s="268"/>
      <c r="SLG576" s="268"/>
      <c r="SLH576" s="268"/>
      <c r="SLI576" s="268"/>
      <c r="SLJ576" s="268"/>
      <c r="SLK576" s="268"/>
      <c r="SLL576" s="268"/>
      <c r="SLM576" s="268"/>
      <c r="SLN576" s="268"/>
      <c r="SLO576" s="268"/>
      <c r="SLP576" s="268"/>
      <c r="SLQ576" s="268"/>
      <c r="SLR576" s="268"/>
      <c r="SLS576" s="268"/>
      <c r="SLT576" s="268"/>
      <c r="SLU576" s="268"/>
      <c r="SLV576" s="268"/>
      <c r="SLW576" s="268"/>
      <c r="SLX576" s="268"/>
      <c r="SLY576" s="268"/>
      <c r="SLZ576" s="268"/>
      <c r="SMA576" s="268"/>
      <c r="SMB576" s="268"/>
      <c r="SMC576" s="268"/>
      <c r="SMD576" s="268"/>
      <c r="SME576" s="268"/>
      <c r="SMF576" s="268"/>
      <c r="SMG576" s="268"/>
      <c r="SMH576" s="268"/>
      <c r="SMI576" s="268"/>
      <c r="SMJ576" s="268"/>
      <c r="SMK576" s="268"/>
      <c r="SML576" s="268"/>
      <c r="SMM576" s="268"/>
      <c r="SMN576" s="268"/>
      <c r="SMO576" s="268"/>
      <c r="SMP576" s="268"/>
      <c r="SMQ576" s="268"/>
      <c r="SMR576" s="268"/>
      <c r="SMS576" s="268"/>
      <c r="SMT576" s="268"/>
      <c r="SMU576" s="268"/>
      <c r="SMV576" s="268"/>
      <c r="SMW576" s="268"/>
      <c r="SMX576" s="268"/>
      <c r="SMY576" s="268"/>
      <c r="SMZ576" s="268"/>
      <c r="SNA576" s="268"/>
      <c r="SNB576" s="268"/>
      <c r="SNC576" s="268"/>
      <c r="SND576" s="268"/>
      <c r="SNE576" s="268"/>
      <c r="SNF576" s="268"/>
      <c r="SNG576" s="268"/>
      <c r="SNH576" s="268"/>
      <c r="SNI576" s="268"/>
      <c r="SNJ576" s="268"/>
      <c r="SNK576" s="268"/>
      <c r="SNL576" s="268"/>
      <c r="SNM576" s="268"/>
      <c r="SNN576" s="268"/>
      <c r="SNO576" s="268"/>
      <c r="SNP576" s="268"/>
      <c r="SNQ576" s="268"/>
      <c r="SNR576" s="268"/>
      <c r="SNS576" s="268"/>
      <c r="SNT576" s="268"/>
      <c r="SNU576" s="268"/>
      <c r="SNV576" s="268"/>
      <c r="SNW576" s="268"/>
      <c r="SNX576" s="268"/>
      <c r="SNY576" s="268"/>
      <c r="SNZ576" s="268"/>
      <c r="SOA576" s="268"/>
      <c r="SOB576" s="268"/>
      <c r="SOC576" s="268"/>
      <c r="SOD576" s="268"/>
      <c r="SOE576" s="268"/>
      <c r="SOF576" s="268"/>
      <c r="SOG576" s="268"/>
      <c r="SOH576" s="268"/>
      <c r="SOI576" s="268"/>
      <c r="SOJ576" s="268"/>
      <c r="SOK576" s="268"/>
      <c r="SOL576" s="268"/>
      <c r="SOM576" s="268"/>
      <c r="SON576" s="268"/>
      <c r="SOO576" s="268"/>
      <c r="SOP576" s="268"/>
      <c r="SOQ576" s="268"/>
      <c r="SOR576" s="268"/>
      <c r="SOS576" s="268"/>
      <c r="SOT576" s="268"/>
      <c r="SOU576" s="268"/>
      <c r="SOV576" s="268"/>
      <c r="SOW576" s="268"/>
      <c r="SOX576" s="268"/>
      <c r="SOY576" s="268"/>
      <c r="SOZ576" s="268"/>
      <c r="SPA576" s="268"/>
      <c r="SPB576" s="268"/>
      <c r="SPC576" s="268"/>
      <c r="SPD576" s="268"/>
      <c r="SPE576" s="268"/>
      <c r="SPF576" s="268"/>
      <c r="SPG576" s="268"/>
      <c r="SPH576" s="268"/>
      <c r="SPI576" s="268"/>
      <c r="SPJ576" s="268"/>
      <c r="SPK576" s="268"/>
      <c r="SPL576" s="268"/>
      <c r="SPM576" s="268"/>
      <c r="SPN576" s="268"/>
      <c r="SPO576" s="268"/>
      <c r="SPP576" s="268"/>
      <c r="SPQ576" s="268"/>
      <c r="SPR576" s="268"/>
      <c r="SPS576" s="268"/>
      <c r="SPT576" s="268"/>
      <c r="SPU576" s="268"/>
      <c r="SPV576" s="268"/>
      <c r="SPW576" s="268"/>
      <c r="SPX576" s="268"/>
      <c r="SPY576" s="268"/>
      <c r="SPZ576" s="268"/>
      <c r="SQA576" s="268"/>
      <c r="SQB576" s="268"/>
      <c r="SQC576" s="268"/>
      <c r="SQD576" s="268"/>
      <c r="SQE576" s="268"/>
      <c r="SQF576" s="268"/>
      <c r="SQG576" s="268"/>
      <c r="SQH576" s="268"/>
      <c r="SQI576" s="268"/>
      <c r="SQJ576" s="268"/>
      <c r="SQK576" s="268"/>
      <c r="SQL576" s="268"/>
      <c r="SQM576" s="268"/>
      <c r="SQN576" s="268"/>
      <c r="SQO576" s="268"/>
      <c r="SQP576" s="268"/>
      <c r="SQQ576" s="268"/>
      <c r="SRE576" s="268"/>
      <c r="SRF576" s="268"/>
      <c r="SRG576" s="268"/>
      <c r="SRU576" s="268"/>
      <c r="SRW576" s="268"/>
      <c r="SRX576" s="268"/>
      <c r="SRY576" s="268"/>
      <c r="SRZ576" s="268"/>
      <c r="SSA576" s="268"/>
      <c r="SSB576" s="268"/>
      <c r="SSC576" s="268"/>
      <c r="SSD576" s="268"/>
      <c r="SSE576" s="268"/>
      <c r="SSF576" s="268"/>
      <c r="SSG576" s="268"/>
      <c r="SSH576" s="268"/>
      <c r="SSI576" s="268"/>
      <c r="SSJ576" s="268"/>
      <c r="SSK576" s="268"/>
      <c r="SSL576" s="268"/>
      <c r="SSM576" s="268"/>
      <c r="SSN576" s="268"/>
      <c r="SSO576" s="268"/>
      <c r="SSP576" s="268"/>
      <c r="SSQ576" s="268"/>
      <c r="SSR576" s="268"/>
      <c r="SSS576" s="268"/>
      <c r="SST576" s="268"/>
      <c r="SSU576" s="268"/>
      <c r="SSV576" s="268"/>
      <c r="SSW576" s="268"/>
      <c r="SSX576" s="268"/>
      <c r="SSY576" s="268"/>
      <c r="SSZ576" s="268"/>
      <c r="STA576" s="268"/>
      <c r="STB576" s="268"/>
      <c r="STC576" s="268"/>
      <c r="STD576" s="268"/>
      <c r="STE576" s="268"/>
      <c r="STF576" s="268"/>
      <c r="STG576" s="268"/>
      <c r="STH576" s="268"/>
      <c r="STI576" s="268"/>
      <c r="STJ576" s="268"/>
      <c r="STK576" s="268"/>
      <c r="STL576" s="268"/>
      <c r="STM576" s="268"/>
      <c r="STN576" s="268"/>
      <c r="STO576" s="268"/>
      <c r="STP576" s="268"/>
      <c r="STQ576" s="268"/>
      <c r="STR576" s="268"/>
      <c r="STS576" s="268"/>
      <c r="STT576" s="268"/>
      <c r="STU576" s="268"/>
      <c r="STV576" s="268"/>
      <c r="STW576" s="268"/>
      <c r="STX576" s="268"/>
      <c r="STY576" s="268"/>
      <c r="STZ576" s="268"/>
      <c r="SUA576" s="268"/>
      <c r="SUB576" s="268"/>
      <c r="SUC576" s="268"/>
      <c r="SUD576" s="268"/>
      <c r="SUE576" s="268"/>
      <c r="SUF576" s="268"/>
      <c r="SUG576" s="268"/>
      <c r="SUH576" s="268"/>
      <c r="SUI576" s="268"/>
      <c r="SUJ576" s="268"/>
      <c r="SUK576" s="268"/>
      <c r="SUL576" s="268"/>
      <c r="SUM576" s="268"/>
      <c r="SUN576" s="268"/>
      <c r="SUO576" s="268"/>
      <c r="SUP576" s="268"/>
      <c r="SUQ576" s="268"/>
      <c r="SUR576" s="268"/>
      <c r="SUS576" s="268"/>
      <c r="SUT576" s="268"/>
      <c r="SUU576" s="268"/>
      <c r="SUV576" s="268"/>
      <c r="SUW576" s="268"/>
      <c r="SUX576" s="268"/>
      <c r="SUY576" s="268"/>
      <c r="SUZ576" s="268"/>
      <c r="SVA576" s="268"/>
      <c r="SVB576" s="268"/>
      <c r="SVC576" s="268"/>
      <c r="SVD576" s="268"/>
      <c r="SVE576" s="268"/>
      <c r="SVF576" s="268"/>
      <c r="SVG576" s="268"/>
      <c r="SVH576" s="268"/>
      <c r="SVI576" s="268"/>
      <c r="SVJ576" s="268"/>
      <c r="SVK576" s="268"/>
      <c r="SVL576" s="268"/>
      <c r="SVM576" s="268"/>
      <c r="SVN576" s="268"/>
      <c r="SVO576" s="268"/>
      <c r="SVP576" s="268"/>
      <c r="SVQ576" s="268"/>
      <c r="SVR576" s="268"/>
      <c r="SVS576" s="268"/>
      <c r="SVT576" s="268"/>
      <c r="SVU576" s="268"/>
      <c r="SVV576" s="268"/>
      <c r="SVW576" s="268"/>
      <c r="SVX576" s="268"/>
      <c r="SVY576" s="268"/>
      <c r="SVZ576" s="268"/>
      <c r="SWA576" s="268"/>
      <c r="SWB576" s="268"/>
      <c r="SWC576" s="268"/>
      <c r="SWD576" s="268"/>
      <c r="SWE576" s="268"/>
      <c r="SWF576" s="268"/>
      <c r="SWG576" s="268"/>
      <c r="SWH576" s="268"/>
      <c r="SWI576" s="268"/>
      <c r="SWJ576" s="268"/>
      <c r="SWK576" s="268"/>
      <c r="SWL576" s="268"/>
      <c r="SWM576" s="268"/>
      <c r="SWN576" s="268"/>
      <c r="SWO576" s="268"/>
      <c r="SWP576" s="268"/>
      <c r="SWQ576" s="268"/>
      <c r="SWR576" s="268"/>
      <c r="SWS576" s="268"/>
      <c r="SWT576" s="268"/>
      <c r="SWU576" s="268"/>
      <c r="SWV576" s="268"/>
      <c r="SWW576" s="268"/>
      <c r="SWX576" s="268"/>
      <c r="SWY576" s="268"/>
      <c r="SWZ576" s="268"/>
      <c r="SXA576" s="268"/>
      <c r="SXB576" s="268"/>
      <c r="SXC576" s="268"/>
      <c r="SXD576" s="268"/>
      <c r="SXE576" s="268"/>
      <c r="SXF576" s="268"/>
      <c r="SXG576" s="268"/>
      <c r="SXH576" s="268"/>
      <c r="SXI576" s="268"/>
      <c r="SXJ576" s="268"/>
      <c r="SXK576" s="268"/>
      <c r="SXL576" s="268"/>
      <c r="SXM576" s="268"/>
      <c r="SXN576" s="268"/>
      <c r="SXO576" s="268"/>
      <c r="SXP576" s="268"/>
      <c r="SXQ576" s="268"/>
      <c r="SXR576" s="268"/>
      <c r="SXS576" s="268"/>
      <c r="SXT576" s="268"/>
      <c r="SXU576" s="268"/>
      <c r="SXV576" s="268"/>
      <c r="SXW576" s="268"/>
      <c r="SXX576" s="268"/>
      <c r="SXY576" s="268"/>
      <c r="SXZ576" s="268"/>
      <c r="SYA576" s="268"/>
      <c r="SYB576" s="268"/>
      <c r="SYC576" s="268"/>
      <c r="SYD576" s="268"/>
      <c r="SYE576" s="268"/>
      <c r="SYF576" s="268"/>
      <c r="SYG576" s="268"/>
      <c r="SYH576" s="268"/>
      <c r="SYI576" s="268"/>
      <c r="SYJ576" s="268"/>
      <c r="SYK576" s="268"/>
      <c r="SYL576" s="268"/>
      <c r="SYM576" s="268"/>
      <c r="SYN576" s="268"/>
      <c r="SYO576" s="268"/>
      <c r="SYP576" s="268"/>
      <c r="SYQ576" s="268"/>
      <c r="SYR576" s="268"/>
      <c r="SYS576" s="268"/>
      <c r="SYT576" s="268"/>
      <c r="SYU576" s="268"/>
      <c r="SYV576" s="268"/>
      <c r="SYW576" s="268"/>
      <c r="SYX576" s="268"/>
      <c r="SYY576" s="268"/>
      <c r="SYZ576" s="268"/>
      <c r="SZA576" s="268"/>
      <c r="SZB576" s="268"/>
      <c r="SZC576" s="268"/>
      <c r="SZD576" s="268"/>
      <c r="SZE576" s="268"/>
      <c r="SZF576" s="268"/>
      <c r="SZG576" s="268"/>
      <c r="SZH576" s="268"/>
      <c r="SZI576" s="268"/>
      <c r="SZJ576" s="268"/>
      <c r="SZK576" s="268"/>
      <c r="SZL576" s="268"/>
      <c r="SZM576" s="268"/>
      <c r="SZN576" s="268"/>
      <c r="SZO576" s="268"/>
      <c r="SZP576" s="268"/>
      <c r="SZQ576" s="268"/>
      <c r="SZR576" s="268"/>
      <c r="SZS576" s="268"/>
      <c r="SZT576" s="268"/>
      <c r="SZU576" s="268"/>
      <c r="SZV576" s="268"/>
      <c r="SZW576" s="268"/>
      <c r="SZX576" s="268"/>
      <c r="SZY576" s="268"/>
      <c r="SZZ576" s="268"/>
      <c r="TAA576" s="268"/>
      <c r="TAB576" s="268"/>
      <c r="TAC576" s="268"/>
      <c r="TAD576" s="268"/>
      <c r="TAE576" s="268"/>
      <c r="TAF576" s="268"/>
      <c r="TAG576" s="268"/>
      <c r="TAH576" s="268"/>
      <c r="TAI576" s="268"/>
      <c r="TAJ576" s="268"/>
      <c r="TAK576" s="268"/>
      <c r="TAL576" s="268"/>
      <c r="TAM576" s="268"/>
      <c r="TBA576" s="268"/>
      <c r="TBB576" s="268"/>
      <c r="TBC576" s="268"/>
      <c r="TBQ576" s="268"/>
      <c r="TBS576" s="268"/>
      <c r="TBT576" s="268"/>
      <c r="TBU576" s="268"/>
      <c r="TBV576" s="268"/>
      <c r="TBW576" s="268"/>
      <c r="TBX576" s="268"/>
      <c r="TBY576" s="268"/>
      <c r="TBZ576" s="268"/>
      <c r="TCA576" s="268"/>
      <c r="TCB576" s="268"/>
      <c r="TCC576" s="268"/>
      <c r="TCD576" s="268"/>
      <c r="TCE576" s="268"/>
      <c r="TCF576" s="268"/>
      <c r="TCG576" s="268"/>
      <c r="TCH576" s="268"/>
      <c r="TCI576" s="268"/>
      <c r="TCJ576" s="268"/>
      <c r="TCK576" s="268"/>
      <c r="TCL576" s="268"/>
      <c r="TCM576" s="268"/>
      <c r="TCN576" s="268"/>
      <c r="TCO576" s="268"/>
      <c r="TCP576" s="268"/>
      <c r="TCQ576" s="268"/>
      <c r="TCR576" s="268"/>
      <c r="TCS576" s="268"/>
      <c r="TCT576" s="268"/>
      <c r="TCU576" s="268"/>
      <c r="TCV576" s="268"/>
      <c r="TCW576" s="268"/>
      <c r="TCX576" s="268"/>
      <c r="TCY576" s="268"/>
      <c r="TCZ576" s="268"/>
      <c r="TDA576" s="268"/>
      <c r="TDB576" s="268"/>
      <c r="TDC576" s="268"/>
      <c r="TDD576" s="268"/>
      <c r="TDE576" s="268"/>
      <c r="TDF576" s="268"/>
      <c r="TDG576" s="268"/>
      <c r="TDH576" s="268"/>
      <c r="TDI576" s="268"/>
      <c r="TDJ576" s="268"/>
      <c r="TDK576" s="268"/>
      <c r="TDL576" s="268"/>
      <c r="TDM576" s="268"/>
      <c r="TDN576" s="268"/>
      <c r="TDO576" s="268"/>
      <c r="TDP576" s="268"/>
      <c r="TDQ576" s="268"/>
      <c r="TDR576" s="268"/>
      <c r="TDS576" s="268"/>
      <c r="TDT576" s="268"/>
      <c r="TDU576" s="268"/>
      <c r="TDV576" s="268"/>
      <c r="TDW576" s="268"/>
      <c r="TDX576" s="268"/>
      <c r="TDY576" s="268"/>
      <c r="TDZ576" s="268"/>
      <c r="TEA576" s="268"/>
      <c r="TEB576" s="268"/>
      <c r="TEC576" s="268"/>
      <c r="TED576" s="268"/>
      <c r="TEE576" s="268"/>
      <c r="TEF576" s="268"/>
      <c r="TEG576" s="268"/>
      <c r="TEH576" s="268"/>
      <c r="TEI576" s="268"/>
      <c r="TEJ576" s="268"/>
      <c r="TEK576" s="268"/>
      <c r="TEL576" s="268"/>
      <c r="TEM576" s="268"/>
      <c r="TEN576" s="268"/>
      <c r="TEO576" s="268"/>
      <c r="TEP576" s="268"/>
      <c r="TEQ576" s="268"/>
      <c r="TER576" s="268"/>
      <c r="TES576" s="268"/>
      <c r="TET576" s="268"/>
      <c r="TEU576" s="268"/>
      <c r="TEV576" s="268"/>
      <c r="TEW576" s="268"/>
      <c r="TEX576" s="268"/>
      <c r="TEY576" s="268"/>
      <c r="TEZ576" s="268"/>
      <c r="TFA576" s="268"/>
      <c r="TFB576" s="268"/>
      <c r="TFC576" s="268"/>
      <c r="TFD576" s="268"/>
      <c r="TFE576" s="268"/>
      <c r="TFF576" s="268"/>
      <c r="TFG576" s="268"/>
      <c r="TFH576" s="268"/>
      <c r="TFI576" s="268"/>
      <c r="TFJ576" s="268"/>
      <c r="TFK576" s="268"/>
      <c r="TFL576" s="268"/>
      <c r="TFM576" s="268"/>
      <c r="TFN576" s="268"/>
      <c r="TFO576" s="268"/>
      <c r="TFP576" s="268"/>
      <c r="TFQ576" s="268"/>
      <c r="TFR576" s="268"/>
      <c r="TFS576" s="268"/>
      <c r="TFT576" s="268"/>
      <c r="TFU576" s="268"/>
      <c r="TFV576" s="268"/>
      <c r="TFW576" s="268"/>
      <c r="TFX576" s="268"/>
      <c r="TFY576" s="268"/>
      <c r="TFZ576" s="268"/>
      <c r="TGA576" s="268"/>
      <c r="TGB576" s="268"/>
      <c r="TGC576" s="268"/>
      <c r="TGD576" s="268"/>
      <c r="TGE576" s="268"/>
      <c r="TGF576" s="268"/>
      <c r="TGG576" s="268"/>
      <c r="TGH576" s="268"/>
      <c r="TGI576" s="268"/>
      <c r="TGJ576" s="268"/>
      <c r="TGK576" s="268"/>
      <c r="TGL576" s="268"/>
      <c r="TGM576" s="268"/>
      <c r="TGN576" s="268"/>
      <c r="TGO576" s="268"/>
      <c r="TGP576" s="268"/>
      <c r="TGQ576" s="268"/>
      <c r="TGR576" s="268"/>
      <c r="TGS576" s="268"/>
      <c r="TGT576" s="268"/>
      <c r="TGU576" s="268"/>
      <c r="TGV576" s="268"/>
      <c r="TGW576" s="268"/>
      <c r="TGX576" s="268"/>
      <c r="TGY576" s="268"/>
      <c r="TGZ576" s="268"/>
      <c r="THA576" s="268"/>
      <c r="THB576" s="268"/>
      <c r="THC576" s="268"/>
      <c r="THD576" s="268"/>
      <c r="THE576" s="268"/>
      <c r="THF576" s="268"/>
      <c r="THG576" s="268"/>
      <c r="THH576" s="268"/>
      <c r="THI576" s="268"/>
      <c r="THJ576" s="268"/>
      <c r="THK576" s="268"/>
      <c r="THL576" s="268"/>
      <c r="THM576" s="268"/>
      <c r="THN576" s="268"/>
      <c r="THO576" s="268"/>
      <c r="THP576" s="268"/>
      <c r="THQ576" s="268"/>
      <c r="THR576" s="268"/>
      <c r="THS576" s="268"/>
      <c r="THT576" s="268"/>
      <c r="THU576" s="268"/>
      <c r="THV576" s="268"/>
      <c r="THW576" s="268"/>
      <c r="THX576" s="268"/>
      <c r="THY576" s="268"/>
      <c r="THZ576" s="268"/>
      <c r="TIA576" s="268"/>
      <c r="TIB576" s="268"/>
      <c r="TIC576" s="268"/>
      <c r="TID576" s="268"/>
      <c r="TIE576" s="268"/>
      <c r="TIF576" s="268"/>
      <c r="TIG576" s="268"/>
      <c r="TIH576" s="268"/>
      <c r="TII576" s="268"/>
      <c r="TIJ576" s="268"/>
      <c r="TIK576" s="268"/>
      <c r="TIL576" s="268"/>
      <c r="TIM576" s="268"/>
      <c r="TIN576" s="268"/>
      <c r="TIO576" s="268"/>
      <c r="TIP576" s="268"/>
      <c r="TIQ576" s="268"/>
      <c r="TIR576" s="268"/>
      <c r="TIS576" s="268"/>
      <c r="TIT576" s="268"/>
      <c r="TIU576" s="268"/>
      <c r="TIV576" s="268"/>
      <c r="TIW576" s="268"/>
      <c r="TIX576" s="268"/>
      <c r="TIY576" s="268"/>
      <c r="TIZ576" s="268"/>
      <c r="TJA576" s="268"/>
      <c r="TJB576" s="268"/>
      <c r="TJC576" s="268"/>
      <c r="TJD576" s="268"/>
      <c r="TJE576" s="268"/>
      <c r="TJF576" s="268"/>
      <c r="TJG576" s="268"/>
      <c r="TJH576" s="268"/>
      <c r="TJI576" s="268"/>
      <c r="TJJ576" s="268"/>
      <c r="TJK576" s="268"/>
      <c r="TJL576" s="268"/>
      <c r="TJM576" s="268"/>
      <c r="TJN576" s="268"/>
      <c r="TJO576" s="268"/>
      <c r="TJP576" s="268"/>
      <c r="TJQ576" s="268"/>
      <c r="TJR576" s="268"/>
      <c r="TJS576" s="268"/>
      <c r="TJT576" s="268"/>
      <c r="TJU576" s="268"/>
      <c r="TJV576" s="268"/>
      <c r="TJW576" s="268"/>
      <c r="TJX576" s="268"/>
      <c r="TJY576" s="268"/>
      <c r="TJZ576" s="268"/>
      <c r="TKA576" s="268"/>
      <c r="TKB576" s="268"/>
      <c r="TKC576" s="268"/>
      <c r="TKD576" s="268"/>
      <c r="TKE576" s="268"/>
      <c r="TKF576" s="268"/>
      <c r="TKG576" s="268"/>
      <c r="TKH576" s="268"/>
      <c r="TKI576" s="268"/>
      <c r="TKW576" s="268"/>
      <c r="TKX576" s="268"/>
      <c r="TKY576" s="268"/>
      <c r="TLM576" s="268"/>
      <c r="TLO576" s="268"/>
      <c r="TLP576" s="268"/>
      <c r="TLQ576" s="268"/>
      <c r="TLR576" s="268"/>
      <c r="TLS576" s="268"/>
      <c r="TLT576" s="268"/>
      <c r="TLU576" s="268"/>
      <c r="TLV576" s="268"/>
      <c r="TLW576" s="268"/>
      <c r="TLX576" s="268"/>
      <c r="TLY576" s="268"/>
      <c r="TLZ576" s="268"/>
      <c r="TMA576" s="268"/>
      <c r="TMB576" s="268"/>
      <c r="TMC576" s="268"/>
      <c r="TMD576" s="268"/>
      <c r="TME576" s="268"/>
      <c r="TMF576" s="268"/>
      <c r="TMG576" s="268"/>
      <c r="TMH576" s="268"/>
      <c r="TMI576" s="268"/>
      <c r="TMJ576" s="268"/>
      <c r="TMK576" s="268"/>
      <c r="TML576" s="268"/>
      <c r="TMM576" s="268"/>
      <c r="TMN576" s="268"/>
      <c r="TMO576" s="268"/>
      <c r="TMP576" s="268"/>
      <c r="TMQ576" s="268"/>
      <c r="TMR576" s="268"/>
      <c r="TMS576" s="268"/>
      <c r="TMT576" s="268"/>
      <c r="TMU576" s="268"/>
      <c r="TMV576" s="268"/>
      <c r="TMW576" s="268"/>
      <c r="TMX576" s="268"/>
      <c r="TMY576" s="268"/>
      <c r="TMZ576" s="268"/>
      <c r="TNA576" s="268"/>
      <c r="TNB576" s="268"/>
      <c r="TNC576" s="268"/>
      <c r="TND576" s="268"/>
      <c r="TNE576" s="268"/>
      <c r="TNF576" s="268"/>
      <c r="TNG576" s="268"/>
      <c r="TNH576" s="268"/>
      <c r="TNI576" s="268"/>
      <c r="TNJ576" s="268"/>
      <c r="TNK576" s="268"/>
      <c r="TNL576" s="268"/>
      <c r="TNM576" s="268"/>
      <c r="TNN576" s="268"/>
      <c r="TNO576" s="268"/>
      <c r="TNP576" s="268"/>
      <c r="TNQ576" s="268"/>
      <c r="TNR576" s="268"/>
      <c r="TNS576" s="268"/>
      <c r="TNT576" s="268"/>
      <c r="TNU576" s="268"/>
      <c r="TNV576" s="268"/>
      <c r="TNW576" s="268"/>
      <c r="TNX576" s="268"/>
      <c r="TNY576" s="268"/>
      <c r="TNZ576" s="268"/>
      <c r="TOA576" s="268"/>
      <c r="TOB576" s="268"/>
      <c r="TOC576" s="268"/>
      <c r="TOD576" s="268"/>
      <c r="TOE576" s="268"/>
      <c r="TOF576" s="268"/>
      <c r="TOG576" s="268"/>
      <c r="TOH576" s="268"/>
      <c r="TOI576" s="268"/>
      <c r="TOJ576" s="268"/>
      <c r="TOK576" s="268"/>
      <c r="TOL576" s="268"/>
      <c r="TOM576" s="268"/>
      <c r="TON576" s="268"/>
      <c r="TOO576" s="268"/>
      <c r="TOP576" s="268"/>
      <c r="TOQ576" s="268"/>
      <c r="TOR576" s="268"/>
      <c r="TOS576" s="268"/>
      <c r="TOT576" s="268"/>
      <c r="TOU576" s="268"/>
      <c r="TOV576" s="268"/>
      <c r="TOW576" s="268"/>
      <c r="TOX576" s="268"/>
      <c r="TOY576" s="268"/>
      <c r="TOZ576" s="268"/>
      <c r="TPA576" s="268"/>
      <c r="TPB576" s="268"/>
      <c r="TPC576" s="268"/>
      <c r="TPD576" s="268"/>
      <c r="TPE576" s="268"/>
      <c r="TPF576" s="268"/>
      <c r="TPG576" s="268"/>
      <c r="TPH576" s="268"/>
      <c r="TPI576" s="268"/>
      <c r="TPJ576" s="268"/>
      <c r="TPK576" s="268"/>
      <c r="TPL576" s="268"/>
      <c r="TPM576" s="268"/>
      <c r="TPN576" s="268"/>
      <c r="TPO576" s="268"/>
      <c r="TPP576" s="268"/>
      <c r="TPQ576" s="268"/>
      <c r="TPR576" s="268"/>
      <c r="TPS576" s="268"/>
      <c r="TPT576" s="268"/>
      <c r="TPU576" s="268"/>
      <c r="TPV576" s="268"/>
      <c r="TPW576" s="268"/>
      <c r="TPX576" s="268"/>
      <c r="TPY576" s="268"/>
      <c r="TPZ576" s="268"/>
      <c r="TQA576" s="268"/>
      <c r="TQB576" s="268"/>
      <c r="TQC576" s="268"/>
      <c r="TQD576" s="268"/>
      <c r="TQE576" s="268"/>
      <c r="TQF576" s="268"/>
      <c r="TQG576" s="268"/>
      <c r="TQH576" s="268"/>
      <c r="TQI576" s="268"/>
      <c r="TQJ576" s="268"/>
      <c r="TQK576" s="268"/>
      <c r="TQL576" s="268"/>
      <c r="TQM576" s="268"/>
      <c r="TQN576" s="268"/>
      <c r="TQO576" s="268"/>
      <c r="TQP576" s="268"/>
      <c r="TQQ576" s="268"/>
      <c r="TQR576" s="268"/>
      <c r="TQS576" s="268"/>
      <c r="TQT576" s="268"/>
      <c r="TQU576" s="268"/>
      <c r="TQV576" s="268"/>
      <c r="TQW576" s="268"/>
      <c r="TQX576" s="268"/>
      <c r="TQY576" s="268"/>
      <c r="TQZ576" s="268"/>
      <c r="TRA576" s="268"/>
      <c r="TRB576" s="268"/>
      <c r="TRC576" s="268"/>
      <c r="TRD576" s="268"/>
      <c r="TRE576" s="268"/>
      <c r="TRF576" s="268"/>
      <c r="TRG576" s="268"/>
      <c r="TRH576" s="268"/>
      <c r="TRI576" s="268"/>
      <c r="TRJ576" s="268"/>
      <c r="TRK576" s="268"/>
      <c r="TRL576" s="268"/>
      <c r="TRM576" s="268"/>
      <c r="TRN576" s="268"/>
      <c r="TRO576" s="268"/>
      <c r="TRP576" s="268"/>
      <c r="TRQ576" s="268"/>
      <c r="TRR576" s="268"/>
      <c r="TRS576" s="268"/>
      <c r="TRT576" s="268"/>
      <c r="TRU576" s="268"/>
      <c r="TRV576" s="268"/>
      <c r="TRW576" s="268"/>
      <c r="TRX576" s="268"/>
      <c r="TRY576" s="268"/>
      <c r="TRZ576" s="268"/>
      <c r="TSA576" s="268"/>
      <c r="TSB576" s="268"/>
      <c r="TSC576" s="268"/>
      <c r="TSD576" s="268"/>
      <c r="TSE576" s="268"/>
      <c r="TSF576" s="268"/>
      <c r="TSG576" s="268"/>
      <c r="TSH576" s="268"/>
      <c r="TSI576" s="268"/>
      <c r="TSJ576" s="268"/>
      <c r="TSK576" s="268"/>
      <c r="TSL576" s="268"/>
      <c r="TSM576" s="268"/>
      <c r="TSN576" s="268"/>
      <c r="TSO576" s="268"/>
      <c r="TSP576" s="268"/>
      <c r="TSQ576" s="268"/>
      <c r="TSR576" s="268"/>
      <c r="TSS576" s="268"/>
      <c r="TST576" s="268"/>
      <c r="TSU576" s="268"/>
      <c r="TSV576" s="268"/>
      <c r="TSW576" s="268"/>
      <c r="TSX576" s="268"/>
      <c r="TSY576" s="268"/>
      <c r="TSZ576" s="268"/>
      <c r="TTA576" s="268"/>
      <c r="TTB576" s="268"/>
      <c r="TTC576" s="268"/>
      <c r="TTD576" s="268"/>
      <c r="TTE576" s="268"/>
      <c r="TTF576" s="268"/>
      <c r="TTG576" s="268"/>
      <c r="TTH576" s="268"/>
      <c r="TTI576" s="268"/>
      <c r="TTJ576" s="268"/>
      <c r="TTK576" s="268"/>
      <c r="TTL576" s="268"/>
      <c r="TTM576" s="268"/>
      <c r="TTN576" s="268"/>
      <c r="TTO576" s="268"/>
      <c r="TTP576" s="268"/>
      <c r="TTQ576" s="268"/>
      <c r="TTR576" s="268"/>
      <c r="TTS576" s="268"/>
      <c r="TTT576" s="268"/>
      <c r="TTU576" s="268"/>
      <c r="TTV576" s="268"/>
      <c r="TTW576" s="268"/>
      <c r="TTX576" s="268"/>
      <c r="TTY576" s="268"/>
      <c r="TTZ576" s="268"/>
      <c r="TUA576" s="268"/>
      <c r="TUB576" s="268"/>
      <c r="TUC576" s="268"/>
      <c r="TUD576" s="268"/>
      <c r="TUE576" s="268"/>
      <c r="TUS576" s="268"/>
      <c r="TUT576" s="268"/>
      <c r="TUU576" s="268"/>
      <c r="TVI576" s="268"/>
      <c r="TVK576" s="268"/>
      <c r="TVL576" s="268"/>
      <c r="TVM576" s="268"/>
      <c r="TVN576" s="268"/>
      <c r="TVO576" s="268"/>
      <c r="TVP576" s="268"/>
      <c r="TVQ576" s="268"/>
      <c r="TVR576" s="268"/>
      <c r="TVS576" s="268"/>
      <c r="TVT576" s="268"/>
      <c r="TVU576" s="268"/>
      <c r="TVV576" s="268"/>
      <c r="TVW576" s="268"/>
      <c r="TVX576" s="268"/>
      <c r="TVY576" s="268"/>
      <c r="TVZ576" s="268"/>
      <c r="TWA576" s="268"/>
      <c r="TWB576" s="268"/>
      <c r="TWC576" s="268"/>
      <c r="TWD576" s="268"/>
      <c r="TWE576" s="268"/>
      <c r="TWF576" s="268"/>
      <c r="TWG576" s="268"/>
      <c r="TWH576" s="268"/>
      <c r="TWI576" s="268"/>
      <c r="TWJ576" s="268"/>
      <c r="TWK576" s="268"/>
      <c r="TWL576" s="268"/>
      <c r="TWM576" s="268"/>
      <c r="TWN576" s="268"/>
      <c r="TWO576" s="268"/>
      <c r="TWP576" s="268"/>
      <c r="TWQ576" s="268"/>
      <c r="TWR576" s="268"/>
      <c r="TWS576" s="268"/>
      <c r="TWT576" s="268"/>
      <c r="TWU576" s="268"/>
      <c r="TWV576" s="268"/>
      <c r="TWW576" s="268"/>
      <c r="TWX576" s="268"/>
      <c r="TWY576" s="268"/>
      <c r="TWZ576" s="268"/>
      <c r="TXA576" s="268"/>
      <c r="TXB576" s="268"/>
      <c r="TXC576" s="268"/>
      <c r="TXD576" s="268"/>
      <c r="TXE576" s="268"/>
      <c r="TXF576" s="268"/>
      <c r="TXG576" s="268"/>
      <c r="TXH576" s="268"/>
      <c r="TXI576" s="268"/>
      <c r="TXJ576" s="268"/>
      <c r="TXK576" s="268"/>
      <c r="TXL576" s="268"/>
      <c r="TXM576" s="268"/>
      <c r="TXN576" s="268"/>
      <c r="TXO576" s="268"/>
      <c r="TXP576" s="268"/>
      <c r="TXQ576" s="268"/>
      <c r="TXR576" s="268"/>
      <c r="TXS576" s="268"/>
      <c r="TXT576" s="268"/>
      <c r="TXU576" s="268"/>
      <c r="TXV576" s="268"/>
      <c r="TXW576" s="268"/>
      <c r="TXX576" s="268"/>
      <c r="TXY576" s="268"/>
      <c r="TXZ576" s="268"/>
      <c r="TYA576" s="268"/>
      <c r="TYB576" s="268"/>
      <c r="TYC576" s="268"/>
      <c r="TYD576" s="268"/>
      <c r="TYE576" s="268"/>
      <c r="TYF576" s="268"/>
      <c r="TYG576" s="268"/>
      <c r="TYH576" s="268"/>
      <c r="TYI576" s="268"/>
      <c r="TYJ576" s="268"/>
      <c r="TYK576" s="268"/>
      <c r="TYL576" s="268"/>
      <c r="TYM576" s="268"/>
      <c r="TYN576" s="268"/>
      <c r="TYO576" s="268"/>
      <c r="TYP576" s="268"/>
      <c r="TYQ576" s="268"/>
      <c r="TYR576" s="268"/>
      <c r="TYS576" s="268"/>
      <c r="TYT576" s="268"/>
      <c r="TYU576" s="268"/>
      <c r="TYV576" s="268"/>
      <c r="TYW576" s="268"/>
      <c r="TYX576" s="268"/>
      <c r="TYY576" s="268"/>
      <c r="TYZ576" s="268"/>
      <c r="TZA576" s="268"/>
      <c r="TZB576" s="268"/>
      <c r="TZC576" s="268"/>
      <c r="TZD576" s="268"/>
      <c r="TZE576" s="268"/>
      <c r="TZF576" s="268"/>
      <c r="TZG576" s="268"/>
      <c r="TZH576" s="268"/>
      <c r="TZI576" s="268"/>
      <c r="TZJ576" s="268"/>
      <c r="TZK576" s="268"/>
      <c r="TZL576" s="268"/>
      <c r="TZM576" s="268"/>
      <c r="TZN576" s="268"/>
      <c r="TZO576" s="268"/>
      <c r="TZP576" s="268"/>
      <c r="TZQ576" s="268"/>
      <c r="TZR576" s="268"/>
      <c r="TZS576" s="268"/>
      <c r="TZT576" s="268"/>
      <c r="TZU576" s="268"/>
      <c r="TZV576" s="268"/>
      <c r="TZW576" s="268"/>
      <c r="TZX576" s="268"/>
      <c r="TZY576" s="268"/>
      <c r="TZZ576" s="268"/>
      <c r="UAA576" s="268"/>
      <c r="UAB576" s="268"/>
      <c r="UAC576" s="268"/>
      <c r="UAD576" s="268"/>
      <c r="UAE576" s="268"/>
      <c r="UAF576" s="268"/>
      <c r="UAG576" s="268"/>
      <c r="UAH576" s="268"/>
      <c r="UAI576" s="268"/>
      <c r="UAJ576" s="268"/>
      <c r="UAK576" s="268"/>
      <c r="UAL576" s="268"/>
      <c r="UAM576" s="268"/>
      <c r="UAN576" s="268"/>
      <c r="UAO576" s="268"/>
      <c r="UAP576" s="268"/>
      <c r="UAQ576" s="268"/>
      <c r="UAR576" s="268"/>
      <c r="UAS576" s="268"/>
      <c r="UAT576" s="268"/>
      <c r="UAU576" s="268"/>
      <c r="UAV576" s="268"/>
      <c r="UAW576" s="268"/>
      <c r="UAX576" s="268"/>
      <c r="UAY576" s="268"/>
      <c r="UAZ576" s="268"/>
      <c r="UBA576" s="268"/>
      <c r="UBB576" s="268"/>
      <c r="UBC576" s="268"/>
      <c r="UBD576" s="268"/>
      <c r="UBE576" s="268"/>
      <c r="UBF576" s="268"/>
      <c r="UBG576" s="268"/>
      <c r="UBH576" s="268"/>
      <c r="UBI576" s="268"/>
      <c r="UBJ576" s="268"/>
      <c r="UBK576" s="268"/>
      <c r="UBL576" s="268"/>
      <c r="UBM576" s="268"/>
      <c r="UBN576" s="268"/>
      <c r="UBO576" s="268"/>
      <c r="UBP576" s="268"/>
      <c r="UBQ576" s="268"/>
      <c r="UBR576" s="268"/>
      <c r="UBS576" s="268"/>
      <c r="UBT576" s="268"/>
      <c r="UBU576" s="268"/>
      <c r="UBV576" s="268"/>
      <c r="UBW576" s="268"/>
      <c r="UBX576" s="268"/>
      <c r="UBY576" s="268"/>
      <c r="UBZ576" s="268"/>
      <c r="UCA576" s="268"/>
      <c r="UCB576" s="268"/>
      <c r="UCC576" s="268"/>
      <c r="UCD576" s="268"/>
      <c r="UCE576" s="268"/>
      <c r="UCF576" s="268"/>
      <c r="UCG576" s="268"/>
      <c r="UCH576" s="268"/>
      <c r="UCI576" s="268"/>
      <c r="UCJ576" s="268"/>
      <c r="UCK576" s="268"/>
      <c r="UCL576" s="268"/>
      <c r="UCM576" s="268"/>
      <c r="UCN576" s="268"/>
      <c r="UCO576" s="268"/>
      <c r="UCP576" s="268"/>
      <c r="UCQ576" s="268"/>
      <c r="UCR576" s="268"/>
      <c r="UCS576" s="268"/>
      <c r="UCT576" s="268"/>
      <c r="UCU576" s="268"/>
      <c r="UCV576" s="268"/>
      <c r="UCW576" s="268"/>
      <c r="UCX576" s="268"/>
      <c r="UCY576" s="268"/>
      <c r="UCZ576" s="268"/>
      <c r="UDA576" s="268"/>
      <c r="UDB576" s="268"/>
      <c r="UDC576" s="268"/>
      <c r="UDD576" s="268"/>
      <c r="UDE576" s="268"/>
      <c r="UDF576" s="268"/>
      <c r="UDG576" s="268"/>
      <c r="UDH576" s="268"/>
      <c r="UDI576" s="268"/>
      <c r="UDJ576" s="268"/>
      <c r="UDK576" s="268"/>
      <c r="UDL576" s="268"/>
      <c r="UDM576" s="268"/>
      <c r="UDN576" s="268"/>
      <c r="UDO576" s="268"/>
      <c r="UDP576" s="268"/>
      <c r="UDQ576" s="268"/>
      <c r="UDR576" s="268"/>
      <c r="UDS576" s="268"/>
      <c r="UDT576" s="268"/>
      <c r="UDU576" s="268"/>
      <c r="UDV576" s="268"/>
      <c r="UDW576" s="268"/>
      <c r="UDX576" s="268"/>
      <c r="UDY576" s="268"/>
      <c r="UDZ576" s="268"/>
      <c r="UEA576" s="268"/>
      <c r="UEO576" s="268"/>
      <c r="UEP576" s="268"/>
      <c r="UEQ576" s="268"/>
      <c r="UFE576" s="268"/>
      <c r="UFG576" s="268"/>
      <c r="UFH576" s="268"/>
      <c r="UFI576" s="268"/>
      <c r="UFJ576" s="268"/>
      <c r="UFK576" s="268"/>
      <c r="UFL576" s="268"/>
      <c r="UFM576" s="268"/>
      <c r="UFN576" s="268"/>
      <c r="UFO576" s="268"/>
      <c r="UFP576" s="268"/>
      <c r="UFQ576" s="268"/>
      <c r="UFR576" s="268"/>
      <c r="UFS576" s="268"/>
      <c r="UFT576" s="268"/>
      <c r="UFU576" s="268"/>
      <c r="UFV576" s="268"/>
      <c r="UFW576" s="268"/>
      <c r="UFX576" s="268"/>
      <c r="UFY576" s="268"/>
      <c r="UFZ576" s="268"/>
      <c r="UGA576" s="268"/>
      <c r="UGB576" s="268"/>
      <c r="UGC576" s="268"/>
      <c r="UGD576" s="268"/>
      <c r="UGE576" s="268"/>
      <c r="UGF576" s="268"/>
      <c r="UGG576" s="268"/>
      <c r="UGH576" s="268"/>
      <c r="UGI576" s="268"/>
      <c r="UGJ576" s="268"/>
      <c r="UGK576" s="268"/>
      <c r="UGL576" s="268"/>
      <c r="UGM576" s="268"/>
      <c r="UGN576" s="268"/>
      <c r="UGO576" s="268"/>
      <c r="UGP576" s="268"/>
      <c r="UGQ576" s="268"/>
      <c r="UGR576" s="268"/>
      <c r="UGS576" s="268"/>
      <c r="UGT576" s="268"/>
      <c r="UGU576" s="268"/>
      <c r="UGV576" s="268"/>
      <c r="UGW576" s="268"/>
      <c r="UGX576" s="268"/>
      <c r="UGY576" s="268"/>
      <c r="UGZ576" s="268"/>
      <c r="UHA576" s="268"/>
      <c r="UHB576" s="268"/>
      <c r="UHC576" s="268"/>
      <c r="UHD576" s="268"/>
      <c r="UHE576" s="268"/>
      <c r="UHF576" s="268"/>
      <c r="UHG576" s="268"/>
      <c r="UHH576" s="268"/>
      <c r="UHI576" s="268"/>
      <c r="UHJ576" s="268"/>
      <c r="UHK576" s="268"/>
      <c r="UHL576" s="268"/>
      <c r="UHM576" s="268"/>
      <c r="UHN576" s="268"/>
      <c r="UHO576" s="268"/>
      <c r="UHP576" s="268"/>
      <c r="UHQ576" s="268"/>
      <c r="UHR576" s="268"/>
      <c r="UHS576" s="268"/>
      <c r="UHT576" s="268"/>
      <c r="UHU576" s="268"/>
      <c r="UHV576" s="268"/>
      <c r="UHW576" s="268"/>
      <c r="UHX576" s="268"/>
      <c r="UHY576" s="268"/>
      <c r="UHZ576" s="268"/>
      <c r="UIA576" s="268"/>
      <c r="UIB576" s="268"/>
      <c r="UIC576" s="268"/>
      <c r="UID576" s="268"/>
      <c r="UIE576" s="268"/>
      <c r="UIF576" s="268"/>
      <c r="UIG576" s="268"/>
      <c r="UIH576" s="268"/>
      <c r="UII576" s="268"/>
      <c r="UIJ576" s="268"/>
      <c r="UIK576" s="268"/>
      <c r="UIL576" s="268"/>
      <c r="UIM576" s="268"/>
      <c r="UIN576" s="268"/>
      <c r="UIO576" s="268"/>
      <c r="UIP576" s="268"/>
      <c r="UIQ576" s="268"/>
      <c r="UIR576" s="268"/>
      <c r="UIS576" s="268"/>
      <c r="UIT576" s="268"/>
      <c r="UIU576" s="268"/>
      <c r="UIV576" s="268"/>
      <c r="UIW576" s="268"/>
      <c r="UIX576" s="268"/>
      <c r="UIY576" s="268"/>
      <c r="UIZ576" s="268"/>
      <c r="UJA576" s="268"/>
      <c r="UJB576" s="268"/>
      <c r="UJC576" s="268"/>
      <c r="UJD576" s="268"/>
      <c r="UJE576" s="268"/>
      <c r="UJF576" s="268"/>
      <c r="UJG576" s="268"/>
      <c r="UJH576" s="268"/>
      <c r="UJI576" s="268"/>
      <c r="UJJ576" s="268"/>
      <c r="UJK576" s="268"/>
      <c r="UJL576" s="268"/>
      <c r="UJM576" s="268"/>
      <c r="UJN576" s="268"/>
      <c r="UJO576" s="268"/>
      <c r="UJP576" s="268"/>
      <c r="UJQ576" s="268"/>
      <c r="UJR576" s="268"/>
      <c r="UJS576" s="268"/>
      <c r="UJT576" s="268"/>
      <c r="UJU576" s="268"/>
      <c r="UJV576" s="268"/>
      <c r="UJW576" s="268"/>
      <c r="UJX576" s="268"/>
      <c r="UJY576" s="268"/>
      <c r="UJZ576" s="268"/>
      <c r="UKA576" s="268"/>
      <c r="UKB576" s="268"/>
      <c r="UKC576" s="268"/>
      <c r="UKD576" s="268"/>
      <c r="UKE576" s="268"/>
      <c r="UKF576" s="268"/>
      <c r="UKG576" s="268"/>
      <c r="UKH576" s="268"/>
      <c r="UKI576" s="268"/>
      <c r="UKJ576" s="268"/>
      <c r="UKK576" s="268"/>
      <c r="UKL576" s="268"/>
      <c r="UKM576" s="268"/>
      <c r="UKN576" s="268"/>
      <c r="UKO576" s="268"/>
      <c r="UKP576" s="268"/>
      <c r="UKQ576" s="268"/>
      <c r="UKR576" s="268"/>
      <c r="UKS576" s="268"/>
      <c r="UKT576" s="268"/>
      <c r="UKU576" s="268"/>
      <c r="UKV576" s="268"/>
      <c r="UKW576" s="268"/>
      <c r="UKX576" s="268"/>
      <c r="UKY576" s="268"/>
      <c r="UKZ576" s="268"/>
      <c r="ULA576" s="268"/>
      <c r="ULB576" s="268"/>
      <c r="ULC576" s="268"/>
      <c r="ULD576" s="268"/>
      <c r="ULE576" s="268"/>
      <c r="ULF576" s="268"/>
      <c r="ULG576" s="268"/>
      <c r="ULH576" s="268"/>
      <c r="ULI576" s="268"/>
      <c r="ULJ576" s="268"/>
      <c r="ULK576" s="268"/>
      <c r="ULL576" s="268"/>
      <c r="ULM576" s="268"/>
      <c r="ULN576" s="268"/>
      <c r="ULO576" s="268"/>
      <c r="ULP576" s="268"/>
      <c r="ULQ576" s="268"/>
      <c r="ULR576" s="268"/>
      <c r="ULS576" s="268"/>
      <c r="ULT576" s="268"/>
      <c r="ULU576" s="268"/>
      <c r="ULV576" s="268"/>
      <c r="ULW576" s="268"/>
      <c r="ULX576" s="268"/>
      <c r="ULY576" s="268"/>
      <c r="ULZ576" s="268"/>
      <c r="UMA576" s="268"/>
      <c r="UMB576" s="268"/>
      <c r="UMC576" s="268"/>
      <c r="UMD576" s="268"/>
      <c r="UME576" s="268"/>
      <c r="UMF576" s="268"/>
      <c r="UMG576" s="268"/>
      <c r="UMH576" s="268"/>
      <c r="UMI576" s="268"/>
      <c r="UMJ576" s="268"/>
      <c r="UMK576" s="268"/>
      <c r="UML576" s="268"/>
      <c r="UMM576" s="268"/>
      <c r="UMN576" s="268"/>
      <c r="UMO576" s="268"/>
      <c r="UMP576" s="268"/>
      <c r="UMQ576" s="268"/>
      <c r="UMR576" s="268"/>
      <c r="UMS576" s="268"/>
      <c r="UMT576" s="268"/>
      <c r="UMU576" s="268"/>
      <c r="UMV576" s="268"/>
      <c r="UMW576" s="268"/>
      <c r="UMX576" s="268"/>
      <c r="UMY576" s="268"/>
      <c r="UMZ576" s="268"/>
      <c r="UNA576" s="268"/>
      <c r="UNB576" s="268"/>
      <c r="UNC576" s="268"/>
      <c r="UND576" s="268"/>
      <c r="UNE576" s="268"/>
      <c r="UNF576" s="268"/>
      <c r="UNG576" s="268"/>
      <c r="UNH576" s="268"/>
      <c r="UNI576" s="268"/>
      <c r="UNJ576" s="268"/>
      <c r="UNK576" s="268"/>
      <c r="UNL576" s="268"/>
      <c r="UNM576" s="268"/>
      <c r="UNN576" s="268"/>
      <c r="UNO576" s="268"/>
      <c r="UNP576" s="268"/>
      <c r="UNQ576" s="268"/>
      <c r="UNR576" s="268"/>
      <c r="UNS576" s="268"/>
      <c r="UNT576" s="268"/>
      <c r="UNU576" s="268"/>
      <c r="UNV576" s="268"/>
      <c r="UNW576" s="268"/>
      <c r="UOK576" s="268"/>
      <c r="UOL576" s="268"/>
      <c r="UOM576" s="268"/>
      <c r="UPA576" s="268"/>
      <c r="UPC576" s="268"/>
      <c r="UPD576" s="268"/>
      <c r="UPE576" s="268"/>
      <c r="UPF576" s="268"/>
      <c r="UPG576" s="268"/>
      <c r="UPH576" s="268"/>
      <c r="UPI576" s="268"/>
      <c r="UPJ576" s="268"/>
      <c r="UPK576" s="268"/>
      <c r="UPL576" s="268"/>
      <c r="UPM576" s="268"/>
      <c r="UPN576" s="268"/>
      <c r="UPO576" s="268"/>
      <c r="UPP576" s="268"/>
      <c r="UPQ576" s="268"/>
      <c r="UPR576" s="268"/>
      <c r="UPS576" s="268"/>
      <c r="UPT576" s="268"/>
      <c r="UPU576" s="268"/>
      <c r="UPV576" s="268"/>
      <c r="UPW576" s="268"/>
      <c r="UPX576" s="268"/>
      <c r="UPY576" s="268"/>
      <c r="UPZ576" s="268"/>
      <c r="UQA576" s="268"/>
      <c r="UQB576" s="268"/>
      <c r="UQC576" s="268"/>
      <c r="UQD576" s="268"/>
      <c r="UQE576" s="268"/>
      <c r="UQF576" s="268"/>
      <c r="UQG576" s="268"/>
      <c r="UQH576" s="268"/>
      <c r="UQI576" s="268"/>
      <c r="UQJ576" s="268"/>
      <c r="UQK576" s="268"/>
      <c r="UQL576" s="268"/>
      <c r="UQM576" s="268"/>
      <c r="UQN576" s="268"/>
      <c r="UQO576" s="268"/>
      <c r="UQP576" s="268"/>
      <c r="UQQ576" s="268"/>
      <c r="UQR576" s="268"/>
      <c r="UQS576" s="268"/>
      <c r="UQT576" s="268"/>
      <c r="UQU576" s="268"/>
      <c r="UQV576" s="268"/>
      <c r="UQW576" s="268"/>
      <c r="UQX576" s="268"/>
      <c r="UQY576" s="268"/>
      <c r="UQZ576" s="268"/>
      <c r="URA576" s="268"/>
      <c r="URB576" s="268"/>
      <c r="URC576" s="268"/>
      <c r="URD576" s="268"/>
      <c r="URE576" s="268"/>
      <c r="URF576" s="268"/>
      <c r="URG576" s="268"/>
      <c r="URH576" s="268"/>
      <c r="URI576" s="268"/>
      <c r="URJ576" s="268"/>
      <c r="URK576" s="268"/>
      <c r="URL576" s="268"/>
      <c r="URM576" s="268"/>
      <c r="URN576" s="268"/>
      <c r="URO576" s="268"/>
      <c r="URP576" s="268"/>
      <c r="URQ576" s="268"/>
      <c r="URR576" s="268"/>
      <c r="URS576" s="268"/>
      <c r="URT576" s="268"/>
      <c r="URU576" s="268"/>
      <c r="URV576" s="268"/>
      <c r="URW576" s="268"/>
      <c r="URX576" s="268"/>
      <c r="URY576" s="268"/>
      <c r="URZ576" s="268"/>
      <c r="USA576" s="268"/>
      <c r="USB576" s="268"/>
      <c r="USC576" s="268"/>
      <c r="USD576" s="268"/>
      <c r="USE576" s="268"/>
      <c r="USF576" s="268"/>
      <c r="USG576" s="268"/>
      <c r="USH576" s="268"/>
      <c r="USI576" s="268"/>
      <c r="USJ576" s="268"/>
      <c r="USK576" s="268"/>
      <c r="USL576" s="268"/>
      <c r="USM576" s="268"/>
      <c r="USN576" s="268"/>
      <c r="USO576" s="268"/>
      <c r="USP576" s="268"/>
      <c r="USQ576" s="268"/>
      <c r="USR576" s="268"/>
      <c r="USS576" s="268"/>
      <c r="UST576" s="268"/>
      <c r="USU576" s="268"/>
      <c r="USV576" s="268"/>
      <c r="USW576" s="268"/>
      <c r="USX576" s="268"/>
      <c r="USY576" s="268"/>
      <c r="USZ576" s="268"/>
      <c r="UTA576" s="268"/>
      <c r="UTB576" s="268"/>
      <c r="UTC576" s="268"/>
      <c r="UTD576" s="268"/>
      <c r="UTE576" s="268"/>
      <c r="UTF576" s="268"/>
      <c r="UTG576" s="268"/>
      <c r="UTH576" s="268"/>
      <c r="UTI576" s="268"/>
      <c r="UTJ576" s="268"/>
      <c r="UTK576" s="268"/>
      <c r="UTL576" s="268"/>
      <c r="UTM576" s="268"/>
      <c r="UTN576" s="268"/>
      <c r="UTO576" s="268"/>
      <c r="UTP576" s="268"/>
      <c r="UTQ576" s="268"/>
      <c r="UTR576" s="268"/>
      <c r="UTS576" s="268"/>
      <c r="UTT576" s="268"/>
      <c r="UTU576" s="268"/>
      <c r="UTV576" s="268"/>
      <c r="UTW576" s="268"/>
      <c r="UTX576" s="268"/>
      <c r="UTY576" s="268"/>
      <c r="UTZ576" s="268"/>
      <c r="UUA576" s="268"/>
      <c r="UUB576" s="268"/>
      <c r="UUC576" s="268"/>
      <c r="UUD576" s="268"/>
      <c r="UUE576" s="268"/>
      <c r="UUF576" s="268"/>
      <c r="UUG576" s="268"/>
      <c r="UUH576" s="268"/>
      <c r="UUI576" s="268"/>
      <c r="UUJ576" s="268"/>
      <c r="UUK576" s="268"/>
      <c r="UUL576" s="268"/>
      <c r="UUM576" s="268"/>
      <c r="UUN576" s="268"/>
      <c r="UUO576" s="268"/>
      <c r="UUP576" s="268"/>
      <c r="UUQ576" s="268"/>
      <c r="UUR576" s="268"/>
      <c r="UUS576" s="268"/>
      <c r="UUT576" s="268"/>
      <c r="UUU576" s="268"/>
      <c r="UUV576" s="268"/>
      <c r="UUW576" s="268"/>
      <c r="UUX576" s="268"/>
      <c r="UUY576" s="268"/>
      <c r="UUZ576" s="268"/>
      <c r="UVA576" s="268"/>
      <c r="UVB576" s="268"/>
      <c r="UVC576" s="268"/>
      <c r="UVD576" s="268"/>
      <c r="UVE576" s="268"/>
      <c r="UVF576" s="268"/>
      <c r="UVG576" s="268"/>
      <c r="UVH576" s="268"/>
      <c r="UVI576" s="268"/>
      <c r="UVJ576" s="268"/>
      <c r="UVK576" s="268"/>
      <c r="UVL576" s="268"/>
      <c r="UVM576" s="268"/>
      <c r="UVN576" s="268"/>
      <c r="UVO576" s="268"/>
      <c r="UVP576" s="268"/>
      <c r="UVQ576" s="268"/>
      <c r="UVR576" s="268"/>
      <c r="UVS576" s="268"/>
      <c r="UVT576" s="268"/>
      <c r="UVU576" s="268"/>
      <c r="UVV576" s="268"/>
      <c r="UVW576" s="268"/>
      <c r="UVX576" s="268"/>
      <c r="UVY576" s="268"/>
      <c r="UVZ576" s="268"/>
      <c r="UWA576" s="268"/>
      <c r="UWB576" s="268"/>
      <c r="UWC576" s="268"/>
      <c r="UWD576" s="268"/>
      <c r="UWE576" s="268"/>
      <c r="UWF576" s="268"/>
      <c r="UWG576" s="268"/>
      <c r="UWH576" s="268"/>
      <c r="UWI576" s="268"/>
      <c r="UWJ576" s="268"/>
      <c r="UWK576" s="268"/>
      <c r="UWL576" s="268"/>
      <c r="UWM576" s="268"/>
      <c r="UWN576" s="268"/>
      <c r="UWO576" s="268"/>
      <c r="UWP576" s="268"/>
      <c r="UWQ576" s="268"/>
      <c r="UWR576" s="268"/>
      <c r="UWS576" s="268"/>
      <c r="UWT576" s="268"/>
      <c r="UWU576" s="268"/>
      <c r="UWV576" s="268"/>
      <c r="UWW576" s="268"/>
      <c r="UWX576" s="268"/>
      <c r="UWY576" s="268"/>
      <c r="UWZ576" s="268"/>
      <c r="UXA576" s="268"/>
      <c r="UXB576" s="268"/>
      <c r="UXC576" s="268"/>
      <c r="UXD576" s="268"/>
      <c r="UXE576" s="268"/>
      <c r="UXF576" s="268"/>
      <c r="UXG576" s="268"/>
      <c r="UXH576" s="268"/>
      <c r="UXI576" s="268"/>
      <c r="UXJ576" s="268"/>
      <c r="UXK576" s="268"/>
      <c r="UXL576" s="268"/>
      <c r="UXM576" s="268"/>
      <c r="UXN576" s="268"/>
      <c r="UXO576" s="268"/>
      <c r="UXP576" s="268"/>
      <c r="UXQ576" s="268"/>
      <c r="UXR576" s="268"/>
      <c r="UXS576" s="268"/>
      <c r="UYG576" s="268"/>
      <c r="UYH576" s="268"/>
      <c r="UYI576" s="268"/>
      <c r="UYW576" s="268"/>
      <c r="UYY576" s="268"/>
      <c r="UYZ576" s="268"/>
      <c r="UZA576" s="268"/>
      <c r="UZB576" s="268"/>
      <c r="UZC576" s="268"/>
      <c r="UZD576" s="268"/>
      <c r="UZE576" s="268"/>
      <c r="UZF576" s="268"/>
      <c r="UZG576" s="268"/>
      <c r="UZH576" s="268"/>
      <c r="UZI576" s="268"/>
      <c r="UZJ576" s="268"/>
      <c r="UZK576" s="268"/>
      <c r="UZL576" s="268"/>
      <c r="UZM576" s="268"/>
      <c r="UZN576" s="268"/>
      <c r="UZO576" s="268"/>
      <c r="UZP576" s="268"/>
      <c r="UZQ576" s="268"/>
      <c r="UZR576" s="268"/>
      <c r="UZS576" s="268"/>
      <c r="UZT576" s="268"/>
      <c r="UZU576" s="268"/>
      <c r="UZV576" s="268"/>
      <c r="UZW576" s="268"/>
      <c r="UZX576" s="268"/>
      <c r="UZY576" s="268"/>
      <c r="UZZ576" s="268"/>
      <c r="VAA576" s="268"/>
      <c r="VAB576" s="268"/>
      <c r="VAC576" s="268"/>
      <c r="VAD576" s="268"/>
      <c r="VAE576" s="268"/>
      <c r="VAF576" s="268"/>
      <c r="VAG576" s="268"/>
      <c r="VAH576" s="268"/>
      <c r="VAI576" s="268"/>
      <c r="VAJ576" s="268"/>
      <c r="VAK576" s="268"/>
      <c r="VAL576" s="268"/>
      <c r="VAM576" s="268"/>
      <c r="VAN576" s="268"/>
      <c r="VAO576" s="268"/>
      <c r="VAP576" s="268"/>
      <c r="VAQ576" s="268"/>
      <c r="VAR576" s="268"/>
      <c r="VAS576" s="268"/>
      <c r="VAT576" s="268"/>
      <c r="VAU576" s="268"/>
      <c r="VAV576" s="268"/>
      <c r="VAW576" s="268"/>
      <c r="VAX576" s="268"/>
      <c r="VAY576" s="268"/>
      <c r="VAZ576" s="268"/>
      <c r="VBA576" s="268"/>
      <c r="VBB576" s="268"/>
      <c r="VBC576" s="268"/>
      <c r="VBD576" s="268"/>
      <c r="VBE576" s="268"/>
      <c r="VBF576" s="268"/>
      <c r="VBG576" s="268"/>
      <c r="VBH576" s="268"/>
      <c r="VBI576" s="268"/>
      <c r="VBJ576" s="268"/>
      <c r="VBK576" s="268"/>
      <c r="VBL576" s="268"/>
      <c r="VBM576" s="268"/>
      <c r="VBN576" s="268"/>
      <c r="VBO576" s="268"/>
      <c r="VBP576" s="268"/>
      <c r="VBQ576" s="268"/>
      <c r="VBR576" s="268"/>
      <c r="VBS576" s="268"/>
      <c r="VBT576" s="268"/>
      <c r="VBU576" s="268"/>
      <c r="VBV576" s="268"/>
      <c r="VBW576" s="268"/>
      <c r="VBX576" s="268"/>
      <c r="VBY576" s="268"/>
      <c r="VBZ576" s="268"/>
      <c r="VCA576" s="268"/>
      <c r="VCB576" s="268"/>
      <c r="VCC576" s="268"/>
      <c r="VCD576" s="268"/>
      <c r="VCE576" s="268"/>
      <c r="VCF576" s="268"/>
      <c r="VCG576" s="268"/>
      <c r="VCH576" s="268"/>
      <c r="VCI576" s="268"/>
      <c r="VCJ576" s="268"/>
      <c r="VCK576" s="268"/>
      <c r="VCL576" s="268"/>
      <c r="VCM576" s="268"/>
      <c r="VCN576" s="268"/>
      <c r="VCO576" s="268"/>
      <c r="VCP576" s="268"/>
      <c r="VCQ576" s="268"/>
      <c r="VCR576" s="268"/>
      <c r="VCS576" s="268"/>
      <c r="VCT576" s="268"/>
      <c r="VCU576" s="268"/>
      <c r="VCV576" s="268"/>
      <c r="VCW576" s="268"/>
      <c r="VCX576" s="268"/>
      <c r="VCY576" s="268"/>
      <c r="VCZ576" s="268"/>
      <c r="VDA576" s="268"/>
      <c r="VDB576" s="268"/>
      <c r="VDC576" s="268"/>
      <c r="VDD576" s="268"/>
      <c r="VDE576" s="268"/>
      <c r="VDF576" s="268"/>
      <c r="VDG576" s="268"/>
      <c r="VDH576" s="268"/>
      <c r="VDI576" s="268"/>
      <c r="VDJ576" s="268"/>
      <c r="VDK576" s="268"/>
      <c r="VDL576" s="268"/>
      <c r="VDM576" s="268"/>
      <c r="VDN576" s="268"/>
      <c r="VDO576" s="268"/>
      <c r="VDP576" s="268"/>
      <c r="VDQ576" s="268"/>
      <c r="VDR576" s="268"/>
      <c r="VDS576" s="268"/>
      <c r="VDT576" s="268"/>
      <c r="VDU576" s="268"/>
      <c r="VDV576" s="268"/>
      <c r="VDW576" s="268"/>
      <c r="VDX576" s="268"/>
      <c r="VDY576" s="268"/>
      <c r="VDZ576" s="268"/>
      <c r="VEA576" s="268"/>
      <c r="VEB576" s="268"/>
      <c r="VEC576" s="268"/>
      <c r="VED576" s="268"/>
      <c r="VEE576" s="268"/>
      <c r="VEF576" s="268"/>
      <c r="VEG576" s="268"/>
      <c r="VEH576" s="268"/>
      <c r="VEI576" s="268"/>
      <c r="VEJ576" s="268"/>
      <c r="VEK576" s="268"/>
      <c r="VEL576" s="268"/>
      <c r="VEM576" s="268"/>
      <c r="VEN576" s="268"/>
      <c r="VEO576" s="268"/>
      <c r="VEP576" s="268"/>
      <c r="VEQ576" s="268"/>
      <c r="VER576" s="268"/>
      <c r="VES576" s="268"/>
      <c r="VET576" s="268"/>
      <c r="VEU576" s="268"/>
      <c r="VEV576" s="268"/>
      <c r="VEW576" s="268"/>
      <c r="VEX576" s="268"/>
      <c r="VEY576" s="268"/>
      <c r="VEZ576" s="268"/>
      <c r="VFA576" s="268"/>
      <c r="VFB576" s="268"/>
      <c r="VFC576" s="268"/>
      <c r="VFD576" s="268"/>
      <c r="VFE576" s="268"/>
      <c r="VFF576" s="268"/>
      <c r="VFG576" s="268"/>
      <c r="VFH576" s="268"/>
      <c r="VFI576" s="268"/>
      <c r="VFJ576" s="268"/>
      <c r="VFK576" s="268"/>
      <c r="VFL576" s="268"/>
      <c r="VFM576" s="268"/>
      <c r="VFN576" s="268"/>
      <c r="VFO576" s="268"/>
      <c r="VFP576" s="268"/>
      <c r="VFQ576" s="268"/>
      <c r="VFR576" s="268"/>
      <c r="VFS576" s="268"/>
      <c r="VFT576" s="268"/>
      <c r="VFU576" s="268"/>
      <c r="VFV576" s="268"/>
      <c r="VFW576" s="268"/>
      <c r="VFX576" s="268"/>
      <c r="VFY576" s="268"/>
      <c r="VFZ576" s="268"/>
      <c r="VGA576" s="268"/>
      <c r="VGB576" s="268"/>
      <c r="VGC576" s="268"/>
      <c r="VGD576" s="268"/>
      <c r="VGE576" s="268"/>
      <c r="VGF576" s="268"/>
      <c r="VGG576" s="268"/>
      <c r="VGH576" s="268"/>
      <c r="VGI576" s="268"/>
      <c r="VGJ576" s="268"/>
      <c r="VGK576" s="268"/>
      <c r="VGL576" s="268"/>
      <c r="VGM576" s="268"/>
      <c r="VGN576" s="268"/>
      <c r="VGO576" s="268"/>
      <c r="VGP576" s="268"/>
      <c r="VGQ576" s="268"/>
      <c r="VGR576" s="268"/>
      <c r="VGS576" s="268"/>
      <c r="VGT576" s="268"/>
      <c r="VGU576" s="268"/>
      <c r="VGV576" s="268"/>
      <c r="VGW576" s="268"/>
      <c r="VGX576" s="268"/>
      <c r="VGY576" s="268"/>
      <c r="VGZ576" s="268"/>
      <c r="VHA576" s="268"/>
      <c r="VHB576" s="268"/>
      <c r="VHC576" s="268"/>
      <c r="VHD576" s="268"/>
      <c r="VHE576" s="268"/>
      <c r="VHF576" s="268"/>
      <c r="VHG576" s="268"/>
      <c r="VHH576" s="268"/>
      <c r="VHI576" s="268"/>
      <c r="VHJ576" s="268"/>
      <c r="VHK576" s="268"/>
      <c r="VHL576" s="268"/>
      <c r="VHM576" s="268"/>
      <c r="VHN576" s="268"/>
      <c r="VHO576" s="268"/>
      <c r="VIC576" s="268"/>
      <c r="VID576" s="268"/>
      <c r="VIE576" s="268"/>
      <c r="VIS576" s="268"/>
      <c r="VIU576" s="268"/>
      <c r="VIV576" s="268"/>
      <c r="VIW576" s="268"/>
      <c r="VIX576" s="268"/>
      <c r="VIY576" s="268"/>
      <c r="VIZ576" s="268"/>
      <c r="VJA576" s="268"/>
      <c r="VJB576" s="268"/>
      <c r="VJC576" s="268"/>
      <c r="VJD576" s="268"/>
      <c r="VJE576" s="268"/>
      <c r="VJF576" s="268"/>
      <c r="VJG576" s="268"/>
      <c r="VJH576" s="268"/>
      <c r="VJI576" s="268"/>
      <c r="VJJ576" s="268"/>
      <c r="VJK576" s="268"/>
      <c r="VJL576" s="268"/>
      <c r="VJM576" s="268"/>
      <c r="VJN576" s="268"/>
      <c r="VJO576" s="268"/>
      <c r="VJP576" s="268"/>
      <c r="VJQ576" s="268"/>
      <c r="VJR576" s="268"/>
      <c r="VJS576" s="268"/>
      <c r="VJT576" s="268"/>
      <c r="VJU576" s="268"/>
      <c r="VJV576" s="268"/>
      <c r="VJW576" s="268"/>
      <c r="VJX576" s="268"/>
      <c r="VJY576" s="268"/>
      <c r="VJZ576" s="268"/>
      <c r="VKA576" s="268"/>
      <c r="VKB576" s="268"/>
      <c r="VKC576" s="268"/>
      <c r="VKD576" s="268"/>
      <c r="VKE576" s="268"/>
      <c r="VKF576" s="268"/>
      <c r="VKG576" s="268"/>
      <c r="VKH576" s="268"/>
      <c r="VKI576" s="268"/>
      <c r="VKJ576" s="268"/>
      <c r="VKK576" s="268"/>
      <c r="VKL576" s="268"/>
      <c r="VKM576" s="268"/>
      <c r="VKN576" s="268"/>
      <c r="VKO576" s="268"/>
      <c r="VKP576" s="268"/>
      <c r="VKQ576" s="268"/>
      <c r="VKR576" s="268"/>
      <c r="VKS576" s="268"/>
      <c r="VKT576" s="268"/>
      <c r="VKU576" s="268"/>
      <c r="VKV576" s="268"/>
      <c r="VKW576" s="268"/>
      <c r="VKX576" s="268"/>
      <c r="VKY576" s="268"/>
      <c r="VKZ576" s="268"/>
      <c r="VLA576" s="268"/>
      <c r="VLB576" s="268"/>
      <c r="VLC576" s="268"/>
      <c r="VLD576" s="268"/>
      <c r="VLE576" s="268"/>
      <c r="VLF576" s="268"/>
      <c r="VLG576" s="268"/>
      <c r="VLH576" s="268"/>
      <c r="VLI576" s="268"/>
      <c r="VLJ576" s="268"/>
      <c r="VLK576" s="268"/>
      <c r="VLL576" s="268"/>
      <c r="VLM576" s="268"/>
      <c r="VLN576" s="268"/>
      <c r="VLO576" s="268"/>
      <c r="VLP576" s="268"/>
      <c r="VLQ576" s="268"/>
      <c r="VLR576" s="268"/>
      <c r="VLS576" s="268"/>
      <c r="VLT576" s="268"/>
      <c r="VLU576" s="268"/>
      <c r="VLV576" s="268"/>
      <c r="VLW576" s="268"/>
      <c r="VLX576" s="268"/>
      <c r="VLY576" s="268"/>
      <c r="VLZ576" s="268"/>
      <c r="VMA576" s="268"/>
      <c r="VMB576" s="268"/>
      <c r="VMC576" s="268"/>
      <c r="VMD576" s="268"/>
      <c r="VME576" s="268"/>
      <c r="VMF576" s="268"/>
      <c r="VMG576" s="268"/>
      <c r="VMH576" s="268"/>
      <c r="VMI576" s="268"/>
      <c r="VMJ576" s="268"/>
      <c r="VMK576" s="268"/>
      <c r="VML576" s="268"/>
      <c r="VMM576" s="268"/>
      <c r="VMN576" s="268"/>
      <c r="VMO576" s="268"/>
      <c r="VMP576" s="268"/>
      <c r="VMQ576" s="268"/>
      <c r="VMR576" s="268"/>
      <c r="VMS576" s="268"/>
      <c r="VMT576" s="268"/>
      <c r="VMU576" s="268"/>
      <c r="VMV576" s="268"/>
      <c r="VMW576" s="268"/>
      <c r="VMX576" s="268"/>
      <c r="VMY576" s="268"/>
      <c r="VMZ576" s="268"/>
      <c r="VNA576" s="268"/>
      <c r="VNB576" s="268"/>
      <c r="VNC576" s="268"/>
      <c r="VND576" s="268"/>
      <c r="VNE576" s="268"/>
      <c r="VNF576" s="268"/>
      <c r="VNG576" s="268"/>
      <c r="VNH576" s="268"/>
      <c r="VNI576" s="268"/>
      <c r="VNJ576" s="268"/>
      <c r="VNK576" s="268"/>
      <c r="VNL576" s="268"/>
      <c r="VNM576" s="268"/>
      <c r="VNN576" s="268"/>
      <c r="VNO576" s="268"/>
      <c r="VNP576" s="268"/>
      <c r="VNQ576" s="268"/>
      <c r="VNR576" s="268"/>
      <c r="VNS576" s="268"/>
      <c r="VNT576" s="268"/>
      <c r="VNU576" s="268"/>
      <c r="VNV576" s="268"/>
      <c r="VNW576" s="268"/>
      <c r="VNX576" s="268"/>
      <c r="VNY576" s="268"/>
      <c r="VNZ576" s="268"/>
      <c r="VOA576" s="268"/>
      <c r="VOB576" s="268"/>
      <c r="VOC576" s="268"/>
      <c r="VOD576" s="268"/>
      <c r="VOE576" s="268"/>
      <c r="VOF576" s="268"/>
      <c r="VOG576" s="268"/>
      <c r="VOH576" s="268"/>
      <c r="VOI576" s="268"/>
      <c r="VOJ576" s="268"/>
      <c r="VOK576" s="268"/>
      <c r="VOL576" s="268"/>
      <c r="VOM576" s="268"/>
      <c r="VON576" s="268"/>
      <c r="VOO576" s="268"/>
      <c r="VOP576" s="268"/>
      <c r="VOQ576" s="268"/>
      <c r="VOR576" s="268"/>
      <c r="VOS576" s="268"/>
      <c r="VOT576" s="268"/>
      <c r="VOU576" s="268"/>
      <c r="VOV576" s="268"/>
      <c r="VOW576" s="268"/>
      <c r="VOX576" s="268"/>
      <c r="VOY576" s="268"/>
      <c r="VOZ576" s="268"/>
      <c r="VPA576" s="268"/>
      <c r="VPB576" s="268"/>
      <c r="VPC576" s="268"/>
      <c r="VPD576" s="268"/>
      <c r="VPE576" s="268"/>
      <c r="VPF576" s="268"/>
      <c r="VPG576" s="268"/>
      <c r="VPH576" s="268"/>
      <c r="VPI576" s="268"/>
      <c r="VPJ576" s="268"/>
      <c r="VPK576" s="268"/>
      <c r="VPL576" s="268"/>
      <c r="VPM576" s="268"/>
      <c r="VPN576" s="268"/>
      <c r="VPO576" s="268"/>
      <c r="VPP576" s="268"/>
      <c r="VPQ576" s="268"/>
      <c r="VPR576" s="268"/>
      <c r="VPS576" s="268"/>
      <c r="VPT576" s="268"/>
      <c r="VPU576" s="268"/>
      <c r="VPV576" s="268"/>
      <c r="VPW576" s="268"/>
      <c r="VPX576" s="268"/>
      <c r="VPY576" s="268"/>
      <c r="VPZ576" s="268"/>
      <c r="VQA576" s="268"/>
      <c r="VQB576" s="268"/>
      <c r="VQC576" s="268"/>
      <c r="VQD576" s="268"/>
      <c r="VQE576" s="268"/>
      <c r="VQF576" s="268"/>
      <c r="VQG576" s="268"/>
      <c r="VQH576" s="268"/>
      <c r="VQI576" s="268"/>
      <c r="VQJ576" s="268"/>
      <c r="VQK576" s="268"/>
      <c r="VQL576" s="268"/>
      <c r="VQM576" s="268"/>
      <c r="VQN576" s="268"/>
      <c r="VQO576" s="268"/>
      <c r="VQP576" s="268"/>
      <c r="VQQ576" s="268"/>
      <c r="VQR576" s="268"/>
      <c r="VQS576" s="268"/>
      <c r="VQT576" s="268"/>
      <c r="VQU576" s="268"/>
      <c r="VQV576" s="268"/>
      <c r="VQW576" s="268"/>
      <c r="VQX576" s="268"/>
      <c r="VQY576" s="268"/>
      <c r="VQZ576" s="268"/>
      <c r="VRA576" s="268"/>
      <c r="VRB576" s="268"/>
      <c r="VRC576" s="268"/>
      <c r="VRD576" s="268"/>
      <c r="VRE576" s="268"/>
      <c r="VRF576" s="268"/>
      <c r="VRG576" s="268"/>
      <c r="VRH576" s="268"/>
      <c r="VRI576" s="268"/>
      <c r="VRJ576" s="268"/>
      <c r="VRK576" s="268"/>
      <c r="VRY576" s="268"/>
      <c r="VRZ576" s="268"/>
      <c r="VSA576" s="268"/>
      <c r="VSO576" s="268"/>
      <c r="VSQ576" s="268"/>
      <c r="VSR576" s="268"/>
      <c r="VSS576" s="268"/>
      <c r="VST576" s="268"/>
      <c r="VSU576" s="268"/>
      <c r="VSV576" s="268"/>
      <c r="VSW576" s="268"/>
      <c r="VSX576" s="268"/>
      <c r="VSY576" s="268"/>
      <c r="VSZ576" s="268"/>
      <c r="VTA576" s="268"/>
      <c r="VTB576" s="268"/>
      <c r="VTC576" s="268"/>
      <c r="VTD576" s="268"/>
      <c r="VTE576" s="268"/>
      <c r="VTF576" s="268"/>
      <c r="VTG576" s="268"/>
      <c r="VTH576" s="268"/>
      <c r="VTI576" s="268"/>
      <c r="VTJ576" s="268"/>
      <c r="VTK576" s="268"/>
      <c r="VTL576" s="268"/>
      <c r="VTM576" s="268"/>
      <c r="VTN576" s="268"/>
      <c r="VTO576" s="268"/>
      <c r="VTP576" s="268"/>
      <c r="VTQ576" s="268"/>
      <c r="VTR576" s="268"/>
      <c r="VTS576" s="268"/>
      <c r="VTT576" s="268"/>
      <c r="VTU576" s="268"/>
      <c r="VTV576" s="268"/>
      <c r="VTW576" s="268"/>
      <c r="VTX576" s="268"/>
      <c r="VTY576" s="268"/>
      <c r="VTZ576" s="268"/>
      <c r="VUA576" s="268"/>
      <c r="VUB576" s="268"/>
      <c r="VUC576" s="268"/>
      <c r="VUD576" s="268"/>
      <c r="VUE576" s="268"/>
      <c r="VUF576" s="268"/>
      <c r="VUG576" s="268"/>
      <c r="VUH576" s="268"/>
      <c r="VUI576" s="268"/>
      <c r="VUJ576" s="268"/>
      <c r="VUK576" s="268"/>
      <c r="VUL576" s="268"/>
      <c r="VUM576" s="268"/>
      <c r="VUN576" s="268"/>
      <c r="VUO576" s="268"/>
      <c r="VUP576" s="268"/>
      <c r="VUQ576" s="268"/>
      <c r="VUR576" s="268"/>
      <c r="VUS576" s="268"/>
      <c r="VUT576" s="268"/>
      <c r="VUU576" s="268"/>
      <c r="VUV576" s="268"/>
      <c r="VUW576" s="268"/>
      <c r="VUX576" s="268"/>
      <c r="VUY576" s="268"/>
      <c r="VUZ576" s="268"/>
      <c r="VVA576" s="268"/>
      <c r="VVB576" s="268"/>
      <c r="VVC576" s="268"/>
      <c r="VVD576" s="268"/>
      <c r="VVE576" s="268"/>
      <c r="VVF576" s="268"/>
      <c r="VVG576" s="268"/>
      <c r="VVH576" s="268"/>
      <c r="VVI576" s="268"/>
      <c r="VVJ576" s="268"/>
      <c r="VVK576" s="268"/>
      <c r="VVL576" s="268"/>
      <c r="VVM576" s="268"/>
      <c r="VVN576" s="268"/>
      <c r="VVO576" s="268"/>
      <c r="VVP576" s="268"/>
      <c r="VVQ576" s="268"/>
      <c r="VVR576" s="268"/>
      <c r="VVS576" s="268"/>
      <c r="VVT576" s="268"/>
      <c r="VVU576" s="268"/>
      <c r="VVV576" s="268"/>
      <c r="VVW576" s="268"/>
      <c r="VVX576" s="268"/>
      <c r="VVY576" s="268"/>
      <c r="VVZ576" s="268"/>
      <c r="VWA576" s="268"/>
      <c r="VWB576" s="268"/>
      <c r="VWC576" s="268"/>
      <c r="VWD576" s="268"/>
      <c r="VWE576" s="268"/>
      <c r="VWF576" s="268"/>
      <c r="VWG576" s="268"/>
      <c r="VWH576" s="268"/>
      <c r="VWI576" s="268"/>
      <c r="VWJ576" s="268"/>
      <c r="VWK576" s="268"/>
      <c r="VWL576" s="268"/>
      <c r="VWM576" s="268"/>
      <c r="VWN576" s="268"/>
      <c r="VWO576" s="268"/>
      <c r="VWP576" s="268"/>
      <c r="VWQ576" s="268"/>
      <c r="VWR576" s="268"/>
      <c r="VWS576" s="268"/>
      <c r="VWT576" s="268"/>
      <c r="VWU576" s="268"/>
      <c r="VWV576" s="268"/>
      <c r="VWW576" s="268"/>
      <c r="VWX576" s="268"/>
      <c r="VWY576" s="268"/>
      <c r="VWZ576" s="268"/>
      <c r="VXA576" s="268"/>
      <c r="VXB576" s="268"/>
      <c r="VXC576" s="268"/>
      <c r="VXD576" s="268"/>
      <c r="VXE576" s="268"/>
      <c r="VXF576" s="268"/>
      <c r="VXG576" s="268"/>
      <c r="VXH576" s="268"/>
      <c r="VXI576" s="268"/>
      <c r="VXJ576" s="268"/>
      <c r="VXK576" s="268"/>
      <c r="VXL576" s="268"/>
      <c r="VXM576" s="268"/>
      <c r="VXN576" s="268"/>
      <c r="VXO576" s="268"/>
      <c r="VXP576" s="268"/>
      <c r="VXQ576" s="268"/>
      <c r="VXR576" s="268"/>
      <c r="VXS576" s="268"/>
      <c r="VXT576" s="268"/>
      <c r="VXU576" s="268"/>
      <c r="VXV576" s="268"/>
      <c r="VXW576" s="268"/>
      <c r="VXX576" s="268"/>
      <c r="VXY576" s="268"/>
      <c r="VXZ576" s="268"/>
      <c r="VYA576" s="268"/>
      <c r="VYB576" s="268"/>
      <c r="VYC576" s="268"/>
      <c r="VYD576" s="268"/>
      <c r="VYE576" s="268"/>
      <c r="VYF576" s="268"/>
      <c r="VYG576" s="268"/>
      <c r="VYH576" s="268"/>
      <c r="VYI576" s="268"/>
      <c r="VYJ576" s="268"/>
      <c r="VYK576" s="268"/>
      <c r="VYL576" s="268"/>
      <c r="VYM576" s="268"/>
      <c r="VYN576" s="268"/>
      <c r="VYO576" s="268"/>
      <c r="VYP576" s="268"/>
      <c r="VYQ576" s="268"/>
      <c r="VYR576" s="268"/>
      <c r="VYS576" s="268"/>
      <c r="VYT576" s="268"/>
      <c r="VYU576" s="268"/>
      <c r="VYV576" s="268"/>
      <c r="VYW576" s="268"/>
      <c r="VYX576" s="268"/>
      <c r="VYY576" s="268"/>
      <c r="VYZ576" s="268"/>
      <c r="VZA576" s="268"/>
      <c r="VZB576" s="268"/>
      <c r="VZC576" s="268"/>
      <c r="VZD576" s="268"/>
      <c r="VZE576" s="268"/>
      <c r="VZF576" s="268"/>
      <c r="VZG576" s="268"/>
      <c r="VZH576" s="268"/>
      <c r="VZI576" s="268"/>
      <c r="VZJ576" s="268"/>
      <c r="VZK576" s="268"/>
      <c r="VZL576" s="268"/>
      <c r="VZM576" s="268"/>
      <c r="VZN576" s="268"/>
      <c r="VZO576" s="268"/>
      <c r="VZP576" s="268"/>
      <c r="VZQ576" s="268"/>
      <c r="VZR576" s="268"/>
      <c r="VZS576" s="268"/>
      <c r="VZT576" s="268"/>
      <c r="VZU576" s="268"/>
      <c r="VZV576" s="268"/>
      <c r="VZW576" s="268"/>
      <c r="VZX576" s="268"/>
      <c r="VZY576" s="268"/>
      <c r="VZZ576" s="268"/>
      <c r="WAA576" s="268"/>
      <c r="WAB576" s="268"/>
      <c r="WAC576" s="268"/>
      <c r="WAD576" s="268"/>
      <c r="WAE576" s="268"/>
      <c r="WAF576" s="268"/>
      <c r="WAG576" s="268"/>
      <c r="WAH576" s="268"/>
      <c r="WAI576" s="268"/>
      <c r="WAJ576" s="268"/>
      <c r="WAK576" s="268"/>
      <c r="WAL576" s="268"/>
      <c r="WAM576" s="268"/>
      <c r="WAN576" s="268"/>
      <c r="WAO576" s="268"/>
      <c r="WAP576" s="268"/>
      <c r="WAQ576" s="268"/>
      <c r="WAR576" s="268"/>
      <c r="WAS576" s="268"/>
      <c r="WAT576" s="268"/>
      <c r="WAU576" s="268"/>
      <c r="WAV576" s="268"/>
      <c r="WAW576" s="268"/>
      <c r="WAX576" s="268"/>
      <c r="WAY576" s="268"/>
      <c r="WAZ576" s="268"/>
      <c r="WBA576" s="268"/>
      <c r="WBB576" s="268"/>
      <c r="WBC576" s="268"/>
      <c r="WBD576" s="268"/>
      <c r="WBE576" s="268"/>
      <c r="WBF576" s="268"/>
      <c r="WBG576" s="268"/>
      <c r="WBU576" s="268"/>
      <c r="WBV576" s="268"/>
      <c r="WBW576" s="268"/>
      <c r="WCK576" s="268"/>
      <c r="WCM576" s="268"/>
      <c r="WCN576" s="268"/>
      <c r="WCO576" s="268"/>
      <c r="WCP576" s="268"/>
      <c r="WCQ576" s="268"/>
      <c r="WCR576" s="268"/>
      <c r="WCS576" s="268"/>
      <c r="WCT576" s="268"/>
      <c r="WCU576" s="268"/>
      <c r="WCV576" s="268"/>
      <c r="WCW576" s="268"/>
      <c r="WCX576" s="268"/>
      <c r="WCY576" s="268"/>
      <c r="WCZ576" s="268"/>
      <c r="WDA576" s="268"/>
      <c r="WDB576" s="268"/>
      <c r="WDC576" s="268"/>
      <c r="WDD576" s="268"/>
      <c r="WDE576" s="268"/>
      <c r="WDF576" s="268"/>
      <c r="WDG576" s="268"/>
      <c r="WDH576" s="268"/>
      <c r="WDI576" s="268"/>
      <c r="WDJ576" s="268"/>
      <c r="WDK576" s="268"/>
      <c r="WDL576" s="268"/>
      <c r="WDM576" s="268"/>
      <c r="WDN576" s="268"/>
      <c r="WDO576" s="268"/>
      <c r="WDP576" s="268"/>
      <c r="WDQ576" s="268"/>
      <c r="WDR576" s="268"/>
      <c r="WDS576" s="268"/>
      <c r="WDT576" s="268"/>
      <c r="WDU576" s="268"/>
      <c r="WDV576" s="268"/>
      <c r="WDW576" s="268"/>
      <c r="WDX576" s="268"/>
      <c r="WDY576" s="268"/>
      <c r="WDZ576" s="268"/>
      <c r="WEA576" s="268"/>
      <c r="WEB576" s="268"/>
      <c r="WEC576" s="268"/>
      <c r="WED576" s="268"/>
      <c r="WEE576" s="268"/>
      <c r="WEF576" s="268"/>
      <c r="WEG576" s="268"/>
      <c r="WEH576" s="268"/>
      <c r="WEI576" s="268"/>
      <c r="WEJ576" s="268"/>
      <c r="WEK576" s="268"/>
      <c r="WEL576" s="268"/>
      <c r="WEM576" s="268"/>
      <c r="WEN576" s="268"/>
      <c r="WEO576" s="268"/>
      <c r="WEP576" s="268"/>
      <c r="WEQ576" s="268"/>
      <c r="WER576" s="268"/>
      <c r="WES576" s="268"/>
      <c r="WET576" s="268"/>
      <c r="WEU576" s="268"/>
      <c r="WEV576" s="268"/>
      <c r="WEW576" s="268"/>
      <c r="WEX576" s="268"/>
      <c r="WEY576" s="268"/>
      <c r="WEZ576" s="268"/>
      <c r="WFA576" s="268"/>
      <c r="WFB576" s="268"/>
      <c r="WFC576" s="268"/>
      <c r="WFD576" s="268"/>
      <c r="WFE576" s="268"/>
      <c r="WFF576" s="268"/>
      <c r="WFG576" s="268"/>
      <c r="WFH576" s="268"/>
      <c r="WFI576" s="268"/>
      <c r="WFJ576" s="268"/>
      <c r="WFK576" s="268"/>
      <c r="WFL576" s="268"/>
      <c r="WFM576" s="268"/>
      <c r="WFN576" s="268"/>
      <c r="WFO576" s="268"/>
      <c r="WFP576" s="268"/>
      <c r="WFQ576" s="268"/>
      <c r="WFR576" s="268"/>
      <c r="WFS576" s="268"/>
      <c r="WFT576" s="268"/>
      <c r="WFU576" s="268"/>
      <c r="WFV576" s="268"/>
      <c r="WFW576" s="268"/>
      <c r="WFX576" s="268"/>
      <c r="WFY576" s="268"/>
      <c r="WFZ576" s="268"/>
      <c r="WGA576" s="268"/>
      <c r="WGB576" s="268"/>
      <c r="WGC576" s="268"/>
      <c r="WGD576" s="268"/>
      <c r="WGE576" s="268"/>
      <c r="WGF576" s="268"/>
      <c r="WGG576" s="268"/>
      <c r="WGH576" s="268"/>
      <c r="WGI576" s="268"/>
      <c r="WGJ576" s="268"/>
      <c r="WGK576" s="268"/>
      <c r="WGL576" s="268"/>
      <c r="WGM576" s="268"/>
      <c r="WGN576" s="268"/>
      <c r="WGO576" s="268"/>
      <c r="WGP576" s="268"/>
      <c r="WGQ576" s="268"/>
      <c r="WGR576" s="268"/>
      <c r="WGS576" s="268"/>
      <c r="WGT576" s="268"/>
      <c r="WGU576" s="268"/>
      <c r="WGV576" s="268"/>
      <c r="WGW576" s="268"/>
      <c r="WGX576" s="268"/>
      <c r="WGY576" s="268"/>
      <c r="WGZ576" s="268"/>
      <c r="WHA576" s="268"/>
      <c r="WHB576" s="268"/>
      <c r="WHC576" s="268"/>
      <c r="WHD576" s="268"/>
      <c r="WHE576" s="268"/>
      <c r="WHF576" s="268"/>
      <c r="WHG576" s="268"/>
      <c r="WHH576" s="268"/>
      <c r="WHI576" s="268"/>
      <c r="WHJ576" s="268"/>
      <c r="WHK576" s="268"/>
      <c r="WHL576" s="268"/>
      <c r="WHM576" s="268"/>
      <c r="WHN576" s="268"/>
      <c r="WHO576" s="268"/>
      <c r="WHP576" s="268"/>
      <c r="WHQ576" s="268"/>
      <c r="WHR576" s="268"/>
      <c r="WHS576" s="268"/>
      <c r="WHT576" s="268"/>
      <c r="WHU576" s="268"/>
      <c r="WHV576" s="268"/>
      <c r="WHW576" s="268"/>
      <c r="WHX576" s="268"/>
      <c r="WHY576" s="268"/>
      <c r="WHZ576" s="268"/>
      <c r="WIA576" s="268"/>
      <c r="WIB576" s="268"/>
      <c r="WIC576" s="268"/>
      <c r="WID576" s="268"/>
      <c r="WIE576" s="268"/>
      <c r="WIF576" s="268"/>
      <c r="WIG576" s="268"/>
      <c r="WIH576" s="268"/>
      <c r="WII576" s="268"/>
      <c r="WIJ576" s="268"/>
      <c r="WIK576" s="268"/>
      <c r="WIL576" s="268"/>
      <c r="WIM576" s="268"/>
      <c r="WIN576" s="268"/>
      <c r="WIO576" s="268"/>
      <c r="WIP576" s="268"/>
      <c r="WIQ576" s="268"/>
      <c r="WIR576" s="268"/>
      <c r="WIS576" s="268"/>
      <c r="WIT576" s="268"/>
      <c r="WIU576" s="268"/>
      <c r="WIV576" s="268"/>
      <c r="WIW576" s="268"/>
      <c r="WIX576" s="268"/>
      <c r="WIY576" s="268"/>
      <c r="WIZ576" s="268"/>
      <c r="WJA576" s="268"/>
      <c r="WJB576" s="268"/>
      <c r="WJC576" s="268"/>
      <c r="WJD576" s="268"/>
      <c r="WJE576" s="268"/>
      <c r="WJF576" s="268"/>
      <c r="WJG576" s="268"/>
      <c r="WJH576" s="268"/>
      <c r="WJI576" s="268"/>
      <c r="WJJ576" s="268"/>
      <c r="WJK576" s="268"/>
      <c r="WJL576" s="268"/>
      <c r="WJM576" s="268"/>
      <c r="WJN576" s="268"/>
      <c r="WJO576" s="268"/>
      <c r="WJP576" s="268"/>
      <c r="WJQ576" s="268"/>
      <c r="WJR576" s="268"/>
      <c r="WJS576" s="268"/>
      <c r="WJT576" s="268"/>
      <c r="WJU576" s="268"/>
      <c r="WJV576" s="268"/>
      <c r="WJW576" s="268"/>
      <c r="WJX576" s="268"/>
      <c r="WJY576" s="268"/>
      <c r="WJZ576" s="268"/>
      <c r="WKA576" s="268"/>
      <c r="WKB576" s="268"/>
      <c r="WKC576" s="268"/>
      <c r="WKD576" s="268"/>
      <c r="WKE576" s="268"/>
      <c r="WKF576" s="268"/>
      <c r="WKG576" s="268"/>
      <c r="WKH576" s="268"/>
      <c r="WKI576" s="268"/>
      <c r="WKJ576" s="268"/>
      <c r="WKK576" s="268"/>
      <c r="WKL576" s="268"/>
      <c r="WKM576" s="268"/>
      <c r="WKN576" s="268"/>
      <c r="WKO576" s="268"/>
      <c r="WKP576" s="268"/>
      <c r="WKQ576" s="268"/>
      <c r="WKR576" s="268"/>
      <c r="WKS576" s="268"/>
      <c r="WKT576" s="268"/>
      <c r="WKU576" s="268"/>
      <c r="WKV576" s="268"/>
      <c r="WKW576" s="268"/>
      <c r="WKX576" s="268"/>
      <c r="WKY576" s="268"/>
      <c r="WKZ576" s="268"/>
      <c r="WLA576" s="268"/>
      <c r="WLB576" s="268"/>
      <c r="WLC576" s="268"/>
      <c r="WLQ576" s="268"/>
      <c r="WLR576" s="268"/>
      <c r="WLS576" s="268"/>
      <c r="WMG576" s="268"/>
      <c r="WMI576" s="268"/>
      <c r="WMJ576" s="268"/>
      <c r="WMK576" s="268"/>
      <c r="WML576" s="268"/>
      <c r="WMM576" s="268"/>
      <c r="WMN576" s="268"/>
      <c r="WMO576" s="268"/>
      <c r="WMP576" s="268"/>
      <c r="WMQ576" s="268"/>
      <c r="WMR576" s="268"/>
      <c r="WMS576" s="268"/>
      <c r="WMT576" s="268"/>
      <c r="WMU576" s="268"/>
      <c r="WMV576" s="268"/>
      <c r="WMW576" s="268"/>
      <c r="WMX576" s="268"/>
      <c r="WMY576" s="268"/>
      <c r="WMZ576" s="268"/>
      <c r="WNA576" s="268"/>
      <c r="WNB576" s="268"/>
      <c r="WNC576" s="268"/>
      <c r="WND576" s="268"/>
      <c r="WNE576" s="268"/>
      <c r="WNF576" s="268"/>
      <c r="WNG576" s="268"/>
      <c r="WNH576" s="268"/>
      <c r="WNI576" s="268"/>
      <c r="WNJ576" s="268"/>
      <c r="WNK576" s="268"/>
      <c r="WNL576" s="268"/>
      <c r="WNM576" s="268"/>
      <c r="WNN576" s="268"/>
      <c r="WNO576" s="268"/>
      <c r="WNP576" s="268"/>
      <c r="WNQ576" s="268"/>
      <c r="WNR576" s="268"/>
      <c r="WNS576" s="268"/>
      <c r="WNT576" s="268"/>
      <c r="WNU576" s="268"/>
      <c r="WNV576" s="268"/>
      <c r="WNW576" s="268"/>
      <c r="WNX576" s="268"/>
      <c r="WNY576" s="268"/>
      <c r="WNZ576" s="268"/>
      <c r="WOA576" s="268"/>
      <c r="WOB576" s="268"/>
      <c r="WOC576" s="268"/>
      <c r="WOD576" s="268"/>
      <c r="WOE576" s="268"/>
      <c r="WOF576" s="268"/>
      <c r="WOG576" s="268"/>
      <c r="WOH576" s="268"/>
      <c r="WOI576" s="268"/>
      <c r="WOJ576" s="268"/>
      <c r="WOK576" s="268"/>
      <c r="WOL576" s="268"/>
      <c r="WOM576" s="268"/>
      <c r="WON576" s="268"/>
      <c r="WOO576" s="268"/>
      <c r="WOP576" s="268"/>
      <c r="WOQ576" s="268"/>
      <c r="WOR576" s="268"/>
      <c r="WOS576" s="268"/>
      <c r="WOT576" s="268"/>
      <c r="WOU576" s="268"/>
      <c r="WOV576" s="268"/>
      <c r="WOW576" s="268"/>
      <c r="WOX576" s="268"/>
      <c r="WOY576" s="268"/>
      <c r="WOZ576" s="268"/>
      <c r="WPA576" s="268"/>
      <c r="WPB576" s="268"/>
      <c r="WPC576" s="268"/>
      <c r="WPD576" s="268"/>
      <c r="WPE576" s="268"/>
      <c r="WPF576" s="268"/>
      <c r="WPG576" s="268"/>
      <c r="WPH576" s="268"/>
      <c r="WPI576" s="268"/>
      <c r="WPJ576" s="268"/>
      <c r="WPK576" s="268"/>
      <c r="WPL576" s="268"/>
      <c r="WPM576" s="268"/>
      <c r="WPN576" s="268"/>
      <c r="WPO576" s="268"/>
      <c r="WPP576" s="268"/>
      <c r="WPQ576" s="268"/>
      <c r="WPR576" s="268"/>
      <c r="WPS576" s="268"/>
      <c r="WPT576" s="268"/>
      <c r="WPU576" s="268"/>
      <c r="WPV576" s="268"/>
      <c r="WPW576" s="268"/>
      <c r="WPX576" s="268"/>
      <c r="WPY576" s="268"/>
      <c r="WPZ576" s="268"/>
      <c r="WQA576" s="268"/>
      <c r="WQB576" s="268"/>
      <c r="WQC576" s="268"/>
      <c r="WQD576" s="268"/>
      <c r="WQE576" s="268"/>
      <c r="WQF576" s="268"/>
      <c r="WQG576" s="268"/>
      <c r="WQH576" s="268"/>
      <c r="WQI576" s="268"/>
      <c r="WQJ576" s="268"/>
      <c r="WQK576" s="268"/>
      <c r="WQL576" s="268"/>
      <c r="WQM576" s="268"/>
      <c r="WQN576" s="268"/>
      <c r="WQO576" s="268"/>
      <c r="WQP576" s="268"/>
      <c r="WQQ576" s="268"/>
      <c r="WQR576" s="268"/>
      <c r="WQS576" s="268"/>
      <c r="WQT576" s="268"/>
      <c r="WQU576" s="268"/>
      <c r="WQV576" s="268"/>
      <c r="WQW576" s="268"/>
      <c r="WQX576" s="268"/>
      <c r="WQY576" s="268"/>
      <c r="WQZ576" s="268"/>
      <c r="WRA576" s="268"/>
      <c r="WRB576" s="268"/>
      <c r="WRC576" s="268"/>
      <c r="WRD576" s="268"/>
      <c r="WRE576" s="268"/>
      <c r="WRF576" s="268"/>
      <c r="WRG576" s="268"/>
      <c r="WRH576" s="268"/>
      <c r="WRI576" s="268"/>
      <c r="WRJ576" s="268"/>
      <c r="WRK576" s="268"/>
      <c r="WRL576" s="268"/>
      <c r="WRM576" s="268"/>
      <c r="WRN576" s="268"/>
      <c r="WRO576" s="268"/>
      <c r="WRP576" s="268"/>
      <c r="WRQ576" s="268"/>
      <c r="WRR576" s="268"/>
      <c r="WRS576" s="268"/>
      <c r="WRT576" s="268"/>
      <c r="WRU576" s="268"/>
      <c r="WRV576" s="268"/>
      <c r="WRW576" s="268"/>
      <c r="WRX576" s="268"/>
      <c r="WRY576" s="268"/>
      <c r="WRZ576" s="268"/>
      <c r="WSA576" s="268"/>
      <c r="WSB576" s="268"/>
      <c r="WSC576" s="268"/>
      <c r="WSD576" s="268"/>
      <c r="WSE576" s="268"/>
      <c r="WSF576" s="268"/>
      <c r="WSG576" s="268"/>
      <c r="WSH576" s="268"/>
      <c r="WSI576" s="268"/>
      <c r="WSJ576" s="268"/>
      <c r="WSK576" s="268"/>
      <c r="WSL576" s="268"/>
      <c r="WSM576" s="268"/>
      <c r="WSN576" s="268"/>
      <c r="WSO576" s="268"/>
      <c r="WSP576" s="268"/>
      <c r="WSQ576" s="268"/>
      <c r="WSR576" s="268"/>
      <c r="WSS576" s="268"/>
      <c r="WST576" s="268"/>
      <c r="WSU576" s="268"/>
      <c r="WSV576" s="268"/>
      <c r="WSW576" s="268"/>
      <c r="WSX576" s="268"/>
      <c r="WSY576" s="268"/>
      <c r="WSZ576" s="268"/>
      <c r="WTA576" s="268"/>
      <c r="WTB576" s="268"/>
      <c r="WTC576" s="268"/>
      <c r="WTD576" s="268"/>
      <c r="WTE576" s="268"/>
      <c r="WTF576" s="268"/>
      <c r="WTG576" s="268"/>
      <c r="WTH576" s="268"/>
      <c r="WTI576" s="268"/>
      <c r="WTJ576" s="268"/>
      <c r="WTK576" s="268"/>
      <c r="WTL576" s="268"/>
      <c r="WTM576" s="268"/>
      <c r="WTN576" s="268"/>
      <c r="WTO576" s="268"/>
      <c r="WTP576" s="268"/>
      <c r="WTQ576" s="268"/>
      <c r="WTR576" s="268"/>
      <c r="WTS576" s="268"/>
      <c r="WTT576" s="268"/>
      <c r="WTU576" s="268"/>
      <c r="WTV576" s="268"/>
      <c r="WTW576" s="268"/>
      <c r="WTX576" s="268"/>
      <c r="WTY576" s="268"/>
      <c r="WTZ576" s="268"/>
      <c r="WUA576" s="268"/>
      <c r="WUB576" s="268"/>
      <c r="WUC576" s="268"/>
      <c r="WUD576" s="268"/>
      <c r="WUE576" s="268"/>
      <c r="WUF576" s="268"/>
      <c r="WUG576" s="268"/>
      <c r="WUH576" s="268"/>
      <c r="WUI576" s="268"/>
      <c r="WUJ576" s="268"/>
      <c r="WUK576" s="268"/>
      <c r="WUL576" s="268"/>
      <c r="WUM576" s="268"/>
      <c r="WUN576" s="268"/>
      <c r="WUO576" s="268"/>
      <c r="WUP576" s="268"/>
      <c r="WUQ576" s="268"/>
      <c r="WUR576" s="268"/>
      <c r="WUS576" s="268"/>
      <c r="WUT576" s="268"/>
      <c r="WUU576" s="268"/>
      <c r="WUV576" s="268"/>
      <c r="WUW576" s="268"/>
      <c r="WUX576" s="268"/>
      <c r="WUY576" s="268"/>
      <c r="WVM576" s="268"/>
      <c r="WVN576" s="268"/>
      <c r="WVO576" s="268"/>
      <c r="WWC576" s="268"/>
      <c r="WWE576" s="268"/>
      <c r="WWF576" s="268"/>
      <c r="WWG576" s="268"/>
      <c r="WWH576" s="268"/>
      <c r="WWI576" s="268"/>
      <c r="WWJ576" s="268"/>
      <c r="WWK576" s="268"/>
      <c r="WWL576" s="268"/>
      <c r="WWM576" s="268"/>
      <c r="WWN576" s="268"/>
      <c r="WWO576" s="268"/>
      <c r="WWP576" s="268"/>
      <c r="WWQ576" s="268"/>
      <c r="WWR576" s="268"/>
      <c r="WWS576" s="268"/>
      <c r="WWT576" s="268"/>
      <c r="WWU576" s="268"/>
      <c r="WWV576" s="268"/>
      <c r="WWW576" s="268"/>
      <c r="WWX576" s="268"/>
      <c r="WWY576" s="268"/>
      <c r="WWZ576" s="268"/>
      <c r="WXA576" s="268"/>
      <c r="WXB576" s="268"/>
      <c r="WXC576" s="268"/>
      <c r="WXD576" s="268"/>
      <c r="WXE576" s="268"/>
      <c r="WXF576" s="268"/>
      <c r="WXG576" s="268"/>
      <c r="WXH576" s="268"/>
      <c r="WXI576" s="268"/>
      <c r="WXJ576" s="268"/>
      <c r="WXK576" s="268"/>
      <c r="WXL576" s="268"/>
      <c r="WXM576" s="268"/>
      <c r="WXN576" s="268"/>
      <c r="WXO576" s="268"/>
      <c r="WXP576" s="268"/>
      <c r="WXQ576" s="268"/>
      <c r="WXR576" s="268"/>
      <c r="WXS576" s="268"/>
      <c r="WXT576" s="268"/>
      <c r="WXU576" s="268"/>
      <c r="WXV576" s="268"/>
      <c r="WXW576" s="268"/>
      <c r="WXX576" s="268"/>
      <c r="WXY576" s="268"/>
      <c r="WXZ576" s="268"/>
      <c r="WYA576" s="268"/>
      <c r="WYB576" s="268"/>
      <c r="WYC576" s="268"/>
      <c r="WYD576" s="268"/>
      <c r="WYE576" s="268"/>
      <c r="WYF576" s="268"/>
      <c r="WYG576" s="268"/>
      <c r="WYH576" s="268"/>
      <c r="WYI576" s="268"/>
      <c r="WYJ576" s="268"/>
      <c r="WYK576" s="268"/>
      <c r="WYL576" s="268"/>
      <c r="WYM576" s="268"/>
      <c r="WYN576" s="268"/>
      <c r="WYO576" s="268"/>
      <c r="WYP576" s="268"/>
      <c r="WYQ576" s="268"/>
      <c r="WYR576" s="268"/>
      <c r="WYS576" s="268"/>
      <c r="WYT576" s="268"/>
      <c r="WYU576" s="268"/>
      <c r="WYV576" s="268"/>
      <c r="WYW576" s="268"/>
      <c r="WYX576" s="268"/>
      <c r="WYY576" s="268"/>
      <c r="WYZ576" s="268"/>
      <c r="WZA576" s="268"/>
      <c r="WZB576" s="268"/>
      <c r="WZC576" s="268"/>
      <c r="WZD576" s="268"/>
      <c r="WZE576" s="268"/>
      <c r="WZF576" s="268"/>
      <c r="WZG576" s="268"/>
      <c r="WZH576" s="268"/>
      <c r="WZI576" s="268"/>
      <c r="WZJ576" s="268"/>
      <c r="WZK576" s="268"/>
      <c r="WZL576" s="268"/>
      <c r="WZM576" s="268"/>
      <c r="WZN576" s="268"/>
      <c r="WZO576" s="268"/>
      <c r="WZP576" s="268"/>
      <c r="WZQ576" s="268"/>
      <c r="WZR576" s="268"/>
      <c r="WZS576" s="268"/>
      <c r="WZT576" s="268"/>
      <c r="WZU576" s="268"/>
      <c r="WZV576" s="268"/>
      <c r="WZW576" s="268"/>
      <c r="WZX576" s="268"/>
      <c r="WZY576" s="268"/>
      <c r="WZZ576" s="268"/>
      <c r="XAA576" s="268"/>
      <c r="XAB576" s="268"/>
      <c r="XAC576" s="268"/>
      <c r="XAD576" s="268"/>
      <c r="XAE576" s="268"/>
      <c r="XAF576" s="268"/>
      <c r="XAG576" s="268"/>
      <c r="XAH576" s="268"/>
      <c r="XAI576" s="268"/>
      <c r="XAJ576" s="268"/>
      <c r="XAK576" s="268"/>
      <c r="XAL576" s="268"/>
      <c r="XAM576" s="268"/>
      <c r="XAN576" s="268"/>
      <c r="XAO576" s="268"/>
      <c r="XAP576" s="268"/>
      <c r="XAQ576" s="268"/>
      <c r="XAR576" s="268"/>
      <c r="XAS576" s="268"/>
      <c r="XAT576" s="268"/>
      <c r="XAU576" s="268"/>
      <c r="XAV576" s="268"/>
      <c r="XAW576" s="268"/>
      <c r="XAX576" s="268"/>
      <c r="XAY576" s="268"/>
      <c r="XAZ576" s="268"/>
      <c r="XBA576" s="268"/>
      <c r="XBB576" s="268"/>
      <c r="XBC576" s="268"/>
      <c r="XBD576" s="268"/>
      <c r="XBE576" s="268"/>
      <c r="XBF576" s="268"/>
      <c r="XBG576" s="268"/>
      <c r="XBH576" s="268"/>
      <c r="XBI576" s="268"/>
      <c r="XBJ576" s="268"/>
      <c r="XBK576" s="268"/>
      <c r="XBL576" s="268"/>
      <c r="XBM576" s="268"/>
      <c r="XBN576" s="268"/>
      <c r="XBO576" s="268"/>
      <c r="XBP576" s="268"/>
      <c r="XBQ576" s="268"/>
      <c r="XBR576" s="268"/>
      <c r="XBS576" s="268"/>
      <c r="XBT576" s="268"/>
      <c r="XBU576" s="268"/>
      <c r="XBV576" s="268"/>
      <c r="XBW576" s="268"/>
      <c r="XBX576" s="268"/>
      <c r="XBY576" s="268"/>
      <c r="XBZ576" s="268"/>
      <c r="XCA576" s="268"/>
      <c r="XCB576" s="268"/>
      <c r="XCC576" s="268"/>
      <c r="XCD576" s="268"/>
      <c r="XCE576" s="268"/>
      <c r="XCF576" s="268"/>
      <c r="XCG576" s="268"/>
      <c r="XCH576" s="268"/>
      <c r="XCI576" s="268"/>
      <c r="XCJ576" s="268"/>
      <c r="XCK576" s="268"/>
      <c r="XCL576" s="268"/>
      <c r="XCM576" s="268"/>
      <c r="XCN576" s="268"/>
      <c r="XCO576" s="268"/>
      <c r="XCP576" s="268"/>
      <c r="XCQ576" s="268"/>
      <c r="XCR576" s="268"/>
      <c r="XCS576" s="268"/>
      <c r="XCT576" s="268"/>
      <c r="XCU576" s="268"/>
      <c r="XCV576" s="268"/>
      <c r="XCW576" s="268"/>
      <c r="XCX576" s="268"/>
      <c r="XCY576" s="268"/>
      <c r="XCZ576" s="268"/>
      <c r="XDA576" s="268"/>
      <c r="XDB576" s="268"/>
      <c r="XDC576" s="268"/>
      <c r="XDD576" s="268"/>
      <c r="XDE576" s="268"/>
      <c r="XDF576" s="268"/>
      <c r="XDG576" s="268"/>
      <c r="XDH576" s="268"/>
      <c r="XDI576" s="268"/>
      <c r="XDJ576" s="268"/>
      <c r="XDK576" s="268"/>
      <c r="XDL576" s="268"/>
      <c r="XDM576" s="268"/>
      <c r="XDN576" s="268"/>
      <c r="XDO576" s="268"/>
      <c r="XDP576" s="268"/>
      <c r="XDQ576" s="268"/>
      <c r="XDR576" s="268"/>
      <c r="XDS576" s="268"/>
      <c r="XDT576" s="268"/>
      <c r="XDU576" s="268"/>
      <c r="XDV576" s="268"/>
      <c r="XDW576" s="268"/>
      <c r="XDX576" s="268"/>
      <c r="XDY576" s="268"/>
      <c r="XDZ576" s="268"/>
      <c r="XEA576" s="268"/>
      <c r="XEB576" s="268"/>
      <c r="XEC576" s="268"/>
      <c r="XED576" s="268"/>
      <c r="XEE576" s="268"/>
      <c r="XEF576" s="268"/>
      <c r="XEG576" s="268"/>
      <c r="XEH576" s="268"/>
      <c r="XEI576" s="268"/>
      <c r="XEJ576" s="268"/>
      <c r="XEK576" s="268"/>
      <c r="XEL576" s="268"/>
      <c r="XEM576" s="268"/>
      <c r="XEN576" s="268"/>
      <c r="XEO576" s="268"/>
      <c r="XEP576" s="268"/>
      <c r="XEQ576" s="268"/>
      <c r="XER576" s="268"/>
      <c r="XES576" s="268"/>
    </row>
    <row r="577" spans="1:1015 1029:2039 2053:3063 3077:4087 4101:5111 5125:6135 6149:7159 7173:8183 8197:9207 9221:10231 10245:11255 11269:12279 12293:13303 13317:14327 14341:15351 15365:16373" hidden="1" outlineLevel="1" x14ac:dyDescent="0.25">
      <c r="A577" s="3" t="s">
        <v>450</v>
      </c>
      <c r="K577" s="4"/>
      <c r="L577" s="4"/>
      <c r="N577" s="4"/>
      <c r="P577" s="3">
        <v>10000</v>
      </c>
      <c r="R577" s="3">
        <v>0</v>
      </c>
      <c r="S577" s="3">
        <f t="shared" si="373"/>
        <v>10000</v>
      </c>
      <c r="T577" s="3">
        <v>10000</v>
      </c>
      <c r="U577" s="3">
        <f t="shared" si="374"/>
        <v>0</v>
      </c>
      <c r="W577" s="3">
        <f t="shared" si="375"/>
        <v>10000</v>
      </c>
      <c r="Y577" s="3">
        <v>10000</v>
      </c>
      <c r="Z577" s="3">
        <f t="shared" si="376"/>
        <v>0</v>
      </c>
      <c r="AC577" s="3">
        <v>0</v>
      </c>
      <c r="AD577" s="3">
        <f t="shared" si="377"/>
        <v>10000</v>
      </c>
      <c r="AE577" s="3">
        <v>10000</v>
      </c>
      <c r="AF577" s="3">
        <f t="shared" si="378"/>
        <v>0</v>
      </c>
      <c r="AI577" s="3">
        <v>10000</v>
      </c>
      <c r="AK577" s="3">
        <v>10000</v>
      </c>
      <c r="AM577" s="3">
        <v>10000</v>
      </c>
      <c r="AO577" s="3">
        <v>10000</v>
      </c>
      <c r="AQ577" s="3">
        <v>10000</v>
      </c>
      <c r="AS577" s="3">
        <v>10000</v>
      </c>
      <c r="AU577" s="3">
        <v>10000</v>
      </c>
      <c r="AW577" s="3">
        <v>10000</v>
      </c>
      <c r="AY577" s="3">
        <v>10000</v>
      </c>
      <c r="BA577" s="3">
        <v>10000</v>
      </c>
      <c r="BC577" s="3">
        <v>10000</v>
      </c>
      <c r="BE577" s="3">
        <v>10000</v>
      </c>
    </row>
    <row r="578" spans="1:1015 1029:2039 2053:3063 3077:4087 4101:5111 5125:6135 6149:7159 7173:8183 8197:9207 9221:10231 10245:11255 11269:12279 12293:13303 13317:14327 14341:15351 15365:16373" hidden="1" outlineLevel="1" x14ac:dyDescent="0.25">
      <c r="A578" s="3" t="s">
        <v>451</v>
      </c>
      <c r="B578" s="3">
        <v>25000</v>
      </c>
      <c r="E578" s="3">
        <f t="shared" si="369"/>
        <v>25000</v>
      </c>
      <c r="F578" s="3">
        <v>25000</v>
      </c>
      <c r="H578" s="3">
        <f t="shared" si="370"/>
        <v>0</v>
      </c>
      <c r="J578" s="3">
        <v>0</v>
      </c>
      <c r="K578" s="4">
        <f t="shared" si="371"/>
        <v>25000</v>
      </c>
      <c r="L578" s="4">
        <v>25000</v>
      </c>
      <c r="N578" s="4">
        <f t="shared" si="372"/>
        <v>0</v>
      </c>
      <c r="P578" s="3">
        <v>50000</v>
      </c>
      <c r="R578" s="3">
        <v>1169</v>
      </c>
      <c r="S578" s="3">
        <f t="shared" si="373"/>
        <v>48831</v>
      </c>
      <c r="T578" s="3">
        <v>50000</v>
      </c>
      <c r="U578" s="3">
        <f t="shared" si="374"/>
        <v>0</v>
      </c>
      <c r="V578" s="3">
        <v>3227</v>
      </c>
      <c r="W578" s="3">
        <f t="shared" si="375"/>
        <v>40323</v>
      </c>
      <c r="Y578" s="3">
        <v>43550</v>
      </c>
      <c r="Z578" s="3">
        <f t="shared" si="376"/>
        <v>-6450</v>
      </c>
      <c r="AC578" s="3">
        <v>6559</v>
      </c>
      <c r="AD578" s="3">
        <f t="shared" si="377"/>
        <v>21441</v>
      </c>
      <c r="AE578" s="3">
        <v>28000</v>
      </c>
      <c r="AF578" s="3">
        <f t="shared" si="378"/>
        <v>-15550</v>
      </c>
      <c r="AI578" s="3">
        <v>62500</v>
      </c>
      <c r="AK578" s="3">
        <v>87000</v>
      </c>
      <c r="AM578" s="3">
        <f>AK578*1.03</f>
        <v>89610</v>
      </c>
      <c r="AN578" s="3">
        <f>AL578*1.03</f>
        <v>0</v>
      </c>
      <c r="AO578" s="3">
        <f>AM578*1.03</f>
        <v>92298.3</v>
      </c>
      <c r="AP578" s="4">
        <f>AN578*1.03</f>
        <v>0</v>
      </c>
      <c r="AQ578" s="3">
        <f>AO578*1.03</f>
        <v>95067.249000000011</v>
      </c>
      <c r="AR578" s="3"/>
      <c r="AS578" s="3">
        <f>AQ578*1.03</f>
        <v>97919.266470000017</v>
      </c>
      <c r="AT578" s="3">
        <f>AR578*1.03</f>
        <v>0</v>
      </c>
      <c r="AU578" s="3">
        <f>AS578*1.03</f>
        <v>100856.84446410002</v>
      </c>
      <c r="AV578" s="3">
        <f>AT578*1.03</f>
        <v>0</v>
      </c>
      <c r="AW578" s="3">
        <f>AU578*1.03</f>
        <v>103882.54979802303</v>
      </c>
      <c r="AX578" s="3"/>
      <c r="AY578" s="3">
        <f>AW578*1.03</f>
        <v>106999.02629196372</v>
      </c>
      <c r="AZ578" s="3">
        <f>AX578*1.03</f>
        <v>0</v>
      </c>
      <c r="BA578" s="3">
        <f>AY578*1.03</f>
        <v>110208.99708072263</v>
      </c>
      <c r="BC578" s="3">
        <f>BA578*1.03</f>
        <v>113515.26699314432</v>
      </c>
      <c r="BE578" s="3">
        <f>BC578*1.03</f>
        <v>116920.72500293866</v>
      </c>
    </row>
    <row r="579" spans="1:1015 1029:2039 2053:3063 3077:4087 4101:5111 5125:6135 6149:7159 7173:8183 8197:9207 9221:10231 10245:11255 11269:12279 12293:13303 13317:14327 14341:15351 15365:16373" hidden="1" outlineLevel="1" x14ac:dyDescent="0.25">
      <c r="A579" s="3" t="s">
        <v>452</v>
      </c>
      <c r="BC579" s="3"/>
      <c r="BE579" s="3"/>
    </row>
    <row r="580" spans="1:1015 1029:2039 2053:3063 3077:4087 4101:5111 5125:6135 6149:7159 7173:8183 8197:9207 9221:10231 10245:11255 11269:12279 12293:13303 13317:14327 14341:15351 15365:16373" hidden="1" outlineLevel="1" x14ac:dyDescent="0.25">
      <c r="A580" s="3"/>
      <c r="B580" s="62">
        <f>SUM(B560:B579)+2</f>
        <v>378492</v>
      </c>
      <c r="C580" s="32"/>
      <c r="D580" s="62">
        <f>SUM(D560:D579)+2</f>
        <v>84792</v>
      </c>
      <c r="E580" s="62">
        <f>SUM(E560:E579)+2</f>
        <v>293702</v>
      </c>
      <c r="F580" s="62">
        <f>SUM(F560:F579)+2</f>
        <v>378492</v>
      </c>
      <c r="G580" s="32"/>
      <c r="H580" s="62">
        <f>SUM(H560:H579)</f>
        <v>0</v>
      </c>
      <c r="I580" s="32"/>
      <c r="J580" s="62">
        <f>SUM(J560:J579)</f>
        <v>168872</v>
      </c>
      <c r="K580" s="62">
        <f>SUM(K560:K579)</f>
        <v>209618</v>
      </c>
      <c r="L580" s="62">
        <f>SUM(L560:L579)</f>
        <v>378490</v>
      </c>
      <c r="M580" s="32"/>
      <c r="N580" s="62">
        <f>SUM(N560:N579)</f>
        <v>0</v>
      </c>
      <c r="P580" s="62">
        <f>SUM(P560:P579)</f>
        <v>443758.50000000006</v>
      </c>
      <c r="R580" s="62">
        <f t="shared" ref="R580:Z580" si="384">SUM(R560:R579)</f>
        <v>70950</v>
      </c>
      <c r="S580" s="62">
        <f t="shared" si="384"/>
        <v>372810</v>
      </c>
      <c r="T580" s="62">
        <f t="shared" si="384"/>
        <v>443760</v>
      </c>
      <c r="U580" s="62">
        <f t="shared" si="384"/>
        <v>1.500000000005457</v>
      </c>
      <c r="V580" s="62">
        <f t="shared" si="384"/>
        <v>153594</v>
      </c>
      <c r="W580" s="62">
        <f t="shared" si="384"/>
        <v>290166</v>
      </c>
      <c r="X580" s="62"/>
      <c r="Y580" s="62">
        <f t="shared" si="384"/>
        <v>443760</v>
      </c>
      <c r="Z580" s="62">
        <f t="shared" si="384"/>
        <v>0</v>
      </c>
      <c r="AC580" s="62">
        <f>SUM(AC560:AC579)</f>
        <v>242678</v>
      </c>
      <c r="AD580" s="62">
        <f>SUM(AD560:AD579)</f>
        <v>198082</v>
      </c>
      <c r="AE580" s="62">
        <f>SUM(AE560:AE579)</f>
        <v>440760</v>
      </c>
      <c r="AF580" s="62">
        <f>SUM(AF560:AF579)</f>
        <v>-3000</v>
      </c>
      <c r="AG580" s="32"/>
      <c r="AI580" s="62">
        <f>SUM(AI560:AI579)</f>
        <v>488348.75</v>
      </c>
      <c r="AK580" s="62">
        <f>SUM(AK560:AK579)</f>
        <v>526144.20250000001</v>
      </c>
      <c r="AM580" s="62">
        <f>SUM(AM560:AM579)</f>
        <v>542494.76807500003</v>
      </c>
      <c r="AO580" s="62">
        <f>SUM(AO560:AO579)</f>
        <v>559384.41259224992</v>
      </c>
      <c r="AP580" s="32"/>
      <c r="AQ580" s="62">
        <f>SUM(AQ560:AQ579)</f>
        <v>576831.73651876766</v>
      </c>
      <c r="AS580" s="62">
        <f>SUM(AS560:AS579)</f>
        <v>594856.01974051807</v>
      </c>
      <c r="AU580" s="62">
        <f>SUM(AU560:AU579)</f>
        <v>613477.24801523052</v>
      </c>
      <c r="AW580" s="62">
        <f>SUM(AW560:AW579)</f>
        <v>632716.14052230923</v>
      </c>
      <c r="AY580" s="62">
        <f>SUM(AY560:AY579)</f>
        <v>652594.17855793121</v>
      </c>
      <c r="BA580" s="62">
        <f>SUM(BA560:BA579)</f>
        <v>673133.63542561966</v>
      </c>
      <c r="BC580" s="62">
        <f>SUM(BC560:BC579)</f>
        <v>694357.60757488606</v>
      </c>
      <c r="BE580" s="62">
        <f>SUM(BE560:BE579)</f>
        <v>716290.04704295576</v>
      </c>
    </row>
    <row r="581" spans="1:1015 1029:2039 2053:3063 3077:4087 4101:5111 5125:6135 6149:7159 7173:8183 8197:9207 9221:10231 10245:11255 11269:12279 12293:13303 13317:14327 14341:15351 15365:16373" s="42" customFormat="1" hidden="1" outlineLevel="1" x14ac:dyDescent="0.25">
      <c r="A581" s="7" t="s">
        <v>453</v>
      </c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4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4"/>
      <c r="AH581" s="4"/>
      <c r="AI581" s="3"/>
      <c r="AJ581" s="3"/>
      <c r="AK581" s="3"/>
      <c r="AL581" s="3"/>
      <c r="AM581" s="3"/>
      <c r="AN581" s="3"/>
      <c r="AO581" s="3"/>
      <c r="AP581" s="4"/>
      <c r="AQ581" s="3"/>
      <c r="AS581" s="3"/>
      <c r="AU581" s="3"/>
      <c r="AW581" s="3"/>
      <c r="AY581" s="3"/>
      <c r="BA581" s="3"/>
      <c r="BC581" s="3"/>
      <c r="BE581" s="3"/>
    </row>
    <row r="582" spans="1:1015 1029:2039 2053:3063 3077:4087 4101:5111 5125:6135 6149:7159 7173:8183 8197:9207 9221:10231 10245:11255 11269:12279 12293:13303 13317:14327 14341:15351 15365:16373" hidden="1" outlineLevel="1" x14ac:dyDescent="0.25">
      <c r="A582" s="3" t="s">
        <v>90</v>
      </c>
      <c r="B582" s="37">
        <v>46750</v>
      </c>
      <c r="C582" s="32"/>
      <c r="D582" s="37">
        <v>9917</v>
      </c>
      <c r="E582" s="37">
        <f>F582-D582</f>
        <v>36833</v>
      </c>
      <c r="F582" s="37">
        <v>46750</v>
      </c>
      <c r="G582" s="32"/>
      <c r="H582" s="37">
        <f>F582-B582</f>
        <v>0</v>
      </c>
      <c r="I582" s="32"/>
      <c r="J582" s="37">
        <v>19487</v>
      </c>
      <c r="K582" s="37">
        <f>L582-J582</f>
        <v>25513</v>
      </c>
      <c r="L582" s="37">
        <v>45000</v>
      </c>
      <c r="M582" s="32"/>
      <c r="N582" s="37">
        <f>L582-F582</f>
        <v>-1750</v>
      </c>
      <c r="P582" s="37">
        <f>L582*1.0325+37</f>
        <v>46499.5</v>
      </c>
      <c r="R582" s="52">
        <v>9995</v>
      </c>
      <c r="S582" s="52">
        <f>T582-R582</f>
        <v>36505</v>
      </c>
      <c r="T582" s="52">
        <v>46500</v>
      </c>
      <c r="U582" s="52">
        <f>T582-P582</f>
        <v>0.5</v>
      </c>
      <c r="V582" s="37">
        <v>20325</v>
      </c>
      <c r="W582" s="37">
        <f>Y582-V582</f>
        <v>26175</v>
      </c>
      <c r="X582" s="37"/>
      <c r="Y582" s="37">
        <v>46500</v>
      </c>
      <c r="Z582" s="52">
        <f>Y582-T582</f>
        <v>0</v>
      </c>
      <c r="AC582" s="37">
        <v>31147</v>
      </c>
      <c r="AD582" s="37">
        <f>AE582-AC582</f>
        <v>13853</v>
      </c>
      <c r="AE582" s="37">
        <v>45000</v>
      </c>
      <c r="AF582" s="37">
        <f>AE582-Y582</f>
        <v>-1500</v>
      </c>
      <c r="AG582" s="32"/>
      <c r="AI582" s="37">
        <f>AE582*1.03</f>
        <v>46350</v>
      </c>
      <c r="AK582" s="37">
        <f>AI582*1.03</f>
        <v>47740.5</v>
      </c>
      <c r="AM582" s="37">
        <f>AK582*1.03</f>
        <v>49172.715000000004</v>
      </c>
      <c r="AO582" s="37">
        <f>AM582*1.03</f>
        <v>50647.896450000007</v>
      </c>
      <c r="AP582" s="32"/>
      <c r="AQ582" s="37">
        <f>AO582*1.03</f>
        <v>52167.33334350001</v>
      </c>
      <c r="AS582" s="37">
        <f>AQ582*1.03</f>
        <v>53732.353343805014</v>
      </c>
      <c r="AU582" s="37">
        <f>AS582*1.03</f>
        <v>55344.323944119169</v>
      </c>
      <c r="AW582" s="37">
        <f>AU582*1.03</f>
        <v>57004.653662442746</v>
      </c>
      <c r="AY582" s="37">
        <f>AW582*1.03</f>
        <v>58714.793272316027</v>
      </c>
      <c r="BA582" s="37">
        <f>AY582*1.03</f>
        <v>60476.237070485506</v>
      </c>
      <c r="BC582" s="37">
        <f>BA582*1.03</f>
        <v>62290.524182600071</v>
      </c>
      <c r="BE582" s="37">
        <f>BC582*1.03</f>
        <v>64159.239908078074</v>
      </c>
    </row>
    <row r="583" spans="1:1015 1029:2039 2053:3063 3077:4087 4101:5111 5125:6135 6149:7159 7173:8183 8197:9207 9221:10231 10245:11255 11269:12279 12293:13303 13317:14327 14341:15351 15365:16373" hidden="1" outlineLevel="1" x14ac:dyDescent="0.25">
      <c r="A583" s="7" t="s">
        <v>133</v>
      </c>
      <c r="BC583" s="3"/>
      <c r="BE583" s="3"/>
    </row>
    <row r="584" spans="1:1015 1029:2039 2053:3063 3077:4087 4101:5111 5125:6135 6149:7159 7173:8183 8197:9207 9221:10231 10245:11255 11269:12279 12293:13303 13317:14327 14341:15351 15365:16373" hidden="1" outlineLevel="1" x14ac:dyDescent="0.25">
      <c r="A584" s="3" t="s">
        <v>454</v>
      </c>
      <c r="K584" s="4">
        <f>L584-J584</f>
        <v>0</v>
      </c>
      <c r="L584" s="4"/>
      <c r="N584" s="4">
        <f>L584-F584</f>
        <v>0</v>
      </c>
      <c r="AD584" s="3">
        <f>AE584-AC584</f>
        <v>0</v>
      </c>
      <c r="AF584" s="3">
        <f>AE584-Y584</f>
        <v>0</v>
      </c>
      <c r="AK584" s="3">
        <v>6000</v>
      </c>
      <c r="AU584" s="3">
        <v>7000</v>
      </c>
      <c r="BC584" s="3"/>
      <c r="BE584" s="3"/>
    </row>
    <row r="585" spans="1:1015 1029:2039 2053:3063 3077:4087 4101:5111 5125:6135 6149:7159 7173:8183 8197:9207 9221:10231 10245:11255 11269:12279 12293:13303 13317:14327 14341:15351 15365:16373" hidden="1" outlineLevel="1" x14ac:dyDescent="0.25">
      <c r="A585" s="267" t="s">
        <v>455</v>
      </c>
      <c r="B585" s="3">
        <v>34000</v>
      </c>
      <c r="D585" s="3">
        <v>2069</v>
      </c>
      <c r="E585" s="3">
        <f>F585-D585</f>
        <v>32931</v>
      </c>
      <c r="F585" s="3">
        <v>35000</v>
      </c>
      <c r="H585" s="3">
        <f>F585-B585</f>
        <v>1000</v>
      </c>
      <c r="J585" s="3">
        <v>3130</v>
      </c>
      <c r="K585" s="4">
        <f>L585-J585</f>
        <v>31870</v>
      </c>
      <c r="L585" s="4">
        <v>35000</v>
      </c>
      <c r="N585" s="4">
        <f>L585-F585</f>
        <v>0</v>
      </c>
      <c r="P585" s="3">
        <v>35000</v>
      </c>
      <c r="R585" s="3">
        <v>256</v>
      </c>
      <c r="S585" s="3">
        <f>T585-R585</f>
        <v>34744</v>
      </c>
      <c r="T585" s="3">
        <v>35000</v>
      </c>
      <c r="U585" s="3">
        <f>T585-P585</f>
        <v>0</v>
      </c>
      <c r="V585" s="3">
        <v>2739</v>
      </c>
      <c r="W585" s="3">
        <f>Y585-V585</f>
        <v>32261</v>
      </c>
      <c r="Y585" s="3">
        <v>35000</v>
      </c>
      <c r="Z585" s="3">
        <f>Y585-T585</f>
        <v>0</v>
      </c>
      <c r="AC585" s="3">
        <v>7110</v>
      </c>
      <c r="AD585" s="3">
        <f>AE585-AC585</f>
        <v>27890</v>
      </c>
      <c r="AE585" s="3">
        <v>35000</v>
      </c>
      <c r="AF585" s="3">
        <f>AE585-Y585</f>
        <v>0</v>
      </c>
      <c r="AI585" s="3">
        <v>35000</v>
      </c>
      <c r="AK585" s="3">
        <v>35000</v>
      </c>
      <c r="AM585" s="3">
        <v>35000</v>
      </c>
      <c r="AO585" s="3">
        <v>35000</v>
      </c>
      <c r="AQ585" s="3">
        <v>35000</v>
      </c>
      <c r="AS585" s="3">
        <v>35000</v>
      </c>
      <c r="AU585" s="3">
        <v>35000</v>
      </c>
      <c r="AW585" s="3">
        <v>35000</v>
      </c>
      <c r="AY585" s="3">
        <v>33000</v>
      </c>
      <c r="BA585" s="3">
        <v>33000</v>
      </c>
      <c r="BC585" s="3">
        <v>33000</v>
      </c>
      <c r="BE585" s="3">
        <v>33000</v>
      </c>
      <c r="BI585" s="268"/>
      <c r="BJ585" s="268"/>
      <c r="BK585" s="268"/>
      <c r="BL585" s="268"/>
      <c r="BM585" s="268"/>
      <c r="BN585" s="268"/>
      <c r="BO585" s="268"/>
      <c r="BP585" s="268"/>
      <c r="BQ585" s="268"/>
      <c r="BR585" s="268"/>
      <c r="BS585" s="268"/>
      <c r="BT585" s="268"/>
      <c r="BU585" s="268"/>
      <c r="BV585" s="268"/>
      <c r="BW585" s="268"/>
      <c r="BX585" s="268"/>
      <c r="BY585" s="268"/>
      <c r="BZ585" s="268"/>
      <c r="CA585" s="268"/>
      <c r="CB585" s="268"/>
      <c r="CC585" s="268"/>
      <c r="CD585" s="268"/>
      <c r="CE585" s="268"/>
      <c r="CF585" s="268"/>
      <c r="CG585" s="268"/>
      <c r="CH585" s="268"/>
      <c r="CI585" s="268"/>
      <c r="CJ585" s="268"/>
      <c r="CK585" s="268"/>
      <c r="CL585" s="268"/>
      <c r="CM585" s="268"/>
      <c r="CN585" s="268"/>
      <c r="CO585" s="268"/>
      <c r="CP585" s="268"/>
      <c r="CQ585" s="268"/>
      <c r="CR585" s="268"/>
      <c r="CS585" s="268"/>
      <c r="CT585" s="268"/>
      <c r="CU585" s="268"/>
      <c r="CV585" s="268"/>
      <c r="CW585" s="268"/>
      <c r="CX585" s="268"/>
      <c r="CY585" s="268"/>
      <c r="CZ585" s="268"/>
      <c r="DA585" s="268"/>
      <c r="DB585" s="268"/>
      <c r="DC585" s="268"/>
      <c r="DD585" s="268"/>
      <c r="DE585" s="268"/>
      <c r="DF585" s="268"/>
      <c r="DG585" s="268"/>
      <c r="DH585" s="268"/>
      <c r="DI585" s="268"/>
      <c r="DJ585" s="268"/>
      <c r="DK585" s="268"/>
      <c r="DL585" s="268"/>
      <c r="DM585" s="268"/>
      <c r="DN585" s="268"/>
      <c r="DO585" s="268"/>
      <c r="DP585" s="268"/>
      <c r="DQ585" s="268"/>
      <c r="DR585" s="268"/>
      <c r="DS585" s="268"/>
      <c r="DT585" s="268"/>
      <c r="DU585" s="268"/>
      <c r="DV585" s="268"/>
      <c r="DW585" s="268"/>
      <c r="DX585" s="268"/>
      <c r="DY585" s="268"/>
      <c r="DZ585" s="268"/>
      <c r="EA585" s="268"/>
      <c r="EB585" s="268"/>
      <c r="EC585" s="268"/>
      <c r="ED585" s="268"/>
      <c r="EE585" s="268"/>
      <c r="EF585" s="268"/>
      <c r="EG585" s="268"/>
      <c r="EH585" s="268"/>
      <c r="EI585" s="268"/>
      <c r="EJ585" s="268"/>
      <c r="EK585" s="268"/>
      <c r="EL585" s="268"/>
      <c r="EM585" s="268"/>
      <c r="EN585" s="268"/>
      <c r="EO585" s="268"/>
      <c r="EP585" s="268"/>
      <c r="EQ585" s="268"/>
      <c r="ER585" s="268"/>
      <c r="ES585" s="268"/>
      <c r="ET585" s="268"/>
      <c r="EU585" s="268"/>
      <c r="EV585" s="268"/>
      <c r="EW585" s="268"/>
      <c r="EX585" s="268"/>
      <c r="EY585" s="268"/>
      <c r="EZ585" s="268"/>
      <c r="FA585" s="268"/>
      <c r="FB585" s="268"/>
      <c r="FC585" s="268"/>
      <c r="FD585" s="268"/>
      <c r="FE585" s="268"/>
      <c r="FF585" s="268"/>
      <c r="FG585" s="268"/>
      <c r="FH585" s="268"/>
      <c r="FI585" s="268"/>
      <c r="FJ585" s="268"/>
      <c r="FK585" s="268"/>
      <c r="FL585" s="268"/>
      <c r="FM585" s="268"/>
      <c r="FN585" s="268"/>
      <c r="FO585" s="268"/>
      <c r="FP585" s="268"/>
      <c r="FQ585" s="268"/>
      <c r="FR585" s="268"/>
      <c r="FS585" s="268"/>
      <c r="FT585" s="268"/>
      <c r="FU585" s="268"/>
      <c r="FV585" s="268"/>
      <c r="FW585" s="268"/>
      <c r="FX585" s="268"/>
      <c r="FY585" s="268"/>
      <c r="FZ585" s="268"/>
      <c r="GA585" s="268"/>
      <c r="GB585" s="268"/>
      <c r="GC585" s="268"/>
      <c r="GD585" s="268"/>
      <c r="GE585" s="268"/>
      <c r="GF585" s="268"/>
      <c r="GG585" s="268"/>
      <c r="GH585" s="268"/>
      <c r="GI585" s="268"/>
      <c r="GJ585" s="268"/>
      <c r="GK585" s="268"/>
      <c r="GL585" s="268"/>
      <c r="GM585" s="268"/>
      <c r="GN585" s="268"/>
      <c r="GO585" s="268"/>
      <c r="GP585" s="268"/>
      <c r="GQ585" s="268"/>
      <c r="GR585" s="268"/>
      <c r="GS585" s="268"/>
      <c r="GT585" s="268"/>
      <c r="GU585" s="268"/>
      <c r="GV585" s="268"/>
      <c r="GW585" s="268"/>
      <c r="GX585" s="268"/>
      <c r="GY585" s="268"/>
      <c r="GZ585" s="268"/>
      <c r="HA585" s="268"/>
      <c r="HB585" s="268"/>
      <c r="HC585" s="268"/>
      <c r="HD585" s="268"/>
      <c r="HE585" s="268"/>
      <c r="HF585" s="268"/>
      <c r="HG585" s="268"/>
      <c r="HH585" s="268"/>
      <c r="HI585" s="268"/>
      <c r="HJ585" s="268"/>
      <c r="HK585" s="268"/>
      <c r="HL585" s="268"/>
      <c r="HM585" s="268"/>
      <c r="HN585" s="268"/>
      <c r="HO585" s="268"/>
      <c r="HP585" s="268"/>
      <c r="HQ585" s="268"/>
      <c r="HR585" s="268"/>
      <c r="HS585" s="268"/>
      <c r="HT585" s="268"/>
      <c r="HU585" s="268"/>
      <c r="HV585" s="268"/>
      <c r="HW585" s="268"/>
      <c r="HX585" s="268"/>
      <c r="HY585" s="268"/>
      <c r="HZ585" s="268"/>
      <c r="IA585" s="268"/>
      <c r="IB585" s="268"/>
      <c r="IC585" s="268"/>
      <c r="ID585" s="268"/>
      <c r="IE585" s="268"/>
      <c r="IF585" s="268"/>
      <c r="IG585" s="268"/>
      <c r="IH585" s="268"/>
      <c r="II585" s="268"/>
      <c r="IJ585" s="268"/>
      <c r="IK585" s="268"/>
      <c r="IL585" s="268"/>
      <c r="IM585" s="268"/>
      <c r="JA585" s="268"/>
      <c r="JB585" s="268"/>
      <c r="JC585" s="268"/>
      <c r="JQ585" s="268"/>
      <c r="JS585" s="268"/>
      <c r="JT585" s="268"/>
      <c r="JU585" s="268"/>
      <c r="JV585" s="268"/>
      <c r="JW585" s="268"/>
      <c r="JX585" s="268"/>
      <c r="JY585" s="268"/>
      <c r="JZ585" s="268"/>
      <c r="KA585" s="268"/>
      <c r="KB585" s="268"/>
      <c r="KC585" s="268"/>
      <c r="KD585" s="268"/>
      <c r="KE585" s="268"/>
      <c r="KF585" s="268"/>
      <c r="KG585" s="268"/>
      <c r="KH585" s="268"/>
      <c r="KI585" s="268"/>
      <c r="KJ585" s="268"/>
      <c r="KK585" s="268"/>
      <c r="KL585" s="268"/>
      <c r="KM585" s="268"/>
      <c r="KN585" s="268"/>
      <c r="KO585" s="268"/>
      <c r="KP585" s="268"/>
      <c r="KQ585" s="268"/>
      <c r="KR585" s="268"/>
      <c r="KS585" s="268"/>
      <c r="KT585" s="268"/>
      <c r="KU585" s="268"/>
      <c r="KV585" s="268"/>
      <c r="KW585" s="268"/>
      <c r="KX585" s="268"/>
      <c r="KY585" s="268"/>
      <c r="KZ585" s="268"/>
      <c r="LA585" s="268"/>
      <c r="LB585" s="268"/>
      <c r="LC585" s="268"/>
      <c r="LD585" s="268"/>
      <c r="LE585" s="268"/>
      <c r="LF585" s="268"/>
      <c r="LG585" s="268"/>
      <c r="LH585" s="268"/>
      <c r="LI585" s="268"/>
      <c r="LJ585" s="268"/>
      <c r="LK585" s="268"/>
      <c r="LL585" s="268"/>
      <c r="LM585" s="268"/>
      <c r="LN585" s="268"/>
      <c r="LO585" s="268"/>
      <c r="LP585" s="268"/>
      <c r="LQ585" s="268"/>
      <c r="LR585" s="268"/>
      <c r="LS585" s="268"/>
      <c r="LT585" s="268"/>
      <c r="LU585" s="268"/>
      <c r="LV585" s="268"/>
      <c r="LW585" s="268"/>
      <c r="LX585" s="268"/>
      <c r="LY585" s="268"/>
      <c r="LZ585" s="268"/>
      <c r="MA585" s="268"/>
      <c r="MB585" s="268"/>
      <c r="MC585" s="268"/>
      <c r="MD585" s="268"/>
      <c r="ME585" s="268"/>
      <c r="MF585" s="268"/>
      <c r="MG585" s="268"/>
      <c r="MH585" s="268"/>
      <c r="MI585" s="268"/>
      <c r="MJ585" s="268"/>
      <c r="MK585" s="268"/>
      <c r="ML585" s="268"/>
      <c r="MM585" s="268"/>
      <c r="MN585" s="268"/>
      <c r="MO585" s="268"/>
      <c r="MP585" s="268"/>
      <c r="MQ585" s="268"/>
      <c r="MR585" s="268"/>
      <c r="MS585" s="268"/>
      <c r="MT585" s="268"/>
      <c r="MU585" s="268"/>
      <c r="MV585" s="268"/>
      <c r="MW585" s="268"/>
      <c r="MX585" s="268"/>
      <c r="MY585" s="268"/>
      <c r="MZ585" s="268"/>
      <c r="NA585" s="268"/>
      <c r="NB585" s="268"/>
      <c r="NC585" s="268"/>
      <c r="ND585" s="268"/>
      <c r="NE585" s="268"/>
      <c r="NF585" s="268"/>
      <c r="NG585" s="268"/>
      <c r="NH585" s="268"/>
      <c r="NI585" s="268"/>
      <c r="NJ585" s="268"/>
      <c r="NK585" s="268"/>
      <c r="NL585" s="268"/>
      <c r="NM585" s="268"/>
      <c r="NN585" s="268"/>
      <c r="NO585" s="268"/>
      <c r="NP585" s="268"/>
      <c r="NQ585" s="268"/>
      <c r="NR585" s="268"/>
      <c r="NS585" s="268"/>
      <c r="NT585" s="268"/>
      <c r="NU585" s="268"/>
      <c r="NV585" s="268"/>
      <c r="NW585" s="268"/>
      <c r="NX585" s="268"/>
      <c r="NY585" s="268"/>
      <c r="NZ585" s="268"/>
      <c r="OA585" s="268"/>
      <c r="OB585" s="268"/>
      <c r="OC585" s="268"/>
      <c r="OD585" s="268"/>
      <c r="OE585" s="268"/>
      <c r="OF585" s="268"/>
      <c r="OG585" s="268"/>
      <c r="OH585" s="268"/>
      <c r="OI585" s="268"/>
      <c r="OJ585" s="268"/>
      <c r="OK585" s="268"/>
      <c r="OL585" s="268"/>
      <c r="OM585" s="268"/>
      <c r="ON585" s="268"/>
      <c r="OO585" s="268"/>
      <c r="OP585" s="268"/>
      <c r="OQ585" s="268"/>
      <c r="OR585" s="268"/>
      <c r="OS585" s="268"/>
      <c r="OT585" s="268"/>
      <c r="OU585" s="268"/>
      <c r="OV585" s="268"/>
      <c r="OW585" s="268"/>
      <c r="OX585" s="268"/>
      <c r="OY585" s="268"/>
      <c r="OZ585" s="268"/>
      <c r="PA585" s="268"/>
      <c r="PB585" s="268"/>
      <c r="PC585" s="268"/>
      <c r="PD585" s="268"/>
      <c r="PE585" s="268"/>
      <c r="PF585" s="268"/>
      <c r="PG585" s="268"/>
      <c r="PH585" s="268"/>
      <c r="PI585" s="268"/>
      <c r="PJ585" s="268"/>
      <c r="PK585" s="268"/>
      <c r="PL585" s="268"/>
      <c r="PM585" s="268"/>
      <c r="PN585" s="268"/>
      <c r="PO585" s="268"/>
      <c r="PP585" s="268"/>
      <c r="PQ585" s="268"/>
      <c r="PR585" s="268"/>
      <c r="PS585" s="268"/>
      <c r="PT585" s="268"/>
      <c r="PU585" s="268"/>
      <c r="PV585" s="268"/>
      <c r="PW585" s="268"/>
      <c r="PX585" s="268"/>
      <c r="PY585" s="268"/>
      <c r="PZ585" s="268"/>
      <c r="QA585" s="268"/>
      <c r="QB585" s="268"/>
      <c r="QC585" s="268"/>
      <c r="QD585" s="268"/>
      <c r="QE585" s="268"/>
      <c r="QF585" s="268"/>
      <c r="QG585" s="268"/>
      <c r="QH585" s="268"/>
      <c r="QI585" s="268"/>
      <c r="QJ585" s="268"/>
      <c r="QK585" s="268"/>
      <c r="QL585" s="268"/>
      <c r="QM585" s="268"/>
      <c r="QN585" s="268"/>
      <c r="QO585" s="268"/>
      <c r="QP585" s="268"/>
      <c r="QQ585" s="268"/>
      <c r="QR585" s="268"/>
      <c r="QS585" s="268"/>
      <c r="QT585" s="268"/>
      <c r="QU585" s="268"/>
      <c r="QV585" s="268"/>
      <c r="QW585" s="268"/>
      <c r="QX585" s="268"/>
      <c r="QY585" s="268"/>
      <c r="QZ585" s="268"/>
      <c r="RA585" s="268"/>
      <c r="RB585" s="268"/>
      <c r="RC585" s="268"/>
      <c r="RD585" s="268"/>
      <c r="RE585" s="268"/>
      <c r="RF585" s="268"/>
      <c r="RG585" s="268"/>
      <c r="RH585" s="268"/>
      <c r="RI585" s="268"/>
      <c r="RJ585" s="268"/>
      <c r="RK585" s="268"/>
      <c r="RL585" s="268"/>
      <c r="RM585" s="268"/>
      <c r="RN585" s="268"/>
      <c r="RO585" s="268"/>
      <c r="RP585" s="268"/>
      <c r="RQ585" s="268"/>
      <c r="RR585" s="268"/>
      <c r="RS585" s="268"/>
      <c r="RT585" s="268"/>
      <c r="RU585" s="268"/>
      <c r="RV585" s="268"/>
      <c r="RW585" s="268"/>
      <c r="RX585" s="268"/>
      <c r="RY585" s="268"/>
      <c r="RZ585" s="268"/>
      <c r="SA585" s="268"/>
      <c r="SB585" s="268"/>
      <c r="SC585" s="268"/>
      <c r="SD585" s="268"/>
      <c r="SE585" s="268"/>
      <c r="SF585" s="268"/>
      <c r="SG585" s="268"/>
      <c r="SH585" s="268"/>
      <c r="SI585" s="268"/>
      <c r="SW585" s="268"/>
      <c r="SX585" s="268"/>
      <c r="SY585" s="268"/>
      <c r="TM585" s="268"/>
      <c r="TO585" s="268"/>
      <c r="TP585" s="268"/>
      <c r="TQ585" s="268"/>
      <c r="TR585" s="268"/>
      <c r="TS585" s="268"/>
      <c r="TT585" s="268"/>
      <c r="TU585" s="268"/>
      <c r="TV585" s="268"/>
      <c r="TW585" s="268"/>
      <c r="TX585" s="268"/>
      <c r="TY585" s="268"/>
      <c r="TZ585" s="268"/>
      <c r="UA585" s="268"/>
      <c r="UB585" s="268"/>
      <c r="UC585" s="268"/>
      <c r="UD585" s="268"/>
      <c r="UE585" s="268"/>
      <c r="UF585" s="268"/>
      <c r="UG585" s="268"/>
      <c r="UH585" s="268"/>
      <c r="UI585" s="268"/>
      <c r="UJ585" s="268"/>
      <c r="UK585" s="268"/>
      <c r="UL585" s="268"/>
      <c r="UM585" s="268"/>
      <c r="UN585" s="268"/>
      <c r="UO585" s="268"/>
      <c r="UP585" s="268"/>
      <c r="UQ585" s="268"/>
      <c r="UR585" s="268"/>
      <c r="US585" s="268"/>
      <c r="UT585" s="268"/>
      <c r="UU585" s="268"/>
      <c r="UV585" s="268"/>
      <c r="UW585" s="268"/>
      <c r="UX585" s="268"/>
      <c r="UY585" s="268"/>
      <c r="UZ585" s="268"/>
      <c r="VA585" s="268"/>
      <c r="VB585" s="268"/>
      <c r="VC585" s="268"/>
      <c r="VD585" s="268"/>
      <c r="VE585" s="268"/>
      <c r="VF585" s="268"/>
      <c r="VG585" s="268"/>
      <c r="VH585" s="268"/>
      <c r="VI585" s="268"/>
      <c r="VJ585" s="268"/>
      <c r="VK585" s="268"/>
      <c r="VL585" s="268"/>
      <c r="VM585" s="268"/>
      <c r="VN585" s="268"/>
      <c r="VO585" s="268"/>
      <c r="VP585" s="268"/>
      <c r="VQ585" s="268"/>
      <c r="VR585" s="268"/>
      <c r="VS585" s="268"/>
      <c r="VT585" s="268"/>
      <c r="VU585" s="268"/>
      <c r="VV585" s="268"/>
      <c r="VW585" s="268"/>
      <c r="VX585" s="268"/>
      <c r="VY585" s="268"/>
      <c r="VZ585" s="268"/>
      <c r="WA585" s="268"/>
      <c r="WB585" s="268"/>
      <c r="WC585" s="268"/>
      <c r="WD585" s="268"/>
      <c r="WE585" s="268"/>
      <c r="WF585" s="268"/>
      <c r="WG585" s="268"/>
      <c r="WH585" s="268"/>
      <c r="WI585" s="268"/>
      <c r="WJ585" s="268"/>
      <c r="WK585" s="268"/>
      <c r="WL585" s="268"/>
      <c r="WM585" s="268"/>
      <c r="WN585" s="268"/>
      <c r="WO585" s="268"/>
      <c r="WP585" s="268"/>
      <c r="WQ585" s="268"/>
      <c r="WR585" s="268"/>
      <c r="WS585" s="268"/>
      <c r="WT585" s="268"/>
      <c r="WU585" s="268"/>
      <c r="WV585" s="268"/>
      <c r="WW585" s="268"/>
      <c r="WX585" s="268"/>
      <c r="WY585" s="268"/>
      <c r="WZ585" s="268"/>
      <c r="XA585" s="268"/>
      <c r="XB585" s="268"/>
      <c r="XC585" s="268"/>
      <c r="XD585" s="268"/>
      <c r="XE585" s="268"/>
      <c r="XF585" s="268"/>
      <c r="XG585" s="268"/>
      <c r="XH585" s="268"/>
      <c r="XI585" s="268"/>
      <c r="XJ585" s="268"/>
      <c r="XK585" s="268"/>
      <c r="XL585" s="268"/>
      <c r="XM585" s="268"/>
      <c r="XN585" s="268"/>
      <c r="XO585" s="268"/>
      <c r="XP585" s="268"/>
      <c r="XQ585" s="268"/>
      <c r="XR585" s="268"/>
      <c r="XS585" s="268"/>
      <c r="XT585" s="268"/>
      <c r="XU585" s="268"/>
      <c r="XV585" s="268"/>
      <c r="XW585" s="268"/>
      <c r="XX585" s="268"/>
      <c r="XY585" s="268"/>
      <c r="XZ585" s="268"/>
      <c r="YA585" s="268"/>
      <c r="YB585" s="268"/>
      <c r="YC585" s="268"/>
      <c r="YD585" s="268"/>
      <c r="YE585" s="268"/>
      <c r="YF585" s="268"/>
      <c r="YG585" s="268"/>
      <c r="YH585" s="268"/>
      <c r="YI585" s="268"/>
      <c r="YJ585" s="268"/>
      <c r="YK585" s="268"/>
      <c r="YL585" s="268"/>
      <c r="YM585" s="268"/>
      <c r="YN585" s="268"/>
      <c r="YO585" s="268"/>
      <c r="YP585" s="268"/>
      <c r="YQ585" s="268"/>
      <c r="YR585" s="268"/>
      <c r="YS585" s="268"/>
      <c r="YT585" s="268"/>
      <c r="YU585" s="268"/>
      <c r="YV585" s="268"/>
      <c r="YW585" s="268"/>
      <c r="YX585" s="268"/>
      <c r="YY585" s="268"/>
      <c r="YZ585" s="268"/>
      <c r="ZA585" s="268"/>
      <c r="ZB585" s="268"/>
      <c r="ZC585" s="268"/>
      <c r="ZD585" s="268"/>
      <c r="ZE585" s="268"/>
      <c r="ZF585" s="268"/>
      <c r="ZG585" s="268"/>
      <c r="ZH585" s="268"/>
      <c r="ZI585" s="268"/>
      <c r="ZJ585" s="268"/>
      <c r="ZK585" s="268"/>
      <c r="ZL585" s="268"/>
      <c r="ZM585" s="268"/>
      <c r="ZN585" s="268"/>
      <c r="ZO585" s="268"/>
      <c r="ZP585" s="268"/>
      <c r="ZQ585" s="268"/>
      <c r="ZR585" s="268"/>
      <c r="ZS585" s="268"/>
      <c r="ZT585" s="268"/>
      <c r="ZU585" s="268"/>
      <c r="ZV585" s="268"/>
      <c r="ZW585" s="268"/>
      <c r="ZX585" s="268"/>
      <c r="ZY585" s="268"/>
      <c r="ZZ585" s="268"/>
      <c r="AAA585" s="268"/>
      <c r="AAB585" s="268"/>
      <c r="AAC585" s="268"/>
      <c r="AAD585" s="268"/>
      <c r="AAE585" s="268"/>
      <c r="AAF585" s="268"/>
      <c r="AAG585" s="268"/>
      <c r="AAH585" s="268"/>
      <c r="AAI585" s="268"/>
      <c r="AAJ585" s="268"/>
      <c r="AAK585" s="268"/>
      <c r="AAL585" s="268"/>
      <c r="AAM585" s="268"/>
      <c r="AAN585" s="268"/>
      <c r="AAO585" s="268"/>
      <c r="AAP585" s="268"/>
      <c r="AAQ585" s="268"/>
      <c r="AAR585" s="268"/>
      <c r="AAS585" s="268"/>
      <c r="AAT585" s="268"/>
      <c r="AAU585" s="268"/>
      <c r="AAV585" s="268"/>
      <c r="AAW585" s="268"/>
      <c r="AAX585" s="268"/>
      <c r="AAY585" s="268"/>
      <c r="AAZ585" s="268"/>
      <c r="ABA585" s="268"/>
      <c r="ABB585" s="268"/>
      <c r="ABC585" s="268"/>
      <c r="ABD585" s="268"/>
      <c r="ABE585" s="268"/>
      <c r="ABF585" s="268"/>
      <c r="ABG585" s="268"/>
      <c r="ABH585" s="268"/>
      <c r="ABI585" s="268"/>
      <c r="ABJ585" s="268"/>
      <c r="ABK585" s="268"/>
      <c r="ABL585" s="268"/>
      <c r="ABM585" s="268"/>
      <c r="ABN585" s="268"/>
      <c r="ABO585" s="268"/>
      <c r="ABP585" s="268"/>
      <c r="ABQ585" s="268"/>
      <c r="ABR585" s="268"/>
      <c r="ABS585" s="268"/>
      <c r="ABT585" s="268"/>
      <c r="ABU585" s="268"/>
      <c r="ABV585" s="268"/>
      <c r="ABW585" s="268"/>
      <c r="ABX585" s="268"/>
      <c r="ABY585" s="268"/>
      <c r="ABZ585" s="268"/>
      <c r="ACA585" s="268"/>
      <c r="ACB585" s="268"/>
      <c r="ACC585" s="268"/>
      <c r="ACD585" s="268"/>
      <c r="ACE585" s="268"/>
      <c r="ACS585" s="268"/>
      <c r="ACT585" s="268"/>
      <c r="ACU585" s="268"/>
      <c r="ADI585" s="268"/>
      <c r="ADK585" s="268"/>
      <c r="ADL585" s="268"/>
      <c r="ADM585" s="268"/>
      <c r="ADN585" s="268"/>
      <c r="ADO585" s="268"/>
      <c r="ADP585" s="268"/>
      <c r="ADQ585" s="268"/>
      <c r="ADR585" s="268"/>
      <c r="ADS585" s="268"/>
      <c r="ADT585" s="268"/>
      <c r="ADU585" s="268"/>
      <c r="ADV585" s="268"/>
      <c r="ADW585" s="268"/>
      <c r="ADX585" s="268"/>
      <c r="ADY585" s="268"/>
      <c r="ADZ585" s="268"/>
      <c r="AEA585" s="268"/>
      <c r="AEB585" s="268"/>
      <c r="AEC585" s="268"/>
      <c r="AED585" s="268"/>
      <c r="AEE585" s="268"/>
      <c r="AEF585" s="268"/>
      <c r="AEG585" s="268"/>
      <c r="AEH585" s="268"/>
      <c r="AEI585" s="268"/>
      <c r="AEJ585" s="268"/>
      <c r="AEK585" s="268"/>
      <c r="AEL585" s="268"/>
      <c r="AEM585" s="268"/>
      <c r="AEN585" s="268"/>
      <c r="AEO585" s="268"/>
      <c r="AEP585" s="268"/>
      <c r="AEQ585" s="268"/>
      <c r="AER585" s="268"/>
      <c r="AES585" s="268"/>
      <c r="AET585" s="268"/>
      <c r="AEU585" s="268"/>
      <c r="AEV585" s="268"/>
      <c r="AEW585" s="268"/>
      <c r="AEX585" s="268"/>
      <c r="AEY585" s="268"/>
      <c r="AEZ585" s="268"/>
      <c r="AFA585" s="268"/>
      <c r="AFB585" s="268"/>
      <c r="AFC585" s="268"/>
      <c r="AFD585" s="268"/>
      <c r="AFE585" s="268"/>
      <c r="AFF585" s="268"/>
      <c r="AFG585" s="268"/>
      <c r="AFH585" s="268"/>
      <c r="AFI585" s="268"/>
      <c r="AFJ585" s="268"/>
      <c r="AFK585" s="268"/>
      <c r="AFL585" s="268"/>
      <c r="AFM585" s="268"/>
      <c r="AFN585" s="268"/>
      <c r="AFO585" s="268"/>
      <c r="AFP585" s="268"/>
      <c r="AFQ585" s="268"/>
      <c r="AFR585" s="268"/>
      <c r="AFS585" s="268"/>
      <c r="AFT585" s="268"/>
      <c r="AFU585" s="268"/>
      <c r="AFV585" s="268"/>
      <c r="AFW585" s="268"/>
      <c r="AFX585" s="268"/>
      <c r="AFY585" s="268"/>
      <c r="AFZ585" s="268"/>
      <c r="AGA585" s="268"/>
      <c r="AGB585" s="268"/>
      <c r="AGC585" s="268"/>
      <c r="AGD585" s="268"/>
      <c r="AGE585" s="268"/>
      <c r="AGF585" s="268"/>
      <c r="AGG585" s="268"/>
      <c r="AGH585" s="268"/>
      <c r="AGI585" s="268"/>
      <c r="AGJ585" s="268"/>
      <c r="AGK585" s="268"/>
      <c r="AGL585" s="268"/>
      <c r="AGM585" s="268"/>
      <c r="AGN585" s="268"/>
      <c r="AGO585" s="268"/>
      <c r="AGP585" s="268"/>
      <c r="AGQ585" s="268"/>
      <c r="AGR585" s="268"/>
      <c r="AGS585" s="268"/>
      <c r="AGT585" s="268"/>
      <c r="AGU585" s="268"/>
      <c r="AGV585" s="268"/>
      <c r="AGW585" s="268"/>
      <c r="AGX585" s="268"/>
      <c r="AGY585" s="268"/>
      <c r="AGZ585" s="268"/>
      <c r="AHA585" s="268"/>
      <c r="AHB585" s="268"/>
      <c r="AHC585" s="268"/>
      <c r="AHD585" s="268"/>
      <c r="AHE585" s="268"/>
      <c r="AHF585" s="268"/>
      <c r="AHG585" s="268"/>
      <c r="AHH585" s="268"/>
      <c r="AHI585" s="268"/>
      <c r="AHJ585" s="268"/>
      <c r="AHK585" s="268"/>
      <c r="AHL585" s="268"/>
      <c r="AHM585" s="268"/>
      <c r="AHN585" s="268"/>
      <c r="AHO585" s="268"/>
      <c r="AHP585" s="268"/>
      <c r="AHQ585" s="268"/>
      <c r="AHR585" s="268"/>
      <c r="AHS585" s="268"/>
      <c r="AHT585" s="268"/>
      <c r="AHU585" s="268"/>
      <c r="AHV585" s="268"/>
      <c r="AHW585" s="268"/>
      <c r="AHX585" s="268"/>
      <c r="AHY585" s="268"/>
      <c r="AHZ585" s="268"/>
      <c r="AIA585" s="268"/>
      <c r="AIB585" s="268"/>
      <c r="AIC585" s="268"/>
      <c r="AID585" s="268"/>
      <c r="AIE585" s="268"/>
      <c r="AIF585" s="268"/>
      <c r="AIG585" s="268"/>
      <c r="AIH585" s="268"/>
      <c r="AII585" s="268"/>
      <c r="AIJ585" s="268"/>
      <c r="AIK585" s="268"/>
      <c r="AIL585" s="268"/>
      <c r="AIM585" s="268"/>
      <c r="AIN585" s="268"/>
      <c r="AIO585" s="268"/>
      <c r="AIP585" s="268"/>
      <c r="AIQ585" s="268"/>
      <c r="AIR585" s="268"/>
      <c r="AIS585" s="268"/>
      <c r="AIT585" s="268"/>
      <c r="AIU585" s="268"/>
      <c r="AIV585" s="268"/>
      <c r="AIW585" s="268"/>
      <c r="AIX585" s="268"/>
      <c r="AIY585" s="268"/>
      <c r="AIZ585" s="268"/>
      <c r="AJA585" s="268"/>
      <c r="AJB585" s="268"/>
      <c r="AJC585" s="268"/>
      <c r="AJD585" s="268"/>
      <c r="AJE585" s="268"/>
      <c r="AJF585" s="268"/>
      <c r="AJG585" s="268"/>
      <c r="AJH585" s="268"/>
      <c r="AJI585" s="268"/>
      <c r="AJJ585" s="268"/>
      <c r="AJK585" s="268"/>
      <c r="AJL585" s="268"/>
      <c r="AJM585" s="268"/>
      <c r="AJN585" s="268"/>
      <c r="AJO585" s="268"/>
      <c r="AJP585" s="268"/>
      <c r="AJQ585" s="268"/>
      <c r="AJR585" s="268"/>
      <c r="AJS585" s="268"/>
      <c r="AJT585" s="268"/>
      <c r="AJU585" s="268"/>
      <c r="AJV585" s="268"/>
      <c r="AJW585" s="268"/>
      <c r="AJX585" s="268"/>
      <c r="AJY585" s="268"/>
      <c r="AJZ585" s="268"/>
      <c r="AKA585" s="268"/>
      <c r="AKB585" s="268"/>
      <c r="AKC585" s="268"/>
      <c r="AKD585" s="268"/>
      <c r="AKE585" s="268"/>
      <c r="AKF585" s="268"/>
      <c r="AKG585" s="268"/>
      <c r="AKH585" s="268"/>
      <c r="AKI585" s="268"/>
      <c r="AKJ585" s="268"/>
      <c r="AKK585" s="268"/>
      <c r="AKL585" s="268"/>
      <c r="AKM585" s="268"/>
      <c r="AKN585" s="268"/>
      <c r="AKO585" s="268"/>
      <c r="AKP585" s="268"/>
      <c r="AKQ585" s="268"/>
      <c r="AKR585" s="268"/>
      <c r="AKS585" s="268"/>
      <c r="AKT585" s="268"/>
      <c r="AKU585" s="268"/>
      <c r="AKV585" s="268"/>
      <c r="AKW585" s="268"/>
      <c r="AKX585" s="268"/>
      <c r="AKY585" s="268"/>
      <c r="AKZ585" s="268"/>
      <c r="ALA585" s="268"/>
      <c r="ALB585" s="268"/>
      <c r="ALC585" s="268"/>
      <c r="ALD585" s="268"/>
      <c r="ALE585" s="268"/>
      <c r="ALF585" s="268"/>
      <c r="ALG585" s="268"/>
      <c r="ALH585" s="268"/>
      <c r="ALI585" s="268"/>
      <c r="ALJ585" s="268"/>
      <c r="ALK585" s="268"/>
      <c r="ALL585" s="268"/>
      <c r="ALM585" s="268"/>
      <c r="ALN585" s="268"/>
      <c r="ALO585" s="268"/>
      <c r="ALP585" s="268"/>
      <c r="ALQ585" s="268"/>
      <c r="ALR585" s="268"/>
      <c r="ALS585" s="268"/>
      <c r="ALT585" s="268"/>
      <c r="ALU585" s="268"/>
      <c r="ALV585" s="268"/>
      <c r="ALW585" s="268"/>
      <c r="ALX585" s="268"/>
      <c r="ALY585" s="268"/>
      <c r="ALZ585" s="268"/>
      <c r="AMA585" s="268"/>
      <c r="AMO585" s="268"/>
      <c r="AMP585" s="268"/>
      <c r="AMQ585" s="268"/>
      <c r="ANE585" s="268"/>
      <c r="ANG585" s="268"/>
      <c r="ANH585" s="268"/>
      <c r="ANI585" s="268"/>
      <c r="ANJ585" s="268"/>
      <c r="ANK585" s="268"/>
      <c r="ANL585" s="268"/>
      <c r="ANM585" s="268"/>
      <c r="ANN585" s="268"/>
      <c r="ANO585" s="268"/>
      <c r="ANP585" s="268"/>
      <c r="ANQ585" s="268"/>
      <c r="ANR585" s="268"/>
      <c r="ANS585" s="268"/>
      <c r="ANT585" s="268"/>
      <c r="ANU585" s="268"/>
      <c r="ANV585" s="268"/>
      <c r="ANW585" s="268"/>
      <c r="ANX585" s="268"/>
      <c r="ANY585" s="268"/>
      <c r="ANZ585" s="268"/>
      <c r="AOA585" s="268"/>
      <c r="AOB585" s="268"/>
      <c r="AOC585" s="268"/>
      <c r="AOD585" s="268"/>
      <c r="AOE585" s="268"/>
      <c r="AOF585" s="268"/>
      <c r="AOG585" s="268"/>
      <c r="AOH585" s="268"/>
      <c r="AOI585" s="268"/>
      <c r="AOJ585" s="268"/>
      <c r="AOK585" s="268"/>
      <c r="AOL585" s="268"/>
      <c r="AOM585" s="268"/>
      <c r="AON585" s="268"/>
      <c r="AOO585" s="268"/>
      <c r="AOP585" s="268"/>
      <c r="AOQ585" s="268"/>
      <c r="AOR585" s="268"/>
      <c r="AOS585" s="268"/>
      <c r="AOT585" s="268"/>
      <c r="AOU585" s="268"/>
      <c r="AOV585" s="268"/>
      <c r="AOW585" s="268"/>
      <c r="AOX585" s="268"/>
      <c r="AOY585" s="268"/>
      <c r="AOZ585" s="268"/>
      <c r="APA585" s="268"/>
      <c r="APB585" s="268"/>
      <c r="APC585" s="268"/>
      <c r="APD585" s="268"/>
      <c r="APE585" s="268"/>
      <c r="APF585" s="268"/>
      <c r="APG585" s="268"/>
      <c r="APH585" s="268"/>
      <c r="API585" s="268"/>
      <c r="APJ585" s="268"/>
      <c r="APK585" s="268"/>
      <c r="APL585" s="268"/>
      <c r="APM585" s="268"/>
      <c r="APN585" s="268"/>
      <c r="APO585" s="268"/>
      <c r="APP585" s="268"/>
      <c r="APQ585" s="268"/>
      <c r="APR585" s="268"/>
      <c r="APS585" s="268"/>
      <c r="APT585" s="268"/>
      <c r="APU585" s="268"/>
      <c r="APV585" s="268"/>
      <c r="APW585" s="268"/>
      <c r="APX585" s="268"/>
      <c r="APY585" s="268"/>
      <c r="APZ585" s="268"/>
      <c r="AQA585" s="268"/>
      <c r="AQB585" s="268"/>
      <c r="AQC585" s="268"/>
      <c r="AQD585" s="268"/>
      <c r="AQE585" s="268"/>
      <c r="AQF585" s="268"/>
      <c r="AQG585" s="268"/>
      <c r="AQH585" s="268"/>
      <c r="AQI585" s="268"/>
      <c r="AQJ585" s="268"/>
      <c r="AQK585" s="268"/>
      <c r="AQL585" s="268"/>
      <c r="AQM585" s="268"/>
      <c r="AQN585" s="268"/>
      <c r="AQO585" s="268"/>
      <c r="AQP585" s="268"/>
      <c r="AQQ585" s="268"/>
      <c r="AQR585" s="268"/>
      <c r="AQS585" s="268"/>
      <c r="AQT585" s="268"/>
      <c r="AQU585" s="268"/>
      <c r="AQV585" s="268"/>
      <c r="AQW585" s="268"/>
      <c r="AQX585" s="268"/>
      <c r="AQY585" s="268"/>
      <c r="AQZ585" s="268"/>
      <c r="ARA585" s="268"/>
      <c r="ARB585" s="268"/>
      <c r="ARC585" s="268"/>
      <c r="ARD585" s="268"/>
      <c r="ARE585" s="268"/>
      <c r="ARF585" s="268"/>
      <c r="ARG585" s="268"/>
      <c r="ARH585" s="268"/>
      <c r="ARI585" s="268"/>
      <c r="ARJ585" s="268"/>
      <c r="ARK585" s="268"/>
      <c r="ARL585" s="268"/>
      <c r="ARM585" s="268"/>
      <c r="ARN585" s="268"/>
      <c r="ARO585" s="268"/>
      <c r="ARP585" s="268"/>
      <c r="ARQ585" s="268"/>
      <c r="ARR585" s="268"/>
      <c r="ARS585" s="268"/>
      <c r="ART585" s="268"/>
      <c r="ARU585" s="268"/>
      <c r="ARV585" s="268"/>
      <c r="ARW585" s="268"/>
      <c r="ARX585" s="268"/>
      <c r="ARY585" s="268"/>
      <c r="ARZ585" s="268"/>
      <c r="ASA585" s="268"/>
      <c r="ASB585" s="268"/>
      <c r="ASC585" s="268"/>
      <c r="ASD585" s="268"/>
      <c r="ASE585" s="268"/>
      <c r="ASF585" s="268"/>
      <c r="ASG585" s="268"/>
      <c r="ASH585" s="268"/>
      <c r="ASI585" s="268"/>
      <c r="ASJ585" s="268"/>
      <c r="ASK585" s="268"/>
      <c r="ASL585" s="268"/>
      <c r="ASM585" s="268"/>
      <c r="ASN585" s="268"/>
      <c r="ASO585" s="268"/>
      <c r="ASP585" s="268"/>
      <c r="ASQ585" s="268"/>
      <c r="ASR585" s="268"/>
      <c r="ASS585" s="268"/>
      <c r="AST585" s="268"/>
      <c r="ASU585" s="268"/>
      <c r="ASV585" s="268"/>
      <c r="ASW585" s="268"/>
      <c r="ASX585" s="268"/>
      <c r="ASY585" s="268"/>
      <c r="ASZ585" s="268"/>
      <c r="ATA585" s="268"/>
      <c r="ATB585" s="268"/>
      <c r="ATC585" s="268"/>
      <c r="ATD585" s="268"/>
      <c r="ATE585" s="268"/>
      <c r="ATF585" s="268"/>
      <c r="ATG585" s="268"/>
      <c r="ATH585" s="268"/>
      <c r="ATI585" s="268"/>
      <c r="ATJ585" s="268"/>
      <c r="ATK585" s="268"/>
      <c r="ATL585" s="268"/>
      <c r="ATM585" s="268"/>
      <c r="ATN585" s="268"/>
      <c r="ATO585" s="268"/>
      <c r="ATP585" s="268"/>
      <c r="ATQ585" s="268"/>
      <c r="ATR585" s="268"/>
      <c r="ATS585" s="268"/>
      <c r="ATT585" s="268"/>
      <c r="ATU585" s="268"/>
      <c r="ATV585" s="268"/>
      <c r="ATW585" s="268"/>
      <c r="ATX585" s="268"/>
      <c r="ATY585" s="268"/>
      <c r="ATZ585" s="268"/>
      <c r="AUA585" s="268"/>
      <c r="AUB585" s="268"/>
      <c r="AUC585" s="268"/>
      <c r="AUD585" s="268"/>
      <c r="AUE585" s="268"/>
      <c r="AUF585" s="268"/>
      <c r="AUG585" s="268"/>
      <c r="AUH585" s="268"/>
      <c r="AUI585" s="268"/>
      <c r="AUJ585" s="268"/>
      <c r="AUK585" s="268"/>
      <c r="AUL585" s="268"/>
      <c r="AUM585" s="268"/>
      <c r="AUN585" s="268"/>
      <c r="AUO585" s="268"/>
      <c r="AUP585" s="268"/>
      <c r="AUQ585" s="268"/>
      <c r="AUR585" s="268"/>
      <c r="AUS585" s="268"/>
      <c r="AUT585" s="268"/>
      <c r="AUU585" s="268"/>
      <c r="AUV585" s="268"/>
      <c r="AUW585" s="268"/>
      <c r="AUX585" s="268"/>
      <c r="AUY585" s="268"/>
      <c r="AUZ585" s="268"/>
      <c r="AVA585" s="268"/>
      <c r="AVB585" s="268"/>
      <c r="AVC585" s="268"/>
      <c r="AVD585" s="268"/>
      <c r="AVE585" s="268"/>
      <c r="AVF585" s="268"/>
      <c r="AVG585" s="268"/>
      <c r="AVH585" s="268"/>
      <c r="AVI585" s="268"/>
      <c r="AVJ585" s="268"/>
      <c r="AVK585" s="268"/>
      <c r="AVL585" s="268"/>
      <c r="AVM585" s="268"/>
      <c r="AVN585" s="268"/>
      <c r="AVO585" s="268"/>
      <c r="AVP585" s="268"/>
      <c r="AVQ585" s="268"/>
      <c r="AVR585" s="268"/>
      <c r="AVS585" s="268"/>
      <c r="AVT585" s="268"/>
      <c r="AVU585" s="268"/>
      <c r="AVV585" s="268"/>
      <c r="AVW585" s="268"/>
      <c r="AWK585" s="268"/>
      <c r="AWL585" s="268"/>
      <c r="AWM585" s="268"/>
      <c r="AXA585" s="268"/>
      <c r="AXC585" s="268"/>
      <c r="AXD585" s="268"/>
      <c r="AXE585" s="268"/>
      <c r="AXF585" s="268"/>
      <c r="AXG585" s="268"/>
      <c r="AXH585" s="268"/>
      <c r="AXI585" s="268"/>
      <c r="AXJ585" s="268"/>
      <c r="AXK585" s="268"/>
      <c r="AXL585" s="268"/>
      <c r="AXM585" s="268"/>
      <c r="AXN585" s="268"/>
      <c r="AXO585" s="268"/>
      <c r="AXP585" s="268"/>
      <c r="AXQ585" s="268"/>
      <c r="AXR585" s="268"/>
      <c r="AXS585" s="268"/>
      <c r="AXT585" s="268"/>
      <c r="AXU585" s="268"/>
      <c r="AXV585" s="268"/>
      <c r="AXW585" s="268"/>
      <c r="AXX585" s="268"/>
      <c r="AXY585" s="268"/>
      <c r="AXZ585" s="268"/>
      <c r="AYA585" s="268"/>
      <c r="AYB585" s="268"/>
      <c r="AYC585" s="268"/>
      <c r="AYD585" s="268"/>
      <c r="AYE585" s="268"/>
      <c r="AYF585" s="268"/>
      <c r="AYG585" s="268"/>
      <c r="AYH585" s="268"/>
      <c r="AYI585" s="268"/>
      <c r="AYJ585" s="268"/>
      <c r="AYK585" s="268"/>
      <c r="AYL585" s="268"/>
      <c r="AYM585" s="268"/>
      <c r="AYN585" s="268"/>
      <c r="AYO585" s="268"/>
      <c r="AYP585" s="268"/>
      <c r="AYQ585" s="268"/>
      <c r="AYR585" s="268"/>
      <c r="AYS585" s="268"/>
      <c r="AYT585" s="268"/>
      <c r="AYU585" s="268"/>
      <c r="AYV585" s="268"/>
      <c r="AYW585" s="268"/>
      <c r="AYX585" s="268"/>
      <c r="AYY585" s="268"/>
      <c r="AYZ585" s="268"/>
      <c r="AZA585" s="268"/>
      <c r="AZB585" s="268"/>
      <c r="AZC585" s="268"/>
      <c r="AZD585" s="268"/>
      <c r="AZE585" s="268"/>
      <c r="AZF585" s="268"/>
      <c r="AZG585" s="268"/>
      <c r="AZH585" s="268"/>
      <c r="AZI585" s="268"/>
      <c r="AZJ585" s="268"/>
      <c r="AZK585" s="268"/>
      <c r="AZL585" s="268"/>
      <c r="AZM585" s="268"/>
      <c r="AZN585" s="268"/>
      <c r="AZO585" s="268"/>
      <c r="AZP585" s="268"/>
      <c r="AZQ585" s="268"/>
      <c r="AZR585" s="268"/>
      <c r="AZS585" s="268"/>
      <c r="AZT585" s="268"/>
      <c r="AZU585" s="268"/>
      <c r="AZV585" s="268"/>
      <c r="AZW585" s="268"/>
      <c r="AZX585" s="268"/>
      <c r="AZY585" s="268"/>
      <c r="AZZ585" s="268"/>
      <c r="BAA585" s="268"/>
      <c r="BAB585" s="268"/>
      <c r="BAC585" s="268"/>
      <c r="BAD585" s="268"/>
      <c r="BAE585" s="268"/>
      <c r="BAF585" s="268"/>
      <c r="BAG585" s="268"/>
      <c r="BAH585" s="268"/>
      <c r="BAI585" s="268"/>
      <c r="BAJ585" s="268"/>
      <c r="BAK585" s="268"/>
      <c r="BAL585" s="268"/>
      <c r="BAM585" s="268"/>
      <c r="BAN585" s="268"/>
      <c r="BAO585" s="268"/>
      <c r="BAP585" s="268"/>
      <c r="BAQ585" s="268"/>
      <c r="BAR585" s="268"/>
      <c r="BAS585" s="268"/>
      <c r="BAT585" s="268"/>
      <c r="BAU585" s="268"/>
      <c r="BAV585" s="268"/>
      <c r="BAW585" s="268"/>
      <c r="BAX585" s="268"/>
      <c r="BAY585" s="268"/>
      <c r="BAZ585" s="268"/>
      <c r="BBA585" s="268"/>
      <c r="BBB585" s="268"/>
      <c r="BBC585" s="268"/>
      <c r="BBD585" s="268"/>
      <c r="BBE585" s="268"/>
      <c r="BBF585" s="268"/>
      <c r="BBG585" s="268"/>
      <c r="BBH585" s="268"/>
      <c r="BBI585" s="268"/>
      <c r="BBJ585" s="268"/>
      <c r="BBK585" s="268"/>
      <c r="BBL585" s="268"/>
      <c r="BBM585" s="268"/>
      <c r="BBN585" s="268"/>
      <c r="BBO585" s="268"/>
      <c r="BBP585" s="268"/>
      <c r="BBQ585" s="268"/>
      <c r="BBR585" s="268"/>
      <c r="BBS585" s="268"/>
      <c r="BBT585" s="268"/>
      <c r="BBU585" s="268"/>
      <c r="BBV585" s="268"/>
      <c r="BBW585" s="268"/>
      <c r="BBX585" s="268"/>
      <c r="BBY585" s="268"/>
      <c r="BBZ585" s="268"/>
      <c r="BCA585" s="268"/>
      <c r="BCB585" s="268"/>
      <c r="BCC585" s="268"/>
      <c r="BCD585" s="268"/>
      <c r="BCE585" s="268"/>
      <c r="BCF585" s="268"/>
      <c r="BCG585" s="268"/>
      <c r="BCH585" s="268"/>
      <c r="BCI585" s="268"/>
      <c r="BCJ585" s="268"/>
      <c r="BCK585" s="268"/>
      <c r="BCL585" s="268"/>
      <c r="BCM585" s="268"/>
      <c r="BCN585" s="268"/>
      <c r="BCO585" s="268"/>
      <c r="BCP585" s="268"/>
      <c r="BCQ585" s="268"/>
      <c r="BCR585" s="268"/>
      <c r="BCS585" s="268"/>
      <c r="BCT585" s="268"/>
      <c r="BCU585" s="268"/>
      <c r="BCV585" s="268"/>
      <c r="BCW585" s="268"/>
      <c r="BCX585" s="268"/>
      <c r="BCY585" s="268"/>
      <c r="BCZ585" s="268"/>
      <c r="BDA585" s="268"/>
      <c r="BDB585" s="268"/>
      <c r="BDC585" s="268"/>
      <c r="BDD585" s="268"/>
      <c r="BDE585" s="268"/>
      <c r="BDF585" s="268"/>
      <c r="BDG585" s="268"/>
      <c r="BDH585" s="268"/>
      <c r="BDI585" s="268"/>
      <c r="BDJ585" s="268"/>
      <c r="BDK585" s="268"/>
      <c r="BDL585" s="268"/>
      <c r="BDM585" s="268"/>
      <c r="BDN585" s="268"/>
      <c r="BDO585" s="268"/>
      <c r="BDP585" s="268"/>
      <c r="BDQ585" s="268"/>
      <c r="BDR585" s="268"/>
      <c r="BDS585" s="268"/>
      <c r="BDT585" s="268"/>
      <c r="BDU585" s="268"/>
      <c r="BDV585" s="268"/>
      <c r="BDW585" s="268"/>
      <c r="BDX585" s="268"/>
      <c r="BDY585" s="268"/>
      <c r="BDZ585" s="268"/>
      <c r="BEA585" s="268"/>
      <c r="BEB585" s="268"/>
      <c r="BEC585" s="268"/>
      <c r="BED585" s="268"/>
      <c r="BEE585" s="268"/>
      <c r="BEF585" s="268"/>
      <c r="BEG585" s="268"/>
      <c r="BEH585" s="268"/>
      <c r="BEI585" s="268"/>
      <c r="BEJ585" s="268"/>
      <c r="BEK585" s="268"/>
      <c r="BEL585" s="268"/>
      <c r="BEM585" s="268"/>
      <c r="BEN585" s="268"/>
      <c r="BEO585" s="268"/>
      <c r="BEP585" s="268"/>
      <c r="BEQ585" s="268"/>
      <c r="BER585" s="268"/>
      <c r="BES585" s="268"/>
      <c r="BET585" s="268"/>
      <c r="BEU585" s="268"/>
      <c r="BEV585" s="268"/>
      <c r="BEW585" s="268"/>
      <c r="BEX585" s="268"/>
      <c r="BEY585" s="268"/>
      <c r="BEZ585" s="268"/>
      <c r="BFA585" s="268"/>
      <c r="BFB585" s="268"/>
      <c r="BFC585" s="268"/>
      <c r="BFD585" s="268"/>
      <c r="BFE585" s="268"/>
      <c r="BFF585" s="268"/>
      <c r="BFG585" s="268"/>
      <c r="BFH585" s="268"/>
      <c r="BFI585" s="268"/>
      <c r="BFJ585" s="268"/>
      <c r="BFK585" s="268"/>
      <c r="BFL585" s="268"/>
      <c r="BFM585" s="268"/>
      <c r="BFN585" s="268"/>
      <c r="BFO585" s="268"/>
      <c r="BFP585" s="268"/>
      <c r="BFQ585" s="268"/>
      <c r="BFR585" s="268"/>
      <c r="BFS585" s="268"/>
      <c r="BGG585" s="268"/>
      <c r="BGH585" s="268"/>
      <c r="BGI585" s="268"/>
      <c r="BGW585" s="268"/>
      <c r="BGY585" s="268"/>
      <c r="BGZ585" s="268"/>
      <c r="BHA585" s="268"/>
      <c r="BHB585" s="268"/>
      <c r="BHC585" s="268"/>
      <c r="BHD585" s="268"/>
      <c r="BHE585" s="268"/>
      <c r="BHF585" s="268"/>
      <c r="BHG585" s="268"/>
      <c r="BHH585" s="268"/>
      <c r="BHI585" s="268"/>
      <c r="BHJ585" s="268"/>
      <c r="BHK585" s="268"/>
      <c r="BHL585" s="268"/>
      <c r="BHM585" s="268"/>
      <c r="BHN585" s="268"/>
      <c r="BHO585" s="268"/>
      <c r="BHP585" s="268"/>
      <c r="BHQ585" s="268"/>
      <c r="BHR585" s="268"/>
      <c r="BHS585" s="268"/>
      <c r="BHT585" s="268"/>
      <c r="BHU585" s="268"/>
      <c r="BHV585" s="268"/>
      <c r="BHW585" s="268"/>
      <c r="BHX585" s="268"/>
      <c r="BHY585" s="268"/>
      <c r="BHZ585" s="268"/>
      <c r="BIA585" s="268"/>
      <c r="BIB585" s="268"/>
      <c r="BIC585" s="268"/>
      <c r="BID585" s="268"/>
      <c r="BIE585" s="268"/>
      <c r="BIF585" s="268"/>
      <c r="BIG585" s="268"/>
      <c r="BIH585" s="268"/>
      <c r="BII585" s="268"/>
      <c r="BIJ585" s="268"/>
      <c r="BIK585" s="268"/>
      <c r="BIL585" s="268"/>
      <c r="BIM585" s="268"/>
      <c r="BIN585" s="268"/>
      <c r="BIO585" s="268"/>
      <c r="BIP585" s="268"/>
      <c r="BIQ585" s="268"/>
      <c r="BIR585" s="268"/>
      <c r="BIS585" s="268"/>
      <c r="BIT585" s="268"/>
      <c r="BIU585" s="268"/>
      <c r="BIV585" s="268"/>
      <c r="BIW585" s="268"/>
      <c r="BIX585" s="268"/>
      <c r="BIY585" s="268"/>
      <c r="BIZ585" s="268"/>
      <c r="BJA585" s="268"/>
      <c r="BJB585" s="268"/>
      <c r="BJC585" s="268"/>
      <c r="BJD585" s="268"/>
      <c r="BJE585" s="268"/>
      <c r="BJF585" s="268"/>
      <c r="BJG585" s="268"/>
      <c r="BJH585" s="268"/>
      <c r="BJI585" s="268"/>
      <c r="BJJ585" s="268"/>
      <c r="BJK585" s="268"/>
      <c r="BJL585" s="268"/>
      <c r="BJM585" s="268"/>
      <c r="BJN585" s="268"/>
      <c r="BJO585" s="268"/>
      <c r="BJP585" s="268"/>
      <c r="BJQ585" s="268"/>
      <c r="BJR585" s="268"/>
      <c r="BJS585" s="268"/>
      <c r="BJT585" s="268"/>
      <c r="BJU585" s="268"/>
      <c r="BJV585" s="268"/>
      <c r="BJW585" s="268"/>
      <c r="BJX585" s="268"/>
      <c r="BJY585" s="268"/>
      <c r="BJZ585" s="268"/>
      <c r="BKA585" s="268"/>
      <c r="BKB585" s="268"/>
      <c r="BKC585" s="268"/>
      <c r="BKD585" s="268"/>
      <c r="BKE585" s="268"/>
      <c r="BKF585" s="268"/>
      <c r="BKG585" s="268"/>
      <c r="BKH585" s="268"/>
      <c r="BKI585" s="268"/>
      <c r="BKJ585" s="268"/>
      <c r="BKK585" s="268"/>
      <c r="BKL585" s="268"/>
      <c r="BKM585" s="268"/>
      <c r="BKN585" s="268"/>
      <c r="BKO585" s="268"/>
      <c r="BKP585" s="268"/>
      <c r="BKQ585" s="268"/>
      <c r="BKR585" s="268"/>
      <c r="BKS585" s="268"/>
      <c r="BKT585" s="268"/>
      <c r="BKU585" s="268"/>
      <c r="BKV585" s="268"/>
      <c r="BKW585" s="268"/>
      <c r="BKX585" s="268"/>
      <c r="BKY585" s="268"/>
      <c r="BKZ585" s="268"/>
      <c r="BLA585" s="268"/>
      <c r="BLB585" s="268"/>
      <c r="BLC585" s="268"/>
      <c r="BLD585" s="268"/>
      <c r="BLE585" s="268"/>
      <c r="BLF585" s="268"/>
      <c r="BLG585" s="268"/>
      <c r="BLH585" s="268"/>
      <c r="BLI585" s="268"/>
      <c r="BLJ585" s="268"/>
      <c r="BLK585" s="268"/>
      <c r="BLL585" s="268"/>
      <c r="BLM585" s="268"/>
      <c r="BLN585" s="268"/>
      <c r="BLO585" s="268"/>
      <c r="BLP585" s="268"/>
      <c r="BLQ585" s="268"/>
      <c r="BLR585" s="268"/>
      <c r="BLS585" s="268"/>
      <c r="BLT585" s="268"/>
      <c r="BLU585" s="268"/>
      <c r="BLV585" s="268"/>
      <c r="BLW585" s="268"/>
      <c r="BLX585" s="268"/>
      <c r="BLY585" s="268"/>
      <c r="BLZ585" s="268"/>
      <c r="BMA585" s="268"/>
      <c r="BMB585" s="268"/>
      <c r="BMC585" s="268"/>
      <c r="BMD585" s="268"/>
      <c r="BME585" s="268"/>
      <c r="BMF585" s="268"/>
      <c r="BMG585" s="268"/>
      <c r="BMH585" s="268"/>
      <c r="BMI585" s="268"/>
      <c r="BMJ585" s="268"/>
      <c r="BMK585" s="268"/>
      <c r="BML585" s="268"/>
      <c r="BMM585" s="268"/>
      <c r="BMN585" s="268"/>
      <c r="BMO585" s="268"/>
      <c r="BMP585" s="268"/>
      <c r="BMQ585" s="268"/>
      <c r="BMR585" s="268"/>
      <c r="BMS585" s="268"/>
      <c r="BMT585" s="268"/>
      <c r="BMU585" s="268"/>
      <c r="BMV585" s="268"/>
      <c r="BMW585" s="268"/>
      <c r="BMX585" s="268"/>
      <c r="BMY585" s="268"/>
      <c r="BMZ585" s="268"/>
      <c r="BNA585" s="268"/>
      <c r="BNB585" s="268"/>
      <c r="BNC585" s="268"/>
      <c r="BND585" s="268"/>
      <c r="BNE585" s="268"/>
      <c r="BNF585" s="268"/>
      <c r="BNG585" s="268"/>
      <c r="BNH585" s="268"/>
      <c r="BNI585" s="268"/>
      <c r="BNJ585" s="268"/>
      <c r="BNK585" s="268"/>
      <c r="BNL585" s="268"/>
      <c r="BNM585" s="268"/>
      <c r="BNN585" s="268"/>
      <c r="BNO585" s="268"/>
      <c r="BNP585" s="268"/>
      <c r="BNQ585" s="268"/>
      <c r="BNR585" s="268"/>
      <c r="BNS585" s="268"/>
      <c r="BNT585" s="268"/>
      <c r="BNU585" s="268"/>
      <c r="BNV585" s="268"/>
      <c r="BNW585" s="268"/>
      <c r="BNX585" s="268"/>
      <c r="BNY585" s="268"/>
      <c r="BNZ585" s="268"/>
      <c r="BOA585" s="268"/>
      <c r="BOB585" s="268"/>
      <c r="BOC585" s="268"/>
      <c r="BOD585" s="268"/>
      <c r="BOE585" s="268"/>
      <c r="BOF585" s="268"/>
      <c r="BOG585" s="268"/>
      <c r="BOH585" s="268"/>
      <c r="BOI585" s="268"/>
      <c r="BOJ585" s="268"/>
      <c r="BOK585" s="268"/>
      <c r="BOL585" s="268"/>
      <c r="BOM585" s="268"/>
      <c r="BON585" s="268"/>
      <c r="BOO585" s="268"/>
      <c r="BOP585" s="268"/>
      <c r="BOQ585" s="268"/>
      <c r="BOR585" s="268"/>
      <c r="BOS585" s="268"/>
      <c r="BOT585" s="268"/>
      <c r="BOU585" s="268"/>
      <c r="BOV585" s="268"/>
      <c r="BOW585" s="268"/>
      <c r="BOX585" s="268"/>
      <c r="BOY585" s="268"/>
      <c r="BOZ585" s="268"/>
      <c r="BPA585" s="268"/>
      <c r="BPB585" s="268"/>
      <c r="BPC585" s="268"/>
      <c r="BPD585" s="268"/>
      <c r="BPE585" s="268"/>
      <c r="BPF585" s="268"/>
      <c r="BPG585" s="268"/>
      <c r="BPH585" s="268"/>
      <c r="BPI585" s="268"/>
      <c r="BPJ585" s="268"/>
      <c r="BPK585" s="268"/>
      <c r="BPL585" s="268"/>
      <c r="BPM585" s="268"/>
      <c r="BPN585" s="268"/>
      <c r="BPO585" s="268"/>
      <c r="BQC585" s="268"/>
      <c r="BQD585" s="268"/>
      <c r="BQE585" s="268"/>
      <c r="BQS585" s="268"/>
      <c r="BQU585" s="268"/>
      <c r="BQV585" s="268"/>
      <c r="BQW585" s="268"/>
      <c r="BQX585" s="268"/>
      <c r="BQY585" s="268"/>
      <c r="BQZ585" s="268"/>
      <c r="BRA585" s="268"/>
      <c r="BRB585" s="268"/>
      <c r="BRC585" s="268"/>
      <c r="BRD585" s="268"/>
      <c r="BRE585" s="268"/>
      <c r="BRF585" s="268"/>
      <c r="BRG585" s="268"/>
      <c r="BRH585" s="268"/>
      <c r="BRI585" s="268"/>
      <c r="BRJ585" s="268"/>
      <c r="BRK585" s="268"/>
      <c r="BRL585" s="268"/>
      <c r="BRM585" s="268"/>
      <c r="BRN585" s="268"/>
      <c r="BRO585" s="268"/>
      <c r="BRP585" s="268"/>
      <c r="BRQ585" s="268"/>
      <c r="BRR585" s="268"/>
      <c r="BRS585" s="268"/>
      <c r="BRT585" s="268"/>
      <c r="BRU585" s="268"/>
      <c r="BRV585" s="268"/>
      <c r="BRW585" s="268"/>
      <c r="BRX585" s="268"/>
      <c r="BRY585" s="268"/>
      <c r="BRZ585" s="268"/>
      <c r="BSA585" s="268"/>
      <c r="BSB585" s="268"/>
      <c r="BSC585" s="268"/>
      <c r="BSD585" s="268"/>
      <c r="BSE585" s="268"/>
      <c r="BSF585" s="268"/>
      <c r="BSG585" s="268"/>
      <c r="BSH585" s="268"/>
      <c r="BSI585" s="268"/>
      <c r="BSJ585" s="268"/>
      <c r="BSK585" s="268"/>
      <c r="BSL585" s="268"/>
      <c r="BSM585" s="268"/>
      <c r="BSN585" s="268"/>
      <c r="BSO585" s="268"/>
      <c r="BSP585" s="268"/>
      <c r="BSQ585" s="268"/>
      <c r="BSR585" s="268"/>
      <c r="BSS585" s="268"/>
      <c r="BST585" s="268"/>
      <c r="BSU585" s="268"/>
      <c r="BSV585" s="268"/>
      <c r="BSW585" s="268"/>
      <c r="BSX585" s="268"/>
      <c r="BSY585" s="268"/>
      <c r="BSZ585" s="268"/>
      <c r="BTA585" s="268"/>
      <c r="BTB585" s="268"/>
      <c r="BTC585" s="268"/>
      <c r="BTD585" s="268"/>
      <c r="BTE585" s="268"/>
      <c r="BTF585" s="268"/>
      <c r="BTG585" s="268"/>
      <c r="BTH585" s="268"/>
      <c r="BTI585" s="268"/>
      <c r="BTJ585" s="268"/>
      <c r="BTK585" s="268"/>
      <c r="BTL585" s="268"/>
      <c r="BTM585" s="268"/>
      <c r="BTN585" s="268"/>
      <c r="BTO585" s="268"/>
      <c r="BTP585" s="268"/>
      <c r="BTQ585" s="268"/>
      <c r="BTR585" s="268"/>
      <c r="BTS585" s="268"/>
      <c r="BTT585" s="268"/>
      <c r="BTU585" s="268"/>
      <c r="BTV585" s="268"/>
      <c r="BTW585" s="268"/>
      <c r="BTX585" s="268"/>
      <c r="BTY585" s="268"/>
      <c r="BTZ585" s="268"/>
      <c r="BUA585" s="268"/>
      <c r="BUB585" s="268"/>
      <c r="BUC585" s="268"/>
      <c r="BUD585" s="268"/>
      <c r="BUE585" s="268"/>
      <c r="BUF585" s="268"/>
      <c r="BUG585" s="268"/>
      <c r="BUH585" s="268"/>
      <c r="BUI585" s="268"/>
      <c r="BUJ585" s="268"/>
      <c r="BUK585" s="268"/>
      <c r="BUL585" s="268"/>
      <c r="BUM585" s="268"/>
      <c r="BUN585" s="268"/>
      <c r="BUO585" s="268"/>
      <c r="BUP585" s="268"/>
      <c r="BUQ585" s="268"/>
      <c r="BUR585" s="268"/>
      <c r="BUS585" s="268"/>
      <c r="BUT585" s="268"/>
      <c r="BUU585" s="268"/>
      <c r="BUV585" s="268"/>
      <c r="BUW585" s="268"/>
      <c r="BUX585" s="268"/>
      <c r="BUY585" s="268"/>
      <c r="BUZ585" s="268"/>
      <c r="BVA585" s="268"/>
      <c r="BVB585" s="268"/>
      <c r="BVC585" s="268"/>
      <c r="BVD585" s="268"/>
      <c r="BVE585" s="268"/>
      <c r="BVF585" s="268"/>
      <c r="BVG585" s="268"/>
      <c r="BVH585" s="268"/>
      <c r="BVI585" s="268"/>
      <c r="BVJ585" s="268"/>
      <c r="BVK585" s="268"/>
      <c r="BVL585" s="268"/>
      <c r="BVM585" s="268"/>
      <c r="BVN585" s="268"/>
      <c r="BVO585" s="268"/>
      <c r="BVP585" s="268"/>
      <c r="BVQ585" s="268"/>
      <c r="BVR585" s="268"/>
      <c r="BVS585" s="268"/>
      <c r="BVT585" s="268"/>
      <c r="BVU585" s="268"/>
      <c r="BVV585" s="268"/>
      <c r="BVW585" s="268"/>
      <c r="BVX585" s="268"/>
      <c r="BVY585" s="268"/>
      <c r="BVZ585" s="268"/>
      <c r="BWA585" s="268"/>
      <c r="BWB585" s="268"/>
      <c r="BWC585" s="268"/>
      <c r="BWD585" s="268"/>
      <c r="BWE585" s="268"/>
      <c r="BWF585" s="268"/>
      <c r="BWG585" s="268"/>
      <c r="BWH585" s="268"/>
      <c r="BWI585" s="268"/>
      <c r="BWJ585" s="268"/>
      <c r="BWK585" s="268"/>
      <c r="BWL585" s="268"/>
      <c r="BWM585" s="268"/>
      <c r="BWN585" s="268"/>
      <c r="BWO585" s="268"/>
      <c r="BWP585" s="268"/>
      <c r="BWQ585" s="268"/>
      <c r="BWR585" s="268"/>
      <c r="BWS585" s="268"/>
      <c r="BWT585" s="268"/>
      <c r="BWU585" s="268"/>
      <c r="BWV585" s="268"/>
      <c r="BWW585" s="268"/>
      <c r="BWX585" s="268"/>
      <c r="BWY585" s="268"/>
      <c r="BWZ585" s="268"/>
      <c r="BXA585" s="268"/>
      <c r="BXB585" s="268"/>
      <c r="BXC585" s="268"/>
      <c r="BXD585" s="268"/>
      <c r="BXE585" s="268"/>
      <c r="BXF585" s="268"/>
      <c r="BXG585" s="268"/>
      <c r="BXH585" s="268"/>
      <c r="BXI585" s="268"/>
      <c r="BXJ585" s="268"/>
      <c r="BXK585" s="268"/>
      <c r="BXL585" s="268"/>
      <c r="BXM585" s="268"/>
      <c r="BXN585" s="268"/>
      <c r="BXO585" s="268"/>
      <c r="BXP585" s="268"/>
      <c r="BXQ585" s="268"/>
      <c r="BXR585" s="268"/>
      <c r="BXS585" s="268"/>
      <c r="BXT585" s="268"/>
      <c r="BXU585" s="268"/>
      <c r="BXV585" s="268"/>
      <c r="BXW585" s="268"/>
      <c r="BXX585" s="268"/>
      <c r="BXY585" s="268"/>
      <c r="BXZ585" s="268"/>
      <c r="BYA585" s="268"/>
      <c r="BYB585" s="268"/>
      <c r="BYC585" s="268"/>
      <c r="BYD585" s="268"/>
      <c r="BYE585" s="268"/>
      <c r="BYF585" s="268"/>
      <c r="BYG585" s="268"/>
      <c r="BYH585" s="268"/>
      <c r="BYI585" s="268"/>
      <c r="BYJ585" s="268"/>
      <c r="BYK585" s="268"/>
      <c r="BYL585" s="268"/>
      <c r="BYM585" s="268"/>
      <c r="BYN585" s="268"/>
      <c r="BYO585" s="268"/>
      <c r="BYP585" s="268"/>
      <c r="BYQ585" s="268"/>
      <c r="BYR585" s="268"/>
      <c r="BYS585" s="268"/>
      <c r="BYT585" s="268"/>
      <c r="BYU585" s="268"/>
      <c r="BYV585" s="268"/>
      <c r="BYW585" s="268"/>
      <c r="BYX585" s="268"/>
      <c r="BYY585" s="268"/>
      <c r="BYZ585" s="268"/>
      <c r="BZA585" s="268"/>
      <c r="BZB585" s="268"/>
      <c r="BZC585" s="268"/>
      <c r="BZD585" s="268"/>
      <c r="BZE585" s="268"/>
      <c r="BZF585" s="268"/>
      <c r="BZG585" s="268"/>
      <c r="BZH585" s="268"/>
      <c r="BZI585" s="268"/>
      <c r="BZJ585" s="268"/>
      <c r="BZK585" s="268"/>
      <c r="BZY585" s="268"/>
      <c r="BZZ585" s="268"/>
      <c r="CAA585" s="268"/>
      <c r="CAO585" s="268"/>
      <c r="CAQ585" s="268"/>
      <c r="CAR585" s="268"/>
      <c r="CAS585" s="268"/>
      <c r="CAT585" s="268"/>
      <c r="CAU585" s="268"/>
      <c r="CAV585" s="268"/>
      <c r="CAW585" s="268"/>
      <c r="CAX585" s="268"/>
      <c r="CAY585" s="268"/>
      <c r="CAZ585" s="268"/>
      <c r="CBA585" s="268"/>
      <c r="CBB585" s="268"/>
      <c r="CBC585" s="268"/>
      <c r="CBD585" s="268"/>
      <c r="CBE585" s="268"/>
      <c r="CBF585" s="268"/>
      <c r="CBG585" s="268"/>
      <c r="CBH585" s="268"/>
      <c r="CBI585" s="268"/>
      <c r="CBJ585" s="268"/>
      <c r="CBK585" s="268"/>
      <c r="CBL585" s="268"/>
      <c r="CBM585" s="268"/>
      <c r="CBN585" s="268"/>
      <c r="CBO585" s="268"/>
      <c r="CBP585" s="268"/>
      <c r="CBQ585" s="268"/>
      <c r="CBR585" s="268"/>
      <c r="CBS585" s="268"/>
      <c r="CBT585" s="268"/>
      <c r="CBU585" s="268"/>
      <c r="CBV585" s="268"/>
      <c r="CBW585" s="268"/>
      <c r="CBX585" s="268"/>
      <c r="CBY585" s="268"/>
      <c r="CBZ585" s="268"/>
      <c r="CCA585" s="268"/>
      <c r="CCB585" s="268"/>
      <c r="CCC585" s="268"/>
      <c r="CCD585" s="268"/>
      <c r="CCE585" s="268"/>
      <c r="CCF585" s="268"/>
      <c r="CCG585" s="268"/>
      <c r="CCH585" s="268"/>
      <c r="CCI585" s="268"/>
      <c r="CCJ585" s="268"/>
      <c r="CCK585" s="268"/>
      <c r="CCL585" s="268"/>
      <c r="CCM585" s="268"/>
      <c r="CCN585" s="268"/>
      <c r="CCO585" s="268"/>
      <c r="CCP585" s="268"/>
      <c r="CCQ585" s="268"/>
      <c r="CCR585" s="268"/>
      <c r="CCS585" s="268"/>
      <c r="CCT585" s="268"/>
      <c r="CCU585" s="268"/>
      <c r="CCV585" s="268"/>
      <c r="CCW585" s="268"/>
      <c r="CCX585" s="268"/>
      <c r="CCY585" s="268"/>
      <c r="CCZ585" s="268"/>
      <c r="CDA585" s="268"/>
      <c r="CDB585" s="268"/>
      <c r="CDC585" s="268"/>
      <c r="CDD585" s="268"/>
      <c r="CDE585" s="268"/>
      <c r="CDF585" s="268"/>
      <c r="CDG585" s="268"/>
      <c r="CDH585" s="268"/>
      <c r="CDI585" s="268"/>
      <c r="CDJ585" s="268"/>
      <c r="CDK585" s="268"/>
      <c r="CDL585" s="268"/>
      <c r="CDM585" s="268"/>
      <c r="CDN585" s="268"/>
      <c r="CDO585" s="268"/>
      <c r="CDP585" s="268"/>
      <c r="CDQ585" s="268"/>
      <c r="CDR585" s="268"/>
      <c r="CDS585" s="268"/>
      <c r="CDT585" s="268"/>
      <c r="CDU585" s="268"/>
      <c r="CDV585" s="268"/>
      <c r="CDW585" s="268"/>
      <c r="CDX585" s="268"/>
      <c r="CDY585" s="268"/>
      <c r="CDZ585" s="268"/>
      <c r="CEA585" s="268"/>
      <c r="CEB585" s="268"/>
      <c r="CEC585" s="268"/>
      <c r="CED585" s="268"/>
      <c r="CEE585" s="268"/>
      <c r="CEF585" s="268"/>
      <c r="CEG585" s="268"/>
      <c r="CEH585" s="268"/>
      <c r="CEI585" s="268"/>
      <c r="CEJ585" s="268"/>
      <c r="CEK585" s="268"/>
      <c r="CEL585" s="268"/>
      <c r="CEM585" s="268"/>
      <c r="CEN585" s="268"/>
      <c r="CEO585" s="268"/>
      <c r="CEP585" s="268"/>
      <c r="CEQ585" s="268"/>
      <c r="CER585" s="268"/>
      <c r="CES585" s="268"/>
      <c r="CET585" s="268"/>
      <c r="CEU585" s="268"/>
      <c r="CEV585" s="268"/>
      <c r="CEW585" s="268"/>
      <c r="CEX585" s="268"/>
      <c r="CEY585" s="268"/>
      <c r="CEZ585" s="268"/>
      <c r="CFA585" s="268"/>
      <c r="CFB585" s="268"/>
      <c r="CFC585" s="268"/>
      <c r="CFD585" s="268"/>
      <c r="CFE585" s="268"/>
      <c r="CFF585" s="268"/>
      <c r="CFG585" s="268"/>
      <c r="CFH585" s="268"/>
      <c r="CFI585" s="268"/>
      <c r="CFJ585" s="268"/>
      <c r="CFK585" s="268"/>
      <c r="CFL585" s="268"/>
      <c r="CFM585" s="268"/>
      <c r="CFN585" s="268"/>
      <c r="CFO585" s="268"/>
      <c r="CFP585" s="268"/>
      <c r="CFQ585" s="268"/>
      <c r="CFR585" s="268"/>
      <c r="CFS585" s="268"/>
      <c r="CFT585" s="268"/>
      <c r="CFU585" s="268"/>
      <c r="CFV585" s="268"/>
      <c r="CFW585" s="268"/>
      <c r="CFX585" s="268"/>
      <c r="CFY585" s="268"/>
      <c r="CFZ585" s="268"/>
      <c r="CGA585" s="268"/>
      <c r="CGB585" s="268"/>
      <c r="CGC585" s="268"/>
      <c r="CGD585" s="268"/>
      <c r="CGE585" s="268"/>
      <c r="CGF585" s="268"/>
      <c r="CGG585" s="268"/>
      <c r="CGH585" s="268"/>
      <c r="CGI585" s="268"/>
      <c r="CGJ585" s="268"/>
      <c r="CGK585" s="268"/>
      <c r="CGL585" s="268"/>
      <c r="CGM585" s="268"/>
      <c r="CGN585" s="268"/>
      <c r="CGO585" s="268"/>
      <c r="CGP585" s="268"/>
      <c r="CGQ585" s="268"/>
      <c r="CGR585" s="268"/>
      <c r="CGS585" s="268"/>
      <c r="CGT585" s="268"/>
      <c r="CGU585" s="268"/>
      <c r="CGV585" s="268"/>
      <c r="CGW585" s="268"/>
      <c r="CGX585" s="268"/>
      <c r="CGY585" s="268"/>
      <c r="CGZ585" s="268"/>
      <c r="CHA585" s="268"/>
      <c r="CHB585" s="268"/>
      <c r="CHC585" s="268"/>
      <c r="CHD585" s="268"/>
      <c r="CHE585" s="268"/>
      <c r="CHF585" s="268"/>
      <c r="CHG585" s="268"/>
      <c r="CHH585" s="268"/>
      <c r="CHI585" s="268"/>
      <c r="CHJ585" s="268"/>
      <c r="CHK585" s="268"/>
      <c r="CHL585" s="268"/>
      <c r="CHM585" s="268"/>
      <c r="CHN585" s="268"/>
      <c r="CHO585" s="268"/>
      <c r="CHP585" s="268"/>
      <c r="CHQ585" s="268"/>
      <c r="CHR585" s="268"/>
      <c r="CHS585" s="268"/>
      <c r="CHT585" s="268"/>
      <c r="CHU585" s="268"/>
      <c r="CHV585" s="268"/>
      <c r="CHW585" s="268"/>
      <c r="CHX585" s="268"/>
      <c r="CHY585" s="268"/>
      <c r="CHZ585" s="268"/>
      <c r="CIA585" s="268"/>
      <c r="CIB585" s="268"/>
      <c r="CIC585" s="268"/>
      <c r="CID585" s="268"/>
      <c r="CIE585" s="268"/>
      <c r="CIF585" s="268"/>
      <c r="CIG585" s="268"/>
      <c r="CIH585" s="268"/>
      <c r="CII585" s="268"/>
      <c r="CIJ585" s="268"/>
      <c r="CIK585" s="268"/>
      <c r="CIL585" s="268"/>
      <c r="CIM585" s="268"/>
      <c r="CIN585" s="268"/>
      <c r="CIO585" s="268"/>
      <c r="CIP585" s="268"/>
      <c r="CIQ585" s="268"/>
      <c r="CIR585" s="268"/>
      <c r="CIS585" s="268"/>
      <c r="CIT585" s="268"/>
      <c r="CIU585" s="268"/>
      <c r="CIV585" s="268"/>
      <c r="CIW585" s="268"/>
      <c r="CIX585" s="268"/>
      <c r="CIY585" s="268"/>
      <c r="CIZ585" s="268"/>
      <c r="CJA585" s="268"/>
      <c r="CJB585" s="268"/>
      <c r="CJC585" s="268"/>
      <c r="CJD585" s="268"/>
      <c r="CJE585" s="268"/>
      <c r="CJF585" s="268"/>
      <c r="CJG585" s="268"/>
      <c r="CJU585" s="268"/>
      <c r="CJV585" s="268"/>
      <c r="CJW585" s="268"/>
      <c r="CKK585" s="268"/>
      <c r="CKM585" s="268"/>
      <c r="CKN585" s="268"/>
      <c r="CKO585" s="268"/>
      <c r="CKP585" s="268"/>
      <c r="CKQ585" s="268"/>
      <c r="CKR585" s="268"/>
      <c r="CKS585" s="268"/>
      <c r="CKT585" s="268"/>
      <c r="CKU585" s="268"/>
      <c r="CKV585" s="268"/>
      <c r="CKW585" s="268"/>
      <c r="CKX585" s="268"/>
      <c r="CKY585" s="268"/>
      <c r="CKZ585" s="268"/>
      <c r="CLA585" s="268"/>
      <c r="CLB585" s="268"/>
      <c r="CLC585" s="268"/>
      <c r="CLD585" s="268"/>
      <c r="CLE585" s="268"/>
      <c r="CLF585" s="268"/>
      <c r="CLG585" s="268"/>
      <c r="CLH585" s="268"/>
      <c r="CLI585" s="268"/>
      <c r="CLJ585" s="268"/>
      <c r="CLK585" s="268"/>
      <c r="CLL585" s="268"/>
      <c r="CLM585" s="268"/>
      <c r="CLN585" s="268"/>
      <c r="CLO585" s="268"/>
      <c r="CLP585" s="268"/>
      <c r="CLQ585" s="268"/>
      <c r="CLR585" s="268"/>
      <c r="CLS585" s="268"/>
      <c r="CLT585" s="268"/>
      <c r="CLU585" s="268"/>
      <c r="CLV585" s="268"/>
      <c r="CLW585" s="268"/>
      <c r="CLX585" s="268"/>
      <c r="CLY585" s="268"/>
      <c r="CLZ585" s="268"/>
      <c r="CMA585" s="268"/>
      <c r="CMB585" s="268"/>
      <c r="CMC585" s="268"/>
      <c r="CMD585" s="268"/>
      <c r="CME585" s="268"/>
      <c r="CMF585" s="268"/>
      <c r="CMG585" s="268"/>
      <c r="CMH585" s="268"/>
      <c r="CMI585" s="268"/>
      <c r="CMJ585" s="268"/>
      <c r="CMK585" s="268"/>
      <c r="CML585" s="268"/>
      <c r="CMM585" s="268"/>
      <c r="CMN585" s="268"/>
      <c r="CMO585" s="268"/>
      <c r="CMP585" s="268"/>
      <c r="CMQ585" s="268"/>
      <c r="CMR585" s="268"/>
      <c r="CMS585" s="268"/>
      <c r="CMT585" s="268"/>
      <c r="CMU585" s="268"/>
      <c r="CMV585" s="268"/>
      <c r="CMW585" s="268"/>
      <c r="CMX585" s="268"/>
      <c r="CMY585" s="268"/>
      <c r="CMZ585" s="268"/>
      <c r="CNA585" s="268"/>
      <c r="CNB585" s="268"/>
      <c r="CNC585" s="268"/>
      <c r="CND585" s="268"/>
      <c r="CNE585" s="268"/>
      <c r="CNF585" s="268"/>
      <c r="CNG585" s="268"/>
      <c r="CNH585" s="268"/>
      <c r="CNI585" s="268"/>
      <c r="CNJ585" s="268"/>
      <c r="CNK585" s="268"/>
      <c r="CNL585" s="268"/>
      <c r="CNM585" s="268"/>
      <c r="CNN585" s="268"/>
      <c r="CNO585" s="268"/>
      <c r="CNP585" s="268"/>
      <c r="CNQ585" s="268"/>
      <c r="CNR585" s="268"/>
      <c r="CNS585" s="268"/>
      <c r="CNT585" s="268"/>
      <c r="CNU585" s="268"/>
      <c r="CNV585" s="268"/>
      <c r="CNW585" s="268"/>
      <c r="CNX585" s="268"/>
      <c r="CNY585" s="268"/>
      <c r="CNZ585" s="268"/>
      <c r="COA585" s="268"/>
      <c r="COB585" s="268"/>
      <c r="COC585" s="268"/>
      <c r="COD585" s="268"/>
      <c r="COE585" s="268"/>
      <c r="COF585" s="268"/>
      <c r="COG585" s="268"/>
      <c r="COH585" s="268"/>
      <c r="COI585" s="268"/>
      <c r="COJ585" s="268"/>
      <c r="COK585" s="268"/>
      <c r="COL585" s="268"/>
      <c r="COM585" s="268"/>
      <c r="CON585" s="268"/>
      <c r="COO585" s="268"/>
      <c r="COP585" s="268"/>
      <c r="COQ585" s="268"/>
      <c r="COR585" s="268"/>
      <c r="COS585" s="268"/>
      <c r="COT585" s="268"/>
      <c r="COU585" s="268"/>
      <c r="COV585" s="268"/>
      <c r="COW585" s="268"/>
      <c r="COX585" s="268"/>
      <c r="COY585" s="268"/>
      <c r="COZ585" s="268"/>
      <c r="CPA585" s="268"/>
      <c r="CPB585" s="268"/>
      <c r="CPC585" s="268"/>
      <c r="CPD585" s="268"/>
      <c r="CPE585" s="268"/>
      <c r="CPF585" s="268"/>
      <c r="CPG585" s="268"/>
      <c r="CPH585" s="268"/>
      <c r="CPI585" s="268"/>
      <c r="CPJ585" s="268"/>
      <c r="CPK585" s="268"/>
      <c r="CPL585" s="268"/>
      <c r="CPM585" s="268"/>
      <c r="CPN585" s="268"/>
      <c r="CPO585" s="268"/>
      <c r="CPP585" s="268"/>
      <c r="CPQ585" s="268"/>
      <c r="CPR585" s="268"/>
      <c r="CPS585" s="268"/>
      <c r="CPT585" s="268"/>
      <c r="CPU585" s="268"/>
      <c r="CPV585" s="268"/>
      <c r="CPW585" s="268"/>
      <c r="CPX585" s="268"/>
      <c r="CPY585" s="268"/>
      <c r="CPZ585" s="268"/>
      <c r="CQA585" s="268"/>
      <c r="CQB585" s="268"/>
      <c r="CQC585" s="268"/>
      <c r="CQD585" s="268"/>
      <c r="CQE585" s="268"/>
      <c r="CQF585" s="268"/>
      <c r="CQG585" s="268"/>
      <c r="CQH585" s="268"/>
      <c r="CQI585" s="268"/>
      <c r="CQJ585" s="268"/>
      <c r="CQK585" s="268"/>
      <c r="CQL585" s="268"/>
      <c r="CQM585" s="268"/>
      <c r="CQN585" s="268"/>
      <c r="CQO585" s="268"/>
      <c r="CQP585" s="268"/>
      <c r="CQQ585" s="268"/>
      <c r="CQR585" s="268"/>
      <c r="CQS585" s="268"/>
      <c r="CQT585" s="268"/>
      <c r="CQU585" s="268"/>
      <c r="CQV585" s="268"/>
      <c r="CQW585" s="268"/>
      <c r="CQX585" s="268"/>
      <c r="CQY585" s="268"/>
      <c r="CQZ585" s="268"/>
      <c r="CRA585" s="268"/>
      <c r="CRB585" s="268"/>
      <c r="CRC585" s="268"/>
      <c r="CRD585" s="268"/>
      <c r="CRE585" s="268"/>
      <c r="CRF585" s="268"/>
      <c r="CRG585" s="268"/>
      <c r="CRH585" s="268"/>
      <c r="CRI585" s="268"/>
      <c r="CRJ585" s="268"/>
      <c r="CRK585" s="268"/>
      <c r="CRL585" s="268"/>
      <c r="CRM585" s="268"/>
      <c r="CRN585" s="268"/>
      <c r="CRO585" s="268"/>
      <c r="CRP585" s="268"/>
      <c r="CRQ585" s="268"/>
      <c r="CRR585" s="268"/>
      <c r="CRS585" s="268"/>
      <c r="CRT585" s="268"/>
      <c r="CRU585" s="268"/>
      <c r="CRV585" s="268"/>
      <c r="CRW585" s="268"/>
      <c r="CRX585" s="268"/>
      <c r="CRY585" s="268"/>
      <c r="CRZ585" s="268"/>
      <c r="CSA585" s="268"/>
      <c r="CSB585" s="268"/>
      <c r="CSC585" s="268"/>
      <c r="CSD585" s="268"/>
      <c r="CSE585" s="268"/>
      <c r="CSF585" s="268"/>
      <c r="CSG585" s="268"/>
      <c r="CSH585" s="268"/>
      <c r="CSI585" s="268"/>
      <c r="CSJ585" s="268"/>
      <c r="CSK585" s="268"/>
      <c r="CSL585" s="268"/>
      <c r="CSM585" s="268"/>
      <c r="CSN585" s="268"/>
      <c r="CSO585" s="268"/>
      <c r="CSP585" s="268"/>
      <c r="CSQ585" s="268"/>
      <c r="CSR585" s="268"/>
      <c r="CSS585" s="268"/>
      <c r="CST585" s="268"/>
      <c r="CSU585" s="268"/>
      <c r="CSV585" s="268"/>
      <c r="CSW585" s="268"/>
      <c r="CSX585" s="268"/>
      <c r="CSY585" s="268"/>
      <c r="CSZ585" s="268"/>
      <c r="CTA585" s="268"/>
      <c r="CTB585" s="268"/>
      <c r="CTC585" s="268"/>
      <c r="CTQ585" s="268"/>
      <c r="CTR585" s="268"/>
      <c r="CTS585" s="268"/>
      <c r="CUG585" s="268"/>
      <c r="CUI585" s="268"/>
      <c r="CUJ585" s="268"/>
      <c r="CUK585" s="268"/>
      <c r="CUL585" s="268"/>
      <c r="CUM585" s="268"/>
      <c r="CUN585" s="268"/>
      <c r="CUO585" s="268"/>
      <c r="CUP585" s="268"/>
      <c r="CUQ585" s="268"/>
      <c r="CUR585" s="268"/>
      <c r="CUS585" s="268"/>
      <c r="CUT585" s="268"/>
      <c r="CUU585" s="268"/>
      <c r="CUV585" s="268"/>
      <c r="CUW585" s="268"/>
      <c r="CUX585" s="268"/>
      <c r="CUY585" s="268"/>
      <c r="CUZ585" s="268"/>
      <c r="CVA585" s="268"/>
      <c r="CVB585" s="268"/>
      <c r="CVC585" s="268"/>
      <c r="CVD585" s="268"/>
      <c r="CVE585" s="268"/>
      <c r="CVF585" s="268"/>
      <c r="CVG585" s="268"/>
      <c r="CVH585" s="268"/>
      <c r="CVI585" s="268"/>
      <c r="CVJ585" s="268"/>
      <c r="CVK585" s="268"/>
      <c r="CVL585" s="268"/>
      <c r="CVM585" s="268"/>
      <c r="CVN585" s="268"/>
      <c r="CVO585" s="268"/>
      <c r="CVP585" s="268"/>
      <c r="CVQ585" s="268"/>
      <c r="CVR585" s="268"/>
      <c r="CVS585" s="268"/>
      <c r="CVT585" s="268"/>
      <c r="CVU585" s="268"/>
      <c r="CVV585" s="268"/>
      <c r="CVW585" s="268"/>
      <c r="CVX585" s="268"/>
      <c r="CVY585" s="268"/>
      <c r="CVZ585" s="268"/>
      <c r="CWA585" s="268"/>
      <c r="CWB585" s="268"/>
      <c r="CWC585" s="268"/>
      <c r="CWD585" s="268"/>
      <c r="CWE585" s="268"/>
      <c r="CWF585" s="268"/>
      <c r="CWG585" s="268"/>
      <c r="CWH585" s="268"/>
      <c r="CWI585" s="268"/>
      <c r="CWJ585" s="268"/>
      <c r="CWK585" s="268"/>
      <c r="CWL585" s="268"/>
      <c r="CWM585" s="268"/>
      <c r="CWN585" s="268"/>
      <c r="CWO585" s="268"/>
      <c r="CWP585" s="268"/>
      <c r="CWQ585" s="268"/>
      <c r="CWR585" s="268"/>
      <c r="CWS585" s="268"/>
      <c r="CWT585" s="268"/>
      <c r="CWU585" s="268"/>
      <c r="CWV585" s="268"/>
      <c r="CWW585" s="268"/>
      <c r="CWX585" s="268"/>
      <c r="CWY585" s="268"/>
      <c r="CWZ585" s="268"/>
      <c r="CXA585" s="268"/>
      <c r="CXB585" s="268"/>
      <c r="CXC585" s="268"/>
      <c r="CXD585" s="268"/>
      <c r="CXE585" s="268"/>
      <c r="CXF585" s="268"/>
      <c r="CXG585" s="268"/>
      <c r="CXH585" s="268"/>
      <c r="CXI585" s="268"/>
      <c r="CXJ585" s="268"/>
      <c r="CXK585" s="268"/>
      <c r="CXL585" s="268"/>
      <c r="CXM585" s="268"/>
      <c r="CXN585" s="268"/>
      <c r="CXO585" s="268"/>
      <c r="CXP585" s="268"/>
      <c r="CXQ585" s="268"/>
      <c r="CXR585" s="268"/>
      <c r="CXS585" s="268"/>
      <c r="CXT585" s="268"/>
      <c r="CXU585" s="268"/>
      <c r="CXV585" s="268"/>
      <c r="CXW585" s="268"/>
      <c r="CXX585" s="268"/>
      <c r="CXY585" s="268"/>
      <c r="CXZ585" s="268"/>
      <c r="CYA585" s="268"/>
      <c r="CYB585" s="268"/>
      <c r="CYC585" s="268"/>
      <c r="CYD585" s="268"/>
      <c r="CYE585" s="268"/>
      <c r="CYF585" s="268"/>
      <c r="CYG585" s="268"/>
      <c r="CYH585" s="268"/>
      <c r="CYI585" s="268"/>
      <c r="CYJ585" s="268"/>
      <c r="CYK585" s="268"/>
      <c r="CYL585" s="268"/>
      <c r="CYM585" s="268"/>
      <c r="CYN585" s="268"/>
      <c r="CYO585" s="268"/>
      <c r="CYP585" s="268"/>
      <c r="CYQ585" s="268"/>
      <c r="CYR585" s="268"/>
      <c r="CYS585" s="268"/>
      <c r="CYT585" s="268"/>
      <c r="CYU585" s="268"/>
      <c r="CYV585" s="268"/>
      <c r="CYW585" s="268"/>
      <c r="CYX585" s="268"/>
      <c r="CYY585" s="268"/>
      <c r="CYZ585" s="268"/>
      <c r="CZA585" s="268"/>
      <c r="CZB585" s="268"/>
      <c r="CZC585" s="268"/>
      <c r="CZD585" s="268"/>
      <c r="CZE585" s="268"/>
      <c r="CZF585" s="268"/>
      <c r="CZG585" s="268"/>
      <c r="CZH585" s="268"/>
      <c r="CZI585" s="268"/>
      <c r="CZJ585" s="268"/>
      <c r="CZK585" s="268"/>
      <c r="CZL585" s="268"/>
      <c r="CZM585" s="268"/>
      <c r="CZN585" s="268"/>
      <c r="CZO585" s="268"/>
      <c r="CZP585" s="268"/>
      <c r="CZQ585" s="268"/>
      <c r="CZR585" s="268"/>
      <c r="CZS585" s="268"/>
      <c r="CZT585" s="268"/>
      <c r="CZU585" s="268"/>
      <c r="CZV585" s="268"/>
      <c r="CZW585" s="268"/>
      <c r="CZX585" s="268"/>
      <c r="CZY585" s="268"/>
      <c r="CZZ585" s="268"/>
      <c r="DAA585" s="268"/>
      <c r="DAB585" s="268"/>
      <c r="DAC585" s="268"/>
      <c r="DAD585" s="268"/>
      <c r="DAE585" s="268"/>
      <c r="DAF585" s="268"/>
      <c r="DAG585" s="268"/>
      <c r="DAH585" s="268"/>
      <c r="DAI585" s="268"/>
      <c r="DAJ585" s="268"/>
      <c r="DAK585" s="268"/>
      <c r="DAL585" s="268"/>
      <c r="DAM585" s="268"/>
      <c r="DAN585" s="268"/>
      <c r="DAO585" s="268"/>
      <c r="DAP585" s="268"/>
      <c r="DAQ585" s="268"/>
      <c r="DAR585" s="268"/>
      <c r="DAS585" s="268"/>
      <c r="DAT585" s="268"/>
      <c r="DAU585" s="268"/>
      <c r="DAV585" s="268"/>
      <c r="DAW585" s="268"/>
      <c r="DAX585" s="268"/>
      <c r="DAY585" s="268"/>
      <c r="DAZ585" s="268"/>
      <c r="DBA585" s="268"/>
      <c r="DBB585" s="268"/>
      <c r="DBC585" s="268"/>
      <c r="DBD585" s="268"/>
      <c r="DBE585" s="268"/>
      <c r="DBF585" s="268"/>
      <c r="DBG585" s="268"/>
      <c r="DBH585" s="268"/>
      <c r="DBI585" s="268"/>
      <c r="DBJ585" s="268"/>
      <c r="DBK585" s="268"/>
      <c r="DBL585" s="268"/>
      <c r="DBM585" s="268"/>
      <c r="DBN585" s="268"/>
      <c r="DBO585" s="268"/>
      <c r="DBP585" s="268"/>
      <c r="DBQ585" s="268"/>
      <c r="DBR585" s="268"/>
      <c r="DBS585" s="268"/>
      <c r="DBT585" s="268"/>
      <c r="DBU585" s="268"/>
      <c r="DBV585" s="268"/>
      <c r="DBW585" s="268"/>
      <c r="DBX585" s="268"/>
      <c r="DBY585" s="268"/>
      <c r="DBZ585" s="268"/>
      <c r="DCA585" s="268"/>
      <c r="DCB585" s="268"/>
      <c r="DCC585" s="268"/>
      <c r="DCD585" s="268"/>
      <c r="DCE585" s="268"/>
      <c r="DCF585" s="268"/>
      <c r="DCG585" s="268"/>
      <c r="DCH585" s="268"/>
      <c r="DCI585" s="268"/>
      <c r="DCJ585" s="268"/>
      <c r="DCK585" s="268"/>
      <c r="DCL585" s="268"/>
      <c r="DCM585" s="268"/>
      <c r="DCN585" s="268"/>
      <c r="DCO585" s="268"/>
      <c r="DCP585" s="268"/>
      <c r="DCQ585" s="268"/>
      <c r="DCR585" s="268"/>
      <c r="DCS585" s="268"/>
      <c r="DCT585" s="268"/>
      <c r="DCU585" s="268"/>
      <c r="DCV585" s="268"/>
      <c r="DCW585" s="268"/>
      <c r="DCX585" s="268"/>
      <c r="DCY585" s="268"/>
      <c r="DDM585" s="268"/>
      <c r="DDN585" s="268"/>
      <c r="DDO585" s="268"/>
      <c r="DEC585" s="268"/>
      <c r="DEE585" s="268"/>
      <c r="DEF585" s="268"/>
      <c r="DEG585" s="268"/>
      <c r="DEH585" s="268"/>
      <c r="DEI585" s="268"/>
      <c r="DEJ585" s="268"/>
      <c r="DEK585" s="268"/>
      <c r="DEL585" s="268"/>
      <c r="DEM585" s="268"/>
      <c r="DEN585" s="268"/>
      <c r="DEO585" s="268"/>
      <c r="DEP585" s="268"/>
      <c r="DEQ585" s="268"/>
      <c r="DER585" s="268"/>
      <c r="DES585" s="268"/>
      <c r="DET585" s="268"/>
      <c r="DEU585" s="268"/>
      <c r="DEV585" s="268"/>
      <c r="DEW585" s="268"/>
      <c r="DEX585" s="268"/>
      <c r="DEY585" s="268"/>
      <c r="DEZ585" s="268"/>
      <c r="DFA585" s="268"/>
      <c r="DFB585" s="268"/>
      <c r="DFC585" s="268"/>
      <c r="DFD585" s="268"/>
      <c r="DFE585" s="268"/>
      <c r="DFF585" s="268"/>
      <c r="DFG585" s="268"/>
      <c r="DFH585" s="268"/>
      <c r="DFI585" s="268"/>
      <c r="DFJ585" s="268"/>
      <c r="DFK585" s="268"/>
      <c r="DFL585" s="268"/>
      <c r="DFM585" s="268"/>
      <c r="DFN585" s="268"/>
      <c r="DFO585" s="268"/>
      <c r="DFP585" s="268"/>
      <c r="DFQ585" s="268"/>
      <c r="DFR585" s="268"/>
      <c r="DFS585" s="268"/>
      <c r="DFT585" s="268"/>
      <c r="DFU585" s="268"/>
      <c r="DFV585" s="268"/>
      <c r="DFW585" s="268"/>
      <c r="DFX585" s="268"/>
      <c r="DFY585" s="268"/>
      <c r="DFZ585" s="268"/>
      <c r="DGA585" s="268"/>
      <c r="DGB585" s="268"/>
      <c r="DGC585" s="268"/>
      <c r="DGD585" s="268"/>
      <c r="DGE585" s="268"/>
      <c r="DGF585" s="268"/>
      <c r="DGG585" s="268"/>
      <c r="DGH585" s="268"/>
      <c r="DGI585" s="268"/>
      <c r="DGJ585" s="268"/>
      <c r="DGK585" s="268"/>
      <c r="DGL585" s="268"/>
      <c r="DGM585" s="268"/>
      <c r="DGN585" s="268"/>
      <c r="DGO585" s="268"/>
      <c r="DGP585" s="268"/>
      <c r="DGQ585" s="268"/>
      <c r="DGR585" s="268"/>
      <c r="DGS585" s="268"/>
      <c r="DGT585" s="268"/>
      <c r="DGU585" s="268"/>
      <c r="DGV585" s="268"/>
      <c r="DGW585" s="268"/>
      <c r="DGX585" s="268"/>
      <c r="DGY585" s="268"/>
      <c r="DGZ585" s="268"/>
      <c r="DHA585" s="268"/>
      <c r="DHB585" s="268"/>
      <c r="DHC585" s="268"/>
      <c r="DHD585" s="268"/>
      <c r="DHE585" s="268"/>
      <c r="DHF585" s="268"/>
      <c r="DHG585" s="268"/>
      <c r="DHH585" s="268"/>
      <c r="DHI585" s="268"/>
      <c r="DHJ585" s="268"/>
      <c r="DHK585" s="268"/>
      <c r="DHL585" s="268"/>
      <c r="DHM585" s="268"/>
      <c r="DHN585" s="268"/>
      <c r="DHO585" s="268"/>
      <c r="DHP585" s="268"/>
      <c r="DHQ585" s="268"/>
      <c r="DHR585" s="268"/>
      <c r="DHS585" s="268"/>
      <c r="DHT585" s="268"/>
      <c r="DHU585" s="268"/>
      <c r="DHV585" s="268"/>
      <c r="DHW585" s="268"/>
      <c r="DHX585" s="268"/>
      <c r="DHY585" s="268"/>
      <c r="DHZ585" s="268"/>
      <c r="DIA585" s="268"/>
      <c r="DIB585" s="268"/>
      <c r="DIC585" s="268"/>
      <c r="DID585" s="268"/>
      <c r="DIE585" s="268"/>
      <c r="DIF585" s="268"/>
      <c r="DIG585" s="268"/>
      <c r="DIH585" s="268"/>
      <c r="DII585" s="268"/>
      <c r="DIJ585" s="268"/>
      <c r="DIK585" s="268"/>
      <c r="DIL585" s="268"/>
      <c r="DIM585" s="268"/>
      <c r="DIN585" s="268"/>
      <c r="DIO585" s="268"/>
      <c r="DIP585" s="268"/>
      <c r="DIQ585" s="268"/>
      <c r="DIR585" s="268"/>
      <c r="DIS585" s="268"/>
      <c r="DIT585" s="268"/>
      <c r="DIU585" s="268"/>
      <c r="DIV585" s="268"/>
      <c r="DIW585" s="268"/>
      <c r="DIX585" s="268"/>
      <c r="DIY585" s="268"/>
      <c r="DIZ585" s="268"/>
      <c r="DJA585" s="268"/>
      <c r="DJB585" s="268"/>
      <c r="DJC585" s="268"/>
      <c r="DJD585" s="268"/>
      <c r="DJE585" s="268"/>
      <c r="DJF585" s="268"/>
      <c r="DJG585" s="268"/>
      <c r="DJH585" s="268"/>
      <c r="DJI585" s="268"/>
      <c r="DJJ585" s="268"/>
      <c r="DJK585" s="268"/>
      <c r="DJL585" s="268"/>
      <c r="DJM585" s="268"/>
      <c r="DJN585" s="268"/>
      <c r="DJO585" s="268"/>
      <c r="DJP585" s="268"/>
      <c r="DJQ585" s="268"/>
      <c r="DJR585" s="268"/>
      <c r="DJS585" s="268"/>
      <c r="DJT585" s="268"/>
      <c r="DJU585" s="268"/>
      <c r="DJV585" s="268"/>
      <c r="DJW585" s="268"/>
      <c r="DJX585" s="268"/>
      <c r="DJY585" s="268"/>
      <c r="DJZ585" s="268"/>
      <c r="DKA585" s="268"/>
      <c r="DKB585" s="268"/>
      <c r="DKC585" s="268"/>
      <c r="DKD585" s="268"/>
      <c r="DKE585" s="268"/>
      <c r="DKF585" s="268"/>
      <c r="DKG585" s="268"/>
      <c r="DKH585" s="268"/>
      <c r="DKI585" s="268"/>
      <c r="DKJ585" s="268"/>
      <c r="DKK585" s="268"/>
      <c r="DKL585" s="268"/>
      <c r="DKM585" s="268"/>
      <c r="DKN585" s="268"/>
      <c r="DKO585" s="268"/>
      <c r="DKP585" s="268"/>
      <c r="DKQ585" s="268"/>
      <c r="DKR585" s="268"/>
      <c r="DKS585" s="268"/>
      <c r="DKT585" s="268"/>
      <c r="DKU585" s="268"/>
      <c r="DKV585" s="268"/>
      <c r="DKW585" s="268"/>
      <c r="DKX585" s="268"/>
      <c r="DKY585" s="268"/>
      <c r="DKZ585" s="268"/>
      <c r="DLA585" s="268"/>
      <c r="DLB585" s="268"/>
      <c r="DLC585" s="268"/>
      <c r="DLD585" s="268"/>
      <c r="DLE585" s="268"/>
      <c r="DLF585" s="268"/>
      <c r="DLG585" s="268"/>
      <c r="DLH585" s="268"/>
      <c r="DLI585" s="268"/>
      <c r="DLJ585" s="268"/>
      <c r="DLK585" s="268"/>
      <c r="DLL585" s="268"/>
      <c r="DLM585" s="268"/>
      <c r="DLN585" s="268"/>
      <c r="DLO585" s="268"/>
      <c r="DLP585" s="268"/>
      <c r="DLQ585" s="268"/>
      <c r="DLR585" s="268"/>
      <c r="DLS585" s="268"/>
      <c r="DLT585" s="268"/>
      <c r="DLU585" s="268"/>
      <c r="DLV585" s="268"/>
      <c r="DLW585" s="268"/>
      <c r="DLX585" s="268"/>
      <c r="DLY585" s="268"/>
      <c r="DLZ585" s="268"/>
      <c r="DMA585" s="268"/>
      <c r="DMB585" s="268"/>
      <c r="DMC585" s="268"/>
      <c r="DMD585" s="268"/>
      <c r="DME585" s="268"/>
      <c r="DMF585" s="268"/>
      <c r="DMG585" s="268"/>
      <c r="DMH585" s="268"/>
      <c r="DMI585" s="268"/>
      <c r="DMJ585" s="268"/>
      <c r="DMK585" s="268"/>
      <c r="DML585" s="268"/>
      <c r="DMM585" s="268"/>
      <c r="DMN585" s="268"/>
      <c r="DMO585" s="268"/>
      <c r="DMP585" s="268"/>
      <c r="DMQ585" s="268"/>
      <c r="DMR585" s="268"/>
      <c r="DMS585" s="268"/>
      <c r="DMT585" s="268"/>
      <c r="DMU585" s="268"/>
      <c r="DNI585" s="268"/>
      <c r="DNJ585" s="268"/>
      <c r="DNK585" s="268"/>
      <c r="DNY585" s="268"/>
      <c r="DOA585" s="268"/>
      <c r="DOB585" s="268"/>
      <c r="DOC585" s="268"/>
      <c r="DOD585" s="268"/>
      <c r="DOE585" s="268"/>
      <c r="DOF585" s="268"/>
      <c r="DOG585" s="268"/>
      <c r="DOH585" s="268"/>
      <c r="DOI585" s="268"/>
      <c r="DOJ585" s="268"/>
      <c r="DOK585" s="268"/>
      <c r="DOL585" s="268"/>
      <c r="DOM585" s="268"/>
      <c r="DON585" s="268"/>
      <c r="DOO585" s="268"/>
      <c r="DOP585" s="268"/>
      <c r="DOQ585" s="268"/>
      <c r="DOR585" s="268"/>
      <c r="DOS585" s="268"/>
      <c r="DOT585" s="268"/>
      <c r="DOU585" s="268"/>
      <c r="DOV585" s="268"/>
      <c r="DOW585" s="268"/>
      <c r="DOX585" s="268"/>
      <c r="DOY585" s="268"/>
      <c r="DOZ585" s="268"/>
      <c r="DPA585" s="268"/>
      <c r="DPB585" s="268"/>
      <c r="DPC585" s="268"/>
      <c r="DPD585" s="268"/>
      <c r="DPE585" s="268"/>
      <c r="DPF585" s="268"/>
      <c r="DPG585" s="268"/>
      <c r="DPH585" s="268"/>
      <c r="DPI585" s="268"/>
      <c r="DPJ585" s="268"/>
      <c r="DPK585" s="268"/>
      <c r="DPL585" s="268"/>
      <c r="DPM585" s="268"/>
      <c r="DPN585" s="268"/>
      <c r="DPO585" s="268"/>
      <c r="DPP585" s="268"/>
      <c r="DPQ585" s="268"/>
      <c r="DPR585" s="268"/>
      <c r="DPS585" s="268"/>
      <c r="DPT585" s="268"/>
      <c r="DPU585" s="268"/>
      <c r="DPV585" s="268"/>
      <c r="DPW585" s="268"/>
      <c r="DPX585" s="268"/>
      <c r="DPY585" s="268"/>
      <c r="DPZ585" s="268"/>
      <c r="DQA585" s="268"/>
      <c r="DQB585" s="268"/>
      <c r="DQC585" s="268"/>
      <c r="DQD585" s="268"/>
      <c r="DQE585" s="268"/>
      <c r="DQF585" s="268"/>
      <c r="DQG585" s="268"/>
      <c r="DQH585" s="268"/>
      <c r="DQI585" s="268"/>
      <c r="DQJ585" s="268"/>
      <c r="DQK585" s="268"/>
      <c r="DQL585" s="268"/>
      <c r="DQM585" s="268"/>
      <c r="DQN585" s="268"/>
      <c r="DQO585" s="268"/>
      <c r="DQP585" s="268"/>
      <c r="DQQ585" s="268"/>
      <c r="DQR585" s="268"/>
      <c r="DQS585" s="268"/>
      <c r="DQT585" s="268"/>
      <c r="DQU585" s="268"/>
      <c r="DQV585" s="268"/>
      <c r="DQW585" s="268"/>
      <c r="DQX585" s="268"/>
      <c r="DQY585" s="268"/>
      <c r="DQZ585" s="268"/>
      <c r="DRA585" s="268"/>
      <c r="DRB585" s="268"/>
      <c r="DRC585" s="268"/>
      <c r="DRD585" s="268"/>
      <c r="DRE585" s="268"/>
      <c r="DRF585" s="268"/>
      <c r="DRG585" s="268"/>
      <c r="DRH585" s="268"/>
      <c r="DRI585" s="268"/>
      <c r="DRJ585" s="268"/>
      <c r="DRK585" s="268"/>
      <c r="DRL585" s="268"/>
      <c r="DRM585" s="268"/>
      <c r="DRN585" s="268"/>
      <c r="DRO585" s="268"/>
      <c r="DRP585" s="268"/>
      <c r="DRQ585" s="268"/>
      <c r="DRR585" s="268"/>
      <c r="DRS585" s="268"/>
      <c r="DRT585" s="268"/>
      <c r="DRU585" s="268"/>
      <c r="DRV585" s="268"/>
      <c r="DRW585" s="268"/>
      <c r="DRX585" s="268"/>
      <c r="DRY585" s="268"/>
      <c r="DRZ585" s="268"/>
      <c r="DSA585" s="268"/>
      <c r="DSB585" s="268"/>
      <c r="DSC585" s="268"/>
      <c r="DSD585" s="268"/>
      <c r="DSE585" s="268"/>
      <c r="DSF585" s="268"/>
      <c r="DSG585" s="268"/>
      <c r="DSH585" s="268"/>
      <c r="DSI585" s="268"/>
      <c r="DSJ585" s="268"/>
      <c r="DSK585" s="268"/>
      <c r="DSL585" s="268"/>
      <c r="DSM585" s="268"/>
      <c r="DSN585" s="268"/>
      <c r="DSO585" s="268"/>
      <c r="DSP585" s="268"/>
      <c r="DSQ585" s="268"/>
      <c r="DSR585" s="268"/>
      <c r="DSS585" s="268"/>
      <c r="DST585" s="268"/>
      <c r="DSU585" s="268"/>
      <c r="DSV585" s="268"/>
      <c r="DSW585" s="268"/>
      <c r="DSX585" s="268"/>
      <c r="DSY585" s="268"/>
      <c r="DSZ585" s="268"/>
      <c r="DTA585" s="268"/>
      <c r="DTB585" s="268"/>
      <c r="DTC585" s="268"/>
      <c r="DTD585" s="268"/>
      <c r="DTE585" s="268"/>
      <c r="DTF585" s="268"/>
      <c r="DTG585" s="268"/>
      <c r="DTH585" s="268"/>
      <c r="DTI585" s="268"/>
      <c r="DTJ585" s="268"/>
      <c r="DTK585" s="268"/>
      <c r="DTL585" s="268"/>
      <c r="DTM585" s="268"/>
      <c r="DTN585" s="268"/>
      <c r="DTO585" s="268"/>
      <c r="DTP585" s="268"/>
      <c r="DTQ585" s="268"/>
      <c r="DTR585" s="268"/>
      <c r="DTS585" s="268"/>
      <c r="DTT585" s="268"/>
      <c r="DTU585" s="268"/>
      <c r="DTV585" s="268"/>
      <c r="DTW585" s="268"/>
      <c r="DTX585" s="268"/>
      <c r="DTY585" s="268"/>
      <c r="DTZ585" s="268"/>
      <c r="DUA585" s="268"/>
      <c r="DUB585" s="268"/>
      <c r="DUC585" s="268"/>
      <c r="DUD585" s="268"/>
      <c r="DUE585" s="268"/>
      <c r="DUF585" s="268"/>
      <c r="DUG585" s="268"/>
      <c r="DUH585" s="268"/>
      <c r="DUI585" s="268"/>
      <c r="DUJ585" s="268"/>
      <c r="DUK585" s="268"/>
      <c r="DUL585" s="268"/>
      <c r="DUM585" s="268"/>
      <c r="DUN585" s="268"/>
      <c r="DUO585" s="268"/>
      <c r="DUP585" s="268"/>
      <c r="DUQ585" s="268"/>
      <c r="DUR585" s="268"/>
      <c r="DUS585" s="268"/>
      <c r="DUT585" s="268"/>
      <c r="DUU585" s="268"/>
      <c r="DUV585" s="268"/>
      <c r="DUW585" s="268"/>
      <c r="DUX585" s="268"/>
      <c r="DUY585" s="268"/>
      <c r="DUZ585" s="268"/>
      <c r="DVA585" s="268"/>
      <c r="DVB585" s="268"/>
      <c r="DVC585" s="268"/>
      <c r="DVD585" s="268"/>
      <c r="DVE585" s="268"/>
      <c r="DVF585" s="268"/>
      <c r="DVG585" s="268"/>
      <c r="DVH585" s="268"/>
      <c r="DVI585" s="268"/>
      <c r="DVJ585" s="268"/>
      <c r="DVK585" s="268"/>
      <c r="DVL585" s="268"/>
      <c r="DVM585" s="268"/>
      <c r="DVN585" s="268"/>
      <c r="DVO585" s="268"/>
      <c r="DVP585" s="268"/>
      <c r="DVQ585" s="268"/>
      <c r="DVR585" s="268"/>
      <c r="DVS585" s="268"/>
      <c r="DVT585" s="268"/>
      <c r="DVU585" s="268"/>
      <c r="DVV585" s="268"/>
      <c r="DVW585" s="268"/>
      <c r="DVX585" s="268"/>
      <c r="DVY585" s="268"/>
      <c r="DVZ585" s="268"/>
      <c r="DWA585" s="268"/>
      <c r="DWB585" s="268"/>
      <c r="DWC585" s="268"/>
      <c r="DWD585" s="268"/>
      <c r="DWE585" s="268"/>
      <c r="DWF585" s="268"/>
      <c r="DWG585" s="268"/>
      <c r="DWH585" s="268"/>
      <c r="DWI585" s="268"/>
      <c r="DWJ585" s="268"/>
      <c r="DWK585" s="268"/>
      <c r="DWL585" s="268"/>
      <c r="DWM585" s="268"/>
      <c r="DWN585" s="268"/>
      <c r="DWO585" s="268"/>
      <c r="DWP585" s="268"/>
      <c r="DWQ585" s="268"/>
      <c r="DXE585" s="268"/>
      <c r="DXF585" s="268"/>
      <c r="DXG585" s="268"/>
      <c r="DXU585" s="268"/>
      <c r="DXW585" s="268"/>
      <c r="DXX585" s="268"/>
      <c r="DXY585" s="268"/>
      <c r="DXZ585" s="268"/>
      <c r="DYA585" s="268"/>
      <c r="DYB585" s="268"/>
      <c r="DYC585" s="268"/>
      <c r="DYD585" s="268"/>
      <c r="DYE585" s="268"/>
      <c r="DYF585" s="268"/>
      <c r="DYG585" s="268"/>
      <c r="DYH585" s="268"/>
      <c r="DYI585" s="268"/>
      <c r="DYJ585" s="268"/>
      <c r="DYK585" s="268"/>
      <c r="DYL585" s="268"/>
      <c r="DYM585" s="268"/>
      <c r="DYN585" s="268"/>
      <c r="DYO585" s="268"/>
      <c r="DYP585" s="268"/>
      <c r="DYQ585" s="268"/>
      <c r="DYR585" s="268"/>
      <c r="DYS585" s="268"/>
      <c r="DYT585" s="268"/>
      <c r="DYU585" s="268"/>
      <c r="DYV585" s="268"/>
      <c r="DYW585" s="268"/>
      <c r="DYX585" s="268"/>
      <c r="DYY585" s="268"/>
      <c r="DYZ585" s="268"/>
      <c r="DZA585" s="268"/>
      <c r="DZB585" s="268"/>
      <c r="DZC585" s="268"/>
      <c r="DZD585" s="268"/>
      <c r="DZE585" s="268"/>
      <c r="DZF585" s="268"/>
      <c r="DZG585" s="268"/>
      <c r="DZH585" s="268"/>
      <c r="DZI585" s="268"/>
      <c r="DZJ585" s="268"/>
      <c r="DZK585" s="268"/>
      <c r="DZL585" s="268"/>
      <c r="DZM585" s="268"/>
      <c r="DZN585" s="268"/>
      <c r="DZO585" s="268"/>
      <c r="DZP585" s="268"/>
      <c r="DZQ585" s="268"/>
      <c r="DZR585" s="268"/>
      <c r="DZS585" s="268"/>
      <c r="DZT585" s="268"/>
      <c r="DZU585" s="268"/>
      <c r="DZV585" s="268"/>
      <c r="DZW585" s="268"/>
      <c r="DZX585" s="268"/>
      <c r="DZY585" s="268"/>
      <c r="DZZ585" s="268"/>
      <c r="EAA585" s="268"/>
      <c r="EAB585" s="268"/>
      <c r="EAC585" s="268"/>
      <c r="EAD585" s="268"/>
      <c r="EAE585" s="268"/>
      <c r="EAF585" s="268"/>
      <c r="EAG585" s="268"/>
      <c r="EAH585" s="268"/>
      <c r="EAI585" s="268"/>
      <c r="EAJ585" s="268"/>
      <c r="EAK585" s="268"/>
      <c r="EAL585" s="268"/>
      <c r="EAM585" s="268"/>
      <c r="EAN585" s="268"/>
      <c r="EAO585" s="268"/>
      <c r="EAP585" s="268"/>
      <c r="EAQ585" s="268"/>
      <c r="EAR585" s="268"/>
      <c r="EAS585" s="268"/>
      <c r="EAT585" s="268"/>
      <c r="EAU585" s="268"/>
      <c r="EAV585" s="268"/>
      <c r="EAW585" s="268"/>
      <c r="EAX585" s="268"/>
      <c r="EAY585" s="268"/>
      <c r="EAZ585" s="268"/>
      <c r="EBA585" s="268"/>
      <c r="EBB585" s="268"/>
      <c r="EBC585" s="268"/>
      <c r="EBD585" s="268"/>
      <c r="EBE585" s="268"/>
      <c r="EBF585" s="268"/>
      <c r="EBG585" s="268"/>
      <c r="EBH585" s="268"/>
      <c r="EBI585" s="268"/>
      <c r="EBJ585" s="268"/>
      <c r="EBK585" s="268"/>
      <c r="EBL585" s="268"/>
      <c r="EBM585" s="268"/>
      <c r="EBN585" s="268"/>
      <c r="EBO585" s="268"/>
      <c r="EBP585" s="268"/>
      <c r="EBQ585" s="268"/>
      <c r="EBR585" s="268"/>
      <c r="EBS585" s="268"/>
      <c r="EBT585" s="268"/>
      <c r="EBU585" s="268"/>
      <c r="EBV585" s="268"/>
      <c r="EBW585" s="268"/>
      <c r="EBX585" s="268"/>
      <c r="EBY585" s="268"/>
      <c r="EBZ585" s="268"/>
      <c r="ECA585" s="268"/>
      <c r="ECB585" s="268"/>
      <c r="ECC585" s="268"/>
      <c r="ECD585" s="268"/>
      <c r="ECE585" s="268"/>
      <c r="ECF585" s="268"/>
      <c r="ECG585" s="268"/>
      <c r="ECH585" s="268"/>
      <c r="ECI585" s="268"/>
      <c r="ECJ585" s="268"/>
      <c r="ECK585" s="268"/>
      <c r="ECL585" s="268"/>
      <c r="ECM585" s="268"/>
      <c r="ECN585" s="268"/>
      <c r="ECO585" s="268"/>
      <c r="ECP585" s="268"/>
      <c r="ECQ585" s="268"/>
      <c r="ECR585" s="268"/>
      <c r="ECS585" s="268"/>
      <c r="ECT585" s="268"/>
      <c r="ECU585" s="268"/>
      <c r="ECV585" s="268"/>
      <c r="ECW585" s="268"/>
      <c r="ECX585" s="268"/>
      <c r="ECY585" s="268"/>
      <c r="ECZ585" s="268"/>
      <c r="EDA585" s="268"/>
      <c r="EDB585" s="268"/>
      <c r="EDC585" s="268"/>
      <c r="EDD585" s="268"/>
      <c r="EDE585" s="268"/>
      <c r="EDF585" s="268"/>
      <c r="EDG585" s="268"/>
      <c r="EDH585" s="268"/>
      <c r="EDI585" s="268"/>
      <c r="EDJ585" s="268"/>
      <c r="EDK585" s="268"/>
      <c r="EDL585" s="268"/>
      <c r="EDM585" s="268"/>
      <c r="EDN585" s="268"/>
      <c r="EDO585" s="268"/>
      <c r="EDP585" s="268"/>
      <c r="EDQ585" s="268"/>
      <c r="EDR585" s="268"/>
      <c r="EDS585" s="268"/>
      <c r="EDT585" s="268"/>
      <c r="EDU585" s="268"/>
      <c r="EDV585" s="268"/>
      <c r="EDW585" s="268"/>
      <c r="EDX585" s="268"/>
      <c r="EDY585" s="268"/>
      <c r="EDZ585" s="268"/>
      <c r="EEA585" s="268"/>
      <c r="EEB585" s="268"/>
      <c r="EEC585" s="268"/>
      <c r="EED585" s="268"/>
      <c r="EEE585" s="268"/>
      <c r="EEF585" s="268"/>
      <c r="EEG585" s="268"/>
      <c r="EEH585" s="268"/>
      <c r="EEI585" s="268"/>
      <c r="EEJ585" s="268"/>
      <c r="EEK585" s="268"/>
      <c r="EEL585" s="268"/>
      <c r="EEM585" s="268"/>
      <c r="EEN585" s="268"/>
      <c r="EEO585" s="268"/>
      <c r="EEP585" s="268"/>
      <c r="EEQ585" s="268"/>
      <c r="EER585" s="268"/>
      <c r="EES585" s="268"/>
      <c r="EET585" s="268"/>
      <c r="EEU585" s="268"/>
      <c r="EEV585" s="268"/>
      <c r="EEW585" s="268"/>
      <c r="EEX585" s="268"/>
      <c r="EEY585" s="268"/>
      <c r="EEZ585" s="268"/>
      <c r="EFA585" s="268"/>
      <c r="EFB585" s="268"/>
      <c r="EFC585" s="268"/>
      <c r="EFD585" s="268"/>
      <c r="EFE585" s="268"/>
      <c r="EFF585" s="268"/>
      <c r="EFG585" s="268"/>
      <c r="EFH585" s="268"/>
      <c r="EFI585" s="268"/>
      <c r="EFJ585" s="268"/>
      <c r="EFK585" s="268"/>
      <c r="EFL585" s="268"/>
      <c r="EFM585" s="268"/>
      <c r="EFN585" s="268"/>
      <c r="EFO585" s="268"/>
      <c r="EFP585" s="268"/>
      <c r="EFQ585" s="268"/>
      <c r="EFR585" s="268"/>
      <c r="EFS585" s="268"/>
      <c r="EFT585" s="268"/>
      <c r="EFU585" s="268"/>
      <c r="EFV585" s="268"/>
      <c r="EFW585" s="268"/>
      <c r="EFX585" s="268"/>
      <c r="EFY585" s="268"/>
      <c r="EFZ585" s="268"/>
      <c r="EGA585" s="268"/>
      <c r="EGB585" s="268"/>
      <c r="EGC585" s="268"/>
      <c r="EGD585" s="268"/>
      <c r="EGE585" s="268"/>
      <c r="EGF585" s="268"/>
      <c r="EGG585" s="268"/>
      <c r="EGH585" s="268"/>
      <c r="EGI585" s="268"/>
      <c r="EGJ585" s="268"/>
      <c r="EGK585" s="268"/>
      <c r="EGL585" s="268"/>
      <c r="EGM585" s="268"/>
      <c r="EHA585" s="268"/>
      <c r="EHB585" s="268"/>
      <c r="EHC585" s="268"/>
      <c r="EHQ585" s="268"/>
      <c r="EHS585" s="268"/>
      <c r="EHT585" s="268"/>
      <c r="EHU585" s="268"/>
      <c r="EHV585" s="268"/>
      <c r="EHW585" s="268"/>
      <c r="EHX585" s="268"/>
      <c r="EHY585" s="268"/>
      <c r="EHZ585" s="268"/>
      <c r="EIA585" s="268"/>
      <c r="EIB585" s="268"/>
      <c r="EIC585" s="268"/>
      <c r="EID585" s="268"/>
      <c r="EIE585" s="268"/>
      <c r="EIF585" s="268"/>
      <c r="EIG585" s="268"/>
      <c r="EIH585" s="268"/>
      <c r="EII585" s="268"/>
      <c r="EIJ585" s="268"/>
      <c r="EIK585" s="268"/>
      <c r="EIL585" s="268"/>
      <c r="EIM585" s="268"/>
      <c r="EIN585" s="268"/>
      <c r="EIO585" s="268"/>
      <c r="EIP585" s="268"/>
      <c r="EIQ585" s="268"/>
      <c r="EIR585" s="268"/>
      <c r="EIS585" s="268"/>
      <c r="EIT585" s="268"/>
      <c r="EIU585" s="268"/>
      <c r="EIV585" s="268"/>
      <c r="EIW585" s="268"/>
      <c r="EIX585" s="268"/>
      <c r="EIY585" s="268"/>
      <c r="EIZ585" s="268"/>
      <c r="EJA585" s="268"/>
      <c r="EJB585" s="268"/>
      <c r="EJC585" s="268"/>
      <c r="EJD585" s="268"/>
      <c r="EJE585" s="268"/>
      <c r="EJF585" s="268"/>
      <c r="EJG585" s="268"/>
      <c r="EJH585" s="268"/>
      <c r="EJI585" s="268"/>
      <c r="EJJ585" s="268"/>
      <c r="EJK585" s="268"/>
      <c r="EJL585" s="268"/>
      <c r="EJM585" s="268"/>
      <c r="EJN585" s="268"/>
      <c r="EJO585" s="268"/>
      <c r="EJP585" s="268"/>
      <c r="EJQ585" s="268"/>
      <c r="EJR585" s="268"/>
      <c r="EJS585" s="268"/>
      <c r="EJT585" s="268"/>
      <c r="EJU585" s="268"/>
      <c r="EJV585" s="268"/>
      <c r="EJW585" s="268"/>
      <c r="EJX585" s="268"/>
      <c r="EJY585" s="268"/>
      <c r="EJZ585" s="268"/>
      <c r="EKA585" s="268"/>
      <c r="EKB585" s="268"/>
      <c r="EKC585" s="268"/>
      <c r="EKD585" s="268"/>
      <c r="EKE585" s="268"/>
      <c r="EKF585" s="268"/>
      <c r="EKG585" s="268"/>
      <c r="EKH585" s="268"/>
      <c r="EKI585" s="268"/>
      <c r="EKJ585" s="268"/>
      <c r="EKK585" s="268"/>
      <c r="EKL585" s="268"/>
      <c r="EKM585" s="268"/>
      <c r="EKN585" s="268"/>
      <c r="EKO585" s="268"/>
      <c r="EKP585" s="268"/>
      <c r="EKQ585" s="268"/>
      <c r="EKR585" s="268"/>
      <c r="EKS585" s="268"/>
      <c r="EKT585" s="268"/>
      <c r="EKU585" s="268"/>
      <c r="EKV585" s="268"/>
      <c r="EKW585" s="268"/>
      <c r="EKX585" s="268"/>
      <c r="EKY585" s="268"/>
      <c r="EKZ585" s="268"/>
      <c r="ELA585" s="268"/>
      <c r="ELB585" s="268"/>
      <c r="ELC585" s="268"/>
      <c r="ELD585" s="268"/>
      <c r="ELE585" s="268"/>
      <c r="ELF585" s="268"/>
      <c r="ELG585" s="268"/>
      <c r="ELH585" s="268"/>
      <c r="ELI585" s="268"/>
      <c r="ELJ585" s="268"/>
      <c r="ELK585" s="268"/>
      <c r="ELL585" s="268"/>
      <c r="ELM585" s="268"/>
      <c r="ELN585" s="268"/>
      <c r="ELO585" s="268"/>
      <c r="ELP585" s="268"/>
      <c r="ELQ585" s="268"/>
      <c r="ELR585" s="268"/>
      <c r="ELS585" s="268"/>
      <c r="ELT585" s="268"/>
      <c r="ELU585" s="268"/>
      <c r="ELV585" s="268"/>
      <c r="ELW585" s="268"/>
      <c r="ELX585" s="268"/>
      <c r="ELY585" s="268"/>
      <c r="ELZ585" s="268"/>
      <c r="EMA585" s="268"/>
      <c r="EMB585" s="268"/>
      <c r="EMC585" s="268"/>
      <c r="EMD585" s="268"/>
      <c r="EME585" s="268"/>
      <c r="EMF585" s="268"/>
      <c r="EMG585" s="268"/>
      <c r="EMH585" s="268"/>
      <c r="EMI585" s="268"/>
      <c r="EMJ585" s="268"/>
      <c r="EMK585" s="268"/>
      <c r="EML585" s="268"/>
      <c r="EMM585" s="268"/>
      <c r="EMN585" s="268"/>
      <c r="EMO585" s="268"/>
      <c r="EMP585" s="268"/>
      <c r="EMQ585" s="268"/>
      <c r="EMR585" s="268"/>
      <c r="EMS585" s="268"/>
      <c r="EMT585" s="268"/>
      <c r="EMU585" s="268"/>
      <c r="EMV585" s="268"/>
      <c r="EMW585" s="268"/>
      <c r="EMX585" s="268"/>
      <c r="EMY585" s="268"/>
      <c r="EMZ585" s="268"/>
      <c r="ENA585" s="268"/>
      <c r="ENB585" s="268"/>
      <c r="ENC585" s="268"/>
      <c r="END585" s="268"/>
      <c r="ENE585" s="268"/>
      <c r="ENF585" s="268"/>
      <c r="ENG585" s="268"/>
      <c r="ENH585" s="268"/>
      <c r="ENI585" s="268"/>
      <c r="ENJ585" s="268"/>
      <c r="ENK585" s="268"/>
      <c r="ENL585" s="268"/>
      <c r="ENM585" s="268"/>
      <c r="ENN585" s="268"/>
      <c r="ENO585" s="268"/>
      <c r="ENP585" s="268"/>
      <c r="ENQ585" s="268"/>
      <c r="ENR585" s="268"/>
      <c r="ENS585" s="268"/>
      <c r="ENT585" s="268"/>
      <c r="ENU585" s="268"/>
      <c r="ENV585" s="268"/>
      <c r="ENW585" s="268"/>
      <c r="ENX585" s="268"/>
      <c r="ENY585" s="268"/>
      <c r="ENZ585" s="268"/>
      <c r="EOA585" s="268"/>
      <c r="EOB585" s="268"/>
      <c r="EOC585" s="268"/>
      <c r="EOD585" s="268"/>
      <c r="EOE585" s="268"/>
      <c r="EOF585" s="268"/>
      <c r="EOG585" s="268"/>
      <c r="EOH585" s="268"/>
      <c r="EOI585" s="268"/>
      <c r="EOJ585" s="268"/>
      <c r="EOK585" s="268"/>
      <c r="EOL585" s="268"/>
      <c r="EOM585" s="268"/>
      <c r="EON585" s="268"/>
      <c r="EOO585" s="268"/>
      <c r="EOP585" s="268"/>
      <c r="EOQ585" s="268"/>
      <c r="EOR585" s="268"/>
      <c r="EOS585" s="268"/>
      <c r="EOT585" s="268"/>
      <c r="EOU585" s="268"/>
      <c r="EOV585" s="268"/>
      <c r="EOW585" s="268"/>
      <c r="EOX585" s="268"/>
      <c r="EOY585" s="268"/>
      <c r="EOZ585" s="268"/>
      <c r="EPA585" s="268"/>
      <c r="EPB585" s="268"/>
      <c r="EPC585" s="268"/>
      <c r="EPD585" s="268"/>
      <c r="EPE585" s="268"/>
      <c r="EPF585" s="268"/>
      <c r="EPG585" s="268"/>
      <c r="EPH585" s="268"/>
      <c r="EPI585" s="268"/>
      <c r="EPJ585" s="268"/>
      <c r="EPK585" s="268"/>
      <c r="EPL585" s="268"/>
      <c r="EPM585" s="268"/>
      <c r="EPN585" s="268"/>
      <c r="EPO585" s="268"/>
      <c r="EPP585" s="268"/>
      <c r="EPQ585" s="268"/>
      <c r="EPR585" s="268"/>
      <c r="EPS585" s="268"/>
      <c r="EPT585" s="268"/>
      <c r="EPU585" s="268"/>
      <c r="EPV585" s="268"/>
      <c r="EPW585" s="268"/>
      <c r="EPX585" s="268"/>
      <c r="EPY585" s="268"/>
      <c r="EPZ585" s="268"/>
      <c r="EQA585" s="268"/>
      <c r="EQB585" s="268"/>
      <c r="EQC585" s="268"/>
      <c r="EQD585" s="268"/>
      <c r="EQE585" s="268"/>
      <c r="EQF585" s="268"/>
      <c r="EQG585" s="268"/>
      <c r="EQH585" s="268"/>
      <c r="EQI585" s="268"/>
      <c r="EQW585" s="268"/>
      <c r="EQX585" s="268"/>
      <c r="EQY585" s="268"/>
      <c r="ERM585" s="268"/>
      <c r="ERO585" s="268"/>
      <c r="ERP585" s="268"/>
      <c r="ERQ585" s="268"/>
      <c r="ERR585" s="268"/>
      <c r="ERS585" s="268"/>
      <c r="ERT585" s="268"/>
      <c r="ERU585" s="268"/>
      <c r="ERV585" s="268"/>
      <c r="ERW585" s="268"/>
      <c r="ERX585" s="268"/>
      <c r="ERY585" s="268"/>
      <c r="ERZ585" s="268"/>
      <c r="ESA585" s="268"/>
      <c r="ESB585" s="268"/>
      <c r="ESC585" s="268"/>
      <c r="ESD585" s="268"/>
      <c r="ESE585" s="268"/>
      <c r="ESF585" s="268"/>
      <c r="ESG585" s="268"/>
      <c r="ESH585" s="268"/>
      <c r="ESI585" s="268"/>
      <c r="ESJ585" s="268"/>
      <c r="ESK585" s="268"/>
      <c r="ESL585" s="268"/>
      <c r="ESM585" s="268"/>
      <c r="ESN585" s="268"/>
      <c r="ESO585" s="268"/>
      <c r="ESP585" s="268"/>
      <c r="ESQ585" s="268"/>
      <c r="ESR585" s="268"/>
      <c r="ESS585" s="268"/>
      <c r="EST585" s="268"/>
      <c r="ESU585" s="268"/>
      <c r="ESV585" s="268"/>
      <c r="ESW585" s="268"/>
      <c r="ESX585" s="268"/>
      <c r="ESY585" s="268"/>
      <c r="ESZ585" s="268"/>
      <c r="ETA585" s="268"/>
      <c r="ETB585" s="268"/>
      <c r="ETC585" s="268"/>
      <c r="ETD585" s="268"/>
      <c r="ETE585" s="268"/>
      <c r="ETF585" s="268"/>
      <c r="ETG585" s="268"/>
      <c r="ETH585" s="268"/>
      <c r="ETI585" s="268"/>
      <c r="ETJ585" s="268"/>
      <c r="ETK585" s="268"/>
      <c r="ETL585" s="268"/>
      <c r="ETM585" s="268"/>
      <c r="ETN585" s="268"/>
      <c r="ETO585" s="268"/>
      <c r="ETP585" s="268"/>
      <c r="ETQ585" s="268"/>
      <c r="ETR585" s="268"/>
      <c r="ETS585" s="268"/>
      <c r="ETT585" s="268"/>
      <c r="ETU585" s="268"/>
      <c r="ETV585" s="268"/>
      <c r="ETW585" s="268"/>
      <c r="ETX585" s="268"/>
      <c r="ETY585" s="268"/>
      <c r="ETZ585" s="268"/>
      <c r="EUA585" s="268"/>
      <c r="EUB585" s="268"/>
      <c r="EUC585" s="268"/>
      <c r="EUD585" s="268"/>
      <c r="EUE585" s="268"/>
      <c r="EUF585" s="268"/>
      <c r="EUG585" s="268"/>
      <c r="EUH585" s="268"/>
      <c r="EUI585" s="268"/>
      <c r="EUJ585" s="268"/>
      <c r="EUK585" s="268"/>
      <c r="EUL585" s="268"/>
      <c r="EUM585" s="268"/>
      <c r="EUN585" s="268"/>
      <c r="EUO585" s="268"/>
      <c r="EUP585" s="268"/>
      <c r="EUQ585" s="268"/>
      <c r="EUR585" s="268"/>
      <c r="EUS585" s="268"/>
      <c r="EUT585" s="268"/>
      <c r="EUU585" s="268"/>
      <c r="EUV585" s="268"/>
      <c r="EUW585" s="268"/>
      <c r="EUX585" s="268"/>
      <c r="EUY585" s="268"/>
      <c r="EUZ585" s="268"/>
      <c r="EVA585" s="268"/>
      <c r="EVB585" s="268"/>
      <c r="EVC585" s="268"/>
      <c r="EVD585" s="268"/>
      <c r="EVE585" s="268"/>
      <c r="EVF585" s="268"/>
      <c r="EVG585" s="268"/>
      <c r="EVH585" s="268"/>
      <c r="EVI585" s="268"/>
      <c r="EVJ585" s="268"/>
      <c r="EVK585" s="268"/>
      <c r="EVL585" s="268"/>
      <c r="EVM585" s="268"/>
      <c r="EVN585" s="268"/>
      <c r="EVO585" s="268"/>
      <c r="EVP585" s="268"/>
      <c r="EVQ585" s="268"/>
      <c r="EVR585" s="268"/>
      <c r="EVS585" s="268"/>
      <c r="EVT585" s="268"/>
      <c r="EVU585" s="268"/>
      <c r="EVV585" s="268"/>
      <c r="EVW585" s="268"/>
      <c r="EVX585" s="268"/>
      <c r="EVY585" s="268"/>
      <c r="EVZ585" s="268"/>
      <c r="EWA585" s="268"/>
      <c r="EWB585" s="268"/>
      <c r="EWC585" s="268"/>
      <c r="EWD585" s="268"/>
      <c r="EWE585" s="268"/>
      <c r="EWF585" s="268"/>
      <c r="EWG585" s="268"/>
      <c r="EWH585" s="268"/>
      <c r="EWI585" s="268"/>
      <c r="EWJ585" s="268"/>
      <c r="EWK585" s="268"/>
      <c r="EWL585" s="268"/>
      <c r="EWM585" s="268"/>
      <c r="EWN585" s="268"/>
      <c r="EWO585" s="268"/>
      <c r="EWP585" s="268"/>
      <c r="EWQ585" s="268"/>
      <c r="EWR585" s="268"/>
      <c r="EWS585" s="268"/>
      <c r="EWT585" s="268"/>
      <c r="EWU585" s="268"/>
      <c r="EWV585" s="268"/>
      <c r="EWW585" s="268"/>
      <c r="EWX585" s="268"/>
      <c r="EWY585" s="268"/>
      <c r="EWZ585" s="268"/>
      <c r="EXA585" s="268"/>
      <c r="EXB585" s="268"/>
      <c r="EXC585" s="268"/>
      <c r="EXD585" s="268"/>
      <c r="EXE585" s="268"/>
      <c r="EXF585" s="268"/>
      <c r="EXG585" s="268"/>
      <c r="EXH585" s="268"/>
      <c r="EXI585" s="268"/>
      <c r="EXJ585" s="268"/>
      <c r="EXK585" s="268"/>
      <c r="EXL585" s="268"/>
      <c r="EXM585" s="268"/>
      <c r="EXN585" s="268"/>
      <c r="EXO585" s="268"/>
      <c r="EXP585" s="268"/>
      <c r="EXQ585" s="268"/>
      <c r="EXR585" s="268"/>
      <c r="EXS585" s="268"/>
      <c r="EXT585" s="268"/>
      <c r="EXU585" s="268"/>
      <c r="EXV585" s="268"/>
      <c r="EXW585" s="268"/>
      <c r="EXX585" s="268"/>
      <c r="EXY585" s="268"/>
      <c r="EXZ585" s="268"/>
      <c r="EYA585" s="268"/>
      <c r="EYB585" s="268"/>
      <c r="EYC585" s="268"/>
      <c r="EYD585" s="268"/>
      <c r="EYE585" s="268"/>
      <c r="EYF585" s="268"/>
      <c r="EYG585" s="268"/>
      <c r="EYH585" s="268"/>
      <c r="EYI585" s="268"/>
      <c r="EYJ585" s="268"/>
      <c r="EYK585" s="268"/>
      <c r="EYL585" s="268"/>
      <c r="EYM585" s="268"/>
      <c r="EYN585" s="268"/>
      <c r="EYO585" s="268"/>
      <c r="EYP585" s="268"/>
      <c r="EYQ585" s="268"/>
      <c r="EYR585" s="268"/>
      <c r="EYS585" s="268"/>
      <c r="EYT585" s="268"/>
      <c r="EYU585" s="268"/>
      <c r="EYV585" s="268"/>
      <c r="EYW585" s="268"/>
      <c r="EYX585" s="268"/>
      <c r="EYY585" s="268"/>
      <c r="EYZ585" s="268"/>
      <c r="EZA585" s="268"/>
      <c r="EZB585" s="268"/>
      <c r="EZC585" s="268"/>
      <c r="EZD585" s="268"/>
      <c r="EZE585" s="268"/>
      <c r="EZF585" s="268"/>
      <c r="EZG585" s="268"/>
      <c r="EZH585" s="268"/>
      <c r="EZI585" s="268"/>
      <c r="EZJ585" s="268"/>
      <c r="EZK585" s="268"/>
      <c r="EZL585" s="268"/>
      <c r="EZM585" s="268"/>
      <c r="EZN585" s="268"/>
      <c r="EZO585" s="268"/>
      <c r="EZP585" s="268"/>
      <c r="EZQ585" s="268"/>
      <c r="EZR585" s="268"/>
      <c r="EZS585" s="268"/>
      <c r="EZT585" s="268"/>
      <c r="EZU585" s="268"/>
      <c r="EZV585" s="268"/>
      <c r="EZW585" s="268"/>
      <c r="EZX585" s="268"/>
      <c r="EZY585" s="268"/>
      <c r="EZZ585" s="268"/>
      <c r="FAA585" s="268"/>
      <c r="FAB585" s="268"/>
      <c r="FAC585" s="268"/>
      <c r="FAD585" s="268"/>
      <c r="FAE585" s="268"/>
      <c r="FAS585" s="268"/>
      <c r="FAT585" s="268"/>
      <c r="FAU585" s="268"/>
      <c r="FBI585" s="268"/>
      <c r="FBK585" s="268"/>
      <c r="FBL585" s="268"/>
      <c r="FBM585" s="268"/>
      <c r="FBN585" s="268"/>
      <c r="FBO585" s="268"/>
      <c r="FBP585" s="268"/>
      <c r="FBQ585" s="268"/>
      <c r="FBR585" s="268"/>
      <c r="FBS585" s="268"/>
      <c r="FBT585" s="268"/>
      <c r="FBU585" s="268"/>
      <c r="FBV585" s="268"/>
      <c r="FBW585" s="268"/>
      <c r="FBX585" s="268"/>
      <c r="FBY585" s="268"/>
      <c r="FBZ585" s="268"/>
      <c r="FCA585" s="268"/>
      <c r="FCB585" s="268"/>
      <c r="FCC585" s="268"/>
      <c r="FCD585" s="268"/>
      <c r="FCE585" s="268"/>
      <c r="FCF585" s="268"/>
      <c r="FCG585" s="268"/>
      <c r="FCH585" s="268"/>
      <c r="FCI585" s="268"/>
      <c r="FCJ585" s="268"/>
      <c r="FCK585" s="268"/>
      <c r="FCL585" s="268"/>
      <c r="FCM585" s="268"/>
      <c r="FCN585" s="268"/>
      <c r="FCO585" s="268"/>
      <c r="FCP585" s="268"/>
      <c r="FCQ585" s="268"/>
      <c r="FCR585" s="268"/>
      <c r="FCS585" s="268"/>
      <c r="FCT585" s="268"/>
      <c r="FCU585" s="268"/>
      <c r="FCV585" s="268"/>
      <c r="FCW585" s="268"/>
      <c r="FCX585" s="268"/>
      <c r="FCY585" s="268"/>
      <c r="FCZ585" s="268"/>
      <c r="FDA585" s="268"/>
      <c r="FDB585" s="268"/>
      <c r="FDC585" s="268"/>
      <c r="FDD585" s="268"/>
      <c r="FDE585" s="268"/>
      <c r="FDF585" s="268"/>
      <c r="FDG585" s="268"/>
      <c r="FDH585" s="268"/>
      <c r="FDI585" s="268"/>
      <c r="FDJ585" s="268"/>
      <c r="FDK585" s="268"/>
      <c r="FDL585" s="268"/>
      <c r="FDM585" s="268"/>
      <c r="FDN585" s="268"/>
      <c r="FDO585" s="268"/>
      <c r="FDP585" s="268"/>
      <c r="FDQ585" s="268"/>
      <c r="FDR585" s="268"/>
      <c r="FDS585" s="268"/>
      <c r="FDT585" s="268"/>
      <c r="FDU585" s="268"/>
      <c r="FDV585" s="268"/>
      <c r="FDW585" s="268"/>
      <c r="FDX585" s="268"/>
      <c r="FDY585" s="268"/>
      <c r="FDZ585" s="268"/>
      <c r="FEA585" s="268"/>
      <c r="FEB585" s="268"/>
      <c r="FEC585" s="268"/>
      <c r="FED585" s="268"/>
      <c r="FEE585" s="268"/>
      <c r="FEF585" s="268"/>
      <c r="FEG585" s="268"/>
      <c r="FEH585" s="268"/>
      <c r="FEI585" s="268"/>
      <c r="FEJ585" s="268"/>
      <c r="FEK585" s="268"/>
      <c r="FEL585" s="268"/>
      <c r="FEM585" s="268"/>
      <c r="FEN585" s="268"/>
      <c r="FEO585" s="268"/>
      <c r="FEP585" s="268"/>
      <c r="FEQ585" s="268"/>
      <c r="FER585" s="268"/>
      <c r="FES585" s="268"/>
      <c r="FET585" s="268"/>
      <c r="FEU585" s="268"/>
      <c r="FEV585" s="268"/>
      <c r="FEW585" s="268"/>
      <c r="FEX585" s="268"/>
      <c r="FEY585" s="268"/>
      <c r="FEZ585" s="268"/>
      <c r="FFA585" s="268"/>
      <c r="FFB585" s="268"/>
      <c r="FFC585" s="268"/>
      <c r="FFD585" s="268"/>
      <c r="FFE585" s="268"/>
      <c r="FFF585" s="268"/>
      <c r="FFG585" s="268"/>
      <c r="FFH585" s="268"/>
      <c r="FFI585" s="268"/>
      <c r="FFJ585" s="268"/>
      <c r="FFK585" s="268"/>
      <c r="FFL585" s="268"/>
      <c r="FFM585" s="268"/>
      <c r="FFN585" s="268"/>
      <c r="FFO585" s="268"/>
      <c r="FFP585" s="268"/>
      <c r="FFQ585" s="268"/>
      <c r="FFR585" s="268"/>
      <c r="FFS585" s="268"/>
      <c r="FFT585" s="268"/>
      <c r="FFU585" s="268"/>
      <c r="FFV585" s="268"/>
      <c r="FFW585" s="268"/>
      <c r="FFX585" s="268"/>
      <c r="FFY585" s="268"/>
      <c r="FFZ585" s="268"/>
      <c r="FGA585" s="268"/>
      <c r="FGB585" s="268"/>
      <c r="FGC585" s="268"/>
      <c r="FGD585" s="268"/>
      <c r="FGE585" s="268"/>
      <c r="FGF585" s="268"/>
      <c r="FGG585" s="268"/>
      <c r="FGH585" s="268"/>
      <c r="FGI585" s="268"/>
      <c r="FGJ585" s="268"/>
      <c r="FGK585" s="268"/>
      <c r="FGL585" s="268"/>
      <c r="FGM585" s="268"/>
      <c r="FGN585" s="268"/>
      <c r="FGO585" s="268"/>
      <c r="FGP585" s="268"/>
      <c r="FGQ585" s="268"/>
      <c r="FGR585" s="268"/>
      <c r="FGS585" s="268"/>
      <c r="FGT585" s="268"/>
      <c r="FGU585" s="268"/>
      <c r="FGV585" s="268"/>
      <c r="FGW585" s="268"/>
      <c r="FGX585" s="268"/>
      <c r="FGY585" s="268"/>
      <c r="FGZ585" s="268"/>
      <c r="FHA585" s="268"/>
      <c r="FHB585" s="268"/>
      <c r="FHC585" s="268"/>
      <c r="FHD585" s="268"/>
      <c r="FHE585" s="268"/>
      <c r="FHF585" s="268"/>
      <c r="FHG585" s="268"/>
      <c r="FHH585" s="268"/>
      <c r="FHI585" s="268"/>
      <c r="FHJ585" s="268"/>
      <c r="FHK585" s="268"/>
      <c r="FHL585" s="268"/>
      <c r="FHM585" s="268"/>
      <c r="FHN585" s="268"/>
      <c r="FHO585" s="268"/>
      <c r="FHP585" s="268"/>
      <c r="FHQ585" s="268"/>
      <c r="FHR585" s="268"/>
      <c r="FHS585" s="268"/>
      <c r="FHT585" s="268"/>
      <c r="FHU585" s="268"/>
      <c r="FHV585" s="268"/>
      <c r="FHW585" s="268"/>
      <c r="FHX585" s="268"/>
      <c r="FHY585" s="268"/>
      <c r="FHZ585" s="268"/>
      <c r="FIA585" s="268"/>
      <c r="FIB585" s="268"/>
      <c r="FIC585" s="268"/>
      <c r="FID585" s="268"/>
      <c r="FIE585" s="268"/>
      <c r="FIF585" s="268"/>
      <c r="FIG585" s="268"/>
      <c r="FIH585" s="268"/>
      <c r="FII585" s="268"/>
      <c r="FIJ585" s="268"/>
      <c r="FIK585" s="268"/>
      <c r="FIL585" s="268"/>
      <c r="FIM585" s="268"/>
      <c r="FIN585" s="268"/>
      <c r="FIO585" s="268"/>
      <c r="FIP585" s="268"/>
      <c r="FIQ585" s="268"/>
      <c r="FIR585" s="268"/>
      <c r="FIS585" s="268"/>
      <c r="FIT585" s="268"/>
      <c r="FIU585" s="268"/>
      <c r="FIV585" s="268"/>
      <c r="FIW585" s="268"/>
      <c r="FIX585" s="268"/>
      <c r="FIY585" s="268"/>
      <c r="FIZ585" s="268"/>
      <c r="FJA585" s="268"/>
      <c r="FJB585" s="268"/>
      <c r="FJC585" s="268"/>
      <c r="FJD585" s="268"/>
      <c r="FJE585" s="268"/>
      <c r="FJF585" s="268"/>
      <c r="FJG585" s="268"/>
      <c r="FJH585" s="268"/>
      <c r="FJI585" s="268"/>
      <c r="FJJ585" s="268"/>
      <c r="FJK585" s="268"/>
      <c r="FJL585" s="268"/>
      <c r="FJM585" s="268"/>
      <c r="FJN585" s="268"/>
      <c r="FJO585" s="268"/>
      <c r="FJP585" s="268"/>
      <c r="FJQ585" s="268"/>
      <c r="FJR585" s="268"/>
      <c r="FJS585" s="268"/>
      <c r="FJT585" s="268"/>
      <c r="FJU585" s="268"/>
      <c r="FJV585" s="268"/>
      <c r="FJW585" s="268"/>
      <c r="FJX585" s="268"/>
      <c r="FJY585" s="268"/>
      <c r="FJZ585" s="268"/>
      <c r="FKA585" s="268"/>
      <c r="FKO585" s="268"/>
      <c r="FKP585" s="268"/>
      <c r="FKQ585" s="268"/>
      <c r="FLE585" s="268"/>
      <c r="FLG585" s="268"/>
      <c r="FLH585" s="268"/>
      <c r="FLI585" s="268"/>
      <c r="FLJ585" s="268"/>
      <c r="FLK585" s="268"/>
      <c r="FLL585" s="268"/>
      <c r="FLM585" s="268"/>
      <c r="FLN585" s="268"/>
      <c r="FLO585" s="268"/>
      <c r="FLP585" s="268"/>
      <c r="FLQ585" s="268"/>
      <c r="FLR585" s="268"/>
      <c r="FLS585" s="268"/>
      <c r="FLT585" s="268"/>
      <c r="FLU585" s="268"/>
      <c r="FLV585" s="268"/>
      <c r="FLW585" s="268"/>
      <c r="FLX585" s="268"/>
      <c r="FLY585" s="268"/>
      <c r="FLZ585" s="268"/>
      <c r="FMA585" s="268"/>
      <c r="FMB585" s="268"/>
      <c r="FMC585" s="268"/>
      <c r="FMD585" s="268"/>
      <c r="FME585" s="268"/>
      <c r="FMF585" s="268"/>
      <c r="FMG585" s="268"/>
      <c r="FMH585" s="268"/>
      <c r="FMI585" s="268"/>
      <c r="FMJ585" s="268"/>
      <c r="FMK585" s="268"/>
      <c r="FML585" s="268"/>
      <c r="FMM585" s="268"/>
      <c r="FMN585" s="268"/>
      <c r="FMO585" s="268"/>
      <c r="FMP585" s="268"/>
      <c r="FMQ585" s="268"/>
      <c r="FMR585" s="268"/>
      <c r="FMS585" s="268"/>
      <c r="FMT585" s="268"/>
      <c r="FMU585" s="268"/>
      <c r="FMV585" s="268"/>
      <c r="FMW585" s="268"/>
      <c r="FMX585" s="268"/>
      <c r="FMY585" s="268"/>
      <c r="FMZ585" s="268"/>
      <c r="FNA585" s="268"/>
      <c r="FNB585" s="268"/>
      <c r="FNC585" s="268"/>
      <c r="FND585" s="268"/>
      <c r="FNE585" s="268"/>
      <c r="FNF585" s="268"/>
      <c r="FNG585" s="268"/>
      <c r="FNH585" s="268"/>
      <c r="FNI585" s="268"/>
      <c r="FNJ585" s="268"/>
      <c r="FNK585" s="268"/>
      <c r="FNL585" s="268"/>
      <c r="FNM585" s="268"/>
      <c r="FNN585" s="268"/>
      <c r="FNO585" s="268"/>
      <c r="FNP585" s="268"/>
      <c r="FNQ585" s="268"/>
      <c r="FNR585" s="268"/>
      <c r="FNS585" s="268"/>
      <c r="FNT585" s="268"/>
      <c r="FNU585" s="268"/>
      <c r="FNV585" s="268"/>
      <c r="FNW585" s="268"/>
      <c r="FNX585" s="268"/>
      <c r="FNY585" s="268"/>
      <c r="FNZ585" s="268"/>
      <c r="FOA585" s="268"/>
      <c r="FOB585" s="268"/>
      <c r="FOC585" s="268"/>
      <c r="FOD585" s="268"/>
      <c r="FOE585" s="268"/>
      <c r="FOF585" s="268"/>
      <c r="FOG585" s="268"/>
      <c r="FOH585" s="268"/>
      <c r="FOI585" s="268"/>
      <c r="FOJ585" s="268"/>
      <c r="FOK585" s="268"/>
      <c r="FOL585" s="268"/>
      <c r="FOM585" s="268"/>
      <c r="FON585" s="268"/>
      <c r="FOO585" s="268"/>
      <c r="FOP585" s="268"/>
      <c r="FOQ585" s="268"/>
      <c r="FOR585" s="268"/>
      <c r="FOS585" s="268"/>
      <c r="FOT585" s="268"/>
      <c r="FOU585" s="268"/>
      <c r="FOV585" s="268"/>
      <c r="FOW585" s="268"/>
      <c r="FOX585" s="268"/>
      <c r="FOY585" s="268"/>
      <c r="FOZ585" s="268"/>
      <c r="FPA585" s="268"/>
      <c r="FPB585" s="268"/>
      <c r="FPC585" s="268"/>
      <c r="FPD585" s="268"/>
      <c r="FPE585" s="268"/>
      <c r="FPF585" s="268"/>
      <c r="FPG585" s="268"/>
      <c r="FPH585" s="268"/>
      <c r="FPI585" s="268"/>
      <c r="FPJ585" s="268"/>
      <c r="FPK585" s="268"/>
      <c r="FPL585" s="268"/>
      <c r="FPM585" s="268"/>
      <c r="FPN585" s="268"/>
      <c r="FPO585" s="268"/>
      <c r="FPP585" s="268"/>
      <c r="FPQ585" s="268"/>
      <c r="FPR585" s="268"/>
      <c r="FPS585" s="268"/>
      <c r="FPT585" s="268"/>
      <c r="FPU585" s="268"/>
      <c r="FPV585" s="268"/>
      <c r="FPW585" s="268"/>
      <c r="FPX585" s="268"/>
      <c r="FPY585" s="268"/>
      <c r="FPZ585" s="268"/>
      <c r="FQA585" s="268"/>
      <c r="FQB585" s="268"/>
      <c r="FQC585" s="268"/>
      <c r="FQD585" s="268"/>
      <c r="FQE585" s="268"/>
      <c r="FQF585" s="268"/>
      <c r="FQG585" s="268"/>
      <c r="FQH585" s="268"/>
      <c r="FQI585" s="268"/>
      <c r="FQJ585" s="268"/>
      <c r="FQK585" s="268"/>
      <c r="FQL585" s="268"/>
      <c r="FQM585" s="268"/>
      <c r="FQN585" s="268"/>
      <c r="FQO585" s="268"/>
      <c r="FQP585" s="268"/>
      <c r="FQQ585" s="268"/>
      <c r="FQR585" s="268"/>
      <c r="FQS585" s="268"/>
      <c r="FQT585" s="268"/>
      <c r="FQU585" s="268"/>
      <c r="FQV585" s="268"/>
      <c r="FQW585" s="268"/>
      <c r="FQX585" s="268"/>
      <c r="FQY585" s="268"/>
      <c r="FQZ585" s="268"/>
      <c r="FRA585" s="268"/>
      <c r="FRB585" s="268"/>
      <c r="FRC585" s="268"/>
      <c r="FRD585" s="268"/>
      <c r="FRE585" s="268"/>
      <c r="FRF585" s="268"/>
      <c r="FRG585" s="268"/>
      <c r="FRH585" s="268"/>
      <c r="FRI585" s="268"/>
      <c r="FRJ585" s="268"/>
      <c r="FRK585" s="268"/>
      <c r="FRL585" s="268"/>
      <c r="FRM585" s="268"/>
      <c r="FRN585" s="268"/>
      <c r="FRO585" s="268"/>
      <c r="FRP585" s="268"/>
      <c r="FRQ585" s="268"/>
      <c r="FRR585" s="268"/>
      <c r="FRS585" s="268"/>
      <c r="FRT585" s="268"/>
      <c r="FRU585" s="268"/>
      <c r="FRV585" s="268"/>
      <c r="FRW585" s="268"/>
      <c r="FRX585" s="268"/>
      <c r="FRY585" s="268"/>
      <c r="FRZ585" s="268"/>
      <c r="FSA585" s="268"/>
      <c r="FSB585" s="268"/>
      <c r="FSC585" s="268"/>
      <c r="FSD585" s="268"/>
      <c r="FSE585" s="268"/>
      <c r="FSF585" s="268"/>
      <c r="FSG585" s="268"/>
      <c r="FSH585" s="268"/>
      <c r="FSI585" s="268"/>
      <c r="FSJ585" s="268"/>
      <c r="FSK585" s="268"/>
      <c r="FSL585" s="268"/>
      <c r="FSM585" s="268"/>
      <c r="FSN585" s="268"/>
      <c r="FSO585" s="268"/>
      <c r="FSP585" s="268"/>
      <c r="FSQ585" s="268"/>
      <c r="FSR585" s="268"/>
      <c r="FSS585" s="268"/>
      <c r="FST585" s="268"/>
      <c r="FSU585" s="268"/>
      <c r="FSV585" s="268"/>
      <c r="FSW585" s="268"/>
      <c r="FSX585" s="268"/>
      <c r="FSY585" s="268"/>
      <c r="FSZ585" s="268"/>
      <c r="FTA585" s="268"/>
      <c r="FTB585" s="268"/>
      <c r="FTC585" s="268"/>
      <c r="FTD585" s="268"/>
      <c r="FTE585" s="268"/>
      <c r="FTF585" s="268"/>
      <c r="FTG585" s="268"/>
      <c r="FTH585" s="268"/>
      <c r="FTI585" s="268"/>
      <c r="FTJ585" s="268"/>
      <c r="FTK585" s="268"/>
      <c r="FTL585" s="268"/>
      <c r="FTM585" s="268"/>
      <c r="FTN585" s="268"/>
      <c r="FTO585" s="268"/>
      <c r="FTP585" s="268"/>
      <c r="FTQ585" s="268"/>
      <c r="FTR585" s="268"/>
      <c r="FTS585" s="268"/>
      <c r="FTT585" s="268"/>
      <c r="FTU585" s="268"/>
      <c r="FTV585" s="268"/>
      <c r="FTW585" s="268"/>
      <c r="FUK585" s="268"/>
      <c r="FUL585" s="268"/>
      <c r="FUM585" s="268"/>
      <c r="FVA585" s="268"/>
      <c r="FVC585" s="268"/>
      <c r="FVD585" s="268"/>
      <c r="FVE585" s="268"/>
      <c r="FVF585" s="268"/>
      <c r="FVG585" s="268"/>
      <c r="FVH585" s="268"/>
      <c r="FVI585" s="268"/>
      <c r="FVJ585" s="268"/>
      <c r="FVK585" s="268"/>
      <c r="FVL585" s="268"/>
      <c r="FVM585" s="268"/>
      <c r="FVN585" s="268"/>
      <c r="FVO585" s="268"/>
      <c r="FVP585" s="268"/>
      <c r="FVQ585" s="268"/>
      <c r="FVR585" s="268"/>
      <c r="FVS585" s="268"/>
      <c r="FVT585" s="268"/>
      <c r="FVU585" s="268"/>
      <c r="FVV585" s="268"/>
      <c r="FVW585" s="268"/>
      <c r="FVX585" s="268"/>
      <c r="FVY585" s="268"/>
      <c r="FVZ585" s="268"/>
      <c r="FWA585" s="268"/>
      <c r="FWB585" s="268"/>
      <c r="FWC585" s="268"/>
      <c r="FWD585" s="268"/>
      <c r="FWE585" s="268"/>
      <c r="FWF585" s="268"/>
      <c r="FWG585" s="268"/>
      <c r="FWH585" s="268"/>
      <c r="FWI585" s="268"/>
      <c r="FWJ585" s="268"/>
      <c r="FWK585" s="268"/>
      <c r="FWL585" s="268"/>
      <c r="FWM585" s="268"/>
      <c r="FWN585" s="268"/>
      <c r="FWO585" s="268"/>
      <c r="FWP585" s="268"/>
      <c r="FWQ585" s="268"/>
      <c r="FWR585" s="268"/>
      <c r="FWS585" s="268"/>
      <c r="FWT585" s="268"/>
      <c r="FWU585" s="268"/>
      <c r="FWV585" s="268"/>
      <c r="FWW585" s="268"/>
      <c r="FWX585" s="268"/>
      <c r="FWY585" s="268"/>
      <c r="FWZ585" s="268"/>
      <c r="FXA585" s="268"/>
      <c r="FXB585" s="268"/>
      <c r="FXC585" s="268"/>
      <c r="FXD585" s="268"/>
      <c r="FXE585" s="268"/>
      <c r="FXF585" s="268"/>
      <c r="FXG585" s="268"/>
      <c r="FXH585" s="268"/>
      <c r="FXI585" s="268"/>
      <c r="FXJ585" s="268"/>
      <c r="FXK585" s="268"/>
      <c r="FXL585" s="268"/>
      <c r="FXM585" s="268"/>
      <c r="FXN585" s="268"/>
      <c r="FXO585" s="268"/>
      <c r="FXP585" s="268"/>
      <c r="FXQ585" s="268"/>
      <c r="FXR585" s="268"/>
      <c r="FXS585" s="268"/>
      <c r="FXT585" s="268"/>
      <c r="FXU585" s="268"/>
      <c r="FXV585" s="268"/>
      <c r="FXW585" s="268"/>
      <c r="FXX585" s="268"/>
      <c r="FXY585" s="268"/>
      <c r="FXZ585" s="268"/>
      <c r="FYA585" s="268"/>
      <c r="FYB585" s="268"/>
      <c r="FYC585" s="268"/>
      <c r="FYD585" s="268"/>
      <c r="FYE585" s="268"/>
      <c r="FYF585" s="268"/>
      <c r="FYG585" s="268"/>
      <c r="FYH585" s="268"/>
      <c r="FYI585" s="268"/>
      <c r="FYJ585" s="268"/>
      <c r="FYK585" s="268"/>
      <c r="FYL585" s="268"/>
      <c r="FYM585" s="268"/>
      <c r="FYN585" s="268"/>
      <c r="FYO585" s="268"/>
      <c r="FYP585" s="268"/>
      <c r="FYQ585" s="268"/>
      <c r="FYR585" s="268"/>
      <c r="FYS585" s="268"/>
      <c r="FYT585" s="268"/>
      <c r="FYU585" s="268"/>
      <c r="FYV585" s="268"/>
      <c r="FYW585" s="268"/>
      <c r="FYX585" s="268"/>
      <c r="FYY585" s="268"/>
      <c r="FYZ585" s="268"/>
      <c r="FZA585" s="268"/>
      <c r="FZB585" s="268"/>
      <c r="FZC585" s="268"/>
      <c r="FZD585" s="268"/>
      <c r="FZE585" s="268"/>
      <c r="FZF585" s="268"/>
      <c r="FZG585" s="268"/>
      <c r="FZH585" s="268"/>
      <c r="FZI585" s="268"/>
      <c r="FZJ585" s="268"/>
      <c r="FZK585" s="268"/>
      <c r="FZL585" s="268"/>
      <c r="FZM585" s="268"/>
      <c r="FZN585" s="268"/>
      <c r="FZO585" s="268"/>
      <c r="FZP585" s="268"/>
      <c r="FZQ585" s="268"/>
      <c r="FZR585" s="268"/>
      <c r="FZS585" s="268"/>
      <c r="FZT585" s="268"/>
      <c r="FZU585" s="268"/>
      <c r="FZV585" s="268"/>
      <c r="FZW585" s="268"/>
      <c r="FZX585" s="268"/>
      <c r="FZY585" s="268"/>
      <c r="FZZ585" s="268"/>
      <c r="GAA585" s="268"/>
      <c r="GAB585" s="268"/>
      <c r="GAC585" s="268"/>
      <c r="GAD585" s="268"/>
      <c r="GAE585" s="268"/>
      <c r="GAF585" s="268"/>
      <c r="GAG585" s="268"/>
      <c r="GAH585" s="268"/>
      <c r="GAI585" s="268"/>
      <c r="GAJ585" s="268"/>
      <c r="GAK585" s="268"/>
      <c r="GAL585" s="268"/>
      <c r="GAM585" s="268"/>
      <c r="GAN585" s="268"/>
      <c r="GAO585" s="268"/>
      <c r="GAP585" s="268"/>
      <c r="GAQ585" s="268"/>
      <c r="GAR585" s="268"/>
      <c r="GAS585" s="268"/>
      <c r="GAT585" s="268"/>
      <c r="GAU585" s="268"/>
      <c r="GAV585" s="268"/>
      <c r="GAW585" s="268"/>
      <c r="GAX585" s="268"/>
      <c r="GAY585" s="268"/>
      <c r="GAZ585" s="268"/>
      <c r="GBA585" s="268"/>
      <c r="GBB585" s="268"/>
      <c r="GBC585" s="268"/>
      <c r="GBD585" s="268"/>
      <c r="GBE585" s="268"/>
      <c r="GBF585" s="268"/>
      <c r="GBG585" s="268"/>
      <c r="GBH585" s="268"/>
      <c r="GBI585" s="268"/>
      <c r="GBJ585" s="268"/>
      <c r="GBK585" s="268"/>
      <c r="GBL585" s="268"/>
      <c r="GBM585" s="268"/>
      <c r="GBN585" s="268"/>
      <c r="GBO585" s="268"/>
      <c r="GBP585" s="268"/>
      <c r="GBQ585" s="268"/>
      <c r="GBR585" s="268"/>
      <c r="GBS585" s="268"/>
      <c r="GBT585" s="268"/>
      <c r="GBU585" s="268"/>
      <c r="GBV585" s="268"/>
      <c r="GBW585" s="268"/>
      <c r="GBX585" s="268"/>
      <c r="GBY585" s="268"/>
      <c r="GBZ585" s="268"/>
      <c r="GCA585" s="268"/>
      <c r="GCB585" s="268"/>
      <c r="GCC585" s="268"/>
      <c r="GCD585" s="268"/>
      <c r="GCE585" s="268"/>
      <c r="GCF585" s="268"/>
      <c r="GCG585" s="268"/>
      <c r="GCH585" s="268"/>
      <c r="GCI585" s="268"/>
      <c r="GCJ585" s="268"/>
      <c r="GCK585" s="268"/>
      <c r="GCL585" s="268"/>
      <c r="GCM585" s="268"/>
      <c r="GCN585" s="268"/>
      <c r="GCO585" s="268"/>
      <c r="GCP585" s="268"/>
      <c r="GCQ585" s="268"/>
      <c r="GCR585" s="268"/>
      <c r="GCS585" s="268"/>
      <c r="GCT585" s="268"/>
      <c r="GCU585" s="268"/>
      <c r="GCV585" s="268"/>
      <c r="GCW585" s="268"/>
      <c r="GCX585" s="268"/>
      <c r="GCY585" s="268"/>
      <c r="GCZ585" s="268"/>
      <c r="GDA585" s="268"/>
      <c r="GDB585" s="268"/>
      <c r="GDC585" s="268"/>
      <c r="GDD585" s="268"/>
      <c r="GDE585" s="268"/>
      <c r="GDF585" s="268"/>
      <c r="GDG585" s="268"/>
      <c r="GDH585" s="268"/>
      <c r="GDI585" s="268"/>
      <c r="GDJ585" s="268"/>
      <c r="GDK585" s="268"/>
      <c r="GDL585" s="268"/>
      <c r="GDM585" s="268"/>
      <c r="GDN585" s="268"/>
      <c r="GDO585" s="268"/>
      <c r="GDP585" s="268"/>
      <c r="GDQ585" s="268"/>
      <c r="GDR585" s="268"/>
      <c r="GDS585" s="268"/>
      <c r="GEG585" s="268"/>
      <c r="GEH585" s="268"/>
      <c r="GEI585" s="268"/>
      <c r="GEW585" s="268"/>
      <c r="GEY585" s="268"/>
      <c r="GEZ585" s="268"/>
      <c r="GFA585" s="268"/>
      <c r="GFB585" s="268"/>
      <c r="GFC585" s="268"/>
      <c r="GFD585" s="268"/>
      <c r="GFE585" s="268"/>
      <c r="GFF585" s="268"/>
      <c r="GFG585" s="268"/>
      <c r="GFH585" s="268"/>
      <c r="GFI585" s="268"/>
      <c r="GFJ585" s="268"/>
      <c r="GFK585" s="268"/>
      <c r="GFL585" s="268"/>
      <c r="GFM585" s="268"/>
      <c r="GFN585" s="268"/>
      <c r="GFO585" s="268"/>
      <c r="GFP585" s="268"/>
      <c r="GFQ585" s="268"/>
      <c r="GFR585" s="268"/>
      <c r="GFS585" s="268"/>
      <c r="GFT585" s="268"/>
      <c r="GFU585" s="268"/>
      <c r="GFV585" s="268"/>
      <c r="GFW585" s="268"/>
      <c r="GFX585" s="268"/>
      <c r="GFY585" s="268"/>
      <c r="GFZ585" s="268"/>
      <c r="GGA585" s="268"/>
      <c r="GGB585" s="268"/>
      <c r="GGC585" s="268"/>
      <c r="GGD585" s="268"/>
      <c r="GGE585" s="268"/>
      <c r="GGF585" s="268"/>
      <c r="GGG585" s="268"/>
      <c r="GGH585" s="268"/>
      <c r="GGI585" s="268"/>
      <c r="GGJ585" s="268"/>
      <c r="GGK585" s="268"/>
      <c r="GGL585" s="268"/>
      <c r="GGM585" s="268"/>
      <c r="GGN585" s="268"/>
      <c r="GGO585" s="268"/>
      <c r="GGP585" s="268"/>
      <c r="GGQ585" s="268"/>
      <c r="GGR585" s="268"/>
      <c r="GGS585" s="268"/>
      <c r="GGT585" s="268"/>
      <c r="GGU585" s="268"/>
      <c r="GGV585" s="268"/>
      <c r="GGW585" s="268"/>
      <c r="GGX585" s="268"/>
      <c r="GGY585" s="268"/>
      <c r="GGZ585" s="268"/>
      <c r="GHA585" s="268"/>
      <c r="GHB585" s="268"/>
      <c r="GHC585" s="268"/>
      <c r="GHD585" s="268"/>
      <c r="GHE585" s="268"/>
      <c r="GHF585" s="268"/>
      <c r="GHG585" s="268"/>
      <c r="GHH585" s="268"/>
      <c r="GHI585" s="268"/>
      <c r="GHJ585" s="268"/>
      <c r="GHK585" s="268"/>
      <c r="GHL585" s="268"/>
      <c r="GHM585" s="268"/>
      <c r="GHN585" s="268"/>
      <c r="GHO585" s="268"/>
      <c r="GHP585" s="268"/>
      <c r="GHQ585" s="268"/>
      <c r="GHR585" s="268"/>
      <c r="GHS585" s="268"/>
      <c r="GHT585" s="268"/>
      <c r="GHU585" s="268"/>
      <c r="GHV585" s="268"/>
      <c r="GHW585" s="268"/>
      <c r="GHX585" s="268"/>
      <c r="GHY585" s="268"/>
      <c r="GHZ585" s="268"/>
      <c r="GIA585" s="268"/>
      <c r="GIB585" s="268"/>
      <c r="GIC585" s="268"/>
      <c r="GID585" s="268"/>
      <c r="GIE585" s="268"/>
      <c r="GIF585" s="268"/>
      <c r="GIG585" s="268"/>
      <c r="GIH585" s="268"/>
      <c r="GII585" s="268"/>
      <c r="GIJ585" s="268"/>
      <c r="GIK585" s="268"/>
      <c r="GIL585" s="268"/>
      <c r="GIM585" s="268"/>
      <c r="GIN585" s="268"/>
      <c r="GIO585" s="268"/>
      <c r="GIP585" s="268"/>
      <c r="GIQ585" s="268"/>
      <c r="GIR585" s="268"/>
      <c r="GIS585" s="268"/>
      <c r="GIT585" s="268"/>
      <c r="GIU585" s="268"/>
      <c r="GIV585" s="268"/>
      <c r="GIW585" s="268"/>
      <c r="GIX585" s="268"/>
      <c r="GIY585" s="268"/>
      <c r="GIZ585" s="268"/>
      <c r="GJA585" s="268"/>
      <c r="GJB585" s="268"/>
      <c r="GJC585" s="268"/>
      <c r="GJD585" s="268"/>
      <c r="GJE585" s="268"/>
      <c r="GJF585" s="268"/>
      <c r="GJG585" s="268"/>
      <c r="GJH585" s="268"/>
      <c r="GJI585" s="268"/>
      <c r="GJJ585" s="268"/>
      <c r="GJK585" s="268"/>
      <c r="GJL585" s="268"/>
      <c r="GJM585" s="268"/>
      <c r="GJN585" s="268"/>
      <c r="GJO585" s="268"/>
      <c r="GJP585" s="268"/>
      <c r="GJQ585" s="268"/>
      <c r="GJR585" s="268"/>
      <c r="GJS585" s="268"/>
      <c r="GJT585" s="268"/>
      <c r="GJU585" s="268"/>
      <c r="GJV585" s="268"/>
      <c r="GJW585" s="268"/>
      <c r="GJX585" s="268"/>
      <c r="GJY585" s="268"/>
      <c r="GJZ585" s="268"/>
      <c r="GKA585" s="268"/>
      <c r="GKB585" s="268"/>
      <c r="GKC585" s="268"/>
      <c r="GKD585" s="268"/>
      <c r="GKE585" s="268"/>
      <c r="GKF585" s="268"/>
      <c r="GKG585" s="268"/>
      <c r="GKH585" s="268"/>
      <c r="GKI585" s="268"/>
      <c r="GKJ585" s="268"/>
      <c r="GKK585" s="268"/>
      <c r="GKL585" s="268"/>
      <c r="GKM585" s="268"/>
      <c r="GKN585" s="268"/>
      <c r="GKO585" s="268"/>
      <c r="GKP585" s="268"/>
      <c r="GKQ585" s="268"/>
      <c r="GKR585" s="268"/>
      <c r="GKS585" s="268"/>
      <c r="GKT585" s="268"/>
      <c r="GKU585" s="268"/>
      <c r="GKV585" s="268"/>
      <c r="GKW585" s="268"/>
      <c r="GKX585" s="268"/>
      <c r="GKY585" s="268"/>
      <c r="GKZ585" s="268"/>
      <c r="GLA585" s="268"/>
      <c r="GLB585" s="268"/>
      <c r="GLC585" s="268"/>
      <c r="GLD585" s="268"/>
      <c r="GLE585" s="268"/>
      <c r="GLF585" s="268"/>
      <c r="GLG585" s="268"/>
      <c r="GLH585" s="268"/>
      <c r="GLI585" s="268"/>
      <c r="GLJ585" s="268"/>
      <c r="GLK585" s="268"/>
      <c r="GLL585" s="268"/>
      <c r="GLM585" s="268"/>
      <c r="GLN585" s="268"/>
      <c r="GLO585" s="268"/>
      <c r="GLP585" s="268"/>
      <c r="GLQ585" s="268"/>
      <c r="GLR585" s="268"/>
      <c r="GLS585" s="268"/>
      <c r="GLT585" s="268"/>
      <c r="GLU585" s="268"/>
      <c r="GLV585" s="268"/>
      <c r="GLW585" s="268"/>
      <c r="GLX585" s="268"/>
      <c r="GLY585" s="268"/>
      <c r="GLZ585" s="268"/>
      <c r="GMA585" s="268"/>
      <c r="GMB585" s="268"/>
      <c r="GMC585" s="268"/>
      <c r="GMD585" s="268"/>
      <c r="GME585" s="268"/>
      <c r="GMF585" s="268"/>
      <c r="GMG585" s="268"/>
      <c r="GMH585" s="268"/>
      <c r="GMI585" s="268"/>
      <c r="GMJ585" s="268"/>
      <c r="GMK585" s="268"/>
      <c r="GML585" s="268"/>
      <c r="GMM585" s="268"/>
      <c r="GMN585" s="268"/>
      <c r="GMO585" s="268"/>
      <c r="GMP585" s="268"/>
      <c r="GMQ585" s="268"/>
      <c r="GMR585" s="268"/>
      <c r="GMS585" s="268"/>
      <c r="GMT585" s="268"/>
      <c r="GMU585" s="268"/>
      <c r="GMV585" s="268"/>
      <c r="GMW585" s="268"/>
      <c r="GMX585" s="268"/>
      <c r="GMY585" s="268"/>
      <c r="GMZ585" s="268"/>
      <c r="GNA585" s="268"/>
      <c r="GNB585" s="268"/>
      <c r="GNC585" s="268"/>
      <c r="GND585" s="268"/>
      <c r="GNE585" s="268"/>
      <c r="GNF585" s="268"/>
      <c r="GNG585" s="268"/>
      <c r="GNH585" s="268"/>
      <c r="GNI585" s="268"/>
      <c r="GNJ585" s="268"/>
      <c r="GNK585" s="268"/>
      <c r="GNL585" s="268"/>
      <c r="GNM585" s="268"/>
      <c r="GNN585" s="268"/>
      <c r="GNO585" s="268"/>
      <c r="GOC585" s="268"/>
      <c r="GOD585" s="268"/>
      <c r="GOE585" s="268"/>
      <c r="GOS585" s="268"/>
      <c r="GOU585" s="268"/>
      <c r="GOV585" s="268"/>
      <c r="GOW585" s="268"/>
      <c r="GOX585" s="268"/>
      <c r="GOY585" s="268"/>
      <c r="GOZ585" s="268"/>
      <c r="GPA585" s="268"/>
      <c r="GPB585" s="268"/>
      <c r="GPC585" s="268"/>
      <c r="GPD585" s="268"/>
      <c r="GPE585" s="268"/>
      <c r="GPF585" s="268"/>
      <c r="GPG585" s="268"/>
      <c r="GPH585" s="268"/>
      <c r="GPI585" s="268"/>
      <c r="GPJ585" s="268"/>
      <c r="GPK585" s="268"/>
      <c r="GPL585" s="268"/>
      <c r="GPM585" s="268"/>
      <c r="GPN585" s="268"/>
      <c r="GPO585" s="268"/>
      <c r="GPP585" s="268"/>
      <c r="GPQ585" s="268"/>
      <c r="GPR585" s="268"/>
      <c r="GPS585" s="268"/>
      <c r="GPT585" s="268"/>
      <c r="GPU585" s="268"/>
      <c r="GPV585" s="268"/>
      <c r="GPW585" s="268"/>
      <c r="GPX585" s="268"/>
      <c r="GPY585" s="268"/>
      <c r="GPZ585" s="268"/>
      <c r="GQA585" s="268"/>
      <c r="GQB585" s="268"/>
      <c r="GQC585" s="268"/>
      <c r="GQD585" s="268"/>
      <c r="GQE585" s="268"/>
      <c r="GQF585" s="268"/>
      <c r="GQG585" s="268"/>
      <c r="GQH585" s="268"/>
      <c r="GQI585" s="268"/>
      <c r="GQJ585" s="268"/>
      <c r="GQK585" s="268"/>
      <c r="GQL585" s="268"/>
      <c r="GQM585" s="268"/>
      <c r="GQN585" s="268"/>
      <c r="GQO585" s="268"/>
      <c r="GQP585" s="268"/>
      <c r="GQQ585" s="268"/>
      <c r="GQR585" s="268"/>
      <c r="GQS585" s="268"/>
      <c r="GQT585" s="268"/>
      <c r="GQU585" s="268"/>
      <c r="GQV585" s="268"/>
      <c r="GQW585" s="268"/>
      <c r="GQX585" s="268"/>
      <c r="GQY585" s="268"/>
      <c r="GQZ585" s="268"/>
      <c r="GRA585" s="268"/>
      <c r="GRB585" s="268"/>
      <c r="GRC585" s="268"/>
      <c r="GRD585" s="268"/>
      <c r="GRE585" s="268"/>
      <c r="GRF585" s="268"/>
      <c r="GRG585" s="268"/>
      <c r="GRH585" s="268"/>
      <c r="GRI585" s="268"/>
      <c r="GRJ585" s="268"/>
      <c r="GRK585" s="268"/>
      <c r="GRL585" s="268"/>
      <c r="GRM585" s="268"/>
      <c r="GRN585" s="268"/>
      <c r="GRO585" s="268"/>
      <c r="GRP585" s="268"/>
      <c r="GRQ585" s="268"/>
      <c r="GRR585" s="268"/>
      <c r="GRS585" s="268"/>
      <c r="GRT585" s="268"/>
      <c r="GRU585" s="268"/>
      <c r="GRV585" s="268"/>
      <c r="GRW585" s="268"/>
      <c r="GRX585" s="268"/>
      <c r="GRY585" s="268"/>
      <c r="GRZ585" s="268"/>
      <c r="GSA585" s="268"/>
      <c r="GSB585" s="268"/>
      <c r="GSC585" s="268"/>
      <c r="GSD585" s="268"/>
      <c r="GSE585" s="268"/>
      <c r="GSF585" s="268"/>
      <c r="GSG585" s="268"/>
      <c r="GSH585" s="268"/>
      <c r="GSI585" s="268"/>
      <c r="GSJ585" s="268"/>
      <c r="GSK585" s="268"/>
      <c r="GSL585" s="268"/>
      <c r="GSM585" s="268"/>
      <c r="GSN585" s="268"/>
      <c r="GSO585" s="268"/>
      <c r="GSP585" s="268"/>
      <c r="GSQ585" s="268"/>
      <c r="GSR585" s="268"/>
      <c r="GSS585" s="268"/>
      <c r="GST585" s="268"/>
      <c r="GSU585" s="268"/>
      <c r="GSV585" s="268"/>
      <c r="GSW585" s="268"/>
      <c r="GSX585" s="268"/>
      <c r="GSY585" s="268"/>
      <c r="GSZ585" s="268"/>
      <c r="GTA585" s="268"/>
      <c r="GTB585" s="268"/>
      <c r="GTC585" s="268"/>
      <c r="GTD585" s="268"/>
      <c r="GTE585" s="268"/>
      <c r="GTF585" s="268"/>
      <c r="GTG585" s="268"/>
      <c r="GTH585" s="268"/>
      <c r="GTI585" s="268"/>
      <c r="GTJ585" s="268"/>
      <c r="GTK585" s="268"/>
      <c r="GTL585" s="268"/>
      <c r="GTM585" s="268"/>
      <c r="GTN585" s="268"/>
      <c r="GTO585" s="268"/>
      <c r="GTP585" s="268"/>
      <c r="GTQ585" s="268"/>
      <c r="GTR585" s="268"/>
      <c r="GTS585" s="268"/>
      <c r="GTT585" s="268"/>
      <c r="GTU585" s="268"/>
      <c r="GTV585" s="268"/>
      <c r="GTW585" s="268"/>
      <c r="GTX585" s="268"/>
      <c r="GTY585" s="268"/>
      <c r="GTZ585" s="268"/>
      <c r="GUA585" s="268"/>
      <c r="GUB585" s="268"/>
      <c r="GUC585" s="268"/>
      <c r="GUD585" s="268"/>
      <c r="GUE585" s="268"/>
      <c r="GUF585" s="268"/>
      <c r="GUG585" s="268"/>
      <c r="GUH585" s="268"/>
      <c r="GUI585" s="268"/>
      <c r="GUJ585" s="268"/>
      <c r="GUK585" s="268"/>
      <c r="GUL585" s="268"/>
      <c r="GUM585" s="268"/>
      <c r="GUN585" s="268"/>
      <c r="GUO585" s="268"/>
      <c r="GUP585" s="268"/>
      <c r="GUQ585" s="268"/>
      <c r="GUR585" s="268"/>
      <c r="GUS585" s="268"/>
      <c r="GUT585" s="268"/>
      <c r="GUU585" s="268"/>
      <c r="GUV585" s="268"/>
      <c r="GUW585" s="268"/>
      <c r="GUX585" s="268"/>
      <c r="GUY585" s="268"/>
      <c r="GUZ585" s="268"/>
      <c r="GVA585" s="268"/>
      <c r="GVB585" s="268"/>
      <c r="GVC585" s="268"/>
      <c r="GVD585" s="268"/>
      <c r="GVE585" s="268"/>
      <c r="GVF585" s="268"/>
      <c r="GVG585" s="268"/>
      <c r="GVH585" s="268"/>
      <c r="GVI585" s="268"/>
      <c r="GVJ585" s="268"/>
      <c r="GVK585" s="268"/>
      <c r="GVL585" s="268"/>
      <c r="GVM585" s="268"/>
      <c r="GVN585" s="268"/>
      <c r="GVO585" s="268"/>
      <c r="GVP585" s="268"/>
      <c r="GVQ585" s="268"/>
      <c r="GVR585" s="268"/>
      <c r="GVS585" s="268"/>
      <c r="GVT585" s="268"/>
      <c r="GVU585" s="268"/>
      <c r="GVV585" s="268"/>
      <c r="GVW585" s="268"/>
      <c r="GVX585" s="268"/>
      <c r="GVY585" s="268"/>
      <c r="GVZ585" s="268"/>
      <c r="GWA585" s="268"/>
      <c r="GWB585" s="268"/>
      <c r="GWC585" s="268"/>
      <c r="GWD585" s="268"/>
      <c r="GWE585" s="268"/>
      <c r="GWF585" s="268"/>
      <c r="GWG585" s="268"/>
      <c r="GWH585" s="268"/>
      <c r="GWI585" s="268"/>
      <c r="GWJ585" s="268"/>
      <c r="GWK585" s="268"/>
      <c r="GWL585" s="268"/>
      <c r="GWM585" s="268"/>
      <c r="GWN585" s="268"/>
      <c r="GWO585" s="268"/>
      <c r="GWP585" s="268"/>
      <c r="GWQ585" s="268"/>
      <c r="GWR585" s="268"/>
      <c r="GWS585" s="268"/>
      <c r="GWT585" s="268"/>
      <c r="GWU585" s="268"/>
      <c r="GWV585" s="268"/>
      <c r="GWW585" s="268"/>
      <c r="GWX585" s="268"/>
      <c r="GWY585" s="268"/>
      <c r="GWZ585" s="268"/>
      <c r="GXA585" s="268"/>
      <c r="GXB585" s="268"/>
      <c r="GXC585" s="268"/>
      <c r="GXD585" s="268"/>
      <c r="GXE585" s="268"/>
      <c r="GXF585" s="268"/>
      <c r="GXG585" s="268"/>
      <c r="GXH585" s="268"/>
      <c r="GXI585" s="268"/>
      <c r="GXJ585" s="268"/>
      <c r="GXK585" s="268"/>
      <c r="GXY585" s="268"/>
      <c r="GXZ585" s="268"/>
      <c r="GYA585" s="268"/>
      <c r="GYO585" s="268"/>
      <c r="GYQ585" s="268"/>
      <c r="GYR585" s="268"/>
      <c r="GYS585" s="268"/>
      <c r="GYT585" s="268"/>
      <c r="GYU585" s="268"/>
      <c r="GYV585" s="268"/>
      <c r="GYW585" s="268"/>
      <c r="GYX585" s="268"/>
      <c r="GYY585" s="268"/>
      <c r="GYZ585" s="268"/>
      <c r="GZA585" s="268"/>
      <c r="GZB585" s="268"/>
      <c r="GZC585" s="268"/>
      <c r="GZD585" s="268"/>
      <c r="GZE585" s="268"/>
      <c r="GZF585" s="268"/>
      <c r="GZG585" s="268"/>
      <c r="GZH585" s="268"/>
      <c r="GZI585" s="268"/>
      <c r="GZJ585" s="268"/>
      <c r="GZK585" s="268"/>
      <c r="GZL585" s="268"/>
      <c r="GZM585" s="268"/>
      <c r="GZN585" s="268"/>
      <c r="GZO585" s="268"/>
      <c r="GZP585" s="268"/>
      <c r="GZQ585" s="268"/>
      <c r="GZR585" s="268"/>
      <c r="GZS585" s="268"/>
      <c r="GZT585" s="268"/>
      <c r="GZU585" s="268"/>
      <c r="GZV585" s="268"/>
      <c r="GZW585" s="268"/>
      <c r="GZX585" s="268"/>
      <c r="GZY585" s="268"/>
      <c r="GZZ585" s="268"/>
      <c r="HAA585" s="268"/>
      <c r="HAB585" s="268"/>
      <c r="HAC585" s="268"/>
      <c r="HAD585" s="268"/>
      <c r="HAE585" s="268"/>
      <c r="HAF585" s="268"/>
      <c r="HAG585" s="268"/>
      <c r="HAH585" s="268"/>
      <c r="HAI585" s="268"/>
      <c r="HAJ585" s="268"/>
      <c r="HAK585" s="268"/>
      <c r="HAL585" s="268"/>
      <c r="HAM585" s="268"/>
      <c r="HAN585" s="268"/>
      <c r="HAO585" s="268"/>
      <c r="HAP585" s="268"/>
      <c r="HAQ585" s="268"/>
      <c r="HAR585" s="268"/>
      <c r="HAS585" s="268"/>
      <c r="HAT585" s="268"/>
      <c r="HAU585" s="268"/>
      <c r="HAV585" s="268"/>
      <c r="HAW585" s="268"/>
      <c r="HAX585" s="268"/>
      <c r="HAY585" s="268"/>
      <c r="HAZ585" s="268"/>
      <c r="HBA585" s="268"/>
      <c r="HBB585" s="268"/>
      <c r="HBC585" s="268"/>
      <c r="HBD585" s="268"/>
      <c r="HBE585" s="268"/>
      <c r="HBF585" s="268"/>
      <c r="HBG585" s="268"/>
      <c r="HBH585" s="268"/>
      <c r="HBI585" s="268"/>
      <c r="HBJ585" s="268"/>
      <c r="HBK585" s="268"/>
      <c r="HBL585" s="268"/>
      <c r="HBM585" s="268"/>
      <c r="HBN585" s="268"/>
      <c r="HBO585" s="268"/>
      <c r="HBP585" s="268"/>
      <c r="HBQ585" s="268"/>
      <c r="HBR585" s="268"/>
      <c r="HBS585" s="268"/>
      <c r="HBT585" s="268"/>
      <c r="HBU585" s="268"/>
      <c r="HBV585" s="268"/>
      <c r="HBW585" s="268"/>
      <c r="HBX585" s="268"/>
      <c r="HBY585" s="268"/>
      <c r="HBZ585" s="268"/>
      <c r="HCA585" s="268"/>
      <c r="HCB585" s="268"/>
      <c r="HCC585" s="268"/>
      <c r="HCD585" s="268"/>
      <c r="HCE585" s="268"/>
      <c r="HCF585" s="268"/>
      <c r="HCG585" s="268"/>
      <c r="HCH585" s="268"/>
      <c r="HCI585" s="268"/>
      <c r="HCJ585" s="268"/>
      <c r="HCK585" s="268"/>
      <c r="HCL585" s="268"/>
      <c r="HCM585" s="268"/>
      <c r="HCN585" s="268"/>
      <c r="HCO585" s="268"/>
      <c r="HCP585" s="268"/>
      <c r="HCQ585" s="268"/>
      <c r="HCR585" s="268"/>
      <c r="HCS585" s="268"/>
      <c r="HCT585" s="268"/>
      <c r="HCU585" s="268"/>
      <c r="HCV585" s="268"/>
      <c r="HCW585" s="268"/>
      <c r="HCX585" s="268"/>
      <c r="HCY585" s="268"/>
      <c r="HCZ585" s="268"/>
      <c r="HDA585" s="268"/>
      <c r="HDB585" s="268"/>
      <c r="HDC585" s="268"/>
      <c r="HDD585" s="268"/>
      <c r="HDE585" s="268"/>
      <c r="HDF585" s="268"/>
      <c r="HDG585" s="268"/>
      <c r="HDH585" s="268"/>
      <c r="HDI585" s="268"/>
      <c r="HDJ585" s="268"/>
      <c r="HDK585" s="268"/>
      <c r="HDL585" s="268"/>
      <c r="HDM585" s="268"/>
      <c r="HDN585" s="268"/>
      <c r="HDO585" s="268"/>
      <c r="HDP585" s="268"/>
      <c r="HDQ585" s="268"/>
      <c r="HDR585" s="268"/>
      <c r="HDS585" s="268"/>
      <c r="HDT585" s="268"/>
      <c r="HDU585" s="268"/>
      <c r="HDV585" s="268"/>
      <c r="HDW585" s="268"/>
      <c r="HDX585" s="268"/>
      <c r="HDY585" s="268"/>
      <c r="HDZ585" s="268"/>
      <c r="HEA585" s="268"/>
      <c r="HEB585" s="268"/>
      <c r="HEC585" s="268"/>
      <c r="HED585" s="268"/>
      <c r="HEE585" s="268"/>
      <c r="HEF585" s="268"/>
      <c r="HEG585" s="268"/>
      <c r="HEH585" s="268"/>
      <c r="HEI585" s="268"/>
      <c r="HEJ585" s="268"/>
      <c r="HEK585" s="268"/>
      <c r="HEL585" s="268"/>
      <c r="HEM585" s="268"/>
      <c r="HEN585" s="268"/>
      <c r="HEO585" s="268"/>
      <c r="HEP585" s="268"/>
      <c r="HEQ585" s="268"/>
      <c r="HER585" s="268"/>
      <c r="HES585" s="268"/>
      <c r="HET585" s="268"/>
      <c r="HEU585" s="268"/>
      <c r="HEV585" s="268"/>
      <c r="HEW585" s="268"/>
      <c r="HEX585" s="268"/>
      <c r="HEY585" s="268"/>
      <c r="HEZ585" s="268"/>
      <c r="HFA585" s="268"/>
      <c r="HFB585" s="268"/>
      <c r="HFC585" s="268"/>
      <c r="HFD585" s="268"/>
      <c r="HFE585" s="268"/>
      <c r="HFF585" s="268"/>
      <c r="HFG585" s="268"/>
      <c r="HFH585" s="268"/>
      <c r="HFI585" s="268"/>
      <c r="HFJ585" s="268"/>
      <c r="HFK585" s="268"/>
      <c r="HFL585" s="268"/>
      <c r="HFM585" s="268"/>
      <c r="HFN585" s="268"/>
      <c r="HFO585" s="268"/>
      <c r="HFP585" s="268"/>
      <c r="HFQ585" s="268"/>
      <c r="HFR585" s="268"/>
      <c r="HFS585" s="268"/>
      <c r="HFT585" s="268"/>
      <c r="HFU585" s="268"/>
      <c r="HFV585" s="268"/>
      <c r="HFW585" s="268"/>
      <c r="HFX585" s="268"/>
      <c r="HFY585" s="268"/>
      <c r="HFZ585" s="268"/>
      <c r="HGA585" s="268"/>
      <c r="HGB585" s="268"/>
      <c r="HGC585" s="268"/>
      <c r="HGD585" s="268"/>
      <c r="HGE585" s="268"/>
      <c r="HGF585" s="268"/>
      <c r="HGG585" s="268"/>
      <c r="HGH585" s="268"/>
      <c r="HGI585" s="268"/>
      <c r="HGJ585" s="268"/>
      <c r="HGK585" s="268"/>
      <c r="HGL585" s="268"/>
      <c r="HGM585" s="268"/>
      <c r="HGN585" s="268"/>
      <c r="HGO585" s="268"/>
      <c r="HGP585" s="268"/>
      <c r="HGQ585" s="268"/>
      <c r="HGR585" s="268"/>
      <c r="HGS585" s="268"/>
      <c r="HGT585" s="268"/>
      <c r="HGU585" s="268"/>
      <c r="HGV585" s="268"/>
      <c r="HGW585" s="268"/>
      <c r="HGX585" s="268"/>
      <c r="HGY585" s="268"/>
      <c r="HGZ585" s="268"/>
      <c r="HHA585" s="268"/>
      <c r="HHB585" s="268"/>
      <c r="HHC585" s="268"/>
      <c r="HHD585" s="268"/>
      <c r="HHE585" s="268"/>
      <c r="HHF585" s="268"/>
      <c r="HHG585" s="268"/>
      <c r="HHU585" s="268"/>
      <c r="HHV585" s="268"/>
      <c r="HHW585" s="268"/>
      <c r="HIK585" s="268"/>
      <c r="HIM585" s="268"/>
      <c r="HIN585" s="268"/>
      <c r="HIO585" s="268"/>
      <c r="HIP585" s="268"/>
      <c r="HIQ585" s="268"/>
      <c r="HIR585" s="268"/>
      <c r="HIS585" s="268"/>
      <c r="HIT585" s="268"/>
      <c r="HIU585" s="268"/>
      <c r="HIV585" s="268"/>
      <c r="HIW585" s="268"/>
      <c r="HIX585" s="268"/>
      <c r="HIY585" s="268"/>
      <c r="HIZ585" s="268"/>
      <c r="HJA585" s="268"/>
      <c r="HJB585" s="268"/>
      <c r="HJC585" s="268"/>
      <c r="HJD585" s="268"/>
      <c r="HJE585" s="268"/>
      <c r="HJF585" s="268"/>
      <c r="HJG585" s="268"/>
      <c r="HJH585" s="268"/>
      <c r="HJI585" s="268"/>
      <c r="HJJ585" s="268"/>
      <c r="HJK585" s="268"/>
      <c r="HJL585" s="268"/>
      <c r="HJM585" s="268"/>
      <c r="HJN585" s="268"/>
      <c r="HJO585" s="268"/>
      <c r="HJP585" s="268"/>
      <c r="HJQ585" s="268"/>
      <c r="HJR585" s="268"/>
      <c r="HJS585" s="268"/>
      <c r="HJT585" s="268"/>
      <c r="HJU585" s="268"/>
      <c r="HJV585" s="268"/>
      <c r="HJW585" s="268"/>
      <c r="HJX585" s="268"/>
      <c r="HJY585" s="268"/>
      <c r="HJZ585" s="268"/>
      <c r="HKA585" s="268"/>
      <c r="HKB585" s="268"/>
      <c r="HKC585" s="268"/>
      <c r="HKD585" s="268"/>
      <c r="HKE585" s="268"/>
      <c r="HKF585" s="268"/>
      <c r="HKG585" s="268"/>
      <c r="HKH585" s="268"/>
      <c r="HKI585" s="268"/>
      <c r="HKJ585" s="268"/>
      <c r="HKK585" s="268"/>
      <c r="HKL585" s="268"/>
      <c r="HKM585" s="268"/>
      <c r="HKN585" s="268"/>
      <c r="HKO585" s="268"/>
      <c r="HKP585" s="268"/>
      <c r="HKQ585" s="268"/>
      <c r="HKR585" s="268"/>
      <c r="HKS585" s="268"/>
      <c r="HKT585" s="268"/>
      <c r="HKU585" s="268"/>
      <c r="HKV585" s="268"/>
      <c r="HKW585" s="268"/>
      <c r="HKX585" s="268"/>
      <c r="HKY585" s="268"/>
      <c r="HKZ585" s="268"/>
      <c r="HLA585" s="268"/>
      <c r="HLB585" s="268"/>
      <c r="HLC585" s="268"/>
      <c r="HLD585" s="268"/>
      <c r="HLE585" s="268"/>
      <c r="HLF585" s="268"/>
      <c r="HLG585" s="268"/>
      <c r="HLH585" s="268"/>
      <c r="HLI585" s="268"/>
      <c r="HLJ585" s="268"/>
      <c r="HLK585" s="268"/>
      <c r="HLL585" s="268"/>
      <c r="HLM585" s="268"/>
      <c r="HLN585" s="268"/>
      <c r="HLO585" s="268"/>
      <c r="HLP585" s="268"/>
      <c r="HLQ585" s="268"/>
      <c r="HLR585" s="268"/>
      <c r="HLS585" s="268"/>
      <c r="HLT585" s="268"/>
      <c r="HLU585" s="268"/>
      <c r="HLV585" s="268"/>
      <c r="HLW585" s="268"/>
      <c r="HLX585" s="268"/>
      <c r="HLY585" s="268"/>
      <c r="HLZ585" s="268"/>
      <c r="HMA585" s="268"/>
      <c r="HMB585" s="268"/>
      <c r="HMC585" s="268"/>
      <c r="HMD585" s="268"/>
      <c r="HME585" s="268"/>
      <c r="HMF585" s="268"/>
      <c r="HMG585" s="268"/>
      <c r="HMH585" s="268"/>
      <c r="HMI585" s="268"/>
      <c r="HMJ585" s="268"/>
      <c r="HMK585" s="268"/>
      <c r="HML585" s="268"/>
      <c r="HMM585" s="268"/>
      <c r="HMN585" s="268"/>
      <c r="HMO585" s="268"/>
      <c r="HMP585" s="268"/>
      <c r="HMQ585" s="268"/>
      <c r="HMR585" s="268"/>
      <c r="HMS585" s="268"/>
      <c r="HMT585" s="268"/>
      <c r="HMU585" s="268"/>
      <c r="HMV585" s="268"/>
      <c r="HMW585" s="268"/>
      <c r="HMX585" s="268"/>
      <c r="HMY585" s="268"/>
      <c r="HMZ585" s="268"/>
      <c r="HNA585" s="268"/>
      <c r="HNB585" s="268"/>
      <c r="HNC585" s="268"/>
      <c r="HND585" s="268"/>
      <c r="HNE585" s="268"/>
      <c r="HNF585" s="268"/>
      <c r="HNG585" s="268"/>
      <c r="HNH585" s="268"/>
      <c r="HNI585" s="268"/>
      <c r="HNJ585" s="268"/>
      <c r="HNK585" s="268"/>
      <c r="HNL585" s="268"/>
      <c r="HNM585" s="268"/>
      <c r="HNN585" s="268"/>
      <c r="HNO585" s="268"/>
      <c r="HNP585" s="268"/>
      <c r="HNQ585" s="268"/>
      <c r="HNR585" s="268"/>
      <c r="HNS585" s="268"/>
      <c r="HNT585" s="268"/>
      <c r="HNU585" s="268"/>
      <c r="HNV585" s="268"/>
      <c r="HNW585" s="268"/>
      <c r="HNX585" s="268"/>
      <c r="HNY585" s="268"/>
      <c r="HNZ585" s="268"/>
      <c r="HOA585" s="268"/>
      <c r="HOB585" s="268"/>
      <c r="HOC585" s="268"/>
      <c r="HOD585" s="268"/>
      <c r="HOE585" s="268"/>
      <c r="HOF585" s="268"/>
      <c r="HOG585" s="268"/>
      <c r="HOH585" s="268"/>
      <c r="HOI585" s="268"/>
      <c r="HOJ585" s="268"/>
      <c r="HOK585" s="268"/>
      <c r="HOL585" s="268"/>
      <c r="HOM585" s="268"/>
      <c r="HON585" s="268"/>
      <c r="HOO585" s="268"/>
      <c r="HOP585" s="268"/>
      <c r="HOQ585" s="268"/>
      <c r="HOR585" s="268"/>
      <c r="HOS585" s="268"/>
      <c r="HOT585" s="268"/>
      <c r="HOU585" s="268"/>
      <c r="HOV585" s="268"/>
      <c r="HOW585" s="268"/>
      <c r="HOX585" s="268"/>
      <c r="HOY585" s="268"/>
      <c r="HOZ585" s="268"/>
      <c r="HPA585" s="268"/>
      <c r="HPB585" s="268"/>
      <c r="HPC585" s="268"/>
      <c r="HPD585" s="268"/>
      <c r="HPE585" s="268"/>
      <c r="HPF585" s="268"/>
      <c r="HPG585" s="268"/>
      <c r="HPH585" s="268"/>
      <c r="HPI585" s="268"/>
      <c r="HPJ585" s="268"/>
      <c r="HPK585" s="268"/>
      <c r="HPL585" s="268"/>
      <c r="HPM585" s="268"/>
      <c r="HPN585" s="268"/>
      <c r="HPO585" s="268"/>
      <c r="HPP585" s="268"/>
      <c r="HPQ585" s="268"/>
      <c r="HPR585" s="268"/>
      <c r="HPS585" s="268"/>
      <c r="HPT585" s="268"/>
      <c r="HPU585" s="268"/>
      <c r="HPV585" s="268"/>
      <c r="HPW585" s="268"/>
      <c r="HPX585" s="268"/>
      <c r="HPY585" s="268"/>
      <c r="HPZ585" s="268"/>
      <c r="HQA585" s="268"/>
      <c r="HQB585" s="268"/>
      <c r="HQC585" s="268"/>
      <c r="HQD585" s="268"/>
      <c r="HQE585" s="268"/>
      <c r="HQF585" s="268"/>
      <c r="HQG585" s="268"/>
      <c r="HQH585" s="268"/>
      <c r="HQI585" s="268"/>
      <c r="HQJ585" s="268"/>
      <c r="HQK585" s="268"/>
      <c r="HQL585" s="268"/>
      <c r="HQM585" s="268"/>
      <c r="HQN585" s="268"/>
      <c r="HQO585" s="268"/>
      <c r="HQP585" s="268"/>
      <c r="HQQ585" s="268"/>
      <c r="HQR585" s="268"/>
      <c r="HQS585" s="268"/>
      <c r="HQT585" s="268"/>
      <c r="HQU585" s="268"/>
      <c r="HQV585" s="268"/>
      <c r="HQW585" s="268"/>
      <c r="HQX585" s="268"/>
      <c r="HQY585" s="268"/>
      <c r="HQZ585" s="268"/>
      <c r="HRA585" s="268"/>
      <c r="HRB585" s="268"/>
      <c r="HRC585" s="268"/>
      <c r="HRQ585" s="268"/>
      <c r="HRR585" s="268"/>
      <c r="HRS585" s="268"/>
      <c r="HSG585" s="268"/>
      <c r="HSI585" s="268"/>
      <c r="HSJ585" s="268"/>
      <c r="HSK585" s="268"/>
      <c r="HSL585" s="268"/>
      <c r="HSM585" s="268"/>
      <c r="HSN585" s="268"/>
      <c r="HSO585" s="268"/>
      <c r="HSP585" s="268"/>
      <c r="HSQ585" s="268"/>
      <c r="HSR585" s="268"/>
      <c r="HSS585" s="268"/>
      <c r="HST585" s="268"/>
      <c r="HSU585" s="268"/>
      <c r="HSV585" s="268"/>
      <c r="HSW585" s="268"/>
      <c r="HSX585" s="268"/>
      <c r="HSY585" s="268"/>
      <c r="HSZ585" s="268"/>
      <c r="HTA585" s="268"/>
      <c r="HTB585" s="268"/>
      <c r="HTC585" s="268"/>
      <c r="HTD585" s="268"/>
      <c r="HTE585" s="268"/>
      <c r="HTF585" s="268"/>
      <c r="HTG585" s="268"/>
      <c r="HTH585" s="268"/>
      <c r="HTI585" s="268"/>
      <c r="HTJ585" s="268"/>
      <c r="HTK585" s="268"/>
      <c r="HTL585" s="268"/>
      <c r="HTM585" s="268"/>
      <c r="HTN585" s="268"/>
      <c r="HTO585" s="268"/>
      <c r="HTP585" s="268"/>
      <c r="HTQ585" s="268"/>
      <c r="HTR585" s="268"/>
      <c r="HTS585" s="268"/>
      <c r="HTT585" s="268"/>
      <c r="HTU585" s="268"/>
      <c r="HTV585" s="268"/>
      <c r="HTW585" s="268"/>
      <c r="HTX585" s="268"/>
      <c r="HTY585" s="268"/>
      <c r="HTZ585" s="268"/>
      <c r="HUA585" s="268"/>
      <c r="HUB585" s="268"/>
      <c r="HUC585" s="268"/>
      <c r="HUD585" s="268"/>
      <c r="HUE585" s="268"/>
      <c r="HUF585" s="268"/>
      <c r="HUG585" s="268"/>
      <c r="HUH585" s="268"/>
      <c r="HUI585" s="268"/>
      <c r="HUJ585" s="268"/>
      <c r="HUK585" s="268"/>
      <c r="HUL585" s="268"/>
      <c r="HUM585" s="268"/>
      <c r="HUN585" s="268"/>
      <c r="HUO585" s="268"/>
      <c r="HUP585" s="268"/>
      <c r="HUQ585" s="268"/>
      <c r="HUR585" s="268"/>
      <c r="HUS585" s="268"/>
      <c r="HUT585" s="268"/>
      <c r="HUU585" s="268"/>
      <c r="HUV585" s="268"/>
      <c r="HUW585" s="268"/>
      <c r="HUX585" s="268"/>
      <c r="HUY585" s="268"/>
      <c r="HUZ585" s="268"/>
      <c r="HVA585" s="268"/>
      <c r="HVB585" s="268"/>
      <c r="HVC585" s="268"/>
      <c r="HVD585" s="268"/>
      <c r="HVE585" s="268"/>
      <c r="HVF585" s="268"/>
      <c r="HVG585" s="268"/>
      <c r="HVH585" s="268"/>
      <c r="HVI585" s="268"/>
      <c r="HVJ585" s="268"/>
      <c r="HVK585" s="268"/>
      <c r="HVL585" s="268"/>
      <c r="HVM585" s="268"/>
      <c r="HVN585" s="268"/>
      <c r="HVO585" s="268"/>
      <c r="HVP585" s="268"/>
      <c r="HVQ585" s="268"/>
      <c r="HVR585" s="268"/>
      <c r="HVS585" s="268"/>
      <c r="HVT585" s="268"/>
      <c r="HVU585" s="268"/>
      <c r="HVV585" s="268"/>
      <c r="HVW585" s="268"/>
      <c r="HVX585" s="268"/>
      <c r="HVY585" s="268"/>
      <c r="HVZ585" s="268"/>
      <c r="HWA585" s="268"/>
      <c r="HWB585" s="268"/>
      <c r="HWC585" s="268"/>
      <c r="HWD585" s="268"/>
      <c r="HWE585" s="268"/>
      <c r="HWF585" s="268"/>
      <c r="HWG585" s="268"/>
      <c r="HWH585" s="268"/>
      <c r="HWI585" s="268"/>
      <c r="HWJ585" s="268"/>
      <c r="HWK585" s="268"/>
      <c r="HWL585" s="268"/>
      <c r="HWM585" s="268"/>
      <c r="HWN585" s="268"/>
      <c r="HWO585" s="268"/>
      <c r="HWP585" s="268"/>
      <c r="HWQ585" s="268"/>
      <c r="HWR585" s="268"/>
      <c r="HWS585" s="268"/>
      <c r="HWT585" s="268"/>
      <c r="HWU585" s="268"/>
      <c r="HWV585" s="268"/>
      <c r="HWW585" s="268"/>
      <c r="HWX585" s="268"/>
      <c r="HWY585" s="268"/>
      <c r="HWZ585" s="268"/>
      <c r="HXA585" s="268"/>
      <c r="HXB585" s="268"/>
      <c r="HXC585" s="268"/>
      <c r="HXD585" s="268"/>
      <c r="HXE585" s="268"/>
      <c r="HXF585" s="268"/>
      <c r="HXG585" s="268"/>
      <c r="HXH585" s="268"/>
      <c r="HXI585" s="268"/>
      <c r="HXJ585" s="268"/>
      <c r="HXK585" s="268"/>
      <c r="HXL585" s="268"/>
      <c r="HXM585" s="268"/>
      <c r="HXN585" s="268"/>
      <c r="HXO585" s="268"/>
      <c r="HXP585" s="268"/>
      <c r="HXQ585" s="268"/>
      <c r="HXR585" s="268"/>
      <c r="HXS585" s="268"/>
      <c r="HXT585" s="268"/>
      <c r="HXU585" s="268"/>
      <c r="HXV585" s="268"/>
      <c r="HXW585" s="268"/>
      <c r="HXX585" s="268"/>
      <c r="HXY585" s="268"/>
      <c r="HXZ585" s="268"/>
      <c r="HYA585" s="268"/>
      <c r="HYB585" s="268"/>
      <c r="HYC585" s="268"/>
      <c r="HYD585" s="268"/>
      <c r="HYE585" s="268"/>
      <c r="HYF585" s="268"/>
      <c r="HYG585" s="268"/>
      <c r="HYH585" s="268"/>
      <c r="HYI585" s="268"/>
      <c r="HYJ585" s="268"/>
      <c r="HYK585" s="268"/>
      <c r="HYL585" s="268"/>
      <c r="HYM585" s="268"/>
      <c r="HYN585" s="268"/>
      <c r="HYO585" s="268"/>
      <c r="HYP585" s="268"/>
      <c r="HYQ585" s="268"/>
      <c r="HYR585" s="268"/>
      <c r="HYS585" s="268"/>
      <c r="HYT585" s="268"/>
      <c r="HYU585" s="268"/>
      <c r="HYV585" s="268"/>
      <c r="HYW585" s="268"/>
      <c r="HYX585" s="268"/>
      <c r="HYY585" s="268"/>
      <c r="HYZ585" s="268"/>
      <c r="HZA585" s="268"/>
      <c r="HZB585" s="268"/>
      <c r="HZC585" s="268"/>
      <c r="HZD585" s="268"/>
      <c r="HZE585" s="268"/>
      <c r="HZF585" s="268"/>
      <c r="HZG585" s="268"/>
      <c r="HZH585" s="268"/>
      <c r="HZI585" s="268"/>
      <c r="HZJ585" s="268"/>
      <c r="HZK585" s="268"/>
      <c r="HZL585" s="268"/>
      <c r="HZM585" s="268"/>
      <c r="HZN585" s="268"/>
      <c r="HZO585" s="268"/>
      <c r="HZP585" s="268"/>
      <c r="HZQ585" s="268"/>
      <c r="HZR585" s="268"/>
      <c r="HZS585" s="268"/>
      <c r="HZT585" s="268"/>
      <c r="HZU585" s="268"/>
      <c r="HZV585" s="268"/>
      <c r="HZW585" s="268"/>
      <c r="HZX585" s="268"/>
      <c r="HZY585" s="268"/>
      <c r="HZZ585" s="268"/>
      <c r="IAA585" s="268"/>
      <c r="IAB585" s="268"/>
      <c r="IAC585" s="268"/>
      <c r="IAD585" s="268"/>
      <c r="IAE585" s="268"/>
      <c r="IAF585" s="268"/>
      <c r="IAG585" s="268"/>
      <c r="IAH585" s="268"/>
      <c r="IAI585" s="268"/>
      <c r="IAJ585" s="268"/>
      <c r="IAK585" s="268"/>
      <c r="IAL585" s="268"/>
      <c r="IAM585" s="268"/>
      <c r="IAN585" s="268"/>
      <c r="IAO585" s="268"/>
      <c r="IAP585" s="268"/>
      <c r="IAQ585" s="268"/>
      <c r="IAR585" s="268"/>
      <c r="IAS585" s="268"/>
      <c r="IAT585" s="268"/>
      <c r="IAU585" s="268"/>
      <c r="IAV585" s="268"/>
      <c r="IAW585" s="268"/>
      <c r="IAX585" s="268"/>
      <c r="IAY585" s="268"/>
      <c r="IBM585" s="268"/>
      <c r="IBN585" s="268"/>
      <c r="IBO585" s="268"/>
      <c r="ICC585" s="268"/>
      <c r="ICE585" s="268"/>
      <c r="ICF585" s="268"/>
      <c r="ICG585" s="268"/>
      <c r="ICH585" s="268"/>
      <c r="ICI585" s="268"/>
      <c r="ICJ585" s="268"/>
      <c r="ICK585" s="268"/>
      <c r="ICL585" s="268"/>
      <c r="ICM585" s="268"/>
      <c r="ICN585" s="268"/>
      <c r="ICO585" s="268"/>
      <c r="ICP585" s="268"/>
      <c r="ICQ585" s="268"/>
      <c r="ICR585" s="268"/>
      <c r="ICS585" s="268"/>
      <c r="ICT585" s="268"/>
      <c r="ICU585" s="268"/>
      <c r="ICV585" s="268"/>
      <c r="ICW585" s="268"/>
      <c r="ICX585" s="268"/>
      <c r="ICY585" s="268"/>
      <c r="ICZ585" s="268"/>
      <c r="IDA585" s="268"/>
      <c r="IDB585" s="268"/>
      <c r="IDC585" s="268"/>
      <c r="IDD585" s="268"/>
      <c r="IDE585" s="268"/>
      <c r="IDF585" s="268"/>
      <c r="IDG585" s="268"/>
      <c r="IDH585" s="268"/>
      <c r="IDI585" s="268"/>
      <c r="IDJ585" s="268"/>
      <c r="IDK585" s="268"/>
      <c r="IDL585" s="268"/>
      <c r="IDM585" s="268"/>
      <c r="IDN585" s="268"/>
      <c r="IDO585" s="268"/>
      <c r="IDP585" s="268"/>
      <c r="IDQ585" s="268"/>
      <c r="IDR585" s="268"/>
      <c r="IDS585" s="268"/>
      <c r="IDT585" s="268"/>
      <c r="IDU585" s="268"/>
      <c r="IDV585" s="268"/>
      <c r="IDW585" s="268"/>
      <c r="IDX585" s="268"/>
      <c r="IDY585" s="268"/>
      <c r="IDZ585" s="268"/>
      <c r="IEA585" s="268"/>
      <c r="IEB585" s="268"/>
      <c r="IEC585" s="268"/>
      <c r="IED585" s="268"/>
      <c r="IEE585" s="268"/>
      <c r="IEF585" s="268"/>
      <c r="IEG585" s="268"/>
      <c r="IEH585" s="268"/>
      <c r="IEI585" s="268"/>
      <c r="IEJ585" s="268"/>
      <c r="IEK585" s="268"/>
      <c r="IEL585" s="268"/>
      <c r="IEM585" s="268"/>
      <c r="IEN585" s="268"/>
      <c r="IEO585" s="268"/>
      <c r="IEP585" s="268"/>
      <c r="IEQ585" s="268"/>
      <c r="IER585" s="268"/>
      <c r="IES585" s="268"/>
      <c r="IET585" s="268"/>
      <c r="IEU585" s="268"/>
      <c r="IEV585" s="268"/>
      <c r="IEW585" s="268"/>
      <c r="IEX585" s="268"/>
      <c r="IEY585" s="268"/>
      <c r="IEZ585" s="268"/>
      <c r="IFA585" s="268"/>
      <c r="IFB585" s="268"/>
      <c r="IFC585" s="268"/>
      <c r="IFD585" s="268"/>
      <c r="IFE585" s="268"/>
      <c r="IFF585" s="268"/>
      <c r="IFG585" s="268"/>
      <c r="IFH585" s="268"/>
      <c r="IFI585" s="268"/>
      <c r="IFJ585" s="268"/>
      <c r="IFK585" s="268"/>
      <c r="IFL585" s="268"/>
      <c r="IFM585" s="268"/>
      <c r="IFN585" s="268"/>
      <c r="IFO585" s="268"/>
      <c r="IFP585" s="268"/>
      <c r="IFQ585" s="268"/>
      <c r="IFR585" s="268"/>
      <c r="IFS585" s="268"/>
      <c r="IFT585" s="268"/>
      <c r="IFU585" s="268"/>
      <c r="IFV585" s="268"/>
      <c r="IFW585" s="268"/>
      <c r="IFX585" s="268"/>
      <c r="IFY585" s="268"/>
      <c r="IFZ585" s="268"/>
      <c r="IGA585" s="268"/>
      <c r="IGB585" s="268"/>
      <c r="IGC585" s="268"/>
      <c r="IGD585" s="268"/>
      <c r="IGE585" s="268"/>
      <c r="IGF585" s="268"/>
      <c r="IGG585" s="268"/>
      <c r="IGH585" s="268"/>
      <c r="IGI585" s="268"/>
      <c r="IGJ585" s="268"/>
      <c r="IGK585" s="268"/>
      <c r="IGL585" s="268"/>
      <c r="IGM585" s="268"/>
      <c r="IGN585" s="268"/>
      <c r="IGO585" s="268"/>
      <c r="IGP585" s="268"/>
      <c r="IGQ585" s="268"/>
      <c r="IGR585" s="268"/>
      <c r="IGS585" s="268"/>
      <c r="IGT585" s="268"/>
      <c r="IGU585" s="268"/>
      <c r="IGV585" s="268"/>
      <c r="IGW585" s="268"/>
      <c r="IGX585" s="268"/>
      <c r="IGY585" s="268"/>
      <c r="IGZ585" s="268"/>
      <c r="IHA585" s="268"/>
      <c r="IHB585" s="268"/>
      <c r="IHC585" s="268"/>
      <c r="IHD585" s="268"/>
      <c r="IHE585" s="268"/>
      <c r="IHF585" s="268"/>
      <c r="IHG585" s="268"/>
      <c r="IHH585" s="268"/>
      <c r="IHI585" s="268"/>
      <c r="IHJ585" s="268"/>
      <c r="IHK585" s="268"/>
      <c r="IHL585" s="268"/>
      <c r="IHM585" s="268"/>
      <c r="IHN585" s="268"/>
      <c r="IHO585" s="268"/>
      <c r="IHP585" s="268"/>
      <c r="IHQ585" s="268"/>
      <c r="IHR585" s="268"/>
      <c r="IHS585" s="268"/>
      <c r="IHT585" s="268"/>
      <c r="IHU585" s="268"/>
      <c r="IHV585" s="268"/>
      <c r="IHW585" s="268"/>
      <c r="IHX585" s="268"/>
      <c r="IHY585" s="268"/>
      <c r="IHZ585" s="268"/>
      <c r="IIA585" s="268"/>
      <c r="IIB585" s="268"/>
      <c r="IIC585" s="268"/>
      <c r="IID585" s="268"/>
      <c r="IIE585" s="268"/>
      <c r="IIF585" s="268"/>
      <c r="IIG585" s="268"/>
      <c r="IIH585" s="268"/>
      <c r="III585" s="268"/>
      <c r="IIJ585" s="268"/>
      <c r="IIK585" s="268"/>
      <c r="IIL585" s="268"/>
      <c r="IIM585" s="268"/>
      <c r="IIN585" s="268"/>
      <c r="IIO585" s="268"/>
      <c r="IIP585" s="268"/>
      <c r="IIQ585" s="268"/>
      <c r="IIR585" s="268"/>
      <c r="IIS585" s="268"/>
      <c r="IIT585" s="268"/>
      <c r="IIU585" s="268"/>
      <c r="IIV585" s="268"/>
      <c r="IIW585" s="268"/>
      <c r="IIX585" s="268"/>
      <c r="IIY585" s="268"/>
      <c r="IIZ585" s="268"/>
      <c r="IJA585" s="268"/>
      <c r="IJB585" s="268"/>
      <c r="IJC585" s="268"/>
      <c r="IJD585" s="268"/>
      <c r="IJE585" s="268"/>
      <c r="IJF585" s="268"/>
      <c r="IJG585" s="268"/>
      <c r="IJH585" s="268"/>
      <c r="IJI585" s="268"/>
      <c r="IJJ585" s="268"/>
      <c r="IJK585" s="268"/>
      <c r="IJL585" s="268"/>
      <c r="IJM585" s="268"/>
      <c r="IJN585" s="268"/>
      <c r="IJO585" s="268"/>
      <c r="IJP585" s="268"/>
      <c r="IJQ585" s="268"/>
      <c r="IJR585" s="268"/>
      <c r="IJS585" s="268"/>
      <c r="IJT585" s="268"/>
      <c r="IJU585" s="268"/>
      <c r="IJV585" s="268"/>
      <c r="IJW585" s="268"/>
      <c r="IJX585" s="268"/>
      <c r="IJY585" s="268"/>
      <c r="IJZ585" s="268"/>
      <c r="IKA585" s="268"/>
      <c r="IKB585" s="268"/>
      <c r="IKC585" s="268"/>
      <c r="IKD585" s="268"/>
      <c r="IKE585" s="268"/>
      <c r="IKF585" s="268"/>
      <c r="IKG585" s="268"/>
      <c r="IKH585" s="268"/>
      <c r="IKI585" s="268"/>
      <c r="IKJ585" s="268"/>
      <c r="IKK585" s="268"/>
      <c r="IKL585" s="268"/>
      <c r="IKM585" s="268"/>
      <c r="IKN585" s="268"/>
      <c r="IKO585" s="268"/>
      <c r="IKP585" s="268"/>
      <c r="IKQ585" s="268"/>
      <c r="IKR585" s="268"/>
      <c r="IKS585" s="268"/>
      <c r="IKT585" s="268"/>
      <c r="IKU585" s="268"/>
      <c r="ILI585" s="268"/>
      <c r="ILJ585" s="268"/>
      <c r="ILK585" s="268"/>
      <c r="ILY585" s="268"/>
      <c r="IMA585" s="268"/>
      <c r="IMB585" s="268"/>
      <c r="IMC585" s="268"/>
      <c r="IMD585" s="268"/>
      <c r="IME585" s="268"/>
      <c r="IMF585" s="268"/>
      <c r="IMG585" s="268"/>
      <c r="IMH585" s="268"/>
      <c r="IMI585" s="268"/>
      <c r="IMJ585" s="268"/>
      <c r="IMK585" s="268"/>
      <c r="IML585" s="268"/>
      <c r="IMM585" s="268"/>
      <c r="IMN585" s="268"/>
      <c r="IMO585" s="268"/>
      <c r="IMP585" s="268"/>
      <c r="IMQ585" s="268"/>
      <c r="IMR585" s="268"/>
      <c r="IMS585" s="268"/>
      <c r="IMT585" s="268"/>
      <c r="IMU585" s="268"/>
      <c r="IMV585" s="268"/>
      <c r="IMW585" s="268"/>
      <c r="IMX585" s="268"/>
      <c r="IMY585" s="268"/>
      <c r="IMZ585" s="268"/>
      <c r="INA585" s="268"/>
      <c r="INB585" s="268"/>
      <c r="INC585" s="268"/>
      <c r="IND585" s="268"/>
      <c r="INE585" s="268"/>
      <c r="INF585" s="268"/>
      <c r="ING585" s="268"/>
      <c r="INH585" s="268"/>
      <c r="INI585" s="268"/>
      <c r="INJ585" s="268"/>
      <c r="INK585" s="268"/>
      <c r="INL585" s="268"/>
      <c r="INM585" s="268"/>
      <c r="INN585" s="268"/>
      <c r="INO585" s="268"/>
      <c r="INP585" s="268"/>
      <c r="INQ585" s="268"/>
      <c r="INR585" s="268"/>
      <c r="INS585" s="268"/>
      <c r="INT585" s="268"/>
      <c r="INU585" s="268"/>
      <c r="INV585" s="268"/>
      <c r="INW585" s="268"/>
      <c r="INX585" s="268"/>
      <c r="INY585" s="268"/>
      <c r="INZ585" s="268"/>
      <c r="IOA585" s="268"/>
      <c r="IOB585" s="268"/>
      <c r="IOC585" s="268"/>
      <c r="IOD585" s="268"/>
      <c r="IOE585" s="268"/>
      <c r="IOF585" s="268"/>
      <c r="IOG585" s="268"/>
      <c r="IOH585" s="268"/>
      <c r="IOI585" s="268"/>
      <c r="IOJ585" s="268"/>
      <c r="IOK585" s="268"/>
      <c r="IOL585" s="268"/>
      <c r="IOM585" s="268"/>
      <c r="ION585" s="268"/>
      <c r="IOO585" s="268"/>
      <c r="IOP585" s="268"/>
      <c r="IOQ585" s="268"/>
      <c r="IOR585" s="268"/>
      <c r="IOS585" s="268"/>
      <c r="IOT585" s="268"/>
      <c r="IOU585" s="268"/>
      <c r="IOV585" s="268"/>
      <c r="IOW585" s="268"/>
      <c r="IOX585" s="268"/>
      <c r="IOY585" s="268"/>
      <c r="IOZ585" s="268"/>
      <c r="IPA585" s="268"/>
      <c r="IPB585" s="268"/>
      <c r="IPC585" s="268"/>
      <c r="IPD585" s="268"/>
      <c r="IPE585" s="268"/>
      <c r="IPF585" s="268"/>
      <c r="IPG585" s="268"/>
      <c r="IPH585" s="268"/>
      <c r="IPI585" s="268"/>
      <c r="IPJ585" s="268"/>
      <c r="IPK585" s="268"/>
      <c r="IPL585" s="268"/>
      <c r="IPM585" s="268"/>
      <c r="IPN585" s="268"/>
      <c r="IPO585" s="268"/>
      <c r="IPP585" s="268"/>
      <c r="IPQ585" s="268"/>
      <c r="IPR585" s="268"/>
      <c r="IPS585" s="268"/>
      <c r="IPT585" s="268"/>
      <c r="IPU585" s="268"/>
      <c r="IPV585" s="268"/>
      <c r="IPW585" s="268"/>
      <c r="IPX585" s="268"/>
      <c r="IPY585" s="268"/>
      <c r="IPZ585" s="268"/>
      <c r="IQA585" s="268"/>
      <c r="IQB585" s="268"/>
      <c r="IQC585" s="268"/>
      <c r="IQD585" s="268"/>
      <c r="IQE585" s="268"/>
      <c r="IQF585" s="268"/>
      <c r="IQG585" s="268"/>
      <c r="IQH585" s="268"/>
      <c r="IQI585" s="268"/>
      <c r="IQJ585" s="268"/>
      <c r="IQK585" s="268"/>
      <c r="IQL585" s="268"/>
      <c r="IQM585" s="268"/>
      <c r="IQN585" s="268"/>
      <c r="IQO585" s="268"/>
      <c r="IQP585" s="268"/>
      <c r="IQQ585" s="268"/>
      <c r="IQR585" s="268"/>
      <c r="IQS585" s="268"/>
      <c r="IQT585" s="268"/>
      <c r="IQU585" s="268"/>
      <c r="IQV585" s="268"/>
      <c r="IQW585" s="268"/>
      <c r="IQX585" s="268"/>
      <c r="IQY585" s="268"/>
      <c r="IQZ585" s="268"/>
      <c r="IRA585" s="268"/>
      <c r="IRB585" s="268"/>
      <c r="IRC585" s="268"/>
      <c r="IRD585" s="268"/>
      <c r="IRE585" s="268"/>
      <c r="IRF585" s="268"/>
      <c r="IRG585" s="268"/>
      <c r="IRH585" s="268"/>
      <c r="IRI585" s="268"/>
      <c r="IRJ585" s="268"/>
      <c r="IRK585" s="268"/>
      <c r="IRL585" s="268"/>
      <c r="IRM585" s="268"/>
      <c r="IRN585" s="268"/>
      <c r="IRO585" s="268"/>
      <c r="IRP585" s="268"/>
      <c r="IRQ585" s="268"/>
      <c r="IRR585" s="268"/>
      <c r="IRS585" s="268"/>
      <c r="IRT585" s="268"/>
      <c r="IRU585" s="268"/>
      <c r="IRV585" s="268"/>
      <c r="IRW585" s="268"/>
      <c r="IRX585" s="268"/>
      <c r="IRY585" s="268"/>
      <c r="IRZ585" s="268"/>
      <c r="ISA585" s="268"/>
      <c r="ISB585" s="268"/>
      <c r="ISC585" s="268"/>
      <c r="ISD585" s="268"/>
      <c r="ISE585" s="268"/>
      <c r="ISF585" s="268"/>
      <c r="ISG585" s="268"/>
      <c r="ISH585" s="268"/>
      <c r="ISI585" s="268"/>
      <c r="ISJ585" s="268"/>
      <c r="ISK585" s="268"/>
      <c r="ISL585" s="268"/>
      <c r="ISM585" s="268"/>
      <c r="ISN585" s="268"/>
      <c r="ISO585" s="268"/>
      <c r="ISP585" s="268"/>
      <c r="ISQ585" s="268"/>
      <c r="ISR585" s="268"/>
      <c r="ISS585" s="268"/>
      <c r="IST585" s="268"/>
      <c r="ISU585" s="268"/>
      <c r="ISV585" s="268"/>
      <c r="ISW585" s="268"/>
      <c r="ISX585" s="268"/>
      <c r="ISY585" s="268"/>
      <c r="ISZ585" s="268"/>
      <c r="ITA585" s="268"/>
      <c r="ITB585" s="268"/>
      <c r="ITC585" s="268"/>
      <c r="ITD585" s="268"/>
      <c r="ITE585" s="268"/>
      <c r="ITF585" s="268"/>
      <c r="ITG585" s="268"/>
      <c r="ITH585" s="268"/>
      <c r="ITI585" s="268"/>
      <c r="ITJ585" s="268"/>
      <c r="ITK585" s="268"/>
      <c r="ITL585" s="268"/>
      <c r="ITM585" s="268"/>
      <c r="ITN585" s="268"/>
      <c r="ITO585" s="268"/>
      <c r="ITP585" s="268"/>
      <c r="ITQ585" s="268"/>
      <c r="ITR585" s="268"/>
      <c r="ITS585" s="268"/>
      <c r="ITT585" s="268"/>
      <c r="ITU585" s="268"/>
      <c r="ITV585" s="268"/>
      <c r="ITW585" s="268"/>
      <c r="ITX585" s="268"/>
      <c r="ITY585" s="268"/>
      <c r="ITZ585" s="268"/>
      <c r="IUA585" s="268"/>
      <c r="IUB585" s="268"/>
      <c r="IUC585" s="268"/>
      <c r="IUD585" s="268"/>
      <c r="IUE585" s="268"/>
      <c r="IUF585" s="268"/>
      <c r="IUG585" s="268"/>
      <c r="IUH585" s="268"/>
      <c r="IUI585" s="268"/>
      <c r="IUJ585" s="268"/>
      <c r="IUK585" s="268"/>
      <c r="IUL585" s="268"/>
      <c r="IUM585" s="268"/>
      <c r="IUN585" s="268"/>
      <c r="IUO585" s="268"/>
      <c r="IUP585" s="268"/>
      <c r="IUQ585" s="268"/>
      <c r="IVE585" s="268"/>
      <c r="IVF585" s="268"/>
      <c r="IVG585" s="268"/>
      <c r="IVU585" s="268"/>
      <c r="IVW585" s="268"/>
      <c r="IVX585" s="268"/>
      <c r="IVY585" s="268"/>
      <c r="IVZ585" s="268"/>
      <c r="IWA585" s="268"/>
      <c r="IWB585" s="268"/>
      <c r="IWC585" s="268"/>
      <c r="IWD585" s="268"/>
      <c r="IWE585" s="268"/>
      <c r="IWF585" s="268"/>
      <c r="IWG585" s="268"/>
      <c r="IWH585" s="268"/>
      <c r="IWI585" s="268"/>
      <c r="IWJ585" s="268"/>
      <c r="IWK585" s="268"/>
      <c r="IWL585" s="268"/>
      <c r="IWM585" s="268"/>
      <c r="IWN585" s="268"/>
      <c r="IWO585" s="268"/>
      <c r="IWP585" s="268"/>
      <c r="IWQ585" s="268"/>
      <c r="IWR585" s="268"/>
      <c r="IWS585" s="268"/>
      <c r="IWT585" s="268"/>
      <c r="IWU585" s="268"/>
      <c r="IWV585" s="268"/>
      <c r="IWW585" s="268"/>
      <c r="IWX585" s="268"/>
      <c r="IWY585" s="268"/>
      <c r="IWZ585" s="268"/>
      <c r="IXA585" s="268"/>
      <c r="IXB585" s="268"/>
      <c r="IXC585" s="268"/>
      <c r="IXD585" s="268"/>
      <c r="IXE585" s="268"/>
      <c r="IXF585" s="268"/>
      <c r="IXG585" s="268"/>
      <c r="IXH585" s="268"/>
      <c r="IXI585" s="268"/>
      <c r="IXJ585" s="268"/>
      <c r="IXK585" s="268"/>
      <c r="IXL585" s="268"/>
      <c r="IXM585" s="268"/>
      <c r="IXN585" s="268"/>
      <c r="IXO585" s="268"/>
      <c r="IXP585" s="268"/>
      <c r="IXQ585" s="268"/>
      <c r="IXR585" s="268"/>
      <c r="IXS585" s="268"/>
      <c r="IXT585" s="268"/>
      <c r="IXU585" s="268"/>
      <c r="IXV585" s="268"/>
      <c r="IXW585" s="268"/>
      <c r="IXX585" s="268"/>
      <c r="IXY585" s="268"/>
      <c r="IXZ585" s="268"/>
      <c r="IYA585" s="268"/>
      <c r="IYB585" s="268"/>
      <c r="IYC585" s="268"/>
      <c r="IYD585" s="268"/>
      <c r="IYE585" s="268"/>
      <c r="IYF585" s="268"/>
      <c r="IYG585" s="268"/>
      <c r="IYH585" s="268"/>
      <c r="IYI585" s="268"/>
      <c r="IYJ585" s="268"/>
      <c r="IYK585" s="268"/>
      <c r="IYL585" s="268"/>
      <c r="IYM585" s="268"/>
      <c r="IYN585" s="268"/>
      <c r="IYO585" s="268"/>
      <c r="IYP585" s="268"/>
      <c r="IYQ585" s="268"/>
      <c r="IYR585" s="268"/>
      <c r="IYS585" s="268"/>
      <c r="IYT585" s="268"/>
      <c r="IYU585" s="268"/>
      <c r="IYV585" s="268"/>
      <c r="IYW585" s="268"/>
      <c r="IYX585" s="268"/>
      <c r="IYY585" s="268"/>
      <c r="IYZ585" s="268"/>
      <c r="IZA585" s="268"/>
      <c r="IZB585" s="268"/>
      <c r="IZC585" s="268"/>
      <c r="IZD585" s="268"/>
      <c r="IZE585" s="268"/>
      <c r="IZF585" s="268"/>
      <c r="IZG585" s="268"/>
      <c r="IZH585" s="268"/>
      <c r="IZI585" s="268"/>
      <c r="IZJ585" s="268"/>
      <c r="IZK585" s="268"/>
      <c r="IZL585" s="268"/>
      <c r="IZM585" s="268"/>
      <c r="IZN585" s="268"/>
      <c r="IZO585" s="268"/>
      <c r="IZP585" s="268"/>
      <c r="IZQ585" s="268"/>
      <c r="IZR585" s="268"/>
      <c r="IZS585" s="268"/>
      <c r="IZT585" s="268"/>
      <c r="IZU585" s="268"/>
      <c r="IZV585" s="268"/>
      <c r="IZW585" s="268"/>
      <c r="IZX585" s="268"/>
      <c r="IZY585" s="268"/>
      <c r="IZZ585" s="268"/>
      <c r="JAA585" s="268"/>
      <c r="JAB585" s="268"/>
      <c r="JAC585" s="268"/>
      <c r="JAD585" s="268"/>
      <c r="JAE585" s="268"/>
      <c r="JAF585" s="268"/>
      <c r="JAG585" s="268"/>
      <c r="JAH585" s="268"/>
      <c r="JAI585" s="268"/>
      <c r="JAJ585" s="268"/>
      <c r="JAK585" s="268"/>
      <c r="JAL585" s="268"/>
      <c r="JAM585" s="268"/>
      <c r="JAN585" s="268"/>
      <c r="JAO585" s="268"/>
      <c r="JAP585" s="268"/>
      <c r="JAQ585" s="268"/>
      <c r="JAR585" s="268"/>
      <c r="JAS585" s="268"/>
      <c r="JAT585" s="268"/>
      <c r="JAU585" s="268"/>
      <c r="JAV585" s="268"/>
      <c r="JAW585" s="268"/>
      <c r="JAX585" s="268"/>
      <c r="JAY585" s="268"/>
      <c r="JAZ585" s="268"/>
      <c r="JBA585" s="268"/>
      <c r="JBB585" s="268"/>
      <c r="JBC585" s="268"/>
      <c r="JBD585" s="268"/>
      <c r="JBE585" s="268"/>
      <c r="JBF585" s="268"/>
      <c r="JBG585" s="268"/>
      <c r="JBH585" s="268"/>
      <c r="JBI585" s="268"/>
      <c r="JBJ585" s="268"/>
      <c r="JBK585" s="268"/>
      <c r="JBL585" s="268"/>
      <c r="JBM585" s="268"/>
      <c r="JBN585" s="268"/>
      <c r="JBO585" s="268"/>
      <c r="JBP585" s="268"/>
      <c r="JBQ585" s="268"/>
      <c r="JBR585" s="268"/>
      <c r="JBS585" s="268"/>
      <c r="JBT585" s="268"/>
      <c r="JBU585" s="268"/>
      <c r="JBV585" s="268"/>
      <c r="JBW585" s="268"/>
      <c r="JBX585" s="268"/>
      <c r="JBY585" s="268"/>
      <c r="JBZ585" s="268"/>
      <c r="JCA585" s="268"/>
      <c r="JCB585" s="268"/>
      <c r="JCC585" s="268"/>
      <c r="JCD585" s="268"/>
      <c r="JCE585" s="268"/>
      <c r="JCF585" s="268"/>
      <c r="JCG585" s="268"/>
      <c r="JCH585" s="268"/>
      <c r="JCI585" s="268"/>
      <c r="JCJ585" s="268"/>
      <c r="JCK585" s="268"/>
      <c r="JCL585" s="268"/>
      <c r="JCM585" s="268"/>
      <c r="JCN585" s="268"/>
      <c r="JCO585" s="268"/>
      <c r="JCP585" s="268"/>
      <c r="JCQ585" s="268"/>
      <c r="JCR585" s="268"/>
      <c r="JCS585" s="268"/>
      <c r="JCT585" s="268"/>
      <c r="JCU585" s="268"/>
      <c r="JCV585" s="268"/>
      <c r="JCW585" s="268"/>
      <c r="JCX585" s="268"/>
      <c r="JCY585" s="268"/>
      <c r="JCZ585" s="268"/>
      <c r="JDA585" s="268"/>
      <c r="JDB585" s="268"/>
      <c r="JDC585" s="268"/>
      <c r="JDD585" s="268"/>
      <c r="JDE585" s="268"/>
      <c r="JDF585" s="268"/>
      <c r="JDG585" s="268"/>
      <c r="JDH585" s="268"/>
      <c r="JDI585" s="268"/>
      <c r="JDJ585" s="268"/>
      <c r="JDK585" s="268"/>
      <c r="JDL585" s="268"/>
      <c r="JDM585" s="268"/>
      <c r="JDN585" s="268"/>
      <c r="JDO585" s="268"/>
      <c r="JDP585" s="268"/>
      <c r="JDQ585" s="268"/>
      <c r="JDR585" s="268"/>
      <c r="JDS585" s="268"/>
      <c r="JDT585" s="268"/>
      <c r="JDU585" s="268"/>
      <c r="JDV585" s="268"/>
      <c r="JDW585" s="268"/>
      <c r="JDX585" s="268"/>
      <c r="JDY585" s="268"/>
      <c r="JDZ585" s="268"/>
      <c r="JEA585" s="268"/>
      <c r="JEB585" s="268"/>
      <c r="JEC585" s="268"/>
      <c r="JED585" s="268"/>
      <c r="JEE585" s="268"/>
      <c r="JEF585" s="268"/>
      <c r="JEG585" s="268"/>
      <c r="JEH585" s="268"/>
      <c r="JEI585" s="268"/>
      <c r="JEJ585" s="268"/>
      <c r="JEK585" s="268"/>
      <c r="JEL585" s="268"/>
      <c r="JEM585" s="268"/>
      <c r="JFA585" s="268"/>
      <c r="JFB585" s="268"/>
      <c r="JFC585" s="268"/>
      <c r="JFQ585" s="268"/>
      <c r="JFS585" s="268"/>
      <c r="JFT585" s="268"/>
      <c r="JFU585" s="268"/>
      <c r="JFV585" s="268"/>
      <c r="JFW585" s="268"/>
      <c r="JFX585" s="268"/>
      <c r="JFY585" s="268"/>
      <c r="JFZ585" s="268"/>
      <c r="JGA585" s="268"/>
      <c r="JGB585" s="268"/>
      <c r="JGC585" s="268"/>
      <c r="JGD585" s="268"/>
      <c r="JGE585" s="268"/>
      <c r="JGF585" s="268"/>
      <c r="JGG585" s="268"/>
      <c r="JGH585" s="268"/>
      <c r="JGI585" s="268"/>
      <c r="JGJ585" s="268"/>
      <c r="JGK585" s="268"/>
      <c r="JGL585" s="268"/>
      <c r="JGM585" s="268"/>
      <c r="JGN585" s="268"/>
      <c r="JGO585" s="268"/>
      <c r="JGP585" s="268"/>
      <c r="JGQ585" s="268"/>
      <c r="JGR585" s="268"/>
      <c r="JGS585" s="268"/>
      <c r="JGT585" s="268"/>
      <c r="JGU585" s="268"/>
      <c r="JGV585" s="268"/>
      <c r="JGW585" s="268"/>
      <c r="JGX585" s="268"/>
      <c r="JGY585" s="268"/>
      <c r="JGZ585" s="268"/>
      <c r="JHA585" s="268"/>
      <c r="JHB585" s="268"/>
      <c r="JHC585" s="268"/>
      <c r="JHD585" s="268"/>
      <c r="JHE585" s="268"/>
      <c r="JHF585" s="268"/>
      <c r="JHG585" s="268"/>
      <c r="JHH585" s="268"/>
      <c r="JHI585" s="268"/>
      <c r="JHJ585" s="268"/>
      <c r="JHK585" s="268"/>
      <c r="JHL585" s="268"/>
      <c r="JHM585" s="268"/>
      <c r="JHN585" s="268"/>
      <c r="JHO585" s="268"/>
      <c r="JHP585" s="268"/>
      <c r="JHQ585" s="268"/>
      <c r="JHR585" s="268"/>
      <c r="JHS585" s="268"/>
      <c r="JHT585" s="268"/>
      <c r="JHU585" s="268"/>
      <c r="JHV585" s="268"/>
      <c r="JHW585" s="268"/>
      <c r="JHX585" s="268"/>
      <c r="JHY585" s="268"/>
      <c r="JHZ585" s="268"/>
      <c r="JIA585" s="268"/>
      <c r="JIB585" s="268"/>
      <c r="JIC585" s="268"/>
      <c r="JID585" s="268"/>
      <c r="JIE585" s="268"/>
      <c r="JIF585" s="268"/>
      <c r="JIG585" s="268"/>
      <c r="JIH585" s="268"/>
      <c r="JII585" s="268"/>
      <c r="JIJ585" s="268"/>
      <c r="JIK585" s="268"/>
      <c r="JIL585" s="268"/>
      <c r="JIM585" s="268"/>
      <c r="JIN585" s="268"/>
      <c r="JIO585" s="268"/>
      <c r="JIP585" s="268"/>
      <c r="JIQ585" s="268"/>
      <c r="JIR585" s="268"/>
      <c r="JIS585" s="268"/>
      <c r="JIT585" s="268"/>
      <c r="JIU585" s="268"/>
      <c r="JIV585" s="268"/>
      <c r="JIW585" s="268"/>
      <c r="JIX585" s="268"/>
      <c r="JIY585" s="268"/>
      <c r="JIZ585" s="268"/>
      <c r="JJA585" s="268"/>
      <c r="JJB585" s="268"/>
      <c r="JJC585" s="268"/>
      <c r="JJD585" s="268"/>
      <c r="JJE585" s="268"/>
      <c r="JJF585" s="268"/>
      <c r="JJG585" s="268"/>
      <c r="JJH585" s="268"/>
      <c r="JJI585" s="268"/>
      <c r="JJJ585" s="268"/>
      <c r="JJK585" s="268"/>
      <c r="JJL585" s="268"/>
      <c r="JJM585" s="268"/>
      <c r="JJN585" s="268"/>
      <c r="JJO585" s="268"/>
      <c r="JJP585" s="268"/>
      <c r="JJQ585" s="268"/>
      <c r="JJR585" s="268"/>
      <c r="JJS585" s="268"/>
      <c r="JJT585" s="268"/>
      <c r="JJU585" s="268"/>
      <c r="JJV585" s="268"/>
      <c r="JJW585" s="268"/>
      <c r="JJX585" s="268"/>
      <c r="JJY585" s="268"/>
      <c r="JJZ585" s="268"/>
      <c r="JKA585" s="268"/>
      <c r="JKB585" s="268"/>
      <c r="JKC585" s="268"/>
      <c r="JKD585" s="268"/>
      <c r="JKE585" s="268"/>
      <c r="JKF585" s="268"/>
      <c r="JKG585" s="268"/>
      <c r="JKH585" s="268"/>
      <c r="JKI585" s="268"/>
      <c r="JKJ585" s="268"/>
      <c r="JKK585" s="268"/>
      <c r="JKL585" s="268"/>
      <c r="JKM585" s="268"/>
      <c r="JKN585" s="268"/>
      <c r="JKO585" s="268"/>
      <c r="JKP585" s="268"/>
      <c r="JKQ585" s="268"/>
      <c r="JKR585" s="268"/>
      <c r="JKS585" s="268"/>
      <c r="JKT585" s="268"/>
      <c r="JKU585" s="268"/>
      <c r="JKV585" s="268"/>
      <c r="JKW585" s="268"/>
      <c r="JKX585" s="268"/>
      <c r="JKY585" s="268"/>
      <c r="JKZ585" s="268"/>
      <c r="JLA585" s="268"/>
      <c r="JLB585" s="268"/>
      <c r="JLC585" s="268"/>
      <c r="JLD585" s="268"/>
      <c r="JLE585" s="268"/>
      <c r="JLF585" s="268"/>
      <c r="JLG585" s="268"/>
      <c r="JLH585" s="268"/>
      <c r="JLI585" s="268"/>
      <c r="JLJ585" s="268"/>
      <c r="JLK585" s="268"/>
      <c r="JLL585" s="268"/>
      <c r="JLM585" s="268"/>
      <c r="JLN585" s="268"/>
      <c r="JLO585" s="268"/>
      <c r="JLP585" s="268"/>
      <c r="JLQ585" s="268"/>
      <c r="JLR585" s="268"/>
      <c r="JLS585" s="268"/>
      <c r="JLT585" s="268"/>
      <c r="JLU585" s="268"/>
      <c r="JLV585" s="268"/>
      <c r="JLW585" s="268"/>
      <c r="JLX585" s="268"/>
      <c r="JLY585" s="268"/>
      <c r="JLZ585" s="268"/>
      <c r="JMA585" s="268"/>
      <c r="JMB585" s="268"/>
      <c r="JMC585" s="268"/>
      <c r="JMD585" s="268"/>
      <c r="JME585" s="268"/>
      <c r="JMF585" s="268"/>
      <c r="JMG585" s="268"/>
      <c r="JMH585" s="268"/>
      <c r="JMI585" s="268"/>
      <c r="JMJ585" s="268"/>
      <c r="JMK585" s="268"/>
      <c r="JML585" s="268"/>
      <c r="JMM585" s="268"/>
      <c r="JMN585" s="268"/>
      <c r="JMO585" s="268"/>
      <c r="JMP585" s="268"/>
      <c r="JMQ585" s="268"/>
      <c r="JMR585" s="268"/>
      <c r="JMS585" s="268"/>
      <c r="JMT585" s="268"/>
      <c r="JMU585" s="268"/>
      <c r="JMV585" s="268"/>
      <c r="JMW585" s="268"/>
      <c r="JMX585" s="268"/>
      <c r="JMY585" s="268"/>
      <c r="JMZ585" s="268"/>
      <c r="JNA585" s="268"/>
      <c r="JNB585" s="268"/>
      <c r="JNC585" s="268"/>
      <c r="JND585" s="268"/>
      <c r="JNE585" s="268"/>
      <c r="JNF585" s="268"/>
      <c r="JNG585" s="268"/>
      <c r="JNH585" s="268"/>
      <c r="JNI585" s="268"/>
      <c r="JNJ585" s="268"/>
      <c r="JNK585" s="268"/>
      <c r="JNL585" s="268"/>
      <c r="JNM585" s="268"/>
      <c r="JNN585" s="268"/>
      <c r="JNO585" s="268"/>
      <c r="JNP585" s="268"/>
      <c r="JNQ585" s="268"/>
      <c r="JNR585" s="268"/>
      <c r="JNS585" s="268"/>
      <c r="JNT585" s="268"/>
      <c r="JNU585" s="268"/>
      <c r="JNV585" s="268"/>
      <c r="JNW585" s="268"/>
      <c r="JNX585" s="268"/>
      <c r="JNY585" s="268"/>
      <c r="JNZ585" s="268"/>
      <c r="JOA585" s="268"/>
      <c r="JOB585" s="268"/>
      <c r="JOC585" s="268"/>
      <c r="JOD585" s="268"/>
      <c r="JOE585" s="268"/>
      <c r="JOF585" s="268"/>
      <c r="JOG585" s="268"/>
      <c r="JOH585" s="268"/>
      <c r="JOI585" s="268"/>
      <c r="JOW585" s="268"/>
      <c r="JOX585" s="268"/>
      <c r="JOY585" s="268"/>
      <c r="JPM585" s="268"/>
      <c r="JPO585" s="268"/>
      <c r="JPP585" s="268"/>
      <c r="JPQ585" s="268"/>
      <c r="JPR585" s="268"/>
      <c r="JPS585" s="268"/>
      <c r="JPT585" s="268"/>
      <c r="JPU585" s="268"/>
      <c r="JPV585" s="268"/>
      <c r="JPW585" s="268"/>
      <c r="JPX585" s="268"/>
      <c r="JPY585" s="268"/>
      <c r="JPZ585" s="268"/>
      <c r="JQA585" s="268"/>
      <c r="JQB585" s="268"/>
      <c r="JQC585" s="268"/>
      <c r="JQD585" s="268"/>
      <c r="JQE585" s="268"/>
      <c r="JQF585" s="268"/>
      <c r="JQG585" s="268"/>
      <c r="JQH585" s="268"/>
      <c r="JQI585" s="268"/>
      <c r="JQJ585" s="268"/>
      <c r="JQK585" s="268"/>
      <c r="JQL585" s="268"/>
      <c r="JQM585" s="268"/>
      <c r="JQN585" s="268"/>
      <c r="JQO585" s="268"/>
      <c r="JQP585" s="268"/>
      <c r="JQQ585" s="268"/>
      <c r="JQR585" s="268"/>
      <c r="JQS585" s="268"/>
      <c r="JQT585" s="268"/>
      <c r="JQU585" s="268"/>
      <c r="JQV585" s="268"/>
      <c r="JQW585" s="268"/>
      <c r="JQX585" s="268"/>
      <c r="JQY585" s="268"/>
      <c r="JQZ585" s="268"/>
      <c r="JRA585" s="268"/>
      <c r="JRB585" s="268"/>
      <c r="JRC585" s="268"/>
      <c r="JRD585" s="268"/>
      <c r="JRE585" s="268"/>
      <c r="JRF585" s="268"/>
      <c r="JRG585" s="268"/>
      <c r="JRH585" s="268"/>
      <c r="JRI585" s="268"/>
      <c r="JRJ585" s="268"/>
      <c r="JRK585" s="268"/>
      <c r="JRL585" s="268"/>
      <c r="JRM585" s="268"/>
      <c r="JRN585" s="268"/>
      <c r="JRO585" s="268"/>
      <c r="JRP585" s="268"/>
      <c r="JRQ585" s="268"/>
      <c r="JRR585" s="268"/>
      <c r="JRS585" s="268"/>
      <c r="JRT585" s="268"/>
      <c r="JRU585" s="268"/>
      <c r="JRV585" s="268"/>
      <c r="JRW585" s="268"/>
      <c r="JRX585" s="268"/>
      <c r="JRY585" s="268"/>
      <c r="JRZ585" s="268"/>
      <c r="JSA585" s="268"/>
      <c r="JSB585" s="268"/>
      <c r="JSC585" s="268"/>
      <c r="JSD585" s="268"/>
      <c r="JSE585" s="268"/>
      <c r="JSF585" s="268"/>
      <c r="JSG585" s="268"/>
      <c r="JSH585" s="268"/>
      <c r="JSI585" s="268"/>
      <c r="JSJ585" s="268"/>
      <c r="JSK585" s="268"/>
      <c r="JSL585" s="268"/>
      <c r="JSM585" s="268"/>
      <c r="JSN585" s="268"/>
      <c r="JSO585" s="268"/>
      <c r="JSP585" s="268"/>
      <c r="JSQ585" s="268"/>
      <c r="JSR585" s="268"/>
      <c r="JSS585" s="268"/>
      <c r="JST585" s="268"/>
      <c r="JSU585" s="268"/>
      <c r="JSV585" s="268"/>
      <c r="JSW585" s="268"/>
      <c r="JSX585" s="268"/>
      <c r="JSY585" s="268"/>
      <c r="JSZ585" s="268"/>
      <c r="JTA585" s="268"/>
      <c r="JTB585" s="268"/>
      <c r="JTC585" s="268"/>
      <c r="JTD585" s="268"/>
      <c r="JTE585" s="268"/>
      <c r="JTF585" s="268"/>
      <c r="JTG585" s="268"/>
      <c r="JTH585" s="268"/>
      <c r="JTI585" s="268"/>
      <c r="JTJ585" s="268"/>
      <c r="JTK585" s="268"/>
      <c r="JTL585" s="268"/>
      <c r="JTM585" s="268"/>
      <c r="JTN585" s="268"/>
      <c r="JTO585" s="268"/>
      <c r="JTP585" s="268"/>
      <c r="JTQ585" s="268"/>
      <c r="JTR585" s="268"/>
      <c r="JTS585" s="268"/>
      <c r="JTT585" s="268"/>
      <c r="JTU585" s="268"/>
      <c r="JTV585" s="268"/>
      <c r="JTW585" s="268"/>
      <c r="JTX585" s="268"/>
      <c r="JTY585" s="268"/>
      <c r="JTZ585" s="268"/>
      <c r="JUA585" s="268"/>
      <c r="JUB585" s="268"/>
      <c r="JUC585" s="268"/>
      <c r="JUD585" s="268"/>
      <c r="JUE585" s="268"/>
      <c r="JUF585" s="268"/>
      <c r="JUG585" s="268"/>
      <c r="JUH585" s="268"/>
      <c r="JUI585" s="268"/>
      <c r="JUJ585" s="268"/>
      <c r="JUK585" s="268"/>
      <c r="JUL585" s="268"/>
      <c r="JUM585" s="268"/>
      <c r="JUN585" s="268"/>
      <c r="JUO585" s="268"/>
      <c r="JUP585" s="268"/>
      <c r="JUQ585" s="268"/>
      <c r="JUR585" s="268"/>
      <c r="JUS585" s="268"/>
      <c r="JUT585" s="268"/>
      <c r="JUU585" s="268"/>
      <c r="JUV585" s="268"/>
      <c r="JUW585" s="268"/>
      <c r="JUX585" s="268"/>
      <c r="JUY585" s="268"/>
      <c r="JUZ585" s="268"/>
      <c r="JVA585" s="268"/>
      <c r="JVB585" s="268"/>
      <c r="JVC585" s="268"/>
      <c r="JVD585" s="268"/>
      <c r="JVE585" s="268"/>
      <c r="JVF585" s="268"/>
      <c r="JVG585" s="268"/>
      <c r="JVH585" s="268"/>
      <c r="JVI585" s="268"/>
      <c r="JVJ585" s="268"/>
      <c r="JVK585" s="268"/>
      <c r="JVL585" s="268"/>
      <c r="JVM585" s="268"/>
      <c r="JVN585" s="268"/>
      <c r="JVO585" s="268"/>
      <c r="JVP585" s="268"/>
      <c r="JVQ585" s="268"/>
      <c r="JVR585" s="268"/>
      <c r="JVS585" s="268"/>
      <c r="JVT585" s="268"/>
      <c r="JVU585" s="268"/>
      <c r="JVV585" s="268"/>
      <c r="JVW585" s="268"/>
      <c r="JVX585" s="268"/>
      <c r="JVY585" s="268"/>
      <c r="JVZ585" s="268"/>
      <c r="JWA585" s="268"/>
      <c r="JWB585" s="268"/>
      <c r="JWC585" s="268"/>
      <c r="JWD585" s="268"/>
      <c r="JWE585" s="268"/>
      <c r="JWF585" s="268"/>
      <c r="JWG585" s="268"/>
      <c r="JWH585" s="268"/>
      <c r="JWI585" s="268"/>
      <c r="JWJ585" s="268"/>
      <c r="JWK585" s="268"/>
      <c r="JWL585" s="268"/>
      <c r="JWM585" s="268"/>
      <c r="JWN585" s="268"/>
      <c r="JWO585" s="268"/>
      <c r="JWP585" s="268"/>
      <c r="JWQ585" s="268"/>
      <c r="JWR585" s="268"/>
      <c r="JWS585" s="268"/>
      <c r="JWT585" s="268"/>
      <c r="JWU585" s="268"/>
      <c r="JWV585" s="268"/>
      <c r="JWW585" s="268"/>
      <c r="JWX585" s="268"/>
      <c r="JWY585" s="268"/>
      <c r="JWZ585" s="268"/>
      <c r="JXA585" s="268"/>
      <c r="JXB585" s="268"/>
      <c r="JXC585" s="268"/>
      <c r="JXD585" s="268"/>
      <c r="JXE585" s="268"/>
      <c r="JXF585" s="268"/>
      <c r="JXG585" s="268"/>
      <c r="JXH585" s="268"/>
      <c r="JXI585" s="268"/>
      <c r="JXJ585" s="268"/>
      <c r="JXK585" s="268"/>
      <c r="JXL585" s="268"/>
      <c r="JXM585" s="268"/>
      <c r="JXN585" s="268"/>
      <c r="JXO585" s="268"/>
      <c r="JXP585" s="268"/>
      <c r="JXQ585" s="268"/>
      <c r="JXR585" s="268"/>
      <c r="JXS585" s="268"/>
      <c r="JXT585" s="268"/>
      <c r="JXU585" s="268"/>
      <c r="JXV585" s="268"/>
      <c r="JXW585" s="268"/>
      <c r="JXX585" s="268"/>
      <c r="JXY585" s="268"/>
      <c r="JXZ585" s="268"/>
      <c r="JYA585" s="268"/>
      <c r="JYB585" s="268"/>
      <c r="JYC585" s="268"/>
      <c r="JYD585" s="268"/>
      <c r="JYE585" s="268"/>
      <c r="JYS585" s="268"/>
      <c r="JYT585" s="268"/>
      <c r="JYU585" s="268"/>
      <c r="JZI585" s="268"/>
      <c r="JZK585" s="268"/>
      <c r="JZL585" s="268"/>
      <c r="JZM585" s="268"/>
      <c r="JZN585" s="268"/>
      <c r="JZO585" s="268"/>
      <c r="JZP585" s="268"/>
      <c r="JZQ585" s="268"/>
      <c r="JZR585" s="268"/>
      <c r="JZS585" s="268"/>
      <c r="JZT585" s="268"/>
      <c r="JZU585" s="268"/>
      <c r="JZV585" s="268"/>
      <c r="JZW585" s="268"/>
      <c r="JZX585" s="268"/>
      <c r="JZY585" s="268"/>
      <c r="JZZ585" s="268"/>
      <c r="KAA585" s="268"/>
      <c r="KAB585" s="268"/>
      <c r="KAC585" s="268"/>
      <c r="KAD585" s="268"/>
      <c r="KAE585" s="268"/>
      <c r="KAF585" s="268"/>
      <c r="KAG585" s="268"/>
      <c r="KAH585" s="268"/>
      <c r="KAI585" s="268"/>
      <c r="KAJ585" s="268"/>
      <c r="KAK585" s="268"/>
      <c r="KAL585" s="268"/>
      <c r="KAM585" s="268"/>
      <c r="KAN585" s="268"/>
      <c r="KAO585" s="268"/>
      <c r="KAP585" s="268"/>
      <c r="KAQ585" s="268"/>
      <c r="KAR585" s="268"/>
      <c r="KAS585" s="268"/>
      <c r="KAT585" s="268"/>
      <c r="KAU585" s="268"/>
      <c r="KAV585" s="268"/>
      <c r="KAW585" s="268"/>
      <c r="KAX585" s="268"/>
      <c r="KAY585" s="268"/>
      <c r="KAZ585" s="268"/>
      <c r="KBA585" s="268"/>
      <c r="KBB585" s="268"/>
      <c r="KBC585" s="268"/>
      <c r="KBD585" s="268"/>
      <c r="KBE585" s="268"/>
      <c r="KBF585" s="268"/>
      <c r="KBG585" s="268"/>
      <c r="KBH585" s="268"/>
      <c r="KBI585" s="268"/>
      <c r="KBJ585" s="268"/>
      <c r="KBK585" s="268"/>
      <c r="KBL585" s="268"/>
      <c r="KBM585" s="268"/>
      <c r="KBN585" s="268"/>
      <c r="KBO585" s="268"/>
      <c r="KBP585" s="268"/>
      <c r="KBQ585" s="268"/>
      <c r="KBR585" s="268"/>
      <c r="KBS585" s="268"/>
      <c r="KBT585" s="268"/>
      <c r="KBU585" s="268"/>
      <c r="KBV585" s="268"/>
      <c r="KBW585" s="268"/>
      <c r="KBX585" s="268"/>
      <c r="KBY585" s="268"/>
      <c r="KBZ585" s="268"/>
      <c r="KCA585" s="268"/>
      <c r="KCB585" s="268"/>
      <c r="KCC585" s="268"/>
      <c r="KCD585" s="268"/>
      <c r="KCE585" s="268"/>
      <c r="KCF585" s="268"/>
      <c r="KCG585" s="268"/>
      <c r="KCH585" s="268"/>
      <c r="KCI585" s="268"/>
      <c r="KCJ585" s="268"/>
      <c r="KCK585" s="268"/>
      <c r="KCL585" s="268"/>
      <c r="KCM585" s="268"/>
      <c r="KCN585" s="268"/>
      <c r="KCO585" s="268"/>
      <c r="KCP585" s="268"/>
      <c r="KCQ585" s="268"/>
      <c r="KCR585" s="268"/>
      <c r="KCS585" s="268"/>
      <c r="KCT585" s="268"/>
      <c r="KCU585" s="268"/>
      <c r="KCV585" s="268"/>
      <c r="KCW585" s="268"/>
      <c r="KCX585" s="268"/>
      <c r="KCY585" s="268"/>
      <c r="KCZ585" s="268"/>
      <c r="KDA585" s="268"/>
      <c r="KDB585" s="268"/>
      <c r="KDC585" s="268"/>
      <c r="KDD585" s="268"/>
      <c r="KDE585" s="268"/>
      <c r="KDF585" s="268"/>
      <c r="KDG585" s="268"/>
      <c r="KDH585" s="268"/>
      <c r="KDI585" s="268"/>
      <c r="KDJ585" s="268"/>
      <c r="KDK585" s="268"/>
      <c r="KDL585" s="268"/>
      <c r="KDM585" s="268"/>
      <c r="KDN585" s="268"/>
      <c r="KDO585" s="268"/>
      <c r="KDP585" s="268"/>
      <c r="KDQ585" s="268"/>
      <c r="KDR585" s="268"/>
      <c r="KDS585" s="268"/>
      <c r="KDT585" s="268"/>
      <c r="KDU585" s="268"/>
      <c r="KDV585" s="268"/>
      <c r="KDW585" s="268"/>
      <c r="KDX585" s="268"/>
      <c r="KDY585" s="268"/>
      <c r="KDZ585" s="268"/>
      <c r="KEA585" s="268"/>
      <c r="KEB585" s="268"/>
      <c r="KEC585" s="268"/>
      <c r="KED585" s="268"/>
      <c r="KEE585" s="268"/>
      <c r="KEF585" s="268"/>
      <c r="KEG585" s="268"/>
      <c r="KEH585" s="268"/>
      <c r="KEI585" s="268"/>
      <c r="KEJ585" s="268"/>
      <c r="KEK585" s="268"/>
      <c r="KEL585" s="268"/>
      <c r="KEM585" s="268"/>
      <c r="KEN585" s="268"/>
      <c r="KEO585" s="268"/>
      <c r="KEP585" s="268"/>
      <c r="KEQ585" s="268"/>
      <c r="KER585" s="268"/>
      <c r="KES585" s="268"/>
      <c r="KET585" s="268"/>
      <c r="KEU585" s="268"/>
      <c r="KEV585" s="268"/>
      <c r="KEW585" s="268"/>
      <c r="KEX585" s="268"/>
      <c r="KEY585" s="268"/>
      <c r="KEZ585" s="268"/>
      <c r="KFA585" s="268"/>
      <c r="KFB585" s="268"/>
      <c r="KFC585" s="268"/>
      <c r="KFD585" s="268"/>
      <c r="KFE585" s="268"/>
      <c r="KFF585" s="268"/>
      <c r="KFG585" s="268"/>
      <c r="KFH585" s="268"/>
      <c r="KFI585" s="268"/>
      <c r="KFJ585" s="268"/>
      <c r="KFK585" s="268"/>
      <c r="KFL585" s="268"/>
      <c r="KFM585" s="268"/>
      <c r="KFN585" s="268"/>
      <c r="KFO585" s="268"/>
      <c r="KFP585" s="268"/>
      <c r="KFQ585" s="268"/>
      <c r="KFR585" s="268"/>
      <c r="KFS585" s="268"/>
      <c r="KFT585" s="268"/>
      <c r="KFU585" s="268"/>
      <c r="KFV585" s="268"/>
      <c r="KFW585" s="268"/>
      <c r="KFX585" s="268"/>
      <c r="KFY585" s="268"/>
      <c r="KFZ585" s="268"/>
      <c r="KGA585" s="268"/>
      <c r="KGB585" s="268"/>
      <c r="KGC585" s="268"/>
      <c r="KGD585" s="268"/>
      <c r="KGE585" s="268"/>
      <c r="KGF585" s="268"/>
      <c r="KGG585" s="268"/>
      <c r="KGH585" s="268"/>
      <c r="KGI585" s="268"/>
      <c r="KGJ585" s="268"/>
      <c r="KGK585" s="268"/>
      <c r="KGL585" s="268"/>
      <c r="KGM585" s="268"/>
      <c r="KGN585" s="268"/>
      <c r="KGO585" s="268"/>
      <c r="KGP585" s="268"/>
      <c r="KGQ585" s="268"/>
      <c r="KGR585" s="268"/>
      <c r="KGS585" s="268"/>
      <c r="KGT585" s="268"/>
      <c r="KGU585" s="268"/>
      <c r="KGV585" s="268"/>
      <c r="KGW585" s="268"/>
      <c r="KGX585" s="268"/>
      <c r="KGY585" s="268"/>
      <c r="KGZ585" s="268"/>
      <c r="KHA585" s="268"/>
      <c r="KHB585" s="268"/>
      <c r="KHC585" s="268"/>
      <c r="KHD585" s="268"/>
      <c r="KHE585" s="268"/>
      <c r="KHF585" s="268"/>
      <c r="KHG585" s="268"/>
      <c r="KHH585" s="268"/>
      <c r="KHI585" s="268"/>
      <c r="KHJ585" s="268"/>
      <c r="KHK585" s="268"/>
      <c r="KHL585" s="268"/>
      <c r="KHM585" s="268"/>
      <c r="KHN585" s="268"/>
      <c r="KHO585" s="268"/>
      <c r="KHP585" s="268"/>
      <c r="KHQ585" s="268"/>
      <c r="KHR585" s="268"/>
      <c r="KHS585" s="268"/>
      <c r="KHT585" s="268"/>
      <c r="KHU585" s="268"/>
      <c r="KHV585" s="268"/>
      <c r="KHW585" s="268"/>
      <c r="KHX585" s="268"/>
      <c r="KHY585" s="268"/>
      <c r="KHZ585" s="268"/>
      <c r="KIA585" s="268"/>
      <c r="KIO585" s="268"/>
      <c r="KIP585" s="268"/>
      <c r="KIQ585" s="268"/>
      <c r="KJE585" s="268"/>
      <c r="KJG585" s="268"/>
      <c r="KJH585" s="268"/>
      <c r="KJI585" s="268"/>
      <c r="KJJ585" s="268"/>
      <c r="KJK585" s="268"/>
      <c r="KJL585" s="268"/>
      <c r="KJM585" s="268"/>
      <c r="KJN585" s="268"/>
      <c r="KJO585" s="268"/>
      <c r="KJP585" s="268"/>
      <c r="KJQ585" s="268"/>
      <c r="KJR585" s="268"/>
      <c r="KJS585" s="268"/>
      <c r="KJT585" s="268"/>
      <c r="KJU585" s="268"/>
      <c r="KJV585" s="268"/>
      <c r="KJW585" s="268"/>
      <c r="KJX585" s="268"/>
      <c r="KJY585" s="268"/>
      <c r="KJZ585" s="268"/>
      <c r="KKA585" s="268"/>
      <c r="KKB585" s="268"/>
      <c r="KKC585" s="268"/>
      <c r="KKD585" s="268"/>
      <c r="KKE585" s="268"/>
      <c r="KKF585" s="268"/>
      <c r="KKG585" s="268"/>
      <c r="KKH585" s="268"/>
      <c r="KKI585" s="268"/>
      <c r="KKJ585" s="268"/>
      <c r="KKK585" s="268"/>
      <c r="KKL585" s="268"/>
      <c r="KKM585" s="268"/>
      <c r="KKN585" s="268"/>
      <c r="KKO585" s="268"/>
      <c r="KKP585" s="268"/>
      <c r="KKQ585" s="268"/>
      <c r="KKR585" s="268"/>
      <c r="KKS585" s="268"/>
      <c r="KKT585" s="268"/>
      <c r="KKU585" s="268"/>
      <c r="KKV585" s="268"/>
      <c r="KKW585" s="268"/>
      <c r="KKX585" s="268"/>
      <c r="KKY585" s="268"/>
      <c r="KKZ585" s="268"/>
      <c r="KLA585" s="268"/>
      <c r="KLB585" s="268"/>
      <c r="KLC585" s="268"/>
      <c r="KLD585" s="268"/>
      <c r="KLE585" s="268"/>
      <c r="KLF585" s="268"/>
      <c r="KLG585" s="268"/>
      <c r="KLH585" s="268"/>
      <c r="KLI585" s="268"/>
      <c r="KLJ585" s="268"/>
      <c r="KLK585" s="268"/>
      <c r="KLL585" s="268"/>
      <c r="KLM585" s="268"/>
      <c r="KLN585" s="268"/>
      <c r="KLO585" s="268"/>
      <c r="KLP585" s="268"/>
      <c r="KLQ585" s="268"/>
      <c r="KLR585" s="268"/>
      <c r="KLS585" s="268"/>
      <c r="KLT585" s="268"/>
      <c r="KLU585" s="268"/>
      <c r="KLV585" s="268"/>
      <c r="KLW585" s="268"/>
      <c r="KLX585" s="268"/>
      <c r="KLY585" s="268"/>
      <c r="KLZ585" s="268"/>
      <c r="KMA585" s="268"/>
      <c r="KMB585" s="268"/>
      <c r="KMC585" s="268"/>
      <c r="KMD585" s="268"/>
      <c r="KME585" s="268"/>
      <c r="KMF585" s="268"/>
      <c r="KMG585" s="268"/>
      <c r="KMH585" s="268"/>
      <c r="KMI585" s="268"/>
      <c r="KMJ585" s="268"/>
      <c r="KMK585" s="268"/>
      <c r="KML585" s="268"/>
      <c r="KMM585" s="268"/>
      <c r="KMN585" s="268"/>
      <c r="KMO585" s="268"/>
      <c r="KMP585" s="268"/>
      <c r="KMQ585" s="268"/>
      <c r="KMR585" s="268"/>
      <c r="KMS585" s="268"/>
      <c r="KMT585" s="268"/>
      <c r="KMU585" s="268"/>
      <c r="KMV585" s="268"/>
      <c r="KMW585" s="268"/>
      <c r="KMX585" s="268"/>
      <c r="KMY585" s="268"/>
      <c r="KMZ585" s="268"/>
      <c r="KNA585" s="268"/>
      <c r="KNB585" s="268"/>
      <c r="KNC585" s="268"/>
      <c r="KND585" s="268"/>
      <c r="KNE585" s="268"/>
      <c r="KNF585" s="268"/>
      <c r="KNG585" s="268"/>
      <c r="KNH585" s="268"/>
      <c r="KNI585" s="268"/>
      <c r="KNJ585" s="268"/>
      <c r="KNK585" s="268"/>
      <c r="KNL585" s="268"/>
      <c r="KNM585" s="268"/>
      <c r="KNN585" s="268"/>
      <c r="KNO585" s="268"/>
      <c r="KNP585" s="268"/>
      <c r="KNQ585" s="268"/>
      <c r="KNR585" s="268"/>
      <c r="KNS585" s="268"/>
      <c r="KNT585" s="268"/>
      <c r="KNU585" s="268"/>
      <c r="KNV585" s="268"/>
      <c r="KNW585" s="268"/>
      <c r="KNX585" s="268"/>
      <c r="KNY585" s="268"/>
      <c r="KNZ585" s="268"/>
      <c r="KOA585" s="268"/>
      <c r="KOB585" s="268"/>
      <c r="KOC585" s="268"/>
      <c r="KOD585" s="268"/>
      <c r="KOE585" s="268"/>
      <c r="KOF585" s="268"/>
      <c r="KOG585" s="268"/>
      <c r="KOH585" s="268"/>
      <c r="KOI585" s="268"/>
      <c r="KOJ585" s="268"/>
      <c r="KOK585" s="268"/>
      <c r="KOL585" s="268"/>
      <c r="KOM585" s="268"/>
      <c r="KON585" s="268"/>
      <c r="KOO585" s="268"/>
      <c r="KOP585" s="268"/>
      <c r="KOQ585" s="268"/>
      <c r="KOR585" s="268"/>
      <c r="KOS585" s="268"/>
      <c r="KOT585" s="268"/>
      <c r="KOU585" s="268"/>
      <c r="KOV585" s="268"/>
      <c r="KOW585" s="268"/>
      <c r="KOX585" s="268"/>
      <c r="KOY585" s="268"/>
      <c r="KOZ585" s="268"/>
      <c r="KPA585" s="268"/>
      <c r="KPB585" s="268"/>
      <c r="KPC585" s="268"/>
      <c r="KPD585" s="268"/>
      <c r="KPE585" s="268"/>
      <c r="KPF585" s="268"/>
      <c r="KPG585" s="268"/>
      <c r="KPH585" s="268"/>
      <c r="KPI585" s="268"/>
      <c r="KPJ585" s="268"/>
      <c r="KPK585" s="268"/>
      <c r="KPL585" s="268"/>
      <c r="KPM585" s="268"/>
      <c r="KPN585" s="268"/>
      <c r="KPO585" s="268"/>
      <c r="KPP585" s="268"/>
      <c r="KPQ585" s="268"/>
      <c r="KPR585" s="268"/>
      <c r="KPS585" s="268"/>
      <c r="KPT585" s="268"/>
      <c r="KPU585" s="268"/>
      <c r="KPV585" s="268"/>
      <c r="KPW585" s="268"/>
      <c r="KPX585" s="268"/>
      <c r="KPY585" s="268"/>
      <c r="KPZ585" s="268"/>
      <c r="KQA585" s="268"/>
      <c r="KQB585" s="268"/>
      <c r="KQC585" s="268"/>
      <c r="KQD585" s="268"/>
      <c r="KQE585" s="268"/>
      <c r="KQF585" s="268"/>
      <c r="KQG585" s="268"/>
      <c r="KQH585" s="268"/>
      <c r="KQI585" s="268"/>
      <c r="KQJ585" s="268"/>
      <c r="KQK585" s="268"/>
      <c r="KQL585" s="268"/>
      <c r="KQM585" s="268"/>
      <c r="KQN585" s="268"/>
      <c r="KQO585" s="268"/>
      <c r="KQP585" s="268"/>
      <c r="KQQ585" s="268"/>
      <c r="KQR585" s="268"/>
      <c r="KQS585" s="268"/>
      <c r="KQT585" s="268"/>
      <c r="KQU585" s="268"/>
      <c r="KQV585" s="268"/>
      <c r="KQW585" s="268"/>
      <c r="KQX585" s="268"/>
      <c r="KQY585" s="268"/>
      <c r="KQZ585" s="268"/>
      <c r="KRA585" s="268"/>
      <c r="KRB585" s="268"/>
      <c r="KRC585" s="268"/>
      <c r="KRD585" s="268"/>
      <c r="KRE585" s="268"/>
      <c r="KRF585" s="268"/>
      <c r="KRG585" s="268"/>
      <c r="KRH585" s="268"/>
      <c r="KRI585" s="268"/>
      <c r="KRJ585" s="268"/>
      <c r="KRK585" s="268"/>
      <c r="KRL585" s="268"/>
      <c r="KRM585" s="268"/>
      <c r="KRN585" s="268"/>
      <c r="KRO585" s="268"/>
      <c r="KRP585" s="268"/>
      <c r="KRQ585" s="268"/>
      <c r="KRR585" s="268"/>
      <c r="KRS585" s="268"/>
      <c r="KRT585" s="268"/>
      <c r="KRU585" s="268"/>
      <c r="KRV585" s="268"/>
      <c r="KRW585" s="268"/>
      <c r="KSK585" s="268"/>
      <c r="KSL585" s="268"/>
      <c r="KSM585" s="268"/>
      <c r="KTA585" s="268"/>
      <c r="KTC585" s="268"/>
      <c r="KTD585" s="268"/>
      <c r="KTE585" s="268"/>
      <c r="KTF585" s="268"/>
      <c r="KTG585" s="268"/>
      <c r="KTH585" s="268"/>
      <c r="KTI585" s="268"/>
      <c r="KTJ585" s="268"/>
      <c r="KTK585" s="268"/>
      <c r="KTL585" s="268"/>
      <c r="KTM585" s="268"/>
      <c r="KTN585" s="268"/>
      <c r="KTO585" s="268"/>
      <c r="KTP585" s="268"/>
      <c r="KTQ585" s="268"/>
      <c r="KTR585" s="268"/>
      <c r="KTS585" s="268"/>
      <c r="KTT585" s="268"/>
      <c r="KTU585" s="268"/>
      <c r="KTV585" s="268"/>
      <c r="KTW585" s="268"/>
      <c r="KTX585" s="268"/>
      <c r="KTY585" s="268"/>
      <c r="KTZ585" s="268"/>
      <c r="KUA585" s="268"/>
      <c r="KUB585" s="268"/>
      <c r="KUC585" s="268"/>
      <c r="KUD585" s="268"/>
      <c r="KUE585" s="268"/>
      <c r="KUF585" s="268"/>
      <c r="KUG585" s="268"/>
      <c r="KUH585" s="268"/>
      <c r="KUI585" s="268"/>
      <c r="KUJ585" s="268"/>
      <c r="KUK585" s="268"/>
      <c r="KUL585" s="268"/>
      <c r="KUM585" s="268"/>
      <c r="KUN585" s="268"/>
      <c r="KUO585" s="268"/>
      <c r="KUP585" s="268"/>
      <c r="KUQ585" s="268"/>
      <c r="KUR585" s="268"/>
      <c r="KUS585" s="268"/>
      <c r="KUT585" s="268"/>
      <c r="KUU585" s="268"/>
      <c r="KUV585" s="268"/>
      <c r="KUW585" s="268"/>
      <c r="KUX585" s="268"/>
      <c r="KUY585" s="268"/>
      <c r="KUZ585" s="268"/>
      <c r="KVA585" s="268"/>
      <c r="KVB585" s="268"/>
      <c r="KVC585" s="268"/>
      <c r="KVD585" s="268"/>
      <c r="KVE585" s="268"/>
      <c r="KVF585" s="268"/>
      <c r="KVG585" s="268"/>
      <c r="KVH585" s="268"/>
      <c r="KVI585" s="268"/>
      <c r="KVJ585" s="268"/>
      <c r="KVK585" s="268"/>
      <c r="KVL585" s="268"/>
      <c r="KVM585" s="268"/>
      <c r="KVN585" s="268"/>
      <c r="KVO585" s="268"/>
      <c r="KVP585" s="268"/>
      <c r="KVQ585" s="268"/>
      <c r="KVR585" s="268"/>
      <c r="KVS585" s="268"/>
      <c r="KVT585" s="268"/>
      <c r="KVU585" s="268"/>
      <c r="KVV585" s="268"/>
      <c r="KVW585" s="268"/>
      <c r="KVX585" s="268"/>
      <c r="KVY585" s="268"/>
      <c r="KVZ585" s="268"/>
      <c r="KWA585" s="268"/>
      <c r="KWB585" s="268"/>
      <c r="KWC585" s="268"/>
      <c r="KWD585" s="268"/>
      <c r="KWE585" s="268"/>
      <c r="KWF585" s="268"/>
      <c r="KWG585" s="268"/>
      <c r="KWH585" s="268"/>
      <c r="KWI585" s="268"/>
      <c r="KWJ585" s="268"/>
      <c r="KWK585" s="268"/>
      <c r="KWL585" s="268"/>
      <c r="KWM585" s="268"/>
      <c r="KWN585" s="268"/>
      <c r="KWO585" s="268"/>
      <c r="KWP585" s="268"/>
      <c r="KWQ585" s="268"/>
      <c r="KWR585" s="268"/>
      <c r="KWS585" s="268"/>
      <c r="KWT585" s="268"/>
      <c r="KWU585" s="268"/>
      <c r="KWV585" s="268"/>
      <c r="KWW585" s="268"/>
      <c r="KWX585" s="268"/>
      <c r="KWY585" s="268"/>
      <c r="KWZ585" s="268"/>
      <c r="KXA585" s="268"/>
      <c r="KXB585" s="268"/>
      <c r="KXC585" s="268"/>
      <c r="KXD585" s="268"/>
      <c r="KXE585" s="268"/>
      <c r="KXF585" s="268"/>
      <c r="KXG585" s="268"/>
      <c r="KXH585" s="268"/>
      <c r="KXI585" s="268"/>
      <c r="KXJ585" s="268"/>
      <c r="KXK585" s="268"/>
      <c r="KXL585" s="268"/>
      <c r="KXM585" s="268"/>
      <c r="KXN585" s="268"/>
      <c r="KXO585" s="268"/>
      <c r="KXP585" s="268"/>
      <c r="KXQ585" s="268"/>
      <c r="KXR585" s="268"/>
      <c r="KXS585" s="268"/>
      <c r="KXT585" s="268"/>
      <c r="KXU585" s="268"/>
      <c r="KXV585" s="268"/>
      <c r="KXW585" s="268"/>
      <c r="KXX585" s="268"/>
      <c r="KXY585" s="268"/>
      <c r="KXZ585" s="268"/>
      <c r="KYA585" s="268"/>
      <c r="KYB585" s="268"/>
      <c r="KYC585" s="268"/>
      <c r="KYD585" s="268"/>
      <c r="KYE585" s="268"/>
      <c r="KYF585" s="268"/>
      <c r="KYG585" s="268"/>
      <c r="KYH585" s="268"/>
      <c r="KYI585" s="268"/>
      <c r="KYJ585" s="268"/>
      <c r="KYK585" s="268"/>
      <c r="KYL585" s="268"/>
      <c r="KYM585" s="268"/>
      <c r="KYN585" s="268"/>
      <c r="KYO585" s="268"/>
      <c r="KYP585" s="268"/>
      <c r="KYQ585" s="268"/>
      <c r="KYR585" s="268"/>
      <c r="KYS585" s="268"/>
      <c r="KYT585" s="268"/>
      <c r="KYU585" s="268"/>
      <c r="KYV585" s="268"/>
      <c r="KYW585" s="268"/>
      <c r="KYX585" s="268"/>
      <c r="KYY585" s="268"/>
      <c r="KYZ585" s="268"/>
      <c r="KZA585" s="268"/>
      <c r="KZB585" s="268"/>
      <c r="KZC585" s="268"/>
      <c r="KZD585" s="268"/>
      <c r="KZE585" s="268"/>
      <c r="KZF585" s="268"/>
      <c r="KZG585" s="268"/>
      <c r="KZH585" s="268"/>
      <c r="KZI585" s="268"/>
      <c r="KZJ585" s="268"/>
      <c r="KZK585" s="268"/>
      <c r="KZL585" s="268"/>
      <c r="KZM585" s="268"/>
      <c r="KZN585" s="268"/>
      <c r="KZO585" s="268"/>
      <c r="KZP585" s="268"/>
      <c r="KZQ585" s="268"/>
      <c r="KZR585" s="268"/>
      <c r="KZS585" s="268"/>
      <c r="KZT585" s="268"/>
      <c r="KZU585" s="268"/>
      <c r="KZV585" s="268"/>
      <c r="KZW585" s="268"/>
      <c r="KZX585" s="268"/>
      <c r="KZY585" s="268"/>
      <c r="KZZ585" s="268"/>
      <c r="LAA585" s="268"/>
      <c r="LAB585" s="268"/>
      <c r="LAC585" s="268"/>
      <c r="LAD585" s="268"/>
      <c r="LAE585" s="268"/>
      <c r="LAF585" s="268"/>
      <c r="LAG585" s="268"/>
      <c r="LAH585" s="268"/>
      <c r="LAI585" s="268"/>
      <c r="LAJ585" s="268"/>
      <c r="LAK585" s="268"/>
      <c r="LAL585" s="268"/>
      <c r="LAM585" s="268"/>
      <c r="LAN585" s="268"/>
      <c r="LAO585" s="268"/>
      <c r="LAP585" s="268"/>
      <c r="LAQ585" s="268"/>
      <c r="LAR585" s="268"/>
      <c r="LAS585" s="268"/>
      <c r="LAT585" s="268"/>
      <c r="LAU585" s="268"/>
      <c r="LAV585" s="268"/>
      <c r="LAW585" s="268"/>
      <c r="LAX585" s="268"/>
      <c r="LAY585" s="268"/>
      <c r="LAZ585" s="268"/>
      <c r="LBA585" s="268"/>
      <c r="LBB585" s="268"/>
      <c r="LBC585" s="268"/>
      <c r="LBD585" s="268"/>
      <c r="LBE585" s="268"/>
      <c r="LBF585" s="268"/>
      <c r="LBG585" s="268"/>
      <c r="LBH585" s="268"/>
      <c r="LBI585" s="268"/>
      <c r="LBJ585" s="268"/>
      <c r="LBK585" s="268"/>
      <c r="LBL585" s="268"/>
      <c r="LBM585" s="268"/>
      <c r="LBN585" s="268"/>
      <c r="LBO585" s="268"/>
      <c r="LBP585" s="268"/>
      <c r="LBQ585" s="268"/>
      <c r="LBR585" s="268"/>
      <c r="LBS585" s="268"/>
      <c r="LCG585" s="268"/>
      <c r="LCH585" s="268"/>
      <c r="LCI585" s="268"/>
      <c r="LCW585" s="268"/>
      <c r="LCY585" s="268"/>
      <c r="LCZ585" s="268"/>
      <c r="LDA585" s="268"/>
      <c r="LDB585" s="268"/>
      <c r="LDC585" s="268"/>
      <c r="LDD585" s="268"/>
      <c r="LDE585" s="268"/>
      <c r="LDF585" s="268"/>
      <c r="LDG585" s="268"/>
      <c r="LDH585" s="268"/>
      <c r="LDI585" s="268"/>
      <c r="LDJ585" s="268"/>
      <c r="LDK585" s="268"/>
      <c r="LDL585" s="268"/>
      <c r="LDM585" s="268"/>
      <c r="LDN585" s="268"/>
      <c r="LDO585" s="268"/>
      <c r="LDP585" s="268"/>
      <c r="LDQ585" s="268"/>
      <c r="LDR585" s="268"/>
      <c r="LDS585" s="268"/>
      <c r="LDT585" s="268"/>
      <c r="LDU585" s="268"/>
      <c r="LDV585" s="268"/>
      <c r="LDW585" s="268"/>
      <c r="LDX585" s="268"/>
      <c r="LDY585" s="268"/>
      <c r="LDZ585" s="268"/>
      <c r="LEA585" s="268"/>
      <c r="LEB585" s="268"/>
      <c r="LEC585" s="268"/>
      <c r="LED585" s="268"/>
      <c r="LEE585" s="268"/>
      <c r="LEF585" s="268"/>
      <c r="LEG585" s="268"/>
      <c r="LEH585" s="268"/>
      <c r="LEI585" s="268"/>
      <c r="LEJ585" s="268"/>
      <c r="LEK585" s="268"/>
      <c r="LEL585" s="268"/>
      <c r="LEM585" s="268"/>
      <c r="LEN585" s="268"/>
      <c r="LEO585" s="268"/>
      <c r="LEP585" s="268"/>
      <c r="LEQ585" s="268"/>
      <c r="LER585" s="268"/>
      <c r="LES585" s="268"/>
      <c r="LET585" s="268"/>
      <c r="LEU585" s="268"/>
      <c r="LEV585" s="268"/>
      <c r="LEW585" s="268"/>
      <c r="LEX585" s="268"/>
      <c r="LEY585" s="268"/>
      <c r="LEZ585" s="268"/>
      <c r="LFA585" s="268"/>
      <c r="LFB585" s="268"/>
      <c r="LFC585" s="268"/>
      <c r="LFD585" s="268"/>
      <c r="LFE585" s="268"/>
      <c r="LFF585" s="268"/>
      <c r="LFG585" s="268"/>
      <c r="LFH585" s="268"/>
      <c r="LFI585" s="268"/>
      <c r="LFJ585" s="268"/>
      <c r="LFK585" s="268"/>
      <c r="LFL585" s="268"/>
      <c r="LFM585" s="268"/>
      <c r="LFN585" s="268"/>
      <c r="LFO585" s="268"/>
      <c r="LFP585" s="268"/>
      <c r="LFQ585" s="268"/>
      <c r="LFR585" s="268"/>
      <c r="LFS585" s="268"/>
      <c r="LFT585" s="268"/>
      <c r="LFU585" s="268"/>
      <c r="LFV585" s="268"/>
      <c r="LFW585" s="268"/>
      <c r="LFX585" s="268"/>
      <c r="LFY585" s="268"/>
      <c r="LFZ585" s="268"/>
      <c r="LGA585" s="268"/>
      <c r="LGB585" s="268"/>
      <c r="LGC585" s="268"/>
      <c r="LGD585" s="268"/>
      <c r="LGE585" s="268"/>
      <c r="LGF585" s="268"/>
      <c r="LGG585" s="268"/>
      <c r="LGH585" s="268"/>
      <c r="LGI585" s="268"/>
      <c r="LGJ585" s="268"/>
      <c r="LGK585" s="268"/>
      <c r="LGL585" s="268"/>
      <c r="LGM585" s="268"/>
      <c r="LGN585" s="268"/>
      <c r="LGO585" s="268"/>
      <c r="LGP585" s="268"/>
      <c r="LGQ585" s="268"/>
      <c r="LGR585" s="268"/>
      <c r="LGS585" s="268"/>
      <c r="LGT585" s="268"/>
      <c r="LGU585" s="268"/>
      <c r="LGV585" s="268"/>
      <c r="LGW585" s="268"/>
      <c r="LGX585" s="268"/>
      <c r="LGY585" s="268"/>
      <c r="LGZ585" s="268"/>
      <c r="LHA585" s="268"/>
      <c r="LHB585" s="268"/>
      <c r="LHC585" s="268"/>
      <c r="LHD585" s="268"/>
      <c r="LHE585" s="268"/>
      <c r="LHF585" s="268"/>
      <c r="LHG585" s="268"/>
      <c r="LHH585" s="268"/>
      <c r="LHI585" s="268"/>
      <c r="LHJ585" s="268"/>
      <c r="LHK585" s="268"/>
      <c r="LHL585" s="268"/>
      <c r="LHM585" s="268"/>
      <c r="LHN585" s="268"/>
      <c r="LHO585" s="268"/>
      <c r="LHP585" s="268"/>
      <c r="LHQ585" s="268"/>
      <c r="LHR585" s="268"/>
      <c r="LHS585" s="268"/>
      <c r="LHT585" s="268"/>
      <c r="LHU585" s="268"/>
      <c r="LHV585" s="268"/>
      <c r="LHW585" s="268"/>
      <c r="LHX585" s="268"/>
      <c r="LHY585" s="268"/>
      <c r="LHZ585" s="268"/>
      <c r="LIA585" s="268"/>
      <c r="LIB585" s="268"/>
      <c r="LIC585" s="268"/>
      <c r="LID585" s="268"/>
      <c r="LIE585" s="268"/>
      <c r="LIF585" s="268"/>
      <c r="LIG585" s="268"/>
      <c r="LIH585" s="268"/>
      <c r="LII585" s="268"/>
      <c r="LIJ585" s="268"/>
      <c r="LIK585" s="268"/>
      <c r="LIL585" s="268"/>
      <c r="LIM585" s="268"/>
      <c r="LIN585" s="268"/>
      <c r="LIO585" s="268"/>
      <c r="LIP585" s="268"/>
      <c r="LIQ585" s="268"/>
      <c r="LIR585" s="268"/>
      <c r="LIS585" s="268"/>
      <c r="LIT585" s="268"/>
      <c r="LIU585" s="268"/>
      <c r="LIV585" s="268"/>
      <c r="LIW585" s="268"/>
      <c r="LIX585" s="268"/>
      <c r="LIY585" s="268"/>
      <c r="LIZ585" s="268"/>
      <c r="LJA585" s="268"/>
      <c r="LJB585" s="268"/>
      <c r="LJC585" s="268"/>
      <c r="LJD585" s="268"/>
      <c r="LJE585" s="268"/>
      <c r="LJF585" s="268"/>
      <c r="LJG585" s="268"/>
      <c r="LJH585" s="268"/>
      <c r="LJI585" s="268"/>
      <c r="LJJ585" s="268"/>
      <c r="LJK585" s="268"/>
      <c r="LJL585" s="268"/>
      <c r="LJM585" s="268"/>
      <c r="LJN585" s="268"/>
      <c r="LJO585" s="268"/>
      <c r="LJP585" s="268"/>
      <c r="LJQ585" s="268"/>
      <c r="LJR585" s="268"/>
      <c r="LJS585" s="268"/>
      <c r="LJT585" s="268"/>
      <c r="LJU585" s="268"/>
      <c r="LJV585" s="268"/>
      <c r="LJW585" s="268"/>
      <c r="LJX585" s="268"/>
      <c r="LJY585" s="268"/>
      <c r="LJZ585" s="268"/>
      <c r="LKA585" s="268"/>
      <c r="LKB585" s="268"/>
      <c r="LKC585" s="268"/>
      <c r="LKD585" s="268"/>
      <c r="LKE585" s="268"/>
      <c r="LKF585" s="268"/>
      <c r="LKG585" s="268"/>
      <c r="LKH585" s="268"/>
      <c r="LKI585" s="268"/>
      <c r="LKJ585" s="268"/>
      <c r="LKK585" s="268"/>
      <c r="LKL585" s="268"/>
      <c r="LKM585" s="268"/>
      <c r="LKN585" s="268"/>
      <c r="LKO585" s="268"/>
      <c r="LKP585" s="268"/>
      <c r="LKQ585" s="268"/>
      <c r="LKR585" s="268"/>
      <c r="LKS585" s="268"/>
      <c r="LKT585" s="268"/>
      <c r="LKU585" s="268"/>
      <c r="LKV585" s="268"/>
      <c r="LKW585" s="268"/>
      <c r="LKX585" s="268"/>
      <c r="LKY585" s="268"/>
      <c r="LKZ585" s="268"/>
      <c r="LLA585" s="268"/>
      <c r="LLB585" s="268"/>
      <c r="LLC585" s="268"/>
      <c r="LLD585" s="268"/>
      <c r="LLE585" s="268"/>
      <c r="LLF585" s="268"/>
      <c r="LLG585" s="268"/>
      <c r="LLH585" s="268"/>
      <c r="LLI585" s="268"/>
      <c r="LLJ585" s="268"/>
      <c r="LLK585" s="268"/>
      <c r="LLL585" s="268"/>
      <c r="LLM585" s="268"/>
      <c r="LLN585" s="268"/>
      <c r="LLO585" s="268"/>
      <c r="LMC585" s="268"/>
      <c r="LMD585" s="268"/>
      <c r="LME585" s="268"/>
      <c r="LMS585" s="268"/>
      <c r="LMU585" s="268"/>
      <c r="LMV585" s="268"/>
      <c r="LMW585" s="268"/>
      <c r="LMX585" s="268"/>
      <c r="LMY585" s="268"/>
      <c r="LMZ585" s="268"/>
      <c r="LNA585" s="268"/>
      <c r="LNB585" s="268"/>
      <c r="LNC585" s="268"/>
      <c r="LND585" s="268"/>
      <c r="LNE585" s="268"/>
      <c r="LNF585" s="268"/>
      <c r="LNG585" s="268"/>
      <c r="LNH585" s="268"/>
      <c r="LNI585" s="268"/>
      <c r="LNJ585" s="268"/>
      <c r="LNK585" s="268"/>
      <c r="LNL585" s="268"/>
      <c r="LNM585" s="268"/>
      <c r="LNN585" s="268"/>
      <c r="LNO585" s="268"/>
      <c r="LNP585" s="268"/>
      <c r="LNQ585" s="268"/>
      <c r="LNR585" s="268"/>
      <c r="LNS585" s="268"/>
      <c r="LNT585" s="268"/>
      <c r="LNU585" s="268"/>
      <c r="LNV585" s="268"/>
      <c r="LNW585" s="268"/>
      <c r="LNX585" s="268"/>
      <c r="LNY585" s="268"/>
      <c r="LNZ585" s="268"/>
      <c r="LOA585" s="268"/>
      <c r="LOB585" s="268"/>
      <c r="LOC585" s="268"/>
      <c r="LOD585" s="268"/>
      <c r="LOE585" s="268"/>
      <c r="LOF585" s="268"/>
      <c r="LOG585" s="268"/>
      <c r="LOH585" s="268"/>
      <c r="LOI585" s="268"/>
      <c r="LOJ585" s="268"/>
      <c r="LOK585" s="268"/>
      <c r="LOL585" s="268"/>
      <c r="LOM585" s="268"/>
      <c r="LON585" s="268"/>
      <c r="LOO585" s="268"/>
      <c r="LOP585" s="268"/>
      <c r="LOQ585" s="268"/>
      <c r="LOR585" s="268"/>
      <c r="LOS585" s="268"/>
      <c r="LOT585" s="268"/>
      <c r="LOU585" s="268"/>
      <c r="LOV585" s="268"/>
      <c r="LOW585" s="268"/>
      <c r="LOX585" s="268"/>
      <c r="LOY585" s="268"/>
      <c r="LOZ585" s="268"/>
      <c r="LPA585" s="268"/>
      <c r="LPB585" s="268"/>
      <c r="LPC585" s="268"/>
      <c r="LPD585" s="268"/>
      <c r="LPE585" s="268"/>
      <c r="LPF585" s="268"/>
      <c r="LPG585" s="268"/>
      <c r="LPH585" s="268"/>
      <c r="LPI585" s="268"/>
      <c r="LPJ585" s="268"/>
      <c r="LPK585" s="268"/>
      <c r="LPL585" s="268"/>
      <c r="LPM585" s="268"/>
      <c r="LPN585" s="268"/>
      <c r="LPO585" s="268"/>
      <c r="LPP585" s="268"/>
      <c r="LPQ585" s="268"/>
      <c r="LPR585" s="268"/>
      <c r="LPS585" s="268"/>
      <c r="LPT585" s="268"/>
      <c r="LPU585" s="268"/>
      <c r="LPV585" s="268"/>
      <c r="LPW585" s="268"/>
      <c r="LPX585" s="268"/>
      <c r="LPY585" s="268"/>
      <c r="LPZ585" s="268"/>
      <c r="LQA585" s="268"/>
      <c r="LQB585" s="268"/>
      <c r="LQC585" s="268"/>
      <c r="LQD585" s="268"/>
      <c r="LQE585" s="268"/>
      <c r="LQF585" s="268"/>
      <c r="LQG585" s="268"/>
      <c r="LQH585" s="268"/>
      <c r="LQI585" s="268"/>
      <c r="LQJ585" s="268"/>
      <c r="LQK585" s="268"/>
      <c r="LQL585" s="268"/>
      <c r="LQM585" s="268"/>
      <c r="LQN585" s="268"/>
      <c r="LQO585" s="268"/>
      <c r="LQP585" s="268"/>
      <c r="LQQ585" s="268"/>
      <c r="LQR585" s="268"/>
      <c r="LQS585" s="268"/>
      <c r="LQT585" s="268"/>
      <c r="LQU585" s="268"/>
      <c r="LQV585" s="268"/>
      <c r="LQW585" s="268"/>
      <c r="LQX585" s="268"/>
      <c r="LQY585" s="268"/>
      <c r="LQZ585" s="268"/>
      <c r="LRA585" s="268"/>
      <c r="LRB585" s="268"/>
      <c r="LRC585" s="268"/>
      <c r="LRD585" s="268"/>
      <c r="LRE585" s="268"/>
      <c r="LRF585" s="268"/>
      <c r="LRG585" s="268"/>
      <c r="LRH585" s="268"/>
      <c r="LRI585" s="268"/>
      <c r="LRJ585" s="268"/>
      <c r="LRK585" s="268"/>
      <c r="LRL585" s="268"/>
      <c r="LRM585" s="268"/>
      <c r="LRN585" s="268"/>
      <c r="LRO585" s="268"/>
      <c r="LRP585" s="268"/>
      <c r="LRQ585" s="268"/>
      <c r="LRR585" s="268"/>
      <c r="LRS585" s="268"/>
      <c r="LRT585" s="268"/>
      <c r="LRU585" s="268"/>
      <c r="LRV585" s="268"/>
      <c r="LRW585" s="268"/>
      <c r="LRX585" s="268"/>
      <c r="LRY585" s="268"/>
      <c r="LRZ585" s="268"/>
      <c r="LSA585" s="268"/>
      <c r="LSB585" s="268"/>
      <c r="LSC585" s="268"/>
      <c r="LSD585" s="268"/>
      <c r="LSE585" s="268"/>
      <c r="LSF585" s="268"/>
      <c r="LSG585" s="268"/>
      <c r="LSH585" s="268"/>
      <c r="LSI585" s="268"/>
      <c r="LSJ585" s="268"/>
      <c r="LSK585" s="268"/>
      <c r="LSL585" s="268"/>
      <c r="LSM585" s="268"/>
      <c r="LSN585" s="268"/>
      <c r="LSO585" s="268"/>
      <c r="LSP585" s="268"/>
      <c r="LSQ585" s="268"/>
      <c r="LSR585" s="268"/>
      <c r="LSS585" s="268"/>
      <c r="LST585" s="268"/>
      <c r="LSU585" s="268"/>
      <c r="LSV585" s="268"/>
      <c r="LSW585" s="268"/>
      <c r="LSX585" s="268"/>
      <c r="LSY585" s="268"/>
      <c r="LSZ585" s="268"/>
      <c r="LTA585" s="268"/>
      <c r="LTB585" s="268"/>
      <c r="LTC585" s="268"/>
      <c r="LTD585" s="268"/>
      <c r="LTE585" s="268"/>
      <c r="LTF585" s="268"/>
      <c r="LTG585" s="268"/>
      <c r="LTH585" s="268"/>
      <c r="LTI585" s="268"/>
      <c r="LTJ585" s="268"/>
      <c r="LTK585" s="268"/>
      <c r="LTL585" s="268"/>
      <c r="LTM585" s="268"/>
      <c r="LTN585" s="268"/>
      <c r="LTO585" s="268"/>
      <c r="LTP585" s="268"/>
      <c r="LTQ585" s="268"/>
      <c r="LTR585" s="268"/>
      <c r="LTS585" s="268"/>
      <c r="LTT585" s="268"/>
      <c r="LTU585" s="268"/>
      <c r="LTV585" s="268"/>
      <c r="LTW585" s="268"/>
      <c r="LTX585" s="268"/>
      <c r="LTY585" s="268"/>
      <c r="LTZ585" s="268"/>
      <c r="LUA585" s="268"/>
      <c r="LUB585" s="268"/>
      <c r="LUC585" s="268"/>
      <c r="LUD585" s="268"/>
      <c r="LUE585" s="268"/>
      <c r="LUF585" s="268"/>
      <c r="LUG585" s="268"/>
      <c r="LUH585" s="268"/>
      <c r="LUI585" s="268"/>
      <c r="LUJ585" s="268"/>
      <c r="LUK585" s="268"/>
      <c r="LUL585" s="268"/>
      <c r="LUM585" s="268"/>
      <c r="LUN585" s="268"/>
      <c r="LUO585" s="268"/>
      <c r="LUP585" s="268"/>
      <c r="LUQ585" s="268"/>
      <c r="LUR585" s="268"/>
      <c r="LUS585" s="268"/>
      <c r="LUT585" s="268"/>
      <c r="LUU585" s="268"/>
      <c r="LUV585" s="268"/>
      <c r="LUW585" s="268"/>
      <c r="LUX585" s="268"/>
      <c r="LUY585" s="268"/>
      <c r="LUZ585" s="268"/>
      <c r="LVA585" s="268"/>
      <c r="LVB585" s="268"/>
      <c r="LVC585" s="268"/>
      <c r="LVD585" s="268"/>
      <c r="LVE585" s="268"/>
      <c r="LVF585" s="268"/>
      <c r="LVG585" s="268"/>
      <c r="LVH585" s="268"/>
      <c r="LVI585" s="268"/>
      <c r="LVJ585" s="268"/>
      <c r="LVK585" s="268"/>
      <c r="LVY585" s="268"/>
      <c r="LVZ585" s="268"/>
      <c r="LWA585" s="268"/>
      <c r="LWO585" s="268"/>
      <c r="LWQ585" s="268"/>
      <c r="LWR585" s="268"/>
      <c r="LWS585" s="268"/>
      <c r="LWT585" s="268"/>
      <c r="LWU585" s="268"/>
      <c r="LWV585" s="268"/>
      <c r="LWW585" s="268"/>
      <c r="LWX585" s="268"/>
      <c r="LWY585" s="268"/>
      <c r="LWZ585" s="268"/>
      <c r="LXA585" s="268"/>
      <c r="LXB585" s="268"/>
      <c r="LXC585" s="268"/>
      <c r="LXD585" s="268"/>
      <c r="LXE585" s="268"/>
      <c r="LXF585" s="268"/>
      <c r="LXG585" s="268"/>
      <c r="LXH585" s="268"/>
      <c r="LXI585" s="268"/>
      <c r="LXJ585" s="268"/>
      <c r="LXK585" s="268"/>
      <c r="LXL585" s="268"/>
      <c r="LXM585" s="268"/>
      <c r="LXN585" s="268"/>
      <c r="LXO585" s="268"/>
      <c r="LXP585" s="268"/>
      <c r="LXQ585" s="268"/>
      <c r="LXR585" s="268"/>
      <c r="LXS585" s="268"/>
      <c r="LXT585" s="268"/>
      <c r="LXU585" s="268"/>
      <c r="LXV585" s="268"/>
      <c r="LXW585" s="268"/>
      <c r="LXX585" s="268"/>
      <c r="LXY585" s="268"/>
      <c r="LXZ585" s="268"/>
      <c r="LYA585" s="268"/>
      <c r="LYB585" s="268"/>
      <c r="LYC585" s="268"/>
      <c r="LYD585" s="268"/>
      <c r="LYE585" s="268"/>
      <c r="LYF585" s="268"/>
      <c r="LYG585" s="268"/>
      <c r="LYH585" s="268"/>
      <c r="LYI585" s="268"/>
      <c r="LYJ585" s="268"/>
      <c r="LYK585" s="268"/>
      <c r="LYL585" s="268"/>
      <c r="LYM585" s="268"/>
      <c r="LYN585" s="268"/>
      <c r="LYO585" s="268"/>
      <c r="LYP585" s="268"/>
      <c r="LYQ585" s="268"/>
      <c r="LYR585" s="268"/>
      <c r="LYS585" s="268"/>
      <c r="LYT585" s="268"/>
      <c r="LYU585" s="268"/>
      <c r="LYV585" s="268"/>
      <c r="LYW585" s="268"/>
      <c r="LYX585" s="268"/>
      <c r="LYY585" s="268"/>
      <c r="LYZ585" s="268"/>
      <c r="LZA585" s="268"/>
      <c r="LZB585" s="268"/>
      <c r="LZC585" s="268"/>
      <c r="LZD585" s="268"/>
      <c r="LZE585" s="268"/>
      <c r="LZF585" s="268"/>
      <c r="LZG585" s="268"/>
      <c r="LZH585" s="268"/>
      <c r="LZI585" s="268"/>
      <c r="LZJ585" s="268"/>
      <c r="LZK585" s="268"/>
      <c r="LZL585" s="268"/>
      <c r="LZM585" s="268"/>
      <c r="LZN585" s="268"/>
      <c r="LZO585" s="268"/>
      <c r="LZP585" s="268"/>
      <c r="LZQ585" s="268"/>
      <c r="LZR585" s="268"/>
      <c r="LZS585" s="268"/>
      <c r="LZT585" s="268"/>
      <c r="LZU585" s="268"/>
      <c r="LZV585" s="268"/>
      <c r="LZW585" s="268"/>
      <c r="LZX585" s="268"/>
      <c r="LZY585" s="268"/>
      <c r="LZZ585" s="268"/>
      <c r="MAA585" s="268"/>
      <c r="MAB585" s="268"/>
      <c r="MAC585" s="268"/>
      <c r="MAD585" s="268"/>
      <c r="MAE585" s="268"/>
      <c r="MAF585" s="268"/>
      <c r="MAG585" s="268"/>
      <c r="MAH585" s="268"/>
      <c r="MAI585" s="268"/>
      <c r="MAJ585" s="268"/>
      <c r="MAK585" s="268"/>
      <c r="MAL585" s="268"/>
      <c r="MAM585" s="268"/>
      <c r="MAN585" s="268"/>
      <c r="MAO585" s="268"/>
      <c r="MAP585" s="268"/>
      <c r="MAQ585" s="268"/>
      <c r="MAR585" s="268"/>
      <c r="MAS585" s="268"/>
      <c r="MAT585" s="268"/>
      <c r="MAU585" s="268"/>
      <c r="MAV585" s="268"/>
      <c r="MAW585" s="268"/>
      <c r="MAX585" s="268"/>
      <c r="MAY585" s="268"/>
      <c r="MAZ585" s="268"/>
      <c r="MBA585" s="268"/>
      <c r="MBB585" s="268"/>
      <c r="MBC585" s="268"/>
      <c r="MBD585" s="268"/>
      <c r="MBE585" s="268"/>
      <c r="MBF585" s="268"/>
      <c r="MBG585" s="268"/>
      <c r="MBH585" s="268"/>
      <c r="MBI585" s="268"/>
      <c r="MBJ585" s="268"/>
      <c r="MBK585" s="268"/>
      <c r="MBL585" s="268"/>
      <c r="MBM585" s="268"/>
      <c r="MBN585" s="268"/>
      <c r="MBO585" s="268"/>
      <c r="MBP585" s="268"/>
      <c r="MBQ585" s="268"/>
      <c r="MBR585" s="268"/>
      <c r="MBS585" s="268"/>
      <c r="MBT585" s="268"/>
      <c r="MBU585" s="268"/>
      <c r="MBV585" s="268"/>
      <c r="MBW585" s="268"/>
      <c r="MBX585" s="268"/>
      <c r="MBY585" s="268"/>
      <c r="MBZ585" s="268"/>
      <c r="MCA585" s="268"/>
      <c r="MCB585" s="268"/>
      <c r="MCC585" s="268"/>
      <c r="MCD585" s="268"/>
      <c r="MCE585" s="268"/>
      <c r="MCF585" s="268"/>
      <c r="MCG585" s="268"/>
      <c r="MCH585" s="268"/>
      <c r="MCI585" s="268"/>
      <c r="MCJ585" s="268"/>
      <c r="MCK585" s="268"/>
      <c r="MCL585" s="268"/>
      <c r="MCM585" s="268"/>
      <c r="MCN585" s="268"/>
      <c r="MCO585" s="268"/>
      <c r="MCP585" s="268"/>
      <c r="MCQ585" s="268"/>
      <c r="MCR585" s="268"/>
      <c r="MCS585" s="268"/>
      <c r="MCT585" s="268"/>
      <c r="MCU585" s="268"/>
      <c r="MCV585" s="268"/>
      <c r="MCW585" s="268"/>
      <c r="MCX585" s="268"/>
      <c r="MCY585" s="268"/>
      <c r="MCZ585" s="268"/>
      <c r="MDA585" s="268"/>
      <c r="MDB585" s="268"/>
      <c r="MDC585" s="268"/>
      <c r="MDD585" s="268"/>
      <c r="MDE585" s="268"/>
      <c r="MDF585" s="268"/>
      <c r="MDG585" s="268"/>
      <c r="MDH585" s="268"/>
      <c r="MDI585" s="268"/>
      <c r="MDJ585" s="268"/>
      <c r="MDK585" s="268"/>
      <c r="MDL585" s="268"/>
      <c r="MDM585" s="268"/>
      <c r="MDN585" s="268"/>
      <c r="MDO585" s="268"/>
      <c r="MDP585" s="268"/>
      <c r="MDQ585" s="268"/>
      <c r="MDR585" s="268"/>
      <c r="MDS585" s="268"/>
      <c r="MDT585" s="268"/>
      <c r="MDU585" s="268"/>
      <c r="MDV585" s="268"/>
      <c r="MDW585" s="268"/>
      <c r="MDX585" s="268"/>
      <c r="MDY585" s="268"/>
      <c r="MDZ585" s="268"/>
      <c r="MEA585" s="268"/>
      <c r="MEB585" s="268"/>
      <c r="MEC585" s="268"/>
      <c r="MED585" s="268"/>
      <c r="MEE585" s="268"/>
      <c r="MEF585" s="268"/>
      <c r="MEG585" s="268"/>
      <c r="MEH585" s="268"/>
      <c r="MEI585" s="268"/>
      <c r="MEJ585" s="268"/>
      <c r="MEK585" s="268"/>
      <c r="MEL585" s="268"/>
      <c r="MEM585" s="268"/>
      <c r="MEN585" s="268"/>
      <c r="MEO585" s="268"/>
      <c r="MEP585" s="268"/>
      <c r="MEQ585" s="268"/>
      <c r="MER585" s="268"/>
      <c r="MES585" s="268"/>
      <c r="MET585" s="268"/>
      <c r="MEU585" s="268"/>
      <c r="MEV585" s="268"/>
      <c r="MEW585" s="268"/>
      <c r="MEX585" s="268"/>
      <c r="MEY585" s="268"/>
      <c r="MEZ585" s="268"/>
      <c r="MFA585" s="268"/>
      <c r="MFB585" s="268"/>
      <c r="MFC585" s="268"/>
      <c r="MFD585" s="268"/>
      <c r="MFE585" s="268"/>
      <c r="MFF585" s="268"/>
      <c r="MFG585" s="268"/>
      <c r="MFU585" s="268"/>
      <c r="MFV585" s="268"/>
      <c r="MFW585" s="268"/>
      <c r="MGK585" s="268"/>
      <c r="MGM585" s="268"/>
      <c r="MGN585" s="268"/>
      <c r="MGO585" s="268"/>
      <c r="MGP585" s="268"/>
      <c r="MGQ585" s="268"/>
      <c r="MGR585" s="268"/>
      <c r="MGS585" s="268"/>
      <c r="MGT585" s="268"/>
      <c r="MGU585" s="268"/>
      <c r="MGV585" s="268"/>
      <c r="MGW585" s="268"/>
      <c r="MGX585" s="268"/>
      <c r="MGY585" s="268"/>
      <c r="MGZ585" s="268"/>
      <c r="MHA585" s="268"/>
      <c r="MHB585" s="268"/>
      <c r="MHC585" s="268"/>
      <c r="MHD585" s="268"/>
      <c r="MHE585" s="268"/>
      <c r="MHF585" s="268"/>
      <c r="MHG585" s="268"/>
      <c r="MHH585" s="268"/>
      <c r="MHI585" s="268"/>
      <c r="MHJ585" s="268"/>
      <c r="MHK585" s="268"/>
      <c r="MHL585" s="268"/>
      <c r="MHM585" s="268"/>
      <c r="MHN585" s="268"/>
      <c r="MHO585" s="268"/>
      <c r="MHP585" s="268"/>
      <c r="MHQ585" s="268"/>
      <c r="MHR585" s="268"/>
      <c r="MHS585" s="268"/>
      <c r="MHT585" s="268"/>
      <c r="MHU585" s="268"/>
      <c r="MHV585" s="268"/>
      <c r="MHW585" s="268"/>
      <c r="MHX585" s="268"/>
      <c r="MHY585" s="268"/>
      <c r="MHZ585" s="268"/>
      <c r="MIA585" s="268"/>
      <c r="MIB585" s="268"/>
      <c r="MIC585" s="268"/>
      <c r="MID585" s="268"/>
      <c r="MIE585" s="268"/>
      <c r="MIF585" s="268"/>
      <c r="MIG585" s="268"/>
      <c r="MIH585" s="268"/>
      <c r="MII585" s="268"/>
      <c r="MIJ585" s="268"/>
      <c r="MIK585" s="268"/>
      <c r="MIL585" s="268"/>
      <c r="MIM585" s="268"/>
      <c r="MIN585" s="268"/>
      <c r="MIO585" s="268"/>
      <c r="MIP585" s="268"/>
      <c r="MIQ585" s="268"/>
      <c r="MIR585" s="268"/>
      <c r="MIS585" s="268"/>
      <c r="MIT585" s="268"/>
      <c r="MIU585" s="268"/>
      <c r="MIV585" s="268"/>
      <c r="MIW585" s="268"/>
      <c r="MIX585" s="268"/>
      <c r="MIY585" s="268"/>
      <c r="MIZ585" s="268"/>
      <c r="MJA585" s="268"/>
      <c r="MJB585" s="268"/>
      <c r="MJC585" s="268"/>
      <c r="MJD585" s="268"/>
      <c r="MJE585" s="268"/>
      <c r="MJF585" s="268"/>
      <c r="MJG585" s="268"/>
      <c r="MJH585" s="268"/>
      <c r="MJI585" s="268"/>
      <c r="MJJ585" s="268"/>
      <c r="MJK585" s="268"/>
      <c r="MJL585" s="268"/>
      <c r="MJM585" s="268"/>
      <c r="MJN585" s="268"/>
      <c r="MJO585" s="268"/>
      <c r="MJP585" s="268"/>
      <c r="MJQ585" s="268"/>
      <c r="MJR585" s="268"/>
      <c r="MJS585" s="268"/>
      <c r="MJT585" s="268"/>
      <c r="MJU585" s="268"/>
      <c r="MJV585" s="268"/>
      <c r="MJW585" s="268"/>
      <c r="MJX585" s="268"/>
      <c r="MJY585" s="268"/>
      <c r="MJZ585" s="268"/>
      <c r="MKA585" s="268"/>
      <c r="MKB585" s="268"/>
      <c r="MKC585" s="268"/>
      <c r="MKD585" s="268"/>
      <c r="MKE585" s="268"/>
      <c r="MKF585" s="268"/>
      <c r="MKG585" s="268"/>
      <c r="MKH585" s="268"/>
      <c r="MKI585" s="268"/>
      <c r="MKJ585" s="268"/>
      <c r="MKK585" s="268"/>
      <c r="MKL585" s="268"/>
      <c r="MKM585" s="268"/>
      <c r="MKN585" s="268"/>
      <c r="MKO585" s="268"/>
      <c r="MKP585" s="268"/>
      <c r="MKQ585" s="268"/>
      <c r="MKR585" s="268"/>
      <c r="MKS585" s="268"/>
      <c r="MKT585" s="268"/>
      <c r="MKU585" s="268"/>
      <c r="MKV585" s="268"/>
      <c r="MKW585" s="268"/>
      <c r="MKX585" s="268"/>
      <c r="MKY585" s="268"/>
      <c r="MKZ585" s="268"/>
      <c r="MLA585" s="268"/>
      <c r="MLB585" s="268"/>
      <c r="MLC585" s="268"/>
      <c r="MLD585" s="268"/>
      <c r="MLE585" s="268"/>
      <c r="MLF585" s="268"/>
      <c r="MLG585" s="268"/>
      <c r="MLH585" s="268"/>
      <c r="MLI585" s="268"/>
      <c r="MLJ585" s="268"/>
      <c r="MLK585" s="268"/>
      <c r="MLL585" s="268"/>
      <c r="MLM585" s="268"/>
      <c r="MLN585" s="268"/>
      <c r="MLO585" s="268"/>
      <c r="MLP585" s="268"/>
      <c r="MLQ585" s="268"/>
      <c r="MLR585" s="268"/>
      <c r="MLS585" s="268"/>
      <c r="MLT585" s="268"/>
      <c r="MLU585" s="268"/>
      <c r="MLV585" s="268"/>
      <c r="MLW585" s="268"/>
      <c r="MLX585" s="268"/>
      <c r="MLY585" s="268"/>
      <c r="MLZ585" s="268"/>
      <c r="MMA585" s="268"/>
      <c r="MMB585" s="268"/>
      <c r="MMC585" s="268"/>
      <c r="MMD585" s="268"/>
      <c r="MME585" s="268"/>
      <c r="MMF585" s="268"/>
      <c r="MMG585" s="268"/>
      <c r="MMH585" s="268"/>
      <c r="MMI585" s="268"/>
      <c r="MMJ585" s="268"/>
      <c r="MMK585" s="268"/>
      <c r="MML585" s="268"/>
      <c r="MMM585" s="268"/>
      <c r="MMN585" s="268"/>
      <c r="MMO585" s="268"/>
      <c r="MMP585" s="268"/>
      <c r="MMQ585" s="268"/>
      <c r="MMR585" s="268"/>
      <c r="MMS585" s="268"/>
      <c r="MMT585" s="268"/>
      <c r="MMU585" s="268"/>
      <c r="MMV585" s="268"/>
      <c r="MMW585" s="268"/>
      <c r="MMX585" s="268"/>
      <c r="MMY585" s="268"/>
      <c r="MMZ585" s="268"/>
      <c r="MNA585" s="268"/>
      <c r="MNB585" s="268"/>
      <c r="MNC585" s="268"/>
      <c r="MND585" s="268"/>
      <c r="MNE585" s="268"/>
      <c r="MNF585" s="268"/>
      <c r="MNG585" s="268"/>
      <c r="MNH585" s="268"/>
      <c r="MNI585" s="268"/>
      <c r="MNJ585" s="268"/>
      <c r="MNK585" s="268"/>
      <c r="MNL585" s="268"/>
      <c r="MNM585" s="268"/>
      <c r="MNN585" s="268"/>
      <c r="MNO585" s="268"/>
      <c r="MNP585" s="268"/>
      <c r="MNQ585" s="268"/>
      <c r="MNR585" s="268"/>
      <c r="MNS585" s="268"/>
      <c r="MNT585" s="268"/>
      <c r="MNU585" s="268"/>
      <c r="MNV585" s="268"/>
      <c r="MNW585" s="268"/>
      <c r="MNX585" s="268"/>
      <c r="MNY585" s="268"/>
      <c r="MNZ585" s="268"/>
      <c r="MOA585" s="268"/>
      <c r="MOB585" s="268"/>
      <c r="MOC585" s="268"/>
      <c r="MOD585" s="268"/>
      <c r="MOE585" s="268"/>
      <c r="MOF585" s="268"/>
      <c r="MOG585" s="268"/>
      <c r="MOH585" s="268"/>
      <c r="MOI585" s="268"/>
      <c r="MOJ585" s="268"/>
      <c r="MOK585" s="268"/>
      <c r="MOL585" s="268"/>
      <c r="MOM585" s="268"/>
      <c r="MON585" s="268"/>
      <c r="MOO585" s="268"/>
      <c r="MOP585" s="268"/>
      <c r="MOQ585" s="268"/>
      <c r="MOR585" s="268"/>
      <c r="MOS585" s="268"/>
      <c r="MOT585" s="268"/>
      <c r="MOU585" s="268"/>
      <c r="MOV585" s="268"/>
      <c r="MOW585" s="268"/>
      <c r="MOX585" s="268"/>
      <c r="MOY585" s="268"/>
      <c r="MOZ585" s="268"/>
      <c r="MPA585" s="268"/>
      <c r="MPB585" s="268"/>
      <c r="MPC585" s="268"/>
      <c r="MPQ585" s="268"/>
      <c r="MPR585" s="268"/>
      <c r="MPS585" s="268"/>
      <c r="MQG585" s="268"/>
      <c r="MQI585" s="268"/>
      <c r="MQJ585" s="268"/>
      <c r="MQK585" s="268"/>
      <c r="MQL585" s="268"/>
      <c r="MQM585" s="268"/>
      <c r="MQN585" s="268"/>
      <c r="MQO585" s="268"/>
      <c r="MQP585" s="268"/>
      <c r="MQQ585" s="268"/>
      <c r="MQR585" s="268"/>
      <c r="MQS585" s="268"/>
      <c r="MQT585" s="268"/>
      <c r="MQU585" s="268"/>
      <c r="MQV585" s="268"/>
      <c r="MQW585" s="268"/>
      <c r="MQX585" s="268"/>
      <c r="MQY585" s="268"/>
      <c r="MQZ585" s="268"/>
      <c r="MRA585" s="268"/>
      <c r="MRB585" s="268"/>
      <c r="MRC585" s="268"/>
      <c r="MRD585" s="268"/>
      <c r="MRE585" s="268"/>
      <c r="MRF585" s="268"/>
      <c r="MRG585" s="268"/>
      <c r="MRH585" s="268"/>
      <c r="MRI585" s="268"/>
      <c r="MRJ585" s="268"/>
      <c r="MRK585" s="268"/>
      <c r="MRL585" s="268"/>
      <c r="MRM585" s="268"/>
      <c r="MRN585" s="268"/>
      <c r="MRO585" s="268"/>
      <c r="MRP585" s="268"/>
      <c r="MRQ585" s="268"/>
      <c r="MRR585" s="268"/>
      <c r="MRS585" s="268"/>
      <c r="MRT585" s="268"/>
      <c r="MRU585" s="268"/>
      <c r="MRV585" s="268"/>
      <c r="MRW585" s="268"/>
      <c r="MRX585" s="268"/>
      <c r="MRY585" s="268"/>
      <c r="MRZ585" s="268"/>
      <c r="MSA585" s="268"/>
      <c r="MSB585" s="268"/>
      <c r="MSC585" s="268"/>
      <c r="MSD585" s="268"/>
      <c r="MSE585" s="268"/>
      <c r="MSF585" s="268"/>
      <c r="MSG585" s="268"/>
      <c r="MSH585" s="268"/>
      <c r="MSI585" s="268"/>
      <c r="MSJ585" s="268"/>
      <c r="MSK585" s="268"/>
      <c r="MSL585" s="268"/>
      <c r="MSM585" s="268"/>
      <c r="MSN585" s="268"/>
      <c r="MSO585" s="268"/>
      <c r="MSP585" s="268"/>
      <c r="MSQ585" s="268"/>
      <c r="MSR585" s="268"/>
      <c r="MSS585" s="268"/>
      <c r="MST585" s="268"/>
      <c r="MSU585" s="268"/>
      <c r="MSV585" s="268"/>
      <c r="MSW585" s="268"/>
      <c r="MSX585" s="268"/>
      <c r="MSY585" s="268"/>
      <c r="MSZ585" s="268"/>
      <c r="MTA585" s="268"/>
      <c r="MTB585" s="268"/>
      <c r="MTC585" s="268"/>
      <c r="MTD585" s="268"/>
      <c r="MTE585" s="268"/>
      <c r="MTF585" s="268"/>
      <c r="MTG585" s="268"/>
      <c r="MTH585" s="268"/>
      <c r="MTI585" s="268"/>
      <c r="MTJ585" s="268"/>
      <c r="MTK585" s="268"/>
      <c r="MTL585" s="268"/>
      <c r="MTM585" s="268"/>
      <c r="MTN585" s="268"/>
      <c r="MTO585" s="268"/>
      <c r="MTP585" s="268"/>
      <c r="MTQ585" s="268"/>
      <c r="MTR585" s="268"/>
      <c r="MTS585" s="268"/>
      <c r="MTT585" s="268"/>
      <c r="MTU585" s="268"/>
      <c r="MTV585" s="268"/>
      <c r="MTW585" s="268"/>
      <c r="MTX585" s="268"/>
      <c r="MTY585" s="268"/>
      <c r="MTZ585" s="268"/>
      <c r="MUA585" s="268"/>
      <c r="MUB585" s="268"/>
      <c r="MUC585" s="268"/>
      <c r="MUD585" s="268"/>
      <c r="MUE585" s="268"/>
      <c r="MUF585" s="268"/>
      <c r="MUG585" s="268"/>
      <c r="MUH585" s="268"/>
      <c r="MUI585" s="268"/>
      <c r="MUJ585" s="268"/>
      <c r="MUK585" s="268"/>
      <c r="MUL585" s="268"/>
      <c r="MUM585" s="268"/>
      <c r="MUN585" s="268"/>
      <c r="MUO585" s="268"/>
      <c r="MUP585" s="268"/>
      <c r="MUQ585" s="268"/>
      <c r="MUR585" s="268"/>
      <c r="MUS585" s="268"/>
      <c r="MUT585" s="268"/>
      <c r="MUU585" s="268"/>
      <c r="MUV585" s="268"/>
      <c r="MUW585" s="268"/>
      <c r="MUX585" s="268"/>
      <c r="MUY585" s="268"/>
      <c r="MUZ585" s="268"/>
      <c r="MVA585" s="268"/>
      <c r="MVB585" s="268"/>
      <c r="MVC585" s="268"/>
      <c r="MVD585" s="268"/>
      <c r="MVE585" s="268"/>
      <c r="MVF585" s="268"/>
      <c r="MVG585" s="268"/>
      <c r="MVH585" s="268"/>
      <c r="MVI585" s="268"/>
      <c r="MVJ585" s="268"/>
      <c r="MVK585" s="268"/>
      <c r="MVL585" s="268"/>
      <c r="MVM585" s="268"/>
      <c r="MVN585" s="268"/>
      <c r="MVO585" s="268"/>
      <c r="MVP585" s="268"/>
      <c r="MVQ585" s="268"/>
      <c r="MVR585" s="268"/>
      <c r="MVS585" s="268"/>
      <c r="MVT585" s="268"/>
      <c r="MVU585" s="268"/>
      <c r="MVV585" s="268"/>
      <c r="MVW585" s="268"/>
      <c r="MVX585" s="268"/>
      <c r="MVY585" s="268"/>
      <c r="MVZ585" s="268"/>
      <c r="MWA585" s="268"/>
      <c r="MWB585" s="268"/>
      <c r="MWC585" s="268"/>
      <c r="MWD585" s="268"/>
      <c r="MWE585" s="268"/>
      <c r="MWF585" s="268"/>
      <c r="MWG585" s="268"/>
      <c r="MWH585" s="268"/>
      <c r="MWI585" s="268"/>
      <c r="MWJ585" s="268"/>
      <c r="MWK585" s="268"/>
      <c r="MWL585" s="268"/>
      <c r="MWM585" s="268"/>
      <c r="MWN585" s="268"/>
      <c r="MWO585" s="268"/>
      <c r="MWP585" s="268"/>
      <c r="MWQ585" s="268"/>
      <c r="MWR585" s="268"/>
      <c r="MWS585" s="268"/>
      <c r="MWT585" s="268"/>
      <c r="MWU585" s="268"/>
      <c r="MWV585" s="268"/>
      <c r="MWW585" s="268"/>
      <c r="MWX585" s="268"/>
      <c r="MWY585" s="268"/>
      <c r="MWZ585" s="268"/>
      <c r="MXA585" s="268"/>
      <c r="MXB585" s="268"/>
      <c r="MXC585" s="268"/>
      <c r="MXD585" s="268"/>
      <c r="MXE585" s="268"/>
      <c r="MXF585" s="268"/>
      <c r="MXG585" s="268"/>
      <c r="MXH585" s="268"/>
      <c r="MXI585" s="268"/>
      <c r="MXJ585" s="268"/>
      <c r="MXK585" s="268"/>
      <c r="MXL585" s="268"/>
      <c r="MXM585" s="268"/>
      <c r="MXN585" s="268"/>
      <c r="MXO585" s="268"/>
      <c r="MXP585" s="268"/>
      <c r="MXQ585" s="268"/>
      <c r="MXR585" s="268"/>
      <c r="MXS585" s="268"/>
      <c r="MXT585" s="268"/>
      <c r="MXU585" s="268"/>
      <c r="MXV585" s="268"/>
      <c r="MXW585" s="268"/>
      <c r="MXX585" s="268"/>
      <c r="MXY585" s="268"/>
      <c r="MXZ585" s="268"/>
      <c r="MYA585" s="268"/>
      <c r="MYB585" s="268"/>
      <c r="MYC585" s="268"/>
      <c r="MYD585" s="268"/>
      <c r="MYE585" s="268"/>
      <c r="MYF585" s="268"/>
      <c r="MYG585" s="268"/>
      <c r="MYH585" s="268"/>
      <c r="MYI585" s="268"/>
      <c r="MYJ585" s="268"/>
      <c r="MYK585" s="268"/>
      <c r="MYL585" s="268"/>
      <c r="MYM585" s="268"/>
      <c r="MYN585" s="268"/>
      <c r="MYO585" s="268"/>
      <c r="MYP585" s="268"/>
      <c r="MYQ585" s="268"/>
      <c r="MYR585" s="268"/>
      <c r="MYS585" s="268"/>
      <c r="MYT585" s="268"/>
      <c r="MYU585" s="268"/>
      <c r="MYV585" s="268"/>
      <c r="MYW585" s="268"/>
      <c r="MYX585" s="268"/>
      <c r="MYY585" s="268"/>
      <c r="MZM585" s="268"/>
      <c r="MZN585" s="268"/>
      <c r="MZO585" s="268"/>
      <c r="NAC585" s="268"/>
      <c r="NAE585" s="268"/>
      <c r="NAF585" s="268"/>
      <c r="NAG585" s="268"/>
      <c r="NAH585" s="268"/>
      <c r="NAI585" s="268"/>
      <c r="NAJ585" s="268"/>
      <c r="NAK585" s="268"/>
      <c r="NAL585" s="268"/>
      <c r="NAM585" s="268"/>
      <c r="NAN585" s="268"/>
      <c r="NAO585" s="268"/>
      <c r="NAP585" s="268"/>
      <c r="NAQ585" s="268"/>
      <c r="NAR585" s="268"/>
      <c r="NAS585" s="268"/>
      <c r="NAT585" s="268"/>
      <c r="NAU585" s="268"/>
      <c r="NAV585" s="268"/>
      <c r="NAW585" s="268"/>
      <c r="NAX585" s="268"/>
      <c r="NAY585" s="268"/>
      <c r="NAZ585" s="268"/>
      <c r="NBA585" s="268"/>
      <c r="NBB585" s="268"/>
      <c r="NBC585" s="268"/>
      <c r="NBD585" s="268"/>
      <c r="NBE585" s="268"/>
      <c r="NBF585" s="268"/>
      <c r="NBG585" s="268"/>
      <c r="NBH585" s="268"/>
      <c r="NBI585" s="268"/>
      <c r="NBJ585" s="268"/>
      <c r="NBK585" s="268"/>
      <c r="NBL585" s="268"/>
      <c r="NBM585" s="268"/>
      <c r="NBN585" s="268"/>
      <c r="NBO585" s="268"/>
      <c r="NBP585" s="268"/>
      <c r="NBQ585" s="268"/>
      <c r="NBR585" s="268"/>
      <c r="NBS585" s="268"/>
      <c r="NBT585" s="268"/>
      <c r="NBU585" s="268"/>
      <c r="NBV585" s="268"/>
      <c r="NBW585" s="268"/>
      <c r="NBX585" s="268"/>
      <c r="NBY585" s="268"/>
      <c r="NBZ585" s="268"/>
      <c r="NCA585" s="268"/>
      <c r="NCB585" s="268"/>
      <c r="NCC585" s="268"/>
      <c r="NCD585" s="268"/>
      <c r="NCE585" s="268"/>
      <c r="NCF585" s="268"/>
      <c r="NCG585" s="268"/>
      <c r="NCH585" s="268"/>
      <c r="NCI585" s="268"/>
      <c r="NCJ585" s="268"/>
      <c r="NCK585" s="268"/>
      <c r="NCL585" s="268"/>
      <c r="NCM585" s="268"/>
      <c r="NCN585" s="268"/>
      <c r="NCO585" s="268"/>
      <c r="NCP585" s="268"/>
      <c r="NCQ585" s="268"/>
      <c r="NCR585" s="268"/>
      <c r="NCS585" s="268"/>
      <c r="NCT585" s="268"/>
      <c r="NCU585" s="268"/>
      <c r="NCV585" s="268"/>
      <c r="NCW585" s="268"/>
      <c r="NCX585" s="268"/>
      <c r="NCY585" s="268"/>
      <c r="NCZ585" s="268"/>
      <c r="NDA585" s="268"/>
      <c r="NDB585" s="268"/>
      <c r="NDC585" s="268"/>
      <c r="NDD585" s="268"/>
      <c r="NDE585" s="268"/>
      <c r="NDF585" s="268"/>
      <c r="NDG585" s="268"/>
      <c r="NDH585" s="268"/>
      <c r="NDI585" s="268"/>
      <c r="NDJ585" s="268"/>
      <c r="NDK585" s="268"/>
      <c r="NDL585" s="268"/>
      <c r="NDM585" s="268"/>
      <c r="NDN585" s="268"/>
      <c r="NDO585" s="268"/>
      <c r="NDP585" s="268"/>
      <c r="NDQ585" s="268"/>
      <c r="NDR585" s="268"/>
      <c r="NDS585" s="268"/>
      <c r="NDT585" s="268"/>
      <c r="NDU585" s="268"/>
      <c r="NDV585" s="268"/>
      <c r="NDW585" s="268"/>
      <c r="NDX585" s="268"/>
      <c r="NDY585" s="268"/>
      <c r="NDZ585" s="268"/>
      <c r="NEA585" s="268"/>
      <c r="NEB585" s="268"/>
      <c r="NEC585" s="268"/>
      <c r="NED585" s="268"/>
      <c r="NEE585" s="268"/>
      <c r="NEF585" s="268"/>
      <c r="NEG585" s="268"/>
      <c r="NEH585" s="268"/>
      <c r="NEI585" s="268"/>
      <c r="NEJ585" s="268"/>
      <c r="NEK585" s="268"/>
      <c r="NEL585" s="268"/>
      <c r="NEM585" s="268"/>
      <c r="NEN585" s="268"/>
      <c r="NEO585" s="268"/>
      <c r="NEP585" s="268"/>
      <c r="NEQ585" s="268"/>
      <c r="NER585" s="268"/>
      <c r="NES585" s="268"/>
      <c r="NET585" s="268"/>
      <c r="NEU585" s="268"/>
      <c r="NEV585" s="268"/>
      <c r="NEW585" s="268"/>
      <c r="NEX585" s="268"/>
      <c r="NEY585" s="268"/>
      <c r="NEZ585" s="268"/>
      <c r="NFA585" s="268"/>
      <c r="NFB585" s="268"/>
      <c r="NFC585" s="268"/>
      <c r="NFD585" s="268"/>
      <c r="NFE585" s="268"/>
      <c r="NFF585" s="268"/>
      <c r="NFG585" s="268"/>
      <c r="NFH585" s="268"/>
      <c r="NFI585" s="268"/>
      <c r="NFJ585" s="268"/>
      <c r="NFK585" s="268"/>
      <c r="NFL585" s="268"/>
      <c r="NFM585" s="268"/>
      <c r="NFN585" s="268"/>
      <c r="NFO585" s="268"/>
      <c r="NFP585" s="268"/>
      <c r="NFQ585" s="268"/>
      <c r="NFR585" s="268"/>
      <c r="NFS585" s="268"/>
      <c r="NFT585" s="268"/>
      <c r="NFU585" s="268"/>
      <c r="NFV585" s="268"/>
      <c r="NFW585" s="268"/>
      <c r="NFX585" s="268"/>
      <c r="NFY585" s="268"/>
      <c r="NFZ585" s="268"/>
      <c r="NGA585" s="268"/>
      <c r="NGB585" s="268"/>
      <c r="NGC585" s="268"/>
      <c r="NGD585" s="268"/>
      <c r="NGE585" s="268"/>
      <c r="NGF585" s="268"/>
      <c r="NGG585" s="268"/>
      <c r="NGH585" s="268"/>
      <c r="NGI585" s="268"/>
      <c r="NGJ585" s="268"/>
      <c r="NGK585" s="268"/>
      <c r="NGL585" s="268"/>
      <c r="NGM585" s="268"/>
      <c r="NGN585" s="268"/>
      <c r="NGO585" s="268"/>
      <c r="NGP585" s="268"/>
      <c r="NGQ585" s="268"/>
      <c r="NGR585" s="268"/>
      <c r="NGS585" s="268"/>
      <c r="NGT585" s="268"/>
      <c r="NGU585" s="268"/>
      <c r="NGV585" s="268"/>
      <c r="NGW585" s="268"/>
      <c r="NGX585" s="268"/>
      <c r="NGY585" s="268"/>
      <c r="NGZ585" s="268"/>
      <c r="NHA585" s="268"/>
      <c r="NHB585" s="268"/>
      <c r="NHC585" s="268"/>
      <c r="NHD585" s="268"/>
      <c r="NHE585" s="268"/>
      <c r="NHF585" s="268"/>
      <c r="NHG585" s="268"/>
      <c r="NHH585" s="268"/>
      <c r="NHI585" s="268"/>
      <c r="NHJ585" s="268"/>
      <c r="NHK585" s="268"/>
      <c r="NHL585" s="268"/>
      <c r="NHM585" s="268"/>
      <c r="NHN585" s="268"/>
      <c r="NHO585" s="268"/>
      <c r="NHP585" s="268"/>
      <c r="NHQ585" s="268"/>
      <c r="NHR585" s="268"/>
      <c r="NHS585" s="268"/>
      <c r="NHT585" s="268"/>
      <c r="NHU585" s="268"/>
      <c r="NHV585" s="268"/>
      <c r="NHW585" s="268"/>
      <c r="NHX585" s="268"/>
      <c r="NHY585" s="268"/>
      <c r="NHZ585" s="268"/>
      <c r="NIA585" s="268"/>
      <c r="NIB585" s="268"/>
      <c r="NIC585" s="268"/>
      <c r="NID585" s="268"/>
      <c r="NIE585" s="268"/>
      <c r="NIF585" s="268"/>
      <c r="NIG585" s="268"/>
      <c r="NIH585" s="268"/>
      <c r="NII585" s="268"/>
      <c r="NIJ585" s="268"/>
      <c r="NIK585" s="268"/>
      <c r="NIL585" s="268"/>
      <c r="NIM585" s="268"/>
      <c r="NIN585" s="268"/>
      <c r="NIO585" s="268"/>
      <c r="NIP585" s="268"/>
      <c r="NIQ585" s="268"/>
      <c r="NIR585" s="268"/>
      <c r="NIS585" s="268"/>
      <c r="NIT585" s="268"/>
      <c r="NIU585" s="268"/>
      <c r="NJI585" s="268"/>
      <c r="NJJ585" s="268"/>
      <c r="NJK585" s="268"/>
      <c r="NJY585" s="268"/>
      <c r="NKA585" s="268"/>
      <c r="NKB585" s="268"/>
      <c r="NKC585" s="268"/>
      <c r="NKD585" s="268"/>
      <c r="NKE585" s="268"/>
      <c r="NKF585" s="268"/>
      <c r="NKG585" s="268"/>
      <c r="NKH585" s="268"/>
      <c r="NKI585" s="268"/>
      <c r="NKJ585" s="268"/>
      <c r="NKK585" s="268"/>
      <c r="NKL585" s="268"/>
      <c r="NKM585" s="268"/>
      <c r="NKN585" s="268"/>
      <c r="NKO585" s="268"/>
      <c r="NKP585" s="268"/>
      <c r="NKQ585" s="268"/>
      <c r="NKR585" s="268"/>
      <c r="NKS585" s="268"/>
      <c r="NKT585" s="268"/>
      <c r="NKU585" s="268"/>
      <c r="NKV585" s="268"/>
      <c r="NKW585" s="268"/>
      <c r="NKX585" s="268"/>
      <c r="NKY585" s="268"/>
      <c r="NKZ585" s="268"/>
      <c r="NLA585" s="268"/>
      <c r="NLB585" s="268"/>
      <c r="NLC585" s="268"/>
      <c r="NLD585" s="268"/>
      <c r="NLE585" s="268"/>
      <c r="NLF585" s="268"/>
      <c r="NLG585" s="268"/>
      <c r="NLH585" s="268"/>
      <c r="NLI585" s="268"/>
      <c r="NLJ585" s="268"/>
      <c r="NLK585" s="268"/>
      <c r="NLL585" s="268"/>
      <c r="NLM585" s="268"/>
      <c r="NLN585" s="268"/>
      <c r="NLO585" s="268"/>
      <c r="NLP585" s="268"/>
      <c r="NLQ585" s="268"/>
      <c r="NLR585" s="268"/>
      <c r="NLS585" s="268"/>
      <c r="NLT585" s="268"/>
      <c r="NLU585" s="268"/>
      <c r="NLV585" s="268"/>
      <c r="NLW585" s="268"/>
      <c r="NLX585" s="268"/>
      <c r="NLY585" s="268"/>
      <c r="NLZ585" s="268"/>
      <c r="NMA585" s="268"/>
      <c r="NMB585" s="268"/>
      <c r="NMC585" s="268"/>
      <c r="NMD585" s="268"/>
      <c r="NME585" s="268"/>
      <c r="NMF585" s="268"/>
      <c r="NMG585" s="268"/>
      <c r="NMH585" s="268"/>
      <c r="NMI585" s="268"/>
      <c r="NMJ585" s="268"/>
      <c r="NMK585" s="268"/>
      <c r="NML585" s="268"/>
      <c r="NMM585" s="268"/>
      <c r="NMN585" s="268"/>
      <c r="NMO585" s="268"/>
      <c r="NMP585" s="268"/>
      <c r="NMQ585" s="268"/>
      <c r="NMR585" s="268"/>
      <c r="NMS585" s="268"/>
      <c r="NMT585" s="268"/>
      <c r="NMU585" s="268"/>
      <c r="NMV585" s="268"/>
      <c r="NMW585" s="268"/>
      <c r="NMX585" s="268"/>
      <c r="NMY585" s="268"/>
      <c r="NMZ585" s="268"/>
      <c r="NNA585" s="268"/>
      <c r="NNB585" s="268"/>
      <c r="NNC585" s="268"/>
      <c r="NND585" s="268"/>
      <c r="NNE585" s="268"/>
      <c r="NNF585" s="268"/>
      <c r="NNG585" s="268"/>
      <c r="NNH585" s="268"/>
      <c r="NNI585" s="268"/>
      <c r="NNJ585" s="268"/>
      <c r="NNK585" s="268"/>
      <c r="NNL585" s="268"/>
      <c r="NNM585" s="268"/>
      <c r="NNN585" s="268"/>
      <c r="NNO585" s="268"/>
      <c r="NNP585" s="268"/>
      <c r="NNQ585" s="268"/>
      <c r="NNR585" s="268"/>
      <c r="NNS585" s="268"/>
      <c r="NNT585" s="268"/>
      <c r="NNU585" s="268"/>
      <c r="NNV585" s="268"/>
      <c r="NNW585" s="268"/>
      <c r="NNX585" s="268"/>
      <c r="NNY585" s="268"/>
      <c r="NNZ585" s="268"/>
      <c r="NOA585" s="268"/>
      <c r="NOB585" s="268"/>
      <c r="NOC585" s="268"/>
      <c r="NOD585" s="268"/>
      <c r="NOE585" s="268"/>
      <c r="NOF585" s="268"/>
      <c r="NOG585" s="268"/>
      <c r="NOH585" s="268"/>
      <c r="NOI585" s="268"/>
      <c r="NOJ585" s="268"/>
      <c r="NOK585" s="268"/>
      <c r="NOL585" s="268"/>
      <c r="NOM585" s="268"/>
      <c r="NON585" s="268"/>
      <c r="NOO585" s="268"/>
      <c r="NOP585" s="268"/>
      <c r="NOQ585" s="268"/>
      <c r="NOR585" s="268"/>
      <c r="NOS585" s="268"/>
      <c r="NOT585" s="268"/>
      <c r="NOU585" s="268"/>
      <c r="NOV585" s="268"/>
      <c r="NOW585" s="268"/>
      <c r="NOX585" s="268"/>
      <c r="NOY585" s="268"/>
      <c r="NOZ585" s="268"/>
      <c r="NPA585" s="268"/>
      <c r="NPB585" s="268"/>
      <c r="NPC585" s="268"/>
      <c r="NPD585" s="268"/>
      <c r="NPE585" s="268"/>
      <c r="NPF585" s="268"/>
      <c r="NPG585" s="268"/>
      <c r="NPH585" s="268"/>
      <c r="NPI585" s="268"/>
      <c r="NPJ585" s="268"/>
      <c r="NPK585" s="268"/>
      <c r="NPL585" s="268"/>
      <c r="NPM585" s="268"/>
      <c r="NPN585" s="268"/>
      <c r="NPO585" s="268"/>
      <c r="NPP585" s="268"/>
      <c r="NPQ585" s="268"/>
      <c r="NPR585" s="268"/>
      <c r="NPS585" s="268"/>
      <c r="NPT585" s="268"/>
      <c r="NPU585" s="268"/>
      <c r="NPV585" s="268"/>
      <c r="NPW585" s="268"/>
      <c r="NPX585" s="268"/>
      <c r="NPY585" s="268"/>
      <c r="NPZ585" s="268"/>
      <c r="NQA585" s="268"/>
      <c r="NQB585" s="268"/>
      <c r="NQC585" s="268"/>
      <c r="NQD585" s="268"/>
      <c r="NQE585" s="268"/>
      <c r="NQF585" s="268"/>
      <c r="NQG585" s="268"/>
      <c r="NQH585" s="268"/>
      <c r="NQI585" s="268"/>
      <c r="NQJ585" s="268"/>
      <c r="NQK585" s="268"/>
      <c r="NQL585" s="268"/>
      <c r="NQM585" s="268"/>
      <c r="NQN585" s="268"/>
      <c r="NQO585" s="268"/>
      <c r="NQP585" s="268"/>
      <c r="NQQ585" s="268"/>
      <c r="NQR585" s="268"/>
      <c r="NQS585" s="268"/>
      <c r="NQT585" s="268"/>
      <c r="NQU585" s="268"/>
      <c r="NQV585" s="268"/>
      <c r="NQW585" s="268"/>
      <c r="NQX585" s="268"/>
      <c r="NQY585" s="268"/>
      <c r="NQZ585" s="268"/>
      <c r="NRA585" s="268"/>
      <c r="NRB585" s="268"/>
      <c r="NRC585" s="268"/>
      <c r="NRD585" s="268"/>
      <c r="NRE585" s="268"/>
      <c r="NRF585" s="268"/>
      <c r="NRG585" s="268"/>
      <c r="NRH585" s="268"/>
      <c r="NRI585" s="268"/>
      <c r="NRJ585" s="268"/>
      <c r="NRK585" s="268"/>
      <c r="NRL585" s="268"/>
      <c r="NRM585" s="268"/>
      <c r="NRN585" s="268"/>
      <c r="NRO585" s="268"/>
      <c r="NRP585" s="268"/>
      <c r="NRQ585" s="268"/>
      <c r="NRR585" s="268"/>
      <c r="NRS585" s="268"/>
      <c r="NRT585" s="268"/>
      <c r="NRU585" s="268"/>
      <c r="NRV585" s="268"/>
      <c r="NRW585" s="268"/>
      <c r="NRX585" s="268"/>
      <c r="NRY585" s="268"/>
      <c r="NRZ585" s="268"/>
      <c r="NSA585" s="268"/>
      <c r="NSB585" s="268"/>
      <c r="NSC585" s="268"/>
      <c r="NSD585" s="268"/>
      <c r="NSE585" s="268"/>
      <c r="NSF585" s="268"/>
      <c r="NSG585" s="268"/>
      <c r="NSH585" s="268"/>
      <c r="NSI585" s="268"/>
      <c r="NSJ585" s="268"/>
      <c r="NSK585" s="268"/>
      <c r="NSL585" s="268"/>
      <c r="NSM585" s="268"/>
      <c r="NSN585" s="268"/>
      <c r="NSO585" s="268"/>
      <c r="NSP585" s="268"/>
      <c r="NSQ585" s="268"/>
      <c r="NTE585" s="268"/>
      <c r="NTF585" s="268"/>
      <c r="NTG585" s="268"/>
      <c r="NTU585" s="268"/>
      <c r="NTW585" s="268"/>
      <c r="NTX585" s="268"/>
      <c r="NTY585" s="268"/>
      <c r="NTZ585" s="268"/>
      <c r="NUA585" s="268"/>
      <c r="NUB585" s="268"/>
      <c r="NUC585" s="268"/>
      <c r="NUD585" s="268"/>
      <c r="NUE585" s="268"/>
      <c r="NUF585" s="268"/>
      <c r="NUG585" s="268"/>
      <c r="NUH585" s="268"/>
      <c r="NUI585" s="268"/>
      <c r="NUJ585" s="268"/>
      <c r="NUK585" s="268"/>
      <c r="NUL585" s="268"/>
      <c r="NUM585" s="268"/>
      <c r="NUN585" s="268"/>
      <c r="NUO585" s="268"/>
      <c r="NUP585" s="268"/>
      <c r="NUQ585" s="268"/>
      <c r="NUR585" s="268"/>
      <c r="NUS585" s="268"/>
      <c r="NUT585" s="268"/>
      <c r="NUU585" s="268"/>
      <c r="NUV585" s="268"/>
      <c r="NUW585" s="268"/>
      <c r="NUX585" s="268"/>
      <c r="NUY585" s="268"/>
      <c r="NUZ585" s="268"/>
      <c r="NVA585" s="268"/>
      <c r="NVB585" s="268"/>
      <c r="NVC585" s="268"/>
      <c r="NVD585" s="268"/>
      <c r="NVE585" s="268"/>
      <c r="NVF585" s="268"/>
      <c r="NVG585" s="268"/>
      <c r="NVH585" s="268"/>
      <c r="NVI585" s="268"/>
      <c r="NVJ585" s="268"/>
      <c r="NVK585" s="268"/>
      <c r="NVL585" s="268"/>
      <c r="NVM585" s="268"/>
      <c r="NVN585" s="268"/>
      <c r="NVO585" s="268"/>
      <c r="NVP585" s="268"/>
      <c r="NVQ585" s="268"/>
      <c r="NVR585" s="268"/>
      <c r="NVS585" s="268"/>
      <c r="NVT585" s="268"/>
      <c r="NVU585" s="268"/>
      <c r="NVV585" s="268"/>
      <c r="NVW585" s="268"/>
      <c r="NVX585" s="268"/>
      <c r="NVY585" s="268"/>
      <c r="NVZ585" s="268"/>
      <c r="NWA585" s="268"/>
      <c r="NWB585" s="268"/>
      <c r="NWC585" s="268"/>
      <c r="NWD585" s="268"/>
      <c r="NWE585" s="268"/>
      <c r="NWF585" s="268"/>
      <c r="NWG585" s="268"/>
      <c r="NWH585" s="268"/>
      <c r="NWI585" s="268"/>
      <c r="NWJ585" s="268"/>
      <c r="NWK585" s="268"/>
      <c r="NWL585" s="268"/>
      <c r="NWM585" s="268"/>
      <c r="NWN585" s="268"/>
      <c r="NWO585" s="268"/>
      <c r="NWP585" s="268"/>
      <c r="NWQ585" s="268"/>
      <c r="NWR585" s="268"/>
      <c r="NWS585" s="268"/>
      <c r="NWT585" s="268"/>
      <c r="NWU585" s="268"/>
      <c r="NWV585" s="268"/>
      <c r="NWW585" s="268"/>
      <c r="NWX585" s="268"/>
      <c r="NWY585" s="268"/>
      <c r="NWZ585" s="268"/>
      <c r="NXA585" s="268"/>
      <c r="NXB585" s="268"/>
      <c r="NXC585" s="268"/>
      <c r="NXD585" s="268"/>
      <c r="NXE585" s="268"/>
      <c r="NXF585" s="268"/>
      <c r="NXG585" s="268"/>
      <c r="NXH585" s="268"/>
      <c r="NXI585" s="268"/>
      <c r="NXJ585" s="268"/>
      <c r="NXK585" s="268"/>
      <c r="NXL585" s="268"/>
      <c r="NXM585" s="268"/>
      <c r="NXN585" s="268"/>
      <c r="NXO585" s="268"/>
      <c r="NXP585" s="268"/>
      <c r="NXQ585" s="268"/>
      <c r="NXR585" s="268"/>
      <c r="NXS585" s="268"/>
      <c r="NXT585" s="268"/>
      <c r="NXU585" s="268"/>
      <c r="NXV585" s="268"/>
      <c r="NXW585" s="268"/>
      <c r="NXX585" s="268"/>
      <c r="NXY585" s="268"/>
      <c r="NXZ585" s="268"/>
      <c r="NYA585" s="268"/>
      <c r="NYB585" s="268"/>
      <c r="NYC585" s="268"/>
      <c r="NYD585" s="268"/>
      <c r="NYE585" s="268"/>
      <c r="NYF585" s="268"/>
      <c r="NYG585" s="268"/>
      <c r="NYH585" s="268"/>
      <c r="NYI585" s="268"/>
      <c r="NYJ585" s="268"/>
      <c r="NYK585" s="268"/>
      <c r="NYL585" s="268"/>
      <c r="NYM585" s="268"/>
      <c r="NYN585" s="268"/>
      <c r="NYO585" s="268"/>
      <c r="NYP585" s="268"/>
      <c r="NYQ585" s="268"/>
      <c r="NYR585" s="268"/>
      <c r="NYS585" s="268"/>
      <c r="NYT585" s="268"/>
      <c r="NYU585" s="268"/>
      <c r="NYV585" s="268"/>
      <c r="NYW585" s="268"/>
      <c r="NYX585" s="268"/>
      <c r="NYY585" s="268"/>
      <c r="NYZ585" s="268"/>
      <c r="NZA585" s="268"/>
      <c r="NZB585" s="268"/>
      <c r="NZC585" s="268"/>
      <c r="NZD585" s="268"/>
      <c r="NZE585" s="268"/>
      <c r="NZF585" s="268"/>
      <c r="NZG585" s="268"/>
      <c r="NZH585" s="268"/>
      <c r="NZI585" s="268"/>
      <c r="NZJ585" s="268"/>
      <c r="NZK585" s="268"/>
      <c r="NZL585" s="268"/>
      <c r="NZM585" s="268"/>
      <c r="NZN585" s="268"/>
      <c r="NZO585" s="268"/>
      <c r="NZP585" s="268"/>
      <c r="NZQ585" s="268"/>
      <c r="NZR585" s="268"/>
      <c r="NZS585" s="268"/>
      <c r="NZT585" s="268"/>
      <c r="NZU585" s="268"/>
      <c r="NZV585" s="268"/>
      <c r="NZW585" s="268"/>
      <c r="NZX585" s="268"/>
      <c r="NZY585" s="268"/>
      <c r="NZZ585" s="268"/>
      <c r="OAA585" s="268"/>
      <c r="OAB585" s="268"/>
      <c r="OAC585" s="268"/>
      <c r="OAD585" s="268"/>
      <c r="OAE585" s="268"/>
      <c r="OAF585" s="268"/>
      <c r="OAG585" s="268"/>
      <c r="OAH585" s="268"/>
      <c r="OAI585" s="268"/>
      <c r="OAJ585" s="268"/>
      <c r="OAK585" s="268"/>
      <c r="OAL585" s="268"/>
      <c r="OAM585" s="268"/>
      <c r="OAN585" s="268"/>
      <c r="OAO585" s="268"/>
      <c r="OAP585" s="268"/>
      <c r="OAQ585" s="268"/>
      <c r="OAR585" s="268"/>
      <c r="OAS585" s="268"/>
      <c r="OAT585" s="268"/>
      <c r="OAU585" s="268"/>
      <c r="OAV585" s="268"/>
      <c r="OAW585" s="268"/>
      <c r="OAX585" s="268"/>
      <c r="OAY585" s="268"/>
      <c r="OAZ585" s="268"/>
      <c r="OBA585" s="268"/>
      <c r="OBB585" s="268"/>
      <c r="OBC585" s="268"/>
      <c r="OBD585" s="268"/>
      <c r="OBE585" s="268"/>
      <c r="OBF585" s="268"/>
      <c r="OBG585" s="268"/>
      <c r="OBH585" s="268"/>
      <c r="OBI585" s="268"/>
      <c r="OBJ585" s="268"/>
      <c r="OBK585" s="268"/>
      <c r="OBL585" s="268"/>
      <c r="OBM585" s="268"/>
      <c r="OBN585" s="268"/>
      <c r="OBO585" s="268"/>
      <c r="OBP585" s="268"/>
      <c r="OBQ585" s="268"/>
      <c r="OBR585" s="268"/>
      <c r="OBS585" s="268"/>
      <c r="OBT585" s="268"/>
      <c r="OBU585" s="268"/>
      <c r="OBV585" s="268"/>
      <c r="OBW585" s="268"/>
      <c r="OBX585" s="268"/>
      <c r="OBY585" s="268"/>
      <c r="OBZ585" s="268"/>
      <c r="OCA585" s="268"/>
      <c r="OCB585" s="268"/>
      <c r="OCC585" s="268"/>
      <c r="OCD585" s="268"/>
      <c r="OCE585" s="268"/>
      <c r="OCF585" s="268"/>
      <c r="OCG585" s="268"/>
      <c r="OCH585" s="268"/>
      <c r="OCI585" s="268"/>
      <c r="OCJ585" s="268"/>
      <c r="OCK585" s="268"/>
      <c r="OCL585" s="268"/>
      <c r="OCM585" s="268"/>
      <c r="ODA585" s="268"/>
      <c r="ODB585" s="268"/>
      <c r="ODC585" s="268"/>
      <c r="ODQ585" s="268"/>
      <c r="ODS585" s="268"/>
      <c r="ODT585" s="268"/>
      <c r="ODU585" s="268"/>
      <c r="ODV585" s="268"/>
      <c r="ODW585" s="268"/>
      <c r="ODX585" s="268"/>
      <c r="ODY585" s="268"/>
      <c r="ODZ585" s="268"/>
      <c r="OEA585" s="268"/>
      <c r="OEB585" s="268"/>
      <c r="OEC585" s="268"/>
      <c r="OED585" s="268"/>
      <c r="OEE585" s="268"/>
      <c r="OEF585" s="268"/>
      <c r="OEG585" s="268"/>
      <c r="OEH585" s="268"/>
      <c r="OEI585" s="268"/>
      <c r="OEJ585" s="268"/>
      <c r="OEK585" s="268"/>
      <c r="OEL585" s="268"/>
      <c r="OEM585" s="268"/>
      <c r="OEN585" s="268"/>
      <c r="OEO585" s="268"/>
      <c r="OEP585" s="268"/>
      <c r="OEQ585" s="268"/>
      <c r="OER585" s="268"/>
      <c r="OES585" s="268"/>
      <c r="OET585" s="268"/>
      <c r="OEU585" s="268"/>
      <c r="OEV585" s="268"/>
      <c r="OEW585" s="268"/>
      <c r="OEX585" s="268"/>
      <c r="OEY585" s="268"/>
      <c r="OEZ585" s="268"/>
      <c r="OFA585" s="268"/>
      <c r="OFB585" s="268"/>
      <c r="OFC585" s="268"/>
      <c r="OFD585" s="268"/>
      <c r="OFE585" s="268"/>
      <c r="OFF585" s="268"/>
      <c r="OFG585" s="268"/>
      <c r="OFH585" s="268"/>
      <c r="OFI585" s="268"/>
      <c r="OFJ585" s="268"/>
      <c r="OFK585" s="268"/>
      <c r="OFL585" s="268"/>
      <c r="OFM585" s="268"/>
      <c r="OFN585" s="268"/>
      <c r="OFO585" s="268"/>
      <c r="OFP585" s="268"/>
      <c r="OFQ585" s="268"/>
      <c r="OFR585" s="268"/>
      <c r="OFS585" s="268"/>
      <c r="OFT585" s="268"/>
      <c r="OFU585" s="268"/>
      <c r="OFV585" s="268"/>
      <c r="OFW585" s="268"/>
      <c r="OFX585" s="268"/>
      <c r="OFY585" s="268"/>
      <c r="OFZ585" s="268"/>
      <c r="OGA585" s="268"/>
      <c r="OGB585" s="268"/>
      <c r="OGC585" s="268"/>
      <c r="OGD585" s="268"/>
      <c r="OGE585" s="268"/>
      <c r="OGF585" s="268"/>
      <c r="OGG585" s="268"/>
      <c r="OGH585" s="268"/>
      <c r="OGI585" s="268"/>
      <c r="OGJ585" s="268"/>
      <c r="OGK585" s="268"/>
      <c r="OGL585" s="268"/>
      <c r="OGM585" s="268"/>
      <c r="OGN585" s="268"/>
      <c r="OGO585" s="268"/>
      <c r="OGP585" s="268"/>
      <c r="OGQ585" s="268"/>
      <c r="OGR585" s="268"/>
      <c r="OGS585" s="268"/>
      <c r="OGT585" s="268"/>
      <c r="OGU585" s="268"/>
      <c r="OGV585" s="268"/>
      <c r="OGW585" s="268"/>
      <c r="OGX585" s="268"/>
      <c r="OGY585" s="268"/>
      <c r="OGZ585" s="268"/>
      <c r="OHA585" s="268"/>
      <c r="OHB585" s="268"/>
      <c r="OHC585" s="268"/>
      <c r="OHD585" s="268"/>
      <c r="OHE585" s="268"/>
      <c r="OHF585" s="268"/>
      <c r="OHG585" s="268"/>
      <c r="OHH585" s="268"/>
      <c r="OHI585" s="268"/>
      <c r="OHJ585" s="268"/>
      <c r="OHK585" s="268"/>
      <c r="OHL585" s="268"/>
      <c r="OHM585" s="268"/>
      <c r="OHN585" s="268"/>
      <c r="OHO585" s="268"/>
      <c r="OHP585" s="268"/>
      <c r="OHQ585" s="268"/>
      <c r="OHR585" s="268"/>
      <c r="OHS585" s="268"/>
      <c r="OHT585" s="268"/>
      <c r="OHU585" s="268"/>
      <c r="OHV585" s="268"/>
      <c r="OHW585" s="268"/>
      <c r="OHX585" s="268"/>
      <c r="OHY585" s="268"/>
      <c r="OHZ585" s="268"/>
      <c r="OIA585" s="268"/>
      <c r="OIB585" s="268"/>
      <c r="OIC585" s="268"/>
      <c r="OID585" s="268"/>
      <c r="OIE585" s="268"/>
      <c r="OIF585" s="268"/>
      <c r="OIG585" s="268"/>
      <c r="OIH585" s="268"/>
      <c r="OII585" s="268"/>
      <c r="OIJ585" s="268"/>
      <c r="OIK585" s="268"/>
      <c r="OIL585" s="268"/>
      <c r="OIM585" s="268"/>
      <c r="OIN585" s="268"/>
      <c r="OIO585" s="268"/>
      <c r="OIP585" s="268"/>
      <c r="OIQ585" s="268"/>
      <c r="OIR585" s="268"/>
      <c r="OIS585" s="268"/>
      <c r="OIT585" s="268"/>
      <c r="OIU585" s="268"/>
      <c r="OIV585" s="268"/>
      <c r="OIW585" s="268"/>
      <c r="OIX585" s="268"/>
      <c r="OIY585" s="268"/>
      <c r="OIZ585" s="268"/>
      <c r="OJA585" s="268"/>
      <c r="OJB585" s="268"/>
      <c r="OJC585" s="268"/>
      <c r="OJD585" s="268"/>
      <c r="OJE585" s="268"/>
      <c r="OJF585" s="268"/>
      <c r="OJG585" s="268"/>
      <c r="OJH585" s="268"/>
      <c r="OJI585" s="268"/>
      <c r="OJJ585" s="268"/>
      <c r="OJK585" s="268"/>
      <c r="OJL585" s="268"/>
      <c r="OJM585" s="268"/>
      <c r="OJN585" s="268"/>
      <c r="OJO585" s="268"/>
      <c r="OJP585" s="268"/>
      <c r="OJQ585" s="268"/>
      <c r="OJR585" s="268"/>
      <c r="OJS585" s="268"/>
      <c r="OJT585" s="268"/>
      <c r="OJU585" s="268"/>
      <c r="OJV585" s="268"/>
      <c r="OJW585" s="268"/>
      <c r="OJX585" s="268"/>
      <c r="OJY585" s="268"/>
      <c r="OJZ585" s="268"/>
      <c r="OKA585" s="268"/>
      <c r="OKB585" s="268"/>
      <c r="OKC585" s="268"/>
      <c r="OKD585" s="268"/>
      <c r="OKE585" s="268"/>
      <c r="OKF585" s="268"/>
      <c r="OKG585" s="268"/>
      <c r="OKH585" s="268"/>
      <c r="OKI585" s="268"/>
      <c r="OKJ585" s="268"/>
      <c r="OKK585" s="268"/>
      <c r="OKL585" s="268"/>
      <c r="OKM585" s="268"/>
      <c r="OKN585" s="268"/>
      <c r="OKO585" s="268"/>
      <c r="OKP585" s="268"/>
      <c r="OKQ585" s="268"/>
      <c r="OKR585" s="268"/>
      <c r="OKS585" s="268"/>
      <c r="OKT585" s="268"/>
      <c r="OKU585" s="268"/>
      <c r="OKV585" s="268"/>
      <c r="OKW585" s="268"/>
      <c r="OKX585" s="268"/>
      <c r="OKY585" s="268"/>
      <c r="OKZ585" s="268"/>
      <c r="OLA585" s="268"/>
      <c r="OLB585" s="268"/>
      <c r="OLC585" s="268"/>
      <c r="OLD585" s="268"/>
      <c r="OLE585" s="268"/>
      <c r="OLF585" s="268"/>
      <c r="OLG585" s="268"/>
      <c r="OLH585" s="268"/>
      <c r="OLI585" s="268"/>
      <c r="OLJ585" s="268"/>
      <c r="OLK585" s="268"/>
      <c r="OLL585" s="268"/>
      <c r="OLM585" s="268"/>
      <c r="OLN585" s="268"/>
      <c r="OLO585" s="268"/>
      <c r="OLP585" s="268"/>
      <c r="OLQ585" s="268"/>
      <c r="OLR585" s="268"/>
      <c r="OLS585" s="268"/>
      <c r="OLT585" s="268"/>
      <c r="OLU585" s="268"/>
      <c r="OLV585" s="268"/>
      <c r="OLW585" s="268"/>
      <c r="OLX585" s="268"/>
      <c r="OLY585" s="268"/>
      <c r="OLZ585" s="268"/>
      <c r="OMA585" s="268"/>
      <c r="OMB585" s="268"/>
      <c r="OMC585" s="268"/>
      <c r="OMD585" s="268"/>
      <c r="OME585" s="268"/>
      <c r="OMF585" s="268"/>
      <c r="OMG585" s="268"/>
      <c r="OMH585" s="268"/>
      <c r="OMI585" s="268"/>
      <c r="OMW585" s="268"/>
      <c r="OMX585" s="268"/>
      <c r="OMY585" s="268"/>
      <c r="ONM585" s="268"/>
      <c r="ONO585" s="268"/>
      <c r="ONP585" s="268"/>
      <c r="ONQ585" s="268"/>
      <c r="ONR585" s="268"/>
      <c r="ONS585" s="268"/>
      <c r="ONT585" s="268"/>
      <c r="ONU585" s="268"/>
      <c r="ONV585" s="268"/>
      <c r="ONW585" s="268"/>
      <c r="ONX585" s="268"/>
      <c r="ONY585" s="268"/>
      <c r="ONZ585" s="268"/>
      <c r="OOA585" s="268"/>
      <c r="OOB585" s="268"/>
      <c r="OOC585" s="268"/>
      <c r="OOD585" s="268"/>
      <c r="OOE585" s="268"/>
      <c r="OOF585" s="268"/>
      <c r="OOG585" s="268"/>
      <c r="OOH585" s="268"/>
      <c r="OOI585" s="268"/>
      <c r="OOJ585" s="268"/>
      <c r="OOK585" s="268"/>
      <c r="OOL585" s="268"/>
      <c r="OOM585" s="268"/>
      <c r="OON585" s="268"/>
      <c r="OOO585" s="268"/>
      <c r="OOP585" s="268"/>
      <c r="OOQ585" s="268"/>
      <c r="OOR585" s="268"/>
      <c r="OOS585" s="268"/>
      <c r="OOT585" s="268"/>
      <c r="OOU585" s="268"/>
      <c r="OOV585" s="268"/>
      <c r="OOW585" s="268"/>
      <c r="OOX585" s="268"/>
      <c r="OOY585" s="268"/>
      <c r="OOZ585" s="268"/>
      <c r="OPA585" s="268"/>
      <c r="OPB585" s="268"/>
      <c r="OPC585" s="268"/>
      <c r="OPD585" s="268"/>
      <c r="OPE585" s="268"/>
      <c r="OPF585" s="268"/>
      <c r="OPG585" s="268"/>
      <c r="OPH585" s="268"/>
      <c r="OPI585" s="268"/>
      <c r="OPJ585" s="268"/>
      <c r="OPK585" s="268"/>
      <c r="OPL585" s="268"/>
      <c r="OPM585" s="268"/>
      <c r="OPN585" s="268"/>
      <c r="OPO585" s="268"/>
      <c r="OPP585" s="268"/>
      <c r="OPQ585" s="268"/>
      <c r="OPR585" s="268"/>
      <c r="OPS585" s="268"/>
      <c r="OPT585" s="268"/>
      <c r="OPU585" s="268"/>
      <c r="OPV585" s="268"/>
      <c r="OPW585" s="268"/>
      <c r="OPX585" s="268"/>
      <c r="OPY585" s="268"/>
      <c r="OPZ585" s="268"/>
      <c r="OQA585" s="268"/>
      <c r="OQB585" s="268"/>
      <c r="OQC585" s="268"/>
      <c r="OQD585" s="268"/>
      <c r="OQE585" s="268"/>
      <c r="OQF585" s="268"/>
      <c r="OQG585" s="268"/>
      <c r="OQH585" s="268"/>
      <c r="OQI585" s="268"/>
      <c r="OQJ585" s="268"/>
      <c r="OQK585" s="268"/>
      <c r="OQL585" s="268"/>
      <c r="OQM585" s="268"/>
      <c r="OQN585" s="268"/>
      <c r="OQO585" s="268"/>
      <c r="OQP585" s="268"/>
      <c r="OQQ585" s="268"/>
      <c r="OQR585" s="268"/>
      <c r="OQS585" s="268"/>
      <c r="OQT585" s="268"/>
      <c r="OQU585" s="268"/>
      <c r="OQV585" s="268"/>
      <c r="OQW585" s="268"/>
      <c r="OQX585" s="268"/>
      <c r="OQY585" s="268"/>
      <c r="OQZ585" s="268"/>
      <c r="ORA585" s="268"/>
      <c r="ORB585" s="268"/>
      <c r="ORC585" s="268"/>
      <c r="ORD585" s="268"/>
      <c r="ORE585" s="268"/>
      <c r="ORF585" s="268"/>
      <c r="ORG585" s="268"/>
      <c r="ORH585" s="268"/>
      <c r="ORI585" s="268"/>
      <c r="ORJ585" s="268"/>
      <c r="ORK585" s="268"/>
      <c r="ORL585" s="268"/>
      <c r="ORM585" s="268"/>
      <c r="ORN585" s="268"/>
      <c r="ORO585" s="268"/>
      <c r="ORP585" s="268"/>
      <c r="ORQ585" s="268"/>
      <c r="ORR585" s="268"/>
      <c r="ORS585" s="268"/>
      <c r="ORT585" s="268"/>
      <c r="ORU585" s="268"/>
      <c r="ORV585" s="268"/>
      <c r="ORW585" s="268"/>
      <c r="ORX585" s="268"/>
      <c r="ORY585" s="268"/>
      <c r="ORZ585" s="268"/>
      <c r="OSA585" s="268"/>
      <c r="OSB585" s="268"/>
      <c r="OSC585" s="268"/>
      <c r="OSD585" s="268"/>
      <c r="OSE585" s="268"/>
      <c r="OSF585" s="268"/>
      <c r="OSG585" s="268"/>
      <c r="OSH585" s="268"/>
      <c r="OSI585" s="268"/>
      <c r="OSJ585" s="268"/>
      <c r="OSK585" s="268"/>
      <c r="OSL585" s="268"/>
      <c r="OSM585" s="268"/>
      <c r="OSN585" s="268"/>
      <c r="OSO585" s="268"/>
      <c r="OSP585" s="268"/>
      <c r="OSQ585" s="268"/>
      <c r="OSR585" s="268"/>
      <c r="OSS585" s="268"/>
      <c r="OST585" s="268"/>
      <c r="OSU585" s="268"/>
      <c r="OSV585" s="268"/>
      <c r="OSW585" s="268"/>
      <c r="OSX585" s="268"/>
      <c r="OSY585" s="268"/>
      <c r="OSZ585" s="268"/>
      <c r="OTA585" s="268"/>
      <c r="OTB585" s="268"/>
      <c r="OTC585" s="268"/>
      <c r="OTD585" s="268"/>
      <c r="OTE585" s="268"/>
      <c r="OTF585" s="268"/>
      <c r="OTG585" s="268"/>
      <c r="OTH585" s="268"/>
      <c r="OTI585" s="268"/>
      <c r="OTJ585" s="268"/>
      <c r="OTK585" s="268"/>
      <c r="OTL585" s="268"/>
      <c r="OTM585" s="268"/>
      <c r="OTN585" s="268"/>
      <c r="OTO585" s="268"/>
      <c r="OTP585" s="268"/>
      <c r="OTQ585" s="268"/>
      <c r="OTR585" s="268"/>
      <c r="OTS585" s="268"/>
      <c r="OTT585" s="268"/>
      <c r="OTU585" s="268"/>
      <c r="OTV585" s="268"/>
      <c r="OTW585" s="268"/>
      <c r="OTX585" s="268"/>
      <c r="OTY585" s="268"/>
      <c r="OTZ585" s="268"/>
      <c r="OUA585" s="268"/>
      <c r="OUB585" s="268"/>
      <c r="OUC585" s="268"/>
      <c r="OUD585" s="268"/>
      <c r="OUE585" s="268"/>
      <c r="OUF585" s="268"/>
      <c r="OUG585" s="268"/>
      <c r="OUH585" s="268"/>
      <c r="OUI585" s="268"/>
      <c r="OUJ585" s="268"/>
      <c r="OUK585" s="268"/>
      <c r="OUL585" s="268"/>
      <c r="OUM585" s="268"/>
      <c r="OUN585" s="268"/>
      <c r="OUO585" s="268"/>
      <c r="OUP585" s="268"/>
      <c r="OUQ585" s="268"/>
      <c r="OUR585" s="268"/>
      <c r="OUS585" s="268"/>
      <c r="OUT585" s="268"/>
      <c r="OUU585" s="268"/>
      <c r="OUV585" s="268"/>
      <c r="OUW585" s="268"/>
      <c r="OUX585" s="268"/>
      <c r="OUY585" s="268"/>
      <c r="OUZ585" s="268"/>
      <c r="OVA585" s="268"/>
      <c r="OVB585" s="268"/>
      <c r="OVC585" s="268"/>
      <c r="OVD585" s="268"/>
      <c r="OVE585" s="268"/>
      <c r="OVF585" s="268"/>
      <c r="OVG585" s="268"/>
      <c r="OVH585" s="268"/>
      <c r="OVI585" s="268"/>
      <c r="OVJ585" s="268"/>
      <c r="OVK585" s="268"/>
      <c r="OVL585" s="268"/>
      <c r="OVM585" s="268"/>
      <c r="OVN585" s="268"/>
      <c r="OVO585" s="268"/>
      <c r="OVP585" s="268"/>
      <c r="OVQ585" s="268"/>
      <c r="OVR585" s="268"/>
      <c r="OVS585" s="268"/>
      <c r="OVT585" s="268"/>
      <c r="OVU585" s="268"/>
      <c r="OVV585" s="268"/>
      <c r="OVW585" s="268"/>
      <c r="OVX585" s="268"/>
      <c r="OVY585" s="268"/>
      <c r="OVZ585" s="268"/>
      <c r="OWA585" s="268"/>
      <c r="OWB585" s="268"/>
      <c r="OWC585" s="268"/>
      <c r="OWD585" s="268"/>
      <c r="OWE585" s="268"/>
      <c r="OWS585" s="268"/>
      <c r="OWT585" s="268"/>
      <c r="OWU585" s="268"/>
      <c r="OXI585" s="268"/>
      <c r="OXK585" s="268"/>
      <c r="OXL585" s="268"/>
      <c r="OXM585" s="268"/>
      <c r="OXN585" s="268"/>
      <c r="OXO585" s="268"/>
      <c r="OXP585" s="268"/>
      <c r="OXQ585" s="268"/>
      <c r="OXR585" s="268"/>
      <c r="OXS585" s="268"/>
      <c r="OXT585" s="268"/>
      <c r="OXU585" s="268"/>
      <c r="OXV585" s="268"/>
      <c r="OXW585" s="268"/>
      <c r="OXX585" s="268"/>
      <c r="OXY585" s="268"/>
      <c r="OXZ585" s="268"/>
      <c r="OYA585" s="268"/>
      <c r="OYB585" s="268"/>
      <c r="OYC585" s="268"/>
      <c r="OYD585" s="268"/>
      <c r="OYE585" s="268"/>
      <c r="OYF585" s="268"/>
      <c r="OYG585" s="268"/>
      <c r="OYH585" s="268"/>
      <c r="OYI585" s="268"/>
      <c r="OYJ585" s="268"/>
      <c r="OYK585" s="268"/>
      <c r="OYL585" s="268"/>
      <c r="OYM585" s="268"/>
      <c r="OYN585" s="268"/>
      <c r="OYO585" s="268"/>
      <c r="OYP585" s="268"/>
      <c r="OYQ585" s="268"/>
      <c r="OYR585" s="268"/>
      <c r="OYS585" s="268"/>
      <c r="OYT585" s="268"/>
      <c r="OYU585" s="268"/>
      <c r="OYV585" s="268"/>
      <c r="OYW585" s="268"/>
      <c r="OYX585" s="268"/>
      <c r="OYY585" s="268"/>
      <c r="OYZ585" s="268"/>
      <c r="OZA585" s="268"/>
      <c r="OZB585" s="268"/>
      <c r="OZC585" s="268"/>
      <c r="OZD585" s="268"/>
      <c r="OZE585" s="268"/>
      <c r="OZF585" s="268"/>
      <c r="OZG585" s="268"/>
      <c r="OZH585" s="268"/>
      <c r="OZI585" s="268"/>
      <c r="OZJ585" s="268"/>
      <c r="OZK585" s="268"/>
      <c r="OZL585" s="268"/>
      <c r="OZM585" s="268"/>
      <c r="OZN585" s="268"/>
      <c r="OZO585" s="268"/>
      <c r="OZP585" s="268"/>
      <c r="OZQ585" s="268"/>
      <c r="OZR585" s="268"/>
      <c r="OZS585" s="268"/>
      <c r="OZT585" s="268"/>
      <c r="OZU585" s="268"/>
      <c r="OZV585" s="268"/>
      <c r="OZW585" s="268"/>
      <c r="OZX585" s="268"/>
      <c r="OZY585" s="268"/>
      <c r="OZZ585" s="268"/>
      <c r="PAA585" s="268"/>
      <c r="PAB585" s="268"/>
      <c r="PAC585" s="268"/>
      <c r="PAD585" s="268"/>
      <c r="PAE585" s="268"/>
      <c r="PAF585" s="268"/>
      <c r="PAG585" s="268"/>
      <c r="PAH585" s="268"/>
      <c r="PAI585" s="268"/>
      <c r="PAJ585" s="268"/>
      <c r="PAK585" s="268"/>
      <c r="PAL585" s="268"/>
      <c r="PAM585" s="268"/>
      <c r="PAN585" s="268"/>
      <c r="PAO585" s="268"/>
      <c r="PAP585" s="268"/>
      <c r="PAQ585" s="268"/>
      <c r="PAR585" s="268"/>
      <c r="PAS585" s="268"/>
      <c r="PAT585" s="268"/>
      <c r="PAU585" s="268"/>
      <c r="PAV585" s="268"/>
      <c r="PAW585" s="268"/>
      <c r="PAX585" s="268"/>
      <c r="PAY585" s="268"/>
      <c r="PAZ585" s="268"/>
      <c r="PBA585" s="268"/>
      <c r="PBB585" s="268"/>
      <c r="PBC585" s="268"/>
      <c r="PBD585" s="268"/>
      <c r="PBE585" s="268"/>
      <c r="PBF585" s="268"/>
      <c r="PBG585" s="268"/>
      <c r="PBH585" s="268"/>
      <c r="PBI585" s="268"/>
      <c r="PBJ585" s="268"/>
      <c r="PBK585" s="268"/>
      <c r="PBL585" s="268"/>
      <c r="PBM585" s="268"/>
      <c r="PBN585" s="268"/>
      <c r="PBO585" s="268"/>
      <c r="PBP585" s="268"/>
      <c r="PBQ585" s="268"/>
      <c r="PBR585" s="268"/>
      <c r="PBS585" s="268"/>
      <c r="PBT585" s="268"/>
      <c r="PBU585" s="268"/>
      <c r="PBV585" s="268"/>
      <c r="PBW585" s="268"/>
      <c r="PBX585" s="268"/>
      <c r="PBY585" s="268"/>
      <c r="PBZ585" s="268"/>
      <c r="PCA585" s="268"/>
      <c r="PCB585" s="268"/>
      <c r="PCC585" s="268"/>
      <c r="PCD585" s="268"/>
      <c r="PCE585" s="268"/>
      <c r="PCF585" s="268"/>
      <c r="PCG585" s="268"/>
      <c r="PCH585" s="268"/>
      <c r="PCI585" s="268"/>
      <c r="PCJ585" s="268"/>
      <c r="PCK585" s="268"/>
      <c r="PCL585" s="268"/>
      <c r="PCM585" s="268"/>
      <c r="PCN585" s="268"/>
      <c r="PCO585" s="268"/>
      <c r="PCP585" s="268"/>
      <c r="PCQ585" s="268"/>
      <c r="PCR585" s="268"/>
      <c r="PCS585" s="268"/>
      <c r="PCT585" s="268"/>
      <c r="PCU585" s="268"/>
      <c r="PCV585" s="268"/>
      <c r="PCW585" s="268"/>
      <c r="PCX585" s="268"/>
      <c r="PCY585" s="268"/>
      <c r="PCZ585" s="268"/>
      <c r="PDA585" s="268"/>
      <c r="PDB585" s="268"/>
      <c r="PDC585" s="268"/>
      <c r="PDD585" s="268"/>
      <c r="PDE585" s="268"/>
      <c r="PDF585" s="268"/>
      <c r="PDG585" s="268"/>
      <c r="PDH585" s="268"/>
      <c r="PDI585" s="268"/>
      <c r="PDJ585" s="268"/>
      <c r="PDK585" s="268"/>
      <c r="PDL585" s="268"/>
      <c r="PDM585" s="268"/>
      <c r="PDN585" s="268"/>
      <c r="PDO585" s="268"/>
      <c r="PDP585" s="268"/>
      <c r="PDQ585" s="268"/>
      <c r="PDR585" s="268"/>
      <c r="PDS585" s="268"/>
      <c r="PDT585" s="268"/>
      <c r="PDU585" s="268"/>
      <c r="PDV585" s="268"/>
      <c r="PDW585" s="268"/>
      <c r="PDX585" s="268"/>
      <c r="PDY585" s="268"/>
      <c r="PDZ585" s="268"/>
      <c r="PEA585" s="268"/>
      <c r="PEB585" s="268"/>
      <c r="PEC585" s="268"/>
      <c r="PED585" s="268"/>
      <c r="PEE585" s="268"/>
      <c r="PEF585" s="268"/>
      <c r="PEG585" s="268"/>
      <c r="PEH585" s="268"/>
      <c r="PEI585" s="268"/>
      <c r="PEJ585" s="268"/>
      <c r="PEK585" s="268"/>
      <c r="PEL585" s="268"/>
      <c r="PEM585" s="268"/>
      <c r="PEN585" s="268"/>
      <c r="PEO585" s="268"/>
      <c r="PEP585" s="268"/>
      <c r="PEQ585" s="268"/>
      <c r="PER585" s="268"/>
      <c r="PES585" s="268"/>
      <c r="PET585" s="268"/>
      <c r="PEU585" s="268"/>
      <c r="PEV585" s="268"/>
      <c r="PEW585" s="268"/>
      <c r="PEX585" s="268"/>
      <c r="PEY585" s="268"/>
      <c r="PEZ585" s="268"/>
      <c r="PFA585" s="268"/>
      <c r="PFB585" s="268"/>
      <c r="PFC585" s="268"/>
      <c r="PFD585" s="268"/>
      <c r="PFE585" s="268"/>
      <c r="PFF585" s="268"/>
      <c r="PFG585" s="268"/>
      <c r="PFH585" s="268"/>
      <c r="PFI585" s="268"/>
      <c r="PFJ585" s="268"/>
      <c r="PFK585" s="268"/>
      <c r="PFL585" s="268"/>
      <c r="PFM585" s="268"/>
      <c r="PFN585" s="268"/>
      <c r="PFO585" s="268"/>
      <c r="PFP585" s="268"/>
      <c r="PFQ585" s="268"/>
      <c r="PFR585" s="268"/>
      <c r="PFS585" s="268"/>
      <c r="PFT585" s="268"/>
      <c r="PFU585" s="268"/>
      <c r="PFV585" s="268"/>
      <c r="PFW585" s="268"/>
      <c r="PFX585" s="268"/>
      <c r="PFY585" s="268"/>
      <c r="PFZ585" s="268"/>
      <c r="PGA585" s="268"/>
      <c r="PGO585" s="268"/>
      <c r="PGP585" s="268"/>
      <c r="PGQ585" s="268"/>
      <c r="PHE585" s="268"/>
      <c r="PHG585" s="268"/>
      <c r="PHH585" s="268"/>
      <c r="PHI585" s="268"/>
      <c r="PHJ585" s="268"/>
      <c r="PHK585" s="268"/>
      <c r="PHL585" s="268"/>
      <c r="PHM585" s="268"/>
      <c r="PHN585" s="268"/>
      <c r="PHO585" s="268"/>
      <c r="PHP585" s="268"/>
      <c r="PHQ585" s="268"/>
      <c r="PHR585" s="268"/>
      <c r="PHS585" s="268"/>
      <c r="PHT585" s="268"/>
      <c r="PHU585" s="268"/>
      <c r="PHV585" s="268"/>
      <c r="PHW585" s="268"/>
      <c r="PHX585" s="268"/>
      <c r="PHY585" s="268"/>
      <c r="PHZ585" s="268"/>
      <c r="PIA585" s="268"/>
      <c r="PIB585" s="268"/>
      <c r="PIC585" s="268"/>
      <c r="PID585" s="268"/>
      <c r="PIE585" s="268"/>
      <c r="PIF585" s="268"/>
      <c r="PIG585" s="268"/>
      <c r="PIH585" s="268"/>
      <c r="PII585" s="268"/>
      <c r="PIJ585" s="268"/>
      <c r="PIK585" s="268"/>
      <c r="PIL585" s="268"/>
      <c r="PIM585" s="268"/>
      <c r="PIN585" s="268"/>
      <c r="PIO585" s="268"/>
      <c r="PIP585" s="268"/>
      <c r="PIQ585" s="268"/>
      <c r="PIR585" s="268"/>
      <c r="PIS585" s="268"/>
      <c r="PIT585" s="268"/>
      <c r="PIU585" s="268"/>
      <c r="PIV585" s="268"/>
      <c r="PIW585" s="268"/>
      <c r="PIX585" s="268"/>
      <c r="PIY585" s="268"/>
      <c r="PIZ585" s="268"/>
      <c r="PJA585" s="268"/>
      <c r="PJB585" s="268"/>
      <c r="PJC585" s="268"/>
      <c r="PJD585" s="268"/>
      <c r="PJE585" s="268"/>
      <c r="PJF585" s="268"/>
      <c r="PJG585" s="268"/>
      <c r="PJH585" s="268"/>
      <c r="PJI585" s="268"/>
      <c r="PJJ585" s="268"/>
      <c r="PJK585" s="268"/>
      <c r="PJL585" s="268"/>
      <c r="PJM585" s="268"/>
      <c r="PJN585" s="268"/>
      <c r="PJO585" s="268"/>
      <c r="PJP585" s="268"/>
      <c r="PJQ585" s="268"/>
      <c r="PJR585" s="268"/>
      <c r="PJS585" s="268"/>
      <c r="PJT585" s="268"/>
      <c r="PJU585" s="268"/>
      <c r="PJV585" s="268"/>
      <c r="PJW585" s="268"/>
      <c r="PJX585" s="268"/>
      <c r="PJY585" s="268"/>
      <c r="PJZ585" s="268"/>
      <c r="PKA585" s="268"/>
      <c r="PKB585" s="268"/>
      <c r="PKC585" s="268"/>
      <c r="PKD585" s="268"/>
      <c r="PKE585" s="268"/>
      <c r="PKF585" s="268"/>
      <c r="PKG585" s="268"/>
      <c r="PKH585" s="268"/>
      <c r="PKI585" s="268"/>
      <c r="PKJ585" s="268"/>
      <c r="PKK585" s="268"/>
      <c r="PKL585" s="268"/>
      <c r="PKM585" s="268"/>
      <c r="PKN585" s="268"/>
      <c r="PKO585" s="268"/>
      <c r="PKP585" s="268"/>
      <c r="PKQ585" s="268"/>
      <c r="PKR585" s="268"/>
      <c r="PKS585" s="268"/>
      <c r="PKT585" s="268"/>
      <c r="PKU585" s="268"/>
      <c r="PKV585" s="268"/>
      <c r="PKW585" s="268"/>
      <c r="PKX585" s="268"/>
      <c r="PKY585" s="268"/>
      <c r="PKZ585" s="268"/>
      <c r="PLA585" s="268"/>
      <c r="PLB585" s="268"/>
      <c r="PLC585" s="268"/>
      <c r="PLD585" s="268"/>
      <c r="PLE585" s="268"/>
      <c r="PLF585" s="268"/>
      <c r="PLG585" s="268"/>
      <c r="PLH585" s="268"/>
      <c r="PLI585" s="268"/>
      <c r="PLJ585" s="268"/>
      <c r="PLK585" s="268"/>
      <c r="PLL585" s="268"/>
      <c r="PLM585" s="268"/>
      <c r="PLN585" s="268"/>
      <c r="PLO585" s="268"/>
      <c r="PLP585" s="268"/>
      <c r="PLQ585" s="268"/>
      <c r="PLR585" s="268"/>
      <c r="PLS585" s="268"/>
      <c r="PLT585" s="268"/>
      <c r="PLU585" s="268"/>
      <c r="PLV585" s="268"/>
      <c r="PLW585" s="268"/>
      <c r="PLX585" s="268"/>
      <c r="PLY585" s="268"/>
      <c r="PLZ585" s="268"/>
      <c r="PMA585" s="268"/>
      <c r="PMB585" s="268"/>
      <c r="PMC585" s="268"/>
      <c r="PMD585" s="268"/>
      <c r="PME585" s="268"/>
      <c r="PMF585" s="268"/>
      <c r="PMG585" s="268"/>
      <c r="PMH585" s="268"/>
      <c r="PMI585" s="268"/>
      <c r="PMJ585" s="268"/>
      <c r="PMK585" s="268"/>
      <c r="PML585" s="268"/>
      <c r="PMM585" s="268"/>
      <c r="PMN585" s="268"/>
      <c r="PMO585" s="268"/>
      <c r="PMP585" s="268"/>
      <c r="PMQ585" s="268"/>
      <c r="PMR585" s="268"/>
      <c r="PMS585" s="268"/>
      <c r="PMT585" s="268"/>
      <c r="PMU585" s="268"/>
      <c r="PMV585" s="268"/>
      <c r="PMW585" s="268"/>
      <c r="PMX585" s="268"/>
      <c r="PMY585" s="268"/>
      <c r="PMZ585" s="268"/>
      <c r="PNA585" s="268"/>
      <c r="PNB585" s="268"/>
      <c r="PNC585" s="268"/>
      <c r="PND585" s="268"/>
      <c r="PNE585" s="268"/>
      <c r="PNF585" s="268"/>
      <c r="PNG585" s="268"/>
      <c r="PNH585" s="268"/>
      <c r="PNI585" s="268"/>
      <c r="PNJ585" s="268"/>
      <c r="PNK585" s="268"/>
      <c r="PNL585" s="268"/>
      <c r="PNM585" s="268"/>
      <c r="PNN585" s="268"/>
      <c r="PNO585" s="268"/>
      <c r="PNP585" s="268"/>
      <c r="PNQ585" s="268"/>
      <c r="PNR585" s="268"/>
      <c r="PNS585" s="268"/>
      <c r="PNT585" s="268"/>
      <c r="PNU585" s="268"/>
      <c r="PNV585" s="268"/>
      <c r="PNW585" s="268"/>
      <c r="PNX585" s="268"/>
      <c r="PNY585" s="268"/>
      <c r="PNZ585" s="268"/>
      <c r="POA585" s="268"/>
      <c r="POB585" s="268"/>
      <c r="POC585" s="268"/>
      <c r="POD585" s="268"/>
      <c r="POE585" s="268"/>
      <c r="POF585" s="268"/>
      <c r="POG585" s="268"/>
      <c r="POH585" s="268"/>
      <c r="POI585" s="268"/>
      <c r="POJ585" s="268"/>
      <c r="POK585" s="268"/>
      <c r="POL585" s="268"/>
      <c r="POM585" s="268"/>
      <c r="PON585" s="268"/>
      <c r="POO585" s="268"/>
      <c r="POP585" s="268"/>
      <c r="POQ585" s="268"/>
      <c r="POR585" s="268"/>
      <c r="POS585" s="268"/>
      <c r="POT585" s="268"/>
      <c r="POU585" s="268"/>
      <c r="POV585" s="268"/>
      <c r="POW585" s="268"/>
      <c r="POX585" s="268"/>
      <c r="POY585" s="268"/>
      <c r="POZ585" s="268"/>
      <c r="PPA585" s="268"/>
      <c r="PPB585" s="268"/>
      <c r="PPC585" s="268"/>
      <c r="PPD585" s="268"/>
      <c r="PPE585" s="268"/>
      <c r="PPF585" s="268"/>
      <c r="PPG585" s="268"/>
      <c r="PPH585" s="268"/>
      <c r="PPI585" s="268"/>
      <c r="PPJ585" s="268"/>
      <c r="PPK585" s="268"/>
      <c r="PPL585" s="268"/>
      <c r="PPM585" s="268"/>
      <c r="PPN585" s="268"/>
      <c r="PPO585" s="268"/>
      <c r="PPP585" s="268"/>
      <c r="PPQ585" s="268"/>
      <c r="PPR585" s="268"/>
      <c r="PPS585" s="268"/>
      <c r="PPT585" s="268"/>
      <c r="PPU585" s="268"/>
      <c r="PPV585" s="268"/>
      <c r="PPW585" s="268"/>
      <c r="PQK585" s="268"/>
      <c r="PQL585" s="268"/>
      <c r="PQM585" s="268"/>
      <c r="PRA585" s="268"/>
      <c r="PRC585" s="268"/>
      <c r="PRD585" s="268"/>
      <c r="PRE585" s="268"/>
      <c r="PRF585" s="268"/>
      <c r="PRG585" s="268"/>
      <c r="PRH585" s="268"/>
      <c r="PRI585" s="268"/>
      <c r="PRJ585" s="268"/>
      <c r="PRK585" s="268"/>
      <c r="PRL585" s="268"/>
      <c r="PRM585" s="268"/>
      <c r="PRN585" s="268"/>
      <c r="PRO585" s="268"/>
      <c r="PRP585" s="268"/>
      <c r="PRQ585" s="268"/>
      <c r="PRR585" s="268"/>
      <c r="PRS585" s="268"/>
      <c r="PRT585" s="268"/>
      <c r="PRU585" s="268"/>
      <c r="PRV585" s="268"/>
      <c r="PRW585" s="268"/>
      <c r="PRX585" s="268"/>
      <c r="PRY585" s="268"/>
      <c r="PRZ585" s="268"/>
      <c r="PSA585" s="268"/>
      <c r="PSB585" s="268"/>
      <c r="PSC585" s="268"/>
      <c r="PSD585" s="268"/>
      <c r="PSE585" s="268"/>
      <c r="PSF585" s="268"/>
      <c r="PSG585" s="268"/>
      <c r="PSH585" s="268"/>
      <c r="PSI585" s="268"/>
      <c r="PSJ585" s="268"/>
      <c r="PSK585" s="268"/>
      <c r="PSL585" s="268"/>
      <c r="PSM585" s="268"/>
      <c r="PSN585" s="268"/>
      <c r="PSO585" s="268"/>
      <c r="PSP585" s="268"/>
      <c r="PSQ585" s="268"/>
      <c r="PSR585" s="268"/>
      <c r="PSS585" s="268"/>
      <c r="PST585" s="268"/>
      <c r="PSU585" s="268"/>
      <c r="PSV585" s="268"/>
      <c r="PSW585" s="268"/>
      <c r="PSX585" s="268"/>
      <c r="PSY585" s="268"/>
      <c r="PSZ585" s="268"/>
      <c r="PTA585" s="268"/>
      <c r="PTB585" s="268"/>
      <c r="PTC585" s="268"/>
      <c r="PTD585" s="268"/>
      <c r="PTE585" s="268"/>
      <c r="PTF585" s="268"/>
      <c r="PTG585" s="268"/>
      <c r="PTH585" s="268"/>
      <c r="PTI585" s="268"/>
      <c r="PTJ585" s="268"/>
      <c r="PTK585" s="268"/>
      <c r="PTL585" s="268"/>
      <c r="PTM585" s="268"/>
      <c r="PTN585" s="268"/>
      <c r="PTO585" s="268"/>
      <c r="PTP585" s="268"/>
      <c r="PTQ585" s="268"/>
      <c r="PTR585" s="268"/>
      <c r="PTS585" s="268"/>
      <c r="PTT585" s="268"/>
      <c r="PTU585" s="268"/>
      <c r="PTV585" s="268"/>
      <c r="PTW585" s="268"/>
      <c r="PTX585" s="268"/>
      <c r="PTY585" s="268"/>
      <c r="PTZ585" s="268"/>
      <c r="PUA585" s="268"/>
      <c r="PUB585" s="268"/>
      <c r="PUC585" s="268"/>
      <c r="PUD585" s="268"/>
      <c r="PUE585" s="268"/>
      <c r="PUF585" s="268"/>
      <c r="PUG585" s="268"/>
      <c r="PUH585" s="268"/>
      <c r="PUI585" s="268"/>
      <c r="PUJ585" s="268"/>
      <c r="PUK585" s="268"/>
      <c r="PUL585" s="268"/>
      <c r="PUM585" s="268"/>
      <c r="PUN585" s="268"/>
      <c r="PUO585" s="268"/>
      <c r="PUP585" s="268"/>
      <c r="PUQ585" s="268"/>
      <c r="PUR585" s="268"/>
      <c r="PUS585" s="268"/>
      <c r="PUT585" s="268"/>
      <c r="PUU585" s="268"/>
      <c r="PUV585" s="268"/>
      <c r="PUW585" s="268"/>
      <c r="PUX585" s="268"/>
      <c r="PUY585" s="268"/>
      <c r="PUZ585" s="268"/>
      <c r="PVA585" s="268"/>
      <c r="PVB585" s="268"/>
      <c r="PVC585" s="268"/>
      <c r="PVD585" s="268"/>
      <c r="PVE585" s="268"/>
      <c r="PVF585" s="268"/>
      <c r="PVG585" s="268"/>
      <c r="PVH585" s="268"/>
      <c r="PVI585" s="268"/>
      <c r="PVJ585" s="268"/>
      <c r="PVK585" s="268"/>
      <c r="PVL585" s="268"/>
      <c r="PVM585" s="268"/>
      <c r="PVN585" s="268"/>
      <c r="PVO585" s="268"/>
      <c r="PVP585" s="268"/>
      <c r="PVQ585" s="268"/>
      <c r="PVR585" s="268"/>
      <c r="PVS585" s="268"/>
      <c r="PVT585" s="268"/>
      <c r="PVU585" s="268"/>
      <c r="PVV585" s="268"/>
      <c r="PVW585" s="268"/>
      <c r="PVX585" s="268"/>
      <c r="PVY585" s="268"/>
      <c r="PVZ585" s="268"/>
      <c r="PWA585" s="268"/>
      <c r="PWB585" s="268"/>
      <c r="PWC585" s="268"/>
      <c r="PWD585" s="268"/>
      <c r="PWE585" s="268"/>
      <c r="PWF585" s="268"/>
      <c r="PWG585" s="268"/>
      <c r="PWH585" s="268"/>
      <c r="PWI585" s="268"/>
      <c r="PWJ585" s="268"/>
      <c r="PWK585" s="268"/>
      <c r="PWL585" s="268"/>
      <c r="PWM585" s="268"/>
      <c r="PWN585" s="268"/>
      <c r="PWO585" s="268"/>
      <c r="PWP585" s="268"/>
      <c r="PWQ585" s="268"/>
      <c r="PWR585" s="268"/>
      <c r="PWS585" s="268"/>
      <c r="PWT585" s="268"/>
      <c r="PWU585" s="268"/>
      <c r="PWV585" s="268"/>
      <c r="PWW585" s="268"/>
      <c r="PWX585" s="268"/>
      <c r="PWY585" s="268"/>
      <c r="PWZ585" s="268"/>
      <c r="PXA585" s="268"/>
      <c r="PXB585" s="268"/>
      <c r="PXC585" s="268"/>
      <c r="PXD585" s="268"/>
      <c r="PXE585" s="268"/>
      <c r="PXF585" s="268"/>
      <c r="PXG585" s="268"/>
      <c r="PXH585" s="268"/>
      <c r="PXI585" s="268"/>
      <c r="PXJ585" s="268"/>
      <c r="PXK585" s="268"/>
      <c r="PXL585" s="268"/>
      <c r="PXM585" s="268"/>
      <c r="PXN585" s="268"/>
      <c r="PXO585" s="268"/>
      <c r="PXP585" s="268"/>
      <c r="PXQ585" s="268"/>
      <c r="PXR585" s="268"/>
      <c r="PXS585" s="268"/>
      <c r="PXT585" s="268"/>
      <c r="PXU585" s="268"/>
      <c r="PXV585" s="268"/>
      <c r="PXW585" s="268"/>
      <c r="PXX585" s="268"/>
      <c r="PXY585" s="268"/>
      <c r="PXZ585" s="268"/>
      <c r="PYA585" s="268"/>
      <c r="PYB585" s="268"/>
      <c r="PYC585" s="268"/>
      <c r="PYD585" s="268"/>
      <c r="PYE585" s="268"/>
      <c r="PYF585" s="268"/>
      <c r="PYG585" s="268"/>
      <c r="PYH585" s="268"/>
      <c r="PYI585" s="268"/>
      <c r="PYJ585" s="268"/>
      <c r="PYK585" s="268"/>
      <c r="PYL585" s="268"/>
      <c r="PYM585" s="268"/>
      <c r="PYN585" s="268"/>
      <c r="PYO585" s="268"/>
      <c r="PYP585" s="268"/>
      <c r="PYQ585" s="268"/>
      <c r="PYR585" s="268"/>
      <c r="PYS585" s="268"/>
      <c r="PYT585" s="268"/>
      <c r="PYU585" s="268"/>
      <c r="PYV585" s="268"/>
      <c r="PYW585" s="268"/>
      <c r="PYX585" s="268"/>
      <c r="PYY585" s="268"/>
      <c r="PYZ585" s="268"/>
      <c r="PZA585" s="268"/>
      <c r="PZB585" s="268"/>
      <c r="PZC585" s="268"/>
      <c r="PZD585" s="268"/>
      <c r="PZE585" s="268"/>
      <c r="PZF585" s="268"/>
      <c r="PZG585" s="268"/>
      <c r="PZH585" s="268"/>
      <c r="PZI585" s="268"/>
      <c r="PZJ585" s="268"/>
      <c r="PZK585" s="268"/>
      <c r="PZL585" s="268"/>
      <c r="PZM585" s="268"/>
      <c r="PZN585" s="268"/>
      <c r="PZO585" s="268"/>
      <c r="PZP585" s="268"/>
      <c r="PZQ585" s="268"/>
      <c r="PZR585" s="268"/>
      <c r="PZS585" s="268"/>
      <c r="QAG585" s="268"/>
      <c r="QAH585" s="268"/>
      <c r="QAI585" s="268"/>
      <c r="QAW585" s="268"/>
      <c r="QAY585" s="268"/>
      <c r="QAZ585" s="268"/>
      <c r="QBA585" s="268"/>
      <c r="QBB585" s="268"/>
      <c r="QBC585" s="268"/>
      <c r="QBD585" s="268"/>
      <c r="QBE585" s="268"/>
      <c r="QBF585" s="268"/>
      <c r="QBG585" s="268"/>
      <c r="QBH585" s="268"/>
      <c r="QBI585" s="268"/>
      <c r="QBJ585" s="268"/>
      <c r="QBK585" s="268"/>
      <c r="QBL585" s="268"/>
      <c r="QBM585" s="268"/>
      <c r="QBN585" s="268"/>
      <c r="QBO585" s="268"/>
      <c r="QBP585" s="268"/>
      <c r="QBQ585" s="268"/>
      <c r="QBR585" s="268"/>
      <c r="QBS585" s="268"/>
      <c r="QBT585" s="268"/>
      <c r="QBU585" s="268"/>
      <c r="QBV585" s="268"/>
      <c r="QBW585" s="268"/>
      <c r="QBX585" s="268"/>
      <c r="QBY585" s="268"/>
      <c r="QBZ585" s="268"/>
      <c r="QCA585" s="268"/>
      <c r="QCB585" s="268"/>
      <c r="QCC585" s="268"/>
      <c r="QCD585" s="268"/>
      <c r="QCE585" s="268"/>
      <c r="QCF585" s="268"/>
      <c r="QCG585" s="268"/>
      <c r="QCH585" s="268"/>
      <c r="QCI585" s="268"/>
      <c r="QCJ585" s="268"/>
      <c r="QCK585" s="268"/>
      <c r="QCL585" s="268"/>
      <c r="QCM585" s="268"/>
      <c r="QCN585" s="268"/>
      <c r="QCO585" s="268"/>
      <c r="QCP585" s="268"/>
      <c r="QCQ585" s="268"/>
      <c r="QCR585" s="268"/>
      <c r="QCS585" s="268"/>
      <c r="QCT585" s="268"/>
      <c r="QCU585" s="268"/>
      <c r="QCV585" s="268"/>
      <c r="QCW585" s="268"/>
      <c r="QCX585" s="268"/>
      <c r="QCY585" s="268"/>
      <c r="QCZ585" s="268"/>
      <c r="QDA585" s="268"/>
      <c r="QDB585" s="268"/>
      <c r="QDC585" s="268"/>
      <c r="QDD585" s="268"/>
      <c r="QDE585" s="268"/>
      <c r="QDF585" s="268"/>
      <c r="QDG585" s="268"/>
      <c r="QDH585" s="268"/>
      <c r="QDI585" s="268"/>
      <c r="QDJ585" s="268"/>
      <c r="QDK585" s="268"/>
      <c r="QDL585" s="268"/>
      <c r="QDM585" s="268"/>
      <c r="QDN585" s="268"/>
      <c r="QDO585" s="268"/>
      <c r="QDP585" s="268"/>
      <c r="QDQ585" s="268"/>
      <c r="QDR585" s="268"/>
      <c r="QDS585" s="268"/>
      <c r="QDT585" s="268"/>
      <c r="QDU585" s="268"/>
      <c r="QDV585" s="268"/>
      <c r="QDW585" s="268"/>
      <c r="QDX585" s="268"/>
      <c r="QDY585" s="268"/>
      <c r="QDZ585" s="268"/>
      <c r="QEA585" s="268"/>
      <c r="QEB585" s="268"/>
      <c r="QEC585" s="268"/>
      <c r="QED585" s="268"/>
      <c r="QEE585" s="268"/>
      <c r="QEF585" s="268"/>
      <c r="QEG585" s="268"/>
      <c r="QEH585" s="268"/>
      <c r="QEI585" s="268"/>
      <c r="QEJ585" s="268"/>
      <c r="QEK585" s="268"/>
      <c r="QEL585" s="268"/>
      <c r="QEM585" s="268"/>
      <c r="QEN585" s="268"/>
      <c r="QEO585" s="268"/>
      <c r="QEP585" s="268"/>
      <c r="QEQ585" s="268"/>
      <c r="QER585" s="268"/>
      <c r="QES585" s="268"/>
      <c r="QET585" s="268"/>
      <c r="QEU585" s="268"/>
      <c r="QEV585" s="268"/>
      <c r="QEW585" s="268"/>
      <c r="QEX585" s="268"/>
      <c r="QEY585" s="268"/>
      <c r="QEZ585" s="268"/>
      <c r="QFA585" s="268"/>
      <c r="QFB585" s="268"/>
      <c r="QFC585" s="268"/>
      <c r="QFD585" s="268"/>
      <c r="QFE585" s="268"/>
      <c r="QFF585" s="268"/>
      <c r="QFG585" s="268"/>
      <c r="QFH585" s="268"/>
      <c r="QFI585" s="268"/>
      <c r="QFJ585" s="268"/>
      <c r="QFK585" s="268"/>
      <c r="QFL585" s="268"/>
      <c r="QFM585" s="268"/>
      <c r="QFN585" s="268"/>
      <c r="QFO585" s="268"/>
      <c r="QFP585" s="268"/>
      <c r="QFQ585" s="268"/>
      <c r="QFR585" s="268"/>
      <c r="QFS585" s="268"/>
      <c r="QFT585" s="268"/>
      <c r="QFU585" s="268"/>
      <c r="QFV585" s="268"/>
      <c r="QFW585" s="268"/>
      <c r="QFX585" s="268"/>
      <c r="QFY585" s="268"/>
      <c r="QFZ585" s="268"/>
      <c r="QGA585" s="268"/>
      <c r="QGB585" s="268"/>
      <c r="QGC585" s="268"/>
      <c r="QGD585" s="268"/>
      <c r="QGE585" s="268"/>
      <c r="QGF585" s="268"/>
      <c r="QGG585" s="268"/>
      <c r="QGH585" s="268"/>
      <c r="QGI585" s="268"/>
      <c r="QGJ585" s="268"/>
      <c r="QGK585" s="268"/>
      <c r="QGL585" s="268"/>
      <c r="QGM585" s="268"/>
      <c r="QGN585" s="268"/>
      <c r="QGO585" s="268"/>
      <c r="QGP585" s="268"/>
      <c r="QGQ585" s="268"/>
      <c r="QGR585" s="268"/>
      <c r="QGS585" s="268"/>
      <c r="QGT585" s="268"/>
      <c r="QGU585" s="268"/>
      <c r="QGV585" s="268"/>
      <c r="QGW585" s="268"/>
      <c r="QGX585" s="268"/>
      <c r="QGY585" s="268"/>
      <c r="QGZ585" s="268"/>
      <c r="QHA585" s="268"/>
      <c r="QHB585" s="268"/>
      <c r="QHC585" s="268"/>
      <c r="QHD585" s="268"/>
      <c r="QHE585" s="268"/>
      <c r="QHF585" s="268"/>
      <c r="QHG585" s="268"/>
      <c r="QHH585" s="268"/>
      <c r="QHI585" s="268"/>
      <c r="QHJ585" s="268"/>
      <c r="QHK585" s="268"/>
      <c r="QHL585" s="268"/>
      <c r="QHM585" s="268"/>
      <c r="QHN585" s="268"/>
      <c r="QHO585" s="268"/>
      <c r="QHP585" s="268"/>
      <c r="QHQ585" s="268"/>
      <c r="QHR585" s="268"/>
      <c r="QHS585" s="268"/>
      <c r="QHT585" s="268"/>
      <c r="QHU585" s="268"/>
      <c r="QHV585" s="268"/>
      <c r="QHW585" s="268"/>
      <c r="QHX585" s="268"/>
      <c r="QHY585" s="268"/>
      <c r="QHZ585" s="268"/>
      <c r="QIA585" s="268"/>
      <c r="QIB585" s="268"/>
      <c r="QIC585" s="268"/>
      <c r="QID585" s="268"/>
      <c r="QIE585" s="268"/>
      <c r="QIF585" s="268"/>
      <c r="QIG585" s="268"/>
      <c r="QIH585" s="268"/>
      <c r="QII585" s="268"/>
      <c r="QIJ585" s="268"/>
      <c r="QIK585" s="268"/>
      <c r="QIL585" s="268"/>
      <c r="QIM585" s="268"/>
      <c r="QIN585" s="268"/>
      <c r="QIO585" s="268"/>
      <c r="QIP585" s="268"/>
      <c r="QIQ585" s="268"/>
      <c r="QIR585" s="268"/>
      <c r="QIS585" s="268"/>
      <c r="QIT585" s="268"/>
      <c r="QIU585" s="268"/>
      <c r="QIV585" s="268"/>
      <c r="QIW585" s="268"/>
      <c r="QIX585" s="268"/>
      <c r="QIY585" s="268"/>
      <c r="QIZ585" s="268"/>
      <c r="QJA585" s="268"/>
      <c r="QJB585" s="268"/>
      <c r="QJC585" s="268"/>
      <c r="QJD585" s="268"/>
      <c r="QJE585" s="268"/>
      <c r="QJF585" s="268"/>
      <c r="QJG585" s="268"/>
      <c r="QJH585" s="268"/>
      <c r="QJI585" s="268"/>
      <c r="QJJ585" s="268"/>
      <c r="QJK585" s="268"/>
      <c r="QJL585" s="268"/>
      <c r="QJM585" s="268"/>
      <c r="QJN585" s="268"/>
      <c r="QJO585" s="268"/>
      <c r="QKC585" s="268"/>
      <c r="QKD585" s="268"/>
      <c r="QKE585" s="268"/>
      <c r="QKS585" s="268"/>
      <c r="QKU585" s="268"/>
      <c r="QKV585" s="268"/>
      <c r="QKW585" s="268"/>
      <c r="QKX585" s="268"/>
      <c r="QKY585" s="268"/>
      <c r="QKZ585" s="268"/>
      <c r="QLA585" s="268"/>
      <c r="QLB585" s="268"/>
      <c r="QLC585" s="268"/>
      <c r="QLD585" s="268"/>
      <c r="QLE585" s="268"/>
      <c r="QLF585" s="268"/>
      <c r="QLG585" s="268"/>
      <c r="QLH585" s="268"/>
      <c r="QLI585" s="268"/>
      <c r="QLJ585" s="268"/>
      <c r="QLK585" s="268"/>
      <c r="QLL585" s="268"/>
      <c r="QLM585" s="268"/>
      <c r="QLN585" s="268"/>
      <c r="QLO585" s="268"/>
      <c r="QLP585" s="268"/>
      <c r="QLQ585" s="268"/>
      <c r="QLR585" s="268"/>
      <c r="QLS585" s="268"/>
      <c r="QLT585" s="268"/>
      <c r="QLU585" s="268"/>
      <c r="QLV585" s="268"/>
      <c r="QLW585" s="268"/>
      <c r="QLX585" s="268"/>
      <c r="QLY585" s="268"/>
      <c r="QLZ585" s="268"/>
      <c r="QMA585" s="268"/>
      <c r="QMB585" s="268"/>
      <c r="QMC585" s="268"/>
      <c r="QMD585" s="268"/>
      <c r="QME585" s="268"/>
      <c r="QMF585" s="268"/>
      <c r="QMG585" s="268"/>
      <c r="QMH585" s="268"/>
      <c r="QMI585" s="268"/>
      <c r="QMJ585" s="268"/>
      <c r="QMK585" s="268"/>
      <c r="QML585" s="268"/>
      <c r="QMM585" s="268"/>
      <c r="QMN585" s="268"/>
      <c r="QMO585" s="268"/>
      <c r="QMP585" s="268"/>
      <c r="QMQ585" s="268"/>
      <c r="QMR585" s="268"/>
      <c r="QMS585" s="268"/>
      <c r="QMT585" s="268"/>
      <c r="QMU585" s="268"/>
      <c r="QMV585" s="268"/>
      <c r="QMW585" s="268"/>
      <c r="QMX585" s="268"/>
      <c r="QMY585" s="268"/>
      <c r="QMZ585" s="268"/>
      <c r="QNA585" s="268"/>
      <c r="QNB585" s="268"/>
      <c r="QNC585" s="268"/>
      <c r="QND585" s="268"/>
      <c r="QNE585" s="268"/>
      <c r="QNF585" s="268"/>
      <c r="QNG585" s="268"/>
      <c r="QNH585" s="268"/>
      <c r="QNI585" s="268"/>
      <c r="QNJ585" s="268"/>
      <c r="QNK585" s="268"/>
      <c r="QNL585" s="268"/>
      <c r="QNM585" s="268"/>
      <c r="QNN585" s="268"/>
      <c r="QNO585" s="268"/>
      <c r="QNP585" s="268"/>
      <c r="QNQ585" s="268"/>
      <c r="QNR585" s="268"/>
      <c r="QNS585" s="268"/>
      <c r="QNT585" s="268"/>
      <c r="QNU585" s="268"/>
      <c r="QNV585" s="268"/>
      <c r="QNW585" s="268"/>
      <c r="QNX585" s="268"/>
      <c r="QNY585" s="268"/>
      <c r="QNZ585" s="268"/>
      <c r="QOA585" s="268"/>
      <c r="QOB585" s="268"/>
      <c r="QOC585" s="268"/>
      <c r="QOD585" s="268"/>
      <c r="QOE585" s="268"/>
      <c r="QOF585" s="268"/>
      <c r="QOG585" s="268"/>
      <c r="QOH585" s="268"/>
      <c r="QOI585" s="268"/>
      <c r="QOJ585" s="268"/>
      <c r="QOK585" s="268"/>
      <c r="QOL585" s="268"/>
      <c r="QOM585" s="268"/>
      <c r="QON585" s="268"/>
      <c r="QOO585" s="268"/>
      <c r="QOP585" s="268"/>
      <c r="QOQ585" s="268"/>
      <c r="QOR585" s="268"/>
      <c r="QOS585" s="268"/>
      <c r="QOT585" s="268"/>
      <c r="QOU585" s="268"/>
      <c r="QOV585" s="268"/>
      <c r="QOW585" s="268"/>
      <c r="QOX585" s="268"/>
      <c r="QOY585" s="268"/>
      <c r="QOZ585" s="268"/>
      <c r="QPA585" s="268"/>
      <c r="QPB585" s="268"/>
      <c r="QPC585" s="268"/>
      <c r="QPD585" s="268"/>
      <c r="QPE585" s="268"/>
      <c r="QPF585" s="268"/>
      <c r="QPG585" s="268"/>
      <c r="QPH585" s="268"/>
      <c r="QPI585" s="268"/>
      <c r="QPJ585" s="268"/>
      <c r="QPK585" s="268"/>
      <c r="QPL585" s="268"/>
      <c r="QPM585" s="268"/>
      <c r="QPN585" s="268"/>
      <c r="QPO585" s="268"/>
      <c r="QPP585" s="268"/>
      <c r="QPQ585" s="268"/>
      <c r="QPR585" s="268"/>
      <c r="QPS585" s="268"/>
      <c r="QPT585" s="268"/>
      <c r="QPU585" s="268"/>
      <c r="QPV585" s="268"/>
      <c r="QPW585" s="268"/>
      <c r="QPX585" s="268"/>
      <c r="QPY585" s="268"/>
      <c r="QPZ585" s="268"/>
      <c r="QQA585" s="268"/>
      <c r="QQB585" s="268"/>
      <c r="QQC585" s="268"/>
      <c r="QQD585" s="268"/>
      <c r="QQE585" s="268"/>
      <c r="QQF585" s="268"/>
      <c r="QQG585" s="268"/>
      <c r="QQH585" s="268"/>
      <c r="QQI585" s="268"/>
      <c r="QQJ585" s="268"/>
      <c r="QQK585" s="268"/>
      <c r="QQL585" s="268"/>
      <c r="QQM585" s="268"/>
      <c r="QQN585" s="268"/>
      <c r="QQO585" s="268"/>
      <c r="QQP585" s="268"/>
      <c r="QQQ585" s="268"/>
      <c r="QQR585" s="268"/>
      <c r="QQS585" s="268"/>
      <c r="QQT585" s="268"/>
      <c r="QQU585" s="268"/>
      <c r="QQV585" s="268"/>
      <c r="QQW585" s="268"/>
      <c r="QQX585" s="268"/>
      <c r="QQY585" s="268"/>
      <c r="QQZ585" s="268"/>
      <c r="QRA585" s="268"/>
      <c r="QRB585" s="268"/>
      <c r="QRC585" s="268"/>
      <c r="QRD585" s="268"/>
      <c r="QRE585" s="268"/>
      <c r="QRF585" s="268"/>
      <c r="QRG585" s="268"/>
      <c r="QRH585" s="268"/>
      <c r="QRI585" s="268"/>
      <c r="QRJ585" s="268"/>
      <c r="QRK585" s="268"/>
      <c r="QRL585" s="268"/>
      <c r="QRM585" s="268"/>
      <c r="QRN585" s="268"/>
      <c r="QRO585" s="268"/>
      <c r="QRP585" s="268"/>
      <c r="QRQ585" s="268"/>
      <c r="QRR585" s="268"/>
      <c r="QRS585" s="268"/>
      <c r="QRT585" s="268"/>
      <c r="QRU585" s="268"/>
      <c r="QRV585" s="268"/>
      <c r="QRW585" s="268"/>
      <c r="QRX585" s="268"/>
      <c r="QRY585" s="268"/>
      <c r="QRZ585" s="268"/>
      <c r="QSA585" s="268"/>
      <c r="QSB585" s="268"/>
      <c r="QSC585" s="268"/>
      <c r="QSD585" s="268"/>
      <c r="QSE585" s="268"/>
      <c r="QSF585" s="268"/>
      <c r="QSG585" s="268"/>
      <c r="QSH585" s="268"/>
      <c r="QSI585" s="268"/>
      <c r="QSJ585" s="268"/>
      <c r="QSK585" s="268"/>
      <c r="QSL585" s="268"/>
      <c r="QSM585" s="268"/>
      <c r="QSN585" s="268"/>
      <c r="QSO585" s="268"/>
      <c r="QSP585" s="268"/>
      <c r="QSQ585" s="268"/>
      <c r="QSR585" s="268"/>
      <c r="QSS585" s="268"/>
      <c r="QST585" s="268"/>
      <c r="QSU585" s="268"/>
      <c r="QSV585" s="268"/>
      <c r="QSW585" s="268"/>
      <c r="QSX585" s="268"/>
      <c r="QSY585" s="268"/>
      <c r="QSZ585" s="268"/>
      <c r="QTA585" s="268"/>
      <c r="QTB585" s="268"/>
      <c r="QTC585" s="268"/>
      <c r="QTD585" s="268"/>
      <c r="QTE585" s="268"/>
      <c r="QTF585" s="268"/>
      <c r="QTG585" s="268"/>
      <c r="QTH585" s="268"/>
      <c r="QTI585" s="268"/>
      <c r="QTJ585" s="268"/>
      <c r="QTK585" s="268"/>
      <c r="QTY585" s="268"/>
      <c r="QTZ585" s="268"/>
      <c r="QUA585" s="268"/>
      <c r="QUO585" s="268"/>
      <c r="QUQ585" s="268"/>
      <c r="QUR585" s="268"/>
      <c r="QUS585" s="268"/>
      <c r="QUT585" s="268"/>
      <c r="QUU585" s="268"/>
      <c r="QUV585" s="268"/>
      <c r="QUW585" s="268"/>
      <c r="QUX585" s="268"/>
      <c r="QUY585" s="268"/>
      <c r="QUZ585" s="268"/>
      <c r="QVA585" s="268"/>
      <c r="QVB585" s="268"/>
      <c r="QVC585" s="268"/>
      <c r="QVD585" s="268"/>
      <c r="QVE585" s="268"/>
      <c r="QVF585" s="268"/>
      <c r="QVG585" s="268"/>
      <c r="QVH585" s="268"/>
      <c r="QVI585" s="268"/>
      <c r="QVJ585" s="268"/>
      <c r="QVK585" s="268"/>
      <c r="QVL585" s="268"/>
      <c r="QVM585" s="268"/>
      <c r="QVN585" s="268"/>
      <c r="QVO585" s="268"/>
      <c r="QVP585" s="268"/>
      <c r="QVQ585" s="268"/>
      <c r="QVR585" s="268"/>
      <c r="QVS585" s="268"/>
      <c r="QVT585" s="268"/>
      <c r="QVU585" s="268"/>
      <c r="QVV585" s="268"/>
      <c r="QVW585" s="268"/>
      <c r="QVX585" s="268"/>
      <c r="QVY585" s="268"/>
      <c r="QVZ585" s="268"/>
      <c r="QWA585" s="268"/>
      <c r="QWB585" s="268"/>
      <c r="QWC585" s="268"/>
      <c r="QWD585" s="268"/>
      <c r="QWE585" s="268"/>
      <c r="QWF585" s="268"/>
      <c r="QWG585" s="268"/>
      <c r="QWH585" s="268"/>
      <c r="QWI585" s="268"/>
      <c r="QWJ585" s="268"/>
      <c r="QWK585" s="268"/>
      <c r="QWL585" s="268"/>
      <c r="QWM585" s="268"/>
      <c r="QWN585" s="268"/>
      <c r="QWO585" s="268"/>
      <c r="QWP585" s="268"/>
      <c r="QWQ585" s="268"/>
      <c r="QWR585" s="268"/>
      <c r="QWS585" s="268"/>
      <c r="QWT585" s="268"/>
      <c r="QWU585" s="268"/>
      <c r="QWV585" s="268"/>
      <c r="QWW585" s="268"/>
      <c r="QWX585" s="268"/>
      <c r="QWY585" s="268"/>
      <c r="QWZ585" s="268"/>
      <c r="QXA585" s="268"/>
      <c r="QXB585" s="268"/>
      <c r="QXC585" s="268"/>
      <c r="QXD585" s="268"/>
      <c r="QXE585" s="268"/>
      <c r="QXF585" s="268"/>
      <c r="QXG585" s="268"/>
      <c r="QXH585" s="268"/>
      <c r="QXI585" s="268"/>
      <c r="QXJ585" s="268"/>
      <c r="QXK585" s="268"/>
      <c r="QXL585" s="268"/>
      <c r="QXM585" s="268"/>
      <c r="QXN585" s="268"/>
      <c r="QXO585" s="268"/>
      <c r="QXP585" s="268"/>
      <c r="QXQ585" s="268"/>
      <c r="QXR585" s="268"/>
      <c r="QXS585" s="268"/>
      <c r="QXT585" s="268"/>
      <c r="QXU585" s="268"/>
      <c r="QXV585" s="268"/>
      <c r="QXW585" s="268"/>
      <c r="QXX585" s="268"/>
      <c r="QXY585" s="268"/>
      <c r="QXZ585" s="268"/>
      <c r="QYA585" s="268"/>
      <c r="QYB585" s="268"/>
      <c r="QYC585" s="268"/>
      <c r="QYD585" s="268"/>
      <c r="QYE585" s="268"/>
      <c r="QYF585" s="268"/>
      <c r="QYG585" s="268"/>
      <c r="QYH585" s="268"/>
      <c r="QYI585" s="268"/>
      <c r="QYJ585" s="268"/>
      <c r="QYK585" s="268"/>
      <c r="QYL585" s="268"/>
      <c r="QYM585" s="268"/>
      <c r="QYN585" s="268"/>
      <c r="QYO585" s="268"/>
      <c r="QYP585" s="268"/>
      <c r="QYQ585" s="268"/>
      <c r="QYR585" s="268"/>
      <c r="QYS585" s="268"/>
      <c r="QYT585" s="268"/>
      <c r="QYU585" s="268"/>
      <c r="QYV585" s="268"/>
      <c r="QYW585" s="268"/>
      <c r="QYX585" s="268"/>
      <c r="QYY585" s="268"/>
      <c r="QYZ585" s="268"/>
      <c r="QZA585" s="268"/>
      <c r="QZB585" s="268"/>
      <c r="QZC585" s="268"/>
      <c r="QZD585" s="268"/>
      <c r="QZE585" s="268"/>
      <c r="QZF585" s="268"/>
      <c r="QZG585" s="268"/>
      <c r="QZH585" s="268"/>
      <c r="QZI585" s="268"/>
      <c r="QZJ585" s="268"/>
      <c r="QZK585" s="268"/>
      <c r="QZL585" s="268"/>
      <c r="QZM585" s="268"/>
      <c r="QZN585" s="268"/>
      <c r="QZO585" s="268"/>
      <c r="QZP585" s="268"/>
      <c r="QZQ585" s="268"/>
      <c r="QZR585" s="268"/>
      <c r="QZS585" s="268"/>
      <c r="QZT585" s="268"/>
      <c r="QZU585" s="268"/>
      <c r="QZV585" s="268"/>
      <c r="QZW585" s="268"/>
      <c r="QZX585" s="268"/>
      <c r="QZY585" s="268"/>
      <c r="QZZ585" s="268"/>
      <c r="RAA585" s="268"/>
      <c r="RAB585" s="268"/>
      <c r="RAC585" s="268"/>
      <c r="RAD585" s="268"/>
      <c r="RAE585" s="268"/>
      <c r="RAF585" s="268"/>
      <c r="RAG585" s="268"/>
      <c r="RAH585" s="268"/>
      <c r="RAI585" s="268"/>
      <c r="RAJ585" s="268"/>
      <c r="RAK585" s="268"/>
      <c r="RAL585" s="268"/>
      <c r="RAM585" s="268"/>
      <c r="RAN585" s="268"/>
      <c r="RAO585" s="268"/>
      <c r="RAP585" s="268"/>
      <c r="RAQ585" s="268"/>
      <c r="RAR585" s="268"/>
      <c r="RAS585" s="268"/>
      <c r="RAT585" s="268"/>
      <c r="RAU585" s="268"/>
      <c r="RAV585" s="268"/>
      <c r="RAW585" s="268"/>
      <c r="RAX585" s="268"/>
      <c r="RAY585" s="268"/>
      <c r="RAZ585" s="268"/>
      <c r="RBA585" s="268"/>
      <c r="RBB585" s="268"/>
      <c r="RBC585" s="268"/>
      <c r="RBD585" s="268"/>
      <c r="RBE585" s="268"/>
      <c r="RBF585" s="268"/>
      <c r="RBG585" s="268"/>
      <c r="RBH585" s="268"/>
      <c r="RBI585" s="268"/>
      <c r="RBJ585" s="268"/>
      <c r="RBK585" s="268"/>
      <c r="RBL585" s="268"/>
      <c r="RBM585" s="268"/>
      <c r="RBN585" s="268"/>
      <c r="RBO585" s="268"/>
      <c r="RBP585" s="268"/>
      <c r="RBQ585" s="268"/>
      <c r="RBR585" s="268"/>
      <c r="RBS585" s="268"/>
      <c r="RBT585" s="268"/>
      <c r="RBU585" s="268"/>
      <c r="RBV585" s="268"/>
      <c r="RBW585" s="268"/>
      <c r="RBX585" s="268"/>
      <c r="RBY585" s="268"/>
      <c r="RBZ585" s="268"/>
      <c r="RCA585" s="268"/>
      <c r="RCB585" s="268"/>
      <c r="RCC585" s="268"/>
      <c r="RCD585" s="268"/>
      <c r="RCE585" s="268"/>
      <c r="RCF585" s="268"/>
      <c r="RCG585" s="268"/>
      <c r="RCH585" s="268"/>
      <c r="RCI585" s="268"/>
      <c r="RCJ585" s="268"/>
      <c r="RCK585" s="268"/>
      <c r="RCL585" s="268"/>
      <c r="RCM585" s="268"/>
      <c r="RCN585" s="268"/>
      <c r="RCO585" s="268"/>
      <c r="RCP585" s="268"/>
      <c r="RCQ585" s="268"/>
      <c r="RCR585" s="268"/>
      <c r="RCS585" s="268"/>
      <c r="RCT585" s="268"/>
      <c r="RCU585" s="268"/>
      <c r="RCV585" s="268"/>
      <c r="RCW585" s="268"/>
      <c r="RCX585" s="268"/>
      <c r="RCY585" s="268"/>
      <c r="RCZ585" s="268"/>
      <c r="RDA585" s="268"/>
      <c r="RDB585" s="268"/>
      <c r="RDC585" s="268"/>
      <c r="RDD585" s="268"/>
      <c r="RDE585" s="268"/>
      <c r="RDF585" s="268"/>
      <c r="RDG585" s="268"/>
      <c r="RDU585" s="268"/>
      <c r="RDV585" s="268"/>
      <c r="RDW585" s="268"/>
      <c r="REK585" s="268"/>
      <c r="REM585" s="268"/>
      <c r="REN585" s="268"/>
      <c r="REO585" s="268"/>
      <c r="REP585" s="268"/>
      <c r="REQ585" s="268"/>
      <c r="RER585" s="268"/>
      <c r="RES585" s="268"/>
      <c r="RET585" s="268"/>
      <c r="REU585" s="268"/>
      <c r="REV585" s="268"/>
      <c r="REW585" s="268"/>
      <c r="REX585" s="268"/>
      <c r="REY585" s="268"/>
      <c r="REZ585" s="268"/>
      <c r="RFA585" s="268"/>
      <c r="RFB585" s="268"/>
      <c r="RFC585" s="268"/>
      <c r="RFD585" s="268"/>
      <c r="RFE585" s="268"/>
      <c r="RFF585" s="268"/>
      <c r="RFG585" s="268"/>
      <c r="RFH585" s="268"/>
      <c r="RFI585" s="268"/>
      <c r="RFJ585" s="268"/>
      <c r="RFK585" s="268"/>
      <c r="RFL585" s="268"/>
      <c r="RFM585" s="268"/>
      <c r="RFN585" s="268"/>
      <c r="RFO585" s="268"/>
      <c r="RFP585" s="268"/>
      <c r="RFQ585" s="268"/>
      <c r="RFR585" s="268"/>
      <c r="RFS585" s="268"/>
      <c r="RFT585" s="268"/>
      <c r="RFU585" s="268"/>
      <c r="RFV585" s="268"/>
      <c r="RFW585" s="268"/>
      <c r="RFX585" s="268"/>
      <c r="RFY585" s="268"/>
      <c r="RFZ585" s="268"/>
      <c r="RGA585" s="268"/>
      <c r="RGB585" s="268"/>
      <c r="RGC585" s="268"/>
      <c r="RGD585" s="268"/>
      <c r="RGE585" s="268"/>
      <c r="RGF585" s="268"/>
      <c r="RGG585" s="268"/>
      <c r="RGH585" s="268"/>
      <c r="RGI585" s="268"/>
      <c r="RGJ585" s="268"/>
      <c r="RGK585" s="268"/>
      <c r="RGL585" s="268"/>
      <c r="RGM585" s="268"/>
      <c r="RGN585" s="268"/>
      <c r="RGO585" s="268"/>
      <c r="RGP585" s="268"/>
      <c r="RGQ585" s="268"/>
      <c r="RGR585" s="268"/>
      <c r="RGS585" s="268"/>
      <c r="RGT585" s="268"/>
      <c r="RGU585" s="268"/>
      <c r="RGV585" s="268"/>
      <c r="RGW585" s="268"/>
      <c r="RGX585" s="268"/>
      <c r="RGY585" s="268"/>
      <c r="RGZ585" s="268"/>
      <c r="RHA585" s="268"/>
      <c r="RHB585" s="268"/>
      <c r="RHC585" s="268"/>
      <c r="RHD585" s="268"/>
      <c r="RHE585" s="268"/>
      <c r="RHF585" s="268"/>
      <c r="RHG585" s="268"/>
      <c r="RHH585" s="268"/>
      <c r="RHI585" s="268"/>
      <c r="RHJ585" s="268"/>
      <c r="RHK585" s="268"/>
      <c r="RHL585" s="268"/>
      <c r="RHM585" s="268"/>
      <c r="RHN585" s="268"/>
      <c r="RHO585" s="268"/>
      <c r="RHP585" s="268"/>
      <c r="RHQ585" s="268"/>
      <c r="RHR585" s="268"/>
      <c r="RHS585" s="268"/>
      <c r="RHT585" s="268"/>
      <c r="RHU585" s="268"/>
      <c r="RHV585" s="268"/>
      <c r="RHW585" s="268"/>
      <c r="RHX585" s="268"/>
      <c r="RHY585" s="268"/>
      <c r="RHZ585" s="268"/>
      <c r="RIA585" s="268"/>
      <c r="RIB585" s="268"/>
      <c r="RIC585" s="268"/>
      <c r="RID585" s="268"/>
      <c r="RIE585" s="268"/>
      <c r="RIF585" s="268"/>
      <c r="RIG585" s="268"/>
      <c r="RIH585" s="268"/>
      <c r="RII585" s="268"/>
      <c r="RIJ585" s="268"/>
      <c r="RIK585" s="268"/>
      <c r="RIL585" s="268"/>
      <c r="RIM585" s="268"/>
      <c r="RIN585" s="268"/>
      <c r="RIO585" s="268"/>
      <c r="RIP585" s="268"/>
      <c r="RIQ585" s="268"/>
      <c r="RIR585" s="268"/>
      <c r="RIS585" s="268"/>
      <c r="RIT585" s="268"/>
      <c r="RIU585" s="268"/>
      <c r="RIV585" s="268"/>
      <c r="RIW585" s="268"/>
      <c r="RIX585" s="268"/>
      <c r="RIY585" s="268"/>
      <c r="RIZ585" s="268"/>
      <c r="RJA585" s="268"/>
      <c r="RJB585" s="268"/>
      <c r="RJC585" s="268"/>
      <c r="RJD585" s="268"/>
      <c r="RJE585" s="268"/>
      <c r="RJF585" s="268"/>
      <c r="RJG585" s="268"/>
      <c r="RJH585" s="268"/>
      <c r="RJI585" s="268"/>
      <c r="RJJ585" s="268"/>
      <c r="RJK585" s="268"/>
      <c r="RJL585" s="268"/>
      <c r="RJM585" s="268"/>
      <c r="RJN585" s="268"/>
      <c r="RJO585" s="268"/>
      <c r="RJP585" s="268"/>
      <c r="RJQ585" s="268"/>
      <c r="RJR585" s="268"/>
      <c r="RJS585" s="268"/>
      <c r="RJT585" s="268"/>
      <c r="RJU585" s="268"/>
      <c r="RJV585" s="268"/>
      <c r="RJW585" s="268"/>
      <c r="RJX585" s="268"/>
      <c r="RJY585" s="268"/>
      <c r="RJZ585" s="268"/>
      <c r="RKA585" s="268"/>
      <c r="RKB585" s="268"/>
      <c r="RKC585" s="268"/>
      <c r="RKD585" s="268"/>
      <c r="RKE585" s="268"/>
      <c r="RKF585" s="268"/>
      <c r="RKG585" s="268"/>
      <c r="RKH585" s="268"/>
      <c r="RKI585" s="268"/>
      <c r="RKJ585" s="268"/>
      <c r="RKK585" s="268"/>
      <c r="RKL585" s="268"/>
      <c r="RKM585" s="268"/>
      <c r="RKN585" s="268"/>
      <c r="RKO585" s="268"/>
      <c r="RKP585" s="268"/>
      <c r="RKQ585" s="268"/>
      <c r="RKR585" s="268"/>
      <c r="RKS585" s="268"/>
      <c r="RKT585" s="268"/>
      <c r="RKU585" s="268"/>
      <c r="RKV585" s="268"/>
      <c r="RKW585" s="268"/>
      <c r="RKX585" s="268"/>
      <c r="RKY585" s="268"/>
      <c r="RKZ585" s="268"/>
      <c r="RLA585" s="268"/>
      <c r="RLB585" s="268"/>
      <c r="RLC585" s="268"/>
      <c r="RLD585" s="268"/>
      <c r="RLE585" s="268"/>
      <c r="RLF585" s="268"/>
      <c r="RLG585" s="268"/>
      <c r="RLH585" s="268"/>
      <c r="RLI585" s="268"/>
      <c r="RLJ585" s="268"/>
      <c r="RLK585" s="268"/>
      <c r="RLL585" s="268"/>
      <c r="RLM585" s="268"/>
      <c r="RLN585" s="268"/>
      <c r="RLO585" s="268"/>
      <c r="RLP585" s="268"/>
      <c r="RLQ585" s="268"/>
      <c r="RLR585" s="268"/>
      <c r="RLS585" s="268"/>
      <c r="RLT585" s="268"/>
      <c r="RLU585" s="268"/>
      <c r="RLV585" s="268"/>
      <c r="RLW585" s="268"/>
      <c r="RLX585" s="268"/>
      <c r="RLY585" s="268"/>
      <c r="RLZ585" s="268"/>
      <c r="RMA585" s="268"/>
      <c r="RMB585" s="268"/>
      <c r="RMC585" s="268"/>
      <c r="RMD585" s="268"/>
      <c r="RME585" s="268"/>
      <c r="RMF585" s="268"/>
      <c r="RMG585" s="268"/>
      <c r="RMH585" s="268"/>
      <c r="RMI585" s="268"/>
      <c r="RMJ585" s="268"/>
      <c r="RMK585" s="268"/>
      <c r="RML585" s="268"/>
      <c r="RMM585" s="268"/>
      <c r="RMN585" s="268"/>
      <c r="RMO585" s="268"/>
      <c r="RMP585" s="268"/>
      <c r="RMQ585" s="268"/>
      <c r="RMR585" s="268"/>
      <c r="RMS585" s="268"/>
      <c r="RMT585" s="268"/>
      <c r="RMU585" s="268"/>
      <c r="RMV585" s="268"/>
      <c r="RMW585" s="268"/>
      <c r="RMX585" s="268"/>
      <c r="RMY585" s="268"/>
      <c r="RMZ585" s="268"/>
      <c r="RNA585" s="268"/>
      <c r="RNB585" s="268"/>
      <c r="RNC585" s="268"/>
      <c r="RNQ585" s="268"/>
      <c r="RNR585" s="268"/>
      <c r="RNS585" s="268"/>
      <c r="ROG585" s="268"/>
      <c r="ROI585" s="268"/>
      <c r="ROJ585" s="268"/>
      <c r="ROK585" s="268"/>
      <c r="ROL585" s="268"/>
      <c r="ROM585" s="268"/>
      <c r="RON585" s="268"/>
      <c r="ROO585" s="268"/>
      <c r="ROP585" s="268"/>
      <c r="ROQ585" s="268"/>
      <c r="ROR585" s="268"/>
      <c r="ROS585" s="268"/>
      <c r="ROT585" s="268"/>
      <c r="ROU585" s="268"/>
      <c r="ROV585" s="268"/>
      <c r="ROW585" s="268"/>
      <c r="ROX585" s="268"/>
      <c r="ROY585" s="268"/>
      <c r="ROZ585" s="268"/>
      <c r="RPA585" s="268"/>
      <c r="RPB585" s="268"/>
      <c r="RPC585" s="268"/>
      <c r="RPD585" s="268"/>
      <c r="RPE585" s="268"/>
      <c r="RPF585" s="268"/>
      <c r="RPG585" s="268"/>
      <c r="RPH585" s="268"/>
      <c r="RPI585" s="268"/>
      <c r="RPJ585" s="268"/>
      <c r="RPK585" s="268"/>
      <c r="RPL585" s="268"/>
      <c r="RPM585" s="268"/>
      <c r="RPN585" s="268"/>
      <c r="RPO585" s="268"/>
      <c r="RPP585" s="268"/>
      <c r="RPQ585" s="268"/>
      <c r="RPR585" s="268"/>
      <c r="RPS585" s="268"/>
      <c r="RPT585" s="268"/>
      <c r="RPU585" s="268"/>
      <c r="RPV585" s="268"/>
      <c r="RPW585" s="268"/>
      <c r="RPX585" s="268"/>
      <c r="RPY585" s="268"/>
      <c r="RPZ585" s="268"/>
      <c r="RQA585" s="268"/>
      <c r="RQB585" s="268"/>
      <c r="RQC585" s="268"/>
      <c r="RQD585" s="268"/>
      <c r="RQE585" s="268"/>
      <c r="RQF585" s="268"/>
      <c r="RQG585" s="268"/>
      <c r="RQH585" s="268"/>
      <c r="RQI585" s="268"/>
      <c r="RQJ585" s="268"/>
      <c r="RQK585" s="268"/>
      <c r="RQL585" s="268"/>
      <c r="RQM585" s="268"/>
      <c r="RQN585" s="268"/>
      <c r="RQO585" s="268"/>
      <c r="RQP585" s="268"/>
      <c r="RQQ585" s="268"/>
      <c r="RQR585" s="268"/>
      <c r="RQS585" s="268"/>
      <c r="RQT585" s="268"/>
      <c r="RQU585" s="268"/>
      <c r="RQV585" s="268"/>
      <c r="RQW585" s="268"/>
      <c r="RQX585" s="268"/>
      <c r="RQY585" s="268"/>
      <c r="RQZ585" s="268"/>
      <c r="RRA585" s="268"/>
      <c r="RRB585" s="268"/>
      <c r="RRC585" s="268"/>
      <c r="RRD585" s="268"/>
      <c r="RRE585" s="268"/>
      <c r="RRF585" s="268"/>
      <c r="RRG585" s="268"/>
      <c r="RRH585" s="268"/>
      <c r="RRI585" s="268"/>
      <c r="RRJ585" s="268"/>
      <c r="RRK585" s="268"/>
      <c r="RRL585" s="268"/>
      <c r="RRM585" s="268"/>
      <c r="RRN585" s="268"/>
      <c r="RRO585" s="268"/>
      <c r="RRP585" s="268"/>
      <c r="RRQ585" s="268"/>
      <c r="RRR585" s="268"/>
      <c r="RRS585" s="268"/>
      <c r="RRT585" s="268"/>
      <c r="RRU585" s="268"/>
      <c r="RRV585" s="268"/>
      <c r="RRW585" s="268"/>
      <c r="RRX585" s="268"/>
      <c r="RRY585" s="268"/>
      <c r="RRZ585" s="268"/>
      <c r="RSA585" s="268"/>
      <c r="RSB585" s="268"/>
      <c r="RSC585" s="268"/>
      <c r="RSD585" s="268"/>
      <c r="RSE585" s="268"/>
      <c r="RSF585" s="268"/>
      <c r="RSG585" s="268"/>
      <c r="RSH585" s="268"/>
      <c r="RSI585" s="268"/>
      <c r="RSJ585" s="268"/>
      <c r="RSK585" s="268"/>
      <c r="RSL585" s="268"/>
      <c r="RSM585" s="268"/>
      <c r="RSN585" s="268"/>
      <c r="RSO585" s="268"/>
      <c r="RSP585" s="268"/>
      <c r="RSQ585" s="268"/>
      <c r="RSR585" s="268"/>
      <c r="RSS585" s="268"/>
      <c r="RST585" s="268"/>
      <c r="RSU585" s="268"/>
      <c r="RSV585" s="268"/>
      <c r="RSW585" s="268"/>
      <c r="RSX585" s="268"/>
      <c r="RSY585" s="268"/>
      <c r="RSZ585" s="268"/>
      <c r="RTA585" s="268"/>
      <c r="RTB585" s="268"/>
      <c r="RTC585" s="268"/>
      <c r="RTD585" s="268"/>
      <c r="RTE585" s="268"/>
      <c r="RTF585" s="268"/>
      <c r="RTG585" s="268"/>
      <c r="RTH585" s="268"/>
      <c r="RTI585" s="268"/>
      <c r="RTJ585" s="268"/>
      <c r="RTK585" s="268"/>
      <c r="RTL585" s="268"/>
      <c r="RTM585" s="268"/>
      <c r="RTN585" s="268"/>
      <c r="RTO585" s="268"/>
      <c r="RTP585" s="268"/>
      <c r="RTQ585" s="268"/>
      <c r="RTR585" s="268"/>
      <c r="RTS585" s="268"/>
      <c r="RTT585" s="268"/>
      <c r="RTU585" s="268"/>
      <c r="RTV585" s="268"/>
      <c r="RTW585" s="268"/>
      <c r="RTX585" s="268"/>
      <c r="RTY585" s="268"/>
      <c r="RTZ585" s="268"/>
      <c r="RUA585" s="268"/>
      <c r="RUB585" s="268"/>
      <c r="RUC585" s="268"/>
      <c r="RUD585" s="268"/>
      <c r="RUE585" s="268"/>
      <c r="RUF585" s="268"/>
      <c r="RUG585" s="268"/>
      <c r="RUH585" s="268"/>
      <c r="RUI585" s="268"/>
      <c r="RUJ585" s="268"/>
      <c r="RUK585" s="268"/>
      <c r="RUL585" s="268"/>
      <c r="RUM585" s="268"/>
      <c r="RUN585" s="268"/>
      <c r="RUO585" s="268"/>
      <c r="RUP585" s="268"/>
      <c r="RUQ585" s="268"/>
      <c r="RUR585" s="268"/>
      <c r="RUS585" s="268"/>
      <c r="RUT585" s="268"/>
      <c r="RUU585" s="268"/>
      <c r="RUV585" s="268"/>
      <c r="RUW585" s="268"/>
      <c r="RUX585" s="268"/>
      <c r="RUY585" s="268"/>
      <c r="RUZ585" s="268"/>
      <c r="RVA585" s="268"/>
      <c r="RVB585" s="268"/>
      <c r="RVC585" s="268"/>
      <c r="RVD585" s="268"/>
      <c r="RVE585" s="268"/>
      <c r="RVF585" s="268"/>
      <c r="RVG585" s="268"/>
      <c r="RVH585" s="268"/>
      <c r="RVI585" s="268"/>
      <c r="RVJ585" s="268"/>
      <c r="RVK585" s="268"/>
      <c r="RVL585" s="268"/>
      <c r="RVM585" s="268"/>
      <c r="RVN585" s="268"/>
      <c r="RVO585" s="268"/>
      <c r="RVP585" s="268"/>
      <c r="RVQ585" s="268"/>
      <c r="RVR585" s="268"/>
      <c r="RVS585" s="268"/>
      <c r="RVT585" s="268"/>
      <c r="RVU585" s="268"/>
      <c r="RVV585" s="268"/>
      <c r="RVW585" s="268"/>
      <c r="RVX585" s="268"/>
      <c r="RVY585" s="268"/>
      <c r="RVZ585" s="268"/>
      <c r="RWA585" s="268"/>
      <c r="RWB585" s="268"/>
      <c r="RWC585" s="268"/>
      <c r="RWD585" s="268"/>
      <c r="RWE585" s="268"/>
      <c r="RWF585" s="268"/>
      <c r="RWG585" s="268"/>
      <c r="RWH585" s="268"/>
      <c r="RWI585" s="268"/>
      <c r="RWJ585" s="268"/>
      <c r="RWK585" s="268"/>
      <c r="RWL585" s="268"/>
      <c r="RWM585" s="268"/>
      <c r="RWN585" s="268"/>
      <c r="RWO585" s="268"/>
      <c r="RWP585" s="268"/>
      <c r="RWQ585" s="268"/>
      <c r="RWR585" s="268"/>
      <c r="RWS585" s="268"/>
      <c r="RWT585" s="268"/>
      <c r="RWU585" s="268"/>
      <c r="RWV585" s="268"/>
      <c r="RWW585" s="268"/>
      <c r="RWX585" s="268"/>
      <c r="RWY585" s="268"/>
      <c r="RXM585" s="268"/>
      <c r="RXN585" s="268"/>
      <c r="RXO585" s="268"/>
      <c r="RYC585" s="268"/>
      <c r="RYE585" s="268"/>
      <c r="RYF585" s="268"/>
      <c r="RYG585" s="268"/>
      <c r="RYH585" s="268"/>
      <c r="RYI585" s="268"/>
      <c r="RYJ585" s="268"/>
      <c r="RYK585" s="268"/>
      <c r="RYL585" s="268"/>
      <c r="RYM585" s="268"/>
      <c r="RYN585" s="268"/>
      <c r="RYO585" s="268"/>
      <c r="RYP585" s="268"/>
      <c r="RYQ585" s="268"/>
      <c r="RYR585" s="268"/>
      <c r="RYS585" s="268"/>
      <c r="RYT585" s="268"/>
      <c r="RYU585" s="268"/>
      <c r="RYV585" s="268"/>
      <c r="RYW585" s="268"/>
      <c r="RYX585" s="268"/>
      <c r="RYY585" s="268"/>
      <c r="RYZ585" s="268"/>
      <c r="RZA585" s="268"/>
      <c r="RZB585" s="268"/>
      <c r="RZC585" s="268"/>
      <c r="RZD585" s="268"/>
      <c r="RZE585" s="268"/>
      <c r="RZF585" s="268"/>
      <c r="RZG585" s="268"/>
      <c r="RZH585" s="268"/>
      <c r="RZI585" s="268"/>
      <c r="RZJ585" s="268"/>
      <c r="RZK585" s="268"/>
      <c r="RZL585" s="268"/>
      <c r="RZM585" s="268"/>
      <c r="RZN585" s="268"/>
      <c r="RZO585" s="268"/>
      <c r="RZP585" s="268"/>
      <c r="RZQ585" s="268"/>
      <c r="RZR585" s="268"/>
      <c r="RZS585" s="268"/>
      <c r="RZT585" s="268"/>
      <c r="RZU585" s="268"/>
      <c r="RZV585" s="268"/>
      <c r="RZW585" s="268"/>
      <c r="RZX585" s="268"/>
      <c r="RZY585" s="268"/>
      <c r="RZZ585" s="268"/>
      <c r="SAA585" s="268"/>
      <c r="SAB585" s="268"/>
      <c r="SAC585" s="268"/>
      <c r="SAD585" s="268"/>
      <c r="SAE585" s="268"/>
      <c r="SAF585" s="268"/>
      <c r="SAG585" s="268"/>
      <c r="SAH585" s="268"/>
      <c r="SAI585" s="268"/>
      <c r="SAJ585" s="268"/>
      <c r="SAK585" s="268"/>
      <c r="SAL585" s="268"/>
      <c r="SAM585" s="268"/>
      <c r="SAN585" s="268"/>
      <c r="SAO585" s="268"/>
      <c r="SAP585" s="268"/>
      <c r="SAQ585" s="268"/>
      <c r="SAR585" s="268"/>
      <c r="SAS585" s="268"/>
      <c r="SAT585" s="268"/>
      <c r="SAU585" s="268"/>
      <c r="SAV585" s="268"/>
      <c r="SAW585" s="268"/>
      <c r="SAX585" s="268"/>
      <c r="SAY585" s="268"/>
      <c r="SAZ585" s="268"/>
      <c r="SBA585" s="268"/>
      <c r="SBB585" s="268"/>
      <c r="SBC585" s="268"/>
      <c r="SBD585" s="268"/>
      <c r="SBE585" s="268"/>
      <c r="SBF585" s="268"/>
      <c r="SBG585" s="268"/>
      <c r="SBH585" s="268"/>
      <c r="SBI585" s="268"/>
      <c r="SBJ585" s="268"/>
      <c r="SBK585" s="268"/>
      <c r="SBL585" s="268"/>
      <c r="SBM585" s="268"/>
      <c r="SBN585" s="268"/>
      <c r="SBO585" s="268"/>
      <c r="SBP585" s="268"/>
      <c r="SBQ585" s="268"/>
      <c r="SBR585" s="268"/>
      <c r="SBS585" s="268"/>
      <c r="SBT585" s="268"/>
      <c r="SBU585" s="268"/>
      <c r="SBV585" s="268"/>
      <c r="SBW585" s="268"/>
      <c r="SBX585" s="268"/>
      <c r="SBY585" s="268"/>
      <c r="SBZ585" s="268"/>
      <c r="SCA585" s="268"/>
      <c r="SCB585" s="268"/>
      <c r="SCC585" s="268"/>
      <c r="SCD585" s="268"/>
      <c r="SCE585" s="268"/>
      <c r="SCF585" s="268"/>
      <c r="SCG585" s="268"/>
      <c r="SCH585" s="268"/>
      <c r="SCI585" s="268"/>
      <c r="SCJ585" s="268"/>
      <c r="SCK585" s="268"/>
      <c r="SCL585" s="268"/>
      <c r="SCM585" s="268"/>
      <c r="SCN585" s="268"/>
      <c r="SCO585" s="268"/>
      <c r="SCP585" s="268"/>
      <c r="SCQ585" s="268"/>
      <c r="SCR585" s="268"/>
      <c r="SCS585" s="268"/>
      <c r="SCT585" s="268"/>
      <c r="SCU585" s="268"/>
      <c r="SCV585" s="268"/>
      <c r="SCW585" s="268"/>
      <c r="SCX585" s="268"/>
      <c r="SCY585" s="268"/>
      <c r="SCZ585" s="268"/>
      <c r="SDA585" s="268"/>
      <c r="SDB585" s="268"/>
      <c r="SDC585" s="268"/>
      <c r="SDD585" s="268"/>
      <c r="SDE585" s="268"/>
      <c r="SDF585" s="268"/>
      <c r="SDG585" s="268"/>
      <c r="SDH585" s="268"/>
      <c r="SDI585" s="268"/>
      <c r="SDJ585" s="268"/>
      <c r="SDK585" s="268"/>
      <c r="SDL585" s="268"/>
      <c r="SDM585" s="268"/>
      <c r="SDN585" s="268"/>
      <c r="SDO585" s="268"/>
      <c r="SDP585" s="268"/>
      <c r="SDQ585" s="268"/>
      <c r="SDR585" s="268"/>
      <c r="SDS585" s="268"/>
      <c r="SDT585" s="268"/>
      <c r="SDU585" s="268"/>
      <c r="SDV585" s="268"/>
      <c r="SDW585" s="268"/>
      <c r="SDX585" s="268"/>
      <c r="SDY585" s="268"/>
      <c r="SDZ585" s="268"/>
      <c r="SEA585" s="268"/>
      <c r="SEB585" s="268"/>
      <c r="SEC585" s="268"/>
      <c r="SED585" s="268"/>
      <c r="SEE585" s="268"/>
      <c r="SEF585" s="268"/>
      <c r="SEG585" s="268"/>
      <c r="SEH585" s="268"/>
      <c r="SEI585" s="268"/>
      <c r="SEJ585" s="268"/>
      <c r="SEK585" s="268"/>
      <c r="SEL585" s="268"/>
      <c r="SEM585" s="268"/>
      <c r="SEN585" s="268"/>
      <c r="SEO585" s="268"/>
      <c r="SEP585" s="268"/>
      <c r="SEQ585" s="268"/>
      <c r="SER585" s="268"/>
      <c r="SES585" s="268"/>
      <c r="SET585" s="268"/>
      <c r="SEU585" s="268"/>
      <c r="SEV585" s="268"/>
      <c r="SEW585" s="268"/>
      <c r="SEX585" s="268"/>
      <c r="SEY585" s="268"/>
      <c r="SEZ585" s="268"/>
      <c r="SFA585" s="268"/>
      <c r="SFB585" s="268"/>
      <c r="SFC585" s="268"/>
      <c r="SFD585" s="268"/>
      <c r="SFE585" s="268"/>
      <c r="SFF585" s="268"/>
      <c r="SFG585" s="268"/>
      <c r="SFH585" s="268"/>
      <c r="SFI585" s="268"/>
      <c r="SFJ585" s="268"/>
      <c r="SFK585" s="268"/>
      <c r="SFL585" s="268"/>
      <c r="SFM585" s="268"/>
      <c r="SFN585" s="268"/>
      <c r="SFO585" s="268"/>
      <c r="SFP585" s="268"/>
      <c r="SFQ585" s="268"/>
      <c r="SFR585" s="268"/>
      <c r="SFS585" s="268"/>
      <c r="SFT585" s="268"/>
      <c r="SFU585" s="268"/>
      <c r="SFV585" s="268"/>
      <c r="SFW585" s="268"/>
      <c r="SFX585" s="268"/>
      <c r="SFY585" s="268"/>
      <c r="SFZ585" s="268"/>
      <c r="SGA585" s="268"/>
      <c r="SGB585" s="268"/>
      <c r="SGC585" s="268"/>
      <c r="SGD585" s="268"/>
      <c r="SGE585" s="268"/>
      <c r="SGF585" s="268"/>
      <c r="SGG585" s="268"/>
      <c r="SGH585" s="268"/>
      <c r="SGI585" s="268"/>
      <c r="SGJ585" s="268"/>
      <c r="SGK585" s="268"/>
      <c r="SGL585" s="268"/>
      <c r="SGM585" s="268"/>
      <c r="SGN585" s="268"/>
      <c r="SGO585" s="268"/>
      <c r="SGP585" s="268"/>
      <c r="SGQ585" s="268"/>
      <c r="SGR585" s="268"/>
      <c r="SGS585" s="268"/>
      <c r="SGT585" s="268"/>
      <c r="SGU585" s="268"/>
      <c r="SHI585" s="268"/>
      <c r="SHJ585" s="268"/>
      <c r="SHK585" s="268"/>
      <c r="SHY585" s="268"/>
      <c r="SIA585" s="268"/>
      <c r="SIB585" s="268"/>
      <c r="SIC585" s="268"/>
      <c r="SID585" s="268"/>
      <c r="SIE585" s="268"/>
      <c r="SIF585" s="268"/>
      <c r="SIG585" s="268"/>
      <c r="SIH585" s="268"/>
      <c r="SII585" s="268"/>
      <c r="SIJ585" s="268"/>
      <c r="SIK585" s="268"/>
      <c r="SIL585" s="268"/>
      <c r="SIM585" s="268"/>
      <c r="SIN585" s="268"/>
      <c r="SIO585" s="268"/>
      <c r="SIP585" s="268"/>
      <c r="SIQ585" s="268"/>
      <c r="SIR585" s="268"/>
      <c r="SIS585" s="268"/>
      <c r="SIT585" s="268"/>
      <c r="SIU585" s="268"/>
      <c r="SIV585" s="268"/>
      <c r="SIW585" s="268"/>
      <c r="SIX585" s="268"/>
      <c r="SIY585" s="268"/>
      <c r="SIZ585" s="268"/>
      <c r="SJA585" s="268"/>
      <c r="SJB585" s="268"/>
      <c r="SJC585" s="268"/>
      <c r="SJD585" s="268"/>
      <c r="SJE585" s="268"/>
      <c r="SJF585" s="268"/>
      <c r="SJG585" s="268"/>
      <c r="SJH585" s="268"/>
      <c r="SJI585" s="268"/>
      <c r="SJJ585" s="268"/>
      <c r="SJK585" s="268"/>
      <c r="SJL585" s="268"/>
      <c r="SJM585" s="268"/>
      <c r="SJN585" s="268"/>
      <c r="SJO585" s="268"/>
      <c r="SJP585" s="268"/>
      <c r="SJQ585" s="268"/>
      <c r="SJR585" s="268"/>
      <c r="SJS585" s="268"/>
      <c r="SJT585" s="268"/>
      <c r="SJU585" s="268"/>
      <c r="SJV585" s="268"/>
      <c r="SJW585" s="268"/>
      <c r="SJX585" s="268"/>
      <c r="SJY585" s="268"/>
      <c r="SJZ585" s="268"/>
      <c r="SKA585" s="268"/>
      <c r="SKB585" s="268"/>
      <c r="SKC585" s="268"/>
      <c r="SKD585" s="268"/>
      <c r="SKE585" s="268"/>
      <c r="SKF585" s="268"/>
      <c r="SKG585" s="268"/>
      <c r="SKH585" s="268"/>
      <c r="SKI585" s="268"/>
      <c r="SKJ585" s="268"/>
      <c r="SKK585" s="268"/>
      <c r="SKL585" s="268"/>
      <c r="SKM585" s="268"/>
      <c r="SKN585" s="268"/>
      <c r="SKO585" s="268"/>
      <c r="SKP585" s="268"/>
      <c r="SKQ585" s="268"/>
      <c r="SKR585" s="268"/>
      <c r="SKS585" s="268"/>
      <c r="SKT585" s="268"/>
      <c r="SKU585" s="268"/>
      <c r="SKV585" s="268"/>
      <c r="SKW585" s="268"/>
      <c r="SKX585" s="268"/>
      <c r="SKY585" s="268"/>
      <c r="SKZ585" s="268"/>
      <c r="SLA585" s="268"/>
      <c r="SLB585" s="268"/>
      <c r="SLC585" s="268"/>
      <c r="SLD585" s="268"/>
      <c r="SLE585" s="268"/>
      <c r="SLF585" s="268"/>
      <c r="SLG585" s="268"/>
      <c r="SLH585" s="268"/>
      <c r="SLI585" s="268"/>
      <c r="SLJ585" s="268"/>
      <c r="SLK585" s="268"/>
      <c r="SLL585" s="268"/>
      <c r="SLM585" s="268"/>
      <c r="SLN585" s="268"/>
      <c r="SLO585" s="268"/>
      <c r="SLP585" s="268"/>
      <c r="SLQ585" s="268"/>
      <c r="SLR585" s="268"/>
      <c r="SLS585" s="268"/>
      <c r="SLT585" s="268"/>
      <c r="SLU585" s="268"/>
      <c r="SLV585" s="268"/>
      <c r="SLW585" s="268"/>
      <c r="SLX585" s="268"/>
      <c r="SLY585" s="268"/>
      <c r="SLZ585" s="268"/>
      <c r="SMA585" s="268"/>
      <c r="SMB585" s="268"/>
      <c r="SMC585" s="268"/>
      <c r="SMD585" s="268"/>
      <c r="SME585" s="268"/>
      <c r="SMF585" s="268"/>
      <c r="SMG585" s="268"/>
      <c r="SMH585" s="268"/>
      <c r="SMI585" s="268"/>
      <c r="SMJ585" s="268"/>
      <c r="SMK585" s="268"/>
      <c r="SML585" s="268"/>
      <c r="SMM585" s="268"/>
      <c r="SMN585" s="268"/>
      <c r="SMO585" s="268"/>
      <c r="SMP585" s="268"/>
      <c r="SMQ585" s="268"/>
      <c r="SMR585" s="268"/>
      <c r="SMS585" s="268"/>
      <c r="SMT585" s="268"/>
      <c r="SMU585" s="268"/>
      <c r="SMV585" s="268"/>
      <c r="SMW585" s="268"/>
      <c r="SMX585" s="268"/>
      <c r="SMY585" s="268"/>
      <c r="SMZ585" s="268"/>
      <c r="SNA585" s="268"/>
      <c r="SNB585" s="268"/>
      <c r="SNC585" s="268"/>
      <c r="SND585" s="268"/>
      <c r="SNE585" s="268"/>
      <c r="SNF585" s="268"/>
      <c r="SNG585" s="268"/>
      <c r="SNH585" s="268"/>
      <c r="SNI585" s="268"/>
      <c r="SNJ585" s="268"/>
      <c r="SNK585" s="268"/>
      <c r="SNL585" s="268"/>
      <c r="SNM585" s="268"/>
      <c r="SNN585" s="268"/>
      <c r="SNO585" s="268"/>
      <c r="SNP585" s="268"/>
      <c r="SNQ585" s="268"/>
      <c r="SNR585" s="268"/>
      <c r="SNS585" s="268"/>
      <c r="SNT585" s="268"/>
      <c r="SNU585" s="268"/>
      <c r="SNV585" s="268"/>
      <c r="SNW585" s="268"/>
      <c r="SNX585" s="268"/>
      <c r="SNY585" s="268"/>
      <c r="SNZ585" s="268"/>
      <c r="SOA585" s="268"/>
      <c r="SOB585" s="268"/>
      <c r="SOC585" s="268"/>
      <c r="SOD585" s="268"/>
      <c r="SOE585" s="268"/>
      <c r="SOF585" s="268"/>
      <c r="SOG585" s="268"/>
      <c r="SOH585" s="268"/>
      <c r="SOI585" s="268"/>
      <c r="SOJ585" s="268"/>
      <c r="SOK585" s="268"/>
      <c r="SOL585" s="268"/>
      <c r="SOM585" s="268"/>
      <c r="SON585" s="268"/>
      <c r="SOO585" s="268"/>
      <c r="SOP585" s="268"/>
      <c r="SOQ585" s="268"/>
      <c r="SOR585" s="268"/>
      <c r="SOS585" s="268"/>
      <c r="SOT585" s="268"/>
      <c r="SOU585" s="268"/>
      <c r="SOV585" s="268"/>
      <c r="SOW585" s="268"/>
      <c r="SOX585" s="268"/>
      <c r="SOY585" s="268"/>
      <c r="SOZ585" s="268"/>
      <c r="SPA585" s="268"/>
      <c r="SPB585" s="268"/>
      <c r="SPC585" s="268"/>
      <c r="SPD585" s="268"/>
      <c r="SPE585" s="268"/>
      <c r="SPF585" s="268"/>
      <c r="SPG585" s="268"/>
      <c r="SPH585" s="268"/>
      <c r="SPI585" s="268"/>
      <c r="SPJ585" s="268"/>
      <c r="SPK585" s="268"/>
      <c r="SPL585" s="268"/>
      <c r="SPM585" s="268"/>
      <c r="SPN585" s="268"/>
      <c r="SPO585" s="268"/>
      <c r="SPP585" s="268"/>
      <c r="SPQ585" s="268"/>
      <c r="SPR585" s="268"/>
      <c r="SPS585" s="268"/>
      <c r="SPT585" s="268"/>
      <c r="SPU585" s="268"/>
      <c r="SPV585" s="268"/>
      <c r="SPW585" s="268"/>
      <c r="SPX585" s="268"/>
      <c r="SPY585" s="268"/>
      <c r="SPZ585" s="268"/>
      <c r="SQA585" s="268"/>
      <c r="SQB585" s="268"/>
      <c r="SQC585" s="268"/>
      <c r="SQD585" s="268"/>
      <c r="SQE585" s="268"/>
      <c r="SQF585" s="268"/>
      <c r="SQG585" s="268"/>
      <c r="SQH585" s="268"/>
      <c r="SQI585" s="268"/>
      <c r="SQJ585" s="268"/>
      <c r="SQK585" s="268"/>
      <c r="SQL585" s="268"/>
      <c r="SQM585" s="268"/>
      <c r="SQN585" s="268"/>
      <c r="SQO585" s="268"/>
      <c r="SQP585" s="268"/>
      <c r="SQQ585" s="268"/>
      <c r="SRE585" s="268"/>
      <c r="SRF585" s="268"/>
      <c r="SRG585" s="268"/>
      <c r="SRU585" s="268"/>
      <c r="SRW585" s="268"/>
      <c r="SRX585" s="268"/>
      <c r="SRY585" s="268"/>
      <c r="SRZ585" s="268"/>
      <c r="SSA585" s="268"/>
      <c r="SSB585" s="268"/>
      <c r="SSC585" s="268"/>
      <c r="SSD585" s="268"/>
      <c r="SSE585" s="268"/>
      <c r="SSF585" s="268"/>
      <c r="SSG585" s="268"/>
      <c r="SSH585" s="268"/>
      <c r="SSI585" s="268"/>
      <c r="SSJ585" s="268"/>
      <c r="SSK585" s="268"/>
      <c r="SSL585" s="268"/>
      <c r="SSM585" s="268"/>
      <c r="SSN585" s="268"/>
      <c r="SSO585" s="268"/>
      <c r="SSP585" s="268"/>
      <c r="SSQ585" s="268"/>
      <c r="SSR585" s="268"/>
      <c r="SSS585" s="268"/>
      <c r="SST585" s="268"/>
      <c r="SSU585" s="268"/>
      <c r="SSV585" s="268"/>
      <c r="SSW585" s="268"/>
      <c r="SSX585" s="268"/>
      <c r="SSY585" s="268"/>
      <c r="SSZ585" s="268"/>
      <c r="STA585" s="268"/>
      <c r="STB585" s="268"/>
      <c r="STC585" s="268"/>
      <c r="STD585" s="268"/>
      <c r="STE585" s="268"/>
      <c r="STF585" s="268"/>
      <c r="STG585" s="268"/>
      <c r="STH585" s="268"/>
      <c r="STI585" s="268"/>
      <c r="STJ585" s="268"/>
      <c r="STK585" s="268"/>
      <c r="STL585" s="268"/>
      <c r="STM585" s="268"/>
      <c r="STN585" s="268"/>
      <c r="STO585" s="268"/>
      <c r="STP585" s="268"/>
      <c r="STQ585" s="268"/>
      <c r="STR585" s="268"/>
      <c r="STS585" s="268"/>
      <c r="STT585" s="268"/>
      <c r="STU585" s="268"/>
      <c r="STV585" s="268"/>
      <c r="STW585" s="268"/>
      <c r="STX585" s="268"/>
      <c r="STY585" s="268"/>
      <c r="STZ585" s="268"/>
      <c r="SUA585" s="268"/>
      <c r="SUB585" s="268"/>
      <c r="SUC585" s="268"/>
      <c r="SUD585" s="268"/>
      <c r="SUE585" s="268"/>
      <c r="SUF585" s="268"/>
      <c r="SUG585" s="268"/>
      <c r="SUH585" s="268"/>
      <c r="SUI585" s="268"/>
      <c r="SUJ585" s="268"/>
      <c r="SUK585" s="268"/>
      <c r="SUL585" s="268"/>
      <c r="SUM585" s="268"/>
      <c r="SUN585" s="268"/>
      <c r="SUO585" s="268"/>
      <c r="SUP585" s="268"/>
      <c r="SUQ585" s="268"/>
      <c r="SUR585" s="268"/>
      <c r="SUS585" s="268"/>
      <c r="SUT585" s="268"/>
      <c r="SUU585" s="268"/>
      <c r="SUV585" s="268"/>
      <c r="SUW585" s="268"/>
      <c r="SUX585" s="268"/>
      <c r="SUY585" s="268"/>
      <c r="SUZ585" s="268"/>
      <c r="SVA585" s="268"/>
      <c r="SVB585" s="268"/>
      <c r="SVC585" s="268"/>
      <c r="SVD585" s="268"/>
      <c r="SVE585" s="268"/>
      <c r="SVF585" s="268"/>
      <c r="SVG585" s="268"/>
      <c r="SVH585" s="268"/>
      <c r="SVI585" s="268"/>
      <c r="SVJ585" s="268"/>
      <c r="SVK585" s="268"/>
      <c r="SVL585" s="268"/>
      <c r="SVM585" s="268"/>
      <c r="SVN585" s="268"/>
      <c r="SVO585" s="268"/>
      <c r="SVP585" s="268"/>
      <c r="SVQ585" s="268"/>
      <c r="SVR585" s="268"/>
      <c r="SVS585" s="268"/>
      <c r="SVT585" s="268"/>
      <c r="SVU585" s="268"/>
      <c r="SVV585" s="268"/>
      <c r="SVW585" s="268"/>
      <c r="SVX585" s="268"/>
      <c r="SVY585" s="268"/>
      <c r="SVZ585" s="268"/>
      <c r="SWA585" s="268"/>
      <c r="SWB585" s="268"/>
      <c r="SWC585" s="268"/>
      <c r="SWD585" s="268"/>
      <c r="SWE585" s="268"/>
      <c r="SWF585" s="268"/>
      <c r="SWG585" s="268"/>
      <c r="SWH585" s="268"/>
      <c r="SWI585" s="268"/>
      <c r="SWJ585" s="268"/>
      <c r="SWK585" s="268"/>
      <c r="SWL585" s="268"/>
      <c r="SWM585" s="268"/>
      <c r="SWN585" s="268"/>
      <c r="SWO585" s="268"/>
      <c r="SWP585" s="268"/>
      <c r="SWQ585" s="268"/>
      <c r="SWR585" s="268"/>
      <c r="SWS585" s="268"/>
      <c r="SWT585" s="268"/>
      <c r="SWU585" s="268"/>
      <c r="SWV585" s="268"/>
      <c r="SWW585" s="268"/>
      <c r="SWX585" s="268"/>
      <c r="SWY585" s="268"/>
      <c r="SWZ585" s="268"/>
      <c r="SXA585" s="268"/>
      <c r="SXB585" s="268"/>
      <c r="SXC585" s="268"/>
      <c r="SXD585" s="268"/>
      <c r="SXE585" s="268"/>
      <c r="SXF585" s="268"/>
      <c r="SXG585" s="268"/>
      <c r="SXH585" s="268"/>
      <c r="SXI585" s="268"/>
      <c r="SXJ585" s="268"/>
      <c r="SXK585" s="268"/>
      <c r="SXL585" s="268"/>
      <c r="SXM585" s="268"/>
      <c r="SXN585" s="268"/>
      <c r="SXO585" s="268"/>
      <c r="SXP585" s="268"/>
      <c r="SXQ585" s="268"/>
      <c r="SXR585" s="268"/>
      <c r="SXS585" s="268"/>
      <c r="SXT585" s="268"/>
      <c r="SXU585" s="268"/>
      <c r="SXV585" s="268"/>
      <c r="SXW585" s="268"/>
      <c r="SXX585" s="268"/>
      <c r="SXY585" s="268"/>
      <c r="SXZ585" s="268"/>
      <c r="SYA585" s="268"/>
      <c r="SYB585" s="268"/>
      <c r="SYC585" s="268"/>
      <c r="SYD585" s="268"/>
      <c r="SYE585" s="268"/>
      <c r="SYF585" s="268"/>
      <c r="SYG585" s="268"/>
      <c r="SYH585" s="268"/>
      <c r="SYI585" s="268"/>
      <c r="SYJ585" s="268"/>
      <c r="SYK585" s="268"/>
      <c r="SYL585" s="268"/>
      <c r="SYM585" s="268"/>
      <c r="SYN585" s="268"/>
      <c r="SYO585" s="268"/>
      <c r="SYP585" s="268"/>
      <c r="SYQ585" s="268"/>
      <c r="SYR585" s="268"/>
      <c r="SYS585" s="268"/>
      <c r="SYT585" s="268"/>
      <c r="SYU585" s="268"/>
      <c r="SYV585" s="268"/>
      <c r="SYW585" s="268"/>
      <c r="SYX585" s="268"/>
      <c r="SYY585" s="268"/>
      <c r="SYZ585" s="268"/>
      <c r="SZA585" s="268"/>
      <c r="SZB585" s="268"/>
      <c r="SZC585" s="268"/>
      <c r="SZD585" s="268"/>
      <c r="SZE585" s="268"/>
      <c r="SZF585" s="268"/>
      <c r="SZG585" s="268"/>
      <c r="SZH585" s="268"/>
      <c r="SZI585" s="268"/>
      <c r="SZJ585" s="268"/>
      <c r="SZK585" s="268"/>
      <c r="SZL585" s="268"/>
      <c r="SZM585" s="268"/>
      <c r="SZN585" s="268"/>
      <c r="SZO585" s="268"/>
      <c r="SZP585" s="268"/>
      <c r="SZQ585" s="268"/>
      <c r="SZR585" s="268"/>
      <c r="SZS585" s="268"/>
      <c r="SZT585" s="268"/>
      <c r="SZU585" s="268"/>
      <c r="SZV585" s="268"/>
      <c r="SZW585" s="268"/>
      <c r="SZX585" s="268"/>
      <c r="SZY585" s="268"/>
      <c r="SZZ585" s="268"/>
      <c r="TAA585" s="268"/>
      <c r="TAB585" s="268"/>
      <c r="TAC585" s="268"/>
      <c r="TAD585" s="268"/>
      <c r="TAE585" s="268"/>
      <c r="TAF585" s="268"/>
      <c r="TAG585" s="268"/>
      <c r="TAH585" s="268"/>
      <c r="TAI585" s="268"/>
      <c r="TAJ585" s="268"/>
      <c r="TAK585" s="268"/>
      <c r="TAL585" s="268"/>
      <c r="TAM585" s="268"/>
      <c r="TBA585" s="268"/>
      <c r="TBB585" s="268"/>
      <c r="TBC585" s="268"/>
      <c r="TBQ585" s="268"/>
      <c r="TBS585" s="268"/>
      <c r="TBT585" s="268"/>
      <c r="TBU585" s="268"/>
      <c r="TBV585" s="268"/>
      <c r="TBW585" s="268"/>
      <c r="TBX585" s="268"/>
      <c r="TBY585" s="268"/>
      <c r="TBZ585" s="268"/>
      <c r="TCA585" s="268"/>
      <c r="TCB585" s="268"/>
      <c r="TCC585" s="268"/>
      <c r="TCD585" s="268"/>
      <c r="TCE585" s="268"/>
      <c r="TCF585" s="268"/>
      <c r="TCG585" s="268"/>
      <c r="TCH585" s="268"/>
      <c r="TCI585" s="268"/>
      <c r="TCJ585" s="268"/>
      <c r="TCK585" s="268"/>
      <c r="TCL585" s="268"/>
      <c r="TCM585" s="268"/>
      <c r="TCN585" s="268"/>
      <c r="TCO585" s="268"/>
      <c r="TCP585" s="268"/>
      <c r="TCQ585" s="268"/>
      <c r="TCR585" s="268"/>
      <c r="TCS585" s="268"/>
      <c r="TCT585" s="268"/>
      <c r="TCU585" s="268"/>
      <c r="TCV585" s="268"/>
      <c r="TCW585" s="268"/>
      <c r="TCX585" s="268"/>
      <c r="TCY585" s="268"/>
      <c r="TCZ585" s="268"/>
      <c r="TDA585" s="268"/>
      <c r="TDB585" s="268"/>
      <c r="TDC585" s="268"/>
      <c r="TDD585" s="268"/>
      <c r="TDE585" s="268"/>
      <c r="TDF585" s="268"/>
      <c r="TDG585" s="268"/>
      <c r="TDH585" s="268"/>
      <c r="TDI585" s="268"/>
      <c r="TDJ585" s="268"/>
      <c r="TDK585" s="268"/>
      <c r="TDL585" s="268"/>
      <c r="TDM585" s="268"/>
      <c r="TDN585" s="268"/>
      <c r="TDO585" s="268"/>
      <c r="TDP585" s="268"/>
      <c r="TDQ585" s="268"/>
      <c r="TDR585" s="268"/>
      <c r="TDS585" s="268"/>
      <c r="TDT585" s="268"/>
      <c r="TDU585" s="268"/>
      <c r="TDV585" s="268"/>
      <c r="TDW585" s="268"/>
      <c r="TDX585" s="268"/>
      <c r="TDY585" s="268"/>
      <c r="TDZ585" s="268"/>
      <c r="TEA585" s="268"/>
      <c r="TEB585" s="268"/>
      <c r="TEC585" s="268"/>
      <c r="TED585" s="268"/>
      <c r="TEE585" s="268"/>
      <c r="TEF585" s="268"/>
      <c r="TEG585" s="268"/>
      <c r="TEH585" s="268"/>
      <c r="TEI585" s="268"/>
      <c r="TEJ585" s="268"/>
      <c r="TEK585" s="268"/>
      <c r="TEL585" s="268"/>
      <c r="TEM585" s="268"/>
      <c r="TEN585" s="268"/>
      <c r="TEO585" s="268"/>
      <c r="TEP585" s="268"/>
      <c r="TEQ585" s="268"/>
      <c r="TER585" s="268"/>
      <c r="TES585" s="268"/>
      <c r="TET585" s="268"/>
      <c r="TEU585" s="268"/>
      <c r="TEV585" s="268"/>
      <c r="TEW585" s="268"/>
      <c r="TEX585" s="268"/>
      <c r="TEY585" s="268"/>
      <c r="TEZ585" s="268"/>
      <c r="TFA585" s="268"/>
      <c r="TFB585" s="268"/>
      <c r="TFC585" s="268"/>
      <c r="TFD585" s="268"/>
      <c r="TFE585" s="268"/>
      <c r="TFF585" s="268"/>
      <c r="TFG585" s="268"/>
      <c r="TFH585" s="268"/>
      <c r="TFI585" s="268"/>
      <c r="TFJ585" s="268"/>
      <c r="TFK585" s="268"/>
      <c r="TFL585" s="268"/>
      <c r="TFM585" s="268"/>
      <c r="TFN585" s="268"/>
      <c r="TFO585" s="268"/>
      <c r="TFP585" s="268"/>
      <c r="TFQ585" s="268"/>
      <c r="TFR585" s="268"/>
      <c r="TFS585" s="268"/>
      <c r="TFT585" s="268"/>
      <c r="TFU585" s="268"/>
      <c r="TFV585" s="268"/>
      <c r="TFW585" s="268"/>
      <c r="TFX585" s="268"/>
      <c r="TFY585" s="268"/>
      <c r="TFZ585" s="268"/>
      <c r="TGA585" s="268"/>
      <c r="TGB585" s="268"/>
      <c r="TGC585" s="268"/>
      <c r="TGD585" s="268"/>
      <c r="TGE585" s="268"/>
      <c r="TGF585" s="268"/>
      <c r="TGG585" s="268"/>
      <c r="TGH585" s="268"/>
      <c r="TGI585" s="268"/>
      <c r="TGJ585" s="268"/>
      <c r="TGK585" s="268"/>
      <c r="TGL585" s="268"/>
      <c r="TGM585" s="268"/>
      <c r="TGN585" s="268"/>
      <c r="TGO585" s="268"/>
      <c r="TGP585" s="268"/>
      <c r="TGQ585" s="268"/>
      <c r="TGR585" s="268"/>
      <c r="TGS585" s="268"/>
      <c r="TGT585" s="268"/>
      <c r="TGU585" s="268"/>
      <c r="TGV585" s="268"/>
      <c r="TGW585" s="268"/>
      <c r="TGX585" s="268"/>
      <c r="TGY585" s="268"/>
      <c r="TGZ585" s="268"/>
      <c r="THA585" s="268"/>
      <c r="THB585" s="268"/>
      <c r="THC585" s="268"/>
      <c r="THD585" s="268"/>
      <c r="THE585" s="268"/>
      <c r="THF585" s="268"/>
      <c r="THG585" s="268"/>
      <c r="THH585" s="268"/>
      <c r="THI585" s="268"/>
      <c r="THJ585" s="268"/>
      <c r="THK585" s="268"/>
      <c r="THL585" s="268"/>
      <c r="THM585" s="268"/>
      <c r="THN585" s="268"/>
      <c r="THO585" s="268"/>
      <c r="THP585" s="268"/>
      <c r="THQ585" s="268"/>
      <c r="THR585" s="268"/>
      <c r="THS585" s="268"/>
      <c r="THT585" s="268"/>
      <c r="THU585" s="268"/>
      <c r="THV585" s="268"/>
      <c r="THW585" s="268"/>
      <c r="THX585" s="268"/>
      <c r="THY585" s="268"/>
      <c r="THZ585" s="268"/>
      <c r="TIA585" s="268"/>
      <c r="TIB585" s="268"/>
      <c r="TIC585" s="268"/>
      <c r="TID585" s="268"/>
      <c r="TIE585" s="268"/>
      <c r="TIF585" s="268"/>
      <c r="TIG585" s="268"/>
      <c r="TIH585" s="268"/>
      <c r="TII585" s="268"/>
      <c r="TIJ585" s="268"/>
      <c r="TIK585" s="268"/>
      <c r="TIL585" s="268"/>
      <c r="TIM585" s="268"/>
      <c r="TIN585" s="268"/>
      <c r="TIO585" s="268"/>
      <c r="TIP585" s="268"/>
      <c r="TIQ585" s="268"/>
      <c r="TIR585" s="268"/>
      <c r="TIS585" s="268"/>
      <c r="TIT585" s="268"/>
      <c r="TIU585" s="268"/>
      <c r="TIV585" s="268"/>
      <c r="TIW585" s="268"/>
      <c r="TIX585" s="268"/>
      <c r="TIY585" s="268"/>
      <c r="TIZ585" s="268"/>
      <c r="TJA585" s="268"/>
      <c r="TJB585" s="268"/>
      <c r="TJC585" s="268"/>
      <c r="TJD585" s="268"/>
      <c r="TJE585" s="268"/>
      <c r="TJF585" s="268"/>
      <c r="TJG585" s="268"/>
      <c r="TJH585" s="268"/>
      <c r="TJI585" s="268"/>
      <c r="TJJ585" s="268"/>
      <c r="TJK585" s="268"/>
      <c r="TJL585" s="268"/>
      <c r="TJM585" s="268"/>
      <c r="TJN585" s="268"/>
      <c r="TJO585" s="268"/>
      <c r="TJP585" s="268"/>
      <c r="TJQ585" s="268"/>
      <c r="TJR585" s="268"/>
      <c r="TJS585" s="268"/>
      <c r="TJT585" s="268"/>
      <c r="TJU585" s="268"/>
      <c r="TJV585" s="268"/>
      <c r="TJW585" s="268"/>
      <c r="TJX585" s="268"/>
      <c r="TJY585" s="268"/>
      <c r="TJZ585" s="268"/>
      <c r="TKA585" s="268"/>
      <c r="TKB585" s="268"/>
      <c r="TKC585" s="268"/>
      <c r="TKD585" s="268"/>
      <c r="TKE585" s="268"/>
      <c r="TKF585" s="268"/>
      <c r="TKG585" s="268"/>
      <c r="TKH585" s="268"/>
      <c r="TKI585" s="268"/>
      <c r="TKW585" s="268"/>
      <c r="TKX585" s="268"/>
      <c r="TKY585" s="268"/>
      <c r="TLM585" s="268"/>
      <c r="TLO585" s="268"/>
      <c r="TLP585" s="268"/>
      <c r="TLQ585" s="268"/>
      <c r="TLR585" s="268"/>
      <c r="TLS585" s="268"/>
      <c r="TLT585" s="268"/>
      <c r="TLU585" s="268"/>
      <c r="TLV585" s="268"/>
      <c r="TLW585" s="268"/>
      <c r="TLX585" s="268"/>
      <c r="TLY585" s="268"/>
      <c r="TLZ585" s="268"/>
      <c r="TMA585" s="268"/>
      <c r="TMB585" s="268"/>
      <c r="TMC585" s="268"/>
      <c r="TMD585" s="268"/>
      <c r="TME585" s="268"/>
      <c r="TMF585" s="268"/>
      <c r="TMG585" s="268"/>
      <c r="TMH585" s="268"/>
      <c r="TMI585" s="268"/>
      <c r="TMJ585" s="268"/>
      <c r="TMK585" s="268"/>
      <c r="TML585" s="268"/>
      <c r="TMM585" s="268"/>
      <c r="TMN585" s="268"/>
      <c r="TMO585" s="268"/>
      <c r="TMP585" s="268"/>
      <c r="TMQ585" s="268"/>
      <c r="TMR585" s="268"/>
      <c r="TMS585" s="268"/>
      <c r="TMT585" s="268"/>
      <c r="TMU585" s="268"/>
      <c r="TMV585" s="268"/>
      <c r="TMW585" s="268"/>
      <c r="TMX585" s="268"/>
      <c r="TMY585" s="268"/>
      <c r="TMZ585" s="268"/>
      <c r="TNA585" s="268"/>
      <c r="TNB585" s="268"/>
      <c r="TNC585" s="268"/>
      <c r="TND585" s="268"/>
      <c r="TNE585" s="268"/>
      <c r="TNF585" s="268"/>
      <c r="TNG585" s="268"/>
      <c r="TNH585" s="268"/>
      <c r="TNI585" s="268"/>
      <c r="TNJ585" s="268"/>
      <c r="TNK585" s="268"/>
      <c r="TNL585" s="268"/>
      <c r="TNM585" s="268"/>
      <c r="TNN585" s="268"/>
      <c r="TNO585" s="268"/>
      <c r="TNP585" s="268"/>
      <c r="TNQ585" s="268"/>
      <c r="TNR585" s="268"/>
      <c r="TNS585" s="268"/>
      <c r="TNT585" s="268"/>
      <c r="TNU585" s="268"/>
      <c r="TNV585" s="268"/>
      <c r="TNW585" s="268"/>
      <c r="TNX585" s="268"/>
      <c r="TNY585" s="268"/>
      <c r="TNZ585" s="268"/>
      <c r="TOA585" s="268"/>
      <c r="TOB585" s="268"/>
      <c r="TOC585" s="268"/>
      <c r="TOD585" s="268"/>
      <c r="TOE585" s="268"/>
      <c r="TOF585" s="268"/>
      <c r="TOG585" s="268"/>
      <c r="TOH585" s="268"/>
      <c r="TOI585" s="268"/>
      <c r="TOJ585" s="268"/>
      <c r="TOK585" s="268"/>
      <c r="TOL585" s="268"/>
      <c r="TOM585" s="268"/>
      <c r="TON585" s="268"/>
      <c r="TOO585" s="268"/>
      <c r="TOP585" s="268"/>
      <c r="TOQ585" s="268"/>
      <c r="TOR585" s="268"/>
      <c r="TOS585" s="268"/>
      <c r="TOT585" s="268"/>
      <c r="TOU585" s="268"/>
      <c r="TOV585" s="268"/>
      <c r="TOW585" s="268"/>
      <c r="TOX585" s="268"/>
      <c r="TOY585" s="268"/>
      <c r="TOZ585" s="268"/>
      <c r="TPA585" s="268"/>
      <c r="TPB585" s="268"/>
      <c r="TPC585" s="268"/>
      <c r="TPD585" s="268"/>
      <c r="TPE585" s="268"/>
      <c r="TPF585" s="268"/>
      <c r="TPG585" s="268"/>
      <c r="TPH585" s="268"/>
      <c r="TPI585" s="268"/>
      <c r="TPJ585" s="268"/>
      <c r="TPK585" s="268"/>
      <c r="TPL585" s="268"/>
      <c r="TPM585" s="268"/>
      <c r="TPN585" s="268"/>
      <c r="TPO585" s="268"/>
      <c r="TPP585" s="268"/>
      <c r="TPQ585" s="268"/>
      <c r="TPR585" s="268"/>
      <c r="TPS585" s="268"/>
      <c r="TPT585" s="268"/>
      <c r="TPU585" s="268"/>
      <c r="TPV585" s="268"/>
      <c r="TPW585" s="268"/>
      <c r="TPX585" s="268"/>
      <c r="TPY585" s="268"/>
      <c r="TPZ585" s="268"/>
      <c r="TQA585" s="268"/>
      <c r="TQB585" s="268"/>
      <c r="TQC585" s="268"/>
      <c r="TQD585" s="268"/>
      <c r="TQE585" s="268"/>
      <c r="TQF585" s="268"/>
      <c r="TQG585" s="268"/>
      <c r="TQH585" s="268"/>
      <c r="TQI585" s="268"/>
      <c r="TQJ585" s="268"/>
      <c r="TQK585" s="268"/>
      <c r="TQL585" s="268"/>
      <c r="TQM585" s="268"/>
      <c r="TQN585" s="268"/>
      <c r="TQO585" s="268"/>
      <c r="TQP585" s="268"/>
      <c r="TQQ585" s="268"/>
      <c r="TQR585" s="268"/>
      <c r="TQS585" s="268"/>
      <c r="TQT585" s="268"/>
      <c r="TQU585" s="268"/>
      <c r="TQV585" s="268"/>
      <c r="TQW585" s="268"/>
      <c r="TQX585" s="268"/>
      <c r="TQY585" s="268"/>
      <c r="TQZ585" s="268"/>
      <c r="TRA585" s="268"/>
      <c r="TRB585" s="268"/>
      <c r="TRC585" s="268"/>
      <c r="TRD585" s="268"/>
      <c r="TRE585" s="268"/>
      <c r="TRF585" s="268"/>
      <c r="TRG585" s="268"/>
      <c r="TRH585" s="268"/>
      <c r="TRI585" s="268"/>
      <c r="TRJ585" s="268"/>
      <c r="TRK585" s="268"/>
      <c r="TRL585" s="268"/>
      <c r="TRM585" s="268"/>
      <c r="TRN585" s="268"/>
      <c r="TRO585" s="268"/>
      <c r="TRP585" s="268"/>
      <c r="TRQ585" s="268"/>
      <c r="TRR585" s="268"/>
      <c r="TRS585" s="268"/>
      <c r="TRT585" s="268"/>
      <c r="TRU585" s="268"/>
      <c r="TRV585" s="268"/>
      <c r="TRW585" s="268"/>
      <c r="TRX585" s="268"/>
      <c r="TRY585" s="268"/>
      <c r="TRZ585" s="268"/>
      <c r="TSA585" s="268"/>
      <c r="TSB585" s="268"/>
      <c r="TSC585" s="268"/>
      <c r="TSD585" s="268"/>
      <c r="TSE585" s="268"/>
      <c r="TSF585" s="268"/>
      <c r="TSG585" s="268"/>
      <c r="TSH585" s="268"/>
      <c r="TSI585" s="268"/>
      <c r="TSJ585" s="268"/>
      <c r="TSK585" s="268"/>
      <c r="TSL585" s="268"/>
      <c r="TSM585" s="268"/>
      <c r="TSN585" s="268"/>
      <c r="TSO585" s="268"/>
      <c r="TSP585" s="268"/>
      <c r="TSQ585" s="268"/>
      <c r="TSR585" s="268"/>
      <c r="TSS585" s="268"/>
      <c r="TST585" s="268"/>
      <c r="TSU585" s="268"/>
      <c r="TSV585" s="268"/>
      <c r="TSW585" s="268"/>
      <c r="TSX585" s="268"/>
      <c r="TSY585" s="268"/>
      <c r="TSZ585" s="268"/>
      <c r="TTA585" s="268"/>
      <c r="TTB585" s="268"/>
      <c r="TTC585" s="268"/>
      <c r="TTD585" s="268"/>
      <c r="TTE585" s="268"/>
      <c r="TTF585" s="268"/>
      <c r="TTG585" s="268"/>
      <c r="TTH585" s="268"/>
      <c r="TTI585" s="268"/>
      <c r="TTJ585" s="268"/>
      <c r="TTK585" s="268"/>
      <c r="TTL585" s="268"/>
      <c r="TTM585" s="268"/>
      <c r="TTN585" s="268"/>
      <c r="TTO585" s="268"/>
      <c r="TTP585" s="268"/>
      <c r="TTQ585" s="268"/>
      <c r="TTR585" s="268"/>
      <c r="TTS585" s="268"/>
      <c r="TTT585" s="268"/>
      <c r="TTU585" s="268"/>
      <c r="TTV585" s="268"/>
      <c r="TTW585" s="268"/>
      <c r="TTX585" s="268"/>
      <c r="TTY585" s="268"/>
      <c r="TTZ585" s="268"/>
      <c r="TUA585" s="268"/>
      <c r="TUB585" s="268"/>
      <c r="TUC585" s="268"/>
      <c r="TUD585" s="268"/>
      <c r="TUE585" s="268"/>
      <c r="TUS585" s="268"/>
      <c r="TUT585" s="268"/>
      <c r="TUU585" s="268"/>
      <c r="TVI585" s="268"/>
      <c r="TVK585" s="268"/>
      <c r="TVL585" s="268"/>
      <c r="TVM585" s="268"/>
      <c r="TVN585" s="268"/>
      <c r="TVO585" s="268"/>
      <c r="TVP585" s="268"/>
      <c r="TVQ585" s="268"/>
      <c r="TVR585" s="268"/>
      <c r="TVS585" s="268"/>
      <c r="TVT585" s="268"/>
      <c r="TVU585" s="268"/>
      <c r="TVV585" s="268"/>
      <c r="TVW585" s="268"/>
      <c r="TVX585" s="268"/>
      <c r="TVY585" s="268"/>
      <c r="TVZ585" s="268"/>
      <c r="TWA585" s="268"/>
      <c r="TWB585" s="268"/>
      <c r="TWC585" s="268"/>
      <c r="TWD585" s="268"/>
      <c r="TWE585" s="268"/>
      <c r="TWF585" s="268"/>
      <c r="TWG585" s="268"/>
      <c r="TWH585" s="268"/>
      <c r="TWI585" s="268"/>
      <c r="TWJ585" s="268"/>
      <c r="TWK585" s="268"/>
      <c r="TWL585" s="268"/>
      <c r="TWM585" s="268"/>
      <c r="TWN585" s="268"/>
      <c r="TWO585" s="268"/>
      <c r="TWP585" s="268"/>
      <c r="TWQ585" s="268"/>
      <c r="TWR585" s="268"/>
      <c r="TWS585" s="268"/>
      <c r="TWT585" s="268"/>
      <c r="TWU585" s="268"/>
      <c r="TWV585" s="268"/>
      <c r="TWW585" s="268"/>
      <c r="TWX585" s="268"/>
      <c r="TWY585" s="268"/>
      <c r="TWZ585" s="268"/>
      <c r="TXA585" s="268"/>
      <c r="TXB585" s="268"/>
      <c r="TXC585" s="268"/>
      <c r="TXD585" s="268"/>
      <c r="TXE585" s="268"/>
      <c r="TXF585" s="268"/>
      <c r="TXG585" s="268"/>
      <c r="TXH585" s="268"/>
      <c r="TXI585" s="268"/>
      <c r="TXJ585" s="268"/>
      <c r="TXK585" s="268"/>
      <c r="TXL585" s="268"/>
      <c r="TXM585" s="268"/>
      <c r="TXN585" s="268"/>
      <c r="TXO585" s="268"/>
      <c r="TXP585" s="268"/>
      <c r="TXQ585" s="268"/>
      <c r="TXR585" s="268"/>
      <c r="TXS585" s="268"/>
      <c r="TXT585" s="268"/>
      <c r="TXU585" s="268"/>
      <c r="TXV585" s="268"/>
      <c r="TXW585" s="268"/>
      <c r="TXX585" s="268"/>
      <c r="TXY585" s="268"/>
      <c r="TXZ585" s="268"/>
      <c r="TYA585" s="268"/>
      <c r="TYB585" s="268"/>
      <c r="TYC585" s="268"/>
      <c r="TYD585" s="268"/>
      <c r="TYE585" s="268"/>
      <c r="TYF585" s="268"/>
      <c r="TYG585" s="268"/>
      <c r="TYH585" s="268"/>
      <c r="TYI585" s="268"/>
      <c r="TYJ585" s="268"/>
      <c r="TYK585" s="268"/>
      <c r="TYL585" s="268"/>
      <c r="TYM585" s="268"/>
      <c r="TYN585" s="268"/>
      <c r="TYO585" s="268"/>
      <c r="TYP585" s="268"/>
      <c r="TYQ585" s="268"/>
      <c r="TYR585" s="268"/>
      <c r="TYS585" s="268"/>
      <c r="TYT585" s="268"/>
      <c r="TYU585" s="268"/>
      <c r="TYV585" s="268"/>
      <c r="TYW585" s="268"/>
      <c r="TYX585" s="268"/>
      <c r="TYY585" s="268"/>
      <c r="TYZ585" s="268"/>
      <c r="TZA585" s="268"/>
      <c r="TZB585" s="268"/>
      <c r="TZC585" s="268"/>
      <c r="TZD585" s="268"/>
      <c r="TZE585" s="268"/>
      <c r="TZF585" s="268"/>
      <c r="TZG585" s="268"/>
      <c r="TZH585" s="268"/>
      <c r="TZI585" s="268"/>
      <c r="TZJ585" s="268"/>
      <c r="TZK585" s="268"/>
      <c r="TZL585" s="268"/>
      <c r="TZM585" s="268"/>
      <c r="TZN585" s="268"/>
      <c r="TZO585" s="268"/>
      <c r="TZP585" s="268"/>
      <c r="TZQ585" s="268"/>
      <c r="TZR585" s="268"/>
      <c r="TZS585" s="268"/>
      <c r="TZT585" s="268"/>
      <c r="TZU585" s="268"/>
      <c r="TZV585" s="268"/>
      <c r="TZW585" s="268"/>
      <c r="TZX585" s="268"/>
      <c r="TZY585" s="268"/>
      <c r="TZZ585" s="268"/>
      <c r="UAA585" s="268"/>
      <c r="UAB585" s="268"/>
      <c r="UAC585" s="268"/>
      <c r="UAD585" s="268"/>
      <c r="UAE585" s="268"/>
      <c r="UAF585" s="268"/>
      <c r="UAG585" s="268"/>
      <c r="UAH585" s="268"/>
      <c r="UAI585" s="268"/>
      <c r="UAJ585" s="268"/>
      <c r="UAK585" s="268"/>
      <c r="UAL585" s="268"/>
      <c r="UAM585" s="268"/>
      <c r="UAN585" s="268"/>
      <c r="UAO585" s="268"/>
      <c r="UAP585" s="268"/>
      <c r="UAQ585" s="268"/>
      <c r="UAR585" s="268"/>
      <c r="UAS585" s="268"/>
      <c r="UAT585" s="268"/>
      <c r="UAU585" s="268"/>
      <c r="UAV585" s="268"/>
      <c r="UAW585" s="268"/>
      <c r="UAX585" s="268"/>
      <c r="UAY585" s="268"/>
      <c r="UAZ585" s="268"/>
      <c r="UBA585" s="268"/>
      <c r="UBB585" s="268"/>
      <c r="UBC585" s="268"/>
      <c r="UBD585" s="268"/>
      <c r="UBE585" s="268"/>
      <c r="UBF585" s="268"/>
      <c r="UBG585" s="268"/>
      <c r="UBH585" s="268"/>
      <c r="UBI585" s="268"/>
      <c r="UBJ585" s="268"/>
      <c r="UBK585" s="268"/>
      <c r="UBL585" s="268"/>
      <c r="UBM585" s="268"/>
      <c r="UBN585" s="268"/>
      <c r="UBO585" s="268"/>
      <c r="UBP585" s="268"/>
      <c r="UBQ585" s="268"/>
      <c r="UBR585" s="268"/>
      <c r="UBS585" s="268"/>
      <c r="UBT585" s="268"/>
      <c r="UBU585" s="268"/>
      <c r="UBV585" s="268"/>
      <c r="UBW585" s="268"/>
      <c r="UBX585" s="268"/>
      <c r="UBY585" s="268"/>
      <c r="UBZ585" s="268"/>
      <c r="UCA585" s="268"/>
      <c r="UCB585" s="268"/>
      <c r="UCC585" s="268"/>
      <c r="UCD585" s="268"/>
      <c r="UCE585" s="268"/>
      <c r="UCF585" s="268"/>
      <c r="UCG585" s="268"/>
      <c r="UCH585" s="268"/>
      <c r="UCI585" s="268"/>
      <c r="UCJ585" s="268"/>
      <c r="UCK585" s="268"/>
      <c r="UCL585" s="268"/>
      <c r="UCM585" s="268"/>
      <c r="UCN585" s="268"/>
      <c r="UCO585" s="268"/>
      <c r="UCP585" s="268"/>
      <c r="UCQ585" s="268"/>
      <c r="UCR585" s="268"/>
      <c r="UCS585" s="268"/>
      <c r="UCT585" s="268"/>
      <c r="UCU585" s="268"/>
      <c r="UCV585" s="268"/>
      <c r="UCW585" s="268"/>
      <c r="UCX585" s="268"/>
      <c r="UCY585" s="268"/>
      <c r="UCZ585" s="268"/>
      <c r="UDA585" s="268"/>
      <c r="UDB585" s="268"/>
      <c r="UDC585" s="268"/>
      <c r="UDD585" s="268"/>
      <c r="UDE585" s="268"/>
      <c r="UDF585" s="268"/>
      <c r="UDG585" s="268"/>
      <c r="UDH585" s="268"/>
      <c r="UDI585" s="268"/>
      <c r="UDJ585" s="268"/>
      <c r="UDK585" s="268"/>
      <c r="UDL585" s="268"/>
      <c r="UDM585" s="268"/>
      <c r="UDN585" s="268"/>
      <c r="UDO585" s="268"/>
      <c r="UDP585" s="268"/>
      <c r="UDQ585" s="268"/>
      <c r="UDR585" s="268"/>
      <c r="UDS585" s="268"/>
      <c r="UDT585" s="268"/>
      <c r="UDU585" s="268"/>
      <c r="UDV585" s="268"/>
      <c r="UDW585" s="268"/>
      <c r="UDX585" s="268"/>
      <c r="UDY585" s="268"/>
      <c r="UDZ585" s="268"/>
      <c r="UEA585" s="268"/>
      <c r="UEO585" s="268"/>
      <c r="UEP585" s="268"/>
      <c r="UEQ585" s="268"/>
      <c r="UFE585" s="268"/>
      <c r="UFG585" s="268"/>
      <c r="UFH585" s="268"/>
      <c r="UFI585" s="268"/>
      <c r="UFJ585" s="268"/>
      <c r="UFK585" s="268"/>
      <c r="UFL585" s="268"/>
      <c r="UFM585" s="268"/>
      <c r="UFN585" s="268"/>
      <c r="UFO585" s="268"/>
      <c r="UFP585" s="268"/>
      <c r="UFQ585" s="268"/>
      <c r="UFR585" s="268"/>
      <c r="UFS585" s="268"/>
      <c r="UFT585" s="268"/>
      <c r="UFU585" s="268"/>
      <c r="UFV585" s="268"/>
      <c r="UFW585" s="268"/>
      <c r="UFX585" s="268"/>
      <c r="UFY585" s="268"/>
      <c r="UFZ585" s="268"/>
      <c r="UGA585" s="268"/>
      <c r="UGB585" s="268"/>
      <c r="UGC585" s="268"/>
      <c r="UGD585" s="268"/>
      <c r="UGE585" s="268"/>
      <c r="UGF585" s="268"/>
      <c r="UGG585" s="268"/>
      <c r="UGH585" s="268"/>
      <c r="UGI585" s="268"/>
      <c r="UGJ585" s="268"/>
      <c r="UGK585" s="268"/>
      <c r="UGL585" s="268"/>
      <c r="UGM585" s="268"/>
      <c r="UGN585" s="268"/>
      <c r="UGO585" s="268"/>
      <c r="UGP585" s="268"/>
      <c r="UGQ585" s="268"/>
      <c r="UGR585" s="268"/>
      <c r="UGS585" s="268"/>
      <c r="UGT585" s="268"/>
      <c r="UGU585" s="268"/>
      <c r="UGV585" s="268"/>
      <c r="UGW585" s="268"/>
      <c r="UGX585" s="268"/>
      <c r="UGY585" s="268"/>
      <c r="UGZ585" s="268"/>
      <c r="UHA585" s="268"/>
      <c r="UHB585" s="268"/>
      <c r="UHC585" s="268"/>
      <c r="UHD585" s="268"/>
      <c r="UHE585" s="268"/>
      <c r="UHF585" s="268"/>
      <c r="UHG585" s="268"/>
      <c r="UHH585" s="268"/>
      <c r="UHI585" s="268"/>
      <c r="UHJ585" s="268"/>
      <c r="UHK585" s="268"/>
      <c r="UHL585" s="268"/>
      <c r="UHM585" s="268"/>
      <c r="UHN585" s="268"/>
      <c r="UHO585" s="268"/>
      <c r="UHP585" s="268"/>
      <c r="UHQ585" s="268"/>
      <c r="UHR585" s="268"/>
      <c r="UHS585" s="268"/>
      <c r="UHT585" s="268"/>
      <c r="UHU585" s="268"/>
      <c r="UHV585" s="268"/>
      <c r="UHW585" s="268"/>
      <c r="UHX585" s="268"/>
      <c r="UHY585" s="268"/>
      <c r="UHZ585" s="268"/>
      <c r="UIA585" s="268"/>
      <c r="UIB585" s="268"/>
      <c r="UIC585" s="268"/>
      <c r="UID585" s="268"/>
      <c r="UIE585" s="268"/>
      <c r="UIF585" s="268"/>
      <c r="UIG585" s="268"/>
      <c r="UIH585" s="268"/>
      <c r="UII585" s="268"/>
      <c r="UIJ585" s="268"/>
      <c r="UIK585" s="268"/>
      <c r="UIL585" s="268"/>
      <c r="UIM585" s="268"/>
      <c r="UIN585" s="268"/>
      <c r="UIO585" s="268"/>
      <c r="UIP585" s="268"/>
      <c r="UIQ585" s="268"/>
      <c r="UIR585" s="268"/>
      <c r="UIS585" s="268"/>
      <c r="UIT585" s="268"/>
      <c r="UIU585" s="268"/>
      <c r="UIV585" s="268"/>
      <c r="UIW585" s="268"/>
      <c r="UIX585" s="268"/>
      <c r="UIY585" s="268"/>
      <c r="UIZ585" s="268"/>
      <c r="UJA585" s="268"/>
      <c r="UJB585" s="268"/>
      <c r="UJC585" s="268"/>
      <c r="UJD585" s="268"/>
      <c r="UJE585" s="268"/>
      <c r="UJF585" s="268"/>
      <c r="UJG585" s="268"/>
      <c r="UJH585" s="268"/>
      <c r="UJI585" s="268"/>
      <c r="UJJ585" s="268"/>
      <c r="UJK585" s="268"/>
      <c r="UJL585" s="268"/>
      <c r="UJM585" s="268"/>
      <c r="UJN585" s="268"/>
      <c r="UJO585" s="268"/>
      <c r="UJP585" s="268"/>
      <c r="UJQ585" s="268"/>
      <c r="UJR585" s="268"/>
      <c r="UJS585" s="268"/>
      <c r="UJT585" s="268"/>
      <c r="UJU585" s="268"/>
      <c r="UJV585" s="268"/>
      <c r="UJW585" s="268"/>
      <c r="UJX585" s="268"/>
      <c r="UJY585" s="268"/>
      <c r="UJZ585" s="268"/>
      <c r="UKA585" s="268"/>
      <c r="UKB585" s="268"/>
      <c r="UKC585" s="268"/>
      <c r="UKD585" s="268"/>
      <c r="UKE585" s="268"/>
      <c r="UKF585" s="268"/>
      <c r="UKG585" s="268"/>
      <c r="UKH585" s="268"/>
      <c r="UKI585" s="268"/>
      <c r="UKJ585" s="268"/>
      <c r="UKK585" s="268"/>
      <c r="UKL585" s="268"/>
      <c r="UKM585" s="268"/>
      <c r="UKN585" s="268"/>
      <c r="UKO585" s="268"/>
      <c r="UKP585" s="268"/>
      <c r="UKQ585" s="268"/>
      <c r="UKR585" s="268"/>
      <c r="UKS585" s="268"/>
      <c r="UKT585" s="268"/>
      <c r="UKU585" s="268"/>
      <c r="UKV585" s="268"/>
      <c r="UKW585" s="268"/>
      <c r="UKX585" s="268"/>
      <c r="UKY585" s="268"/>
      <c r="UKZ585" s="268"/>
      <c r="ULA585" s="268"/>
      <c r="ULB585" s="268"/>
      <c r="ULC585" s="268"/>
      <c r="ULD585" s="268"/>
      <c r="ULE585" s="268"/>
      <c r="ULF585" s="268"/>
      <c r="ULG585" s="268"/>
      <c r="ULH585" s="268"/>
      <c r="ULI585" s="268"/>
      <c r="ULJ585" s="268"/>
      <c r="ULK585" s="268"/>
      <c r="ULL585" s="268"/>
      <c r="ULM585" s="268"/>
      <c r="ULN585" s="268"/>
      <c r="ULO585" s="268"/>
      <c r="ULP585" s="268"/>
      <c r="ULQ585" s="268"/>
      <c r="ULR585" s="268"/>
      <c r="ULS585" s="268"/>
      <c r="ULT585" s="268"/>
      <c r="ULU585" s="268"/>
      <c r="ULV585" s="268"/>
      <c r="ULW585" s="268"/>
      <c r="ULX585" s="268"/>
      <c r="ULY585" s="268"/>
      <c r="ULZ585" s="268"/>
      <c r="UMA585" s="268"/>
      <c r="UMB585" s="268"/>
      <c r="UMC585" s="268"/>
      <c r="UMD585" s="268"/>
      <c r="UME585" s="268"/>
      <c r="UMF585" s="268"/>
      <c r="UMG585" s="268"/>
      <c r="UMH585" s="268"/>
      <c r="UMI585" s="268"/>
      <c r="UMJ585" s="268"/>
      <c r="UMK585" s="268"/>
      <c r="UML585" s="268"/>
      <c r="UMM585" s="268"/>
      <c r="UMN585" s="268"/>
      <c r="UMO585" s="268"/>
      <c r="UMP585" s="268"/>
      <c r="UMQ585" s="268"/>
      <c r="UMR585" s="268"/>
      <c r="UMS585" s="268"/>
      <c r="UMT585" s="268"/>
      <c r="UMU585" s="268"/>
      <c r="UMV585" s="268"/>
      <c r="UMW585" s="268"/>
      <c r="UMX585" s="268"/>
      <c r="UMY585" s="268"/>
      <c r="UMZ585" s="268"/>
      <c r="UNA585" s="268"/>
      <c r="UNB585" s="268"/>
      <c r="UNC585" s="268"/>
      <c r="UND585" s="268"/>
      <c r="UNE585" s="268"/>
      <c r="UNF585" s="268"/>
      <c r="UNG585" s="268"/>
      <c r="UNH585" s="268"/>
      <c r="UNI585" s="268"/>
      <c r="UNJ585" s="268"/>
      <c r="UNK585" s="268"/>
      <c r="UNL585" s="268"/>
      <c r="UNM585" s="268"/>
      <c r="UNN585" s="268"/>
      <c r="UNO585" s="268"/>
      <c r="UNP585" s="268"/>
      <c r="UNQ585" s="268"/>
      <c r="UNR585" s="268"/>
      <c r="UNS585" s="268"/>
      <c r="UNT585" s="268"/>
      <c r="UNU585" s="268"/>
      <c r="UNV585" s="268"/>
      <c r="UNW585" s="268"/>
      <c r="UOK585" s="268"/>
      <c r="UOL585" s="268"/>
      <c r="UOM585" s="268"/>
      <c r="UPA585" s="268"/>
      <c r="UPC585" s="268"/>
      <c r="UPD585" s="268"/>
      <c r="UPE585" s="268"/>
      <c r="UPF585" s="268"/>
      <c r="UPG585" s="268"/>
      <c r="UPH585" s="268"/>
      <c r="UPI585" s="268"/>
      <c r="UPJ585" s="268"/>
      <c r="UPK585" s="268"/>
      <c r="UPL585" s="268"/>
      <c r="UPM585" s="268"/>
      <c r="UPN585" s="268"/>
      <c r="UPO585" s="268"/>
      <c r="UPP585" s="268"/>
      <c r="UPQ585" s="268"/>
      <c r="UPR585" s="268"/>
      <c r="UPS585" s="268"/>
      <c r="UPT585" s="268"/>
      <c r="UPU585" s="268"/>
      <c r="UPV585" s="268"/>
      <c r="UPW585" s="268"/>
      <c r="UPX585" s="268"/>
      <c r="UPY585" s="268"/>
      <c r="UPZ585" s="268"/>
      <c r="UQA585" s="268"/>
      <c r="UQB585" s="268"/>
      <c r="UQC585" s="268"/>
      <c r="UQD585" s="268"/>
      <c r="UQE585" s="268"/>
      <c r="UQF585" s="268"/>
      <c r="UQG585" s="268"/>
      <c r="UQH585" s="268"/>
      <c r="UQI585" s="268"/>
      <c r="UQJ585" s="268"/>
      <c r="UQK585" s="268"/>
      <c r="UQL585" s="268"/>
      <c r="UQM585" s="268"/>
      <c r="UQN585" s="268"/>
      <c r="UQO585" s="268"/>
      <c r="UQP585" s="268"/>
      <c r="UQQ585" s="268"/>
      <c r="UQR585" s="268"/>
      <c r="UQS585" s="268"/>
      <c r="UQT585" s="268"/>
      <c r="UQU585" s="268"/>
      <c r="UQV585" s="268"/>
      <c r="UQW585" s="268"/>
      <c r="UQX585" s="268"/>
      <c r="UQY585" s="268"/>
      <c r="UQZ585" s="268"/>
      <c r="URA585" s="268"/>
      <c r="URB585" s="268"/>
      <c r="URC585" s="268"/>
      <c r="URD585" s="268"/>
      <c r="URE585" s="268"/>
      <c r="URF585" s="268"/>
      <c r="URG585" s="268"/>
      <c r="URH585" s="268"/>
      <c r="URI585" s="268"/>
      <c r="URJ585" s="268"/>
      <c r="URK585" s="268"/>
      <c r="URL585" s="268"/>
      <c r="URM585" s="268"/>
      <c r="URN585" s="268"/>
      <c r="URO585" s="268"/>
      <c r="URP585" s="268"/>
      <c r="URQ585" s="268"/>
      <c r="URR585" s="268"/>
      <c r="URS585" s="268"/>
      <c r="URT585" s="268"/>
      <c r="URU585" s="268"/>
      <c r="URV585" s="268"/>
      <c r="URW585" s="268"/>
      <c r="URX585" s="268"/>
      <c r="URY585" s="268"/>
      <c r="URZ585" s="268"/>
      <c r="USA585" s="268"/>
      <c r="USB585" s="268"/>
      <c r="USC585" s="268"/>
      <c r="USD585" s="268"/>
      <c r="USE585" s="268"/>
      <c r="USF585" s="268"/>
      <c r="USG585" s="268"/>
      <c r="USH585" s="268"/>
      <c r="USI585" s="268"/>
      <c r="USJ585" s="268"/>
      <c r="USK585" s="268"/>
      <c r="USL585" s="268"/>
      <c r="USM585" s="268"/>
      <c r="USN585" s="268"/>
      <c r="USO585" s="268"/>
      <c r="USP585" s="268"/>
      <c r="USQ585" s="268"/>
      <c r="USR585" s="268"/>
      <c r="USS585" s="268"/>
      <c r="UST585" s="268"/>
      <c r="USU585" s="268"/>
      <c r="USV585" s="268"/>
      <c r="USW585" s="268"/>
      <c r="USX585" s="268"/>
      <c r="USY585" s="268"/>
      <c r="USZ585" s="268"/>
      <c r="UTA585" s="268"/>
      <c r="UTB585" s="268"/>
      <c r="UTC585" s="268"/>
      <c r="UTD585" s="268"/>
      <c r="UTE585" s="268"/>
      <c r="UTF585" s="268"/>
      <c r="UTG585" s="268"/>
      <c r="UTH585" s="268"/>
      <c r="UTI585" s="268"/>
      <c r="UTJ585" s="268"/>
      <c r="UTK585" s="268"/>
      <c r="UTL585" s="268"/>
      <c r="UTM585" s="268"/>
      <c r="UTN585" s="268"/>
      <c r="UTO585" s="268"/>
      <c r="UTP585" s="268"/>
      <c r="UTQ585" s="268"/>
      <c r="UTR585" s="268"/>
      <c r="UTS585" s="268"/>
      <c r="UTT585" s="268"/>
      <c r="UTU585" s="268"/>
      <c r="UTV585" s="268"/>
      <c r="UTW585" s="268"/>
      <c r="UTX585" s="268"/>
      <c r="UTY585" s="268"/>
      <c r="UTZ585" s="268"/>
      <c r="UUA585" s="268"/>
      <c r="UUB585" s="268"/>
      <c r="UUC585" s="268"/>
      <c r="UUD585" s="268"/>
      <c r="UUE585" s="268"/>
      <c r="UUF585" s="268"/>
      <c r="UUG585" s="268"/>
      <c r="UUH585" s="268"/>
      <c r="UUI585" s="268"/>
      <c r="UUJ585" s="268"/>
      <c r="UUK585" s="268"/>
      <c r="UUL585" s="268"/>
      <c r="UUM585" s="268"/>
      <c r="UUN585" s="268"/>
      <c r="UUO585" s="268"/>
      <c r="UUP585" s="268"/>
      <c r="UUQ585" s="268"/>
      <c r="UUR585" s="268"/>
      <c r="UUS585" s="268"/>
      <c r="UUT585" s="268"/>
      <c r="UUU585" s="268"/>
      <c r="UUV585" s="268"/>
      <c r="UUW585" s="268"/>
      <c r="UUX585" s="268"/>
      <c r="UUY585" s="268"/>
      <c r="UUZ585" s="268"/>
      <c r="UVA585" s="268"/>
      <c r="UVB585" s="268"/>
      <c r="UVC585" s="268"/>
      <c r="UVD585" s="268"/>
      <c r="UVE585" s="268"/>
      <c r="UVF585" s="268"/>
      <c r="UVG585" s="268"/>
      <c r="UVH585" s="268"/>
      <c r="UVI585" s="268"/>
      <c r="UVJ585" s="268"/>
      <c r="UVK585" s="268"/>
      <c r="UVL585" s="268"/>
      <c r="UVM585" s="268"/>
      <c r="UVN585" s="268"/>
      <c r="UVO585" s="268"/>
      <c r="UVP585" s="268"/>
      <c r="UVQ585" s="268"/>
      <c r="UVR585" s="268"/>
      <c r="UVS585" s="268"/>
      <c r="UVT585" s="268"/>
      <c r="UVU585" s="268"/>
      <c r="UVV585" s="268"/>
      <c r="UVW585" s="268"/>
      <c r="UVX585" s="268"/>
      <c r="UVY585" s="268"/>
      <c r="UVZ585" s="268"/>
      <c r="UWA585" s="268"/>
      <c r="UWB585" s="268"/>
      <c r="UWC585" s="268"/>
      <c r="UWD585" s="268"/>
      <c r="UWE585" s="268"/>
      <c r="UWF585" s="268"/>
      <c r="UWG585" s="268"/>
      <c r="UWH585" s="268"/>
      <c r="UWI585" s="268"/>
      <c r="UWJ585" s="268"/>
      <c r="UWK585" s="268"/>
      <c r="UWL585" s="268"/>
      <c r="UWM585" s="268"/>
      <c r="UWN585" s="268"/>
      <c r="UWO585" s="268"/>
      <c r="UWP585" s="268"/>
      <c r="UWQ585" s="268"/>
      <c r="UWR585" s="268"/>
      <c r="UWS585" s="268"/>
      <c r="UWT585" s="268"/>
      <c r="UWU585" s="268"/>
      <c r="UWV585" s="268"/>
      <c r="UWW585" s="268"/>
      <c r="UWX585" s="268"/>
      <c r="UWY585" s="268"/>
      <c r="UWZ585" s="268"/>
      <c r="UXA585" s="268"/>
      <c r="UXB585" s="268"/>
      <c r="UXC585" s="268"/>
      <c r="UXD585" s="268"/>
      <c r="UXE585" s="268"/>
      <c r="UXF585" s="268"/>
      <c r="UXG585" s="268"/>
      <c r="UXH585" s="268"/>
      <c r="UXI585" s="268"/>
      <c r="UXJ585" s="268"/>
      <c r="UXK585" s="268"/>
      <c r="UXL585" s="268"/>
      <c r="UXM585" s="268"/>
      <c r="UXN585" s="268"/>
      <c r="UXO585" s="268"/>
      <c r="UXP585" s="268"/>
      <c r="UXQ585" s="268"/>
      <c r="UXR585" s="268"/>
      <c r="UXS585" s="268"/>
      <c r="UYG585" s="268"/>
      <c r="UYH585" s="268"/>
      <c r="UYI585" s="268"/>
      <c r="UYW585" s="268"/>
      <c r="UYY585" s="268"/>
      <c r="UYZ585" s="268"/>
      <c r="UZA585" s="268"/>
      <c r="UZB585" s="268"/>
      <c r="UZC585" s="268"/>
      <c r="UZD585" s="268"/>
      <c r="UZE585" s="268"/>
      <c r="UZF585" s="268"/>
      <c r="UZG585" s="268"/>
      <c r="UZH585" s="268"/>
      <c r="UZI585" s="268"/>
      <c r="UZJ585" s="268"/>
      <c r="UZK585" s="268"/>
      <c r="UZL585" s="268"/>
      <c r="UZM585" s="268"/>
      <c r="UZN585" s="268"/>
      <c r="UZO585" s="268"/>
      <c r="UZP585" s="268"/>
      <c r="UZQ585" s="268"/>
      <c r="UZR585" s="268"/>
      <c r="UZS585" s="268"/>
      <c r="UZT585" s="268"/>
      <c r="UZU585" s="268"/>
      <c r="UZV585" s="268"/>
      <c r="UZW585" s="268"/>
      <c r="UZX585" s="268"/>
      <c r="UZY585" s="268"/>
      <c r="UZZ585" s="268"/>
      <c r="VAA585" s="268"/>
      <c r="VAB585" s="268"/>
      <c r="VAC585" s="268"/>
      <c r="VAD585" s="268"/>
      <c r="VAE585" s="268"/>
      <c r="VAF585" s="268"/>
      <c r="VAG585" s="268"/>
      <c r="VAH585" s="268"/>
      <c r="VAI585" s="268"/>
      <c r="VAJ585" s="268"/>
      <c r="VAK585" s="268"/>
      <c r="VAL585" s="268"/>
      <c r="VAM585" s="268"/>
      <c r="VAN585" s="268"/>
      <c r="VAO585" s="268"/>
      <c r="VAP585" s="268"/>
      <c r="VAQ585" s="268"/>
      <c r="VAR585" s="268"/>
      <c r="VAS585" s="268"/>
      <c r="VAT585" s="268"/>
      <c r="VAU585" s="268"/>
      <c r="VAV585" s="268"/>
      <c r="VAW585" s="268"/>
      <c r="VAX585" s="268"/>
      <c r="VAY585" s="268"/>
      <c r="VAZ585" s="268"/>
      <c r="VBA585" s="268"/>
      <c r="VBB585" s="268"/>
      <c r="VBC585" s="268"/>
      <c r="VBD585" s="268"/>
      <c r="VBE585" s="268"/>
      <c r="VBF585" s="268"/>
      <c r="VBG585" s="268"/>
      <c r="VBH585" s="268"/>
      <c r="VBI585" s="268"/>
      <c r="VBJ585" s="268"/>
      <c r="VBK585" s="268"/>
      <c r="VBL585" s="268"/>
      <c r="VBM585" s="268"/>
      <c r="VBN585" s="268"/>
      <c r="VBO585" s="268"/>
      <c r="VBP585" s="268"/>
      <c r="VBQ585" s="268"/>
      <c r="VBR585" s="268"/>
      <c r="VBS585" s="268"/>
      <c r="VBT585" s="268"/>
      <c r="VBU585" s="268"/>
      <c r="VBV585" s="268"/>
      <c r="VBW585" s="268"/>
      <c r="VBX585" s="268"/>
      <c r="VBY585" s="268"/>
      <c r="VBZ585" s="268"/>
      <c r="VCA585" s="268"/>
      <c r="VCB585" s="268"/>
      <c r="VCC585" s="268"/>
      <c r="VCD585" s="268"/>
      <c r="VCE585" s="268"/>
      <c r="VCF585" s="268"/>
      <c r="VCG585" s="268"/>
      <c r="VCH585" s="268"/>
      <c r="VCI585" s="268"/>
      <c r="VCJ585" s="268"/>
      <c r="VCK585" s="268"/>
      <c r="VCL585" s="268"/>
      <c r="VCM585" s="268"/>
      <c r="VCN585" s="268"/>
      <c r="VCO585" s="268"/>
      <c r="VCP585" s="268"/>
      <c r="VCQ585" s="268"/>
      <c r="VCR585" s="268"/>
      <c r="VCS585" s="268"/>
      <c r="VCT585" s="268"/>
      <c r="VCU585" s="268"/>
      <c r="VCV585" s="268"/>
      <c r="VCW585" s="268"/>
      <c r="VCX585" s="268"/>
      <c r="VCY585" s="268"/>
      <c r="VCZ585" s="268"/>
      <c r="VDA585" s="268"/>
      <c r="VDB585" s="268"/>
      <c r="VDC585" s="268"/>
      <c r="VDD585" s="268"/>
      <c r="VDE585" s="268"/>
      <c r="VDF585" s="268"/>
      <c r="VDG585" s="268"/>
      <c r="VDH585" s="268"/>
      <c r="VDI585" s="268"/>
      <c r="VDJ585" s="268"/>
      <c r="VDK585" s="268"/>
      <c r="VDL585" s="268"/>
      <c r="VDM585" s="268"/>
      <c r="VDN585" s="268"/>
      <c r="VDO585" s="268"/>
      <c r="VDP585" s="268"/>
      <c r="VDQ585" s="268"/>
      <c r="VDR585" s="268"/>
      <c r="VDS585" s="268"/>
      <c r="VDT585" s="268"/>
      <c r="VDU585" s="268"/>
      <c r="VDV585" s="268"/>
      <c r="VDW585" s="268"/>
      <c r="VDX585" s="268"/>
      <c r="VDY585" s="268"/>
      <c r="VDZ585" s="268"/>
      <c r="VEA585" s="268"/>
      <c r="VEB585" s="268"/>
      <c r="VEC585" s="268"/>
      <c r="VED585" s="268"/>
      <c r="VEE585" s="268"/>
      <c r="VEF585" s="268"/>
      <c r="VEG585" s="268"/>
      <c r="VEH585" s="268"/>
      <c r="VEI585" s="268"/>
      <c r="VEJ585" s="268"/>
      <c r="VEK585" s="268"/>
      <c r="VEL585" s="268"/>
      <c r="VEM585" s="268"/>
      <c r="VEN585" s="268"/>
      <c r="VEO585" s="268"/>
      <c r="VEP585" s="268"/>
      <c r="VEQ585" s="268"/>
      <c r="VER585" s="268"/>
      <c r="VES585" s="268"/>
      <c r="VET585" s="268"/>
      <c r="VEU585" s="268"/>
      <c r="VEV585" s="268"/>
      <c r="VEW585" s="268"/>
      <c r="VEX585" s="268"/>
      <c r="VEY585" s="268"/>
      <c r="VEZ585" s="268"/>
      <c r="VFA585" s="268"/>
      <c r="VFB585" s="268"/>
      <c r="VFC585" s="268"/>
      <c r="VFD585" s="268"/>
      <c r="VFE585" s="268"/>
      <c r="VFF585" s="268"/>
      <c r="VFG585" s="268"/>
      <c r="VFH585" s="268"/>
      <c r="VFI585" s="268"/>
      <c r="VFJ585" s="268"/>
      <c r="VFK585" s="268"/>
      <c r="VFL585" s="268"/>
      <c r="VFM585" s="268"/>
      <c r="VFN585" s="268"/>
      <c r="VFO585" s="268"/>
      <c r="VFP585" s="268"/>
      <c r="VFQ585" s="268"/>
      <c r="VFR585" s="268"/>
      <c r="VFS585" s="268"/>
      <c r="VFT585" s="268"/>
      <c r="VFU585" s="268"/>
      <c r="VFV585" s="268"/>
      <c r="VFW585" s="268"/>
      <c r="VFX585" s="268"/>
      <c r="VFY585" s="268"/>
      <c r="VFZ585" s="268"/>
      <c r="VGA585" s="268"/>
      <c r="VGB585" s="268"/>
      <c r="VGC585" s="268"/>
      <c r="VGD585" s="268"/>
      <c r="VGE585" s="268"/>
      <c r="VGF585" s="268"/>
      <c r="VGG585" s="268"/>
      <c r="VGH585" s="268"/>
      <c r="VGI585" s="268"/>
      <c r="VGJ585" s="268"/>
      <c r="VGK585" s="268"/>
      <c r="VGL585" s="268"/>
      <c r="VGM585" s="268"/>
      <c r="VGN585" s="268"/>
      <c r="VGO585" s="268"/>
      <c r="VGP585" s="268"/>
      <c r="VGQ585" s="268"/>
      <c r="VGR585" s="268"/>
      <c r="VGS585" s="268"/>
      <c r="VGT585" s="268"/>
      <c r="VGU585" s="268"/>
      <c r="VGV585" s="268"/>
      <c r="VGW585" s="268"/>
      <c r="VGX585" s="268"/>
      <c r="VGY585" s="268"/>
      <c r="VGZ585" s="268"/>
      <c r="VHA585" s="268"/>
      <c r="VHB585" s="268"/>
      <c r="VHC585" s="268"/>
      <c r="VHD585" s="268"/>
      <c r="VHE585" s="268"/>
      <c r="VHF585" s="268"/>
      <c r="VHG585" s="268"/>
      <c r="VHH585" s="268"/>
      <c r="VHI585" s="268"/>
      <c r="VHJ585" s="268"/>
      <c r="VHK585" s="268"/>
      <c r="VHL585" s="268"/>
      <c r="VHM585" s="268"/>
      <c r="VHN585" s="268"/>
      <c r="VHO585" s="268"/>
      <c r="VIC585" s="268"/>
      <c r="VID585" s="268"/>
      <c r="VIE585" s="268"/>
      <c r="VIS585" s="268"/>
      <c r="VIU585" s="268"/>
      <c r="VIV585" s="268"/>
      <c r="VIW585" s="268"/>
      <c r="VIX585" s="268"/>
      <c r="VIY585" s="268"/>
      <c r="VIZ585" s="268"/>
      <c r="VJA585" s="268"/>
      <c r="VJB585" s="268"/>
      <c r="VJC585" s="268"/>
      <c r="VJD585" s="268"/>
      <c r="VJE585" s="268"/>
      <c r="VJF585" s="268"/>
      <c r="VJG585" s="268"/>
      <c r="VJH585" s="268"/>
      <c r="VJI585" s="268"/>
      <c r="VJJ585" s="268"/>
      <c r="VJK585" s="268"/>
      <c r="VJL585" s="268"/>
      <c r="VJM585" s="268"/>
      <c r="VJN585" s="268"/>
      <c r="VJO585" s="268"/>
      <c r="VJP585" s="268"/>
      <c r="VJQ585" s="268"/>
      <c r="VJR585" s="268"/>
      <c r="VJS585" s="268"/>
      <c r="VJT585" s="268"/>
      <c r="VJU585" s="268"/>
      <c r="VJV585" s="268"/>
      <c r="VJW585" s="268"/>
      <c r="VJX585" s="268"/>
      <c r="VJY585" s="268"/>
      <c r="VJZ585" s="268"/>
      <c r="VKA585" s="268"/>
      <c r="VKB585" s="268"/>
      <c r="VKC585" s="268"/>
      <c r="VKD585" s="268"/>
      <c r="VKE585" s="268"/>
      <c r="VKF585" s="268"/>
      <c r="VKG585" s="268"/>
      <c r="VKH585" s="268"/>
      <c r="VKI585" s="268"/>
      <c r="VKJ585" s="268"/>
      <c r="VKK585" s="268"/>
      <c r="VKL585" s="268"/>
      <c r="VKM585" s="268"/>
      <c r="VKN585" s="268"/>
      <c r="VKO585" s="268"/>
      <c r="VKP585" s="268"/>
      <c r="VKQ585" s="268"/>
      <c r="VKR585" s="268"/>
      <c r="VKS585" s="268"/>
      <c r="VKT585" s="268"/>
      <c r="VKU585" s="268"/>
      <c r="VKV585" s="268"/>
      <c r="VKW585" s="268"/>
      <c r="VKX585" s="268"/>
      <c r="VKY585" s="268"/>
      <c r="VKZ585" s="268"/>
      <c r="VLA585" s="268"/>
      <c r="VLB585" s="268"/>
      <c r="VLC585" s="268"/>
      <c r="VLD585" s="268"/>
      <c r="VLE585" s="268"/>
      <c r="VLF585" s="268"/>
      <c r="VLG585" s="268"/>
      <c r="VLH585" s="268"/>
      <c r="VLI585" s="268"/>
      <c r="VLJ585" s="268"/>
      <c r="VLK585" s="268"/>
      <c r="VLL585" s="268"/>
      <c r="VLM585" s="268"/>
      <c r="VLN585" s="268"/>
      <c r="VLO585" s="268"/>
      <c r="VLP585" s="268"/>
      <c r="VLQ585" s="268"/>
      <c r="VLR585" s="268"/>
      <c r="VLS585" s="268"/>
      <c r="VLT585" s="268"/>
      <c r="VLU585" s="268"/>
      <c r="VLV585" s="268"/>
      <c r="VLW585" s="268"/>
      <c r="VLX585" s="268"/>
      <c r="VLY585" s="268"/>
      <c r="VLZ585" s="268"/>
      <c r="VMA585" s="268"/>
      <c r="VMB585" s="268"/>
      <c r="VMC585" s="268"/>
      <c r="VMD585" s="268"/>
      <c r="VME585" s="268"/>
      <c r="VMF585" s="268"/>
      <c r="VMG585" s="268"/>
      <c r="VMH585" s="268"/>
      <c r="VMI585" s="268"/>
      <c r="VMJ585" s="268"/>
      <c r="VMK585" s="268"/>
      <c r="VML585" s="268"/>
      <c r="VMM585" s="268"/>
      <c r="VMN585" s="268"/>
      <c r="VMO585" s="268"/>
      <c r="VMP585" s="268"/>
      <c r="VMQ585" s="268"/>
      <c r="VMR585" s="268"/>
      <c r="VMS585" s="268"/>
      <c r="VMT585" s="268"/>
      <c r="VMU585" s="268"/>
      <c r="VMV585" s="268"/>
      <c r="VMW585" s="268"/>
      <c r="VMX585" s="268"/>
      <c r="VMY585" s="268"/>
      <c r="VMZ585" s="268"/>
      <c r="VNA585" s="268"/>
      <c r="VNB585" s="268"/>
      <c r="VNC585" s="268"/>
      <c r="VND585" s="268"/>
      <c r="VNE585" s="268"/>
      <c r="VNF585" s="268"/>
      <c r="VNG585" s="268"/>
      <c r="VNH585" s="268"/>
      <c r="VNI585" s="268"/>
      <c r="VNJ585" s="268"/>
      <c r="VNK585" s="268"/>
      <c r="VNL585" s="268"/>
      <c r="VNM585" s="268"/>
      <c r="VNN585" s="268"/>
      <c r="VNO585" s="268"/>
      <c r="VNP585" s="268"/>
      <c r="VNQ585" s="268"/>
      <c r="VNR585" s="268"/>
      <c r="VNS585" s="268"/>
      <c r="VNT585" s="268"/>
      <c r="VNU585" s="268"/>
      <c r="VNV585" s="268"/>
      <c r="VNW585" s="268"/>
      <c r="VNX585" s="268"/>
      <c r="VNY585" s="268"/>
      <c r="VNZ585" s="268"/>
      <c r="VOA585" s="268"/>
      <c r="VOB585" s="268"/>
      <c r="VOC585" s="268"/>
      <c r="VOD585" s="268"/>
      <c r="VOE585" s="268"/>
      <c r="VOF585" s="268"/>
      <c r="VOG585" s="268"/>
      <c r="VOH585" s="268"/>
      <c r="VOI585" s="268"/>
      <c r="VOJ585" s="268"/>
      <c r="VOK585" s="268"/>
      <c r="VOL585" s="268"/>
      <c r="VOM585" s="268"/>
      <c r="VON585" s="268"/>
      <c r="VOO585" s="268"/>
      <c r="VOP585" s="268"/>
      <c r="VOQ585" s="268"/>
      <c r="VOR585" s="268"/>
      <c r="VOS585" s="268"/>
      <c r="VOT585" s="268"/>
      <c r="VOU585" s="268"/>
      <c r="VOV585" s="268"/>
      <c r="VOW585" s="268"/>
      <c r="VOX585" s="268"/>
      <c r="VOY585" s="268"/>
      <c r="VOZ585" s="268"/>
      <c r="VPA585" s="268"/>
      <c r="VPB585" s="268"/>
      <c r="VPC585" s="268"/>
      <c r="VPD585" s="268"/>
      <c r="VPE585" s="268"/>
      <c r="VPF585" s="268"/>
      <c r="VPG585" s="268"/>
      <c r="VPH585" s="268"/>
      <c r="VPI585" s="268"/>
      <c r="VPJ585" s="268"/>
      <c r="VPK585" s="268"/>
      <c r="VPL585" s="268"/>
      <c r="VPM585" s="268"/>
      <c r="VPN585" s="268"/>
      <c r="VPO585" s="268"/>
      <c r="VPP585" s="268"/>
      <c r="VPQ585" s="268"/>
      <c r="VPR585" s="268"/>
      <c r="VPS585" s="268"/>
      <c r="VPT585" s="268"/>
      <c r="VPU585" s="268"/>
      <c r="VPV585" s="268"/>
      <c r="VPW585" s="268"/>
      <c r="VPX585" s="268"/>
      <c r="VPY585" s="268"/>
      <c r="VPZ585" s="268"/>
      <c r="VQA585" s="268"/>
      <c r="VQB585" s="268"/>
      <c r="VQC585" s="268"/>
      <c r="VQD585" s="268"/>
      <c r="VQE585" s="268"/>
      <c r="VQF585" s="268"/>
      <c r="VQG585" s="268"/>
      <c r="VQH585" s="268"/>
      <c r="VQI585" s="268"/>
      <c r="VQJ585" s="268"/>
      <c r="VQK585" s="268"/>
      <c r="VQL585" s="268"/>
      <c r="VQM585" s="268"/>
      <c r="VQN585" s="268"/>
      <c r="VQO585" s="268"/>
      <c r="VQP585" s="268"/>
      <c r="VQQ585" s="268"/>
      <c r="VQR585" s="268"/>
      <c r="VQS585" s="268"/>
      <c r="VQT585" s="268"/>
      <c r="VQU585" s="268"/>
      <c r="VQV585" s="268"/>
      <c r="VQW585" s="268"/>
      <c r="VQX585" s="268"/>
      <c r="VQY585" s="268"/>
      <c r="VQZ585" s="268"/>
      <c r="VRA585" s="268"/>
      <c r="VRB585" s="268"/>
      <c r="VRC585" s="268"/>
      <c r="VRD585" s="268"/>
      <c r="VRE585" s="268"/>
      <c r="VRF585" s="268"/>
      <c r="VRG585" s="268"/>
      <c r="VRH585" s="268"/>
      <c r="VRI585" s="268"/>
      <c r="VRJ585" s="268"/>
      <c r="VRK585" s="268"/>
      <c r="VRY585" s="268"/>
      <c r="VRZ585" s="268"/>
      <c r="VSA585" s="268"/>
      <c r="VSO585" s="268"/>
      <c r="VSQ585" s="268"/>
      <c r="VSR585" s="268"/>
      <c r="VSS585" s="268"/>
      <c r="VST585" s="268"/>
      <c r="VSU585" s="268"/>
      <c r="VSV585" s="268"/>
      <c r="VSW585" s="268"/>
      <c r="VSX585" s="268"/>
      <c r="VSY585" s="268"/>
      <c r="VSZ585" s="268"/>
      <c r="VTA585" s="268"/>
      <c r="VTB585" s="268"/>
      <c r="VTC585" s="268"/>
      <c r="VTD585" s="268"/>
      <c r="VTE585" s="268"/>
      <c r="VTF585" s="268"/>
      <c r="VTG585" s="268"/>
      <c r="VTH585" s="268"/>
      <c r="VTI585" s="268"/>
      <c r="VTJ585" s="268"/>
      <c r="VTK585" s="268"/>
      <c r="VTL585" s="268"/>
      <c r="VTM585" s="268"/>
      <c r="VTN585" s="268"/>
      <c r="VTO585" s="268"/>
      <c r="VTP585" s="268"/>
      <c r="VTQ585" s="268"/>
      <c r="VTR585" s="268"/>
      <c r="VTS585" s="268"/>
      <c r="VTT585" s="268"/>
      <c r="VTU585" s="268"/>
      <c r="VTV585" s="268"/>
      <c r="VTW585" s="268"/>
      <c r="VTX585" s="268"/>
      <c r="VTY585" s="268"/>
      <c r="VTZ585" s="268"/>
      <c r="VUA585" s="268"/>
      <c r="VUB585" s="268"/>
      <c r="VUC585" s="268"/>
      <c r="VUD585" s="268"/>
      <c r="VUE585" s="268"/>
      <c r="VUF585" s="268"/>
      <c r="VUG585" s="268"/>
      <c r="VUH585" s="268"/>
      <c r="VUI585" s="268"/>
      <c r="VUJ585" s="268"/>
      <c r="VUK585" s="268"/>
      <c r="VUL585" s="268"/>
      <c r="VUM585" s="268"/>
      <c r="VUN585" s="268"/>
      <c r="VUO585" s="268"/>
      <c r="VUP585" s="268"/>
      <c r="VUQ585" s="268"/>
      <c r="VUR585" s="268"/>
      <c r="VUS585" s="268"/>
      <c r="VUT585" s="268"/>
      <c r="VUU585" s="268"/>
      <c r="VUV585" s="268"/>
      <c r="VUW585" s="268"/>
      <c r="VUX585" s="268"/>
      <c r="VUY585" s="268"/>
      <c r="VUZ585" s="268"/>
      <c r="VVA585" s="268"/>
      <c r="VVB585" s="268"/>
      <c r="VVC585" s="268"/>
      <c r="VVD585" s="268"/>
      <c r="VVE585" s="268"/>
      <c r="VVF585" s="268"/>
      <c r="VVG585" s="268"/>
      <c r="VVH585" s="268"/>
      <c r="VVI585" s="268"/>
      <c r="VVJ585" s="268"/>
      <c r="VVK585" s="268"/>
      <c r="VVL585" s="268"/>
      <c r="VVM585" s="268"/>
      <c r="VVN585" s="268"/>
      <c r="VVO585" s="268"/>
      <c r="VVP585" s="268"/>
      <c r="VVQ585" s="268"/>
      <c r="VVR585" s="268"/>
      <c r="VVS585" s="268"/>
      <c r="VVT585" s="268"/>
      <c r="VVU585" s="268"/>
      <c r="VVV585" s="268"/>
      <c r="VVW585" s="268"/>
      <c r="VVX585" s="268"/>
      <c r="VVY585" s="268"/>
      <c r="VVZ585" s="268"/>
      <c r="VWA585" s="268"/>
      <c r="VWB585" s="268"/>
      <c r="VWC585" s="268"/>
      <c r="VWD585" s="268"/>
      <c r="VWE585" s="268"/>
      <c r="VWF585" s="268"/>
      <c r="VWG585" s="268"/>
      <c r="VWH585" s="268"/>
      <c r="VWI585" s="268"/>
      <c r="VWJ585" s="268"/>
      <c r="VWK585" s="268"/>
      <c r="VWL585" s="268"/>
      <c r="VWM585" s="268"/>
      <c r="VWN585" s="268"/>
      <c r="VWO585" s="268"/>
      <c r="VWP585" s="268"/>
      <c r="VWQ585" s="268"/>
      <c r="VWR585" s="268"/>
      <c r="VWS585" s="268"/>
      <c r="VWT585" s="268"/>
      <c r="VWU585" s="268"/>
      <c r="VWV585" s="268"/>
      <c r="VWW585" s="268"/>
      <c r="VWX585" s="268"/>
      <c r="VWY585" s="268"/>
      <c r="VWZ585" s="268"/>
      <c r="VXA585" s="268"/>
      <c r="VXB585" s="268"/>
      <c r="VXC585" s="268"/>
      <c r="VXD585" s="268"/>
      <c r="VXE585" s="268"/>
      <c r="VXF585" s="268"/>
      <c r="VXG585" s="268"/>
      <c r="VXH585" s="268"/>
      <c r="VXI585" s="268"/>
      <c r="VXJ585" s="268"/>
      <c r="VXK585" s="268"/>
      <c r="VXL585" s="268"/>
      <c r="VXM585" s="268"/>
      <c r="VXN585" s="268"/>
      <c r="VXO585" s="268"/>
      <c r="VXP585" s="268"/>
      <c r="VXQ585" s="268"/>
      <c r="VXR585" s="268"/>
      <c r="VXS585" s="268"/>
      <c r="VXT585" s="268"/>
      <c r="VXU585" s="268"/>
      <c r="VXV585" s="268"/>
      <c r="VXW585" s="268"/>
      <c r="VXX585" s="268"/>
      <c r="VXY585" s="268"/>
      <c r="VXZ585" s="268"/>
      <c r="VYA585" s="268"/>
      <c r="VYB585" s="268"/>
      <c r="VYC585" s="268"/>
      <c r="VYD585" s="268"/>
      <c r="VYE585" s="268"/>
      <c r="VYF585" s="268"/>
      <c r="VYG585" s="268"/>
      <c r="VYH585" s="268"/>
      <c r="VYI585" s="268"/>
      <c r="VYJ585" s="268"/>
      <c r="VYK585" s="268"/>
      <c r="VYL585" s="268"/>
      <c r="VYM585" s="268"/>
      <c r="VYN585" s="268"/>
      <c r="VYO585" s="268"/>
      <c r="VYP585" s="268"/>
      <c r="VYQ585" s="268"/>
      <c r="VYR585" s="268"/>
      <c r="VYS585" s="268"/>
      <c r="VYT585" s="268"/>
      <c r="VYU585" s="268"/>
      <c r="VYV585" s="268"/>
      <c r="VYW585" s="268"/>
      <c r="VYX585" s="268"/>
      <c r="VYY585" s="268"/>
      <c r="VYZ585" s="268"/>
      <c r="VZA585" s="268"/>
      <c r="VZB585" s="268"/>
      <c r="VZC585" s="268"/>
      <c r="VZD585" s="268"/>
      <c r="VZE585" s="268"/>
      <c r="VZF585" s="268"/>
      <c r="VZG585" s="268"/>
      <c r="VZH585" s="268"/>
      <c r="VZI585" s="268"/>
      <c r="VZJ585" s="268"/>
      <c r="VZK585" s="268"/>
      <c r="VZL585" s="268"/>
      <c r="VZM585" s="268"/>
      <c r="VZN585" s="268"/>
      <c r="VZO585" s="268"/>
      <c r="VZP585" s="268"/>
      <c r="VZQ585" s="268"/>
      <c r="VZR585" s="268"/>
      <c r="VZS585" s="268"/>
      <c r="VZT585" s="268"/>
      <c r="VZU585" s="268"/>
      <c r="VZV585" s="268"/>
      <c r="VZW585" s="268"/>
      <c r="VZX585" s="268"/>
      <c r="VZY585" s="268"/>
      <c r="VZZ585" s="268"/>
      <c r="WAA585" s="268"/>
      <c r="WAB585" s="268"/>
      <c r="WAC585" s="268"/>
      <c r="WAD585" s="268"/>
      <c r="WAE585" s="268"/>
      <c r="WAF585" s="268"/>
      <c r="WAG585" s="268"/>
      <c r="WAH585" s="268"/>
      <c r="WAI585" s="268"/>
      <c r="WAJ585" s="268"/>
      <c r="WAK585" s="268"/>
      <c r="WAL585" s="268"/>
      <c r="WAM585" s="268"/>
      <c r="WAN585" s="268"/>
      <c r="WAO585" s="268"/>
      <c r="WAP585" s="268"/>
      <c r="WAQ585" s="268"/>
      <c r="WAR585" s="268"/>
      <c r="WAS585" s="268"/>
      <c r="WAT585" s="268"/>
      <c r="WAU585" s="268"/>
      <c r="WAV585" s="268"/>
      <c r="WAW585" s="268"/>
      <c r="WAX585" s="268"/>
      <c r="WAY585" s="268"/>
      <c r="WAZ585" s="268"/>
      <c r="WBA585" s="268"/>
      <c r="WBB585" s="268"/>
      <c r="WBC585" s="268"/>
      <c r="WBD585" s="268"/>
      <c r="WBE585" s="268"/>
      <c r="WBF585" s="268"/>
      <c r="WBG585" s="268"/>
      <c r="WBU585" s="268"/>
      <c r="WBV585" s="268"/>
      <c r="WBW585" s="268"/>
      <c r="WCK585" s="268"/>
      <c r="WCM585" s="268"/>
      <c r="WCN585" s="268"/>
      <c r="WCO585" s="268"/>
      <c r="WCP585" s="268"/>
      <c r="WCQ585" s="268"/>
      <c r="WCR585" s="268"/>
      <c r="WCS585" s="268"/>
      <c r="WCT585" s="268"/>
      <c r="WCU585" s="268"/>
      <c r="WCV585" s="268"/>
      <c r="WCW585" s="268"/>
      <c r="WCX585" s="268"/>
      <c r="WCY585" s="268"/>
      <c r="WCZ585" s="268"/>
      <c r="WDA585" s="268"/>
      <c r="WDB585" s="268"/>
      <c r="WDC585" s="268"/>
      <c r="WDD585" s="268"/>
      <c r="WDE585" s="268"/>
      <c r="WDF585" s="268"/>
      <c r="WDG585" s="268"/>
      <c r="WDH585" s="268"/>
      <c r="WDI585" s="268"/>
      <c r="WDJ585" s="268"/>
      <c r="WDK585" s="268"/>
      <c r="WDL585" s="268"/>
      <c r="WDM585" s="268"/>
      <c r="WDN585" s="268"/>
      <c r="WDO585" s="268"/>
      <c r="WDP585" s="268"/>
      <c r="WDQ585" s="268"/>
      <c r="WDR585" s="268"/>
      <c r="WDS585" s="268"/>
      <c r="WDT585" s="268"/>
      <c r="WDU585" s="268"/>
      <c r="WDV585" s="268"/>
      <c r="WDW585" s="268"/>
      <c r="WDX585" s="268"/>
      <c r="WDY585" s="268"/>
      <c r="WDZ585" s="268"/>
      <c r="WEA585" s="268"/>
      <c r="WEB585" s="268"/>
      <c r="WEC585" s="268"/>
      <c r="WED585" s="268"/>
      <c r="WEE585" s="268"/>
      <c r="WEF585" s="268"/>
      <c r="WEG585" s="268"/>
      <c r="WEH585" s="268"/>
      <c r="WEI585" s="268"/>
      <c r="WEJ585" s="268"/>
      <c r="WEK585" s="268"/>
      <c r="WEL585" s="268"/>
      <c r="WEM585" s="268"/>
      <c r="WEN585" s="268"/>
      <c r="WEO585" s="268"/>
      <c r="WEP585" s="268"/>
      <c r="WEQ585" s="268"/>
      <c r="WER585" s="268"/>
      <c r="WES585" s="268"/>
      <c r="WET585" s="268"/>
      <c r="WEU585" s="268"/>
      <c r="WEV585" s="268"/>
      <c r="WEW585" s="268"/>
      <c r="WEX585" s="268"/>
      <c r="WEY585" s="268"/>
      <c r="WEZ585" s="268"/>
      <c r="WFA585" s="268"/>
      <c r="WFB585" s="268"/>
      <c r="WFC585" s="268"/>
      <c r="WFD585" s="268"/>
      <c r="WFE585" s="268"/>
      <c r="WFF585" s="268"/>
      <c r="WFG585" s="268"/>
      <c r="WFH585" s="268"/>
      <c r="WFI585" s="268"/>
      <c r="WFJ585" s="268"/>
      <c r="WFK585" s="268"/>
      <c r="WFL585" s="268"/>
      <c r="WFM585" s="268"/>
      <c r="WFN585" s="268"/>
      <c r="WFO585" s="268"/>
      <c r="WFP585" s="268"/>
      <c r="WFQ585" s="268"/>
      <c r="WFR585" s="268"/>
      <c r="WFS585" s="268"/>
      <c r="WFT585" s="268"/>
      <c r="WFU585" s="268"/>
      <c r="WFV585" s="268"/>
      <c r="WFW585" s="268"/>
      <c r="WFX585" s="268"/>
      <c r="WFY585" s="268"/>
      <c r="WFZ585" s="268"/>
      <c r="WGA585" s="268"/>
      <c r="WGB585" s="268"/>
      <c r="WGC585" s="268"/>
      <c r="WGD585" s="268"/>
      <c r="WGE585" s="268"/>
      <c r="WGF585" s="268"/>
      <c r="WGG585" s="268"/>
      <c r="WGH585" s="268"/>
      <c r="WGI585" s="268"/>
      <c r="WGJ585" s="268"/>
      <c r="WGK585" s="268"/>
      <c r="WGL585" s="268"/>
      <c r="WGM585" s="268"/>
      <c r="WGN585" s="268"/>
      <c r="WGO585" s="268"/>
      <c r="WGP585" s="268"/>
      <c r="WGQ585" s="268"/>
      <c r="WGR585" s="268"/>
      <c r="WGS585" s="268"/>
      <c r="WGT585" s="268"/>
      <c r="WGU585" s="268"/>
      <c r="WGV585" s="268"/>
      <c r="WGW585" s="268"/>
      <c r="WGX585" s="268"/>
      <c r="WGY585" s="268"/>
      <c r="WGZ585" s="268"/>
      <c r="WHA585" s="268"/>
      <c r="WHB585" s="268"/>
      <c r="WHC585" s="268"/>
      <c r="WHD585" s="268"/>
      <c r="WHE585" s="268"/>
      <c r="WHF585" s="268"/>
      <c r="WHG585" s="268"/>
      <c r="WHH585" s="268"/>
      <c r="WHI585" s="268"/>
      <c r="WHJ585" s="268"/>
      <c r="WHK585" s="268"/>
      <c r="WHL585" s="268"/>
      <c r="WHM585" s="268"/>
      <c r="WHN585" s="268"/>
      <c r="WHO585" s="268"/>
      <c r="WHP585" s="268"/>
      <c r="WHQ585" s="268"/>
      <c r="WHR585" s="268"/>
      <c r="WHS585" s="268"/>
      <c r="WHT585" s="268"/>
      <c r="WHU585" s="268"/>
      <c r="WHV585" s="268"/>
      <c r="WHW585" s="268"/>
      <c r="WHX585" s="268"/>
      <c r="WHY585" s="268"/>
      <c r="WHZ585" s="268"/>
      <c r="WIA585" s="268"/>
      <c r="WIB585" s="268"/>
      <c r="WIC585" s="268"/>
      <c r="WID585" s="268"/>
      <c r="WIE585" s="268"/>
      <c r="WIF585" s="268"/>
      <c r="WIG585" s="268"/>
      <c r="WIH585" s="268"/>
      <c r="WII585" s="268"/>
      <c r="WIJ585" s="268"/>
      <c r="WIK585" s="268"/>
      <c r="WIL585" s="268"/>
      <c r="WIM585" s="268"/>
      <c r="WIN585" s="268"/>
      <c r="WIO585" s="268"/>
      <c r="WIP585" s="268"/>
      <c r="WIQ585" s="268"/>
      <c r="WIR585" s="268"/>
      <c r="WIS585" s="268"/>
      <c r="WIT585" s="268"/>
      <c r="WIU585" s="268"/>
      <c r="WIV585" s="268"/>
      <c r="WIW585" s="268"/>
      <c r="WIX585" s="268"/>
      <c r="WIY585" s="268"/>
      <c r="WIZ585" s="268"/>
      <c r="WJA585" s="268"/>
      <c r="WJB585" s="268"/>
      <c r="WJC585" s="268"/>
      <c r="WJD585" s="268"/>
      <c r="WJE585" s="268"/>
      <c r="WJF585" s="268"/>
      <c r="WJG585" s="268"/>
      <c r="WJH585" s="268"/>
      <c r="WJI585" s="268"/>
      <c r="WJJ585" s="268"/>
      <c r="WJK585" s="268"/>
      <c r="WJL585" s="268"/>
      <c r="WJM585" s="268"/>
      <c r="WJN585" s="268"/>
      <c r="WJO585" s="268"/>
      <c r="WJP585" s="268"/>
      <c r="WJQ585" s="268"/>
      <c r="WJR585" s="268"/>
      <c r="WJS585" s="268"/>
      <c r="WJT585" s="268"/>
      <c r="WJU585" s="268"/>
      <c r="WJV585" s="268"/>
      <c r="WJW585" s="268"/>
      <c r="WJX585" s="268"/>
      <c r="WJY585" s="268"/>
      <c r="WJZ585" s="268"/>
      <c r="WKA585" s="268"/>
      <c r="WKB585" s="268"/>
      <c r="WKC585" s="268"/>
      <c r="WKD585" s="268"/>
      <c r="WKE585" s="268"/>
      <c r="WKF585" s="268"/>
      <c r="WKG585" s="268"/>
      <c r="WKH585" s="268"/>
      <c r="WKI585" s="268"/>
      <c r="WKJ585" s="268"/>
      <c r="WKK585" s="268"/>
      <c r="WKL585" s="268"/>
      <c r="WKM585" s="268"/>
      <c r="WKN585" s="268"/>
      <c r="WKO585" s="268"/>
      <c r="WKP585" s="268"/>
      <c r="WKQ585" s="268"/>
      <c r="WKR585" s="268"/>
      <c r="WKS585" s="268"/>
      <c r="WKT585" s="268"/>
      <c r="WKU585" s="268"/>
      <c r="WKV585" s="268"/>
      <c r="WKW585" s="268"/>
      <c r="WKX585" s="268"/>
      <c r="WKY585" s="268"/>
      <c r="WKZ585" s="268"/>
      <c r="WLA585" s="268"/>
      <c r="WLB585" s="268"/>
      <c r="WLC585" s="268"/>
      <c r="WLQ585" s="268"/>
      <c r="WLR585" s="268"/>
      <c r="WLS585" s="268"/>
      <c r="WMG585" s="268"/>
      <c r="WMI585" s="268"/>
      <c r="WMJ585" s="268"/>
      <c r="WMK585" s="268"/>
      <c r="WML585" s="268"/>
      <c r="WMM585" s="268"/>
      <c r="WMN585" s="268"/>
      <c r="WMO585" s="268"/>
      <c r="WMP585" s="268"/>
      <c r="WMQ585" s="268"/>
      <c r="WMR585" s="268"/>
      <c r="WMS585" s="268"/>
      <c r="WMT585" s="268"/>
      <c r="WMU585" s="268"/>
      <c r="WMV585" s="268"/>
      <c r="WMW585" s="268"/>
      <c r="WMX585" s="268"/>
      <c r="WMY585" s="268"/>
      <c r="WMZ585" s="268"/>
      <c r="WNA585" s="268"/>
      <c r="WNB585" s="268"/>
      <c r="WNC585" s="268"/>
      <c r="WND585" s="268"/>
      <c r="WNE585" s="268"/>
      <c r="WNF585" s="268"/>
      <c r="WNG585" s="268"/>
      <c r="WNH585" s="268"/>
      <c r="WNI585" s="268"/>
      <c r="WNJ585" s="268"/>
      <c r="WNK585" s="268"/>
      <c r="WNL585" s="268"/>
      <c r="WNM585" s="268"/>
      <c r="WNN585" s="268"/>
      <c r="WNO585" s="268"/>
      <c r="WNP585" s="268"/>
      <c r="WNQ585" s="268"/>
      <c r="WNR585" s="268"/>
      <c r="WNS585" s="268"/>
      <c r="WNT585" s="268"/>
      <c r="WNU585" s="268"/>
      <c r="WNV585" s="268"/>
      <c r="WNW585" s="268"/>
      <c r="WNX585" s="268"/>
      <c r="WNY585" s="268"/>
      <c r="WNZ585" s="268"/>
      <c r="WOA585" s="268"/>
      <c r="WOB585" s="268"/>
      <c r="WOC585" s="268"/>
      <c r="WOD585" s="268"/>
      <c r="WOE585" s="268"/>
      <c r="WOF585" s="268"/>
      <c r="WOG585" s="268"/>
      <c r="WOH585" s="268"/>
      <c r="WOI585" s="268"/>
      <c r="WOJ585" s="268"/>
      <c r="WOK585" s="268"/>
      <c r="WOL585" s="268"/>
      <c r="WOM585" s="268"/>
      <c r="WON585" s="268"/>
      <c r="WOO585" s="268"/>
      <c r="WOP585" s="268"/>
      <c r="WOQ585" s="268"/>
      <c r="WOR585" s="268"/>
      <c r="WOS585" s="268"/>
      <c r="WOT585" s="268"/>
      <c r="WOU585" s="268"/>
      <c r="WOV585" s="268"/>
      <c r="WOW585" s="268"/>
      <c r="WOX585" s="268"/>
      <c r="WOY585" s="268"/>
      <c r="WOZ585" s="268"/>
      <c r="WPA585" s="268"/>
      <c r="WPB585" s="268"/>
      <c r="WPC585" s="268"/>
      <c r="WPD585" s="268"/>
      <c r="WPE585" s="268"/>
      <c r="WPF585" s="268"/>
      <c r="WPG585" s="268"/>
      <c r="WPH585" s="268"/>
      <c r="WPI585" s="268"/>
      <c r="WPJ585" s="268"/>
      <c r="WPK585" s="268"/>
      <c r="WPL585" s="268"/>
      <c r="WPM585" s="268"/>
      <c r="WPN585" s="268"/>
      <c r="WPO585" s="268"/>
      <c r="WPP585" s="268"/>
      <c r="WPQ585" s="268"/>
      <c r="WPR585" s="268"/>
      <c r="WPS585" s="268"/>
      <c r="WPT585" s="268"/>
      <c r="WPU585" s="268"/>
      <c r="WPV585" s="268"/>
      <c r="WPW585" s="268"/>
      <c r="WPX585" s="268"/>
      <c r="WPY585" s="268"/>
      <c r="WPZ585" s="268"/>
      <c r="WQA585" s="268"/>
      <c r="WQB585" s="268"/>
      <c r="WQC585" s="268"/>
      <c r="WQD585" s="268"/>
      <c r="WQE585" s="268"/>
      <c r="WQF585" s="268"/>
      <c r="WQG585" s="268"/>
      <c r="WQH585" s="268"/>
      <c r="WQI585" s="268"/>
      <c r="WQJ585" s="268"/>
      <c r="WQK585" s="268"/>
      <c r="WQL585" s="268"/>
      <c r="WQM585" s="268"/>
      <c r="WQN585" s="268"/>
      <c r="WQO585" s="268"/>
      <c r="WQP585" s="268"/>
      <c r="WQQ585" s="268"/>
      <c r="WQR585" s="268"/>
      <c r="WQS585" s="268"/>
      <c r="WQT585" s="268"/>
      <c r="WQU585" s="268"/>
      <c r="WQV585" s="268"/>
      <c r="WQW585" s="268"/>
      <c r="WQX585" s="268"/>
      <c r="WQY585" s="268"/>
      <c r="WQZ585" s="268"/>
      <c r="WRA585" s="268"/>
      <c r="WRB585" s="268"/>
      <c r="WRC585" s="268"/>
      <c r="WRD585" s="268"/>
      <c r="WRE585" s="268"/>
      <c r="WRF585" s="268"/>
      <c r="WRG585" s="268"/>
      <c r="WRH585" s="268"/>
      <c r="WRI585" s="268"/>
      <c r="WRJ585" s="268"/>
      <c r="WRK585" s="268"/>
      <c r="WRL585" s="268"/>
      <c r="WRM585" s="268"/>
      <c r="WRN585" s="268"/>
      <c r="WRO585" s="268"/>
      <c r="WRP585" s="268"/>
      <c r="WRQ585" s="268"/>
      <c r="WRR585" s="268"/>
      <c r="WRS585" s="268"/>
      <c r="WRT585" s="268"/>
      <c r="WRU585" s="268"/>
      <c r="WRV585" s="268"/>
      <c r="WRW585" s="268"/>
      <c r="WRX585" s="268"/>
      <c r="WRY585" s="268"/>
      <c r="WRZ585" s="268"/>
      <c r="WSA585" s="268"/>
      <c r="WSB585" s="268"/>
      <c r="WSC585" s="268"/>
      <c r="WSD585" s="268"/>
      <c r="WSE585" s="268"/>
      <c r="WSF585" s="268"/>
      <c r="WSG585" s="268"/>
      <c r="WSH585" s="268"/>
      <c r="WSI585" s="268"/>
      <c r="WSJ585" s="268"/>
      <c r="WSK585" s="268"/>
      <c r="WSL585" s="268"/>
      <c r="WSM585" s="268"/>
      <c r="WSN585" s="268"/>
      <c r="WSO585" s="268"/>
      <c r="WSP585" s="268"/>
      <c r="WSQ585" s="268"/>
      <c r="WSR585" s="268"/>
      <c r="WSS585" s="268"/>
      <c r="WST585" s="268"/>
      <c r="WSU585" s="268"/>
      <c r="WSV585" s="268"/>
      <c r="WSW585" s="268"/>
      <c r="WSX585" s="268"/>
      <c r="WSY585" s="268"/>
      <c r="WSZ585" s="268"/>
      <c r="WTA585" s="268"/>
      <c r="WTB585" s="268"/>
      <c r="WTC585" s="268"/>
      <c r="WTD585" s="268"/>
      <c r="WTE585" s="268"/>
      <c r="WTF585" s="268"/>
      <c r="WTG585" s="268"/>
      <c r="WTH585" s="268"/>
      <c r="WTI585" s="268"/>
      <c r="WTJ585" s="268"/>
      <c r="WTK585" s="268"/>
      <c r="WTL585" s="268"/>
      <c r="WTM585" s="268"/>
      <c r="WTN585" s="268"/>
      <c r="WTO585" s="268"/>
      <c r="WTP585" s="268"/>
      <c r="WTQ585" s="268"/>
      <c r="WTR585" s="268"/>
      <c r="WTS585" s="268"/>
      <c r="WTT585" s="268"/>
      <c r="WTU585" s="268"/>
      <c r="WTV585" s="268"/>
      <c r="WTW585" s="268"/>
      <c r="WTX585" s="268"/>
      <c r="WTY585" s="268"/>
      <c r="WTZ585" s="268"/>
      <c r="WUA585" s="268"/>
      <c r="WUB585" s="268"/>
      <c r="WUC585" s="268"/>
      <c r="WUD585" s="268"/>
      <c r="WUE585" s="268"/>
      <c r="WUF585" s="268"/>
      <c r="WUG585" s="268"/>
      <c r="WUH585" s="268"/>
      <c r="WUI585" s="268"/>
      <c r="WUJ585" s="268"/>
      <c r="WUK585" s="268"/>
      <c r="WUL585" s="268"/>
      <c r="WUM585" s="268"/>
      <c r="WUN585" s="268"/>
      <c r="WUO585" s="268"/>
      <c r="WUP585" s="268"/>
      <c r="WUQ585" s="268"/>
      <c r="WUR585" s="268"/>
      <c r="WUS585" s="268"/>
      <c r="WUT585" s="268"/>
      <c r="WUU585" s="268"/>
      <c r="WUV585" s="268"/>
      <c r="WUW585" s="268"/>
      <c r="WUX585" s="268"/>
      <c r="WUY585" s="268"/>
      <c r="WVM585" s="268"/>
      <c r="WVN585" s="268"/>
      <c r="WVO585" s="268"/>
      <c r="WWC585" s="268"/>
      <c r="WWE585" s="268"/>
      <c r="WWF585" s="268"/>
      <c r="WWG585" s="268"/>
      <c r="WWH585" s="268"/>
      <c r="WWI585" s="268"/>
      <c r="WWJ585" s="268"/>
      <c r="WWK585" s="268"/>
      <c r="WWL585" s="268"/>
      <c r="WWM585" s="268"/>
      <c r="WWN585" s="268"/>
      <c r="WWO585" s="268"/>
      <c r="WWP585" s="268"/>
      <c r="WWQ585" s="268"/>
      <c r="WWR585" s="268"/>
      <c r="WWS585" s="268"/>
      <c r="WWT585" s="268"/>
      <c r="WWU585" s="268"/>
      <c r="WWV585" s="268"/>
      <c r="WWW585" s="268"/>
      <c r="WWX585" s="268"/>
      <c r="WWY585" s="268"/>
      <c r="WWZ585" s="268"/>
      <c r="WXA585" s="268"/>
      <c r="WXB585" s="268"/>
      <c r="WXC585" s="268"/>
      <c r="WXD585" s="268"/>
      <c r="WXE585" s="268"/>
      <c r="WXF585" s="268"/>
      <c r="WXG585" s="268"/>
      <c r="WXH585" s="268"/>
      <c r="WXI585" s="268"/>
      <c r="WXJ585" s="268"/>
      <c r="WXK585" s="268"/>
      <c r="WXL585" s="268"/>
      <c r="WXM585" s="268"/>
      <c r="WXN585" s="268"/>
      <c r="WXO585" s="268"/>
      <c r="WXP585" s="268"/>
      <c r="WXQ585" s="268"/>
      <c r="WXR585" s="268"/>
      <c r="WXS585" s="268"/>
      <c r="WXT585" s="268"/>
      <c r="WXU585" s="268"/>
      <c r="WXV585" s="268"/>
      <c r="WXW585" s="268"/>
      <c r="WXX585" s="268"/>
      <c r="WXY585" s="268"/>
      <c r="WXZ585" s="268"/>
      <c r="WYA585" s="268"/>
      <c r="WYB585" s="268"/>
      <c r="WYC585" s="268"/>
      <c r="WYD585" s="268"/>
      <c r="WYE585" s="268"/>
      <c r="WYF585" s="268"/>
      <c r="WYG585" s="268"/>
      <c r="WYH585" s="268"/>
      <c r="WYI585" s="268"/>
      <c r="WYJ585" s="268"/>
      <c r="WYK585" s="268"/>
      <c r="WYL585" s="268"/>
      <c r="WYM585" s="268"/>
      <c r="WYN585" s="268"/>
      <c r="WYO585" s="268"/>
      <c r="WYP585" s="268"/>
      <c r="WYQ585" s="268"/>
      <c r="WYR585" s="268"/>
      <c r="WYS585" s="268"/>
      <c r="WYT585" s="268"/>
      <c r="WYU585" s="268"/>
      <c r="WYV585" s="268"/>
      <c r="WYW585" s="268"/>
      <c r="WYX585" s="268"/>
      <c r="WYY585" s="268"/>
      <c r="WYZ585" s="268"/>
      <c r="WZA585" s="268"/>
      <c r="WZB585" s="268"/>
      <c r="WZC585" s="268"/>
      <c r="WZD585" s="268"/>
      <c r="WZE585" s="268"/>
      <c r="WZF585" s="268"/>
      <c r="WZG585" s="268"/>
      <c r="WZH585" s="268"/>
      <c r="WZI585" s="268"/>
      <c r="WZJ585" s="268"/>
      <c r="WZK585" s="268"/>
      <c r="WZL585" s="268"/>
      <c r="WZM585" s="268"/>
      <c r="WZN585" s="268"/>
      <c r="WZO585" s="268"/>
      <c r="WZP585" s="268"/>
      <c r="WZQ585" s="268"/>
      <c r="WZR585" s="268"/>
      <c r="WZS585" s="268"/>
      <c r="WZT585" s="268"/>
      <c r="WZU585" s="268"/>
      <c r="WZV585" s="268"/>
      <c r="WZW585" s="268"/>
      <c r="WZX585" s="268"/>
      <c r="WZY585" s="268"/>
      <c r="WZZ585" s="268"/>
      <c r="XAA585" s="268"/>
      <c r="XAB585" s="268"/>
      <c r="XAC585" s="268"/>
      <c r="XAD585" s="268"/>
      <c r="XAE585" s="268"/>
      <c r="XAF585" s="268"/>
      <c r="XAG585" s="268"/>
      <c r="XAH585" s="268"/>
      <c r="XAI585" s="268"/>
      <c r="XAJ585" s="268"/>
      <c r="XAK585" s="268"/>
      <c r="XAL585" s="268"/>
      <c r="XAM585" s="268"/>
      <c r="XAN585" s="268"/>
      <c r="XAO585" s="268"/>
      <c r="XAP585" s="268"/>
      <c r="XAQ585" s="268"/>
      <c r="XAR585" s="268"/>
      <c r="XAS585" s="268"/>
      <c r="XAT585" s="268"/>
      <c r="XAU585" s="268"/>
      <c r="XAV585" s="268"/>
      <c r="XAW585" s="268"/>
      <c r="XAX585" s="268"/>
      <c r="XAY585" s="268"/>
      <c r="XAZ585" s="268"/>
      <c r="XBA585" s="268"/>
      <c r="XBB585" s="268"/>
      <c r="XBC585" s="268"/>
      <c r="XBD585" s="268"/>
      <c r="XBE585" s="268"/>
      <c r="XBF585" s="268"/>
      <c r="XBG585" s="268"/>
      <c r="XBH585" s="268"/>
      <c r="XBI585" s="268"/>
      <c r="XBJ585" s="268"/>
      <c r="XBK585" s="268"/>
      <c r="XBL585" s="268"/>
      <c r="XBM585" s="268"/>
      <c r="XBN585" s="268"/>
      <c r="XBO585" s="268"/>
      <c r="XBP585" s="268"/>
      <c r="XBQ585" s="268"/>
      <c r="XBR585" s="268"/>
      <c r="XBS585" s="268"/>
      <c r="XBT585" s="268"/>
      <c r="XBU585" s="268"/>
      <c r="XBV585" s="268"/>
      <c r="XBW585" s="268"/>
      <c r="XBX585" s="268"/>
      <c r="XBY585" s="268"/>
      <c r="XBZ585" s="268"/>
      <c r="XCA585" s="268"/>
      <c r="XCB585" s="268"/>
      <c r="XCC585" s="268"/>
      <c r="XCD585" s="268"/>
      <c r="XCE585" s="268"/>
      <c r="XCF585" s="268"/>
      <c r="XCG585" s="268"/>
      <c r="XCH585" s="268"/>
      <c r="XCI585" s="268"/>
      <c r="XCJ585" s="268"/>
      <c r="XCK585" s="268"/>
      <c r="XCL585" s="268"/>
      <c r="XCM585" s="268"/>
      <c r="XCN585" s="268"/>
      <c r="XCO585" s="268"/>
      <c r="XCP585" s="268"/>
      <c r="XCQ585" s="268"/>
      <c r="XCR585" s="268"/>
      <c r="XCS585" s="268"/>
      <c r="XCT585" s="268"/>
      <c r="XCU585" s="268"/>
      <c r="XCV585" s="268"/>
      <c r="XCW585" s="268"/>
      <c r="XCX585" s="268"/>
      <c r="XCY585" s="268"/>
      <c r="XCZ585" s="268"/>
      <c r="XDA585" s="268"/>
      <c r="XDB585" s="268"/>
      <c r="XDC585" s="268"/>
      <c r="XDD585" s="268"/>
      <c r="XDE585" s="268"/>
      <c r="XDF585" s="268"/>
      <c r="XDG585" s="268"/>
      <c r="XDH585" s="268"/>
      <c r="XDI585" s="268"/>
      <c r="XDJ585" s="268"/>
      <c r="XDK585" s="268"/>
      <c r="XDL585" s="268"/>
      <c r="XDM585" s="268"/>
      <c r="XDN585" s="268"/>
      <c r="XDO585" s="268"/>
      <c r="XDP585" s="268"/>
      <c r="XDQ585" s="268"/>
      <c r="XDR585" s="268"/>
      <c r="XDS585" s="268"/>
      <c r="XDT585" s="268"/>
      <c r="XDU585" s="268"/>
      <c r="XDV585" s="268"/>
      <c r="XDW585" s="268"/>
      <c r="XDX585" s="268"/>
      <c r="XDY585" s="268"/>
      <c r="XDZ585" s="268"/>
      <c r="XEA585" s="268"/>
      <c r="XEB585" s="268"/>
      <c r="XEC585" s="268"/>
      <c r="XED585" s="268"/>
      <c r="XEE585" s="268"/>
      <c r="XEF585" s="268"/>
      <c r="XEG585" s="268"/>
      <c r="XEH585" s="268"/>
      <c r="XEI585" s="268"/>
      <c r="XEJ585" s="268"/>
      <c r="XEK585" s="268"/>
      <c r="XEL585" s="268"/>
      <c r="XEM585" s="268"/>
      <c r="XEN585" s="268"/>
      <c r="XEO585" s="268"/>
      <c r="XEP585" s="268"/>
      <c r="XEQ585" s="268"/>
      <c r="XER585" s="268"/>
      <c r="XES585" s="268"/>
    </row>
    <row r="586" spans="1:1015 1029:2039 2053:3063 3077:4087 4101:5111 5125:6135 6149:7159 7173:8183 8197:9207 9221:10231 10245:11255 11269:12279 12293:13303 13317:14327 14341:15351 15365:16373" hidden="1" outlineLevel="1" x14ac:dyDescent="0.25">
      <c r="A586" s="3"/>
      <c r="B586" s="246">
        <f>SUM(B585)</f>
        <v>34000</v>
      </c>
      <c r="C586" s="55"/>
      <c r="D586" s="246">
        <f>SUM(D585)</f>
        <v>2069</v>
      </c>
      <c r="E586" s="246">
        <f>SUM(E585)</f>
        <v>32931</v>
      </c>
      <c r="F586" s="246">
        <f>SUM(F585)</f>
        <v>35000</v>
      </c>
      <c r="G586" s="55"/>
      <c r="H586" s="246">
        <f>SUM(H585)</f>
        <v>1000</v>
      </c>
      <c r="I586" s="55"/>
      <c r="J586" s="246">
        <f>SUM(J585)</f>
        <v>3130</v>
      </c>
      <c r="K586" s="246">
        <f>SUM(K585)</f>
        <v>31870</v>
      </c>
      <c r="L586" s="246">
        <f>SUM(L585)</f>
        <v>35000</v>
      </c>
      <c r="M586" s="55"/>
      <c r="N586" s="246">
        <f>SUM(N585)</f>
        <v>0</v>
      </c>
      <c r="P586" s="246">
        <f>SUM(P585)</f>
        <v>35000</v>
      </c>
      <c r="R586" s="246">
        <f t="shared" ref="R586:Z586" si="385">SUM(R585)</f>
        <v>256</v>
      </c>
      <c r="S586" s="246">
        <f t="shared" si="385"/>
        <v>34744</v>
      </c>
      <c r="T586" s="246">
        <f t="shared" si="385"/>
        <v>35000</v>
      </c>
      <c r="U586" s="246">
        <f t="shared" si="385"/>
        <v>0</v>
      </c>
      <c r="V586" s="246">
        <f t="shared" si="385"/>
        <v>2739</v>
      </c>
      <c r="W586" s="246">
        <f t="shared" si="385"/>
        <v>32261</v>
      </c>
      <c r="X586" s="246"/>
      <c r="Y586" s="246">
        <f t="shared" si="385"/>
        <v>35000</v>
      </c>
      <c r="Z586" s="246">
        <f t="shared" si="385"/>
        <v>0</v>
      </c>
      <c r="AC586" s="246">
        <f>SUM(AC585)</f>
        <v>7110</v>
      </c>
      <c r="AD586" s="246">
        <f>SUM(AD585)</f>
        <v>27890</v>
      </c>
      <c r="AE586" s="246">
        <f>SUM(AE585)</f>
        <v>35000</v>
      </c>
      <c r="AF586" s="246">
        <f>SUM(AF585)</f>
        <v>0</v>
      </c>
      <c r="AG586" s="55"/>
      <c r="AI586" s="246">
        <f>SUM(AI585)</f>
        <v>35000</v>
      </c>
      <c r="AK586" s="246">
        <f>SUM(AK585)</f>
        <v>35000</v>
      </c>
      <c r="AM586" s="246">
        <f>SUM(AM585)</f>
        <v>35000</v>
      </c>
      <c r="AO586" s="246">
        <f>SUM(AO585)</f>
        <v>35000</v>
      </c>
      <c r="AP586" s="55"/>
      <c r="AQ586" s="246">
        <f>SUM(AQ585)</f>
        <v>35000</v>
      </c>
      <c r="AS586" s="246">
        <f>SUM(AS585)</f>
        <v>35000</v>
      </c>
      <c r="AU586" s="246">
        <f>SUM(AU585)</f>
        <v>35000</v>
      </c>
      <c r="AW586" s="246">
        <f>SUM(AW585)</f>
        <v>35000</v>
      </c>
      <c r="AY586" s="246">
        <f>SUM(AY585)</f>
        <v>33000</v>
      </c>
      <c r="BA586" s="246">
        <f>SUM(BA585)</f>
        <v>33000</v>
      </c>
      <c r="BC586" s="246">
        <f>SUM(BC585)</f>
        <v>33000</v>
      </c>
      <c r="BE586" s="246">
        <f>SUM(BE585)</f>
        <v>33000</v>
      </c>
    </row>
    <row r="587" spans="1:1015 1029:2039 2053:3063 3077:4087 4101:5111 5125:6135 6149:7159 7173:8183 8197:9207 9221:10231 10245:11255 11269:12279 12293:13303 13317:14327 14341:15351 15365:16373" hidden="1" outlineLevel="1" x14ac:dyDescent="0.25">
      <c r="A587" s="7" t="s">
        <v>456</v>
      </c>
      <c r="BC587" s="3"/>
      <c r="BE587" s="3"/>
    </row>
    <row r="588" spans="1:1015 1029:2039 2053:3063 3077:4087 4101:5111 5125:6135 6149:7159 7173:8183 8197:9207 9221:10231 10245:11255 11269:12279 12293:13303 13317:14327 14341:15351 15365:16373" hidden="1" outlineLevel="1" x14ac:dyDescent="0.25">
      <c r="A588" s="3" t="s">
        <v>457</v>
      </c>
      <c r="B588" s="37">
        <v>4000</v>
      </c>
      <c r="C588" s="32"/>
      <c r="D588" s="37">
        <v>0</v>
      </c>
      <c r="E588" s="37">
        <f>F588-D588</f>
        <v>4000</v>
      </c>
      <c r="F588" s="37">
        <v>4000</v>
      </c>
      <c r="G588" s="32"/>
      <c r="H588" s="37">
        <f>F588-B588</f>
        <v>0</v>
      </c>
      <c r="I588" s="32"/>
      <c r="J588" s="37">
        <v>0</v>
      </c>
      <c r="K588" s="37">
        <f>L588-J588</f>
        <v>4000</v>
      </c>
      <c r="L588" s="37">
        <v>4000</v>
      </c>
      <c r="M588" s="32"/>
      <c r="N588" s="37">
        <f>L588-F588</f>
        <v>0</v>
      </c>
      <c r="P588" s="37">
        <v>5000</v>
      </c>
      <c r="R588" s="52">
        <v>0</v>
      </c>
      <c r="S588" s="52">
        <f>T588-R588</f>
        <v>5000</v>
      </c>
      <c r="T588" s="52">
        <v>5000</v>
      </c>
      <c r="U588" s="52">
        <f>T588-P588</f>
        <v>0</v>
      </c>
      <c r="V588" s="37">
        <v>0</v>
      </c>
      <c r="W588" s="37">
        <f>Y588-V588</f>
        <v>2000</v>
      </c>
      <c r="X588" s="37"/>
      <c r="Y588" s="37">
        <v>2000</v>
      </c>
      <c r="Z588" s="52">
        <f>Y588-T588</f>
        <v>-3000</v>
      </c>
      <c r="AC588" s="37">
        <v>0</v>
      </c>
      <c r="AD588" s="37">
        <f>AE588-AC588</f>
        <v>2000</v>
      </c>
      <c r="AE588" s="37">
        <v>2000</v>
      </c>
      <c r="AF588" s="37">
        <f>AE588-Y588</f>
        <v>0</v>
      </c>
      <c r="AG588" s="32"/>
      <c r="AI588" s="37"/>
      <c r="AK588" s="37"/>
      <c r="AM588" s="37"/>
      <c r="AO588" s="37">
        <v>5400</v>
      </c>
      <c r="AP588" s="32"/>
      <c r="AQ588" s="37"/>
      <c r="AS588" s="37"/>
      <c r="AU588" s="37"/>
      <c r="AW588" s="37">
        <v>5750</v>
      </c>
      <c r="AY588" s="37"/>
      <c r="BA588" s="37"/>
      <c r="BC588" s="37"/>
      <c r="BE588" s="37"/>
    </row>
    <row r="589" spans="1:1015 1029:2039 2053:3063 3077:4087 4101:5111 5125:6135 6149:7159 7173:8183 8197:9207 9221:10231 10245:11255 11269:12279 12293:13303 13317:14327 14341:15351 15365:16373" hidden="1" outlineLevel="1" x14ac:dyDescent="0.25">
      <c r="A589" s="7" t="s">
        <v>135</v>
      </c>
      <c r="V589" s="7"/>
      <c r="W589" s="7"/>
      <c r="X589" s="7"/>
      <c r="Y589" s="7"/>
      <c r="BC589" s="3"/>
      <c r="BE589" s="3"/>
    </row>
    <row r="590" spans="1:1015 1029:2039 2053:3063 3077:4087 4101:5111 5125:6135 6149:7159 7173:8183 8197:9207 9221:10231 10245:11255 11269:12279 12293:13303 13317:14327 14341:15351 15365:16373" hidden="1" outlineLevel="1" x14ac:dyDescent="0.25">
      <c r="A590" s="3" t="s">
        <v>90</v>
      </c>
      <c r="B590" s="37">
        <v>33000</v>
      </c>
      <c r="C590" s="32"/>
      <c r="D590" s="37">
        <v>15348</v>
      </c>
      <c r="E590" s="37">
        <f>F590-D590</f>
        <v>19652</v>
      </c>
      <c r="F590" s="37">
        <v>35000</v>
      </c>
      <c r="G590" s="32"/>
      <c r="H590" s="37">
        <f>F590-B590-1</f>
        <v>1999</v>
      </c>
      <c r="I590" s="32"/>
      <c r="J590" s="37">
        <v>30787</v>
      </c>
      <c r="K590" s="37">
        <f>L590-J590</f>
        <v>14213</v>
      </c>
      <c r="L590" s="37">
        <v>45000</v>
      </c>
      <c r="M590" s="32"/>
      <c r="N590" s="37">
        <f>L590-F590</f>
        <v>10000</v>
      </c>
      <c r="P590" s="37">
        <f>L590*1.0281+35</f>
        <v>46299.5</v>
      </c>
      <c r="R590" s="52">
        <v>12497</v>
      </c>
      <c r="S590" s="52">
        <f>T590-R590</f>
        <v>33803</v>
      </c>
      <c r="T590" s="52">
        <v>46300</v>
      </c>
      <c r="U590" s="52">
        <f>T590-P590</f>
        <v>0.5</v>
      </c>
      <c r="V590" s="37">
        <v>22306</v>
      </c>
      <c r="W590" s="37">
        <f>Y590-V590</f>
        <v>23994</v>
      </c>
      <c r="X590" s="37"/>
      <c r="Y590" s="37">
        <v>46300</v>
      </c>
      <c r="Z590" s="52">
        <f>Y590-T590</f>
        <v>0</v>
      </c>
      <c r="AC590" s="37">
        <v>35651</v>
      </c>
      <c r="AD590" s="37">
        <f>AE590-AC590</f>
        <v>11349</v>
      </c>
      <c r="AE590" s="37">
        <v>47000</v>
      </c>
      <c r="AF590" s="37">
        <f>AE590-Y590</f>
        <v>700</v>
      </c>
      <c r="AG590" s="32"/>
      <c r="AI590" s="37">
        <f>P590*1.03+12</f>
        <v>47700.485000000001</v>
      </c>
      <c r="AK590" s="37">
        <f>AI590*1.03</f>
        <v>49131.49955</v>
      </c>
      <c r="AM590" s="37">
        <f>AK590*1.03</f>
        <v>50605.444536499999</v>
      </c>
      <c r="AO590" s="37">
        <f>AM590*1.03</f>
        <v>52123.607872594999</v>
      </c>
      <c r="AP590" s="32"/>
      <c r="AQ590" s="37">
        <f>AO590*1.03</f>
        <v>53687.316108772851</v>
      </c>
      <c r="AS590" s="37">
        <f>AQ590*1.03</f>
        <v>55297.935592036039</v>
      </c>
      <c r="AU590" s="37">
        <f>AS590*1.03</f>
        <v>56956.873659797122</v>
      </c>
      <c r="AW590" s="37">
        <f>AU590*1.03</f>
        <v>58665.579869591034</v>
      </c>
      <c r="AY590" s="37">
        <f>AW590*1.03</f>
        <v>60425.547265678768</v>
      </c>
      <c r="BA590" s="37">
        <f>AY590*1.03</f>
        <v>62238.313683649132</v>
      </c>
      <c r="BC590" s="37">
        <f>BA590*1.03</f>
        <v>64105.463094158607</v>
      </c>
      <c r="BE590" s="37">
        <f>BC590*1.03</f>
        <v>66028.626986983363</v>
      </c>
    </row>
    <row r="591" spans="1:1015 1029:2039 2053:3063 3077:4087 4101:5111 5125:6135 6149:7159 7173:8183 8197:9207 9221:10231 10245:11255 11269:12279 12293:13303 13317:14327 14341:15351 15365:16373" hidden="1" outlineLevel="1" x14ac:dyDescent="0.25">
      <c r="A591" s="7" t="s">
        <v>458</v>
      </c>
      <c r="V591" s="7"/>
      <c r="W591" s="7"/>
      <c r="X591" s="7"/>
      <c r="Y591" s="7"/>
      <c r="BC591" s="3"/>
      <c r="BE591" s="3"/>
    </row>
    <row r="592" spans="1:1015 1029:2039 2053:3063 3077:4087 4101:5111 5125:6135 6149:7159 7173:8183 8197:9207 9221:10231 10245:11255 11269:12279 12293:13303 13317:14327 14341:15351 15365:16373" s="42" customFormat="1" hidden="1" outlineLevel="1" x14ac:dyDescent="0.25">
      <c r="A592" s="3" t="s">
        <v>90</v>
      </c>
      <c r="B592" s="37">
        <v>21100</v>
      </c>
      <c r="C592" s="32"/>
      <c r="D592" s="37">
        <v>5797</v>
      </c>
      <c r="E592" s="37">
        <f>F592-D592</f>
        <v>15303</v>
      </c>
      <c r="F592" s="37">
        <v>21100</v>
      </c>
      <c r="G592" s="32"/>
      <c r="H592" s="37">
        <f>F592-B592</f>
        <v>0</v>
      </c>
      <c r="I592" s="32"/>
      <c r="J592" s="37">
        <v>11476</v>
      </c>
      <c r="K592" s="37">
        <f>L592-J592</f>
        <v>10524</v>
      </c>
      <c r="L592" s="37">
        <v>22000</v>
      </c>
      <c r="M592" s="32"/>
      <c r="N592" s="37">
        <f>L592-F592</f>
        <v>900</v>
      </c>
      <c r="O592" s="3"/>
      <c r="P592" s="37">
        <f>L592*1.0281+32</f>
        <v>22650.2</v>
      </c>
      <c r="Q592" s="3"/>
      <c r="R592" s="52">
        <v>6626</v>
      </c>
      <c r="S592" s="52">
        <f>T592-R592</f>
        <v>16024</v>
      </c>
      <c r="T592" s="52">
        <v>22650</v>
      </c>
      <c r="U592" s="52">
        <f>T592-P592</f>
        <v>-0.2000000000007276</v>
      </c>
      <c r="V592" s="37">
        <v>13248</v>
      </c>
      <c r="W592" s="37">
        <f>Y592-V592</f>
        <v>9402</v>
      </c>
      <c r="X592" s="37"/>
      <c r="Y592" s="37">
        <v>22650</v>
      </c>
      <c r="Z592" s="52">
        <f>Y592-T592</f>
        <v>0</v>
      </c>
      <c r="AA592" s="3"/>
      <c r="AB592" s="3"/>
      <c r="AC592" s="37">
        <v>21840</v>
      </c>
      <c r="AD592" s="37">
        <f>AE592-AC592</f>
        <v>5160</v>
      </c>
      <c r="AE592" s="37">
        <v>27000</v>
      </c>
      <c r="AF592" s="37">
        <f>AE592-Y592</f>
        <v>4350</v>
      </c>
      <c r="AG592" s="32"/>
      <c r="AH592" s="4"/>
      <c r="AI592" s="37">
        <f>B592*1.03+17</f>
        <v>21750</v>
      </c>
      <c r="AJ592" s="3"/>
      <c r="AK592" s="37">
        <f>AE600*1.03</f>
        <v>55455.200000000004</v>
      </c>
      <c r="AL592" s="3"/>
      <c r="AM592" s="37">
        <f>AI592*1.03</f>
        <v>22402.5</v>
      </c>
      <c r="AN592" s="3"/>
      <c r="AO592" s="37">
        <f>AK592*1.03</f>
        <v>57118.856000000007</v>
      </c>
      <c r="AP592" s="32"/>
      <c r="AQ592" s="37">
        <f>AM592*1.03</f>
        <v>23074.575000000001</v>
      </c>
      <c r="AS592" s="37">
        <f>AO592*1.03</f>
        <v>58832.421680000007</v>
      </c>
      <c r="AU592" s="37">
        <f>AQ592*1.03</f>
        <v>23766.812250000003</v>
      </c>
      <c r="AW592" s="37">
        <f>AS592*1.03</f>
        <v>60597.394330400006</v>
      </c>
      <c r="AY592" s="37">
        <f>AU592*1.03</f>
        <v>24479.816617500004</v>
      </c>
      <c r="BA592" s="37">
        <f>AW592*1.03</f>
        <v>62415.31616031201</v>
      </c>
      <c r="BC592" s="37">
        <f>AY592*1.03</f>
        <v>25214.211116025006</v>
      </c>
      <c r="BE592" s="37">
        <f>BA592*1.03</f>
        <v>64287.775645121372</v>
      </c>
    </row>
    <row r="593" spans="1:57" hidden="1" outlineLevel="1" x14ac:dyDescent="0.25">
      <c r="A593" s="7" t="s">
        <v>57</v>
      </c>
      <c r="V593" s="7"/>
      <c r="W593" s="7"/>
      <c r="X593" s="7"/>
      <c r="Y593" s="7"/>
      <c r="BC593" s="3"/>
      <c r="BE593" s="3"/>
    </row>
    <row r="594" spans="1:57" hidden="1" outlineLevel="1" x14ac:dyDescent="0.25">
      <c r="A594" s="3" t="s">
        <v>459</v>
      </c>
      <c r="V594" s="7"/>
      <c r="W594" s="7"/>
      <c r="X594" s="7"/>
      <c r="Y594" s="7"/>
      <c r="AI594" s="3">
        <f>10000-2000</f>
        <v>8000</v>
      </c>
      <c r="AK594" s="3">
        <f>AI594*1.03</f>
        <v>8240</v>
      </c>
      <c r="AM594" s="3">
        <f>AK594*1.03</f>
        <v>8487.2000000000007</v>
      </c>
      <c r="AN594" s="3">
        <f>AL594*1.03</f>
        <v>0</v>
      </c>
      <c r="AO594" s="3">
        <f>AM594*1.03</f>
        <v>8741.8160000000007</v>
      </c>
      <c r="AP594" s="4">
        <f>AN594*1.03</f>
        <v>0</v>
      </c>
      <c r="AQ594" s="3">
        <f>AO594*1.03</f>
        <v>9004.0704800000003</v>
      </c>
      <c r="AR594" s="3"/>
      <c r="AS594" s="3">
        <f>AQ594*1.03</f>
        <v>9274.1925944000013</v>
      </c>
      <c r="AT594" s="3">
        <f>AR594*1.03</f>
        <v>0</v>
      </c>
      <c r="AU594" s="3">
        <f>AS594*1.03</f>
        <v>9552.4183722320013</v>
      </c>
      <c r="AV594" s="3">
        <f>AT594*1.03</f>
        <v>0</v>
      </c>
      <c r="AW594" s="3">
        <f>AU594*1.03</f>
        <v>9838.990923398962</v>
      </c>
      <c r="AX594" s="3"/>
      <c r="AY594" s="3">
        <f>AW594*1.03</f>
        <v>10134.16065110093</v>
      </c>
      <c r="AZ594" s="3">
        <f>AX594*1.03</f>
        <v>0</v>
      </c>
      <c r="BA594" s="3">
        <f>AY594*1.03</f>
        <v>10438.185470633958</v>
      </c>
      <c r="BC594" s="3">
        <f>BA594*1.03</f>
        <v>10751.331034752977</v>
      </c>
      <c r="BE594" s="3">
        <f>BC594*1.03</f>
        <v>11073.870965795566</v>
      </c>
    </row>
    <row r="595" spans="1:57" hidden="1" outlineLevel="1" x14ac:dyDescent="0.25">
      <c r="A595" s="3" t="s">
        <v>460</v>
      </c>
      <c r="B595" s="3">
        <v>1550</v>
      </c>
      <c r="D595" s="3">
        <v>0</v>
      </c>
      <c r="E595" s="3">
        <f>F595-D595</f>
        <v>1000</v>
      </c>
      <c r="F595" s="3">
        <v>1000</v>
      </c>
      <c r="H595" s="3">
        <f>F595-B595</f>
        <v>-550</v>
      </c>
      <c r="K595" s="4">
        <f>L595-J595</f>
        <v>1000</v>
      </c>
      <c r="L595" s="4">
        <v>1000</v>
      </c>
      <c r="N595" s="4">
        <f>L595-F595</f>
        <v>0</v>
      </c>
      <c r="P595" s="3">
        <f>L595*1.0281+22</f>
        <v>1050.0999999999999</v>
      </c>
      <c r="S595" s="3">
        <f>T595-R595</f>
        <v>1050</v>
      </c>
      <c r="T595" s="3">
        <v>1050</v>
      </c>
      <c r="U595" s="3">
        <f>T595-P595</f>
        <v>-9.9999999999909051E-2</v>
      </c>
      <c r="V595" s="7"/>
      <c r="W595" s="7"/>
      <c r="X595" s="7"/>
      <c r="Y595" s="7">
        <v>1050</v>
      </c>
      <c r="Z595" s="3">
        <f>Y595-T595</f>
        <v>0</v>
      </c>
      <c r="AD595" s="3">
        <f>AE595-AC595</f>
        <v>1000</v>
      </c>
      <c r="AE595" s="3">
        <v>1000</v>
      </c>
      <c r="AF595" s="3">
        <f>AE595-Y595</f>
        <v>-50</v>
      </c>
      <c r="AI595" s="3">
        <f>AE595*1.03+20</f>
        <v>1050</v>
      </c>
      <c r="AK595" s="3">
        <f>AI595*1.0281</f>
        <v>1079.5050000000001</v>
      </c>
      <c r="AM595" s="3">
        <f>AK595*1.0281</f>
        <v>1109.8390905000001</v>
      </c>
      <c r="AO595" s="3">
        <f>AM595*1.0281</f>
        <v>1141.0255689430501</v>
      </c>
      <c r="AQ595" s="3">
        <f>AO595*1.0281</f>
        <v>1173.0883874303497</v>
      </c>
      <c r="AS595" s="3">
        <f>AQ595*1.0281</f>
        <v>1206.0521711171425</v>
      </c>
      <c r="AU595" s="3">
        <f>AS595*1.0281</f>
        <v>1239.9422371255341</v>
      </c>
      <c r="AW595" s="3">
        <f>AU595*1.0281</f>
        <v>1274.7846139887617</v>
      </c>
      <c r="AY595" s="3">
        <f>AW595*1.0281</f>
        <v>1310.6060616418461</v>
      </c>
      <c r="BA595" s="3">
        <f>AY595*1.0281</f>
        <v>1347.434091973982</v>
      </c>
      <c r="BC595" s="3">
        <f>BA595*1.0281</f>
        <v>1385.2969899584509</v>
      </c>
      <c r="BE595" s="3">
        <f>BC595*1.0281</f>
        <v>1424.2238353762834</v>
      </c>
    </row>
    <row r="596" spans="1:57" ht="15.75" collapsed="1" thickBot="1" x14ac:dyDescent="0.3">
      <c r="A596" s="7" t="s">
        <v>1165</v>
      </c>
      <c r="B596" s="44">
        <f>B595+B592+B590+B588+B586+B582+B580+B558+B549-2</f>
        <v>576690</v>
      </c>
      <c r="C596" s="32"/>
      <c r="D596" s="44">
        <f>D595+D592+D590+D588+D586+D582+D580+D558+D549-1</f>
        <v>120848</v>
      </c>
      <c r="E596" s="44">
        <f>E595+E592+E590+E588+E586+E582+E580+E558+E549-1</f>
        <v>457794</v>
      </c>
      <c r="F596" s="44">
        <f>F595+F592+F590+F588+F586+F582+F580+F558+F549-1</f>
        <v>578641</v>
      </c>
      <c r="G596" s="32"/>
      <c r="H596" s="44">
        <f>H595+H592+H590+H588+H586+H582+H580+H558+H549-1</f>
        <v>1948</v>
      </c>
      <c r="I596" s="32"/>
      <c r="J596" s="44">
        <f>J595+J592+J590+J588+J586+J582+J580+J558+J549-1</f>
        <v>237514</v>
      </c>
      <c r="K596" s="44">
        <f>K595+K592+K590+K588+K586+K582+K580+K558+K549-1</f>
        <v>340274</v>
      </c>
      <c r="L596" s="44">
        <f>L595+L592+L590+L588+L586+L582+L580+L558+L549-1</f>
        <v>577789</v>
      </c>
      <c r="M596" s="32"/>
      <c r="N596" s="44">
        <f>N595+N592+N590+N588+N586+N582+N580+N558+N549-1</f>
        <v>-851</v>
      </c>
      <c r="P596" s="44">
        <f>P595+P592+P590+P588+P586+P582+P580+P558+P549</f>
        <v>642937.45000000007</v>
      </c>
      <c r="R596" s="44">
        <f t="shared" ref="R596:W596" si="386">R595+R592+R590+R588+R586+R582+R580+R558+R549</f>
        <v>105341</v>
      </c>
      <c r="S596" s="44">
        <f t="shared" si="386"/>
        <v>538849</v>
      </c>
      <c r="T596" s="44">
        <f t="shared" si="386"/>
        <v>644190</v>
      </c>
      <c r="U596" s="44">
        <f t="shared" si="386"/>
        <v>1252.5500000000052</v>
      </c>
      <c r="V596" s="44">
        <f t="shared" si="386"/>
        <v>221276</v>
      </c>
      <c r="W596" s="44">
        <f t="shared" si="386"/>
        <v>422364</v>
      </c>
      <c r="X596" s="44"/>
      <c r="Y596" s="44">
        <f>Y595+Y592+Y590+Y588+Y586+Y582+Y580+Y558+Y549</f>
        <v>644690</v>
      </c>
      <c r="Z596" s="44">
        <f>Z595+Z592+Z590+Z588+Z586+Z582+Z580+Z558+Z549</f>
        <v>500</v>
      </c>
      <c r="AC596" s="44">
        <f>AC595+AC592+AC590+AC588+AC586+AC582+AC580+AC558+AC549</f>
        <v>363072</v>
      </c>
      <c r="AD596" s="44">
        <f>AD595+AD592+AD590+AD588+AD586+AD582+AD580+AD558+AD549</f>
        <v>286218</v>
      </c>
      <c r="AE596" s="44">
        <f>AE595+AE592+AE590+AE588+AE586+AE582+AE580+AE558+AE549</f>
        <v>649290</v>
      </c>
      <c r="AF596" s="44">
        <f>AF595+AF592+AF590+AF588+AF586+AF582+AF580+AF558+AF549</f>
        <v>4600</v>
      </c>
      <c r="AG596" s="32"/>
      <c r="AI596" s="44">
        <f>AI595+AI594+AI592+AI590+AI588+AI586+AI582+AI580+AI558+AI549</f>
        <v>695819.13500000001</v>
      </c>
      <c r="AK596" s="44">
        <f>AK595+AK594+AK592+AK590+AK588+AK586+AK582+AK580+AK558+AK549</f>
        <v>771764.40405000001</v>
      </c>
      <c r="AM596" s="44">
        <f>AM595+AM594+AM592+AM590+AM588+AM586+AM582+AM580+AM558+AM549</f>
        <v>759640.16861199995</v>
      </c>
      <c r="AO596" s="44">
        <f>AO595+AO594+AO592+AO590+AO588+AO586+AO582+AO580+AO558+AO549</f>
        <v>821361.3474510879</v>
      </c>
      <c r="AP596" s="32"/>
      <c r="AQ596" s="44">
        <f>AQ595+AQ594+AQ592+AQ590+AQ588+AQ586+AQ582+AQ580+AQ558+AQ549</f>
        <v>804220.96479478979</v>
      </c>
      <c r="AS596" s="44">
        <f>AS595+AS594+AS592+AS590+AS588+AS586+AS582+AS580+AS558+AS549</f>
        <v>863005.30542688479</v>
      </c>
      <c r="AU596" s="44">
        <f>AU595+AU594+AU592+AU590+AU588+AU586+AU582+AU580+AU558+AU549</f>
        <v>851713.13869266317</v>
      </c>
      <c r="AW596" s="44">
        <f>AW595+AW594+AW592+AW590+AW588+AW586+AW582+AW580+AW558+AW549</f>
        <v>918839.32974271441</v>
      </c>
      <c r="AY596" s="44">
        <f>AY595+AY594+AY592+AY590+AY588+AY586+AY582+AY580+AY558+AY549</f>
        <v>900315.64182136988</v>
      </c>
      <c r="BA596" s="44">
        <f>BA595+BA594+BA592+BA590+BA588+BA586+BA582+BA580+BA558+BA549</f>
        <v>964420.35747973144</v>
      </c>
      <c r="BC596" s="44">
        <f>BC595+BC594+BC592+BC590+BC588+BC586+BC582+BC580+BC558+BC549</f>
        <v>954241.80663675012</v>
      </c>
      <c r="BE596" s="44">
        <f>BE595+BE594+BE592+BE590+BE588+BE586+BE582+BE580+BE558+BE549</f>
        <v>1021220.2782080104</v>
      </c>
    </row>
    <row r="597" spans="1:57" ht="15.75" thickTop="1" x14ac:dyDescent="0.25">
      <c r="A597" s="7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P597" s="32"/>
      <c r="R597" s="32"/>
      <c r="S597" s="32"/>
      <c r="T597" s="32"/>
      <c r="U597" s="32"/>
      <c r="V597" s="32"/>
      <c r="W597" s="32"/>
      <c r="X597" s="32"/>
      <c r="Y597" s="32"/>
      <c r="Z597" s="32"/>
      <c r="AC597" s="32"/>
      <c r="AD597" s="32"/>
      <c r="AE597" s="32"/>
      <c r="AF597" s="32"/>
      <c r="AG597" s="32"/>
      <c r="AI597" s="32"/>
      <c r="AK597" s="32"/>
      <c r="AM597" s="32"/>
      <c r="AO597" s="32"/>
      <c r="AP597" s="32"/>
      <c r="AQ597" s="32"/>
      <c r="AS597" s="32"/>
      <c r="AU597" s="32"/>
      <c r="AW597" s="32"/>
      <c r="AY597" s="32"/>
      <c r="BA597" s="32"/>
      <c r="BC597" s="32"/>
      <c r="BE597" s="32"/>
    </row>
    <row r="598" spans="1:57" s="42" customFormat="1" x14ac:dyDescent="0.25">
      <c r="A598" s="7" t="s">
        <v>137</v>
      </c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4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4"/>
      <c r="AH598" s="4"/>
      <c r="AI598" s="3"/>
      <c r="AJ598" s="3"/>
      <c r="AK598" s="3"/>
      <c r="AL598" s="3"/>
      <c r="AM598" s="3"/>
      <c r="AN598" s="3"/>
      <c r="AO598" s="3"/>
      <c r="AP598" s="4"/>
      <c r="AQ598" s="3"/>
      <c r="AS598" s="3"/>
      <c r="AU598" s="3"/>
      <c r="AW598" s="3"/>
      <c r="AY598" s="3"/>
      <c r="BA598" s="3"/>
      <c r="BC598" s="3"/>
      <c r="BE598" s="3"/>
    </row>
    <row r="599" spans="1:57" hidden="1" outlineLevel="1" x14ac:dyDescent="0.25">
      <c r="A599" s="7" t="s">
        <v>461</v>
      </c>
      <c r="BC599" s="3"/>
      <c r="BE599" s="3"/>
    </row>
    <row r="600" spans="1:57" hidden="1" outlineLevel="1" x14ac:dyDescent="0.25">
      <c r="A600" s="3" t="s">
        <v>462</v>
      </c>
      <c r="B600" s="3">
        <v>52050</v>
      </c>
      <c r="D600" s="3">
        <v>0</v>
      </c>
      <c r="E600" s="3">
        <f t="shared" ref="E600:E610" si="387">F600-D600</f>
        <v>52050</v>
      </c>
      <c r="F600" s="3">
        <v>52050</v>
      </c>
      <c r="H600" s="3">
        <f t="shared" ref="H600:H610" si="388">F600-B600</f>
        <v>0</v>
      </c>
      <c r="J600" s="3">
        <v>26022</v>
      </c>
      <c r="K600" s="4">
        <f t="shared" ref="K600:K614" si="389">L600-J600</f>
        <v>26028</v>
      </c>
      <c r="L600" s="4">
        <v>52050</v>
      </c>
      <c r="N600" s="4">
        <f t="shared" ref="N600:N614" si="390">L600-F600</f>
        <v>0</v>
      </c>
      <c r="P600" s="3">
        <v>53850</v>
      </c>
      <c r="R600" s="3">
        <v>26918</v>
      </c>
      <c r="S600" s="3">
        <f t="shared" ref="S600:S614" si="391">T600-R600</f>
        <v>26932</v>
      </c>
      <c r="T600" s="3">
        <v>53850</v>
      </c>
      <c r="U600" s="3">
        <f t="shared" ref="U600:U614" si="392">T600-P600</f>
        <v>0</v>
      </c>
      <c r="V600" s="3">
        <v>26918</v>
      </c>
      <c r="W600" s="3">
        <f t="shared" ref="W600:W614" si="393">Y600-V600</f>
        <v>26932</v>
      </c>
      <c r="Y600" s="3">
        <v>53850</v>
      </c>
      <c r="Z600" s="3">
        <f t="shared" ref="Z600:Z614" si="394">Y600-T600</f>
        <v>0</v>
      </c>
      <c r="AC600" s="3">
        <f>26918+26918</f>
        <v>53836</v>
      </c>
      <c r="AD600" s="3">
        <f t="shared" ref="AD600:AD614" si="395">AE600-AC600</f>
        <v>4</v>
      </c>
      <c r="AE600" s="3">
        <v>53840</v>
      </c>
      <c r="AF600" s="3">
        <f t="shared" ref="AF600:AF614" si="396">AE600-Y600</f>
        <v>-10</v>
      </c>
      <c r="AI600" s="3">
        <v>55750</v>
      </c>
      <c r="AK600" s="3">
        <f>AI600*1.03</f>
        <v>57422.5</v>
      </c>
      <c r="AM600" s="3">
        <f>AK600*1.03</f>
        <v>59145.175000000003</v>
      </c>
      <c r="AO600" s="3">
        <f>AM600*1.03</f>
        <v>60919.530250000003</v>
      </c>
      <c r="AQ600" s="3">
        <f>AO600*1.03</f>
        <v>62747.116157500008</v>
      </c>
      <c r="AS600" s="3">
        <f>AQ600*1.03</f>
        <v>64629.52964222501</v>
      </c>
      <c r="AU600" s="3">
        <f>AS600*1.03</f>
        <v>66568.415531491759</v>
      </c>
      <c r="AW600" s="3">
        <f>AU600*1.03</f>
        <v>68565.467997436514</v>
      </c>
      <c r="AY600" s="3">
        <f>AW600*1.03</f>
        <v>70622.432037359613</v>
      </c>
      <c r="BA600" s="3">
        <f>AY600*1.03</f>
        <v>72741.104998480398</v>
      </c>
      <c r="BC600" s="3">
        <f>BA600*1.03</f>
        <v>74923.338148434806</v>
      </c>
      <c r="BE600" s="3">
        <f>BC600*1.03</f>
        <v>77171.038292887853</v>
      </c>
    </row>
    <row r="601" spans="1:57" hidden="1" outlineLevel="1" x14ac:dyDescent="0.25">
      <c r="A601" s="320" t="s">
        <v>463</v>
      </c>
      <c r="B601" s="3">
        <v>46000</v>
      </c>
      <c r="D601" s="3">
        <v>12942</v>
      </c>
      <c r="E601" s="3">
        <f t="shared" si="387"/>
        <v>35058</v>
      </c>
      <c r="F601" s="3">
        <v>48000</v>
      </c>
      <c r="H601" s="3">
        <f t="shared" si="388"/>
        <v>2000</v>
      </c>
      <c r="J601" s="3">
        <v>22233</v>
      </c>
      <c r="K601" s="4">
        <f t="shared" si="389"/>
        <v>25767</v>
      </c>
      <c r="L601" s="4">
        <v>48000</v>
      </c>
      <c r="N601" s="4">
        <f t="shared" si="390"/>
        <v>0</v>
      </c>
      <c r="P601" s="3">
        <f>L601*1.0275+4030</f>
        <v>53350.000000000007</v>
      </c>
      <c r="R601" s="3">
        <v>15949</v>
      </c>
      <c r="S601" s="3">
        <f t="shared" si="391"/>
        <v>43401</v>
      </c>
      <c r="T601" s="3">
        <v>59350</v>
      </c>
      <c r="U601" s="3">
        <f t="shared" si="392"/>
        <v>5999.9999999999927</v>
      </c>
      <c r="V601" s="3">
        <v>27062</v>
      </c>
      <c r="W601" s="3">
        <f t="shared" si="393"/>
        <v>32288</v>
      </c>
      <c r="Y601" s="3">
        <v>59350</v>
      </c>
      <c r="Z601" s="3">
        <f t="shared" si="394"/>
        <v>0</v>
      </c>
      <c r="AC601" s="3">
        <v>38620</v>
      </c>
      <c r="AD601" s="3">
        <f t="shared" si="395"/>
        <v>19380</v>
      </c>
      <c r="AE601" s="3">
        <v>58000</v>
      </c>
      <c r="AF601" s="3">
        <f t="shared" si="396"/>
        <v>-1350</v>
      </c>
      <c r="AI601" s="3">
        <v>54900</v>
      </c>
      <c r="AK601" s="3">
        <f>AI601*1.03</f>
        <v>56547</v>
      </c>
      <c r="AM601" s="3">
        <f>AK601*1.03</f>
        <v>58243.41</v>
      </c>
      <c r="AO601" s="3">
        <f>AM601*1.03</f>
        <v>59990.712300000007</v>
      </c>
      <c r="AQ601" s="3">
        <f>AO601*1.03</f>
        <v>61790.433669000005</v>
      </c>
      <c r="AS601" s="3">
        <f>AQ601*1.03</f>
        <v>63644.146679070007</v>
      </c>
      <c r="AU601" s="3">
        <f>AS601*1.03</f>
        <v>65553.471079442112</v>
      </c>
      <c r="AW601" s="3">
        <f>AU601*1.03</f>
        <v>67520.075211825373</v>
      </c>
      <c r="AY601" s="3">
        <f>AW601*1.03</f>
        <v>69545.677468180133</v>
      </c>
      <c r="BA601" s="3">
        <f>AY601*1.03</f>
        <v>71632.047792225538</v>
      </c>
      <c r="BC601" s="3">
        <f>BA601*1.03</f>
        <v>73781.009225992311</v>
      </c>
      <c r="BE601" s="3">
        <f>BC601*1.03</f>
        <v>75994.439502772089</v>
      </c>
    </row>
    <row r="602" spans="1:57" hidden="1" outlineLevel="1" x14ac:dyDescent="0.25">
      <c r="A602" s="3" t="s">
        <v>299</v>
      </c>
      <c r="B602" s="3">
        <f>1000+500</f>
        <v>1500</v>
      </c>
      <c r="D602" s="3">
        <v>0</v>
      </c>
      <c r="E602" s="3">
        <f t="shared" si="387"/>
        <v>1000</v>
      </c>
      <c r="F602" s="3">
        <v>1000</v>
      </c>
      <c r="H602" s="3">
        <f t="shared" si="388"/>
        <v>-500</v>
      </c>
      <c r="J602" s="3">
        <v>202</v>
      </c>
      <c r="K602" s="4">
        <f t="shared" si="389"/>
        <v>798</v>
      </c>
      <c r="L602" s="4">
        <v>1000</v>
      </c>
      <c r="N602" s="4">
        <f t="shared" si="390"/>
        <v>0</v>
      </c>
      <c r="P602" s="3">
        <f>L602*1.0281+72</f>
        <v>1100.0999999999999</v>
      </c>
      <c r="R602" s="3">
        <v>190</v>
      </c>
      <c r="S602" s="3">
        <f t="shared" si="391"/>
        <v>910</v>
      </c>
      <c r="T602" s="3">
        <v>1100</v>
      </c>
      <c r="U602" s="3">
        <f t="shared" si="392"/>
        <v>-9.9999999999909051E-2</v>
      </c>
      <c r="V602" s="3">
        <v>491</v>
      </c>
      <c r="W602" s="3">
        <f t="shared" si="393"/>
        <v>609</v>
      </c>
      <c r="Y602" s="3">
        <v>1100</v>
      </c>
      <c r="Z602" s="3">
        <f t="shared" si="394"/>
        <v>0</v>
      </c>
      <c r="AC602" s="3">
        <v>491</v>
      </c>
      <c r="AD602" s="3">
        <f t="shared" si="395"/>
        <v>609</v>
      </c>
      <c r="AE602" s="3">
        <v>1100</v>
      </c>
      <c r="AF602" s="3">
        <f t="shared" si="396"/>
        <v>0</v>
      </c>
      <c r="AI602" s="3">
        <f>AE602*1.03+17</f>
        <v>1150</v>
      </c>
      <c r="AK602" s="3">
        <f>AI602*1.03</f>
        <v>1184.5</v>
      </c>
      <c r="AM602" s="3">
        <f>AK602*1.03</f>
        <v>1220.0350000000001</v>
      </c>
      <c r="AO602" s="3">
        <f>AM602*1.03</f>
        <v>1256.6360500000001</v>
      </c>
      <c r="AQ602" s="3">
        <f>AO602*1.03</f>
        <v>1294.3351315000002</v>
      </c>
      <c r="AS602" s="3">
        <f>AQ602*1.03</f>
        <v>1333.1651854450004</v>
      </c>
      <c r="AU602" s="3">
        <f>AS602*1.03</f>
        <v>1373.1601410083504</v>
      </c>
      <c r="AW602" s="3">
        <f>AU602*1.03</f>
        <v>1414.354945238601</v>
      </c>
      <c r="AY602" s="3">
        <f>AW602*1.03</f>
        <v>1456.7855935957591</v>
      </c>
      <c r="BA602" s="3">
        <f>AY602*1.03</f>
        <v>1500.4891614036319</v>
      </c>
      <c r="BC602" s="3">
        <f>BA602*1.03</f>
        <v>1545.5038362457408</v>
      </c>
      <c r="BE602" s="3">
        <f>BC602*1.03</f>
        <v>1591.868951333113</v>
      </c>
    </row>
    <row r="603" spans="1:57" hidden="1" outlineLevel="1" x14ac:dyDescent="0.25">
      <c r="A603" s="3" t="s">
        <v>327</v>
      </c>
      <c r="B603" s="3">
        <v>12000</v>
      </c>
      <c r="D603" s="3">
        <v>3000</v>
      </c>
      <c r="E603" s="3">
        <f t="shared" si="387"/>
        <v>9000</v>
      </c>
      <c r="F603" s="3">
        <v>12000</v>
      </c>
      <c r="H603" s="3">
        <f t="shared" si="388"/>
        <v>0</v>
      </c>
      <c r="J603" s="3">
        <v>5176</v>
      </c>
      <c r="K603" s="4">
        <f t="shared" si="389"/>
        <v>6824</v>
      </c>
      <c r="L603" s="4">
        <v>12000</v>
      </c>
      <c r="N603" s="4">
        <f t="shared" si="390"/>
        <v>0</v>
      </c>
      <c r="P603" s="3">
        <f>L603*1.0281+13</f>
        <v>12350.2</v>
      </c>
      <c r="R603" s="3">
        <v>2145</v>
      </c>
      <c r="S603" s="3">
        <f t="shared" si="391"/>
        <v>10205</v>
      </c>
      <c r="T603" s="3">
        <v>12350</v>
      </c>
      <c r="U603" s="3">
        <f t="shared" si="392"/>
        <v>-0.2000000000007276</v>
      </c>
      <c r="V603" s="3">
        <v>5486</v>
      </c>
      <c r="W603" s="3">
        <f t="shared" si="393"/>
        <v>7014</v>
      </c>
      <c r="Y603" s="3">
        <v>12500</v>
      </c>
      <c r="Z603" s="3">
        <f t="shared" si="394"/>
        <v>150</v>
      </c>
      <c r="AC603" s="3">
        <v>8888</v>
      </c>
      <c r="AD603" s="3">
        <f t="shared" si="395"/>
        <v>3612</v>
      </c>
      <c r="AE603" s="3">
        <v>12500</v>
      </c>
      <c r="AF603" s="3">
        <f t="shared" si="396"/>
        <v>0</v>
      </c>
      <c r="AI603" s="3">
        <f>AE603*1.03+25-100</f>
        <v>12800</v>
      </c>
      <c r="AK603" s="3">
        <f>AI603*1.03</f>
        <v>13184</v>
      </c>
      <c r="AM603" s="3">
        <f>AK603*1.03</f>
        <v>13579.52</v>
      </c>
      <c r="AO603" s="3">
        <f>AM603*1.03</f>
        <v>13986.9056</v>
      </c>
      <c r="AQ603" s="3">
        <f>AO603*1.03</f>
        <v>14406.512768000001</v>
      </c>
      <c r="AS603" s="3">
        <f>AQ603*1.03</f>
        <v>14838.70815104</v>
      </c>
      <c r="AU603" s="3">
        <f>AS603*1.03</f>
        <v>15283.869395571201</v>
      </c>
      <c r="AW603" s="3">
        <f>AU603*1.03</f>
        <v>15742.385477438336</v>
      </c>
      <c r="AY603" s="3">
        <f>AW603*1.03</f>
        <v>16214.657041761488</v>
      </c>
      <c r="BA603" s="3">
        <f>AY603*1.03</f>
        <v>16701.096753014332</v>
      </c>
      <c r="BC603" s="3">
        <f>BA603*1.03</f>
        <v>17202.129655604764</v>
      </c>
      <c r="BE603" s="3">
        <f>BC603*1.03</f>
        <v>17718.193545272909</v>
      </c>
    </row>
    <row r="604" spans="1:57" hidden="1" outlineLevel="1" x14ac:dyDescent="0.25">
      <c r="A604" s="3" t="s">
        <v>464</v>
      </c>
      <c r="B604" s="3">
        <v>10650</v>
      </c>
      <c r="D604" s="3">
        <v>838</v>
      </c>
      <c r="E604" s="3">
        <f t="shared" si="387"/>
        <v>8162</v>
      </c>
      <c r="F604" s="3">
        <v>9000</v>
      </c>
      <c r="H604" s="3">
        <f t="shared" si="388"/>
        <v>-1650</v>
      </c>
      <c r="J604" s="3">
        <v>3134</v>
      </c>
      <c r="K604" s="4">
        <f t="shared" si="389"/>
        <v>5866</v>
      </c>
      <c r="L604" s="4">
        <v>9000</v>
      </c>
      <c r="N604" s="4">
        <f t="shared" si="390"/>
        <v>0</v>
      </c>
      <c r="P604" s="3">
        <f>L604*1.17+20</f>
        <v>10550</v>
      </c>
      <c r="R604" s="3">
        <v>899</v>
      </c>
      <c r="S604" s="3">
        <f t="shared" si="391"/>
        <v>9101</v>
      </c>
      <c r="T604" s="3">
        <v>10000</v>
      </c>
      <c r="U604" s="3">
        <f t="shared" si="392"/>
        <v>-550</v>
      </c>
      <c r="V604" s="3">
        <v>3995</v>
      </c>
      <c r="W604" s="3">
        <f t="shared" si="393"/>
        <v>7255</v>
      </c>
      <c r="Y604" s="3">
        <v>11250</v>
      </c>
      <c r="Z604" s="3">
        <f t="shared" si="394"/>
        <v>1250</v>
      </c>
      <c r="AC604" s="3">
        <v>3995</v>
      </c>
      <c r="AD604" s="3">
        <f t="shared" si="395"/>
        <v>5005</v>
      </c>
      <c r="AE604" s="3">
        <v>9000</v>
      </c>
      <c r="AF604" s="3">
        <f t="shared" si="396"/>
        <v>-2250</v>
      </c>
      <c r="AI604" s="3">
        <f>P604*1.075+9</f>
        <v>11350.25</v>
      </c>
      <c r="AK604" s="3">
        <f>AI604*1.05</f>
        <v>11917.762500000001</v>
      </c>
      <c r="AM604" s="3">
        <f>AK604*1.03</f>
        <v>12275.295375000002</v>
      </c>
      <c r="AO604" s="3">
        <f>AM604*1.03</f>
        <v>12643.554236250002</v>
      </c>
      <c r="AQ604" s="3">
        <f>AO604*1.03</f>
        <v>13022.860863337502</v>
      </c>
      <c r="AS604" s="3">
        <f>AQ604*1.03</f>
        <v>13413.546689237628</v>
      </c>
      <c r="AU604" s="3">
        <f>AS604*1.03</f>
        <v>13815.953089914758</v>
      </c>
      <c r="AW604" s="3">
        <f>AU604*1.03</f>
        <v>14230.431682612201</v>
      </c>
      <c r="AY604" s="3">
        <f>AW604*1.03</f>
        <v>14657.344633090568</v>
      </c>
      <c r="BA604" s="3">
        <f>AY604*1.03</f>
        <v>15097.064972083286</v>
      </c>
      <c r="BC604" s="3">
        <f>BA604*1.03</f>
        <v>15549.976921245785</v>
      </c>
      <c r="BE604" s="3">
        <f>BC604*1.03</f>
        <v>16016.476228883159</v>
      </c>
    </row>
    <row r="605" spans="1:57" hidden="1" outlineLevel="1" x14ac:dyDescent="0.25">
      <c r="A605" s="3" t="s">
        <v>331</v>
      </c>
      <c r="B605" s="3">
        <v>850</v>
      </c>
      <c r="D605" s="3">
        <v>680</v>
      </c>
      <c r="E605" s="3">
        <f t="shared" si="387"/>
        <v>320</v>
      </c>
      <c r="F605" s="3">
        <v>1000</v>
      </c>
      <c r="H605" s="3">
        <f t="shared" si="388"/>
        <v>150</v>
      </c>
      <c r="J605" s="3">
        <v>0</v>
      </c>
      <c r="K605" s="4">
        <f t="shared" si="389"/>
        <v>1000</v>
      </c>
      <c r="L605" s="4">
        <v>1000</v>
      </c>
      <c r="N605" s="4">
        <f t="shared" si="390"/>
        <v>0</v>
      </c>
      <c r="P605" s="3">
        <f>L605*1.07+30</f>
        <v>1100</v>
      </c>
      <c r="R605" s="3">
        <v>0</v>
      </c>
      <c r="S605" s="3">
        <f t="shared" si="391"/>
        <v>750</v>
      </c>
      <c r="T605" s="3">
        <v>750</v>
      </c>
      <c r="U605" s="3">
        <f t="shared" si="392"/>
        <v>-350</v>
      </c>
      <c r="V605" s="3">
        <v>0</v>
      </c>
      <c r="W605" s="3">
        <f t="shared" si="393"/>
        <v>750</v>
      </c>
      <c r="Y605" s="3">
        <v>750</v>
      </c>
      <c r="Z605" s="3">
        <f t="shared" si="394"/>
        <v>0</v>
      </c>
      <c r="AC605" s="3">
        <v>478</v>
      </c>
      <c r="AD605" s="3">
        <f t="shared" si="395"/>
        <v>272</v>
      </c>
      <c r="AE605" s="3">
        <v>750</v>
      </c>
      <c r="AF605" s="3">
        <f t="shared" si="396"/>
        <v>0</v>
      </c>
      <c r="AI605" s="3">
        <f>P605*1.07+23</f>
        <v>1200</v>
      </c>
      <c r="AK605" s="3">
        <f>AI605*1.07</f>
        <v>1284</v>
      </c>
      <c r="AM605" s="3">
        <f>AK605*1.07</f>
        <v>1373.88</v>
      </c>
      <c r="AO605" s="3">
        <f>AM605*1.07</f>
        <v>1470.0516000000002</v>
      </c>
      <c r="AQ605" s="3">
        <f>AO605*1.07</f>
        <v>1572.9552120000003</v>
      </c>
      <c r="AS605" s="3">
        <f>AQ605*1.07</f>
        <v>1683.0620768400004</v>
      </c>
      <c r="AU605" s="3">
        <f>AS605*1.07</f>
        <v>1800.8764222188006</v>
      </c>
      <c r="AW605" s="3">
        <f>AU605*1.07</f>
        <v>1926.9377717741168</v>
      </c>
      <c r="AY605" s="3">
        <f>AW605*1.07</f>
        <v>2061.8234157983052</v>
      </c>
      <c r="BA605" s="3">
        <f>AY605*1.07</f>
        <v>2206.1510549041868</v>
      </c>
      <c r="BC605" s="3">
        <f>BA605*1.07</f>
        <v>2360.58162874748</v>
      </c>
      <c r="BE605" s="3">
        <f>BC605*1.07</f>
        <v>2525.8223427598036</v>
      </c>
    </row>
    <row r="606" spans="1:57" hidden="1" outlineLevel="1" x14ac:dyDescent="0.25">
      <c r="A606" s="3" t="s">
        <v>332</v>
      </c>
      <c r="B606" s="3">
        <v>1750</v>
      </c>
      <c r="D606" s="3">
        <v>255</v>
      </c>
      <c r="E606" s="3">
        <f t="shared" si="387"/>
        <v>1495</v>
      </c>
      <c r="F606" s="3">
        <v>1750</v>
      </c>
      <c r="H606" s="3">
        <f t="shared" si="388"/>
        <v>0</v>
      </c>
      <c r="J606" s="3">
        <v>427</v>
      </c>
      <c r="K606" s="4">
        <f t="shared" si="389"/>
        <v>1323</v>
      </c>
      <c r="L606" s="4">
        <v>1750</v>
      </c>
      <c r="N606" s="4">
        <f t="shared" si="390"/>
        <v>0</v>
      </c>
      <c r="P606" s="3">
        <f>L606*1.0281+1</f>
        <v>1800.175</v>
      </c>
      <c r="R606" s="3">
        <v>277</v>
      </c>
      <c r="S606" s="3">
        <f t="shared" si="391"/>
        <v>1123</v>
      </c>
      <c r="T606" s="3">
        <v>1400</v>
      </c>
      <c r="U606" s="3">
        <f t="shared" si="392"/>
        <v>-400.17499999999995</v>
      </c>
      <c r="V606" s="3">
        <v>422</v>
      </c>
      <c r="W606" s="3">
        <f t="shared" si="393"/>
        <v>978</v>
      </c>
      <c r="Y606" s="3">
        <v>1400</v>
      </c>
      <c r="Z606" s="3">
        <f t="shared" si="394"/>
        <v>0</v>
      </c>
      <c r="AC606" s="3">
        <v>98</v>
      </c>
      <c r="AD606" s="3">
        <f t="shared" si="395"/>
        <v>1302</v>
      </c>
      <c r="AE606" s="3">
        <v>1400</v>
      </c>
      <c r="AF606" s="3">
        <f t="shared" si="396"/>
        <v>0</v>
      </c>
      <c r="AI606" s="3">
        <f>AE606*1.03+8</f>
        <v>1450</v>
      </c>
      <c r="AK606" s="3">
        <f>AI606*1.03</f>
        <v>1493.5</v>
      </c>
      <c r="AM606" s="3">
        <f>AK606*1.03</f>
        <v>1538.3050000000001</v>
      </c>
      <c r="AO606" s="3">
        <f>AM606*1.03</f>
        <v>1584.45415</v>
      </c>
      <c r="AQ606" s="3">
        <f>AO606*1.03</f>
        <v>1631.9877745000001</v>
      </c>
      <c r="AS606" s="3">
        <f>AQ606*1.03</f>
        <v>1680.9474077350001</v>
      </c>
      <c r="AU606" s="3">
        <f>AS606*1.03</f>
        <v>1731.3758299670501</v>
      </c>
      <c r="AW606" s="3">
        <f>AU606*1.03</f>
        <v>1783.3171048660618</v>
      </c>
      <c r="AY606" s="3">
        <f>AW606*1.03</f>
        <v>1836.8166180120436</v>
      </c>
      <c r="BA606" s="3">
        <f>AY606*1.03</f>
        <v>1891.921116552405</v>
      </c>
      <c r="BC606" s="3">
        <f>BA606*1.03</f>
        <v>1948.6787500489772</v>
      </c>
      <c r="BE606" s="3">
        <f>BC606*1.03</f>
        <v>2007.1391125504465</v>
      </c>
    </row>
    <row r="607" spans="1:57" hidden="1" outlineLevel="1" x14ac:dyDescent="0.25">
      <c r="A607" s="3" t="s">
        <v>465</v>
      </c>
      <c r="B607" s="3">
        <v>1000</v>
      </c>
      <c r="D607" s="3">
        <v>0</v>
      </c>
      <c r="E607" s="3">
        <f t="shared" si="387"/>
        <v>1000</v>
      </c>
      <c r="F607" s="3">
        <v>1000</v>
      </c>
      <c r="H607" s="3">
        <f t="shared" si="388"/>
        <v>0</v>
      </c>
      <c r="J607" s="3">
        <v>150</v>
      </c>
      <c r="K607" s="4">
        <f t="shared" si="389"/>
        <v>850</v>
      </c>
      <c r="L607" s="4">
        <v>1000</v>
      </c>
      <c r="N607" s="4">
        <f t="shared" si="390"/>
        <v>0</v>
      </c>
      <c r="P607" s="3">
        <f>L607*1.0281+22</f>
        <v>1050.0999999999999</v>
      </c>
      <c r="R607" s="3">
        <v>84</v>
      </c>
      <c r="S607" s="3">
        <f t="shared" si="391"/>
        <v>916</v>
      </c>
      <c r="T607" s="3">
        <v>1000</v>
      </c>
      <c r="U607" s="3">
        <f t="shared" si="392"/>
        <v>-50.099999999999909</v>
      </c>
      <c r="V607" s="3">
        <f>675+48+36</f>
        <v>759</v>
      </c>
      <c r="W607" s="3">
        <f t="shared" si="393"/>
        <v>241</v>
      </c>
      <c r="Y607" s="3">
        <v>1000</v>
      </c>
      <c r="Z607" s="3">
        <f t="shared" si="394"/>
        <v>0</v>
      </c>
      <c r="AC607" s="3">
        <v>704</v>
      </c>
      <c r="AD607" s="3">
        <f t="shared" si="395"/>
        <v>296</v>
      </c>
      <c r="AE607" s="3">
        <v>1000</v>
      </c>
      <c r="AF607" s="3">
        <f t="shared" si="396"/>
        <v>0</v>
      </c>
      <c r="AI607" s="3">
        <f>AE607*1.03</f>
        <v>1030</v>
      </c>
      <c r="AK607" s="3">
        <f t="shared" ref="AK607:AY607" si="397">AI607*1.03</f>
        <v>1060.9000000000001</v>
      </c>
      <c r="AM607" s="3">
        <f t="shared" si="397"/>
        <v>1092.7270000000001</v>
      </c>
      <c r="AO607" s="3">
        <f t="shared" si="397"/>
        <v>1125.50881</v>
      </c>
      <c r="AQ607" s="3">
        <f t="shared" si="397"/>
        <v>1159.2740743000002</v>
      </c>
      <c r="AS607" s="3">
        <f t="shared" si="397"/>
        <v>1194.0522965290002</v>
      </c>
      <c r="AU607" s="3">
        <f t="shared" si="397"/>
        <v>1229.8738654248702</v>
      </c>
      <c r="AW607" s="3">
        <f t="shared" si="397"/>
        <v>1266.7700813876163</v>
      </c>
      <c r="AY607" s="3">
        <f t="shared" si="397"/>
        <v>1304.7731838292448</v>
      </c>
      <c r="BA607" s="3">
        <f>AY607*1.03</f>
        <v>1343.9163793441221</v>
      </c>
      <c r="BC607" s="3">
        <f>BA607*1.03</f>
        <v>1384.2338707244458</v>
      </c>
      <c r="BE607" s="3">
        <f>BC607*1.03</f>
        <v>1425.7608868461791</v>
      </c>
    </row>
    <row r="608" spans="1:57" hidden="1" outlineLevel="1" x14ac:dyDescent="0.25">
      <c r="A608" s="3" t="s">
        <v>466</v>
      </c>
      <c r="B608" s="3">
        <v>700</v>
      </c>
      <c r="D608" s="3">
        <v>530</v>
      </c>
      <c r="E608" s="3">
        <f t="shared" si="387"/>
        <v>170</v>
      </c>
      <c r="F608" s="3">
        <v>700</v>
      </c>
      <c r="H608" s="3">
        <f t="shared" si="388"/>
        <v>0</v>
      </c>
      <c r="J608" s="3">
        <v>531</v>
      </c>
      <c r="K608" s="4">
        <f t="shared" si="389"/>
        <v>169</v>
      </c>
      <c r="L608" s="4">
        <v>700</v>
      </c>
      <c r="N608" s="4">
        <f t="shared" si="390"/>
        <v>0</v>
      </c>
      <c r="P608" s="3">
        <f>L608*1.0281+30</f>
        <v>749.67</v>
      </c>
      <c r="R608" s="3">
        <v>94</v>
      </c>
      <c r="S608" s="3">
        <f t="shared" si="391"/>
        <v>606</v>
      </c>
      <c r="T608" s="3">
        <v>700</v>
      </c>
      <c r="U608" s="3">
        <f t="shared" si="392"/>
        <v>-49.669999999999959</v>
      </c>
      <c r="V608" s="3">
        <v>546</v>
      </c>
      <c r="W608" s="3">
        <f t="shared" si="393"/>
        <v>154</v>
      </c>
      <c r="Y608" s="3">
        <v>700</v>
      </c>
      <c r="Z608" s="3">
        <f t="shared" si="394"/>
        <v>0</v>
      </c>
      <c r="AC608" s="3">
        <v>546</v>
      </c>
      <c r="AD608" s="3">
        <f t="shared" si="395"/>
        <v>154</v>
      </c>
      <c r="AE608" s="3">
        <v>700</v>
      </c>
      <c r="AF608" s="3">
        <f t="shared" si="396"/>
        <v>0</v>
      </c>
      <c r="AI608" s="3">
        <f>AE608*1.03+29</f>
        <v>750</v>
      </c>
      <c r="AK608" s="3">
        <f>AI608*1.03</f>
        <v>772.5</v>
      </c>
      <c r="AM608" s="3">
        <f>AK608*1.03</f>
        <v>795.67500000000007</v>
      </c>
      <c r="AO608" s="3">
        <f>AM608*1.03</f>
        <v>819.54525000000012</v>
      </c>
      <c r="AQ608" s="3">
        <f>AO608*1.03</f>
        <v>844.1316075000002</v>
      </c>
      <c r="AS608" s="3">
        <f>AQ608*1.03</f>
        <v>869.45555572500018</v>
      </c>
      <c r="AU608" s="3">
        <f>AS608*1.03</f>
        <v>895.53922239675023</v>
      </c>
      <c r="AW608" s="3">
        <f>AU608*1.03</f>
        <v>922.40539906865274</v>
      </c>
      <c r="AY608" s="3">
        <f>AW608*1.03</f>
        <v>950.07756104071234</v>
      </c>
      <c r="BA608" s="3">
        <f>AY608*1.03</f>
        <v>978.57988787193369</v>
      </c>
      <c r="BC608" s="3">
        <f>BA608*1.03</f>
        <v>1007.9372845080917</v>
      </c>
      <c r="BE608" s="3">
        <f>BC608*1.03</f>
        <v>1038.1754030433344</v>
      </c>
    </row>
    <row r="609" spans="1:1015 1029:2039 2053:3063 3077:4087 4101:5111 5125:6135 6149:7159 7173:8183 8197:9207 9221:10231 10245:11255 11269:12279 12293:13303 13317:14327 14341:15351 15365:16373" s="42" customFormat="1" hidden="1" outlineLevel="1" x14ac:dyDescent="0.25">
      <c r="A609" s="3" t="s">
        <v>467</v>
      </c>
      <c r="B609" s="3">
        <v>1500</v>
      </c>
      <c r="C609" s="3"/>
      <c r="D609" s="3">
        <v>405</v>
      </c>
      <c r="E609" s="3">
        <f t="shared" si="387"/>
        <v>1095</v>
      </c>
      <c r="F609" s="3">
        <v>1500</v>
      </c>
      <c r="G609" s="3"/>
      <c r="H609" s="3">
        <f t="shared" si="388"/>
        <v>0</v>
      </c>
      <c r="I609" s="3"/>
      <c r="J609" s="3">
        <v>840</v>
      </c>
      <c r="K609" s="4">
        <f t="shared" si="389"/>
        <v>910</v>
      </c>
      <c r="L609" s="4">
        <v>1750</v>
      </c>
      <c r="M609" s="4"/>
      <c r="N609" s="4">
        <f t="shared" si="390"/>
        <v>250</v>
      </c>
      <c r="O609" s="3"/>
      <c r="P609" s="3">
        <f>L609*1.0281+1</f>
        <v>1800.175</v>
      </c>
      <c r="Q609" s="3"/>
      <c r="R609" s="3">
        <v>427</v>
      </c>
      <c r="S609" s="3">
        <f t="shared" si="391"/>
        <v>1373</v>
      </c>
      <c r="T609" s="3">
        <v>1800</v>
      </c>
      <c r="U609" s="3">
        <f t="shared" si="392"/>
        <v>-0.17499999999995453</v>
      </c>
      <c r="V609" s="3">
        <v>916</v>
      </c>
      <c r="W609" s="3">
        <f t="shared" si="393"/>
        <v>884</v>
      </c>
      <c r="X609" s="3"/>
      <c r="Y609" s="3">
        <v>1800</v>
      </c>
      <c r="Z609" s="3">
        <f t="shared" si="394"/>
        <v>0</v>
      </c>
      <c r="AA609" s="3"/>
      <c r="AB609" s="3"/>
      <c r="AC609" s="3">
        <v>1390</v>
      </c>
      <c r="AD609" s="3">
        <f t="shared" si="395"/>
        <v>410</v>
      </c>
      <c r="AE609" s="3">
        <v>1800</v>
      </c>
      <c r="AF609" s="3">
        <f t="shared" si="396"/>
        <v>0</v>
      </c>
      <c r="AG609" s="4"/>
      <c r="AH609" s="4"/>
      <c r="AI609" s="3">
        <f>AE609*1.03-4</f>
        <v>1850</v>
      </c>
      <c r="AJ609" s="3"/>
      <c r="AK609" s="3">
        <f>AI609*1.03</f>
        <v>1905.5</v>
      </c>
      <c r="AL609" s="3"/>
      <c r="AM609" s="3">
        <f>AK609*1.03</f>
        <v>1962.665</v>
      </c>
      <c r="AN609" s="3"/>
      <c r="AO609" s="3">
        <f>AM609*1.03</f>
        <v>2021.54495</v>
      </c>
      <c r="AP609" s="4"/>
      <c r="AQ609" s="3">
        <f>AO609*1.03</f>
        <v>2082.1912984999999</v>
      </c>
      <c r="AS609" s="3">
        <f>AQ609*1.03</f>
        <v>2144.6570374550001</v>
      </c>
      <c r="AU609" s="3">
        <f>AS609*1.03</f>
        <v>2208.9967485786501</v>
      </c>
      <c r="AW609" s="3">
        <f>AU609*1.03</f>
        <v>2275.2666510360095</v>
      </c>
      <c r="AY609" s="3">
        <f>AW609*1.03</f>
        <v>2343.5246505670898</v>
      </c>
      <c r="BA609" s="3">
        <f>AY609*1.03</f>
        <v>2413.8303900841024</v>
      </c>
      <c r="BC609" s="3">
        <f>BA609*1.03</f>
        <v>2486.2453017866255</v>
      </c>
      <c r="BE609" s="3">
        <f>BC609*1.03</f>
        <v>2560.8326608402244</v>
      </c>
    </row>
    <row r="610" spans="1:1015 1029:2039 2053:3063 3077:4087 4101:5111 5125:6135 6149:7159 7173:8183 8197:9207 9221:10231 10245:11255 11269:12279 12293:13303 13317:14327 14341:15351 15365:16373" hidden="1" outlineLevel="1" x14ac:dyDescent="0.25">
      <c r="A610" s="3" t="s">
        <v>468</v>
      </c>
      <c r="B610" s="3">
        <v>2420</v>
      </c>
      <c r="D610" s="3">
        <v>0</v>
      </c>
      <c r="E610" s="3">
        <f t="shared" si="387"/>
        <v>2420</v>
      </c>
      <c r="F610" s="3">
        <v>2420</v>
      </c>
      <c r="H610" s="3">
        <f t="shared" si="388"/>
        <v>0</v>
      </c>
      <c r="J610" s="3">
        <v>0</v>
      </c>
      <c r="K610" s="4">
        <f t="shared" si="389"/>
        <v>2420</v>
      </c>
      <c r="L610" s="4">
        <v>2420</v>
      </c>
      <c r="N610" s="4">
        <f t="shared" si="390"/>
        <v>0</v>
      </c>
      <c r="P610" s="3">
        <v>2500</v>
      </c>
      <c r="R610" s="3">
        <v>0</v>
      </c>
      <c r="S610" s="3">
        <f t="shared" si="391"/>
        <v>2500</v>
      </c>
      <c r="T610" s="3">
        <v>2500</v>
      </c>
      <c r="U610" s="3">
        <f t="shared" si="392"/>
        <v>0</v>
      </c>
      <c r="V610" s="3">
        <v>0</v>
      </c>
      <c r="W610" s="3">
        <f t="shared" si="393"/>
        <v>2500</v>
      </c>
      <c r="Y610" s="3">
        <v>2500</v>
      </c>
      <c r="Z610" s="3">
        <f t="shared" si="394"/>
        <v>0</v>
      </c>
      <c r="AC610" s="3">
        <v>0</v>
      </c>
      <c r="AD610" s="3">
        <f t="shared" si="395"/>
        <v>2500</v>
      </c>
      <c r="AE610" s="3">
        <v>2500</v>
      </c>
      <c r="AF610" s="3">
        <f t="shared" si="396"/>
        <v>0</v>
      </c>
      <c r="AI610" s="3">
        <f>AE610*1.05+25</f>
        <v>2650</v>
      </c>
      <c r="AK610" s="3">
        <f>AI610*1.05</f>
        <v>2782.5</v>
      </c>
      <c r="AM610" s="3">
        <f>AK610*1.05</f>
        <v>2921.625</v>
      </c>
      <c r="AO610" s="3">
        <f>AM610*1.05</f>
        <v>3067.7062500000002</v>
      </c>
      <c r="AQ610" s="3">
        <f>AO610*1.05</f>
        <v>3221.0915625000002</v>
      </c>
      <c r="AS610" s="3">
        <f>AQ610*1.05</f>
        <v>3382.1461406250005</v>
      </c>
      <c r="AU610" s="3">
        <f>AS610*1.05</f>
        <v>3551.2534476562505</v>
      </c>
      <c r="AW610" s="3">
        <f>AU610*1.05</f>
        <v>3728.8161200390632</v>
      </c>
      <c r="AY610" s="3">
        <f>AW610*1.05</f>
        <v>3915.2569260410164</v>
      </c>
      <c r="BA610" s="3">
        <f>AY610*1.05</f>
        <v>4111.0197723430674</v>
      </c>
      <c r="BC610" s="3">
        <f>BA610*1.05</f>
        <v>4316.5707609602214</v>
      </c>
      <c r="BE610" s="3">
        <f>BC610*1.05</f>
        <v>4532.3992990082324</v>
      </c>
    </row>
    <row r="611" spans="1:1015 1029:2039 2053:3063 3077:4087 4101:5111 5125:6135 6149:7159 7173:8183 8197:9207 9221:10231 10245:11255 11269:12279 12293:13303 13317:14327 14341:15351 15365:16373" hidden="1" outlineLevel="1" x14ac:dyDescent="0.25">
      <c r="A611" s="267" t="s">
        <v>289</v>
      </c>
      <c r="B611" s="3">
        <v>28500</v>
      </c>
      <c r="D611" s="3">
        <v>0</v>
      </c>
      <c r="E611" s="3">
        <f>F611-D611</f>
        <v>28500</v>
      </c>
      <c r="F611" s="3">
        <v>28500</v>
      </c>
      <c r="H611" s="3">
        <f>F611-B611</f>
        <v>0</v>
      </c>
      <c r="J611" s="3">
        <v>0</v>
      </c>
      <c r="K611" s="4">
        <f t="shared" si="389"/>
        <v>28500</v>
      </c>
      <c r="L611" s="4">
        <v>28500</v>
      </c>
      <c r="N611" s="4">
        <f t="shared" si="390"/>
        <v>0</v>
      </c>
      <c r="P611" s="3">
        <f>B611</f>
        <v>28500</v>
      </c>
      <c r="R611" s="3">
        <v>0</v>
      </c>
      <c r="S611" s="3">
        <f t="shared" si="391"/>
        <v>28500</v>
      </c>
      <c r="T611" s="3">
        <v>28500</v>
      </c>
      <c r="U611" s="3">
        <f t="shared" si="392"/>
        <v>0</v>
      </c>
      <c r="V611" s="3">
        <v>0</v>
      </c>
      <c r="W611" s="3">
        <f t="shared" si="393"/>
        <v>28500</v>
      </c>
      <c r="Y611" s="3">
        <v>28500</v>
      </c>
      <c r="Z611" s="3">
        <f t="shared" si="394"/>
        <v>0</v>
      </c>
      <c r="AC611" s="3">
        <v>0</v>
      </c>
      <c r="AD611" s="3">
        <f t="shared" si="395"/>
        <v>28500</v>
      </c>
      <c r="AE611" s="3">
        <v>28500</v>
      </c>
      <c r="AF611" s="3">
        <f t="shared" si="396"/>
        <v>0</v>
      </c>
      <c r="AI611" s="3">
        <f>P611</f>
        <v>28500</v>
      </c>
      <c r="AK611" s="3">
        <f>AI611</f>
        <v>28500</v>
      </c>
      <c r="AM611" s="3">
        <f>AK611</f>
        <v>28500</v>
      </c>
      <c r="AO611" s="3">
        <f>AM611</f>
        <v>28500</v>
      </c>
      <c r="AQ611" s="3">
        <f>AO611</f>
        <v>28500</v>
      </c>
      <c r="AS611" s="3">
        <f>AQ611</f>
        <v>28500</v>
      </c>
      <c r="AU611" s="3">
        <f>AS611</f>
        <v>28500</v>
      </c>
      <c r="AW611" s="3">
        <f>AU611</f>
        <v>28500</v>
      </c>
      <c r="AY611" s="3">
        <f>AW611</f>
        <v>28500</v>
      </c>
      <c r="BA611" s="3">
        <f>AY611</f>
        <v>28500</v>
      </c>
      <c r="BC611" s="3">
        <f>BA611</f>
        <v>28500</v>
      </c>
      <c r="BE611" s="3">
        <f>BC611</f>
        <v>28500</v>
      </c>
      <c r="BI611" s="268"/>
      <c r="BJ611" s="268"/>
      <c r="BK611" s="268"/>
      <c r="BL611" s="268"/>
      <c r="BM611" s="268"/>
      <c r="BN611" s="268"/>
      <c r="BO611" s="268"/>
      <c r="BP611" s="268"/>
      <c r="BQ611" s="268"/>
      <c r="BR611" s="268"/>
      <c r="BS611" s="268"/>
      <c r="BT611" s="268"/>
      <c r="BU611" s="268"/>
      <c r="BV611" s="268"/>
      <c r="BW611" s="268"/>
      <c r="BX611" s="268"/>
      <c r="BY611" s="268"/>
      <c r="BZ611" s="268"/>
      <c r="CA611" s="268"/>
      <c r="CB611" s="268"/>
      <c r="CC611" s="268"/>
      <c r="CD611" s="268"/>
      <c r="CE611" s="268"/>
      <c r="CF611" s="268"/>
      <c r="CG611" s="268"/>
      <c r="CH611" s="268"/>
      <c r="CI611" s="268"/>
      <c r="CJ611" s="268"/>
      <c r="CK611" s="268"/>
      <c r="CL611" s="268"/>
      <c r="CM611" s="268"/>
      <c r="CN611" s="268"/>
      <c r="CO611" s="268"/>
      <c r="CP611" s="268"/>
      <c r="CQ611" s="268"/>
      <c r="CR611" s="268"/>
      <c r="CS611" s="268"/>
      <c r="CT611" s="268"/>
      <c r="CU611" s="268"/>
      <c r="CV611" s="268"/>
      <c r="CW611" s="268"/>
      <c r="CX611" s="268"/>
      <c r="CY611" s="268"/>
      <c r="CZ611" s="268"/>
      <c r="DA611" s="268"/>
      <c r="DB611" s="268"/>
      <c r="DC611" s="268"/>
      <c r="DD611" s="268"/>
      <c r="DE611" s="268"/>
      <c r="DF611" s="268"/>
      <c r="DG611" s="268"/>
      <c r="DH611" s="268"/>
      <c r="DI611" s="268"/>
      <c r="DJ611" s="268"/>
      <c r="DK611" s="268"/>
      <c r="DL611" s="268"/>
      <c r="DM611" s="268"/>
      <c r="DN611" s="268"/>
      <c r="DO611" s="268"/>
      <c r="DP611" s="268"/>
      <c r="DQ611" s="268"/>
      <c r="DR611" s="268"/>
      <c r="DS611" s="268"/>
      <c r="DT611" s="268"/>
      <c r="DU611" s="268"/>
      <c r="DV611" s="268"/>
      <c r="DW611" s="268"/>
      <c r="DX611" s="268"/>
      <c r="DY611" s="268"/>
      <c r="DZ611" s="268"/>
      <c r="EA611" s="268"/>
      <c r="EB611" s="268"/>
      <c r="EC611" s="268"/>
      <c r="ED611" s="268"/>
      <c r="EE611" s="268"/>
      <c r="EF611" s="268"/>
      <c r="EG611" s="268"/>
      <c r="EH611" s="268"/>
      <c r="EI611" s="268"/>
      <c r="EJ611" s="268"/>
      <c r="EK611" s="268"/>
      <c r="EL611" s="268"/>
      <c r="EM611" s="268"/>
      <c r="EN611" s="268"/>
      <c r="EO611" s="268"/>
      <c r="EP611" s="268"/>
      <c r="EQ611" s="268"/>
      <c r="ER611" s="268"/>
      <c r="ES611" s="268"/>
      <c r="ET611" s="268"/>
      <c r="EU611" s="268"/>
      <c r="EV611" s="268"/>
      <c r="EW611" s="268"/>
      <c r="EX611" s="268"/>
      <c r="EY611" s="268"/>
      <c r="EZ611" s="268"/>
      <c r="FA611" s="268"/>
      <c r="FB611" s="268"/>
      <c r="FC611" s="268"/>
      <c r="FD611" s="268"/>
      <c r="FE611" s="268"/>
      <c r="FF611" s="268"/>
      <c r="FG611" s="268"/>
      <c r="FH611" s="268"/>
      <c r="FI611" s="268"/>
      <c r="FJ611" s="268"/>
      <c r="FK611" s="268"/>
      <c r="FL611" s="268"/>
      <c r="FM611" s="268"/>
      <c r="FN611" s="268"/>
      <c r="FO611" s="268"/>
      <c r="FP611" s="268"/>
      <c r="FQ611" s="268"/>
      <c r="FR611" s="268"/>
      <c r="FS611" s="268"/>
      <c r="FT611" s="268"/>
      <c r="FU611" s="268"/>
      <c r="FV611" s="268"/>
      <c r="FW611" s="268"/>
      <c r="FX611" s="268"/>
      <c r="FY611" s="268"/>
      <c r="FZ611" s="268"/>
      <c r="GA611" s="268"/>
      <c r="GB611" s="268"/>
      <c r="GC611" s="268"/>
      <c r="GD611" s="268"/>
      <c r="GE611" s="268"/>
      <c r="GF611" s="268"/>
      <c r="GG611" s="268"/>
      <c r="GH611" s="268"/>
      <c r="GI611" s="268"/>
      <c r="GJ611" s="268"/>
      <c r="GK611" s="268"/>
      <c r="GL611" s="268"/>
      <c r="GM611" s="268"/>
      <c r="GN611" s="268"/>
      <c r="GO611" s="268"/>
      <c r="GP611" s="268"/>
      <c r="GQ611" s="268"/>
      <c r="GR611" s="268"/>
      <c r="GS611" s="268"/>
      <c r="GT611" s="268"/>
      <c r="GU611" s="268"/>
      <c r="GV611" s="268"/>
      <c r="GW611" s="268"/>
      <c r="GX611" s="268"/>
      <c r="GY611" s="268"/>
      <c r="GZ611" s="268"/>
      <c r="HA611" s="268"/>
      <c r="HB611" s="268"/>
      <c r="HC611" s="268"/>
      <c r="HD611" s="268"/>
      <c r="HE611" s="268"/>
      <c r="HF611" s="268"/>
      <c r="HG611" s="268"/>
      <c r="HH611" s="268"/>
      <c r="HI611" s="268"/>
      <c r="HJ611" s="268"/>
      <c r="HK611" s="268"/>
      <c r="HL611" s="268"/>
      <c r="HM611" s="268"/>
      <c r="HN611" s="268"/>
      <c r="HO611" s="268"/>
      <c r="HP611" s="268"/>
      <c r="HQ611" s="268"/>
      <c r="HR611" s="268"/>
      <c r="HS611" s="268"/>
      <c r="HT611" s="268"/>
      <c r="HU611" s="268"/>
      <c r="HV611" s="268"/>
      <c r="HW611" s="268"/>
      <c r="HX611" s="268"/>
      <c r="HY611" s="268"/>
      <c r="HZ611" s="268"/>
      <c r="IA611" s="268"/>
      <c r="IB611" s="268"/>
      <c r="IC611" s="268"/>
      <c r="ID611" s="268"/>
      <c r="IE611" s="268"/>
      <c r="IF611" s="268"/>
      <c r="IG611" s="268"/>
      <c r="IH611" s="268"/>
      <c r="II611" s="268"/>
      <c r="IJ611" s="268"/>
      <c r="IK611" s="268"/>
      <c r="IL611" s="268"/>
      <c r="IM611" s="268"/>
      <c r="JA611" s="268"/>
      <c r="JB611" s="268"/>
      <c r="JC611" s="268"/>
      <c r="JQ611" s="268"/>
      <c r="JS611" s="268"/>
      <c r="JT611" s="268"/>
      <c r="JU611" s="268"/>
      <c r="JV611" s="268"/>
      <c r="JW611" s="268"/>
      <c r="JX611" s="268"/>
      <c r="JY611" s="268"/>
      <c r="JZ611" s="268"/>
      <c r="KA611" s="268"/>
      <c r="KB611" s="268"/>
      <c r="KC611" s="268"/>
      <c r="KD611" s="268"/>
      <c r="KE611" s="268"/>
      <c r="KF611" s="268"/>
      <c r="KG611" s="268"/>
      <c r="KH611" s="268"/>
      <c r="KI611" s="268"/>
      <c r="KJ611" s="268"/>
      <c r="KK611" s="268"/>
      <c r="KL611" s="268"/>
      <c r="KM611" s="268"/>
      <c r="KN611" s="268"/>
      <c r="KO611" s="268"/>
      <c r="KP611" s="268"/>
      <c r="KQ611" s="268"/>
      <c r="KR611" s="268"/>
      <c r="KS611" s="268"/>
      <c r="KT611" s="268"/>
      <c r="KU611" s="268"/>
      <c r="KV611" s="268"/>
      <c r="KW611" s="268"/>
      <c r="KX611" s="268"/>
      <c r="KY611" s="268"/>
      <c r="KZ611" s="268"/>
      <c r="LA611" s="268"/>
      <c r="LB611" s="268"/>
      <c r="LC611" s="268"/>
      <c r="LD611" s="268"/>
      <c r="LE611" s="268"/>
      <c r="LF611" s="268"/>
      <c r="LG611" s="268"/>
      <c r="LH611" s="268"/>
      <c r="LI611" s="268"/>
      <c r="LJ611" s="268"/>
      <c r="LK611" s="268"/>
      <c r="LL611" s="268"/>
      <c r="LM611" s="268"/>
      <c r="LN611" s="268"/>
      <c r="LO611" s="268"/>
      <c r="LP611" s="268"/>
      <c r="LQ611" s="268"/>
      <c r="LR611" s="268"/>
      <c r="LS611" s="268"/>
      <c r="LT611" s="268"/>
      <c r="LU611" s="268"/>
      <c r="LV611" s="268"/>
      <c r="LW611" s="268"/>
      <c r="LX611" s="268"/>
      <c r="LY611" s="268"/>
      <c r="LZ611" s="268"/>
      <c r="MA611" s="268"/>
      <c r="MB611" s="268"/>
      <c r="MC611" s="268"/>
      <c r="MD611" s="268"/>
      <c r="ME611" s="268"/>
      <c r="MF611" s="268"/>
      <c r="MG611" s="268"/>
      <c r="MH611" s="268"/>
      <c r="MI611" s="268"/>
      <c r="MJ611" s="268"/>
      <c r="MK611" s="268"/>
      <c r="ML611" s="268"/>
      <c r="MM611" s="268"/>
      <c r="MN611" s="268"/>
      <c r="MO611" s="268"/>
      <c r="MP611" s="268"/>
      <c r="MQ611" s="268"/>
      <c r="MR611" s="268"/>
      <c r="MS611" s="268"/>
      <c r="MT611" s="268"/>
      <c r="MU611" s="268"/>
      <c r="MV611" s="268"/>
      <c r="MW611" s="268"/>
      <c r="MX611" s="268"/>
      <c r="MY611" s="268"/>
      <c r="MZ611" s="268"/>
      <c r="NA611" s="268"/>
      <c r="NB611" s="268"/>
      <c r="NC611" s="268"/>
      <c r="ND611" s="268"/>
      <c r="NE611" s="268"/>
      <c r="NF611" s="268"/>
      <c r="NG611" s="268"/>
      <c r="NH611" s="268"/>
      <c r="NI611" s="268"/>
      <c r="NJ611" s="268"/>
      <c r="NK611" s="268"/>
      <c r="NL611" s="268"/>
      <c r="NM611" s="268"/>
      <c r="NN611" s="268"/>
      <c r="NO611" s="268"/>
      <c r="NP611" s="268"/>
      <c r="NQ611" s="268"/>
      <c r="NR611" s="268"/>
      <c r="NS611" s="268"/>
      <c r="NT611" s="268"/>
      <c r="NU611" s="268"/>
      <c r="NV611" s="268"/>
      <c r="NW611" s="268"/>
      <c r="NX611" s="268"/>
      <c r="NY611" s="268"/>
      <c r="NZ611" s="268"/>
      <c r="OA611" s="268"/>
      <c r="OB611" s="268"/>
      <c r="OC611" s="268"/>
      <c r="OD611" s="268"/>
      <c r="OE611" s="268"/>
      <c r="OF611" s="268"/>
      <c r="OG611" s="268"/>
      <c r="OH611" s="268"/>
      <c r="OI611" s="268"/>
      <c r="OJ611" s="268"/>
      <c r="OK611" s="268"/>
      <c r="OL611" s="268"/>
      <c r="OM611" s="268"/>
      <c r="ON611" s="268"/>
      <c r="OO611" s="268"/>
      <c r="OP611" s="268"/>
      <c r="OQ611" s="268"/>
      <c r="OR611" s="268"/>
      <c r="OS611" s="268"/>
      <c r="OT611" s="268"/>
      <c r="OU611" s="268"/>
      <c r="OV611" s="268"/>
      <c r="OW611" s="268"/>
      <c r="OX611" s="268"/>
      <c r="OY611" s="268"/>
      <c r="OZ611" s="268"/>
      <c r="PA611" s="268"/>
      <c r="PB611" s="268"/>
      <c r="PC611" s="268"/>
      <c r="PD611" s="268"/>
      <c r="PE611" s="268"/>
      <c r="PF611" s="268"/>
      <c r="PG611" s="268"/>
      <c r="PH611" s="268"/>
      <c r="PI611" s="268"/>
      <c r="PJ611" s="268"/>
      <c r="PK611" s="268"/>
      <c r="PL611" s="268"/>
      <c r="PM611" s="268"/>
      <c r="PN611" s="268"/>
      <c r="PO611" s="268"/>
      <c r="PP611" s="268"/>
      <c r="PQ611" s="268"/>
      <c r="PR611" s="268"/>
      <c r="PS611" s="268"/>
      <c r="PT611" s="268"/>
      <c r="PU611" s="268"/>
      <c r="PV611" s="268"/>
      <c r="PW611" s="268"/>
      <c r="PX611" s="268"/>
      <c r="PY611" s="268"/>
      <c r="PZ611" s="268"/>
      <c r="QA611" s="268"/>
      <c r="QB611" s="268"/>
      <c r="QC611" s="268"/>
      <c r="QD611" s="268"/>
      <c r="QE611" s="268"/>
      <c r="QF611" s="268"/>
      <c r="QG611" s="268"/>
      <c r="QH611" s="268"/>
      <c r="QI611" s="268"/>
      <c r="QJ611" s="268"/>
      <c r="QK611" s="268"/>
      <c r="QL611" s="268"/>
      <c r="QM611" s="268"/>
      <c r="QN611" s="268"/>
      <c r="QO611" s="268"/>
      <c r="QP611" s="268"/>
      <c r="QQ611" s="268"/>
      <c r="QR611" s="268"/>
      <c r="QS611" s="268"/>
      <c r="QT611" s="268"/>
      <c r="QU611" s="268"/>
      <c r="QV611" s="268"/>
      <c r="QW611" s="268"/>
      <c r="QX611" s="268"/>
      <c r="QY611" s="268"/>
      <c r="QZ611" s="268"/>
      <c r="RA611" s="268"/>
      <c r="RB611" s="268"/>
      <c r="RC611" s="268"/>
      <c r="RD611" s="268"/>
      <c r="RE611" s="268"/>
      <c r="RF611" s="268"/>
      <c r="RG611" s="268"/>
      <c r="RH611" s="268"/>
      <c r="RI611" s="268"/>
      <c r="RJ611" s="268"/>
      <c r="RK611" s="268"/>
      <c r="RL611" s="268"/>
      <c r="RM611" s="268"/>
      <c r="RN611" s="268"/>
      <c r="RO611" s="268"/>
      <c r="RP611" s="268"/>
      <c r="RQ611" s="268"/>
      <c r="RR611" s="268"/>
      <c r="RS611" s="268"/>
      <c r="RT611" s="268"/>
      <c r="RU611" s="268"/>
      <c r="RV611" s="268"/>
      <c r="RW611" s="268"/>
      <c r="RX611" s="268"/>
      <c r="RY611" s="268"/>
      <c r="RZ611" s="268"/>
      <c r="SA611" s="268"/>
      <c r="SB611" s="268"/>
      <c r="SC611" s="268"/>
      <c r="SD611" s="268"/>
      <c r="SE611" s="268"/>
      <c r="SF611" s="268"/>
      <c r="SG611" s="268"/>
      <c r="SH611" s="268"/>
      <c r="SI611" s="268"/>
      <c r="SW611" s="268"/>
      <c r="SX611" s="268"/>
      <c r="SY611" s="268"/>
      <c r="TM611" s="268"/>
      <c r="TO611" s="268"/>
      <c r="TP611" s="268"/>
      <c r="TQ611" s="268"/>
      <c r="TR611" s="268"/>
      <c r="TS611" s="268"/>
      <c r="TT611" s="268"/>
      <c r="TU611" s="268"/>
      <c r="TV611" s="268"/>
      <c r="TW611" s="268"/>
      <c r="TX611" s="268"/>
      <c r="TY611" s="268"/>
      <c r="TZ611" s="268"/>
      <c r="UA611" s="268"/>
      <c r="UB611" s="268"/>
      <c r="UC611" s="268"/>
      <c r="UD611" s="268"/>
      <c r="UE611" s="268"/>
      <c r="UF611" s="268"/>
      <c r="UG611" s="268"/>
      <c r="UH611" s="268"/>
      <c r="UI611" s="268"/>
      <c r="UJ611" s="268"/>
      <c r="UK611" s="268"/>
      <c r="UL611" s="268"/>
      <c r="UM611" s="268"/>
      <c r="UN611" s="268"/>
      <c r="UO611" s="268"/>
      <c r="UP611" s="268"/>
      <c r="UQ611" s="268"/>
      <c r="UR611" s="268"/>
      <c r="US611" s="268"/>
      <c r="UT611" s="268"/>
      <c r="UU611" s="268"/>
      <c r="UV611" s="268"/>
      <c r="UW611" s="268"/>
      <c r="UX611" s="268"/>
      <c r="UY611" s="268"/>
      <c r="UZ611" s="268"/>
      <c r="VA611" s="268"/>
      <c r="VB611" s="268"/>
      <c r="VC611" s="268"/>
      <c r="VD611" s="268"/>
      <c r="VE611" s="268"/>
      <c r="VF611" s="268"/>
      <c r="VG611" s="268"/>
      <c r="VH611" s="268"/>
      <c r="VI611" s="268"/>
      <c r="VJ611" s="268"/>
      <c r="VK611" s="268"/>
      <c r="VL611" s="268"/>
      <c r="VM611" s="268"/>
      <c r="VN611" s="268"/>
      <c r="VO611" s="268"/>
      <c r="VP611" s="268"/>
      <c r="VQ611" s="268"/>
      <c r="VR611" s="268"/>
      <c r="VS611" s="268"/>
      <c r="VT611" s="268"/>
      <c r="VU611" s="268"/>
      <c r="VV611" s="268"/>
      <c r="VW611" s="268"/>
      <c r="VX611" s="268"/>
      <c r="VY611" s="268"/>
      <c r="VZ611" s="268"/>
      <c r="WA611" s="268"/>
      <c r="WB611" s="268"/>
      <c r="WC611" s="268"/>
      <c r="WD611" s="268"/>
      <c r="WE611" s="268"/>
      <c r="WF611" s="268"/>
      <c r="WG611" s="268"/>
      <c r="WH611" s="268"/>
      <c r="WI611" s="268"/>
      <c r="WJ611" s="268"/>
      <c r="WK611" s="268"/>
      <c r="WL611" s="268"/>
      <c r="WM611" s="268"/>
      <c r="WN611" s="268"/>
      <c r="WO611" s="268"/>
      <c r="WP611" s="268"/>
      <c r="WQ611" s="268"/>
      <c r="WR611" s="268"/>
      <c r="WS611" s="268"/>
      <c r="WT611" s="268"/>
      <c r="WU611" s="268"/>
      <c r="WV611" s="268"/>
      <c r="WW611" s="268"/>
      <c r="WX611" s="268"/>
      <c r="WY611" s="268"/>
      <c r="WZ611" s="268"/>
      <c r="XA611" s="268"/>
      <c r="XB611" s="268"/>
      <c r="XC611" s="268"/>
      <c r="XD611" s="268"/>
      <c r="XE611" s="268"/>
      <c r="XF611" s="268"/>
      <c r="XG611" s="268"/>
      <c r="XH611" s="268"/>
      <c r="XI611" s="268"/>
      <c r="XJ611" s="268"/>
      <c r="XK611" s="268"/>
      <c r="XL611" s="268"/>
      <c r="XM611" s="268"/>
      <c r="XN611" s="268"/>
      <c r="XO611" s="268"/>
      <c r="XP611" s="268"/>
      <c r="XQ611" s="268"/>
      <c r="XR611" s="268"/>
      <c r="XS611" s="268"/>
      <c r="XT611" s="268"/>
      <c r="XU611" s="268"/>
      <c r="XV611" s="268"/>
      <c r="XW611" s="268"/>
      <c r="XX611" s="268"/>
      <c r="XY611" s="268"/>
      <c r="XZ611" s="268"/>
      <c r="YA611" s="268"/>
      <c r="YB611" s="268"/>
      <c r="YC611" s="268"/>
      <c r="YD611" s="268"/>
      <c r="YE611" s="268"/>
      <c r="YF611" s="268"/>
      <c r="YG611" s="268"/>
      <c r="YH611" s="268"/>
      <c r="YI611" s="268"/>
      <c r="YJ611" s="268"/>
      <c r="YK611" s="268"/>
      <c r="YL611" s="268"/>
      <c r="YM611" s="268"/>
      <c r="YN611" s="268"/>
      <c r="YO611" s="268"/>
      <c r="YP611" s="268"/>
      <c r="YQ611" s="268"/>
      <c r="YR611" s="268"/>
      <c r="YS611" s="268"/>
      <c r="YT611" s="268"/>
      <c r="YU611" s="268"/>
      <c r="YV611" s="268"/>
      <c r="YW611" s="268"/>
      <c r="YX611" s="268"/>
      <c r="YY611" s="268"/>
      <c r="YZ611" s="268"/>
      <c r="ZA611" s="268"/>
      <c r="ZB611" s="268"/>
      <c r="ZC611" s="268"/>
      <c r="ZD611" s="268"/>
      <c r="ZE611" s="268"/>
      <c r="ZF611" s="268"/>
      <c r="ZG611" s="268"/>
      <c r="ZH611" s="268"/>
      <c r="ZI611" s="268"/>
      <c r="ZJ611" s="268"/>
      <c r="ZK611" s="268"/>
      <c r="ZL611" s="268"/>
      <c r="ZM611" s="268"/>
      <c r="ZN611" s="268"/>
      <c r="ZO611" s="268"/>
      <c r="ZP611" s="268"/>
      <c r="ZQ611" s="268"/>
      <c r="ZR611" s="268"/>
      <c r="ZS611" s="268"/>
      <c r="ZT611" s="268"/>
      <c r="ZU611" s="268"/>
      <c r="ZV611" s="268"/>
      <c r="ZW611" s="268"/>
      <c r="ZX611" s="268"/>
      <c r="ZY611" s="268"/>
      <c r="ZZ611" s="268"/>
      <c r="AAA611" s="268"/>
      <c r="AAB611" s="268"/>
      <c r="AAC611" s="268"/>
      <c r="AAD611" s="268"/>
      <c r="AAE611" s="268"/>
      <c r="AAF611" s="268"/>
      <c r="AAG611" s="268"/>
      <c r="AAH611" s="268"/>
      <c r="AAI611" s="268"/>
      <c r="AAJ611" s="268"/>
      <c r="AAK611" s="268"/>
      <c r="AAL611" s="268"/>
      <c r="AAM611" s="268"/>
      <c r="AAN611" s="268"/>
      <c r="AAO611" s="268"/>
      <c r="AAP611" s="268"/>
      <c r="AAQ611" s="268"/>
      <c r="AAR611" s="268"/>
      <c r="AAS611" s="268"/>
      <c r="AAT611" s="268"/>
      <c r="AAU611" s="268"/>
      <c r="AAV611" s="268"/>
      <c r="AAW611" s="268"/>
      <c r="AAX611" s="268"/>
      <c r="AAY611" s="268"/>
      <c r="AAZ611" s="268"/>
      <c r="ABA611" s="268"/>
      <c r="ABB611" s="268"/>
      <c r="ABC611" s="268"/>
      <c r="ABD611" s="268"/>
      <c r="ABE611" s="268"/>
      <c r="ABF611" s="268"/>
      <c r="ABG611" s="268"/>
      <c r="ABH611" s="268"/>
      <c r="ABI611" s="268"/>
      <c r="ABJ611" s="268"/>
      <c r="ABK611" s="268"/>
      <c r="ABL611" s="268"/>
      <c r="ABM611" s="268"/>
      <c r="ABN611" s="268"/>
      <c r="ABO611" s="268"/>
      <c r="ABP611" s="268"/>
      <c r="ABQ611" s="268"/>
      <c r="ABR611" s="268"/>
      <c r="ABS611" s="268"/>
      <c r="ABT611" s="268"/>
      <c r="ABU611" s="268"/>
      <c r="ABV611" s="268"/>
      <c r="ABW611" s="268"/>
      <c r="ABX611" s="268"/>
      <c r="ABY611" s="268"/>
      <c r="ABZ611" s="268"/>
      <c r="ACA611" s="268"/>
      <c r="ACB611" s="268"/>
      <c r="ACC611" s="268"/>
      <c r="ACD611" s="268"/>
      <c r="ACE611" s="268"/>
      <c r="ACS611" s="268"/>
      <c r="ACT611" s="268"/>
      <c r="ACU611" s="268"/>
      <c r="ADI611" s="268"/>
      <c r="ADK611" s="268"/>
      <c r="ADL611" s="268"/>
      <c r="ADM611" s="268"/>
      <c r="ADN611" s="268"/>
      <c r="ADO611" s="268"/>
      <c r="ADP611" s="268"/>
      <c r="ADQ611" s="268"/>
      <c r="ADR611" s="268"/>
      <c r="ADS611" s="268"/>
      <c r="ADT611" s="268"/>
      <c r="ADU611" s="268"/>
      <c r="ADV611" s="268"/>
      <c r="ADW611" s="268"/>
      <c r="ADX611" s="268"/>
      <c r="ADY611" s="268"/>
      <c r="ADZ611" s="268"/>
      <c r="AEA611" s="268"/>
      <c r="AEB611" s="268"/>
      <c r="AEC611" s="268"/>
      <c r="AED611" s="268"/>
      <c r="AEE611" s="268"/>
      <c r="AEF611" s="268"/>
      <c r="AEG611" s="268"/>
      <c r="AEH611" s="268"/>
      <c r="AEI611" s="268"/>
      <c r="AEJ611" s="268"/>
      <c r="AEK611" s="268"/>
      <c r="AEL611" s="268"/>
      <c r="AEM611" s="268"/>
      <c r="AEN611" s="268"/>
      <c r="AEO611" s="268"/>
      <c r="AEP611" s="268"/>
      <c r="AEQ611" s="268"/>
      <c r="AER611" s="268"/>
      <c r="AES611" s="268"/>
      <c r="AET611" s="268"/>
      <c r="AEU611" s="268"/>
      <c r="AEV611" s="268"/>
      <c r="AEW611" s="268"/>
      <c r="AEX611" s="268"/>
      <c r="AEY611" s="268"/>
      <c r="AEZ611" s="268"/>
      <c r="AFA611" s="268"/>
      <c r="AFB611" s="268"/>
      <c r="AFC611" s="268"/>
      <c r="AFD611" s="268"/>
      <c r="AFE611" s="268"/>
      <c r="AFF611" s="268"/>
      <c r="AFG611" s="268"/>
      <c r="AFH611" s="268"/>
      <c r="AFI611" s="268"/>
      <c r="AFJ611" s="268"/>
      <c r="AFK611" s="268"/>
      <c r="AFL611" s="268"/>
      <c r="AFM611" s="268"/>
      <c r="AFN611" s="268"/>
      <c r="AFO611" s="268"/>
      <c r="AFP611" s="268"/>
      <c r="AFQ611" s="268"/>
      <c r="AFR611" s="268"/>
      <c r="AFS611" s="268"/>
      <c r="AFT611" s="268"/>
      <c r="AFU611" s="268"/>
      <c r="AFV611" s="268"/>
      <c r="AFW611" s="268"/>
      <c r="AFX611" s="268"/>
      <c r="AFY611" s="268"/>
      <c r="AFZ611" s="268"/>
      <c r="AGA611" s="268"/>
      <c r="AGB611" s="268"/>
      <c r="AGC611" s="268"/>
      <c r="AGD611" s="268"/>
      <c r="AGE611" s="268"/>
      <c r="AGF611" s="268"/>
      <c r="AGG611" s="268"/>
      <c r="AGH611" s="268"/>
      <c r="AGI611" s="268"/>
      <c r="AGJ611" s="268"/>
      <c r="AGK611" s="268"/>
      <c r="AGL611" s="268"/>
      <c r="AGM611" s="268"/>
      <c r="AGN611" s="268"/>
      <c r="AGO611" s="268"/>
      <c r="AGP611" s="268"/>
      <c r="AGQ611" s="268"/>
      <c r="AGR611" s="268"/>
      <c r="AGS611" s="268"/>
      <c r="AGT611" s="268"/>
      <c r="AGU611" s="268"/>
      <c r="AGV611" s="268"/>
      <c r="AGW611" s="268"/>
      <c r="AGX611" s="268"/>
      <c r="AGY611" s="268"/>
      <c r="AGZ611" s="268"/>
      <c r="AHA611" s="268"/>
      <c r="AHB611" s="268"/>
      <c r="AHC611" s="268"/>
      <c r="AHD611" s="268"/>
      <c r="AHE611" s="268"/>
      <c r="AHF611" s="268"/>
      <c r="AHG611" s="268"/>
      <c r="AHH611" s="268"/>
      <c r="AHI611" s="268"/>
      <c r="AHJ611" s="268"/>
      <c r="AHK611" s="268"/>
      <c r="AHL611" s="268"/>
      <c r="AHM611" s="268"/>
      <c r="AHN611" s="268"/>
      <c r="AHO611" s="268"/>
      <c r="AHP611" s="268"/>
      <c r="AHQ611" s="268"/>
      <c r="AHR611" s="268"/>
      <c r="AHS611" s="268"/>
      <c r="AHT611" s="268"/>
      <c r="AHU611" s="268"/>
      <c r="AHV611" s="268"/>
      <c r="AHW611" s="268"/>
      <c r="AHX611" s="268"/>
      <c r="AHY611" s="268"/>
      <c r="AHZ611" s="268"/>
      <c r="AIA611" s="268"/>
      <c r="AIB611" s="268"/>
      <c r="AIC611" s="268"/>
      <c r="AID611" s="268"/>
      <c r="AIE611" s="268"/>
      <c r="AIF611" s="268"/>
      <c r="AIG611" s="268"/>
      <c r="AIH611" s="268"/>
      <c r="AII611" s="268"/>
      <c r="AIJ611" s="268"/>
      <c r="AIK611" s="268"/>
      <c r="AIL611" s="268"/>
      <c r="AIM611" s="268"/>
      <c r="AIN611" s="268"/>
      <c r="AIO611" s="268"/>
      <c r="AIP611" s="268"/>
      <c r="AIQ611" s="268"/>
      <c r="AIR611" s="268"/>
      <c r="AIS611" s="268"/>
      <c r="AIT611" s="268"/>
      <c r="AIU611" s="268"/>
      <c r="AIV611" s="268"/>
      <c r="AIW611" s="268"/>
      <c r="AIX611" s="268"/>
      <c r="AIY611" s="268"/>
      <c r="AIZ611" s="268"/>
      <c r="AJA611" s="268"/>
      <c r="AJB611" s="268"/>
      <c r="AJC611" s="268"/>
      <c r="AJD611" s="268"/>
      <c r="AJE611" s="268"/>
      <c r="AJF611" s="268"/>
      <c r="AJG611" s="268"/>
      <c r="AJH611" s="268"/>
      <c r="AJI611" s="268"/>
      <c r="AJJ611" s="268"/>
      <c r="AJK611" s="268"/>
      <c r="AJL611" s="268"/>
      <c r="AJM611" s="268"/>
      <c r="AJN611" s="268"/>
      <c r="AJO611" s="268"/>
      <c r="AJP611" s="268"/>
      <c r="AJQ611" s="268"/>
      <c r="AJR611" s="268"/>
      <c r="AJS611" s="268"/>
      <c r="AJT611" s="268"/>
      <c r="AJU611" s="268"/>
      <c r="AJV611" s="268"/>
      <c r="AJW611" s="268"/>
      <c r="AJX611" s="268"/>
      <c r="AJY611" s="268"/>
      <c r="AJZ611" s="268"/>
      <c r="AKA611" s="268"/>
      <c r="AKB611" s="268"/>
      <c r="AKC611" s="268"/>
      <c r="AKD611" s="268"/>
      <c r="AKE611" s="268"/>
      <c r="AKF611" s="268"/>
      <c r="AKG611" s="268"/>
      <c r="AKH611" s="268"/>
      <c r="AKI611" s="268"/>
      <c r="AKJ611" s="268"/>
      <c r="AKK611" s="268"/>
      <c r="AKL611" s="268"/>
      <c r="AKM611" s="268"/>
      <c r="AKN611" s="268"/>
      <c r="AKO611" s="268"/>
      <c r="AKP611" s="268"/>
      <c r="AKQ611" s="268"/>
      <c r="AKR611" s="268"/>
      <c r="AKS611" s="268"/>
      <c r="AKT611" s="268"/>
      <c r="AKU611" s="268"/>
      <c r="AKV611" s="268"/>
      <c r="AKW611" s="268"/>
      <c r="AKX611" s="268"/>
      <c r="AKY611" s="268"/>
      <c r="AKZ611" s="268"/>
      <c r="ALA611" s="268"/>
      <c r="ALB611" s="268"/>
      <c r="ALC611" s="268"/>
      <c r="ALD611" s="268"/>
      <c r="ALE611" s="268"/>
      <c r="ALF611" s="268"/>
      <c r="ALG611" s="268"/>
      <c r="ALH611" s="268"/>
      <c r="ALI611" s="268"/>
      <c r="ALJ611" s="268"/>
      <c r="ALK611" s="268"/>
      <c r="ALL611" s="268"/>
      <c r="ALM611" s="268"/>
      <c r="ALN611" s="268"/>
      <c r="ALO611" s="268"/>
      <c r="ALP611" s="268"/>
      <c r="ALQ611" s="268"/>
      <c r="ALR611" s="268"/>
      <c r="ALS611" s="268"/>
      <c r="ALT611" s="268"/>
      <c r="ALU611" s="268"/>
      <c r="ALV611" s="268"/>
      <c r="ALW611" s="268"/>
      <c r="ALX611" s="268"/>
      <c r="ALY611" s="268"/>
      <c r="ALZ611" s="268"/>
      <c r="AMA611" s="268"/>
      <c r="AMO611" s="268"/>
      <c r="AMP611" s="268"/>
      <c r="AMQ611" s="268"/>
      <c r="ANE611" s="268"/>
      <c r="ANG611" s="268"/>
      <c r="ANH611" s="268"/>
      <c r="ANI611" s="268"/>
      <c r="ANJ611" s="268"/>
      <c r="ANK611" s="268"/>
      <c r="ANL611" s="268"/>
      <c r="ANM611" s="268"/>
      <c r="ANN611" s="268"/>
      <c r="ANO611" s="268"/>
      <c r="ANP611" s="268"/>
      <c r="ANQ611" s="268"/>
      <c r="ANR611" s="268"/>
      <c r="ANS611" s="268"/>
      <c r="ANT611" s="268"/>
      <c r="ANU611" s="268"/>
      <c r="ANV611" s="268"/>
      <c r="ANW611" s="268"/>
      <c r="ANX611" s="268"/>
      <c r="ANY611" s="268"/>
      <c r="ANZ611" s="268"/>
      <c r="AOA611" s="268"/>
      <c r="AOB611" s="268"/>
      <c r="AOC611" s="268"/>
      <c r="AOD611" s="268"/>
      <c r="AOE611" s="268"/>
      <c r="AOF611" s="268"/>
      <c r="AOG611" s="268"/>
      <c r="AOH611" s="268"/>
      <c r="AOI611" s="268"/>
      <c r="AOJ611" s="268"/>
      <c r="AOK611" s="268"/>
      <c r="AOL611" s="268"/>
      <c r="AOM611" s="268"/>
      <c r="AON611" s="268"/>
      <c r="AOO611" s="268"/>
      <c r="AOP611" s="268"/>
      <c r="AOQ611" s="268"/>
      <c r="AOR611" s="268"/>
      <c r="AOS611" s="268"/>
      <c r="AOT611" s="268"/>
      <c r="AOU611" s="268"/>
      <c r="AOV611" s="268"/>
      <c r="AOW611" s="268"/>
      <c r="AOX611" s="268"/>
      <c r="AOY611" s="268"/>
      <c r="AOZ611" s="268"/>
      <c r="APA611" s="268"/>
      <c r="APB611" s="268"/>
      <c r="APC611" s="268"/>
      <c r="APD611" s="268"/>
      <c r="APE611" s="268"/>
      <c r="APF611" s="268"/>
      <c r="APG611" s="268"/>
      <c r="APH611" s="268"/>
      <c r="API611" s="268"/>
      <c r="APJ611" s="268"/>
      <c r="APK611" s="268"/>
      <c r="APL611" s="268"/>
      <c r="APM611" s="268"/>
      <c r="APN611" s="268"/>
      <c r="APO611" s="268"/>
      <c r="APP611" s="268"/>
      <c r="APQ611" s="268"/>
      <c r="APR611" s="268"/>
      <c r="APS611" s="268"/>
      <c r="APT611" s="268"/>
      <c r="APU611" s="268"/>
      <c r="APV611" s="268"/>
      <c r="APW611" s="268"/>
      <c r="APX611" s="268"/>
      <c r="APY611" s="268"/>
      <c r="APZ611" s="268"/>
      <c r="AQA611" s="268"/>
      <c r="AQB611" s="268"/>
      <c r="AQC611" s="268"/>
      <c r="AQD611" s="268"/>
      <c r="AQE611" s="268"/>
      <c r="AQF611" s="268"/>
      <c r="AQG611" s="268"/>
      <c r="AQH611" s="268"/>
      <c r="AQI611" s="268"/>
      <c r="AQJ611" s="268"/>
      <c r="AQK611" s="268"/>
      <c r="AQL611" s="268"/>
      <c r="AQM611" s="268"/>
      <c r="AQN611" s="268"/>
      <c r="AQO611" s="268"/>
      <c r="AQP611" s="268"/>
      <c r="AQQ611" s="268"/>
      <c r="AQR611" s="268"/>
      <c r="AQS611" s="268"/>
      <c r="AQT611" s="268"/>
      <c r="AQU611" s="268"/>
      <c r="AQV611" s="268"/>
      <c r="AQW611" s="268"/>
      <c r="AQX611" s="268"/>
      <c r="AQY611" s="268"/>
      <c r="AQZ611" s="268"/>
      <c r="ARA611" s="268"/>
      <c r="ARB611" s="268"/>
      <c r="ARC611" s="268"/>
      <c r="ARD611" s="268"/>
      <c r="ARE611" s="268"/>
      <c r="ARF611" s="268"/>
      <c r="ARG611" s="268"/>
      <c r="ARH611" s="268"/>
      <c r="ARI611" s="268"/>
      <c r="ARJ611" s="268"/>
      <c r="ARK611" s="268"/>
      <c r="ARL611" s="268"/>
      <c r="ARM611" s="268"/>
      <c r="ARN611" s="268"/>
      <c r="ARO611" s="268"/>
      <c r="ARP611" s="268"/>
      <c r="ARQ611" s="268"/>
      <c r="ARR611" s="268"/>
      <c r="ARS611" s="268"/>
      <c r="ART611" s="268"/>
      <c r="ARU611" s="268"/>
      <c r="ARV611" s="268"/>
      <c r="ARW611" s="268"/>
      <c r="ARX611" s="268"/>
      <c r="ARY611" s="268"/>
      <c r="ARZ611" s="268"/>
      <c r="ASA611" s="268"/>
      <c r="ASB611" s="268"/>
      <c r="ASC611" s="268"/>
      <c r="ASD611" s="268"/>
      <c r="ASE611" s="268"/>
      <c r="ASF611" s="268"/>
      <c r="ASG611" s="268"/>
      <c r="ASH611" s="268"/>
      <c r="ASI611" s="268"/>
      <c r="ASJ611" s="268"/>
      <c r="ASK611" s="268"/>
      <c r="ASL611" s="268"/>
      <c r="ASM611" s="268"/>
      <c r="ASN611" s="268"/>
      <c r="ASO611" s="268"/>
      <c r="ASP611" s="268"/>
      <c r="ASQ611" s="268"/>
      <c r="ASR611" s="268"/>
      <c r="ASS611" s="268"/>
      <c r="AST611" s="268"/>
      <c r="ASU611" s="268"/>
      <c r="ASV611" s="268"/>
      <c r="ASW611" s="268"/>
      <c r="ASX611" s="268"/>
      <c r="ASY611" s="268"/>
      <c r="ASZ611" s="268"/>
      <c r="ATA611" s="268"/>
      <c r="ATB611" s="268"/>
      <c r="ATC611" s="268"/>
      <c r="ATD611" s="268"/>
      <c r="ATE611" s="268"/>
      <c r="ATF611" s="268"/>
      <c r="ATG611" s="268"/>
      <c r="ATH611" s="268"/>
      <c r="ATI611" s="268"/>
      <c r="ATJ611" s="268"/>
      <c r="ATK611" s="268"/>
      <c r="ATL611" s="268"/>
      <c r="ATM611" s="268"/>
      <c r="ATN611" s="268"/>
      <c r="ATO611" s="268"/>
      <c r="ATP611" s="268"/>
      <c r="ATQ611" s="268"/>
      <c r="ATR611" s="268"/>
      <c r="ATS611" s="268"/>
      <c r="ATT611" s="268"/>
      <c r="ATU611" s="268"/>
      <c r="ATV611" s="268"/>
      <c r="ATW611" s="268"/>
      <c r="ATX611" s="268"/>
      <c r="ATY611" s="268"/>
      <c r="ATZ611" s="268"/>
      <c r="AUA611" s="268"/>
      <c r="AUB611" s="268"/>
      <c r="AUC611" s="268"/>
      <c r="AUD611" s="268"/>
      <c r="AUE611" s="268"/>
      <c r="AUF611" s="268"/>
      <c r="AUG611" s="268"/>
      <c r="AUH611" s="268"/>
      <c r="AUI611" s="268"/>
      <c r="AUJ611" s="268"/>
      <c r="AUK611" s="268"/>
      <c r="AUL611" s="268"/>
      <c r="AUM611" s="268"/>
      <c r="AUN611" s="268"/>
      <c r="AUO611" s="268"/>
      <c r="AUP611" s="268"/>
      <c r="AUQ611" s="268"/>
      <c r="AUR611" s="268"/>
      <c r="AUS611" s="268"/>
      <c r="AUT611" s="268"/>
      <c r="AUU611" s="268"/>
      <c r="AUV611" s="268"/>
      <c r="AUW611" s="268"/>
      <c r="AUX611" s="268"/>
      <c r="AUY611" s="268"/>
      <c r="AUZ611" s="268"/>
      <c r="AVA611" s="268"/>
      <c r="AVB611" s="268"/>
      <c r="AVC611" s="268"/>
      <c r="AVD611" s="268"/>
      <c r="AVE611" s="268"/>
      <c r="AVF611" s="268"/>
      <c r="AVG611" s="268"/>
      <c r="AVH611" s="268"/>
      <c r="AVI611" s="268"/>
      <c r="AVJ611" s="268"/>
      <c r="AVK611" s="268"/>
      <c r="AVL611" s="268"/>
      <c r="AVM611" s="268"/>
      <c r="AVN611" s="268"/>
      <c r="AVO611" s="268"/>
      <c r="AVP611" s="268"/>
      <c r="AVQ611" s="268"/>
      <c r="AVR611" s="268"/>
      <c r="AVS611" s="268"/>
      <c r="AVT611" s="268"/>
      <c r="AVU611" s="268"/>
      <c r="AVV611" s="268"/>
      <c r="AVW611" s="268"/>
      <c r="AWK611" s="268"/>
      <c r="AWL611" s="268"/>
      <c r="AWM611" s="268"/>
      <c r="AXA611" s="268"/>
      <c r="AXC611" s="268"/>
      <c r="AXD611" s="268"/>
      <c r="AXE611" s="268"/>
      <c r="AXF611" s="268"/>
      <c r="AXG611" s="268"/>
      <c r="AXH611" s="268"/>
      <c r="AXI611" s="268"/>
      <c r="AXJ611" s="268"/>
      <c r="AXK611" s="268"/>
      <c r="AXL611" s="268"/>
      <c r="AXM611" s="268"/>
      <c r="AXN611" s="268"/>
      <c r="AXO611" s="268"/>
      <c r="AXP611" s="268"/>
      <c r="AXQ611" s="268"/>
      <c r="AXR611" s="268"/>
      <c r="AXS611" s="268"/>
      <c r="AXT611" s="268"/>
      <c r="AXU611" s="268"/>
      <c r="AXV611" s="268"/>
      <c r="AXW611" s="268"/>
      <c r="AXX611" s="268"/>
      <c r="AXY611" s="268"/>
      <c r="AXZ611" s="268"/>
      <c r="AYA611" s="268"/>
      <c r="AYB611" s="268"/>
      <c r="AYC611" s="268"/>
      <c r="AYD611" s="268"/>
      <c r="AYE611" s="268"/>
      <c r="AYF611" s="268"/>
      <c r="AYG611" s="268"/>
      <c r="AYH611" s="268"/>
      <c r="AYI611" s="268"/>
      <c r="AYJ611" s="268"/>
      <c r="AYK611" s="268"/>
      <c r="AYL611" s="268"/>
      <c r="AYM611" s="268"/>
      <c r="AYN611" s="268"/>
      <c r="AYO611" s="268"/>
      <c r="AYP611" s="268"/>
      <c r="AYQ611" s="268"/>
      <c r="AYR611" s="268"/>
      <c r="AYS611" s="268"/>
      <c r="AYT611" s="268"/>
      <c r="AYU611" s="268"/>
      <c r="AYV611" s="268"/>
      <c r="AYW611" s="268"/>
      <c r="AYX611" s="268"/>
      <c r="AYY611" s="268"/>
      <c r="AYZ611" s="268"/>
      <c r="AZA611" s="268"/>
      <c r="AZB611" s="268"/>
      <c r="AZC611" s="268"/>
      <c r="AZD611" s="268"/>
      <c r="AZE611" s="268"/>
      <c r="AZF611" s="268"/>
      <c r="AZG611" s="268"/>
      <c r="AZH611" s="268"/>
      <c r="AZI611" s="268"/>
      <c r="AZJ611" s="268"/>
      <c r="AZK611" s="268"/>
      <c r="AZL611" s="268"/>
      <c r="AZM611" s="268"/>
      <c r="AZN611" s="268"/>
      <c r="AZO611" s="268"/>
      <c r="AZP611" s="268"/>
      <c r="AZQ611" s="268"/>
      <c r="AZR611" s="268"/>
      <c r="AZS611" s="268"/>
      <c r="AZT611" s="268"/>
      <c r="AZU611" s="268"/>
      <c r="AZV611" s="268"/>
      <c r="AZW611" s="268"/>
      <c r="AZX611" s="268"/>
      <c r="AZY611" s="268"/>
      <c r="AZZ611" s="268"/>
      <c r="BAA611" s="268"/>
      <c r="BAB611" s="268"/>
      <c r="BAC611" s="268"/>
      <c r="BAD611" s="268"/>
      <c r="BAE611" s="268"/>
      <c r="BAF611" s="268"/>
      <c r="BAG611" s="268"/>
      <c r="BAH611" s="268"/>
      <c r="BAI611" s="268"/>
      <c r="BAJ611" s="268"/>
      <c r="BAK611" s="268"/>
      <c r="BAL611" s="268"/>
      <c r="BAM611" s="268"/>
      <c r="BAN611" s="268"/>
      <c r="BAO611" s="268"/>
      <c r="BAP611" s="268"/>
      <c r="BAQ611" s="268"/>
      <c r="BAR611" s="268"/>
      <c r="BAS611" s="268"/>
      <c r="BAT611" s="268"/>
      <c r="BAU611" s="268"/>
      <c r="BAV611" s="268"/>
      <c r="BAW611" s="268"/>
      <c r="BAX611" s="268"/>
      <c r="BAY611" s="268"/>
      <c r="BAZ611" s="268"/>
      <c r="BBA611" s="268"/>
      <c r="BBB611" s="268"/>
      <c r="BBC611" s="268"/>
      <c r="BBD611" s="268"/>
      <c r="BBE611" s="268"/>
      <c r="BBF611" s="268"/>
      <c r="BBG611" s="268"/>
      <c r="BBH611" s="268"/>
      <c r="BBI611" s="268"/>
      <c r="BBJ611" s="268"/>
      <c r="BBK611" s="268"/>
      <c r="BBL611" s="268"/>
      <c r="BBM611" s="268"/>
      <c r="BBN611" s="268"/>
      <c r="BBO611" s="268"/>
      <c r="BBP611" s="268"/>
      <c r="BBQ611" s="268"/>
      <c r="BBR611" s="268"/>
      <c r="BBS611" s="268"/>
      <c r="BBT611" s="268"/>
      <c r="BBU611" s="268"/>
      <c r="BBV611" s="268"/>
      <c r="BBW611" s="268"/>
      <c r="BBX611" s="268"/>
      <c r="BBY611" s="268"/>
      <c r="BBZ611" s="268"/>
      <c r="BCA611" s="268"/>
      <c r="BCB611" s="268"/>
      <c r="BCC611" s="268"/>
      <c r="BCD611" s="268"/>
      <c r="BCE611" s="268"/>
      <c r="BCF611" s="268"/>
      <c r="BCG611" s="268"/>
      <c r="BCH611" s="268"/>
      <c r="BCI611" s="268"/>
      <c r="BCJ611" s="268"/>
      <c r="BCK611" s="268"/>
      <c r="BCL611" s="268"/>
      <c r="BCM611" s="268"/>
      <c r="BCN611" s="268"/>
      <c r="BCO611" s="268"/>
      <c r="BCP611" s="268"/>
      <c r="BCQ611" s="268"/>
      <c r="BCR611" s="268"/>
      <c r="BCS611" s="268"/>
      <c r="BCT611" s="268"/>
      <c r="BCU611" s="268"/>
      <c r="BCV611" s="268"/>
      <c r="BCW611" s="268"/>
      <c r="BCX611" s="268"/>
      <c r="BCY611" s="268"/>
      <c r="BCZ611" s="268"/>
      <c r="BDA611" s="268"/>
      <c r="BDB611" s="268"/>
      <c r="BDC611" s="268"/>
      <c r="BDD611" s="268"/>
      <c r="BDE611" s="268"/>
      <c r="BDF611" s="268"/>
      <c r="BDG611" s="268"/>
      <c r="BDH611" s="268"/>
      <c r="BDI611" s="268"/>
      <c r="BDJ611" s="268"/>
      <c r="BDK611" s="268"/>
      <c r="BDL611" s="268"/>
      <c r="BDM611" s="268"/>
      <c r="BDN611" s="268"/>
      <c r="BDO611" s="268"/>
      <c r="BDP611" s="268"/>
      <c r="BDQ611" s="268"/>
      <c r="BDR611" s="268"/>
      <c r="BDS611" s="268"/>
      <c r="BDT611" s="268"/>
      <c r="BDU611" s="268"/>
      <c r="BDV611" s="268"/>
      <c r="BDW611" s="268"/>
      <c r="BDX611" s="268"/>
      <c r="BDY611" s="268"/>
      <c r="BDZ611" s="268"/>
      <c r="BEA611" s="268"/>
      <c r="BEB611" s="268"/>
      <c r="BEC611" s="268"/>
      <c r="BED611" s="268"/>
      <c r="BEE611" s="268"/>
      <c r="BEF611" s="268"/>
      <c r="BEG611" s="268"/>
      <c r="BEH611" s="268"/>
      <c r="BEI611" s="268"/>
      <c r="BEJ611" s="268"/>
      <c r="BEK611" s="268"/>
      <c r="BEL611" s="268"/>
      <c r="BEM611" s="268"/>
      <c r="BEN611" s="268"/>
      <c r="BEO611" s="268"/>
      <c r="BEP611" s="268"/>
      <c r="BEQ611" s="268"/>
      <c r="BER611" s="268"/>
      <c r="BES611" s="268"/>
      <c r="BET611" s="268"/>
      <c r="BEU611" s="268"/>
      <c r="BEV611" s="268"/>
      <c r="BEW611" s="268"/>
      <c r="BEX611" s="268"/>
      <c r="BEY611" s="268"/>
      <c r="BEZ611" s="268"/>
      <c r="BFA611" s="268"/>
      <c r="BFB611" s="268"/>
      <c r="BFC611" s="268"/>
      <c r="BFD611" s="268"/>
      <c r="BFE611" s="268"/>
      <c r="BFF611" s="268"/>
      <c r="BFG611" s="268"/>
      <c r="BFH611" s="268"/>
      <c r="BFI611" s="268"/>
      <c r="BFJ611" s="268"/>
      <c r="BFK611" s="268"/>
      <c r="BFL611" s="268"/>
      <c r="BFM611" s="268"/>
      <c r="BFN611" s="268"/>
      <c r="BFO611" s="268"/>
      <c r="BFP611" s="268"/>
      <c r="BFQ611" s="268"/>
      <c r="BFR611" s="268"/>
      <c r="BFS611" s="268"/>
      <c r="BGG611" s="268"/>
      <c r="BGH611" s="268"/>
      <c r="BGI611" s="268"/>
      <c r="BGW611" s="268"/>
      <c r="BGY611" s="268"/>
      <c r="BGZ611" s="268"/>
      <c r="BHA611" s="268"/>
      <c r="BHB611" s="268"/>
      <c r="BHC611" s="268"/>
      <c r="BHD611" s="268"/>
      <c r="BHE611" s="268"/>
      <c r="BHF611" s="268"/>
      <c r="BHG611" s="268"/>
      <c r="BHH611" s="268"/>
      <c r="BHI611" s="268"/>
      <c r="BHJ611" s="268"/>
      <c r="BHK611" s="268"/>
      <c r="BHL611" s="268"/>
      <c r="BHM611" s="268"/>
      <c r="BHN611" s="268"/>
      <c r="BHO611" s="268"/>
      <c r="BHP611" s="268"/>
      <c r="BHQ611" s="268"/>
      <c r="BHR611" s="268"/>
      <c r="BHS611" s="268"/>
      <c r="BHT611" s="268"/>
      <c r="BHU611" s="268"/>
      <c r="BHV611" s="268"/>
      <c r="BHW611" s="268"/>
      <c r="BHX611" s="268"/>
      <c r="BHY611" s="268"/>
      <c r="BHZ611" s="268"/>
      <c r="BIA611" s="268"/>
      <c r="BIB611" s="268"/>
      <c r="BIC611" s="268"/>
      <c r="BID611" s="268"/>
      <c r="BIE611" s="268"/>
      <c r="BIF611" s="268"/>
      <c r="BIG611" s="268"/>
      <c r="BIH611" s="268"/>
      <c r="BII611" s="268"/>
      <c r="BIJ611" s="268"/>
      <c r="BIK611" s="268"/>
      <c r="BIL611" s="268"/>
      <c r="BIM611" s="268"/>
      <c r="BIN611" s="268"/>
      <c r="BIO611" s="268"/>
      <c r="BIP611" s="268"/>
      <c r="BIQ611" s="268"/>
      <c r="BIR611" s="268"/>
      <c r="BIS611" s="268"/>
      <c r="BIT611" s="268"/>
      <c r="BIU611" s="268"/>
      <c r="BIV611" s="268"/>
      <c r="BIW611" s="268"/>
      <c r="BIX611" s="268"/>
      <c r="BIY611" s="268"/>
      <c r="BIZ611" s="268"/>
      <c r="BJA611" s="268"/>
      <c r="BJB611" s="268"/>
      <c r="BJC611" s="268"/>
      <c r="BJD611" s="268"/>
      <c r="BJE611" s="268"/>
      <c r="BJF611" s="268"/>
      <c r="BJG611" s="268"/>
      <c r="BJH611" s="268"/>
      <c r="BJI611" s="268"/>
      <c r="BJJ611" s="268"/>
      <c r="BJK611" s="268"/>
      <c r="BJL611" s="268"/>
      <c r="BJM611" s="268"/>
      <c r="BJN611" s="268"/>
      <c r="BJO611" s="268"/>
      <c r="BJP611" s="268"/>
      <c r="BJQ611" s="268"/>
      <c r="BJR611" s="268"/>
      <c r="BJS611" s="268"/>
      <c r="BJT611" s="268"/>
      <c r="BJU611" s="268"/>
      <c r="BJV611" s="268"/>
      <c r="BJW611" s="268"/>
      <c r="BJX611" s="268"/>
      <c r="BJY611" s="268"/>
      <c r="BJZ611" s="268"/>
      <c r="BKA611" s="268"/>
      <c r="BKB611" s="268"/>
      <c r="BKC611" s="268"/>
      <c r="BKD611" s="268"/>
      <c r="BKE611" s="268"/>
      <c r="BKF611" s="268"/>
      <c r="BKG611" s="268"/>
      <c r="BKH611" s="268"/>
      <c r="BKI611" s="268"/>
      <c r="BKJ611" s="268"/>
      <c r="BKK611" s="268"/>
      <c r="BKL611" s="268"/>
      <c r="BKM611" s="268"/>
      <c r="BKN611" s="268"/>
      <c r="BKO611" s="268"/>
      <c r="BKP611" s="268"/>
      <c r="BKQ611" s="268"/>
      <c r="BKR611" s="268"/>
      <c r="BKS611" s="268"/>
      <c r="BKT611" s="268"/>
      <c r="BKU611" s="268"/>
      <c r="BKV611" s="268"/>
      <c r="BKW611" s="268"/>
      <c r="BKX611" s="268"/>
      <c r="BKY611" s="268"/>
      <c r="BKZ611" s="268"/>
      <c r="BLA611" s="268"/>
      <c r="BLB611" s="268"/>
      <c r="BLC611" s="268"/>
      <c r="BLD611" s="268"/>
      <c r="BLE611" s="268"/>
      <c r="BLF611" s="268"/>
      <c r="BLG611" s="268"/>
      <c r="BLH611" s="268"/>
      <c r="BLI611" s="268"/>
      <c r="BLJ611" s="268"/>
      <c r="BLK611" s="268"/>
      <c r="BLL611" s="268"/>
      <c r="BLM611" s="268"/>
      <c r="BLN611" s="268"/>
      <c r="BLO611" s="268"/>
      <c r="BLP611" s="268"/>
      <c r="BLQ611" s="268"/>
      <c r="BLR611" s="268"/>
      <c r="BLS611" s="268"/>
      <c r="BLT611" s="268"/>
      <c r="BLU611" s="268"/>
      <c r="BLV611" s="268"/>
      <c r="BLW611" s="268"/>
      <c r="BLX611" s="268"/>
      <c r="BLY611" s="268"/>
      <c r="BLZ611" s="268"/>
      <c r="BMA611" s="268"/>
      <c r="BMB611" s="268"/>
      <c r="BMC611" s="268"/>
      <c r="BMD611" s="268"/>
      <c r="BME611" s="268"/>
      <c r="BMF611" s="268"/>
      <c r="BMG611" s="268"/>
      <c r="BMH611" s="268"/>
      <c r="BMI611" s="268"/>
      <c r="BMJ611" s="268"/>
      <c r="BMK611" s="268"/>
      <c r="BML611" s="268"/>
      <c r="BMM611" s="268"/>
      <c r="BMN611" s="268"/>
      <c r="BMO611" s="268"/>
      <c r="BMP611" s="268"/>
      <c r="BMQ611" s="268"/>
      <c r="BMR611" s="268"/>
      <c r="BMS611" s="268"/>
      <c r="BMT611" s="268"/>
      <c r="BMU611" s="268"/>
      <c r="BMV611" s="268"/>
      <c r="BMW611" s="268"/>
      <c r="BMX611" s="268"/>
      <c r="BMY611" s="268"/>
      <c r="BMZ611" s="268"/>
      <c r="BNA611" s="268"/>
      <c r="BNB611" s="268"/>
      <c r="BNC611" s="268"/>
      <c r="BND611" s="268"/>
      <c r="BNE611" s="268"/>
      <c r="BNF611" s="268"/>
      <c r="BNG611" s="268"/>
      <c r="BNH611" s="268"/>
      <c r="BNI611" s="268"/>
      <c r="BNJ611" s="268"/>
      <c r="BNK611" s="268"/>
      <c r="BNL611" s="268"/>
      <c r="BNM611" s="268"/>
      <c r="BNN611" s="268"/>
      <c r="BNO611" s="268"/>
      <c r="BNP611" s="268"/>
      <c r="BNQ611" s="268"/>
      <c r="BNR611" s="268"/>
      <c r="BNS611" s="268"/>
      <c r="BNT611" s="268"/>
      <c r="BNU611" s="268"/>
      <c r="BNV611" s="268"/>
      <c r="BNW611" s="268"/>
      <c r="BNX611" s="268"/>
      <c r="BNY611" s="268"/>
      <c r="BNZ611" s="268"/>
      <c r="BOA611" s="268"/>
      <c r="BOB611" s="268"/>
      <c r="BOC611" s="268"/>
      <c r="BOD611" s="268"/>
      <c r="BOE611" s="268"/>
      <c r="BOF611" s="268"/>
      <c r="BOG611" s="268"/>
      <c r="BOH611" s="268"/>
      <c r="BOI611" s="268"/>
      <c r="BOJ611" s="268"/>
      <c r="BOK611" s="268"/>
      <c r="BOL611" s="268"/>
      <c r="BOM611" s="268"/>
      <c r="BON611" s="268"/>
      <c r="BOO611" s="268"/>
      <c r="BOP611" s="268"/>
      <c r="BOQ611" s="268"/>
      <c r="BOR611" s="268"/>
      <c r="BOS611" s="268"/>
      <c r="BOT611" s="268"/>
      <c r="BOU611" s="268"/>
      <c r="BOV611" s="268"/>
      <c r="BOW611" s="268"/>
      <c r="BOX611" s="268"/>
      <c r="BOY611" s="268"/>
      <c r="BOZ611" s="268"/>
      <c r="BPA611" s="268"/>
      <c r="BPB611" s="268"/>
      <c r="BPC611" s="268"/>
      <c r="BPD611" s="268"/>
      <c r="BPE611" s="268"/>
      <c r="BPF611" s="268"/>
      <c r="BPG611" s="268"/>
      <c r="BPH611" s="268"/>
      <c r="BPI611" s="268"/>
      <c r="BPJ611" s="268"/>
      <c r="BPK611" s="268"/>
      <c r="BPL611" s="268"/>
      <c r="BPM611" s="268"/>
      <c r="BPN611" s="268"/>
      <c r="BPO611" s="268"/>
      <c r="BQC611" s="268"/>
      <c r="BQD611" s="268"/>
      <c r="BQE611" s="268"/>
      <c r="BQS611" s="268"/>
      <c r="BQU611" s="268"/>
      <c r="BQV611" s="268"/>
      <c r="BQW611" s="268"/>
      <c r="BQX611" s="268"/>
      <c r="BQY611" s="268"/>
      <c r="BQZ611" s="268"/>
      <c r="BRA611" s="268"/>
      <c r="BRB611" s="268"/>
      <c r="BRC611" s="268"/>
      <c r="BRD611" s="268"/>
      <c r="BRE611" s="268"/>
      <c r="BRF611" s="268"/>
      <c r="BRG611" s="268"/>
      <c r="BRH611" s="268"/>
      <c r="BRI611" s="268"/>
      <c r="BRJ611" s="268"/>
      <c r="BRK611" s="268"/>
      <c r="BRL611" s="268"/>
      <c r="BRM611" s="268"/>
      <c r="BRN611" s="268"/>
      <c r="BRO611" s="268"/>
      <c r="BRP611" s="268"/>
      <c r="BRQ611" s="268"/>
      <c r="BRR611" s="268"/>
      <c r="BRS611" s="268"/>
      <c r="BRT611" s="268"/>
      <c r="BRU611" s="268"/>
      <c r="BRV611" s="268"/>
      <c r="BRW611" s="268"/>
      <c r="BRX611" s="268"/>
      <c r="BRY611" s="268"/>
      <c r="BRZ611" s="268"/>
      <c r="BSA611" s="268"/>
      <c r="BSB611" s="268"/>
      <c r="BSC611" s="268"/>
      <c r="BSD611" s="268"/>
      <c r="BSE611" s="268"/>
      <c r="BSF611" s="268"/>
      <c r="BSG611" s="268"/>
      <c r="BSH611" s="268"/>
      <c r="BSI611" s="268"/>
      <c r="BSJ611" s="268"/>
      <c r="BSK611" s="268"/>
      <c r="BSL611" s="268"/>
      <c r="BSM611" s="268"/>
      <c r="BSN611" s="268"/>
      <c r="BSO611" s="268"/>
      <c r="BSP611" s="268"/>
      <c r="BSQ611" s="268"/>
      <c r="BSR611" s="268"/>
      <c r="BSS611" s="268"/>
      <c r="BST611" s="268"/>
      <c r="BSU611" s="268"/>
      <c r="BSV611" s="268"/>
      <c r="BSW611" s="268"/>
      <c r="BSX611" s="268"/>
      <c r="BSY611" s="268"/>
      <c r="BSZ611" s="268"/>
      <c r="BTA611" s="268"/>
      <c r="BTB611" s="268"/>
      <c r="BTC611" s="268"/>
      <c r="BTD611" s="268"/>
      <c r="BTE611" s="268"/>
      <c r="BTF611" s="268"/>
      <c r="BTG611" s="268"/>
      <c r="BTH611" s="268"/>
      <c r="BTI611" s="268"/>
      <c r="BTJ611" s="268"/>
      <c r="BTK611" s="268"/>
      <c r="BTL611" s="268"/>
      <c r="BTM611" s="268"/>
      <c r="BTN611" s="268"/>
      <c r="BTO611" s="268"/>
      <c r="BTP611" s="268"/>
      <c r="BTQ611" s="268"/>
      <c r="BTR611" s="268"/>
      <c r="BTS611" s="268"/>
      <c r="BTT611" s="268"/>
      <c r="BTU611" s="268"/>
      <c r="BTV611" s="268"/>
      <c r="BTW611" s="268"/>
      <c r="BTX611" s="268"/>
      <c r="BTY611" s="268"/>
      <c r="BTZ611" s="268"/>
      <c r="BUA611" s="268"/>
      <c r="BUB611" s="268"/>
      <c r="BUC611" s="268"/>
      <c r="BUD611" s="268"/>
      <c r="BUE611" s="268"/>
      <c r="BUF611" s="268"/>
      <c r="BUG611" s="268"/>
      <c r="BUH611" s="268"/>
      <c r="BUI611" s="268"/>
      <c r="BUJ611" s="268"/>
      <c r="BUK611" s="268"/>
      <c r="BUL611" s="268"/>
      <c r="BUM611" s="268"/>
      <c r="BUN611" s="268"/>
      <c r="BUO611" s="268"/>
      <c r="BUP611" s="268"/>
      <c r="BUQ611" s="268"/>
      <c r="BUR611" s="268"/>
      <c r="BUS611" s="268"/>
      <c r="BUT611" s="268"/>
      <c r="BUU611" s="268"/>
      <c r="BUV611" s="268"/>
      <c r="BUW611" s="268"/>
      <c r="BUX611" s="268"/>
      <c r="BUY611" s="268"/>
      <c r="BUZ611" s="268"/>
      <c r="BVA611" s="268"/>
      <c r="BVB611" s="268"/>
      <c r="BVC611" s="268"/>
      <c r="BVD611" s="268"/>
      <c r="BVE611" s="268"/>
      <c r="BVF611" s="268"/>
      <c r="BVG611" s="268"/>
      <c r="BVH611" s="268"/>
      <c r="BVI611" s="268"/>
      <c r="BVJ611" s="268"/>
      <c r="BVK611" s="268"/>
      <c r="BVL611" s="268"/>
      <c r="BVM611" s="268"/>
      <c r="BVN611" s="268"/>
      <c r="BVO611" s="268"/>
      <c r="BVP611" s="268"/>
      <c r="BVQ611" s="268"/>
      <c r="BVR611" s="268"/>
      <c r="BVS611" s="268"/>
      <c r="BVT611" s="268"/>
      <c r="BVU611" s="268"/>
      <c r="BVV611" s="268"/>
      <c r="BVW611" s="268"/>
      <c r="BVX611" s="268"/>
      <c r="BVY611" s="268"/>
      <c r="BVZ611" s="268"/>
      <c r="BWA611" s="268"/>
      <c r="BWB611" s="268"/>
      <c r="BWC611" s="268"/>
      <c r="BWD611" s="268"/>
      <c r="BWE611" s="268"/>
      <c r="BWF611" s="268"/>
      <c r="BWG611" s="268"/>
      <c r="BWH611" s="268"/>
      <c r="BWI611" s="268"/>
      <c r="BWJ611" s="268"/>
      <c r="BWK611" s="268"/>
      <c r="BWL611" s="268"/>
      <c r="BWM611" s="268"/>
      <c r="BWN611" s="268"/>
      <c r="BWO611" s="268"/>
      <c r="BWP611" s="268"/>
      <c r="BWQ611" s="268"/>
      <c r="BWR611" s="268"/>
      <c r="BWS611" s="268"/>
      <c r="BWT611" s="268"/>
      <c r="BWU611" s="268"/>
      <c r="BWV611" s="268"/>
      <c r="BWW611" s="268"/>
      <c r="BWX611" s="268"/>
      <c r="BWY611" s="268"/>
      <c r="BWZ611" s="268"/>
      <c r="BXA611" s="268"/>
      <c r="BXB611" s="268"/>
      <c r="BXC611" s="268"/>
      <c r="BXD611" s="268"/>
      <c r="BXE611" s="268"/>
      <c r="BXF611" s="268"/>
      <c r="BXG611" s="268"/>
      <c r="BXH611" s="268"/>
      <c r="BXI611" s="268"/>
      <c r="BXJ611" s="268"/>
      <c r="BXK611" s="268"/>
      <c r="BXL611" s="268"/>
      <c r="BXM611" s="268"/>
      <c r="BXN611" s="268"/>
      <c r="BXO611" s="268"/>
      <c r="BXP611" s="268"/>
      <c r="BXQ611" s="268"/>
      <c r="BXR611" s="268"/>
      <c r="BXS611" s="268"/>
      <c r="BXT611" s="268"/>
      <c r="BXU611" s="268"/>
      <c r="BXV611" s="268"/>
      <c r="BXW611" s="268"/>
      <c r="BXX611" s="268"/>
      <c r="BXY611" s="268"/>
      <c r="BXZ611" s="268"/>
      <c r="BYA611" s="268"/>
      <c r="BYB611" s="268"/>
      <c r="BYC611" s="268"/>
      <c r="BYD611" s="268"/>
      <c r="BYE611" s="268"/>
      <c r="BYF611" s="268"/>
      <c r="BYG611" s="268"/>
      <c r="BYH611" s="268"/>
      <c r="BYI611" s="268"/>
      <c r="BYJ611" s="268"/>
      <c r="BYK611" s="268"/>
      <c r="BYL611" s="268"/>
      <c r="BYM611" s="268"/>
      <c r="BYN611" s="268"/>
      <c r="BYO611" s="268"/>
      <c r="BYP611" s="268"/>
      <c r="BYQ611" s="268"/>
      <c r="BYR611" s="268"/>
      <c r="BYS611" s="268"/>
      <c r="BYT611" s="268"/>
      <c r="BYU611" s="268"/>
      <c r="BYV611" s="268"/>
      <c r="BYW611" s="268"/>
      <c r="BYX611" s="268"/>
      <c r="BYY611" s="268"/>
      <c r="BYZ611" s="268"/>
      <c r="BZA611" s="268"/>
      <c r="BZB611" s="268"/>
      <c r="BZC611" s="268"/>
      <c r="BZD611" s="268"/>
      <c r="BZE611" s="268"/>
      <c r="BZF611" s="268"/>
      <c r="BZG611" s="268"/>
      <c r="BZH611" s="268"/>
      <c r="BZI611" s="268"/>
      <c r="BZJ611" s="268"/>
      <c r="BZK611" s="268"/>
      <c r="BZY611" s="268"/>
      <c r="BZZ611" s="268"/>
      <c r="CAA611" s="268"/>
      <c r="CAO611" s="268"/>
      <c r="CAQ611" s="268"/>
      <c r="CAR611" s="268"/>
      <c r="CAS611" s="268"/>
      <c r="CAT611" s="268"/>
      <c r="CAU611" s="268"/>
      <c r="CAV611" s="268"/>
      <c r="CAW611" s="268"/>
      <c r="CAX611" s="268"/>
      <c r="CAY611" s="268"/>
      <c r="CAZ611" s="268"/>
      <c r="CBA611" s="268"/>
      <c r="CBB611" s="268"/>
      <c r="CBC611" s="268"/>
      <c r="CBD611" s="268"/>
      <c r="CBE611" s="268"/>
      <c r="CBF611" s="268"/>
      <c r="CBG611" s="268"/>
      <c r="CBH611" s="268"/>
      <c r="CBI611" s="268"/>
      <c r="CBJ611" s="268"/>
      <c r="CBK611" s="268"/>
      <c r="CBL611" s="268"/>
      <c r="CBM611" s="268"/>
      <c r="CBN611" s="268"/>
      <c r="CBO611" s="268"/>
      <c r="CBP611" s="268"/>
      <c r="CBQ611" s="268"/>
      <c r="CBR611" s="268"/>
      <c r="CBS611" s="268"/>
      <c r="CBT611" s="268"/>
      <c r="CBU611" s="268"/>
      <c r="CBV611" s="268"/>
      <c r="CBW611" s="268"/>
      <c r="CBX611" s="268"/>
      <c r="CBY611" s="268"/>
      <c r="CBZ611" s="268"/>
      <c r="CCA611" s="268"/>
      <c r="CCB611" s="268"/>
      <c r="CCC611" s="268"/>
      <c r="CCD611" s="268"/>
      <c r="CCE611" s="268"/>
      <c r="CCF611" s="268"/>
      <c r="CCG611" s="268"/>
      <c r="CCH611" s="268"/>
      <c r="CCI611" s="268"/>
      <c r="CCJ611" s="268"/>
      <c r="CCK611" s="268"/>
      <c r="CCL611" s="268"/>
      <c r="CCM611" s="268"/>
      <c r="CCN611" s="268"/>
      <c r="CCO611" s="268"/>
      <c r="CCP611" s="268"/>
      <c r="CCQ611" s="268"/>
      <c r="CCR611" s="268"/>
      <c r="CCS611" s="268"/>
      <c r="CCT611" s="268"/>
      <c r="CCU611" s="268"/>
      <c r="CCV611" s="268"/>
      <c r="CCW611" s="268"/>
      <c r="CCX611" s="268"/>
      <c r="CCY611" s="268"/>
      <c r="CCZ611" s="268"/>
      <c r="CDA611" s="268"/>
      <c r="CDB611" s="268"/>
      <c r="CDC611" s="268"/>
      <c r="CDD611" s="268"/>
      <c r="CDE611" s="268"/>
      <c r="CDF611" s="268"/>
      <c r="CDG611" s="268"/>
      <c r="CDH611" s="268"/>
      <c r="CDI611" s="268"/>
      <c r="CDJ611" s="268"/>
      <c r="CDK611" s="268"/>
      <c r="CDL611" s="268"/>
      <c r="CDM611" s="268"/>
      <c r="CDN611" s="268"/>
      <c r="CDO611" s="268"/>
      <c r="CDP611" s="268"/>
      <c r="CDQ611" s="268"/>
      <c r="CDR611" s="268"/>
      <c r="CDS611" s="268"/>
      <c r="CDT611" s="268"/>
      <c r="CDU611" s="268"/>
      <c r="CDV611" s="268"/>
      <c r="CDW611" s="268"/>
      <c r="CDX611" s="268"/>
      <c r="CDY611" s="268"/>
      <c r="CDZ611" s="268"/>
      <c r="CEA611" s="268"/>
      <c r="CEB611" s="268"/>
      <c r="CEC611" s="268"/>
      <c r="CED611" s="268"/>
      <c r="CEE611" s="268"/>
      <c r="CEF611" s="268"/>
      <c r="CEG611" s="268"/>
      <c r="CEH611" s="268"/>
      <c r="CEI611" s="268"/>
      <c r="CEJ611" s="268"/>
      <c r="CEK611" s="268"/>
      <c r="CEL611" s="268"/>
      <c r="CEM611" s="268"/>
      <c r="CEN611" s="268"/>
      <c r="CEO611" s="268"/>
      <c r="CEP611" s="268"/>
      <c r="CEQ611" s="268"/>
      <c r="CER611" s="268"/>
      <c r="CES611" s="268"/>
      <c r="CET611" s="268"/>
      <c r="CEU611" s="268"/>
      <c r="CEV611" s="268"/>
      <c r="CEW611" s="268"/>
      <c r="CEX611" s="268"/>
      <c r="CEY611" s="268"/>
      <c r="CEZ611" s="268"/>
      <c r="CFA611" s="268"/>
      <c r="CFB611" s="268"/>
      <c r="CFC611" s="268"/>
      <c r="CFD611" s="268"/>
      <c r="CFE611" s="268"/>
      <c r="CFF611" s="268"/>
      <c r="CFG611" s="268"/>
      <c r="CFH611" s="268"/>
      <c r="CFI611" s="268"/>
      <c r="CFJ611" s="268"/>
      <c r="CFK611" s="268"/>
      <c r="CFL611" s="268"/>
      <c r="CFM611" s="268"/>
      <c r="CFN611" s="268"/>
      <c r="CFO611" s="268"/>
      <c r="CFP611" s="268"/>
      <c r="CFQ611" s="268"/>
      <c r="CFR611" s="268"/>
      <c r="CFS611" s="268"/>
      <c r="CFT611" s="268"/>
      <c r="CFU611" s="268"/>
      <c r="CFV611" s="268"/>
      <c r="CFW611" s="268"/>
      <c r="CFX611" s="268"/>
      <c r="CFY611" s="268"/>
      <c r="CFZ611" s="268"/>
      <c r="CGA611" s="268"/>
      <c r="CGB611" s="268"/>
      <c r="CGC611" s="268"/>
      <c r="CGD611" s="268"/>
      <c r="CGE611" s="268"/>
      <c r="CGF611" s="268"/>
      <c r="CGG611" s="268"/>
      <c r="CGH611" s="268"/>
      <c r="CGI611" s="268"/>
      <c r="CGJ611" s="268"/>
      <c r="CGK611" s="268"/>
      <c r="CGL611" s="268"/>
      <c r="CGM611" s="268"/>
      <c r="CGN611" s="268"/>
      <c r="CGO611" s="268"/>
      <c r="CGP611" s="268"/>
      <c r="CGQ611" s="268"/>
      <c r="CGR611" s="268"/>
      <c r="CGS611" s="268"/>
      <c r="CGT611" s="268"/>
      <c r="CGU611" s="268"/>
      <c r="CGV611" s="268"/>
      <c r="CGW611" s="268"/>
      <c r="CGX611" s="268"/>
      <c r="CGY611" s="268"/>
      <c r="CGZ611" s="268"/>
      <c r="CHA611" s="268"/>
      <c r="CHB611" s="268"/>
      <c r="CHC611" s="268"/>
      <c r="CHD611" s="268"/>
      <c r="CHE611" s="268"/>
      <c r="CHF611" s="268"/>
      <c r="CHG611" s="268"/>
      <c r="CHH611" s="268"/>
      <c r="CHI611" s="268"/>
      <c r="CHJ611" s="268"/>
      <c r="CHK611" s="268"/>
      <c r="CHL611" s="268"/>
      <c r="CHM611" s="268"/>
      <c r="CHN611" s="268"/>
      <c r="CHO611" s="268"/>
      <c r="CHP611" s="268"/>
      <c r="CHQ611" s="268"/>
      <c r="CHR611" s="268"/>
      <c r="CHS611" s="268"/>
      <c r="CHT611" s="268"/>
      <c r="CHU611" s="268"/>
      <c r="CHV611" s="268"/>
      <c r="CHW611" s="268"/>
      <c r="CHX611" s="268"/>
      <c r="CHY611" s="268"/>
      <c r="CHZ611" s="268"/>
      <c r="CIA611" s="268"/>
      <c r="CIB611" s="268"/>
      <c r="CIC611" s="268"/>
      <c r="CID611" s="268"/>
      <c r="CIE611" s="268"/>
      <c r="CIF611" s="268"/>
      <c r="CIG611" s="268"/>
      <c r="CIH611" s="268"/>
      <c r="CII611" s="268"/>
      <c r="CIJ611" s="268"/>
      <c r="CIK611" s="268"/>
      <c r="CIL611" s="268"/>
      <c r="CIM611" s="268"/>
      <c r="CIN611" s="268"/>
      <c r="CIO611" s="268"/>
      <c r="CIP611" s="268"/>
      <c r="CIQ611" s="268"/>
      <c r="CIR611" s="268"/>
      <c r="CIS611" s="268"/>
      <c r="CIT611" s="268"/>
      <c r="CIU611" s="268"/>
      <c r="CIV611" s="268"/>
      <c r="CIW611" s="268"/>
      <c r="CIX611" s="268"/>
      <c r="CIY611" s="268"/>
      <c r="CIZ611" s="268"/>
      <c r="CJA611" s="268"/>
      <c r="CJB611" s="268"/>
      <c r="CJC611" s="268"/>
      <c r="CJD611" s="268"/>
      <c r="CJE611" s="268"/>
      <c r="CJF611" s="268"/>
      <c r="CJG611" s="268"/>
      <c r="CJU611" s="268"/>
      <c r="CJV611" s="268"/>
      <c r="CJW611" s="268"/>
      <c r="CKK611" s="268"/>
      <c r="CKM611" s="268"/>
      <c r="CKN611" s="268"/>
      <c r="CKO611" s="268"/>
      <c r="CKP611" s="268"/>
      <c r="CKQ611" s="268"/>
      <c r="CKR611" s="268"/>
      <c r="CKS611" s="268"/>
      <c r="CKT611" s="268"/>
      <c r="CKU611" s="268"/>
      <c r="CKV611" s="268"/>
      <c r="CKW611" s="268"/>
      <c r="CKX611" s="268"/>
      <c r="CKY611" s="268"/>
      <c r="CKZ611" s="268"/>
      <c r="CLA611" s="268"/>
      <c r="CLB611" s="268"/>
      <c r="CLC611" s="268"/>
      <c r="CLD611" s="268"/>
      <c r="CLE611" s="268"/>
      <c r="CLF611" s="268"/>
      <c r="CLG611" s="268"/>
      <c r="CLH611" s="268"/>
      <c r="CLI611" s="268"/>
      <c r="CLJ611" s="268"/>
      <c r="CLK611" s="268"/>
      <c r="CLL611" s="268"/>
      <c r="CLM611" s="268"/>
      <c r="CLN611" s="268"/>
      <c r="CLO611" s="268"/>
      <c r="CLP611" s="268"/>
      <c r="CLQ611" s="268"/>
      <c r="CLR611" s="268"/>
      <c r="CLS611" s="268"/>
      <c r="CLT611" s="268"/>
      <c r="CLU611" s="268"/>
      <c r="CLV611" s="268"/>
      <c r="CLW611" s="268"/>
      <c r="CLX611" s="268"/>
      <c r="CLY611" s="268"/>
      <c r="CLZ611" s="268"/>
      <c r="CMA611" s="268"/>
      <c r="CMB611" s="268"/>
      <c r="CMC611" s="268"/>
      <c r="CMD611" s="268"/>
      <c r="CME611" s="268"/>
      <c r="CMF611" s="268"/>
      <c r="CMG611" s="268"/>
      <c r="CMH611" s="268"/>
      <c r="CMI611" s="268"/>
      <c r="CMJ611" s="268"/>
      <c r="CMK611" s="268"/>
      <c r="CML611" s="268"/>
      <c r="CMM611" s="268"/>
      <c r="CMN611" s="268"/>
      <c r="CMO611" s="268"/>
      <c r="CMP611" s="268"/>
      <c r="CMQ611" s="268"/>
      <c r="CMR611" s="268"/>
      <c r="CMS611" s="268"/>
      <c r="CMT611" s="268"/>
      <c r="CMU611" s="268"/>
      <c r="CMV611" s="268"/>
      <c r="CMW611" s="268"/>
      <c r="CMX611" s="268"/>
      <c r="CMY611" s="268"/>
      <c r="CMZ611" s="268"/>
      <c r="CNA611" s="268"/>
      <c r="CNB611" s="268"/>
      <c r="CNC611" s="268"/>
      <c r="CND611" s="268"/>
      <c r="CNE611" s="268"/>
      <c r="CNF611" s="268"/>
      <c r="CNG611" s="268"/>
      <c r="CNH611" s="268"/>
      <c r="CNI611" s="268"/>
      <c r="CNJ611" s="268"/>
      <c r="CNK611" s="268"/>
      <c r="CNL611" s="268"/>
      <c r="CNM611" s="268"/>
      <c r="CNN611" s="268"/>
      <c r="CNO611" s="268"/>
      <c r="CNP611" s="268"/>
      <c r="CNQ611" s="268"/>
      <c r="CNR611" s="268"/>
      <c r="CNS611" s="268"/>
      <c r="CNT611" s="268"/>
      <c r="CNU611" s="268"/>
      <c r="CNV611" s="268"/>
      <c r="CNW611" s="268"/>
      <c r="CNX611" s="268"/>
      <c r="CNY611" s="268"/>
      <c r="CNZ611" s="268"/>
      <c r="COA611" s="268"/>
      <c r="COB611" s="268"/>
      <c r="COC611" s="268"/>
      <c r="COD611" s="268"/>
      <c r="COE611" s="268"/>
      <c r="COF611" s="268"/>
      <c r="COG611" s="268"/>
      <c r="COH611" s="268"/>
      <c r="COI611" s="268"/>
      <c r="COJ611" s="268"/>
      <c r="COK611" s="268"/>
      <c r="COL611" s="268"/>
      <c r="COM611" s="268"/>
      <c r="CON611" s="268"/>
      <c r="COO611" s="268"/>
      <c r="COP611" s="268"/>
      <c r="COQ611" s="268"/>
      <c r="COR611" s="268"/>
      <c r="COS611" s="268"/>
      <c r="COT611" s="268"/>
      <c r="COU611" s="268"/>
      <c r="COV611" s="268"/>
      <c r="COW611" s="268"/>
      <c r="COX611" s="268"/>
      <c r="COY611" s="268"/>
      <c r="COZ611" s="268"/>
      <c r="CPA611" s="268"/>
      <c r="CPB611" s="268"/>
      <c r="CPC611" s="268"/>
      <c r="CPD611" s="268"/>
      <c r="CPE611" s="268"/>
      <c r="CPF611" s="268"/>
      <c r="CPG611" s="268"/>
      <c r="CPH611" s="268"/>
      <c r="CPI611" s="268"/>
      <c r="CPJ611" s="268"/>
      <c r="CPK611" s="268"/>
      <c r="CPL611" s="268"/>
      <c r="CPM611" s="268"/>
      <c r="CPN611" s="268"/>
      <c r="CPO611" s="268"/>
      <c r="CPP611" s="268"/>
      <c r="CPQ611" s="268"/>
      <c r="CPR611" s="268"/>
      <c r="CPS611" s="268"/>
      <c r="CPT611" s="268"/>
      <c r="CPU611" s="268"/>
      <c r="CPV611" s="268"/>
      <c r="CPW611" s="268"/>
      <c r="CPX611" s="268"/>
      <c r="CPY611" s="268"/>
      <c r="CPZ611" s="268"/>
      <c r="CQA611" s="268"/>
      <c r="CQB611" s="268"/>
      <c r="CQC611" s="268"/>
      <c r="CQD611" s="268"/>
      <c r="CQE611" s="268"/>
      <c r="CQF611" s="268"/>
      <c r="CQG611" s="268"/>
      <c r="CQH611" s="268"/>
      <c r="CQI611" s="268"/>
      <c r="CQJ611" s="268"/>
      <c r="CQK611" s="268"/>
      <c r="CQL611" s="268"/>
      <c r="CQM611" s="268"/>
      <c r="CQN611" s="268"/>
      <c r="CQO611" s="268"/>
      <c r="CQP611" s="268"/>
      <c r="CQQ611" s="268"/>
      <c r="CQR611" s="268"/>
      <c r="CQS611" s="268"/>
      <c r="CQT611" s="268"/>
      <c r="CQU611" s="268"/>
      <c r="CQV611" s="268"/>
      <c r="CQW611" s="268"/>
      <c r="CQX611" s="268"/>
      <c r="CQY611" s="268"/>
      <c r="CQZ611" s="268"/>
      <c r="CRA611" s="268"/>
      <c r="CRB611" s="268"/>
      <c r="CRC611" s="268"/>
      <c r="CRD611" s="268"/>
      <c r="CRE611" s="268"/>
      <c r="CRF611" s="268"/>
      <c r="CRG611" s="268"/>
      <c r="CRH611" s="268"/>
      <c r="CRI611" s="268"/>
      <c r="CRJ611" s="268"/>
      <c r="CRK611" s="268"/>
      <c r="CRL611" s="268"/>
      <c r="CRM611" s="268"/>
      <c r="CRN611" s="268"/>
      <c r="CRO611" s="268"/>
      <c r="CRP611" s="268"/>
      <c r="CRQ611" s="268"/>
      <c r="CRR611" s="268"/>
      <c r="CRS611" s="268"/>
      <c r="CRT611" s="268"/>
      <c r="CRU611" s="268"/>
      <c r="CRV611" s="268"/>
      <c r="CRW611" s="268"/>
      <c r="CRX611" s="268"/>
      <c r="CRY611" s="268"/>
      <c r="CRZ611" s="268"/>
      <c r="CSA611" s="268"/>
      <c r="CSB611" s="268"/>
      <c r="CSC611" s="268"/>
      <c r="CSD611" s="268"/>
      <c r="CSE611" s="268"/>
      <c r="CSF611" s="268"/>
      <c r="CSG611" s="268"/>
      <c r="CSH611" s="268"/>
      <c r="CSI611" s="268"/>
      <c r="CSJ611" s="268"/>
      <c r="CSK611" s="268"/>
      <c r="CSL611" s="268"/>
      <c r="CSM611" s="268"/>
      <c r="CSN611" s="268"/>
      <c r="CSO611" s="268"/>
      <c r="CSP611" s="268"/>
      <c r="CSQ611" s="268"/>
      <c r="CSR611" s="268"/>
      <c r="CSS611" s="268"/>
      <c r="CST611" s="268"/>
      <c r="CSU611" s="268"/>
      <c r="CSV611" s="268"/>
      <c r="CSW611" s="268"/>
      <c r="CSX611" s="268"/>
      <c r="CSY611" s="268"/>
      <c r="CSZ611" s="268"/>
      <c r="CTA611" s="268"/>
      <c r="CTB611" s="268"/>
      <c r="CTC611" s="268"/>
      <c r="CTQ611" s="268"/>
      <c r="CTR611" s="268"/>
      <c r="CTS611" s="268"/>
      <c r="CUG611" s="268"/>
      <c r="CUI611" s="268"/>
      <c r="CUJ611" s="268"/>
      <c r="CUK611" s="268"/>
      <c r="CUL611" s="268"/>
      <c r="CUM611" s="268"/>
      <c r="CUN611" s="268"/>
      <c r="CUO611" s="268"/>
      <c r="CUP611" s="268"/>
      <c r="CUQ611" s="268"/>
      <c r="CUR611" s="268"/>
      <c r="CUS611" s="268"/>
      <c r="CUT611" s="268"/>
      <c r="CUU611" s="268"/>
      <c r="CUV611" s="268"/>
      <c r="CUW611" s="268"/>
      <c r="CUX611" s="268"/>
      <c r="CUY611" s="268"/>
      <c r="CUZ611" s="268"/>
      <c r="CVA611" s="268"/>
      <c r="CVB611" s="268"/>
      <c r="CVC611" s="268"/>
      <c r="CVD611" s="268"/>
      <c r="CVE611" s="268"/>
      <c r="CVF611" s="268"/>
      <c r="CVG611" s="268"/>
      <c r="CVH611" s="268"/>
      <c r="CVI611" s="268"/>
      <c r="CVJ611" s="268"/>
      <c r="CVK611" s="268"/>
      <c r="CVL611" s="268"/>
      <c r="CVM611" s="268"/>
      <c r="CVN611" s="268"/>
      <c r="CVO611" s="268"/>
      <c r="CVP611" s="268"/>
      <c r="CVQ611" s="268"/>
      <c r="CVR611" s="268"/>
      <c r="CVS611" s="268"/>
      <c r="CVT611" s="268"/>
      <c r="CVU611" s="268"/>
      <c r="CVV611" s="268"/>
      <c r="CVW611" s="268"/>
      <c r="CVX611" s="268"/>
      <c r="CVY611" s="268"/>
      <c r="CVZ611" s="268"/>
      <c r="CWA611" s="268"/>
      <c r="CWB611" s="268"/>
      <c r="CWC611" s="268"/>
      <c r="CWD611" s="268"/>
      <c r="CWE611" s="268"/>
      <c r="CWF611" s="268"/>
      <c r="CWG611" s="268"/>
      <c r="CWH611" s="268"/>
      <c r="CWI611" s="268"/>
      <c r="CWJ611" s="268"/>
      <c r="CWK611" s="268"/>
      <c r="CWL611" s="268"/>
      <c r="CWM611" s="268"/>
      <c r="CWN611" s="268"/>
      <c r="CWO611" s="268"/>
      <c r="CWP611" s="268"/>
      <c r="CWQ611" s="268"/>
      <c r="CWR611" s="268"/>
      <c r="CWS611" s="268"/>
      <c r="CWT611" s="268"/>
      <c r="CWU611" s="268"/>
      <c r="CWV611" s="268"/>
      <c r="CWW611" s="268"/>
      <c r="CWX611" s="268"/>
      <c r="CWY611" s="268"/>
      <c r="CWZ611" s="268"/>
      <c r="CXA611" s="268"/>
      <c r="CXB611" s="268"/>
      <c r="CXC611" s="268"/>
      <c r="CXD611" s="268"/>
      <c r="CXE611" s="268"/>
      <c r="CXF611" s="268"/>
      <c r="CXG611" s="268"/>
      <c r="CXH611" s="268"/>
      <c r="CXI611" s="268"/>
      <c r="CXJ611" s="268"/>
      <c r="CXK611" s="268"/>
      <c r="CXL611" s="268"/>
      <c r="CXM611" s="268"/>
      <c r="CXN611" s="268"/>
      <c r="CXO611" s="268"/>
      <c r="CXP611" s="268"/>
      <c r="CXQ611" s="268"/>
      <c r="CXR611" s="268"/>
      <c r="CXS611" s="268"/>
      <c r="CXT611" s="268"/>
      <c r="CXU611" s="268"/>
      <c r="CXV611" s="268"/>
      <c r="CXW611" s="268"/>
      <c r="CXX611" s="268"/>
      <c r="CXY611" s="268"/>
      <c r="CXZ611" s="268"/>
      <c r="CYA611" s="268"/>
      <c r="CYB611" s="268"/>
      <c r="CYC611" s="268"/>
      <c r="CYD611" s="268"/>
      <c r="CYE611" s="268"/>
      <c r="CYF611" s="268"/>
      <c r="CYG611" s="268"/>
      <c r="CYH611" s="268"/>
      <c r="CYI611" s="268"/>
      <c r="CYJ611" s="268"/>
      <c r="CYK611" s="268"/>
      <c r="CYL611" s="268"/>
      <c r="CYM611" s="268"/>
      <c r="CYN611" s="268"/>
      <c r="CYO611" s="268"/>
      <c r="CYP611" s="268"/>
      <c r="CYQ611" s="268"/>
      <c r="CYR611" s="268"/>
      <c r="CYS611" s="268"/>
      <c r="CYT611" s="268"/>
      <c r="CYU611" s="268"/>
      <c r="CYV611" s="268"/>
      <c r="CYW611" s="268"/>
      <c r="CYX611" s="268"/>
      <c r="CYY611" s="268"/>
      <c r="CYZ611" s="268"/>
      <c r="CZA611" s="268"/>
      <c r="CZB611" s="268"/>
      <c r="CZC611" s="268"/>
      <c r="CZD611" s="268"/>
      <c r="CZE611" s="268"/>
      <c r="CZF611" s="268"/>
      <c r="CZG611" s="268"/>
      <c r="CZH611" s="268"/>
      <c r="CZI611" s="268"/>
      <c r="CZJ611" s="268"/>
      <c r="CZK611" s="268"/>
      <c r="CZL611" s="268"/>
      <c r="CZM611" s="268"/>
      <c r="CZN611" s="268"/>
      <c r="CZO611" s="268"/>
      <c r="CZP611" s="268"/>
      <c r="CZQ611" s="268"/>
      <c r="CZR611" s="268"/>
      <c r="CZS611" s="268"/>
      <c r="CZT611" s="268"/>
      <c r="CZU611" s="268"/>
      <c r="CZV611" s="268"/>
      <c r="CZW611" s="268"/>
      <c r="CZX611" s="268"/>
      <c r="CZY611" s="268"/>
      <c r="CZZ611" s="268"/>
      <c r="DAA611" s="268"/>
      <c r="DAB611" s="268"/>
      <c r="DAC611" s="268"/>
      <c r="DAD611" s="268"/>
      <c r="DAE611" s="268"/>
      <c r="DAF611" s="268"/>
      <c r="DAG611" s="268"/>
      <c r="DAH611" s="268"/>
      <c r="DAI611" s="268"/>
      <c r="DAJ611" s="268"/>
      <c r="DAK611" s="268"/>
      <c r="DAL611" s="268"/>
      <c r="DAM611" s="268"/>
      <c r="DAN611" s="268"/>
      <c r="DAO611" s="268"/>
      <c r="DAP611" s="268"/>
      <c r="DAQ611" s="268"/>
      <c r="DAR611" s="268"/>
      <c r="DAS611" s="268"/>
      <c r="DAT611" s="268"/>
      <c r="DAU611" s="268"/>
      <c r="DAV611" s="268"/>
      <c r="DAW611" s="268"/>
      <c r="DAX611" s="268"/>
      <c r="DAY611" s="268"/>
      <c r="DAZ611" s="268"/>
      <c r="DBA611" s="268"/>
      <c r="DBB611" s="268"/>
      <c r="DBC611" s="268"/>
      <c r="DBD611" s="268"/>
      <c r="DBE611" s="268"/>
      <c r="DBF611" s="268"/>
      <c r="DBG611" s="268"/>
      <c r="DBH611" s="268"/>
      <c r="DBI611" s="268"/>
      <c r="DBJ611" s="268"/>
      <c r="DBK611" s="268"/>
      <c r="DBL611" s="268"/>
      <c r="DBM611" s="268"/>
      <c r="DBN611" s="268"/>
      <c r="DBO611" s="268"/>
      <c r="DBP611" s="268"/>
      <c r="DBQ611" s="268"/>
      <c r="DBR611" s="268"/>
      <c r="DBS611" s="268"/>
      <c r="DBT611" s="268"/>
      <c r="DBU611" s="268"/>
      <c r="DBV611" s="268"/>
      <c r="DBW611" s="268"/>
      <c r="DBX611" s="268"/>
      <c r="DBY611" s="268"/>
      <c r="DBZ611" s="268"/>
      <c r="DCA611" s="268"/>
      <c r="DCB611" s="268"/>
      <c r="DCC611" s="268"/>
      <c r="DCD611" s="268"/>
      <c r="DCE611" s="268"/>
      <c r="DCF611" s="268"/>
      <c r="DCG611" s="268"/>
      <c r="DCH611" s="268"/>
      <c r="DCI611" s="268"/>
      <c r="DCJ611" s="268"/>
      <c r="DCK611" s="268"/>
      <c r="DCL611" s="268"/>
      <c r="DCM611" s="268"/>
      <c r="DCN611" s="268"/>
      <c r="DCO611" s="268"/>
      <c r="DCP611" s="268"/>
      <c r="DCQ611" s="268"/>
      <c r="DCR611" s="268"/>
      <c r="DCS611" s="268"/>
      <c r="DCT611" s="268"/>
      <c r="DCU611" s="268"/>
      <c r="DCV611" s="268"/>
      <c r="DCW611" s="268"/>
      <c r="DCX611" s="268"/>
      <c r="DCY611" s="268"/>
      <c r="DDM611" s="268"/>
      <c r="DDN611" s="268"/>
      <c r="DDO611" s="268"/>
      <c r="DEC611" s="268"/>
      <c r="DEE611" s="268"/>
      <c r="DEF611" s="268"/>
      <c r="DEG611" s="268"/>
      <c r="DEH611" s="268"/>
      <c r="DEI611" s="268"/>
      <c r="DEJ611" s="268"/>
      <c r="DEK611" s="268"/>
      <c r="DEL611" s="268"/>
      <c r="DEM611" s="268"/>
      <c r="DEN611" s="268"/>
      <c r="DEO611" s="268"/>
      <c r="DEP611" s="268"/>
      <c r="DEQ611" s="268"/>
      <c r="DER611" s="268"/>
      <c r="DES611" s="268"/>
      <c r="DET611" s="268"/>
      <c r="DEU611" s="268"/>
      <c r="DEV611" s="268"/>
      <c r="DEW611" s="268"/>
      <c r="DEX611" s="268"/>
      <c r="DEY611" s="268"/>
      <c r="DEZ611" s="268"/>
      <c r="DFA611" s="268"/>
      <c r="DFB611" s="268"/>
      <c r="DFC611" s="268"/>
      <c r="DFD611" s="268"/>
      <c r="DFE611" s="268"/>
      <c r="DFF611" s="268"/>
      <c r="DFG611" s="268"/>
      <c r="DFH611" s="268"/>
      <c r="DFI611" s="268"/>
      <c r="DFJ611" s="268"/>
      <c r="DFK611" s="268"/>
      <c r="DFL611" s="268"/>
      <c r="DFM611" s="268"/>
      <c r="DFN611" s="268"/>
      <c r="DFO611" s="268"/>
      <c r="DFP611" s="268"/>
      <c r="DFQ611" s="268"/>
      <c r="DFR611" s="268"/>
      <c r="DFS611" s="268"/>
      <c r="DFT611" s="268"/>
      <c r="DFU611" s="268"/>
      <c r="DFV611" s="268"/>
      <c r="DFW611" s="268"/>
      <c r="DFX611" s="268"/>
      <c r="DFY611" s="268"/>
      <c r="DFZ611" s="268"/>
      <c r="DGA611" s="268"/>
      <c r="DGB611" s="268"/>
      <c r="DGC611" s="268"/>
      <c r="DGD611" s="268"/>
      <c r="DGE611" s="268"/>
      <c r="DGF611" s="268"/>
      <c r="DGG611" s="268"/>
      <c r="DGH611" s="268"/>
      <c r="DGI611" s="268"/>
      <c r="DGJ611" s="268"/>
      <c r="DGK611" s="268"/>
      <c r="DGL611" s="268"/>
      <c r="DGM611" s="268"/>
      <c r="DGN611" s="268"/>
      <c r="DGO611" s="268"/>
      <c r="DGP611" s="268"/>
      <c r="DGQ611" s="268"/>
      <c r="DGR611" s="268"/>
      <c r="DGS611" s="268"/>
      <c r="DGT611" s="268"/>
      <c r="DGU611" s="268"/>
      <c r="DGV611" s="268"/>
      <c r="DGW611" s="268"/>
      <c r="DGX611" s="268"/>
      <c r="DGY611" s="268"/>
      <c r="DGZ611" s="268"/>
      <c r="DHA611" s="268"/>
      <c r="DHB611" s="268"/>
      <c r="DHC611" s="268"/>
      <c r="DHD611" s="268"/>
      <c r="DHE611" s="268"/>
      <c r="DHF611" s="268"/>
      <c r="DHG611" s="268"/>
      <c r="DHH611" s="268"/>
      <c r="DHI611" s="268"/>
      <c r="DHJ611" s="268"/>
      <c r="DHK611" s="268"/>
      <c r="DHL611" s="268"/>
      <c r="DHM611" s="268"/>
      <c r="DHN611" s="268"/>
      <c r="DHO611" s="268"/>
      <c r="DHP611" s="268"/>
      <c r="DHQ611" s="268"/>
      <c r="DHR611" s="268"/>
      <c r="DHS611" s="268"/>
      <c r="DHT611" s="268"/>
      <c r="DHU611" s="268"/>
      <c r="DHV611" s="268"/>
      <c r="DHW611" s="268"/>
      <c r="DHX611" s="268"/>
      <c r="DHY611" s="268"/>
      <c r="DHZ611" s="268"/>
      <c r="DIA611" s="268"/>
      <c r="DIB611" s="268"/>
      <c r="DIC611" s="268"/>
      <c r="DID611" s="268"/>
      <c r="DIE611" s="268"/>
      <c r="DIF611" s="268"/>
      <c r="DIG611" s="268"/>
      <c r="DIH611" s="268"/>
      <c r="DII611" s="268"/>
      <c r="DIJ611" s="268"/>
      <c r="DIK611" s="268"/>
      <c r="DIL611" s="268"/>
      <c r="DIM611" s="268"/>
      <c r="DIN611" s="268"/>
      <c r="DIO611" s="268"/>
      <c r="DIP611" s="268"/>
      <c r="DIQ611" s="268"/>
      <c r="DIR611" s="268"/>
      <c r="DIS611" s="268"/>
      <c r="DIT611" s="268"/>
      <c r="DIU611" s="268"/>
      <c r="DIV611" s="268"/>
      <c r="DIW611" s="268"/>
      <c r="DIX611" s="268"/>
      <c r="DIY611" s="268"/>
      <c r="DIZ611" s="268"/>
      <c r="DJA611" s="268"/>
      <c r="DJB611" s="268"/>
      <c r="DJC611" s="268"/>
      <c r="DJD611" s="268"/>
      <c r="DJE611" s="268"/>
      <c r="DJF611" s="268"/>
      <c r="DJG611" s="268"/>
      <c r="DJH611" s="268"/>
      <c r="DJI611" s="268"/>
      <c r="DJJ611" s="268"/>
      <c r="DJK611" s="268"/>
      <c r="DJL611" s="268"/>
      <c r="DJM611" s="268"/>
      <c r="DJN611" s="268"/>
      <c r="DJO611" s="268"/>
      <c r="DJP611" s="268"/>
      <c r="DJQ611" s="268"/>
      <c r="DJR611" s="268"/>
      <c r="DJS611" s="268"/>
      <c r="DJT611" s="268"/>
      <c r="DJU611" s="268"/>
      <c r="DJV611" s="268"/>
      <c r="DJW611" s="268"/>
      <c r="DJX611" s="268"/>
      <c r="DJY611" s="268"/>
      <c r="DJZ611" s="268"/>
      <c r="DKA611" s="268"/>
      <c r="DKB611" s="268"/>
      <c r="DKC611" s="268"/>
      <c r="DKD611" s="268"/>
      <c r="DKE611" s="268"/>
      <c r="DKF611" s="268"/>
      <c r="DKG611" s="268"/>
      <c r="DKH611" s="268"/>
      <c r="DKI611" s="268"/>
      <c r="DKJ611" s="268"/>
      <c r="DKK611" s="268"/>
      <c r="DKL611" s="268"/>
      <c r="DKM611" s="268"/>
      <c r="DKN611" s="268"/>
      <c r="DKO611" s="268"/>
      <c r="DKP611" s="268"/>
      <c r="DKQ611" s="268"/>
      <c r="DKR611" s="268"/>
      <c r="DKS611" s="268"/>
      <c r="DKT611" s="268"/>
      <c r="DKU611" s="268"/>
      <c r="DKV611" s="268"/>
      <c r="DKW611" s="268"/>
      <c r="DKX611" s="268"/>
      <c r="DKY611" s="268"/>
      <c r="DKZ611" s="268"/>
      <c r="DLA611" s="268"/>
      <c r="DLB611" s="268"/>
      <c r="DLC611" s="268"/>
      <c r="DLD611" s="268"/>
      <c r="DLE611" s="268"/>
      <c r="DLF611" s="268"/>
      <c r="DLG611" s="268"/>
      <c r="DLH611" s="268"/>
      <c r="DLI611" s="268"/>
      <c r="DLJ611" s="268"/>
      <c r="DLK611" s="268"/>
      <c r="DLL611" s="268"/>
      <c r="DLM611" s="268"/>
      <c r="DLN611" s="268"/>
      <c r="DLO611" s="268"/>
      <c r="DLP611" s="268"/>
      <c r="DLQ611" s="268"/>
      <c r="DLR611" s="268"/>
      <c r="DLS611" s="268"/>
      <c r="DLT611" s="268"/>
      <c r="DLU611" s="268"/>
      <c r="DLV611" s="268"/>
      <c r="DLW611" s="268"/>
      <c r="DLX611" s="268"/>
      <c r="DLY611" s="268"/>
      <c r="DLZ611" s="268"/>
      <c r="DMA611" s="268"/>
      <c r="DMB611" s="268"/>
      <c r="DMC611" s="268"/>
      <c r="DMD611" s="268"/>
      <c r="DME611" s="268"/>
      <c r="DMF611" s="268"/>
      <c r="DMG611" s="268"/>
      <c r="DMH611" s="268"/>
      <c r="DMI611" s="268"/>
      <c r="DMJ611" s="268"/>
      <c r="DMK611" s="268"/>
      <c r="DML611" s="268"/>
      <c r="DMM611" s="268"/>
      <c r="DMN611" s="268"/>
      <c r="DMO611" s="268"/>
      <c r="DMP611" s="268"/>
      <c r="DMQ611" s="268"/>
      <c r="DMR611" s="268"/>
      <c r="DMS611" s="268"/>
      <c r="DMT611" s="268"/>
      <c r="DMU611" s="268"/>
      <c r="DNI611" s="268"/>
      <c r="DNJ611" s="268"/>
      <c r="DNK611" s="268"/>
      <c r="DNY611" s="268"/>
      <c r="DOA611" s="268"/>
      <c r="DOB611" s="268"/>
      <c r="DOC611" s="268"/>
      <c r="DOD611" s="268"/>
      <c r="DOE611" s="268"/>
      <c r="DOF611" s="268"/>
      <c r="DOG611" s="268"/>
      <c r="DOH611" s="268"/>
      <c r="DOI611" s="268"/>
      <c r="DOJ611" s="268"/>
      <c r="DOK611" s="268"/>
      <c r="DOL611" s="268"/>
      <c r="DOM611" s="268"/>
      <c r="DON611" s="268"/>
      <c r="DOO611" s="268"/>
      <c r="DOP611" s="268"/>
      <c r="DOQ611" s="268"/>
      <c r="DOR611" s="268"/>
      <c r="DOS611" s="268"/>
      <c r="DOT611" s="268"/>
      <c r="DOU611" s="268"/>
      <c r="DOV611" s="268"/>
      <c r="DOW611" s="268"/>
      <c r="DOX611" s="268"/>
      <c r="DOY611" s="268"/>
      <c r="DOZ611" s="268"/>
      <c r="DPA611" s="268"/>
      <c r="DPB611" s="268"/>
      <c r="DPC611" s="268"/>
      <c r="DPD611" s="268"/>
      <c r="DPE611" s="268"/>
      <c r="DPF611" s="268"/>
      <c r="DPG611" s="268"/>
      <c r="DPH611" s="268"/>
      <c r="DPI611" s="268"/>
      <c r="DPJ611" s="268"/>
      <c r="DPK611" s="268"/>
      <c r="DPL611" s="268"/>
      <c r="DPM611" s="268"/>
      <c r="DPN611" s="268"/>
      <c r="DPO611" s="268"/>
      <c r="DPP611" s="268"/>
      <c r="DPQ611" s="268"/>
      <c r="DPR611" s="268"/>
      <c r="DPS611" s="268"/>
      <c r="DPT611" s="268"/>
      <c r="DPU611" s="268"/>
      <c r="DPV611" s="268"/>
      <c r="DPW611" s="268"/>
      <c r="DPX611" s="268"/>
      <c r="DPY611" s="268"/>
      <c r="DPZ611" s="268"/>
      <c r="DQA611" s="268"/>
      <c r="DQB611" s="268"/>
      <c r="DQC611" s="268"/>
      <c r="DQD611" s="268"/>
      <c r="DQE611" s="268"/>
      <c r="DQF611" s="268"/>
      <c r="DQG611" s="268"/>
      <c r="DQH611" s="268"/>
      <c r="DQI611" s="268"/>
      <c r="DQJ611" s="268"/>
      <c r="DQK611" s="268"/>
      <c r="DQL611" s="268"/>
      <c r="DQM611" s="268"/>
      <c r="DQN611" s="268"/>
      <c r="DQO611" s="268"/>
      <c r="DQP611" s="268"/>
      <c r="DQQ611" s="268"/>
      <c r="DQR611" s="268"/>
      <c r="DQS611" s="268"/>
      <c r="DQT611" s="268"/>
      <c r="DQU611" s="268"/>
      <c r="DQV611" s="268"/>
      <c r="DQW611" s="268"/>
      <c r="DQX611" s="268"/>
      <c r="DQY611" s="268"/>
      <c r="DQZ611" s="268"/>
      <c r="DRA611" s="268"/>
      <c r="DRB611" s="268"/>
      <c r="DRC611" s="268"/>
      <c r="DRD611" s="268"/>
      <c r="DRE611" s="268"/>
      <c r="DRF611" s="268"/>
      <c r="DRG611" s="268"/>
      <c r="DRH611" s="268"/>
      <c r="DRI611" s="268"/>
      <c r="DRJ611" s="268"/>
      <c r="DRK611" s="268"/>
      <c r="DRL611" s="268"/>
      <c r="DRM611" s="268"/>
      <c r="DRN611" s="268"/>
      <c r="DRO611" s="268"/>
      <c r="DRP611" s="268"/>
      <c r="DRQ611" s="268"/>
      <c r="DRR611" s="268"/>
      <c r="DRS611" s="268"/>
      <c r="DRT611" s="268"/>
      <c r="DRU611" s="268"/>
      <c r="DRV611" s="268"/>
      <c r="DRW611" s="268"/>
      <c r="DRX611" s="268"/>
      <c r="DRY611" s="268"/>
      <c r="DRZ611" s="268"/>
      <c r="DSA611" s="268"/>
      <c r="DSB611" s="268"/>
      <c r="DSC611" s="268"/>
      <c r="DSD611" s="268"/>
      <c r="DSE611" s="268"/>
      <c r="DSF611" s="268"/>
      <c r="DSG611" s="268"/>
      <c r="DSH611" s="268"/>
      <c r="DSI611" s="268"/>
      <c r="DSJ611" s="268"/>
      <c r="DSK611" s="268"/>
      <c r="DSL611" s="268"/>
      <c r="DSM611" s="268"/>
      <c r="DSN611" s="268"/>
      <c r="DSO611" s="268"/>
      <c r="DSP611" s="268"/>
      <c r="DSQ611" s="268"/>
      <c r="DSR611" s="268"/>
      <c r="DSS611" s="268"/>
      <c r="DST611" s="268"/>
      <c r="DSU611" s="268"/>
      <c r="DSV611" s="268"/>
      <c r="DSW611" s="268"/>
      <c r="DSX611" s="268"/>
      <c r="DSY611" s="268"/>
      <c r="DSZ611" s="268"/>
      <c r="DTA611" s="268"/>
      <c r="DTB611" s="268"/>
      <c r="DTC611" s="268"/>
      <c r="DTD611" s="268"/>
      <c r="DTE611" s="268"/>
      <c r="DTF611" s="268"/>
      <c r="DTG611" s="268"/>
      <c r="DTH611" s="268"/>
      <c r="DTI611" s="268"/>
      <c r="DTJ611" s="268"/>
      <c r="DTK611" s="268"/>
      <c r="DTL611" s="268"/>
      <c r="DTM611" s="268"/>
      <c r="DTN611" s="268"/>
      <c r="DTO611" s="268"/>
      <c r="DTP611" s="268"/>
      <c r="DTQ611" s="268"/>
      <c r="DTR611" s="268"/>
      <c r="DTS611" s="268"/>
      <c r="DTT611" s="268"/>
      <c r="DTU611" s="268"/>
      <c r="DTV611" s="268"/>
      <c r="DTW611" s="268"/>
      <c r="DTX611" s="268"/>
      <c r="DTY611" s="268"/>
      <c r="DTZ611" s="268"/>
      <c r="DUA611" s="268"/>
      <c r="DUB611" s="268"/>
      <c r="DUC611" s="268"/>
      <c r="DUD611" s="268"/>
      <c r="DUE611" s="268"/>
      <c r="DUF611" s="268"/>
      <c r="DUG611" s="268"/>
      <c r="DUH611" s="268"/>
      <c r="DUI611" s="268"/>
      <c r="DUJ611" s="268"/>
      <c r="DUK611" s="268"/>
      <c r="DUL611" s="268"/>
      <c r="DUM611" s="268"/>
      <c r="DUN611" s="268"/>
      <c r="DUO611" s="268"/>
      <c r="DUP611" s="268"/>
      <c r="DUQ611" s="268"/>
      <c r="DUR611" s="268"/>
      <c r="DUS611" s="268"/>
      <c r="DUT611" s="268"/>
      <c r="DUU611" s="268"/>
      <c r="DUV611" s="268"/>
      <c r="DUW611" s="268"/>
      <c r="DUX611" s="268"/>
      <c r="DUY611" s="268"/>
      <c r="DUZ611" s="268"/>
      <c r="DVA611" s="268"/>
      <c r="DVB611" s="268"/>
      <c r="DVC611" s="268"/>
      <c r="DVD611" s="268"/>
      <c r="DVE611" s="268"/>
      <c r="DVF611" s="268"/>
      <c r="DVG611" s="268"/>
      <c r="DVH611" s="268"/>
      <c r="DVI611" s="268"/>
      <c r="DVJ611" s="268"/>
      <c r="DVK611" s="268"/>
      <c r="DVL611" s="268"/>
      <c r="DVM611" s="268"/>
      <c r="DVN611" s="268"/>
      <c r="DVO611" s="268"/>
      <c r="DVP611" s="268"/>
      <c r="DVQ611" s="268"/>
      <c r="DVR611" s="268"/>
      <c r="DVS611" s="268"/>
      <c r="DVT611" s="268"/>
      <c r="DVU611" s="268"/>
      <c r="DVV611" s="268"/>
      <c r="DVW611" s="268"/>
      <c r="DVX611" s="268"/>
      <c r="DVY611" s="268"/>
      <c r="DVZ611" s="268"/>
      <c r="DWA611" s="268"/>
      <c r="DWB611" s="268"/>
      <c r="DWC611" s="268"/>
      <c r="DWD611" s="268"/>
      <c r="DWE611" s="268"/>
      <c r="DWF611" s="268"/>
      <c r="DWG611" s="268"/>
      <c r="DWH611" s="268"/>
      <c r="DWI611" s="268"/>
      <c r="DWJ611" s="268"/>
      <c r="DWK611" s="268"/>
      <c r="DWL611" s="268"/>
      <c r="DWM611" s="268"/>
      <c r="DWN611" s="268"/>
      <c r="DWO611" s="268"/>
      <c r="DWP611" s="268"/>
      <c r="DWQ611" s="268"/>
      <c r="DXE611" s="268"/>
      <c r="DXF611" s="268"/>
      <c r="DXG611" s="268"/>
      <c r="DXU611" s="268"/>
      <c r="DXW611" s="268"/>
      <c r="DXX611" s="268"/>
      <c r="DXY611" s="268"/>
      <c r="DXZ611" s="268"/>
      <c r="DYA611" s="268"/>
      <c r="DYB611" s="268"/>
      <c r="DYC611" s="268"/>
      <c r="DYD611" s="268"/>
      <c r="DYE611" s="268"/>
      <c r="DYF611" s="268"/>
      <c r="DYG611" s="268"/>
      <c r="DYH611" s="268"/>
      <c r="DYI611" s="268"/>
      <c r="DYJ611" s="268"/>
      <c r="DYK611" s="268"/>
      <c r="DYL611" s="268"/>
      <c r="DYM611" s="268"/>
      <c r="DYN611" s="268"/>
      <c r="DYO611" s="268"/>
      <c r="DYP611" s="268"/>
      <c r="DYQ611" s="268"/>
      <c r="DYR611" s="268"/>
      <c r="DYS611" s="268"/>
      <c r="DYT611" s="268"/>
      <c r="DYU611" s="268"/>
      <c r="DYV611" s="268"/>
      <c r="DYW611" s="268"/>
      <c r="DYX611" s="268"/>
      <c r="DYY611" s="268"/>
      <c r="DYZ611" s="268"/>
      <c r="DZA611" s="268"/>
      <c r="DZB611" s="268"/>
      <c r="DZC611" s="268"/>
      <c r="DZD611" s="268"/>
      <c r="DZE611" s="268"/>
      <c r="DZF611" s="268"/>
      <c r="DZG611" s="268"/>
      <c r="DZH611" s="268"/>
      <c r="DZI611" s="268"/>
      <c r="DZJ611" s="268"/>
      <c r="DZK611" s="268"/>
      <c r="DZL611" s="268"/>
      <c r="DZM611" s="268"/>
      <c r="DZN611" s="268"/>
      <c r="DZO611" s="268"/>
      <c r="DZP611" s="268"/>
      <c r="DZQ611" s="268"/>
      <c r="DZR611" s="268"/>
      <c r="DZS611" s="268"/>
      <c r="DZT611" s="268"/>
      <c r="DZU611" s="268"/>
      <c r="DZV611" s="268"/>
      <c r="DZW611" s="268"/>
      <c r="DZX611" s="268"/>
      <c r="DZY611" s="268"/>
      <c r="DZZ611" s="268"/>
      <c r="EAA611" s="268"/>
      <c r="EAB611" s="268"/>
      <c r="EAC611" s="268"/>
      <c r="EAD611" s="268"/>
      <c r="EAE611" s="268"/>
      <c r="EAF611" s="268"/>
      <c r="EAG611" s="268"/>
      <c r="EAH611" s="268"/>
      <c r="EAI611" s="268"/>
      <c r="EAJ611" s="268"/>
      <c r="EAK611" s="268"/>
      <c r="EAL611" s="268"/>
      <c r="EAM611" s="268"/>
      <c r="EAN611" s="268"/>
      <c r="EAO611" s="268"/>
      <c r="EAP611" s="268"/>
      <c r="EAQ611" s="268"/>
      <c r="EAR611" s="268"/>
      <c r="EAS611" s="268"/>
      <c r="EAT611" s="268"/>
      <c r="EAU611" s="268"/>
      <c r="EAV611" s="268"/>
      <c r="EAW611" s="268"/>
      <c r="EAX611" s="268"/>
      <c r="EAY611" s="268"/>
      <c r="EAZ611" s="268"/>
      <c r="EBA611" s="268"/>
      <c r="EBB611" s="268"/>
      <c r="EBC611" s="268"/>
      <c r="EBD611" s="268"/>
      <c r="EBE611" s="268"/>
      <c r="EBF611" s="268"/>
      <c r="EBG611" s="268"/>
      <c r="EBH611" s="268"/>
      <c r="EBI611" s="268"/>
      <c r="EBJ611" s="268"/>
      <c r="EBK611" s="268"/>
      <c r="EBL611" s="268"/>
      <c r="EBM611" s="268"/>
      <c r="EBN611" s="268"/>
      <c r="EBO611" s="268"/>
      <c r="EBP611" s="268"/>
      <c r="EBQ611" s="268"/>
      <c r="EBR611" s="268"/>
      <c r="EBS611" s="268"/>
      <c r="EBT611" s="268"/>
      <c r="EBU611" s="268"/>
      <c r="EBV611" s="268"/>
      <c r="EBW611" s="268"/>
      <c r="EBX611" s="268"/>
      <c r="EBY611" s="268"/>
      <c r="EBZ611" s="268"/>
      <c r="ECA611" s="268"/>
      <c r="ECB611" s="268"/>
      <c r="ECC611" s="268"/>
      <c r="ECD611" s="268"/>
      <c r="ECE611" s="268"/>
      <c r="ECF611" s="268"/>
      <c r="ECG611" s="268"/>
      <c r="ECH611" s="268"/>
      <c r="ECI611" s="268"/>
      <c r="ECJ611" s="268"/>
      <c r="ECK611" s="268"/>
      <c r="ECL611" s="268"/>
      <c r="ECM611" s="268"/>
      <c r="ECN611" s="268"/>
      <c r="ECO611" s="268"/>
      <c r="ECP611" s="268"/>
      <c r="ECQ611" s="268"/>
      <c r="ECR611" s="268"/>
      <c r="ECS611" s="268"/>
      <c r="ECT611" s="268"/>
      <c r="ECU611" s="268"/>
      <c r="ECV611" s="268"/>
      <c r="ECW611" s="268"/>
      <c r="ECX611" s="268"/>
      <c r="ECY611" s="268"/>
      <c r="ECZ611" s="268"/>
      <c r="EDA611" s="268"/>
      <c r="EDB611" s="268"/>
      <c r="EDC611" s="268"/>
      <c r="EDD611" s="268"/>
      <c r="EDE611" s="268"/>
      <c r="EDF611" s="268"/>
      <c r="EDG611" s="268"/>
      <c r="EDH611" s="268"/>
      <c r="EDI611" s="268"/>
      <c r="EDJ611" s="268"/>
      <c r="EDK611" s="268"/>
      <c r="EDL611" s="268"/>
      <c r="EDM611" s="268"/>
      <c r="EDN611" s="268"/>
      <c r="EDO611" s="268"/>
      <c r="EDP611" s="268"/>
      <c r="EDQ611" s="268"/>
      <c r="EDR611" s="268"/>
      <c r="EDS611" s="268"/>
      <c r="EDT611" s="268"/>
      <c r="EDU611" s="268"/>
      <c r="EDV611" s="268"/>
      <c r="EDW611" s="268"/>
      <c r="EDX611" s="268"/>
      <c r="EDY611" s="268"/>
      <c r="EDZ611" s="268"/>
      <c r="EEA611" s="268"/>
      <c r="EEB611" s="268"/>
      <c r="EEC611" s="268"/>
      <c r="EED611" s="268"/>
      <c r="EEE611" s="268"/>
      <c r="EEF611" s="268"/>
      <c r="EEG611" s="268"/>
      <c r="EEH611" s="268"/>
      <c r="EEI611" s="268"/>
      <c r="EEJ611" s="268"/>
      <c r="EEK611" s="268"/>
      <c r="EEL611" s="268"/>
      <c r="EEM611" s="268"/>
      <c r="EEN611" s="268"/>
      <c r="EEO611" s="268"/>
      <c r="EEP611" s="268"/>
      <c r="EEQ611" s="268"/>
      <c r="EER611" s="268"/>
      <c r="EES611" s="268"/>
      <c r="EET611" s="268"/>
      <c r="EEU611" s="268"/>
      <c r="EEV611" s="268"/>
      <c r="EEW611" s="268"/>
      <c r="EEX611" s="268"/>
      <c r="EEY611" s="268"/>
      <c r="EEZ611" s="268"/>
      <c r="EFA611" s="268"/>
      <c r="EFB611" s="268"/>
      <c r="EFC611" s="268"/>
      <c r="EFD611" s="268"/>
      <c r="EFE611" s="268"/>
      <c r="EFF611" s="268"/>
      <c r="EFG611" s="268"/>
      <c r="EFH611" s="268"/>
      <c r="EFI611" s="268"/>
      <c r="EFJ611" s="268"/>
      <c r="EFK611" s="268"/>
      <c r="EFL611" s="268"/>
      <c r="EFM611" s="268"/>
      <c r="EFN611" s="268"/>
      <c r="EFO611" s="268"/>
      <c r="EFP611" s="268"/>
      <c r="EFQ611" s="268"/>
      <c r="EFR611" s="268"/>
      <c r="EFS611" s="268"/>
      <c r="EFT611" s="268"/>
      <c r="EFU611" s="268"/>
      <c r="EFV611" s="268"/>
      <c r="EFW611" s="268"/>
      <c r="EFX611" s="268"/>
      <c r="EFY611" s="268"/>
      <c r="EFZ611" s="268"/>
      <c r="EGA611" s="268"/>
      <c r="EGB611" s="268"/>
      <c r="EGC611" s="268"/>
      <c r="EGD611" s="268"/>
      <c r="EGE611" s="268"/>
      <c r="EGF611" s="268"/>
      <c r="EGG611" s="268"/>
      <c r="EGH611" s="268"/>
      <c r="EGI611" s="268"/>
      <c r="EGJ611" s="268"/>
      <c r="EGK611" s="268"/>
      <c r="EGL611" s="268"/>
      <c r="EGM611" s="268"/>
      <c r="EHA611" s="268"/>
      <c r="EHB611" s="268"/>
      <c r="EHC611" s="268"/>
      <c r="EHQ611" s="268"/>
      <c r="EHS611" s="268"/>
      <c r="EHT611" s="268"/>
      <c r="EHU611" s="268"/>
      <c r="EHV611" s="268"/>
      <c r="EHW611" s="268"/>
      <c r="EHX611" s="268"/>
      <c r="EHY611" s="268"/>
      <c r="EHZ611" s="268"/>
      <c r="EIA611" s="268"/>
      <c r="EIB611" s="268"/>
      <c r="EIC611" s="268"/>
      <c r="EID611" s="268"/>
      <c r="EIE611" s="268"/>
      <c r="EIF611" s="268"/>
      <c r="EIG611" s="268"/>
      <c r="EIH611" s="268"/>
      <c r="EII611" s="268"/>
      <c r="EIJ611" s="268"/>
      <c r="EIK611" s="268"/>
      <c r="EIL611" s="268"/>
      <c r="EIM611" s="268"/>
      <c r="EIN611" s="268"/>
      <c r="EIO611" s="268"/>
      <c r="EIP611" s="268"/>
      <c r="EIQ611" s="268"/>
      <c r="EIR611" s="268"/>
      <c r="EIS611" s="268"/>
      <c r="EIT611" s="268"/>
      <c r="EIU611" s="268"/>
      <c r="EIV611" s="268"/>
      <c r="EIW611" s="268"/>
      <c r="EIX611" s="268"/>
      <c r="EIY611" s="268"/>
      <c r="EIZ611" s="268"/>
      <c r="EJA611" s="268"/>
      <c r="EJB611" s="268"/>
      <c r="EJC611" s="268"/>
      <c r="EJD611" s="268"/>
      <c r="EJE611" s="268"/>
      <c r="EJF611" s="268"/>
      <c r="EJG611" s="268"/>
      <c r="EJH611" s="268"/>
      <c r="EJI611" s="268"/>
      <c r="EJJ611" s="268"/>
      <c r="EJK611" s="268"/>
      <c r="EJL611" s="268"/>
      <c r="EJM611" s="268"/>
      <c r="EJN611" s="268"/>
      <c r="EJO611" s="268"/>
      <c r="EJP611" s="268"/>
      <c r="EJQ611" s="268"/>
      <c r="EJR611" s="268"/>
      <c r="EJS611" s="268"/>
      <c r="EJT611" s="268"/>
      <c r="EJU611" s="268"/>
      <c r="EJV611" s="268"/>
      <c r="EJW611" s="268"/>
      <c r="EJX611" s="268"/>
      <c r="EJY611" s="268"/>
      <c r="EJZ611" s="268"/>
      <c r="EKA611" s="268"/>
      <c r="EKB611" s="268"/>
      <c r="EKC611" s="268"/>
      <c r="EKD611" s="268"/>
      <c r="EKE611" s="268"/>
      <c r="EKF611" s="268"/>
      <c r="EKG611" s="268"/>
      <c r="EKH611" s="268"/>
      <c r="EKI611" s="268"/>
      <c r="EKJ611" s="268"/>
      <c r="EKK611" s="268"/>
      <c r="EKL611" s="268"/>
      <c r="EKM611" s="268"/>
      <c r="EKN611" s="268"/>
      <c r="EKO611" s="268"/>
      <c r="EKP611" s="268"/>
      <c r="EKQ611" s="268"/>
      <c r="EKR611" s="268"/>
      <c r="EKS611" s="268"/>
      <c r="EKT611" s="268"/>
      <c r="EKU611" s="268"/>
      <c r="EKV611" s="268"/>
      <c r="EKW611" s="268"/>
      <c r="EKX611" s="268"/>
      <c r="EKY611" s="268"/>
      <c r="EKZ611" s="268"/>
      <c r="ELA611" s="268"/>
      <c r="ELB611" s="268"/>
      <c r="ELC611" s="268"/>
      <c r="ELD611" s="268"/>
      <c r="ELE611" s="268"/>
      <c r="ELF611" s="268"/>
      <c r="ELG611" s="268"/>
      <c r="ELH611" s="268"/>
      <c r="ELI611" s="268"/>
      <c r="ELJ611" s="268"/>
      <c r="ELK611" s="268"/>
      <c r="ELL611" s="268"/>
      <c r="ELM611" s="268"/>
      <c r="ELN611" s="268"/>
      <c r="ELO611" s="268"/>
      <c r="ELP611" s="268"/>
      <c r="ELQ611" s="268"/>
      <c r="ELR611" s="268"/>
      <c r="ELS611" s="268"/>
      <c r="ELT611" s="268"/>
      <c r="ELU611" s="268"/>
      <c r="ELV611" s="268"/>
      <c r="ELW611" s="268"/>
      <c r="ELX611" s="268"/>
      <c r="ELY611" s="268"/>
      <c r="ELZ611" s="268"/>
      <c r="EMA611" s="268"/>
      <c r="EMB611" s="268"/>
      <c r="EMC611" s="268"/>
      <c r="EMD611" s="268"/>
      <c r="EME611" s="268"/>
      <c r="EMF611" s="268"/>
      <c r="EMG611" s="268"/>
      <c r="EMH611" s="268"/>
      <c r="EMI611" s="268"/>
      <c r="EMJ611" s="268"/>
      <c r="EMK611" s="268"/>
      <c r="EML611" s="268"/>
      <c r="EMM611" s="268"/>
      <c r="EMN611" s="268"/>
      <c r="EMO611" s="268"/>
      <c r="EMP611" s="268"/>
      <c r="EMQ611" s="268"/>
      <c r="EMR611" s="268"/>
      <c r="EMS611" s="268"/>
      <c r="EMT611" s="268"/>
      <c r="EMU611" s="268"/>
      <c r="EMV611" s="268"/>
      <c r="EMW611" s="268"/>
      <c r="EMX611" s="268"/>
      <c r="EMY611" s="268"/>
      <c r="EMZ611" s="268"/>
      <c r="ENA611" s="268"/>
      <c r="ENB611" s="268"/>
      <c r="ENC611" s="268"/>
      <c r="END611" s="268"/>
      <c r="ENE611" s="268"/>
      <c r="ENF611" s="268"/>
      <c r="ENG611" s="268"/>
      <c r="ENH611" s="268"/>
      <c r="ENI611" s="268"/>
      <c r="ENJ611" s="268"/>
      <c r="ENK611" s="268"/>
      <c r="ENL611" s="268"/>
      <c r="ENM611" s="268"/>
      <c r="ENN611" s="268"/>
      <c r="ENO611" s="268"/>
      <c r="ENP611" s="268"/>
      <c r="ENQ611" s="268"/>
      <c r="ENR611" s="268"/>
      <c r="ENS611" s="268"/>
      <c r="ENT611" s="268"/>
      <c r="ENU611" s="268"/>
      <c r="ENV611" s="268"/>
      <c r="ENW611" s="268"/>
      <c r="ENX611" s="268"/>
      <c r="ENY611" s="268"/>
      <c r="ENZ611" s="268"/>
      <c r="EOA611" s="268"/>
      <c r="EOB611" s="268"/>
      <c r="EOC611" s="268"/>
      <c r="EOD611" s="268"/>
      <c r="EOE611" s="268"/>
      <c r="EOF611" s="268"/>
      <c r="EOG611" s="268"/>
      <c r="EOH611" s="268"/>
      <c r="EOI611" s="268"/>
      <c r="EOJ611" s="268"/>
      <c r="EOK611" s="268"/>
      <c r="EOL611" s="268"/>
      <c r="EOM611" s="268"/>
      <c r="EON611" s="268"/>
      <c r="EOO611" s="268"/>
      <c r="EOP611" s="268"/>
      <c r="EOQ611" s="268"/>
      <c r="EOR611" s="268"/>
      <c r="EOS611" s="268"/>
      <c r="EOT611" s="268"/>
      <c r="EOU611" s="268"/>
      <c r="EOV611" s="268"/>
      <c r="EOW611" s="268"/>
      <c r="EOX611" s="268"/>
      <c r="EOY611" s="268"/>
      <c r="EOZ611" s="268"/>
      <c r="EPA611" s="268"/>
      <c r="EPB611" s="268"/>
      <c r="EPC611" s="268"/>
      <c r="EPD611" s="268"/>
      <c r="EPE611" s="268"/>
      <c r="EPF611" s="268"/>
      <c r="EPG611" s="268"/>
      <c r="EPH611" s="268"/>
      <c r="EPI611" s="268"/>
      <c r="EPJ611" s="268"/>
      <c r="EPK611" s="268"/>
      <c r="EPL611" s="268"/>
      <c r="EPM611" s="268"/>
      <c r="EPN611" s="268"/>
      <c r="EPO611" s="268"/>
      <c r="EPP611" s="268"/>
      <c r="EPQ611" s="268"/>
      <c r="EPR611" s="268"/>
      <c r="EPS611" s="268"/>
      <c r="EPT611" s="268"/>
      <c r="EPU611" s="268"/>
      <c r="EPV611" s="268"/>
      <c r="EPW611" s="268"/>
      <c r="EPX611" s="268"/>
      <c r="EPY611" s="268"/>
      <c r="EPZ611" s="268"/>
      <c r="EQA611" s="268"/>
      <c r="EQB611" s="268"/>
      <c r="EQC611" s="268"/>
      <c r="EQD611" s="268"/>
      <c r="EQE611" s="268"/>
      <c r="EQF611" s="268"/>
      <c r="EQG611" s="268"/>
      <c r="EQH611" s="268"/>
      <c r="EQI611" s="268"/>
      <c r="EQW611" s="268"/>
      <c r="EQX611" s="268"/>
      <c r="EQY611" s="268"/>
      <c r="ERM611" s="268"/>
      <c r="ERO611" s="268"/>
      <c r="ERP611" s="268"/>
      <c r="ERQ611" s="268"/>
      <c r="ERR611" s="268"/>
      <c r="ERS611" s="268"/>
      <c r="ERT611" s="268"/>
      <c r="ERU611" s="268"/>
      <c r="ERV611" s="268"/>
      <c r="ERW611" s="268"/>
      <c r="ERX611" s="268"/>
      <c r="ERY611" s="268"/>
      <c r="ERZ611" s="268"/>
      <c r="ESA611" s="268"/>
      <c r="ESB611" s="268"/>
      <c r="ESC611" s="268"/>
      <c r="ESD611" s="268"/>
      <c r="ESE611" s="268"/>
      <c r="ESF611" s="268"/>
      <c r="ESG611" s="268"/>
      <c r="ESH611" s="268"/>
      <c r="ESI611" s="268"/>
      <c r="ESJ611" s="268"/>
      <c r="ESK611" s="268"/>
      <c r="ESL611" s="268"/>
      <c r="ESM611" s="268"/>
      <c r="ESN611" s="268"/>
      <c r="ESO611" s="268"/>
      <c r="ESP611" s="268"/>
      <c r="ESQ611" s="268"/>
      <c r="ESR611" s="268"/>
      <c r="ESS611" s="268"/>
      <c r="EST611" s="268"/>
      <c r="ESU611" s="268"/>
      <c r="ESV611" s="268"/>
      <c r="ESW611" s="268"/>
      <c r="ESX611" s="268"/>
      <c r="ESY611" s="268"/>
      <c r="ESZ611" s="268"/>
      <c r="ETA611" s="268"/>
      <c r="ETB611" s="268"/>
      <c r="ETC611" s="268"/>
      <c r="ETD611" s="268"/>
      <c r="ETE611" s="268"/>
      <c r="ETF611" s="268"/>
      <c r="ETG611" s="268"/>
      <c r="ETH611" s="268"/>
      <c r="ETI611" s="268"/>
      <c r="ETJ611" s="268"/>
      <c r="ETK611" s="268"/>
      <c r="ETL611" s="268"/>
      <c r="ETM611" s="268"/>
      <c r="ETN611" s="268"/>
      <c r="ETO611" s="268"/>
      <c r="ETP611" s="268"/>
      <c r="ETQ611" s="268"/>
      <c r="ETR611" s="268"/>
      <c r="ETS611" s="268"/>
      <c r="ETT611" s="268"/>
      <c r="ETU611" s="268"/>
      <c r="ETV611" s="268"/>
      <c r="ETW611" s="268"/>
      <c r="ETX611" s="268"/>
      <c r="ETY611" s="268"/>
      <c r="ETZ611" s="268"/>
      <c r="EUA611" s="268"/>
      <c r="EUB611" s="268"/>
      <c r="EUC611" s="268"/>
      <c r="EUD611" s="268"/>
      <c r="EUE611" s="268"/>
      <c r="EUF611" s="268"/>
      <c r="EUG611" s="268"/>
      <c r="EUH611" s="268"/>
      <c r="EUI611" s="268"/>
      <c r="EUJ611" s="268"/>
      <c r="EUK611" s="268"/>
      <c r="EUL611" s="268"/>
      <c r="EUM611" s="268"/>
      <c r="EUN611" s="268"/>
      <c r="EUO611" s="268"/>
      <c r="EUP611" s="268"/>
      <c r="EUQ611" s="268"/>
      <c r="EUR611" s="268"/>
      <c r="EUS611" s="268"/>
      <c r="EUT611" s="268"/>
      <c r="EUU611" s="268"/>
      <c r="EUV611" s="268"/>
      <c r="EUW611" s="268"/>
      <c r="EUX611" s="268"/>
      <c r="EUY611" s="268"/>
      <c r="EUZ611" s="268"/>
      <c r="EVA611" s="268"/>
      <c r="EVB611" s="268"/>
      <c r="EVC611" s="268"/>
      <c r="EVD611" s="268"/>
      <c r="EVE611" s="268"/>
      <c r="EVF611" s="268"/>
      <c r="EVG611" s="268"/>
      <c r="EVH611" s="268"/>
      <c r="EVI611" s="268"/>
      <c r="EVJ611" s="268"/>
      <c r="EVK611" s="268"/>
      <c r="EVL611" s="268"/>
      <c r="EVM611" s="268"/>
      <c r="EVN611" s="268"/>
      <c r="EVO611" s="268"/>
      <c r="EVP611" s="268"/>
      <c r="EVQ611" s="268"/>
      <c r="EVR611" s="268"/>
      <c r="EVS611" s="268"/>
      <c r="EVT611" s="268"/>
      <c r="EVU611" s="268"/>
      <c r="EVV611" s="268"/>
      <c r="EVW611" s="268"/>
      <c r="EVX611" s="268"/>
      <c r="EVY611" s="268"/>
      <c r="EVZ611" s="268"/>
      <c r="EWA611" s="268"/>
      <c r="EWB611" s="268"/>
      <c r="EWC611" s="268"/>
      <c r="EWD611" s="268"/>
      <c r="EWE611" s="268"/>
      <c r="EWF611" s="268"/>
      <c r="EWG611" s="268"/>
      <c r="EWH611" s="268"/>
      <c r="EWI611" s="268"/>
      <c r="EWJ611" s="268"/>
      <c r="EWK611" s="268"/>
      <c r="EWL611" s="268"/>
      <c r="EWM611" s="268"/>
      <c r="EWN611" s="268"/>
      <c r="EWO611" s="268"/>
      <c r="EWP611" s="268"/>
      <c r="EWQ611" s="268"/>
      <c r="EWR611" s="268"/>
      <c r="EWS611" s="268"/>
      <c r="EWT611" s="268"/>
      <c r="EWU611" s="268"/>
      <c r="EWV611" s="268"/>
      <c r="EWW611" s="268"/>
      <c r="EWX611" s="268"/>
      <c r="EWY611" s="268"/>
      <c r="EWZ611" s="268"/>
      <c r="EXA611" s="268"/>
      <c r="EXB611" s="268"/>
      <c r="EXC611" s="268"/>
      <c r="EXD611" s="268"/>
      <c r="EXE611" s="268"/>
      <c r="EXF611" s="268"/>
      <c r="EXG611" s="268"/>
      <c r="EXH611" s="268"/>
      <c r="EXI611" s="268"/>
      <c r="EXJ611" s="268"/>
      <c r="EXK611" s="268"/>
      <c r="EXL611" s="268"/>
      <c r="EXM611" s="268"/>
      <c r="EXN611" s="268"/>
      <c r="EXO611" s="268"/>
      <c r="EXP611" s="268"/>
      <c r="EXQ611" s="268"/>
      <c r="EXR611" s="268"/>
      <c r="EXS611" s="268"/>
      <c r="EXT611" s="268"/>
      <c r="EXU611" s="268"/>
      <c r="EXV611" s="268"/>
      <c r="EXW611" s="268"/>
      <c r="EXX611" s="268"/>
      <c r="EXY611" s="268"/>
      <c r="EXZ611" s="268"/>
      <c r="EYA611" s="268"/>
      <c r="EYB611" s="268"/>
      <c r="EYC611" s="268"/>
      <c r="EYD611" s="268"/>
      <c r="EYE611" s="268"/>
      <c r="EYF611" s="268"/>
      <c r="EYG611" s="268"/>
      <c r="EYH611" s="268"/>
      <c r="EYI611" s="268"/>
      <c r="EYJ611" s="268"/>
      <c r="EYK611" s="268"/>
      <c r="EYL611" s="268"/>
      <c r="EYM611" s="268"/>
      <c r="EYN611" s="268"/>
      <c r="EYO611" s="268"/>
      <c r="EYP611" s="268"/>
      <c r="EYQ611" s="268"/>
      <c r="EYR611" s="268"/>
      <c r="EYS611" s="268"/>
      <c r="EYT611" s="268"/>
      <c r="EYU611" s="268"/>
      <c r="EYV611" s="268"/>
      <c r="EYW611" s="268"/>
      <c r="EYX611" s="268"/>
      <c r="EYY611" s="268"/>
      <c r="EYZ611" s="268"/>
      <c r="EZA611" s="268"/>
      <c r="EZB611" s="268"/>
      <c r="EZC611" s="268"/>
      <c r="EZD611" s="268"/>
      <c r="EZE611" s="268"/>
      <c r="EZF611" s="268"/>
      <c r="EZG611" s="268"/>
      <c r="EZH611" s="268"/>
      <c r="EZI611" s="268"/>
      <c r="EZJ611" s="268"/>
      <c r="EZK611" s="268"/>
      <c r="EZL611" s="268"/>
      <c r="EZM611" s="268"/>
      <c r="EZN611" s="268"/>
      <c r="EZO611" s="268"/>
      <c r="EZP611" s="268"/>
      <c r="EZQ611" s="268"/>
      <c r="EZR611" s="268"/>
      <c r="EZS611" s="268"/>
      <c r="EZT611" s="268"/>
      <c r="EZU611" s="268"/>
      <c r="EZV611" s="268"/>
      <c r="EZW611" s="268"/>
      <c r="EZX611" s="268"/>
      <c r="EZY611" s="268"/>
      <c r="EZZ611" s="268"/>
      <c r="FAA611" s="268"/>
      <c r="FAB611" s="268"/>
      <c r="FAC611" s="268"/>
      <c r="FAD611" s="268"/>
      <c r="FAE611" s="268"/>
      <c r="FAS611" s="268"/>
      <c r="FAT611" s="268"/>
      <c r="FAU611" s="268"/>
      <c r="FBI611" s="268"/>
      <c r="FBK611" s="268"/>
      <c r="FBL611" s="268"/>
      <c r="FBM611" s="268"/>
      <c r="FBN611" s="268"/>
      <c r="FBO611" s="268"/>
      <c r="FBP611" s="268"/>
      <c r="FBQ611" s="268"/>
      <c r="FBR611" s="268"/>
      <c r="FBS611" s="268"/>
      <c r="FBT611" s="268"/>
      <c r="FBU611" s="268"/>
      <c r="FBV611" s="268"/>
      <c r="FBW611" s="268"/>
      <c r="FBX611" s="268"/>
      <c r="FBY611" s="268"/>
      <c r="FBZ611" s="268"/>
      <c r="FCA611" s="268"/>
      <c r="FCB611" s="268"/>
      <c r="FCC611" s="268"/>
      <c r="FCD611" s="268"/>
      <c r="FCE611" s="268"/>
      <c r="FCF611" s="268"/>
      <c r="FCG611" s="268"/>
      <c r="FCH611" s="268"/>
      <c r="FCI611" s="268"/>
      <c r="FCJ611" s="268"/>
      <c r="FCK611" s="268"/>
      <c r="FCL611" s="268"/>
      <c r="FCM611" s="268"/>
      <c r="FCN611" s="268"/>
      <c r="FCO611" s="268"/>
      <c r="FCP611" s="268"/>
      <c r="FCQ611" s="268"/>
      <c r="FCR611" s="268"/>
      <c r="FCS611" s="268"/>
      <c r="FCT611" s="268"/>
      <c r="FCU611" s="268"/>
      <c r="FCV611" s="268"/>
      <c r="FCW611" s="268"/>
      <c r="FCX611" s="268"/>
      <c r="FCY611" s="268"/>
      <c r="FCZ611" s="268"/>
      <c r="FDA611" s="268"/>
      <c r="FDB611" s="268"/>
      <c r="FDC611" s="268"/>
      <c r="FDD611" s="268"/>
      <c r="FDE611" s="268"/>
      <c r="FDF611" s="268"/>
      <c r="FDG611" s="268"/>
      <c r="FDH611" s="268"/>
      <c r="FDI611" s="268"/>
      <c r="FDJ611" s="268"/>
      <c r="FDK611" s="268"/>
      <c r="FDL611" s="268"/>
      <c r="FDM611" s="268"/>
      <c r="FDN611" s="268"/>
      <c r="FDO611" s="268"/>
      <c r="FDP611" s="268"/>
      <c r="FDQ611" s="268"/>
      <c r="FDR611" s="268"/>
      <c r="FDS611" s="268"/>
      <c r="FDT611" s="268"/>
      <c r="FDU611" s="268"/>
      <c r="FDV611" s="268"/>
      <c r="FDW611" s="268"/>
      <c r="FDX611" s="268"/>
      <c r="FDY611" s="268"/>
      <c r="FDZ611" s="268"/>
      <c r="FEA611" s="268"/>
      <c r="FEB611" s="268"/>
      <c r="FEC611" s="268"/>
      <c r="FED611" s="268"/>
      <c r="FEE611" s="268"/>
      <c r="FEF611" s="268"/>
      <c r="FEG611" s="268"/>
      <c r="FEH611" s="268"/>
      <c r="FEI611" s="268"/>
      <c r="FEJ611" s="268"/>
      <c r="FEK611" s="268"/>
      <c r="FEL611" s="268"/>
      <c r="FEM611" s="268"/>
      <c r="FEN611" s="268"/>
      <c r="FEO611" s="268"/>
      <c r="FEP611" s="268"/>
      <c r="FEQ611" s="268"/>
      <c r="FER611" s="268"/>
      <c r="FES611" s="268"/>
      <c r="FET611" s="268"/>
      <c r="FEU611" s="268"/>
      <c r="FEV611" s="268"/>
      <c r="FEW611" s="268"/>
      <c r="FEX611" s="268"/>
      <c r="FEY611" s="268"/>
      <c r="FEZ611" s="268"/>
      <c r="FFA611" s="268"/>
      <c r="FFB611" s="268"/>
      <c r="FFC611" s="268"/>
      <c r="FFD611" s="268"/>
      <c r="FFE611" s="268"/>
      <c r="FFF611" s="268"/>
      <c r="FFG611" s="268"/>
      <c r="FFH611" s="268"/>
      <c r="FFI611" s="268"/>
      <c r="FFJ611" s="268"/>
      <c r="FFK611" s="268"/>
      <c r="FFL611" s="268"/>
      <c r="FFM611" s="268"/>
      <c r="FFN611" s="268"/>
      <c r="FFO611" s="268"/>
      <c r="FFP611" s="268"/>
      <c r="FFQ611" s="268"/>
      <c r="FFR611" s="268"/>
      <c r="FFS611" s="268"/>
      <c r="FFT611" s="268"/>
      <c r="FFU611" s="268"/>
      <c r="FFV611" s="268"/>
      <c r="FFW611" s="268"/>
      <c r="FFX611" s="268"/>
      <c r="FFY611" s="268"/>
      <c r="FFZ611" s="268"/>
      <c r="FGA611" s="268"/>
      <c r="FGB611" s="268"/>
      <c r="FGC611" s="268"/>
      <c r="FGD611" s="268"/>
      <c r="FGE611" s="268"/>
      <c r="FGF611" s="268"/>
      <c r="FGG611" s="268"/>
      <c r="FGH611" s="268"/>
      <c r="FGI611" s="268"/>
      <c r="FGJ611" s="268"/>
      <c r="FGK611" s="268"/>
      <c r="FGL611" s="268"/>
      <c r="FGM611" s="268"/>
      <c r="FGN611" s="268"/>
      <c r="FGO611" s="268"/>
      <c r="FGP611" s="268"/>
      <c r="FGQ611" s="268"/>
      <c r="FGR611" s="268"/>
      <c r="FGS611" s="268"/>
      <c r="FGT611" s="268"/>
      <c r="FGU611" s="268"/>
      <c r="FGV611" s="268"/>
      <c r="FGW611" s="268"/>
      <c r="FGX611" s="268"/>
      <c r="FGY611" s="268"/>
      <c r="FGZ611" s="268"/>
      <c r="FHA611" s="268"/>
      <c r="FHB611" s="268"/>
      <c r="FHC611" s="268"/>
      <c r="FHD611" s="268"/>
      <c r="FHE611" s="268"/>
      <c r="FHF611" s="268"/>
      <c r="FHG611" s="268"/>
      <c r="FHH611" s="268"/>
      <c r="FHI611" s="268"/>
      <c r="FHJ611" s="268"/>
      <c r="FHK611" s="268"/>
      <c r="FHL611" s="268"/>
      <c r="FHM611" s="268"/>
      <c r="FHN611" s="268"/>
      <c r="FHO611" s="268"/>
      <c r="FHP611" s="268"/>
      <c r="FHQ611" s="268"/>
      <c r="FHR611" s="268"/>
      <c r="FHS611" s="268"/>
      <c r="FHT611" s="268"/>
      <c r="FHU611" s="268"/>
      <c r="FHV611" s="268"/>
      <c r="FHW611" s="268"/>
      <c r="FHX611" s="268"/>
      <c r="FHY611" s="268"/>
      <c r="FHZ611" s="268"/>
      <c r="FIA611" s="268"/>
      <c r="FIB611" s="268"/>
      <c r="FIC611" s="268"/>
      <c r="FID611" s="268"/>
      <c r="FIE611" s="268"/>
      <c r="FIF611" s="268"/>
      <c r="FIG611" s="268"/>
      <c r="FIH611" s="268"/>
      <c r="FII611" s="268"/>
      <c r="FIJ611" s="268"/>
      <c r="FIK611" s="268"/>
      <c r="FIL611" s="268"/>
      <c r="FIM611" s="268"/>
      <c r="FIN611" s="268"/>
      <c r="FIO611" s="268"/>
      <c r="FIP611" s="268"/>
      <c r="FIQ611" s="268"/>
      <c r="FIR611" s="268"/>
      <c r="FIS611" s="268"/>
      <c r="FIT611" s="268"/>
      <c r="FIU611" s="268"/>
      <c r="FIV611" s="268"/>
      <c r="FIW611" s="268"/>
      <c r="FIX611" s="268"/>
      <c r="FIY611" s="268"/>
      <c r="FIZ611" s="268"/>
      <c r="FJA611" s="268"/>
      <c r="FJB611" s="268"/>
      <c r="FJC611" s="268"/>
      <c r="FJD611" s="268"/>
      <c r="FJE611" s="268"/>
      <c r="FJF611" s="268"/>
      <c r="FJG611" s="268"/>
      <c r="FJH611" s="268"/>
      <c r="FJI611" s="268"/>
      <c r="FJJ611" s="268"/>
      <c r="FJK611" s="268"/>
      <c r="FJL611" s="268"/>
      <c r="FJM611" s="268"/>
      <c r="FJN611" s="268"/>
      <c r="FJO611" s="268"/>
      <c r="FJP611" s="268"/>
      <c r="FJQ611" s="268"/>
      <c r="FJR611" s="268"/>
      <c r="FJS611" s="268"/>
      <c r="FJT611" s="268"/>
      <c r="FJU611" s="268"/>
      <c r="FJV611" s="268"/>
      <c r="FJW611" s="268"/>
      <c r="FJX611" s="268"/>
      <c r="FJY611" s="268"/>
      <c r="FJZ611" s="268"/>
      <c r="FKA611" s="268"/>
      <c r="FKO611" s="268"/>
      <c r="FKP611" s="268"/>
      <c r="FKQ611" s="268"/>
      <c r="FLE611" s="268"/>
      <c r="FLG611" s="268"/>
      <c r="FLH611" s="268"/>
      <c r="FLI611" s="268"/>
      <c r="FLJ611" s="268"/>
      <c r="FLK611" s="268"/>
      <c r="FLL611" s="268"/>
      <c r="FLM611" s="268"/>
      <c r="FLN611" s="268"/>
      <c r="FLO611" s="268"/>
      <c r="FLP611" s="268"/>
      <c r="FLQ611" s="268"/>
      <c r="FLR611" s="268"/>
      <c r="FLS611" s="268"/>
      <c r="FLT611" s="268"/>
      <c r="FLU611" s="268"/>
      <c r="FLV611" s="268"/>
      <c r="FLW611" s="268"/>
      <c r="FLX611" s="268"/>
      <c r="FLY611" s="268"/>
      <c r="FLZ611" s="268"/>
      <c r="FMA611" s="268"/>
      <c r="FMB611" s="268"/>
      <c r="FMC611" s="268"/>
      <c r="FMD611" s="268"/>
      <c r="FME611" s="268"/>
      <c r="FMF611" s="268"/>
      <c r="FMG611" s="268"/>
      <c r="FMH611" s="268"/>
      <c r="FMI611" s="268"/>
      <c r="FMJ611" s="268"/>
      <c r="FMK611" s="268"/>
      <c r="FML611" s="268"/>
      <c r="FMM611" s="268"/>
      <c r="FMN611" s="268"/>
      <c r="FMO611" s="268"/>
      <c r="FMP611" s="268"/>
      <c r="FMQ611" s="268"/>
      <c r="FMR611" s="268"/>
      <c r="FMS611" s="268"/>
      <c r="FMT611" s="268"/>
      <c r="FMU611" s="268"/>
      <c r="FMV611" s="268"/>
      <c r="FMW611" s="268"/>
      <c r="FMX611" s="268"/>
      <c r="FMY611" s="268"/>
      <c r="FMZ611" s="268"/>
      <c r="FNA611" s="268"/>
      <c r="FNB611" s="268"/>
      <c r="FNC611" s="268"/>
      <c r="FND611" s="268"/>
      <c r="FNE611" s="268"/>
      <c r="FNF611" s="268"/>
      <c r="FNG611" s="268"/>
      <c r="FNH611" s="268"/>
      <c r="FNI611" s="268"/>
      <c r="FNJ611" s="268"/>
      <c r="FNK611" s="268"/>
      <c r="FNL611" s="268"/>
      <c r="FNM611" s="268"/>
      <c r="FNN611" s="268"/>
      <c r="FNO611" s="268"/>
      <c r="FNP611" s="268"/>
      <c r="FNQ611" s="268"/>
      <c r="FNR611" s="268"/>
      <c r="FNS611" s="268"/>
      <c r="FNT611" s="268"/>
      <c r="FNU611" s="268"/>
      <c r="FNV611" s="268"/>
      <c r="FNW611" s="268"/>
      <c r="FNX611" s="268"/>
      <c r="FNY611" s="268"/>
      <c r="FNZ611" s="268"/>
      <c r="FOA611" s="268"/>
      <c r="FOB611" s="268"/>
      <c r="FOC611" s="268"/>
      <c r="FOD611" s="268"/>
      <c r="FOE611" s="268"/>
      <c r="FOF611" s="268"/>
      <c r="FOG611" s="268"/>
      <c r="FOH611" s="268"/>
      <c r="FOI611" s="268"/>
      <c r="FOJ611" s="268"/>
      <c r="FOK611" s="268"/>
      <c r="FOL611" s="268"/>
      <c r="FOM611" s="268"/>
      <c r="FON611" s="268"/>
      <c r="FOO611" s="268"/>
      <c r="FOP611" s="268"/>
      <c r="FOQ611" s="268"/>
      <c r="FOR611" s="268"/>
      <c r="FOS611" s="268"/>
      <c r="FOT611" s="268"/>
      <c r="FOU611" s="268"/>
      <c r="FOV611" s="268"/>
      <c r="FOW611" s="268"/>
      <c r="FOX611" s="268"/>
      <c r="FOY611" s="268"/>
      <c r="FOZ611" s="268"/>
      <c r="FPA611" s="268"/>
      <c r="FPB611" s="268"/>
      <c r="FPC611" s="268"/>
      <c r="FPD611" s="268"/>
      <c r="FPE611" s="268"/>
      <c r="FPF611" s="268"/>
      <c r="FPG611" s="268"/>
      <c r="FPH611" s="268"/>
      <c r="FPI611" s="268"/>
      <c r="FPJ611" s="268"/>
      <c r="FPK611" s="268"/>
      <c r="FPL611" s="268"/>
      <c r="FPM611" s="268"/>
      <c r="FPN611" s="268"/>
      <c r="FPO611" s="268"/>
      <c r="FPP611" s="268"/>
      <c r="FPQ611" s="268"/>
      <c r="FPR611" s="268"/>
      <c r="FPS611" s="268"/>
      <c r="FPT611" s="268"/>
      <c r="FPU611" s="268"/>
      <c r="FPV611" s="268"/>
      <c r="FPW611" s="268"/>
      <c r="FPX611" s="268"/>
      <c r="FPY611" s="268"/>
      <c r="FPZ611" s="268"/>
      <c r="FQA611" s="268"/>
      <c r="FQB611" s="268"/>
      <c r="FQC611" s="268"/>
      <c r="FQD611" s="268"/>
      <c r="FQE611" s="268"/>
      <c r="FQF611" s="268"/>
      <c r="FQG611" s="268"/>
      <c r="FQH611" s="268"/>
      <c r="FQI611" s="268"/>
      <c r="FQJ611" s="268"/>
      <c r="FQK611" s="268"/>
      <c r="FQL611" s="268"/>
      <c r="FQM611" s="268"/>
      <c r="FQN611" s="268"/>
      <c r="FQO611" s="268"/>
      <c r="FQP611" s="268"/>
      <c r="FQQ611" s="268"/>
      <c r="FQR611" s="268"/>
      <c r="FQS611" s="268"/>
      <c r="FQT611" s="268"/>
      <c r="FQU611" s="268"/>
      <c r="FQV611" s="268"/>
      <c r="FQW611" s="268"/>
      <c r="FQX611" s="268"/>
      <c r="FQY611" s="268"/>
      <c r="FQZ611" s="268"/>
      <c r="FRA611" s="268"/>
      <c r="FRB611" s="268"/>
      <c r="FRC611" s="268"/>
      <c r="FRD611" s="268"/>
      <c r="FRE611" s="268"/>
      <c r="FRF611" s="268"/>
      <c r="FRG611" s="268"/>
      <c r="FRH611" s="268"/>
      <c r="FRI611" s="268"/>
      <c r="FRJ611" s="268"/>
      <c r="FRK611" s="268"/>
      <c r="FRL611" s="268"/>
      <c r="FRM611" s="268"/>
      <c r="FRN611" s="268"/>
      <c r="FRO611" s="268"/>
      <c r="FRP611" s="268"/>
      <c r="FRQ611" s="268"/>
      <c r="FRR611" s="268"/>
      <c r="FRS611" s="268"/>
      <c r="FRT611" s="268"/>
      <c r="FRU611" s="268"/>
      <c r="FRV611" s="268"/>
      <c r="FRW611" s="268"/>
      <c r="FRX611" s="268"/>
      <c r="FRY611" s="268"/>
      <c r="FRZ611" s="268"/>
      <c r="FSA611" s="268"/>
      <c r="FSB611" s="268"/>
      <c r="FSC611" s="268"/>
      <c r="FSD611" s="268"/>
      <c r="FSE611" s="268"/>
      <c r="FSF611" s="268"/>
      <c r="FSG611" s="268"/>
      <c r="FSH611" s="268"/>
      <c r="FSI611" s="268"/>
      <c r="FSJ611" s="268"/>
      <c r="FSK611" s="268"/>
      <c r="FSL611" s="268"/>
      <c r="FSM611" s="268"/>
      <c r="FSN611" s="268"/>
      <c r="FSO611" s="268"/>
      <c r="FSP611" s="268"/>
      <c r="FSQ611" s="268"/>
      <c r="FSR611" s="268"/>
      <c r="FSS611" s="268"/>
      <c r="FST611" s="268"/>
      <c r="FSU611" s="268"/>
      <c r="FSV611" s="268"/>
      <c r="FSW611" s="268"/>
      <c r="FSX611" s="268"/>
      <c r="FSY611" s="268"/>
      <c r="FSZ611" s="268"/>
      <c r="FTA611" s="268"/>
      <c r="FTB611" s="268"/>
      <c r="FTC611" s="268"/>
      <c r="FTD611" s="268"/>
      <c r="FTE611" s="268"/>
      <c r="FTF611" s="268"/>
      <c r="FTG611" s="268"/>
      <c r="FTH611" s="268"/>
      <c r="FTI611" s="268"/>
      <c r="FTJ611" s="268"/>
      <c r="FTK611" s="268"/>
      <c r="FTL611" s="268"/>
      <c r="FTM611" s="268"/>
      <c r="FTN611" s="268"/>
      <c r="FTO611" s="268"/>
      <c r="FTP611" s="268"/>
      <c r="FTQ611" s="268"/>
      <c r="FTR611" s="268"/>
      <c r="FTS611" s="268"/>
      <c r="FTT611" s="268"/>
      <c r="FTU611" s="268"/>
      <c r="FTV611" s="268"/>
      <c r="FTW611" s="268"/>
      <c r="FUK611" s="268"/>
      <c r="FUL611" s="268"/>
      <c r="FUM611" s="268"/>
      <c r="FVA611" s="268"/>
      <c r="FVC611" s="268"/>
      <c r="FVD611" s="268"/>
      <c r="FVE611" s="268"/>
      <c r="FVF611" s="268"/>
      <c r="FVG611" s="268"/>
      <c r="FVH611" s="268"/>
      <c r="FVI611" s="268"/>
      <c r="FVJ611" s="268"/>
      <c r="FVK611" s="268"/>
      <c r="FVL611" s="268"/>
      <c r="FVM611" s="268"/>
      <c r="FVN611" s="268"/>
      <c r="FVO611" s="268"/>
      <c r="FVP611" s="268"/>
      <c r="FVQ611" s="268"/>
      <c r="FVR611" s="268"/>
      <c r="FVS611" s="268"/>
      <c r="FVT611" s="268"/>
      <c r="FVU611" s="268"/>
      <c r="FVV611" s="268"/>
      <c r="FVW611" s="268"/>
      <c r="FVX611" s="268"/>
      <c r="FVY611" s="268"/>
      <c r="FVZ611" s="268"/>
      <c r="FWA611" s="268"/>
      <c r="FWB611" s="268"/>
      <c r="FWC611" s="268"/>
      <c r="FWD611" s="268"/>
      <c r="FWE611" s="268"/>
      <c r="FWF611" s="268"/>
      <c r="FWG611" s="268"/>
      <c r="FWH611" s="268"/>
      <c r="FWI611" s="268"/>
      <c r="FWJ611" s="268"/>
      <c r="FWK611" s="268"/>
      <c r="FWL611" s="268"/>
      <c r="FWM611" s="268"/>
      <c r="FWN611" s="268"/>
      <c r="FWO611" s="268"/>
      <c r="FWP611" s="268"/>
      <c r="FWQ611" s="268"/>
      <c r="FWR611" s="268"/>
      <c r="FWS611" s="268"/>
      <c r="FWT611" s="268"/>
      <c r="FWU611" s="268"/>
      <c r="FWV611" s="268"/>
      <c r="FWW611" s="268"/>
      <c r="FWX611" s="268"/>
      <c r="FWY611" s="268"/>
      <c r="FWZ611" s="268"/>
      <c r="FXA611" s="268"/>
      <c r="FXB611" s="268"/>
      <c r="FXC611" s="268"/>
      <c r="FXD611" s="268"/>
      <c r="FXE611" s="268"/>
      <c r="FXF611" s="268"/>
      <c r="FXG611" s="268"/>
      <c r="FXH611" s="268"/>
      <c r="FXI611" s="268"/>
      <c r="FXJ611" s="268"/>
      <c r="FXK611" s="268"/>
      <c r="FXL611" s="268"/>
      <c r="FXM611" s="268"/>
      <c r="FXN611" s="268"/>
      <c r="FXO611" s="268"/>
      <c r="FXP611" s="268"/>
      <c r="FXQ611" s="268"/>
      <c r="FXR611" s="268"/>
      <c r="FXS611" s="268"/>
      <c r="FXT611" s="268"/>
      <c r="FXU611" s="268"/>
      <c r="FXV611" s="268"/>
      <c r="FXW611" s="268"/>
      <c r="FXX611" s="268"/>
      <c r="FXY611" s="268"/>
      <c r="FXZ611" s="268"/>
      <c r="FYA611" s="268"/>
      <c r="FYB611" s="268"/>
      <c r="FYC611" s="268"/>
      <c r="FYD611" s="268"/>
      <c r="FYE611" s="268"/>
      <c r="FYF611" s="268"/>
      <c r="FYG611" s="268"/>
      <c r="FYH611" s="268"/>
      <c r="FYI611" s="268"/>
      <c r="FYJ611" s="268"/>
      <c r="FYK611" s="268"/>
      <c r="FYL611" s="268"/>
      <c r="FYM611" s="268"/>
      <c r="FYN611" s="268"/>
      <c r="FYO611" s="268"/>
      <c r="FYP611" s="268"/>
      <c r="FYQ611" s="268"/>
      <c r="FYR611" s="268"/>
      <c r="FYS611" s="268"/>
      <c r="FYT611" s="268"/>
      <c r="FYU611" s="268"/>
      <c r="FYV611" s="268"/>
      <c r="FYW611" s="268"/>
      <c r="FYX611" s="268"/>
      <c r="FYY611" s="268"/>
      <c r="FYZ611" s="268"/>
      <c r="FZA611" s="268"/>
      <c r="FZB611" s="268"/>
      <c r="FZC611" s="268"/>
      <c r="FZD611" s="268"/>
      <c r="FZE611" s="268"/>
      <c r="FZF611" s="268"/>
      <c r="FZG611" s="268"/>
      <c r="FZH611" s="268"/>
      <c r="FZI611" s="268"/>
      <c r="FZJ611" s="268"/>
      <c r="FZK611" s="268"/>
      <c r="FZL611" s="268"/>
      <c r="FZM611" s="268"/>
      <c r="FZN611" s="268"/>
      <c r="FZO611" s="268"/>
      <c r="FZP611" s="268"/>
      <c r="FZQ611" s="268"/>
      <c r="FZR611" s="268"/>
      <c r="FZS611" s="268"/>
      <c r="FZT611" s="268"/>
      <c r="FZU611" s="268"/>
      <c r="FZV611" s="268"/>
      <c r="FZW611" s="268"/>
      <c r="FZX611" s="268"/>
      <c r="FZY611" s="268"/>
      <c r="FZZ611" s="268"/>
      <c r="GAA611" s="268"/>
      <c r="GAB611" s="268"/>
      <c r="GAC611" s="268"/>
      <c r="GAD611" s="268"/>
      <c r="GAE611" s="268"/>
      <c r="GAF611" s="268"/>
      <c r="GAG611" s="268"/>
      <c r="GAH611" s="268"/>
      <c r="GAI611" s="268"/>
      <c r="GAJ611" s="268"/>
      <c r="GAK611" s="268"/>
      <c r="GAL611" s="268"/>
      <c r="GAM611" s="268"/>
      <c r="GAN611" s="268"/>
      <c r="GAO611" s="268"/>
      <c r="GAP611" s="268"/>
      <c r="GAQ611" s="268"/>
      <c r="GAR611" s="268"/>
      <c r="GAS611" s="268"/>
      <c r="GAT611" s="268"/>
      <c r="GAU611" s="268"/>
      <c r="GAV611" s="268"/>
      <c r="GAW611" s="268"/>
      <c r="GAX611" s="268"/>
      <c r="GAY611" s="268"/>
      <c r="GAZ611" s="268"/>
      <c r="GBA611" s="268"/>
      <c r="GBB611" s="268"/>
      <c r="GBC611" s="268"/>
      <c r="GBD611" s="268"/>
      <c r="GBE611" s="268"/>
      <c r="GBF611" s="268"/>
      <c r="GBG611" s="268"/>
      <c r="GBH611" s="268"/>
      <c r="GBI611" s="268"/>
      <c r="GBJ611" s="268"/>
      <c r="GBK611" s="268"/>
      <c r="GBL611" s="268"/>
      <c r="GBM611" s="268"/>
      <c r="GBN611" s="268"/>
      <c r="GBO611" s="268"/>
      <c r="GBP611" s="268"/>
      <c r="GBQ611" s="268"/>
      <c r="GBR611" s="268"/>
      <c r="GBS611" s="268"/>
      <c r="GBT611" s="268"/>
      <c r="GBU611" s="268"/>
      <c r="GBV611" s="268"/>
      <c r="GBW611" s="268"/>
      <c r="GBX611" s="268"/>
      <c r="GBY611" s="268"/>
      <c r="GBZ611" s="268"/>
      <c r="GCA611" s="268"/>
      <c r="GCB611" s="268"/>
      <c r="GCC611" s="268"/>
      <c r="GCD611" s="268"/>
      <c r="GCE611" s="268"/>
      <c r="GCF611" s="268"/>
      <c r="GCG611" s="268"/>
      <c r="GCH611" s="268"/>
      <c r="GCI611" s="268"/>
      <c r="GCJ611" s="268"/>
      <c r="GCK611" s="268"/>
      <c r="GCL611" s="268"/>
      <c r="GCM611" s="268"/>
      <c r="GCN611" s="268"/>
      <c r="GCO611" s="268"/>
      <c r="GCP611" s="268"/>
      <c r="GCQ611" s="268"/>
      <c r="GCR611" s="268"/>
      <c r="GCS611" s="268"/>
      <c r="GCT611" s="268"/>
      <c r="GCU611" s="268"/>
      <c r="GCV611" s="268"/>
      <c r="GCW611" s="268"/>
      <c r="GCX611" s="268"/>
      <c r="GCY611" s="268"/>
      <c r="GCZ611" s="268"/>
      <c r="GDA611" s="268"/>
      <c r="GDB611" s="268"/>
      <c r="GDC611" s="268"/>
      <c r="GDD611" s="268"/>
      <c r="GDE611" s="268"/>
      <c r="GDF611" s="268"/>
      <c r="GDG611" s="268"/>
      <c r="GDH611" s="268"/>
      <c r="GDI611" s="268"/>
      <c r="GDJ611" s="268"/>
      <c r="GDK611" s="268"/>
      <c r="GDL611" s="268"/>
      <c r="GDM611" s="268"/>
      <c r="GDN611" s="268"/>
      <c r="GDO611" s="268"/>
      <c r="GDP611" s="268"/>
      <c r="GDQ611" s="268"/>
      <c r="GDR611" s="268"/>
      <c r="GDS611" s="268"/>
      <c r="GEG611" s="268"/>
      <c r="GEH611" s="268"/>
      <c r="GEI611" s="268"/>
      <c r="GEW611" s="268"/>
      <c r="GEY611" s="268"/>
      <c r="GEZ611" s="268"/>
      <c r="GFA611" s="268"/>
      <c r="GFB611" s="268"/>
      <c r="GFC611" s="268"/>
      <c r="GFD611" s="268"/>
      <c r="GFE611" s="268"/>
      <c r="GFF611" s="268"/>
      <c r="GFG611" s="268"/>
      <c r="GFH611" s="268"/>
      <c r="GFI611" s="268"/>
      <c r="GFJ611" s="268"/>
      <c r="GFK611" s="268"/>
      <c r="GFL611" s="268"/>
      <c r="GFM611" s="268"/>
      <c r="GFN611" s="268"/>
      <c r="GFO611" s="268"/>
      <c r="GFP611" s="268"/>
      <c r="GFQ611" s="268"/>
      <c r="GFR611" s="268"/>
      <c r="GFS611" s="268"/>
      <c r="GFT611" s="268"/>
      <c r="GFU611" s="268"/>
      <c r="GFV611" s="268"/>
      <c r="GFW611" s="268"/>
      <c r="GFX611" s="268"/>
      <c r="GFY611" s="268"/>
      <c r="GFZ611" s="268"/>
      <c r="GGA611" s="268"/>
      <c r="GGB611" s="268"/>
      <c r="GGC611" s="268"/>
      <c r="GGD611" s="268"/>
      <c r="GGE611" s="268"/>
      <c r="GGF611" s="268"/>
      <c r="GGG611" s="268"/>
      <c r="GGH611" s="268"/>
      <c r="GGI611" s="268"/>
      <c r="GGJ611" s="268"/>
      <c r="GGK611" s="268"/>
      <c r="GGL611" s="268"/>
      <c r="GGM611" s="268"/>
      <c r="GGN611" s="268"/>
      <c r="GGO611" s="268"/>
      <c r="GGP611" s="268"/>
      <c r="GGQ611" s="268"/>
      <c r="GGR611" s="268"/>
      <c r="GGS611" s="268"/>
      <c r="GGT611" s="268"/>
      <c r="GGU611" s="268"/>
      <c r="GGV611" s="268"/>
      <c r="GGW611" s="268"/>
      <c r="GGX611" s="268"/>
      <c r="GGY611" s="268"/>
      <c r="GGZ611" s="268"/>
      <c r="GHA611" s="268"/>
      <c r="GHB611" s="268"/>
      <c r="GHC611" s="268"/>
      <c r="GHD611" s="268"/>
      <c r="GHE611" s="268"/>
      <c r="GHF611" s="268"/>
      <c r="GHG611" s="268"/>
      <c r="GHH611" s="268"/>
      <c r="GHI611" s="268"/>
      <c r="GHJ611" s="268"/>
      <c r="GHK611" s="268"/>
      <c r="GHL611" s="268"/>
      <c r="GHM611" s="268"/>
      <c r="GHN611" s="268"/>
      <c r="GHO611" s="268"/>
      <c r="GHP611" s="268"/>
      <c r="GHQ611" s="268"/>
      <c r="GHR611" s="268"/>
      <c r="GHS611" s="268"/>
      <c r="GHT611" s="268"/>
      <c r="GHU611" s="268"/>
      <c r="GHV611" s="268"/>
      <c r="GHW611" s="268"/>
      <c r="GHX611" s="268"/>
      <c r="GHY611" s="268"/>
      <c r="GHZ611" s="268"/>
      <c r="GIA611" s="268"/>
      <c r="GIB611" s="268"/>
      <c r="GIC611" s="268"/>
      <c r="GID611" s="268"/>
      <c r="GIE611" s="268"/>
      <c r="GIF611" s="268"/>
      <c r="GIG611" s="268"/>
      <c r="GIH611" s="268"/>
      <c r="GII611" s="268"/>
      <c r="GIJ611" s="268"/>
      <c r="GIK611" s="268"/>
      <c r="GIL611" s="268"/>
      <c r="GIM611" s="268"/>
      <c r="GIN611" s="268"/>
      <c r="GIO611" s="268"/>
      <c r="GIP611" s="268"/>
      <c r="GIQ611" s="268"/>
      <c r="GIR611" s="268"/>
      <c r="GIS611" s="268"/>
      <c r="GIT611" s="268"/>
      <c r="GIU611" s="268"/>
      <c r="GIV611" s="268"/>
      <c r="GIW611" s="268"/>
      <c r="GIX611" s="268"/>
      <c r="GIY611" s="268"/>
      <c r="GIZ611" s="268"/>
      <c r="GJA611" s="268"/>
      <c r="GJB611" s="268"/>
      <c r="GJC611" s="268"/>
      <c r="GJD611" s="268"/>
      <c r="GJE611" s="268"/>
      <c r="GJF611" s="268"/>
      <c r="GJG611" s="268"/>
      <c r="GJH611" s="268"/>
      <c r="GJI611" s="268"/>
      <c r="GJJ611" s="268"/>
      <c r="GJK611" s="268"/>
      <c r="GJL611" s="268"/>
      <c r="GJM611" s="268"/>
      <c r="GJN611" s="268"/>
      <c r="GJO611" s="268"/>
      <c r="GJP611" s="268"/>
      <c r="GJQ611" s="268"/>
      <c r="GJR611" s="268"/>
      <c r="GJS611" s="268"/>
      <c r="GJT611" s="268"/>
      <c r="GJU611" s="268"/>
      <c r="GJV611" s="268"/>
      <c r="GJW611" s="268"/>
      <c r="GJX611" s="268"/>
      <c r="GJY611" s="268"/>
      <c r="GJZ611" s="268"/>
      <c r="GKA611" s="268"/>
      <c r="GKB611" s="268"/>
      <c r="GKC611" s="268"/>
      <c r="GKD611" s="268"/>
      <c r="GKE611" s="268"/>
      <c r="GKF611" s="268"/>
      <c r="GKG611" s="268"/>
      <c r="GKH611" s="268"/>
      <c r="GKI611" s="268"/>
      <c r="GKJ611" s="268"/>
      <c r="GKK611" s="268"/>
      <c r="GKL611" s="268"/>
      <c r="GKM611" s="268"/>
      <c r="GKN611" s="268"/>
      <c r="GKO611" s="268"/>
      <c r="GKP611" s="268"/>
      <c r="GKQ611" s="268"/>
      <c r="GKR611" s="268"/>
      <c r="GKS611" s="268"/>
      <c r="GKT611" s="268"/>
      <c r="GKU611" s="268"/>
      <c r="GKV611" s="268"/>
      <c r="GKW611" s="268"/>
      <c r="GKX611" s="268"/>
      <c r="GKY611" s="268"/>
      <c r="GKZ611" s="268"/>
      <c r="GLA611" s="268"/>
      <c r="GLB611" s="268"/>
      <c r="GLC611" s="268"/>
      <c r="GLD611" s="268"/>
      <c r="GLE611" s="268"/>
      <c r="GLF611" s="268"/>
      <c r="GLG611" s="268"/>
      <c r="GLH611" s="268"/>
      <c r="GLI611" s="268"/>
      <c r="GLJ611" s="268"/>
      <c r="GLK611" s="268"/>
      <c r="GLL611" s="268"/>
      <c r="GLM611" s="268"/>
      <c r="GLN611" s="268"/>
      <c r="GLO611" s="268"/>
      <c r="GLP611" s="268"/>
      <c r="GLQ611" s="268"/>
      <c r="GLR611" s="268"/>
      <c r="GLS611" s="268"/>
      <c r="GLT611" s="268"/>
      <c r="GLU611" s="268"/>
      <c r="GLV611" s="268"/>
      <c r="GLW611" s="268"/>
      <c r="GLX611" s="268"/>
      <c r="GLY611" s="268"/>
      <c r="GLZ611" s="268"/>
      <c r="GMA611" s="268"/>
      <c r="GMB611" s="268"/>
      <c r="GMC611" s="268"/>
      <c r="GMD611" s="268"/>
      <c r="GME611" s="268"/>
      <c r="GMF611" s="268"/>
      <c r="GMG611" s="268"/>
      <c r="GMH611" s="268"/>
      <c r="GMI611" s="268"/>
      <c r="GMJ611" s="268"/>
      <c r="GMK611" s="268"/>
      <c r="GML611" s="268"/>
      <c r="GMM611" s="268"/>
      <c r="GMN611" s="268"/>
      <c r="GMO611" s="268"/>
      <c r="GMP611" s="268"/>
      <c r="GMQ611" s="268"/>
      <c r="GMR611" s="268"/>
      <c r="GMS611" s="268"/>
      <c r="GMT611" s="268"/>
      <c r="GMU611" s="268"/>
      <c r="GMV611" s="268"/>
      <c r="GMW611" s="268"/>
      <c r="GMX611" s="268"/>
      <c r="GMY611" s="268"/>
      <c r="GMZ611" s="268"/>
      <c r="GNA611" s="268"/>
      <c r="GNB611" s="268"/>
      <c r="GNC611" s="268"/>
      <c r="GND611" s="268"/>
      <c r="GNE611" s="268"/>
      <c r="GNF611" s="268"/>
      <c r="GNG611" s="268"/>
      <c r="GNH611" s="268"/>
      <c r="GNI611" s="268"/>
      <c r="GNJ611" s="268"/>
      <c r="GNK611" s="268"/>
      <c r="GNL611" s="268"/>
      <c r="GNM611" s="268"/>
      <c r="GNN611" s="268"/>
      <c r="GNO611" s="268"/>
      <c r="GOC611" s="268"/>
      <c r="GOD611" s="268"/>
      <c r="GOE611" s="268"/>
      <c r="GOS611" s="268"/>
      <c r="GOU611" s="268"/>
      <c r="GOV611" s="268"/>
      <c r="GOW611" s="268"/>
      <c r="GOX611" s="268"/>
      <c r="GOY611" s="268"/>
      <c r="GOZ611" s="268"/>
      <c r="GPA611" s="268"/>
      <c r="GPB611" s="268"/>
      <c r="GPC611" s="268"/>
      <c r="GPD611" s="268"/>
      <c r="GPE611" s="268"/>
      <c r="GPF611" s="268"/>
      <c r="GPG611" s="268"/>
      <c r="GPH611" s="268"/>
      <c r="GPI611" s="268"/>
      <c r="GPJ611" s="268"/>
      <c r="GPK611" s="268"/>
      <c r="GPL611" s="268"/>
      <c r="GPM611" s="268"/>
      <c r="GPN611" s="268"/>
      <c r="GPO611" s="268"/>
      <c r="GPP611" s="268"/>
      <c r="GPQ611" s="268"/>
      <c r="GPR611" s="268"/>
      <c r="GPS611" s="268"/>
      <c r="GPT611" s="268"/>
      <c r="GPU611" s="268"/>
      <c r="GPV611" s="268"/>
      <c r="GPW611" s="268"/>
      <c r="GPX611" s="268"/>
      <c r="GPY611" s="268"/>
      <c r="GPZ611" s="268"/>
      <c r="GQA611" s="268"/>
      <c r="GQB611" s="268"/>
      <c r="GQC611" s="268"/>
      <c r="GQD611" s="268"/>
      <c r="GQE611" s="268"/>
      <c r="GQF611" s="268"/>
      <c r="GQG611" s="268"/>
      <c r="GQH611" s="268"/>
      <c r="GQI611" s="268"/>
      <c r="GQJ611" s="268"/>
      <c r="GQK611" s="268"/>
      <c r="GQL611" s="268"/>
      <c r="GQM611" s="268"/>
      <c r="GQN611" s="268"/>
      <c r="GQO611" s="268"/>
      <c r="GQP611" s="268"/>
      <c r="GQQ611" s="268"/>
      <c r="GQR611" s="268"/>
      <c r="GQS611" s="268"/>
      <c r="GQT611" s="268"/>
      <c r="GQU611" s="268"/>
      <c r="GQV611" s="268"/>
      <c r="GQW611" s="268"/>
      <c r="GQX611" s="268"/>
      <c r="GQY611" s="268"/>
      <c r="GQZ611" s="268"/>
      <c r="GRA611" s="268"/>
      <c r="GRB611" s="268"/>
      <c r="GRC611" s="268"/>
      <c r="GRD611" s="268"/>
      <c r="GRE611" s="268"/>
      <c r="GRF611" s="268"/>
      <c r="GRG611" s="268"/>
      <c r="GRH611" s="268"/>
      <c r="GRI611" s="268"/>
      <c r="GRJ611" s="268"/>
      <c r="GRK611" s="268"/>
      <c r="GRL611" s="268"/>
      <c r="GRM611" s="268"/>
      <c r="GRN611" s="268"/>
      <c r="GRO611" s="268"/>
      <c r="GRP611" s="268"/>
      <c r="GRQ611" s="268"/>
      <c r="GRR611" s="268"/>
      <c r="GRS611" s="268"/>
      <c r="GRT611" s="268"/>
      <c r="GRU611" s="268"/>
      <c r="GRV611" s="268"/>
      <c r="GRW611" s="268"/>
      <c r="GRX611" s="268"/>
      <c r="GRY611" s="268"/>
      <c r="GRZ611" s="268"/>
      <c r="GSA611" s="268"/>
      <c r="GSB611" s="268"/>
      <c r="GSC611" s="268"/>
      <c r="GSD611" s="268"/>
      <c r="GSE611" s="268"/>
      <c r="GSF611" s="268"/>
      <c r="GSG611" s="268"/>
      <c r="GSH611" s="268"/>
      <c r="GSI611" s="268"/>
      <c r="GSJ611" s="268"/>
      <c r="GSK611" s="268"/>
      <c r="GSL611" s="268"/>
      <c r="GSM611" s="268"/>
      <c r="GSN611" s="268"/>
      <c r="GSO611" s="268"/>
      <c r="GSP611" s="268"/>
      <c r="GSQ611" s="268"/>
      <c r="GSR611" s="268"/>
      <c r="GSS611" s="268"/>
      <c r="GST611" s="268"/>
      <c r="GSU611" s="268"/>
      <c r="GSV611" s="268"/>
      <c r="GSW611" s="268"/>
      <c r="GSX611" s="268"/>
      <c r="GSY611" s="268"/>
      <c r="GSZ611" s="268"/>
      <c r="GTA611" s="268"/>
      <c r="GTB611" s="268"/>
      <c r="GTC611" s="268"/>
      <c r="GTD611" s="268"/>
      <c r="GTE611" s="268"/>
      <c r="GTF611" s="268"/>
      <c r="GTG611" s="268"/>
      <c r="GTH611" s="268"/>
      <c r="GTI611" s="268"/>
      <c r="GTJ611" s="268"/>
      <c r="GTK611" s="268"/>
      <c r="GTL611" s="268"/>
      <c r="GTM611" s="268"/>
      <c r="GTN611" s="268"/>
      <c r="GTO611" s="268"/>
      <c r="GTP611" s="268"/>
      <c r="GTQ611" s="268"/>
      <c r="GTR611" s="268"/>
      <c r="GTS611" s="268"/>
      <c r="GTT611" s="268"/>
      <c r="GTU611" s="268"/>
      <c r="GTV611" s="268"/>
      <c r="GTW611" s="268"/>
      <c r="GTX611" s="268"/>
      <c r="GTY611" s="268"/>
      <c r="GTZ611" s="268"/>
      <c r="GUA611" s="268"/>
      <c r="GUB611" s="268"/>
      <c r="GUC611" s="268"/>
      <c r="GUD611" s="268"/>
      <c r="GUE611" s="268"/>
      <c r="GUF611" s="268"/>
      <c r="GUG611" s="268"/>
      <c r="GUH611" s="268"/>
      <c r="GUI611" s="268"/>
      <c r="GUJ611" s="268"/>
      <c r="GUK611" s="268"/>
      <c r="GUL611" s="268"/>
      <c r="GUM611" s="268"/>
      <c r="GUN611" s="268"/>
      <c r="GUO611" s="268"/>
      <c r="GUP611" s="268"/>
      <c r="GUQ611" s="268"/>
      <c r="GUR611" s="268"/>
      <c r="GUS611" s="268"/>
      <c r="GUT611" s="268"/>
      <c r="GUU611" s="268"/>
      <c r="GUV611" s="268"/>
      <c r="GUW611" s="268"/>
      <c r="GUX611" s="268"/>
      <c r="GUY611" s="268"/>
      <c r="GUZ611" s="268"/>
      <c r="GVA611" s="268"/>
      <c r="GVB611" s="268"/>
      <c r="GVC611" s="268"/>
      <c r="GVD611" s="268"/>
      <c r="GVE611" s="268"/>
      <c r="GVF611" s="268"/>
      <c r="GVG611" s="268"/>
      <c r="GVH611" s="268"/>
      <c r="GVI611" s="268"/>
      <c r="GVJ611" s="268"/>
      <c r="GVK611" s="268"/>
      <c r="GVL611" s="268"/>
      <c r="GVM611" s="268"/>
      <c r="GVN611" s="268"/>
      <c r="GVO611" s="268"/>
      <c r="GVP611" s="268"/>
      <c r="GVQ611" s="268"/>
      <c r="GVR611" s="268"/>
      <c r="GVS611" s="268"/>
      <c r="GVT611" s="268"/>
      <c r="GVU611" s="268"/>
      <c r="GVV611" s="268"/>
      <c r="GVW611" s="268"/>
      <c r="GVX611" s="268"/>
      <c r="GVY611" s="268"/>
      <c r="GVZ611" s="268"/>
      <c r="GWA611" s="268"/>
      <c r="GWB611" s="268"/>
      <c r="GWC611" s="268"/>
      <c r="GWD611" s="268"/>
      <c r="GWE611" s="268"/>
      <c r="GWF611" s="268"/>
      <c r="GWG611" s="268"/>
      <c r="GWH611" s="268"/>
      <c r="GWI611" s="268"/>
      <c r="GWJ611" s="268"/>
      <c r="GWK611" s="268"/>
      <c r="GWL611" s="268"/>
      <c r="GWM611" s="268"/>
      <c r="GWN611" s="268"/>
      <c r="GWO611" s="268"/>
      <c r="GWP611" s="268"/>
      <c r="GWQ611" s="268"/>
      <c r="GWR611" s="268"/>
      <c r="GWS611" s="268"/>
      <c r="GWT611" s="268"/>
      <c r="GWU611" s="268"/>
      <c r="GWV611" s="268"/>
      <c r="GWW611" s="268"/>
      <c r="GWX611" s="268"/>
      <c r="GWY611" s="268"/>
      <c r="GWZ611" s="268"/>
      <c r="GXA611" s="268"/>
      <c r="GXB611" s="268"/>
      <c r="GXC611" s="268"/>
      <c r="GXD611" s="268"/>
      <c r="GXE611" s="268"/>
      <c r="GXF611" s="268"/>
      <c r="GXG611" s="268"/>
      <c r="GXH611" s="268"/>
      <c r="GXI611" s="268"/>
      <c r="GXJ611" s="268"/>
      <c r="GXK611" s="268"/>
      <c r="GXY611" s="268"/>
      <c r="GXZ611" s="268"/>
      <c r="GYA611" s="268"/>
      <c r="GYO611" s="268"/>
      <c r="GYQ611" s="268"/>
      <c r="GYR611" s="268"/>
      <c r="GYS611" s="268"/>
      <c r="GYT611" s="268"/>
      <c r="GYU611" s="268"/>
      <c r="GYV611" s="268"/>
      <c r="GYW611" s="268"/>
      <c r="GYX611" s="268"/>
      <c r="GYY611" s="268"/>
      <c r="GYZ611" s="268"/>
      <c r="GZA611" s="268"/>
      <c r="GZB611" s="268"/>
      <c r="GZC611" s="268"/>
      <c r="GZD611" s="268"/>
      <c r="GZE611" s="268"/>
      <c r="GZF611" s="268"/>
      <c r="GZG611" s="268"/>
      <c r="GZH611" s="268"/>
      <c r="GZI611" s="268"/>
      <c r="GZJ611" s="268"/>
      <c r="GZK611" s="268"/>
      <c r="GZL611" s="268"/>
      <c r="GZM611" s="268"/>
      <c r="GZN611" s="268"/>
      <c r="GZO611" s="268"/>
      <c r="GZP611" s="268"/>
      <c r="GZQ611" s="268"/>
      <c r="GZR611" s="268"/>
      <c r="GZS611" s="268"/>
      <c r="GZT611" s="268"/>
      <c r="GZU611" s="268"/>
      <c r="GZV611" s="268"/>
      <c r="GZW611" s="268"/>
      <c r="GZX611" s="268"/>
      <c r="GZY611" s="268"/>
      <c r="GZZ611" s="268"/>
      <c r="HAA611" s="268"/>
      <c r="HAB611" s="268"/>
      <c r="HAC611" s="268"/>
      <c r="HAD611" s="268"/>
      <c r="HAE611" s="268"/>
      <c r="HAF611" s="268"/>
      <c r="HAG611" s="268"/>
      <c r="HAH611" s="268"/>
      <c r="HAI611" s="268"/>
      <c r="HAJ611" s="268"/>
      <c r="HAK611" s="268"/>
      <c r="HAL611" s="268"/>
      <c r="HAM611" s="268"/>
      <c r="HAN611" s="268"/>
      <c r="HAO611" s="268"/>
      <c r="HAP611" s="268"/>
      <c r="HAQ611" s="268"/>
      <c r="HAR611" s="268"/>
      <c r="HAS611" s="268"/>
      <c r="HAT611" s="268"/>
      <c r="HAU611" s="268"/>
      <c r="HAV611" s="268"/>
      <c r="HAW611" s="268"/>
      <c r="HAX611" s="268"/>
      <c r="HAY611" s="268"/>
      <c r="HAZ611" s="268"/>
      <c r="HBA611" s="268"/>
      <c r="HBB611" s="268"/>
      <c r="HBC611" s="268"/>
      <c r="HBD611" s="268"/>
      <c r="HBE611" s="268"/>
      <c r="HBF611" s="268"/>
      <c r="HBG611" s="268"/>
      <c r="HBH611" s="268"/>
      <c r="HBI611" s="268"/>
      <c r="HBJ611" s="268"/>
      <c r="HBK611" s="268"/>
      <c r="HBL611" s="268"/>
      <c r="HBM611" s="268"/>
      <c r="HBN611" s="268"/>
      <c r="HBO611" s="268"/>
      <c r="HBP611" s="268"/>
      <c r="HBQ611" s="268"/>
      <c r="HBR611" s="268"/>
      <c r="HBS611" s="268"/>
      <c r="HBT611" s="268"/>
      <c r="HBU611" s="268"/>
      <c r="HBV611" s="268"/>
      <c r="HBW611" s="268"/>
      <c r="HBX611" s="268"/>
      <c r="HBY611" s="268"/>
      <c r="HBZ611" s="268"/>
      <c r="HCA611" s="268"/>
      <c r="HCB611" s="268"/>
      <c r="HCC611" s="268"/>
      <c r="HCD611" s="268"/>
      <c r="HCE611" s="268"/>
      <c r="HCF611" s="268"/>
      <c r="HCG611" s="268"/>
      <c r="HCH611" s="268"/>
      <c r="HCI611" s="268"/>
      <c r="HCJ611" s="268"/>
      <c r="HCK611" s="268"/>
      <c r="HCL611" s="268"/>
      <c r="HCM611" s="268"/>
      <c r="HCN611" s="268"/>
      <c r="HCO611" s="268"/>
      <c r="HCP611" s="268"/>
      <c r="HCQ611" s="268"/>
      <c r="HCR611" s="268"/>
      <c r="HCS611" s="268"/>
      <c r="HCT611" s="268"/>
      <c r="HCU611" s="268"/>
      <c r="HCV611" s="268"/>
      <c r="HCW611" s="268"/>
      <c r="HCX611" s="268"/>
      <c r="HCY611" s="268"/>
      <c r="HCZ611" s="268"/>
      <c r="HDA611" s="268"/>
      <c r="HDB611" s="268"/>
      <c r="HDC611" s="268"/>
      <c r="HDD611" s="268"/>
      <c r="HDE611" s="268"/>
      <c r="HDF611" s="268"/>
      <c r="HDG611" s="268"/>
      <c r="HDH611" s="268"/>
      <c r="HDI611" s="268"/>
      <c r="HDJ611" s="268"/>
      <c r="HDK611" s="268"/>
      <c r="HDL611" s="268"/>
      <c r="HDM611" s="268"/>
      <c r="HDN611" s="268"/>
      <c r="HDO611" s="268"/>
      <c r="HDP611" s="268"/>
      <c r="HDQ611" s="268"/>
      <c r="HDR611" s="268"/>
      <c r="HDS611" s="268"/>
      <c r="HDT611" s="268"/>
      <c r="HDU611" s="268"/>
      <c r="HDV611" s="268"/>
      <c r="HDW611" s="268"/>
      <c r="HDX611" s="268"/>
      <c r="HDY611" s="268"/>
      <c r="HDZ611" s="268"/>
      <c r="HEA611" s="268"/>
      <c r="HEB611" s="268"/>
      <c r="HEC611" s="268"/>
      <c r="HED611" s="268"/>
      <c r="HEE611" s="268"/>
      <c r="HEF611" s="268"/>
      <c r="HEG611" s="268"/>
      <c r="HEH611" s="268"/>
      <c r="HEI611" s="268"/>
      <c r="HEJ611" s="268"/>
      <c r="HEK611" s="268"/>
      <c r="HEL611" s="268"/>
      <c r="HEM611" s="268"/>
      <c r="HEN611" s="268"/>
      <c r="HEO611" s="268"/>
      <c r="HEP611" s="268"/>
      <c r="HEQ611" s="268"/>
      <c r="HER611" s="268"/>
      <c r="HES611" s="268"/>
      <c r="HET611" s="268"/>
      <c r="HEU611" s="268"/>
      <c r="HEV611" s="268"/>
      <c r="HEW611" s="268"/>
      <c r="HEX611" s="268"/>
      <c r="HEY611" s="268"/>
      <c r="HEZ611" s="268"/>
      <c r="HFA611" s="268"/>
      <c r="HFB611" s="268"/>
      <c r="HFC611" s="268"/>
      <c r="HFD611" s="268"/>
      <c r="HFE611" s="268"/>
      <c r="HFF611" s="268"/>
      <c r="HFG611" s="268"/>
      <c r="HFH611" s="268"/>
      <c r="HFI611" s="268"/>
      <c r="HFJ611" s="268"/>
      <c r="HFK611" s="268"/>
      <c r="HFL611" s="268"/>
      <c r="HFM611" s="268"/>
      <c r="HFN611" s="268"/>
      <c r="HFO611" s="268"/>
      <c r="HFP611" s="268"/>
      <c r="HFQ611" s="268"/>
      <c r="HFR611" s="268"/>
      <c r="HFS611" s="268"/>
      <c r="HFT611" s="268"/>
      <c r="HFU611" s="268"/>
      <c r="HFV611" s="268"/>
      <c r="HFW611" s="268"/>
      <c r="HFX611" s="268"/>
      <c r="HFY611" s="268"/>
      <c r="HFZ611" s="268"/>
      <c r="HGA611" s="268"/>
      <c r="HGB611" s="268"/>
      <c r="HGC611" s="268"/>
      <c r="HGD611" s="268"/>
      <c r="HGE611" s="268"/>
      <c r="HGF611" s="268"/>
      <c r="HGG611" s="268"/>
      <c r="HGH611" s="268"/>
      <c r="HGI611" s="268"/>
      <c r="HGJ611" s="268"/>
      <c r="HGK611" s="268"/>
      <c r="HGL611" s="268"/>
      <c r="HGM611" s="268"/>
      <c r="HGN611" s="268"/>
      <c r="HGO611" s="268"/>
      <c r="HGP611" s="268"/>
      <c r="HGQ611" s="268"/>
      <c r="HGR611" s="268"/>
      <c r="HGS611" s="268"/>
      <c r="HGT611" s="268"/>
      <c r="HGU611" s="268"/>
      <c r="HGV611" s="268"/>
      <c r="HGW611" s="268"/>
      <c r="HGX611" s="268"/>
      <c r="HGY611" s="268"/>
      <c r="HGZ611" s="268"/>
      <c r="HHA611" s="268"/>
      <c r="HHB611" s="268"/>
      <c r="HHC611" s="268"/>
      <c r="HHD611" s="268"/>
      <c r="HHE611" s="268"/>
      <c r="HHF611" s="268"/>
      <c r="HHG611" s="268"/>
      <c r="HHU611" s="268"/>
      <c r="HHV611" s="268"/>
      <c r="HHW611" s="268"/>
      <c r="HIK611" s="268"/>
      <c r="HIM611" s="268"/>
      <c r="HIN611" s="268"/>
      <c r="HIO611" s="268"/>
      <c r="HIP611" s="268"/>
      <c r="HIQ611" s="268"/>
      <c r="HIR611" s="268"/>
      <c r="HIS611" s="268"/>
      <c r="HIT611" s="268"/>
      <c r="HIU611" s="268"/>
      <c r="HIV611" s="268"/>
      <c r="HIW611" s="268"/>
      <c r="HIX611" s="268"/>
      <c r="HIY611" s="268"/>
      <c r="HIZ611" s="268"/>
      <c r="HJA611" s="268"/>
      <c r="HJB611" s="268"/>
      <c r="HJC611" s="268"/>
      <c r="HJD611" s="268"/>
      <c r="HJE611" s="268"/>
      <c r="HJF611" s="268"/>
      <c r="HJG611" s="268"/>
      <c r="HJH611" s="268"/>
      <c r="HJI611" s="268"/>
      <c r="HJJ611" s="268"/>
      <c r="HJK611" s="268"/>
      <c r="HJL611" s="268"/>
      <c r="HJM611" s="268"/>
      <c r="HJN611" s="268"/>
      <c r="HJO611" s="268"/>
      <c r="HJP611" s="268"/>
      <c r="HJQ611" s="268"/>
      <c r="HJR611" s="268"/>
      <c r="HJS611" s="268"/>
      <c r="HJT611" s="268"/>
      <c r="HJU611" s="268"/>
      <c r="HJV611" s="268"/>
      <c r="HJW611" s="268"/>
      <c r="HJX611" s="268"/>
      <c r="HJY611" s="268"/>
      <c r="HJZ611" s="268"/>
      <c r="HKA611" s="268"/>
      <c r="HKB611" s="268"/>
      <c r="HKC611" s="268"/>
      <c r="HKD611" s="268"/>
      <c r="HKE611" s="268"/>
      <c r="HKF611" s="268"/>
      <c r="HKG611" s="268"/>
      <c r="HKH611" s="268"/>
      <c r="HKI611" s="268"/>
      <c r="HKJ611" s="268"/>
      <c r="HKK611" s="268"/>
      <c r="HKL611" s="268"/>
      <c r="HKM611" s="268"/>
      <c r="HKN611" s="268"/>
      <c r="HKO611" s="268"/>
      <c r="HKP611" s="268"/>
      <c r="HKQ611" s="268"/>
      <c r="HKR611" s="268"/>
      <c r="HKS611" s="268"/>
      <c r="HKT611" s="268"/>
      <c r="HKU611" s="268"/>
      <c r="HKV611" s="268"/>
      <c r="HKW611" s="268"/>
      <c r="HKX611" s="268"/>
      <c r="HKY611" s="268"/>
      <c r="HKZ611" s="268"/>
      <c r="HLA611" s="268"/>
      <c r="HLB611" s="268"/>
      <c r="HLC611" s="268"/>
      <c r="HLD611" s="268"/>
      <c r="HLE611" s="268"/>
      <c r="HLF611" s="268"/>
      <c r="HLG611" s="268"/>
      <c r="HLH611" s="268"/>
      <c r="HLI611" s="268"/>
      <c r="HLJ611" s="268"/>
      <c r="HLK611" s="268"/>
      <c r="HLL611" s="268"/>
      <c r="HLM611" s="268"/>
      <c r="HLN611" s="268"/>
      <c r="HLO611" s="268"/>
      <c r="HLP611" s="268"/>
      <c r="HLQ611" s="268"/>
      <c r="HLR611" s="268"/>
      <c r="HLS611" s="268"/>
      <c r="HLT611" s="268"/>
      <c r="HLU611" s="268"/>
      <c r="HLV611" s="268"/>
      <c r="HLW611" s="268"/>
      <c r="HLX611" s="268"/>
      <c r="HLY611" s="268"/>
      <c r="HLZ611" s="268"/>
      <c r="HMA611" s="268"/>
      <c r="HMB611" s="268"/>
      <c r="HMC611" s="268"/>
      <c r="HMD611" s="268"/>
      <c r="HME611" s="268"/>
      <c r="HMF611" s="268"/>
      <c r="HMG611" s="268"/>
      <c r="HMH611" s="268"/>
      <c r="HMI611" s="268"/>
      <c r="HMJ611" s="268"/>
      <c r="HMK611" s="268"/>
      <c r="HML611" s="268"/>
      <c r="HMM611" s="268"/>
      <c r="HMN611" s="268"/>
      <c r="HMO611" s="268"/>
      <c r="HMP611" s="268"/>
      <c r="HMQ611" s="268"/>
      <c r="HMR611" s="268"/>
      <c r="HMS611" s="268"/>
      <c r="HMT611" s="268"/>
      <c r="HMU611" s="268"/>
      <c r="HMV611" s="268"/>
      <c r="HMW611" s="268"/>
      <c r="HMX611" s="268"/>
      <c r="HMY611" s="268"/>
      <c r="HMZ611" s="268"/>
      <c r="HNA611" s="268"/>
      <c r="HNB611" s="268"/>
      <c r="HNC611" s="268"/>
      <c r="HND611" s="268"/>
      <c r="HNE611" s="268"/>
      <c r="HNF611" s="268"/>
      <c r="HNG611" s="268"/>
      <c r="HNH611" s="268"/>
      <c r="HNI611" s="268"/>
      <c r="HNJ611" s="268"/>
      <c r="HNK611" s="268"/>
      <c r="HNL611" s="268"/>
      <c r="HNM611" s="268"/>
      <c r="HNN611" s="268"/>
      <c r="HNO611" s="268"/>
      <c r="HNP611" s="268"/>
      <c r="HNQ611" s="268"/>
      <c r="HNR611" s="268"/>
      <c r="HNS611" s="268"/>
      <c r="HNT611" s="268"/>
      <c r="HNU611" s="268"/>
      <c r="HNV611" s="268"/>
      <c r="HNW611" s="268"/>
      <c r="HNX611" s="268"/>
      <c r="HNY611" s="268"/>
      <c r="HNZ611" s="268"/>
      <c r="HOA611" s="268"/>
      <c r="HOB611" s="268"/>
      <c r="HOC611" s="268"/>
      <c r="HOD611" s="268"/>
      <c r="HOE611" s="268"/>
      <c r="HOF611" s="268"/>
      <c r="HOG611" s="268"/>
      <c r="HOH611" s="268"/>
      <c r="HOI611" s="268"/>
      <c r="HOJ611" s="268"/>
      <c r="HOK611" s="268"/>
      <c r="HOL611" s="268"/>
      <c r="HOM611" s="268"/>
      <c r="HON611" s="268"/>
      <c r="HOO611" s="268"/>
      <c r="HOP611" s="268"/>
      <c r="HOQ611" s="268"/>
      <c r="HOR611" s="268"/>
      <c r="HOS611" s="268"/>
      <c r="HOT611" s="268"/>
      <c r="HOU611" s="268"/>
      <c r="HOV611" s="268"/>
      <c r="HOW611" s="268"/>
      <c r="HOX611" s="268"/>
      <c r="HOY611" s="268"/>
      <c r="HOZ611" s="268"/>
      <c r="HPA611" s="268"/>
      <c r="HPB611" s="268"/>
      <c r="HPC611" s="268"/>
      <c r="HPD611" s="268"/>
      <c r="HPE611" s="268"/>
      <c r="HPF611" s="268"/>
      <c r="HPG611" s="268"/>
      <c r="HPH611" s="268"/>
      <c r="HPI611" s="268"/>
      <c r="HPJ611" s="268"/>
      <c r="HPK611" s="268"/>
      <c r="HPL611" s="268"/>
      <c r="HPM611" s="268"/>
      <c r="HPN611" s="268"/>
      <c r="HPO611" s="268"/>
      <c r="HPP611" s="268"/>
      <c r="HPQ611" s="268"/>
      <c r="HPR611" s="268"/>
      <c r="HPS611" s="268"/>
      <c r="HPT611" s="268"/>
      <c r="HPU611" s="268"/>
      <c r="HPV611" s="268"/>
      <c r="HPW611" s="268"/>
      <c r="HPX611" s="268"/>
      <c r="HPY611" s="268"/>
      <c r="HPZ611" s="268"/>
      <c r="HQA611" s="268"/>
      <c r="HQB611" s="268"/>
      <c r="HQC611" s="268"/>
      <c r="HQD611" s="268"/>
      <c r="HQE611" s="268"/>
      <c r="HQF611" s="268"/>
      <c r="HQG611" s="268"/>
      <c r="HQH611" s="268"/>
      <c r="HQI611" s="268"/>
      <c r="HQJ611" s="268"/>
      <c r="HQK611" s="268"/>
      <c r="HQL611" s="268"/>
      <c r="HQM611" s="268"/>
      <c r="HQN611" s="268"/>
      <c r="HQO611" s="268"/>
      <c r="HQP611" s="268"/>
      <c r="HQQ611" s="268"/>
      <c r="HQR611" s="268"/>
      <c r="HQS611" s="268"/>
      <c r="HQT611" s="268"/>
      <c r="HQU611" s="268"/>
      <c r="HQV611" s="268"/>
      <c r="HQW611" s="268"/>
      <c r="HQX611" s="268"/>
      <c r="HQY611" s="268"/>
      <c r="HQZ611" s="268"/>
      <c r="HRA611" s="268"/>
      <c r="HRB611" s="268"/>
      <c r="HRC611" s="268"/>
      <c r="HRQ611" s="268"/>
      <c r="HRR611" s="268"/>
      <c r="HRS611" s="268"/>
      <c r="HSG611" s="268"/>
      <c r="HSI611" s="268"/>
      <c r="HSJ611" s="268"/>
      <c r="HSK611" s="268"/>
      <c r="HSL611" s="268"/>
      <c r="HSM611" s="268"/>
      <c r="HSN611" s="268"/>
      <c r="HSO611" s="268"/>
      <c r="HSP611" s="268"/>
      <c r="HSQ611" s="268"/>
      <c r="HSR611" s="268"/>
      <c r="HSS611" s="268"/>
      <c r="HST611" s="268"/>
      <c r="HSU611" s="268"/>
      <c r="HSV611" s="268"/>
      <c r="HSW611" s="268"/>
      <c r="HSX611" s="268"/>
      <c r="HSY611" s="268"/>
      <c r="HSZ611" s="268"/>
      <c r="HTA611" s="268"/>
      <c r="HTB611" s="268"/>
      <c r="HTC611" s="268"/>
      <c r="HTD611" s="268"/>
      <c r="HTE611" s="268"/>
      <c r="HTF611" s="268"/>
      <c r="HTG611" s="268"/>
      <c r="HTH611" s="268"/>
      <c r="HTI611" s="268"/>
      <c r="HTJ611" s="268"/>
      <c r="HTK611" s="268"/>
      <c r="HTL611" s="268"/>
      <c r="HTM611" s="268"/>
      <c r="HTN611" s="268"/>
      <c r="HTO611" s="268"/>
      <c r="HTP611" s="268"/>
      <c r="HTQ611" s="268"/>
      <c r="HTR611" s="268"/>
      <c r="HTS611" s="268"/>
      <c r="HTT611" s="268"/>
      <c r="HTU611" s="268"/>
      <c r="HTV611" s="268"/>
      <c r="HTW611" s="268"/>
      <c r="HTX611" s="268"/>
      <c r="HTY611" s="268"/>
      <c r="HTZ611" s="268"/>
      <c r="HUA611" s="268"/>
      <c r="HUB611" s="268"/>
      <c r="HUC611" s="268"/>
      <c r="HUD611" s="268"/>
      <c r="HUE611" s="268"/>
      <c r="HUF611" s="268"/>
      <c r="HUG611" s="268"/>
      <c r="HUH611" s="268"/>
      <c r="HUI611" s="268"/>
      <c r="HUJ611" s="268"/>
      <c r="HUK611" s="268"/>
      <c r="HUL611" s="268"/>
      <c r="HUM611" s="268"/>
      <c r="HUN611" s="268"/>
      <c r="HUO611" s="268"/>
      <c r="HUP611" s="268"/>
      <c r="HUQ611" s="268"/>
      <c r="HUR611" s="268"/>
      <c r="HUS611" s="268"/>
      <c r="HUT611" s="268"/>
      <c r="HUU611" s="268"/>
      <c r="HUV611" s="268"/>
      <c r="HUW611" s="268"/>
      <c r="HUX611" s="268"/>
      <c r="HUY611" s="268"/>
      <c r="HUZ611" s="268"/>
      <c r="HVA611" s="268"/>
      <c r="HVB611" s="268"/>
      <c r="HVC611" s="268"/>
      <c r="HVD611" s="268"/>
      <c r="HVE611" s="268"/>
      <c r="HVF611" s="268"/>
      <c r="HVG611" s="268"/>
      <c r="HVH611" s="268"/>
      <c r="HVI611" s="268"/>
      <c r="HVJ611" s="268"/>
      <c r="HVK611" s="268"/>
      <c r="HVL611" s="268"/>
      <c r="HVM611" s="268"/>
      <c r="HVN611" s="268"/>
      <c r="HVO611" s="268"/>
      <c r="HVP611" s="268"/>
      <c r="HVQ611" s="268"/>
      <c r="HVR611" s="268"/>
      <c r="HVS611" s="268"/>
      <c r="HVT611" s="268"/>
      <c r="HVU611" s="268"/>
      <c r="HVV611" s="268"/>
      <c r="HVW611" s="268"/>
      <c r="HVX611" s="268"/>
      <c r="HVY611" s="268"/>
      <c r="HVZ611" s="268"/>
      <c r="HWA611" s="268"/>
      <c r="HWB611" s="268"/>
      <c r="HWC611" s="268"/>
      <c r="HWD611" s="268"/>
      <c r="HWE611" s="268"/>
      <c r="HWF611" s="268"/>
      <c r="HWG611" s="268"/>
      <c r="HWH611" s="268"/>
      <c r="HWI611" s="268"/>
      <c r="HWJ611" s="268"/>
      <c r="HWK611" s="268"/>
      <c r="HWL611" s="268"/>
      <c r="HWM611" s="268"/>
      <c r="HWN611" s="268"/>
      <c r="HWO611" s="268"/>
      <c r="HWP611" s="268"/>
      <c r="HWQ611" s="268"/>
      <c r="HWR611" s="268"/>
      <c r="HWS611" s="268"/>
      <c r="HWT611" s="268"/>
      <c r="HWU611" s="268"/>
      <c r="HWV611" s="268"/>
      <c r="HWW611" s="268"/>
      <c r="HWX611" s="268"/>
      <c r="HWY611" s="268"/>
      <c r="HWZ611" s="268"/>
      <c r="HXA611" s="268"/>
      <c r="HXB611" s="268"/>
      <c r="HXC611" s="268"/>
      <c r="HXD611" s="268"/>
      <c r="HXE611" s="268"/>
      <c r="HXF611" s="268"/>
      <c r="HXG611" s="268"/>
      <c r="HXH611" s="268"/>
      <c r="HXI611" s="268"/>
      <c r="HXJ611" s="268"/>
      <c r="HXK611" s="268"/>
      <c r="HXL611" s="268"/>
      <c r="HXM611" s="268"/>
      <c r="HXN611" s="268"/>
      <c r="HXO611" s="268"/>
      <c r="HXP611" s="268"/>
      <c r="HXQ611" s="268"/>
      <c r="HXR611" s="268"/>
      <c r="HXS611" s="268"/>
      <c r="HXT611" s="268"/>
      <c r="HXU611" s="268"/>
      <c r="HXV611" s="268"/>
      <c r="HXW611" s="268"/>
      <c r="HXX611" s="268"/>
      <c r="HXY611" s="268"/>
      <c r="HXZ611" s="268"/>
      <c r="HYA611" s="268"/>
      <c r="HYB611" s="268"/>
      <c r="HYC611" s="268"/>
      <c r="HYD611" s="268"/>
      <c r="HYE611" s="268"/>
      <c r="HYF611" s="268"/>
      <c r="HYG611" s="268"/>
      <c r="HYH611" s="268"/>
      <c r="HYI611" s="268"/>
      <c r="HYJ611" s="268"/>
      <c r="HYK611" s="268"/>
      <c r="HYL611" s="268"/>
      <c r="HYM611" s="268"/>
      <c r="HYN611" s="268"/>
      <c r="HYO611" s="268"/>
      <c r="HYP611" s="268"/>
      <c r="HYQ611" s="268"/>
      <c r="HYR611" s="268"/>
      <c r="HYS611" s="268"/>
      <c r="HYT611" s="268"/>
      <c r="HYU611" s="268"/>
      <c r="HYV611" s="268"/>
      <c r="HYW611" s="268"/>
      <c r="HYX611" s="268"/>
      <c r="HYY611" s="268"/>
      <c r="HYZ611" s="268"/>
      <c r="HZA611" s="268"/>
      <c r="HZB611" s="268"/>
      <c r="HZC611" s="268"/>
      <c r="HZD611" s="268"/>
      <c r="HZE611" s="268"/>
      <c r="HZF611" s="268"/>
      <c r="HZG611" s="268"/>
      <c r="HZH611" s="268"/>
      <c r="HZI611" s="268"/>
      <c r="HZJ611" s="268"/>
      <c r="HZK611" s="268"/>
      <c r="HZL611" s="268"/>
      <c r="HZM611" s="268"/>
      <c r="HZN611" s="268"/>
      <c r="HZO611" s="268"/>
      <c r="HZP611" s="268"/>
      <c r="HZQ611" s="268"/>
      <c r="HZR611" s="268"/>
      <c r="HZS611" s="268"/>
      <c r="HZT611" s="268"/>
      <c r="HZU611" s="268"/>
      <c r="HZV611" s="268"/>
      <c r="HZW611" s="268"/>
      <c r="HZX611" s="268"/>
      <c r="HZY611" s="268"/>
      <c r="HZZ611" s="268"/>
      <c r="IAA611" s="268"/>
      <c r="IAB611" s="268"/>
      <c r="IAC611" s="268"/>
      <c r="IAD611" s="268"/>
      <c r="IAE611" s="268"/>
      <c r="IAF611" s="268"/>
      <c r="IAG611" s="268"/>
      <c r="IAH611" s="268"/>
      <c r="IAI611" s="268"/>
      <c r="IAJ611" s="268"/>
      <c r="IAK611" s="268"/>
      <c r="IAL611" s="268"/>
      <c r="IAM611" s="268"/>
      <c r="IAN611" s="268"/>
      <c r="IAO611" s="268"/>
      <c r="IAP611" s="268"/>
      <c r="IAQ611" s="268"/>
      <c r="IAR611" s="268"/>
      <c r="IAS611" s="268"/>
      <c r="IAT611" s="268"/>
      <c r="IAU611" s="268"/>
      <c r="IAV611" s="268"/>
      <c r="IAW611" s="268"/>
      <c r="IAX611" s="268"/>
      <c r="IAY611" s="268"/>
      <c r="IBM611" s="268"/>
      <c r="IBN611" s="268"/>
      <c r="IBO611" s="268"/>
      <c r="ICC611" s="268"/>
      <c r="ICE611" s="268"/>
      <c r="ICF611" s="268"/>
      <c r="ICG611" s="268"/>
      <c r="ICH611" s="268"/>
      <c r="ICI611" s="268"/>
      <c r="ICJ611" s="268"/>
      <c r="ICK611" s="268"/>
      <c r="ICL611" s="268"/>
      <c r="ICM611" s="268"/>
      <c r="ICN611" s="268"/>
      <c r="ICO611" s="268"/>
      <c r="ICP611" s="268"/>
      <c r="ICQ611" s="268"/>
      <c r="ICR611" s="268"/>
      <c r="ICS611" s="268"/>
      <c r="ICT611" s="268"/>
      <c r="ICU611" s="268"/>
      <c r="ICV611" s="268"/>
      <c r="ICW611" s="268"/>
      <c r="ICX611" s="268"/>
      <c r="ICY611" s="268"/>
      <c r="ICZ611" s="268"/>
      <c r="IDA611" s="268"/>
      <c r="IDB611" s="268"/>
      <c r="IDC611" s="268"/>
      <c r="IDD611" s="268"/>
      <c r="IDE611" s="268"/>
      <c r="IDF611" s="268"/>
      <c r="IDG611" s="268"/>
      <c r="IDH611" s="268"/>
      <c r="IDI611" s="268"/>
      <c r="IDJ611" s="268"/>
      <c r="IDK611" s="268"/>
      <c r="IDL611" s="268"/>
      <c r="IDM611" s="268"/>
      <c r="IDN611" s="268"/>
      <c r="IDO611" s="268"/>
      <c r="IDP611" s="268"/>
      <c r="IDQ611" s="268"/>
      <c r="IDR611" s="268"/>
      <c r="IDS611" s="268"/>
      <c r="IDT611" s="268"/>
      <c r="IDU611" s="268"/>
      <c r="IDV611" s="268"/>
      <c r="IDW611" s="268"/>
      <c r="IDX611" s="268"/>
      <c r="IDY611" s="268"/>
      <c r="IDZ611" s="268"/>
      <c r="IEA611" s="268"/>
      <c r="IEB611" s="268"/>
      <c r="IEC611" s="268"/>
      <c r="IED611" s="268"/>
      <c r="IEE611" s="268"/>
      <c r="IEF611" s="268"/>
      <c r="IEG611" s="268"/>
      <c r="IEH611" s="268"/>
      <c r="IEI611" s="268"/>
      <c r="IEJ611" s="268"/>
      <c r="IEK611" s="268"/>
      <c r="IEL611" s="268"/>
      <c r="IEM611" s="268"/>
      <c r="IEN611" s="268"/>
      <c r="IEO611" s="268"/>
      <c r="IEP611" s="268"/>
      <c r="IEQ611" s="268"/>
      <c r="IER611" s="268"/>
      <c r="IES611" s="268"/>
      <c r="IET611" s="268"/>
      <c r="IEU611" s="268"/>
      <c r="IEV611" s="268"/>
      <c r="IEW611" s="268"/>
      <c r="IEX611" s="268"/>
      <c r="IEY611" s="268"/>
      <c r="IEZ611" s="268"/>
      <c r="IFA611" s="268"/>
      <c r="IFB611" s="268"/>
      <c r="IFC611" s="268"/>
      <c r="IFD611" s="268"/>
      <c r="IFE611" s="268"/>
      <c r="IFF611" s="268"/>
      <c r="IFG611" s="268"/>
      <c r="IFH611" s="268"/>
      <c r="IFI611" s="268"/>
      <c r="IFJ611" s="268"/>
      <c r="IFK611" s="268"/>
      <c r="IFL611" s="268"/>
      <c r="IFM611" s="268"/>
      <c r="IFN611" s="268"/>
      <c r="IFO611" s="268"/>
      <c r="IFP611" s="268"/>
      <c r="IFQ611" s="268"/>
      <c r="IFR611" s="268"/>
      <c r="IFS611" s="268"/>
      <c r="IFT611" s="268"/>
      <c r="IFU611" s="268"/>
      <c r="IFV611" s="268"/>
      <c r="IFW611" s="268"/>
      <c r="IFX611" s="268"/>
      <c r="IFY611" s="268"/>
      <c r="IFZ611" s="268"/>
      <c r="IGA611" s="268"/>
      <c r="IGB611" s="268"/>
      <c r="IGC611" s="268"/>
      <c r="IGD611" s="268"/>
      <c r="IGE611" s="268"/>
      <c r="IGF611" s="268"/>
      <c r="IGG611" s="268"/>
      <c r="IGH611" s="268"/>
      <c r="IGI611" s="268"/>
      <c r="IGJ611" s="268"/>
      <c r="IGK611" s="268"/>
      <c r="IGL611" s="268"/>
      <c r="IGM611" s="268"/>
      <c r="IGN611" s="268"/>
      <c r="IGO611" s="268"/>
      <c r="IGP611" s="268"/>
      <c r="IGQ611" s="268"/>
      <c r="IGR611" s="268"/>
      <c r="IGS611" s="268"/>
      <c r="IGT611" s="268"/>
      <c r="IGU611" s="268"/>
      <c r="IGV611" s="268"/>
      <c r="IGW611" s="268"/>
      <c r="IGX611" s="268"/>
      <c r="IGY611" s="268"/>
      <c r="IGZ611" s="268"/>
      <c r="IHA611" s="268"/>
      <c r="IHB611" s="268"/>
      <c r="IHC611" s="268"/>
      <c r="IHD611" s="268"/>
      <c r="IHE611" s="268"/>
      <c r="IHF611" s="268"/>
      <c r="IHG611" s="268"/>
      <c r="IHH611" s="268"/>
      <c r="IHI611" s="268"/>
      <c r="IHJ611" s="268"/>
      <c r="IHK611" s="268"/>
      <c r="IHL611" s="268"/>
      <c r="IHM611" s="268"/>
      <c r="IHN611" s="268"/>
      <c r="IHO611" s="268"/>
      <c r="IHP611" s="268"/>
      <c r="IHQ611" s="268"/>
      <c r="IHR611" s="268"/>
      <c r="IHS611" s="268"/>
      <c r="IHT611" s="268"/>
      <c r="IHU611" s="268"/>
      <c r="IHV611" s="268"/>
      <c r="IHW611" s="268"/>
      <c r="IHX611" s="268"/>
      <c r="IHY611" s="268"/>
      <c r="IHZ611" s="268"/>
      <c r="IIA611" s="268"/>
      <c r="IIB611" s="268"/>
      <c r="IIC611" s="268"/>
      <c r="IID611" s="268"/>
      <c r="IIE611" s="268"/>
      <c r="IIF611" s="268"/>
      <c r="IIG611" s="268"/>
      <c r="IIH611" s="268"/>
      <c r="III611" s="268"/>
      <c r="IIJ611" s="268"/>
      <c r="IIK611" s="268"/>
      <c r="IIL611" s="268"/>
      <c r="IIM611" s="268"/>
      <c r="IIN611" s="268"/>
      <c r="IIO611" s="268"/>
      <c r="IIP611" s="268"/>
      <c r="IIQ611" s="268"/>
      <c r="IIR611" s="268"/>
      <c r="IIS611" s="268"/>
      <c r="IIT611" s="268"/>
      <c r="IIU611" s="268"/>
      <c r="IIV611" s="268"/>
      <c r="IIW611" s="268"/>
      <c r="IIX611" s="268"/>
      <c r="IIY611" s="268"/>
      <c r="IIZ611" s="268"/>
      <c r="IJA611" s="268"/>
      <c r="IJB611" s="268"/>
      <c r="IJC611" s="268"/>
      <c r="IJD611" s="268"/>
      <c r="IJE611" s="268"/>
      <c r="IJF611" s="268"/>
      <c r="IJG611" s="268"/>
      <c r="IJH611" s="268"/>
      <c r="IJI611" s="268"/>
      <c r="IJJ611" s="268"/>
      <c r="IJK611" s="268"/>
      <c r="IJL611" s="268"/>
      <c r="IJM611" s="268"/>
      <c r="IJN611" s="268"/>
      <c r="IJO611" s="268"/>
      <c r="IJP611" s="268"/>
      <c r="IJQ611" s="268"/>
      <c r="IJR611" s="268"/>
      <c r="IJS611" s="268"/>
      <c r="IJT611" s="268"/>
      <c r="IJU611" s="268"/>
      <c r="IJV611" s="268"/>
      <c r="IJW611" s="268"/>
      <c r="IJX611" s="268"/>
      <c r="IJY611" s="268"/>
      <c r="IJZ611" s="268"/>
      <c r="IKA611" s="268"/>
      <c r="IKB611" s="268"/>
      <c r="IKC611" s="268"/>
      <c r="IKD611" s="268"/>
      <c r="IKE611" s="268"/>
      <c r="IKF611" s="268"/>
      <c r="IKG611" s="268"/>
      <c r="IKH611" s="268"/>
      <c r="IKI611" s="268"/>
      <c r="IKJ611" s="268"/>
      <c r="IKK611" s="268"/>
      <c r="IKL611" s="268"/>
      <c r="IKM611" s="268"/>
      <c r="IKN611" s="268"/>
      <c r="IKO611" s="268"/>
      <c r="IKP611" s="268"/>
      <c r="IKQ611" s="268"/>
      <c r="IKR611" s="268"/>
      <c r="IKS611" s="268"/>
      <c r="IKT611" s="268"/>
      <c r="IKU611" s="268"/>
      <c r="ILI611" s="268"/>
      <c r="ILJ611" s="268"/>
      <c r="ILK611" s="268"/>
      <c r="ILY611" s="268"/>
      <c r="IMA611" s="268"/>
      <c r="IMB611" s="268"/>
      <c r="IMC611" s="268"/>
      <c r="IMD611" s="268"/>
      <c r="IME611" s="268"/>
      <c r="IMF611" s="268"/>
      <c r="IMG611" s="268"/>
      <c r="IMH611" s="268"/>
      <c r="IMI611" s="268"/>
      <c r="IMJ611" s="268"/>
      <c r="IMK611" s="268"/>
      <c r="IML611" s="268"/>
      <c r="IMM611" s="268"/>
      <c r="IMN611" s="268"/>
      <c r="IMO611" s="268"/>
      <c r="IMP611" s="268"/>
      <c r="IMQ611" s="268"/>
      <c r="IMR611" s="268"/>
      <c r="IMS611" s="268"/>
      <c r="IMT611" s="268"/>
      <c r="IMU611" s="268"/>
      <c r="IMV611" s="268"/>
      <c r="IMW611" s="268"/>
      <c r="IMX611" s="268"/>
      <c r="IMY611" s="268"/>
      <c r="IMZ611" s="268"/>
      <c r="INA611" s="268"/>
      <c r="INB611" s="268"/>
      <c r="INC611" s="268"/>
      <c r="IND611" s="268"/>
      <c r="INE611" s="268"/>
      <c r="INF611" s="268"/>
      <c r="ING611" s="268"/>
      <c r="INH611" s="268"/>
      <c r="INI611" s="268"/>
      <c r="INJ611" s="268"/>
      <c r="INK611" s="268"/>
      <c r="INL611" s="268"/>
      <c r="INM611" s="268"/>
      <c r="INN611" s="268"/>
      <c r="INO611" s="268"/>
      <c r="INP611" s="268"/>
      <c r="INQ611" s="268"/>
      <c r="INR611" s="268"/>
      <c r="INS611" s="268"/>
      <c r="INT611" s="268"/>
      <c r="INU611" s="268"/>
      <c r="INV611" s="268"/>
      <c r="INW611" s="268"/>
      <c r="INX611" s="268"/>
      <c r="INY611" s="268"/>
      <c r="INZ611" s="268"/>
      <c r="IOA611" s="268"/>
      <c r="IOB611" s="268"/>
      <c r="IOC611" s="268"/>
      <c r="IOD611" s="268"/>
      <c r="IOE611" s="268"/>
      <c r="IOF611" s="268"/>
      <c r="IOG611" s="268"/>
      <c r="IOH611" s="268"/>
      <c r="IOI611" s="268"/>
      <c r="IOJ611" s="268"/>
      <c r="IOK611" s="268"/>
      <c r="IOL611" s="268"/>
      <c r="IOM611" s="268"/>
      <c r="ION611" s="268"/>
      <c r="IOO611" s="268"/>
      <c r="IOP611" s="268"/>
      <c r="IOQ611" s="268"/>
      <c r="IOR611" s="268"/>
      <c r="IOS611" s="268"/>
      <c r="IOT611" s="268"/>
      <c r="IOU611" s="268"/>
      <c r="IOV611" s="268"/>
      <c r="IOW611" s="268"/>
      <c r="IOX611" s="268"/>
      <c r="IOY611" s="268"/>
      <c r="IOZ611" s="268"/>
      <c r="IPA611" s="268"/>
      <c r="IPB611" s="268"/>
      <c r="IPC611" s="268"/>
      <c r="IPD611" s="268"/>
      <c r="IPE611" s="268"/>
      <c r="IPF611" s="268"/>
      <c r="IPG611" s="268"/>
      <c r="IPH611" s="268"/>
      <c r="IPI611" s="268"/>
      <c r="IPJ611" s="268"/>
      <c r="IPK611" s="268"/>
      <c r="IPL611" s="268"/>
      <c r="IPM611" s="268"/>
      <c r="IPN611" s="268"/>
      <c r="IPO611" s="268"/>
      <c r="IPP611" s="268"/>
      <c r="IPQ611" s="268"/>
      <c r="IPR611" s="268"/>
      <c r="IPS611" s="268"/>
      <c r="IPT611" s="268"/>
      <c r="IPU611" s="268"/>
      <c r="IPV611" s="268"/>
      <c r="IPW611" s="268"/>
      <c r="IPX611" s="268"/>
      <c r="IPY611" s="268"/>
      <c r="IPZ611" s="268"/>
      <c r="IQA611" s="268"/>
      <c r="IQB611" s="268"/>
      <c r="IQC611" s="268"/>
      <c r="IQD611" s="268"/>
      <c r="IQE611" s="268"/>
      <c r="IQF611" s="268"/>
      <c r="IQG611" s="268"/>
      <c r="IQH611" s="268"/>
      <c r="IQI611" s="268"/>
      <c r="IQJ611" s="268"/>
      <c r="IQK611" s="268"/>
      <c r="IQL611" s="268"/>
      <c r="IQM611" s="268"/>
      <c r="IQN611" s="268"/>
      <c r="IQO611" s="268"/>
      <c r="IQP611" s="268"/>
      <c r="IQQ611" s="268"/>
      <c r="IQR611" s="268"/>
      <c r="IQS611" s="268"/>
      <c r="IQT611" s="268"/>
      <c r="IQU611" s="268"/>
      <c r="IQV611" s="268"/>
      <c r="IQW611" s="268"/>
      <c r="IQX611" s="268"/>
      <c r="IQY611" s="268"/>
      <c r="IQZ611" s="268"/>
      <c r="IRA611" s="268"/>
      <c r="IRB611" s="268"/>
      <c r="IRC611" s="268"/>
      <c r="IRD611" s="268"/>
      <c r="IRE611" s="268"/>
      <c r="IRF611" s="268"/>
      <c r="IRG611" s="268"/>
      <c r="IRH611" s="268"/>
      <c r="IRI611" s="268"/>
      <c r="IRJ611" s="268"/>
      <c r="IRK611" s="268"/>
      <c r="IRL611" s="268"/>
      <c r="IRM611" s="268"/>
      <c r="IRN611" s="268"/>
      <c r="IRO611" s="268"/>
      <c r="IRP611" s="268"/>
      <c r="IRQ611" s="268"/>
      <c r="IRR611" s="268"/>
      <c r="IRS611" s="268"/>
      <c r="IRT611" s="268"/>
      <c r="IRU611" s="268"/>
      <c r="IRV611" s="268"/>
      <c r="IRW611" s="268"/>
      <c r="IRX611" s="268"/>
      <c r="IRY611" s="268"/>
      <c r="IRZ611" s="268"/>
      <c r="ISA611" s="268"/>
      <c r="ISB611" s="268"/>
      <c r="ISC611" s="268"/>
      <c r="ISD611" s="268"/>
      <c r="ISE611" s="268"/>
      <c r="ISF611" s="268"/>
      <c r="ISG611" s="268"/>
      <c r="ISH611" s="268"/>
      <c r="ISI611" s="268"/>
      <c r="ISJ611" s="268"/>
      <c r="ISK611" s="268"/>
      <c r="ISL611" s="268"/>
      <c r="ISM611" s="268"/>
      <c r="ISN611" s="268"/>
      <c r="ISO611" s="268"/>
      <c r="ISP611" s="268"/>
      <c r="ISQ611" s="268"/>
      <c r="ISR611" s="268"/>
      <c r="ISS611" s="268"/>
      <c r="IST611" s="268"/>
      <c r="ISU611" s="268"/>
      <c r="ISV611" s="268"/>
      <c r="ISW611" s="268"/>
      <c r="ISX611" s="268"/>
      <c r="ISY611" s="268"/>
      <c r="ISZ611" s="268"/>
      <c r="ITA611" s="268"/>
      <c r="ITB611" s="268"/>
      <c r="ITC611" s="268"/>
      <c r="ITD611" s="268"/>
      <c r="ITE611" s="268"/>
      <c r="ITF611" s="268"/>
      <c r="ITG611" s="268"/>
      <c r="ITH611" s="268"/>
      <c r="ITI611" s="268"/>
      <c r="ITJ611" s="268"/>
      <c r="ITK611" s="268"/>
      <c r="ITL611" s="268"/>
      <c r="ITM611" s="268"/>
      <c r="ITN611" s="268"/>
      <c r="ITO611" s="268"/>
      <c r="ITP611" s="268"/>
      <c r="ITQ611" s="268"/>
      <c r="ITR611" s="268"/>
      <c r="ITS611" s="268"/>
      <c r="ITT611" s="268"/>
      <c r="ITU611" s="268"/>
      <c r="ITV611" s="268"/>
      <c r="ITW611" s="268"/>
      <c r="ITX611" s="268"/>
      <c r="ITY611" s="268"/>
      <c r="ITZ611" s="268"/>
      <c r="IUA611" s="268"/>
      <c r="IUB611" s="268"/>
      <c r="IUC611" s="268"/>
      <c r="IUD611" s="268"/>
      <c r="IUE611" s="268"/>
      <c r="IUF611" s="268"/>
      <c r="IUG611" s="268"/>
      <c r="IUH611" s="268"/>
      <c r="IUI611" s="268"/>
      <c r="IUJ611" s="268"/>
      <c r="IUK611" s="268"/>
      <c r="IUL611" s="268"/>
      <c r="IUM611" s="268"/>
      <c r="IUN611" s="268"/>
      <c r="IUO611" s="268"/>
      <c r="IUP611" s="268"/>
      <c r="IUQ611" s="268"/>
      <c r="IVE611" s="268"/>
      <c r="IVF611" s="268"/>
      <c r="IVG611" s="268"/>
      <c r="IVU611" s="268"/>
      <c r="IVW611" s="268"/>
      <c r="IVX611" s="268"/>
      <c r="IVY611" s="268"/>
      <c r="IVZ611" s="268"/>
      <c r="IWA611" s="268"/>
      <c r="IWB611" s="268"/>
      <c r="IWC611" s="268"/>
      <c r="IWD611" s="268"/>
      <c r="IWE611" s="268"/>
      <c r="IWF611" s="268"/>
      <c r="IWG611" s="268"/>
      <c r="IWH611" s="268"/>
      <c r="IWI611" s="268"/>
      <c r="IWJ611" s="268"/>
      <c r="IWK611" s="268"/>
      <c r="IWL611" s="268"/>
      <c r="IWM611" s="268"/>
      <c r="IWN611" s="268"/>
      <c r="IWO611" s="268"/>
      <c r="IWP611" s="268"/>
      <c r="IWQ611" s="268"/>
      <c r="IWR611" s="268"/>
      <c r="IWS611" s="268"/>
      <c r="IWT611" s="268"/>
      <c r="IWU611" s="268"/>
      <c r="IWV611" s="268"/>
      <c r="IWW611" s="268"/>
      <c r="IWX611" s="268"/>
      <c r="IWY611" s="268"/>
      <c r="IWZ611" s="268"/>
      <c r="IXA611" s="268"/>
      <c r="IXB611" s="268"/>
      <c r="IXC611" s="268"/>
      <c r="IXD611" s="268"/>
      <c r="IXE611" s="268"/>
      <c r="IXF611" s="268"/>
      <c r="IXG611" s="268"/>
      <c r="IXH611" s="268"/>
      <c r="IXI611" s="268"/>
      <c r="IXJ611" s="268"/>
      <c r="IXK611" s="268"/>
      <c r="IXL611" s="268"/>
      <c r="IXM611" s="268"/>
      <c r="IXN611" s="268"/>
      <c r="IXO611" s="268"/>
      <c r="IXP611" s="268"/>
      <c r="IXQ611" s="268"/>
      <c r="IXR611" s="268"/>
      <c r="IXS611" s="268"/>
      <c r="IXT611" s="268"/>
      <c r="IXU611" s="268"/>
      <c r="IXV611" s="268"/>
      <c r="IXW611" s="268"/>
      <c r="IXX611" s="268"/>
      <c r="IXY611" s="268"/>
      <c r="IXZ611" s="268"/>
      <c r="IYA611" s="268"/>
      <c r="IYB611" s="268"/>
      <c r="IYC611" s="268"/>
      <c r="IYD611" s="268"/>
      <c r="IYE611" s="268"/>
      <c r="IYF611" s="268"/>
      <c r="IYG611" s="268"/>
      <c r="IYH611" s="268"/>
      <c r="IYI611" s="268"/>
      <c r="IYJ611" s="268"/>
      <c r="IYK611" s="268"/>
      <c r="IYL611" s="268"/>
      <c r="IYM611" s="268"/>
      <c r="IYN611" s="268"/>
      <c r="IYO611" s="268"/>
      <c r="IYP611" s="268"/>
      <c r="IYQ611" s="268"/>
      <c r="IYR611" s="268"/>
      <c r="IYS611" s="268"/>
      <c r="IYT611" s="268"/>
      <c r="IYU611" s="268"/>
      <c r="IYV611" s="268"/>
      <c r="IYW611" s="268"/>
      <c r="IYX611" s="268"/>
      <c r="IYY611" s="268"/>
      <c r="IYZ611" s="268"/>
      <c r="IZA611" s="268"/>
      <c r="IZB611" s="268"/>
      <c r="IZC611" s="268"/>
      <c r="IZD611" s="268"/>
      <c r="IZE611" s="268"/>
      <c r="IZF611" s="268"/>
      <c r="IZG611" s="268"/>
      <c r="IZH611" s="268"/>
      <c r="IZI611" s="268"/>
      <c r="IZJ611" s="268"/>
      <c r="IZK611" s="268"/>
      <c r="IZL611" s="268"/>
      <c r="IZM611" s="268"/>
      <c r="IZN611" s="268"/>
      <c r="IZO611" s="268"/>
      <c r="IZP611" s="268"/>
      <c r="IZQ611" s="268"/>
      <c r="IZR611" s="268"/>
      <c r="IZS611" s="268"/>
      <c r="IZT611" s="268"/>
      <c r="IZU611" s="268"/>
      <c r="IZV611" s="268"/>
      <c r="IZW611" s="268"/>
      <c r="IZX611" s="268"/>
      <c r="IZY611" s="268"/>
      <c r="IZZ611" s="268"/>
      <c r="JAA611" s="268"/>
      <c r="JAB611" s="268"/>
      <c r="JAC611" s="268"/>
      <c r="JAD611" s="268"/>
      <c r="JAE611" s="268"/>
      <c r="JAF611" s="268"/>
      <c r="JAG611" s="268"/>
      <c r="JAH611" s="268"/>
      <c r="JAI611" s="268"/>
      <c r="JAJ611" s="268"/>
      <c r="JAK611" s="268"/>
      <c r="JAL611" s="268"/>
      <c r="JAM611" s="268"/>
      <c r="JAN611" s="268"/>
      <c r="JAO611" s="268"/>
      <c r="JAP611" s="268"/>
      <c r="JAQ611" s="268"/>
      <c r="JAR611" s="268"/>
      <c r="JAS611" s="268"/>
      <c r="JAT611" s="268"/>
      <c r="JAU611" s="268"/>
      <c r="JAV611" s="268"/>
      <c r="JAW611" s="268"/>
      <c r="JAX611" s="268"/>
      <c r="JAY611" s="268"/>
      <c r="JAZ611" s="268"/>
      <c r="JBA611" s="268"/>
      <c r="JBB611" s="268"/>
      <c r="JBC611" s="268"/>
      <c r="JBD611" s="268"/>
      <c r="JBE611" s="268"/>
      <c r="JBF611" s="268"/>
      <c r="JBG611" s="268"/>
      <c r="JBH611" s="268"/>
      <c r="JBI611" s="268"/>
      <c r="JBJ611" s="268"/>
      <c r="JBK611" s="268"/>
      <c r="JBL611" s="268"/>
      <c r="JBM611" s="268"/>
      <c r="JBN611" s="268"/>
      <c r="JBO611" s="268"/>
      <c r="JBP611" s="268"/>
      <c r="JBQ611" s="268"/>
      <c r="JBR611" s="268"/>
      <c r="JBS611" s="268"/>
      <c r="JBT611" s="268"/>
      <c r="JBU611" s="268"/>
      <c r="JBV611" s="268"/>
      <c r="JBW611" s="268"/>
      <c r="JBX611" s="268"/>
      <c r="JBY611" s="268"/>
      <c r="JBZ611" s="268"/>
      <c r="JCA611" s="268"/>
      <c r="JCB611" s="268"/>
      <c r="JCC611" s="268"/>
      <c r="JCD611" s="268"/>
      <c r="JCE611" s="268"/>
      <c r="JCF611" s="268"/>
      <c r="JCG611" s="268"/>
      <c r="JCH611" s="268"/>
      <c r="JCI611" s="268"/>
      <c r="JCJ611" s="268"/>
      <c r="JCK611" s="268"/>
      <c r="JCL611" s="268"/>
      <c r="JCM611" s="268"/>
      <c r="JCN611" s="268"/>
      <c r="JCO611" s="268"/>
      <c r="JCP611" s="268"/>
      <c r="JCQ611" s="268"/>
      <c r="JCR611" s="268"/>
      <c r="JCS611" s="268"/>
      <c r="JCT611" s="268"/>
      <c r="JCU611" s="268"/>
      <c r="JCV611" s="268"/>
      <c r="JCW611" s="268"/>
      <c r="JCX611" s="268"/>
      <c r="JCY611" s="268"/>
      <c r="JCZ611" s="268"/>
      <c r="JDA611" s="268"/>
      <c r="JDB611" s="268"/>
      <c r="JDC611" s="268"/>
      <c r="JDD611" s="268"/>
      <c r="JDE611" s="268"/>
      <c r="JDF611" s="268"/>
      <c r="JDG611" s="268"/>
      <c r="JDH611" s="268"/>
      <c r="JDI611" s="268"/>
      <c r="JDJ611" s="268"/>
      <c r="JDK611" s="268"/>
      <c r="JDL611" s="268"/>
      <c r="JDM611" s="268"/>
      <c r="JDN611" s="268"/>
      <c r="JDO611" s="268"/>
      <c r="JDP611" s="268"/>
      <c r="JDQ611" s="268"/>
      <c r="JDR611" s="268"/>
      <c r="JDS611" s="268"/>
      <c r="JDT611" s="268"/>
      <c r="JDU611" s="268"/>
      <c r="JDV611" s="268"/>
      <c r="JDW611" s="268"/>
      <c r="JDX611" s="268"/>
      <c r="JDY611" s="268"/>
      <c r="JDZ611" s="268"/>
      <c r="JEA611" s="268"/>
      <c r="JEB611" s="268"/>
      <c r="JEC611" s="268"/>
      <c r="JED611" s="268"/>
      <c r="JEE611" s="268"/>
      <c r="JEF611" s="268"/>
      <c r="JEG611" s="268"/>
      <c r="JEH611" s="268"/>
      <c r="JEI611" s="268"/>
      <c r="JEJ611" s="268"/>
      <c r="JEK611" s="268"/>
      <c r="JEL611" s="268"/>
      <c r="JEM611" s="268"/>
      <c r="JFA611" s="268"/>
      <c r="JFB611" s="268"/>
      <c r="JFC611" s="268"/>
      <c r="JFQ611" s="268"/>
      <c r="JFS611" s="268"/>
      <c r="JFT611" s="268"/>
      <c r="JFU611" s="268"/>
      <c r="JFV611" s="268"/>
      <c r="JFW611" s="268"/>
      <c r="JFX611" s="268"/>
      <c r="JFY611" s="268"/>
      <c r="JFZ611" s="268"/>
      <c r="JGA611" s="268"/>
      <c r="JGB611" s="268"/>
      <c r="JGC611" s="268"/>
      <c r="JGD611" s="268"/>
      <c r="JGE611" s="268"/>
      <c r="JGF611" s="268"/>
      <c r="JGG611" s="268"/>
      <c r="JGH611" s="268"/>
      <c r="JGI611" s="268"/>
      <c r="JGJ611" s="268"/>
      <c r="JGK611" s="268"/>
      <c r="JGL611" s="268"/>
      <c r="JGM611" s="268"/>
      <c r="JGN611" s="268"/>
      <c r="JGO611" s="268"/>
      <c r="JGP611" s="268"/>
      <c r="JGQ611" s="268"/>
      <c r="JGR611" s="268"/>
      <c r="JGS611" s="268"/>
      <c r="JGT611" s="268"/>
      <c r="JGU611" s="268"/>
      <c r="JGV611" s="268"/>
      <c r="JGW611" s="268"/>
      <c r="JGX611" s="268"/>
      <c r="JGY611" s="268"/>
      <c r="JGZ611" s="268"/>
      <c r="JHA611" s="268"/>
      <c r="JHB611" s="268"/>
      <c r="JHC611" s="268"/>
      <c r="JHD611" s="268"/>
      <c r="JHE611" s="268"/>
      <c r="JHF611" s="268"/>
      <c r="JHG611" s="268"/>
      <c r="JHH611" s="268"/>
      <c r="JHI611" s="268"/>
      <c r="JHJ611" s="268"/>
      <c r="JHK611" s="268"/>
      <c r="JHL611" s="268"/>
      <c r="JHM611" s="268"/>
      <c r="JHN611" s="268"/>
      <c r="JHO611" s="268"/>
      <c r="JHP611" s="268"/>
      <c r="JHQ611" s="268"/>
      <c r="JHR611" s="268"/>
      <c r="JHS611" s="268"/>
      <c r="JHT611" s="268"/>
      <c r="JHU611" s="268"/>
      <c r="JHV611" s="268"/>
      <c r="JHW611" s="268"/>
      <c r="JHX611" s="268"/>
      <c r="JHY611" s="268"/>
      <c r="JHZ611" s="268"/>
      <c r="JIA611" s="268"/>
      <c r="JIB611" s="268"/>
      <c r="JIC611" s="268"/>
      <c r="JID611" s="268"/>
      <c r="JIE611" s="268"/>
      <c r="JIF611" s="268"/>
      <c r="JIG611" s="268"/>
      <c r="JIH611" s="268"/>
      <c r="JII611" s="268"/>
      <c r="JIJ611" s="268"/>
      <c r="JIK611" s="268"/>
      <c r="JIL611" s="268"/>
      <c r="JIM611" s="268"/>
      <c r="JIN611" s="268"/>
      <c r="JIO611" s="268"/>
      <c r="JIP611" s="268"/>
      <c r="JIQ611" s="268"/>
      <c r="JIR611" s="268"/>
      <c r="JIS611" s="268"/>
      <c r="JIT611" s="268"/>
      <c r="JIU611" s="268"/>
      <c r="JIV611" s="268"/>
      <c r="JIW611" s="268"/>
      <c r="JIX611" s="268"/>
      <c r="JIY611" s="268"/>
      <c r="JIZ611" s="268"/>
      <c r="JJA611" s="268"/>
      <c r="JJB611" s="268"/>
      <c r="JJC611" s="268"/>
      <c r="JJD611" s="268"/>
      <c r="JJE611" s="268"/>
      <c r="JJF611" s="268"/>
      <c r="JJG611" s="268"/>
      <c r="JJH611" s="268"/>
      <c r="JJI611" s="268"/>
      <c r="JJJ611" s="268"/>
      <c r="JJK611" s="268"/>
      <c r="JJL611" s="268"/>
      <c r="JJM611" s="268"/>
      <c r="JJN611" s="268"/>
      <c r="JJO611" s="268"/>
      <c r="JJP611" s="268"/>
      <c r="JJQ611" s="268"/>
      <c r="JJR611" s="268"/>
      <c r="JJS611" s="268"/>
      <c r="JJT611" s="268"/>
      <c r="JJU611" s="268"/>
      <c r="JJV611" s="268"/>
      <c r="JJW611" s="268"/>
      <c r="JJX611" s="268"/>
      <c r="JJY611" s="268"/>
      <c r="JJZ611" s="268"/>
      <c r="JKA611" s="268"/>
      <c r="JKB611" s="268"/>
      <c r="JKC611" s="268"/>
      <c r="JKD611" s="268"/>
      <c r="JKE611" s="268"/>
      <c r="JKF611" s="268"/>
      <c r="JKG611" s="268"/>
      <c r="JKH611" s="268"/>
      <c r="JKI611" s="268"/>
      <c r="JKJ611" s="268"/>
      <c r="JKK611" s="268"/>
      <c r="JKL611" s="268"/>
      <c r="JKM611" s="268"/>
      <c r="JKN611" s="268"/>
      <c r="JKO611" s="268"/>
      <c r="JKP611" s="268"/>
      <c r="JKQ611" s="268"/>
      <c r="JKR611" s="268"/>
      <c r="JKS611" s="268"/>
      <c r="JKT611" s="268"/>
      <c r="JKU611" s="268"/>
      <c r="JKV611" s="268"/>
      <c r="JKW611" s="268"/>
      <c r="JKX611" s="268"/>
      <c r="JKY611" s="268"/>
      <c r="JKZ611" s="268"/>
      <c r="JLA611" s="268"/>
      <c r="JLB611" s="268"/>
      <c r="JLC611" s="268"/>
      <c r="JLD611" s="268"/>
      <c r="JLE611" s="268"/>
      <c r="JLF611" s="268"/>
      <c r="JLG611" s="268"/>
      <c r="JLH611" s="268"/>
      <c r="JLI611" s="268"/>
      <c r="JLJ611" s="268"/>
      <c r="JLK611" s="268"/>
      <c r="JLL611" s="268"/>
      <c r="JLM611" s="268"/>
      <c r="JLN611" s="268"/>
      <c r="JLO611" s="268"/>
      <c r="JLP611" s="268"/>
      <c r="JLQ611" s="268"/>
      <c r="JLR611" s="268"/>
      <c r="JLS611" s="268"/>
      <c r="JLT611" s="268"/>
      <c r="JLU611" s="268"/>
      <c r="JLV611" s="268"/>
      <c r="JLW611" s="268"/>
      <c r="JLX611" s="268"/>
      <c r="JLY611" s="268"/>
      <c r="JLZ611" s="268"/>
      <c r="JMA611" s="268"/>
      <c r="JMB611" s="268"/>
      <c r="JMC611" s="268"/>
      <c r="JMD611" s="268"/>
      <c r="JME611" s="268"/>
      <c r="JMF611" s="268"/>
      <c r="JMG611" s="268"/>
      <c r="JMH611" s="268"/>
      <c r="JMI611" s="268"/>
      <c r="JMJ611" s="268"/>
      <c r="JMK611" s="268"/>
      <c r="JML611" s="268"/>
      <c r="JMM611" s="268"/>
      <c r="JMN611" s="268"/>
      <c r="JMO611" s="268"/>
      <c r="JMP611" s="268"/>
      <c r="JMQ611" s="268"/>
      <c r="JMR611" s="268"/>
      <c r="JMS611" s="268"/>
      <c r="JMT611" s="268"/>
      <c r="JMU611" s="268"/>
      <c r="JMV611" s="268"/>
      <c r="JMW611" s="268"/>
      <c r="JMX611" s="268"/>
      <c r="JMY611" s="268"/>
      <c r="JMZ611" s="268"/>
      <c r="JNA611" s="268"/>
      <c r="JNB611" s="268"/>
      <c r="JNC611" s="268"/>
      <c r="JND611" s="268"/>
      <c r="JNE611" s="268"/>
      <c r="JNF611" s="268"/>
      <c r="JNG611" s="268"/>
      <c r="JNH611" s="268"/>
      <c r="JNI611" s="268"/>
      <c r="JNJ611" s="268"/>
      <c r="JNK611" s="268"/>
      <c r="JNL611" s="268"/>
      <c r="JNM611" s="268"/>
      <c r="JNN611" s="268"/>
      <c r="JNO611" s="268"/>
      <c r="JNP611" s="268"/>
      <c r="JNQ611" s="268"/>
      <c r="JNR611" s="268"/>
      <c r="JNS611" s="268"/>
      <c r="JNT611" s="268"/>
      <c r="JNU611" s="268"/>
      <c r="JNV611" s="268"/>
      <c r="JNW611" s="268"/>
      <c r="JNX611" s="268"/>
      <c r="JNY611" s="268"/>
      <c r="JNZ611" s="268"/>
      <c r="JOA611" s="268"/>
      <c r="JOB611" s="268"/>
      <c r="JOC611" s="268"/>
      <c r="JOD611" s="268"/>
      <c r="JOE611" s="268"/>
      <c r="JOF611" s="268"/>
      <c r="JOG611" s="268"/>
      <c r="JOH611" s="268"/>
      <c r="JOI611" s="268"/>
      <c r="JOW611" s="268"/>
      <c r="JOX611" s="268"/>
      <c r="JOY611" s="268"/>
      <c r="JPM611" s="268"/>
      <c r="JPO611" s="268"/>
      <c r="JPP611" s="268"/>
      <c r="JPQ611" s="268"/>
      <c r="JPR611" s="268"/>
      <c r="JPS611" s="268"/>
      <c r="JPT611" s="268"/>
      <c r="JPU611" s="268"/>
      <c r="JPV611" s="268"/>
      <c r="JPW611" s="268"/>
      <c r="JPX611" s="268"/>
      <c r="JPY611" s="268"/>
      <c r="JPZ611" s="268"/>
      <c r="JQA611" s="268"/>
      <c r="JQB611" s="268"/>
      <c r="JQC611" s="268"/>
      <c r="JQD611" s="268"/>
      <c r="JQE611" s="268"/>
      <c r="JQF611" s="268"/>
      <c r="JQG611" s="268"/>
      <c r="JQH611" s="268"/>
      <c r="JQI611" s="268"/>
      <c r="JQJ611" s="268"/>
      <c r="JQK611" s="268"/>
      <c r="JQL611" s="268"/>
      <c r="JQM611" s="268"/>
      <c r="JQN611" s="268"/>
      <c r="JQO611" s="268"/>
      <c r="JQP611" s="268"/>
      <c r="JQQ611" s="268"/>
      <c r="JQR611" s="268"/>
      <c r="JQS611" s="268"/>
      <c r="JQT611" s="268"/>
      <c r="JQU611" s="268"/>
      <c r="JQV611" s="268"/>
      <c r="JQW611" s="268"/>
      <c r="JQX611" s="268"/>
      <c r="JQY611" s="268"/>
      <c r="JQZ611" s="268"/>
      <c r="JRA611" s="268"/>
      <c r="JRB611" s="268"/>
      <c r="JRC611" s="268"/>
      <c r="JRD611" s="268"/>
      <c r="JRE611" s="268"/>
      <c r="JRF611" s="268"/>
      <c r="JRG611" s="268"/>
      <c r="JRH611" s="268"/>
      <c r="JRI611" s="268"/>
      <c r="JRJ611" s="268"/>
      <c r="JRK611" s="268"/>
      <c r="JRL611" s="268"/>
      <c r="JRM611" s="268"/>
      <c r="JRN611" s="268"/>
      <c r="JRO611" s="268"/>
      <c r="JRP611" s="268"/>
      <c r="JRQ611" s="268"/>
      <c r="JRR611" s="268"/>
      <c r="JRS611" s="268"/>
      <c r="JRT611" s="268"/>
      <c r="JRU611" s="268"/>
      <c r="JRV611" s="268"/>
      <c r="JRW611" s="268"/>
      <c r="JRX611" s="268"/>
      <c r="JRY611" s="268"/>
      <c r="JRZ611" s="268"/>
      <c r="JSA611" s="268"/>
      <c r="JSB611" s="268"/>
      <c r="JSC611" s="268"/>
      <c r="JSD611" s="268"/>
      <c r="JSE611" s="268"/>
      <c r="JSF611" s="268"/>
      <c r="JSG611" s="268"/>
      <c r="JSH611" s="268"/>
      <c r="JSI611" s="268"/>
      <c r="JSJ611" s="268"/>
      <c r="JSK611" s="268"/>
      <c r="JSL611" s="268"/>
      <c r="JSM611" s="268"/>
      <c r="JSN611" s="268"/>
      <c r="JSO611" s="268"/>
      <c r="JSP611" s="268"/>
      <c r="JSQ611" s="268"/>
      <c r="JSR611" s="268"/>
      <c r="JSS611" s="268"/>
      <c r="JST611" s="268"/>
      <c r="JSU611" s="268"/>
      <c r="JSV611" s="268"/>
      <c r="JSW611" s="268"/>
      <c r="JSX611" s="268"/>
      <c r="JSY611" s="268"/>
      <c r="JSZ611" s="268"/>
      <c r="JTA611" s="268"/>
      <c r="JTB611" s="268"/>
      <c r="JTC611" s="268"/>
      <c r="JTD611" s="268"/>
      <c r="JTE611" s="268"/>
      <c r="JTF611" s="268"/>
      <c r="JTG611" s="268"/>
      <c r="JTH611" s="268"/>
      <c r="JTI611" s="268"/>
      <c r="JTJ611" s="268"/>
      <c r="JTK611" s="268"/>
      <c r="JTL611" s="268"/>
      <c r="JTM611" s="268"/>
      <c r="JTN611" s="268"/>
      <c r="JTO611" s="268"/>
      <c r="JTP611" s="268"/>
      <c r="JTQ611" s="268"/>
      <c r="JTR611" s="268"/>
      <c r="JTS611" s="268"/>
      <c r="JTT611" s="268"/>
      <c r="JTU611" s="268"/>
      <c r="JTV611" s="268"/>
      <c r="JTW611" s="268"/>
      <c r="JTX611" s="268"/>
      <c r="JTY611" s="268"/>
      <c r="JTZ611" s="268"/>
      <c r="JUA611" s="268"/>
      <c r="JUB611" s="268"/>
      <c r="JUC611" s="268"/>
      <c r="JUD611" s="268"/>
      <c r="JUE611" s="268"/>
      <c r="JUF611" s="268"/>
      <c r="JUG611" s="268"/>
      <c r="JUH611" s="268"/>
      <c r="JUI611" s="268"/>
      <c r="JUJ611" s="268"/>
      <c r="JUK611" s="268"/>
      <c r="JUL611" s="268"/>
      <c r="JUM611" s="268"/>
      <c r="JUN611" s="268"/>
      <c r="JUO611" s="268"/>
      <c r="JUP611" s="268"/>
      <c r="JUQ611" s="268"/>
      <c r="JUR611" s="268"/>
      <c r="JUS611" s="268"/>
      <c r="JUT611" s="268"/>
      <c r="JUU611" s="268"/>
      <c r="JUV611" s="268"/>
      <c r="JUW611" s="268"/>
      <c r="JUX611" s="268"/>
      <c r="JUY611" s="268"/>
      <c r="JUZ611" s="268"/>
      <c r="JVA611" s="268"/>
      <c r="JVB611" s="268"/>
      <c r="JVC611" s="268"/>
      <c r="JVD611" s="268"/>
      <c r="JVE611" s="268"/>
      <c r="JVF611" s="268"/>
      <c r="JVG611" s="268"/>
      <c r="JVH611" s="268"/>
      <c r="JVI611" s="268"/>
      <c r="JVJ611" s="268"/>
      <c r="JVK611" s="268"/>
      <c r="JVL611" s="268"/>
      <c r="JVM611" s="268"/>
      <c r="JVN611" s="268"/>
      <c r="JVO611" s="268"/>
      <c r="JVP611" s="268"/>
      <c r="JVQ611" s="268"/>
      <c r="JVR611" s="268"/>
      <c r="JVS611" s="268"/>
      <c r="JVT611" s="268"/>
      <c r="JVU611" s="268"/>
      <c r="JVV611" s="268"/>
      <c r="JVW611" s="268"/>
      <c r="JVX611" s="268"/>
      <c r="JVY611" s="268"/>
      <c r="JVZ611" s="268"/>
      <c r="JWA611" s="268"/>
      <c r="JWB611" s="268"/>
      <c r="JWC611" s="268"/>
      <c r="JWD611" s="268"/>
      <c r="JWE611" s="268"/>
      <c r="JWF611" s="268"/>
      <c r="JWG611" s="268"/>
      <c r="JWH611" s="268"/>
      <c r="JWI611" s="268"/>
      <c r="JWJ611" s="268"/>
      <c r="JWK611" s="268"/>
      <c r="JWL611" s="268"/>
      <c r="JWM611" s="268"/>
      <c r="JWN611" s="268"/>
      <c r="JWO611" s="268"/>
      <c r="JWP611" s="268"/>
      <c r="JWQ611" s="268"/>
      <c r="JWR611" s="268"/>
      <c r="JWS611" s="268"/>
      <c r="JWT611" s="268"/>
      <c r="JWU611" s="268"/>
      <c r="JWV611" s="268"/>
      <c r="JWW611" s="268"/>
      <c r="JWX611" s="268"/>
      <c r="JWY611" s="268"/>
      <c r="JWZ611" s="268"/>
      <c r="JXA611" s="268"/>
      <c r="JXB611" s="268"/>
      <c r="JXC611" s="268"/>
      <c r="JXD611" s="268"/>
      <c r="JXE611" s="268"/>
      <c r="JXF611" s="268"/>
      <c r="JXG611" s="268"/>
      <c r="JXH611" s="268"/>
      <c r="JXI611" s="268"/>
      <c r="JXJ611" s="268"/>
      <c r="JXK611" s="268"/>
      <c r="JXL611" s="268"/>
      <c r="JXM611" s="268"/>
      <c r="JXN611" s="268"/>
      <c r="JXO611" s="268"/>
      <c r="JXP611" s="268"/>
      <c r="JXQ611" s="268"/>
      <c r="JXR611" s="268"/>
      <c r="JXS611" s="268"/>
      <c r="JXT611" s="268"/>
      <c r="JXU611" s="268"/>
      <c r="JXV611" s="268"/>
      <c r="JXW611" s="268"/>
      <c r="JXX611" s="268"/>
      <c r="JXY611" s="268"/>
      <c r="JXZ611" s="268"/>
      <c r="JYA611" s="268"/>
      <c r="JYB611" s="268"/>
      <c r="JYC611" s="268"/>
      <c r="JYD611" s="268"/>
      <c r="JYE611" s="268"/>
      <c r="JYS611" s="268"/>
      <c r="JYT611" s="268"/>
      <c r="JYU611" s="268"/>
      <c r="JZI611" s="268"/>
      <c r="JZK611" s="268"/>
      <c r="JZL611" s="268"/>
      <c r="JZM611" s="268"/>
      <c r="JZN611" s="268"/>
      <c r="JZO611" s="268"/>
      <c r="JZP611" s="268"/>
      <c r="JZQ611" s="268"/>
      <c r="JZR611" s="268"/>
      <c r="JZS611" s="268"/>
      <c r="JZT611" s="268"/>
      <c r="JZU611" s="268"/>
      <c r="JZV611" s="268"/>
      <c r="JZW611" s="268"/>
      <c r="JZX611" s="268"/>
      <c r="JZY611" s="268"/>
      <c r="JZZ611" s="268"/>
      <c r="KAA611" s="268"/>
      <c r="KAB611" s="268"/>
      <c r="KAC611" s="268"/>
      <c r="KAD611" s="268"/>
      <c r="KAE611" s="268"/>
      <c r="KAF611" s="268"/>
      <c r="KAG611" s="268"/>
      <c r="KAH611" s="268"/>
      <c r="KAI611" s="268"/>
      <c r="KAJ611" s="268"/>
      <c r="KAK611" s="268"/>
      <c r="KAL611" s="268"/>
      <c r="KAM611" s="268"/>
      <c r="KAN611" s="268"/>
      <c r="KAO611" s="268"/>
      <c r="KAP611" s="268"/>
      <c r="KAQ611" s="268"/>
      <c r="KAR611" s="268"/>
      <c r="KAS611" s="268"/>
      <c r="KAT611" s="268"/>
      <c r="KAU611" s="268"/>
      <c r="KAV611" s="268"/>
      <c r="KAW611" s="268"/>
      <c r="KAX611" s="268"/>
      <c r="KAY611" s="268"/>
      <c r="KAZ611" s="268"/>
      <c r="KBA611" s="268"/>
      <c r="KBB611" s="268"/>
      <c r="KBC611" s="268"/>
      <c r="KBD611" s="268"/>
      <c r="KBE611" s="268"/>
      <c r="KBF611" s="268"/>
      <c r="KBG611" s="268"/>
      <c r="KBH611" s="268"/>
      <c r="KBI611" s="268"/>
      <c r="KBJ611" s="268"/>
      <c r="KBK611" s="268"/>
      <c r="KBL611" s="268"/>
      <c r="KBM611" s="268"/>
      <c r="KBN611" s="268"/>
      <c r="KBO611" s="268"/>
      <c r="KBP611" s="268"/>
      <c r="KBQ611" s="268"/>
      <c r="KBR611" s="268"/>
      <c r="KBS611" s="268"/>
      <c r="KBT611" s="268"/>
      <c r="KBU611" s="268"/>
      <c r="KBV611" s="268"/>
      <c r="KBW611" s="268"/>
      <c r="KBX611" s="268"/>
      <c r="KBY611" s="268"/>
      <c r="KBZ611" s="268"/>
      <c r="KCA611" s="268"/>
      <c r="KCB611" s="268"/>
      <c r="KCC611" s="268"/>
      <c r="KCD611" s="268"/>
      <c r="KCE611" s="268"/>
      <c r="KCF611" s="268"/>
      <c r="KCG611" s="268"/>
      <c r="KCH611" s="268"/>
      <c r="KCI611" s="268"/>
      <c r="KCJ611" s="268"/>
      <c r="KCK611" s="268"/>
      <c r="KCL611" s="268"/>
      <c r="KCM611" s="268"/>
      <c r="KCN611" s="268"/>
      <c r="KCO611" s="268"/>
      <c r="KCP611" s="268"/>
      <c r="KCQ611" s="268"/>
      <c r="KCR611" s="268"/>
      <c r="KCS611" s="268"/>
      <c r="KCT611" s="268"/>
      <c r="KCU611" s="268"/>
      <c r="KCV611" s="268"/>
      <c r="KCW611" s="268"/>
      <c r="KCX611" s="268"/>
      <c r="KCY611" s="268"/>
      <c r="KCZ611" s="268"/>
      <c r="KDA611" s="268"/>
      <c r="KDB611" s="268"/>
      <c r="KDC611" s="268"/>
      <c r="KDD611" s="268"/>
      <c r="KDE611" s="268"/>
      <c r="KDF611" s="268"/>
      <c r="KDG611" s="268"/>
      <c r="KDH611" s="268"/>
      <c r="KDI611" s="268"/>
      <c r="KDJ611" s="268"/>
      <c r="KDK611" s="268"/>
      <c r="KDL611" s="268"/>
      <c r="KDM611" s="268"/>
      <c r="KDN611" s="268"/>
      <c r="KDO611" s="268"/>
      <c r="KDP611" s="268"/>
      <c r="KDQ611" s="268"/>
      <c r="KDR611" s="268"/>
      <c r="KDS611" s="268"/>
      <c r="KDT611" s="268"/>
      <c r="KDU611" s="268"/>
      <c r="KDV611" s="268"/>
      <c r="KDW611" s="268"/>
      <c r="KDX611" s="268"/>
      <c r="KDY611" s="268"/>
      <c r="KDZ611" s="268"/>
      <c r="KEA611" s="268"/>
      <c r="KEB611" s="268"/>
      <c r="KEC611" s="268"/>
      <c r="KED611" s="268"/>
      <c r="KEE611" s="268"/>
      <c r="KEF611" s="268"/>
      <c r="KEG611" s="268"/>
      <c r="KEH611" s="268"/>
      <c r="KEI611" s="268"/>
      <c r="KEJ611" s="268"/>
      <c r="KEK611" s="268"/>
      <c r="KEL611" s="268"/>
      <c r="KEM611" s="268"/>
      <c r="KEN611" s="268"/>
      <c r="KEO611" s="268"/>
      <c r="KEP611" s="268"/>
      <c r="KEQ611" s="268"/>
      <c r="KER611" s="268"/>
      <c r="KES611" s="268"/>
      <c r="KET611" s="268"/>
      <c r="KEU611" s="268"/>
      <c r="KEV611" s="268"/>
      <c r="KEW611" s="268"/>
      <c r="KEX611" s="268"/>
      <c r="KEY611" s="268"/>
      <c r="KEZ611" s="268"/>
      <c r="KFA611" s="268"/>
      <c r="KFB611" s="268"/>
      <c r="KFC611" s="268"/>
      <c r="KFD611" s="268"/>
      <c r="KFE611" s="268"/>
      <c r="KFF611" s="268"/>
      <c r="KFG611" s="268"/>
      <c r="KFH611" s="268"/>
      <c r="KFI611" s="268"/>
      <c r="KFJ611" s="268"/>
      <c r="KFK611" s="268"/>
      <c r="KFL611" s="268"/>
      <c r="KFM611" s="268"/>
      <c r="KFN611" s="268"/>
      <c r="KFO611" s="268"/>
      <c r="KFP611" s="268"/>
      <c r="KFQ611" s="268"/>
      <c r="KFR611" s="268"/>
      <c r="KFS611" s="268"/>
      <c r="KFT611" s="268"/>
      <c r="KFU611" s="268"/>
      <c r="KFV611" s="268"/>
      <c r="KFW611" s="268"/>
      <c r="KFX611" s="268"/>
      <c r="KFY611" s="268"/>
      <c r="KFZ611" s="268"/>
      <c r="KGA611" s="268"/>
      <c r="KGB611" s="268"/>
      <c r="KGC611" s="268"/>
      <c r="KGD611" s="268"/>
      <c r="KGE611" s="268"/>
      <c r="KGF611" s="268"/>
      <c r="KGG611" s="268"/>
      <c r="KGH611" s="268"/>
      <c r="KGI611" s="268"/>
      <c r="KGJ611" s="268"/>
      <c r="KGK611" s="268"/>
      <c r="KGL611" s="268"/>
      <c r="KGM611" s="268"/>
      <c r="KGN611" s="268"/>
      <c r="KGO611" s="268"/>
      <c r="KGP611" s="268"/>
      <c r="KGQ611" s="268"/>
      <c r="KGR611" s="268"/>
      <c r="KGS611" s="268"/>
      <c r="KGT611" s="268"/>
      <c r="KGU611" s="268"/>
      <c r="KGV611" s="268"/>
      <c r="KGW611" s="268"/>
      <c r="KGX611" s="268"/>
      <c r="KGY611" s="268"/>
      <c r="KGZ611" s="268"/>
      <c r="KHA611" s="268"/>
      <c r="KHB611" s="268"/>
      <c r="KHC611" s="268"/>
      <c r="KHD611" s="268"/>
      <c r="KHE611" s="268"/>
      <c r="KHF611" s="268"/>
      <c r="KHG611" s="268"/>
      <c r="KHH611" s="268"/>
      <c r="KHI611" s="268"/>
      <c r="KHJ611" s="268"/>
      <c r="KHK611" s="268"/>
      <c r="KHL611" s="268"/>
      <c r="KHM611" s="268"/>
      <c r="KHN611" s="268"/>
      <c r="KHO611" s="268"/>
      <c r="KHP611" s="268"/>
      <c r="KHQ611" s="268"/>
      <c r="KHR611" s="268"/>
      <c r="KHS611" s="268"/>
      <c r="KHT611" s="268"/>
      <c r="KHU611" s="268"/>
      <c r="KHV611" s="268"/>
      <c r="KHW611" s="268"/>
      <c r="KHX611" s="268"/>
      <c r="KHY611" s="268"/>
      <c r="KHZ611" s="268"/>
      <c r="KIA611" s="268"/>
      <c r="KIO611" s="268"/>
      <c r="KIP611" s="268"/>
      <c r="KIQ611" s="268"/>
      <c r="KJE611" s="268"/>
      <c r="KJG611" s="268"/>
      <c r="KJH611" s="268"/>
      <c r="KJI611" s="268"/>
      <c r="KJJ611" s="268"/>
      <c r="KJK611" s="268"/>
      <c r="KJL611" s="268"/>
      <c r="KJM611" s="268"/>
      <c r="KJN611" s="268"/>
      <c r="KJO611" s="268"/>
      <c r="KJP611" s="268"/>
      <c r="KJQ611" s="268"/>
      <c r="KJR611" s="268"/>
      <c r="KJS611" s="268"/>
      <c r="KJT611" s="268"/>
      <c r="KJU611" s="268"/>
      <c r="KJV611" s="268"/>
      <c r="KJW611" s="268"/>
      <c r="KJX611" s="268"/>
      <c r="KJY611" s="268"/>
      <c r="KJZ611" s="268"/>
      <c r="KKA611" s="268"/>
      <c r="KKB611" s="268"/>
      <c r="KKC611" s="268"/>
      <c r="KKD611" s="268"/>
      <c r="KKE611" s="268"/>
      <c r="KKF611" s="268"/>
      <c r="KKG611" s="268"/>
      <c r="KKH611" s="268"/>
      <c r="KKI611" s="268"/>
      <c r="KKJ611" s="268"/>
      <c r="KKK611" s="268"/>
      <c r="KKL611" s="268"/>
      <c r="KKM611" s="268"/>
      <c r="KKN611" s="268"/>
      <c r="KKO611" s="268"/>
      <c r="KKP611" s="268"/>
      <c r="KKQ611" s="268"/>
      <c r="KKR611" s="268"/>
      <c r="KKS611" s="268"/>
      <c r="KKT611" s="268"/>
      <c r="KKU611" s="268"/>
      <c r="KKV611" s="268"/>
      <c r="KKW611" s="268"/>
      <c r="KKX611" s="268"/>
      <c r="KKY611" s="268"/>
      <c r="KKZ611" s="268"/>
      <c r="KLA611" s="268"/>
      <c r="KLB611" s="268"/>
      <c r="KLC611" s="268"/>
      <c r="KLD611" s="268"/>
      <c r="KLE611" s="268"/>
      <c r="KLF611" s="268"/>
      <c r="KLG611" s="268"/>
      <c r="KLH611" s="268"/>
      <c r="KLI611" s="268"/>
      <c r="KLJ611" s="268"/>
      <c r="KLK611" s="268"/>
      <c r="KLL611" s="268"/>
      <c r="KLM611" s="268"/>
      <c r="KLN611" s="268"/>
      <c r="KLO611" s="268"/>
      <c r="KLP611" s="268"/>
      <c r="KLQ611" s="268"/>
      <c r="KLR611" s="268"/>
      <c r="KLS611" s="268"/>
      <c r="KLT611" s="268"/>
      <c r="KLU611" s="268"/>
      <c r="KLV611" s="268"/>
      <c r="KLW611" s="268"/>
      <c r="KLX611" s="268"/>
      <c r="KLY611" s="268"/>
      <c r="KLZ611" s="268"/>
      <c r="KMA611" s="268"/>
      <c r="KMB611" s="268"/>
      <c r="KMC611" s="268"/>
      <c r="KMD611" s="268"/>
      <c r="KME611" s="268"/>
      <c r="KMF611" s="268"/>
      <c r="KMG611" s="268"/>
      <c r="KMH611" s="268"/>
      <c r="KMI611" s="268"/>
      <c r="KMJ611" s="268"/>
      <c r="KMK611" s="268"/>
      <c r="KML611" s="268"/>
      <c r="KMM611" s="268"/>
      <c r="KMN611" s="268"/>
      <c r="KMO611" s="268"/>
      <c r="KMP611" s="268"/>
      <c r="KMQ611" s="268"/>
      <c r="KMR611" s="268"/>
      <c r="KMS611" s="268"/>
      <c r="KMT611" s="268"/>
      <c r="KMU611" s="268"/>
      <c r="KMV611" s="268"/>
      <c r="KMW611" s="268"/>
      <c r="KMX611" s="268"/>
      <c r="KMY611" s="268"/>
      <c r="KMZ611" s="268"/>
      <c r="KNA611" s="268"/>
      <c r="KNB611" s="268"/>
      <c r="KNC611" s="268"/>
      <c r="KND611" s="268"/>
      <c r="KNE611" s="268"/>
      <c r="KNF611" s="268"/>
      <c r="KNG611" s="268"/>
      <c r="KNH611" s="268"/>
      <c r="KNI611" s="268"/>
      <c r="KNJ611" s="268"/>
      <c r="KNK611" s="268"/>
      <c r="KNL611" s="268"/>
      <c r="KNM611" s="268"/>
      <c r="KNN611" s="268"/>
      <c r="KNO611" s="268"/>
      <c r="KNP611" s="268"/>
      <c r="KNQ611" s="268"/>
      <c r="KNR611" s="268"/>
      <c r="KNS611" s="268"/>
      <c r="KNT611" s="268"/>
      <c r="KNU611" s="268"/>
      <c r="KNV611" s="268"/>
      <c r="KNW611" s="268"/>
      <c r="KNX611" s="268"/>
      <c r="KNY611" s="268"/>
      <c r="KNZ611" s="268"/>
      <c r="KOA611" s="268"/>
      <c r="KOB611" s="268"/>
      <c r="KOC611" s="268"/>
      <c r="KOD611" s="268"/>
      <c r="KOE611" s="268"/>
      <c r="KOF611" s="268"/>
      <c r="KOG611" s="268"/>
      <c r="KOH611" s="268"/>
      <c r="KOI611" s="268"/>
      <c r="KOJ611" s="268"/>
      <c r="KOK611" s="268"/>
      <c r="KOL611" s="268"/>
      <c r="KOM611" s="268"/>
      <c r="KON611" s="268"/>
      <c r="KOO611" s="268"/>
      <c r="KOP611" s="268"/>
      <c r="KOQ611" s="268"/>
      <c r="KOR611" s="268"/>
      <c r="KOS611" s="268"/>
      <c r="KOT611" s="268"/>
      <c r="KOU611" s="268"/>
      <c r="KOV611" s="268"/>
      <c r="KOW611" s="268"/>
      <c r="KOX611" s="268"/>
      <c r="KOY611" s="268"/>
      <c r="KOZ611" s="268"/>
      <c r="KPA611" s="268"/>
      <c r="KPB611" s="268"/>
      <c r="KPC611" s="268"/>
      <c r="KPD611" s="268"/>
      <c r="KPE611" s="268"/>
      <c r="KPF611" s="268"/>
      <c r="KPG611" s="268"/>
      <c r="KPH611" s="268"/>
      <c r="KPI611" s="268"/>
      <c r="KPJ611" s="268"/>
      <c r="KPK611" s="268"/>
      <c r="KPL611" s="268"/>
      <c r="KPM611" s="268"/>
      <c r="KPN611" s="268"/>
      <c r="KPO611" s="268"/>
      <c r="KPP611" s="268"/>
      <c r="KPQ611" s="268"/>
      <c r="KPR611" s="268"/>
      <c r="KPS611" s="268"/>
      <c r="KPT611" s="268"/>
      <c r="KPU611" s="268"/>
      <c r="KPV611" s="268"/>
      <c r="KPW611" s="268"/>
      <c r="KPX611" s="268"/>
      <c r="KPY611" s="268"/>
      <c r="KPZ611" s="268"/>
      <c r="KQA611" s="268"/>
      <c r="KQB611" s="268"/>
      <c r="KQC611" s="268"/>
      <c r="KQD611" s="268"/>
      <c r="KQE611" s="268"/>
      <c r="KQF611" s="268"/>
      <c r="KQG611" s="268"/>
      <c r="KQH611" s="268"/>
      <c r="KQI611" s="268"/>
      <c r="KQJ611" s="268"/>
      <c r="KQK611" s="268"/>
      <c r="KQL611" s="268"/>
      <c r="KQM611" s="268"/>
      <c r="KQN611" s="268"/>
      <c r="KQO611" s="268"/>
      <c r="KQP611" s="268"/>
      <c r="KQQ611" s="268"/>
      <c r="KQR611" s="268"/>
      <c r="KQS611" s="268"/>
      <c r="KQT611" s="268"/>
      <c r="KQU611" s="268"/>
      <c r="KQV611" s="268"/>
      <c r="KQW611" s="268"/>
      <c r="KQX611" s="268"/>
      <c r="KQY611" s="268"/>
      <c r="KQZ611" s="268"/>
      <c r="KRA611" s="268"/>
      <c r="KRB611" s="268"/>
      <c r="KRC611" s="268"/>
      <c r="KRD611" s="268"/>
      <c r="KRE611" s="268"/>
      <c r="KRF611" s="268"/>
      <c r="KRG611" s="268"/>
      <c r="KRH611" s="268"/>
      <c r="KRI611" s="268"/>
      <c r="KRJ611" s="268"/>
      <c r="KRK611" s="268"/>
      <c r="KRL611" s="268"/>
      <c r="KRM611" s="268"/>
      <c r="KRN611" s="268"/>
      <c r="KRO611" s="268"/>
      <c r="KRP611" s="268"/>
      <c r="KRQ611" s="268"/>
      <c r="KRR611" s="268"/>
      <c r="KRS611" s="268"/>
      <c r="KRT611" s="268"/>
      <c r="KRU611" s="268"/>
      <c r="KRV611" s="268"/>
      <c r="KRW611" s="268"/>
      <c r="KSK611" s="268"/>
      <c r="KSL611" s="268"/>
      <c r="KSM611" s="268"/>
      <c r="KTA611" s="268"/>
      <c r="KTC611" s="268"/>
      <c r="KTD611" s="268"/>
      <c r="KTE611" s="268"/>
      <c r="KTF611" s="268"/>
      <c r="KTG611" s="268"/>
      <c r="KTH611" s="268"/>
      <c r="KTI611" s="268"/>
      <c r="KTJ611" s="268"/>
      <c r="KTK611" s="268"/>
      <c r="KTL611" s="268"/>
      <c r="KTM611" s="268"/>
      <c r="KTN611" s="268"/>
      <c r="KTO611" s="268"/>
      <c r="KTP611" s="268"/>
      <c r="KTQ611" s="268"/>
      <c r="KTR611" s="268"/>
      <c r="KTS611" s="268"/>
      <c r="KTT611" s="268"/>
      <c r="KTU611" s="268"/>
      <c r="KTV611" s="268"/>
      <c r="KTW611" s="268"/>
      <c r="KTX611" s="268"/>
      <c r="KTY611" s="268"/>
      <c r="KTZ611" s="268"/>
      <c r="KUA611" s="268"/>
      <c r="KUB611" s="268"/>
      <c r="KUC611" s="268"/>
      <c r="KUD611" s="268"/>
      <c r="KUE611" s="268"/>
      <c r="KUF611" s="268"/>
      <c r="KUG611" s="268"/>
      <c r="KUH611" s="268"/>
      <c r="KUI611" s="268"/>
      <c r="KUJ611" s="268"/>
      <c r="KUK611" s="268"/>
      <c r="KUL611" s="268"/>
      <c r="KUM611" s="268"/>
      <c r="KUN611" s="268"/>
      <c r="KUO611" s="268"/>
      <c r="KUP611" s="268"/>
      <c r="KUQ611" s="268"/>
      <c r="KUR611" s="268"/>
      <c r="KUS611" s="268"/>
      <c r="KUT611" s="268"/>
      <c r="KUU611" s="268"/>
      <c r="KUV611" s="268"/>
      <c r="KUW611" s="268"/>
      <c r="KUX611" s="268"/>
      <c r="KUY611" s="268"/>
      <c r="KUZ611" s="268"/>
      <c r="KVA611" s="268"/>
      <c r="KVB611" s="268"/>
      <c r="KVC611" s="268"/>
      <c r="KVD611" s="268"/>
      <c r="KVE611" s="268"/>
      <c r="KVF611" s="268"/>
      <c r="KVG611" s="268"/>
      <c r="KVH611" s="268"/>
      <c r="KVI611" s="268"/>
      <c r="KVJ611" s="268"/>
      <c r="KVK611" s="268"/>
      <c r="KVL611" s="268"/>
      <c r="KVM611" s="268"/>
      <c r="KVN611" s="268"/>
      <c r="KVO611" s="268"/>
      <c r="KVP611" s="268"/>
      <c r="KVQ611" s="268"/>
      <c r="KVR611" s="268"/>
      <c r="KVS611" s="268"/>
      <c r="KVT611" s="268"/>
      <c r="KVU611" s="268"/>
      <c r="KVV611" s="268"/>
      <c r="KVW611" s="268"/>
      <c r="KVX611" s="268"/>
      <c r="KVY611" s="268"/>
      <c r="KVZ611" s="268"/>
      <c r="KWA611" s="268"/>
      <c r="KWB611" s="268"/>
      <c r="KWC611" s="268"/>
      <c r="KWD611" s="268"/>
      <c r="KWE611" s="268"/>
      <c r="KWF611" s="268"/>
      <c r="KWG611" s="268"/>
      <c r="KWH611" s="268"/>
      <c r="KWI611" s="268"/>
      <c r="KWJ611" s="268"/>
      <c r="KWK611" s="268"/>
      <c r="KWL611" s="268"/>
      <c r="KWM611" s="268"/>
      <c r="KWN611" s="268"/>
      <c r="KWO611" s="268"/>
      <c r="KWP611" s="268"/>
      <c r="KWQ611" s="268"/>
      <c r="KWR611" s="268"/>
      <c r="KWS611" s="268"/>
      <c r="KWT611" s="268"/>
      <c r="KWU611" s="268"/>
      <c r="KWV611" s="268"/>
      <c r="KWW611" s="268"/>
      <c r="KWX611" s="268"/>
      <c r="KWY611" s="268"/>
      <c r="KWZ611" s="268"/>
      <c r="KXA611" s="268"/>
      <c r="KXB611" s="268"/>
      <c r="KXC611" s="268"/>
      <c r="KXD611" s="268"/>
      <c r="KXE611" s="268"/>
      <c r="KXF611" s="268"/>
      <c r="KXG611" s="268"/>
      <c r="KXH611" s="268"/>
      <c r="KXI611" s="268"/>
      <c r="KXJ611" s="268"/>
      <c r="KXK611" s="268"/>
      <c r="KXL611" s="268"/>
      <c r="KXM611" s="268"/>
      <c r="KXN611" s="268"/>
      <c r="KXO611" s="268"/>
      <c r="KXP611" s="268"/>
      <c r="KXQ611" s="268"/>
      <c r="KXR611" s="268"/>
      <c r="KXS611" s="268"/>
      <c r="KXT611" s="268"/>
      <c r="KXU611" s="268"/>
      <c r="KXV611" s="268"/>
      <c r="KXW611" s="268"/>
      <c r="KXX611" s="268"/>
      <c r="KXY611" s="268"/>
      <c r="KXZ611" s="268"/>
      <c r="KYA611" s="268"/>
      <c r="KYB611" s="268"/>
      <c r="KYC611" s="268"/>
      <c r="KYD611" s="268"/>
      <c r="KYE611" s="268"/>
      <c r="KYF611" s="268"/>
      <c r="KYG611" s="268"/>
      <c r="KYH611" s="268"/>
      <c r="KYI611" s="268"/>
      <c r="KYJ611" s="268"/>
      <c r="KYK611" s="268"/>
      <c r="KYL611" s="268"/>
      <c r="KYM611" s="268"/>
      <c r="KYN611" s="268"/>
      <c r="KYO611" s="268"/>
      <c r="KYP611" s="268"/>
      <c r="KYQ611" s="268"/>
      <c r="KYR611" s="268"/>
      <c r="KYS611" s="268"/>
      <c r="KYT611" s="268"/>
      <c r="KYU611" s="268"/>
      <c r="KYV611" s="268"/>
      <c r="KYW611" s="268"/>
      <c r="KYX611" s="268"/>
      <c r="KYY611" s="268"/>
      <c r="KYZ611" s="268"/>
      <c r="KZA611" s="268"/>
      <c r="KZB611" s="268"/>
      <c r="KZC611" s="268"/>
      <c r="KZD611" s="268"/>
      <c r="KZE611" s="268"/>
      <c r="KZF611" s="268"/>
      <c r="KZG611" s="268"/>
      <c r="KZH611" s="268"/>
      <c r="KZI611" s="268"/>
      <c r="KZJ611" s="268"/>
      <c r="KZK611" s="268"/>
      <c r="KZL611" s="268"/>
      <c r="KZM611" s="268"/>
      <c r="KZN611" s="268"/>
      <c r="KZO611" s="268"/>
      <c r="KZP611" s="268"/>
      <c r="KZQ611" s="268"/>
      <c r="KZR611" s="268"/>
      <c r="KZS611" s="268"/>
      <c r="KZT611" s="268"/>
      <c r="KZU611" s="268"/>
      <c r="KZV611" s="268"/>
      <c r="KZW611" s="268"/>
      <c r="KZX611" s="268"/>
      <c r="KZY611" s="268"/>
      <c r="KZZ611" s="268"/>
      <c r="LAA611" s="268"/>
      <c r="LAB611" s="268"/>
      <c r="LAC611" s="268"/>
      <c r="LAD611" s="268"/>
      <c r="LAE611" s="268"/>
      <c r="LAF611" s="268"/>
      <c r="LAG611" s="268"/>
      <c r="LAH611" s="268"/>
      <c r="LAI611" s="268"/>
      <c r="LAJ611" s="268"/>
      <c r="LAK611" s="268"/>
      <c r="LAL611" s="268"/>
      <c r="LAM611" s="268"/>
      <c r="LAN611" s="268"/>
      <c r="LAO611" s="268"/>
      <c r="LAP611" s="268"/>
      <c r="LAQ611" s="268"/>
      <c r="LAR611" s="268"/>
      <c r="LAS611" s="268"/>
      <c r="LAT611" s="268"/>
      <c r="LAU611" s="268"/>
      <c r="LAV611" s="268"/>
      <c r="LAW611" s="268"/>
      <c r="LAX611" s="268"/>
      <c r="LAY611" s="268"/>
      <c r="LAZ611" s="268"/>
      <c r="LBA611" s="268"/>
      <c r="LBB611" s="268"/>
      <c r="LBC611" s="268"/>
      <c r="LBD611" s="268"/>
      <c r="LBE611" s="268"/>
      <c r="LBF611" s="268"/>
      <c r="LBG611" s="268"/>
      <c r="LBH611" s="268"/>
      <c r="LBI611" s="268"/>
      <c r="LBJ611" s="268"/>
      <c r="LBK611" s="268"/>
      <c r="LBL611" s="268"/>
      <c r="LBM611" s="268"/>
      <c r="LBN611" s="268"/>
      <c r="LBO611" s="268"/>
      <c r="LBP611" s="268"/>
      <c r="LBQ611" s="268"/>
      <c r="LBR611" s="268"/>
      <c r="LBS611" s="268"/>
      <c r="LCG611" s="268"/>
      <c r="LCH611" s="268"/>
      <c r="LCI611" s="268"/>
      <c r="LCW611" s="268"/>
      <c r="LCY611" s="268"/>
      <c r="LCZ611" s="268"/>
      <c r="LDA611" s="268"/>
      <c r="LDB611" s="268"/>
      <c r="LDC611" s="268"/>
      <c r="LDD611" s="268"/>
      <c r="LDE611" s="268"/>
      <c r="LDF611" s="268"/>
      <c r="LDG611" s="268"/>
      <c r="LDH611" s="268"/>
      <c r="LDI611" s="268"/>
      <c r="LDJ611" s="268"/>
      <c r="LDK611" s="268"/>
      <c r="LDL611" s="268"/>
      <c r="LDM611" s="268"/>
      <c r="LDN611" s="268"/>
      <c r="LDO611" s="268"/>
      <c r="LDP611" s="268"/>
      <c r="LDQ611" s="268"/>
      <c r="LDR611" s="268"/>
      <c r="LDS611" s="268"/>
      <c r="LDT611" s="268"/>
      <c r="LDU611" s="268"/>
      <c r="LDV611" s="268"/>
      <c r="LDW611" s="268"/>
      <c r="LDX611" s="268"/>
      <c r="LDY611" s="268"/>
      <c r="LDZ611" s="268"/>
      <c r="LEA611" s="268"/>
      <c r="LEB611" s="268"/>
      <c r="LEC611" s="268"/>
      <c r="LED611" s="268"/>
      <c r="LEE611" s="268"/>
      <c r="LEF611" s="268"/>
      <c r="LEG611" s="268"/>
      <c r="LEH611" s="268"/>
      <c r="LEI611" s="268"/>
      <c r="LEJ611" s="268"/>
      <c r="LEK611" s="268"/>
      <c r="LEL611" s="268"/>
      <c r="LEM611" s="268"/>
      <c r="LEN611" s="268"/>
      <c r="LEO611" s="268"/>
      <c r="LEP611" s="268"/>
      <c r="LEQ611" s="268"/>
      <c r="LER611" s="268"/>
      <c r="LES611" s="268"/>
      <c r="LET611" s="268"/>
      <c r="LEU611" s="268"/>
      <c r="LEV611" s="268"/>
      <c r="LEW611" s="268"/>
      <c r="LEX611" s="268"/>
      <c r="LEY611" s="268"/>
      <c r="LEZ611" s="268"/>
      <c r="LFA611" s="268"/>
      <c r="LFB611" s="268"/>
      <c r="LFC611" s="268"/>
      <c r="LFD611" s="268"/>
      <c r="LFE611" s="268"/>
      <c r="LFF611" s="268"/>
      <c r="LFG611" s="268"/>
      <c r="LFH611" s="268"/>
      <c r="LFI611" s="268"/>
      <c r="LFJ611" s="268"/>
      <c r="LFK611" s="268"/>
      <c r="LFL611" s="268"/>
      <c r="LFM611" s="268"/>
      <c r="LFN611" s="268"/>
      <c r="LFO611" s="268"/>
      <c r="LFP611" s="268"/>
      <c r="LFQ611" s="268"/>
      <c r="LFR611" s="268"/>
      <c r="LFS611" s="268"/>
      <c r="LFT611" s="268"/>
      <c r="LFU611" s="268"/>
      <c r="LFV611" s="268"/>
      <c r="LFW611" s="268"/>
      <c r="LFX611" s="268"/>
      <c r="LFY611" s="268"/>
      <c r="LFZ611" s="268"/>
      <c r="LGA611" s="268"/>
      <c r="LGB611" s="268"/>
      <c r="LGC611" s="268"/>
      <c r="LGD611" s="268"/>
      <c r="LGE611" s="268"/>
      <c r="LGF611" s="268"/>
      <c r="LGG611" s="268"/>
      <c r="LGH611" s="268"/>
      <c r="LGI611" s="268"/>
      <c r="LGJ611" s="268"/>
      <c r="LGK611" s="268"/>
      <c r="LGL611" s="268"/>
      <c r="LGM611" s="268"/>
      <c r="LGN611" s="268"/>
      <c r="LGO611" s="268"/>
      <c r="LGP611" s="268"/>
      <c r="LGQ611" s="268"/>
      <c r="LGR611" s="268"/>
      <c r="LGS611" s="268"/>
      <c r="LGT611" s="268"/>
      <c r="LGU611" s="268"/>
      <c r="LGV611" s="268"/>
      <c r="LGW611" s="268"/>
      <c r="LGX611" s="268"/>
      <c r="LGY611" s="268"/>
      <c r="LGZ611" s="268"/>
      <c r="LHA611" s="268"/>
      <c r="LHB611" s="268"/>
      <c r="LHC611" s="268"/>
      <c r="LHD611" s="268"/>
      <c r="LHE611" s="268"/>
      <c r="LHF611" s="268"/>
      <c r="LHG611" s="268"/>
      <c r="LHH611" s="268"/>
      <c r="LHI611" s="268"/>
      <c r="LHJ611" s="268"/>
      <c r="LHK611" s="268"/>
      <c r="LHL611" s="268"/>
      <c r="LHM611" s="268"/>
      <c r="LHN611" s="268"/>
      <c r="LHO611" s="268"/>
      <c r="LHP611" s="268"/>
      <c r="LHQ611" s="268"/>
      <c r="LHR611" s="268"/>
      <c r="LHS611" s="268"/>
      <c r="LHT611" s="268"/>
      <c r="LHU611" s="268"/>
      <c r="LHV611" s="268"/>
      <c r="LHW611" s="268"/>
      <c r="LHX611" s="268"/>
      <c r="LHY611" s="268"/>
      <c r="LHZ611" s="268"/>
      <c r="LIA611" s="268"/>
      <c r="LIB611" s="268"/>
      <c r="LIC611" s="268"/>
      <c r="LID611" s="268"/>
      <c r="LIE611" s="268"/>
      <c r="LIF611" s="268"/>
      <c r="LIG611" s="268"/>
      <c r="LIH611" s="268"/>
      <c r="LII611" s="268"/>
      <c r="LIJ611" s="268"/>
      <c r="LIK611" s="268"/>
      <c r="LIL611" s="268"/>
      <c r="LIM611" s="268"/>
      <c r="LIN611" s="268"/>
      <c r="LIO611" s="268"/>
      <c r="LIP611" s="268"/>
      <c r="LIQ611" s="268"/>
      <c r="LIR611" s="268"/>
      <c r="LIS611" s="268"/>
      <c r="LIT611" s="268"/>
      <c r="LIU611" s="268"/>
      <c r="LIV611" s="268"/>
      <c r="LIW611" s="268"/>
      <c r="LIX611" s="268"/>
      <c r="LIY611" s="268"/>
      <c r="LIZ611" s="268"/>
      <c r="LJA611" s="268"/>
      <c r="LJB611" s="268"/>
      <c r="LJC611" s="268"/>
      <c r="LJD611" s="268"/>
      <c r="LJE611" s="268"/>
      <c r="LJF611" s="268"/>
      <c r="LJG611" s="268"/>
      <c r="LJH611" s="268"/>
      <c r="LJI611" s="268"/>
      <c r="LJJ611" s="268"/>
      <c r="LJK611" s="268"/>
      <c r="LJL611" s="268"/>
      <c r="LJM611" s="268"/>
      <c r="LJN611" s="268"/>
      <c r="LJO611" s="268"/>
      <c r="LJP611" s="268"/>
      <c r="LJQ611" s="268"/>
      <c r="LJR611" s="268"/>
      <c r="LJS611" s="268"/>
      <c r="LJT611" s="268"/>
      <c r="LJU611" s="268"/>
      <c r="LJV611" s="268"/>
      <c r="LJW611" s="268"/>
      <c r="LJX611" s="268"/>
      <c r="LJY611" s="268"/>
      <c r="LJZ611" s="268"/>
      <c r="LKA611" s="268"/>
      <c r="LKB611" s="268"/>
      <c r="LKC611" s="268"/>
      <c r="LKD611" s="268"/>
      <c r="LKE611" s="268"/>
      <c r="LKF611" s="268"/>
      <c r="LKG611" s="268"/>
      <c r="LKH611" s="268"/>
      <c r="LKI611" s="268"/>
      <c r="LKJ611" s="268"/>
      <c r="LKK611" s="268"/>
      <c r="LKL611" s="268"/>
      <c r="LKM611" s="268"/>
      <c r="LKN611" s="268"/>
      <c r="LKO611" s="268"/>
      <c r="LKP611" s="268"/>
      <c r="LKQ611" s="268"/>
      <c r="LKR611" s="268"/>
      <c r="LKS611" s="268"/>
      <c r="LKT611" s="268"/>
      <c r="LKU611" s="268"/>
      <c r="LKV611" s="268"/>
      <c r="LKW611" s="268"/>
      <c r="LKX611" s="268"/>
      <c r="LKY611" s="268"/>
      <c r="LKZ611" s="268"/>
      <c r="LLA611" s="268"/>
      <c r="LLB611" s="268"/>
      <c r="LLC611" s="268"/>
      <c r="LLD611" s="268"/>
      <c r="LLE611" s="268"/>
      <c r="LLF611" s="268"/>
      <c r="LLG611" s="268"/>
      <c r="LLH611" s="268"/>
      <c r="LLI611" s="268"/>
      <c r="LLJ611" s="268"/>
      <c r="LLK611" s="268"/>
      <c r="LLL611" s="268"/>
      <c r="LLM611" s="268"/>
      <c r="LLN611" s="268"/>
      <c r="LLO611" s="268"/>
      <c r="LMC611" s="268"/>
      <c r="LMD611" s="268"/>
      <c r="LME611" s="268"/>
      <c r="LMS611" s="268"/>
      <c r="LMU611" s="268"/>
      <c r="LMV611" s="268"/>
      <c r="LMW611" s="268"/>
      <c r="LMX611" s="268"/>
      <c r="LMY611" s="268"/>
      <c r="LMZ611" s="268"/>
      <c r="LNA611" s="268"/>
      <c r="LNB611" s="268"/>
      <c r="LNC611" s="268"/>
      <c r="LND611" s="268"/>
      <c r="LNE611" s="268"/>
      <c r="LNF611" s="268"/>
      <c r="LNG611" s="268"/>
      <c r="LNH611" s="268"/>
      <c r="LNI611" s="268"/>
      <c r="LNJ611" s="268"/>
      <c r="LNK611" s="268"/>
      <c r="LNL611" s="268"/>
      <c r="LNM611" s="268"/>
      <c r="LNN611" s="268"/>
      <c r="LNO611" s="268"/>
      <c r="LNP611" s="268"/>
      <c r="LNQ611" s="268"/>
      <c r="LNR611" s="268"/>
      <c r="LNS611" s="268"/>
      <c r="LNT611" s="268"/>
      <c r="LNU611" s="268"/>
      <c r="LNV611" s="268"/>
      <c r="LNW611" s="268"/>
      <c r="LNX611" s="268"/>
      <c r="LNY611" s="268"/>
      <c r="LNZ611" s="268"/>
      <c r="LOA611" s="268"/>
      <c r="LOB611" s="268"/>
      <c r="LOC611" s="268"/>
      <c r="LOD611" s="268"/>
      <c r="LOE611" s="268"/>
      <c r="LOF611" s="268"/>
      <c r="LOG611" s="268"/>
      <c r="LOH611" s="268"/>
      <c r="LOI611" s="268"/>
      <c r="LOJ611" s="268"/>
      <c r="LOK611" s="268"/>
      <c r="LOL611" s="268"/>
      <c r="LOM611" s="268"/>
      <c r="LON611" s="268"/>
      <c r="LOO611" s="268"/>
      <c r="LOP611" s="268"/>
      <c r="LOQ611" s="268"/>
      <c r="LOR611" s="268"/>
      <c r="LOS611" s="268"/>
      <c r="LOT611" s="268"/>
      <c r="LOU611" s="268"/>
      <c r="LOV611" s="268"/>
      <c r="LOW611" s="268"/>
      <c r="LOX611" s="268"/>
      <c r="LOY611" s="268"/>
      <c r="LOZ611" s="268"/>
      <c r="LPA611" s="268"/>
      <c r="LPB611" s="268"/>
      <c r="LPC611" s="268"/>
      <c r="LPD611" s="268"/>
      <c r="LPE611" s="268"/>
      <c r="LPF611" s="268"/>
      <c r="LPG611" s="268"/>
      <c r="LPH611" s="268"/>
      <c r="LPI611" s="268"/>
      <c r="LPJ611" s="268"/>
      <c r="LPK611" s="268"/>
      <c r="LPL611" s="268"/>
      <c r="LPM611" s="268"/>
      <c r="LPN611" s="268"/>
      <c r="LPO611" s="268"/>
      <c r="LPP611" s="268"/>
      <c r="LPQ611" s="268"/>
      <c r="LPR611" s="268"/>
      <c r="LPS611" s="268"/>
      <c r="LPT611" s="268"/>
      <c r="LPU611" s="268"/>
      <c r="LPV611" s="268"/>
      <c r="LPW611" s="268"/>
      <c r="LPX611" s="268"/>
      <c r="LPY611" s="268"/>
      <c r="LPZ611" s="268"/>
      <c r="LQA611" s="268"/>
      <c r="LQB611" s="268"/>
      <c r="LQC611" s="268"/>
      <c r="LQD611" s="268"/>
      <c r="LQE611" s="268"/>
      <c r="LQF611" s="268"/>
      <c r="LQG611" s="268"/>
      <c r="LQH611" s="268"/>
      <c r="LQI611" s="268"/>
      <c r="LQJ611" s="268"/>
      <c r="LQK611" s="268"/>
      <c r="LQL611" s="268"/>
      <c r="LQM611" s="268"/>
      <c r="LQN611" s="268"/>
      <c r="LQO611" s="268"/>
      <c r="LQP611" s="268"/>
      <c r="LQQ611" s="268"/>
      <c r="LQR611" s="268"/>
      <c r="LQS611" s="268"/>
      <c r="LQT611" s="268"/>
      <c r="LQU611" s="268"/>
      <c r="LQV611" s="268"/>
      <c r="LQW611" s="268"/>
      <c r="LQX611" s="268"/>
      <c r="LQY611" s="268"/>
      <c r="LQZ611" s="268"/>
      <c r="LRA611" s="268"/>
      <c r="LRB611" s="268"/>
      <c r="LRC611" s="268"/>
      <c r="LRD611" s="268"/>
      <c r="LRE611" s="268"/>
      <c r="LRF611" s="268"/>
      <c r="LRG611" s="268"/>
      <c r="LRH611" s="268"/>
      <c r="LRI611" s="268"/>
      <c r="LRJ611" s="268"/>
      <c r="LRK611" s="268"/>
      <c r="LRL611" s="268"/>
      <c r="LRM611" s="268"/>
      <c r="LRN611" s="268"/>
      <c r="LRO611" s="268"/>
      <c r="LRP611" s="268"/>
      <c r="LRQ611" s="268"/>
      <c r="LRR611" s="268"/>
      <c r="LRS611" s="268"/>
      <c r="LRT611" s="268"/>
      <c r="LRU611" s="268"/>
      <c r="LRV611" s="268"/>
      <c r="LRW611" s="268"/>
      <c r="LRX611" s="268"/>
      <c r="LRY611" s="268"/>
      <c r="LRZ611" s="268"/>
      <c r="LSA611" s="268"/>
      <c r="LSB611" s="268"/>
      <c r="LSC611" s="268"/>
      <c r="LSD611" s="268"/>
      <c r="LSE611" s="268"/>
      <c r="LSF611" s="268"/>
      <c r="LSG611" s="268"/>
      <c r="LSH611" s="268"/>
      <c r="LSI611" s="268"/>
      <c r="LSJ611" s="268"/>
      <c r="LSK611" s="268"/>
      <c r="LSL611" s="268"/>
      <c r="LSM611" s="268"/>
      <c r="LSN611" s="268"/>
      <c r="LSO611" s="268"/>
      <c r="LSP611" s="268"/>
      <c r="LSQ611" s="268"/>
      <c r="LSR611" s="268"/>
      <c r="LSS611" s="268"/>
      <c r="LST611" s="268"/>
      <c r="LSU611" s="268"/>
      <c r="LSV611" s="268"/>
      <c r="LSW611" s="268"/>
      <c r="LSX611" s="268"/>
      <c r="LSY611" s="268"/>
      <c r="LSZ611" s="268"/>
      <c r="LTA611" s="268"/>
      <c r="LTB611" s="268"/>
      <c r="LTC611" s="268"/>
      <c r="LTD611" s="268"/>
      <c r="LTE611" s="268"/>
      <c r="LTF611" s="268"/>
      <c r="LTG611" s="268"/>
      <c r="LTH611" s="268"/>
      <c r="LTI611" s="268"/>
      <c r="LTJ611" s="268"/>
      <c r="LTK611" s="268"/>
      <c r="LTL611" s="268"/>
      <c r="LTM611" s="268"/>
      <c r="LTN611" s="268"/>
      <c r="LTO611" s="268"/>
      <c r="LTP611" s="268"/>
      <c r="LTQ611" s="268"/>
      <c r="LTR611" s="268"/>
      <c r="LTS611" s="268"/>
      <c r="LTT611" s="268"/>
      <c r="LTU611" s="268"/>
      <c r="LTV611" s="268"/>
      <c r="LTW611" s="268"/>
      <c r="LTX611" s="268"/>
      <c r="LTY611" s="268"/>
      <c r="LTZ611" s="268"/>
      <c r="LUA611" s="268"/>
      <c r="LUB611" s="268"/>
      <c r="LUC611" s="268"/>
      <c r="LUD611" s="268"/>
      <c r="LUE611" s="268"/>
      <c r="LUF611" s="268"/>
      <c r="LUG611" s="268"/>
      <c r="LUH611" s="268"/>
      <c r="LUI611" s="268"/>
      <c r="LUJ611" s="268"/>
      <c r="LUK611" s="268"/>
      <c r="LUL611" s="268"/>
      <c r="LUM611" s="268"/>
      <c r="LUN611" s="268"/>
      <c r="LUO611" s="268"/>
      <c r="LUP611" s="268"/>
      <c r="LUQ611" s="268"/>
      <c r="LUR611" s="268"/>
      <c r="LUS611" s="268"/>
      <c r="LUT611" s="268"/>
      <c r="LUU611" s="268"/>
      <c r="LUV611" s="268"/>
      <c r="LUW611" s="268"/>
      <c r="LUX611" s="268"/>
      <c r="LUY611" s="268"/>
      <c r="LUZ611" s="268"/>
      <c r="LVA611" s="268"/>
      <c r="LVB611" s="268"/>
      <c r="LVC611" s="268"/>
      <c r="LVD611" s="268"/>
      <c r="LVE611" s="268"/>
      <c r="LVF611" s="268"/>
      <c r="LVG611" s="268"/>
      <c r="LVH611" s="268"/>
      <c r="LVI611" s="268"/>
      <c r="LVJ611" s="268"/>
      <c r="LVK611" s="268"/>
      <c r="LVY611" s="268"/>
      <c r="LVZ611" s="268"/>
      <c r="LWA611" s="268"/>
      <c r="LWO611" s="268"/>
      <c r="LWQ611" s="268"/>
      <c r="LWR611" s="268"/>
      <c r="LWS611" s="268"/>
      <c r="LWT611" s="268"/>
      <c r="LWU611" s="268"/>
      <c r="LWV611" s="268"/>
      <c r="LWW611" s="268"/>
      <c r="LWX611" s="268"/>
      <c r="LWY611" s="268"/>
      <c r="LWZ611" s="268"/>
      <c r="LXA611" s="268"/>
      <c r="LXB611" s="268"/>
      <c r="LXC611" s="268"/>
      <c r="LXD611" s="268"/>
      <c r="LXE611" s="268"/>
      <c r="LXF611" s="268"/>
      <c r="LXG611" s="268"/>
      <c r="LXH611" s="268"/>
      <c r="LXI611" s="268"/>
      <c r="LXJ611" s="268"/>
      <c r="LXK611" s="268"/>
      <c r="LXL611" s="268"/>
      <c r="LXM611" s="268"/>
      <c r="LXN611" s="268"/>
      <c r="LXO611" s="268"/>
      <c r="LXP611" s="268"/>
      <c r="LXQ611" s="268"/>
      <c r="LXR611" s="268"/>
      <c r="LXS611" s="268"/>
      <c r="LXT611" s="268"/>
      <c r="LXU611" s="268"/>
      <c r="LXV611" s="268"/>
      <c r="LXW611" s="268"/>
      <c r="LXX611" s="268"/>
      <c r="LXY611" s="268"/>
      <c r="LXZ611" s="268"/>
      <c r="LYA611" s="268"/>
      <c r="LYB611" s="268"/>
      <c r="LYC611" s="268"/>
      <c r="LYD611" s="268"/>
      <c r="LYE611" s="268"/>
      <c r="LYF611" s="268"/>
      <c r="LYG611" s="268"/>
      <c r="LYH611" s="268"/>
      <c r="LYI611" s="268"/>
      <c r="LYJ611" s="268"/>
      <c r="LYK611" s="268"/>
      <c r="LYL611" s="268"/>
      <c r="LYM611" s="268"/>
      <c r="LYN611" s="268"/>
      <c r="LYO611" s="268"/>
      <c r="LYP611" s="268"/>
      <c r="LYQ611" s="268"/>
      <c r="LYR611" s="268"/>
      <c r="LYS611" s="268"/>
      <c r="LYT611" s="268"/>
      <c r="LYU611" s="268"/>
      <c r="LYV611" s="268"/>
      <c r="LYW611" s="268"/>
      <c r="LYX611" s="268"/>
      <c r="LYY611" s="268"/>
      <c r="LYZ611" s="268"/>
      <c r="LZA611" s="268"/>
      <c r="LZB611" s="268"/>
      <c r="LZC611" s="268"/>
      <c r="LZD611" s="268"/>
      <c r="LZE611" s="268"/>
      <c r="LZF611" s="268"/>
      <c r="LZG611" s="268"/>
      <c r="LZH611" s="268"/>
      <c r="LZI611" s="268"/>
      <c r="LZJ611" s="268"/>
      <c r="LZK611" s="268"/>
      <c r="LZL611" s="268"/>
      <c r="LZM611" s="268"/>
      <c r="LZN611" s="268"/>
      <c r="LZO611" s="268"/>
      <c r="LZP611" s="268"/>
      <c r="LZQ611" s="268"/>
      <c r="LZR611" s="268"/>
      <c r="LZS611" s="268"/>
      <c r="LZT611" s="268"/>
      <c r="LZU611" s="268"/>
      <c r="LZV611" s="268"/>
      <c r="LZW611" s="268"/>
      <c r="LZX611" s="268"/>
      <c r="LZY611" s="268"/>
      <c r="LZZ611" s="268"/>
      <c r="MAA611" s="268"/>
      <c r="MAB611" s="268"/>
      <c r="MAC611" s="268"/>
      <c r="MAD611" s="268"/>
      <c r="MAE611" s="268"/>
      <c r="MAF611" s="268"/>
      <c r="MAG611" s="268"/>
      <c r="MAH611" s="268"/>
      <c r="MAI611" s="268"/>
      <c r="MAJ611" s="268"/>
      <c r="MAK611" s="268"/>
      <c r="MAL611" s="268"/>
      <c r="MAM611" s="268"/>
      <c r="MAN611" s="268"/>
      <c r="MAO611" s="268"/>
      <c r="MAP611" s="268"/>
      <c r="MAQ611" s="268"/>
      <c r="MAR611" s="268"/>
      <c r="MAS611" s="268"/>
      <c r="MAT611" s="268"/>
      <c r="MAU611" s="268"/>
      <c r="MAV611" s="268"/>
      <c r="MAW611" s="268"/>
      <c r="MAX611" s="268"/>
      <c r="MAY611" s="268"/>
      <c r="MAZ611" s="268"/>
      <c r="MBA611" s="268"/>
      <c r="MBB611" s="268"/>
      <c r="MBC611" s="268"/>
      <c r="MBD611" s="268"/>
      <c r="MBE611" s="268"/>
      <c r="MBF611" s="268"/>
      <c r="MBG611" s="268"/>
      <c r="MBH611" s="268"/>
      <c r="MBI611" s="268"/>
      <c r="MBJ611" s="268"/>
      <c r="MBK611" s="268"/>
      <c r="MBL611" s="268"/>
      <c r="MBM611" s="268"/>
      <c r="MBN611" s="268"/>
      <c r="MBO611" s="268"/>
      <c r="MBP611" s="268"/>
      <c r="MBQ611" s="268"/>
      <c r="MBR611" s="268"/>
      <c r="MBS611" s="268"/>
      <c r="MBT611" s="268"/>
      <c r="MBU611" s="268"/>
      <c r="MBV611" s="268"/>
      <c r="MBW611" s="268"/>
      <c r="MBX611" s="268"/>
      <c r="MBY611" s="268"/>
      <c r="MBZ611" s="268"/>
      <c r="MCA611" s="268"/>
      <c r="MCB611" s="268"/>
      <c r="MCC611" s="268"/>
      <c r="MCD611" s="268"/>
      <c r="MCE611" s="268"/>
      <c r="MCF611" s="268"/>
      <c r="MCG611" s="268"/>
      <c r="MCH611" s="268"/>
      <c r="MCI611" s="268"/>
      <c r="MCJ611" s="268"/>
      <c r="MCK611" s="268"/>
      <c r="MCL611" s="268"/>
      <c r="MCM611" s="268"/>
      <c r="MCN611" s="268"/>
      <c r="MCO611" s="268"/>
      <c r="MCP611" s="268"/>
      <c r="MCQ611" s="268"/>
      <c r="MCR611" s="268"/>
      <c r="MCS611" s="268"/>
      <c r="MCT611" s="268"/>
      <c r="MCU611" s="268"/>
      <c r="MCV611" s="268"/>
      <c r="MCW611" s="268"/>
      <c r="MCX611" s="268"/>
      <c r="MCY611" s="268"/>
      <c r="MCZ611" s="268"/>
      <c r="MDA611" s="268"/>
      <c r="MDB611" s="268"/>
      <c r="MDC611" s="268"/>
      <c r="MDD611" s="268"/>
      <c r="MDE611" s="268"/>
      <c r="MDF611" s="268"/>
      <c r="MDG611" s="268"/>
      <c r="MDH611" s="268"/>
      <c r="MDI611" s="268"/>
      <c r="MDJ611" s="268"/>
      <c r="MDK611" s="268"/>
      <c r="MDL611" s="268"/>
      <c r="MDM611" s="268"/>
      <c r="MDN611" s="268"/>
      <c r="MDO611" s="268"/>
      <c r="MDP611" s="268"/>
      <c r="MDQ611" s="268"/>
      <c r="MDR611" s="268"/>
      <c r="MDS611" s="268"/>
      <c r="MDT611" s="268"/>
      <c r="MDU611" s="268"/>
      <c r="MDV611" s="268"/>
      <c r="MDW611" s="268"/>
      <c r="MDX611" s="268"/>
      <c r="MDY611" s="268"/>
      <c r="MDZ611" s="268"/>
      <c r="MEA611" s="268"/>
      <c r="MEB611" s="268"/>
      <c r="MEC611" s="268"/>
      <c r="MED611" s="268"/>
      <c r="MEE611" s="268"/>
      <c r="MEF611" s="268"/>
      <c r="MEG611" s="268"/>
      <c r="MEH611" s="268"/>
      <c r="MEI611" s="268"/>
      <c r="MEJ611" s="268"/>
      <c r="MEK611" s="268"/>
      <c r="MEL611" s="268"/>
      <c r="MEM611" s="268"/>
      <c r="MEN611" s="268"/>
      <c r="MEO611" s="268"/>
      <c r="MEP611" s="268"/>
      <c r="MEQ611" s="268"/>
      <c r="MER611" s="268"/>
      <c r="MES611" s="268"/>
      <c r="MET611" s="268"/>
      <c r="MEU611" s="268"/>
      <c r="MEV611" s="268"/>
      <c r="MEW611" s="268"/>
      <c r="MEX611" s="268"/>
      <c r="MEY611" s="268"/>
      <c r="MEZ611" s="268"/>
      <c r="MFA611" s="268"/>
      <c r="MFB611" s="268"/>
      <c r="MFC611" s="268"/>
      <c r="MFD611" s="268"/>
      <c r="MFE611" s="268"/>
      <c r="MFF611" s="268"/>
      <c r="MFG611" s="268"/>
      <c r="MFU611" s="268"/>
      <c r="MFV611" s="268"/>
      <c r="MFW611" s="268"/>
      <c r="MGK611" s="268"/>
      <c r="MGM611" s="268"/>
      <c r="MGN611" s="268"/>
      <c r="MGO611" s="268"/>
      <c r="MGP611" s="268"/>
      <c r="MGQ611" s="268"/>
      <c r="MGR611" s="268"/>
      <c r="MGS611" s="268"/>
      <c r="MGT611" s="268"/>
      <c r="MGU611" s="268"/>
      <c r="MGV611" s="268"/>
      <c r="MGW611" s="268"/>
      <c r="MGX611" s="268"/>
      <c r="MGY611" s="268"/>
      <c r="MGZ611" s="268"/>
      <c r="MHA611" s="268"/>
      <c r="MHB611" s="268"/>
      <c r="MHC611" s="268"/>
      <c r="MHD611" s="268"/>
      <c r="MHE611" s="268"/>
      <c r="MHF611" s="268"/>
      <c r="MHG611" s="268"/>
      <c r="MHH611" s="268"/>
      <c r="MHI611" s="268"/>
      <c r="MHJ611" s="268"/>
      <c r="MHK611" s="268"/>
      <c r="MHL611" s="268"/>
      <c r="MHM611" s="268"/>
      <c r="MHN611" s="268"/>
      <c r="MHO611" s="268"/>
      <c r="MHP611" s="268"/>
      <c r="MHQ611" s="268"/>
      <c r="MHR611" s="268"/>
      <c r="MHS611" s="268"/>
      <c r="MHT611" s="268"/>
      <c r="MHU611" s="268"/>
      <c r="MHV611" s="268"/>
      <c r="MHW611" s="268"/>
      <c r="MHX611" s="268"/>
      <c r="MHY611" s="268"/>
      <c r="MHZ611" s="268"/>
      <c r="MIA611" s="268"/>
      <c r="MIB611" s="268"/>
      <c r="MIC611" s="268"/>
      <c r="MID611" s="268"/>
      <c r="MIE611" s="268"/>
      <c r="MIF611" s="268"/>
      <c r="MIG611" s="268"/>
      <c r="MIH611" s="268"/>
      <c r="MII611" s="268"/>
      <c r="MIJ611" s="268"/>
      <c r="MIK611" s="268"/>
      <c r="MIL611" s="268"/>
      <c r="MIM611" s="268"/>
      <c r="MIN611" s="268"/>
      <c r="MIO611" s="268"/>
      <c r="MIP611" s="268"/>
      <c r="MIQ611" s="268"/>
      <c r="MIR611" s="268"/>
      <c r="MIS611" s="268"/>
      <c r="MIT611" s="268"/>
      <c r="MIU611" s="268"/>
      <c r="MIV611" s="268"/>
      <c r="MIW611" s="268"/>
      <c r="MIX611" s="268"/>
      <c r="MIY611" s="268"/>
      <c r="MIZ611" s="268"/>
      <c r="MJA611" s="268"/>
      <c r="MJB611" s="268"/>
      <c r="MJC611" s="268"/>
      <c r="MJD611" s="268"/>
      <c r="MJE611" s="268"/>
      <c r="MJF611" s="268"/>
      <c r="MJG611" s="268"/>
      <c r="MJH611" s="268"/>
      <c r="MJI611" s="268"/>
      <c r="MJJ611" s="268"/>
      <c r="MJK611" s="268"/>
      <c r="MJL611" s="268"/>
      <c r="MJM611" s="268"/>
      <c r="MJN611" s="268"/>
      <c r="MJO611" s="268"/>
      <c r="MJP611" s="268"/>
      <c r="MJQ611" s="268"/>
      <c r="MJR611" s="268"/>
      <c r="MJS611" s="268"/>
      <c r="MJT611" s="268"/>
      <c r="MJU611" s="268"/>
      <c r="MJV611" s="268"/>
      <c r="MJW611" s="268"/>
      <c r="MJX611" s="268"/>
      <c r="MJY611" s="268"/>
      <c r="MJZ611" s="268"/>
      <c r="MKA611" s="268"/>
      <c r="MKB611" s="268"/>
      <c r="MKC611" s="268"/>
      <c r="MKD611" s="268"/>
      <c r="MKE611" s="268"/>
      <c r="MKF611" s="268"/>
      <c r="MKG611" s="268"/>
      <c r="MKH611" s="268"/>
      <c r="MKI611" s="268"/>
      <c r="MKJ611" s="268"/>
      <c r="MKK611" s="268"/>
      <c r="MKL611" s="268"/>
      <c r="MKM611" s="268"/>
      <c r="MKN611" s="268"/>
      <c r="MKO611" s="268"/>
      <c r="MKP611" s="268"/>
      <c r="MKQ611" s="268"/>
      <c r="MKR611" s="268"/>
      <c r="MKS611" s="268"/>
      <c r="MKT611" s="268"/>
      <c r="MKU611" s="268"/>
      <c r="MKV611" s="268"/>
      <c r="MKW611" s="268"/>
      <c r="MKX611" s="268"/>
      <c r="MKY611" s="268"/>
      <c r="MKZ611" s="268"/>
      <c r="MLA611" s="268"/>
      <c r="MLB611" s="268"/>
      <c r="MLC611" s="268"/>
      <c r="MLD611" s="268"/>
      <c r="MLE611" s="268"/>
      <c r="MLF611" s="268"/>
      <c r="MLG611" s="268"/>
      <c r="MLH611" s="268"/>
      <c r="MLI611" s="268"/>
      <c r="MLJ611" s="268"/>
      <c r="MLK611" s="268"/>
      <c r="MLL611" s="268"/>
      <c r="MLM611" s="268"/>
      <c r="MLN611" s="268"/>
      <c r="MLO611" s="268"/>
      <c r="MLP611" s="268"/>
      <c r="MLQ611" s="268"/>
      <c r="MLR611" s="268"/>
      <c r="MLS611" s="268"/>
      <c r="MLT611" s="268"/>
      <c r="MLU611" s="268"/>
      <c r="MLV611" s="268"/>
      <c r="MLW611" s="268"/>
      <c r="MLX611" s="268"/>
      <c r="MLY611" s="268"/>
      <c r="MLZ611" s="268"/>
      <c r="MMA611" s="268"/>
      <c r="MMB611" s="268"/>
      <c r="MMC611" s="268"/>
      <c r="MMD611" s="268"/>
      <c r="MME611" s="268"/>
      <c r="MMF611" s="268"/>
      <c r="MMG611" s="268"/>
      <c r="MMH611" s="268"/>
      <c r="MMI611" s="268"/>
      <c r="MMJ611" s="268"/>
      <c r="MMK611" s="268"/>
      <c r="MML611" s="268"/>
      <c r="MMM611" s="268"/>
      <c r="MMN611" s="268"/>
      <c r="MMO611" s="268"/>
      <c r="MMP611" s="268"/>
      <c r="MMQ611" s="268"/>
      <c r="MMR611" s="268"/>
      <c r="MMS611" s="268"/>
      <c r="MMT611" s="268"/>
      <c r="MMU611" s="268"/>
      <c r="MMV611" s="268"/>
      <c r="MMW611" s="268"/>
      <c r="MMX611" s="268"/>
      <c r="MMY611" s="268"/>
      <c r="MMZ611" s="268"/>
      <c r="MNA611" s="268"/>
      <c r="MNB611" s="268"/>
      <c r="MNC611" s="268"/>
      <c r="MND611" s="268"/>
      <c r="MNE611" s="268"/>
      <c r="MNF611" s="268"/>
      <c r="MNG611" s="268"/>
      <c r="MNH611" s="268"/>
      <c r="MNI611" s="268"/>
      <c r="MNJ611" s="268"/>
      <c r="MNK611" s="268"/>
      <c r="MNL611" s="268"/>
      <c r="MNM611" s="268"/>
      <c r="MNN611" s="268"/>
      <c r="MNO611" s="268"/>
      <c r="MNP611" s="268"/>
      <c r="MNQ611" s="268"/>
      <c r="MNR611" s="268"/>
      <c r="MNS611" s="268"/>
      <c r="MNT611" s="268"/>
      <c r="MNU611" s="268"/>
      <c r="MNV611" s="268"/>
      <c r="MNW611" s="268"/>
      <c r="MNX611" s="268"/>
      <c r="MNY611" s="268"/>
      <c r="MNZ611" s="268"/>
      <c r="MOA611" s="268"/>
      <c r="MOB611" s="268"/>
      <c r="MOC611" s="268"/>
      <c r="MOD611" s="268"/>
      <c r="MOE611" s="268"/>
      <c r="MOF611" s="268"/>
      <c r="MOG611" s="268"/>
      <c r="MOH611" s="268"/>
      <c r="MOI611" s="268"/>
      <c r="MOJ611" s="268"/>
      <c r="MOK611" s="268"/>
      <c r="MOL611" s="268"/>
      <c r="MOM611" s="268"/>
      <c r="MON611" s="268"/>
      <c r="MOO611" s="268"/>
      <c r="MOP611" s="268"/>
      <c r="MOQ611" s="268"/>
      <c r="MOR611" s="268"/>
      <c r="MOS611" s="268"/>
      <c r="MOT611" s="268"/>
      <c r="MOU611" s="268"/>
      <c r="MOV611" s="268"/>
      <c r="MOW611" s="268"/>
      <c r="MOX611" s="268"/>
      <c r="MOY611" s="268"/>
      <c r="MOZ611" s="268"/>
      <c r="MPA611" s="268"/>
      <c r="MPB611" s="268"/>
      <c r="MPC611" s="268"/>
      <c r="MPQ611" s="268"/>
      <c r="MPR611" s="268"/>
      <c r="MPS611" s="268"/>
      <c r="MQG611" s="268"/>
      <c r="MQI611" s="268"/>
      <c r="MQJ611" s="268"/>
      <c r="MQK611" s="268"/>
      <c r="MQL611" s="268"/>
      <c r="MQM611" s="268"/>
      <c r="MQN611" s="268"/>
      <c r="MQO611" s="268"/>
      <c r="MQP611" s="268"/>
      <c r="MQQ611" s="268"/>
      <c r="MQR611" s="268"/>
      <c r="MQS611" s="268"/>
      <c r="MQT611" s="268"/>
      <c r="MQU611" s="268"/>
      <c r="MQV611" s="268"/>
      <c r="MQW611" s="268"/>
      <c r="MQX611" s="268"/>
      <c r="MQY611" s="268"/>
      <c r="MQZ611" s="268"/>
      <c r="MRA611" s="268"/>
      <c r="MRB611" s="268"/>
      <c r="MRC611" s="268"/>
      <c r="MRD611" s="268"/>
      <c r="MRE611" s="268"/>
      <c r="MRF611" s="268"/>
      <c r="MRG611" s="268"/>
      <c r="MRH611" s="268"/>
      <c r="MRI611" s="268"/>
      <c r="MRJ611" s="268"/>
      <c r="MRK611" s="268"/>
      <c r="MRL611" s="268"/>
      <c r="MRM611" s="268"/>
      <c r="MRN611" s="268"/>
      <c r="MRO611" s="268"/>
      <c r="MRP611" s="268"/>
      <c r="MRQ611" s="268"/>
      <c r="MRR611" s="268"/>
      <c r="MRS611" s="268"/>
      <c r="MRT611" s="268"/>
      <c r="MRU611" s="268"/>
      <c r="MRV611" s="268"/>
      <c r="MRW611" s="268"/>
      <c r="MRX611" s="268"/>
      <c r="MRY611" s="268"/>
      <c r="MRZ611" s="268"/>
      <c r="MSA611" s="268"/>
      <c r="MSB611" s="268"/>
      <c r="MSC611" s="268"/>
      <c r="MSD611" s="268"/>
      <c r="MSE611" s="268"/>
      <c r="MSF611" s="268"/>
      <c r="MSG611" s="268"/>
      <c r="MSH611" s="268"/>
      <c r="MSI611" s="268"/>
      <c r="MSJ611" s="268"/>
      <c r="MSK611" s="268"/>
      <c r="MSL611" s="268"/>
      <c r="MSM611" s="268"/>
      <c r="MSN611" s="268"/>
      <c r="MSO611" s="268"/>
      <c r="MSP611" s="268"/>
      <c r="MSQ611" s="268"/>
      <c r="MSR611" s="268"/>
      <c r="MSS611" s="268"/>
      <c r="MST611" s="268"/>
      <c r="MSU611" s="268"/>
      <c r="MSV611" s="268"/>
      <c r="MSW611" s="268"/>
      <c r="MSX611" s="268"/>
      <c r="MSY611" s="268"/>
      <c r="MSZ611" s="268"/>
      <c r="MTA611" s="268"/>
      <c r="MTB611" s="268"/>
      <c r="MTC611" s="268"/>
      <c r="MTD611" s="268"/>
      <c r="MTE611" s="268"/>
      <c r="MTF611" s="268"/>
      <c r="MTG611" s="268"/>
      <c r="MTH611" s="268"/>
      <c r="MTI611" s="268"/>
      <c r="MTJ611" s="268"/>
      <c r="MTK611" s="268"/>
      <c r="MTL611" s="268"/>
      <c r="MTM611" s="268"/>
      <c r="MTN611" s="268"/>
      <c r="MTO611" s="268"/>
      <c r="MTP611" s="268"/>
      <c r="MTQ611" s="268"/>
      <c r="MTR611" s="268"/>
      <c r="MTS611" s="268"/>
      <c r="MTT611" s="268"/>
      <c r="MTU611" s="268"/>
      <c r="MTV611" s="268"/>
      <c r="MTW611" s="268"/>
      <c r="MTX611" s="268"/>
      <c r="MTY611" s="268"/>
      <c r="MTZ611" s="268"/>
      <c r="MUA611" s="268"/>
      <c r="MUB611" s="268"/>
      <c r="MUC611" s="268"/>
      <c r="MUD611" s="268"/>
      <c r="MUE611" s="268"/>
      <c r="MUF611" s="268"/>
      <c r="MUG611" s="268"/>
      <c r="MUH611" s="268"/>
      <c r="MUI611" s="268"/>
      <c r="MUJ611" s="268"/>
      <c r="MUK611" s="268"/>
      <c r="MUL611" s="268"/>
      <c r="MUM611" s="268"/>
      <c r="MUN611" s="268"/>
      <c r="MUO611" s="268"/>
      <c r="MUP611" s="268"/>
      <c r="MUQ611" s="268"/>
      <c r="MUR611" s="268"/>
      <c r="MUS611" s="268"/>
      <c r="MUT611" s="268"/>
      <c r="MUU611" s="268"/>
      <c r="MUV611" s="268"/>
      <c r="MUW611" s="268"/>
      <c r="MUX611" s="268"/>
      <c r="MUY611" s="268"/>
      <c r="MUZ611" s="268"/>
      <c r="MVA611" s="268"/>
      <c r="MVB611" s="268"/>
      <c r="MVC611" s="268"/>
      <c r="MVD611" s="268"/>
      <c r="MVE611" s="268"/>
      <c r="MVF611" s="268"/>
      <c r="MVG611" s="268"/>
      <c r="MVH611" s="268"/>
      <c r="MVI611" s="268"/>
      <c r="MVJ611" s="268"/>
      <c r="MVK611" s="268"/>
      <c r="MVL611" s="268"/>
      <c r="MVM611" s="268"/>
      <c r="MVN611" s="268"/>
      <c r="MVO611" s="268"/>
      <c r="MVP611" s="268"/>
      <c r="MVQ611" s="268"/>
      <c r="MVR611" s="268"/>
      <c r="MVS611" s="268"/>
      <c r="MVT611" s="268"/>
      <c r="MVU611" s="268"/>
      <c r="MVV611" s="268"/>
      <c r="MVW611" s="268"/>
      <c r="MVX611" s="268"/>
      <c r="MVY611" s="268"/>
      <c r="MVZ611" s="268"/>
      <c r="MWA611" s="268"/>
      <c r="MWB611" s="268"/>
      <c r="MWC611" s="268"/>
      <c r="MWD611" s="268"/>
      <c r="MWE611" s="268"/>
      <c r="MWF611" s="268"/>
      <c r="MWG611" s="268"/>
      <c r="MWH611" s="268"/>
      <c r="MWI611" s="268"/>
      <c r="MWJ611" s="268"/>
      <c r="MWK611" s="268"/>
      <c r="MWL611" s="268"/>
      <c r="MWM611" s="268"/>
      <c r="MWN611" s="268"/>
      <c r="MWO611" s="268"/>
      <c r="MWP611" s="268"/>
      <c r="MWQ611" s="268"/>
      <c r="MWR611" s="268"/>
      <c r="MWS611" s="268"/>
      <c r="MWT611" s="268"/>
      <c r="MWU611" s="268"/>
      <c r="MWV611" s="268"/>
      <c r="MWW611" s="268"/>
      <c r="MWX611" s="268"/>
      <c r="MWY611" s="268"/>
      <c r="MWZ611" s="268"/>
      <c r="MXA611" s="268"/>
      <c r="MXB611" s="268"/>
      <c r="MXC611" s="268"/>
      <c r="MXD611" s="268"/>
      <c r="MXE611" s="268"/>
      <c r="MXF611" s="268"/>
      <c r="MXG611" s="268"/>
      <c r="MXH611" s="268"/>
      <c r="MXI611" s="268"/>
      <c r="MXJ611" s="268"/>
      <c r="MXK611" s="268"/>
      <c r="MXL611" s="268"/>
      <c r="MXM611" s="268"/>
      <c r="MXN611" s="268"/>
      <c r="MXO611" s="268"/>
      <c r="MXP611" s="268"/>
      <c r="MXQ611" s="268"/>
      <c r="MXR611" s="268"/>
      <c r="MXS611" s="268"/>
      <c r="MXT611" s="268"/>
      <c r="MXU611" s="268"/>
      <c r="MXV611" s="268"/>
      <c r="MXW611" s="268"/>
      <c r="MXX611" s="268"/>
      <c r="MXY611" s="268"/>
      <c r="MXZ611" s="268"/>
      <c r="MYA611" s="268"/>
      <c r="MYB611" s="268"/>
      <c r="MYC611" s="268"/>
      <c r="MYD611" s="268"/>
      <c r="MYE611" s="268"/>
      <c r="MYF611" s="268"/>
      <c r="MYG611" s="268"/>
      <c r="MYH611" s="268"/>
      <c r="MYI611" s="268"/>
      <c r="MYJ611" s="268"/>
      <c r="MYK611" s="268"/>
      <c r="MYL611" s="268"/>
      <c r="MYM611" s="268"/>
      <c r="MYN611" s="268"/>
      <c r="MYO611" s="268"/>
      <c r="MYP611" s="268"/>
      <c r="MYQ611" s="268"/>
      <c r="MYR611" s="268"/>
      <c r="MYS611" s="268"/>
      <c r="MYT611" s="268"/>
      <c r="MYU611" s="268"/>
      <c r="MYV611" s="268"/>
      <c r="MYW611" s="268"/>
      <c r="MYX611" s="268"/>
      <c r="MYY611" s="268"/>
      <c r="MZM611" s="268"/>
      <c r="MZN611" s="268"/>
      <c r="MZO611" s="268"/>
      <c r="NAC611" s="268"/>
      <c r="NAE611" s="268"/>
      <c r="NAF611" s="268"/>
      <c r="NAG611" s="268"/>
      <c r="NAH611" s="268"/>
      <c r="NAI611" s="268"/>
      <c r="NAJ611" s="268"/>
      <c r="NAK611" s="268"/>
      <c r="NAL611" s="268"/>
      <c r="NAM611" s="268"/>
      <c r="NAN611" s="268"/>
      <c r="NAO611" s="268"/>
      <c r="NAP611" s="268"/>
      <c r="NAQ611" s="268"/>
      <c r="NAR611" s="268"/>
      <c r="NAS611" s="268"/>
      <c r="NAT611" s="268"/>
      <c r="NAU611" s="268"/>
      <c r="NAV611" s="268"/>
      <c r="NAW611" s="268"/>
      <c r="NAX611" s="268"/>
      <c r="NAY611" s="268"/>
      <c r="NAZ611" s="268"/>
      <c r="NBA611" s="268"/>
      <c r="NBB611" s="268"/>
      <c r="NBC611" s="268"/>
      <c r="NBD611" s="268"/>
      <c r="NBE611" s="268"/>
      <c r="NBF611" s="268"/>
      <c r="NBG611" s="268"/>
      <c r="NBH611" s="268"/>
      <c r="NBI611" s="268"/>
      <c r="NBJ611" s="268"/>
      <c r="NBK611" s="268"/>
      <c r="NBL611" s="268"/>
      <c r="NBM611" s="268"/>
      <c r="NBN611" s="268"/>
      <c r="NBO611" s="268"/>
      <c r="NBP611" s="268"/>
      <c r="NBQ611" s="268"/>
      <c r="NBR611" s="268"/>
      <c r="NBS611" s="268"/>
      <c r="NBT611" s="268"/>
      <c r="NBU611" s="268"/>
      <c r="NBV611" s="268"/>
      <c r="NBW611" s="268"/>
      <c r="NBX611" s="268"/>
      <c r="NBY611" s="268"/>
      <c r="NBZ611" s="268"/>
      <c r="NCA611" s="268"/>
      <c r="NCB611" s="268"/>
      <c r="NCC611" s="268"/>
      <c r="NCD611" s="268"/>
      <c r="NCE611" s="268"/>
      <c r="NCF611" s="268"/>
      <c r="NCG611" s="268"/>
      <c r="NCH611" s="268"/>
      <c r="NCI611" s="268"/>
      <c r="NCJ611" s="268"/>
      <c r="NCK611" s="268"/>
      <c r="NCL611" s="268"/>
      <c r="NCM611" s="268"/>
      <c r="NCN611" s="268"/>
      <c r="NCO611" s="268"/>
      <c r="NCP611" s="268"/>
      <c r="NCQ611" s="268"/>
      <c r="NCR611" s="268"/>
      <c r="NCS611" s="268"/>
      <c r="NCT611" s="268"/>
      <c r="NCU611" s="268"/>
      <c r="NCV611" s="268"/>
      <c r="NCW611" s="268"/>
      <c r="NCX611" s="268"/>
      <c r="NCY611" s="268"/>
      <c r="NCZ611" s="268"/>
      <c r="NDA611" s="268"/>
      <c r="NDB611" s="268"/>
      <c r="NDC611" s="268"/>
      <c r="NDD611" s="268"/>
      <c r="NDE611" s="268"/>
      <c r="NDF611" s="268"/>
      <c r="NDG611" s="268"/>
      <c r="NDH611" s="268"/>
      <c r="NDI611" s="268"/>
      <c r="NDJ611" s="268"/>
      <c r="NDK611" s="268"/>
      <c r="NDL611" s="268"/>
      <c r="NDM611" s="268"/>
      <c r="NDN611" s="268"/>
      <c r="NDO611" s="268"/>
      <c r="NDP611" s="268"/>
      <c r="NDQ611" s="268"/>
      <c r="NDR611" s="268"/>
      <c r="NDS611" s="268"/>
      <c r="NDT611" s="268"/>
      <c r="NDU611" s="268"/>
      <c r="NDV611" s="268"/>
      <c r="NDW611" s="268"/>
      <c r="NDX611" s="268"/>
      <c r="NDY611" s="268"/>
      <c r="NDZ611" s="268"/>
      <c r="NEA611" s="268"/>
      <c r="NEB611" s="268"/>
      <c r="NEC611" s="268"/>
      <c r="NED611" s="268"/>
      <c r="NEE611" s="268"/>
      <c r="NEF611" s="268"/>
      <c r="NEG611" s="268"/>
      <c r="NEH611" s="268"/>
      <c r="NEI611" s="268"/>
      <c r="NEJ611" s="268"/>
      <c r="NEK611" s="268"/>
      <c r="NEL611" s="268"/>
      <c r="NEM611" s="268"/>
      <c r="NEN611" s="268"/>
      <c r="NEO611" s="268"/>
      <c r="NEP611" s="268"/>
      <c r="NEQ611" s="268"/>
      <c r="NER611" s="268"/>
      <c r="NES611" s="268"/>
      <c r="NET611" s="268"/>
      <c r="NEU611" s="268"/>
      <c r="NEV611" s="268"/>
      <c r="NEW611" s="268"/>
      <c r="NEX611" s="268"/>
      <c r="NEY611" s="268"/>
      <c r="NEZ611" s="268"/>
      <c r="NFA611" s="268"/>
      <c r="NFB611" s="268"/>
      <c r="NFC611" s="268"/>
      <c r="NFD611" s="268"/>
      <c r="NFE611" s="268"/>
      <c r="NFF611" s="268"/>
      <c r="NFG611" s="268"/>
      <c r="NFH611" s="268"/>
      <c r="NFI611" s="268"/>
      <c r="NFJ611" s="268"/>
      <c r="NFK611" s="268"/>
      <c r="NFL611" s="268"/>
      <c r="NFM611" s="268"/>
      <c r="NFN611" s="268"/>
      <c r="NFO611" s="268"/>
      <c r="NFP611" s="268"/>
      <c r="NFQ611" s="268"/>
      <c r="NFR611" s="268"/>
      <c r="NFS611" s="268"/>
      <c r="NFT611" s="268"/>
      <c r="NFU611" s="268"/>
      <c r="NFV611" s="268"/>
      <c r="NFW611" s="268"/>
      <c r="NFX611" s="268"/>
      <c r="NFY611" s="268"/>
      <c r="NFZ611" s="268"/>
      <c r="NGA611" s="268"/>
      <c r="NGB611" s="268"/>
      <c r="NGC611" s="268"/>
      <c r="NGD611" s="268"/>
      <c r="NGE611" s="268"/>
      <c r="NGF611" s="268"/>
      <c r="NGG611" s="268"/>
      <c r="NGH611" s="268"/>
      <c r="NGI611" s="268"/>
      <c r="NGJ611" s="268"/>
      <c r="NGK611" s="268"/>
      <c r="NGL611" s="268"/>
      <c r="NGM611" s="268"/>
      <c r="NGN611" s="268"/>
      <c r="NGO611" s="268"/>
      <c r="NGP611" s="268"/>
      <c r="NGQ611" s="268"/>
      <c r="NGR611" s="268"/>
      <c r="NGS611" s="268"/>
      <c r="NGT611" s="268"/>
      <c r="NGU611" s="268"/>
      <c r="NGV611" s="268"/>
      <c r="NGW611" s="268"/>
      <c r="NGX611" s="268"/>
      <c r="NGY611" s="268"/>
      <c r="NGZ611" s="268"/>
      <c r="NHA611" s="268"/>
      <c r="NHB611" s="268"/>
      <c r="NHC611" s="268"/>
      <c r="NHD611" s="268"/>
      <c r="NHE611" s="268"/>
      <c r="NHF611" s="268"/>
      <c r="NHG611" s="268"/>
      <c r="NHH611" s="268"/>
      <c r="NHI611" s="268"/>
      <c r="NHJ611" s="268"/>
      <c r="NHK611" s="268"/>
      <c r="NHL611" s="268"/>
      <c r="NHM611" s="268"/>
      <c r="NHN611" s="268"/>
      <c r="NHO611" s="268"/>
      <c r="NHP611" s="268"/>
      <c r="NHQ611" s="268"/>
      <c r="NHR611" s="268"/>
      <c r="NHS611" s="268"/>
      <c r="NHT611" s="268"/>
      <c r="NHU611" s="268"/>
      <c r="NHV611" s="268"/>
      <c r="NHW611" s="268"/>
      <c r="NHX611" s="268"/>
      <c r="NHY611" s="268"/>
      <c r="NHZ611" s="268"/>
      <c r="NIA611" s="268"/>
      <c r="NIB611" s="268"/>
      <c r="NIC611" s="268"/>
      <c r="NID611" s="268"/>
      <c r="NIE611" s="268"/>
      <c r="NIF611" s="268"/>
      <c r="NIG611" s="268"/>
      <c r="NIH611" s="268"/>
      <c r="NII611" s="268"/>
      <c r="NIJ611" s="268"/>
      <c r="NIK611" s="268"/>
      <c r="NIL611" s="268"/>
      <c r="NIM611" s="268"/>
      <c r="NIN611" s="268"/>
      <c r="NIO611" s="268"/>
      <c r="NIP611" s="268"/>
      <c r="NIQ611" s="268"/>
      <c r="NIR611" s="268"/>
      <c r="NIS611" s="268"/>
      <c r="NIT611" s="268"/>
      <c r="NIU611" s="268"/>
      <c r="NJI611" s="268"/>
      <c r="NJJ611" s="268"/>
      <c r="NJK611" s="268"/>
      <c r="NJY611" s="268"/>
      <c r="NKA611" s="268"/>
      <c r="NKB611" s="268"/>
      <c r="NKC611" s="268"/>
      <c r="NKD611" s="268"/>
      <c r="NKE611" s="268"/>
      <c r="NKF611" s="268"/>
      <c r="NKG611" s="268"/>
      <c r="NKH611" s="268"/>
      <c r="NKI611" s="268"/>
      <c r="NKJ611" s="268"/>
      <c r="NKK611" s="268"/>
      <c r="NKL611" s="268"/>
      <c r="NKM611" s="268"/>
      <c r="NKN611" s="268"/>
      <c r="NKO611" s="268"/>
      <c r="NKP611" s="268"/>
      <c r="NKQ611" s="268"/>
      <c r="NKR611" s="268"/>
      <c r="NKS611" s="268"/>
      <c r="NKT611" s="268"/>
      <c r="NKU611" s="268"/>
      <c r="NKV611" s="268"/>
      <c r="NKW611" s="268"/>
      <c r="NKX611" s="268"/>
      <c r="NKY611" s="268"/>
      <c r="NKZ611" s="268"/>
      <c r="NLA611" s="268"/>
      <c r="NLB611" s="268"/>
      <c r="NLC611" s="268"/>
      <c r="NLD611" s="268"/>
      <c r="NLE611" s="268"/>
      <c r="NLF611" s="268"/>
      <c r="NLG611" s="268"/>
      <c r="NLH611" s="268"/>
      <c r="NLI611" s="268"/>
      <c r="NLJ611" s="268"/>
      <c r="NLK611" s="268"/>
      <c r="NLL611" s="268"/>
      <c r="NLM611" s="268"/>
      <c r="NLN611" s="268"/>
      <c r="NLO611" s="268"/>
      <c r="NLP611" s="268"/>
      <c r="NLQ611" s="268"/>
      <c r="NLR611" s="268"/>
      <c r="NLS611" s="268"/>
      <c r="NLT611" s="268"/>
      <c r="NLU611" s="268"/>
      <c r="NLV611" s="268"/>
      <c r="NLW611" s="268"/>
      <c r="NLX611" s="268"/>
      <c r="NLY611" s="268"/>
      <c r="NLZ611" s="268"/>
      <c r="NMA611" s="268"/>
      <c r="NMB611" s="268"/>
      <c r="NMC611" s="268"/>
      <c r="NMD611" s="268"/>
      <c r="NME611" s="268"/>
      <c r="NMF611" s="268"/>
      <c r="NMG611" s="268"/>
      <c r="NMH611" s="268"/>
      <c r="NMI611" s="268"/>
      <c r="NMJ611" s="268"/>
      <c r="NMK611" s="268"/>
      <c r="NML611" s="268"/>
      <c r="NMM611" s="268"/>
      <c r="NMN611" s="268"/>
      <c r="NMO611" s="268"/>
      <c r="NMP611" s="268"/>
      <c r="NMQ611" s="268"/>
      <c r="NMR611" s="268"/>
      <c r="NMS611" s="268"/>
      <c r="NMT611" s="268"/>
      <c r="NMU611" s="268"/>
      <c r="NMV611" s="268"/>
      <c r="NMW611" s="268"/>
      <c r="NMX611" s="268"/>
      <c r="NMY611" s="268"/>
      <c r="NMZ611" s="268"/>
      <c r="NNA611" s="268"/>
      <c r="NNB611" s="268"/>
      <c r="NNC611" s="268"/>
      <c r="NND611" s="268"/>
      <c r="NNE611" s="268"/>
      <c r="NNF611" s="268"/>
      <c r="NNG611" s="268"/>
      <c r="NNH611" s="268"/>
      <c r="NNI611" s="268"/>
      <c r="NNJ611" s="268"/>
      <c r="NNK611" s="268"/>
      <c r="NNL611" s="268"/>
      <c r="NNM611" s="268"/>
      <c r="NNN611" s="268"/>
      <c r="NNO611" s="268"/>
      <c r="NNP611" s="268"/>
      <c r="NNQ611" s="268"/>
      <c r="NNR611" s="268"/>
      <c r="NNS611" s="268"/>
      <c r="NNT611" s="268"/>
      <c r="NNU611" s="268"/>
      <c r="NNV611" s="268"/>
      <c r="NNW611" s="268"/>
      <c r="NNX611" s="268"/>
      <c r="NNY611" s="268"/>
      <c r="NNZ611" s="268"/>
      <c r="NOA611" s="268"/>
      <c r="NOB611" s="268"/>
      <c r="NOC611" s="268"/>
      <c r="NOD611" s="268"/>
      <c r="NOE611" s="268"/>
      <c r="NOF611" s="268"/>
      <c r="NOG611" s="268"/>
      <c r="NOH611" s="268"/>
      <c r="NOI611" s="268"/>
      <c r="NOJ611" s="268"/>
      <c r="NOK611" s="268"/>
      <c r="NOL611" s="268"/>
      <c r="NOM611" s="268"/>
      <c r="NON611" s="268"/>
      <c r="NOO611" s="268"/>
      <c r="NOP611" s="268"/>
      <c r="NOQ611" s="268"/>
      <c r="NOR611" s="268"/>
      <c r="NOS611" s="268"/>
      <c r="NOT611" s="268"/>
      <c r="NOU611" s="268"/>
      <c r="NOV611" s="268"/>
      <c r="NOW611" s="268"/>
      <c r="NOX611" s="268"/>
      <c r="NOY611" s="268"/>
      <c r="NOZ611" s="268"/>
      <c r="NPA611" s="268"/>
      <c r="NPB611" s="268"/>
      <c r="NPC611" s="268"/>
      <c r="NPD611" s="268"/>
      <c r="NPE611" s="268"/>
      <c r="NPF611" s="268"/>
      <c r="NPG611" s="268"/>
      <c r="NPH611" s="268"/>
      <c r="NPI611" s="268"/>
      <c r="NPJ611" s="268"/>
      <c r="NPK611" s="268"/>
      <c r="NPL611" s="268"/>
      <c r="NPM611" s="268"/>
      <c r="NPN611" s="268"/>
      <c r="NPO611" s="268"/>
      <c r="NPP611" s="268"/>
      <c r="NPQ611" s="268"/>
      <c r="NPR611" s="268"/>
      <c r="NPS611" s="268"/>
      <c r="NPT611" s="268"/>
      <c r="NPU611" s="268"/>
      <c r="NPV611" s="268"/>
      <c r="NPW611" s="268"/>
      <c r="NPX611" s="268"/>
      <c r="NPY611" s="268"/>
      <c r="NPZ611" s="268"/>
      <c r="NQA611" s="268"/>
      <c r="NQB611" s="268"/>
      <c r="NQC611" s="268"/>
      <c r="NQD611" s="268"/>
      <c r="NQE611" s="268"/>
      <c r="NQF611" s="268"/>
      <c r="NQG611" s="268"/>
      <c r="NQH611" s="268"/>
      <c r="NQI611" s="268"/>
      <c r="NQJ611" s="268"/>
      <c r="NQK611" s="268"/>
      <c r="NQL611" s="268"/>
      <c r="NQM611" s="268"/>
      <c r="NQN611" s="268"/>
      <c r="NQO611" s="268"/>
      <c r="NQP611" s="268"/>
      <c r="NQQ611" s="268"/>
      <c r="NQR611" s="268"/>
      <c r="NQS611" s="268"/>
      <c r="NQT611" s="268"/>
      <c r="NQU611" s="268"/>
      <c r="NQV611" s="268"/>
      <c r="NQW611" s="268"/>
      <c r="NQX611" s="268"/>
      <c r="NQY611" s="268"/>
      <c r="NQZ611" s="268"/>
      <c r="NRA611" s="268"/>
      <c r="NRB611" s="268"/>
      <c r="NRC611" s="268"/>
      <c r="NRD611" s="268"/>
      <c r="NRE611" s="268"/>
      <c r="NRF611" s="268"/>
      <c r="NRG611" s="268"/>
      <c r="NRH611" s="268"/>
      <c r="NRI611" s="268"/>
      <c r="NRJ611" s="268"/>
      <c r="NRK611" s="268"/>
      <c r="NRL611" s="268"/>
      <c r="NRM611" s="268"/>
      <c r="NRN611" s="268"/>
      <c r="NRO611" s="268"/>
      <c r="NRP611" s="268"/>
      <c r="NRQ611" s="268"/>
      <c r="NRR611" s="268"/>
      <c r="NRS611" s="268"/>
      <c r="NRT611" s="268"/>
      <c r="NRU611" s="268"/>
      <c r="NRV611" s="268"/>
      <c r="NRW611" s="268"/>
      <c r="NRX611" s="268"/>
      <c r="NRY611" s="268"/>
      <c r="NRZ611" s="268"/>
      <c r="NSA611" s="268"/>
      <c r="NSB611" s="268"/>
      <c r="NSC611" s="268"/>
      <c r="NSD611" s="268"/>
      <c r="NSE611" s="268"/>
      <c r="NSF611" s="268"/>
      <c r="NSG611" s="268"/>
      <c r="NSH611" s="268"/>
      <c r="NSI611" s="268"/>
      <c r="NSJ611" s="268"/>
      <c r="NSK611" s="268"/>
      <c r="NSL611" s="268"/>
      <c r="NSM611" s="268"/>
      <c r="NSN611" s="268"/>
      <c r="NSO611" s="268"/>
      <c r="NSP611" s="268"/>
      <c r="NSQ611" s="268"/>
      <c r="NTE611" s="268"/>
      <c r="NTF611" s="268"/>
      <c r="NTG611" s="268"/>
      <c r="NTU611" s="268"/>
      <c r="NTW611" s="268"/>
      <c r="NTX611" s="268"/>
      <c r="NTY611" s="268"/>
      <c r="NTZ611" s="268"/>
      <c r="NUA611" s="268"/>
      <c r="NUB611" s="268"/>
      <c r="NUC611" s="268"/>
      <c r="NUD611" s="268"/>
      <c r="NUE611" s="268"/>
      <c r="NUF611" s="268"/>
      <c r="NUG611" s="268"/>
      <c r="NUH611" s="268"/>
      <c r="NUI611" s="268"/>
      <c r="NUJ611" s="268"/>
      <c r="NUK611" s="268"/>
      <c r="NUL611" s="268"/>
      <c r="NUM611" s="268"/>
      <c r="NUN611" s="268"/>
      <c r="NUO611" s="268"/>
      <c r="NUP611" s="268"/>
      <c r="NUQ611" s="268"/>
      <c r="NUR611" s="268"/>
      <c r="NUS611" s="268"/>
      <c r="NUT611" s="268"/>
      <c r="NUU611" s="268"/>
      <c r="NUV611" s="268"/>
      <c r="NUW611" s="268"/>
      <c r="NUX611" s="268"/>
      <c r="NUY611" s="268"/>
      <c r="NUZ611" s="268"/>
      <c r="NVA611" s="268"/>
      <c r="NVB611" s="268"/>
      <c r="NVC611" s="268"/>
      <c r="NVD611" s="268"/>
      <c r="NVE611" s="268"/>
      <c r="NVF611" s="268"/>
      <c r="NVG611" s="268"/>
      <c r="NVH611" s="268"/>
      <c r="NVI611" s="268"/>
      <c r="NVJ611" s="268"/>
      <c r="NVK611" s="268"/>
      <c r="NVL611" s="268"/>
      <c r="NVM611" s="268"/>
      <c r="NVN611" s="268"/>
      <c r="NVO611" s="268"/>
      <c r="NVP611" s="268"/>
      <c r="NVQ611" s="268"/>
      <c r="NVR611" s="268"/>
      <c r="NVS611" s="268"/>
      <c r="NVT611" s="268"/>
      <c r="NVU611" s="268"/>
      <c r="NVV611" s="268"/>
      <c r="NVW611" s="268"/>
      <c r="NVX611" s="268"/>
      <c r="NVY611" s="268"/>
      <c r="NVZ611" s="268"/>
      <c r="NWA611" s="268"/>
      <c r="NWB611" s="268"/>
      <c r="NWC611" s="268"/>
      <c r="NWD611" s="268"/>
      <c r="NWE611" s="268"/>
      <c r="NWF611" s="268"/>
      <c r="NWG611" s="268"/>
      <c r="NWH611" s="268"/>
      <c r="NWI611" s="268"/>
      <c r="NWJ611" s="268"/>
      <c r="NWK611" s="268"/>
      <c r="NWL611" s="268"/>
      <c r="NWM611" s="268"/>
      <c r="NWN611" s="268"/>
      <c r="NWO611" s="268"/>
      <c r="NWP611" s="268"/>
      <c r="NWQ611" s="268"/>
      <c r="NWR611" s="268"/>
      <c r="NWS611" s="268"/>
      <c r="NWT611" s="268"/>
      <c r="NWU611" s="268"/>
      <c r="NWV611" s="268"/>
      <c r="NWW611" s="268"/>
      <c r="NWX611" s="268"/>
      <c r="NWY611" s="268"/>
      <c r="NWZ611" s="268"/>
      <c r="NXA611" s="268"/>
      <c r="NXB611" s="268"/>
      <c r="NXC611" s="268"/>
      <c r="NXD611" s="268"/>
      <c r="NXE611" s="268"/>
      <c r="NXF611" s="268"/>
      <c r="NXG611" s="268"/>
      <c r="NXH611" s="268"/>
      <c r="NXI611" s="268"/>
      <c r="NXJ611" s="268"/>
      <c r="NXK611" s="268"/>
      <c r="NXL611" s="268"/>
      <c r="NXM611" s="268"/>
      <c r="NXN611" s="268"/>
      <c r="NXO611" s="268"/>
      <c r="NXP611" s="268"/>
      <c r="NXQ611" s="268"/>
      <c r="NXR611" s="268"/>
      <c r="NXS611" s="268"/>
      <c r="NXT611" s="268"/>
      <c r="NXU611" s="268"/>
      <c r="NXV611" s="268"/>
      <c r="NXW611" s="268"/>
      <c r="NXX611" s="268"/>
      <c r="NXY611" s="268"/>
      <c r="NXZ611" s="268"/>
      <c r="NYA611" s="268"/>
      <c r="NYB611" s="268"/>
      <c r="NYC611" s="268"/>
      <c r="NYD611" s="268"/>
      <c r="NYE611" s="268"/>
      <c r="NYF611" s="268"/>
      <c r="NYG611" s="268"/>
      <c r="NYH611" s="268"/>
      <c r="NYI611" s="268"/>
      <c r="NYJ611" s="268"/>
      <c r="NYK611" s="268"/>
      <c r="NYL611" s="268"/>
      <c r="NYM611" s="268"/>
      <c r="NYN611" s="268"/>
      <c r="NYO611" s="268"/>
      <c r="NYP611" s="268"/>
      <c r="NYQ611" s="268"/>
      <c r="NYR611" s="268"/>
      <c r="NYS611" s="268"/>
      <c r="NYT611" s="268"/>
      <c r="NYU611" s="268"/>
      <c r="NYV611" s="268"/>
      <c r="NYW611" s="268"/>
      <c r="NYX611" s="268"/>
      <c r="NYY611" s="268"/>
      <c r="NYZ611" s="268"/>
      <c r="NZA611" s="268"/>
      <c r="NZB611" s="268"/>
      <c r="NZC611" s="268"/>
      <c r="NZD611" s="268"/>
      <c r="NZE611" s="268"/>
      <c r="NZF611" s="268"/>
      <c r="NZG611" s="268"/>
      <c r="NZH611" s="268"/>
      <c r="NZI611" s="268"/>
      <c r="NZJ611" s="268"/>
      <c r="NZK611" s="268"/>
      <c r="NZL611" s="268"/>
      <c r="NZM611" s="268"/>
      <c r="NZN611" s="268"/>
      <c r="NZO611" s="268"/>
      <c r="NZP611" s="268"/>
      <c r="NZQ611" s="268"/>
      <c r="NZR611" s="268"/>
      <c r="NZS611" s="268"/>
      <c r="NZT611" s="268"/>
      <c r="NZU611" s="268"/>
      <c r="NZV611" s="268"/>
      <c r="NZW611" s="268"/>
      <c r="NZX611" s="268"/>
      <c r="NZY611" s="268"/>
      <c r="NZZ611" s="268"/>
      <c r="OAA611" s="268"/>
      <c r="OAB611" s="268"/>
      <c r="OAC611" s="268"/>
      <c r="OAD611" s="268"/>
      <c r="OAE611" s="268"/>
      <c r="OAF611" s="268"/>
      <c r="OAG611" s="268"/>
      <c r="OAH611" s="268"/>
      <c r="OAI611" s="268"/>
      <c r="OAJ611" s="268"/>
      <c r="OAK611" s="268"/>
      <c r="OAL611" s="268"/>
      <c r="OAM611" s="268"/>
      <c r="OAN611" s="268"/>
      <c r="OAO611" s="268"/>
      <c r="OAP611" s="268"/>
      <c r="OAQ611" s="268"/>
      <c r="OAR611" s="268"/>
      <c r="OAS611" s="268"/>
      <c r="OAT611" s="268"/>
      <c r="OAU611" s="268"/>
      <c r="OAV611" s="268"/>
      <c r="OAW611" s="268"/>
      <c r="OAX611" s="268"/>
      <c r="OAY611" s="268"/>
      <c r="OAZ611" s="268"/>
      <c r="OBA611" s="268"/>
      <c r="OBB611" s="268"/>
      <c r="OBC611" s="268"/>
      <c r="OBD611" s="268"/>
      <c r="OBE611" s="268"/>
      <c r="OBF611" s="268"/>
      <c r="OBG611" s="268"/>
      <c r="OBH611" s="268"/>
      <c r="OBI611" s="268"/>
      <c r="OBJ611" s="268"/>
      <c r="OBK611" s="268"/>
      <c r="OBL611" s="268"/>
      <c r="OBM611" s="268"/>
      <c r="OBN611" s="268"/>
      <c r="OBO611" s="268"/>
      <c r="OBP611" s="268"/>
      <c r="OBQ611" s="268"/>
      <c r="OBR611" s="268"/>
      <c r="OBS611" s="268"/>
      <c r="OBT611" s="268"/>
      <c r="OBU611" s="268"/>
      <c r="OBV611" s="268"/>
      <c r="OBW611" s="268"/>
      <c r="OBX611" s="268"/>
      <c r="OBY611" s="268"/>
      <c r="OBZ611" s="268"/>
      <c r="OCA611" s="268"/>
      <c r="OCB611" s="268"/>
      <c r="OCC611" s="268"/>
      <c r="OCD611" s="268"/>
      <c r="OCE611" s="268"/>
      <c r="OCF611" s="268"/>
      <c r="OCG611" s="268"/>
      <c r="OCH611" s="268"/>
      <c r="OCI611" s="268"/>
      <c r="OCJ611" s="268"/>
      <c r="OCK611" s="268"/>
      <c r="OCL611" s="268"/>
      <c r="OCM611" s="268"/>
      <c r="ODA611" s="268"/>
      <c r="ODB611" s="268"/>
      <c r="ODC611" s="268"/>
      <c r="ODQ611" s="268"/>
      <c r="ODS611" s="268"/>
      <c r="ODT611" s="268"/>
      <c r="ODU611" s="268"/>
      <c r="ODV611" s="268"/>
      <c r="ODW611" s="268"/>
      <c r="ODX611" s="268"/>
      <c r="ODY611" s="268"/>
      <c r="ODZ611" s="268"/>
      <c r="OEA611" s="268"/>
      <c r="OEB611" s="268"/>
      <c r="OEC611" s="268"/>
      <c r="OED611" s="268"/>
      <c r="OEE611" s="268"/>
      <c r="OEF611" s="268"/>
      <c r="OEG611" s="268"/>
      <c r="OEH611" s="268"/>
      <c r="OEI611" s="268"/>
      <c r="OEJ611" s="268"/>
      <c r="OEK611" s="268"/>
      <c r="OEL611" s="268"/>
      <c r="OEM611" s="268"/>
      <c r="OEN611" s="268"/>
      <c r="OEO611" s="268"/>
      <c r="OEP611" s="268"/>
      <c r="OEQ611" s="268"/>
      <c r="OER611" s="268"/>
      <c r="OES611" s="268"/>
      <c r="OET611" s="268"/>
      <c r="OEU611" s="268"/>
      <c r="OEV611" s="268"/>
      <c r="OEW611" s="268"/>
      <c r="OEX611" s="268"/>
      <c r="OEY611" s="268"/>
      <c r="OEZ611" s="268"/>
      <c r="OFA611" s="268"/>
      <c r="OFB611" s="268"/>
      <c r="OFC611" s="268"/>
      <c r="OFD611" s="268"/>
      <c r="OFE611" s="268"/>
      <c r="OFF611" s="268"/>
      <c r="OFG611" s="268"/>
      <c r="OFH611" s="268"/>
      <c r="OFI611" s="268"/>
      <c r="OFJ611" s="268"/>
      <c r="OFK611" s="268"/>
      <c r="OFL611" s="268"/>
      <c r="OFM611" s="268"/>
      <c r="OFN611" s="268"/>
      <c r="OFO611" s="268"/>
      <c r="OFP611" s="268"/>
      <c r="OFQ611" s="268"/>
      <c r="OFR611" s="268"/>
      <c r="OFS611" s="268"/>
      <c r="OFT611" s="268"/>
      <c r="OFU611" s="268"/>
      <c r="OFV611" s="268"/>
      <c r="OFW611" s="268"/>
      <c r="OFX611" s="268"/>
      <c r="OFY611" s="268"/>
      <c r="OFZ611" s="268"/>
      <c r="OGA611" s="268"/>
      <c r="OGB611" s="268"/>
      <c r="OGC611" s="268"/>
      <c r="OGD611" s="268"/>
      <c r="OGE611" s="268"/>
      <c r="OGF611" s="268"/>
      <c r="OGG611" s="268"/>
      <c r="OGH611" s="268"/>
      <c r="OGI611" s="268"/>
      <c r="OGJ611" s="268"/>
      <c r="OGK611" s="268"/>
      <c r="OGL611" s="268"/>
      <c r="OGM611" s="268"/>
      <c r="OGN611" s="268"/>
      <c r="OGO611" s="268"/>
      <c r="OGP611" s="268"/>
      <c r="OGQ611" s="268"/>
      <c r="OGR611" s="268"/>
      <c r="OGS611" s="268"/>
      <c r="OGT611" s="268"/>
      <c r="OGU611" s="268"/>
      <c r="OGV611" s="268"/>
      <c r="OGW611" s="268"/>
      <c r="OGX611" s="268"/>
      <c r="OGY611" s="268"/>
      <c r="OGZ611" s="268"/>
      <c r="OHA611" s="268"/>
      <c r="OHB611" s="268"/>
      <c r="OHC611" s="268"/>
      <c r="OHD611" s="268"/>
      <c r="OHE611" s="268"/>
      <c r="OHF611" s="268"/>
      <c r="OHG611" s="268"/>
      <c r="OHH611" s="268"/>
      <c r="OHI611" s="268"/>
      <c r="OHJ611" s="268"/>
      <c r="OHK611" s="268"/>
      <c r="OHL611" s="268"/>
      <c r="OHM611" s="268"/>
      <c r="OHN611" s="268"/>
      <c r="OHO611" s="268"/>
      <c r="OHP611" s="268"/>
      <c r="OHQ611" s="268"/>
      <c r="OHR611" s="268"/>
      <c r="OHS611" s="268"/>
      <c r="OHT611" s="268"/>
      <c r="OHU611" s="268"/>
      <c r="OHV611" s="268"/>
      <c r="OHW611" s="268"/>
      <c r="OHX611" s="268"/>
      <c r="OHY611" s="268"/>
      <c r="OHZ611" s="268"/>
      <c r="OIA611" s="268"/>
      <c r="OIB611" s="268"/>
      <c r="OIC611" s="268"/>
      <c r="OID611" s="268"/>
      <c r="OIE611" s="268"/>
      <c r="OIF611" s="268"/>
      <c r="OIG611" s="268"/>
      <c r="OIH611" s="268"/>
      <c r="OII611" s="268"/>
      <c r="OIJ611" s="268"/>
      <c r="OIK611" s="268"/>
      <c r="OIL611" s="268"/>
      <c r="OIM611" s="268"/>
      <c r="OIN611" s="268"/>
      <c r="OIO611" s="268"/>
      <c r="OIP611" s="268"/>
      <c r="OIQ611" s="268"/>
      <c r="OIR611" s="268"/>
      <c r="OIS611" s="268"/>
      <c r="OIT611" s="268"/>
      <c r="OIU611" s="268"/>
      <c r="OIV611" s="268"/>
      <c r="OIW611" s="268"/>
      <c r="OIX611" s="268"/>
      <c r="OIY611" s="268"/>
      <c r="OIZ611" s="268"/>
      <c r="OJA611" s="268"/>
      <c r="OJB611" s="268"/>
      <c r="OJC611" s="268"/>
      <c r="OJD611" s="268"/>
      <c r="OJE611" s="268"/>
      <c r="OJF611" s="268"/>
      <c r="OJG611" s="268"/>
      <c r="OJH611" s="268"/>
      <c r="OJI611" s="268"/>
      <c r="OJJ611" s="268"/>
      <c r="OJK611" s="268"/>
      <c r="OJL611" s="268"/>
      <c r="OJM611" s="268"/>
      <c r="OJN611" s="268"/>
      <c r="OJO611" s="268"/>
      <c r="OJP611" s="268"/>
      <c r="OJQ611" s="268"/>
      <c r="OJR611" s="268"/>
      <c r="OJS611" s="268"/>
      <c r="OJT611" s="268"/>
      <c r="OJU611" s="268"/>
      <c r="OJV611" s="268"/>
      <c r="OJW611" s="268"/>
      <c r="OJX611" s="268"/>
      <c r="OJY611" s="268"/>
      <c r="OJZ611" s="268"/>
      <c r="OKA611" s="268"/>
      <c r="OKB611" s="268"/>
      <c r="OKC611" s="268"/>
      <c r="OKD611" s="268"/>
      <c r="OKE611" s="268"/>
      <c r="OKF611" s="268"/>
      <c r="OKG611" s="268"/>
      <c r="OKH611" s="268"/>
      <c r="OKI611" s="268"/>
      <c r="OKJ611" s="268"/>
      <c r="OKK611" s="268"/>
      <c r="OKL611" s="268"/>
      <c r="OKM611" s="268"/>
      <c r="OKN611" s="268"/>
      <c r="OKO611" s="268"/>
      <c r="OKP611" s="268"/>
      <c r="OKQ611" s="268"/>
      <c r="OKR611" s="268"/>
      <c r="OKS611" s="268"/>
      <c r="OKT611" s="268"/>
      <c r="OKU611" s="268"/>
      <c r="OKV611" s="268"/>
      <c r="OKW611" s="268"/>
      <c r="OKX611" s="268"/>
      <c r="OKY611" s="268"/>
      <c r="OKZ611" s="268"/>
      <c r="OLA611" s="268"/>
      <c r="OLB611" s="268"/>
      <c r="OLC611" s="268"/>
      <c r="OLD611" s="268"/>
      <c r="OLE611" s="268"/>
      <c r="OLF611" s="268"/>
      <c r="OLG611" s="268"/>
      <c r="OLH611" s="268"/>
      <c r="OLI611" s="268"/>
      <c r="OLJ611" s="268"/>
      <c r="OLK611" s="268"/>
      <c r="OLL611" s="268"/>
      <c r="OLM611" s="268"/>
      <c r="OLN611" s="268"/>
      <c r="OLO611" s="268"/>
      <c r="OLP611" s="268"/>
      <c r="OLQ611" s="268"/>
      <c r="OLR611" s="268"/>
      <c r="OLS611" s="268"/>
      <c r="OLT611" s="268"/>
      <c r="OLU611" s="268"/>
      <c r="OLV611" s="268"/>
      <c r="OLW611" s="268"/>
      <c r="OLX611" s="268"/>
      <c r="OLY611" s="268"/>
      <c r="OLZ611" s="268"/>
      <c r="OMA611" s="268"/>
      <c r="OMB611" s="268"/>
      <c r="OMC611" s="268"/>
      <c r="OMD611" s="268"/>
      <c r="OME611" s="268"/>
      <c r="OMF611" s="268"/>
      <c r="OMG611" s="268"/>
      <c r="OMH611" s="268"/>
      <c r="OMI611" s="268"/>
      <c r="OMW611" s="268"/>
      <c r="OMX611" s="268"/>
      <c r="OMY611" s="268"/>
      <c r="ONM611" s="268"/>
      <c r="ONO611" s="268"/>
      <c r="ONP611" s="268"/>
      <c r="ONQ611" s="268"/>
      <c r="ONR611" s="268"/>
      <c r="ONS611" s="268"/>
      <c r="ONT611" s="268"/>
      <c r="ONU611" s="268"/>
      <c r="ONV611" s="268"/>
      <c r="ONW611" s="268"/>
      <c r="ONX611" s="268"/>
      <c r="ONY611" s="268"/>
      <c r="ONZ611" s="268"/>
      <c r="OOA611" s="268"/>
      <c r="OOB611" s="268"/>
      <c r="OOC611" s="268"/>
      <c r="OOD611" s="268"/>
      <c r="OOE611" s="268"/>
      <c r="OOF611" s="268"/>
      <c r="OOG611" s="268"/>
      <c r="OOH611" s="268"/>
      <c r="OOI611" s="268"/>
      <c r="OOJ611" s="268"/>
      <c r="OOK611" s="268"/>
      <c r="OOL611" s="268"/>
      <c r="OOM611" s="268"/>
      <c r="OON611" s="268"/>
      <c r="OOO611" s="268"/>
      <c r="OOP611" s="268"/>
      <c r="OOQ611" s="268"/>
      <c r="OOR611" s="268"/>
      <c r="OOS611" s="268"/>
      <c r="OOT611" s="268"/>
      <c r="OOU611" s="268"/>
      <c r="OOV611" s="268"/>
      <c r="OOW611" s="268"/>
      <c r="OOX611" s="268"/>
      <c r="OOY611" s="268"/>
      <c r="OOZ611" s="268"/>
      <c r="OPA611" s="268"/>
      <c r="OPB611" s="268"/>
      <c r="OPC611" s="268"/>
      <c r="OPD611" s="268"/>
      <c r="OPE611" s="268"/>
      <c r="OPF611" s="268"/>
      <c r="OPG611" s="268"/>
      <c r="OPH611" s="268"/>
      <c r="OPI611" s="268"/>
      <c r="OPJ611" s="268"/>
      <c r="OPK611" s="268"/>
      <c r="OPL611" s="268"/>
      <c r="OPM611" s="268"/>
      <c r="OPN611" s="268"/>
      <c r="OPO611" s="268"/>
      <c r="OPP611" s="268"/>
      <c r="OPQ611" s="268"/>
      <c r="OPR611" s="268"/>
      <c r="OPS611" s="268"/>
      <c r="OPT611" s="268"/>
      <c r="OPU611" s="268"/>
      <c r="OPV611" s="268"/>
      <c r="OPW611" s="268"/>
      <c r="OPX611" s="268"/>
      <c r="OPY611" s="268"/>
      <c r="OPZ611" s="268"/>
      <c r="OQA611" s="268"/>
      <c r="OQB611" s="268"/>
      <c r="OQC611" s="268"/>
      <c r="OQD611" s="268"/>
      <c r="OQE611" s="268"/>
      <c r="OQF611" s="268"/>
      <c r="OQG611" s="268"/>
      <c r="OQH611" s="268"/>
      <c r="OQI611" s="268"/>
      <c r="OQJ611" s="268"/>
      <c r="OQK611" s="268"/>
      <c r="OQL611" s="268"/>
      <c r="OQM611" s="268"/>
      <c r="OQN611" s="268"/>
      <c r="OQO611" s="268"/>
      <c r="OQP611" s="268"/>
      <c r="OQQ611" s="268"/>
      <c r="OQR611" s="268"/>
      <c r="OQS611" s="268"/>
      <c r="OQT611" s="268"/>
      <c r="OQU611" s="268"/>
      <c r="OQV611" s="268"/>
      <c r="OQW611" s="268"/>
      <c r="OQX611" s="268"/>
      <c r="OQY611" s="268"/>
      <c r="OQZ611" s="268"/>
      <c r="ORA611" s="268"/>
      <c r="ORB611" s="268"/>
      <c r="ORC611" s="268"/>
      <c r="ORD611" s="268"/>
      <c r="ORE611" s="268"/>
      <c r="ORF611" s="268"/>
      <c r="ORG611" s="268"/>
      <c r="ORH611" s="268"/>
      <c r="ORI611" s="268"/>
      <c r="ORJ611" s="268"/>
      <c r="ORK611" s="268"/>
      <c r="ORL611" s="268"/>
      <c r="ORM611" s="268"/>
      <c r="ORN611" s="268"/>
      <c r="ORO611" s="268"/>
      <c r="ORP611" s="268"/>
      <c r="ORQ611" s="268"/>
      <c r="ORR611" s="268"/>
      <c r="ORS611" s="268"/>
      <c r="ORT611" s="268"/>
      <c r="ORU611" s="268"/>
      <c r="ORV611" s="268"/>
      <c r="ORW611" s="268"/>
      <c r="ORX611" s="268"/>
      <c r="ORY611" s="268"/>
      <c r="ORZ611" s="268"/>
      <c r="OSA611" s="268"/>
      <c r="OSB611" s="268"/>
      <c r="OSC611" s="268"/>
      <c r="OSD611" s="268"/>
      <c r="OSE611" s="268"/>
      <c r="OSF611" s="268"/>
      <c r="OSG611" s="268"/>
      <c r="OSH611" s="268"/>
      <c r="OSI611" s="268"/>
      <c r="OSJ611" s="268"/>
      <c r="OSK611" s="268"/>
      <c r="OSL611" s="268"/>
      <c r="OSM611" s="268"/>
      <c r="OSN611" s="268"/>
      <c r="OSO611" s="268"/>
      <c r="OSP611" s="268"/>
      <c r="OSQ611" s="268"/>
      <c r="OSR611" s="268"/>
      <c r="OSS611" s="268"/>
      <c r="OST611" s="268"/>
      <c r="OSU611" s="268"/>
      <c r="OSV611" s="268"/>
      <c r="OSW611" s="268"/>
      <c r="OSX611" s="268"/>
      <c r="OSY611" s="268"/>
      <c r="OSZ611" s="268"/>
      <c r="OTA611" s="268"/>
      <c r="OTB611" s="268"/>
      <c r="OTC611" s="268"/>
      <c r="OTD611" s="268"/>
      <c r="OTE611" s="268"/>
      <c r="OTF611" s="268"/>
      <c r="OTG611" s="268"/>
      <c r="OTH611" s="268"/>
      <c r="OTI611" s="268"/>
      <c r="OTJ611" s="268"/>
      <c r="OTK611" s="268"/>
      <c r="OTL611" s="268"/>
      <c r="OTM611" s="268"/>
      <c r="OTN611" s="268"/>
      <c r="OTO611" s="268"/>
      <c r="OTP611" s="268"/>
      <c r="OTQ611" s="268"/>
      <c r="OTR611" s="268"/>
      <c r="OTS611" s="268"/>
      <c r="OTT611" s="268"/>
      <c r="OTU611" s="268"/>
      <c r="OTV611" s="268"/>
      <c r="OTW611" s="268"/>
      <c r="OTX611" s="268"/>
      <c r="OTY611" s="268"/>
      <c r="OTZ611" s="268"/>
      <c r="OUA611" s="268"/>
      <c r="OUB611" s="268"/>
      <c r="OUC611" s="268"/>
      <c r="OUD611" s="268"/>
      <c r="OUE611" s="268"/>
      <c r="OUF611" s="268"/>
      <c r="OUG611" s="268"/>
      <c r="OUH611" s="268"/>
      <c r="OUI611" s="268"/>
      <c r="OUJ611" s="268"/>
      <c r="OUK611" s="268"/>
      <c r="OUL611" s="268"/>
      <c r="OUM611" s="268"/>
      <c r="OUN611" s="268"/>
      <c r="OUO611" s="268"/>
      <c r="OUP611" s="268"/>
      <c r="OUQ611" s="268"/>
      <c r="OUR611" s="268"/>
      <c r="OUS611" s="268"/>
      <c r="OUT611" s="268"/>
      <c r="OUU611" s="268"/>
      <c r="OUV611" s="268"/>
      <c r="OUW611" s="268"/>
      <c r="OUX611" s="268"/>
      <c r="OUY611" s="268"/>
      <c r="OUZ611" s="268"/>
      <c r="OVA611" s="268"/>
      <c r="OVB611" s="268"/>
      <c r="OVC611" s="268"/>
      <c r="OVD611" s="268"/>
      <c r="OVE611" s="268"/>
      <c r="OVF611" s="268"/>
      <c r="OVG611" s="268"/>
      <c r="OVH611" s="268"/>
      <c r="OVI611" s="268"/>
      <c r="OVJ611" s="268"/>
      <c r="OVK611" s="268"/>
      <c r="OVL611" s="268"/>
      <c r="OVM611" s="268"/>
      <c r="OVN611" s="268"/>
      <c r="OVO611" s="268"/>
      <c r="OVP611" s="268"/>
      <c r="OVQ611" s="268"/>
      <c r="OVR611" s="268"/>
      <c r="OVS611" s="268"/>
      <c r="OVT611" s="268"/>
      <c r="OVU611" s="268"/>
      <c r="OVV611" s="268"/>
      <c r="OVW611" s="268"/>
      <c r="OVX611" s="268"/>
      <c r="OVY611" s="268"/>
      <c r="OVZ611" s="268"/>
      <c r="OWA611" s="268"/>
      <c r="OWB611" s="268"/>
      <c r="OWC611" s="268"/>
      <c r="OWD611" s="268"/>
      <c r="OWE611" s="268"/>
      <c r="OWS611" s="268"/>
      <c r="OWT611" s="268"/>
      <c r="OWU611" s="268"/>
      <c r="OXI611" s="268"/>
      <c r="OXK611" s="268"/>
      <c r="OXL611" s="268"/>
      <c r="OXM611" s="268"/>
      <c r="OXN611" s="268"/>
      <c r="OXO611" s="268"/>
      <c r="OXP611" s="268"/>
      <c r="OXQ611" s="268"/>
      <c r="OXR611" s="268"/>
      <c r="OXS611" s="268"/>
      <c r="OXT611" s="268"/>
      <c r="OXU611" s="268"/>
      <c r="OXV611" s="268"/>
      <c r="OXW611" s="268"/>
      <c r="OXX611" s="268"/>
      <c r="OXY611" s="268"/>
      <c r="OXZ611" s="268"/>
      <c r="OYA611" s="268"/>
      <c r="OYB611" s="268"/>
      <c r="OYC611" s="268"/>
      <c r="OYD611" s="268"/>
      <c r="OYE611" s="268"/>
      <c r="OYF611" s="268"/>
      <c r="OYG611" s="268"/>
      <c r="OYH611" s="268"/>
      <c r="OYI611" s="268"/>
      <c r="OYJ611" s="268"/>
      <c r="OYK611" s="268"/>
      <c r="OYL611" s="268"/>
      <c r="OYM611" s="268"/>
      <c r="OYN611" s="268"/>
      <c r="OYO611" s="268"/>
      <c r="OYP611" s="268"/>
      <c r="OYQ611" s="268"/>
      <c r="OYR611" s="268"/>
      <c r="OYS611" s="268"/>
      <c r="OYT611" s="268"/>
      <c r="OYU611" s="268"/>
      <c r="OYV611" s="268"/>
      <c r="OYW611" s="268"/>
      <c r="OYX611" s="268"/>
      <c r="OYY611" s="268"/>
      <c r="OYZ611" s="268"/>
      <c r="OZA611" s="268"/>
      <c r="OZB611" s="268"/>
      <c r="OZC611" s="268"/>
      <c r="OZD611" s="268"/>
      <c r="OZE611" s="268"/>
      <c r="OZF611" s="268"/>
      <c r="OZG611" s="268"/>
      <c r="OZH611" s="268"/>
      <c r="OZI611" s="268"/>
      <c r="OZJ611" s="268"/>
      <c r="OZK611" s="268"/>
      <c r="OZL611" s="268"/>
      <c r="OZM611" s="268"/>
      <c r="OZN611" s="268"/>
      <c r="OZO611" s="268"/>
      <c r="OZP611" s="268"/>
      <c r="OZQ611" s="268"/>
      <c r="OZR611" s="268"/>
      <c r="OZS611" s="268"/>
      <c r="OZT611" s="268"/>
      <c r="OZU611" s="268"/>
      <c r="OZV611" s="268"/>
      <c r="OZW611" s="268"/>
      <c r="OZX611" s="268"/>
      <c r="OZY611" s="268"/>
      <c r="OZZ611" s="268"/>
      <c r="PAA611" s="268"/>
      <c r="PAB611" s="268"/>
      <c r="PAC611" s="268"/>
      <c r="PAD611" s="268"/>
      <c r="PAE611" s="268"/>
      <c r="PAF611" s="268"/>
      <c r="PAG611" s="268"/>
      <c r="PAH611" s="268"/>
      <c r="PAI611" s="268"/>
      <c r="PAJ611" s="268"/>
      <c r="PAK611" s="268"/>
      <c r="PAL611" s="268"/>
      <c r="PAM611" s="268"/>
      <c r="PAN611" s="268"/>
      <c r="PAO611" s="268"/>
      <c r="PAP611" s="268"/>
      <c r="PAQ611" s="268"/>
      <c r="PAR611" s="268"/>
      <c r="PAS611" s="268"/>
      <c r="PAT611" s="268"/>
      <c r="PAU611" s="268"/>
      <c r="PAV611" s="268"/>
      <c r="PAW611" s="268"/>
      <c r="PAX611" s="268"/>
      <c r="PAY611" s="268"/>
      <c r="PAZ611" s="268"/>
      <c r="PBA611" s="268"/>
      <c r="PBB611" s="268"/>
      <c r="PBC611" s="268"/>
      <c r="PBD611" s="268"/>
      <c r="PBE611" s="268"/>
      <c r="PBF611" s="268"/>
      <c r="PBG611" s="268"/>
      <c r="PBH611" s="268"/>
      <c r="PBI611" s="268"/>
      <c r="PBJ611" s="268"/>
      <c r="PBK611" s="268"/>
      <c r="PBL611" s="268"/>
      <c r="PBM611" s="268"/>
      <c r="PBN611" s="268"/>
      <c r="PBO611" s="268"/>
      <c r="PBP611" s="268"/>
      <c r="PBQ611" s="268"/>
      <c r="PBR611" s="268"/>
      <c r="PBS611" s="268"/>
      <c r="PBT611" s="268"/>
      <c r="PBU611" s="268"/>
      <c r="PBV611" s="268"/>
      <c r="PBW611" s="268"/>
      <c r="PBX611" s="268"/>
      <c r="PBY611" s="268"/>
      <c r="PBZ611" s="268"/>
      <c r="PCA611" s="268"/>
      <c r="PCB611" s="268"/>
      <c r="PCC611" s="268"/>
      <c r="PCD611" s="268"/>
      <c r="PCE611" s="268"/>
      <c r="PCF611" s="268"/>
      <c r="PCG611" s="268"/>
      <c r="PCH611" s="268"/>
      <c r="PCI611" s="268"/>
      <c r="PCJ611" s="268"/>
      <c r="PCK611" s="268"/>
      <c r="PCL611" s="268"/>
      <c r="PCM611" s="268"/>
      <c r="PCN611" s="268"/>
      <c r="PCO611" s="268"/>
      <c r="PCP611" s="268"/>
      <c r="PCQ611" s="268"/>
      <c r="PCR611" s="268"/>
      <c r="PCS611" s="268"/>
      <c r="PCT611" s="268"/>
      <c r="PCU611" s="268"/>
      <c r="PCV611" s="268"/>
      <c r="PCW611" s="268"/>
      <c r="PCX611" s="268"/>
      <c r="PCY611" s="268"/>
      <c r="PCZ611" s="268"/>
      <c r="PDA611" s="268"/>
      <c r="PDB611" s="268"/>
      <c r="PDC611" s="268"/>
      <c r="PDD611" s="268"/>
      <c r="PDE611" s="268"/>
      <c r="PDF611" s="268"/>
      <c r="PDG611" s="268"/>
      <c r="PDH611" s="268"/>
      <c r="PDI611" s="268"/>
      <c r="PDJ611" s="268"/>
      <c r="PDK611" s="268"/>
      <c r="PDL611" s="268"/>
      <c r="PDM611" s="268"/>
      <c r="PDN611" s="268"/>
      <c r="PDO611" s="268"/>
      <c r="PDP611" s="268"/>
      <c r="PDQ611" s="268"/>
      <c r="PDR611" s="268"/>
      <c r="PDS611" s="268"/>
      <c r="PDT611" s="268"/>
      <c r="PDU611" s="268"/>
      <c r="PDV611" s="268"/>
      <c r="PDW611" s="268"/>
      <c r="PDX611" s="268"/>
      <c r="PDY611" s="268"/>
      <c r="PDZ611" s="268"/>
      <c r="PEA611" s="268"/>
      <c r="PEB611" s="268"/>
      <c r="PEC611" s="268"/>
      <c r="PED611" s="268"/>
      <c r="PEE611" s="268"/>
      <c r="PEF611" s="268"/>
      <c r="PEG611" s="268"/>
      <c r="PEH611" s="268"/>
      <c r="PEI611" s="268"/>
      <c r="PEJ611" s="268"/>
      <c r="PEK611" s="268"/>
      <c r="PEL611" s="268"/>
      <c r="PEM611" s="268"/>
      <c r="PEN611" s="268"/>
      <c r="PEO611" s="268"/>
      <c r="PEP611" s="268"/>
      <c r="PEQ611" s="268"/>
      <c r="PER611" s="268"/>
      <c r="PES611" s="268"/>
      <c r="PET611" s="268"/>
      <c r="PEU611" s="268"/>
      <c r="PEV611" s="268"/>
      <c r="PEW611" s="268"/>
      <c r="PEX611" s="268"/>
      <c r="PEY611" s="268"/>
      <c r="PEZ611" s="268"/>
      <c r="PFA611" s="268"/>
      <c r="PFB611" s="268"/>
      <c r="PFC611" s="268"/>
      <c r="PFD611" s="268"/>
      <c r="PFE611" s="268"/>
      <c r="PFF611" s="268"/>
      <c r="PFG611" s="268"/>
      <c r="PFH611" s="268"/>
      <c r="PFI611" s="268"/>
      <c r="PFJ611" s="268"/>
      <c r="PFK611" s="268"/>
      <c r="PFL611" s="268"/>
      <c r="PFM611" s="268"/>
      <c r="PFN611" s="268"/>
      <c r="PFO611" s="268"/>
      <c r="PFP611" s="268"/>
      <c r="PFQ611" s="268"/>
      <c r="PFR611" s="268"/>
      <c r="PFS611" s="268"/>
      <c r="PFT611" s="268"/>
      <c r="PFU611" s="268"/>
      <c r="PFV611" s="268"/>
      <c r="PFW611" s="268"/>
      <c r="PFX611" s="268"/>
      <c r="PFY611" s="268"/>
      <c r="PFZ611" s="268"/>
      <c r="PGA611" s="268"/>
      <c r="PGO611" s="268"/>
      <c r="PGP611" s="268"/>
      <c r="PGQ611" s="268"/>
      <c r="PHE611" s="268"/>
      <c r="PHG611" s="268"/>
      <c r="PHH611" s="268"/>
      <c r="PHI611" s="268"/>
      <c r="PHJ611" s="268"/>
      <c r="PHK611" s="268"/>
      <c r="PHL611" s="268"/>
      <c r="PHM611" s="268"/>
      <c r="PHN611" s="268"/>
      <c r="PHO611" s="268"/>
      <c r="PHP611" s="268"/>
      <c r="PHQ611" s="268"/>
      <c r="PHR611" s="268"/>
      <c r="PHS611" s="268"/>
      <c r="PHT611" s="268"/>
      <c r="PHU611" s="268"/>
      <c r="PHV611" s="268"/>
      <c r="PHW611" s="268"/>
      <c r="PHX611" s="268"/>
      <c r="PHY611" s="268"/>
      <c r="PHZ611" s="268"/>
      <c r="PIA611" s="268"/>
      <c r="PIB611" s="268"/>
      <c r="PIC611" s="268"/>
      <c r="PID611" s="268"/>
      <c r="PIE611" s="268"/>
      <c r="PIF611" s="268"/>
      <c r="PIG611" s="268"/>
      <c r="PIH611" s="268"/>
      <c r="PII611" s="268"/>
      <c r="PIJ611" s="268"/>
      <c r="PIK611" s="268"/>
      <c r="PIL611" s="268"/>
      <c r="PIM611" s="268"/>
      <c r="PIN611" s="268"/>
      <c r="PIO611" s="268"/>
      <c r="PIP611" s="268"/>
      <c r="PIQ611" s="268"/>
      <c r="PIR611" s="268"/>
      <c r="PIS611" s="268"/>
      <c r="PIT611" s="268"/>
      <c r="PIU611" s="268"/>
      <c r="PIV611" s="268"/>
      <c r="PIW611" s="268"/>
      <c r="PIX611" s="268"/>
      <c r="PIY611" s="268"/>
      <c r="PIZ611" s="268"/>
      <c r="PJA611" s="268"/>
      <c r="PJB611" s="268"/>
      <c r="PJC611" s="268"/>
      <c r="PJD611" s="268"/>
      <c r="PJE611" s="268"/>
      <c r="PJF611" s="268"/>
      <c r="PJG611" s="268"/>
      <c r="PJH611" s="268"/>
      <c r="PJI611" s="268"/>
      <c r="PJJ611" s="268"/>
      <c r="PJK611" s="268"/>
      <c r="PJL611" s="268"/>
      <c r="PJM611" s="268"/>
      <c r="PJN611" s="268"/>
      <c r="PJO611" s="268"/>
      <c r="PJP611" s="268"/>
      <c r="PJQ611" s="268"/>
      <c r="PJR611" s="268"/>
      <c r="PJS611" s="268"/>
      <c r="PJT611" s="268"/>
      <c r="PJU611" s="268"/>
      <c r="PJV611" s="268"/>
      <c r="PJW611" s="268"/>
      <c r="PJX611" s="268"/>
      <c r="PJY611" s="268"/>
      <c r="PJZ611" s="268"/>
      <c r="PKA611" s="268"/>
      <c r="PKB611" s="268"/>
      <c r="PKC611" s="268"/>
      <c r="PKD611" s="268"/>
      <c r="PKE611" s="268"/>
      <c r="PKF611" s="268"/>
      <c r="PKG611" s="268"/>
      <c r="PKH611" s="268"/>
      <c r="PKI611" s="268"/>
      <c r="PKJ611" s="268"/>
      <c r="PKK611" s="268"/>
      <c r="PKL611" s="268"/>
      <c r="PKM611" s="268"/>
      <c r="PKN611" s="268"/>
      <c r="PKO611" s="268"/>
      <c r="PKP611" s="268"/>
      <c r="PKQ611" s="268"/>
      <c r="PKR611" s="268"/>
      <c r="PKS611" s="268"/>
      <c r="PKT611" s="268"/>
      <c r="PKU611" s="268"/>
      <c r="PKV611" s="268"/>
      <c r="PKW611" s="268"/>
      <c r="PKX611" s="268"/>
      <c r="PKY611" s="268"/>
      <c r="PKZ611" s="268"/>
      <c r="PLA611" s="268"/>
      <c r="PLB611" s="268"/>
      <c r="PLC611" s="268"/>
      <c r="PLD611" s="268"/>
      <c r="PLE611" s="268"/>
      <c r="PLF611" s="268"/>
      <c r="PLG611" s="268"/>
      <c r="PLH611" s="268"/>
      <c r="PLI611" s="268"/>
      <c r="PLJ611" s="268"/>
      <c r="PLK611" s="268"/>
      <c r="PLL611" s="268"/>
      <c r="PLM611" s="268"/>
      <c r="PLN611" s="268"/>
      <c r="PLO611" s="268"/>
      <c r="PLP611" s="268"/>
      <c r="PLQ611" s="268"/>
      <c r="PLR611" s="268"/>
      <c r="PLS611" s="268"/>
      <c r="PLT611" s="268"/>
      <c r="PLU611" s="268"/>
      <c r="PLV611" s="268"/>
      <c r="PLW611" s="268"/>
      <c r="PLX611" s="268"/>
      <c r="PLY611" s="268"/>
      <c r="PLZ611" s="268"/>
      <c r="PMA611" s="268"/>
      <c r="PMB611" s="268"/>
      <c r="PMC611" s="268"/>
      <c r="PMD611" s="268"/>
      <c r="PME611" s="268"/>
      <c r="PMF611" s="268"/>
      <c r="PMG611" s="268"/>
      <c r="PMH611" s="268"/>
      <c r="PMI611" s="268"/>
      <c r="PMJ611" s="268"/>
      <c r="PMK611" s="268"/>
      <c r="PML611" s="268"/>
      <c r="PMM611" s="268"/>
      <c r="PMN611" s="268"/>
      <c r="PMO611" s="268"/>
      <c r="PMP611" s="268"/>
      <c r="PMQ611" s="268"/>
      <c r="PMR611" s="268"/>
      <c r="PMS611" s="268"/>
      <c r="PMT611" s="268"/>
      <c r="PMU611" s="268"/>
      <c r="PMV611" s="268"/>
      <c r="PMW611" s="268"/>
      <c r="PMX611" s="268"/>
      <c r="PMY611" s="268"/>
      <c r="PMZ611" s="268"/>
      <c r="PNA611" s="268"/>
      <c r="PNB611" s="268"/>
      <c r="PNC611" s="268"/>
      <c r="PND611" s="268"/>
      <c r="PNE611" s="268"/>
      <c r="PNF611" s="268"/>
      <c r="PNG611" s="268"/>
      <c r="PNH611" s="268"/>
      <c r="PNI611" s="268"/>
      <c r="PNJ611" s="268"/>
      <c r="PNK611" s="268"/>
      <c r="PNL611" s="268"/>
      <c r="PNM611" s="268"/>
      <c r="PNN611" s="268"/>
      <c r="PNO611" s="268"/>
      <c r="PNP611" s="268"/>
      <c r="PNQ611" s="268"/>
      <c r="PNR611" s="268"/>
      <c r="PNS611" s="268"/>
      <c r="PNT611" s="268"/>
      <c r="PNU611" s="268"/>
      <c r="PNV611" s="268"/>
      <c r="PNW611" s="268"/>
      <c r="PNX611" s="268"/>
      <c r="PNY611" s="268"/>
      <c r="PNZ611" s="268"/>
      <c r="POA611" s="268"/>
      <c r="POB611" s="268"/>
      <c r="POC611" s="268"/>
      <c r="POD611" s="268"/>
      <c r="POE611" s="268"/>
      <c r="POF611" s="268"/>
      <c r="POG611" s="268"/>
      <c r="POH611" s="268"/>
      <c r="POI611" s="268"/>
      <c r="POJ611" s="268"/>
      <c r="POK611" s="268"/>
      <c r="POL611" s="268"/>
      <c r="POM611" s="268"/>
      <c r="PON611" s="268"/>
      <c r="POO611" s="268"/>
      <c r="POP611" s="268"/>
      <c r="POQ611" s="268"/>
      <c r="POR611" s="268"/>
      <c r="POS611" s="268"/>
      <c r="POT611" s="268"/>
      <c r="POU611" s="268"/>
      <c r="POV611" s="268"/>
      <c r="POW611" s="268"/>
      <c r="POX611" s="268"/>
      <c r="POY611" s="268"/>
      <c r="POZ611" s="268"/>
      <c r="PPA611" s="268"/>
      <c r="PPB611" s="268"/>
      <c r="PPC611" s="268"/>
      <c r="PPD611" s="268"/>
      <c r="PPE611" s="268"/>
      <c r="PPF611" s="268"/>
      <c r="PPG611" s="268"/>
      <c r="PPH611" s="268"/>
      <c r="PPI611" s="268"/>
      <c r="PPJ611" s="268"/>
      <c r="PPK611" s="268"/>
      <c r="PPL611" s="268"/>
      <c r="PPM611" s="268"/>
      <c r="PPN611" s="268"/>
      <c r="PPO611" s="268"/>
      <c r="PPP611" s="268"/>
      <c r="PPQ611" s="268"/>
      <c r="PPR611" s="268"/>
      <c r="PPS611" s="268"/>
      <c r="PPT611" s="268"/>
      <c r="PPU611" s="268"/>
      <c r="PPV611" s="268"/>
      <c r="PPW611" s="268"/>
      <c r="PQK611" s="268"/>
      <c r="PQL611" s="268"/>
      <c r="PQM611" s="268"/>
      <c r="PRA611" s="268"/>
      <c r="PRC611" s="268"/>
      <c r="PRD611" s="268"/>
      <c r="PRE611" s="268"/>
      <c r="PRF611" s="268"/>
      <c r="PRG611" s="268"/>
      <c r="PRH611" s="268"/>
      <c r="PRI611" s="268"/>
      <c r="PRJ611" s="268"/>
      <c r="PRK611" s="268"/>
      <c r="PRL611" s="268"/>
      <c r="PRM611" s="268"/>
      <c r="PRN611" s="268"/>
      <c r="PRO611" s="268"/>
      <c r="PRP611" s="268"/>
      <c r="PRQ611" s="268"/>
      <c r="PRR611" s="268"/>
      <c r="PRS611" s="268"/>
      <c r="PRT611" s="268"/>
      <c r="PRU611" s="268"/>
      <c r="PRV611" s="268"/>
      <c r="PRW611" s="268"/>
      <c r="PRX611" s="268"/>
      <c r="PRY611" s="268"/>
      <c r="PRZ611" s="268"/>
      <c r="PSA611" s="268"/>
      <c r="PSB611" s="268"/>
      <c r="PSC611" s="268"/>
      <c r="PSD611" s="268"/>
      <c r="PSE611" s="268"/>
      <c r="PSF611" s="268"/>
      <c r="PSG611" s="268"/>
      <c r="PSH611" s="268"/>
      <c r="PSI611" s="268"/>
      <c r="PSJ611" s="268"/>
      <c r="PSK611" s="268"/>
      <c r="PSL611" s="268"/>
      <c r="PSM611" s="268"/>
      <c r="PSN611" s="268"/>
      <c r="PSO611" s="268"/>
      <c r="PSP611" s="268"/>
      <c r="PSQ611" s="268"/>
      <c r="PSR611" s="268"/>
      <c r="PSS611" s="268"/>
      <c r="PST611" s="268"/>
      <c r="PSU611" s="268"/>
      <c r="PSV611" s="268"/>
      <c r="PSW611" s="268"/>
      <c r="PSX611" s="268"/>
      <c r="PSY611" s="268"/>
      <c r="PSZ611" s="268"/>
      <c r="PTA611" s="268"/>
      <c r="PTB611" s="268"/>
      <c r="PTC611" s="268"/>
      <c r="PTD611" s="268"/>
      <c r="PTE611" s="268"/>
      <c r="PTF611" s="268"/>
      <c r="PTG611" s="268"/>
      <c r="PTH611" s="268"/>
      <c r="PTI611" s="268"/>
      <c r="PTJ611" s="268"/>
      <c r="PTK611" s="268"/>
      <c r="PTL611" s="268"/>
      <c r="PTM611" s="268"/>
      <c r="PTN611" s="268"/>
      <c r="PTO611" s="268"/>
      <c r="PTP611" s="268"/>
      <c r="PTQ611" s="268"/>
      <c r="PTR611" s="268"/>
      <c r="PTS611" s="268"/>
      <c r="PTT611" s="268"/>
      <c r="PTU611" s="268"/>
      <c r="PTV611" s="268"/>
      <c r="PTW611" s="268"/>
      <c r="PTX611" s="268"/>
      <c r="PTY611" s="268"/>
      <c r="PTZ611" s="268"/>
      <c r="PUA611" s="268"/>
      <c r="PUB611" s="268"/>
      <c r="PUC611" s="268"/>
      <c r="PUD611" s="268"/>
      <c r="PUE611" s="268"/>
      <c r="PUF611" s="268"/>
      <c r="PUG611" s="268"/>
      <c r="PUH611" s="268"/>
      <c r="PUI611" s="268"/>
      <c r="PUJ611" s="268"/>
      <c r="PUK611" s="268"/>
      <c r="PUL611" s="268"/>
      <c r="PUM611" s="268"/>
      <c r="PUN611" s="268"/>
      <c r="PUO611" s="268"/>
      <c r="PUP611" s="268"/>
      <c r="PUQ611" s="268"/>
      <c r="PUR611" s="268"/>
      <c r="PUS611" s="268"/>
      <c r="PUT611" s="268"/>
      <c r="PUU611" s="268"/>
      <c r="PUV611" s="268"/>
      <c r="PUW611" s="268"/>
      <c r="PUX611" s="268"/>
      <c r="PUY611" s="268"/>
      <c r="PUZ611" s="268"/>
      <c r="PVA611" s="268"/>
      <c r="PVB611" s="268"/>
      <c r="PVC611" s="268"/>
      <c r="PVD611" s="268"/>
      <c r="PVE611" s="268"/>
      <c r="PVF611" s="268"/>
      <c r="PVG611" s="268"/>
      <c r="PVH611" s="268"/>
      <c r="PVI611" s="268"/>
      <c r="PVJ611" s="268"/>
      <c r="PVK611" s="268"/>
      <c r="PVL611" s="268"/>
      <c r="PVM611" s="268"/>
      <c r="PVN611" s="268"/>
      <c r="PVO611" s="268"/>
      <c r="PVP611" s="268"/>
      <c r="PVQ611" s="268"/>
      <c r="PVR611" s="268"/>
      <c r="PVS611" s="268"/>
      <c r="PVT611" s="268"/>
      <c r="PVU611" s="268"/>
      <c r="PVV611" s="268"/>
      <c r="PVW611" s="268"/>
      <c r="PVX611" s="268"/>
      <c r="PVY611" s="268"/>
      <c r="PVZ611" s="268"/>
      <c r="PWA611" s="268"/>
      <c r="PWB611" s="268"/>
      <c r="PWC611" s="268"/>
      <c r="PWD611" s="268"/>
      <c r="PWE611" s="268"/>
      <c r="PWF611" s="268"/>
      <c r="PWG611" s="268"/>
      <c r="PWH611" s="268"/>
      <c r="PWI611" s="268"/>
      <c r="PWJ611" s="268"/>
      <c r="PWK611" s="268"/>
      <c r="PWL611" s="268"/>
      <c r="PWM611" s="268"/>
      <c r="PWN611" s="268"/>
      <c r="PWO611" s="268"/>
      <c r="PWP611" s="268"/>
      <c r="PWQ611" s="268"/>
      <c r="PWR611" s="268"/>
      <c r="PWS611" s="268"/>
      <c r="PWT611" s="268"/>
      <c r="PWU611" s="268"/>
      <c r="PWV611" s="268"/>
      <c r="PWW611" s="268"/>
      <c r="PWX611" s="268"/>
      <c r="PWY611" s="268"/>
      <c r="PWZ611" s="268"/>
      <c r="PXA611" s="268"/>
      <c r="PXB611" s="268"/>
      <c r="PXC611" s="268"/>
      <c r="PXD611" s="268"/>
      <c r="PXE611" s="268"/>
      <c r="PXF611" s="268"/>
      <c r="PXG611" s="268"/>
      <c r="PXH611" s="268"/>
      <c r="PXI611" s="268"/>
      <c r="PXJ611" s="268"/>
      <c r="PXK611" s="268"/>
      <c r="PXL611" s="268"/>
      <c r="PXM611" s="268"/>
      <c r="PXN611" s="268"/>
      <c r="PXO611" s="268"/>
      <c r="PXP611" s="268"/>
      <c r="PXQ611" s="268"/>
      <c r="PXR611" s="268"/>
      <c r="PXS611" s="268"/>
      <c r="PXT611" s="268"/>
      <c r="PXU611" s="268"/>
      <c r="PXV611" s="268"/>
      <c r="PXW611" s="268"/>
      <c r="PXX611" s="268"/>
      <c r="PXY611" s="268"/>
      <c r="PXZ611" s="268"/>
      <c r="PYA611" s="268"/>
      <c r="PYB611" s="268"/>
      <c r="PYC611" s="268"/>
      <c r="PYD611" s="268"/>
      <c r="PYE611" s="268"/>
      <c r="PYF611" s="268"/>
      <c r="PYG611" s="268"/>
      <c r="PYH611" s="268"/>
      <c r="PYI611" s="268"/>
      <c r="PYJ611" s="268"/>
      <c r="PYK611" s="268"/>
      <c r="PYL611" s="268"/>
      <c r="PYM611" s="268"/>
      <c r="PYN611" s="268"/>
      <c r="PYO611" s="268"/>
      <c r="PYP611" s="268"/>
      <c r="PYQ611" s="268"/>
      <c r="PYR611" s="268"/>
      <c r="PYS611" s="268"/>
      <c r="PYT611" s="268"/>
      <c r="PYU611" s="268"/>
      <c r="PYV611" s="268"/>
      <c r="PYW611" s="268"/>
      <c r="PYX611" s="268"/>
      <c r="PYY611" s="268"/>
      <c r="PYZ611" s="268"/>
      <c r="PZA611" s="268"/>
      <c r="PZB611" s="268"/>
      <c r="PZC611" s="268"/>
      <c r="PZD611" s="268"/>
      <c r="PZE611" s="268"/>
      <c r="PZF611" s="268"/>
      <c r="PZG611" s="268"/>
      <c r="PZH611" s="268"/>
      <c r="PZI611" s="268"/>
      <c r="PZJ611" s="268"/>
      <c r="PZK611" s="268"/>
      <c r="PZL611" s="268"/>
      <c r="PZM611" s="268"/>
      <c r="PZN611" s="268"/>
      <c r="PZO611" s="268"/>
      <c r="PZP611" s="268"/>
      <c r="PZQ611" s="268"/>
      <c r="PZR611" s="268"/>
      <c r="PZS611" s="268"/>
      <c r="QAG611" s="268"/>
      <c r="QAH611" s="268"/>
      <c r="QAI611" s="268"/>
      <c r="QAW611" s="268"/>
      <c r="QAY611" s="268"/>
      <c r="QAZ611" s="268"/>
      <c r="QBA611" s="268"/>
      <c r="QBB611" s="268"/>
      <c r="QBC611" s="268"/>
      <c r="QBD611" s="268"/>
      <c r="QBE611" s="268"/>
      <c r="QBF611" s="268"/>
      <c r="QBG611" s="268"/>
      <c r="QBH611" s="268"/>
      <c r="QBI611" s="268"/>
      <c r="QBJ611" s="268"/>
      <c r="QBK611" s="268"/>
      <c r="QBL611" s="268"/>
      <c r="QBM611" s="268"/>
      <c r="QBN611" s="268"/>
      <c r="QBO611" s="268"/>
      <c r="QBP611" s="268"/>
      <c r="QBQ611" s="268"/>
      <c r="QBR611" s="268"/>
      <c r="QBS611" s="268"/>
      <c r="QBT611" s="268"/>
      <c r="QBU611" s="268"/>
      <c r="QBV611" s="268"/>
      <c r="QBW611" s="268"/>
      <c r="QBX611" s="268"/>
      <c r="QBY611" s="268"/>
      <c r="QBZ611" s="268"/>
      <c r="QCA611" s="268"/>
      <c r="QCB611" s="268"/>
      <c r="QCC611" s="268"/>
      <c r="QCD611" s="268"/>
      <c r="QCE611" s="268"/>
      <c r="QCF611" s="268"/>
      <c r="QCG611" s="268"/>
      <c r="QCH611" s="268"/>
      <c r="QCI611" s="268"/>
      <c r="QCJ611" s="268"/>
      <c r="QCK611" s="268"/>
      <c r="QCL611" s="268"/>
      <c r="QCM611" s="268"/>
      <c r="QCN611" s="268"/>
      <c r="QCO611" s="268"/>
      <c r="QCP611" s="268"/>
      <c r="QCQ611" s="268"/>
      <c r="QCR611" s="268"/>
      <c r="QCS611" s="268"/>
      <c r="QCT611" s="268"/>
      <c r="QCU611" s="268"/>
      <c r="QCV611" s="268"/>
      <c r="QCW611" s="268"/>
      <c r="QCX611" s="268"/>
      <c r="QCY611" s="268"/>
      <c r="QCZ611" s="268"/>
      <c r="QDA611" s="268"/>
      <c r="QDB611" s="268"/>
      <c r="QDC611" s="268"/>
      <c r="QDD611" s="268"/>
      <c r="QDE611" s="268"/>
      <c r="QDF611" s="268"/>
      <c r="QDG611" s="268"/>
      <c r="QDH611" s="268"/>
      <c r="QDI611" s="268"/>
      <c r="QDJ611" s="268"/>
      <c r="QDK611" s="268"/>
      <c r="QDL611" s="268"/>
      <c r="QDM611" s="268"/>
      <c r="QDN611" s="268"/>
      <c r="QDO611" s="268"/>
      <c r="QDP611" s="268"/>
      <c r="QDQ611" s="268"/>
      <c r="QDR611" s="268"/>
      <c r="QDS611" s="268"/>
      <c r="QDT611" s="268"/>
      <c r="QDU611" s="268"/>
      <c r="QDV611" s="268"/>
      <c r="QDW611" s="268"/>
      <c r="QDX611" s="268"/>
      <c r="QDY611" s="268"/>
      <c r="QDZ611" s="268"/>
      <c r="QEA611" s="268"/>
      <c r="QEB611" s="268"/>
      <c r="QEC611" s="268"/>
      <c r="QED611" s="268"/>
      <c r="QEE611" s="268"/>
      <c r="QEF611" s="268"/>
      <c r="QEG611" s="268"/>
      <c r="QEH611" s="268"/>
      <c r="QEI611" s="268"/>
      <c r="QEJ611" s="268"/>
      <c r="QEK611" s="268"/>
      <c r="QEL611" s="268"/>
      <c r="QEM611" s="268"/>
      <c r="QEN611" s="268"/>
      <c r="QEO611" s="268"/>
      <c r="QEP611" s="268"/>
      <c r="QEQ611" s="268"/>
      <c r="QER611" s="268"/>
      <c r="QES611" s="268"/>
      <c r="QET611" s="268"/>
      <c r="QEU611" s="268"/>
      <c r="QEV611" s="268"/>
      <c r="QEW611" s="268"/>
      <c r="QEX611" s="268"/>
      <c r="QEY611" s="268"/>
      <c r="QEZ611" s="268"/>
      <c r="QFA611" s="268"/>
      <c r="QFB611" s="268"/>
      <c r="QFC611" s="268"/>
      <c r="QFD611" s="268"/>
      <c r="QFE611" s="268"/>
      <c r="QFF611" s="268"/>
      <c r="QFG611" s="268"/>
      <c r="QFH611" s="268"/>
      <c r="QFI611" s="268"/>
      <c r="QFJ611" s="268"/>
      <c r="QFK611" s="268"/>
      <c r="QFL611" s="268"/>
      <c r="QFM611" s="268"/>
      <c r="QFN611" s="268"/>
      <c r="QFO611" s="268"/>
      <c r="QFP611" s="268"/>
      <c r="QFQ611" s="268"/>
      <c r="QFR611" s="268"/>
      <c r="QFS611" s="268"/>
      <c r="QFT611" s="268"/>
      <c r="QFU611" s="268"/>
      <c r="QFV611" s="268"/>
      <c r="QFW611" s="268"/>
      <c r="QFX611" s="268"/>
      <c r="QFY611" s="268"/>
      <c r="QFZ611" s="268"/>
      <c r="QGA611" s="268"/>
      <c r="QGB611" s="268"/>
      <c r="QGC611" s="268"/>
      <c r="QGD611" s="268"/>
      <c r="QGE611" s="268"/>
      <c r="QGF611" s="268"/>
      <c r="QGG611" s="268"/>
      <c r="QGH611" s="268"/>
      <c r="QGI611" s="268"/>
      <c r="QGJ611" s="268"/>
      <c r="QGK611" s="268"/>
      <c r="QGL611" s="268"/>
      <c r="QGM611" s="268"/>
      <c r="QGN611" s="268"/>
      <c r="QGO611" s="268"/>
      <c r="QGP611" s="268"/>
      <c r="QGQ611" s="268"/>
      <c r="QGR611" s="268"/>
      <c r="QGS611" s="268"/>
      <c r="QGT611" s="268"/>
      <c r="QGU611" s="268"/>
      <c r="QGV611" s="268"/>
      <c r="QGW611" s="268"/>
      <c r="QGX611" s="268"/>
      <c r="QGY611" s="268"/>
      <c r="QGZ611" s="268"/>
      <c r="QHA611" s="268"/>
      <c r="QHB611" s="268"/>
      <c r="QHC611" s="268"/>
      <c r="QHD611" s="268"/>
      <c r="QHE611" s="268"/>
      <c r="QHF611" s="268"/>
      <c r="QHG611" s="268"/>
      <c r="QHH611" s="268"/>
      <c r="QHI611" s="268"/>
      <c r="QHJ611" s="268"/>
      <c r="QHK611" s="268"/>
      <c r="QHL611" s="268"/>
      <c r="QHM611" s="268"/>
      <c r="QHN611" s="268"/>
      <c r="QHO611" s="268"/>
      <c r="QHP611" s="268"/>
      <c r="QHQ611" s="268"/>
      <c r="QHR611" s="268"/>
      <c r="QHS611" s="268"/>
      <c r="QHT611" s="268"/>
      <c r="QHU611" s="268"/>
      <c r="QHV611" s="268"/>
      <c r="QHW611" s="268"/>
      <c r="QHX611" s="268"/>
      <c r="QHY611" s="268"/>
      <c r="QHZ611" s="268"/>
      <c r="QIA611" s="268"/>
      <c r="QIB611" s="268"/>
      <c r="QIC611" s="268"/>
      <c r="QID611" s="268"/>
      <c r="QIE611" s="268"/>
      <c r="QIF611" s="268"/>
      <c r="QIG611" s="268"/>
      <c r="QIH611" s="268"/>
      <c r="QII611" s="268"/>
      <c r="QIJ611" s="268"/>
      <c r="QIK611" s="268"/>
      <c r="QIL611" s="268"/>
      <c r="QIM611" s="268"/>
      <c r="QIN611" s="268"/>
      <c r="QIO611" s="268"/>
      <c r="QIP611" s="268"/>
      <c r="QIQ611" s="268"/>
      <c r="QIR611" s="268"/>
      <c r="QIS611" s="268"/>
      <c r="QIT611" s="268"/>
      <c r="QIU611" s="268"/>
      <c r="QIV611" s="268"/>
      <c r="QIW611" s="268"/>
      <c r="QIX611" s="268"/>
      <c r="QIY611" s="268"/>
      <c r="QIZ611" s="268"/>
      <c r="QJA611" s="268"/>
      <c r="QJB611" s="268"/>
      <c r="QJC611" s="268"/>
      <c r="QJD611" s="268"/>
      <c r="QJE611" s="268"/>
      <c r="QJF611" s="268"/>
      <c r="QJG611" s="268"/>
      <c r="QJH611" s="268"/>
      <c r="QJI611" s="268"/>
      <c r="QJJ611" s="268"/>
      <c r="QJK611" s="268"/>
      <c r="QJL611" s="268"/>
      <c r="QJM611" s="268"/>
      <c r="QJN611" s="268"/>
      <c r="QJO611" s="268"/>
      <c r="QKC611" s="268"/>
      <c r="QKD611" s="268"/>
      <c r="QKE611" s="268"/>
      <c r="QKS611" s="268"/>
      <c r="QKU611" s="268"/>
      <c r="QKV611" s="268"/>
      <c r="QKW611" s="268"/>
      <c r="QKX611" s="268"/>
      <c r="QKY611" s="268"/>
      <c r="QKZ611" s="268"/>
      <c r="QLA611" s="268"/>
      <c r="QLB611" s="268"/>
      <c r="QLC611" s="268"/>
      <c r="QLD611" s="268"/>
      <c r="QLE611" s="268"/>
      <c r="QLF611" s="268"/>
      <c r="QLG611" s="268"/>
      <c r="QLH611" s="268"/>
      <c r="QLI611" s="268"/>
      <c r="QLJ611" s="268"/>
      <c r="QLK611" s="268"/>
      <c r="QLL611" s="268"/>
      <c r="QLM611" s="268"/>
      <c r="QLN611" s="268"/>
      <c r="QLO611" s="268"/>
      <c r="QLP611" s="268"/>
      <c r="QLQ611" s="268"/>
      <c r="QLR611" s="268"/>
      <c r="QLS611" s="268"/>
      <c r="QLT611" s="268"/>
      <c r="QLU611" s="268"/>
      <c r="QLV611" s="268"/>
      <c r="QLW611" s="268"/>
      <c r="QLX611" s="268"/>
      <c r="QLY611" s="268"/>
      <c r="QLZ611" s="268"/>
      <c r="QMA611" s="268"/>
      <c r="QMB611" s="268"/>
      <c r="QMC611" s="268"/>
      <c r="QMD611" s="268"/>
      <c r="QME611" s="268"/>
      <c r="QMF611" s="268"/>
      <c r="QMG611" s="268"/>
      <c r="QMH611" s="268"/>
      <c r="QMI611" s="268"/>
      <c r="QMJ611" s="268"/>
      <c r="QMK611" s="268"/>
      <c r="QML611" s="268"/>
      <c r="QMM611" s="268"/>
      <c r="QMN611" s="268"/>
      <c r="QMO611" s="268"/>
      <c r="QMP611" s="268"/>
      <c r="QMQ611" s="268"/>
      <c r="QMR611" s="268"/>
      <c r="QMS611" s="268"/>
      <c r="QMT611" s="268"/>
      <c r="QMU611" s="268"/>
      <c r="QMV611" s="268"/>
      <c r="QMW611" s="268"/>
      <c r="QMX611" s="268"/>
      <c r="QMY611" s="268"/>
      <c r="QMZ611" s="268"/>
      <c r="QNA611" s="268"/>
      <c r="QNB611" s="268"/>
      <c r="QNC611" s="268"/>
      <c r="QND611" s="268"/>
      <c r="QNE611" s="268"/>
      <c r="QNF611" s="268"/>
      <c r="QNG611" s="268"/>
      <c r="QNH611" s="268"/>
      <c r="QNI611" s="268"/>
      <c r="QNJ611" s="268"/>
      <c r="QNK611" s="268"/>
      <c r="QNL611" s="268"/>
      <c r="QNM611" s="268"/>
      <c r="QNN611" s="268"/>
      <c r="QNO611" s="268"/>
      <c r="QNP611" s="268"/>
      <c r="QNQ611" s="268"/>
      <c r="QNR611" s="268"/>
      <c r="QNS611" s="268"/>
      <c r="QNT611" s="268"/>
      <c r="QNU611" s="268"/>
      <c r="QNV611" s="268"/>
      <c r="QNW611" s="268"/>
      <c r="QNX611" s="268"/>
      <c r="QNY611" s="268"/>
      <c r="QNZ611" s="268"/>
      <c r="QOA611" s="268"/>
      <c r="QOB611" s="268"/>
      <c r="QOC611" s="268"/>
      <c r="QOD611" s="268"/>
      <c r="QOE611" s="268"/>
      <c r="QOF611" s="268"/>
      <c r="QOG611" s="268"/>
      <c r="QOH611" s="268"/>
      <c r="QOI611" s="268"/>
      <c r="QOJ611" s="268"/>
      <c r="QOK611" s="268"/>
      <c r="QOL611" s="268"/>
      <c r="QOM611" s="268"/>
      <c r="QON611" s="268"/>
      <c r="QOO611" s="268"/>
      <c r="QOP611" s="268"/>
      <c r="QOQ611" s="268"/>
      <c r="QOR611" s="268"/>
      <c r="QOS611" s="268"/>
      <c r="QOT611" s="268"/>
      <c r="QOU611" s="268"/>
      <c r="QOV611" s="268"/>
      <c r="QOW611" s="268"/>
      <c r="QOX611" s="268"/>
      <c r="QOY611" s="268"/>
      <c r="QOZ611" s="268"/>
      <c r="QPA611" s="268"/>
      <c r="QPB611" s="268"/>
      <c r="QPC611" s="268"/>
      <c r="QPD611" s="268"/>
      <c r="QPE611" s="268"/>
      <c r="QPF611" s="268"/>
      <c r="QPG611" s="268"/>
      <c r="QPH611" s="268"/>
      <c r="QPI611" s="268"/>
      <c r="QPJ611" s="268"/>
      <c r="QPK611" s="268"/>
      <c r="QPL611" s="268"/>
      <c r="QPM611" s="268"/>
      <c r="QPN611" s="268"/>
      <c r="QPO611" s="268"/>
      <c r="QPP611" s="268"/>
      <c r="QPQ611" s="268"/>
      <c r="QPR611" s="268"/>
      <c r="QPS611" s="268"/>
      <c r="QPT611" s="268"/>
      <c r="QPU611" s="268"/>
      <c r="QPV611" s="268"/>
      <c r="QPW611" s="268"/>
      <c r="QPX611" s="268"/>
      <c r="QPY611" s="268"/>
      <c r="QPZ611" s="268"/>
      <c r="QQA611" s="268"/>
      <c r="QQB611" s="268"/>
      <c r="QQC611" s="268"/>
      <c r="QQD611" s="268"/>
      <c r="QQE611" s="268"/>
      <c r="QQF611" s="268"/>
      <c r="QQG611" s="268"/>
      <c r="QQH611" s="268"/>
      <c r="QQI611" s="268"/>
      <c r="QQJ611" s="268"/>
      <c r="QQK611" s="268"/>
      <c r="QQL611" s="268"/>
      <c r="QQM611" s="268"/>
      <c r="QQN611" s="268"/>
      <c r="QQO611" s="268"/>
      <c r="QQP611" s="268"/>
      <c r="QQQ611" s="268"/>
      <c r="QQR611" s="268"/>
      <c r="QQS611" s="268"/>
      <c r="QQT611" s="268"/>
      <c r="QQU611" s="268"/>
      <c r="QQV611" s="268"/>
      <c r="QQW611" s="268"/>
      <c r="QQX611" s="268"/>
      <c r="QQY611" s="268"/>
      <c r="QQZ611" s="268"/>
      <c r="QRA611" s="268"/>
      <c r="QRB611" s="268"/>
      <c r="QRC611" s="268"/>
      <c r="QRD611" s="268"/>
      <c r="QRE611" s="268"/>
      <c r="QRF611" s="268"/>
      <c r="QRG611" s="268"/>
      <c r="QRH611" s="268"/>
      <c r="QRI611" s="268"/>
      <c r="QRJ611" s="268"/>
      <c r="QRK611" s="268"/>
      <c r="QRL611" s="268"/>
      <c r="QRM611" s="268"/>
      <c r="QRN611" s="268"/>
      <c r="QRO611" s="268"/>
      <c r="QRP611" s="268"/>
      <c r="QRQ611" s="268"/>
      <c r="QRR611" s="268"/>
      <c r="QRS611" s="268"/>
      <c r="QRT611" s="268"/>
      <c r="QRU611" s="268"/>
      <c r="QRV611" s="268"/>
      <c r="QRW611" s="268"/>
      <c r="QRX611" s="268"/>
      <c r="QRY611" s="268"/>
      <c r="QRZ611" s="268"/>
      <c r="QSA611" s="268"/>
      <c r="QSB611" s="268"/>
      <c r="QSC611" s="268"/>
      <c r="QSD611" s="268"/>
      <c r="QSE611" s="268"/>
      <c r="QSF611" s="268"/>
      <c r="QSG611" s="268"/>
      <c r="QSH611" s="268"/>
      <c r="QSI611" s="268"/>
      <c r="QSJ611" s="268"/>
      <c r="QSK611" s="268"/>
      <c r="QSL611" s="268"/>
      <c r="QSM611" s="268"/>
      <c r="QSN611" s="268"/>
      <c r="QSO611" s="268"/>
      <c r="QSP611" s="268"/>
      <c r="QSQ611" s="268"/>
      <c r="QSR611" s="268"/>
      <c r="QSS611" s="268"/>
      <c r="QST611" s="268"/>
      <c r="QSU611" s="268"/>
      <c r="QSV611" s="268"/>
      <c r="QSW611" s="268"/>
      <c r="QSX611" s="268"/>
      <c r="QSY611" s="268"/>
      <c r="QSZ611" s="268"/>
      <c r="QTA611" s="268"/>
      <c r="QTB611" s="268"/>
      <c r="QTC611" s="268"/>
      <c r="QTD611" s="268"/>
      <c r="QTE611" s="268"/>
      <c r="QTF611" s="268"/>
      <c r="QTG611" s="268"/>
      <c r="QTH611" s="268"/>
      <c r="QTI611" s="268"/>
      <c r="QTJ611" s="268"/>
      <c r="QTK611" s="268"/>
      <c r="QTY611" s="268"/>
      <c r="QTZ611" s="268"/>
      <c r="QUA611" s="268"/>
      <c r="QUO611" s="268"/>
      <c r="QUQ611" s="268"/>
      <c r="QUR611" s="268"/>
      <c r="QUS611" s="268"/>
      <c r="QUT611" s="268"/>
      <c r="QUU611" s="268"/>
      <c r="QUV611" s="268"/>
      <c r="QUW611" s="268"/>
      <c r="QUX611" s="268"/>
      <c r="QUY611" s="268"/>
      <c r="QUZ611" s="268"/>
      <c r="QVA611" s="268"/>
      <c r="QVB611" s="268"/>
      <c r="QVC611" s="268"/>
      <c r="QVD611" s="268"/>
      <c r="QVE611" s="268"/>
      <c r="QVF611" s="268"/>
      <c r="QVG611" s="268"/>
      <c r="QVH611" s="268"/>
      <c r="QVI611" s="268"/>
      <c r="QVJ611" s="268"/>
      <c r="QVK611" s="268"/>
      <c r="QVL611" s="268"/>
      <c r="QVM611" s="268"/>
      <c r="QVN611" s="268"/>
      <c r="QVO611" s="268"/>
      <c r="QVP611" s="268"/>
      <c r="QVQ611" s="268"/>
      <c r="QVR611" s="268"/>
      <c r="QVS611" s="268"/>
      <c r="QVT611" s="268"/>
      <c r="QVU611" s="268"/>
      <c r="QVV611" s="268"/>
      <c r="QVW611" s="268"/>
      <c r="QVX611" s="268"/>
      <c r="QVY611" s="268"/>
      <c r="QVZ611" s="268"/>
      <c r="QWA611" s="268"/>
      <c r="QWB611" s="268"/>
      <c r="QWC611" s="268"/>
      <c r="QWD611" s="268"/>
      <c r="QWE611" s="268"/>
      <c r="QWF611" s="268"/>
      <c r="QWG611" s="268"/>
      <c r="QWH611" s="268"/>
      <c r="QWI611" s="268"/>
      <c r="QWJ611" s="268"/>
      <c r="QWK611" s="268"/>
      <c r="QWL611" s="268"/>
      <c r="QWM611" s="268"/>
      <c r="QWN611" s="268"/>
      <c r="QWO611" s="268"/>
      <c r="QWP611" s="268"/>
      <c r="QWQ611" s="268"/>
      <c r="QWR611" s="268"/>
      <c r="QWS611" s="268"/>
      <c r="QWT611" s="268"/>
      <c r="QWU611" s="268"/>
      <c r="QWV611" s="268"/>
      <c r="QWW611" s="268"/>
      <c r="QWX611" s="268"/>
      <c r="QWY611" s="268"/>
      <c r="QWZ611" s="268"/>
      <c r="QXA611" s="268"/>
      <c r="QXB611" s="268"/>
      <c r="QXC611" s="268"/>
      <c r="QXD611" s="268"/>
      <c r="QXE611" s="268"/>
      <c r="QXF611" s="268"/>
      <c r="QXG611" s="268"/>
      <c r="QXH611" s="268"/>
      <c r="QXI611" s="268"/>
      <c r="QXJ611" s="268"/>
      <c r="QXK611" s="268"/>
      <c r="QXL611" s="268"/>
      <c r="QXM611" s="268"/>
      <c r="QXN611" s="268"/>
      <c r="QXO611" s="268"/>
      <c r="QXP611" s="268"/>
      <c r="QXQ611" s="268"/>
      <c r="QXR611" s="268"/>
      <c r="QXS611" s="268"/>
      <c r="QXT611" s="268"/>
      <c r="QXU611" s="268"/>
      <c r="QXV611" s="268"/>
      <c r="QXW611" s="268"/>
      <c r="QXX611" s="268"/>
      <c r="QXY611" s="268"/>
      <c r="QXZ611" s="268"/>
      <c r="QYA611" s="268"/>
      <c r="QYB611" s="268"/>
      <c r="QYC611" s="268"/>
      <c r="QYD611" s="268"/>
      <c r="QYE611" s="268"/>
      <c r="QYF611" s="268"/>
      <c r="QYG611" s="268"/>
      <c r="QYH611" s="268"/>
      <c r="QYI611" s="268"/>
      <c r="QYJ611" s="268"/>
      <c r="QYK611" s="268"/>
      <c r="QYL611" s="268"/>
      <c r="QYM611" s="268"/>
      <c r="QYN611" s="268"/>
      <c r="QYO611" s="268"/>
      <c r="QYP611" s="268"/>
      <c r="QYQ611" s="268"/>
      <c r="QYR611" s="268"/>
      <c r="QYS611" s="268"/>
      <c r="QYT611" s="268"/>
      <c r="QYU611" s="268"/>
      <c r="QYV611" s="268"/>
      <c r="QYW611" s="268"/>
      <c r="QYX611" s="268"/>
      <c r="QYY611" s="268"/>
      <c r="QYZ611" s="268"/>
      <c r="QZA611" s="268"/>
      <c r="QZB611" s="268"/>
      <c r="QZC611" s="268"/>
      <c r="QZD611" s="268"/>
      <c r="QZE611" s="268"/>
      <c r="QZF611" s="268"/>
      <c r="QZG611" s="268"/>
      <c r="QZH611" s="268"/>
      <c r="QZI611" s="268"/>
      <c r="QZJ611" s="268"/>
      <c r="QZK611" s="268"/>
      <c r="QZL611" s="268"/>
      <c r="QZM611" s="268"/>
      <c r="QZN611" s="268"/>
      <c r="QZO611" s="268"/>
      <c r="QZP611" s="268"/>
      <c r="QZQ611" s="268"/>
      <c r="QZR611" s="268"/>
      <c r="QZS611" s="268"/>
      <c r="QZT611" s="268"/>
      <c r="QZU611" s="268"/>
      <c r="QZV611" s="268"/>
      <c r="QZW611" s="268"/>
      <c r="QZX611" s="268"/>
      <c r="QZY611" s="268"/>
      <c r="QZZ611" s="268"/>
      <c r="RAA611" s="268"/>
      <c r="RAB611" s="268"/>
      <c r="RAC611" s="268"/>
      <c r="RAD611" s="268"/>
      <c r="RAE611" s="268"/>
      <c r="RAF611" s="268"/>
      <c r="RAG611" s="268"/>
      <c r="RAH611" s="268"/>
      <c r="RAI611" s="268"/>
      <c r="RAJ611" s="268"/>
      <c r="RAK611" s="268"/>
      <c r="RAL611" s="268"/>
      <c r="RAM611" s="268"/>
      <c r="RAN611" s="268"/>
      <c r="RAO611" s="268"/>
      <c r="RAP611" s="268"/>
      <c r="RAQ611" s="268"/>
      <c r="RAR611" s="268"/>
      <c r="RAS611" s="268"/>
      <c r="RAT611" s="268"/>
      <c r="RAU611" s="268"/>
      <c r="RAV611" s="268"/>
      <c r="RAW611" s="268"/>
      <c r="RAX611" s="268"/>
      <c r="RAY611" s="268"/>
      <c r="RAZ611" s="268"/>
      <c r="RBA611" s="268"/>
      <c r="RBB611" s="268"/>
      <c r="RBC611" s="268"/>
      <c r="RBD611" s="268"/>
      <c r="RBE611" s="268"/>
      <c r="RBF611" s="268"/>
      <c r="RBG611" s="268"/>
      <c r="RBH611" s="268"/>
      <c r="RBI611" s="268"/>
      <c r="RBJ611" s="268"/>
      <c r="RBK611" s="268"/>
      <c r="RBL611" s="268"/>
      <c r="RBM611" s="268"/>
      <c r="RBN611" s="268"/>
      <c r="RBO611" s="268"/>
      <c r="RBP611" s="268"/>
      <c r="RBQ611" s="268"/>
      <c r="RBR611" s="268"/>
      <c r="RBS611" s="268"/>
      <c r="RBT611" s="268"/>
      <c r="RBU611" s="268"/>
      <c r="RBV611" s="268"/>
      <c r="RBW611" s="268"/>
      <c r="RBX611" s="268"/>
      <c r="RBY611" s="268"/>
      <c r="RBZ611" s="268"/>
      <c r="RCA611" s="268"/>
      <c r="RCB611" s="268"/>
      <c r="RCC611" s="268"/>
      <c r="RCD611" s="268"/>
      <c r="RCE611" s="268"/>
      <c r="RCF611" s="268"/>
      <c r="RCG611" s="268"/>
      <c r="RCH611" s="268"/>
      <c r="RCI611" s="268"/>
      <c r="RCJ611" s="268"/>
      <c r="RCK611" s="268"/>
      <c r="RCL611" s="268"/>
      <c r="RCM611" s="268"/>
      <c r="RCN611" s="268"/>
      <c r="RCO611" s="268"/>
      <c r="RCP611" s="268"/>
      <c r="RCQ611" s="268"/>
      <c r="RCR611" s="268"/>
      <c r="RCS611" s="268"/>
      <c r="RCT611" s="268"/>
      <c r="RCU611" s="268"/>
      <c r="RCV611" s="268"/>
      <c r="RCW611" s="268"/>
      <c r="RCX611" s="268"/>
      <c r="RCY611" s="268"/>
      <c r="RCZ611" s="268"/>
      <c r="RDA611" s="268"/>
      <c r="RDB611" s="268"/>
      <c r="RDC611" s="268"/>
      <c r="RDD611" s="268"/>
      <c r="RDE611" s="268"/>
      <c r="RDF611" s="268"/>
      <c r="RDG611" s="268"/>
      <c r="RDU611" s="268"/>
      <c r="RDV611" s="268"/>
      <c r="RDW611" s="268"/>
      <c r="REK611" s="268"/>
      <c r="REM611" s="268"/>
      <c r="REN611" s="268"/>
      <c r="REO611" s="268"/>
      <c r="REP611" s="268"/>
      <c r="REQ611" s="268"/>
      <c r="RER611" s="268"/>
      <c r="RES611" s="268"/>
      <c r="RET611" s="268"/>
      <c r="REU611" s="268"/>
      <c r="REV611" s="268"/>
      <c r="REW611" s="268"/>
      <c r="REX611" s="268"/>
      <c r="REY611" s="268"/>
      <c r="REZ611" s="268"/>
      <c r="RFA611" s="268"/>
      <c r="RFB611" s="268"/>
      <c r="RFC611" s="268"/>
      <c r="RFD611" s="268"/>
      <c r="RFE611" s="268"/>
      <c r="RFF611" s="268"/>
      <c r="RFG611" s="268"/>
      <c r="RFH611" s="268"/>
      <c r="RFI611" s="268"/>
      <c r="RFJ611" s="268"/>
      <c r="RFK611" s="268"/>
      <c r="RFL611" s="268"/>
      <c r="RFM611" s="268"/>
      <c r="RFN611" s="268"/>
      <c r="RFO611" s="268"/>
      <c r="RFP611" s="268"/>
      <c r="RFQ611" s="268"/>
      <c r="RFR611" s="268"/>
      <c r="RFS611" s="268"/>
      <c r="RFT611" s="268"/>
      <c r="RFU611" s="268"/>
      <c r="RFV611" s="268"/>
      <c r="RFW611" s="268"/>
      <c r="RFX611" s="268"/>
      <c r="RFY611" s="268"/>
      <c r="RFZ611" s="268"/>
      <c r="RGA611" s="268"/>
      <c r="RGB611" s="268"/>
      <c r="RGC611" s="268"/>
      <c r="RGD611" s="268"/>
      <c r="RGE611" s="268"/>
      <c r="RGF611" s="268"/>
      <c r="RGG611" s="268"/>
      <c r="RGH611" s="268"/>
      <c r="RGI611" s="268"/>
      <c r="RGJ611" s="268"/>
      <c r="RGK611" s="268"/>
      <c r="RGL611" s="268"/>
      <c r="RGM611" s="268"/>
      <c r="RGN611" s="268"/>
      <c r="RGO611" s="268"/>
      <c r="RGP611" s="268"/>
      <c r="RGQ611" s="268"/>
      <c r="RGR611" s="268"/>
      <c r="RGS611" s="268"/>
      <c r="RGT611" s="268"/>
      <c r="RGU611" s="268"/>
      <c r="RGV611" s="268"/>
      <c r="RGW611" s="268"/>
      <c r="RGX611" s="268"/>
      <c r="RGY611" s="268"/>
      <c r="RGZ611" s="268"/>
      <c r="RHA611" s="268"/>
      <c r="RHB611" s="268"/>
      <c r="RHC611" s="268"/>
      <c r="RHD611" s="268"/>
      <c r="RHE611" s="268"/>
      <c r="RHF611" s="268"/>
      <c r="RHG611" s="268"/>
      <c r="RHH611" s="268"/>
      <c r="RHI611" s="268"/>
      <c r="RHJ611" s="268"/>
      <c r="RHK611" s="268"/>
      <c r="RHL611" s="268"/>
      <c r="RHM611" s="268"/>
      <c r="RHN611" s="268"/>
      <c r="RHO611" s="268"/>
      <c r="RHP611" s="268"/>
      <c r="RHQ611" s="268"/>
      <c r="RHR611" s="268"/>
      <c r="RHS611" s="268"/>
      <c r="RHT611" s="268"/>
      <c r="RHU611" s="268"/>
      <c r="RHV611" s="268"/>
      <c r="RHW611" s="268"/>
      <c r="RHX611" s="268"/>
      <c r="RHY611" s="268"/>
      <c r="RHZ611" s="268"/>
      <c r="RIA611" s="268"/>
      <c r="RIB611" s="268"/>
      <c r="RIC611" s="268"/>
      <c r="RID611" s="268"/>
      <c r="RIE611" s="268"/>
      <c r="RIF611" s="268"/>
      <c r="RIG611" s="268"/>
      <c r="RIH611" s="268"/>
      <c r="RII611" s="268"/>
      <c r="RIJ611" s="268"/>
      <c r="RIK611" s="268"/>
      <c r="RIL611" s="268"/>
      <c r="RIM611" s="268"/>
      <c r="RIN611" s="268"/>
      <c r="RIO611" s="268"/>
      <c r="RIP611" s="268"/>
      <c r="RIQ611" s="268"/>
      <c r="RIR611" s="268"/>
      <c r="RIS611" s="268"/>
      <c r="RIT611" s="268"/>
      <c r="RIU611" s="268"/>
      <c r="RIV611" s="268"/>
      <c r="RIW611" s="268"/>
      <c r="RIX611" s="268"/>
      <c r="RIY611" s="268"/>
      <c r="RIZ611" s="268"/>
      <c r="RJA611" s="268"/>
      <c r="RJB611" s="268"/>
      <c r="RJC611" s="268"/>
      <c r="RJD611" s="268"/>
      <c r="RJE611" s="268"/>
      <c r="RJF611" s="268"/>
      <c r="RJG611" s="268"/>
      <c r="RJH611" s="268"/>
      <c r="RJI611" s="268"/>
      <c r="RJJ611" s="268"/>
      <c r="RJK611" s="268"/>
      <c r="RJL611" s="268"/>
      <c r="RJM611" s="268"/>
      <c r="RJN611" s="268"/>
      <c r="RJO611" s="268"/>
      <c r="RJP611" s="268"/>
      <c r="RJQ611" s="268"/>
      <c r="RJR611" s="268"/>
      <c r="RJS611" s="268"/>
      <c r="RJT611" s="268"/>
      <c r="RJU611" s="268"/>
      <c r="RJV611" s="268"/>
      <c r="RJW611" s="268"/>
      <c r="RJX611" s="268"/>
      <c r="RJY611" s="268"/>
      <c r="RJZ611" s="268"/>
      <c r="RKA611" s="268"/>
      <c r="RKB611" s="268"/>
      <c r="RKC611" s="268"/>
      <c r="RKD611" s="268"/>
      <c r="RKE611" s="268"/>
      <c r="RKF611" s="268"/>
      <c r="RKG611" s="268"/>
      <c r="RKH611" s="268"/>
      <c r="RKI611" s="268"/>
      <c r="RKJ611" s="268"/>
      <c r="RKK611" s="268"/>
      <c r="RKL611" s="268"/>
      <c r="RKM611" s="268"/>
      <c r="RKN611" s="268"/>
      <c r="RKO611" s="268"/>
      <c r="RKP611" s="268"/>
      <c r="RKQ611" s="268"/>
      <c r="RKR611" s="268"/>
      <c r="RKS611" s="268"/>
      <c r="RKT611" s="268"/>
      <c r="RKU611" s="268"/>
      <c r="RKV611" s="268"/>
      <c r="RKW611" s="268"/>
      <c r="RKX611" s="268"/>
      <c r="RKY611" s="268"/>
      <c r="RKZ611" s="268"/>
      <c r="RLA611" s="268"/>
      <c r="RLB611" s="268"/>
      <c r="RLC611" s="268"/>
      <c r="RLD611" s="268"/>
      <c r="RLE611" s="268"/>
      <c r="RLF611" s="268"/>
      <c r="RLG611" s="268"/>
      <c r="RLH611" s="268"/>
      <c r="RLI611" s="268"/>
      <c r="RLJ611" s="268"/>
      <c r="RLK611" s="268"/>
      <c r="RLL611" s="268"/>
      <c r="RLM611" s="268"/>
      <c r="RLN611" s="268"/>
      <c r="RLO611" s="268"/>
      <c r="RLP611" s="268"/>
      <c r="RLQ611" s="268"/>
      <c r="RLR611" s="268"/>
      <c r="RLS611" s="268"/>
      <c r="RLT611" s="268"/>
      <c r="RLU611" s="268"/>
      <c r="RLV611" s="268"/>
      <c r="RLW611" s="268"/>
      <c r="RLX611" s="268"/>
      <c r="RLY611" s="268"/>
      <c r="RLZ611" s="268"/>
      <c r="RMA611" s="268"/>
      <c r="RMB611" s="268"/>
      <c r="RMC611" s="268"/>
      <c r="RMD611" s="268"/>
      <c r="RME611" s="268"/>
      <c r="RMF611" s="268"/>
      <c r="RMG611" s="268"/>
      <c r="RMH611" s="268"/>
      <c r="RMI611" s="268"/>
      <c r="RMJ611" s="268"/>
      <c r="RMK611" s="268"/>
      <c r="RML611" s="268"/>
      <c r="RMM611" s="268"/>
      <c r="RMN611" s="268"/>
      <c r="RMO611" s="268"/>
      <c r="RMP611" s="268"/>
      <c r="RMQ611" s="268"/>
      <c r="RMR611" s="268"/>
      <c r="RMS611" s="268"/>
      <c r="RMT611" s="268"/>
      <c r="RMU611" s="268"/>
      <c r="RMV611" s="268"/>
      <c r="RMW611" s="268"/>
      <c r="RMX611" s="268"/>
      <c r="RMY611" s="268"/>
      <c r="RMZ611" s="268"/>
      <c r="RNA611" s="268"/>
      <c r="RNB611" s="268"/>
      <c r="RNC611" s="268"/>
      <c r="RNQ611" s="268"/>
      <c r="RNR611" s="268"/>
      <c r="RNS611" s="268"/>
      <c r="ROG611" s="268"/>
      <c r="ROI611" s="268"/>
      <c r="ROJ611" s="268"/>
      <c r="ROK611" s="268"/>
      <c r="ROL611" s="268"/>
      <c r="ROM611" s="268"/>
      <c r="RON611" s="268"/>
      <c r="ROO611" s="268"/>
      <c r="ROP611" s="268"/>
      <c r="ROQ611" s="268"/>
      <c r="ROR611" s="268"/>
      <c r="ROS611" s="268"/>
      <c r="ROT611" s="268"/>
      <c r="ROU611" s="268"/>
      <c r="ROV611" s="268"/>
      <c r="ROW611" s="268"/>
      <c r="ROX611" s="268"/>
      <c r="ROY611" s="268"/>
      <c r="ROZ611" s="268"/>
      <c r="RPA611" s="268"/>
      <c r="RPB611" s="268"/>
      <c r="RPC611" s="268"/>
      <c r="RPD611" s="268"/>
      <c r="RPE611" s="268"/>
      <c r="RPF611" s="268"/>
      <c r="RPG611" s="268"/>
      <c r="RPH611" s="268"/>
      <c r="RPI611" s="268"/>
      <c r="RPJ611" s="268"/>
      <c r="RPK611" s="268"/>
      <c r="RPL611" s="268"/>
      <c r="RPM611" s="268"/>
      <c r="RPN611" s="268"/>
      <c r="RPO611" s="268"/>
      <c r="RPP611" s="268"/>
      <c r="RPQ611" s="268"/>
      <c r="RPR611" s="268"/>
      <c r="RPS611" s="268"/>
      <c r="RPT611" s="268"/>
      <c r="RPU611" s="268"/>
      <c r="RPV611" s="268"/>
      <c r="RPW611" s="268"/>
      <c r="RPX611" s="268"/>
      <c r="RPY611" s="268"/>
      <c r="RPZ611" s="268"/>
      <c r="RQA611" s="268"/>
      <c r="RQB611" s="268"/>
      <c r="RQC611" s="268"/>
      <c r="RQD611" s="268"/>
      <c r="RQE611" s="268"/>
      <c r="RQF611" s="268"/>
      <c r="RQG611" s="268"/>
      <c r="RQH611" s="268"/>
      <c r="RQI611" s="268"/>
      <c r="RQJ611" s="268"/>
      <c r="RQK611" s="268"/>
      <c r="RQL611" s="268"/>
      <c r="RQM611" s="268"/>
      <c r="RQN611" s="268"/>
      <c r="RQO611" s="268"/>
      <c r="RQP611" s="268"/>
      <c r="RQQ611" s="268"/>
      <c r="RQR611" s="268"/>
      <c r="RQS611" s="268"/>
      <c r="RQT611" s="268"/>
      <c r="RQU611" s="268"/>
      <c r="RQV611" s="268"/>
      <c r="RQW611" s="268"/>
      <c r="RQX611" s="268"/>
      <c r="RQY611" s="268"/>
      <c r="RQZ611" s="268"/>
      <c r="RRA611" s="268"/>
      <c r="RRB611" s="268"/>
      <c r="RRC611" s="268"/>
      <c r="RRD611" s="268"/>
      <c r="RRE611" s="268"/>
      <c r="RRF611" s="268"/>
      <c r="RRG611" s="268"/>
      <c r="RRH611" s="268"/>
      <c r="RRI611" s="268"/>
      <c r="RRJ611" s="268"/>
      <c r="RRK611" s="268"/>
      <c r="RRL611" s="268"/>
      <c r="RRM611" s="268"/>
      <c r="RRN611" s="268"/>
      <c r="RRO611" s="268"/>
      <c r="RRP611" s="268"/>
      <c r="RRQ611" s="268"/>
      <c r="RRR611" s="268"/>
      <c r="RRS611" s="268"/>
      <c r="RRT611" s="268"/>
      <c r="RRU611" s="268"/>
      <c r="RRV611" s="268"/>
      <c r="RRW611" s="268"/>
      <c r="RRX611" s="268"/>
      <c r="RRY611" s="268"/>
      <c r="RRZ611" s="268"/>
      <c r="RSA611" s="268"/>
      <c r="RSB611" s="268"/>
      <c r="RSC611" s="268"/>
      <c r="RSD611" s="268"/>
      <c r="RSE611" s="268"/>
      <c r="RSF611" s="268"/>
      <c r="RSG611" s="268"/>
      <c r="RSH611" s="268"/>
      <c r="RSI611" s="268"/>
      <c r="RSJ611" s="268"/>
      <c r="RSK611" s="268"/>
      <c r="RSL611" s="268"/>
      <c r="RSM611" s="268"/>
      <c r="RSN611" s="268"/>
      <c r="RSO611" s="268"/>
      <c r="RSP611" s="268"/>
      <c r="RSQ611" s="268"/>
      <c r="RSR611" s="268"/>
      <c r="RSS611" s="268"/>
      <c r="RST611" s="268"/>
      <c r="RSU611" s="268"/>
      <c r="RSV611" s="268"/>
      <c r="RSW611" s="268"/>
      <c r="RSX611" s="268"/>
      <c r="RSY611" s="268"/>
      <c r="RSZ611" s="268"/>
      <c r="RTA611" s="268"/>
      <c r="RTB611" s="268"/>
      <c r="RTC611" s="268"/>
      <c r="RTD611" s="268"/>
      <c r="RTE611" s="268"/>
      <c r="RTF611" s="268"/>
      <c r="RTG611" s="268"/>
      <c r="RTH611" s="268"/>
      <c r="RTI611" s="268"/>
      <c r="RTJ611" s="268"/>
      <c r="RTK611" s="268"/>
      <c r="RTL611" s="268"/>
      <c r="RTM611" s="268"/>
      <c r="RTN611" s="268"/>
      <c r="RTO611" s="268"/>
      <c r="RTP611" s="268"/>
      <c r="RTQ611" s="268"/>
      <c r="RTR611" s="268"/>
      <c r="RTS611" s="268"/>
      <c r="RTT611" s="268"/>
      <c r="RTU611" s="268"/>
      <c r="RTV611" s="268"/>
      <c r="RTW611" s="268"/>
      <c r="RTX611" s="268"/>
      <c r="RTY611" s="268"/>
      <c r="RTZ611" s="268"/>
      <c r="RUA611" s="268"/>
      <c r="RUB611" s="268"/>
      <c r="RUC611" s="268"/>
      <c r="RUD611" s="268"/>
      <c r="RUE611" s="268"/>
      <c r="RUF611" s="268"/>
      <c r="RUG611" s="268"/>
      <c r="RUH611" s="268"/>
      <c r="RUI611" s="268"/>
      <c r="RUJ611" s="268"/>
      <c r="RUK611" s="268"/>
      <c r="RUL611" s="268"/>
      <c r="RUM611" s="268"/>
      <c r="RUN611" s="268"/>
      <c r="RUO611" s="268"/>
      <c r="RUP611" s="268"/>
      <c r="RUQ611" s="268"/>
      <c r="RUR611" s="268"/>
      <c r="RUS611" s="268"/>
      <c r="RUT611" s="268"/>
      <c r="RUU611" s="268"/>
      <c r="RUV611" s="268"/>
      <c r="RUW611" s="268"/>
      <c r="RUX611" s="268"/>
      <c r="RUY611" s="268"/>
      <c r="RUZ611" s="268"/>
      <c r="RVA611" s="268"/>
      <c r="RVB611" s="268"/>
      <c r="RVC611" s="268"/>
      <c r="RVD611" s="268"/>
      <c r="RVE611" s="268"/>
      <c r="RVF611" s="268"/>
      <c r="RVG611" s="268"/>
      <c r="RVH611" s="268"/>
      <c r="RVI611" s="268"/>
      <c r="RVJ611" s="268"/>
      <c r="RVK611" s="268"/>
      <c r="RVL611" s="268"/>
      <c r="RVM611" s="268"/>
      <c r="RVN611" s="268"/>
      <c r="RVO611" s="268"/>
      <c r="RVP611" s="268"/>
      <c r="RVQ611" s="268"/>
      <c r="RVR611" s="268"/>
      <c r="RVS611" s="268"/>
      <c r="RVT611" s="268"/>
      <c r="RVU611" s="268"/>
      <c r="RVV611" s="268"/>
      <c r="RVW611" s="268"/>
      <c r="RVX611" s="268"/>
      <c r="RVY611" s="268"/>
      <c r="RVZ611" s="268"/>
      <c r="RWA611" s="268"/>
      <c r="RWB611" s="268"/>
      <c r="RWC611" s="268"/>
      <c r="RWD611" s="268"/>
      <c r="RWE611" s="268"/>
      <c r="RWF611" s="268"/>
      <c r="RWG611" s="268"/>
      <c r="RWH611" s="268"/>
      <c r="RWI611" s="268"/>
      <c r="RWJ611" s="268"/>
      <c r="RWK611" s="268"/>
      <c r="RWL611" s="268"/>
      <c r="RWM611" s="268"/>
      <c r="RWN611" s="268"/>
      <c r="RWO611" s="268"/>
      <c r="RWP611" s="268"/>
      <c r="RWQ611" s="268"/>
      <c r="RWR611" s="268"/>
      <c r="RWS611" s="268"/>
      <c r="RWT611" s="268"/>
      <c r="RWU611" s="268"/>
      <c r="RWV611" s="268"/>
      <c r="RWW611" s="268"/>
      <c r="RWX611" s="268"/>
      <c r="RWY611" s="268"/>
      <c r="RXM611" s="268"/>
      <c r="RXN611" s="268"/>
      <c r="RXO611" s="268"/>
      <c r="RYC611" s="268"/>
      <c r="RYE611" s="268"/>
      <c r="RYF611" s="268"/>
      <c r="RYG611" s="268"/>
      <c r="RYH611" s="268"/>
      <c r="RYI611" s="268"/>
      <c r="RYJ611" s="268"/>
      <c r="RYK611" s="268"/>
      <c r="RYL611" s="268"/>
      <c r="RYM611" s="268"/>
      <c r="RYN611" s="268"/>
      <c r="RYO611" s="268"/>
      <c r="RYP611" s="268"/>
      <c r="RYQ611" s="268"/>
      <c r="RYR611" s="268"/>
      <c r="RYS611" s="268"/>
      <c r="RYT611" s="268"/>
      <c r="RYU611" s="268"/>
      <c r="RYV611" s="268"/>
      <c r="RYW611" s="268"/>
      <c r="RYX611" s="268"/>
      <c r="RYY611" s="268"/>
      <c r="RYZ611" s="268"/>
      <c r="RZA611" s="268"/>
      <c r="RZB611" s="268"/>
      <c r="RZC611" s="268"/>
      <c r="RZD611" s="268"/>
      <c r="RZE611" s="268"/>
      <c r="RZF611" s="268"/>
      <c r="RZG611" s="268"/>
      <c r="RZH611" s="268"/>
      <c r="RZI611" s="268"/>
      <c r="RZJ611" s="268"/>
      <c r="RZK611" s="268"/>
      <c r="RZL611" s="268"/>
      <c r="RZM611" s="268"/>
      <c r="RZN611" s="268"/>
      <c r="RZO611" s="268"/>
      <c r="RZP611" s="268"/>
      <c r="RZQ611" s="268"/>
      <c r="RZR611" s="268"/>
      <c r="RZS611" s="268"/>
      <c r="RZT611" s="268"/>
      <c r="RZU611" s="268"/>
      <c r="RZV611" s="268"/>
      <c r="RZW611" s="268"/>
      <c r="RZX611" s="268"/>
      <c r="RZY611" s="268"/>
      <c r="RZZ611" s="268"/>
      <c r="SAA611" s="268"/>
      <c r="SAB611" s="268"/>
      <c r="SAC611" s="268"/>
      <c r="SAD611" s="268"/>
      <c r="SAE611" s="268"/>
      <c r="SAF611" s="268"/>
      <c r="SAG611" s="268"/>
      <c r="SAH611" s="268"/>
      <c r="SAI611" s="268"/>
      <c r="SAJ611" s="268"/>
      <c r="SAK611" s="268"/>
      <c r="SAL611" s="268"/>
      <c r="SAM611" s="268"/>
      <c r="SAN611" s="268"/>
      <c r="SAO611" s="268"/>
      <c r="SAP611" s="268"/>
      <c r="SAQ611" s="268"/>
      <c r="SAR611" s="268"/>
      <c r="SAS611" s="268"/>
      <c r="SAT611" s="268"/>
      <c r="SAU611" s="268"/>
      <c r="SAV611" s="268"/>
      <c r="SAW611" s="268"/>
      <c r="SAX611" s="268"/>
      <c r="SAY611" s="268"/>
      <c r="SAZ611" s="268"/>
      <c r="SBA611" s="268"/>
      <c r="SBB611" s="268"/>
      <c r="SBC611" s="268"/>
      <c r="SBD611" s="268"/>
      <c r="SBE611" s="268"/>
      <c r="SBF611" s="268"/>
      <c r="SBG611" s="268"/>
      <c r="SBH611" s="268"/>
      <c r="SBI611" s="268"/>
      <c r="SBJ611" s="268"/>
      <c r="SBK611" s="268"/>
      <c r="SBL611" s="268"/>
      <c r="SBM611" s="268"/>
      <c r="SBN611" s="268"/>
      <c r="SBO611" s="268"/>
      <c r="SBP611" s="268"/>
      <c r="SBQ611" s="268"/>
      <c r="SBR611" s="268"/>
      <c r="SBS611" s="268"/>
      <c r="SBT611" s="268"/>
      <c r="SBU611" s="268"/>
      <c r="SBV611" s="268"/>
      <c r="SBW611" s="268"/>
      <c r="SBX611" s="268"/>
      <c r="SBY611" s="268"/>
      <c r="SBZ611" s="268"/>
      <c r="SCA611" s="268"/>
      <c r="SCB611" s="268"/>
      <c r="SCC611" s="268"/>
      <c r="SCD611" s="268"/>
      <c r="SCE611" s="268"/>
      <c r="SCF611" s="268"/>
      <c r="SCG611" s="268"/>
      <c r="SCH611" s="268"/>
      <c r="SCI611" s="268"/>
      <c r="SCJ611" s="268"/>
      <c r="SCK611" s="268"/>
      <c r="SCL611" s="268"/>
      <c r="SCM611" s="268"/>
      <c r="SCN611" s="268"/>
      <c r="SCO611" s="268"/>
      <c r="SCP611" s="268"/>
      <c r="SCQ611" s="268"/>
      <c r="SCR611" s="268"/>
      <c r="SCS611" s="268"/>
      <c r="SCT611" s="268"/>
      <c r="SCU611" s="268"/>
      <c r="SCV611" s="268"/>
      <c r="SCW611" s="268"/>
      <c r="SCX611" s="268"/>
      <c r="SCY611" s="268"/>
      <c r="SCZ611" s="268"/>
      <c r="SDA611" s="268"/>
      <c r="SDB611" s="268"/>
      <c r="SDC611" s="268"/>
      <c r="SDD611" s="268"/>
      <c r="SDE611" s="268"/>
      <c r="SDF611" s="268"/>
      <c r="SDG611" s="268"/>
      <c r="SDH611" s="268"/>
      <c r="SDI611" s="268"/>
      <c r="SDJ611" s="268"/>
      <c r="SDK611" s="268"/>
      <c r="SDL611" s="268"/>
      <c r="SDM611" s="268"/>
      <c r="SDN611" s="268"/>
      <c r="SDO611" s="268"/>
      <c r="SDP611" s="268"/>
      <c r="SDQ611" s="268"/>
      <c r="SDR611" s="268"/>
      <c r="SDS611" s="268"/>
      <c r="SDT611" s="268"/>
      <c r="SDU611" s="268"/>
      <c r="SDV611" s="268"/>
      <c r="SDW611" s="268"/>
      <c r="SDX611" s="268"/>
      <c r="SDY611" s="268"/>
      <c r="SDZ611" s="268"/>
      <c r="SEA611" s="268"/>
      <c r="SEB611" s="268"/>
      <c r="SEC611" s="268"/>
      <c r="SED611" s="268"/>
      <c r="SEE611" s="268"/>
      <c r="SEF611" s="268"/>
      <c r="SEG611" s="268"/>
      <c r="SEH611" s="268"/>
      <c r="SEI611" s="268"/>
      <c r="SEJ611" s="268"/>
      <c r="SEK611" s="268"/>
      <c r="SEL611" s="268"/>
      <c r="SEM611" s="268"/>
      <c r="SEN611" s="268"/>
      <c r="SEO611" s="268"/>
      <c r="SEP611" s="268"/>
      <c r="SEQ611" s="268"/>
      <c r="SER611" s="268"/>
      <c r="SES611" s="268"/>
      <c r="SET611" s="268"/>
      <c r="SEU611" s="268"/>
      <c r="SEV611" s="268"/>
      <c r="SEW611" s="268"/>
      <c r="SEX611" s="268"/>
      <c r="SEY611" s="268"/>
      <c r="SEZ611" s="268"/>
      <c r="SFA611" s="268"/>
      <c r="SFB611" s="268"/>
      <c r="SFC611" s="268"/>
      <c r="SFD611" s="268"/>
      <c r="SFE611" s="268"/>
      <c r="SFF611" s="268"/>
      <c r="SFG611" s="268"/>
      <c r="SFH611" s="268"/>
      <c r="SFI611" s="268"/>
      <c r="SFJ611" s="268"/>
      <c r="SFK611" s="268"/>
      <c r="SFL611" s="268"/>
      <c r="SFM611" s="268"/>
      <c r="SFN611" s="268"/>
      <c r="SFO611" s="268"/>
      <c r="SFP611" s="268"/>
      <c r="SFQ611" s="268"/>
      <c r="SFR611" s="268"/>
      <c r="SFS611" s="268"/>
      <c r="SFT611" s="268"/>
      <c r="SFU611" s="268"/>
      <c r="SFV611" s="268"/>
      <c r="SFW611" s="268"/>
      <c r="SFX611" s="268"/>
      <c r="SFY611" s="268"/>
      <c r="SFZ611" s="268"/>
      <c r="SGA611" s="268"/>
      <c r="SGB611" s="268"/>
      <c r="SGC611" s="268"/>
      <c r="SGD611" s="268"/>
      <c r="SGE611" s="268"/>
      <c r="SGF611" s="268"/>
      <c r="SGG611" s="268"/>
      <c r="SGH611" s="268"/>
      <c r="SGI611" s="268"/>
      <c r="SGJ611" s="268"/>
      <c r="SGK611" s="268"/>
      <c r="SGL611" s="268"/>
      <c r="SGM611" s="268"/>
      <c r="SGN611" s="268"/>
      <c r="SGO611" s="268"/>
      <c r="SGP611" s="268"/>
      <c r="SGQ611" s="268"/>
      <c r="SGR611" s="268"/>
      <c r="SGS611" s="268"/>
      <c r="SGT611" s="268"/>
      <c r="SGU611" s="268"/>
      <c r="SHI611" s="268"/>
      <c r="SHJ611" s="268"/>
      <c r="SHK611" s="268"/>
      <c r="SHY611" s="268"/>
      <c r="SIA611" s="268"/>
      <c r="SIB611" s="268"/>
      <c r="SIC611" s="268"/>
      <c r="SID611" s="268"/>
      <c r="SIE611" s="268"/>
      <c r="SIF611" s="268"/>
      <c r="SIG611" s="268"/>
      <c r="SIH611" s="268"/>
      <c r="SII611" s="268"/>
      <c r="SIJ611" s="268"/>
      <c r="SIK611" s="268"/>
      <c r="SIL611" s="268"/>
      <c r="SIM611" s="268"/>
      <c r="SIN611" s="268"/>
      <c r="SIO611" s="268"/>
      <c r="SIP611" s="268"/>
      <c r="SIQ611" s="268"/>
      <c r="SIR611" s="268"/>
      <c r="SIS611" s="268"/>
      <c r="SIT611" s="268"/>
      <c r="SIU611" s="268"/>
      <c r="SIV611" s="268"/>
      <c r="SIW611" s="268"/>
      <c r="SIX611" s="268"/>
      <c r="SIY611" s="268"/>
      <c r="SIZ611" s="268"/>
      <c r="SJA611" s="268"/>
      <c r="SJB611" s="268"/>
      <c r="SJC611" s="268"/>
      <c r="SJD611" s="268"/>
      <c r="SJE611" s="268"/>
      <c r="SJF611" s="268"/>
      <c r="SJG611" s="268"/>
      <c r="SJH611" s="268"/>
      <c r="SJI611" s="268"/>
      <c r="SJJ611" s="268"/>
      <c r="SJK611" s="268"/>
      <c r="SJL611" s="268"/>
      <c r="SJM611" s="268"/>
      <c r="SJN611" s="268"/>
      <c r="SJO611" s="268"/>
      <c r="SJP611" s="268"/>
      <c r="SJQ611" s="268"/>
      <c r="SJR611" s="268"/>
      <c r="SJS611" s="268"/>
      <c r="SJT611" s="268"/>
      <c r="SJU611" s="268"/>
      <c r="SJV611" s="268"/>
      <c r="SJW611" s="268"/>
      <c r="SJX611" s="268"/>
      <c r="SJY611" s="268"/>
      <c r="SJZ611" s="268"/>
      <c r="SKA611" s="268"/>
      <c r="SKB611" s="268"/>
      <c r="SKC611" s="268"/>
      <c r="SKD611" s="268"/>
      <c r="SKE611" s="268"/>
      <c r="SKF611" s="268"/>
      <c r="SKG611" s="268"/>
      <c r="SKH611" s="268"/>
      <c r="SKI611" s="268"/>
      <c r="SKJ611" s="268"/>
      <c r="SKK611" s="268"/>
      <c r="SKL611" s="268"/>
      <c r="SKM611" s="268"/>
      <c r="SKN611" s="268"/>
      <c r="SKO611" s="268"/>
      <c r="SKP611" s="268"/>
      <c r="SKQ611" s="268"/>
      <c r="SKR611" s="268"/>
      <c r="SKS611" s="268"/>
      <c r="SKT611" s="268"/>
      <c r="SKU611" s="268"/>
      <c r="SKV611" s="268"/>
      <c r="SKW611" s="268"/>
      <c r="SKX611" s="268"/>
      <c r="SKY611" s="268"/>
      <c r="SKZ611" s="268"/>
      <c r="SLA611" s="268"/>
      <c r="SLB611" s="268"/>
      <c r="SLC611" s="268"/>
      <c r="SLD611" s="268"/>
      <c r="SLE611" s="268"/>
      <c r="SLF611" s="268"/>
      <c r="SLG611" s="268"/>
      <c r="SLH611" s="268"/>
      <c r="SLI611" s="268"/>
      <c r="SLJ611" s="268"/>
      <c r="SLK611" s="268"/>
      <c r="SLL611" s="268"/>
      <c r="SLM611" s="268"/>
      <c r="SLN611" s="268"/>
      <c r="SLO611" s="268"/>
      <c r="SLP611" s="268"/>
      <c r="SLQ611" s="268"/>
      <c r="SLR611" s="268"/>
      <c r="SLS611" s="268"/>
      <c r="SLT611" s="268"/>
      <c r="SLU611" s="268"/>
      <c r="SLV611" s="268"/>
      <c r="SLW611" s="268"/>
      <c r="SLX611" s="268"/>
      <c r="SLY611" s="268"/>
      <c r="SLZ611" s="268"/>
      <c r="SMA611" s="268"/>
      <c r="SMB611" s="268"/>
      <c r="SMC611" s="268"/>
      <c r="SMD611" s="268"/>
      <c r="SME611" s="268"/>
      <c r="SMF611" s="268"/>
      <c r="SMG611" s="268"/>
      <c r="SMH611" s="268"/>
      <c r="SMI611" s="268"/>
      <c r="SMJ611" s="268"/>
      <c r="SMK611" s="268"/>
      <c r="SML611" s="268"/>
      <c r="SMM611" s="268"/>
      <c r="SMN611" s="268"/>
      <c r="SMO611" s="268"/>
      <c r="SMP611" s="268"/>
      <c r="SMQ611" s="268"/>
      <c r="SMR611" s="268"/>
      <c r="SMS611" s="268"/>
      <c r="SMT611" s="268"/>
      <c r="SMU611" s="268"/>
      <c r="SMV611" s="268"/>
      <c r="SMW611" s="268"/>
      <c r="SMX611" s="268"/>
      <c r="SMY611" s="268"/>
      <c r="SMZ611" s="268"/>
      <c r="SNA611" s="268"/>
      <c r="SNB611" s="268"/>
      <c r="SNC611" s="268"/>
      <c r="SND611" s="268"/>
      <c r="SNE611" s="268"/>
      <c r="SNF611" s="268"/>
      <c r="SNG611" s="268"/>
      <c r="SNH611" s="268"/>
      <c r="SNI611" s="268"/>
      <c r="SNJ611" s="268"/>
      <c r="SNK611" s="268"/>
      <c r="SNL611" s="268"/>
      <c r="SNM611" s="268"/>
      <c r="SNN611" s="268"/>
      <c r="SNO611" s="268"/>
      <c r="SNP611" s="268"/>
      <c r="SNQ611" s="268"/>
      <c r="SNR611" s="268"/>
      <c r="SNS611" s="268"/>
      <c r="SNT611" s="268"/>
      <c r="SNU611" s="268"/>
      <c r="SNV611" s="268"/>
      <c r="SNW611" s="268"/>
      <c r="SNX611" s="268"/>
      <c r="SNY611" s="268"/>
      <c r="SNZ611" s="268"/>
      <c r="SOA611" s="268"/>
      <c r="SOB611" s="268"/>
      <c r="SOC611" s="268"/>
      <c r="SOD611" s="268"/>
      <c r="SOE611" s="268"/>
      <c r="SOF611" s="268"/>
      <c r="SOG611" s="268"/>
      <c r="SOH611" s="268"/>
      <c r="SOI611" s="268"/>
      <c r="SOJ611" s="268"/>
      <c r="SOK611" s="268"/>
      <c r="SOL611" s="268"/>
      <c r="SOM611" s="268"/>
      <c r="SON611" s="268"/>
      <c r="SOO611" s="268"/>
      <c r="SOP611" s="268"/>
      <c r="SOQ611" s="268"/>
      <c r="SOR611" s="268"/>
      <c r="SOS611" s="268"/>
      <c r="SOT611" s="268"/>
      <c r="SOU611" s="268"/>
      <c r="SOV611" s="268"/>
      <c r="SOW611" s="268"/>
      <c r="SOX611" s="268"/>
      <c r="SOY611" s="268"/>
      <c r="SOZ611" s="268"/>
      <c r="SPA611" s="268"/>
      <c r="SPB611" s="268"/>
      <c r="SPC611" s="268"/>
      <c r="SPD611" s="268"/>
      <c r="SPE611" s="268"/>
      <c r="SPF611" s="268"/>
      <c r="SPG611" s="268"/>
      <c r="SPH611" s="268"/>
      <c r="SPI611" s="268"/>
      <c r="SPJ611" s="268"/>
      <c r="SPK611" s="268"/>
      <c r="SPL611" s="268"/>
      <c r="SPM611" s="268"/>
      <c r="SPN611" s="268"/>
      <c r="SPO611" s="268"/>
      <c r="SPP611" s="268"/>
      <c r="SPQ611" s="268"/>
      <c r="SPR611" s="268"/>
      <c r="SPS611" s="268"/>
      <c r="SPT611" s="268"/>
      <c r="SPU611" s="268"/>
      <c r="SPV611" s="268"/>
      <c r="SPW611" s="268"/>
      <c r="SPX611" s="268"/>
      <c r="SPY611" s="268"/>
      <c r="SPZ611" s="268"/>
      <c r="SQA611" s="268"/>
      <c r="SQB611" s="268"/>
      <c r="SQC611" s="268"/>
      <c r="SQD611" s="268"/>
      <c r="SQE611" s="268"/>
      <c r="SQF611" s="268"/>
      <c r="SQG611" s="268"/>
      <c r="SQH611" s="268"/>
      <c r="SQI611" s="268"/>
      <c r="SQJ611" s="268"/>
      <c r="SQK611" s="268"/>
      <c r="SQL611" s="268"/>
      <c r="SQM611" s="268"/>
      <c r="SQN611" s="268"/>
      <c r="SQO611" s="268"/>
      <c r="SQP611" s="268"/>
      <c r="SQQ611" s="268"/>
      <c r="SRE611" s="268"/>
      <c r="SRF611" s="268"/>
      <c r="SRG611" s="268"/>
      <c r="SRU611" s="268"/>
      <c r="SRW611" s="268"/>
      <c r="SRX611" s="268"/>
      <c r="SRY611" s="268"/>
      <c r="SRZ611" s="268"/>
      <c r="SSA611" s="268"/>
      <c r="SSB611" s="268"/>
      <c r="SSC611" s="268"/>
      <c r="SSD611" s="268"/>
      <c r="SSE611" s="268"/>
      <c r="SSF611" s="268"/>
      <c r="SSG611" s="268"/>
      <c r="SSH611" s="268"/>
      <c r="SSI611" s="268"/>
      <c r="SSJ611" s="268"/>
      <c r="SSK611" s="268"/>
      <c r="SSL611" s="268"/>
      <c r="SSM611" s="268"/>
      <c r="SSN611" s="268"/>
      <c r="SSO611" s="268"/>
      <c r="SSP611" s="268"/>
      <c r="SSQ611" s="268"/>
      <c r="SSR611" s="268"/>
      <c r="SSS611" s="268"/>
      <c r="SST611" s="268"/>
      <c r="SSU611" s="268"/>
      <c r="SSV611" s="268"/>
      <c r="SSW611" s="268"/>
      <c r="SSX611" s="268"/>
      <c r="SSY611" s="268"/>
      <c r="SSZ611" s="268"/>
      <c r="STA611" s="268"/>
      <c r="STB611" s="268"/>
      <c r="STC611" s="268"/>
      <c r="STD611" s="268"/>
      <c r="STE611" s="268"/>
      <c r="STF611" s="268"/>
      <c r="STG611" s="268"/>
      <c r="STH611" s="268"/>
      <c r="STI611" s="268"/>
      <c r="STJ611" s="268"/>
      <c r="STK611" s="268"/>
      <c r="STL611" s="268"/>
      <c r="STM611" s="268"/>
      <c r="STN611" s="268"/>
      <c r="STO611" s="268"/>
      <c r="STP611" s="268"/>
      <c r="STQ611" s="268"/>
      <c r="STR611" s="268"/>
      <c r="STS611" s="268"/>
      <c r="STT611" s="268"/>
      <c r="STU611" s="268"/>
      <c r="STV611" s="268"/>
      <c r="STW611" s="268"/>
      <c r="STX611" s="268"/>
      <c r="STY611" s="268"/>
      <c r="STZ611" s="268"/>
      <c r="SUA611" s="268"/>
      <c r="SUB611" s="268"/>
      <c r="SUC611" s="268"/>
      <c r="SUD611" s="268"/>
      <c r="SUE611" s="268"/>
      <c r="SUF611" s="268"/>
      <c r="SUG611" s="268"/>
      <c r="SUH611" s="268"/>
      <c r="SUI611" s="268"/>
      <c r="SUJ611" s="268"/>
      <c r="SUK611" s="268"/>
      <c r="SUL611" s="268"/>
      <c r="SUM611" s="268"/>
      <c r="SUN611" s="268"/>
      <c r="SUO611" s="268"/>
      <c r="SUP611" s="268"/>
      <c r="SUQ611" s="268"/>
      <c r="SUR611" s="268"/>
      <c r="SUS611" s="268"/>
      <c r="SUT611" s="268"/>
      <c r="SUU611" s="268"/>
      <c r="SUV611" s="268"/>
      <c r="SUW611" s="268"/>
      <c r="SUX611" s="268"/>
      <c r="SUY611" s="268"/>
      <c r="SUZ611" s="268"/>
      <c r="SVA611" s="268"/>
      <c r="SVB611" s="268"/>
      <c r="SVC611" s="268"/>
      <c r="SVD611" s="268"/>
      <c r="SVE611" s="268"/>
      <c r="SVF611" s="268"/>
      <c r="SVG611" s="268"/>
      <c r="SVH611" s="268"/>
      <c r="SVI611" s="268"/>
      <c r="SVJ611" s="268"/>
      <c r="SVK611" s="268"/>
      <c r="SVL611" s="268"/>
      <c r="SVM611" s="268"/>
      <c r="SVN611" s="268"/>
      <c r="SVO611" s="268"/>
      <c r="SVP611" s="268"/>
      <c r="SVQ611" s="268"/>
      <c r="SVR611" s="268"/>
      <c r="SVS611" s="268"/>
      <c r="SVT611" s="268"/>
      <c r="SVU611" s="268"/>
      <c r="SVV611" s="268"/>
      <c r="SVW611" s="268"/>
      <c r="SVX611" s="268"/>
      <c r="SVY611" s="268"/>
      <c r="SVZ611" s="268"/>
      <c r="SWA611" s="268"/>
      <c r="SWB611" s="268"/>
      <c r="SWC611" s="268"/>
      <c r="SWD611" s="268"/>
      <c r="SWE611" s="268"/>
      <c r="SWF611" s="268"/>
      <c r="SWG611" s="268"/>
      <c r="SWH611" s="268"/>
      <c r="SWI611" s="268"/>
      <c r="SWJ611" s="268"/>
      <c r="SWK611" s="268"/>
      <c r="SWL611" s="268"/>
      <c r="SWM611" s="268"/>
      <c r="SWN611" s="268"/>
      <c r="SWO611" s="268"/>
      <c r="SWP611" s="268"/>
      <c r="SWQ611" s="268"/>
      <c r="SWR611" s="268"/>
      <c r="SWS611" s="268"/>
      <c r="SWT611" s="268"/>
      <c r="SWU611" s="268"/>
      <c r="SWV611" s="268"/>
      <c r="SWW611" s="268"/>
      <c r="SWX611" s="268"/>
      <c r="SWY611" s="268"/>
      <c r="SWZ611" s="268"/>
      <c r="SXA611" s="268"/>
      <c r="SXB611" s="268"/>
      <c r="SXC611" s="268"/>
      <c r="SXD611" s="268"/>
      <c r="SXE611" s="268"/>
      <c r="SXF611" s="268"/>
      <c r="SXG611" s="268"/>
      <c r="SXH611" s="268"/>
      <c r="SXI611" s="268"/>
      <c r="SXJ611" s="268"/>
      <c r="SXK611" s="268"/>
      <c r="SXL611" s="268"/>
      <c r="SXM611" s="268"/>
      <c r="SXN611" s="268"/>
      <c r="SXO611" s="268"/>
      <c r="SXP611" s="268"/>
      <c r="SXQ611" s="268"/>
      <c r="SXR611" s="268"/>
      <c r="SXS611" s="268"/>
      <c r="SXT611" s="268"/>
      <c r="SXU611" s="268"/>
      <c r="SXV611" s="268"/>
      <c r="SXW611" s="268"/>
      <c r="SXX611" s="268"/>
      <c r="SXY611" s="268"/>
      <c r="SXZ611" s="268"/>
      <c r="SYA611" s="268"/>
      <c r="SYB611" s="268"/>
      <c r="SYC611" s="268"/>
      <c r="SYD611" s="268"/>
      <c r="SYE611" s="268"/>
      <c r="SYF611" s="268"/>
      <c r="SYG611" s="268"/>
      <c r="SYH611" s="268"/>
      <c r="SYI611" s="268"/>
      <c r="SYJ611" s="268"/>
      <c r="SYK611" s="268"/>
      <c r="SYL611" s="268"/>
      <c r="SYM611" s="268"/>
      <c r="SYN611" s="268"/>
      <c r="SYO611" s="268"/>
      <c r="SYP611" s="268"/>
      <c r="SYQ611" s="268"/>
      <c r="SYR611" s="268"/>
      <c r="SYS611" s="268"/>
      <c r="SYT611" s="268"/>
      <c r="SYU611" s="268"/>
      <c r="SYV611" s="268"/>
      <c r="SYW611" s="268"/>
      <c r="SYX611" s="268"/>
      <c r="SYY611" s="268"/>
      <c r="SYZ611" s="268"/>
      <c r="SZA611" s="268"/>
      <c r="SZB611" s="268"/>
      <c r="SZC611" s="268"/>
      <c r="SZD611" s="268"/>
      <c r="SZE611" s="268"/>
      <c r="SZF611" s="268"/>
      <c r="SZG611" s="268"/>
      <c r="SZH611" s="268"/>
      <c r="SZI611" s="268"/>
      <c r="SZJ611" s="268"/>
      <c r="SZK611" s="268"/>
      <c r="SZL611" s="268"/>
      <c r="SZM611" s="268"/>
      <c r="SZN611" s="268"/>
      <c r="SZO611" s="268"/>
      <c r="SZP611" s="268"/>
      <c r="SZQ611" s="268"/>
      <c r="SZR611" s="268"/>
      <c r="SZS611" s="268"/>
      <c r="SZT611" s="268"/>
      <c r="SZU611" s="268"/>
      <c r="SZV611" s="268"/>
      <c r="SZW611" s="268"/>
      <c r="SZX611" s="268"/>
      <c r="SZY611" s="268"/>
      <c r="SZZ611" s="268"/>
      <c r="TAA611" s="268"/>
      <c r="TAB611" s="268"/>
      <c r="TAC611" s="268"/>
      <c r="TAD611" s="268"/>
      <c r="TAE611" s="268"/>
      <c r="TAF611" s="268"/>
      <c r="TAG611" s="268"/>
      <c r="TAH611" s="268"/>
      <c r="TAI611" s="268"/>
      <c r="TAJ611" s="268"/>
      <c r="TAK611" s="268"/>
      <c r="TAL611" s="268"/>
      <c r="TAM611" s="268"/>
      <c r="TBA611" s="268"/>
      <c r="TBB611" s="268"/>
      <c r="TBC611" s="268"/>
      <c r="TBQ611" s="268"/>
      <c r="TBS611" s="268"/>
      <c r="TBT611" s="268"/>
      <c r="TBU611" s="268"/>
      <c r="TBV611" s="268"/>
      <c r="TBW611" s="268"/>
      <c r="TBX611" s="268"/>
      <c r="TBY611" s="268"/>
      <c r="TBZ611" s="268"/>
      <c r="TCA611" s="268"/>
      <c r="TCB611" s="268"/>
      <c r="TCC611" s="268"/>
      <c r="TCD611" s="268"/>
      <c r="TCE611" s="268"/>
      <c r="TCF611" s="268"/>
      <c r="TCG611" s="268"/>
      <c r="TCH611" s="268"/>
      <c r="TCI611" s="268"/>
      <c r="TCJ611" s="268"/>
      <c r="TCK611" s="268"/>
      <c r="TCL611" s="268"/>
      <c r="TCM611" s="268"/>
      <c r="TCN611" s="268"/>
      <c r="TCO611" s="268"/>
      <c r="TCP611" s="268"/>
      <c r="TCQ611" s="268"/>
      <c r="TCR611" s="268"/>
      <c r="TCS611" s="268"/>
      <c r="TCT611" s="268"/>
      <c r="TCU611" s="268"/>
      <c r="TCV611" s="268"/>
      <c r="TCW611" s="268"/>
      <c r="TCX611" s="268"/>
      <c r="TCY611" s="268"/>
      <c r="TCZ611" s="268"/>
      <c r="TDA611" s="268"/>
      <c r="TDB611" s="268"/>
      <c r="TDC611" s="268"/>
      <c r="TDD611" s="268"/>
      <c r="TDE611" s="268"/>
      <c r="TDF611" s="268"/>
      <c r="TDG611" s="268"/>
      <c r="TDH611" s="268"/>
      <c r="TDI611" s="268"/>
      <c r="TDJ611" s="268"/>
      <c r="TDK611" s="268"/>
      <c r="TDL611" s="268"/>
      <c r="TDM611" s="268"/>
      <c r="TDN611" s="268"/>
      <c r="TDO611" s="268"/>
      <c r="TDP611" s="268"/>
      <c r="TDQ611" s="268"/>
      <c r="TDR611" s="268"/>
      <c r="TDS611" s="268"/>
      <c r="TDT611" s="268"/>
      <c r="TDU611" s="268"/>
      <c r="TDV611" s="268"/>
      <c r="TDW611" s="268"/>
      <c r="TDX611" s="268"/>
      <c r="TDY611" s="268"/>
      <c r="TDZ611" s="268"/>
      <c r="TEA611" s="268"/>
      <c r="TEB611" s="268"/>
      <c r="TEC611" s="268"/>
      <c r="TED611" s="268"/>
      <c r="TEE611" s="268"/>
      <c r="TEF611" s="268"/>
      <c r="TEG611" s="268"/>
      <c r="TEH611" s="268"/>
      <c r="TEI611" s="268"/>
      <c r="TEJ611" s="268"/>
      <c r="TEK611" s="268"/>
      <c r="TEL611" s="268"/>
      <c r="TEM611" s="268"/>
      <c r="TEN611" s="268"/>
      <c r="TEO611" s="268"/>
      <c r="TEP611" s="268"/>
      <c r="TEQ611" s="268"/>
      <c r="TER611" s="268"/>
      <c r="TES611" s="268"/>
      <c r="TET611" s="268"/>
      <c r="TEU611" s="268"/>
      <c r="TEV611" s="268"/>
      <c r="TEW611" s="268"/>
      <c r="TEX611" s="268"/>
      <c r="TEY611" s="268"/>
      <c r="TEZ611" s="268"/>
      <c r="TFA611" s="268"/>
      <c r="TFB611" s="268"/>
      <c r="TFC611" s="268"/>
      <c r="TFD611" s="268"/>
      <c r="TFE611" s="268"/>
      <c r="TFF611" s="268"/>
      <c r="TFG611" s="268"/>
      <c r="TFH611" s="268"/>
      <c r="TFI611" s="268"/>
      <c r="TFJ611" s="268"/>
      <c r="TFK611" s="268"/>
      <c r="TFL611" s="268"/>
      <c r="TFM611" s="268"/>
      <c r="TFN611" s="268"/>
      <c r="TFO611" s="268"/>
      <c r="TFP611" s="268"/>
      <c r="TFQ611" s="268"/>
      <c r="TFR611" s="268"/>
      <c r="TFS611" s="268"/>
      <c r="TFT611" s="268"/>
      <c r="TFU611" s="268"/>
      <c r="TFV611" s="268"/>
      <c r="TFW611" s="268"/>
      <c r="TFX611" s="268"/>
      <c r="TFY611" s="268"/>
      <c r="TFZ611" s="268"/>
      <c r="TGA611" s="268"/>
      <c r="TGB611" s="268"/>
      <c r="TGC611" s="268"/>
      <c r="TGD611" s="268"/>
      <c r="TGE611" s="268"/>
      <c r="TGF611" s="268"/>
      <c r="TGG611" s="268"/>
      <c r="TGH611" s="268"/>
      <c r="TGI611" s="268"/>
      <c r="TGJ611" s="268"/>
      <c r="TGK611" s="268"/>
      <c r="TGL611" s="268"/>
      <c r="TGM611" s="268"/>
      <c r="TGN611" s="268"/>
      <c r="TGO611" s="268"/>
      <c r="TGP611" s="268"/>
      <c r="TGQ611" s="268"/>
      <c r="TGR611" s="268"/>
      <c r="TGS611" s="268"/>
      <c r="TGT611" s="268"/>
      <c r="TGU611" s="268"/>
      <c r="TGV611" s="268"/>
      <c r="TGW611" s="268"/>
      <c r="TGX611" s="268"/>
      <c r="TGY611" s="268"/>
      <c r="TGZ611" s="268"/>
      <c r="THA611" s="268"/>
      <c r="THB611" s="268"/>
      <c r="THC611" s="268"/>
      <c r="THD611" s="268"/>
      <c r="THE611" s="268"/>
      <c r="THF611" s="268"/>
      <c r="THG611" s="268"/>
      <c r="THH611" s="268"/>
      <c r="THI611" s="268"/>
      <c r="THJ611" s="268"/>
      <c r="THK611" s="268"/>
      <c r="THL611" s="268"/>
      <c r="THM611" s="268"/>
      <c r="THN611" s="268"/>
      <c r="THO611" s="268"/>
      <c r="THP611" s="268"/>
      <c r="THQ611" s="268"/>
      <c r="THR611" s="268"/>
      <c r="THS611" s="268"/>
      <c r="THT611" s="268"/>
      <c r="THU611" s="268"/>
      <c r="THV611" s="268"/>
      <c r="THW611" s="268"/>
      <c r="THX611" s="268"/>
      <c r="THY611" s="268"/>
      <c r="THZ611" s="268"/>
      <c r="TIA611" s="268"/>
      <c r="TIB611" s="268"/>
      <c r="TIC611" s="268"/>
      <c r="TID611" s="268"/>
      <c r="TIE611" s="268"/>
      <c r="TIF611" s="268"/>
      <c r="TIG611" s="268"/>
      <c r="TIH611" s="268"/>
      <c r="TII611" s="268"/>
      <c r="TIJ611" s="268"/>
      <c r="TIK611" s="268"/>
      <c r="TIL611" s="268"/>
      <c r="TIM611" s="268"/>
      <c r="TIN611" s="268"/>
      <c r="TIO611" s="268"/>
      <c r="TIP611" s="268"/>
      <c r="TIQ611" s="268"/>
      <c r="TIR611" s="268"/>
      <c r="TIS611" s="268"/>
      <c r="TIT611" s="268"/>
      <c r="TIU611" s="268"/>
      <c r="TIV611" s="268"/>
      <c r="TIW611" s="268"/>
      <c r="TIX611" s="268"/>
      <c r="TIY611" s="268"/>
      <c r="TIZ611" s="268"/>
      <c r="TJA611" s="268"/>
      <c r="TJB611" s="268"/>
      <c r="TJC611" s="268"/>
      <c r="TJD611" s="268"/>
      <c r="TJE611" s="268"/>
      <c r="TJF611" s="268"/>
      <c r="TJG611" s="268"/>
      <c r="TJH611" s="268"/>
      <c r="TJI611" s="268"/>
      <c r="TJJ611" s="268"/>
      <c r="TJK611" s="268"/>
      <c r="TJL611" s="268"/>
      <c r="TJM611" s="268"/>
      <c r="TJN611" s="268"/>
      <c r="TJO611" s="268"/>
      <c r="TJP611" s="268"/>
      <c r="TJQ611" s="268"/>
      <c r="TJR611" s="268"/>
      <c r="TJS611" s="268"/>
      <c r="TJT611" s="268"/>
      <c r="TJU611" s="268"/>
      <c r="TJV611" s="268"/>
      <c r="TJW611" s="268"/>
      <c r="TJX611" s="268"/>
      <c r="TJY611" s="268"/>
      <c r="TJZ611" s="268"/>
      <c r="TKA611" s="268"/>
      <c r="TKB611" s="268"/>
      <c r="TKC611" s="268"/>
      <c r="TKD611" s="268"/>
      <c r="TKE611" s="268"/>
      <c r="TKF611" s="268"/>
      <c r="TKG611" s="268"/>
      <c r="TKH611" s="268"/>
      <c r="TKI611" s="268"/>
      <c r="TKW611" s="268"/>
      <c r="TKX611" s="268"/>
      <c r="TKY611" s="268"/>
      <c r="TLM611" s="268"/>
      <c r="TLO611" s="268"/>
      <c r="TLP611" s="268"/>
      <c r="TLQ611" s="268"/>
      <c r="TLR611" s="268"/>
      <c r="TLS611" s="268"/>
      <c r="TLT611" s="268"/>
      <c r="TLU611" s="268"/>
      <c r="TLV611" s="268"/>
      <c r="TLW611" s="268"/>
      <c r="TLX611" s="268"/>
      <c r="TLY611" s="268"/>
      <c r="TLZ611" s="268"/>
      <c r="TMA611" s="268"/>
      <c r="TMB611" s="268"/>
      <c r="TMC611" s="268"/>
      <c r="TMD611" s="268"/>
      <c r="TME611" s="268"/>
      <c r="TMF611" s="268"/>
      <c r="TMG611" s="268"/>
      <c r="TMH611" s="268"/>
      <c r="TMI611" s="268"/>
      <c r="TMJ611" s="268"/>
      <c r="TMK611" s="268"/>
      <c r="TML611" s="268"/>
      <c r="TMM611" s="268"/>
      <c r="TMN611" s="268"/>
      <c r="TMO611" s="268"/>
      <c r="TMP611" s="268"/>
      <c r="TMQ611" s="268"/>
      <c r="TMR611" s="268"/>
      <c r="TMS611" s="268"/>
      <c r="TMT611" s="268"/>
      <c r="TMU611" s="268"/>
      <c r="TMV611" s="268"/>
      <c r="TMW611" s="268"/>
      <c r="TMX611" s="268"/>
      <c r="TMY611" s="268"/>
      <c r="TMZ611" s="268"/>
      <c r="TNA611" s="268"/>
      <c r="TNB611" s="268"/>
      <c r="TNC611" s="268"/>
      <c r="TND611" s="268"/>
      <c r="TNE611" s="268"/>
      <c r="TNF611" s="268"/>
      <c r="TNG611" s="268"/>
      <c r="TNH611" s="268"/>
      <c r="TNI611" s="268"/>
      <c r="TNJ611" s="268"/>
      <c r="TNK611" s="268"/>
      <c r="TNL611" s="268"/>
      <c r="TNM611" s="268"/>
      <c r="TNN611" s="268"/>
      <c r="TNO611" s="268"/>
      <c r="TNP611" s="268"/>
      <c r="TNQ611" s="268"/>
      <c r="TNR611" s="268"/>
      <c r="TNS611" s="268"/>
      <c r="TNT611" s="268"/>
      <c r="TNU611" s="268"/>
      <c r="TNV611" s="268"/>
      <c r="TNW611" s="268"/>
      <c r="TNX611" s="268"/>
      <c r="TNY611" s="268"/>
      <c r="TNZ611" s="268"/>
      <c r="TOA611" s="268"/>
      <c r="TOB611" s="268"/>
      <c r="TOC611" s="268"/>
      <c r="TOD611" s="268"/>
      <c r="TOE611" s="268"/>
      <c r="TOF611" s="268"/>
      <c r="TOG611" s="268"/>
      <c r="TOH611" s="268"/>
      <c r="TOI611" s="268"/>
      <c r="TOJ611" s="268"/>
      <c r="TOK611" s="268"/>
      <c r="TOL611" s="268"/>
      <c r="TOM611" s="268"/>
      <c r="TON611" s="268"/>
      <c r="TOO611" s="268"/>
      <c r="TOP611" s="268"/>
      <c r="TOQ611" s="268"/>
      <c r="TOR611" s="268"/>
      <c r="TOS611" s="268"/>
      <c r="TOT611" s="268"/>
      <c r="TOU611" s="268"/>
      <c r="TOV611" s="268"/>
      <c r="TOW611" s="268"/>
      <c r="TOX611" s="268"/>
      <c r="TOY611" s="268"/>
      <c r="TOZ611" s="268"/>
      <c r="TPA611" s="268"/>
      <c r="TPB611" s="268"/>
      <c r="TPC611" s="268"/>
      <c r="TPD611" s="268"/>
      <c r="TPE611" s="268"/>
      <c r="TPF611" s="268"/>
      <c r="TPG611" s="268"/>
      <c r="TPH611" s="268"/>
      <c r="TPI611" s="268"/>
      <c r="TPJ611" s="268"/>
      <c r="TPK611" s="268"/>
      <c r="TPL611" s="268"/>
      <c r="TPM611" s="268"/>
      <c r="TPN611" s="268"/>
      <c r="TPO611" s="268"/>
      <c r="TPP611" s="268"/>
      <c r="TPQ611" s="268"/>
      <c r="TPR611" s="268"/>
      <c r="TPS611" s="268"/>
      <c r="TPT611" s="268"/>
      <c r="TPU611" s="268"/>
      <c r="TPV611" s="268"/>
      <c r="TPW611" s="268"/>
      <c r="TPX611" s="268"/>
      <c r="TPY611" s="268"/>
      <c r="TPZ611" s="268"/>
      <c r="TQA611" s="268"/>
      <c r="TQB611" s="268"/>
      <c r="TQC611" s="268"/>
      <c r="TQD611" s="268"/>
      <c r="TQE611" s="268"/>
      <c r="TQF611" s="268"/>
      <c r="TQG611" s="268"/>
      <c r="TQH611" s="268"/>
      <c r="TQI611" s="268"/>
      <c r="TQJ611" s="268"/>
      <c r="TQK611" s="268"/>
      <c r="TQL611" s="268"/>
      <c r="TQM611" s="268"/>
      <c r="TQN611" s="268"/>
      <c r="TQO611" s="268"/>
      <c r="TQP611" s="268"/>
      <c r="TQQ611" s="268"/>
      <c r="TQR611" s="268"/>
      <c r="TQS611" s="268"/>
      <c r="TQT611" s="268"/>
      <c r="TQU611" s="268"/>
      <c r="TQV611" s="268"/>
      <c r="TQW611" s="268"/>
      <c r="TQX611" s="268"/>
      <c r="TQY611" s="268"/>
      <c r="TQZ611" s="268"/>
      <c r="TRA611" s="268"/>
      <c r="TRB611" s="268"/>
      <c r="TRC611" s="268"/>
      <c r="TRD611" s="268"/>
      <c r="TRE611" s="268"/>
      <c r="TRF611" s="268"/>
      <c r="TRG611" s="268"/>
      <c r="TRH611" s="268"/>
      <c r="TRI611" s="268"/>
      <c r="TRJ611" s="268"/>
      <c r="TRK611" s="268"/>
      <c r="TRL611" s="268"/>
      <c r="TRM611" s="268"/>
      <c r="TRN611" s="268"/>
      <c r="TRO611" s="268"/>
      <c r="TRP611" s="268"/>
      <c r="TRQ611" s="268"/>
      <c r="TRR611" s="268"/>
      <c r="TRS611" s="268"/>
      <c r="TRT611" s="268"/>
      <c r="TRU611" s="268"/>
      <c r="TRV611" s="268"/>
      <c r="TRW611" s="268"/>
      <c r="TRX611" s="268"/>
      <c r="TRY611" s="268"/>
      <c r="TRZ611" s="268"/>
      <c r="TSA611" s="268"/>
      <c r="TSB611" s="268"/>
      <c r="TSC611" s="268"/>
      <c r="TSD611" s="268"/>
      <c r="TSE611" s="268"/>
      <c r="TSF611" s="268"/>
      <c r="TSG611" s="268"/>
      <c r="TSH611" s="268"/>
      <c r="TSI611" s="268"/>
      <c r="TSJ611" s="268"/>
      <c r="TSK611" s="268"/>
      <c r="TSL611" s="268"/>
      <c r="TSM611" s="268"/>
      <c r="TSN611" s="268"/>
      <c r="TSO611" s="268"/>
      <c r="TSP611" s="268"/>
      <c r="TSQ611" s="268"/>
      <c r="TSR611" s="268"/>
      <c r="TSS611" s="268"/>
      <c r="TST611" s="268"/>
      <c r="TSU611" s="268"/>
      <c r="TSV611" s="268"/>
      <c r="TSW611" s="268"/>
      <c r="TSX611" s="268"/>
      <c r="TSY611" s="268"/>
      <c r="TSZ611" s="268"/>
      <c r="TTA611" s="268"/>
      <c r="TTB611" s="268"/>
      <c r="TTC611" s="268"/>
      <c r="TTD611" s="268"/>
      <c r="TTE611" s="268"/>
      <c r="TTF611" s="268"/>
      <c r="TTG611" s="268"/>
      <c r="TTH611" s="268"/>
      <c r="TTI611" s="268"/>
      <c r="TTJ611" s="268"/>
      <c r="TTK611" s="268"/>
      <c r="TTL611" s="268"/>
      <c r="TTM611" s="268"/>
      <c r="TTN611" s="268"/>
      <c r="TTO611" s="268"/>
      <c r="TTP611" s="268"/>
      <c r="TTQ611" s="268"/>
      <c r="TTR611" s="268"/>
      <c r="TTS611" s="268"/>
      <c r="TTT611" s="268"/>
      <c r="TTU611" s="268"/>
      <c r="TTV611" s="268"/>
      <c r="TTW611" s="268"/>
      <c r="TTX611" s="268"/>
      <c r="TTY611" s="268"/>
      <c r="TTZ611" s="268"/>
      <c r="TUA611" s="268"/>
      <c r="TUB611" s="268"/>
      <c r="TUC611" s="268"/>
      <c r="TUD611" s="268"/>
      <c r="TUE611" s="268"/>
      <c r="TUS611" s="268"/>
      <c r="TUT611" s="268"/>
      <c r="TUU611" s="268"/>
      <c r="TVI611" s="268"/>
      <c r="TVK611" s="268"/>
      <c r="TVL611" s="268"/>
      <c r="TVM611" s="268"/>
      <c r="TVN611" s="268"/>
      <c r="TVO611" s="268"/>
      <c r="TVP611" s="268"/>
      <c r="TVQ611" s="268"/>
      <c r="TVR611" s="268"/>
      <c r="TVS611" s="268"/>
      <c r="TVT611" s="268"/>
      <c r="TVU611" s="268"/>
      <c r="TVV611" s="268"/>
      <c r="TVW611" s="268"/>
      <c r="TVX611" s="268"/>
      <c r="TVY611" s="268"/>
      <c r="TVZ611" s="268"/>
      <c r="TWA611" s="268"/>
      <c r="TWB611" s="268"/>
      <c r="TWC611" s="268"/>
      <c r="TWD611" s="268"/>
      <c r="TWE611" s="268"/>
      <c r="TWF611" s="268"/>
      <c r="TWG611" s="268"/>
      <c r="TWH611" s="268"/>
      <c r="TWI611" s="268"/>
      <c r="TWJ611" s="268"/>
      <c r="TWK611" s="268"/>
      <c r="TWL611" s="268"/>
      <c r="TWM611" s="268"/>
      <c r="TWN611" s="268"/>
      <c r="TWO611" s="268"/>
      <c r="TWP611" s="268"/>
      <c r="TWQ611" s="268"/>
      <c r="TWR611" s="268"/>
      <c r="TWS611" s="268"/>
      <c r="TWT611" s="268"/>
      <c r="TWU611" s="268"/>
      <c r="TWV611" s="268"/>
      <c r="TWW611" s="268"/>
      <c r="TWX611" s="268"/>
      <c r="TWY611" s="268"/>
      <c r="TWZ611" s="268"/>
      <c r="TXA611" s="268"/>
      <c r="TXB611" s="268"/>
      <c r="TXC611" s="268"/>
      <c r="TXD611" s="268"/>
      <c r="TXE611" s="268"/>
      <c r="TXF611" s="268"/>
      <c r="TXG611" s="268"/>
      <c r="TXH611" s="268"/>
      <c r="TXI611" s="268"/>
      <c r="TXJ611" s="268"/>
      <c r="TXK611" s="268"/>
      <c r="TXL611" s="268"/>
      <c r="TXM611" s="268"/>
      <c r="TXN611" s="268"/>
      <c r="TXO611" s="268"/>
      <c r="TXP611" s="268"/>
      <c r="TXQ611" s="268"/>
      <c r="TXR611" s="268"/>
      <c r="TXS611" s="268"/>
      <c r="TXT611" s="268"/>
      <c r="TXU611" s="268"/>
      <c r="TXV611" s="268"/>
      <c r="TXW611" s="268"/>
      <c r="TXX611" s="268"/>
      <c r="TXY611" s="268"/>
      <c r="TXZ611" s="268"/>
      <c r="TYA611" s="268"/>
      <c r="TYB611" s="268"/>
      <c r="TYC611" s="268"/>
      <c r="TYD611" s="268"/>
      <c r="TYE611" s="268"/>
      <c r="TYF611" s="268"/>
      <c r="TYG611" s="268"/>
      <c r="TYH611" s="268"/>
      <c r="TYI611" s="268"/>
      <c r="TYJ611" s="268"/>
      <c r="TYK611" s="268"/>
      <c r="TYL611" s="268"/>
      <c r="TYM611" s="268"/>
      <c r="TYN611" s="268"/>
      <c r="TYO611" s="268"/>
      <c r="TYP611" s="268"/>
      <c r="TYQ611" s="268"/>
      <c r="TYR611" s="268"/>
      <c r="TYS611" s="268"/>
      <c r="TYT611" s="268"/>
      <c r="TYU611" s="268"/>
      <c r="TYV611" s="268"/>
      <c r="TYW611" s="268"/>
      <c r="TYX611" s="268"/>
      <c r="TYY611" s="268"/>
      <c r="TYZ611" s="268"/>
      <c r="TZA611" s="268"/>
      <c r="TZB611" s="268"/>
      <c r="TZC611" s="268"/>
      <c r="TZD611" s="268"/>
      <c r="TZE611" s="268"/>
      <c r="TZF611" s="268"/>
      <c r="TZG611" s="268"/>
      <c r="TZH611" s="268"/>
      <c r="TZI611" s="268"/>
      <c r="TZJ611" s="268"/>
      <c r="TZK611" s="268"/>
      <c r="TZL611" s="268"/>
      <c r="TZM611" s="268"/>
      <c r="TZN611" s="268"/>
      <c r="TZO611" s="268"/>
      <c r="TZP611" s="268"/>
      <c r="TZQ611" s="268"/>
      <c r="TZR611" s="268"/>
      <c r="TZS611" s="268"/>
      <c r="TZT611" s="268"/>
      <c r="TZU611" s="268"/>
      <c r="TZV611" s="268"/>
      <c r="TZW611" s="268"/>
      <c r="TZX611" s="268"/>
      <c r="TZY611" s="268"/>
      <c r="TZZ611" s="268"/>
      <c r="UAA611" s="268"/>
      <c r="UAB611" s="268"/>
      <c r="UAC611" s="268"/>
      <c r="UAD611" s="268"/>
      <c r="UAE611" s="268"/>
      <c r="UAF611" s="268"/>
      <c r="UAG611" s="268"/>
      <c r="UAH611" s="268"/>
      <c r="UAI611" s="268"/>
      <c r="UAJ611" s="268"/>
      <c r="UAK611" s="268"/>
      <c r="UAL611" s="268"/>
      <c r="UAM611" s="268"/>
      <c r="UAN611" s="268"/>
      <c r="UAO611" s="268"/>
      <c r="UAP611" s="268"/>
      <c r="UAQ611" s="268"/>
      <c r="UAR611" s="268"/>
      <c r="UAS611" s="268"/>
      <c r="UAT611" s="268"/>
      <c r="UAU611" s="268"/>
      <c r="UAV611" s="268"/>
      <c r="UAW611" s="268"/>
      <c r="UAX611" s="268"/>
      <c r="UAY611" s="268"/>
      <c r="UAZ611" s="268"/>
      <c r="UBA611" s="268"/>
      <c r="UBB611" s="268"/>
      <c r="UBC611" s="268"/>
      <c r="UBD611" s="268"/>
      <c r="UBE611" s="268"/>
      <c r="UBF611" s="268"/>
      <c r="UBG611" s="268"/>
      <c r="UBH611" s="268"/>
      <c r="UBI611" s="268"/>
      <c r="UBJ611" s="268"/>
      <c r="UBK611" s="268"/>
      <c r="UBL611" s="268"/>
      <c r="UBM611" s="268"/>
      <c r="UBN611" s="268"/>
      <c r="UBO611" s="268"/>
      <c r="UBP611" s="268"/>
      <c r="UBQ611" s="268"/>
      <c r="UBR611" s="268"/>
      <c r="UBS611" s="268"/>
      <c r="UBT611" s="268"/>
      <c r="UBU611" s="268"/>
      <c r="UBV611" s="268"/>
      <c r="UBW611" s="268"/>
      <c r="UBX611" s="268"/>
      <c r="UBY611" s="268"/>
      <c r="UBZ611" s="268"/>
      <c r="UCA611" s="268"/>
      <c r="UCB611" s="268"/>
      <c r="UCC611" s="268"/>
      <c r="UCD611" s="268"/>
      <c r="UCE611" s="268"/>
      <c r="UCF611" s="268"/>
      <c r="UCG611" s="268"/>
      <c r="UCH611" s="268"/>
      <c r="UCI611" s="268"/>
      <c r="UCJ611" s="268"/>
      <c r="UCK611" s="268"/>
      <c r="UCL611" s="268"/>
      <c r="UCM611" s="268"/>
      <c r="UCN611" s="268"/>
      <c r="UCO611" s="268"/>
      <c r="UCP611" s="268"/>
      <c r="UCQ611" s="268"/>
      <c r="UCR611" s="268"/>
      <c r="UCS611" s="268"/>
      <c r="UCT611" s="268"/>
      <c r="UCU611" s="268"/>
      <c r="UCV611" s="268"/>
      <c r="UCW611" s="268"/>
      <c r="UCX611" s="268"/>
      <c r="UCY611" s="268"/>
      <c r="UCZ611" s="268"/>
      <c r="UDA611" s="268"/>
      <c r="UDB611" s="268"/>
      <c r="UDC611" s="268"/>
      <c r="UDD611" s="268"/>
      <c r="UDE611" s="268"/>
      <c r="UDF611" s="268"/>
      <c r="UDG611" s="268"/>
      <c r="UDH611" s="268"/>
      <c r="UDI611" s="268"/>
      <c r="UDJ611" s="268"/>
      <c r="UDK611" s="268"/>
      <c r="UDL611" s="268"/>
      <c r="UDM611" s="268"/>
      <c r="UDN611" s="268"/>
      <c r="UDO611" s="268"/>
      <c r="UDP611" s="268"/>
      <c r="UDQ611" s="268"/>
      <c r="UDR611" s="268"/>
      <c r="UDS611" s="268"/>
      <c r="UDT611" s="268"/>
      <c r="UDU611" s="268"/>
      <c r="UDV611" s="268"/>
      <c r="UDW611" s="268"/>
      <c r="UDX611" s="268"/>
      <c r="UDY611" s="268"/>
      <c r="UDZ611" s="268"/>
      <c r="UEA611" s="268"/>
      <c r="UEO611" s="268"/>
      <c r="UEP611" s="268"/>
      <c r="UEQ611" s="268"/>
      <c r="UFE611" s="268"/>
      <c r="UFG611" s="268"/>
      <c r="UFH611" s="268"/>
      <c r="UFI611" s="268"/>
      <c r="UFJ611" s="268"/>
      <c r="UFK611" s="268"/>
      <c r="UFL611" s="268"/>
      <c r="UFM611" s="268"/>
      <c r="UFN611" s="268"/>
      <c r="UFO611" s="268"/>
      <c r="UFP611" s="268"/>
      <c r="UFQ611" s="268"/>
      <c r="UFR611" s="268"/>
      <c r="UFS611" s="268"/>
      <c r="UFT611" s="268"/>
      <c r="UFU611" s="268"/>
      <c r="UFV611" s="268"/>
      <c r="UFW611" s="268"/>
      <c r="UFX611" s="268"/>
      <c r="UFY611" s="268"/>
      <c r="UFZ611" s="268"/>
      <c r="UGA611" s="268"/>
      <c r="UGB611" s="268"/>
      <c r="UGC611" s="268"/>
      <c r="UGD611" s="268"/>
      <c r="UGE611" s="268"/>
      <c r="UGF611" s="268"/>
      <c r="UGG611" s="268"/>
      <c r="UGH611" s="268"/>
      <c r="UGI611" s="268"/>
      <c r="UGJ611" s="268"/>
      <c r="UGK611" s="268"/>
      <c r="UGL611" s="268"/>
      <c r="UGM611" s="268"/>
      <c r="UGN611" s="268"/>
      <c r="UGO611" s="268"/>
      <c r="UGP611" s="268"/>
      <c r="UGQ611" s="268"/>
      <c r="UGR611" s="268"/>
      <c r="UGS611" s="268"/>
      <c r="UGT611" s="268"/>
      <c r="UGU611" s="268"/>
      <c r="UGV611" s="268"/>
      <c r="UGW611" s="268"/>
      <c r="UGX611" s="268"/>
      <c r="UGY611" s="268"/>
      <c r="UGZ611" s="268"/>
      <c r="UHA611" s="268"/>
      <c r="UHB611" s="268"/>
      <c r="UHC611" s="268"/>
      <c r="UHD611" s="268"/>
      <c r="UHE611" s="268"/>
      <c r="UHF611" s="268"/>
      <c r="UHG611" s="268"/>
      <c r="UHH611" s="268"/>
      <c r="UHI611" s="268"/>
      <c r="UHJ611" s="268"/>
      <c r="UHK611" s="268"/>
      <c r="UHL611" s="268"/>
      <c r="UHM611" s="268"/>
      <c r="UHN611" s="268"/>
      <c r="UHO611" s="268"/>
      <c r="UHP611" s="268"/>
      <c r="UHQ611" s="268"/>
      <c r="UHR611" s="268"/>
      <c r="UHS611" s="268"/>
      <c r="UHT611" s="268"/>
      <c r="UHU611" s="268"/>
      <c r="UHV611" s="268"/>
      <c r="UHW611" s="268"/>
      <c r="UHX611" s="268"/>
      <c r="UHY611" s="268"/>
      <c r="UHZ611" s="268"/>
      <c r="UIA611" s="268"/>
      <c r="UIB611" s="268"/>
      <c r="UIC611" s="268"/>
      <c r="UID611" s="268"/>
      <c r="UIE611" s="268"/>
      <c r="UIF611" s="268"/>
      <c r="UIG611" s="268"/>
      <c r="UIH611" s="268"/>
      <c r="UII611" s="268"/>
      <c r="UIJ611" s="268"/>
      <c r="UIK611" s="268"/>
      <c r="UIL611" s="268"/>
      <c r="UIM611" s="268"/>
      <c r="UIN611" s="268"/>
      <c r="UIO611" s="268"/>
      <c r="UIP611" s="268"/>
      <c r="UIQ611" s="268"/>
      <c r="UIR611" s="268"/>
      <c r="UIS611" s="268"/>
      <c r="UIT611" s="268"/>
      <c r="UIU611" s="268"/>
      <c r="UIV611" s="268"/>
      <c r="UIW611" s="268"/>
      <c r="UIX611" s="268"/>
      <c r="UIY611" s="268"/>
      <c r="UIZ611" s="268"/>
      <c r="UJA611" s="268"/>
      <c r="UJB611" s="268"/>
      <c r="UJC611" s="268"/>
      <c r="UJD611" s="268"/>
      <c r="UJE611" s="268"/>
      <c r="UJF611" s="268"/>
      <c r="UJG611" s="268"/>
      <c r="UJH611" s="268"/>
      <c r="UJI611" s="268"/>
      <c r="UJJ611" s="268"/>
      <c r="UJK611" s="268"/>
      <c r="UJL611" s="268"/>
      <c r="UJM611" s="268"/>
      <c r="UJN611" s="268"/>
      <c r="UJO611" s="268"/>
      <c r="UJP611" s="268"/>
      <c r="UJQ611" s="268"/>
      <c r="UJR611" s="268"/>
      <c r="UJS611" s="268"/>
      <c r="UJT611" s="268"/>
      <c r="UJU611" s="268"/>
      <c r="UJV611" s="268"/>
      <c r="UJW611" s="268"/>
      <c r="UJX611" s="268"/>
      <c r="UJY611" s="268"/>
      <c r="UJZ611" s="268"/>
      <c r="UKA611" s="268"/>
      <c r="UKB611" s="268"/>
      <c r="UKC611" s="268"/>
      <c r="UKD611" s="268"/>
      <c r="UKE611" s="268"/>
      <c r="UKF611" s="268"/>
      <c r="UKG611" s="268"/>
      <c r="UKH611" s="268"/>
      <c r="UKI611" s="268"/>
      <c r="UKJ611" s="268"/>
      <c r="UKK611" s="268"/>
      <c r="UKL611" s="268"/>
      <c r="UKM611" s="268"/>
      <c r="UKN611" s="268"/>
      <c r="UKO611" s="268"/>
      <c r="UKP611" s="268"/>
      <c r="UKQ611" s="268"/>
      <c r="UKR611" s="268"/>
      <c r="UKS611" s="268"/>
      <c r="UKT611" s="268"/>
      <c r="UKU611" s="268"/>
      <c r="UKV611" s="268"/>
      <c r="UKW611" s="268"/>
      <c r="UKX611" s="268"/>
      <c r="UKY611" s="268"/>
      <c r="UKZ611" s="268"/>
      <c r="ULA611" s="268"/>
      <c r="ULB611" s="268"/>
      <c r="ULC611" s="268"/>
      <c r="ULD611" s="268"/>
      <c r="ULE611" s="268"/>
      <c r="ULF611" s="268"/>
      <c r="ULG611" s="268"/>
      <c r="ULH611" s="268"/>
      <c r="ULI611" s="268"/>
      <c r="ULJ611" s="268"/>
      <c r="ULK611" s="268"/>
      <c r="ULL611" s="268"/>
      <c r="ULM611" s="268"/>
      <c r="ULN611" s="268"/>
      <c r="ULO611" s="268"/>
      <c r="ULP611" s="268"/>
      <c r="ULQ611" s="268"/>
      <c r="ULR611" s="268"/>
      <c r="ULS611" s="268"/>
      <c r="ULT611" s="268"/>
      <c r="ULU611" s="268"/>
      <c r="ULV611" s="268"/>
      <c r="ULW611" s="268"/>
      <c r="ULX611" s="268"/>
      <c r="ULY611" s="268"/>
      <c r="ULZ611" s="268"/>
      <c r="UMA611" s="268"/>
      <c r="UMB611" s="268"/>
      <c r="UMC611" s="268"/>
      <c r="UMD611" s="268"/>
      <c r="UME611" s="268"/>
      <c r="UMF611" s="268"/>
      <c r="UMG611" s="268"/>
      <c r="UMH611" s="268"/>
      <c r="UMI611" s="268"/>
      <c r="UMJ611" s="268"/>
      <c r="UMK611" s="268"/>
      <c r="UML611" s="268"/>
      <c r="UMM611" s="268"/>
      <c r="UMN611" s="268"/>
      <c r="UMO611" s="268"/>
      <c r="UMP611" s="268"/>
      <c r="UMQ611" s="268"/>
      <c r="UMR611" s="268"/>
      <c r="UMS611" s="268"/>
      <c r="UMT611" s="268"/>
      <c r="UMU611" s="268"/>
      <c r="UMV611" s="268"/>
      <c r="UMW611" s="268"/>
      <c r="UMX611" s="268"/>
      <c r="UMY611" s="268"/>
      <c r="UMZ611" s="268"/>
      <c r="UNA611" s="268"/>
      <c r="UNB611" s="268"/>
      <c r="UNC611" s="268"/>
      <c r="UND611" s="268"/>
      <c r="UNE611" s="268"/>
      <c r="UNF611" s="268"/>
      <c r="UNG611" s="268"/>
      <c r="UNH611" s="268"/>
      <c r="UNI611" s="268"/>
      <c r="UNJ611" s="268"/>
      <c r="UNK611" s="268"/>
      <c r="UNL611" s="268"/>
      <c r="UNM611" s="268"/>
      <c r="UNN611" s="268"/>
      <c r="UNO611" s="268"/>
      <c r="UNP611" s="268"/>
      <c r="UNQ611" s="268"/>
      <c r="UNR611" s="268"/>
      <c r="UNS611" s="268"/>
      <c r="UNT611" s="268"/>
      <c r="UNU611" s="268"/>
      <c r="UNV611" s="268"/>
      <c r="UNW611" s="268"/>
      <c r="UOK611" s="268"/>
      <c r="UOL611" s="268"/>
      <c r="UOM611" s="268"/>
      <c r="UPA611" s="268"/>
      <c r="UPC611" s="268"/>
      <c r="UPD611" s="268"/>
      <c r="UPE611" s="268"/>
      <c r="UPF611" s="268"/>
      <c r="UPG611" s="268"/>
      <c r="UPH611" s="268"/>
      <c r="UPI611" s="268"/>
      <c r="UPJ611" s="268"/>
      <c r="UPK611" s="268"/>
      <c r="UPL611" s="268"/>
      <c r="UPM611" s="268"/>
      <c r="UPN611" s="268"/>
      <c r="UPO611" s="268"/>
      <c r="UPP611" s="268"/>
      <c r="UPQ611" s="268"/>
      <c r="UPR611" s="268"/>
      <c r="UPS611" s="268"/>
      <c r="UPT611" s="268"/>
      <c r="UPU611" s="268"/>
      <c r="UPV611" s="268"/>
      <c r="UPW611" s="268"/>
      <c r="UPX611" s="268"/>
      <c r="UPY611" s="268"/>
      <c r="UPZ611" s="268"/>
      <c r="UQA611" s="268"/>
      <c r="UQB611" s="268"/>
      <c r="UQC611" s="268"/>
      <c r="UQD611" s="268"/>
      <c r="UQE611" s="268"/>
      <c r="UQF611" s="268"/>
      <c r="UQG611" s="268"/>
      <c r="UQH611" s="268"/>
      <c r="UQI611" s="268"/>
      <c r="UQJ611" s="268"/>
      <c r="UQK611" s="268"/>
      <c r="UQL611" s="268"/>
      <c r="UQM611" s="268"/>
      <c r="UQN611" s="268"/>
      <c r="UQO611" s="268"/>
      <c r="UQP611" s="268"/>
      <c r="UQQ611" s="268"/>
      <c r="UQR611" s="268"/>
      <c r="UQS611" s="268"/>
      <c r="UQT611" s="268"/>
      <c r="UQU611" s="268"/>
      <c r="UQV611" s="268"/>
      <c r="UQW611" s="268"/>
      <c r="UQX611" s="268"/>
      <c r="UQY611" s="268"/>
      <c r="UQZ611" s="268"/>
      <c r="URA611" s="268"/>
      <c r="URB611" s="268"/>
      <c r="URC611" s="268"/>
      <c r="URD611" s="268"/>
      <c r="URE611" s="268"/>
      <c r="URF611" s="268"/>
      <c r="URG611" s="268"/>
      <c r="URH611" s="268"/>
      <c r="URI611" s="268"/>
      <c r="URJ611" s="268"/>
      <c r="URK611" s="268"/>
      <c r="URL611" s="268"/>
      <c r="URM611" s="268"/>
      <c r="URN611" s="268"/>
      <c r="URO611" s="268"/>
      <c r="URP611" s="268"/>
      <c r="URQ611" s="268"/>
      <c r="URR611" s="268"/>
      <c r="URS611" s="268"/>
      <c r="URT611" s="268"/>
      <c r="URU611" s="268"/>
      <c r="URV611" s="268"/>
      <c r="URW611" s="268"/>
      <c r="URX611" s="268"/>
      <c r="URY611" s="268"/>
      <c r="URZ611" s="268"/>
      <c r="USA611" s="268"/>
      <c r="USB611" s="268"/>
      <c r="USC611" s="268"/>
      <c r="USD611" s="268"/>
      <c r="USE611" s="268"/>
      <c r="USF611" s="268"/>
      <c r="USG611" s="268"/>
      <c r="USH611" s="268"/>
      <c r="USI611" s="268"/>
      <c r="USJ611" s="268"/>
      <c r="USK611" s="268"/>
      <c r="USL611" s="268"/>
      <c r="USM611" s="268"/>
      <c r="USN611" s="268"/>
      <c r="USO611" s="268"/>
      <c r="USP611" s="268"/>
      <c r="USQ611" s="268"/>
      <c r="USR611" s="268"/>
      <c r="USS611" s="268"/>
      <c r="UST611" s="268"/>
      <c r="USU611" s="268"/>
      <c r="USV611" s="268"/>
      <c r="USW611" s="268"/>
      <c r="USX611" s="268"/>
      <c r="USY611" s="268"/>
      <c r="USZ611" s="268"/>
      <c r="UTA611" s="268"/>
      <c r="UTB611" s="268"/>
      <c r="UTC611" s="268"/>
      <c r="UTD611" s="268"/>
      <c r="UTE611" s="268"/>
      <c r="UTF611" s="268"/>
      <c r="UTG611" s="268"/>
      <c r="UTH611" s="268"/>
      <c r="UTI611" s="268"/>
      <c r="UTJ611" s="268"/>
      <c r="UTK611" s="268"/>
      <c r="UTL611" s="268"/>
      <c r="UTM611" s="268"/>
      <c r="UTN611" s="268"/>
      <c r="UTO611" s="268"/>
      <c r="UTP611" s="268"/>
      <c r="UTQ611" s="268"/>
      <c r="UTR611" s="268"/>
      <c r="UTS611" s="268"/>
      <c r="UTT611" s="268"/>
      <c r="UTU611" s="268"/>
      <c r="UTV611" s="268"/>
      <c r="UTW611" s="268"/>
      <c r="UTX611" s="268"/>
      <c r="UTY611" s="268"/>
      <c r="UTZ611" s="268"/>
      <c r="UUA611" s="268"/>
      <c r="UUB611" s="268"/>
      <c r="UUC611" s="268"/>
      <c r="UUD611" s="268"/>
      <c r="UUE611" s="268"/>
      <c r="UUF611" s="268"/>
      <c r="UUG611" s="268"/>
      <c r="UUH611" s="268"/>
      <c r="UUI611" s="268"/>
      <c r="UUJ611" s="268"/>
      <c r="UUK611" s="268"/>
      <c r="UUL611" s="268"/>
      <c r="UUM611" s="268"/>
      <c r="UUN611" s="268"/>
      <c r="UUO611" s="268"/>
      <c r="UUP611" s="268"/>
      <c r="UUQ611" s="268"/>
      <c r="UUR611" s="268"/>
      <c r="UUS611" s="268"/>
      <c r="UUT611" s="268"/>
      <c r="UUU611" s="268"/>
      <c r="UUV611" s="268"/>
      <c r="UUW611" s="268"/>
      <c r="UUX611" s="268"/>
      <c r="UUY611" s="268"/>
      <c r="UUZ611" s="268"/>
      <c r="UVA611" s="268"/>
      <c r="UVB611" s="268"/>
      <c r="UVC611" s="268"/>
      <c r="UVD611" s="268"/>
      <c r="UVE611" s="268"/>
      <c r="UVF611" s="268"/>
      <c r="UVG611" s="268"/>
      <c r="UVH611" s="268"/>
      <c r="UVI611" s="268"/>
      <c r="UVJ611" s="268"/>
      <c r="UVK611" s="268"/>
      <c r="UVL611" s="268"/>
      <c r="UVM611" s="268"/>
      <c r="UVN611" s="268"/>
      <c r="UVO611" s="268"/>
      <c r="UVP611" s="268"/>
      <c r="UVQ611" s="268"/>
      <c r="UVR611" s="268"/>
      <c r="UVS611" s="268"/>
      <c r="UVT611" s="268"/>
      <c r="UVU611" s="268"/>
      <c r="UVV611" s="268"/>
      <c r="UVW611" s="268"/>
      <c r="UVX611" s="268"/>
      <c r="UVY611" s="268"/>
      <c r="UVZ611" s="268"/>
      <c r="UWA611" s="268"/>
      <c r="UWB611" s="268"/>
      <c r="UWC611" s="268"/>
      <c r="UWD611" s="268"/>
      <c r="UWE611" s="268"/>
      <c r="UWF611" s="268"/>
      <c r="UWG611" s="268"/>
      <c r="UWH611" s="268"/>
      <c r="UWI611" s="268"/>
      <c r="UWJ611" s="268"/>
      <c r="UWK611" s="268"/>
      <c r="UWL611" s="268"/>
      <c r="UWM611" s="268"/>
      <c r="UWN611" s="268"/>
      <c r="UWO611" s="268"/>
      <c r="UWP611" s="268"/>
      <c r="UWQ611" s="268"/>
      <c r="UWR611" s="268"/>
      <c r="UWS611" s="268"/>
      <c r="UWT611" s="268"/>
      <c r="UWU611" s="268"/>
      <c r="UWV611" s="268"/>
      <c r="UWW611" s="268"/>
      <c r="UWX611" s="268"/>
      <c r="UWY611" s="268"/>
      <c r="UWZ611" s="268"/>
      <c r="UXA611" s="268"/>
      <c r="UXB611" s="268"/>
      <c r="UXC611" s="268"/>
      <c r="UXD611" s="268"/>
      <c r="UXE611" s="268"/>
      <c r="UXF611" s="268"/>
      <c r="UXG611" s="268"/>
      <c r="UXH611" s="268"/>
      <c r="UXI611" s="268"/>
      <c r="UXJ611" s="268"/>
      <c r="UXK611" s="268"/>
      <c r="UXL611" s="268"/>
      <c r="UXM611" s="268"/>
      <c r="UXN611" s="268"/>
      <c r="UXO611" s="268"/>
      <c r="UXP611" s="268"/>
      <c r="UXQ611" s="268"/>
      <c r="UXR611" s="268"/>
      <c r="UXS611" s="268"/>
      <c r="UYG611" s="268"/>
      <c r="UYH611" s="268"/>
      <c r="UYI611" s="268"/>
      <c r="UYW611" s="268"/>
      <c r="UYY611" s="268"/>
      <c r="UYZ611" s="268"/>
      <c r="UZA611" s="268"/>
      <c r="UZB611" s="268"/>
      <c r="UZC611" s="268"/>
      <c r="UZD611" s="268"/>
      <c r="UZE611" s="268"/>
      <c r="UZF611" s="268"/>
      <c r="UZG611" s="268"/>
      <c r="UZH611" s="268"/>
      <c r="UZI611" s="268"/>
      <c r="UZJ611" s="268"/>
      <c r="UZK611" s="268"/>
      <c r="UZL611" s="268"/>
      <c r="UZM611" s="268"/>
      <c r="UZN611" s="268"/>
      <c r="UZO611" s="268"/>
      <c r="UZP611" s="268"/>
      <c r="UZQ611" s="268"/>
      <c r="UZR611" s="268"/>
      <c r="UZS611" s="268"/>
      <c r="UZT611" s="268"/>
      <c r="UZU611" s="268"/>
      <c r="UZV611" s="268"/>
      <c r="UZW611" s="268"/>
      <c r="UZX611" s="268"/>
      <c r="UZY611" s="268"/>
      <c r="UZZ611" s="268"/>
      <c r="VAA611" s="268"/>
      <c r="VAB611" s="268"/>
      <c r="VAC611" s="268"/>
      <c r="VAD611" s="268"/>
      <c r="VAE611" s="268"/>
      <c r="VAF611" s="268"/>
      <c r="VAG611" s="268"/>
      <c r="VAH611" s="268"/>
      <c r="VAI611" s="268"/>
      <c r="VAJ611" s="268"/>
      <c r="VAK611" s="268"/>
      <c r="VAL611" s="268"/>
      <c r="VAM611" s="268"/>
      <c r="VAN611" s="268"/>
      <c r="VAO611" s="268"/>
      <c r="VAP611" s="268"/>
      <c r="VAQ611" s="268"/>
      <c r="VAR611" s="268"/>
      <c r="VAS611" s="268"/>
      <c r="VAT611" s="268"/>
      <c r="VAU611" s="268"/>
      <c r="VAV611" s="268"/>
      <c r="VAW611" s="268"/>
      <c r="VAX611" s="268"/>
      <c r="VAY611" s="268"/>
      <c r="VAZ611" s="268"/>
      <c r="VBA611" s="268"/>
      <c r="VBB611" s="268"/>
      <c r="VBC611" s="268"/>
      <c r="VBD611" s="268"/>
      <c r="VBE611" s="268"/>
      <c r="VBF611" s="268"/>
      <c r="VBG611" s="268"/>
      <c r="VBH611" s="268"/>
      <c r="VBI611" s="268"/>
      <c r="VBJ611" s="268"/>
      <c r="VBK611" s="268"/>
      <c r="VBL611" s="268"/>
      <c r="VBM611" s="268"/>
      <c r="VBN611" s="268"/>
      <c r="VBO611" s="268"/>
      <c r="VBP611" s="268"/>
      <c r="VBQ611" s="268"/>
      <c r="VBR611" s="268"/>
      <c r="VBS611" s="268"/>
      <c r="VBT611" s="268"/>
      <c r="VBU611" s="268"/>
      <c r="VBV611" s="268"/>
      <c r="VBW611" s="268"/>
      <c r="VBX611" s="268"/>
      <c r="VBY611" s="268"/>
      <c r="VBZ611" s="268"/>
      <c r="VCA611" s="268"/>
      <c r="VCB611" s="268"/>
      <c r="VCC611" s="268"/>
      <c r="VCD611" s="268"/>
      <c r="VCE611" s="268"/>
      <c r="VCF611" s="268"/>
      <c r="VCG611" s="268"/>
      <c r="VCH611" s="268"/>
      <c r="VCI611" s="268"/>
      <c r="VCJ611" s="268"/>
      <c r="VCK611" s="268"/>
      <c r="VCL611" s="268"/>
      <c r="VCM611" s="268"/>
      <c r="VCN611" s="268"/>
      <c r="VCO611" s="268"/>
      <c r="VCP611" s="268"/>
      <c r="VCQ611" s="268"/>
      <c r="VCR611" s="268"/>
      <c r="VCS611" s="268"/>
      <c r="VCT611" s="268"/>
      <c r="VCU611" s="268"/>
      <c r="VCV611" s="268"/>
      <c r="VCW611" s="268"/>
      <c r="VCX611" s="268"/>
      <c r="VCY611" s="268"/>
      <c r="VCZ611" s="268"/>
      <c r="VDA611" s="268"/>
      <c r="VDB611" s="268"/>
      <c r="VDC611" s="268"/>
      <c r="VDD611" s="268"/>
      <c r="VDE611" s="268"/>
      <c r="VDF611" s="268"/>
      <c r="VDG611" s="268"/>
      <c r="VDH611" s="268"/>
      <c r="VDI611" s="268"/>
      <c r="VDJ611" s="268"/>
      <c r="VDK611" s="268"/>
      <c r="VDL611" s="268"/>
      <c r="VDM611" s="268"/>
      <c r="VDN611" s="268"/>
      <c r="VDO611" s="268"/>
      <c r="VDP611" s="268"/>
      <c r="VDQ611" s="268"/>
      <c r="VDR611" s="268"/>
      <c r="VDS611" s="268"/>
      <c r="VDT611" s="268"/>
      <c r="VDU611" s="268"/>
      <c r="VDV611" s="268"/>
      <c r="VDW611" s="268"/>
      <c r="VDX611" s="268"/>
      <c r="VDY611" s="268"/>
      <c r="VDZ611" s="268"/>
      <c r="VEA611" s="268"/>
      <c r="VEB611" s="268"/>
      <c r="VEC611" s="268"/>
      <c r="VED611" s="268"/>
      <c r="VEE611" s="268"/>
      <c r="VEF611" s="268"/>
      <c r="VEG611" s="268"/>
      <c r="VEH611" s="268"/>
      <c r="VEI611" s="268"/>
      <c r="VEJ611" s="268"/>
      <c r="VEK611" s="268"/>
      <c r="VEL611" s="268"/>
      <c r="VEM611" s="268"/>
      <c r="VEN611" s="268"/>
      <c r="VEO611" s="268"/>
      <c r="VEP611" s="268"/>
      <c r="VEQ611" s="268"/>
      <c r="VER611" s="268"/>
      <c r="VES611" s="268"/>
      <c r="VET611" s="268"/>
      <c r="VEU611" s="268"/>
      <c r="VEV611" s="268"/>
      <c r="VEW611" s="268"/>
      <c r="VEX611" s="268"/>
      <c r="VEY611" s="268"/>
      <c r="VEZ611" s="268"/>
      <c r="VFA611" s="268"/>
      <c r="VFB611" s="268"/>
      <c r="VFC611" s="268"/>
      <c r="VFD611" s="268"/>
      <c r="VFE611" s="268"/>
      <c r="VFF611" s="268"/>
      <c r="VFG611" s="268"/>
      <c r="VFH611" s="268"/>
      <c r="VFI611" s="268"/>
      <c r="VFJ611" s="268"/>
      <c r="VFK611" s="268"/>
      <c r="VFL611" s="268"/>
      <c r="VFM611" s="268"/>
      <c r="VFN611" s="268"/>
      <c r="VFO611" s="268"/>
      <c r="VFP611" s="268"/>
      <c r="VFQ611" s="268"/>
      <c r="VFR611" s="268"/>
      <c r="VFS611" s="268"/>
      <c r="VFT611" s="268"/>
      <c r="VFU611" s="268"/>
      <c r="VFV611" s="268"/>
      <c r="VFW611" s="268"/>
      <c r="VFX611" s="268"/>
      <c r="VFY611" s="268"/>
      <c r="VFZ611" s="268"/>
      <c r="VGA611" s="268"/>
      <c r="VGB611" s="268"/>
      <c r="VGC611" s="268"/>
      <c r="VGD611" s="268"/>
      <c r="VGE611" s="268"/>
      <c r="VGF611" s="268"/>
      <c r="VGG611" s="268"/>
      <c r="VGH611" s="268"/>
      <c r="VGI611" s="268"/>
      <c r="VGJ611" s="268"/>
      <c r="VGK611" s="268"/>
      <c r="VGL611" s="268"/>
      <c r="VGM611" s="268"/>
      <c r="VGN611" s="268"/>
      <c r="VGO611" s="268"/>
      <c r="VGP611" s="268"/>
      <c r="VGQ611" s="268"/>
      <c r="VGR611" s="268"/>
      <c r="VGS611" s="268"/>
      <c r="VGT611" s="268"/>
      <c r="VGU611" s="268"/>
      <c r="VGV611" s="268"/>
      <c r="VGW611" s="268"/>
      <c r="VGX611" s="268"/>
      <c r="VGY611" s="268"/>
      <c r="VGZ611" s="268"/>
      <c r="VHA611" s="268"/>
      <c r="VHB611" s="268"/>
      <c r="VHC611" s="268"/>
      <c r="VHD611" s="268"/>
      <c r="VHE611" s="268"/>
      <c r="VHF611" s="268"/>
      <c r="VHG611" s="268"/>
      <c r="VHH611" s="268"/>
      <c r="VHI611" s="268"/>
      <c r="VHJ611" s="268"/>
      <c r="VHK611" s="268"/>
      <c r="VHL611" s="268"/>
      <c r="VHM611" s="268"/>
      <c r="VHN611" s="268"/>
      <c r="VHO611" s="268"/>
      <c r="VIC611" s="268"/>
      <c r="VID611" s="268"/>
      <c r="VIE611" s="268"/>
      <c r="VIS611" s="268"/>
      <c r="VIU611" s="268"/>
      <c r="VIV611" s="268"/>
      <c r="VIW611" s="268"/>
      <c r="VIX611" s="268"/>
      <c r="VIY611" s="268"/>
      <c r="VIZ611" s="268"/>
      <c r="VJA611" s="268"/>
      <c r="VJB611" s="268"/>
      <c r="VJC611" s="268"/>
      <c r="VJD611" s="268"/>
      <c r="VJE611" s="268"/>
      <c r="VJF611" s="268"/>
      <c r="VJG611" s="268"/>
      <c r="VJH611" s="268"/>
      <c r="VJI611" s="268"/>
      <c r="VJJ611" s="268"/>
      <c r="VJK611" s="268"/>
      <c r="VJL611" s="268"/>
      <c r="VJM611" s="268"/>
      <c r="VJN611" s="268"/>
      <c r="VJO611" s="268"/>
      <c r="VJP611" s="268"/>
      <c r="VJQ611" s="268"/>
      <c r="VJR611" s="268"/>
      <c r="VJS611" s="268"/>
      <c r="VJT611" s="268"/>
      <c r="VJU611" s="268"/>
      <c r="VJV611" s="268"/>
      <c r="VJW611" s="268"/>
      <c r="VJX611" s="268"/>
      <c r="VJY611" s="268"/>
      <c r="VJZ611" s="268"/>
      <c r="VKA611" s="268"/>
      <c r="VKB611" s="268"/>
      <c r="VKC611" s="268"/>
      <c r="VKD611" s="268"/>
      <c r="VKE611" s="268"/>
      <c r="VKF611" s="268"/>
      <c r="VKG611" s="268"/>
      <c r="VKH611" s="268"/>
      <c r="VKI611" s="268"/>
      <c r="VKJ611" s="268"/>
      <c r="VKK611" s="268"/>
      <c r="VKL611" s="268"/>
      <c r="VKM611" s="268"/>
      <c r="VKN611" s="268"/>
      <c r="VKO611" s="268"/>
      <c r="VKP611" s="268"/>
      <c r="VKQ611" s="268"/>
      <c r="VKR611" s="268"/>
      <c r="VKS611" s="268"/>
      <c r="VKT611" s="268"/>
      <c r="VKU611" s="268"/>
      <c r="VKV611" s="268"/>
      <c r="VKW611" s="268"/>
      <c r="VKX611" s="268"/>
      <c r="VKY611" s="268"/>
      <c r="VKZ611" s="268"/>
      <c r="VLA611" s="268"/>
      <c r="VLB611" s="268"/>
      <c r="VLC611" s="268"/>
      <c r="VLD611" s="268"/>
      <c r="VLE611" s="268"/>
      <c r="VLF611" s="268"/>
      <c r="VLG611" s="268"/>
      <c r="VLH611" s="268"/>
      <c r="VLI611" s="268"/>
      <c r="VLJ611" s="268"/>
      <c r="VLK611" s="268"/>
      <c r="VLL611" s="268"/>
      <c r="VLM611" s="268"/>
      <c r="VLN611" s="268"/>
      <c r="VLO611" s="268"/>
      <c r="VLP611" s="268"/>
      <c r="VLQ611" s="268"/>
      <c r="VLR611" s="268"/>
      <c r="VLS611" s="268"/>
      <c r="VLT611" s="268"/>
      <c r="VLU611" s="268"/>
      <c r="VLV611" s="268"/>
      <c r="VLW611" s="268"/>
      <c r="VLX611" s="268"/>
      <c r="VLY611" s="268"/>
      <c r="VLZ611" s="268"/>
      <c r="VMA611" s="268"/>
      <c r="VMB611" s="268"/>
      <c r="VMC611" s="268"/>
      <c r="VMD611" s="268"/>
      <c r="VME611" s="268"/>
      <c r="VMF611" s="268"/>
      <c r="VMG611" s="268"/>
      <c r="VMH611" s="268"/>
      <c r="VMI611" s="268"/>
      <c r="VMJ611" s="268"/>
      <c r="VMK611" s="268"/>
      <c r="VML611" s="268"/>
      <c r="VMM611" s="268"/>
      <c r="VMN611" s="268"/>
      <c r="VMO611" s="268"/>
      <c r="VMP611" s="268"/>
      <c r="VMQ611" s="268"/>
      <c r="VMR611" s="268"/>
      <c r="VMS611" s="268"/>
      <c r="VMT611" s="268"/>
      <c r="VMU611" s="268"/>
      <c r="VMV611" s="268"/>
      <c r="VMW611" s="268"/>
      <c r="VMX611" s="268"/>
      <c r="VMY611" s="268"/>
      <c r="VMZ611" s="268"/>
      <c r="VNA611" s="268"/>
      <c r="VNB611" s="268"/>
      <c r="VNC611" s="268"/>
      <c r="VND611" s="268"/>
      <c r="VNE611" s="268"/>
      <c r="VNF611" s="268"/>
      <c r="VNG611" s="268"/>
      <c r="VNH611" s="268"/>
      <c r="VNI611" s="268"/>
      <c r="VNJ611" s="268"/>
      <c r="VNK611" s="268"/>
      <c r="VNL611" s="268"/>
      <c r="VNM611" s="268"/>
      <c r="VNN611" s="268"/>
      <c r="VNO611" s="268"/>
      <c r="VNP611" s="268"/>
      <c r="VNQ611" s="268"/>
      <c r="VNR611" s="268"/>
      <c r="VNS611" s="268"/>
      <c r="VNT611" s="268"/>
      <c r="VNU611" s="268"/>
      <c r="VNV611" s="268"/>
      <c r="VNW611" s="268"/>
      <c r="VNX611" s="268"/>
      <c r="VNY611" s="268"/>
      <c r="VNZ611" s="268"/>
      <c r="VOA611" s="268"/>
      <c r="VOB611" s="268"/>
      <c r="VOC611" s="268"/>
      <c r="VOD611" s="268"/>
      <c r="VOE611" s="268"/>
      <c r="VOF611" s="268"/>
      <c r="VOG611" s="268"/>
      <c r="VOH611" s="268"/>
      <c r="VOI611" s="268"/>
      <c r="VOJ611" s="268"/>
      <c r="VOK611" s="268"/>
      <c r="VOL611" s="268"/>
      <c r="VOM611" s="268"/>
      <c r="VON611" s="268"/>
      <c r="VOO611" s="268"/>
      <c r="VOP611" s="268"/>
      <c r="VOQ611" s="268"/>
      <c r="VOR611" s="268"/>
      <c r="VOS611" s="268"/>
      <c r="VOT611" s="268"/>
      <c r="VOU611" s="268"/>
      <c r="VOV611" s="268"/>
      <c r="VOW611" s="268"/>
      <c r="VOX611" s="268"/>
      <c r="VOY611" s="268"/>
      <c r="VOZ611" s="268"/>
      <c r="VPA611" s="268"/>
      <c r="VPB611" s="268"/>
      <c r="VPC611" s="268"/>
      <c r="VPD611" s="268"/>
      <c r="VPE611" s="268"/>
      <c r="VPF611" s="268"/>
      <c r="VPG611" s="268"/>
      <c r="VPH611" s="268"/>
      <c r="VPI611" s="268"/>
      <c r="VPJ611" s="268"/>
      <c r="VPK611" s="268"/>
      <c r="VPL611" s="268"/>
      <c r="VPM611" s="268"/>
      <c r="VPN611" s="268"/>
      <c r="VPO611" s="268"/>
      <c r="VPP611" s="268"/>
      <c r="VPQ611" s="268"/>
      <c r="VPR611" s="268"/>
      <c r="VPS611" s="268"/>
      <c r="VPT611" s="268"/>
      <c r="VPU611" s="268"/>
      <c r="VPV611" s="268"/>
      <c r="VPW611" s="268"/>
      <c r="VPX611" s="268"/>
      <c r="VPY611" s="268"/>
      <c r="VPZ611" s="268"/>
      <c r="VQA611" s="268"/>
      <c r="VQB611" s="268"/>
      <c r="VQC611" s="268"/>
      <c r="VQD611" s="268"/>
      <c r="VQE611" s="268"/>
      <c r="VQF611" s="268"/>
      <c r="VQG611" s="268"/>
      <c r="VQH611" s="268"/>
      <c r="VQI611" s="268"/>
      <c r="VQJ611" s="268"/>
      <c r="VQK611" s="268"/>
      <c r="VQL611" s="268"/>
      <c r="VQM611" s="268"/>
      <c r="VQN611" s="268"/>
      <c r="VQO611" s="268"/>
      <c r="VQP611" s="268"/>
      <c r="VQQ611" s="268"/>
      <c r="VQR611" s="268"/>
      <c r="VQS611" s="268"/>
      <c r="VQT611" s="268"/>
      <c r="VQU611" s="268"/>
      <c r="VQV611" s="268"/>
      <c r="VQW611" s="268"/>
      <c r="VQX611" s="268"/>
      <c r="VQY611" s="268"/>
      <c r="VQZ611" s="268"/>
      <c r="VRA611" s="268"/>
      <c r="VRB611" s="268"/>
      <c r="VRC611" s="268"/>
      <c r="VRD611" s="268"/>
      <c r="VRE611" s="268"/>
      <c r="VRF611" s="268"/>
      <c r="VRG611" s="268"/>
      <c r="VRH611" s="268"/>
      <c r="VRI611" s="268"/>
      <c r="VRJ611" s="268"/>
      <c r="VRK611" s="268"/>
      <c r="VRY611" s="268"/>
      <c r="VRZ611" s="268"/>
      <c r="VSA611" s="268"/>
      <c r="VSO611" s="268"/>
      <c r="VSQ611" s="268"/>
      <c r="VSR611" s="268"/>
      <c r="VSS611" s="268"/>
      <c r="VST611" s="268"/>
      <c r="VSU611" s="268"/>
      <c r="VSV611" s="268"/>
      <c r="VSW611" s="268"/>
      <c r="VSX611" s="268"/>
      <c r="VSY611" s="268"/>
      <c r="VSZ611" s="268"/>
      <c r="VTA611" s="268"/>
      <c r="VTB611" s="268"/>
      <c r="VTC611" s="268"/>
      <c r="VTD611" s="268"/>
      <c r="VTE611" s="268"/>
      <c r="VTF611" s="268"/>
      <c r="VTG611" s="268"/>
      <c r="VTH611" s="268"/>
      <c r="VTI611" s="268"/>
      <c r="VTJ611" s="268"/>
      <c r="VTK611" s="268"/>
      <c r="VTL611" s="268"/>
      <c r="VTM611" s="268"/>
      <c r="VTN611" s="268"/>
      <c r="VTO611" s="268"/>
      <c r="VTP611" s="268"/>
      <c r="VTQ611" s="268"/>
      <c r="VTR611" s="268"/>
      <c r="VTS611" s="268"/>
      <c r="VTT611" s="268"/>
      <c r="VTU611" s="268"/>
      <c r="VTV611" s="268"/>
      <c r="VTW611" s="268"/>
      <c r="VTX611" s="268"/>
      <c r="VTY611" s="268"/>
      <c r="VTZ611" s="268"/>
      <c r="VUA611" s="268"/>
      <c r="VUB611" s="268"/>
      <c r="VUC611" s="268"/>
      <c r="VUD611" s="268"/>
      <c r="VUE611" s="268"/>
      <c r="VUF611" s="268"/>
      <c r="VUG611" s="268"/>
      <c r="VUH611" s="268"/>
      <c r="VUI611" s="268"/>
      <c r="VUJ611" s="268"/>
      <c r="VUK611" s="268"/>
      <c r="VUL611" s="268"/>
      <c r="VUM611" s="268"/>
      <c r="VUN611" s="268"/>
      <c r="VUO611" s="268"/>
      <c r="VUP611" s="268"/>
      <c r="VUQ611" s="268"/>
      <c r="VUR611" s="268"/>
      <c r="VUS611" s="268"/>
      <c r="VUT611" s="268"/>
      <c r="VUU611" s="268"/>
      <c r="VUV611" s="268"/>
      <c r="VUW611" s="268"/>
      <c r="VUX611" s="268"/>
      <c r="VUY611" s="268"/>
      <c r="VUZ611" s="268"/>
      <c r="VVA611" s="268"/>
      <c r="VVB611" s="268"/>
      <c r="VVC611" s="268"/>
      <c r="VVD611" s="268"/>
      <c r="VVE611" s="268"/>
      <c r="VVF611" s="268"/>
      <c r="VVG611" s="268"/>
      <c r="VVH611" s="268"/>
      <c r="VVI611" s="268"/>
      <c r="VVJ611" s="268"/>
      <c r="VVK611" s="268"/>
      <c r="VVL611" s="268"/>
      <c r="VVM611" s="268"/>
      <c r="VVN611" s="268"/>
      <c r="VVO611" s="268"/>
      <c r="VVP611" s="268"/>
      <c r="VVQ611" s="268"/>
      <c r="VVR611" s="268"/>
      <c r="VVS611" s="268"/>
      <c r="VVT611" s="268"/>
      <c r="VVU611" s="268"/>
      <c r="VVV611" s="268"/>
      <c r="VVW611" s="268"/>
      <c r="VVX611" s="268"/>
      <c r="VVY611" s="268"/>
      <c r="VVZ611" s="268"/>
      <c r="VWA611" s="268"/>
      <c r="VWB611" s="268"/>
      <c r="VWC611" s="268"/>
      <c r="VWD611" s="268"/>
      <c r="VWE611" s="268"/>
      <c r="VWF611" s="268"/>
      <c r="VWG611" s="268"/>
      <c r="VWH611" s="268"/>
      <c r="VWI611" s="268"/>
      <c r="VWJ611" s="268"/>
      <c r="VWK611" s="268"/>
      <c r="VWL611" s="268"/>
      <c r="VWM611" s="268"/>
      <c r="VWN611" s="268"/>
      <c r="VWO611" s="268"/>
      <c r="VWP611" s="268"/>
      <c r="VWQ611" s="268"/>
      <c r="VWR611" s="268"/>
      <c r="VWS611" s="268"/>
      <c r="VWT611" s="268"/>
      <c r="VWU611" s="268"/>
      <c r="VWV611" s="268"/>
      <c r="VWW611" s="268"/>
      <c r="VWX611" s="268"/>
      <c r="VWY611" s="268"/>
      <c r="VWZ611" s="268"/>
      <c r="VXA611" s="268"/>
      <c r="VXB611" s="268"/>
      <c r="VXC611" s="268"/>
      <c r="VXD611" s="268"/>
      <c r="VXE611" s="268"/>
      <c r="VXF611" s="268"/>
      <c r="VXG611" s="268"/>
      <c r="VXH611" s="268"/>
      <c r="VXI611" s="268"/>
      <c r="VXJ611" s="268"/>
      <c r="VXK611" s="268"/>
      <c r="VXL611" s="268"/>
      <c r="VXM611" s="268"/>
      <c r="VXN611" s="268"/>
      <c r="VXO611" s="268"/>
      <c r="VXP611" s="268"/>
      <c r="VXQ611" s="268"/>
      <c r="VXR611" s="268"/>
      <c r="VXS611" s="268"/>
      <c r="VXT611" s="268"/>
      <c r="VXU611" s="268"/>
      <c r="VXV611" s="268"/>
      <c r="VXW611" s="268"/>
      <c r="VXX611" s="268"/>
      <c r="VXY611" s="268"/>
      <c r="VXZ611" s="268"/>
      <c r="VYA611" s="268"/>
      <c r="VYB611" s="268"/>
      <c r="VYC611" s="268"/>
      <c r="VYD611" s="268"/>
      <c r="VYE611" s="268"/>
      <c r="VYF611" s="268"/>
      <c r="VYG611" s="268"/>
      <c r="VYH611" s="268"/>
      <c r="VYI611" s="268"/>
      <c r="VYJ611" s="268"/>
      <c r="VYK611" s="268"/>
      <c r="VYL611" s="268"/>
      <c r="VYM611" s="268"/>
      <c r="VYN611" s="268"/>
      <c r="VYO611" s="268"/>
      <c r="VYP611" s="268"/>
      <c r="VYQ611" s="268"/>
      <c r="VYR611" s="268"/>
      <c r="VYS611" s="268"/>
      <c r="VYT611" s="268"/>
      <c r="VYU611" s="268"/>
      <c r="VYV611" s="268"/>
      <c r="VYW611" s="268"/>
      <c r="VYX611" s="268"/>
      <c r="VYY611" s="268"/>
      <c r="VYZ611" s="268"/>
      <c r="VZA611" s="268"/>
      <c r="VZB611" s="268"/>
      <c r="VZC611" s="268"/>
      <c r="VZD611" s="268"/>
      <c r="VZE611" s="268"/>
      <c r="VZF611" s="268"/>
      <c r="VZG611" s="268"/>
      <c r="VZH611" s="268"/>
      <c r="VZI611" s="268"/>
      <c r="VZJ611" s="268"/>
      <c r="VZK611" s="268"/>
      <c r="VZL611" s="268"/>
      <c r="VZM611" s="268"/>
      <c r="VZN611" s="268"/>
      <c r="VZO611" s="268"/>
      <c r="VZP611" s="268"/>
      <c r="VZQ611" s="268"/>
      <c r="VZR611" s="268"/>
      <c r="VZS611" s="268"/>
      <c r="VZT611" s="268"/>
      <c r="VZU611" s="268"/>
      <c r="VZV611" s="268"/>
      <c r="VZW611" s="268"/>
      <c r="VZX611" s="268"/>
      <c r="VZY611" s="268"/>
      <c r="VZZ611" s="268"/>
      <c r="WAA611" s="268"/>
      <c r="WAB611" s="268"/>
      <c r="WAC611" s="268"/>
      <c r="WAD611" s="268"/>
      <c r="WAE611" s="268"/>
      <c r="WAF611" s="268"/>
      <c r="WAG611" s="268"/>
      <c r="WAH611" s="268"/>
      <c r="WAI611" s="268"/>
      <c r="WAJ611" s="268"/>
      <c r="WAK611" s="268"/>
      <c r="WAL611" s="268"/>
      <c r="WAM611" s="268"/>
      <c r="WAN611" s="268"/>
      <c r="WAO611" s="268"/>
      <c r="WAP611" s="268"/>
      <c r="WAQ611" s="268"/>
      <c r="WAR611" s="268"/>
      <c r="WAS611" s="268"/>
      <c r="WAT611" s="268"/>
      <c r="WAU611" s="268"/>
      <c r="WAV611" s="268"/>
      <c r="WAW611" s="268"/>
      <c r="WAX611" s="268"/>
      <c r="WAY611" s="268"/>
      <c r="WAZ611" s="268"/>
      <c r="WBA611" s="268"/>
      <c r="WBB611" s="268"/>
      <c r="WBC611" s="268"/>
      <c r="WBD611" s="268"/>
      <c r="WBE611" s="268"/>
      <c r="WBF611" s="268"/>
      <c r="WBG611" s="268"/>
      <c r="WBU611" s="268"/>
      <c r="WBV611" s="268"/>
      <c r="WBW611" s="268"/>
      <c r="WCK611" s="268"/>
      <c r="WCM611" s="268"/>
      <c r="WCN611" s="268"/>
      <c r="WCO611" s="268"/>
      <c r="WCP611" s="268"/>
      <c r="WCQ611" s="268"/>
      <c r="WCR611" s="268"/>
      <c r="WCS611" s="268"/>
      <c r="WCT611" s="268"/>
      <c r="WCU611" s="268"/>
      <c r="WCV611" s="268"/>
      <c r="WCW611" s="268"/>
      <c r="WCX611" s="268"/>
      <c r="WCY611" s="268"/>
      <c r="WCZ611" s="268"/>
      <c r="WDA611" s="268"/>
      <c r="WDB611" s="268"/>
      <c r="WDC611" s="268"/>
      <c r="WDD611" s="268"/>
      <c r="WDE611" s="268"/>
      <c r="WDF611" s="268"/>
      <c r="WDG611" s="268"/>
      <c r="WDH611" s="268"/>
      <c r="WDI611" s="268"/>
      <c r="WDJ611" s="268"/>
      <c r="WDK611" s="268"/>
      <c r="WDL611" s="268"/>
      <c r="WDM611" s="268"/>
      <c r="WDN611" s="268"/>
      <c r="WDO611" s="268"/>
      <c r="WDP611" s="268"/>
      <c r="WDQ611" s="268"/>
      <c r="WDR611" s="268"/>
      <c r="WDS611" s="268"/>
      <c r="WDT611" s="268"/>
      <c r="WDU611" s="268"/>
      <c r="WDV611" s="268"/>
      <c r="WDW611" s="268"/>
      <c r="WDX611" s="268"/>
      <c r="WDY611" s="268"/>
      <c r="WDZ611" s="268"/>
      <c r="WEA611" s="268"/>
      <c r="WEB611" s="268"/>
      <c r="WEC611" s="268"/>
      <c r="WED611" s="268"/>
      <c r="WEE611" s="268"/>
      <c r="WEF611" s="268"/>
      <c r="WEG611" s="268"/>
      <c r="WEH611" s="268"/>
      <c r="WEI611" s="268"/>
      <c r="WEJ611" s="268"/>
      <c r="WEK611" s="268"/>
      <c r="WEL611" s="268"/>
      <c r="WEM611" s="268"/>
      <c r="WEN611" s="268"/>
      <c r="WEO611" s="268"/>
      <c r="WEP611" s="268"/>
      <c r="WEQ611" s="268"/>
      <c r="WER611" s="268"/>
      <c r="WES611" s="268"/>
      <c r="WET611" s="268"/>
      <c r="WEU611" s="268"/>
      <c r="WEV611" s="268"/>
      <c r="WEW611" s="268"/>
      <c r="WEX611" s="268"/>
      <c r="WEY611" s="268"/>
      <c r="WEZ611" s="268"/>
      <c r="WFA611" s="268"/>
      <c r="WFB611" s="268"/>
      <c r="WFC611" s="268"/>
      <c r="WFD611" s="268"/>
      <c r="WFE611" s="268"/>
      <c r="WFF611" s="268"/>
      <c r="WFG611" s="268"/>
      <c r="WFH611" s="268"/>
      <c r="WFI611" s="268"/>
      <c r="WFJ611" s="268"/>
      <c r="WFK611" s="268"/>
      <c r="WFL611" s="268"/>
      <c r="WFM611" s="268"/>
      <c r="WFN611" s="268"/>
      <c r="WFO611" s="268"/>
      <c r="WFP611" s="268"/>
      <c r="WFQ611" s="268"/>
      <c r="WFR611" s="268"/>
      <c r="WFS611" s="268"/>
      <c r="WFT611" s="268"/>
      <c r="WFU611" s="268"/>
      <c r="WFV611" s="268"/>
      <c r="WFW611" s="268"/>
      <c r="WFX611" s="268"/>
      <c r="WFY611" s="268"/>
      <c r="WFZ611" s="268"/>
      <c r="WGA611" s="268"/>
      <c r="WGB611" s="268"/>
      <c r="WGC611" s="268"/>
      <c r="WGD611" s="268"/>
      <c r="WGE611" s="268"/>
      <c r="WGF611" s="268"/>
      <c r="WGG611" s="268"/>
      <c r="WGH611" s="268"/>
      <c r="WGI611" s="268"/>
      <c r="WGJ611" s="268"/>
      <c r="WGK611" s="268"/>
      <c r="WGL611" s="268"/>
      <c r="WGM611" s="268"/>
      <c r="WGN611" s="268"/>
      <c r="WGO611" s="268"/>
      <c r="WGP611" s="268"/>
      <c r="WGQ611" s="268"/>
      <c r="WGR611" s="268"/>
      <c r="WGS611" s="268"/>
      <c r="WGT611" s="268"/>
      <c r="WGU611" s="268"/>
      <c r="WGV611" s="268"/>
      <c r="WGW611" s="268"/>
      <c r="WGX611" s="268"/>
      <c r="WGY611" s="268"/>
      <c r="WGZ611" s="268"/>
      <c r="WHA611" s="268"/>
      <c r="WHB611" s="268"/>
      <c r="WHC611" s="268"/>
      <c r="WHD611" s="268"/>
      <c r="WHE611" s="268"/>
      <c r="WHF611" s="268"/>
      <c r="WHG611" s="268"/>
      <c r="WHH611" s="268"/>
      <c r="WHI611" s="268"/>
      <c r="WHJ611" s="268"/>
      <c r="WHK611" s="268"/>
      <c r="WHL611" s="268"/>
      <c r="WHM611" s="268"/>
      <c r="WHN611" s="268"/>
      <c r="WHO611" s="268"/>
      <c r="WHP611" s="268"/>
      <c r="WHQ611" s="268"/>
      <c r="WHR611" s="268"/>
      <c r="WHS611" s="268"/>
      <c r="WHT611" s="268"/>
      <c r="WHU611" s="268"/>
      <c r="WHV611" s="268"/>
      <c r="WHW611" s="268"/>
      <c r="WHX611" s="268"/>
      <c r="WHY611" s="268"/>
      <c r="WHZ611" s="268"/>
      <c r="WIA611" s="268"/>
      <c r="WIB611" s="268"/>
      <c r="WIC611" s="268"/>
      <c r="WID611" s="268"/>
      <c r="WIE611" s="268"/>
      <c r="WIF611" s="268"/>
      <c r="WIG611" s="268"/>
      <c r="WIH611" s="268"/>
      <c r="WII611" s="268"/>
      <c r="WIJ611" s="268"/>
      <c r="WIK611" s="268"/>
      <c r="WIL611" s="268"/>
      <c r="WIM611" s="268"/>
      <c r="WIN611" s="268"/>
      <c r="WIO611" s="268"/>
      <c r="WIP611" s="268"/>
      <c r="WIQ611" s="268"/>
      <c r="WIR611" s="268"/>
      <c r="WIS611" s="268"/>
      <c r="WIT611" s="268"/>
      <c r="WIU611" s="268"/>
      <c r="WIV611" s="268"/>
      <c r="WIW611" s="268"/>
      <c r="WIX611" s="268"/>
      <c r="WIY611" s="268"/>
      <c r="WIZ611" s="268"/>
      <c r="WJA611" s="268"/>
      <c r="WJB611" s="268"/>
      <c r="WJC611" s="268"/>
      <c r="WJD611" s="268"/>
      <c r="WJE611" s="268"/>
      <c r="WJF611" s="268"/>
      <c r="WJG611" s="268"/>
      <c r="WJH611" s="268"/>
      <c r="WJI611" s="268"/>
      <c r="WJJ611" s="268"/>
      <c r="WJK611" s="268"/>
      <c r="WJL611" s="268"/>
      <c r="WJM611" s="268"/>
      <c r="WJN611" s="268"/>
      <c r="WJO611" s="268"/>
      <c r="WJP611" s="268"/>
      <c r="WJQ611" s="268"/>
      <c r="WJR611" s="268"/>
      <c r="WJS611" s="268"/>
      <c r="WJT611" s="268"/>
      <c r="WJU611" s="268"/>
      <c r="WJV611" s="268"/>
      <c r="WJW611" s="268"/>
      <c r="WJX611" s="268"/>
      <c r="WJY611" s="268"/>
      <c r="WJZ611" s="268"/>
      <c r="WKA611" s="268"/>
      <c r="WKB611" s="268"/>
      <c r="WKC611" s="268"/>
      <c r="WKD611" s="268"/>
      <c r="WKE611" s="268"/>
      <c r="WKF611" s="268"/>
      <c r="WKG611" s="268"/>
      <c r="WKH611" s="268"/>
      <c r="WKI611" s="268"/>
      <c r="WKJ611" s="268"/>
      <c r="WKK611" s="268"/>
      <c r="WKL611" s="268"/>
      <c r="WKM611" s="268"/>
      <c r="WKN611" s="268"/>
      <c r="WKO611" s="268"/>
      <c r="WKP611" s="268"/>
      <c r="WKQ611" s="268"/>
      <c r="WKR611" s="268"/>
      <c r="WKS611" s="268"/>
      <c r="WKT611" s="268"/>
      <c r="WKU611" s="268"/>
      <c r="WKV611" s="268"/>
      <c r="WKW611" s="268"/>
      <c r="WKX611" s="268"/>
      <c r="WKY611" s="268"/>
      <c r="WKZ611" s="268"/>
      <c r="WLA611" s="268"/>
      <c r="WLB611" s="268"/>
      <c r="WLC611" s="268"/>
      <c r="WLQ611" s="268"/>
      <c r="WLR611" s="268"/>
      <c r="WLS611" s="268"/>
      <c r="WMG611" s="268"/>
      <c r="WMI611" s="268"/>
      <c r="WMJ611" s="268"/>
      <c r="WMK611" s="268"/>
      <c r="WML611" s="268"/>
      <c r="WMM611" s="268"/>
      <c r="WMN611" s="268"/>
      <c r="WMO611" s="268"/>
      <c r="WMP611" s="268"/>
      <c r="WMQ611" s="268"/>
      <c r="WMR611" s="268"/>
      <c r="WMS611" s="268"/>
      <c r="WMT611" s="268"/>
      <c r="WMU611" s="268"/>
      <c r="WMV611" s="268"/>
      <c r="WMW611" s="268"/>
      <c r="WMX611" s="268"/>
      <c r="WMY611" s="268"/>
      <c r="WMZ611" s="268"/>
      <c r="WNA611" s="268"/>
      <c r="WNB611" s="268"/>
      <c r="WNC611" s="268"/>
      <c r="WND611" s="268"/>
      <c r="WNE611" s="268"/>
      <c r="WNF611" s="268"/>
      <c r="WNG611" s="268"/>
      <c r="WNH611" s="268"/>
      <c r="WNI611" s="268"/>
      <c r="WNJ611" s="268"/>
      <c r="WNK611" s="268"/>
      <c r="WNL611" s="268"/>
      <c r="WNM611" s="268"/>
      <c r="WNN611" s="268"/>
      <c r="WNO611" s="268"/>
      <c r="WNP611" s="268"/>
      <c r="WNQ611" s="268"/>
      <c r="WNR611" s="268"/>
      <c r="WNS611" s="268"/>
      <c r="WNT611" s="268"/>
      <c r="WNU611" s="268"/>
      <c r="WNV611" s="268"/>
      <c r="WNW611" s="268"/>
      <c r="WNX611" s="268"/>
      <c r="WNY611" s="268"/>
      <c r="WNZ611" s="268"/>
      <c r="WOA611" s="268"/>
      <c r="WOB611" s="268"/>
      <c r="WOC611" s="268"/>
      <c r="WOD611" s="268"/>
      <c r="WOE611" s="268"/>
      <c r="WOF611" s="268"/>
      <c r="WOG611" s="268"/>
      <c r="WOH611" s="268"/>
      <c r="WOI611" s="268"/>
      <c r="WOJ611" s="268"/>
      <c r="WOK611" s="268"/>
      <c r="WOL611" s="268"/>
      <c r="WOM611" s="268"/>
      <c r="WON611" s="268"/>
      <c r="WOO611" s="268"/>
      <c r="WOP611" s="268"/>
      <c r="WOQ611" s="268"/>
      <c r="WOR611" s="268"/>
      <c r="WOS611" s="268"/>
      <c r="WOT611" s="268"/>
      <c r="WOU611" s="268"/>
      <c r="WOV611" s="268"/>
      <c r="WOW611" s="268"/>
      <c r="WOX611" s="268"/>
      <c r="WOY611" s="268"/>
      <c r="WOZ611" s="268"/>
      <c r="WPA611" s="268"/>
      <c r="WPB611" s="268"/>
      <c r="WPC611" s="268"/>
      <c r="WPD611" s="268"/>
      <c r="WPE611" s="268"/>
      <c r="WPF611" s="268"/>
      <c r="WPG611" s="268"/>
      <c r="WPH611" s="268"/>
      <c r="WPI611" s="268"/>
      <c r="WPJ611" s="268"/>
      <c r="WPK611" s="268"/>
      <c r="WPL611" s="268"/>
      <c r="WPM611" s="268"/>
      <c r="WPN611" s="268"/>
      <c r="WPO611" s="268"/>
      <c r="WPP611" s="268"/>
      <c r="WPQ611" s="268"/>
      <c r="WPR611" s="268"/>
      <c r="WPS611" s="268"/>
      <c r="WPT611" s="268"/>
      <c r="WPU611" s="268"/>
      <c r="WPV611" s="268"/>
      <c r="WPW611" s="268"/>
      <c r="WPX611" s="268"/>
      <c r="WPY611" s="268"/>
      <c r="WPZ611" s="268"/>
      <c r="WQA611" s="268"/>
      <c r="WQB611" s="268"/>
      <c r="WQC611" s="268"/>
      <c r="WQD611" s="268"/>
      <c r="WQE611" s="268"/>
      <c r="WQF611" s="268"/>
      <c r="WQG611" s="268"/>
      <c r="WQH611" s="268"/>
      <c r="WQI611" s="268"/>
      <c r="WQJ611" s="268"/>
      <c r="WQK611" s="268"/>
      <c r="WQL611" s="268"/>
      <c r="WQM611" s="268"/>
      <c r="WQN611" s="268"/>
      <c r="WQO611" s="268"/>
      <c r="WQP611" s="268"/>
      <c r="WQQ611" s="268"/>
      <c r="WQR611" s="268"/>
      <c r="WQS611" s="268"/>
      <c r="WQT611" s="268"/>
      <c r="WQU611" s="268"/>
      <c r="WQV611" s="268"/>
      <c r="WQW611" s="268"/>
      <c r="WQX611" s="268"/>
      <c r="WQY611" s="268"/>
      <c r="WQZ611" s="268"/>
      <c r="WRA611" s="268"/>
      <c r="WRB611" s="268"/>
      <c r="WRC611" s="268"/>
      <c r="WRD611" s="268"/>
      <c r="WRE611" s="268"/>
      <c r="WRF611" s="268"/>
      <c r="WRG611" s="268"/>
      <c r="WRH611" s="268"/>
      <c r="WRI611" s="268"/>
      <c r="WRJ611" s="268"/>
      <c r="WRK611" s="268"/>
      <c r="WRL611" s="268"/>
      <c r="WRM611" s="268"/>
      <c r="WRN611" s="268"/>
      <c r="WRO611" s="268"/>
      <c r="WRP611" s="268"/>
      <c r="WRQ611" s="268"/>
      <c r="WRR611" s="268"/>
      <c r="WRS611" s="268"/>
      <c r="WRT611" s="268"/>
      <c r="WRU611" s="268"/>
      <c r="WRV611" s="268"/>
      <c r="WRW611" s="268"/>
      <c r="WRX611" s="268"/>
      <c r="WRY611" s="268"/>
      <c r="WRZ611" s="268"/>
      <c r="WSA611" s="268"/>
      <c r="WSB611" s="268"/>
      <c r="WSC611" s="268"/>
      <c r="WSD611" s="268"/>
      <c r="WSE611" s="268"/>
      <c r="WSF611" s="268"/>
      <c r="WSG611" s="268"/>
      <c r="WSH611" s="268"/>
      <c r="WSI611" s="268"/>
      <c r="WSJ611" s="268"/>
      <c r="WSK611" s="268"/>
      <c r="WSL611" s="268"/>
      <c r="WSM611" s="268"/>
      <c r="WSN611" s="268"/>
      <c r="WSO611" s="268"/>
      <c r="WSP611" s="268"/>
      <c r="WSQ611" s="268"/>
      <c r="WSR611" s="268"/>
      <c r="WSS611" s="268"/>
      <c r="WST611" s="268"/>
      <c r="WSU611" s="268"/>
      <c r="WSV611" s="268"/>
      <c r="WSW611" s="268"/>
      <c r="WSX611" s="268"/>
      <c r="WSY611" s="268"/>
      <c r="WSZ611" s="268"/>
      <c r="WTA611" s="268"/>
      <c r="WTB611" s="268"/>
      <c r="WTC611" s="268"/>
      <c r="WTD611" s="268"/>
      <c r="WTE611" s="268"/>
      <c r="WTF611" s="268"/>
      <c r="WTG611" s="268"/>
      <c r="WTH611" s="268"/>
      <c r="WTI611" s="268"/>
      <c r="WTJ611" s="268"/>
      <c r="WTK611" s="268"/>
      <c r="WTL611" s="268"/>
      <c r="WTM611" s="268"/>
      <c r="WTN611" s="268"/>
      <c r="WTO611" s="268"/>
      <c r="WTP611" s="268"/>
      <c r="WTQ611" s="268"/>
      <c r="WTR611" s="268"/>
      <c r="WTS611" s="268"/>
      <c r="WTT611" s="268"/>
      <c r="WTU611" s="268"/>
      <c r="WTV611" s="268"/>
      <c r="WTW611" s="268"/>
      <c r="WTX611" s="268"/>
      <c r="WTY611" s="268"/>
      <c r="WTZ611" s="268"/>
      <c r="WUA611" s="268"/>
      <c r="WUB611" s="268"/>
      <c r="WUC611" s="268"/>
      <c r="WUD611" s="268"/>
      <c r="WUE611" s="268"/>
      <c r="WUF611" s="268"/>
      <c r="WUG611" s="268"/>
      <c r="WUH611" s="268"/>
      <c r="WUI611" s="268"/>
      <c r="WUJ611" s="268"/>
      <c r="WUK611" s="268"/>
      <c r="WUL611" s="268"/>
      <c r="WUM611" s="268"/>
      <c r="WUN611" s="268"/>
      <c r="WUO611" s="268"/>
      <c r="WUP611" s="268"/>
      <c r="WUQ611" s="268"/>
      <c r="WUR611" s="268"/>
      <c r="WUS611" s="268"/>
      <c r="WUT611" s="268"/>
      <c r="WUU611" s="268"/>
      <c r="WUV611" s="268"/>
      <c r="WUW611" s="268"/>
      <c r="WUX611" s="268"/>
      <c r="WUY611" s="268"/>
      <c r="WVM611" s="268"/>
      <c r="WVN611" s="268"/>
      <c r="WVO611" s="268"/>
      <c r="WWC611" s="268"/>
      <c r="WWE611" s="268"/>
      <c r="WWF611" s="268"/>
      <c r="WWG611" s="268"/>
      <c r="WWH611" s="268"/>
      <c r="WWI611" s="268"/>
      <c r="WWJ611" s="268"/>
      <c r="WWK611" s="268"/>
      <c r="WWL611" s="268"/>
      <c r="WWM611" s="268"/>
      <c r="WWN611" s="268"/>
      <c r="WWO611" s="268"/>
      <c r="WWP611" s="268"/>
      <c r="WWQ611" s="268"/>
      <c r="WWR611" s="268"/>
      <c r="WWS611" s="268"/>
      <c r="WWT611" s="268"/>
      <c r="WWU611" s="268"/>
      <c r="WWV611" s="268"/>
      <c r="WWW611" s="268"/>
      <c r="WWX611" s="268"/>
      <c r="WWY611" s="268"/>
      <c r="WWZ611" s="268"/>
      <c r="WXA611" s="268"/>
      <c r="WXB611" s="268"/>
      <c r="WXC611" s="268"/>
      <c r="WXD611" s="268"/>
      <c r="WXE611" s="268"/>
      <c r="WXF611" s="268"/>
      <c r="WXG611" s="268"/>
      <c r="WXH611" s="268"/>
      <c r="WXI611" s="268"/>
      <c r="WXJ611" s="268"/>
      <c r="WXK611" s="268"/>
      <c r="WXL611" s="268"/>
      <c r="WXM611" s="268"/>
      <c r="WXN611" s="268"/>
      <c r="WXO611" s="268"/>
      <c r="WXP611" s="268"/>
      <c r="WXQ611" s="268"/>
      <c r="WXR611" s="268"/>
      <c r="WXS611" s="268"/>
      <c r="WXT611" s="268"/>
      <c r="WXU611" s="268"/>
      <c r="WXV611" s="268"/>
      <c r="WXW611" s="268"/>
      <c r="WXX611" s="268"/>
      <c r="WXY611" s="268"/>
      <c r="WXZ611" s="268"/>
      <c r="WYA611" s="268"/>
      <c r="WYB611" s="268"/>
      <c r="WYC611" s="268"/>
      <c r="WYD611" s="268"/>
      <c r="WYE611" s="268"/>
      <c r="WYF611" s="268"/>
      <c r="WYG611" s="268"/>
      <c r="WYH611" s="268"/>
      <c r="WYI611" s="268"/>
      <c r="WYJ611" s="268"/>
      <c r="WYK611" s="268"/>
      <c r="WYL611" s="268"/>
      <c r="WYM611" s="268"/>
      <c r="WYN611" s="268"/>
      <c r="WYO611" s="268"/>
      <c r="WYP611" s="268"/>
      <c r="WYQ611" s="268"/>
      <c r="WYR611" s="268"/>
      <c r="WYS611" s="268"/>
      <c r="WYT611" s="268"/>
      <c r="WYU611" s="268"/>
      <c r="WYV611" s="268"/>
      <c r="WYW611" s="268"/>
      <c r="WYX611" s="268"/>
      <c r="WYY611" s="268"/>
      <c r="WYZ611" s="268"/>
      <c r="WZA611" s="268"/>
      <c r="WZB611" s="268"/>
      <c r="WZC611" s="268"/>
      <c r="WZD611" s="268"/>
      <c r="WZE611" s="268"/>
      <c r="WZF611" s="268"/>
      <c r="WZG611" s="268"/>
      <c r="WZH611" s="268"/>
      <c r="WZI611" s="268"/>
      <c r="WZJ611" s="268"/>
      <c r="WZK611" s="268"/>
      <c r="WZL611" s="268"/>
      <c r="WZM611" s="268"/>
      <c r="WZN611" s="268"/>
      <c r="WZO611" s="268"/>
      <c r="WZP611" s="268"/>
      <c r="WZQ611" s="268"/>
      <c r="WZR611" s="268"/>
      <c r="WZS611" s="268"/>
      <c r="WZT611" s="268"/>
      <c r="WZU611" s="268"/>
      <c r="WZV611" s="268"/>
      <c r="WZW611" s="268"/>
      <c r="WZX611" s="268"/>
      <c r="WZY611" s="268"/>
      <c r="WZZ611" s="268"/>
      <c r="XAA611" s="268"/>
      <c r="XAB611" s="268"/>
      <c r="XAC611" s="268"/>
      <c r="XAD611" s="268"/>
      <c r="XAE611" s="268"/>
      <c r="XAF611" s="268"/>
      <c r="XAG611" s="268"/>
      <c r="XAH611" s="268"/>
      <c r="XAI611" s="268"/>
      <c r="XAJ611" s="268"/>
      <c r="XAK611" s="268"/>
      <c r="XAL611" s="268"/>
      <c r="XAM611" s="268"/>
      <c r="XAN611" s="268"/>
      <c r="XAO611" s="268"/>
      <c r="XAP611" s="268"/>
      <c r="XAQ611" s="268"/>
      <c r="XAR611" s="268"/>
      <c r="XAS611" s="268"/>
      <c r="XAT611" s="268"/>
      <c r="XAU611" s="268"/>
      <c r="XAV611" s="268"/>
      <c r="XAW611" s="268"/>
      <c r="XAX611" s="268"/>
      <c r="XAY611" s="268"/>
      <c r="XAZ611" s="268"/>
      <c r="XBA611" s="268"/>
      <c r="XBB611" s="268"/>
      <c r="XBC611" s="268"/>
      <c r="XBD611" s="268"/>
      <c r="XBE611" s="268"/>
      <c r="XBF611" s="268"/>
      <c r="XBG611" s="268"/>
      <c r="XBH611" s="268"/>
      <c r="XBI611" s="268"/>
      <c r="XBJ611" s="268"/>
      <c r="XBK611" s="268"/>
      <c r="XBL611" s="268"/>
      <c r="XBM611" s="268"/>
      <c r="XBN611" s="268"/>
      <c r="XBO611" s="268"/>
      <c r="XBP611" s="268"/>
      <c r="XBQ611" s="268"/>
      <c r="XBR611" s="268"/>
      <c r="XBS611" s="268"/>
      <c r="XBT611" s="268"/>
      <c r="XBU611" s="268"/>
      <c r="XBV611" s="268"/>
      <c r="XBW611" s="268"/>
      <c r="XBX611" s="268"/>
      <c r="XBY611" s="268"/>
      <c r="XBZ611" s="268"/>
      <c r="XCA611" s="268"/>
      <c r="XCB611" s="268"/>
      <c r="XCC611" s="268"/>
      <c r="XCD611" s="268"/>
      <c r="XCE611" s="268"/>
      <c r="XCF611" s="268"/>
      <c r="XCG611" s="268"/>
      <c r="XCH611" s="268"/>
      <c r="XCI611" s="268"/>
      <c r="XCJ611" s="268"/>
      <c r="XCK611" s="268"/>
      <c r="XCL611" s="268"/>
      <c r="XCM611" s="268"/>
      <c r="XCN611" s="268"/>
      <c r="XCO611" s="268"/>
      <c r="XCP611" s="268"/>
      <c r="XCQ611" s="268"/>
      <c r="XCR611" s="268"/>
      <c r="XCS611" s="268"/>
      <c r="XCT611" s="268"/>
      <c r="XCU611" s="268"/>
      <c r="XCV611" s="268"/>
      <c r="XCW611" s="268"/>
      <c r="XCX611" s="268"/>
      <c r="XCY611" s="268"/>
      <c r="XCZ611" s="268"/>
      <c r="XDA611" s="268"/>
      <c r="XDB611" s="268"/>
      <c r="XDC611" s="268"/>
      <c r="XDD611" s="268"/>
      <c r="XDE611" s="268"/>
      <c r="XDF611" s="268"/>
      <c r="XDG611" s="268"/>
      <c r="XDH611" s="268"/>
      <c r="XDI611" s="268"/>
      <c r="XDJ611" s="268"/>
      <c r="XDK611" s="268"/>
      <c r="XDL611" s="268"/>
      <c r="XDM611" s="268"/>
      <c r="XDN611" s="268"/>
      <c r="XDO611" s="268"/>
      <c r="XDP611" s="268"/>
      <c r="XDQ611" s="268"/>
      <c r="XDR611" s="268"/>
      <c r="XDS611" s="268"/>
      <c r="XDT611" s="268"/>
      <c r="XDU611" s="268"/>
      <c r="XDV611" s="268"/>
      <c r="XDW611" s="268"/>
      <c r="XDX611" s="268"/>
      <c r="XDY611" s="268"/>
      <c r="XDZ611" s="268"/>
      <c r="XEA611" s="268"/>
      <c r="XEB611" s="268"/>
      <c r="XEC611" s="268"/>
      <c r="XED611" s="268"/>
      <c r="XEE611" s="268"/>
      <c r="XEF611" s="268"/>
      <c r="XEG611" s="268"/>
      <c r="XEH611" s="268"/>
      <c r="XEI611" s="268"/>
      <c r="XEJ611" s="268"/>
      <c r="XEK611" s="268"/>
      <c r="XEL611" s="268"/>
      <c r="XEM611" s="268"/>
      <c r="XEN611" s="268"/>
      <c r="XEO611" s="268"/>
      <c r="XEP611" s="268"/>
      <c r="XEQ611" s="268"/>
      <c r="XER611" s="268"/>
      <c r="XES611" s="268"/>
    </row>
    <row r="612" spans="1:1015 1029:2039 2053:3063 3077:4087 4101:5111 5125:6135 6149:7159 7173:8183 8197:9207 9221:10231 10245:11255 11269:12279 12293:13303 13317:14327 14341:15351 15365:16373" hidden="1" outlineLevel="1" x14ac:dyDescent="0.25">
      <c r="A612" s="3" t="s">
        <v>469</v>
      </c>
      <c r="B612" s="3">
        <v>1650</v>
      </c>
      <c r="D612" s="3">
        <v>1550</v>
      </c>
      <c r="E612" s="3">
        <f>F612-D612</f>
        <v>100</v>
      </c>
      <c r="F612" s="3">
        <v>1650</v>
      </c>
      <c r="H612" s="3">
        <f>F612-B612</f>
        <v>0</v>
      </c>
      <c r="J612" s="3">
        <v>1550</v>
      </c>
      <c r="K612" s="4">
        <f t="shared" si="389"/>
        <v>0</v>
      </c>
      <c r="L612" s="4">
        <v>1550</v>
      </c>
      <c r="N612" s="4">
        <f t="shared" si="390"/>
        <v>-100</v>
      </c>
      <c r="P612" s="3">
        <f>L612*1.0281+6</f>
        <v>1599.5550000000001</v>
      </c>
      <c r="R612" s="3">
        <v>0</v>
      </c>
      <c r="S612" s="3">
        <f t="shared" si="391"/>
        <v>1500</v>
      </c>
      <c r="T612" s="3">
        <v>1500</v>
      </c>
      <c r="U612" s="3">
        <f t="shared" si="392"/>
        <v>-99.555000000000064</v>
      </c>
      <c r="W612" s="3">
        <f t="shared" si="393"/>
        <v>1500</v>
      </c>
      <c r="Y612" s="3">
        <v>1500</v>
      </c>
      <c r="Z612" s="3">
        <f t="shared" si="394"/>
        <v>0</v>
      </c>
      <c r="AC612" s="3">
        <v>0</v>
      </c>
      <c r="AD612" s="3">
        <f t="shared" si="395"/>
        <v>1500</v>
      </c>
      <c r="AE612" s="3">
        <v>1500</v>
      </c>
      <c r="AF612" s="3">
        <f t="shared" si="396"/>
        <v>0</v>
      </c>
      <c r="AI612" s="3">
        <f>AE612*1.03+5</f>
        <v>1550</v>
      </c>
      <c r="AK612" s="3">
        <f>AI612*1.03</f>
        <v>1596.5</v>
      </c>
      <c r="AM612" s="3">
        <f>AK612*1.03</f>
        <v>1644.395</v>
      </c>
      <c r="AO612" s="3">
        <f>AM612*1.03</f>
        <v>1693.72685</v>
      </c>
      <c r="AQ612" s="3">
        <f>AO612*1.03</f>
        <v>1744.5386555</v>
      </c>
      <c r="AS612" s="3">
        <f>AQ612*1.03</f>
        <v>1796.874815165</v>
      </c>
      <c r="AU612" s="3">
        <f>AS612*1.03</f>
        <v>1850.7810596199499</v>
      </c>
      <c r="AW612" s="3">
        <f>AU612*1.03</f>
        <v>1906.3044914085485</v>
      </c>
      <c r="AY612" s="3">
        <f>AW612*1.03</f>
        <v>1963.4936261508051</v>
      </c>
      <c r="BA612" s="3">
        <f>AY612*1.03</f>
        <v>2022.3984349353293</v>
      </c>
      <c r="BC612" s="3">
        <f>BA612*1.03</f>
        <v>2083.0703879833891</v>
      </c>
      <c r="BE612" s="3">
        <f>BC612*1.03</f>
        <v>2145.5624996228908</v>
      </c>
    </row>
    <row r="613" spans="1:1015 1029:2039 2053:3063 3077:4087 4101:5111 5125:6135 6149:7159 7173:8183 8197:9207 9221:10231 10245:11255 11269:12279 12293:13303 13317:14327 14341:15351 15365:16373" hidden="1" outlineLevel="1" x14ac:dyDescent="0.25">
      <c r="A613" s="3" t="s">
        <v>470</v>
      </c>
      <c r="B613" s="3">
        <v>6400</v>
      </c>
      <c r="D613" s="3">
        <v>3929</v>
      </c>
      <c r="E613" s="3">
        <f>F613-D613</f>
        <v>2471</v>
      </c>
      <c r="F613" s="3">
        <v>6400</v>
      </c>
      <c r="H613" s="3">
        <f>F613-B613</f>
        <v>0</v>
      </c>
      <c r="J613" s="3">
        <v>6485</v>
      </c>
      <c r="K613" s="4">
        <f t="shared" si="389"/>
        <v>1015</v>
      </c>
      <c r="L613" s="4">
        <v>7500</v>
      </c>
      <c r="N613" s="4">
        <f t="shared" si="390"/>
        <v>1100</v>
      </c>
      <c r="P613" s="3">
        <f>L613*1.0281-11</f>
        <v>7699.75</v>
      </c>
      <c r="R613" s="3">
        <v>6755</v>
      </c>
      <c r="S613" s="3">
        <f t="shared" si="391"/>
        <v>1945</v>
      </c>
      <c r="T613" s="3">
        <v>8700</v>
      </c>
      <c r="U613" s="3">
        <f t="shared" si="392"/>
        <v>1000.25</v>
      </c>
      <c r="V613" s="3">
        <v>8460</v>
      </c>
      <c r="W613" s="3">
        <f t="shared" si="393"/>
        <v>240</v>
      </c>
      <c r="Y613" s="3">
        <v>8700</v>
      </c>
      <c r="Z613" s="3">
        <f t="shared" si="394"/>
        <v>0</v>
      </c>
      <c r="AC613" s="3">
        <v>9108</v>
      </c>
      <c r="AD613" s="3">
        <f t="shared" si="395"/>
        <v>1892</v>
      </c>
      <c r="AE613" s="3">
        <v>11000</v>
      </c>
      <c r="AF613" s="3">
        <f t="shared" si="396"/>
        <v>2300</v>
      </c>
      <c r="AI613" s="3">
        <v>10000</v>
      </c>
      <c r="AK613" s="3">
        <f>AI613*1.03</f>
        <v>10300</v>
      </c>
      <c r="AM613" s="3">
        <f>AK613*1.03</f>
        <v>10609</v>
      </c>
      <c r="AO613" s="3">
        <f>AM613*1.03</f>
        <v>10927.27</v>
      </c>
      <c r="AQ613" s="3">
        <f>AO613*1.03</f>
        <v>11255.088100000001</v>
      </c>
      <c r="AS613" s="3">
        <f>AQ613*1.03</f>
        <v>11592.740743</v>
      </c>
      <c r="AU613" s="3">
        <f>AS613*1.03</f>
        <v>11940.52296529</v>
      </c>
      <c r="AW613" s="3">
        <f>AU613*1.03</f>
        <v>12298.7386542487</v>
      </c>
      <c r="AY613" s="3">
        <f>AW613*1.03</f>
        <v>12667.700813876161</v>
      </c>
      <c r="BA613" s="3">
        <f>AY613*1.03</f>
        <v>13047.731838292446</v>
      </c>
      <c r="BC613" s="3">
        <f>BA613*1.03</f>
        <v>13439.163793441219</v>
      </c>
      <c r="BE613" s="3">
        <f>BC613*1.03</f>
        <v>13842.338707244457</v>
      </c>
    </row>
    <row r="614" spans="1:1015 1029:2039 2053:3063 3077:4087 4101:5111 5125:6135 6149:7159 7173:8183 8197:9207 9221:10231 10245:11255 11269:12279 12293:13303 13317:14327 14341:15351 15365:16373" hidden="1" outlineLevel="1" x14ac:dyDescent="0.25">
      <c r="A614" s="3" t="s">
        <v>471</v>
      </c>
      <c r="B614" s="3">
        <v>4300</v>
      </c>
      <c r="D614" s="3">
        <v>3450</v>
      </c>
      <c r="E614" s="3">
        <f>F614-D614</f>
        <v>850</v>
      </c>
      <c r="F614" s="3">
        <v>4300</v>
      </c>
      <c r="H614" s="3">
        <f>F614-B614</f>
        <v>0</v>
      </c>
      <c r="J614" s="3">
        <v>3557</v>
      </c>
      <c r="K614" s="4">
        <f t="shared" si="389"/>
        <v>743</v>
      </c>
      <c r="L614" s="4">
        <v>4300</v>
      </c>
      <c r="N614" s="4">
        <f t="shared" si="390"/>
        <v>0</v>
      </c>
      <c r="P614" s="3">
        <f>L614*1.0281+29</f>
        <v>4449.83</v>
      </c>
      <c r="R614" s="3">
        <v>5897</v>
      </c>
      <c r="S614" s="3">
        <f t="shared" si="391"/>
        <v>553</v>
      </c>
      <c r="T614" s="3">
        <v>6450</v>
      </c>
      <c r="U614" s="3">
        <f t="shared" si="392"/>
        <v>2000.17</v>
      </c>
      <c r="V614" s="3">
        <f>2195+41+3724</f>
        <v>5960</v>
      </c>
      <c r="W614" s="3">
        <f t="shared" si="393"/>
        <v>490</v>
      </c>
      <c r="Y614" s="3">
        <v>6450</v>
      </c>
      <c r="Z614" s="3">
        <f t="shared" si="394"/>
        <v>0</v>
      </c>
      <c r="AC614" s="3">
        <v>6897</v>
      </c>
      <c r="AD614" s="3">
        <f t="shared" si="395"/>
        <v>1603</v>
      </c>
      <c r="AE614" s="3">
        <v>8500</v>
      </c>
      <c r="AF614" s="3">
        <f t="shared" si="396"/>
        <v>2050</v>
      </c>
      <c r="AI614" s="3">
        <f>AE614*1.03-5</f>
        <v>8750</v>
      </c>
      <c r="AK614" s="3">
        <f>AI614*1.03</f>
        <v>9012.5</v>
      </c>
      <c r="AM614" s="3">
        <f>AK614*1.03</f>
        <v>9282.875</v>
      </c>
      <c r="AO614" s="3">
        <f>AM614*1.03</f>
        <v>9561.3612499999999</v>
      </c>
      <c r="AQ614" s="3">
        <f>AO614*1.03</f>
        <v>9848.2020874999998</v>
      </c>
      <c r="AS614" s="3">
        <f>AQ614*1.03</f>
        <v>10143.648150125</v>
      </c>
      <c r="AU614" s="3">
        <f>AS614*1.03</f>
        <v>10447.95759462875</v>
      </c>
      <c r="AW614" s="3">
        <f>AU614*1.03</f>
        <v>10761.396322467612</v>
      </c>
      <c r="AY614" s="3">
        <f>AW614*1.03</f>
        <v>11084.238212141641</v>
      </c>
      <c r="BA614" s="3">
        <f>AY614*1.03</f>
        <v>11416.765358505891</v>
      </c>
      <c r="BC614" s="3">
        <f>BA614*1.03</f>
        <v>11759.268319261068</v>
      </c>
      <c r="BE614" s="3">
        <f>BC614*1.03</f>
        <v>12112.046368838899</v>
      </c>
    </row>
    <row r="615" spans="1:1015 1029:2039 2053:3063 3077:4087 4101:5111 5125:6135 6149:7159 7173:8183 8197:9207 9221:10231 10245:11255 11269:12279 12293:13303 13317:14327 14341:15351 15365:16373" hidden="1" outlineLevel="1" x14ac:dyDescent="0.25">
      <c r="A615" s="3"/>
      <c r="B615" s="62">
        <f>SUM(B600:B614)</f>
        <v>171270</v>
      </c>
      <c r="C615" s="32"/>
      <c r="D615" s="62">
        <f>SUM(D600:D614)-1</f>
        <v>27578</v>
      </c>
      <c r="E615" s="62">
        <f>SUM(E600:E614)-1</f>
        <v>143690</v>
      </c>
      <c r="F615" s="62">
        <f>SUM(F600:F614)-1</f>
        <v>171269</v>
      </c>
      <c r="G615" s="32"/>
      <c r="H615" s="62">
        <f>SUM(H600:H614)-1</f>
        <v>-1</v>
      </c>
      <c r="I615" s="32"/>
      <c r="J615" s="62">
        <f>SUM(J600:J614)-1</f>
        <v>70306</v>
      </c>
      <c r="K615" s="62">
        <f>SUM(K600:K614)-1</f>
        <v>102212</v>
      </c>
      <c r="L615" s="62">
        <f>SUM(L600:L614)-1</f>
        <v>172519</v>
      </c>
      <c r="M615" s="32"/>
      <c r="N615" s="62">
        <f>SUM(N600:N614)-1</f>
        <v>1249</v>
      </c>
      <c r="P615" s="62">
        <f>SUM(P600:P614)</f>
        <v>182449.55499999996</v>
      </c>
      <c r="R615" s="62">
        <f t="shared" ref="R615:Z615" si="398">SUM(R600:R614)</f>
        <v>59635</v>
      </c>
      <c r="S615" s="62">
        <f t="shared" si="398"/>
        <v>130315</v>
      </c>
      <c r="T615" s="62">
        <f t="shared" si="398"/>
        <v>189950</v>
      </c>
      <c r="U615" s="62">
        <f t="shared" si="398"/>
        <v>7500.4449999999915</v>
      </c>
      <c r="V615" s="62">
        <f t="shared" si="398"/>
        <v>81015</v>
      </c>
      <c r="W615" s="62">
        <f t="shared" si="398"/>
        <v>110335</v>
      </c>
      <c r="X615" s="62"/>
      <c r="Y615" s="62">
        <f t="shared" si="398"/>
        <v>191350</v>
      </c>
      <c r="Z615" s="62">
        <f t="shared" si="398"/>
        <v>1400</v>
      </c>
      <c r="AC615" s="62">
        <f>SUM(AC600:AC614)</f>
        <v>125051</v>
      </c>
      <c r="AD615" s="62">
        <f>SUM(AD600:AD614)</f>
        <v>67039</v>
      </c>
      <c r="AE615" s="62">
        <f>SUM(AE600:AE614)</f>
        <v>192090</v>
      </c>
      <c r="AF615" s="62">
        <f>SUM(AF600:AF614)</f>
        <v>740</v>
      </c>
      <c r="AG615" s="32"/>
      <c r="AI615" s="62">
        <f>SUM(AI600:AI614)</f>
        <v>193680.25</v>
      </c>
      <c r="AK615" s="62">
        <f>SUM(AK600:AK614)</f>
        <v>198963.66250000001</v>
      </c>
      <c r="AM615" s="62">
        <f>SUM(AM600:AM614)</f>
        <v>204184.582375</v>
      </c>
      <c r="AO615" s="62">
        <f>SUM(AO600:AO614)</f>
        <v>209568.50754625001</v>
      </c>
      <c r="AP615" s="32"/>
      <c r="AQ615" s="62">
        <f>SUM(AQ600:AQ614)</f>
        <v>215120.71896163744</v>
      </c>
      <c r="AS615" s="62">
        <f>SUM(AS600:AS614)</f>
        <v>220846.68057021662</v>
      </c>
      <c r="AU615" s="62">
        <f>SUM(AU600:AU614)</f>
        <v>226752.04639320925</v>
      </c>
      <c r="AW615" s="62">
        <f>SUM(AW600:AW614)</f>
        <v>232842.66791084746</v>
      </c>
      <c r="AY615" s="62">
        <f>SUM(AY600:AY614)</f>
        <v>239124.60178144459</v>
      </c>
      <c r="BA615" s="62">
        <f>SUM(BA600:BA614)</f>
        <v>245604.11791004069</v>
      </c>
      <c r="BC615" s="62">
        <f>SUM(BC600:BC614)</f>
        <v>252287.70788498496</v>
      </c>
      <c r="BE615" s="62">
        <f>SUM(BE600:BE614)</f>
        <v>259182.09380190357</v>
      </c>
    </row>
    <row r="616" spans="1:1015 1029:2039 2053:3063 3077:4087 4101:5111 5125:6135 6149:7159 7173:8183 8197:9207 9221:10231 10245:11255 11269:12279 12293:13303 13317:14327 14341:15351 15365:16373" s="42" customFormat="1" hidden="1" outlineLevel="1" x14ac:dyDescent="0.25">
      <c r="A616" s="7" t="s">
        <v>142</v>
      </c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4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4"/>
      <c r="AH616" s="4"/>
      <c r="AI616" s="3"/>
      <c r="AJ616" s="3"/>
      <c r="AK616" s="3"/>
      <c r="AL616" s="3"/>
      <c r="AM616" s="3"/>
      <c r="AN616" s="3"/>
      <c r="AO616" s="3"/>
      <c r="AP616" s="4"/>
      <c r="AQ616" s="3"/>
      <c r="AS616" s="3"/>
      <c r="AU616" s="3"/>
      <c r="AW616" s="3"/>
      <c r="AY616" s="3"/>
      <c r="BA616" s="3"/>
      <c r="BC616" s="3"/>
      <c r="BE616" s="3"/>
    </row>
    <row r="617" spans="1:1015 1029:2039 2053:3063 3077:4087 4101:5111 5125:6135 6149:7159 7173:8183 8197:9207 9221:10231 10245:11255 11269:12279 12293:13303 13317:14327 14341:15351 15365:16373" hidden="1" outlineLevel="1" x14ac:dyDescent="0.25">
      <c r="A617" s="3" t="s">
        <v>90</v>
      </c>
      <c r="B617" s="3">
        <v>6000</v>
      </c>
      <c r="D617" s="3">
        <v>3792</v>
      </c>
      <c r="E617" s="3">
        <f>F617-D617</f>
        <v>2208</v>
      </c>
      <c r="F617" s="3">
        <v>6000</v>
      </c>
      <c r="H617" s="3">
        <f>F617-B617</f>
        <v>0</v>
      </c>
      <c r="J617" s="3">
        <v>5806</v>
      </c>
      <c r="K617" s="4">
        <f>L617-J617</f>
        <v>1194</v>
      </c>
      <c r="L617" s="4">
        <v>7000</v>
      </c>
      <c r="N617" s="4">
        <f>L617-F617</f>
        <v>1000</v>
      </c>
      <c r="P617" s="3">
        <f>L617*1.0281+203</f>
        <v>7399.7</v>
      </c>
      <c r="R617" s="3">
        <v>7870</v>
      </c>
      <c r="S617" s="3">
        <f>T617-R617</f>
        <v>1530</v>
      </c>
      <c r="T617" s="3">
        <v>9400</v>
      </c>
      <c r="U617" s="3">
        <f>T617-P617</f>
        <v>2000.3000000000002</v>
      </c>
      <c r="V617" s="3">
        <v>9076</v>
      </c>
      <c r="W617" s="3">
        <f>Y617-V617</f>
        <v>2924</v>
      </c>
      <c r="Y617" s="3">
        <v>12000</v>
      </c>
      <c r="Z617" s="3">
        <f>Y617-T617</f>
        <v>2600</v>
      </c>
      <c r="AC617" s="3">
        <v>9273</v>
      </c>
      <c r="AD617" s="3">
        <f>AE617-AC617</f>
        <v>3227</v>
      </c>
      <c r="AE617" s="3">
        <v>12500</v>
      </c>
      <c r="AF617" s="3">
        <f>AE617-Y617</f>
        <v>500</v>
      </c>
      <c r="AI617" s="3">
        <v>10000</v>
      </c>
      <c r="AK617" s="3">
        <f>AI617*1.03</f>
        <v>10300</v>
      </c>
      <c r="AM617" s="3">
        <f>AK617*1.03</f>
        <v>10609</v>
      </c>
      <c r="AO617" s="3">
        <f>AM617*1.03</f>
        <v>10927.27</v>
      </c>
      <c r="AQ617" s="3">
        <f>AO617*1.03</f>
        <v>11255.088100000001</v>
      </c>
      <c r="AS617" s="3">
        <f>AQ617*1.03</f>
        <v>11592.740743</v>
      </c>
      <c r="AU617" s="3">
        <f>AS617*1.03</f>
        <v>11940.52296529</v>
      </c>
      <c r="AW617" s="3">
        <f>AU617*1.03</f>
        <v>12298.7386542487</v>
      </c>
      <c r="AY617" s="3">
        <f>AW617*1.03</f>
        <v>12667.700813876161</v>
      </c>
      <c r="BA617" s="3">
        <f>AY617*1.03</f>
        <v>13047.731838292446</v>
      </c>
      <c r="BC617" s="3">
        <f>BA617*1.03</f>
        <v>13439.163793441219</v>
      </c>
      <c r="BE617" s="3">
        <f>BC617*1.03</f>
        <v>13842.338707244457</v>
      </c>
    </row>
    <row r="618" spans="1:1015 1029:2039 2053:3063 3077:4087 4101:5111 5125:6135 6149:7159 7173:8183 8197:9207 9221:10231 10245:11255 11269:12279 12293:13303 13317:14327 14341:15351 15365:16373" hidden="1" outlineLevel="1" x14ac:dyDescent="0.25">
      <c r="A618" s="3" t="s">
        <v>472</v>
      </c>
      <c r="E618" s="3">
        <f>F618-D618</f>
        <v>0</v>
      </c>
      <c r="H618" s="3">
        <f>F618-B618</f>
        <v>0</v>
      </c>
      <c r="K618" s="4">
        <f>L618-J618</f>
        <v>0</v>
      </c>
      <c r="L618" s="4"/>
      <c r="N618" s="4">
        <f>L618-F618</f>
        <v>0</v>
      </c>
      <c r="S618" s="3">
        <f>T618-R618</f>
        <v>0</v>
      </c>
      <c r="U618" s="3">
        <f>T618-P618</f>
        <v>0</v>
      </c>
      <c r="W618" s="3">
        <f>Y618-V618</f>
        <v>0</v>
      </c>
      <c r="Z618" s="3">
        <f>Y618-T618</f>
        <v>0</v>
      </c>
      <c r="AD618" s="3">
        <f>AE618-AC618</f>
        <v>0</v>
      </c>
      <c r="AF618" s="3">
        <f>AE618-Y618</f>
        <v>0</v>
      </c>
      <c r="BC618" s="3"/>
      <c r="BE618" s="3"/>
    </row>
    <row r="619" spans="1:1015 1029:2039 2053:3063 3077:4087 4101:5111 5125:6135 6149:7159 7173:8183 8197:9207 9221:10231 10245:11255 11269:12279 12293:13303 13317:14327 14341:15351 15365:16373" hidden="1" outlineLevel="1" x14ac:dyDescent="0.25">
      <c r="A619" s="267" t="s">
        <v>289</v>
      </c>
      <c r="B619" s="3">
        <v>8750</v>
      </c>
      <c r="D619" s="3">
        <v>0</v>
      </c>
      <c r="E619" s="3">
        <f>F619-D619</f>
        <v>8750</v>
      </c>
      <c r="F619" s="3">
        <v>8750</v>
      </c>
      <c r="H619" s="3">
        <f>F619-B619</f>
        <v>0</v>
      </c>
      <c r="J619" s="3">
        <v>0</v>
      </c>
      <c r="K619" s="4">
        <f>L619-J619</f>
        <v>8750</v>
      </c>
      <c r="L619" s="4">
        <v>8750</v>
      </c>
      <c r="N619" s="4">
        <f>L619-F619</f>
        <v>0</v>
      </c>
      <c r="P619" s="3">
        <v>8750</v>
      </c>
      <c r="R619" s="3">
        <v>0</v>
      </c>
      <c r="S619" s="3">
        <f>T619-R619</f>
        <v>8750</v>
      </c>
      <c r="T619" s="3">
        <v>8750</v>
      </c>
      <c r="U619" s="3">
        <f>T619-P619</f>
        <v>0</v>
      </c>
      <c r="V619" s="3">
        <v>0</v>
      </c>
      <c r="W619" s="3">
        <f>Y619-V619</f>
        <v>8750</v>
      </c>
      <c r="Y619" s="3">
        <v>8750</v>
      </c>
      <c r="Z619" s="3">
        <f>Y619-T619</f>
        <v>0</v>
      </c>
      <c r="AC619" s="3">
        <v>0</v>
      </c>
      <c r="AD619" s="3">
        <f>AE619-AC619</f>
        <v>8750</v>
      </c>
      <c r="AE619" s="3">
        <v>8750</v>
      </c>
      <c r="AF619" s="3">
        <f>AE619-Y619</f>
        <v>0</v>
      </c>
      <c r="AI619" s="3">
        <v>8750</v>
      </c>
      <c r="AK619" s="3">
        <v>8750</v>
      </c>
      <c r="AM619" s="3">
        <v>8750</v>
      </c>
      <c r="AO619" s="3">
        <v>8750</v>
      </c>
      <c r="AQ619" s="3">
        <v>8750</v>
      </c>
      <c r="AS619" s="3">
        <v>8750</v>
      </c>
      <c r="AU619" s="3">
        <v>8750</v>
      </c>
      <c r="AW619" s="3">
        <v>8750</v>
      </c>
      <c r="AY619" s="3">
        <v>8750</v>
      </c>
      <c r="BA619" s="3">
        <v>8750</v>
      </c>
      <c r="BC619" s="3">
        <v>8750</v>
      </c>
      <c r="BE619" s="3">
        <v>8750</v>
      </c>
      <c r="BI619" s="268"/>
      <c r="BJ619" s="268"/>
      <c r="BK619" s="268"/>
      <c r="BL619" s="268"/>
      <c r="BM619" s="268"/>
      <c r="BN619" s="268"/>
      <c r="BO619" s="268"/>
      <c r="BP619" s="268"/>
      <c r="BQ619" s="268"/>
      <c r="BR619" s="268"/>
      <c r="BS619" s="268"/>
      <c r="BT619" s="268"/>
      <c r="BU619" s="268"/>
      <c r="BV619" s="268"/>
      <c r="BW619" s="268"/>
      <c r="BX619" s="268"/>
      <c r="BY619" s="268"/>
      <c r="BZ619" s="268"/>
      <c r="CA619" s="268"/>
      <c r="CB619" s="268"/>
      <c r="CC619" s="268"/>
      <c r="CD619" s="268"/>
      <c r="CE619" s="268"/>
      <c r="CF619" s="268"/>
      <c r="CG619" s="268"/>
      <c r="CH619" s="268"/>
      <c r="CI619" s="268"/>
      <c r="CJ619" s="268"/>
      <c r="CK619" s="268"/>
      <c r="CL619" s="268"/>
      <c r="CM619" s="268"/>
      <c r="CN619" s="268"/>
      <c r="CO619" s="268"/>
      <c r="CP619" s="268"/>
      <c r="CQ619" s="268"/>
      <c r="CR619" s="268"/>
      <c r="CS619" s="268"/>
      <c r="CT619" s="268"/>
      <c r="CU619" s="268"/>
      <c r="CV619" s="268"/>
      <c r="CW619" s="268"/>
      <c r="CX619" s="268"/>
      <c r="CY619" s="268"/>
      <c r="CZ619" s="268"/>
      <c r="DA619" s="268"/>
      <c r="DB619" s="268"/>
      <c r="DC619" s="268"/>
      <c r="DD619" s="268"/>
      <c r="DE619" s="268"/>
      <c r="DF619" s="268"/>
      <c r="DG619" s="268"/>
      <c r="DH619" s="268"/>
      <c r="DI619" s="268"/>
      <c r="DJ619" s="268"/>
      <c r="DK619" s="268"/>
      <c r="DL619" s="268"/>
      <c r="DM619" s="268"/>
      <c r="DN619" s="268"/>
      <c r="DO619" s="268"/>
      <c r="DP619" s="268"/>
      <c r="DQ619" s="268"/>
      <c r="DR619" s="268"/>
      <c r="DS619" s="268"/>
      <c r="DT619" s="268"/>
      <c r="DU619" s="268"/>
      <c r="DV619" s="268"/>
      <c r="DW619" s="268"/>
      <c r="DX619" s="268"/>
      <c r="DY619" s="268"/>
      <c r="DZ619" s="268"/>
      <c r="EA619" s="268"/>
      <c r="EB619" s="268"/>
      <c r="EC619" s="268"/>
      <c r="ED619" s="268"/>
      <c r="EE619" s="268"/>
      <c r="EF619" s="268"/>
      <c r="EG619" s="268"/>
      <c r="EH619" s="268"/>
      <c r="EI619" s="268"/>
      <c r="EJ619" s="268"/>
      <c r="EK619" s="268"/>
      <c r="EL619" s="268"/>
      <c r="EM619" s="268"/>
      <c r="EN619" s="268"/>
      <c r="EO619" s="268"/>
      <c r="EP619" s="268"/>
      <c r="EQ619" s="268"/>
      <c r="ER619" s="268"/>
      <c r="ES619" s="268"/>
      <c r="ET619" s="268"/>
      <c r="EU619" s="268"/>
      <c r="EV619" s="268"/>
      <c r="EW619" s="268"/>
      <c r="EX619" s="268"/>
      <c r="EY619" s="268"/>
      <c r="EZ619" s="268"/>
      <c r="FA619" s="268"/>
      <c r="FB619" s="268"/>
      <c r="FC619" s="268"/>
      <c r="FD619" s="268"/>
      <c r="FE619" s="268"/>
      <c r="FF619" s="268"/>
      <c r="FG619" s="268"/>
      <c r="FH619" s="268"/>
      <c r="FI619" s="268"/>
      <c r="FJ619" s="268"/>
      <c r="FK619" s="268"/>
      <c r="FL619" s="268"/>
      <c r="FM619" s="268"/>
      <c r="FN619" s="268"/>
      <c r="FO619" s="268"/>
      <c r="FP619" s="268"/>
      <c r="FQ619" s="268"/>
      <c r="FR619" s="268"/>
      <c r="FS619" s="268"/>
      <c r="FT619" s="268"/>
      <c r="FU619" s="268"/>
      <c r="FV619" s="268"/>
      <c r="FW619" s="268"/>
      <c r="FX619" s="268"/>
      <c r="FY619" s="268"/>
      <c r="FZ619" s="268"/>
      <c r="GA619" s="268"/>
      <c r="GB619" s="268"/>
      <c r="GC619" s="268"/>
      <c r="GD619" s="268"/>
      <c r="GE619" s="268"/>
      <c r="GF619" s="268"/>
      <c r="GG619" s="268"/>
      <c r="GH619" s="268"/>
      <c r="GI619" s="268"/>
      <c r="GJ619" s="268"/>
      <c r="GK619" s="268"/>
      <c r="GL619" s="268"/>
      <c r="GM619" s="268"/>
      <c r="GN619" s="268"/>
      <c r="GO619" s="268"/>
      <c r="GP619" s="268"/>
      <c r="GQ619" s="268"/>
      <c r="GR619" s="268"/>
      <c r="GS619" s="268"/>
      <c r="GT619" s="268"/>
      <c r="GU619" s="268"/>
      <c r="GV619" s="268"/>
      <c r="GW619" s="268"/>
      <c r="GX619" s="268"/>
      <c r="GY619" s="268"/>
      <c r="GZ619" s="268"/>
      <c r="HA619" s="268"/>
      <c r="HB619" s="268"/>
      <c r="HC619" s="268"/>
      <c r="HD619" s="268"/>
      <c r="HE619" s="268"/>
      <c r="HF619" s="268"/>
      <c r="HG619" s="268"/>
      <c r="HH619" s="268"/>
      <c r="HI619" s="268"/>
      <c r="HJ619" s="268"/>
      <c r="HK619" s="268"/>
      <c r="HL619" s="268"/>
      <c r="HM619" s="268"/>
      <c r="HN619" s="268"/>
      <c r="HO619" s="268"/>
      <c r="HP619" s="268"/>
      <c r="HQ619" s="268"/>
      <c r="HR619" s="268"/>
      <c r="HS619" s="268"/>
      <c r="HT619" s="268"/>
      <c r="HU619" s="268"/>
      <c r="HV619" s="268"/>
      <c r="HW619" s="268"/>
      <c r="HX619" s="268"/>
      <c r="HY619" s="268"/>
      <c r="HZ619" s="268"/>
      <c r="IA619" s="268"/>
      <c r="IB619" s="268"/>
      <c r="IC619" s="268"/>
      <c r="ID619" s="268"/>
      <c r="IE619" s="268"/>
      <c r="IF619" s="268"/>
      <c r="IG619" s="268"/>
      <c r="IH619" s="268"/>
      <c r="II619" s="268"/>
      <c r="IJ619" s="268"/>
      <c r="IK619" s="268"/>
      <c r="IL619" s="268"/>
      <c r="IM619" s="268"/>
      <c r="JA619" s="268"/>
      <c r="JB619" s="268"/>
      <c r="JC619" s="268"/>
      <c r="JQ619" s="268"/>
      <c r="JS619" s="268"/>
      <c r="JT619" s="268"/>
      <c r="JU619" s="268"/>
      <c r="JV619" s="268"/>
      <c r="JW619" s="268"/>
      <c r="JX619" s="268"/>
      <c r="JY619" s="268"/>
      <c r="JZ619" s="268"/>
      <c r="KA619" s="268"/>
      <c r="KB619" s="268"/>
      <c r="KC619" s="268"/>
      <c r="KD619" s="268"/>
      <c r="KE619" s="268"/>
      <c r="KF619" s="268"/>
      <c r="KG619" s="268"/>
      <c r="KH619" s="268"/>
      <c r="KI619" s="268"/>
      <c r="KJ619" s="268"/>
      <c r="KK619" s="268"/>
      <c r="KL619" s="268"/>
      <c r="KM619" s="268"/>
      <c r="KN619" s="268"/>
      <c r="KO619" s="268"/>
      <c r="KP619" s="268"/>
      <c r="KQ619" s="268"/>
      <c r="KR619" s="268"/>
      <c r="KS619" s="268"/>
      <c r="KT619" s="268"/>
      <c r="KU619" s="268"/>
      <c r="KV619" s="268"/>
      <c r="KW619" s="268"/>
      <c r="KX619" s="268"/>
      <c r="KY619" s="268"/>
      <c r="KZ619" s="268"/>
      <c r="LA619" s="268"/>
      <c r="LB619" s="268"/>
      <c r="LC619" s="268"/>
      <c r="LD619" s="268"/>
      <c r="LE619" s="268"/>
      <c r="LF619" s="268"/>
      <c r="LG619" s="268"/>
      <c r="LH619" s="268"/>
      <c r="LI619" s="268"/>
      <c r="LJ619" s="268"/>
      <c r="LK619" s="268"/>
      <c r="LL619" s="268"/>
      <c r="LM619" s="268"/>
      <c r="LN619" s="268"/>
      <c r="LO619" s="268"/>
      <c r="LP619" s="268"/>
      <c r="LQ619" s="268"/>
      <c r="LR619" s="268"/>
      <c r="LS619" s="268"/>
      <c r="LT619" s="268"/>
      <c r="LU619" s="268"/>
      <c r="LV619" s="268"/>
      <c r="LW619" s="268"/>
      <c r="LX619" s="268"/>
      <c r="LY619" s="268"/>
      <c r="LZ619" s="268"/>
      <c r="MA619" s="268"/>
      <c r="MB619" s="268"/>
      <c r="MC619" s="268"/>
      <c r="MD619" s="268"/>
      <c r="ME619" s="268"/>
      <c r="MF619" s="268"/>
      <c r="MG619" s="268"/>
      <c r="MH619" s="268"/>
      <c r="MI619" s="268"/>
      <c r="MJ619" s="268"/>
      <c r="MK619" s="268"/>
      <c r="ML619" s="268"/>
      <c r="MM619" s="268"/>
      <c r="MN619" s="268"/>
      <c r="MO619" s="268"/>
      <c r="MP619" s="268"/>
      <c r="MQ619" s="268"/>
      <c r="MR619" s="268"/>
      <c r="MS619" s="268"/>
      <c r="MT619" s="268"/>
      <c r="MU619" s="268"/>
      <c r="MV619" s="268"/>
      <c r="MW619" s="268"/>
      <c r="MX619" s="268"/>
      <c r="MY619" s="268"/>
      <c r="MZ619" s="268"/>
      <c r="NA619" s="268"/>
      <c r="NB619" s="268"/>
      <c r="NC619" s="268"/>
      <c r="ND619" s="268"/>
      <c r="NE619" s="268"/>
      <c r="NF619" s="268"/>
      <c r="NG619" s="268"/>
      <c r="NH619" s="268"/>
      <c r="NI619" s="268"/>
      <c r="NJ619" s="268"/>
      <c r="NK619" s="268"/>
      <c r="NL619" s="268"/>
      <c r="NM619" s="268"/>
      <c r="NN619" s="268"/>
      <c r="NO619" s="268"/>
      <c r="NP619" s="268"/>
      <c r="NQ619" s="268"/>
      <c r="NR619" s="268"/>
      <c r="NS619" s="268"/>
      <c r="NT619" s="268"/>
      <c r="NU619" s="268"/>
      <c r="NV619" s="268"/>
      <c r="NW619" s="268"/>
      <c r="NX619" s="268"/>
      <c r="NY619" s="268"/>
      <c r="NZ619" s="268"/>
      <c r="OA619" s="268"/>
      <c r="OB619" s="268"/>
      <c r="OC619" s="268"/>
      <c r="OD619" s="268"/>
      <c r="OE619" s="268"/>
      <c r="OF619" s="268"/>
      <c r="OG619" s="268"/>
      <c r="OH619" s="268"/>
      <c r="OI619" s="268"/>
      <c r="OJ619" s="268"/>
      <c r="OK619" s="268"/>
      <c r="OL619" s="268"/>
      <c r="OM619" s="268"/>
      <c r="ON619" s="268"/>
      <c r="OO619" s="268"/>
      <c r="OP619" s="268"/>
      <c r="OQ619" s="268"/>
      <c r="OR619" s="268"/>
      <c r="OS619" s="268"/>
      <c r="OT619" s="268"/>
      <c r="OU619" s="268"/>
      <c r="OV619" s="268"/>
      <c r="OW619" s="268"/>
      <c r="OX619" s="268"/>
      <c r="OY619" s="268"/>
      <c r="OZ619" s="268"/>
      <c r="PA619" s="268"/>
      <c r="PB619" s="268"/>
      <c r="PC619" s="268"/>
      <c r="PD619" s="268"/>
      <c r="PE619" s="268"/>
      <c r="PF619" s="268"/>
      <c r="PG619" s="268"/>
      <c r="PH619" s="268"/>
      <c r="PI619" s="268"/>
      <c r="PJ619" s="268"/>
      <c r="PK619" s="268"/>
      <c r="PL619" s="268"/>
      <c r="PM619" s="268"/>
      <c r="PN619" s="268"/>
      <c r="PO619" s="268"/>
      <c r="PP619" s="268"/>
      <c r="PQ619" s="268"/>
      <c r="PR619" s="268"/>
      <c r="PS619" s="268"/>
      <c r="PT619" s="268"/>
      <c r="PU619" s="268"/>
      <c r="PV619" s="268"/>
      <c r="PW619" s="268"/>
      <c r="PX619" s="268"/>
      <c r="PY619" s="268"/>
      <c r="PZ619" s="268"/>
      <c r="QA619" s="268"/>
      <c r="QB619" s="268"/>
      <c r="QC619" s="268"/>
      <c r="QD619" s="268"/>
      <c r="QE619" s="268"/>
      <c r="QF619" s="268"/>
      <c r="QG619" s="268"/>
      <c r="QH619" s="268"/>
      <c r="QI619" s="268"/>
      <c r="QJ619" s="268"/>
      <c r="QK619" s="268"/>
      <c r="QL619" s="268"/>
      <c r="QM619" s="268"/>
      <c r="QN619" s="268"/>
      <c r="QO619" s="268"/>
      <c r="QP619" s="268"/>
      <c r="QQ619" s="268"/>
      <c r="QR619" s="268"/>
      <c r="QS619" s="268"/>
      <c r="QT619" s="268"/>
      <c r="QU619" s="268"/>
      <c r="QV619" s="268"/>
      <c r="QW619" s="268"/>
      <c r="QX619" s="268"/>
      <c r="QY619" s="268"/>
      <c r="QZ619" s="268"/>
      <c r="RA619" s="268"/>
      <c r="RB619" s="268"/>
      <c r="RC619" s="268"/>
      <c r="RD619" s="268"/>
      <c r="RE619" s="268"/>
      <c r="RF619" s="268"/>
      <c r="RG619" s="268"/>
      <c r="RH619" s="268"/>
      <c r="RI619" s="268"/>
      <c r="RJ619" s="268"/>
      <c r="RK619" s="268"/>
      <c r="RL619" s="268"/>
      <c r="RM619" s="268"/>
      <c r="RN619" s="268"/>
      <c r="RO619" s="268"/>
      <c r="RP619" s="268"/>
      <c r="RQ619" s="268"/>
      <c r="RR619" s="268"/>
      <c r="RS619" s="268"/>
      <c r="RT619" s="268"/>
      <c r="RU619" s="268"/>
      <c r="RV619" s="268"/>
      <c r="RW619" s="268"/>
      <c r="RX619" s="268"/>
      <c r="RY619" s="268"/>
      <c r="RZ619" s="268"/>
      <c r="SA619" s="268"/>
      <c r="SB619" s="268"/>
      <c r="SC619" s="268"/>
      <c r="SD619" s="268"/>
      <c r="SE619" s="268"/>
      <c r="SF619" s="268"/>
      <c r="SG619" s="268"/>
      <c r="SH619" s="268"/>
      <c r="SI619" s="268"/>
      <c r="SW619" s="268"/>
      <c r="SX619" s="268"/>
      <c r="SY619" s="268"/>
      <c r="TM619" s="268"/>
      <c r="TO619" s="268"/>
      <c r="TP619" s="268"/>
      <c r="TQ619" s="268"/>
      <c r="TR619" s="268"/>
      <c r="TS619" s="268"/>
      <c r="TT619" s="268"/>
      <c r="TU619" s="268"/>
      <c r="TV619" s="268"/>
      <c r="TW619" s="268"/>
      <c r="TX619" s="268"/>
      <c r="TY619" s="268"/>
      <c r="TZ619" s="268"/>
      <c r="UA619" s="268"/>
      <c r="UB619" s="268"/>
      <c r="UC619" s="268"/>
      <c r="UD619" s="268"/>
      <c r="UE619" s="268"/>
      <c r="UF619" s="268"/>
      <c r="UG619" s="268"/>
      <c r="UH619" s="268"/>
      <c r="UI619" s="268"/>
      <c r="UJ619" s="268"/>
      <c r="UK619" s="268"/>
      <c r="UL619" s="268"/>
      <c r="UM619" s="268"/>
      <c r="UN619" s="268"/>
      <c r="UO619" s="268"/>
      <c r="UP619" s="268"/>
      <c r="UQ619" s="268"/>
      <c r="UR619" s="268"/>
      <c r="US619" s="268"/>
      <c r="UT619" s="268"/>
      <c r="UU619" s="268"/>
      <c r="UV619" s="268"/>
      <c r="UW619" s="268"/>
      <c r="UX619" s="268"/>
      <c r="UY619" s="268"/>
      <c r="UZ619" s="268"/>
      <c r="VA619" s="268"/>
      <c r="VB619" s="268"/>
      <c r="VC619" s="268"/>
      <c r="VD619" s="268"/>
      <c r="VE619" s="268"/>
      <c r="VF619" s="268"/>
      <c r="VG619" s="268"/>
      <c r="VH619" s="268"/>
      <c r="VI619" s="268"/>
      <c r="VJ619" s="268"/>
      <c r="VK619" s="268"/>
      <c r="VL619" s="268"/>
      <c r="VM619" s="268"/>
      <c r="VN619" s="268"/>
      <c r="VO619" s="268"/>
      <c r="VP619" s="268"/>
      <c r="VQ619" s="268"/>
      <c r="VR619" s="268"/>
      <c r="VS619" s="268"/>
      <c r="VT619" s="268"/>
      <c r="VU619" s="268"/>
      <c r="VV619" s="268"/>
      <c r="VW619" s="268"/>
      <c r="VX619" s="268"/>
      <c r="VY619" s="268"/>
      <c r="VZ619" s="268"/>
      <c r="WA619" s="268"/>
      <c r="WB619" s="268"/>
      <c r="WC619" s="268"/>
      <c r="WD619" s="268"/>
      <c r="WE619" s="268"/>
      <c r="WF619" s="268"/>
      <c r="WG619" s="268"/>
      <c r="WH619" s="268"/>
      <c r="WI619" s="268"/>
      <c r="WJ619" s="268"/>
      <c r="WK619" s="268"/>
      <c r="WL619" s="268"/>
      <c r="WM619" s="268"/>
      <c r="WN619" s="268"/>
      <c r="WO619" s="268"/>
      <c r="WP619" s="268"/>
      <c r="WQ619" s="268"/>
      <c r="WR619" s="268"/>
      <c r="WS619" s="268"/>
      <c r="WT619" s="268"/>
      <c r="WU619" s="268"/>
      <c r="WV619" s="268"/>
      <c r="WW619" s="268"/>
      <c r="WX619" s="268"/>
      <c r="WY619" s="268"/>
      <c r="WZ619" s="268"/>
      <c r="XA619" s="268"/>
      <c r="XB619" s="268"/>
      <c r="XC619" s="268"/>
      <c r="XD619" s="268"/>
      <c r="XE619" s="268"/>
      <c r="XF619" s="268"/>
      <c r="XG619" s="268"/>
      <c r="XH619" s="268"/>
      <c r="XI619" s="268"/>
      <c r="XJ619" s="268"/>
      <c r="XK619" s="268"/>
      <c r="XL619" s="268"/>
      <c r="XM619" s="268"/>
      <c r="XN619" s="268"/>
      <c r="XO619" s="268"/>
      <c r="XP619" s="268"/>
      <c r="XQ619" s="268"/>
      <c r="XR619" s="268"/>
      <c r="XS619" s="268"/>
      <c r="XT619" s="268"/>
      <c r="XU619" s="268"/>
      <c r="XV619" s="268"/>
      <c r="XW619" s="268"/>
      <c r="XX619" s="268"/>
      <c r="XY619" s="268"/>
      <c r="XZ619" s="268"/>
      <c r="YA619" s="268"/>
      <c r="YB619" s="268"/>
      <c r="YC619" s="268"/>
      <c r="YD619" s="268"/>
      <c r="YE619" s="268"/>
      <c r="YF619" s="268"/>
      <c r="YG619" s="268"/>
      <c r="YH619" s="268"/>
      <c r="YI619" s="268"/>
      <c r="YJ619" s="268"/>
      <c r="YK619" s="268"/>
      <c r="YL619" s="268"/>
      <c r="YM619" s="268"/>
      <c r="YN619" s="268"/>
      <c r="YO619" s="268"/>
      <c r="YP619" s="268"/>
      <c r="YQ619" s="268"/>
      <c r="YR619" s="268"/>
      <c r="YS619" s="268"/>
      <c r="YT619" s="268"/>
      <c r="YU619" s="268"/>
      <c r="YV619" s="268"/>
      <c r="YW619" s="268"/>
      <c r="YX619" s="268"/>
      <c r="YY619" s="268"/>
      <c r="YZ619" s="268"/>
      <c r="ZA619" s="268"/>
      <c r="ZB619" s="268"/>
      <c r="ZC619" s="268"/>
      <c r="ZD619" s="268"/>
      <c r="ZE619" s="268"/>
      <c r="ZF619" s="268"/>
      <c r="ZG619" s="268"/>
      <c r="ZH619" s="268"/>
      <c r="ZI619" s="268"/>
      <c r="ZJ619" s="268"/>
      <c r="ZK619" s="268"/>
      <c r="ZL619" s="268"/>
      <c r="ZM619" s="268"/>
      <c r="ZN619" s="268"/>
      <c r="ZO619" s="268"/>
      <c r="ZP619" s="268"/>
      <c r="ZQ619" s="268"/>
      <c r="ZR619" s="268"/>
      <c r="ZS619" s="268"/>
      <c r="ZT619" s="268"/>
      <c r="ZU619" s="268"/>
      <c r="ZV619" s="268"/>
      <c r="ZW619" s="268"/>
      <c r="ZX619" s="268"/>
      <c r="ZY619" s="268"/>
      <c r="ZZ619" s="268"/>
      <c r="AAA619" s="268"/>
      <c r="AAB619" s="268"/>
      <c r="AAC619" s="268"/>
      <c r="AAD619" s="268"/>
      <c r="AAE619" s="268"/>
      <c r="AAF619" s="268"/>
      <c r="AAG619" s="268"/>
      <c r="AAH619" s="268"/>
      <c r="AAI619" s="268"/>
      <c r="AAJ619" s="268"/>
      <c r="AAK619" s="268"/>
      <c r="AAL619" s="268"/>
      <c r="AAM619" s="268"/>
      <c r="AAN619" s="268"/>
      <c r="AAO619" s="268"/>
      <c r="AAP619" s="268"/>
      <c r="AAQ619" s="268"/>
      <c r="AAR619" s="268"/>
      <c r="AAS619" s="268"/>
      <c r="AAT619" s="268"/>
      <c r="AAU619" s="268"/>
      <c r="AAV619" s="268"/>
      <c r="AAW619" s="268"/>
      <c r="AAX619" s="268"/>
      <c r="AAY619" s="268"/>
      <c r="AAZ619" s="268"/>
      <c r="ABA619" s="268"/>
      <c r="ABB619" s="268"/>
      <c r="ABC619" s="268"/>
      <c r="ABD619" s="268"/>
      <c r="ABE619" s="268"/>
      <c r="ABF619" s="268"/>
      <c r="ABG619" s="268"/>
      <c r="ABH619" s="268"/>
      <c r="ABI619" s="268"/>
      <c r="ABJ619" s="268"/>
      <c r="ABK619" s="268"/>
      <c r="ABL619" s="268"/>
      <c r="ABM619" s="268"/>
      <c r="ABN619" s="268"/>
      <c r="ABO619" s="268"/>
      <c r="ABP619" s="268"/>
      <c r="ABQ619" s="268"/>
      <c r="ABR619" s="268"/>
      <c r="ABS619" s="268"/>
      <c r="ABT619" s="268"/>
      <c r="ABU619" s="268"/>
      <c r="ABV619" s="268"/>
      <c r="ABW619" s="268"/>
      <c r="ABX619" s="268"/>
      <c r="ABY619" s="268"/>
      <c r="ABZ619" s="268"/>
      <c r="ACA619" s="268"/>
      <c r="ACB619" s="268"/>
      <c r="ACC619" s="268"/>
      <c r="ACD619" s="268"/>
      <c r="ACE619" s="268"/>
      <c r="ACS619" s="268"/>
      <c r="ACT619" s="268"/>
      <c r="ACU619" s="268"/>
      <c r="ADI619" s="268"/>
      <c r="ADK619" s="268"/>
      <c r="ADL619" s="268"/>
      <c r="ADM619" s="268"/>
      <c r="ADN619" s="268"/>
      <c r="ADO619" s="268"/>
      <c r="ADP619" s="268"/>
      <c r="ADQ619" s="268"/>
      <c r="ADR619" s="268"/>
      <c r="ADS619" s="268"/>
      <c r="ADT619" s="268"/>
      <c r="ADU619" s="268"/>
      <c r="ADV619" s="268"/>
      <c r="ADW619" s="268"/>
      <c r="ADX619" s="268"/>
      <c r="ADY619" s="268"/>
      <c r="ADZ619" s="268"/>
      <c r="AEA619" s="268"/>
      <c r="AEB619" s="268"/>
      <c r="AEC619" s="268"/>
      <c r="AED619" s="268"/>
      <c r="AEE619" s="268"/>
      <c r="AEF619" s="268"/>
      <c r="AEG619" s="268"/>
      <c r="AEH619" s="268"/>
      <c r="AEI619" s="268"/>
      <c r="AEJ619" s="268"/>
      <c r="AEK619" s="268"/>
      <c r="AEL619" s="268"/>
      <c r="AEM619" s="268"/>
      <c r="AEN619" s="268"/>
      <c r="AEO619" s="268"/>
      <c r="AEP619" s="268"/>
      <c r="AEQ619" s="268"/>
      <c r="AER619" s="268"/>
      <c r="AES619" s="268"/>
      <c r="AET619" s="268"/>
      <c r="AEU619" s="268"/>
      <c r="AEV619" s="268"/>
      <c r="AEW619" s="268"/>
      <c r="AEX619" s="268"/>
      <c r="AEY619" s="268"/>
      <c r="AEZ619" s="268"/>
      <c r="AFA619" s="268"/>
      <c r="AFB619" s="268"/>
      <c r="AFC619" s="268"/>
      <c r="AFD619" s="268"/>
      <c r="AFE619" s="268"/>
      <c r="AFF619" s="268"/>
      <c r="AFG619" s="268"/>
      <c r="AFH619" s="268"/>
      <c r="AFI619" s="268"/>
      <c r="AFJ619" s="268"/>
      <c r="AFK619" s="268"/>
      <c r="AFL619" s="268"/>
      <c r="AFM619" s="268"/>
      <c r="AFN619" s="268"/>
      <c r="AFO619" s="268"/>
      <c r="AFP619" s="268"/>
      <c r="AFQ619" s="268"/>
      <c r="AFR619" s="268"/>
      <c r="AFS619" s="268"/>
      <c r="AFT619" s="268"/>
      <c r="AFU619" s="268"/>
      <c r="AFV619" s="268"/>
      <c r="AFW619" s="268"/>
      <c r="AFX619" s="268"/>
      <c r="AFY619" s="268"/>
      <c r="AFZ619" s="268"/>
      <c r="AGA619" s="268"/>
      <c r="AGB619" s="268"/>
      <c r="AGC619" s="268"/>
      <c r="AGD619" s="268"/>
      <c r="AGE619" s="268"/>
      <c r="AGF619" s="268"/>
      <c r="AGG619" s="268"/>
      <c r="AGH619" s="268"/>
      <c r="AGI619" s="268"/>
      <c r="AGJ619" s="268"/>
      <c r="AGK619" s="268"/>
      <c r="AGL619" s="268"/>
      <c r="AGM619" s="268"/>
      <c r="AGN619" s="268"/>
      <c r="AGO619" s="268"/>
      <c r="AGP619" s="268"/>
      <c r="AGQ619" s="268"/>
      <c r="AGR619" s="268"/>
      <c r="AGS619" s="268"/>
      <c r="AGT619" s="268"/>
      <c r="AGU619" s="268"/>
      <c r="AGV619" s="268"/>
      <c r="AGW619" s="268"/>
      <c r="AGX619" s="268"/>
      <c r="AGY619" s="268"/>
      <c r="AGZ619" s="268"/>
      <c r="AHA619" s="268"/>
      <c r="AHB619" s="268"/>
      <c r="AHC619" s="268"/>
      <c r="AHD619" s="268"/>
      <c r="AHE619" s="268"/>
      <c r="AHF619" s="268"/>
      <c r="AHG619" s="268"/>
      <c r="AHH619" s="268"/>
      <c r="AHI619" s="268"/>
      <c r="AHJ619" s="268"/>
      <c r="AHK619" s="268"/>
      <c r="AHL619" s="268"/>
      <c r="AHM619" s="268"/>
      <c r="AHN619" s="268"/>
      <c r="AHO619" s="268"/>
      <c r="AHP619" s="268"/>
      <c r="AHQ619" s="268"/>
      <c r="AHR619" s="268"/>
      <c r="AHS619" s="268"/>
      <c r="AHT619" s="268"/>
      <c r="AHU619" s="268"/>
      <c r="AHV619" s="268"/>
      <c r="AHW619" s="268"/>
      <c r="AHX619" s="268"/>
      <c r="AHY619" s="268"/>
      <c r="AHZ619" s="268"/>
      <c r="AIA619" s="268"/>
      <c r="AIB619" s="268"/>
      <c r="AIC619" s="268"/>
      <c r="AID619" s="268"/>
      <c r="AIE619" s="268"/>
      <c r="AIF619" s="268"/>
      <c r="AIG619" s="268"/>
      <c r="AIH619" s="268"/>
      <c r="AII619" s="268"/>
      <c r="AIJ619" s="268"/>
      <c r="AIK619" s="268"/>
      <c r="AIL619" s="268"/>
      <c r="AIM619" s="268"/>
      <c r="AIN619" s="268"/>
      <c r="AIO619" s="268"/>
      <c r="AIP619" s="268"/>
      <c r="AIQ619" s="268"/>
      <c r="AIR619" s="268"/>
      <c r="AIS619" s="268"/>
      <c r="AIT619" s="268"/>
      <c r="AIU619" s="268"/>
      <c r="AIV619" s="268"/>
      <c r="AIW619" s="268"/>
      <c r="AIX619" s="268"/>
      <c r="AIY619" s="268"/>
      <c r="AIZ619" s="268"/>
      <c r="AJA619" s="268"/>
      <c r="AJB619" s="268"/>
      <c r="AJC619" s="268"/>
      <c r="AJD619" s="268"/>
      <c r="AJE619" s="268"/>
      <c r="AJF619" s="268"/>
      <c r="AJG619" s="268"/>
      <c r="AJH619" s="268"/>
      <c r="AJI619" s="268"/>
      <c r="AJJ619" s="268"/>
      <c r="AJK619" s="268"/>
      <c r="AJL619" s="268"/>
      <c r="AJM619" s="268"/>
      <c r="AJN619" s="268"/>
      <c r="AJO619" s="268"/>
      <c r="AJP619" s="268"/>
      <c r="AJQ619" s="268"/>
      <c r="AJR619" s="268"/>
      <c r="AJS619" s="268"/>
      <c r="AJT619" s="268"/>
      <c r="AJU619" s="268"/>
      <c r="AJV619" s="268"/>
      <c r="AJW619" s="268"/>
      <c r="AJX619" s="268"/>
      <c r="AJY619" s="268"/>
      <c r="AJZ619" s="268"/>
      <c r="AKA619" s="268"/>
      <c r="AKB619" s="268"/>
      <c r="AKC619" s="268"/>
      <c r="AKD619" s="268"/>
      <c r="AKE619" s="268"/>
      <c r="AKF619" s="268"/>
      <c r="AKG619" s="268"/>
      <c r="AKH619" s="268"/>
      <c r="AKI619" s="268"/>
      <c r="AKJ619" s="268"/>
      <c r="AKK619" s="268"/>
      <c r="AKL619" s="268"/>
      <c r="AKM619" s="268"/>
      <c r="AKN619" s="268"/>
      <c r="AKO619" s="268"/>
      <c r="AKP619" s="268"/>
      <c r="AKQ619" s="268"/>
      <c r="AKR619" s="268"/>
      <c r="AKS619" s="268"/>
      <c r="AKT619" s="268"/>
      <c r="AKU619" s="268"/>
      <c r="AKV619" s="268"/>
      <c r="AKW619" s="268"/>
      <c r="AKX619" s="268"/>
      <c r="AKY619" s="268"/>
      <c r="AKZ619" s="268"/>
      <c r="ALA619" s="268"/>
      <c r="ALB619" s="268"/>
      <c r="ALC619" s="268"/>
      <c r="ALD619" s="268"/>
      <c r="ALE619" s="268"/>
      <c r="ALF619" s="268"/>
      <c r="ALG619" s="268"/>
      <c r="ALH619" s="268"/>
      <c r="ALI619" s="268"/>
      <c r="ALJ619" s="268"/>
      <c r="ALK619" s="268"/>
      <c r="ALL619" s="268"/>
      <c r="ALM619" s="268"/>
      <c r="ALN619" s="268"/>
      <c r="ALO619" s="268"/>
      <c r="ALP619" s="268"/>
      <c r="ALQ619" s="268"/>
      <c r="ALR619" s="268"/>
      <c r="ALS619" s="268"/>
      <c r="ALT619" s="268"/>
      <c r="ALU619" s="268"/>
      <c r="ALV619" s="268"/>
      <c r="ALW619" s="268"/>
      <c r="ALX619" s="268"/>
      <c r="ALY619" s="268"/>
      <c r="ALZ619" s="268"/>
      <c r="AMA619" s="268"/>
      <c r="AMO619" s="268"/>
      <c r="AMP619" s="268"/>
      <c r="AMQ619" s="268"/>
      <c r="ANE619" s="268"/>
      <c r="ANG619" s="268"/>
      <c r="ANH619" s="268"/>
      <c r="ANI619" s="268"/>
      <c r="ANJ619" s="268"/>
      <c r="ANK619" s="268"/>
      <c r="ANL619" s="268"/>
      <c r="ANM619" s="268"/>
      <c r="ANN619" s="268"/>
      <c r="ANO619" s="268"/>
      <c r="ANP619" s="268"/>
      <c r="ANQ619" s="268"/>
      <c r="ANR619" s="268"/>
      <c r="ANS619" s="268"/>
      <c r="ANT619" s="268"/>
      <c r="ANU619" s="268"/>
      <c r="ANV619" s="268"/>
      <c r="ANW619" s="268"/>
      <c r="ANX619" s="268"/>
      <c r="ANY619" s="268"/>
      <c r="ANZ619" s="268"/>
      <c r="AOA619" s="268"/>
      <c r="AOB619" s="268"/>
      <c r="AOC619" s="268"/>
      <c r="AOD619" s="268"/>
      <c r="AOE619" s="268"/>
      <c r="AOF619" s="268"/>
      <c r="AOG619" s="268"/>
      <c r="AOH619" s="268"/>
      <c r="AOI619" s="268"/>
      <c r="AOJ619" s="268"/>
      <c r="AOK619" s="268"/>
      <c r="AOL619" s="268"/>
      <c r="AOM619" s="268"/>
      <c r="AON619" s="268"/>
      <c r="AOO619" s="268"/>
      <c r="AOP619" s="268"/>
      <c r="AOQ619" s="268"/>
      <c r="AOR619" s="268"/>
      <c r="AOS619" s="268"/>
      <c r="AOT619" s="268"/>
      <c r="AOU619" s="268"/>
      <c r="AOV619" s="268"/>
      <c r="AOW619" s="268"/>
      <c r="AOX619" s="268"/>
      <c r="AOY619" s="268"/>
      <c r="AOZ619" s="268"/>
      <c r="APA619" s="268"/>
      <c r="APB619" s="268"/>
      <c r="APC619" s="268"/>
      <c r="APD619" s="268"/>
      <c r="APE619" s="268"/>
      <c r="APF619" s="268"/>
      <c r="APG619" s="268"/>
      <c r="APH619" s="268"/>
      <c r="API619" s="268"/>
      <c r="APJ619" s="268"/>
      <c r="APK619" s="268"/>
      <c r="APL619" s="268"/>
      <c r="APM619" s="268"/>
      <c r="APN619" s="268"/>
      <c r="APO619" s="268"/>
      <c r="APP619" s="268"/>
      <c r="APQ619" s="268"/>
      <c r="APR619" s="268"/>
      <c r="APS619" s="268"/>
      <c r="APT619" s="268"/>
      <c r="APU619" s="268"/>
      <c r="APV619" s="268"/>
      <c r="APW619" s="268"/>
      <c r="APX619" s="268"/>
      <c r="APY619" s="268"/>
      <c r="APZ619" s="268"/>
      <c r="AQA619" s="268"/>
      <c r="AQB619" s="268"/>
      <c r="AQC619" s="268"/>
      <c r="AQD619" s="268"/>
      <c r="AQE619" s="268"/>
      <c r="AQF619" s="268"/>
      <c r="AQG619" s="268"/>
      <c r="AQH619" s="268"/>
      <c r="AQI619" s="268"/>
      <c r="AQJ619" s="268"/>
      <c r="AQK619" s="268"/>
      <c r="AQL619" s="268"/>
      <c r="AQM619" s="268"/>
      <c r="AQN619" s="268"/>
      <c r="AQO619" s="268"/>
      <c r="AQP619" s="268"/>
      <c r="AQQ619" s="268"/>
      <c r="AQR619" s="268"/>
      <c r="AQS619" s="268"/>
      <c r="AQT619" s="268"/>
      <c r="AQU619" s="268"/>
      <c r="AQV619" s="268"/>
      <c r="AQW619" s="268"/>
      <c r="AQX619" s="268"/>
      <c r="AQY619" s="268"/>
      <c r="AQZ619" s="268"/>
      <c r="ARA619" s="268"/>
      <c r="ARB619" s="268"/>
      <c r="ARC619" s="268"/>
      <c r="ARD619" s="268"/>
      <c r="ARE619" s="268"/>
      <c r="ARF619" s="268"/>
      <c r="ARG619" s="268"/>
      <c r="ARH619" s="268"/>
      <c r="ARI619" s="268"/>
      <c r="ARJ619" s="268"/>
      <c r="ARK619" s="268"/>
      <c r="ARL619" s="268"/>
      <c r="ARM619" s="268"/>
      <c r="ARN619" s="268"/>
      <c r="ARO619" s="268"/>
      <c r="ARP619" s="268"/>
      <c r="ARQ619" s="268"/>
      <c r="ARR619" s="268"/>
      <c r="ARS619" s="268"/>
      <c r="ART619" s="268"/>
      <c r="ARU619" s="268"/>
      <c r="ARV619" s="268"/>
      <c r="ARW619" s="268"/>
      <c r="ARX619" s="268"/>
      <c r="ARY619" s="268"/>
      <c r="ARZ619" s="268"/>
      <c r="ASA619" s="268"/>
      <c r="ASB619" s="268"/>
      <c r="ASC619" s="268"/>
      <c r="ASD619" s="268"/>
      <c r="ASE619" s="268"/>
      <c r="ASF619" s="268"/>
      <c r="ASG619" s="268"/>
      <c r="ASH619" s="268"/>
      <c r="ASI619" s="268"/>
      <c r="ASJ619" s="268"/>
      <c r="ASK619" s="268"/>
      <c r="ASL619" s="268"/>
      <c r="ASM619" s="268"/>
      <c r="ASN619" s="268"/>
      <c r="ASO619" s="268"/>
      <c r="ASP619" s="268"/>
      <c r="ASQ619" s="268"/>
      <c r="ASR619" s="268"/>
      <c r="ASS619" s="268"/>
      <c r="AST619" s="268"/>
      <c r="ASU619" s="268"/>
      <c r="ASV619" s="268"/>
      <c r="ASW619" s="268"/>
      <c r="ASX619" s="268"/>
      <c r="ASY619" s="268"/>
      <c r="ASZ619" s="268"/>
      <c r="ATA619" s="268"/>
      <c r="ATB619" s="268"/>
      <c r="ATC619" s="268"/>
      <c r="ATD619" s="268"/>
      <c r="ATE619" s="268"/>
      <c r="ATF619" s="268"/>
      <c r="ATG619" s="268"/>
      <c r="ATH619" s="268"/>
      <c r="ATI619" s="268"/>
      <c r="ATJ619" s="268"/>
      <c r="ATK619" s="268"/>
      <c r="ATL619" s="268"/>
      <c r="ATM619" s="268"/>
      <c r="ATN619" s="268"/>
      <c r="ATO619" s="268"/>
      <c r="ATP619" s="268"/>
      <c r="ATQ619" s="268"/>
      <c r="ATR619" s="268"/>
      <c r="ATS619" s="268"/>
      <c r="ATT619" s="268"/>
      <c r="ATU619" s="268"/>
      <c r="ATV619" s="268"/>
      <c r="ATW619" s="268"/>
      <c r="ATX619" s="268"/>
      <c r="ATY619" s="268"/>
      <c r="ATZ619" s="268"/>
      <c r="AUA619" s="268"/>
      <c r="AUB619" s="268"/>
      <c r="AUC619" s="268"/>
      <c r="AUD619" s="268"/>
      <c r="AUE619" s="268"/>
      <c r="AUF619" s="268"/>
      <c r="AUG619" s="268"/>
      <c r="AUH619" s="268"/>
      <c r="AUI619" s="268"/>
      <c r="AUJ619" s="268"/>
      <c r="AUK619" s="268"/>
      <c r="AUL619" s="268"/>
      <c r="AUM619" s="268"/>
      <c r="AUN619" s="268"/>
      <c r="AUO619" s="268"/>
      <c r="AUP619" s="268"/>
      <c r="AUQ619" s="268"/>
      <c r="AUR619" s="268"/>
      <c r="AUS619" s="268"/>
      <c r="AUT619" s="268"/>
      <c r="AUU619" s="268"/>
      <c r="AUV619" s="268"/>
      <c r="AUW619" s="268"/>
      <c r="AUX619" s="268"/>
      <c r="AUY619" s="268"/>
      <c r="AUZ619" s="268"/>
      <c r="AVA619" s="268"/>
      <c r="AVB619" s="268"/>
      <c r="AVC619" s="268"/>
      <c r="AVD619" s="268"/>
      <c r="AVE619" s="268"/>
      <c r="AVF619" s="268"/>
      <c r="AVG619" s="268"/>
      <c r="AVH619" s="268"/>
      <c r="AVI619" s="268"/>
      <c r="AVJ619" s="268"/>
      <c r="AVK619" s="268"/>
      <c r="AVL619" s="268"/>
      <c r="AVM619" s="268"/>
      <c r="AVN619" s="268"/>
      <c r="AVO619" s="268"/>
      <c r="AVP619" s="268"/>
      <c r="AVQ619" s="268"/>
      <c r="AVR619" s="268"/>
      <c r="AVS619" s="268"/>
      <c r="AVT619" s="268"/>
      <c r="AVU619" s="268"/>
      <c r="AVV619" s="268"/>
      <c r="AVW619" s="268"/>
      <c r="AWK619" s="268"/>
      <c r="AWL619" s="268"/>
      <c r="AWM619" s="268"/>
      <c r="AXA619" s="268"/>
      <c r="AXC619" s="268"/>
      <c r="AXD619" s="268"/>
      <c r="AXE619" s="268"/>
      <c r="AXF619" s="268"/>
      <c r="AXG619" s="268"/>
      <c r="AXH619" s="268"/>
      <c r="AXI619" s="268"/>
      <c r="AXJ619" s="268"/>
      <c r="AXK619" s="268"/>
      <c r="AXL619" s="268"/>
      <c r="AXM619" s="268"/>
      <c r="AXN619" s="268"/>
      <c r="AXO619" s="268"/>
      <c r="AXP619" s="268"/>
      <c r="AXQ619" s="268"/>
      <c r="AXR619" s="268"/>
      <c r="AXS619" s="268"/>
      <c r="AXT619" s="268"/>
      <c r="AXU619" s="268"/>
      <c r="AXV619" s="268"/>
      <c r="AXW619" s="268"/>
      <c r="AXX619" s="268"/>
      <c r="AXY619" s="268"/>
      <c r="AXZ619" s="268"/>
      <c r="AYA619" s="268"/>
      <c r="AYB619" s="268"/>
      <c r="AYC619" s="268"/>
      <c r="AYD619" s="268"/>
      <c r="AYE619" s="268"/>
      <c r="AYF619" s="268"/>
      <c r="AYG619" s="268"/>
      <c r="AYH619" s="268"/>
      <c r="AYI619" s="268"/>
      <c r="AYJ619" s="268"/>
      <c r="AYK619" s="268"/>
      <c r="AYL619" s="268"/>
      <c r="AYM619" s="268"/>
      <c r="AYN619" s="268"/>
      <c r="AYO619" s="268"/>
      <c r="AYP619" s="268"/>
      <c r="AYQ619" s="268"/>
      <c r="AYR619" s="268"/>
      <c r="AYS619" s="268"/>
      <c r="AYT619" s="268"/>
      <c r="AYU619" s="268"/>
      <c r="AYV619" s="268"/>
      <c r="AYW619" s="268"/>
      <c r="AYX619" s="268"/>
      <c r="AYY619" s="268"/>
      <c r="AYZ619" s="268"/>
      <c r="AZA619" s="268"/>
      <c r="AZB619" s="268"/>
      <c r="AZC619" s="268"/>
      <c r="AZD619" s="268"/>
      <c r="AZE619" s="268"/>
      <c r="AZF619" s="268"/>
      <c r="AZG619" s="268"/>
      <c r="AZH619" s="268"/>
      <c r="AZI619" s="268"/>
      <c r="AZJ619" s="268"/>
      <c r="AZK619" s="268"/>
      <c r="AZL619" s="268"/>
      <c r="AZM619" s="268"/>
      <c r="AZN619" s="268"/>
      <c r="AZO619" s="268"/>
      <c r="AZP619" s="268"/>
      <c r="AZQ619" s="268"/>
      <c r="AZR619" s="268"/>
      <c r="AZS619" s="268"/>
      <c r="AZT619" s="268"/>
      <c r="AZU619" s="268"/>
      <c r="AZV619" s="268"/>
      <c r="AZW619" s="268"/>
      <c r="AZX619" s="268"/>
      <c r="AZY619" s="268"/>
      <c r="AZZ619" s="268"/>
      <c r="BAA619" s="268"/>
      <c r="BAB619" s="268"/>
      <c r="BAC619" s="268"/>
      <c r="BAD619" s="268"/>
      <c r="BAE619" s="268"/>
      <c r="BAF619" s="268"/>
      <c r="BAG619" s="268"/>
      <c r="BAH619" s="268"/>
      <c r="BAI619" s="268"/>
      <c r="BAJ619" s="268"/>
      <c r="BAK619" s="268"/>
      <c r="BAL619" s="268"/>
      <c r="BAM619" s="268"/>
      <c r="BAN619" s="268"/>
      <c r="BAO619" s="268"/>
      <c r="BAP619" s="268"/>
      <c r="BAQ619" s="268"/>
      <c r="BAR619" s="268"/>
      <c r="BAS619" s="268"/>
      <c r="BAT619" s="268"/>
      <c r="BAU619" s="268"/>
      <c r="BAV619" s="268"/>
      <c r="BAW619" s="268"/>
      <c r="BAX619" s="268"/>
      <c r="BAY619" s="268"/>
      <c r="BAZ619" s="268"/>
      <c r="BBA619" s="268"/>
      <c r="BBB619" s="268"/>
      <c r="BBC619" s="268"/>
      <c r="BBD619" s="268"/>
      <c r="BBE619" s="268"/>
      <c r="BBF619" s="268"/>
      <c r="BBG619" s="268"/>
      <c r="BBH619" s="268"/>
      <c r="BBI619" s="268"/>
      <c r="BBJ619" s="268"/>
      <c r="BBK619" s="268"/>
      <c r="BBL619" s="268"/>
      <c r="BBM619" s="268"/>
      <c r="BBN619" s="268"/>
      <c r="BBO619" s="268"/>
      <c r="BBP619" s="268"/>
      <c r="BBQ619" s="268"/>
      <c r="BBR619" s="268"/>
      <c r="BBS619" s="268"/>
      <c r="BBT619" s="268"/>
      <c r="BBU619" s="268"/>
      <c r="BBV619" s="268"/>
      <c r="BBW619" s="268"/>
      <c r="BBX619" s="268"/>
      <c r="BBY619" s="268"/>
      <c r="BBZ619" s="268"/>
      <c r="BCA619" s="268"/>
      <c r="BCB619" s="268"/>
      <c r="BCC619" s="268"/>
      <c r="BCD619" s="268"/>
      <c r="BCE619" s="268"/>
      <c r="BCF619" s="268"/>
      <c r="BCG619" s="268"/>
      <c r="BCH619" s="268"/>
      <c r="BCI619" s="268"/>
      <c r="BCJ619" s="268"/>
      <c r="BCK619" s="268"/>
      <c r="BCL619" s="268"/>
      <c r="BCM619" s="268"/>
      <c r="BCN619" s="268"/>
      <c r="BCO619" s="268"/>
      <c r="BCP619" s="268"/>
      <c r="BCQ619" s="268"/>
      <c r="BCR619" s="268"/>
      <c r="BCS619" s="268"/>
      <c r="BCT619" s="268"/>
      <c r="BCU619" s="268"/>
      <c r="BCV619" s="268"/>
      <c r="BCW619" s="268"/>
      <c r="BCX619" s="268"/>
      <c r="BCY619" s="268"/>
      <c r="BCZ619" s="268"/>
      <c r="BDA619" s="268"/>
      <c r="BDB619" s="268"/>
      <c r="BDC619" s="268"/>
      <c r="BDD619" s="268"/>
      <c r="BDE619" s="268"/>
      <c r="BDF619" s="268"/>
      <c r="BDG619" s="268"/>
      <c r="BDH619" s="268"/>
      <c r="BDI619" s="268"/>
      <c r="BDJ619" s="268"/>
      <c r="BDK619" s="268"/>
      <c r="BDL619" s="268"/>
      <c r="BDM619" s="268"/>
      <c r="BDN619" s="268"/>
      <c r="BDO619" s="268"/>
      <c r="BDP619" s="268"/>
      <c r="BDQ619" s="268"/>
      <c r="BDR619" s="268"/>
      <c r="BDS619" s="268"/>
      <c r="BDT619" s="268"/>
      <c r="BDU619" s="268"/>
      <c r="BDV619" s="268"/>
      <c r="BDW619" s="268"/>
      <c r="BDX619" s="268"/>
      <c r="BDY619" s="268"/>
      <c r="BDZ619" s="268"/>
      <c r="BEA619" s="268"/>
      <c r="BEB619" s="268"/>
      <c r="BEC619" s="268"/>
      <c r="BED619" s="268"/>
      <c r="BEE619" s="268"/>
      <c r="BEF619" s="268"/>
      <c r="BEG619" s="268"/>
      <c r="BEH619" s="268"/>
      <c r="BEI619" s="268"/>
      <c r="BEJ619" s="268"/>
      <c r="BEK619" s="268"/>
      <c r="BEL619" s="268"/>
      <c r="BEM619" s="268"/>
      <c r="BEN619" s="268"/>
      <c r="BEO619" s="268"/>
      <c r="BEP619" s="268"/>
      <c r="BEQ619" s="268"/>
      <c r="BER619" s="268"/>
      <c r="BES619" s="268"/>
      <c r="BET619" s="268"/>
      <c r="BEU619" s="268"/>
      <c r="BEV619" s="268"/>
      <c r="BEW619" s="268"/>
      <c r="BEX619" s="268"/>
      <c r="BEY619" s="268"/>
      <c r="BEZ619" s="268"/>
      <c r="BFA619" s="268"/>
      <c r="BFB619" s="268"/>
      <c r="BFC619" s="268"/>
      <c r="BFD619" s="268"/>
      <c r="BFE619" s="268"/>
      <c r="BFF619" s="268"/>
      <c r="BFG619" s="268"/>
      <c r="BFH619" s="268"/>
      <c r="BFI619" s="268"/>
      <c r="BFJ619" s="268"/>
      <c r="BFK619" s="268"/>
      <c r="BFL619" s="268"/>
      <c r="BFM619" s="268"/>
      <c r="BFN619" s="268"/>
      <c r="BFO619" s="268"/>
      <c r="BFP619" s="268"/>
      <c r="BFQ619" s="268"/>
      <c r="BFR619" s="268"/>
      <c r="BFS619" s="268"/>
      <c r="BGG619" s="268"/>
      <c r="BGH619" s="268"/>
      <c r="BGI619" s="268"/>
      <c r="BGW619" s="268"/>
      <c r="BGY619" s="268"/>
      <c r="BGZ619" s="268"/>
      <c r="BHA619" s="268"/>
      <c r="BHB619" s="268"/>
      <c r="BHC619" s="268"/>
      <c r="BHD619" s="268"/>
      <c r="BHE619" s="268"/>
      <c r="BHF619" s="268"/>
      <c r="BHG619" s="268"/>
      <c r="BHH619" s="268"/>
      <c r="BHI619" s="268"/>
      <c r="BHJ619" s="268"/>
      <c r="BHK619" s="268"/>
      <c r="BHL619" s="268"/>
      <c r="BHM619" s="268"/>
      <c r="BHN619" s="268"/>
      <c r="BHO619" s="268"/>
      <c r="BHP619" s="268"/>
      <c r="BHQ619" s="268"/>
      <c r="BHR619" s="268"/>
      <c r="BHS619" s="268"/>
      <c r="BHT619" s="268"/>
      <c r="BHU619" s="268"/>
      <c r="BHV619" s="268"/>
      <c r="BHW619" s="268"/>
      <c r="BHX619" s="268"/>
      <c r="BHY619" s="268"/>
      <c r="BHZ619" s="268"/>
      <c r="BIA619" s="268"/>
      <c r="BIB619" s="268"/>
      <c r="BIC619" s="268"/>
      <c r="BID619" s="268"/>
      <c r="BIE619" s="268"/>
      <c r="BIF619" s="268"/>
      <c r="BIG619" s="268"/>
      <c r="BIH619" s="268"/>
      <c r="BII619" s="268"/>
      <c r="BIJ619" s="268"/>
      <c r="BIK619" s="268"/>
      <c r="BIL619" s="268"/>
      <c r="BIM619" s="268"/>
      <c r="BIN619" s="268"/>
      <c r="BIO619" s="268"/>
      <c r="BIP619" s="268"/>
      <c r="BIQ619" s="268"/>
      <c r="BIR619" s="268"/>
      <c r="BIS619" s="268"/>
      <c r="BIT619" s="268"/>
      <c r="BIU619" s="268"/>
      <c r="BIV619" s="268"/>
      <c r="BIW619" s="268"/>
      <c r="BIX619" s="268"/>
      <c r="BIY619" s="268"/>
      <c r="BIZ619" s="268"/>
      <c r="BJA619" s="268"/>
      <c r="BJB619" s="268"/>
      <c r="BJC619" s="268"/>
      <c r="BJD619" s="268"/>
      <c r="BJE619" s="268"/>
      <c r="BJF619" s="268"/>
      <c r="BJG619" s="268"/>
      <c r="BJH619" s="268"/>
      <c r="BJI619" s="268"/>
      <c r="BJJ619" s="268"/>
      <c r="BJK619" s="268"/>
      <c r="BJL619" s="268"/>
      <c r="BJM619" s="268"/>
      <c r="BJN619" s="268"/>
      <c r="BJO619" s="268"/>
      <c r="BJP619" s="268"/>
      <c r="BJQ619" s="268"/>
      <c r="BJR619" s="268"/>
      <c r="BJS619" s="268"/>
      <c r="BJT619" s="268"/>
      <c r="BJU619" s="268"/>
      <c r="BJV619" s="268"/>
      <c r="BJW619" s="268"/>
      <c r="BJX619" s="268"/>
      <c r="BJY619" s="268"/>
      <c r="BJZ619" s="268"/>
      <c r="BKA619" s="268"/>
      <c r="BKB619" s="268"/>
      <c r="BKC619" s="268"/>
      <c r="BKD619" s="268"/>
      <c r="BKE619" s="268"/>
      <c r="BKF619" s="268"/>
      <c r="BKG619" s="268"/>
      <c r="BKH619" s="268"/>
      <c r="BKI619" s="268"/>
      <c r="BKJ619" s="268"/>
      <c r="BKK619" s="268"/>
      <c r="BKL619" s="268"/>
      <c r="BKM619" s="268"/>
      <c r="BKN619" s="268"/>
      <c r="BKO619" s="268"/>
      <c r="BKP619" s="268"/>
      <c r="BKQ619" s="268"/>
      <c r="BKR619" s="268"/>
      <c r="BKS619" s="268"/>
      <c r="BKT619" s="268"/>
      <c r="BKU619" s="268"/>
      <c r="BKV619" s="268"/>
      <c r="BKW619" s="268"/>
      <c r="BKX619" s="268"/>
      <c r="BKY619" s="268"/>
      <c r="BKZ619" s="268"/>
      <c r="BLA619" s="268"/>
      <c r="BLB619" s="268"/>
      <c r="BLC619" s="268"/>
      <c r="BLD619" s="268"/>
      <c r="BLE619" s="268"/>
      <c r="BLF619" s="268"/>
      <c r="BLG619" s="268"/>
      <c r="BLH619" s="268"/>
      <c r="BLI619" s="268"/>
      <c r="BLJ619" s="268"/>
      <c r="BLK619" s="268"/>
      <c r="BLL619" s="268"/>
      <c r="BLM619" s="268"/>
      <c r="BLN619" s="268"/>
      <c r="BLO619" s="268"/>
      <c r="BLP619" s="268"/>
      <c r="BLQ619" s="268"/>
      <c r="BLR619" s="268"/>
      <c r="BLS619" s="268"/>
      <c r="BLT619" s="268"/>
      <c r="BLU619" s="268"/>
      <c r="BLV619" s="268"/>
      <c r="BLW619" s="268"/>
      <c r="BLX619" s="268"/>
      <c r="BLY619" s="268"/>
      <c r="BLZ619" s="268"/>
      <c r="BMA619" s="268"/>
      <c r="BMB619" s="268"/>
      <c r="BMC619" s="268"/>
      <c r="BMD619" s="268"/>
      <c r="BME619" s="268"/>
      <c r="BMF619" s="268"/>
      <c r="BMG619" s="268"/>
      <c r="BMH619" s="268"/>
      <c r="BMI619" s="268"/>
      <c r="BMJ619" s="268"/>
      <c r="BMK619" s="268"/>
      <c r="BML619" s="268"/>
      <c r="BMM619" s="268"/>
      <c r="BMN619" s="268"/>
      <c r="BMO619" s="268"/>
      <c r="BMP619" s="268"/>
      <c r="BMQ619" s="268"/>
      <c r="BMR619" s="268"/>
      <c r="BMS619" s="268"/>
      <c r="BMT619" s="268"/>
      <c r="BMU619" s="268"/>
      <c r="BMV619" s="268"/>
      <c r="BMW619" s="268"/>
      <c r="BMX619" s="268"/>
      <c r="BMY619" s="268"/>
      <c r="BMZ619" s="268"/>
      <c r="BNA619" s="268"/>
      <c r="BNB619" s="268"/>
      <c r="BNC619" s="268"/>
      <c r="BND619" s="268"/>
      <c r="BNE619" s="268"/>
      <c r="BNF619" s="268"/>
      <c r="BNG619" s="268"/>
      <c r="BNH619" s="268"/>
      <c r="BNI619" s="268"/>
      <c r="BNJ619" s="268"/>
      <c r="BNK619" s="268"/>
      <c r="BNL619" s="268"/>
      <c r="BNM619" s="268"/>
      <c r="BNN619" s="268"/>
      <c r="BNO619" s="268"/>
      <c r="BNP619" s="268"/>
      <c r="BNQ619" s="268"/>
      <c r="BNR619" s="268"/>
      <c r="BNS619" s="268"/>
      <c r="BNT619" s="268"/>
      <c r="BNU619" s="268"/>
      <c r="BNV619" s="268"/>
      <c r="BNW619" s="268"/>
      <c r="BNX619" s="268"/>
      <c r="BNY619" s="268"/>
      <c r="BNZ619" s="268"/>
      <c r="BOA619" s="268"/>
      <c r="BOB619" s="268"/>
      <c r="BOC619" s="268"/>
      <c r="BOD619" s="268"/>
      <c r="BOE619" s="268"/>
      <c r="BOF619" s="268"/>
      <c r="BOG619" s="268"/>
      <c r="BOH619" s="268"/>
      <c r="BOI619" s="268"/>
      <c r="BOJ619" s="268"/>
      <c r="BOK619" s="268"/>
      <c r="BOL619" s="268"/>
      <c r="BOM619" s="268"/>
      <c r="BON619" s="268"/>
      <c r="BOO619" s="268"/>
      <c r="BOP619" s="268"/>
      <c r="BOQ619" s="268"/>
      <c r="BOR619" s="268"/>
      <c r="BOS619" s="268"/>
      <c r="BOT619" s="268"/>
      <c r="BOU619" s="268"/>
      <c r="BOV619" s="268"/>
      <c r="BOW619" s="268"/>
      <c r="BOX619" s="268"/>
      <c r="BOY619" s="268"/>
      <c r="BOZ619" s="268"/>
      <c r="BPA619" s="268"/>
      <c r="BPB619" s="268"/>
      <c r="BPC619" s="268"/>
      <c r="BPD619" s="268"/>
      <c r="BPE619" s="268"/>
      <c r="BPF619" s="268"/>
      <c r="BPG619" s="268"/>
      <c r="BPH619" s="268"/>
      <c r="BPI619" s="268"/>
      <c r="BPJ619" s="268"/>
      <c r="BPK619" s="268"/>
      <c r="BPL619" s="268"/>
      <c r="BPM619" s="268"/>
      <c r="BPN619" s="268"/>
      <c r="BPO619" s="268"/>
      <c r="BQC619" s="268"/>
      <c r="BQD619" s="268"/>
      <c r="BQE619" s="268"/>
      <c r="BQS619" s="268"/>
      <c r="BQU619" s="268"/>
      <c r="BQV619" s="268"/>
      <c r="BQW619" s="268"/>
      <c r="BQX619" s="268"/>
      <c r="BQY619" s="268"/>
      <c r="BQZ619" s="268"/>
      <c r="BRA619" s="268"/>
      <c r="BRB619" s="268"/>
      <c r="BRC619" s="268"/>
      <c r="BRD619" s="268"/>
      <c r="BRE619" s="268"/>
      <c r="BRF619" s="268"/>
      <c r="BRG619" s="268"/>
      <c r="BRH619" s="268"/>
      <c r="BRI619" s="268"/>
      <c r="BRJ619" s="268"/>
      <c r="BRK619" s="268"/>
      <c r="BRL619" s="268"/>
      <c r="BRM619" s="268"/>
      <c r="BRN619" s="268"/>
      <c r="BRO619" s="268"/>
      <c r="BRP619" s="268"/>
      <c r="BRQ619" s="268"/>
      <c r="BRR619" s="268"/>
      <c r="BRS619" s="268"/>
      <c r="BRT619" s="268"/>
      <c r="BRU619" s="268"/>
      <c r="BRV619" s="268"/>
      <c r="BRW619" s="268"/>
      <c r="BRX619" s="268"/>
      <c r="BRY619" s="268"/>
      <c r="BRZ619" s="268"/>
      <c r="BSA619" s="268"/>
      <c r="BSB619" s="268"/>
      <c r="BSC619" s="268"/>
      <c r="BSD619" s="268"/>
      <c r="BSE619" s="268"/>
      <c r="BSF619" s="268"/>
      <c r="BSG619" s="268"/>
      <c r="BSH619" s="268"/>
      <c r="BSI619" s="268"/>
      <c r="BSJ619" s="268"/>
      <c r="BSK619" s="268"/>
      <c r="BSL619" s="268"/>
      <c r="BSM619" s="268"/>
      <c r="BSN619" s="268"/>
      <c r="BSO619" s="268"/>
      <c r="BSP619" s="268"/>
      <c r="BSQ619" s="268"/>
      <c r="BSR619" s="268"/>
      <c r="BSS619" s="268"/>
      <c r="BST619" s="268"/>
      <c r="BSU619" s="268"/>
      <c r="BSV619" s="268"/>
      <c r="BSW619" s="268"/>
      <c r="BSX619" s="268"/>
      <c r="BSY619" s="268"/>
      <c r="BSZ619" s="268"/>
      <c r="BTA619" s="268"/>
      <c r="BTB619" s="268"/>
      <c r="BTC619" s="268"/>
      <c r="BTD619" s="268"/>
      <c r="BTE619" s="268"/>
      <c r="BTF619" s="268"/>
      <c r="BTG619" s="268"/>
      <c r="BTH619" s="268"/>
      <c r="BTI619" s="268"/>
      <c r="BTJ619" s="268"/>
      <c r="BTK619" s="268"/>
      <c r="BTL619" s="268"/>
      <c r="BTM619" s="268"/>
      <c r="BTN619" s="268"/>
      <c r="BTO619" s="268"/>
      <c r="BTP619" s="268"/>
      <c r="BTQ619" s="268"/>
      <c r="BTR619" s="268"/>
      <c r="BTS619" s="268"/>
      <c r="BTT619" s="268"/>
      <c r="BTU619" s="268"/>
      <c r="BTV619" s="268"/>
      <c r="BTW619" s="268"/>
      <c r="BTX619" s="268"/>
      <c r="BTY619" s="268"/>
      <c r="BTZ619" s="268"/>
      <c r="BUA619" s="268"/>
      <c r="BUB619" s="268"/>
      <c r="BUC619" s="268"/>
      <c r="BUD619" s="268"/>
      <c r="BUE619" s="268"/>
      <c r="BUF619" s="268"/>
      <c r="BUG619" s="268"/>
      <c r="BUH619" s="268"/>
      <c r="BUI619" s="268"/>
      <c r="BUJ619" s="268"/>
      <c r="BUK619" s="268"/>
      <c r="BUL619" s="268"/>
      <c r="BUM619" s="268"/>
      <c r="BUN619" s="268"/>
      <c r="BUO619" s="268"/>
      <c r="BUP619" s="268"/>
      <c r="BUQ619" s="268"/>
      <c r="BUR619" s="268"/>
      <c r="BUS619" s="268"/>
      <c r="BUT619" s="268"/>
      <c r="BUU619" s="268"/>
      <c r="BUV619" s="268"/>
      <c r="BUW619" s="268"/>
      <c r="BUX619" s="268"/>
      <c r="BUY619" s="268"/>
      <c r="BUZ619" s="268"/>
      <c r="BVA619" s="268"/>
      <c r="BVB619" s="268"/>
      <c r="BVC619" s="268"/>
      <c r="BVD619" s="268"/>
      <c r="BVE619" s="268"/>
      <c r="BVF619" s="268"/>
      <c r="BVG619" s="268"/>
      <c r="BVH619" s="268"/>
      <c r="BVI619" s="268"/>
      <c r="BVJ619" s="268"/>
      <c r="BVK619" s="268"/>
      <c r="BVL619" s="268"/>
      <c r="BVM619" s="268"/>
      <c r="BVN619" s="268"/>
      <c r="BVO619" s="268"/>
      <c r="BVP619" s="268"/>
      <c r="BVQ619" s="268"/>
      <c r="BVR619" s="268"/>
      <c r="BVS619" s="268"/>
      <c r="BVT619" s="268"/>
      <c r="BVU619" s="268"/>
      <c r="BVV619" s="268"/>
      <c r="BVW619" s="268"/>
      <c r="BVX619" s="268"/>
      <c r="BVY619" s="268"/>
      <c r="BVZ619" s="268"/>
      <c r="BWA619" s="268"/>
      <c r="BWB619" s="268"/>
      <c r="BWC619" s="268"/>
      <c r="BWD619" s="268"/>
      <c r="BWE619" s="268"/>
      <c r="BWF619" s="268"/>
      <c r="BWG619" s="268"/>
      <c r="BWH619" s="268"/>
      <c r="BWI619" s="268"/>
      <c r="BWJ619" s="268"/>
      <c r="BWK619" s="268"/>
      <c r="BWL619" s="268"/>
      <c r="BWM619" s="268"/>
      <c r="BWN619" s="268"/>
      <c r="BWO619" s="268"/>
      <c r="BWP619" s="268"/>
      <c r="BWQ619" s="268"/>
      <c r="BWR619" s="268"/>
      <c r="BWS619" s="268"/>
      <c r="BWT619" s="268"/>
      <c r="BWU619" s="268"/>
      <c r="BWV619" s="268"/>
      <c r="BWW619" s="268"/>
      <c r="BWX619" s="268"/>
      <c r="BWY619" s="268"/>
      <c r="BWZ619" s="268"/>
      <c r="BXA619" s="268"/>
      <c r="BXB619" s="268"/>
      <c r="BXC619" s="268"/>
      <c r="BXD619" s="268"/>
      <c r="BXE619" s="268"/>
      <c r="BXF619" s="268"/>
      <c r="BXG619" s="268"/>
      <c r="BXH619" s="268"/>
      <c r="BXI619" s="268"/>
      <c r="BXJ619" s="268"/>
      <c r="BXK619" s="268"/>
      <c r="BXL619" s="268"/>
      <c r="BXM619" s="268"/>
      <c r="BXN619" s="268"/>
      <c r="BXO619" s="268"/>
      <c r="BXP619" s="268"/>
      <c r="BXQ619" s="268"/>
      <c r="BXR619" s="268"/>
      <c r="BXS619" s="268"/>
      <c r="BXT619" s="268"/>
      <c r="BXU619" s="268"/>
      <c r="BXV619" s="268"/>
      <c r="BXW619" s="268"/>
      <c r="BXX619" s="268"/>
      <c r="BXY619" s="268"/>
      <c r="BXZ619" s="268"/>
      <c r="BYA619" s="268"/>
      <c r="BYB619" s="268"/>
      <c r="BYC619" s="268"/>
      <c r="BYD619" s="268"/>
      <c r="BYE619" s="268"/>
      <c r="BYF619" s="268"/>
      <c r="BYG619" s="268"/>
      <c r="BYH619" s="268"/>
      <c r="BYI619" s="268"/>
      <c r="BYJ619" s="268"/>
      <c r="BYK619" s="268"/>
      <c r="BYL619" s="268"/>
      <c r="BYM619" s="268"/>
      <c r="BYN619" s="268"/>
      <c r="BYO619" s="268"/>
      <c r="BYP619" s="268"/>
      <c r="BYQ619" s="268"/>
      <c r="BYR619" s="268"/>
      <c r="BYS619" s="268"/>
      <c r="BYT619" s="268"/>
      <c r="BYU619" s="268"/>
      <c r="BYV619" s="268"/>
      <c r="BYW619" s="268"/>
      <c r="BYX619" s="268"/>
      <c r="BYY619" s="268"/>
      <c r="BYZ619" s="268"/>
      <c r="BZA619" s="268"/>
      <c r="BZB619" s="268"/>
      <c r="BZC619" s="268"/>
      <c r="BZD619" s="268"/>
      <c r="BZE619" s="268"/>
      <c r="BZF619" s="268"/>
      <c r="BZG619" s="268"/>
      <c r="BZH619" s="268"/>
      <c r="BZI619" s="268"/>
      <c r="BZJ619" s="268"/>
      <c r="BZK619" s="268"/>
      <c r="BZY619" s="268"/>
      <c r="BZZ619" s="268"/>
      <c r="CAA619" s="268"/>
      <c r="CAO619" s="268"/>
      <c r="CAQ619" s="268"/>
      <c r="CAR619" s="268"/>
      <c r="CAS619" s="268"/>
      <c r="CAT619" s="268"/>
      <c r="CAU619" s="268"/>
      <c r="CAV619" s="268"/>
      <c r="CAW619" s="268"/>
      <c r="CAX619" s="268"/>
      <c r="CAY619" s="268"/>
      <c r="CAZ619" s="268"/>
      <c r="CBA619" s="268"/>
      <c r="CBB619" s="268"/>
      <c r="CBC619" s="268"/>
      <c r="CBD619" s="268"/>
      <c r="CBE619" s="268"/>
      <c r="CBF619" s="268"/>
      <c r="CBG619" s="268"/>
      <c r="CBH619" s="268"/>
      <c r="CBI619" s="268"/>
      <c r="CBJ619" s="268"/>
      <c r="CBK619" s="268"/>
      <c r="CBL619" s="268"/>
      <c r="CBM619" s="268"/>
      <c r="CBN619" s="268"/>
      <c r="CBO619" s="268"/>
      <c r="CBP619" s="268"/>
      <c r="CBQ619" s="268"/>
      <c r="CBR619" s="268"/>
      <c r="CBS619" s="268"/>
      <c r="CBT619" s="268"/>
      <c r="CBU619" s="268"/>
      <c r="CBV619" s="268"/>
      <c r="CBW619" s="268"/>
      <c r="CBX619" s="268"/>
      <c r="CBY619" s="268"/>
      <c r="CBZ619" s="268"/>
      <c r="CCA619" s="268"/>
      <c r="CCB619" s="268"/>
      <c r="CCC619" s="268"/>
      <c r="CCD619" s="268"/>
      <c r="CCE619" s="268"/>
      <c r="CCF619" s="268"/>
      <c r="CCG619" s="268"/>
      <c r="CCH619" s="268"/>
      <c r="CCI619" s="268"/>
      <c r="CCJ619" s="268"/>
      <c r="CCK619" s="268"/>
      <c r="CCL619" s="268"/>
      <c r="CCM619" s="268"/>
      <c r="CCN619" s="268"/>
      <c r="CCO619" s="268"/>
      <c r="CCP619" s="268"/>
      <c r="CCQ619" s="268"/>
      <c r="CCR619" s="268"/>
      <c r="CCS619" s="268"/>
      <c r="CCT619" s="268"/>
      <c r="CCU619" s="268"/>
      <c r="CCV619" s="268"/>
      <c r="CCW619" s="268"/>
      <c r="CCX619" s="268"/>
      <c r="CCY619" s="268"/>
      <c r="CCZ619" s="268"/>
      <c r="CDA619" s="268"/>
      <c r="CDB619" s="268"/>
      <c r="CDC619" s="268"/>
      <c r="CDD619" s="268"/>
      <c r="CDE619" s="268"/>
      <c r="CDF619" s="268"/>
      <c r="CDG619" s="268"/>
      <c r="CDH619" s="268"/>
      <c r="CDI619" s="268"/>
      <c r="CDJ619" s="268"/>
      <c r="CDK619" s="268"/>
      <c r="CDL619" s="268"/>
      <c r="CDM619" s="268"/>
      <c r="CDN619" s="268"/>
      <c r="CDO619" s="268"/>
      <c r="CDP619" s="268"/>
      <c r="CDQ619" s="268"/>
      <c r="CDR619" s="268"/>
      <c r="CDS619" s="268"/>
      <c r="CDT619" s="268"/>
      <c r="CDU619" s="268"/>
      <c r="CDV619" s="268"/>
      <c r="CDW619" s="268"/>
      <c r="CDX619" s="268"/>
      <c r="CDY619" s="268"/>
      <c r="CDZ619" s="268"/>
      <c r="CEA619" s="268"/>
      <c r="CEB619" s="268"/>
      <c r="CEC619" s="268"/>
      <c r="CED619" s="268"/>
      <c r="CEE619" s="268"/>
      <c r="CEF619" s="268"/>
      <c r="CEG619" s="268"/>
      <c r="CEH619" s="268"/>
      <c r="CEI619" s="268"/>
      <c r="CEJ619" s="268"/>
      <c r="CEK619" s="268"/>
      <c r="CEL619" s="268"/>
      <c r="CEM619" s="268"/>
      <c r="CEN619" s="268"/>
      <c r="CEO619" s="268"/>
      <c r="CEP619" s="268"/>
      <c r="CEQ619" s="268"/>
      <c r="CER619" s="268"/>
      <c r="CES619" s="268"/>
      <c r="CET619" s="268"/>
      <c r="CEU619" s="268"/>
      <c r="CEV619" s="268"/>
      <c r="CEW619" s="268"/>
      <c r="CEX619" s="268"/>
      <c r="CEY619" s="268"/>
      <c r="CEZ619" s="268"/>
      <c r="CFA619" s="268"/>
      <c r="CFB619" s="268"/>
      <c r="CFC619" s="268"/>
      <c r="CFD619" s="268"/>
      <c r="CFE619" s="268"/>
      <c r="CFF619" s="268"/>
      <c r="CFG619" s="268"/>
      <c r="CFH619" s="268"/>
      <c r="CFI619" s="268"/>
      <c r="CFJ619" s="268"/>
      <c r="CFK619" s="268"/>
      <c r="CFL619" s="268"/>
      <c r="CFM619" s="268"/>
      <c r="CFN619" s="268"/>
      <c r="CFO619" s="268"/>
      <c r="CFP619" s="268"/>
      <c r="CFQ619" s="268"/>
      <c r="CFR619" s="268"/>
      <c r="CFS619" s="268"/>
      <c r="CFT619" s="268"/>
      <c r="CFU619" s="268"/>
      <c r="CFV619" s="268"/>
      <c r="CFW619" s="268"/>
      <c r="CFX619" s="268"/>
      <c r="CFY619" s="268"/>
      <c r="CFZ619" s="268"/>
      <c r="CGA619" s="268"/>
      <c r="CGB619" s="268"/>
      <c r="CGC619" s="268"/>
      <c r="CGD619" s="268"/>
      <c r="CGE619" s="268"/>
      <c r="CGF619" s="268"/>
      <c r="CGG619" s="268"/>
      <c r="CGH619" s="268"/>
      <c r="CGI619" s="268"/>
      <c r="CGJ619" s="268"/>
      <c r="CGK619" s="268"/>
      <c r="CGL619" s="268"/>
      <c r="CGM619" s="268"/>
      <c r="CGN619" s="268"/>
      <c r="CGO619" s="268"/>
      <c r="CGP619" s="268"/>
      <c r="CGQ619" s="268"/>
      <c r="CGR619" s="268"/>
      <c r="CGS619" s="268"/>
      <c r="CGT619" s="268"/>
      <c r="CGU619" s="268"/>
      <c r="CGV619" s="268"/>
      <c r="CGW619" s="268"/>
      <c r="CGX619" s="268"/>
      <c r="CGY619" s="268"/>
      <c r="CGZ619" s="268"/>
      <c r="CHA619" s="268"/>
      <c r="CHB619" s="268"/>
      <c r="CHC619" s="268"/>
      <c r="CHD619" s="268"/>
      <c r="CHE619" s="268"/>
      <c r="CHF619" s="268"/>
      <c r="CHG619" s="268"/>
      <c r="CHH619" s="268"/>
      <c r="CHI619" s="268"/>
      <c r="CHJ619" s="268"/>
      <c r="CHK619" s="268"/>
      <c r="CHL619" s="268"/>
      <c r="CHM619" s="268"/>
      <c r="CHN619" s="268"/>
      <c r="CHO619" s="268"/>
      <c r="CHP619" s="268"/>
      <c r="CHQ619" s="268"/>
      <c r="CHR619" s="268"/>
      <c r="CHS619" s="268"/>
      <c r="CHT619" s="268"/>
      <c r="CHU619" s="268"/>
      <c r="CHV619" s="268"/>
      <c r="CHW619" s="268"/>
      <c r="CHX619" s="268"/>
      <c r="CHY619" s="268"/>
      <c r="CHZ619" s="268"/>
      <c r="CIA619" s="268"/>
      <c r="CIB619" s="268"/>
      <c r="CIC619" s="268"/>
      <c r="CID619" s="268"/>
      <c r="CIE619" s="268"/>
      <c r="CIF619" s="268"/>
      <c r="CIG619" s="268"/>
      <c r="CIH619" s="268"/>
      <c r="CII619" s="268"/>
      <c r="CIJ619" s="268"/>
      <c r="CIK619" s="268"/>
      <c r="CIL619" s="268"/>
      <c r="CIM619" s="268"/>
      <c r="CIN619" s="268"/>
      <c r="CIO619" s="268"/>
      <c r="CIP619" s="268"/>
      <c r="CIQ619" s="268"/>
      <c r="CIR619" s="268"/>
      <c r="CIS619" s="268"/>
      <c r="CIT619" s="268"/>
      <c r="CIU619" s="268"/>
      <c r="CIV619" s="268"/>
      <c r="CIW619" s="268"/>
      <c r="CIX619" s="268"/>
      <c r="CIY619" s="268"/>
      <c r="CIZ619" s="268"/>
      <c r="CJA619" s="268"/>
      <c r="CJB619" s="268"/>
      <c r="CJC619" s="268"/>
      <c r="CJD619" s="268"/>
      <c r="CJE619" s="268"/>
      <c r="CJF619" s="268"/>
      <c r="CJG619" s="268"/>
      <c r="CJU619" s="268"/>
      <c r="CJV619" s="268"/>
      <c r="CJW619" s="268"/>
      <c r="CKK619" s="268"/>
      <c r="CKM619" s="268"/>
      <c r="CKN619" s="268"/>
      <c r="CKO619" s="268"/>
      <c r="CKP619" s="268"/>
      <c r="CKQ619" s="268"/>
      <c r="CKR619" s="268"/>
      <c r="CKS619" s="268"/>
      <c r="CKT619" s="268"/>
      <c r="CKU619" s="268"/>
      <c r="CKV619" s="268"/>
      <c r="CKW619" s="268"/>
      <c r="CKX619" s="268"/>
      <c r="CKY619" s="268"/>
      <c r="CKZ619" s="268"/>
      <c r="CLA619" s="268"/>
      <c r="CLB619" s="268"/>
      <c r="CLC619" s="268"/>
      <c r="CLD619" s="268"/>
      <c r="CLE619" s="268"/>
      <c r="CLF619" s="268"/>
      <c r="CLG619" s="268"/>
      <c r="CLH619" s="268"/>
      <c r="CLI619" s="268"/>
      <c r="CLJ619" s="268"/>
      <c r="CLK619" s="268"/>
      <c r="CLL619" s="268"/>
      <c r="CLM619" s="268"/>
      <c r="CLN619" s="268"/>
      <c r="CLO619" s="268"/>
      <c r="CLP619" s="268"/>
      <c r="CLQ619" s="268"/>
      <c r="CLR619" s="268"/>
      <c r="CLS619" s="268"/>
      <c r="CLT619" s="268"/>
      <c r="CLU619" s="268"/>
      <c r="CLV619" s="268"/>
      <c r="CLW619" s="268"/>
      <c r="CLX619" s="268"/>
      <c r="CLY619" s="268"/>
      <c r="CLZ619" s="268"/>
      <c r="CMA619" s="268"/>
      <c r="CMB619" s="268"/>
      <c r="CMC619" s="268"/>
      <c r="CMD619" s="268"/>
      <c r="CME619" s="268"/>
      <c r="CMF619" s="268"/>
      <c r="CMG619" s="268"/>
      <c r="CMH619" s="268"/>
      <c r="CMI619" s="268"/>
      <c r="CMJ619" s="268"/>
      <c r="CMK619" s="268"/>
      <c r="CML619" s="268"/>
      <c r="CMM619" s="268"/>
      <c r="CMN619" s="268"/>
      <c r="CMO619" s="268"/>
      <c r="CMP619" s="268"/>
      <c r="CMQ619" s="268"/>
      <c r="CMR619" s="268"/>
      <c r="CMS619" s="268"/>
      <c r="CMT619" s="268"/>
      <c r="CMU619" s="268"/>
      <c r="CMV619" s="268"/>
      <c r="CMW619" s="268"/>
      <c r="CMX619" s="268"/>
      <c r="CMY619" s="268"/>
      <c r="CMZ619" s="268"/>
      <c r="CNA619" s="268"/>
      <c r="CNB619" s="268"/>
      <c r="CNC619" s="268"/>
      <c r="CND619" s="268"/>
      <c r="CNE619" s="268"/>
      <c r="CNF619" s="268"/>
      <c r="CNG619" s="268"/>
      <c r="CNH619" s="268"/>
      <c r="CNI619" s="268"/>
      <c r="CNJ619" s="268"/>
      <c r="CNK619" s="268"/>
      <c r="CNL619" s="268"/>
      <c r="CNM619" s="268"/>
      <c r="CNN619" s="268"/>
      <c r="CNO619" s="268"/>
      <c r="CNP619" s="268"/>
      <c r="CNQ619" s="268"/>
      <c r="CNR619" s="268"/>
      <c r="CNS619" s="268"/>
      <c r="CNT619" s="268"/>
      <c r="CNU619" s="268"/>
      <c r="CNV619" s="268"/>
      <c r="CNW619" s="268"/>
      <c r="CNX619" s="268"/>
      <c r="CNY619" s="268"/>
      <c r="CNZ619" s="268"/>
      <c r="COA619" s="268"/>
      <c r="COB619" s="268"/>
      <c r="COC619" s="268"/>
      <c r="COD619" s="268"/>
      <c r="COE619" s="268"/>
      <c r="COF619" s="268"/>
      <c r="COG619" s="268"/>
      <c r="COH619" s="268"/>
      <c r="COI619" s="268"/>
      <c r="COJ619" s="268"/>
      <c r="COK619" s="268"/>
      <c r="COL619" s="268"/>
      <c r="COM619" s="268"/>
      <c r="CON619" s="268"/>
      <c r="COO619" s="268"/>
      <c r="COP619" s="268"/>
      <c r="COQ619" s="268"/>
      <c r="COR619" s="268"/>
      <c r="COS619" s="268"/>
      <c r="COT619" s="268"/>
      <c r="COU619" s="268"/>
      <c r="COV619" s="268"/>
      <c r="COW619" s="268"/>
      <c r="COX619" s="268"/>
      <c r="COY619" s="268"/>
      <c r="COZ619" s="268"/>
      <c r="CPA619" s="268"/>
      <c r="CPB619" s="268"/>
      <c r="CPC619" s="268"/>
      <c r="CPD619" s="268"/>
      <c r="CPE619" s="268"/>
      <c r="CPF619" s="268"/>
      <c r="CPG619" s="268"/>
      <c r="CPH619" s="268"/>
      <c r="CPI619" s="268"/>
      <c r="CPJ619" s="268"/>
      <c r="CPK619" s="268"/>
      <c r="CPL619" s="268"/>
      <c r="CPM619" s="268"/>
      <c r="CPN619" s="268"/>
      <c r="CPO619" s="268"/>
      <c r="CPP619" s="268"/>
      <c r="CPQ619" s="268"/>
      <c r="CPR619" s="268"/>
      <c r="CPS619" s="268"/>
      <c r="CPT619" s="268"/>
      <c r="CPU619" s="268"/>
      <c r="CPV619" s="268"/>
      <c r="CPW619" s="268"/>
      <c r="CPX619" s="268"/>
      <c r="CPY619" s="268"/>
      <c r="CPZ619" s="268"/>
      <c r="CQA619" s="268"/>
      <c r="CQB619" s="268"/>
      <c r="CQC619" s="268"/>
      <c r="CQD619" s="268"/>
      <c r="CQE619" s="268"/>
      <c r="CQF619" s="268"/>
      <c r="CQG619" s="268"/>
      <c r="CQH619" s="268"/>
      <c r="CQI619" s="268"/>
      <c r="CQJ619" s="268"/>
      <c r="CQK619" s="268"/>
      <c r="CQL619" s="268"/>
      <c r="CQM619" s="268"/>
      <c r="CQN619" s="268"/>
      <c r="CQO619" s="268"/>
      <c r="CQP619" s="268"/>
      <c r="CQQ619" s="268"/>
      <c r="CQR619" s="268"/>
      <c r="CQS619" s="268"/>
      <c r="CQT619" s="268"/>
      <c r="CQU619" s="268"/>
      <c r="CQV619" s="268"/>
      <c r="CQW619" s="268"/>
      <c r="CQX619" s="268"/>
      <c r="CQY619" s="268"/>
      <c r="CQZ619" s="268"/>
      <c r="CRA619" s="268"/>
      <c r="CRB619" s="268"/>
      <c r="CRC619" s="268"/>
      <c r="CRD619" s="268"/>
      <c r="CRE619" s="268"/>
      <c r="CRF619" s="268"/>
      <c r="CRG619" s="268"/>
      <c r="CRH619" s="268"/>
      <c r="CRI619" s="268"/>
      <c r="CRJ619" s="268"/>
      <c r="CRK619" s="268"/>
      <c r="CRL619" s="268"/>
      <c r="CRM619" s="268"/>
      <c r="CRN619" s="268"/>
      <c r="CRO619" s="268"/>
      <c r="CRP619" s="268"/>
      <c r="CRQ619" s="268"/>
      <c r="CRR619" s="268"/>
      <c r="CRS619" s="268"/>
      <c r="CRT619" s="268"/>
      <c r="CRU619" s="268"/>
      <c r="CRV619" s="268"/>
      <c r="CRW619" s="268"/>
      <c r="CRX619" s="268"/>
      <c r="CRY619" s="268"/>
      <c r="CRZ619" s="268"/>
      <c r="CSA619" s="268"/>
      <c r="CSB619" s="268"/>
      <c r="CSC619" s="268"/>
      <c r="CSD619" s="268"/>
      <c r="CSE619" s="268"/>
      <c r="CSF619" s="268"/>
      <c r="CSG619" s="268"/>
      <c r="CSH619" s="268"/>
      <c r="CSI619" s="268"/>
      <c r="CSJ619" s="268"/>
      <c r="CSK619" s="268"/>
      <c r="CSL619" s="268"/>
      <c r="CSM619" s="268"/>
      <c r="CSN619" s="268"/>
      <c r="CSO619" s="268"/>
      <c r="CSP619" s="268"/>
      <c r="CSQ619" s="268"/>
      <c r="CSR619" s="268"/>
      <c r="CSS619" s="268"/>
      <c r="CST619" s="268"/>
      <c r="CSU619" s="268"/>
      <c r="CSV619" s="268"/>
      <c r="CSW619" s="268"/>
      <c r="CSX619" s="268"/>
      <c r="CSY619" s="268"/>
      <c r="CSZ619" s="268"/>
      <c r="CTA619" s="268"/>
      <c r="CTB619" s="268"/>
      <c r="CTC619" s="268"/>
      <c r="CTQ619" s="268"/>
      <c r="CTR619" s="268"/>
      <c r="CTS619" s="268"/>
      <c r="CUG619" s="268"/>
      <c r="CUI619" s="268"/>
      <c r="CUJ619" s="268"/>
      <c r="CUK619" s="268"/>
      <c r="CUL619" s="268"/>
      <c r="CUM619" s="268"/>
      <c r="CUN619" s="268"/>
      <c r="CUO619" s="268"/>
      <c r="CUP619" s="268"/>
      <c r="CUQ619" s="268"/>
      <c r="CUR619" s="268"/>
      <c r="CUS619" s="268"/>
      <c r="CUT619" s="268"/>
      <c r="CUU619" s="268"/>
      <c r="CUV619" s="268"/>
      <c r="CUW619" s="268"/>
      <c r="CUX619" s="268"/>
      <c r="CUY619" s="268"/>
      <c r="CUZ619" s="268"/>
      <c r="CVA619" s="268"/>
      <c r="CVB619" s="268"/>
      <c r="CVC619" s="268"/>
      <c r="CVD619" s="268"/>
      <c r="CVE619" s="268"/>
      <c r="CVF619" s="268"/>
      <c r="CVG619" s="268"/>
      <c r="CVH619" s="268"/>
      <c r="CVI619" s="268"/>
      <c r="CVJ619" s="268"/>
      <c r="CVK619" s="268"/>
      <c r="CVL619" s="268"/>
      <c r="CVM619" s="268"/>
      <c r="CVN619" s="268"/>
      <c r="CVO619" s="268"/>
      <c r="CVP619" s="268"/>
      <c r="CVQ619" s="268"/>
      <c r="CVR619" s="268"/>
      <c r="CVS619" s="268"/>
      <c r="CVT619" s="268"/>
      <c r="CVU619" s="268"/>
      <c r="CVV619" s="268"/>
      <c r="CVW619" s="268"/>
      <c r="CVX619" s="268"/>
      <c r="CVY619" s="268"/>
      <c r="CVZ619" s="268"/>
      <c r="CWA619" s="268"/>
      <c r="CWB619" s="268"/>
      <c r="CWC619" s="268"/>
      <c r="CWD619" s="268"/>
      <c r="CWE619" s="268"/>
      <c r="CWF619" s="268"/>
      <c r="CWG619" s="268"/>
      <c r="CWH619" s="268"/>
      <c r="CWI619" s="268"/>
      <c r="CWJ619" s="268"/>
      <c r="CWK619" s="268"/>
      <c r="CWL619" s="268"/>
      <c r="CWM619" s="268"/>
      <c r="CWN619" s="268"/>
      <c r="CWO619" s="268"/>
      <c r="CWP619" s="268"/>
      <c r="CWQ619" s="268"/>
      <c r="CWR619" s="268"/>
      <c r="CWS619" s="268"/>
      <c r="CWT619" s="268"/>
      <c r="CWU619" s="268"/>
      <c r="CWV619" s="268"/>
      <c r="CWW619" s="268"/>
      <c r="CWX619" s="268"/>
      <c r="CWY619" s="268"/>
      <c r="CWZ619" s="268"/>
      <c r="CXA619" s="268"/>
      <c r="CXB619" s="268"/>
      <c r="CXC619" s="268"/>
      <c r="CXD619" s="268"/>
      <c r="CXE619" s="268"/>
      <c r="CXF619" s="268"/>
      <c r="CXG619" s="268"/>
      <c r="CXH619" s="268"/>
      <c r="CXI619" s="268"/>
      <c r="CXJ619" s="268"/>
      <c r="CXK619" s="268"/>
      <c r="CXL619" s="268"/>
      <c r="CXM619" s="268"/>
      <c r="CXN619" s="268"/>
      <c r="CXO619" s="268"/>
      <c r="CXP619" s="268"/>
      <c r="CXQ619" s="268"/>
      <c r="CXR619" s="268"/>
      <c r="CXS619" s="268"/>
      <c r="CXT619" s="268"/>
      <c r="CXU619" s="268"/>
      <c r="CXV619" s="268"/>
      <c r="CXW619" s="268"/>
      <c r="CXX619" s="268"/>
      <c r="CXY619" s="268"/>
      <c r="CXZ619" s="268"/>
      <c r="CYA619" s="268"/>
      <c r="CYB619" s="268"/>
      <c r="CYC619" s="268"/>
      <c r="CYD619" s="268"/>
      <c r="CYE619" s="268"/>
      <c r="CYF619" s="268"/>
      <c r="CYG619" s="268"/>
      <c r="CYH619" s="268"/>
      <c r="CYI619" s="268"/>
      <c r="CYJ619" s="268"/>
      <c r="CYK619" s="268"/>
      <c r="CYL619" s="268"/>
      <c r="CYM619" s="268"/>
      <c r="CYN619" s="268"/>
      <c r="CYO619" s="268"/>
      <c r="CYP619" s="268"/>
      <c r="CYQ619" s="268"/>
      <c r="CYR619" s="268"/>
      <c r="CYS619" s="268"/>
      <c r="CYT619" s="268"/>
      <c r="CYU619" s="268"/>
      <c r="CYV619" s="268"/>
      <c r="CYW619" s="268"/>
      <c r="CYX619" s="268"/>
      <c r="CYY619" s="268"/>
      <c r="CYZ619" s="268"/>
      <c r="CZA619" s="268"/>
      <c r="CZB619" s="268"/>
      <c r="CZC619" s="268"/>
      <c r="CZD619" s="268"/>
      <c r="CZE619" s="268"/>
      <c r="CZF619" s="268"/>
      <c r="CZG619" s="268"/>
      <c r="CZH619" s="268"/>
      <c r="CZI619" s="268"/>
      <c r="CZJ619" s="268"/>
      <c r="CZK619" s="268"/>
      <c r="CZL619" s="268"/>
      <c r="CZM619" s="268"/>
      <c r="CZN619" s="268"/>
      <c r="CZO619" s="268"/>
      <c r="CZP619" s="268"/>
      <c r="CZQ619" s="268"/>
      <c r="CZR619" s="268"/>
      <c r="CZS619" s="268"/>
      <c r="CZT619" s="268"/>
      <c r="CZU619" s="268"/>
      <c r="CZV619" s="268"/>
      <c r="CZW619" s="268"/>
      <c r="CZX619" s="268"/>
      <c r="CZY619" s="268"/>
      <c r="CZZ619" s="268"/>
      <c r="DAA619" s="268"/>
      <c r="DAB619" s="268"/>
      <c r="DAC619" s="268"/>
      <c r="DAD619" s="268"/>
      <c r="DAE619" s="268"/>
      <c r="DAF619" s="268"/>
      <c r="DAG619" s="268"/>
      <c r="DAH619" s="268"/>
      <c r="DAI619" s="268"/>
      <c r="DAJ619" s="268"/>
      <c r="DAK619" s="268"/>
      <c r="DAL619" s="268"/>
      <c r="DAM619" s="268"/>
      <c r="DAN619" s="268"/>
      <c r="DAO619" s="268"/>
      <c r="DAP619" s="268"/>
      <c r="DAQ619" s="268"/>
      <c r="DAR619" s="268"/>
      <c r="DAS619" s="268"/>
      <c r="DAT619" s="268"/>
      <c r="DAU619" s="268"/>
      <c r="DAV619" s="268"/>
      <c r="DAW619" s="268"/>
      <c r="DAX619" s="268"/>
      <c r="DAY619" s="268"/>
      <c r="DAZ619" s="268"/>
      <c r="DBA619" s="268"/>
      <c r="DBB619" s="268"/>
      <c r="DBC619" s="268"/>
      <c r="DBD619" s="268"/>
      <c r="DBE619" s="268"/>
      <c r="DBF619" s="268"/>
      <c r="DBG619" s="268"/>
      <c r="DBH619" s="268"/>
      <c r="DBI619" s="268"/>
      <c r="DBJ619" s="268"/>
      <c r="DBK619" s="268"/>
      <c r="DBL619" s="268"/>
      <c r="DBM619" s="268"/>
      <c r="DBN619" s="268"/>
      <c r="DBO619" s="268"/>
      <c r="DBP619" s="268"/>
      <c r="DBQ619" s="268"/>
      <c r="DBR619" s="268"/>
      <c r="DBS619" s="268"/>
      <c r="DBT619" s="268"/>
      <c r="DBU619" s="268"/>
      <c r="DBV619" s="268"/>
      <c r="DBW619" s="268"/>
      <c r="DBX619" s="268"/>
      <c r="DBY619" s="268"/>
      <c r="DBZ619" s="268"/>
      <c r="DCA619" s="268"/>
      <c r="DCB619" s="268"/>
      <c r="DCC619" s="268"/>
      <c r="DCD619" s="268"/>
      <c r="DCE619" s="268"/>
      <c r="DCF619" s="268"/>
      <c r="DCG619" s="268"/>
      <c r="DCH619" s="268"/>
      <c r="DCI619" s="268"/>
      <c r="DCJ619" s="268"/>
      <c r="DCK619" s="268"/>
      <c r="DCL619" s="268"/>
      <c r="DCM619" s="268"/>
      <c r="DCN619" s="268"/>
      <c r="DCO619" s="268"/>
      <c r="DCP619" s="268"/>
      <c r="DCQ619" s="268"/>
      <c r="DCR619" s="268"/>
      <c r="DCS619" s="268"/>
      <c r="DCT619" s="268"/>
      <c r="DCU619" s="268"/>
      <c r="DCV619" s="268"/>
      <c r="DCW619" s="268"/>
      <c r="DCX619" s="268"/>
      <c r="DCY619" s="268"/>
      <c r="DDM619" s="268"/>
      <c r="DDN619" s="268"/>
      <c r="DDO619" s="268"/>
      <c r="DEC619" s="268"/>
      <c r="DEE619" s="268"/>
      <c r="DEF619" s="268"/>
      <c r="DEG619" s="268"/>
      <c r="DEH619" s="268"/>
      <c r="DEI619" s="268"/>
      <c r="DEJ619" s="268"/>
      <c r="DEK619" s="268"/>
      <c r="DEL619" s="268"/>
      <c r="DEM619" s="268"/>
      <c r="DEN619" s="268"/>
      <c r="DEO619" s="268"/>
      <c r="DEP619" s="268"/>
      <c r="DEQ619" s="268"/>
      <c r="DER619" s="268"/>
      <c r="DES619" s="268"/>
      <c r="DET619" s="268"/>
      <c r="DEU619" s="268"/>
      <c r="DEV619" s="268"/>
      <c r="DEW619" s="268"/>
      <c r="DEX619" s="268"/>
      <c r="DEY619" s="268"/>
      <c r="DEZ619" s="268"/>
      <c r="DFA619" s="268"/>
      <c r="DFB619" s="268"/>
      <c r="DFC619" s="268"/>
      <c r="DFD619" s="268"/>
      <c r="DFE619" s="268"/>
      <c r="DFF619" s="268"/>
      <c r="DFG619" s="268"/>
      <c r="DFH619" s="268"/>
      <c r="DFI619" s="268"/>
      <c r="DFJ619" s="268"/>
      <c r="DFK619" s="268"/>
      <c r="DFL619" s="268"/>
      <c r="DFM619" s="268"/>
      <c r="DFN619" s="268"/>
      <c r="DFO619" s="268"/>
      <c r="DFP619" s="268"/>
      <c r="DFQ619" s="268"/>
      <c r="DFR619" s="268"/>
      <c r="DFS619" s="268"/>
      <c r="DFT619" s="268"/>
      <c r="DFU619" s="268"/>
      <c r="DFV619" s="268"/>
      <c r="DFW619" s="268"/>
      <c r="DFX619" s="268"/>
      <c r="DFY619" s="268"/>
      <c r="DFZ619" s="268"/>
      <c r="DGA619" s="268"/>
      <c r="DGB619" s="268"/>
      <c r="DGC619" s="268"/>
      <c r="DGD619" s="268"/>
      <c r="DGE619" s="268"/>
      <c r="DGF619" s="268"/>
      <c r="DGG619" s="268"/>
      <c r="DGH619" s="268"/>
      <c r="DGI619" s="268"/>
      <c r="DGJ619" s="268"/>
      <c r="DGK619" s="268"/>
      <c r="DGL619" s="268"/>
      <c r="DGM619" s="268"/>
      <c r="DGN619" s="268"/>
      <c r="DGO619" s="268"/>
      <c r="DGP619" s="268"/>
      <c r="DGQ619" s="268"/>
      <c r="DGR619" s="268"/>
      <c r="DGS619" s="268"/>
      <c r="DGT619" s="268"/>
      <c r="DGU619" s="268"/>
      <c r="DGV619" s="268"/>
      <c r="DGW619" s="268"/>
      <c r="DGX619" s="268"/>
      <c r="DGY619" s="268"/>
      <c r="DGZ619" s="268"/>
      <c r="DHA619" s="268"/>
      <c r="DHB619" s="268"/>
      <c r="DHC619" s="268"/>
      <c r="DHD619" s="268"/>
      <c r="DHE619" s="268"/>
      <c r="DHF619" s="268"/>
      <c r="DHG619" s="268"/>
      <c r="DHH619" s="268"/>
      <c r="DHI619" s="268"/>
      <c r="DHJ619" s="268"/>
      <c r="DHK619" s="268"/>
      <c r="DHL619" s="268"/>
      <c r="DHM619" s="268"/>
      <c r="DHN619" s="268"/>
      <c r="DHO619" s="268"/>
      <c r="DHP619" s="268"/>
      <c r="DHQ619" s="268"/>
      <c r="DHR619" s="268"/>
      <c r="DHS619" s="268"/>
      <c r="DHT619" s="268"/>
      <c r="DHU619" s="268"/>
      <c r="DHV619" s="268"/>
      <c r="DHW619" s="268"/>
      <c r="DHX619" s="268"/>
      <c r="DHY619" s="268"/>
      <c r="DHZ619" s="268"/>
      <c r="DIA619" s="268"/>
      <c r="DIB619" s="268"/>
      <c r="DIC619" s="268"/>
      <c r="DID619" s="268"/>
      <c r="DIE619" s="268"/>
      <c r="DIF619" s="268"/>
      <c r="DIG619" s="268"/>
      <c r="DIH619" s="268"/>
      <c r="DII619" s="268"/>
      <c r="DIJ619" s="268"/>
      <c r="DIK619" s="268"/>
      <c r="DIL619" s="268"/>
      <c r="DIM619" s="268"/>
      <c r="DIN619" s="268"/>
      <c r="DIO619" s="268"/>
      <c r="DIP619" s="268"/>
      <c r="DIQ619" s="268"/>
      <c r="DIR619" s="268"/>
      <c r="DIS619" s="268"/>
      <c r="DIT619" s="268"/>
      <c r="DIU619" s="268"/>
      <c r="DIV619" s="268"/>
      <c r="DIW619" s="268"/>
      <c r="DIX619" s="268"/>
      <c r="DIY619" s="268"/>
      <c r="DIZ619" s="268"/>
      <c r="DJA619" s="268"/>
      <c r="DJB619" s="268"/>
      <c r="DJC619" s="268"/>
      <c r="DJD619" s="268"/>
      <c r="DJE619" s="268"/>
      <c r="DJF619" s="268"/>
      <c r="DJG619" s="268"/>
      <c r="DJH619" s="268"/>
      <c r="DJI619" s="268"/>
      <c r="DJJ619" s="268"/>
      <c r="DJK619" s="268"/>
      <c r="DJL619" s="268"/>
      <c r="DJM619" s="268"/>
      <c r="DJN619" s="268"/>
      <c r="DJO619" s="268"/>
      <c r="DJP619" s="268"/>
      <c r="DJQ619" s="268"/>
      <c r="DJR619" s="268"/>
      <c r="DJS619" s="268"/>
      <c r="DJT619" s="268"/>
      <c r="DJU619" s="268"/>
      <c r="DJV619" s="268"/>
      <c r="DJW619" s="268"/>
      <c r="DJX619" s="268"/>
      <c r="DJY619" s="268"/>
      <c r="DJZ619" s="268"/>
      <c r="DKA619" s="268"/>
      <c r="DKB619" s="268"/>
      <c r="DKC619" s="268"/>
      <c r="DKD619" s="268"/>
      <c r="DKE619" s="268"/>
      <c r="DKF619" s="268"/>
      <c r="DKG619" s="268"/>
      <c r="DKH619" s="268"/>
      <c r="DKI619" s="268"/>
      <c r="DKJ619" s="268"/>
      <c r="DKK619" s="268"/>
      <c r="DKL619" s="268"/>
      <c r="DKM619" s="268"/>
      <c r="DKN619" s="268"/>
      <c r="DKO619" s="268"/>
      <c r="DKP619" s="268"/>
      <c r="DKQ619" s="268"/>
      <c r="DKR619" s="268"/>
      <c r="DKS619" s="268"/>
      <c r="DKT619" s="268"/>
      <c r="DKU619" s="268"/>
      <c r="DKV619" s="268"/>
      <c r="DKW619" s="268"/>
      <c r="DKX619" s="268"/>
      <c r="DKY619" s="268"/>
      <c r="DKZ619" s="268"/>
      <c r="DLA619" s="268"/>
      <c r="DLB619" s="268"/>
      <c r="DLC619" s="268"/>
      <c r="DLD619" s="268"/>
      <c r="DLE619" s="268"/>
      <c r="DLF619" s="268"/>
      <c r="DLG619" s="268"/>
      <c r="DLH619" s="268"/>
      <c r="DLI619" s="268"/>
      <c r="DLJ619" s="268"/>
      <c r="DLK619" s="268"/>
      <c r="DLL619" s="268"/>
      <c r="DLM619" s="268"/>
      <c r="DLN619" s="268"/>
      <c r="DLO619" s="268"/>
      <c r="DLP619" s="268"/>
      <c r="DLQ619" s="268"/>
      <c r="DLR619" s="268"/>
      <c r="DLS619" s="268"/>
      <c r="DLT619" s="268"/>
      <c r="DLU619" s="268"/>
      <c r="DLV619" s="268"/>
      <c r="DLW619" s="268"/>
      <c r="DLX619" s="268"/>
      <c r="DLY619" s="268"/>
      <c r="DLZ619" s="268"/>
      <c r="DMA619" s="268"/>
      <c r="DMB619" s="268"/>
      <c r="DMC619" s="268"/>
      <c r="DMD619" s="268"/>
      <c r="DME619" s="268"/>
      <c r="DMF619" s="268"/>
      <c r="DMG619" s="268"/>
      <c r="DMH619" s="268"/>
      <c r="DMI619" s="268"/>
      <c r="DMJ619" s="268"/>
      <c r="DMK619" s="268"/>
      <c r="DML619" s="268"/>
      <c r="DMM619" s="268"/>
      <c r="DMN619" s="268"/>
      <c r="DMO619" s="268"/>
      <c r="DMP619" s="268"/>
      <c r="DMQ619" s="268"/>
      <c r="DMR619" s="268"/>
      <c r="DMS619" s="268"/>
      <c r="DMT619" s="268"/>
      <c r="DMU619" s="268"/>
      <c r="DNI619" s="268"/>
      <c r="DNJ619" s="268"/>
      <c r="DNK619" s="268"/>
      <c r="DNY619" s="268"/>
      <c r="DOA619" s="268"/>
      <c r="DOB619" s="268"/>
      <c r="DOC619" s="268"/>
      <c r="DOD619" s="268"/>
      <c r="DOE619" s="268"/>
      <c r="DOF619" s="268"/>
      <c r="DOG619" s="268"/>
      <c r="DOH619" s="268"/>
      <c r="DOI619" s="268"/>
      <c r="DOJ619" s="268"/>
      <c r="DOK619" s="268"/>
      <c r="DOL619" s="268"/>
      <c r="DOM619" s="268"/>
      <c r="DON619" s="268"/>
      <c r="DOO619" s="268"/>
      <c r="DOP619" s="268"/>
      <c r="DOQ619" s="268"/>
      <c r="DOR619" s="268"/>
      <c r="DOS619" s="268"/>
      <c r="DOT619" s="268"/>
      <c r="DOU619" s="268"/>
      <c r="DOV619" s="268"/>
      <c r="DOW619" s="268"/>
      <c r="DOX619" s="268"/>
      <c r="DOY619" s="268"/>
      <c r="DOZ619" s="268"/>
      <c r="DPA619" s="268"/>
      <c r="DPB619" s="268"/>
      <c r="DPC619" s="268"/>
      <c r="DPD619" s="268"/>
      <c r="DPE619" s="268"/>
      <c r="DPF619" s="268"/>
      <c r="DPG619" s="268"/>
      <c r="DPH619" s="268"/>
      <c r="DPI619" s="268"/>
      <c r="DPJ619" s="268"/>
      <c r="DPK619" s="268"/>
      <c r="DPL619" s="268"/>
      <c r="DPM619" s="268"/>
      <c r="DPN619" s="268"/>
      <c r="DPO619" s="268"/>
      <c r="DPP619" s="268"/>
      <c r="DPQ619" s="268"/>
      <c r="DPR619" s="268"/>
      <c r="DPS619" s="268"/>
      <c r="DPT619" s="268"/>
      <c r="DPU619" s="268"/>
      <c r="DPV619" s="268"/>
      <c r="DPW619" s="268"/>
      <c r="DPX619" s="268"/>
      <c r="DPY619" s="268"/>
      <c r="DPZ619" s="268"/>
      <c r="DQA619" s="268"/>
      <c r="DQB619" s="268"/>
      <c r="DQC619" s="268"/>
      <c r="DQD619" s="268"/>
      <c r="DQE619" s="268"/>
      <c r="DQF619" s="268"/>
      <c r="DQG619" s="268"/>
      <c r="DQH619" s="268"/>
      <c r="DQI619" s="268"/>
      <c r="DQJ619" s="268"/>
      <c r="DQK619" s="268"/>
      <c r="DQL619" s="268"/>
      <c r="DQM619" s="268"/>
      <c r="DQN619" s="268"/>
      <c r="DQO619" s="268"/>
      <c r="DQP619" s="268"/>
      <c r="DQQ619" s="268"/>
      <c r="DQR619" s="268"/>
      <c r="DQS619" s="268"/>
      <c r="DQT619" s="268"/>
      <c r="DQU619" s="268"/>
      <c r="DQV619" s="268"/>
      <c r="DQW619" s="268"/>
      <c r="DQX619" s="268"/>
      <c r="DQY619" s="268"/>
      <c r="DQZ619" s="268"/>
      <c r="DRA619" s="268"/>
      <c r="DRB619" s="268"/>
      <c r="DRC619" s="268"/>
      <c r="DRD619" s="268"/>
      <c r="DRE619" s="268"/>
      <c r="DRF619" s="268"/>
      <c r="DRG619" s="268"/>
      <c r="DRH619" s="268"/>
      <c r="DRI619" s="268"/>
      <c r="DRJ619" s="268"/>
      <c r="DRK619" s="268"/>
      <c r="DRL619" s="268"/>
      <c r="DRM619" s="268"/>
      <c r="DRN619" s="268"/>
      <c r="DRO619" s="268"/>
      <c r="DRP619" s="268"/>
      <c r="DRQ619" s="268"/>
      <c r="DRR619" s="268"/>
      <c r="DRS619" s="268"/>
      <c r="DRT619" s="268"/>
      <c r="DRU619" s="268"/>
      <c r="DRV619" s="268"/>
      <c r="DRW619" s="268"/>
      <c r="DRX619" s="268"/>
      <c r="DRY619" s="268"/>
      <c r="DRZ619" s="268"/>
      <c r="DSA619" s="268"/>
      <c r="DSB619" s="268"/>
      <c r="DSC619" s="268"/>
      <c r="DSD619" s="268"/>
      <c r="DSE619" s="268"/>
      <c r="DSF619" s="268"/>
      <c r="DSG619" s="268"/>
      <c r="DSH619" s="268"/>
      <c r="DSI619" s="268"/>
      <c r="DSJ619" s="268"/>
      <c r="DSK619" s="268"/>
      <c r="DSL619" s="268"/>
      <c r="DSM619" s="268"/>
      <c r="DSN619" s="268"/>
      <c r="DSO619" s="268"/>
      <c r="DSP619" s="268"/>
      <c r="DSQ619" s="268"/>
      <c r="DSR619" s="268"/>
      <c r="DSS619" s="268"/>
      <c r="DST619" s="268"/>
      <c r="DSU619" s="268"/>
      <c r="DSV619" s="268"/>
      <c r="DSW619" s="268"/>
      <c r="DSX619" s="268"/>
      <c r="DSY619" s="268"/>
      <c r="DSZ619" s="268"/>
      <c r="DTA619" s="268"/>
      <c r="DTB619" s="268"/>
      <c r="DTC619" s="268"/>
      <c r="DTD619" s="268"/>
      <c r="DTE619" s="268"/>
      <c r="DTF619" s="268"/>
      <c r="DTG619" s="268"/>
      <c r="DTH619" s="268"/>
      <c r="DTI619" s="268"/>
      <c r="DTJ619" s="268"/>
      <c r="DTK619" s="268"/>
      <c r="DTL619" s="268"/>
      <c r="DTM619" s="268"/>
      <c r="DTN619" s="268"/>
      <c r="DTO619" s="268"/>
      <c r="DTP619" s="268"/>
      <c r="DTQ619" s="268"/>
      <c r="DTR619" s="268"/>
      <c r="DTS619" s="268"/>
      <c r="DTT619" s="268"/>
      <c r="DTU619" s="268"/>
      <c r="DTV619" s="268"/>
      <c r="DTW619" s="268"/>
      <c r="DTX619" s="268"/>
      <c r="DTY619" s="268"/>
      <c r="DTZ619" s="268"/>
      <c r="DUA619" s="268"/>
      <c r="DUB619" s="268"/>
      <c r="DUC619" s="268"/>
      <c r="DUD619" s="268"/>
      <c r="DUE619" s="268"/>
      <c r="DUF619" s="268"/>
      <c r="DUG619" s="268"/>
      <c r="DUH619" s="268"/>
      <c r="DUI619" s="268"/>
      <c r="DUJ619" s="268"/>
      <c r="DUK619" s="268"/>
      <c r="DUL619" s="268"/>
      <c r="DUM619" s="268"/>
      <c r="DUN619" s="268"/>
      <c r="DUO619" s="268"/>
      <c r="DUP619" s="268"/>
      <c r="DUQ619" s="268"/>
      <c r="DUR619" s="268"/>
      <c r="DUS619" s="268"/>
      <c r="DUT619" s="268"/>
      <c r="DUU619" s="268"/>
      <c r="DUV619" s="268"/>
      <c r="DUW619" s="268"/>
      <c r="DUX619" s="268"/>
      <c r="DUY619" s="268"/>
      <c r="DUZ619" s="268"/>
      <c r="DVA619" s="268"/>
      <c r="DVB619" s="268"/>
      <c r="DVC619" s="268"/>
      <c r="DVD619" s="268"/>
      <c r="DVE619" s="268"/>
      <c r="DVF619" s="268"/>
      <c r="DVG619" s="268"/>
      <c r="DVH619" s="268"/>
      <c r="DVI619" s="268"/>
      <c r="DVJ619" s="268"/>
      <c r="DVK619" s="268"/>
      <c r="DVL619" s="268"/>
      <c r="DVM619" s="268"/>
      <c r="DVN619" s="268"/>
      <c r="DVO619" s="268"/>
      <c r="DVP619" s="268"/>
      <c r="DVQ619" s="268"/>
      <c r="DVR619" s="268"/>
      <c r="DVS619" s="268"/>
      <c r="DVT619" s="268"/>
      <c r="DVU619" s="268"/>
      <c r="DVV619" s="268"/>
      <c r="DVW619" s="268"/>
      <c r="DVX619" s="268"/>
      <c r="DVY619" s="268"/>
      <c r="DVZ619" s="268"/>
      <c r="DWA619" s="268"/>
      <c r="DWB619" s="268"/>
      <c r="DWC619" s="268"/>
      <c r="DWD619" s="268"/>
      <c r="DWE619" s="268"/>
      <c r="DWF619" s="268"/>
      <c r="DWG619" s="268"/>
      <c r="DWH619" s="268"/>
      <c r="DWI619" s="268"/>
      <c r="DWJ619" s="268"/>
      <c r="DWK619" s="268"/>
      <c r="DWL619" s="268"/>
      <c r="DWM619" s="268"/>
      <c r="DWN619" s="268"/>
      <c r="DWO619" s="268"/>
      <c r="DWP619" s="268"/>
      <c r="DWQ619" s="268"/>
      <c r="DXE619" s="268"/>
      <c r="DXF619" s="268"/>
      <c r="DXG619" s="268"/>
      <c r="DXU619" s="268"/>
      <c r="DXW619" s="268"/>
      <c r="DXX619" s="268"/>
      <c r="DXY619" s="268"/>
      <c r="DXZ619" s="268"/>
      <c r="DYA619" s="268"/>
      <c r="DYB619" s="268"/>
      <c r="DYC619" s="268"/>
      <c r="DYD619" s="268"/>
      <c r="DYE619" s="268"/>
      <c r="DYF619" s="268"/>
      <c r="DYG619" s="268"/>
      <c r="DYH619" s="268"/>
      <c r="DYI619" s="268"/>
      <c r="DYJ619" s="268"/>
      <c r="DYK619" s="268"/>
      <c r="DYL619" s="268"/>
      <c r="DYM619" s="268"/>
      <c r="DYN619" s="268"/>
      <c r="DYO619" s="268"/>
      <c r="DYP619" s="268"/>
      <c r="DYQ619" s="268"/>
      <c r="DYR619" s="268"/>
      <c r="DYS619" s="268"/>
      <c r="DYT619" s="268"/>
      <c r="DYU619" s="268"/>
      <c r="DYV619" s="268"/>
      <c r="DYW619" s="268"/>
      <c r="DYX619" s="268"/>
      <c r="DYY619" s="268"/>
      <c r="DYZ619" s="268"/>
      <c r="DZA619" s="268"/>
      <c r="DZB619" s="268"/>
      <c r="DZC619" s="268"/>
      <c r="DZD619" s="268"/>
      <c r="DZE619" s="268"/>
      <c r="DZF619" s="268"/>
      <c r="DZG619" s="268"/>
      <c r="DZH619" s="268"/>
      <c r="DZI619" s="268"/>
      <c r="DZJ619" s="268"/>
      <c r="DZK619" s="268"/>
      <c r="DZL619" s="268"/>
      <c r="DZM619" s="268"/>
      <c r="DZN619" s="268"/>
      <c r="DZO619" s="268"/>
      <c r="DZP619" s="268"/>
      <c r="DZQ619" s="268"/>
      <c r="DZR619" s="268"/>
      <c r="DZS619" s="268"/>
      <c r="DZT619" s="268"/>
      <c r="DZU619" s="268"/>
      <c r="DZV619" s="268"/>
      <c r="DZW619" s="268"/>
      <c r="DZX619" s="268"/>
      <c r="DZY619" s="268"/>
      <c r="DZZ619" s="268"/>
      <c r="EAA619" s="268"/>
      <c r="EAB619" s="268"/>
      <c r="EAC619" s="268"/>
      <c r="EAD619" s="268"/>
      <c r="EAE619" s="268"/>
      <c r="EAF619" s="268"/>
      <c r="EAG619" s="268"/>
      <c r="EAH619" s="268"/>
      <c r="EAI619" s="268"/>
      <c r="EAJ619" s="268"/>
      <c r="EAK619" s="268"/>
      <c r="EAL619" s="268"/>
      <c r="EAM619" s="268"/>
      <c r="EAN619" s="268"/>
      <c r="EAO619" s="268"/>
      <c r="EAP619" s="268"/>
      <c r="EAQ619" s="268"/>
      <c r="EAR619" s="268"/>
      <c r="EAS619" s="268"/>
      <c r="EAT619" s="268"/>
      <c r="EAU619" s="268"/>
      <c r="EAV619" s="268"/>
      <c r="EAW619" s="268"/>
      <c r="EAX619" s="268"/>
      <c r="EAY619" s="268"/>
      <c r="EAZ619" s="268"/>
      <c r="EBA619" s="268"/>
      <c r="EBB619" s="268"/>
      <c r="EBC619" s="268"/>
      <c r="EBD619" s="268"/>
      <c r="EBE619" s="268"/>
      <c r="EBF619" s="268"/>
      <c r="EBG619" s="268"/>
      <c r="EBH619" s="268"/>
      <c r="EBI619" s="268"/>
      <c r="EBJ619" s="268"/>
      <c r="EBK619" s="268"/>
      <c r="EBL619" s="268"/>
      <c r="EBM619" s="268"/>
      <c r="EBN619" s="268"/>
      <c r="EBO619" s="268"/>
      <c r="EBP619" s="268"/>
      <c r="EBQ619" s="268"/>
      <c r="EBR619" s="268"/>
      <c r="EBS619" s="268"/>
      <c r="EBT619" s="268"/>
      <c r="EBU619" s="268"/>
      <c r="EBV619" s="268"/>
      <c r="EBW619" s="268"/>
      <c r="EBX619" s="268"/>
      <c r="EBY619" s="268"/>
      <c r="EBZ619" s="268"/>
      <c r="ECA619" s="268"/>
      <c r="ECB619" s="268"/>
      <c r="ECC619" s="268"/>
      <c r="ECD619" s="268"/>
      <c r="ECE619" s="268"/>
      <c r="ECF619" s="268"/>
      <c r="ECG619" s="268"/>
      <c r="ECH619" s="268"/>
      <c r="ECI619" s="268"/>
      <c r="ECJ619" s="268"/>
      <c r="ECK619" s="268"/>
      <c r="ECL619" s="268"/>
      <c r="ECM619" s="268"/>
      <c r="ECN619" s="268"/>
      <c r="ECO619" s="268"/>
      <c r="ECP619" s="268"/>
      <c r="ECQ619" s="268"/>
      <c r="ECR619" s="268"/>
      <c r="ECS619" s="268"/>
      <c r="ECT619" s="268"/>
      <c r="ECU619" s="268"/>
      <c r="ECV619" s="268"/>
      <c r="ECW619" s="268"/>
      <c r="ECX619" s="268"/>
      <c r="ECY619" s="268"/>
      <c r="ECZ619" s="268"/>
      <c r="EDA619" s="268"/>
      <c r="EDB619" s="268"/>
      <c r="EDC619" s="268"/>
      <c r="EDD619" s="268"/>
      <c r="EDE619" s="268"/>
      <c r="EDF619" s="268"/>
      <c r="EDG619" s="268"/>
      <c r="EDH619" s="268"/>
      <c r="EDI619" s="268"/>
      <c r="EDJ619" s="268"/>
      <c r="EDK619" s="268"/>
      <c r="EDL619" s="268"/>
      <c r="EDM619" s="268"/>
      <c r="EDN619" s="268"/>
      <c r="EDO619" s="268"/>
      <c r="EDP619" s="268"/>
      <c r="EDQ619" s="268"/>
      <c r="EDR619" s="268"/>
      <c r="EDS619" s="268"/>
      <c r="EDT619" s="268"/>
      <c r="EDU619" s="268"/>
      <c r="EDV619" s="268"/>
      <c r="EDW619" s="268"/>
      <c r="EDX619" s="268"/>
      <c r="EDY619" s="268"/>
      <c r="EDZ619" s="268"/>
      <c r="EEA619" s="268"/>
      <c r="EEB619" s="268"/>
      <c r="EEC619" s="268"/>
      <c r="EED619" s="268"/>
      <c r="EEE619" s="268"/>
      <c r="EEF619" s="268"/>
      <c r="EEG619" s="268"/>
      <c r="EEH619" s="268"/>
      <c r="EEI619" s="268"/>
      <c r="EEJ619" s="268"/>
      <c r="EEK619" s="268"/>
      <c r="EEL619" s="268"/>
      <c r="EEM619" s="268"/>
      <c r="EEN619" s="268"/>
      <c r="EEO619" s="268"/>
      <c r="EEP619" s="268"/>
      <c r="EEQ619" s="268"/>
      <c r="EER619" s="268"/>
      <c r="EES619" s="268"/>
      <c r="EET619" s="268"/>
      <c r="EEU619" s="268"/>
      <c r="EEV619" s="268"/>
      <c r="EEW619" s="268"/>
      <c r="EEX619" s="268"/>
      <c r="EEY619" s="268"/>
      <c r="EEZ619" s="268"/>
      <c r="EFA619" s="268"/>
      <c r="EFB619" s="268"/>
      <c r="EFC619" s="268"/>
      <c r="EFD619" s="268"/>
      <c r="EFE619" s="268"/>
      <c r="EFF619" s="268"/>
      <c r="EFG619" s="268"/>
      <c r="EFH619" s="268"/>
      <c r="EFI619" s="268"/>
      <c r="EFJ619" s="268"/>
      <c r="EFK619" s="268"/>
      <c r="EFL619" s="268"/>
      <c r="EFM619" s="268"/>
      <c r="EFN619" s="268"/>
      <c r="EFO619" s="268"/>
      <c r="EFP619" s="268"/>
      <c r="EFQ619" s="268"/>
      <c r="EFR619" s="268"/>
      <c r="EFS619" s="268"/>
      <c r="EFT619" s="268"/>
      <c r="EFU619" s="268"/>
      <c r="EFV619" s="268"/>
      <c r="EFW619" s="268"/>
      <c r="EFX619" s="268"/>
      <c r="EFY619" s="268"/>
      <c r="EFZ619" s="268"/>
      <c r="EGA619" s="268"/>
      <c r="EGB619" s="268"/>
      <c r="EGC619" s="268"/>
      <c r="EGD619" s="268"/>
      <c r="EGE619" s="268"/>
      <c r="EGF619" s="268"/>
      <c r="EGG619" s="268"/>
      <c r="EGH619" s="268"/>
      <c r="EGI619" s="268"/>
      <c r="EGJ619" s="268"/>
      <c r="EGK619" s="268"/>
      <c r="EGL619" s="268"/>
      <c r="EGM619" s="268"/>
      <c r="EHA619" s="268"/>
      <c r="EHB619" s="268"/>
      <c r="EHC619" s="268"/>
      <c r="EHQ619" s="268"/>
      <c r="EHS619" s="268"/>
      <c r="EHT619" s="268"/>
      <c r="EHU619" s="268"/>
      <c r="EHV619" s="268"/>
      <c r="EHW619" s="268"/>
      <c r="EHX619" s="268"/>
      <c r="EHY619" s="268"/>
      <c r="EHZ619" s="268"/>
      <c r="EIA619" s="268"/>
      <c r="EIB619" s="268"/>
      <c r="EIC619" s="268"/>
      <c r="EID619" s="268"/>
      <c r="EIE619" s="268"/>
      <c r="EIF619" s="268"/>
      <c r="EIG619" s="268"/>
      <c r="EIH619" s="268"/>
      <c r="EII619" s="268"/>
      <c r="EIJ619" s="268"/>
      <c r="EIK619" s="268"/>
      <c r="EIL619" s="268"/>
      <c r="EIM619" s="268"/>
      <c r="EIN619" s="268"/>
      <c r="EIO619" s="268"/>
      <c r="EIP619" s="268"/>
      <c r="EIQ619" s="268"/>
      <c r="EIR619" s="268"/>
      <c r="EIS619" s="268"/>
      <c r="EIT619" s="268"/>
      <c r="EIU619" s="268"/>
      <c r="EIV619" s="268"/>
      <c r="EIW619" s="268"/>
      <c r="EIX619" s="268"/>
      <c r="EIY619" s="268"/>
      <c r="EIZ619" s="268"/>
      <c r="EJA619" s="268"/>
      <c r="EJB619" s="268"/>
      <c r="EJC619" s="268"/>
      <c r="EJD619" s="268"/>
      <c r="EJE619" s="268"/>
      <c r="EJF619" s="268"/>
      <c r="EJG619" s="268"/>
      <c r="EJH619" s="268"/>
      <c r="EJI619" s="268"/>
      <c r="EJJ619" s="268"/>
      <c r="EJK619" s="268"/>
      <c r="EJL619" s="268"/>
      <c r="EJM619" s="268"/>
      <c r="EJN619" s="268"/>
      <c r="EJO619" s="268"/>
      <c r="EJP619" s="268"/>
      <c r="EJQ619" s="268"/>
      <c r="EJR619" s="268"/>
      <c r="EJS619" s="268"/>
      <c r="EJT619" s="268"/>
      <c r="EJU619" s="268"/>
      <c r="EJV619" s="268"/>
      <c r="EJW619" s="268"/>
      <c r="EJX619" s="268"/>
      <c r="EJY619" s="268"/>
      <c r="EJZ619" s="268"/>
      <c r="EKA619" s="268"/>
      <c r="EKB619" s="268"/>
      <c r="EKC619" s="268"/>
      <c r="EKD619" s="268"/>
      <c r="EKE619" s="268"/>
      <c r="EKF619" s="268"/>
      <c r="EKG619" s="268"/>
      <c r="EKH619" s="268"/>
      <c r="EKI619" s="268"/>
      <c r="EKJ619" s="268"/>
      <c r="EKK619" s="268"/>
      <c r="EKL619" s="268"/>
      <c r="EKM619" s="268"/>
      <c r="EKN619" s="268"/>
      <c r="EKO619" s="268"/>
      <c r="EKP619" s="268"/>
      <c r="EKQ619" s="268"/>
      <c r="EKR619" s="268"/>
      <c r="EKS619" s="268"/>
      <c r="EKT619" s="268"/>
      <c r="EKU619" s="268"/>
      <c r="EKV619" s="268"/>
      <c r="EKW619" s="268"/>
      <c r="EKX619" s="268"/>
      <c r="EKY619" s="268"/>
      <c r="EKZ619" s="268"/>
      <c r="ELA619" s="268"/>
      <c r="ELB619" s="268"/>
      <c r="ELC619" s="268"/>
      <c r="ELD619" s="268"/>
      <c r="ELE619" s="268"/>
      <c r="ELF619" s="268"/>
      <c r="ELG619" s="268"/>
      <c r="ELH619" s="268"/>
      <c r="ELI619" s="268"/>
      <c r="ELJ619" s="268"/>
      <c r="ELK619" s="268"/>
      <c r="ELL619" s="268"/>
      <c r="ELM619" s="268"/>
      <c r="ELN619" s="268"/>
      <c r="ELO619" s="268"/>
      <c r="ELP619" s="268"/>
      <c r="ELQ619" s="268"/>
      <c r="ELR619" s="268"/>
      <c r="ELS619" s="268"/>
      <c r="ELT619" s="268"/>
      <c r="ELU619" s="268"/>
      <c r="ELV619" s="268"/>
      <c r="ELW619" s="268"/>
      <c r="ELX619" s="268"/>
      <c r="ELY619" s="268"/>
      <c r="ELZ619" s="268"/>
      <c r="EMA619" s="268"/>
      <c r="EMB619" s="268"/>
      <c r="EMC619" s="268"/>
      <c r="EMD619" s="268"/>
      <c r="EME619" s="268"/>
      <c r="EMF619" s="268"/>
      <c r="EMG619" s="268"/>
      <c r="EMH619" s="268"/>
      <c r="EMI619" s="268"/>
      <c r="EMJ619" s="268"/>
      <c r="EMK619" s="268"/>
      <c r="EML619" s="268"/>
      <c r="EMM619" s="268"/>
      <c r="EMN619" s="268"/>
      <c r="EMO619" s="268"/>
      <c r="EMP619" s="268"/>
      <c r="EMQ619" s="268"/>
      <c r="EMR619" s="268"/>
      <c r="EMS619" s="268"/>
      <c r="EMT619" s="268"/>
      <c r="EMU619" s="268"/>
      <c r="EMV619" s="268"/>
      <c r="EMW619" s="268"/>
      <c r="EMX619" s="268"/>
      <c r="EMY619" s="268"/>
      <c r="EMZ619" s="268"/>
      <c r="ENA619" s="268"/>
      <c r="ENB619" s="268"/>
      <c r="ENC619" s="268"/>
      <c r="END619" s="268"/>
      <c r="ENE619" s="268"/>
      <c r="ENF619" s="268"/>
      <c r="ENG619" s="268"/>
      <c r="ENH619" s="268"/>
      <c r="ENI619" s="268"/>
      <c r="ENJ619" s="268"/>
      <c r="ENK619" s="268"/>
      <c r="ENL619" s="268"/>
      <c r="ENM619" s="268"/>
      <c r="ENN619" s="268"/>
      <c r="ENO619" s="268"/>
      <c r="ENP619" s="268"/>
      <c r="ENQ619" s="268"/>
      <c r="ENR619" s="268"/>
      <c r="ENS619" s="268"/>
      <c r="ENT619" s="268"/>
      <c r="ENU619" s="268"/>
      <c r="ENV619" s="268"/>
      <c r="ENW619" s="268"/>
      <c r="ENX619" s="268"/>
      <c r="ENY619" s="268"/>
      <c r="ENZ619" s="268"/>
      <c r="EOA619" s="268"/>
      <c r="EOB619" s="268"/>
      <c r="EOC619" s="268"/>
      <c r="EOD619" s="268"/>
      <c r="EOE619" s="268"/>
      <c r="EOF619" s="268"/>
      <c r="EOG619" s="268"/>
      <c r="EOH619" s="268"/>
      <c r="EOI619" s="268"/>
      <c r="EOJ619" s="268"/>
      <c r="EOK619" s="268"/>
      <c r="EOL619" s="268"/>
      <c r="EOM619" s="268"/>
      <c r="EON619" s="268"/>
      <c r="EOO619" s="268"/>
      <c r="EOP619" s="268"/>
      <c r="EOQ619" s="268"/>
      <c r="EOR619" s="268"/>
      <c r="EOS619" s="268"/>
      <c r="EOT619" s="268"/>
      <c r="EOU619" s="268"/>
      <c r="EOV619" s="268"/>
      <c r="EOW619" s="268"/>
      <c r="EOX619" s="268"/>
      <c r="EOY619" s="268"/>
      <c r="EOZ619" s="268"/>
      <c r="EPA619" s="268"/>
      <c r="EPB619" s="268"/>
      <c r="EPC619" s="268"/>
      <c r="EPD619" s="268"/>
      <c r="EPE619" s="268"/>
      <c r="EPF619" s="268"/>
      <c r="EPG619" s="268"/>
      <c r="EPH619" s="268"/>
      <c r="EPI619" s="268"/>
      <c r="EPJ619" s="268"/>
      <c r="EPK619" s="268"/>
      <c r="EPL619" s="268"/>
      <c r="EPM619" s="268"/>
      <c r="EPN619" s="268"/>
      <c r="EPO619" s="268"/>
      <c r="EPP619" s="268"/>
      <c r="EPQ619" s="268"/>
      <c r="EPR619" s="268"/>
      <c r="EPS619" s="268"/>
      <c r="EPT619" s="268"/>
      <c r="EPU619" s="268"/>
      <c r="EPV619" s="268"/>
      <c r="EPW619" s="268"/>
      <c r="EPX619" s="268"/>
      <c r="EPY619" s="268"/>
      <c r="EPZ619" s="268"/>
      <c r="EQA619" s="268"/>
      <c r="EQB619" s="268"/>
      <c r="EQC619" s="268"/>
      <c r="EQD619" s="268"/>
      <c r="EQE619" s="268"/>
      <c r="EQF619" s="268"/>
      <c r="EQG619" s="268"/>
      <c r="EQH619" s="268"/>
      <c r="EQI619" s="268"/>
      <c r="EQW619" s="268"/>
      <c r="EQX619" s="268"/>
      <c r="EQY619" s="268"/>
      <c r="ERM619" s="268"/>
      <c r="ERO619" s="268"/>
      <c r="ERP619" s="268"/>
      <c r="ERQ619" s="268"/>
      <c r="ERR619" s="268"/>
      <c r="ERS619" s="268"/>
      <c r="ERT619" s="268"/>
      <c r="ERU619" s="268"/>
      <c r="ERV619" s="268"/>
      <c r="ERW619" s="268"/>
      <c r="ERX619" s="268"/>
      <c r="ERY619" s="268"/>
      <c r="ERZ619" s="268"/>
      <c r="ESA619" s="268"/>
      <c r="ESB619" s="268"/>
      <c r="ESC619" s="268"/>
      <c r="ESD619" s="268"/>
      <c r="ESE619" s="268"/>
      <c r="ESF619" s="268"/>
      <c r="ESG619" s="268"/>
      <c r="ESH619" s="268"/>
      <c r="ESI619" s="268"/>
      <c r="ESJ619" s="268"/>
      <c r="ESK619" s="268"/>
      <c r="ESL619" s="268"/>
      <c r="ESM619" s="268"/>
      <c r="ESN619" s="268"/>
      <c r="ESO619" s="268"/>
      <c r="ESP619" s="268"/>
      <c r="ESQ619" s="268"/>
      <c r="ESR619" s="268"/>
      <c r="ESS619" s="268"/>
      <c r="EST619" s="268"/>
      <c r="ESU619" s="268"/>
      <c r="ESV619" s="268"/>
      <c r="ESW619" s="268"/>
      <c r="ESX619" s="268"/>
      <c r="ESY619" s="268"/>
      <c r="ESZ619" s="268"/>
      <c r="ETA619" s="268"/>
      <c r="ETB619" s="268"/>
      <c r="ETC619" s="268"/>
      <c r="ETD619" s="268"/>
      <c r="ETE619" s="268"/>
      <c r="ETF619" s="268"/>
      <c r="ETG619" s="268"/>
      <c r="ETH619" s="268"/>
      <c r="ETI619" s="268"/>
      <c r="ETJ619" s="268"/>
      <c r="ETK619" s="268"/>
      <c r="ETL619" s="268"/>
      <c r="ETM619" s="268"/>
      <c r="ETN619" s="268"/>
      <c r="ETO619" s="268"/>
      <c r="ETP619" s="268"/>
      <c r="ETQ619" s="268"/>
      <c r="ETR619" s="268"/>
      <c r="ETS619" s="268"/>
      <c r="ETT619" s="268"/>
      <c r="ETU619" s="268"/>
      <c r="ETV619" s="268"/>
      <c r="ETW619" s="268"/>
      <c r="ETX619" s="268"/>
      <c r="ETY619" s="268"/>
      <c r="ETZ619" s="268"/>
      <c r="EUA619" s="268"/>
      <c r="EUB619" s="268"/>
      <c r="EUC619" s="268"/>
      <c r="EUD619" s="268"/>
      <c r="EUE619" s="268"/>
      <c r="EUF619" s="268"/>
      <c r="EUG619" s="268"/>
      <c r="EUH619" s="268"/>
      <c r="EUI619" s="268"/>
      <c r="EUJ619" s="268"/>
      <c r="EUK619" s="268"/>
      <c r="EUL619" s="268"/>
      <c r="EUM619" s="268"/>
      <c r="EUN619" s="268"/>
      <c r="EUO619" s="268"/>
      <c r="EUP619" s="268"/>
      <c r="EUQ619" s="268"/>
      <c r="EUR619" s="268"/>
      <c r="EUS619" s="268"/>
      <c r="EUT619" s="268"/>
      <c r="EUU619" s="268"/>
      <c r="EUV619" s="268"/>
      <c r="EUW619" s="268"/>
      <c r="EUX619" s="268"/>
      <c r="EUY619" s="268"/>
      <c r="EUZ619" s="268"/>
      <c r="EVA619" s="268"/>
      <c r="EVB619" s="268"/>
      <c r="EVC619" s="268"/>
      <c r="EVD619" s="268"/>
      <c r="EVE619" s="268"/>
      <c r="EVF619" s="268"/>
      <c r="EVG619" s="268"/>
      <c r="EVH619" s="268"/>
      <c r="EVI619" s="268"/>
      <c r="EVJ619" s="268"/>
      <c r="EVK619" s="268"/>
      <c r="EVL619" s="268"/>
      <c r="EVM619" s="268"/>
      <c r="EVN619" s="268"/>
      <c r="EVO619" s="268"/>
      <c r="EVP619" s="268"/>
      <c r="EVQ619" s="268"/>
      <c r="EVR619" s="268"/>
      <c r="EVS619" s="268"/>
      <c r="EVT619" s="268"/>
      <c r="EVU619" s="268"/>
      <c r="EVV619" s="268"/>
      <c r="EVW619" s="268"/>
      <c r="EVX619" s="268"/>
      <c r="EVY619" s="268"/>
      <c r="EVZ619" s="268"/>
      <c r="EWA619" s="268"/>
      <c r="EWB619" s="268"/>
      <c r="EWC619" s="268"/>
      <c r="EWD619" s="268"/>
      <c r="EWE619" s="268"/>
      <c r="EWF619" s="268"/>
      <c r="EWG619" s="268"/>
      <c r="EWH619" s="268"/>
      <c r="EWI619" s="268"/>
      <c r="EWJ619" s="268"/>
      <c r="EWK619" s="268"/>
      <c r="EWL619" s="268"/>
      <c r="EWM619" s="268"/>
      <c r="EWN619" s="268"/>
      <c r="EWO619" s="268"/>
      <c r="EWP619" s="268"/>
      <c r="EWQ619" s="268"/>
      <c r="EWR619" s="268"/>
      <c r="EWS619" s="268"/>
      <c r="EWT619" s="268"/>
      <c r="EWU619" s="268"/>
      <c r="EWV619" s="268"/>
      <c r="EWW619" s="268"/>
      <c r="EWX619" s="268"/>
      <c r="EWY619" s="268"/>
      <c r="EWZ619" s="268"/>
      <c r="EXA619" s="268"/>
      <c r="EXB619" s="268"/>
      <c r="EXC619" s="268"/>
      <c r="EXD619" s="268"/>
      <c r="EXE619" s="268"/>
      <c r="EXF619" s="268"/>
      <c r="EXG619" s="268"/>
      <c r="EXH619" s="268"/>
      <c r="EXI619" s="268"/>
      <c r="EXJ619" s="268"/>
      <c r="EXK619" s="268"/>
      <c r="EXL619" s="268"/>
      <c r="EXM619" s="268"/>
      <c r="EXN619" s="268"/>
      <c r="EXO619" s="268"/>
      <c r="EXP619" s="268"/>
      <c r="EXQ619" s="268"/>
      <c r="EXR619" s="268"/>
      <c r="EXS619" s="268"/>
      <c r="EXT619" s="268"/>
      <c r="EXU619" s="268"/>
      <c r="EXV619" s="268"/>
      <c r="EXW619" s="268"/>
      <c r="EXX619" s="268"/>
      <c r="EXY619" s="268"/>
      <c r="EXZ619" s="268"/>
      <c r="EYA619" s="268"/>
      <c r="EYB619" s="268"/>
      <c r="EYC619" s="268"/>
      <c r="EYD619" s="268"/>
      <c r="EYE619" s="268"/>
      <c r="EYF619" s="268"/>
      <c r="EYG619" s="268"/>
      <c r="EYH619" s="268"/>
      <c r="EYI619" s="268"/>
      <c r="EYJ619" s="268"/>
      <c r="EYK619" s="268"/>
      <c r="EYL619" s="268"/>
      <c r="EYM619" s="268"/>
      <c r="EYN619" s="268"/>
      <c r="EYO619" s="268"/>
      <c r="EYP619" s="268"/>
      <c r="EYQ619" s="268"/>
      <c r="EYR619" s="268"/>
      <c r="EYS619" s="268"/>
      <c r="EYT619" s="268"/>
      <c r="EYU619" s="268"/>
      <c r="EYV619" s="268"/>
      <c r="EYW619" s="268"/>
      <c r="EYX619" s="268"/>
      <c r="EYY619" s="268"/>
      <c r="EYZ619" s="268"/>
      <c r="EZA619" s="268"/>
      <c r="EZB619" s="268"/>
      <c r="EZC619" s="268"/>
      <c r="EZD619" s="268"/>
      <c r="EZE619" s="268"/>
      <c r="EZF619" s="268"/>
      <c r="EZG619" s="268"/>
      <c r="EZH619" s="268"/>
      <c r="EZI619" s="268"/>
      <c r="EZJ619" s="268"/>
      <c r="EZK619" s="268"/>
      <c r="EZL619" s="268"/>
      <c r="EZM619" s="268"/>
      <c r="EZN619" s="268"/>
      <c r="EZO619" s="268"/>
      <c r="EZP619" s="268"/>
      <c r="EZQ619" s="268"/>
      <c r="EZR619" s="268"/>
      <c r="EZS619" s="268"/>
      <c r="EZT619" s="268"/>
      <c r="EZU619" s="268"/>
      <c r="EZV619" s="268"/>
      <c r="EZW619" s="268"/>
      <c r="EZX619" s="268"/>
      <c r="EZY619" s="268"/>
      <c r="EZZ619" s="268"/>
      <c r="FAA619" s="268"/>
      <c r="FAB619" s="268"/>
      <c r="FAC619" s="268"/>
      <c r="FAD619" s="268"/>
      <c r="FAE619" s="268"/>
      <c r="FAS619" s="268"/>
      <c r="FAT619" s="268"/>
      <c r="FAU619" s="268"/>
      <c r="FBI619" s="268"/>
      <c r="FBK619" s="268"/>
      <c r="FBL619" s="268"/>
      <c r="FBM619" s="268"/>
      <c r="FBN619" s="268"/>
      <c r="FBO619" s="268"/>
      <c r="FBP619" s="268"/>
      <c r="FBQ619" s="268"/>
      <c r="FBR619" s="268"/>
      <c r="FBS619" s="268"/>
      <c r="FBT619" s="268"/>
      <c r="FBU619" s="268"/>
      <c r="FBV619" s="268"/>
      <c r="FBW619" s="268"/>
      <c r="FBX619" s="268"/>
      <c r="FBY619" s="268"/>
      <c r="FBZ619" s="268"/>
      <c r="FCA619" s="268"/>
      <c r="FCB619" s="268"/>
      <c r="FCC619" s="268"/>
      <c r="FCD619" s="268"/>
      <c r="FCE619" s="268"/>
      <c r="FCF619" s="268"/>
      <c r="FCG619" s="268"/>
      <c r="FCH619" s="268"/>
      <c r="FCI619" s="268"/>
      <c r="FCJ619" s="268"/>
      <c r="FCK619" s="268"/>
      <c r="FCL619" s="268"/>
      <c r="FCM619" s="268"/>
      <c r="FCN619" s="268"/>
      <c r="FCO619" s="268"/>
      <c r="FCP619" s="268"/>
      <c r="FCQ619" s="268"/>
      <c r="FCR619" s="268"/>
      <c r="FCS619" s="268"/>
      <c r="FCT619" s="268"/>
      <c r="FCU619" s="268"/>
      <c r="FCV619" s="268"/>
      <c r="FCW619" s="268"/>
      <c r="FCX619" s="268"/>
      <c r="FCY619" s="268"/>
      <c r="FCZ619" s="268"/>
      <c r="FDA619" s="268"/>
      <c r="FDB619" s="268"/>
      <c r="FDC619" s="268"/>
      <c r="FDD619" s="268"/>
      <c r="FDE619" s="268"/>
      <c r="FDF619" s="268"/>
      <c r="FDG619" s="268"/>
      <c r="FDH619" s="268"/>
      <c r="FDI619" s="268"/>
      <c r="FDJ619" s="268"/>
      <c r="FDK619" s="268"/>
      <c r="FDL619" s="268"/>
      <c r="FDM619" s="268"/>
      <c r="FDN619" s="268"/>
      <c r="FDO619" s="268"/>
      <c r="FDP619" s="268"/>
      <c r="FDQ619" s="268"/>
      <c r="FDR619" s="268"/>
      <c r="FDS619" s="268"/>
      <c r="FDT619" s="268"/>
      <c r="FDU619" s="268"/>
      <c r="FDV619" s="268"/>
      <c r="FDW619" s="268"/>
      <c r="FDX619" s="268"/>
      <c r="FDY619" s="268"/>
      <c r="FDZ619" s="268"/>
      <c r="FEA619" s="268"/>
      <c r="FEB619" s="268"/>
      <c r="FEC619" s="268"/>
      <c r="FED619" s="268"/>
      <c r="FEE619" s="268"/>
      <c r="FEF619" s="268"/>
      <c r="FEG619" s="268"/>
      <c r="FEH619" s="268"/>
      <c r="FEI619" s="268"/>
      <c r="FEJ619" s="268"/>
      <c r="FEK619" s="268"/>
      <c r="FEL619" s="268"/>
      <c r="FEM619" s="268"/>
      <c r="FEN619" s="268"/>
      <c r="FEO619" s="268"/>
      <c r="FEP619" s="268"/>
      <c r="FEQ619" s="268"/>
      <c r="FER619" s="268"/>
      <c r="FES619" s="268"/>
      <c r="FET619" s="268"/>
      <c r="FEU619" s="268"/>
      <c r="FEV619" s="268"/>
      <c r="FEW619" s="268"/>
      <c r="FEX619" s="268"/>
      <c r="FEY619" s="268"/>
      <c r="FEZ619" s="268"/>
      <c r="FFA619" s="268"/>
      <c r="FFB619" s="268"/>
      <c r="FFC619" s="268"/>
      <c r="FFD619" s="268"/>
      <c r="FFE619" s="268"/>
      <c r="FFF619" s="268"/>
      <c r="FFG619" s="268"/>
      <c r="FFH619" s="268"/>
      <c r="FFI619" s="268"/>
      <c r="FFJ619" s="268"/>
      <c r="FFK619" s="268"/>
      <c r="FFL619" s="268"/>
      <c r="FFM619" s="268"/>
      <c r="FFN619" s="268"/>
      <c r="FFO619" s="268"/>
      <c r="FFP619" s="268"/>
      <c r="FFQ619" s="268"/>
      <c r="FFR619" s="268"/>
      <c r="FFS619" s="268"/>
      <c r="FFT619" s="268"/>
      <c r="FFU619" s="268"/>
      <c r="FFV619" s="268"/>
      <c r="FFW619" s="268"/>
      <c r="FFX619" s="268"/>
      <c r="FFY619" s="268"/>
      <c r="FFZ619" s="268"/>
      <c r="FGA619" s="268"/>
      <c r="FGB619" s="268"/>
      <c r="FGC619" s="268"/>
      <c r="FGD619" s="268"/>
      <c r="FGE619" s="268"/>
      <c r="FGF619" s="268"/>
      <c r="FGG619" s="268"/>
      <c r="FGH619" s="268"/>
      <c r="FGI619" s="268"/>
      <c r="FGJ619" s="268"/>
      <c r="FGK619" s="268"/>
      <c r="FGL619" s="268"/>
      <c r="FGM619" s="268"/>
      <c r="FGN619" s="268"/>
      <c r="FGO619" s="268"/>
      <c r="FGP619" s="268"/>
      <c r="FGQ619" s="268"/>
      <c r="FGR619" s="268"/>
      <c r="FGS619" s="268"/>
      <c r="FGT619" s="268"/>
      <c r="FGU619" s="268"/>
      <c r="FGV619" s="268"/>
      <c r="FGW619" s="268"/>
      <c r="FGX619" s="268"/>
      <c r="FGY619" s="268"/>
      <c r="FGZ619" s="268"/>
      <c r="FHA619" s="268"/>
      <c r="FHB619" s="268"/>
      <c r="FHC619" s="268"/>
      <c r="FHD619" s="268"/>
      <c r="FHE619" s="268"/>
      <c r="FHF619" s="268"/>
      <c r="FHG619" s="268"/>
      <c r="FHH619" s="268"/>
      <c r="FHI619" s="268"/>
      <c r="FHJ619" s="268"/>
      <c r="FHK619" s="268"/>
      <c r="FHL619" s="268"/>
      <c r="FHM619" s="268"/>
      <c r="FHN619" s="268"/>
      <c r="FHO619" s="268"/>
      <c r="FHP619" s="268"/>
      <c r="FHQ619" s="268"/>
      <c r="FHR619" s="268"/>
      <c r="FHS619" s="268"/>
      <c r="FHT619" s="268"/>
      <c r="FHU619" s="268"/>
      <c r="FHV619" s="268"/>
      <c r="FHW619" s="268"/>
      <c r="FHX619" s="268"/>
      <c r="FHY619" s="268"/>
      <c r="FHZ619" s="268"/>
      <c r="FIA619" s="268"/>
      <c r="FIB619" s="268"/>
      <c r="FIC619" s="268"/>
      <c r="FID619" s="268"/>
      <c r="FIE619" s="268"/>
      <c r="FIF619" s="268"/>
      <c r="FIG619" s="268"/>
      <c r="FIH619" s="268"/>
      <c r="FII619" s="268"/>
      <c r="FIJ619" s="268"/>
      <c r="FIK619" s="268"/>
      <c r="FIL619" s="268"/>
      <c r="FIM619" s="268"/>
      <c r="FIN619" s="268"/>
      <c r="FIO619" s="268"/>
      <c r="FIP619" s="268"/>
      <c r="FIQ619" s="268"/>
      <c r="FIR619" s="268"/>
      <c r="FIS619" s="268"/>
      <c r="FIT619" s="268"/>
      <c r="FIU619" s="268"/>
      <c r="FIV619" s="268"/>
      <c r="FIW619" s="268"/>
      <c r="FIX619" s="268"/>
      <c r="FIY619" s="268"/>
      <c r="FIZ619" s="268"/>
      <c r="FJA619" s="268"/>
      <c r="FJB619" s="268"/>
      <c r="FJC619" s="268"/>
      <c r="FJD619" s="268"/>
      <c r="FJE619" s="268"/>
      <c r="FJF619" s="268"/>
      <c r="FJG619" s="268"/>
      <c r="FJH619" s="268"/>
      <c r="FJI619" s="268"/>
      <c r="FJJ619" s="268"/>
      <c r="FJK619" s="268"/>
      <c r="FJL619" s="268"/>
      <c r="FJM619" s="268"/>
      <c r="FJN619" s="268"/>
      <c r="FJO619" s="268"/>
      <c r="FJP619" s="268"/>
      <c r="FJQ619" s="268"/>
      <c r="FJR619" s="268"/>
      <c r="FJS619" s="268"/>
      <c r="FJT619" s="268"/>
      <c r="FJU619" s="268"/>
      <c r="FJV619" s="268"/>
      <c r="FJW619" s="268"/>
      <c r="FJX619" s="268"/>
      <c r="FJY619" s="268"/>
      <c r="FJZ619" s="268"/>
      <c r="FKA619" s="268"/>
      <c r="FKO619" s="268"/>
      <c r="FKP619" s="268"/>
      <c r="FKQ619" s="268"/>
      <c r="FLE619" s="268"/>
      <c r="FLG619" s="268"/>
      <c r="FLH619" s="268"/>
      <c r="FLI619" s="268"/>
      <c r="FLJ619" s="268"/>
      <c r="FLK619" s="268"/>
      <c r="FLL619" s="268"/>
      <c r="FLM619" s="268"/>
      <c r="FLN619" s="268"/>
      <c r="FLO619" s="268"/>
      <c r="FLP619" s="268"/>
      <c r="FLQ619" s="268"/>
      <c r="FLR619" s="268"/>
      <c r="FLS619" s="268"/>
      <c r="FLT619" s="268"/>
      <c r="FLU619" s="268"/>
      <c r="FLV619" s="268"/>
      <c r="FLW619" s="268"/>
      <c r="FLX619" s="268"/>
      <c r="FLY619" s="268"/>
      <c r="FLZ619" s="268"/>
      <c r="FMA619" s="268"/>
      <c r="FMB619" s="268"/>
      <c r="FMC619" s="268"/>
      <c r="FMD619" s="268"/>
      <c r="FME619" s="268"/>
      <c r="FMF619" s="268"/>
      <c r="FMG619" s="268"/>
      <c r="FMH619" s="268"/>
      <c r="FMI619" s="268"/>
      <c r="FMJ619" s="268"/>
      <c r="FMK619" s="268"/>
      <c r="FML619" s="268"/>
      <c r="FMM619" s="268"/>
      <c r="FMN619" s="268"/>
      <c r="FMO619" s="268"/>
      <c r="FMP619" s="268"/>
      <c r="FMQ619" s="268"/>
      <c r="FMR619" s="268"/>
      <c r="FMS619" s="268"/>
      <c r="FMT619" s="268"/>
      <c r="FMU619" s="268"/>
      <c r="FMV619" s="268"/>
      <c r="FMW619" s="268"/>
      <c r="FMX619" s="268"/>
      <c r="FMY619" s="268"/>
      <c r="FMZ619" s="268"/>
      <c r="FNA619" s="268"/>
      <c r="FNB619" s="268"/>
      <c r="FNC619" s="268"/>
      <c r="FND619" s="268"/>
      <c r="FNE619" s="268"/>
      <c r="FNF619" s="268"/>
      <c r="FNG619" s="268"/>
      <c r="FNH619" s="268"/>
      <c r="FNI619" s="268"/>
      <c r="FNJ619" s="268"/>
      <c r="FNK619" s="268"/>
      <c r="FNL619" s="268"/>
      <c r="FNM619" s="268"/>
      <c r="FNN619" s="268"/>
      <c r="FNO619" s="268"/>
      <c r="FNP619" s="268"/>
      <c r="FNQ619" s="268"/>
      <c r="FNR619" s="268"/>
      <c r="FNS619" s="268"/>
      <c r="FNT619" s="268"/>
      <c r="FNU619" s="268"/>
      <c r="FNV619" s="268"/>
      <c r="FNW619" s="268"/>
      <c r="FNX619" s="268"/>
      <c r="FNY619" s="268"/>
      <c r="FNZ619" s="268"/>
      <c r="FOA619" s="268"/>
      <c r="FOB619" s="268"/>
      <c r="FOC619" s="268"/>
      <c r="FOD619" s="268"/>
      <c r="FOE619" s="268"/>
      <c r="FOF619" s="268"/>
      <c r="FOG619" s="268"/>
      <c r="FOH619" s="268"/>
      <c r="FOI619" s="268"/>
      <c r="FOJ619" s="268"/>
      <c r="FOK619" s="268"/>
      <c r="FOL619" s="268"/>
      <c r="FOM619" s="268"/>
      <c r="FON619" s="268"/>
      <c r="FOO619" s="268"/>
      <c r="FOP619" s="268"/>
      <c r="FOQ619" s="268"/>
      <c r="FOR619" s="268"/>
      <c r="FOS619" s="268"/>
      <c r="FOT619" s="268"/>
      <c r="FOU619" s="268"/>
      <c r="FOV619" s="268"/>
      <c r="FOW619" s="268"/>
      <c r="FOX619" s="268"/>
      <c r="FOY619" s="268"/>
      <c r="FOZ619" s="268"/>
      <c r="FPA619" s="268"/>
      <c r="FPB619" s="268"/>
      <c r="FPC619" s="268"/>
      <c r="FPD619" s="268"/>
      <c r="FPE619" s="268"/>
      <c r="FPF619" s="268"/>
      <c r="FPG619" s="268"/>
      <c r="FPH619" s="268"/>
      <c r="FPI619" s="268"/>
      <c r="FPJ619" s="268"/>
      <c r="FPK619" s="268"/>
      <c r="FPL619" s="268"/>
      <c r="FPM619" s="268"/>
      <c r="FPN619" s="268"/>
      <c r="FPO619" s="268"/>
      <c r="FPP619" s="268"/>
      <c r="FPQ619" s="268"/>
      <c r="FPR619" s="268"/>
      <c r="FPS619" s="268"/>
      <c r="FPT619" s="268"/>
      <c r="FPU619" s="268"/>
      <c r="FPV619" s="268"/>
      <c r="FPW619" s="268"/>
      <c r="FPX619" s="268"/>
      <c r="FPY619" s="268"/>
      <c r="FPZ619" s="268"/>
      <c r="FQA619" s="268"/>
      <c r="FQB619" s="268"/>
      <c r="FQC619" s="268"/>
      <c r="FQD619" s="268"/>
      <c r="FQE619" s="268"/>
      <c r="FQF619" s="268"/>
      <c r="FQG619" s="268"/>
      <c r="FQH619" s="268"/>
      <c r="FQI619" s="268"/>
      <c r="FQJ619" s="268"/>
      <c r="FQK619" s="268"/>
      <c r="FQL619" s="268"/>
      <c r="FQM619" s="268"/>
      <c r="FQN619" s="268"/>
      <c r="FQO619" s="268"/>
      <c r="FQP619" s="268"/>
      <c r="FQQ619" s="268"/>
      <c r="FQR619" s="268"/>
      <c r="FQS619" s="268"/>
      <c r="FQT619" s="268"/>
      <c r="FQU619" s="268"/>
      <c r="FQV619" s="268"/>
      <c r="FQW619" s="268"/>
      <c r="FQX619" s="268"/>
      <c r="FQY619" s="268"/>
      <c r="FQZ619" s="268"/>
      <c r="FRA619" s="268"/>
      <c r="FRB619" s="268"/>
      <c r="FRC619" s="268"/>
      <c r="FRD619" s="268"/>
      <c r="FRE619" s="268"/>
      <c r="FRF619" s="268"/>
      <c r="FRG619" s="268"/>
      <c r="FRH619" s="268"/>
      <c r="FRI619" s="268"/>
      <c r="FRJ619" s="268"/>
      <c r="FRK619" s="268"/>
      <c r="FRL619" s="268"/>
      <c r="FRM619" s="268"/>
      <c r="FRN619" s="268"/>
      <c r="FRO619" s="268"/>
      <c r="FRP619" s="268"/>
      <c r="FRQ619" s="268"/>
      <c r="FRR619" s="268"/>
      <c r="FRS619" s="268"/>
      <c r="FRT619" s="268"/>
      <c r="FRU619" s="268"/>
      <c r="FRV619" s="268"/>
      <c r="FRW619" s="268"/>
      <c r="FRX619" s="268"/>
      <c r="FRY619" s="268"/>
      <c r="FRZ619" s="268"/>
      <c r="FSA619" s="268"/>
      <c r="FSB619" s="268"/>
      <c r="FSC619" s="268"/>
      <c r="FSD619" s="268"/>
      <c r="FSE619" s="268"/>
      <c r="FSF619" s="268"/>
      <c r="FSG619" s="268"/>
      <c r="FSH619" s="268"/>
      <c r="FSI619" s="268"/>
      <c r="FSJ619" s="268"/>
      <c r="FSK619" s="268"/>
      <c r="FSL619" s="268"/>
      <c r="FSM619" s="268"/>
      <c r="FSN619" s="268"/>
      <c r="FSO619" s="268"/>
      <c r="FSP619" s="268"/>
      <c r="FSQ619" s="268"/>
      <c r="FSR619" s="268"/>
      <c r="FSS619" s="268"/>
      <c r="FST619" s="268"/>
      <c r="FSU619" s="268"/>
      <c r="FSV619" s="268"/>
      <c r="FSW619" s="268"/>
      <c r="FSX619" s="268"/>
      <c r="FSY619" s="268"/>
      <c r="FSZ619" s="268"/>
      <c r="FTA619" s="268"/>
      <c r="FTB619" s="268"/>
      <c r="FTC619" s="268"/>
      <c r="FTD619" s="268"/>
      <c r="FTE619" s="268"/>
      <c r="FTF619" s="268"/>
      <c r="FTG619" s="268"/>
      <c r="FTH619" s="268"/>
      <c r="FTI619" s="268"/>
      <c r="FTJ619" s="268"/>
      <c r="FTK619" s="268"/>
      <c r="FTL619" s="268"/>
      <c r="FTM619" s="268"/>
      <c r="FTN619" s="268"/>
      <c r="FTO619" s="268"/>
      <c r="FTP619" s="268"/>
      <c r="FTQ619" s="268"/>
      <c r="FTR619" s="268"/>
      <c r="FTS619" s="268"/>
      <c r="FTT619" s="268"/>
      <c r="FTU619" s="268"/>
      <c r="FTV619" s="268"/>
      <c r="FTW619" s="268"/>
      <c r="FUK619" s="268"/>
      <c r="FUL619" s="268"/>
      <c r="FUM619" s="268"/>
      <c r="FVA619" s="268"/>
      <c r="FVC619" s="268"/>
      <c r="FVD619" s="268"/>
      <c r="FVE619" s="268"/>
      <c r="FVF619" s="268"/>
      <c r="FVG619" s="268"/>
      <c r="FVH619" s="268"/>
      <c r="FVI619" s="268"/>
      <c r="FVJ619" s="268"/>
      <c r="FVK619" s="268"/>
      <c r="FVL619" s="268"/>
      <c r="FVM619" s="268"/>
      <c r="FVN619" s="268"/>
      <c r="FVO619" s="268"/>
      <c r="FVP619" s="268"/>
      <c r="FVQ619" s="268"/>
      <c r="FVR619" s="268"/>
      <c r="FVS619" s="268"/>
      <c r="FVT619" s="268"/>
      <c r="FVU619" s="268"/>
      <c r="FVV619" s="268"/>
      <c r="FVW619" s="268"/>
      <c r="FVX619" s="268"/>
      <c r="FVY619" s="268"/>
      <c r="FVZ619" s="268"/>
      <c r="FWA619" s="268"/>
      <c r="FWB619" s="268"/>
      <c r="FWC619" s="268"/>
      <c r="FWD619" s="268"/>
      <c r="FWE619" s="268"/>
      <c r="FWF619" s="268"/>
      <c r="FWG619" s="268"/>
      <c r="FWH619" s="268"/>
      <c r="FWI619" s="268"/>
      <c r="FWJ619" s="268"/>
      <c r="FWK619" s="268"/>
      <c r="FWL619" s="268"/>
      <c r="FWM619" s="268"/>
      <c r="FWN619" s="268"/>
      <c r="FWO619" s="268"/>
      <c r="FWP619" s="268"/>
      <c r="FWQ619" s="268"/>
      <c r="FWR619" s="268"/>
      <c r="FWS619" s="268"/>
      <c r="FWT619" s="268"/>
      <c r="FWU619" s="268"/>
      <c r="FWV619" s="268"/>
      <c r="FWW619" s="268"/>
      <c r="FWX619" s="268"/>
      <c r="FWY619" s="268"/>
      <c r="FWZ619" s="268"/>
      <c r="FXA619" s="268"/>
      <c r="FXB619" s="268"/>
      <c r="FXC619" s="268"/>
      <c r="FXD619" s="268"/>
      <c r="FXE619" s="268"/>
      <c r="FXF619" s="268"/>
      <c r="FXG619" s="268"/>
      <c r="FXH619" s="268"/>
      <c r="FXI619" s="268"/>
      <c r="FXJ619" s="268"/>
      <c r="FXK619" s="268"/>
      <c r="FXL619" s="268"/>
      <c r="FXM619" s="268"/>
      <c r="FXN619" s="268"/>
      <c r="FXO619" s="268"/>
      <c r="FXP619" s="268"/>
      <c r="FXQ619" s="268"/>
      <c r="FXR619" s="268"/>
      <c r="FXS619" s="268"/>
      <c r="FXT619" s="268"/>
      <c r="FXU619" s="268"/>
      <c r="FXV619" s="268"/>
      <c r="FXW619" s="268"/>
      <c r="FXX619" s="268"/>
      <c r="FXY619" s="268"/>
      <c r="FXZ619" s="268"/>
      <c r="FYA619" s="268"/>
      <c r="FYB619" s="268"/>
      <c r="FYC619" s="268"/>
      <c r="FYD619" s="268"/>
      <c r="FYE619" s="268"/>
      <c r="FYF619" s="268"/>
      <c r="FYG619" s="268"/>
      <c r="FYH619" s="268"/>
      <c r="FYI619" s="268"/>
      <c r="FYJ619" s="268"/>
      <c r="FYK619" s="268"/>
      <c r="FYL619" s="268"/>
      <c r="FYM619" s="268"/>
      <c r="FYN619" s="268"/>
      <c r="FYO619" s="268"/>
      <c r="FYP619" s="268"/>
      <c r="FYQ619" s="268"/>
      <c r="FYR619" s="268"/>
      <c r="FYS619" s="268"/>
      <c r="FYT619" s="268"/>
      <c r="FYU619" s="268"/>
      <c r="FYV619" s="268"/>
      <c r="FYW619" s="268"/>
      <c r="FYX619" s="268"/>
      <c r="FYY619" s="268"/>
      <c r="FYZ619" s="268"/>
      <c r="FZA619" s="268"/>
      <c r="FZB619" s="268"/>
      <c r="FZC619" s="268"/>
      <c r="FZD619" s="268"/>
      <c r="FZE619" s="268"/>
      <c r="FZF619" s="268"/>
      <c r="FZG619" s="268"/>
      <c r="FZH619" s="268"/>
      <c r="FZI619" s="268"/>
      <c r="FZJ619" s="268"/>
      <c r="FZK619" s="268"/>
      <c r="FZL619" s="268"/>
      <c r="FZM619" s="268"/>
      <c r="FZN619" s="268"/>
      <c r="FZO619" s="268"/>
      <c r="FZP619" s="268"/>
      <c r="FZQ619" s="268"/>
      <c r="FZR619" s="268"/>
      <c r="FZS619" s="268"/>
      <c r="FZT619" s="268"/>
      <c r="FZU619" s="268"/>
      <c r="FZV619" s="268"/>
      <c r="FZW619" s="268"/>
      <c r="FZX619" s="268"/>
      <c r="FZY619" s="268"/>
      <c r="FZZ619" s="268"/>
      <c r="GAA619" s="268"/>
      <c r="GAB619" s="268"/>
      <c r="GAC619" s="268"/>
      <c r="GAD619" s="268"/>
      <c r="GAE619" s="268"/>
      <c r="GAF619" s="268"/>
      <c r="GAG619" s="268"/>
      <c r="GAH619" s="268"/>
      <c r="GAI619" s="268"/>
      <c r="GAJ619" s="268"/>
      <c r="GAK619" s="268"/>
      <c r="GAL619" s="268"/>
      <c r="GAM619" s="268"/>
      <c r="GAN619" s="268"/>
      <c r="GAO619" s="268"/>
      <c r="GAP619" s="268"/>
      <c r="GAQ619" s="268"/>
      <c r="GAR619" s="268"/>
      <c r="GAS619" s="268"/>
      <c r="GAT619" s="268"/>
      <c r="GAU619" s="268"/>
      <c r="GAV619" s="268"/>
      <c r="GAW619" s="268"/>
      <c r="GAX619" s="268"/>
      <c r="GAY619" s="268"/>
      <c r="GAZ619" s="268"/>
      <c r="GBA619" s="268"/>
      <c r="GBB619" s="268"/>
      <c r="GBC619" s="268"/>
      <c r="GBD619" s="268"/>
      <c r="GBE619" s="268"/>
      <c r="GBF619" s="268"/>
      <c r="GBG619" s="268"/>
      <c r="GBH619" s="268"/>
      <c r="GBI619" s="268"/>
      <c r="GBJ619" s="268"/>
      <c r="GBK619" s="268"/>
      <c r="GBL619" s="268"/>
      <c r="GBM619" s="268"/>
      <c r="GBN619" s="268"/>
      <c r="GBO619" s="268"/>
      <c r="GBP619" s="268"/>
      <c r="GBQ619" s="268"/>
      <c r="GBR619" s="268"/>
      <c r="GBS619" s="268"/>
      <c r="GBT619" s="268"/>
      <c r="GBU619" s="268"/>
      <c r="GBV619" s="268"/>
      <c r="GBW619" s="268"/>
      <c r="GBX619" s="268"/>
      <c r="GBY619" s="268"/>
      <c r="GBZ619" s="268"/>
      <c r="GCA619" s="268"/>
      <c r="GCB619" s="268"/>
      <c r="GCC619" s="268"/>
      <c r="GCD619" s="268"/>
      <c r="GCE619" s="268"/>
      <c r="GCF619" s="268"/>
      <c r="GCG619" s="268"/>
      <c r="GCH619" s="268"/>
      <c r="GCI619" s="268"/>
      <c r="GCJ619" s="268"/>
      <c r="GCK619" s="268"/>
      <c r="GCL619" s="268"/>
      <c r="GCM619" s="268"/>
      <c r="GCN619" s="268"/>
      <c r="GCO619" s="268"/>
      <c r="GCP619" s="268"/>
      <c r="GCQ619" s="268"/>
      <c r="GCR619" s="268"/>
      <c r="GCS619" s="268"/>
      <c r="GCT619" s="268"/>
      <c r="GCU619" s="268"/>
      <c r="GCV619" s="268"/>
      <c r="GCW619" s="268"/>
      <c r="GCX619" s="268"/>
      <c r="GCY619" s="268"/>
      <c r="GCZ619" s="268"/>
      <c r="GDA619" s="268"/>
      <c r="GDB619" s="268"/>
      <c r="GDC619" s="268"/>
      <c r="GDD619" s="268"/>
      <c r="GDE619" s="268"/>
      <c r="GDF619" s="268"/>
      <c r="GDG619" s="268"/>
      <c r="GDH619" s="268"/>
      <c r="GDI619" s="268"/>
      <c r="GDJ619" s="268"/>
      <c r="GDK619" s="268"/>
      <c r="GDL619" s="268"/>
      <c r="GDM619" s="268"/>
      <c r="GDN619" s="268"/>
      <c r="GDO619" s="268"/>
      <c r="GDP619" s="268"/>
      <c r="GDQ619" s="268"/>
      <c r="GDR619" s="268"/>
      <c r="GDS619" s="268"/>
      <c r="GEG619" s="268"/>
      <c r="GEH619" s="268"/>
      <c r="GEI619" s="268"/>
      <c r="GEW619" s="268"/>
      <c r="GEY619" s="268"/>
      <c r="GEZ619" s="268"/>
      <c r="GFA619" s="268"/>
      <c r="GFB619" s="268"/>
      <c r="GFC619" s="268"/>
      <c r="GFD619" s="268"/>
      <c r="GFE619" s="268"/>
      <c r="GFF619" s="268"/>
      <c r="GFG619" s="268"/>
      <c r="GFH619" s="268"/>
      <c r="GFI619" s="268"/>
      <c r="GFJ619" s="268"/>
      <c r="GFK619" s="268"/>
      <c r="GFL619" s="268"/>
      <c r="GFM619" s="268"/>
      <c r="GFN619" s="268"/>
      <c r="GFO619" s="268"/>
      <c r="GFP619" s="268"/>
      <c r="GFQ619" s="268"/>
      <c r="GFR619" s="268"/>
      <c r="GFS619" s="268"/>
      <c r="GFT619" s="268"/>
      <c r="GFU619" s="268"/>
      <c r="GFV619" s="268"/>
      <c r="GFW619" s="268"/>
      <c r="GFX619" s="268"/>
      <c r="GFY619" s="268"/>
      <c r="GFZ619" s="268"/>
      <c r="GGA619" s="268"/>
      <c r="GGB619" s="268"/>
      <c r="GGC619" s="268"/>
      <c r="GGD619" s="268"/>
      <c r="GGE619" s="268"/>
      <c r="GGF619" s="268"/>
      <c r="GGG619" s="268"/>
      <c r="GGH619" s="268"/>
      <c r="GGI619" s="268"/>
      <c r="GGJ619" s="268"/>
      <c r="GGK619" s="268"/>
      <c r="GGL619" s="268"/>
      <c r="GGM619" s="268"/>
      <c r="GGN619" s="268"/>
      <c r="GGO619" s="268"/>
      <c r="GGP619" s="268"/>
      <c r="GGQ619" s="268"/>
      <c r="GGR619" s="268"/>
      <c r="GGS619" s="268"/>
      <c r="GGT619" s="268"/>
      <c r="GGU619" s="268"/>
      <c r="GGV619" s="268"/>
      <c r="GGW619" s="268"/>
      <c r="GGX619" s="268"/>
      <c r="GGY619" s="268"/>
      <c r="GGZ619" s="268"/>
      <c r="GHA619" s="268"/>
      <c r="GHB619" s="268"/>
      <c r="GHC619" s="268"/>
      <c r="GHD619" s="268"/>
      <c r="GHE619" s="268"/>
      <c r="GHF619" s="268"/>
      <c r="GHG619" s="268"/>
      <c r="GHH619" s="268"/>
      <c r="GHI619" s="268"/>
      <c r="GHJ619" s="268"/>
      <c r="GHK619" s="268"/>
      <c r="GHL619" s="268"/>
      <c r="GHM619" s="268"/>
      <c r="GHN619" s="268"/>
      <c r="GHO619" s="268"/>
      <c r="GHP619" s="268"/>
      <c r="GHQ619" s="268"/>
      <c r="GHR619" s="268"/>
      <c r="GHS619" s="268"/>
      <c r="GHT619" s="268"/>
      <c r="GHU619" s="268"/>
      <c r="GHV619" s="268"/>
      <c r="GHW619" s="268"/>
      <c r="GHX619" s="268"/>
      <c r="GHY619" s="268"/>
      <c r="GHZ619" s="268"/>
      <c r="GIA619" s="268"/>
      <c r="GIB619" s="268"/>
      <c r="GIC619" s="268"/>
      <c r="GID619" s="268"/>
      <c r="GIE619" s="268"/>
      <c r="GIF619" s="268"/>
      <c r="GIG619" s="268"/>
      <c r="GIH619" s="268"/>
      <c r="GII619" s="268"/>
      <c r="GIJ619" s="268"/>
      <c r="GIK619" s="268"/>
      <c r="GIL619" s="268"/>
      <c r="GIM619" s="268"/>
      <c r="GIN619" s="268"/>
      <c r="GIO619" s="268"/>
      <c r="GIP619" s="268"/>
      <c r="GIQ619" s="268"/>
      <c r="GIR619" s="268"/>
      <c r="GIS619" s="268"/>
      <c r="GIT619" s="268"/>
      <c r="GIU619" s="268"/>
      <c r="GIV619" s="268"/>
      <c r="GIW619" s="268"/>
      <c r="GIX619" s="268"/>
      <c r="GIY619" s="268"/>
      <c r="GIZ619" s="268"/>
      <c r="GJA619" s="268"/>
      <c r="GJB619" s="268"/>
      <c r="GJC619" s="268"/>
      <c r="GJD619" s="268"/>
      <c r="GJE619" s="268"/>
      <c r="GJF619" s="268"/>
      <c r="GJG619" s="268"/>
      <c r="GJH619" s="268"/>
      <c r="GJI619" s="268"/>
      <c r="GJJ619" s="268"/>
      <c r="GJK619" s="268"/>
      <c r="GJL619" s="268"/>
      <c r="GJM619" s="268"/>
      <c r="GJN619" s="268"/>
      <c r="GJO619" s="268"/>
      <c r="GJP619" s="268"/>
      <c r="GJQ619" s="268"/>
      <c r="GJR619" s="268"/>
      <c r="GJS619" s="268"/>
      <c r="GJT619" s="268"/>
      <c r="GJU619" s="268"/>
      <c r="GJV619" s="268"/>
      <c r="GJW619" s="268"/>
      <c r="GJX619" s="268"/>
      <c r="GJY619" s="268"/>
      <c r="GJZ619" s="268"/>
      <c r="GKA619" s="268"/>
      <c r="GKB619" s="268"/>
      <c r="GKC619" s="268"/>
      <c r="GKD619" s="268"/>
      <c r="GKE619" s="268"/>
      <c r="GKF619" s="268"/>
      <c r="GKG619" s="268"/>
      <c r="GKH619" s="268"/>
      <c r="GKI619" s="268"/>
      <c r="GKJ619" s="268"/>
      <c r="GKK619" s="268"/>
      <c r="GKL619" s="268"/>
      <c r="GKM619" s="268"/>
      <c r="GKN619" s="268"/>
      <c r="GKO619" s="268"/>
      <c r="GKP619" s="268"/>
      <c r="GKQ619" s="268"/>
      <c r="GKR619" s="268"/>
      <c r="GKS619" s="268"/>
      <c r="GKT619" s="268"/>
      <c r="GKU619" s="268"/>
      <c r="GKV619" s="268"/>
      <c r="GKW619" s="268"/>
      <c r="GKX619" s="268"/>
      <c r="GKY619" s="268"/>
      <c r="GKZ619" s="268"/>
      <c r="GLA619" s="268"/>
      <c r="GLB619" s="268"/>
      <c r="GLC619" s="268"/>
      <c r="GLD619" s="268"/>
      <c r="GLE619" s="268"/>
      <c r="GLF619" s="268"/>
      <c r="GLG619" s="268"/>
      <c r="GLH619" s="268"/>
      <c r="GLI619" s="268"/>
      <c r="GLJ619" s="268"/>
      <c r="GLK619" s="268"/>
      <c r="GLL619" s="268"/>
      <c r="GLM619" s="268"/>
      <c r="GLN619" s="268"/>
      <c r="GLO619" s="268"/>
      <c r="GLP619" s="268"/>
      <c r="GLQ619" s="268"/>
      <c r="GLR619" s="268"/>
      <c r="GLS619" s="268"/>
      <c r="GLT619" s="268"/>
      <c r="GLU619" s="268"/>
      <c r="GLV619" s="268"/>
      <c r="GLW619" s="268"/>
      <c r="GLX619" s="268"/>
      <c r="GLY619" s="268"/>
      <c r="GLZ619" s="268"/>
      <c r="GMA619" s="268"/>
      <c r="GMB619" s="268"/>
      <c r="GMC619" s="268"/>
      <c r="GMD619" s="268"/>
      <c r="GME619" s="268"/>
      <c r="GMF619" s="268"/>
      <c r="GMG619" s="268"/>
      <c r="GMH619" s="268"/>
      <c r="GMI619" s="268"/>
      <c r="GMJ619" s="268"/>
      <c r="GMK619" s="268"/>
      <c r="GML619" s="268"/>
      <c r="GMM619" s="268"/>
      <c r="GMN619" s="268"/>
      <c r="GMO619" s="268"/>
      <c r="GMP619" s="268"/>
      <c r="GMQ619" s="268"/>
      <c r="GMR619" s="268"/>
      <c r="GMS619" s="268"/>
      <c r="GMT619" s="268"/>
      <c r="GMU619" s="268"/>
      <c r="GMV619" s="268"/>
      <c r="GMW619" s="268"/>
      <c r="GMX619" s="268"/>
      <c r="GMY619" s="268"/>
      <c r="GMZ619" s="268"/>
      <c r="GNA619" s="268"/>
      <c r="GNB619" s="268"/>
      <c r="GNC619" s="268"/>
      <c r="GND619" s="268"/>
      <c r="GNE619" s="268"/>
      <c r="GNF619" s="268"/>
      <c r="GNG619" s="268"/>
      <c r="GNH619" s="268"/>
      <c r="GNI619" s="268"/>
      <c r="GNJ619" s="268"/>
      <c r="GNK619" s="268"/>
      <c r="GNL619" s="268"/>
      <c r="GNM619" s="268"/>
      <c r="GNN619" s="268"/>
      <c r="GNO619" s="268"/>
      <c r="GOC619" s="268"/>
      <c r="GOD619" s="268"/>
      <c r="GOE619" s="268"/>
      <c r="GOS619" s="268"/>
      <c r="GOU619" s="268"/>
      <c r="GOV619" s="268"/>
      <c r="GOW619" s="268"/>
      <c r="GOX619" s="268"/>
      <c r="GOY619" s="268"/>
      <c r="GOZ619" s="268"/>
      <c r="GPA619" s="268"/>
      <c r="GPB619" s="268"/>
      <c r="GPC619" s="268"/>
      <c r="GPD619" s="268"/>
      <c r="GPE619" s="268"/>
      <c r="GPF619" s="268"/>
      <c r="GPG619" s="268"/>
      <c r="GPH619" s="268"/>
      <c r="GPI619" s="268"/>
      <c r="GPJ619" s="268"/>
      <c r="GPK619" s="268"/>
      <c r="GPL619" s="268"/>
      <c r="GPM619" s="268"/>
      <c r="GPN619" s="268"/>
      <c r="GPO619" s="268"/>
      <c r="GPP619" s="268"/>
      <c r="GPQ619" s="268"/>
      <c r="GPR619" s="268"/>
      <c r="GPS619" s="268"/>
      <c r="GPT619" s="268"/>
      <c r="GPU619" s="268"/>
      <c r="GPV619" s="268"/>
      <c r="GPW619" s="268"/>
      <c r="GPX619" s="268"/>
      <c r="GPY619" s="268"/>
      <c r="GPZ619" s="268"/>
      <c r="GQA619" s="268"/>
      <c r="GQB619" s="268"/>
      <c r="GQC619" s="268"/>
      <c r="GQD619" s="268"/>
      <c r="GQE619" s="268"/>
      <c r="GQF619" s="268"/>
      <c r="GQG619" s="268"/>
      <c r="GQH619" s="268"/>
      <c r="GQI619" s="268"/>
      <c r="GQJ619" s="268"/>
      <c r="GQK619" s="268"/>
      <c r="GQL619" s="268"/>
      <c r="GQM619" s="268"/>
      <c r="GQN619" s="268"/>
      <c r="GQO619" s="268"/>
      <c r="GQP619" s="268"/>
      <c r="GQQ619" s="268"/>
      <c r="GQR619" s="268"/>
      <c r="GQS619" s="268"/>
      <c r="GQT619" s="268"/>
      <c r="GQU619" s="268"/>
      <c r="GQV619" s="268"/>
      <c r="GQW619" s="268"/>
      <c r="GQX619" s="268"/>
      <c r="GQY619" s="268"/>
      <c r="GQZ619" s="268"/>
      <c r="GRA619" s="268"/>
      <c r="GRB619" s="268"/>
      <c r="GRC619" s="268"/>
      <c r="GRD619" s="268"/>
      <c r="GRE619" s="268"/>
      <c r="GRF619" s="268"/>
      <c r="GRG619" s="268"/>
      <c r="GRH619" s="268"/>
      <c r="GRI619" s="268"/>
      <c r="GRJ619" s="268"/>
      <c r="GRK619" s="268"/>
      <c r="GRL619" s="268"/>
      <c r="GRM619" s="268"/>
      <c r="GRN619" s="268"/>
      <c r="GRO619" s="268"/>
      <c r="GRP619" s="268"/>
      <c r="GRQ619" s="268"/>
      <c r="GRR619" s="268"/>
      <c r="GRS619" s="268"/>
      <c r="GRT619" s="268"/>
      <c r="GRU619" s="268"/>
      <c r="GRV619" s="268"/>
      <c r="GRW619" s="268"/>
      <c r="GRX619" s="268"/>
      <c r="GRY619" s="268"/>
      <c r="GRZ619" s="268"/>
      <c r="GSA619" s="268"/>
      <c r="GSB619" s="268"/>
      <c r="GSC619" s="268"/>
      <c r="GSD619" s="268"/>
      <c r="GSE619" s="268"/>
      <c r="GSF619" s="268"/>
      <c r="GSG619" s="268"/>
      <c r="GSH619" s="268"/>
      <c r="GSI619" s="268"/>
      <c r="GSJ619" s="268"/>
      <c r="GSK619" s="268"/>
      <c r="GSL619" s="268"/>
      <c r="GSM619" s="268"/>
      <c r="GSN619" s="268"/>
      <c r="GSO619" s="268"/>
      <c r="GSP619" s="268"/>
      <c r="GSQ619" s="268"/>
      <c r="GSR619" s="268"/>
      <c r="GSS619" s="268"/>
      <c r="GST619" s="268"/>
      <c r="GSU619" s="268"/>
      <c r="GSV619" s="268"/>
      <c r="GSW619" s="268"/>
      <c r="GSX619" s="268"/>
      <c r="GSY619" s="268"/>
      <c r="GSZ619" s="268"/>
      <c r="GTA619" s="268"/>
      <c r="GTB619" s="268"/>
      <c r="GTC619" s="268"/>
      <c r="GTD619" s="268"/>
      <c r="GTE619" s="268"/>
      <c r="GTF619" s="268"/>
      <c r="GTG619" s="268"/>
      <c r="GTH619" s="268"/>
      <c r="GTI619" s="268"/>
      <c r="GTJ619" s="268"/>
      <c r="GTK619" s="268"/>
      <c r="GTL619" s="268"/>
      <c r="GTM619" s="268"/>
      <c r="GTN619" s="268"/>
      <c r="GTO619" s="268"/>
      <c r="GTP619" s="268"/>
      <c r="GTQ619" s="268"/>
      <c r="GTR619" s="268"/>
      <c r="GTS619" s="268"/>
      <c r="GTT619" s="268"/>
      <c r="GTU619" s="268"/>
      <c r="GTV619" s="268"/>
      <c r="GTW619" s="268"/>
      <c r="GTX619" s="268"/>
      <c r="GTY619" s="268"/>
      <c r="GTZ619" s="268"/>
      <c r="GUA619" s="268"/>
      <c r="GUB619" s="268"/>
      <c r="GUC619" s="268"/>
      <c r="GUD619" s="268"/>
      <c r="GUE619" s="268"/>
      <c r="GUF619" s="268"/>
      <c r="GUG619" s="268"/>
      <c r="GUH619" s="268"/>
      <c r="GUI619" s="268"/>
      <c r="GUJ619" s="268"/>
      <c r="GUK619" s="268"/>
      <c r="GUL619" s="268"/>
      <c r="GUM619" s="268"/>
      <c r="GUN619" s="268"/>
      <c r="GUO619" s="268"/>
      <c r="GUP619" s="268"/>
      <c r="GUQ619" s="268"/>
      <c r="GUR619" s="268"/>
      <c r="GUS619" s="268"/>
      <c r="GUT619" s="268"/>
      <c r="GUU619" s="268"/>
      <c r="GUV619" s="268"/>
      <c r="GUW619" s="268"/>
      <c r="GUX619" s="268"/>
      <c r="GUY619" s="268"/>
      <c r="GUZ619" s="268"/>
      <c r="GVA619" s="268"/>
      <c r="GVB619" s="268"/>
      <c r="GVC619" s="268"/>
      <c r="GVD619" s="268"/>
      <c r="GVE619" s="268"/>
      <c r="GVF619" s="268"/>
      <c r="GVG619" s="268"/>
      <c r="GVH619" s="268"/>
      <c r="GVI619" s="268"/>
      <c r="GVJ619" s="268"/>
      <c r="GVK619" s="268"/>
      <c r="GVL619" s="268"/>
      <c r="GVM619" s="268"/>
      <c r="GVN619" s="268"/>
      <c r="GVO619" s="268"/>
      <c r="GVP619" s="268"/>
      <c r="GVQ619" s="268"/>
      <c r="GVR619" s="268"/>
      <c r="GVS619" s="268"/>
      <c r="GVT619" s="268"/>
      <c r="GVU619" s="268"/>
      <c r="GVV619" s="268"/>
      <c r="GVW619" s="268"/>
      <c r="GVX619" s="268"/>
      <c r="GVY619" s="268"/>
      <c r="GVZ619" s="268"/>
      <c r="GWA619" s="268"/>
      <c r="GWB619" s="268"/>
      <c r="GWC619" s="268"/>
      <c r="GWD619" s="268"/>
      <c r="GWE619" s="268"/>
      <c r="GWF619" s="268"/>
      <c r="GWG619" s="268"/>
      <c r="GWH619" s="268"/>
      <c r="GWI619" s="268"/>
      <c r="GWJ619" s="268"/>
      <c r="GWK619" s="268"/>
      <c r="GWL619" s="268"/>
      <c r="GWM619" s="268"/>
      <c r="GWN619" s="268"/>
      <c r="GWO619" s="268"/>
      <c r="GWP619" s="268"/>
      <c r="GWQ619" s="268"/>
      <c r="GWR619" s="268"/>
      <c r="GWS619" s="268"/>
      <c r="GWT619" s="268"/>
      <c r="GWU619" s="268"/>
      <c r="GWV619" s="268"/>
      <c r="GWW619" s="268"/>
      <c r="GWX619" s="268"/>
      <c r="GWY619" s="268"/>
      <c r="GWZ619" s="268"/>
      <c r="GXA619" s="268"/>
      <c r="GXB619" s="268"/>
      <c r="GXC619" s="268"/>
      <c r="GXD619" s="268"/>
      <c r="GXE619" s="268"/>
      <c r="GXF619" s="268"/>
      <c r="GXG619" s="268"/>
      <c r="GXH619" s="268"/>
      <c r="GXI619" s="268"/>
      <c r="GXJ619" s="268"/>
      <c r="GXK619" s="268"/>
      <c r="GXY619" s="268"/>
      <c r="GXZ619" s="268"/>
      <c r="GYA619" s="268"/>
      <c r="GYO619" s="268"/>
      <c r="GYQ619" s="268"/>
      <c r="GYR619" s="268"/>
      <c r="GYS619" s="268"/>
      <c r="GYT619" s="268"/>
      <c r="GYU619" s="268"/>
      <c r="GYV619" s="268"/>
      <c r="GYW619" s="268"/>
      <c r="GYX619" s="268"/>
      <c r="GYY619" s="268"/>
      <c r="GYZ619" s="268"/>
      <c r="GZA619" s="268"/>
      <c r="GZB619" s="268"/>
      <c r="GZC619" s="268"/>
      <c r="GZD619" s="268"/>
      <c r="GZE619" s="268"/>
      <c r="GZF619" s="268"/>
      <c r="GZG619" s="268"/>
      <c r="GZH619" s="268"/>
      <c r="GZI619" s="268"/>
      <c r="GZJ619" s="268"/>
      <c r="GZK619" s="268"/>
      <c r="GZL619" s="268"/>
      <c r="GZM619" s="268"/>
      <c r="GZN619" s="268"/>
      <c r="GZO619" s="268"/>
      <c r="GZP619" s="268"/>
      <c r="GZQ619" s="268"/>
      <c r="GZR619" s="268"/>
      <c r="GZS619" s="268"/>
      <c r="GZT619" s="268"/>
      <c r="GZU619" s="268"/>
      <c r="GZV619" s="268"/>
      <c r="GZW619" s="268"/>
      <c r="GZX619" s="268"/>
      <c r="GZY619" s="268"/>
      <c r="GZZ619" s="268"/>
      <c r="HAA619" s="268"/>
      <c r="HAB619" s="268"/>
      <c r="HAC619" s="268"/>
      <c r="HAD619" s="268"/>
      <c r="HAE619" s="268"/>
      <c r="HAF619" s="268"/>
      <c r="HAG619" s="268"/>
      <c r="HAH619" s="268"/>
      <c r="HAI619" s="268"/>
      <c r="HAJ619" s="268"/>
      <c r="HAK619" s="268"/>
      <c r="HAL619" s="268"/>
      <c r="HAM619" s="268"/>
      <c r="HAN619" s="268"/>
      <c r="HAO619" s="268"/>
      <c r="HAP619" s="268"/>
      <c r="HAQ619" s="268"/>
      <c r="HAR619" s="268"/>
      <c r="HAS619" s="268"/>
      <c r="HAT619" s="268"/>
      <c r="HAU619" s="268"/>
      <c r="HAV619" s="268"/>
      <c r="HAW619" s="268"/>
      <c r="HAX619" s="268"/>
      <c r="HAY619" s="268"/>
      <c r="HAZ619" s="268"/>
      <c r="HBA619" s="268"/>
      <c r="HBB619" s="268"/>
      <c r="HBC619" s="268"/>
      <c r="HBD619" s="268"/>
      <c r="HBE619" s="268"/>
      <c r="HBF619" s="268"/>
      <c r="HBG619" s="268"/>
      <c r="HBH619" s="268"/>
      <c r="HBI619" s="268"/>
      <c r="HBJ619" s="268"/>
      <c r="HBK619" s="268"/>
      <c r="HBL619" s="268"/>
      <c r="HBM619" s="268"/>
      <c r="HBN619" s="268"/>
      <c r="HBO619" s="268"/>
      <c r="HBP619" s="268"/>
      <c r="HBQ619" s="268"/>
      <c r="HBR619" s="268"/>
      <c r="HBS619" s="268"/>
      <c r="HBT619" s="268"/>
      <c r="HBU619" s="268"/>
      <c r="HBV619" s="268"/>
      <c r="HBW619" s="268"/>
      <c r="HBX619" s="268"/>
      <c r="HBY619" s="268"/>
      <c r="HBZ619" s="268"/>
      <c r="HCA619" s="268"/>
      <c r="HCB619" s="268"/>
      <c r="HCC619" s="268"/>
      <c r="HCD619" s="268"/>
      <c r="HCE619" s="268"/>
      <c r="HCF619" s="268"/>
      <c r="HCG619" s="268"/>
      <c r="HCH619" s="268"/>
      <c r="HCI619" s="268"/>
      <c r="HCJ619" s="268"/>
      <c r="HCK619" s="268"/>
      <c r="HCL619" s="268"/>
      <c r="HCM619" s="268"/>
      <c r="HCN619" s="268"/>
      <c r="HCO619" s="268"/>
      <c r="HCP619" s="268"/>
      <c r="HCQ619" s="268"/>
      <c r="HCR619" s="268"/>
      <c r="HCS619" s="268"/>
      <c r="HCT619" s="268"/>
      <c r="HCU619" s="268"/>
      <c r="HCV619" s="268"/>
      <c r="HCW619" s="268"/>
      <c r="HCX619" s="268"/>
      <c r="HCY619" s="268"/>
      <c r="HCZ619" s="268"/>
      <c r="HDA619" s="268"/>
      <c r="HDB619" s="268"/>
      <c r="HDC619" s="268"/>
      <c r="HDD619" s="268"/>
      <c r="HDE619" s="268"/>
      <c r="HDF619" s="268"/>
      <c r="HDG619" s="268"/>
      <c r="HDH619" s="268"/>
      <c r="HDI619" s="268"/>
      <c r="HDJ619" s="268"/>
      <c r="HDK619" s="268"/>
      <c r="HDL619" s="268"/>
      <c r="HDM619" s="268"/>
      <c r="HDN619" s="268"/>
      <c r="HDO619" s="268"/>
      <c r="HDP619" s="268"/>
      <c r="HDQ619" s="268"/>
      <c r="HDR619" s="268"/>
      <c r="HDS619" s="268"/>
      <c r="HDT619" s="268"/>
      <c r="HDU619" s="268"/>
      <c r="HDV619" s="268"/>
      <c r="HDW619" s="268"/>
      <c r="HDX619" s="268"/>
      <c r="HDY619" s="268"/>
      <c r="HDZ619" s="268"/>
      <c r="HEA619" s="268"/>
      <c r="HEB619" s="268"/>
      <c r="HEC619" s="268"/>
      <c r="HED619" s="268"/>
      <c r="HEE619" s="268"/>
      <c r="HEF619" s="268"/>
      <c r="HEG619" s="268"/>
      <c r="HEH619" s="268"/>
      <c r="HEI619" s="268"/>
      <c r="HEJ619" s="268"/>
      <c r="HEK619" s="268"/>
      <c r="HEL619" s="268"/>
      <c r="HEM619" s="268"/>
      <c r="HEN619" s="268"/>
      <c r="HEO619" s="268"/>
      <c r="HEP619" s="268"/>
      <c r="HEQ619" s="268"/>
      <c r="HER619" s="268"/>
      <c r="HES619" s="268"/>
      <c r="HET619" s="268"/>
      <c r="HEU619" s="268"/>
      <c r="HEV619" s="268"/>
      <c r="HEW619" s="268"/>
      <c r="HEX619" s="268"/>
      <c r="HEY619" s="268"/>
      <c r="HEZ619" s="268"/>
      <c r="HFA619" s="268"/>
      <c r="HFB619" s="268"/>
      <c r="HFC619" s="268"/>
      <c r="HFD619" s="268"/>
      <c r="HFE619" s="268"/>
      <c r="HFF619" s="268"/>
      <c r="HFG619" s="268"/>
      <c r="HFH619" s="268"/>
      <c r="HFI619" s="268"/>
      <c r="HFJ619" s="268"/>
      <c r="HFK619" s="268"/>
      <c r="HFL619" s="268"/>
      <c r="HFM619" s="268"/>
      <c r="HFN619" s="268"/>
      <c r="HFO619" s="268"/>
      <c r="HFP619" s="268"/>
      <c r="HFQ619" s="268"/>
      <c r="HFR619" s="268"/>
      <c r="HFS619" s="268"/>
      <c r="HFT619" s="268"/>
      <c r="HFU619" s="268"/>
      <c r="HFV619" s="268"/>
      <c r="HFW619" s="268"/>
      <c r="HFX619" s="268"/>
      <c r="HFY619" s="268"/>
      <c r="HFZ619" s="268"/>
      <c r="HGA619" s="268"/>
      <c r="HGB619" s="268"/>
      <c r="HGC619" s="268"/>
      <c r="HGD619" s="268"/>
      <c r="HGE619" s="268"/>
      <c r="HGF619" s="268"/>
      <c r="HGG619" s="268"/>
      <c r="HGH619" s="268"/>
      <c r="HGI619" s="268"/>
      <c r="HGJ619" s="268"/>
      <c r="HGK619" s="268"/>
      <c r="HGL619" s="268"/>
      <c r="HGM619" s="268"/>
      <c r="HGN619" s="268"/>
      <c r="HGO619" s="268"/>
      <c r="HGP619" s="268"/>
      <c r="HGQ619" s="268"/>
      <c r="HGR619" s="268"/>
      <c r="HGS619" s="268"/>
      <c r="HGT619" s="268"/>
      <c r="HGU619" s="268"/>
      <c r="HGV619" s="268"/>
      <c r="HGW619" s="268"/>
      <c r="HGX619" s="268"/>
      <c r="HGY619" s="268"/>
      <c r="HGZ619" s="268"/>
      <c r="HHA619" s="268"/>
      <c r="HHB619" s="268"/>
      <c r="HHC619" s="268"/>
      <c r="HHD619" s="268"/>
      <c r="HHE619" s="268"/>
      <c r="HHF619" s="268"/>
      <c r="HHG619" s="268"/>
      <c r="HHU619" s="268"/>
      <c r="HHV619" s="268"/>
      <c r="HHW619" s="268"/>
      <c r="HIK619" s="268"/>
      <c r="HIM619" s="268"/>
      <c r="HIN619" s="268"/>
      <c r="HIO619" s="268"/>
      <c r="HIP619" s="268"/>
      <c r="HIQ619" s="268"/>
      <c r="HIR619" s="268"/>
      <c r="HIS619" s="268"/>
      <c r="HIT619" s="268"/>
      <c r="HIU619" s="268"/>
      <c r="HIV619" s="268"/>
      <c r="HIW619" s="268"/>
      <c r="HIX619" s="268"/>
      <c r="HIY619" s="268"/>
      <c r="HIZ619" s="268"/>
      <c r="HJA619" s="268"/>
      <c r="HJB619" s="268"/>
      <c r="HJC619" s="268"/>
      <c r="HJD619" s="268"/>
      <c r="HJE619" s="268"/>
      <c r="HJF619" s="268"/>
      <c r="HJG619" s="268"/>
      <c r="HJH619" s="268"/>
      <c r="HJI619" s="268"/>
      <c r="HJJ619" s="268"/>
      <c r="HJK619" s="268"/>
      <c r="HJL619" s="268"/>
      <c r="HJM619" s="268"/>
      <c r="HJN619" s="268"/>
      <c r="HJO619" s="268"/>
      <c r="HJP619" s="268"/>
      <c r="HJQ619" s="268"/>
      <c r="HJR619" s="268"/>
      <c r="HJS619" s="268"/>
      <c r="HJT619" s="268"/>
      <c r="HJU619" s="268"/>
      <c r="HJV619" s="268"/>
      <c r="HJW619" s="268"/>
      <c r="HJX619" s="268"/>
      <c r="HJY619" s="268"/>
      <c r="HJZ619" s="268"/>
      <c r="HKA619" s="268"/>
      <c r="HKB619" s="268"/>
      <c r="HKC619" s="268"/>
      <c r="HKD619" s="268"/>
      <c r="HKE619" s="268"/>
      <c r="HKF619" s="268"/>
      <c r="HKG619" s="268"/>
      <c r="HKH619" s="268"/>
      <c r="HKI619" s="268"/>
      <c r="HKJ619" s="268"/>
      <c r="HKK619" s="268"/>
      <c r="HKL619" s="268"/>
      <c r="HKM619" s="268"/>
      <c r="HKN619" s="268"/>
      <c r="HKO619" s="268"/>
      <c r="HKP619" s="268"/>
      <c r="HKQ619" s="268"/>
      <c r="HKR619" s="268"/>
      <c r="HKS619" s="268"/>
      <c r="HKT619" s="268"/>
      <c r="HKU619" s="268"/>
      <c r="HKV619" s="268"/>
      <c r="HKW619" s="268"/>
      <c r="HKX619" s="268"/>
      <c r="HKY619" s="268"/>
      <c r="HKZ619" s="268"/>
      <c r="HLA619" s="268"/>
      <c r="HLB619" s="268"/>
      <c r="HLC619" s="268"/>
      <c r="HLD619" s="268"/>
      <c r="HLE619" s="268"/>
      <c r="HLF619" s="268"/>
      <c r="HLG619" s="268"/>
      <c r="HLH619" s="268"/>
      <c r="HLI619" s="268"/>
      <c r="HLJ619" s="268"/>
      <c r="HLK619" s="268"/>
      <c r="HLL619" s="268"/>
      <c r="HLM619" s="268"/>
      <c r="HLN619" s="268"/>
      <c r="HLO619" s="268"/>
      <c r="HLP619" s="268"/>
      <c r="HLQ619" s="268"/>
      <c r="HLR619" s="268"/>
      <c r="HLS619" s="268"/>
      <c r="HLT619" s="268"/>
      <c r="HLU619" s="268"/>
      <c r="HLV619" s="268"/>
      <c r="HLW619" s="268"/>
      <c r="HLX619" s="268"/>
      <c r="HLY619" s="268"/>
      <c r="HLZ619" s="268"/>
      <c r="HMA619" s="268"/>
      <c r="HMB619" s="268"/>
      <c r="HMC619" s="268"/>
      <c r="HMD619" s="268"/>
      <c r="HME619" s="268"/>
      <c r="HMF619" s="268"/>
      <c r="HMG619" s="268"/>
      <c r="HMH619" s="268"/>
      <c r="HMI619" s="268"/>
      <c r="HMJ619" s="268"/>
      <c r="HMK619" s="268"/>
      <c r="HML619" s="268"/>
      <c r="HMM619" s="268"/>
      <c r="HMN619" s="268"/>
      <c r="HMO619" s="268"/>
      <c r="HMP619" s="268"/>
      <c r="HMQ619" s="268"/>
      <c r="HMR619" s="268"/>
      <c r="HMS619" s="268"/>
      <c r="HMT619" s="268"/>
      <c r="HMU619" s="268"/>
      <c r="HMV619" s="268"/>
      <c r="HMW619" s="268"/>
      <c r="HMX619" s="268"/>
      <c r="HMY619" s="268"/>
      <c r="HMZ619" s="268"/>
      <c r="HNA619" s="268"/>
      <c r="HNB619" s="268"/>
      <c r="HNC619" s="268"/>
      <c r="HND619" s="268"/>
      <c r="HNE619" s="268"/>
      <c r="HNF619" s="268"/>
      <c r="HNG619" s="268"/>
      <c r="HNH619" s="268"/>
      <c r="HNI619" s="268"/>
      <c r="HNJ619" s="268"/>
      <c r="HNK619" s="268"/>
      <c r="HNL619" s="268"/>
      <c r="HNM619" s="268"/>
      <c r="HNN619" s="268"/>
      <c r="HNO619" s="268"/>
      <c r="HNP619" s="268"/>
      <c r="HNQ619" s="268"/>
      <c r="HNR619" s="268"/>
      <c r="HNS619" s="268"/>
      <c r="HNT619" s="268"/>
      <c r="HNU619" s="268"/>
      <c r="HNV619" s="268"/>
      <c r="HNW619" s="268"/>
      <c r="HNX619" s="268"/>
      <c r="HNY619" s="268"/>
      <c r="HNZ619" s="268"/>
      <c r="HOA619" s="268"/>
      <c r="HOB619" s="268"/>
      <c r="HOC619" s="268"/>
      <c r="HOD619" s="268"/>
      <c r="HOE619" s="268"/>
      <c r="HOF619" s="268"/>
      <c r="HOG619" s="268"/>
      <c r="HOH619" s="268"/>
      <c r="HOI619" s="268"/>
      <c r="HOJ619" s="268"/>
      <c r="HOK619" s="268"/>
      <c r="HOL619" s="268"/>
      <c r="HOM619" s="268"/>
      <c r="HON619" s="268"/>
      <c r="HOO619" s="268"/>
      <c r="HOP619" s="268"/>
      <c r="HOQ619" s="268"/>
      <c r="HOR619" s="268"/>
      <c r="HOS619" s="268"/>
      <c r="HOT619" s="268"/>
      <c r="HOU619" s="268"/>
      <c r="HOV619" s="268"/>
      <c r="HOW619" s="268"/>
      <c r="HOX619" s="268"/>
      <c r="HOY619" s="268"/>
      <c r="HOZ619" s="268"/>
      <c r="HPA619" s="268"/>
      <c r="HPB619" s="268"/>
      <c r="HPC619" s="268"/>
      <c r="HPD619" s="268"/>
      <c r="HPE619" s="268"/>
      <c r="HPF619" s="268"/>
      <c r="HPG619" s="268"/>
      <c r="HPH619" s="268"/>
      <c r="HPI619" s="268"/>
      <c r="HPJ619" s="268"/>
      <c r="HPK619" s="268"/>
      <c r="HPL619" s="268"/>
      <c r="HPM619" s="268"/>
      <c r="HPN619" s="268"/>
      <c r="HPO619" s="268"/>
      <c r="HPP619" s="268"/>
      <c r="HPQ619" s="268"/>
      <c r="HPR619" s="268"/>
      <c r="HPS619" s="268"/>
      <c r="HPT619" s="268"/>
      <c r="HPU619" s="268"/>
      <c r="HPV619" s="268"/>
      <c r="HPW619" s="268"/>
      <c r="HPX619" s="268"/>
      <c r="HPY619" s="268"/>
      <c r="HPZ619" s="268"/>
      <c r="HQA619" s="268"/>
      <c r="HQB619" s="268"/>
      <c r="HQC619" s="268"/>
      <c r="HQD619" s="268"/>
      <c r="HQE619" s="268"/>
      <c r="HQF619" s="268"/>
      <c r="HQG619" s="268"/>
      <c r="HQH619" s="268"/>
      <c r="HQI619" s="268"/>
      <c r="HQJ619" s="268"/>
      <c r="HQK619" s="268"/>
      <c r="HQL619" s="268"/>
      <c r="HQM619" s="268"/>
      <c r="HQN619" s="268"/>
      <c r="HQO619" s="268"/>
      <c r="HQP619" s="268"/>
      <c r="HQQ619" s="268"/>
      <c r="HQR619" s="268"/>
      <c r="HQS619" s="268"/>
      <c r="HQT619" s="268"/>
      <c r="HQU619" s="268"/>
      <c r="HQV619" s="268"/>
      <c r="HQW619" s="268"/>
      <c r="HQX619" s="268"/>
      <c r="HQY619" s="268"/>
      <c r="HQZ619" s="268"/>
      <c r="HRA619" s="268"/>
      <c r="HRB619" s="268"/>
      <c r="HRC619" s="268"/>
      <c r="HRQ619" s="268"/>
      <c r="HRR619" s="268"/>
      <c r="HRS619" s="268"/>
      <c r="HSG619" s="268"/>
      <c r="HSI619" s="268"/>
      <c r="HSJ619" s="268"/>
      <c r="HSK619" s="268"/>
      <c r="HSL619" s="268"/>
      <c r="HSM619" s="268"/>
      <c r="HSN619" s="268"/>
      <c r="HSO619" s="268"/>
      <c r="HSP619" s="268"/>
      <c r="HSQ619" s="268"/>
      <c r="HSR619" s="268"/>
      <c r="HSS619" s="268"/>
      <c r="HST619" s="268"/>
      <c r="HSU619" s="268"/>
      <c r="HSV619" s="268"/>
      <c r="HSW619" s="268"/>
      <c r="HSX619" s="268"/>
      <c r="HSY619" s="268"/>
      <c r="HSZ619" s="268"/>
      <c r="HTA619" s="268"/>
      <c r="HTB619" s="268"/>
      <c r="HTC619" s="268"/>
      <c r="HTD619" s="268"/>
      <c r="HTE619" s="268"/>
      <c r="HTF619" s="268"/>
      <c r="HTG619" s="268"/>
      <c r="HTH619" s="268"/>
      <c r="HTI619" s="268"/>
      <c r="HTJ619" s="268"/>
      <c r="HTK619" s="268"/>
      <c r="HTL619" s="268"/>
      <c r="HTM619" s="268"/>
      <c r="HTN619" s="268"/>
      <c r="HTO619" s="268"/>
      <c r="HTP619" s="268"/>
      <c r="HTQ619" s="268"/>
      <c r="HTR619" s="268"/>
      <c r="HTS619" s="268"/>
      <c r="HTT619" s="268"/>
      <c r="HTU619" s="268"/>
      <c r="HTV619" s="268"/>
      <c r="HTW619" s="268"/>
      <c r="HTX619" s="268"/>
      <c r="HTY619" s="268"/>
      <c r="HTZ619" s="268"/>
      <c r="HUA619" s="268"/>
      <c r="HUB619" s="268"/>
      <c r="HUC619" s="268"/>
      <c r="HUD619" s="268"/>
      <c r="HUE619" s="268"/>
      <c r="HUF619" s="268"/>
      <c r="HUG619" s="268"/>
      <c r="HUH619" s="268"/>
      <c r="HUI619" s="268"/>
      <c r="HUJ619" s="268"/>
      <c r="HUK619" s="268"/>
      <c r="HUL619" s="268"/>
      <c r="HUM619" s="268"/>
      <c r="HUN619" s="268"/>
      <c r="HUO619" s="268"/>
      <c r="HUP619" s="268"/>
      <c r="HUQ619" s="268"/>
      <c r="HUR619" s="268"/>
      <c r="HUS619" s="268"/>
      <c r="HUT619" s="268"/>
      <c r="HUU619" s="268"/>
      <c r="HUV619" s="268"/>
      <c r="HUW619" s="268"/>
      <c r="HUX619" s="268"/>
      <c r="HUY619" s="268"/>
      <c r="HUZ619" s="268"/>
      <c r="HVA619" s="268"/>
      <c r="HVB619" s="268"/>
      <c r="HVC619" s="268"/>
      <c r="HVD619" s="268"/>
      <c r="HVE619" s="268"/>
      <c r="HVF619" s="268"/>
      <c r="HVG619" s="268"/>
      <c r="HVH619" s="268"/>
      <c r="HVI619" s="268"/>
      <c r="HVJ619" s="268"/>
      <c r="HVK619" s="268"/>
      <c r="HVL619" s="268"/>
      <c r="HVM619" s="268"/>
      <c r="HVN619" s="268"/>
      <c r="HVO619" s="268"/>
      <c r="HVP619" s="268"/>
      <c r="HVQ619" s="268"/>
      <c r="HVR619" s="268"/>
      <c r="HVS619" s="268"/>
      <c r="HVT619" s="268"/>
      <c r="HVU619" s="268"/>
      <c r="HVV619" s="268"/>
      <c r="HVW619" s="268"/>
      <c r="HVX619" s="268"/>
      <c r="HVY619" s="268"/>
      <c r="HVZ619" s="268"/>
      <c r="HWA619" s="268"/>
      <c r="HWB619" s="268"/>
      <c r="HWC619" s="268"/>
      <c r="HWD619" s="268"/>
      <c r="HWE619" s="268"/>
      <c r="HWF619" s="268"/>
      <c r="HWG619" s="268"/>
      <c r="HWH619" s="268"/>
      <c r="HWI619" s="268"/>
      <c r="HWJ619" s="268"/>
      <c r="HWK619" s="268"/>
      <c r="HWL619" s="268"/>
      <c r="HWM619" s="268"/>
      <c r="HWN619" s="268"/>
      <c r="HWO619" s="268"/>
      <c r="HWP619" s="268"/>
      <c r="HWQ619" s="268"/>
      <c r="HWR619" s="268"/>
      <c r="HWS619" s="268"/>
      <c r="HWT619" s="268"/>
      <c r="HWU619" s="268"/>
      <c r="HWV619" s="268"/>
      <c r="HWW619" s="268"/>
      <c r="HWX619" s="268"/>
      <c r="HWY619" s="268"/>
      <c r="HWZ619" s="268"/>
      <c r="HXA619" s="268"/>
      <c r="HXB619" s="268"/>
      <c r="HXC619" s="268"/>
      <c r="HXD619" s="268"/>
      <c r="HXE619" s="268"/>
      <c r="HXF619" s="268"/>
      <c r="HXG619" s="268"/>
      <c r="HXH619" s="268"/>
      <c r="HXI619" s="268"/>
      <c r="HXJ619" s="268"/>
      <c r="HXK619" s="268"/>
      <c r="HXL619" s="268"/>
      <c r="HXM619" s="268"/>
      <c r="HXN619" s="268"/>
      <c r="HXO619" s="268"/>
      <c r="HXP619" s="268"/>
      <c r="HXQ619" s="268"/>
      <c r="HXR619" s="268"/>
      <c r="HXS619" s="268"/>
      <c r="HXT619" s="268"/>
      <c r="HXU619" s="268"/>
      <c r="HXV619" s="268"/>
      <c r="HXW619" s="268"/>
      <c r="HXX619" s="268"/>
      <c r="HXY619" s="268"/>
      <c r="HXZ619" s="268"/>
      <c r="HYA619" s="268"/>
      <c r="HYB619" s="268"/>
      <c r="HYC619" s="268"/>
      <c r="HYD619" s="268"/>
      <c r="HYE619" s="268"/>
      <c r="HYF619" s="268"/>
      <c r="HYG619" s="268"/>
      <c r="HYH619" s="268"/>
      <c r="HYI619" s="268"/>
      <c r="HYJ619" s="268"/>
      <c r="HYK619" s="268"/>
      <c r="HYL619" s="268"/>
      <c r="HYM619" s="268"/>
      <c r="HYN619" s="268"/>
      <c r="HYO619" s="268"/>
      <c r="HYP619" s="268"/>
      <c r="HYQ619" s="268"/>
      <c r="HYR619" s="268"/>
      <c r="HYS619" s="268"/>
      <c r="HYT619" s="268"/>
      <c r="HYU619" s="268"/>
      <c r="HYV619" s="268"/>
      <c r="HYW619" s="268"/>
      <c r="HYX619" s="268"/>
      <c r="HYY619" s="268"/>
      <c r="HYZ619" s="268"/>
      <c r="HZA619" s="268"/>
      <c r="HZB619" s="268"/>
      <c r="HZC619" s="268"/>
      <c r="HZD619" s="268"/>
      <c r="HZE619" s="268"/>
      <c r="HZF619" s="268"/>
      <c r="HZG619" s="268"/>
      <c r="HZH619" s="268"/>
      <c r="HZI619" s="268"/>
      <c r="HZJ619" s="268"/>
      <c r="HZK619" s="268"/>
      <c r="HZL619" s="268"/>
      <c r="HZM619" s="268"/>
      <c r="HZN619" s="268"/>
      <c r="HZO619" s="268"/>
      <c r="HZP619" s="268"/>
      <c r="HZQ619" s="268"/>
      <c r="HZR619" s="268"/>
      <c r="HZS619" s="268"/>
      <c r="HZT619" s="268"/>
      <c r="HZU619" s="268"/>
      <c r="HZV619" s="268"/>
      <c r="HZW619" s="268"/>
      <c r="HZX619" s="268"/>
      <c r="HZY619" s="268"/>
      <c r="HZZ619" s="268"/>
      <c r="IAA619" s="268"/>
      <c r="IAB619" s="268"/>
      <c r="IAC619" s="268"/>
      <c r="IAD619" s="268"/>
      <c r="IAE619" s="268"/>
      <c r="IAF619" s="268"/>
      <c r="IAG619" s="268"/>
      <c r="IAH619" s="268"/>
      <c r="IAI619" s="268"/>
      <c r="IAJ619" s="268"/>
      <c r="IAK619" s="268"/>
      <c r="IAL619" s="268"/>
      <c r="IAM619" s="268"/>
      <c r="IAN619" s="268"/>
      <c r="IAO619" s="268"/>
      <c r="IAP619" s="268"/>
      <c r="IAQ619" s="268"/>
      <c r="IAR619" s="268"/>
      <c r="IAS619" s="268"/>
      <c r="IAT619" s="268"/>
      <c r="IAU619" s="268"/>
      <c r="IAV619" s="268"/>
      <c r="IAW619" s="268"/>
      <c r="IAX619" s="268"/>
      <c r="IAY619" s="268"/>
      <c r="IBM619" s="268"/>
      <c r="IBN619" s="268"/>
      <c r="IBO619" s="268"/>
      <c r="ICC619" s="268"/>
      <c r="ICE619" s="268"/>
      <c r="ICF619" s="268"/>
      <c r="ICG619" s="268"/>
      <c r="ICH619" s="268"/>
      <c r="ICI619" s="268"/>
      <c r="ICJ619" s="268"/>
      <c r="ICK619" s="268"/>
      <c r="ICL619" s="268"/>
      <c r="ICM619" s="268"/>
      <c r="ICN619" s="268"/>
      <c r="ICO619" s="268"/>
      <c r="ICP619" s="268"/>
      <c r="ICQ619" s="268"/>
      <c r="ICR619" s="268"/>
      <c r="ICS619" s="268"/>
      <c r="ICT619" s="268"/>
      <c r="ICU619" s="268"/>
      <c r="ICV619" s="268"/>
      <c r="ICW619" s="268"/>
      <c r="ICX619" s="268"/>
      <c r="ICY619" s="268"/>
      <c r="ICZ619" s="268"/>
      <c r="IDA619" s="268"/>
      <c r="IDB619" s="268"/>
      <c r="IDC619" s="268"/>
      <c r="IDD619" s="268"/>
      <c r="IDE619" s="268"/>
      <c r="IDF619" s="268"/>
      <c r="IDG619" s="268"/>
      <c r="IDH619" s="268"/>
      <c r="IDI619" s="268"/>
      <c r="IDJ619" s="268"/>
      <c r="IDK619" s="268"/>
      <c r="IDL619" s="268"/>
      <c r="IDM619" s="268"/>
      <c r="IDN619" s="268"/>
      <c r="IDO619" s="268"/>
      <c r="IDP619" s="268"/>
      <c r="IDQ619" s="268"/>
      <c r="IDR619" s="268"/>
      <c r="IDS619" s="268"/>
      <c r="IDT619" s="268"/>
      <c r="IDU619" s="268"/>
      <c r="IDV619" s="268"/>
      <c r="IDW619" s="268"/>
      <c r="IDX619" s="268"/>
      <c r="IDY619" s="268"/>
      <c r="IDZ619" s="268"/>
      <c r="IEA619" s="268"/>
      <c r="IEB619" s="268"/>
      <c r="IEC619" s="268"/>
      <c r="IED619" s="268"/>
      <c r="IEE619" s="268"/>
      <c r="IEF619" s="268"/>
      <c r="IEG619" s="268"/>
      <c r="IEH619" s="268"/>
      <c r="IEI619" s="268"/>
      <c r="IEJ619" s="268"/>
      <c r="IEK619" s="268"/>
      <c r="IEL619" s="268"/>
      <c r="IEM619" s="268"/>
      <c r="IEN619" s="268"/>
      <c r="IEO619" s="268"/>
      <c r="IEP619" s="268"/>
      <c r="IEQ619" s="268"/>
      <c r="IER619" s="268"/>
      <c r="IES619" s="268"/>
      <c r="IET619" s="268"/>
      <c r="IEU619" s="268"/>
      <c r="IEV619" s="268"/>
      <c r="IEW619" s="268"/>
      <c r="IEX619" s="268"/>
      <c r="IEY619" s="268"/>
      <c r="IEZ619" s="268"/>
      <c r="IFA619" s="268"/>
      <c r="IFB619" s="268"/>
      <c r="IFC619" s="268"/>
      <c r="IFD619" s="268"/>
      <c r="IFE619" s="268"/>
      <c r="IFF619" s="268"/>
      <c r="IFG619" s="268"/>
      <c r="IFH619" s="268"/>
      <c r="IFI619" s="268"/>
      <c r="IFJ619" s="268"/>
      <c r="IFK619" s="268"/>
      <c r="IFL619" s="268"/>
      <c r="IFM619" s="268"/>
      <c r="IFN619" s="268"/>
      <c r="IFO619" s="268"/>
      <c r="IFP619" s="268"/>
      <c r="IFQ619" s="268"/>
      <c r="IFR619" s="268"/>
      <c r="IFS619" s="268"/>
      <c r="IFT619" s="268"/>
      <c r="IFU619" s="268"/>
      <c r="IFV619" s="268"/>
      <c r="IFW619" s="268"/>
      <c r="IFX619" s="268"/>
      <c r="IFY619" s="268"/>
      <c r="IFZ619" s="268"/>
      <c r="IGA619" s="268"/>
      <c r="IGB619" s="268"/>
      <c r="IGC619" s="268"/>
      <c r="IGD619" s="268"/>
      <c r="IGE619" s="268"/>
      <c r="IGF619" s="268"/>
      <c r="IGG619" s="268"/>
      <c r="IGH619" s="268"/>
      <c r="IGI619" s="268"/>
      <c r="IGJ619" s="268"/>
      <c r="IGK619" s="268"/>
      <c r="IGL619" s="268"/>
      <c r="IGM619" s="268"/>
      <c r="IGN619" s="268"/>
      <c r="IGO619" s="268"/>
      <c r="IGP619" s="268"/>
      <c r="IGQ619" s="268"/>
      <c r="IGR619" s="268"/>
      <c r="IGS619" s="268"/>
      <c r="IGT619" s="268"/>
      <c r="IGU619" s="268"/>
      <c r="IGV619" s="268"/>
      <c r="IGW619" s="268"/>
      <c r="IGX619" s="268"/>
      <c r="IGY619" s="268"/>
      <c r="IGZ619" s="268"/>
      <c r="IHA619" s="268"/>
      <c r="IHB619" s="268"/>
      <c r="IHC619" s="268"/>
      <c r="IHD619" s="268"/>
      <c r="IHE619" s="268"/>
      <c r="IHF619" s="268"/>
      <c r="IHG619" s="268"/>
      <c r="IHH619" s="268"/>
      <c r="IHI619" s="268"/>
      <c r="IHJ619" s="268"/>
      <c r="IHK619" s="268"/>
      <c r="IHL619" s="268"/>
      <c r="IHM619" s="268"/>
      <c r="IHN619" s="268"/>
      <c r="IHO619" s="268"/>
      <c r="IHP619" s="268"/>
      <c r="IHQ619" s="268"/>
      <c r="IHR619" s="268"/>
      <c r="IHS619" s="268"/>
      <c r="IHT619" s="268"/>
      <c r="IHU619" s="268"/>
      <c r="IHV619" s="268"/>
      <c r="IHW619" s="268"/>
      <c r="IHX619" s="268"/>
      <c r="IHY619" s="268"/>
      <c r="IHZ619" s="268"/>
      <c r="IIA619" s="268"/>
      <c r="IIB619" s="268"/>
      <c r="IIC619" s="268"/>
      <c r="IID619" s="268"/>
      <c r="IIE619" s="268"/>
      <c r="IIF619" s="268"/>
      <c r="IIG619" s="268"/>
      <c r="IIH619" s="268"/>
      <c r="III619" s="268"/>
      <c r="IIJ619" s="268"/>
      <c r="IIK619" s="268"/>
      <c r="IIL619" s="268"/>
      <c r="IIM619" s="268"/>
      <c r="IIN619" s="268"/>
      <c r="IIO619" s="268"/>
      <c r="IIP619" s="268"/>
      <c r="IIQ619" s="268"/>
      <c r="IIR619" s="268"/>
      <c r="IIS619" s="268"/>
      <c r="IIT619" s="268"/>
      <c r="IIU619" s="268"/>
      <c r="IIV619" s="268"/>
      <c r="IIW619" s="268"/>
      <c r="IIX619" s="268"/>
      <c r="IIY619" s="268"/>
      <c r="IIZ619" s="268"/>
      <c r="IJA619" s="268"/>
      <c r="IJB619" s="268"/>
      <c r="IJC619" s="268"/>
      <c r="IJD619" s="268"/>
      <c r="IJE619" s="268"/>
      <c r="IJF619" s="268"/>
      <c r="IJG619" s="268"/>
      <c r="IJH619" s="268"/>
      <c r="IJI619" s="268"/>
      <c r="IJJ619" s="268"/>
      <c r="IJK619" s="268"/>
      <c r="IJL619" s="268"/>
      <c r="IJM619" s="268"/>
      <c r="IJN619" s="268"/>
      <c r="IJO619" s="268"/>
      <c r="IJP619" s="268"/>
      <c r="IJQ619" s="268"/>
      <c r="IJR619" s="268"/>
      <c r="IJS619" s="268"/>
      <c r="IJT619" s="268"/>
      <c r="IJU619" s="268"/>
      <c r="IJV619" s="268"/>
      <c r="IJW619" s="268"/>
      <c r="IJX619" s="268"/>
      <c r="IJY619" s="268"/>
      <c r="IJZ619" s="268"/>
      <c r="IKA619" s="268"/>
      <c r="IKB619" s="268"/>
      <c r="IKC619" s="268"/>
      <c r="IKD619" s="268"/>
      <c r="IKE619" s="268"/>
      <c r="IKF619" s="268"/>
      <c r="IKG619" s="268"/>
      <c r="IKH619" s="268"/>
      <c r="IKI619" s="268"/>
      <c r="IKJ619" s="268"/>
      <c r="IKK619" s="268"/>
      <c r="IKL619" s="268"/>
      <c r="IKM619" s="268"/>
      <c r="IKN619" s="268"/>
      <c r="IKO619" s="268"/>
      <c r="IKP619" s="268"/>
      <c r="IKQ619" s="268"/>
      <c r="IKR619" s="268"/>
      <c r="IKS619" s="268"/>
      <c r="IKT619" s="268"/>
      <c r="IKU619" s="268"/>
      <c r="ILI619" s="268"/>
      <c r="ILJ619" s="268"/>
      <c r="ILK619" s="268"/>
      <c r="ILY619" s="268"/>
      <c r="IMA619" s="268"/>
      <c r="IMB619" s="268"/>
      <c r="IMC619" s="268"/>
      <c r="IMD619" s="268"/>
      <c r="IME619" s="268"/>
      <c r="IMF619" s="268"/>
      <c r="IMG619" s="268"/>
      <c r="IMH619" s="268"/>
      <c r="IMI619" s="268"/>
      <c r="IMJ619" s="268"/>
      <c r="IMK619" s="268"/>
      <c r="IML619" s="268"/>
      <c r="IMM619" s="268"/>
      <c r="IMN619" s="268"/>
      <c r="IMO619" s="268"/>
      <c r="IMP619" s="268"/>
      <c r="IMQ619" s="268"/>
      <c r="IMR619" s="268"/>
      <c r="IMS619" s="268"/>
      <c r="IMT619" s="268"/>
      <c r="IMU619" s="268"/>
      <c r="IMV619" s="268"/>
      <c r="IMW619" s="268"/>
      <c r="IMX619" s="268"/>
      <c r="IMY619" s="268"/>
      <c r="IMZ619" s="268"/>
      <c r="INA619" s="268"/>
      <c r="INB619" s="268"/>
      <c r="INC619" s="268"/>
      <c r="IND619" s="268"/>
      <c r="INE619" s="268"/>
      <c r="INF619" s="268"/>
      <c r="ING619" s="268"/>
      <c r="INH619" s="268"/>
      <c r="INI619" s="268"/>
      <c r="INJ619" s="268"/>
      <c r="INK619" s="268"/>
      <c r="INL619" s="268"/>
      <c r="INM619" s="268"/>
      <c r="INN619" s="268"/>
      <c r="INO619" s="268"/>
      <c r="INP619" s="268"/>
      <c r="INQ619" s="268"/>
      <c r="INR619" s="268"/>
      <c r="INS619" s="268"/>
      <c r="INT619" s="268"/>
      <c r="INU619" s="268"/>
      <c r="INV619" s="268"/>
      <c r="INW619" s="268"/>
      <c r="INX619" s="268"/>
      <c r="INY619" s="268"/>
      <c r="INZ619" s="268"/>
      <c r="IOA619" s="268"/>
      <c r="IOB619" s="268"/>
      <c r="IOC619" s="268"/>
      <c r="IOD619" s="268"/>
      <c r="IOE619" s="268"/>
      <c r="IOF619" s="268"/>
      <c r="IOG619" s="268"/>
      <c r="IOH619" s="268"/>
      <c r="IOI619" s="268"/>
      <c r="IOJ619" s="268"/>
      <c r="IOK619" s="268"/>
      <c r="IOL619" s="268"/>
      <c r="IOM619" s="268"/>
      <c r="ION619" s="268"/>
      <c r="IOO619" s="268"/>
      <c r="IOP619" s="268"/>
      <c r="IOQ619" s="268"/>
      <c r="IOR619" s="268"/>
      <c r="IOS619" s="268"/>
      <c r="IOT619" s="268"/>
      <c r="IOU619" s="268"/>
      <c r="IOV619" s="268"/>
      <c r="IOW619" s="268"/>
      <c r="IOX619" s="268"/>
      <c r="IOY619" s="268"/>
      <c r="IOZ619" s="268"/>
      <c r="IPA619" s="268"/>
      <c r="IPB619" s="268"/>
      <c r="IPC619" s="268"/>
      <c r="IPD619" s="268"/>
      <c r="IPE619" s="268"/>
      <c r="IPF619" s="268"/>
      <c r="IPG619" s="268"/>
      <c r="IPH619" s="268"/>
      <c r="IPI619" s="268"/>
      <c r="IPJ619" s="268"/>
      <c r="IPK619" s="268"/>
      <c r="IPL619" s="268"/>
      <c r="IPM619" s="268"/>
      <c r="IPN619" s="268"/>
      <c r="IPO619" s="268"/>
      <c r="IPP619" s="268"/>
      <c r="IPQ619" s="268"/>
      <c r="IPR619" s="268"/>
      <c r="IPS619" s="268"/>
      <c r="IPT619" s="268"/>
      <c r="IPU619" s="268"/>
      <c r="IPV619" s="268"/>
      <c r="IPW619" s="268"/>
      <c r="IPX619" s="268"/>
      <c r="IPY619" s="268"/>
      <c r="IPZ619" s="268"/>
      <c r="IQA619" s="268"/>
      <c r="IQB619" s="268"/>
      <c r="IQC619" s="268"/>
      <c r="IQD619" s="268"/>
      <c r="IQE619" s="268"/>
      <c r="IQF619" s="268"/>
      <c r="IQG619" s="268"/>
      <c r="IQH619" s="268"/>
      <c r="IQI619" s="268"/>
      <c r="IQJ619" s="268"/>
      <c r="IQK619" s="268"/>
      <c r="IQL619" s="268"/>
      <c r="IQM619" s="268"/>
      <c r="IQN619" s="268"/>
      <c r="IQO619" s="268"/>
      <c r="IQP619" s="268"/>
      <c r="IQQ619" s="268"/>
      <c r="IQR619" s="268"/>
      <c r="IQS619" s="268"/>
      <c r="IQT619" s="268"/>
      <c r="IQU619" s="268"/>
      <c r="IQV619" s="268"/>
      <c r="IQW619" s="268"/>
      <c r="IQX619" s="268"/>
      <c r="IQY619" s="268"/>
      <c r="IQZ619" s="268"/>
      <c r="IRA619" s="268"/>
      <c r="IRB619" s="268"/>
      <c r="IRC619" s="268"/>
      <c r="IRD619" s="268"/>
      <c r="IRE619" s="268"/>
      <c r="IRF619" s="268"/>
      <c r="IRG619" s="268"/>
      <c r="IRH619" s="268"/>
      <c r="IRI619" s="268"/>
      <c r="IRJ619" s="268"/>
      <c r="IRK619" s="268"/>
      <c r="IRL619" s="268"/>
      <c r="IRM619" s="268"/>
      <c r="IRN619" s="268"/>
      <c r="IRO619" s="268"/>
      <c r="IRP619" s="268"/>
      <c r="IRQ619" s="268"/>
      <c r="IRR619" s="268"/>
      <c r="IRS619" s="268"/>
      <c r="IRT619" s="268"/>
      <c r="IRU619" s="268"/>
      <c r="IRV619" s="268"/>
      <c r="IRW619" s="268"/>
      <c r="IRX619" s="268"/>
      <c r="IRY619" s="268"/>
      <c r="IRZ619" s="268"/>
      <c r="ISA619" s="268"/>
      <c r="ISB619" s="268"/>
      <c r="ISC619" s="268"/>
      <c r="ISD619" s="268"/>
      <c r="ISE619" s="268"/>
      <c r="ISF619" s="268"/>
      <c r="ISG619" s="268"/>
      <c r="ISH619" s="268"/>
      <c r="ISI619" s="268"/>
      <c r="ISJ619" s="268"/>
      <c r="ISK619" s="268"/>
      <c r="ISL619" s="268"/>
      <c r="ISM619" s="268"/>
      <c r="ISN619" s="268"/>
      <c r="ISO619" s="268"/>
      <c r="ISP619" s="268"/>
      <c r="ISQ619" s="268"/>
      <c r="ISR619" s="268"/>
      <c r="ISS619" s="268"/>
      <c r="IST619" s="268"/>
      <c r="ISU619" s="268"/>
      <c r="ISV619" s="268"/>
      <c r="ISW619" s="268"/>
      <c r="ISX619" s="268"/>
      <c r="ISY619" s="268"/>
      <c r="ISZ619" s="268"/>
      <c r="ITA619" s="268"/>
      <c r="ITB619" s="268"/>
      <c r="ITC619" s="268"/>
      <c r="ITD619" s="268"/>
      <c r="ITE619" s="268"/>
      <c r="ITF619" s="268"/>
      <c r="ITG619" s="268"/>
      <c r="ITH619" s="268"/>
      <c r="ITI619" s="268"/>
      <c r="ITJ619" s="268"/>
      <c r="ITK619" s="268"/>
      <c r="ITL619" s="268"/>
      <c r="ITM619" s="268"/>
      <c r="ITN619" s="268"/>
      <c r="ITO619" s="268"/>
      <c r="ITP619" s="268"/>
      <c r="ITQ619" s="268"/>
      <c r="ITR619" s="268"/>
      <c r="ITS619" s="268"/>
      <c r="ITT619" s="268"/>
      <c r="ITU619" s="268"/>
      <c r="ITV619" s="268"/>
      <c r="ITW619" s="268"/>
      <c r="ITX619" s="268"/>
      <c r="ITY619" s="268"/>
      <c r="ITZ619" s="268"/>
      <c r="IUA619" s="268"/>
      <c r="IUB619" s="268"/>
      <c r="IUC619" s="268"/>
      <c r="IUD619" s="268"/>
      <c r="IUE619" s="268"/>
      <c r="IUF619" s="268"/>
      <c r="IUG619" s="268"/>
      <c r="IUH619" s="268"/>
      <c r="IUI619" s="268"/>
      <c r="IUJ619" s="268"/>
      <c r="IUK619" s="268"/>
      <c r="IUL619" s="268"/>
      <c r="IUM619" s="268"/>
      <c r="IUN619" s="268"/>
      <c r="IUO619" s="268"/>
      <c r="IUP619" s="268"/>
      <c r="IUQ619" s="268"/>
      <c r="IVE619" s="268"/>
      <c r="IVF619" s="268"/>
      <c r="IVG619" s="268"/>
      <c r="IVU619" s="268"/>
      <c r="IVW619" s="268"/>
      <c r="IVX619" s="268"/>
      <c r="IVY619" s="268"/>
      <c r="IVZ619" s="268"/>
      <c r="IWA619" s="268"/>
      <c r="IWB619" s="268"/>
      <c r="IWC619" s="268"/>
      <c r="IWD619" s="268"/>
      <c r="IWE619" s="268"/>
      <c r="IWF619" s="268"/>
      <c r="IWG619" s="268"/>
      <c r="IWH619" s="268"/>
      <c r="IWI619" s="268"/>
      <c r="IWJ619" s="268"/>
      <c r="IWK619" s="268"/>
      <c r="IWL619" s="268"/>
      <c r="IWM619" s="268"/>
      <c r="IWN619" s="268"/>
      <c r="IWO619" s="268"/>
      <c r="IWP619" s="268"/>
      <c r="IWQ619" s="268"/>
      <c r="IWR619" s="268"/>
      <c r="IWS619" s="268"/>
      <c r="IWT619" s="268"/>
      <c r="IWU619" s="268"/>
      <c r="IWV619" s="268"/>
      <c r="IWW619" s="268"/>
      <c r="IWX619" s="268"/>
      <c r="IWY619" s="268"/>
      <c r="IWZ619" s="268"/>
      <c r="IXA619" s="268"/>
      <c r="IXB619" s="268"/>
      <c r="IXC619" s="268"/>
      <c r="IXD619" s="268"/>
      <c r="IXE619" s="268"/>
      <c r="IXF619" s="268"/>
      <c r="IXG619" s="268"/>
      <c r="IXH619" s="268"/>
      <c r="IXI619" s="268"/>
      <c r="IXJ619" s="268"/>
      <c r="IXK619" s="268"/>
      <c r="IXL619" s="268"/>
      <c r="IXM619" s="268"/>
      <c r="IXN619" s="268"/>
      <c r="IXO619" s="268"/>
      <c r="IXP619" s="268"/>
      <c r="IXQ619" s="268"/>
      <c r="IXR619" s="268"/>
      <c r="IXS619" s="268"/>
      <c r="IXT619" s="268"/>
      <c r="IXU619" s="268"/>
      <c r="IXV619" s="268"/>
      <c r="IXW619" s="268"/>
      <c r="IXX619" s="268"/>
      <c r="IXY619" s="268"/>
      <c r="IXZ619" s="268"/>
      <c r="IYA619" s="268"/>
      <c r="IYB619" s="268"/>
      <c r="IYC619" s="268"/>
      <c r="IYD619" s="268"/>
      <c r="IYE619" s="268"/>
      <c r="IYF619" s="268"/>
      <c r="IYG619" s="268"/>
      <c r="IYH619" s="268"/>
      <c r="IYI619" s="268"/>
      <c r="IYJ619" s="268"/>
      <c r="IYK619" s="268"/>
      <c r="IYL619" s="268"/>
      <c r="IYM619" s="268"/>
      <c r="IYN619" s="268"/>
      <c r="IYO619" s="268"/>
      <c r="IYP619" s="268"/>
      <c r="IYQ619" s="268"/>
      <c r="IYR619" s="268"/>
      <c r="IYS619" s="268"/>
      <c r="IYT619" s="268"/>
      <c r="IYU619" s="268"/>
      <c r="IYV619" s="268"/>
      <c r="IYW619" s="268"/>
      <c r="IYX619" s="268"/>
      <c r="IYY619" s="268"/>
      <c r="IYZ619" s="268"/>
      <c r="IZA619" s="268"/>
      <c r="IZB619" s="268"/>
      <c r="IZC619" s="268"/>
      <c r="IZD619" s="268"/>
      <c r="IZE619" s="268"/>
      <c r="IZF619" s="268"/>
      <c r="IZG619" s="268"/>
      <c r="IZH619" s="268"/>
      <c r="IZI619" s="268"/>
      <c r="IZJ619" s="268"/>
      <c r="IZK619" s="268"/>
      <c r="IZL619" s="268"/>
      <c r="IZM619" s="268"/>
      <c r="IZN619" s="268"/>
      <c r="IZO619" s="268"/>
      <c r="IZP619" s="268"/>
      <c r="IZQ619" s="268"/>
      <c r="IZR619" s="268"/>
      <c r="IZS619" s="268"/>
      <c r="IZT619" s="268"/>
      <c r="IZU619" s="268"/>
      <c r="IZV619" s="268"/>
      <c r="IZW619" s="268"/>
      <c r="IZX619" s="268"/>
      <c r="IZY619" s="268"/>
      <c r="IZZ619" s="268"/>
      <c r="JAA619" s="268"/>
      <c r="JAB619" s="268"/>
      <c r="JAC619" s="268"/>
      <c r="JAD619" s="268"/>
      <c r="JAE619" s="268"/>
      <c r="JAF619" s="268"/>
      <c r="JAG619" s="268"/>
      <c r="JAH619" s="268"/>
      <c r="JAI619" s="268"/>
      <c r="JAJ619" s="268"/>
      <c r="JAK619" s="268"/>
      <c r="JAL619" s="268"/>
      <c r="JAM619" s="268"/>
      <c r="JAN619" s="268"/>
      <c r="JAO619" s="268"/>
      <c r="JAP619" s="268"/>
      <c r="JAQ619" s="268"/>
      <c r="JAR619" s="268"/>
      <c r="JAS619" s="268"/>
      <c r="JAT619" s="268"/>
      <c r="JAU619" s="268"/>
      <c r="JAV619" s="268"/>
      <c r="JAW619" s="268"/>
      <c r="JAX619" s="268"/>
      <c r="JAY619" s="268"/>
      <c r="JAZ619" s="268"/>
      <c r="JBA619" s="268"/>
      <c r="JBB619" s="268"/>
      <c r="JBC619" s="268"/>
      <c r="JBD619" s="268"/>
      <c r="JBE619" s="268"/>
      <c r="JBF619" s="268"/>
      <c r="JBG619" s="268"/>
      <c r="JBH619" s="268"/>
      <c r="JBI619" s="268"/>
      <c r="JBJ619" s="268"/>
      <c r="JBK619" s="268"/>
      <c r="JBL619" s="268"/>
      <c r="JBM619" s="268"/>
      <c r="JBN619" s="268"/>
      <c r="JBO619" s="268"/>
      <c r="JBP619" s="268"/>
      <c r="JBQ619" s="268"/>
      <c r="JBR619" s="268"/>
      <c r="JBS619" s="268"/>
      <c r="JBT619" s="268"/>
      <c r="JBU619" s="268"/>
      <c r="JBV619" s="268"/>
      <c r="JBW619" s="268"/>
      <c r="JBX619" s="268"/>
      <c r="JBY619" s="268"/>
      <c r="JBZ619" s="268"/>
      <c r="JCA619" s="268"/>
      <c r="JCB619" s="268"/>
      <c r="JCC619" s="268"/>
      <c r="JCD619" s="268"/>
      <c r="JCE619" s="268"/>
      <c r="JCF619" s="268"/>
      <c r="JCG619" s="268"/>
      <c r="JCH619" s="268"/>
      <c r="JCI619" s="268"/>
      <c r="JCJ619" s="268"/>
      <c r="JCK619" s="268"/>
      <c r="JCL619" s="268"/>
      <c r="JCM619" s="268"/>
      <c r="JCN619" s="268"/>
      <c r="JCO619" s="268"/>
      <c r="JCP619" s="268"/>
      <c r="JCQ619" s="268"/>
      <c r="JCR619" s="268"/>
      <c r="JCS619" s="268"/>
      <c r="JCT619" s="268"/>
      <c r="JCU619" s="268"/>
      <c r="JCV619" s="268"/>
      <c r="JCW619" s="268"/>
      <c r="JCX619" s="268"/>
      <c r="JCY619" s="268"/>
      <c r="JCZ619" s="268"/>
      <c r="JDA619" s="268"/>
      <c r="JDB619" s="268"/>
      <c r="JDC619" s="268"/>
      <c r="JDD619" s="268"/>
      <c r="JDE619" s="268"/>
      <c r="JDF619" s="268"/>
      <c r="JDG619" s="268"/>
      <c r="JDH619" s="268"/>
      <c r="JDI619" s="268"/>
      <c r="JDJ619" s="268"/>
      <c r="JDK619" s="268"/>
      <c r="JDL619" s="268"/>
      <c r="JDM619" s="268"/>
      <c r="JDN619" s="268"/>
      <c r="JDO619" s="268"/>
      <c r="JDP619" s="268"/>
      <c r="JDQ619" s="268"/>
      <c r="JDR619" s="268"/>
      <c r="JDS619" s="268"/>
      <c r="JDT619" s="268"/>
      <c r="JDU619" s="268"/>
      <c r="JDV619" s="268"/>
      <c r="JDW619" s="268"/>
      <c r="JDX619" s="268"/>
      <c r="JDY619" s="268"/>
      <c r="JDZ619" s="268"/>
      <c r="JEA619" s="268"/>
      <c r="JEB619" s="268"/>
      <c r="JEC619" s="268"/>
      <c r="JED619" s="268"/>
      <c r="JEE619" s="268"/>
      <c r="JEF619" s="268"/>
      <c r="JEG619" s="268"/>
      <c r="JEH619" s="268"/>
      <c r="JEI619" s="268"/>
      <c r="JEJ619" s="268"/>
      <c r="JEK619" s="268"/>
      <c r="JEL619" s="268"/>
      <c r="JEM619" s="268"/>
      <c r="JFA619" s="268"/>
      <c r="JFB619" s="268"/>
      <c r="JFC619" s="268"/>
      <c r="JFQ619" s="268"/>
      <c r="JFS619" s="268"/>
      <c r="JFT619" s="268"/>
      <c r="JFU619" s="268"/>
      <c r="JFV619" s="268"/>
      <c r="JFW619" s="268"/>
      <c r="JFX619" s="268"/>
      <c r="JFY619" s="268"/>
      <c r="JFZ619" s="268"/>
      <c r="JGA619" s="268"/>
      <c r="JGB619" s="268"/>
      <c r="JGC619" s="268"/>
      <c r="JGD619" s="268"/>
      <c r="JGE619" s="268"/>
      <c r="JGF619" s="268"/>
      <c r="JGG619" s="268"/>
      <c r="JGH619" s="268"/>
      <c r="JGI619" s="268"/>
      <c r="JGJ619" s="268"/>
      <c r="JGK619" s="268"/>
      <c r="JGL619" s="268"/>
      <c r="JGM619" s="268"/>
      <c r="JGN619" s="268"/>
      <c r="JGO619" s="268"/>
      <c r="JGP619" s="268"/>
      <c r="JGQ619" s="268"/>
      <c r="JGR619" s="268"/>
      <c r="JGS619" s="268"/>
      <c r="JGT619" s="268"/>
      <c r="JGU619" s="268"/>
      <c r="JGV619" s="268"/>
      <c r="JGW619" s="268"/>
      <c r="JGX619" s="268"/>
      <c r="JGY619" s="268"/>
      <c r="JGZ619" s="268"/>
      <c r="JHA619" s="268"/>
      <c r="JHB619" s="268"/>
      <c r="JHC619" s="268"/>
      <c r="JHD619" s="268"/>
      <c r="JHE619" s="268"/>
      <c r="JHF619" s="268"/>
      <c r="JHG619" s="268"/>
      <c r="JHH619" s="268"/>
      <c r="JHI619" s="268"/>
      <c r="JHJ619" s="268"/>
      <c r="JHK619" s="268"/>
      <c r="JHL619" s="268"/>
      <c r="JHM619" s="268"/>
      <c r="JHN619" s="268"/>
      <c r="JHO619" s="268"/>
      <c r="JHP619" s="268"/>
      <c r="JHQ619" s="268"/>
      <c r="JHR619" s="268"/>
      <c r="JHS619" s="268"/>
      <c r="JHT619" s="268"/>
      <c r="JHU619" s="268"/>
      <c r="JHV619" s="268"/>
      <c r="JHW619" s="268"/>
      <c r="JHX619" s="268"/>
      <c r="JHY619" s="268"/>
      <c r="JHZ619" s="268"/>
      <c r="JIA619" s="268"/>
      <c r="JIB619" s="268"/>
      <c r="JIC619" s="268"/>
      <c r="JID619" s="268"/>
      <c r="JIE619" s="268"/>
      <c r="JIF619" s="268"/>
      <c r="JIG619" s="268"/>
      <c r="JIH619" s="268"/>
      <c r="JII619" s="268"/>
      <c r="JIJ619" s="268"/>
      <c r="JIK619" s="268"/>
      <c r="JIL619" s="268"/>
      <c r="JIM619" s="268"/>
      <c r="JIN619" s="268"/>
      <c r="JIO619" s="268"/>
      <c r="JIP619" s="268"/>
      <c r="JIQ619" s="268"/>
      <c r="JIR619" s="268"/>
      <c r="JIS619" s="268"/>
      <c r="JIT619" s="268"/>
      <c r="JIU619" s="268"/>
      <c r="JIV619" s="268"/>
      <c r="JIW619" s="268"/>
      <c r="JIX619" s="268"/>
      <c r="JIY619" s="268"/>
      <c r="JIZ619" s="268"/>
      <c r="JJA619" s="268"/>
      <c r="JJB619" s="268"/>
      <c r="JJC619" s="268"/>
      <c r="JJD619" s="268"/>
      <c r="JJE619" s="268"/>
      <c r="JJF619" s="268"/>
      <c r="JJG619" s="268"/>
      <c r="JJH619" s="268"/>
      <c r="JJI619" s="268"/>
      <c r="JJJ619" s="268"/>
      <c r="JJK619" s="268"/>
      <c r="JJL619" s="268"/>
      <c r="JJM619" s="268"/>
      <c r="JJN619" s="268"/>
      <c r="JJO619" s="268"/>
      <c r="JJP619" s="268"/>
      <c r="JJQ619" s="268"/>
      <c r="JJR619" s="268"/>
      <c r="JJS619" s="268"/>
      <c r="JJT619" s="268"/>
      <c r="JJU619" s="268"/>
      <c r="JJV619" s="268"/>
      <c r="JJW619" s="268"/>
      <c r="JJX619" s="268"/>
      <c r="JJY619" s="268"/>
      <c r="JJZ619" s="268"/>
      <c r="JKA619" s="268"/>
      <c r="JKB619" s="268"/>
      <c r="JKC619" s="268"/>
      <c r="JKD619" s="268"/>
      <c r="JKE619" s="268"/>
      <c r="JKF619" s="268"/>
      <c r="JKG619" s="268"/>
      <c r="JKH619" s="268"/>
      <c r="JKI619" s="268"/>
      <c r="JKJ619" s="268"/>
      <c r="JKK619" s="268"/>
      <c r="JKL619" s="268"/>
      <c r="JKM619" s="268"/>
      <c r="JKN619" s="268"/>
      <c r="JKO619" s="268"/>
      <c r="JKP619" s="268"/>
      <c r="JKQ619" s="268"/>
      <c r="JKR619" s="268"/>
      <c r="JKS619" s="268"/>
      <c r="JKT619" s="268"/>
      <c r="JKU619" s="268"/>
      <c r="JKV619" s="268"/>
      <c r="JKW619" s="268"/>
      <c r="JKX619" s="268"/>
      <c r="JKY619" s="268"/>
      <c r="JKZ619" s="268"/>
      <c r="JLA619" s="268"/>
      <c r="JLB619" s="268"/>
      <c r="JLC619" s="268"/>
      <c r="JLD619" s="268"/>
      <c r="JLE619" s="268"/>
      <c r="JLF619" s="268"/>
      <c r="JLG619" s="268"/>
      <c r="JLH619" s="268"/>
      <c r="JLI619" s="268"/>
      <c r="JLJ619" s="268"/>
      <c r="JLK619" s="268"/>
      <c r="JLL619" s="268"/>
      <c r="JLM619" s="268"/>
      <c r="JLN619" s="268"/>
      <c r="JLO619" s="268"/>
      <c r="JLP619" s="268"/>
      <c r="JLQ619" s="268"/>
      <c r="JLR619" s="268"/>
      <c r="JLS619" s="268"/>
      <c r="JLT619" s="268"/>
      <c r="JLU619" s="268"/>
      <c r="JLV619" s="268"/>
      <c r="JLW619" s="268"/>
      <c r="JLX619" s="268"/>
      <c r="JLY619" s="268"/>
      <c r="JLZ619" s="268"/>
      <c r="JMA619" s="268"/>
      <c r="JMB619" s="268"/>
      <c r="JMC619" s="268"/>
      <c r="JMD619" s="268"/>
      <c r="JME619" s="268"/>
      <c r="JMF619" s="268"/>
      <c r="JMG619" s="268"/>
      <c r="JMH619" s="268"/>
      <c r="JMI619" s="268"/>
      <c r="JMJ619" s="268"/>
      <c r="JMK619" s="268"/>
      <c r="JML619" s="268"/>
      <c r="JMM619" s="268"/>
      <c r="JMN619" s="268"/>
      <c r="JMO619" s="268"/>
      <c r="JMP619" s="268"/>
      <c r="JMQ619" s="268"/>
      <c r="JMR619" s="268"/>
      <c r="JMS619" s="268"/>
      <c r="JMT619" s="268"/>
      <c r="JMU619" s="268"/>
      <c r="JMV619" s="268"/>
      <c r="JMW619" s="268"/>
      <c r="JMX619" s="268"/>
      <c r="JMY619" s="268"/>
      <c r="JMZ619" s="268"/>
      <c r="JNA619" s="268"/>
      <c r="JNB619" s="268"/>
      <c r="JNC619" s="268"/>
      <c r="JND619" s="268"/>
      <c r="JNE619" s="268"/>
      <c r="JNF619" s="268"/>
      <c r="JNG619" s="268"/>
      <c r="JNH619" s="268"/>
      <c r="JNI619" s="268"/>
      <c r="JNJ619" s="268"/>
      <c r="JNK619" s="268"/>
      <c r="JNL619" s="268"/>
      <c r="JNM619" s="268"/>
      <c r="JNN619" s="268"/>
      <c r="JNO619" s="268"/>
      <c r="JNP619" s="268"/>
      <c r="JNQ619" s="268"/>
      <c r="JNR619" s="268"/>
      <c r="JNS619" s="268"/>
      <c r="JNT619" s="268"/>
      <c r="JNU619" s="268"/>
      <c r="JNV619" s="268"/>
      <c r="JNW619" s="268"/>
      <c r="JNX619" s="268"/>
      <c r="JNY619" s="268"/>
      <c r="JNZ619" s="268"/>
      <c r="JOA619" s="268"/>
      <c r="JOB619" s="268"/>
      <c r="JOC619" s="268"/>
      <c r="JOD619" s="268"/>
      <c r="JOE619" s="268"/>
      <c r="JOF619" s="268"/>
      <c r="JOG619" s="268"/>
      <c r="JOH619" s="268"/>
      <c r="JOI619" s="268"/>
      <c r="JOW619" s="268"/>
      <c r="JOX619" s="268"/>
      <c r="JOY619" s="268"/>
      <c r="JPM619" s="268"/>
      <c r="JPO619" s="268"/>
      <c r="JPP619" s="268"/>
      <c r="JPQ619" s="268"/>
      <c r="JPR619" s="268"/>
      <c r="JPS619" s="268"/>
      <c r="JPT619" s="268"/>
      <c r="JPU619" s="268"/>
      <c r="JPV619" s="268"/>
      <c r="JPW619" s="268"/>
      <c r="JPX619" s="268"/>
      <c r="JPY619" s="268"/>
      <c r="JPZ619" s="268"/>
      <c r="JQA619" s="268"/>
      <c r="JQB619" s="268"/>
      <c r="JQC619" s="268"/>
      <c r="JQD619" s="268"/>
      <c r="JQE619" s="268"/>
      <c r="JQF619" s="268"/>
      <c r="JQG619" s="268"/>
      <c r="JQH619" s="268"/>
      <c r="JQI619" s="268"/>
      <c r="JQJ619" s="268"/>
      <c r="JQK619" s="268"/>
      <c r="JQL619" s="268"/>
      <c r="JQM619" s="268"/>
      <c r="JQN619" s="268"/>
      <c r="JQO619" s="268"/>
      <c r="JQP619" s="268"/>
      <c r="JQQ619" s="268"/>
      <c r="JQR619" s="268"/>
      <c r="JQS619" s="268"/>
      <c r="JQT619" s="268"/>
      <c r="JQU619" s="268"/>
      <c r="JQV619" s="268"/>
      <c r="JQW619" s="268"/>
      <c r="JQX619" s="268"/>
      <c r="JQY619" s="268"/>
      <c r="JQZ619" s="268"/>
      <c r="JRA619" s="268"/>
      <c r="JRB619" s="268"/>
      <c r="JRC619" s="268"/>
      <c r="JRD619" s="268"/>
      <c r="JRE619" s="268"/>
      <c r="JRF619" s="268"/>
      <c r="JRG619" s="268"/>
      <c r="JRH619" s="268"/>
      <c r="JRI619" s="268"/>
      <c r="JRJ619" s="268"/>
      <c r="JRK619" s="268"/>
      <c r="JRL619" s="268"/>
      <c r="JRM619" s="268"/>
      <c r="JRN619" s="268"/>
      <c r="JRO619" s="268"/>
      <c r="JRP619" s="268"/>
      <c r="JRQ619" s="268"/>
      <c r="JRR619" s="268"/>
      <c r="JRS619" s="268"/>
      <c r="JRT619" s="268"/>
      <c r="JRU619" s="268"/>
      <c r="JRV619" s="268"/>
      <c r="JRW619" s="268"/>
      <c r="JRX619" s="268"/>
      <c r="JRY619" s="268"/>
      <c r="JRZ619" s="268"/>
      <c r="JSA619" s="268"/>
      <c r="JSB619" s="268"/>
      <c r="JSC619" s="268"/>
      <c r="JSD619" s="268"/>
      <c r="JSE619" s="268"/>
      <c r="JSF619" s="268"/>
      <c r="JSG619" s="268"/>
      <c r="JSH619" s="268"/>
      <c r="JSI619" s="268"/>
      <c r="JSJ619" s="268"/>
      <c r="JSK619" s="268"/>
      <c r="JSL619" s="268"/>
      <c r="JSM619" s="268"/>
      <c r="JSN619" s="268"/>
      <c r="JSO619" s="268"/>
      <c r="JSP619" s="268"/>
      <c r="JSQ619" s="268"/>
      <c r="JSR619" s="268"/>
      <c r="JSS619" s="268"/>
      <c r="JST619" s="268"/>
      <c r="JSU619" s="268"/>
      <c r="JSV619" s="268"/>
      <c r="JSW619" s="268"/>
      <c r="JSX619" s="268"/>
      <c r="JSY619" s="268"/>
      <c r="JSZ619" s="268"/>
      <c r="JTA619" s="268"/>
      <c r="JTB619" s="268"/>
      <c r="JTC619" s="268"/>
      <c r="JTD619" s="268"/>
      <c r="JTE619" s="268"/>
      <c r="JTF619" s="268"/>
      <c r="JTG619" s="268"/>
      <c r="JTH619" s="268"/>
      <c r="JTI619" s="268"/>
      <c r="JTJ619" s="268"/>
      <c r="JTK619" s="268"/>
      <c r="JTL619" s="268"/>
      <c r="JTM619" s="268"/>
      <c r="JTN619" s="268"/>
      <c r="JTO619" s="268"/>
      <c r="JTP619" s="268"/>
      <c r="JTQ619" s="268"/>
      <c r="JTR619" s="268"/>
      <c r="JTS619" s="268"/>
      <c r="JTT619" s="268"/>
      <c r="JTU619" s="268"/>
      <c r="JTV619" s="268"/>
      <c r="JTW619" s="268"/>
      <c r="JTX619" s="268"/>
      <c r="JTY619" s="268"/>
      <c r="JTZ619" s="268"/>
      <c r="JUA619" s="268"/>
      <c r="JUB619" s="268"/>
      <c r="JUC619" s="268"/>
      <c r="JUD619" s="268"/>
      <c r="JUE619" s="268"/>
      <c r="JUF619" s="268"/>
      <c r="JUG619" s="268"/>
      <c r="JUH619" s="268"/>
      <c r="JUI619" s="268"/>
      <c r="JUJ619" s="268"/>
      <c r="JUK619" s="268"/>
      <c r="JUL619" s="268"/>
      <c r="JUM619" s="268"/>
      <c r="JUN619" s="268"/>
      <c r="JUO619" s="268"/>
      <c r="JUP619" s="268"/>
      <c r="JUQ619" s="268"/>
      <c r="JUR619" s="268"/>
      <c r="JUS619" s="268"/>
      <c r="JUT619" s="268"/>
      <c r="JUU619" s="268"/>
      <c r="JUV619" s="268"/>
      <c r="JUW619" s="268"/>
      <c r="JUX619" s="268"/>
      <c r="JUY619" s="268"/>
      <c r="JUZ619" s="268"/>
      <c r="JVA619" s="268"/>
      <c r="JVB619" s="268"/>
      <c r="JVC619" s="268"/>
      <c r="JVD619" s="268"/>
      <c r="JVE619" s="268"/>
      <c r="JVF619" s="268"/>
      <c r="JVG619" s="268"/>
      <c r="JVH619" s="268"/>
      <c r="JVI619" s="268"/>
      <c r="JVJ619" s="268"/>
      <c r="JVK619" s="268"/>
      <c r="JVL619" s="268"/>
      <c r="JVM619" s="268"/>
      <c r="JVN619" s="268"/>
      <c r="JVO619" s="268"/>
      <c r="JVP619" s="268"/>
      <c r="JVQ619" s="268"/>
      <c r="JVR619" s="268"/>
      <c r="JVS619" s="268"/>
      <c r="JVT619" s="268"/>
      <c r="JVU619" s="268"/>
      <c r="JVV619" s="268"/>
      <c r="JVW619" s="268"/>
      <c r="JVX619" s="268"/>
      <c r="JVY619" s="268"/>
      <c r="JVZ619" s="268"/>
      <c r="JWA619" s="268"/>
      <c r="JWB619" s="268"/>
      <c r="JWC619" s="268"/>
      <c r="JWD619" s="268"/>
      <c r="JWE619" s="268"/>
      <c r="JWF619" s="268"/>
      <c r="JWG619" s="268"/>
      <c r="JWH619" s="268"/>
      <c r="JWI619" s="268"/>
      <c r="JWJ619" s="268"/>
      <c r="JWK619" s="268"/>
      <c r="JWL619" s="268"/>
      <c r="JWM619" s="268"/>
      <c r="JWN619" s="268"/>
      <c r="JWO619" s="268"/>
      <c r="JWP619" s="268"/>
      <c r="JWQ619" s="268"/>
      <c r="JWR619" s="268"/>
      <c r="JWS619" s="268"/>
      <c r="JWT619" s="268"/>
      <c r="JWU619" s="268"/>
      <c r="JWV619" s="268"/>
      <c r="JWW619" s="268"/>
      <c r="JWX619" s="268"/>
      <c r="JWY619" s="268"/>
      <c r="JWZ619" s="268"/>
      <c r="JXA619" s="268"/>
      <c r="JXB619" s="268"/>
      <c r="JXC619" s="268"/>
      <c r="JXD619" s="268"/>
      <c r="JXE619" s="268"/>
      <c r="JXF619" s="268"/>
      <c r="JXG619" s="268"/>
      <c r="JXH619" s="268"/>
      <c r="JXI619" s="268"/>
      <c r="JXJ619" s="268"/>
      <c r="JXK619" s="268"/>
      <c r="JXL619" s="268"/>
      <c r="JXM619" s="268"/>
      <c r="JXN619" s="268"/>
      <c r="JXO619" s="268"/>
      <c r="JXP619" s="268"/>
      <c r="JXQ619" s="268"/>
      <c r="JXR619" s="268"/>
      <c r="JXS619" s="268"/>
      <c r="JXT619" s="268"/>
      <c r="JXU619" s="268"/>
      <c r="JXV619" s="268"/>
      <c r="JXW619" s="268"/>
      <c r="JXX619" s="268"/>
      <c r="JXY619" s="268"/>
      <c r="JXZ619" s="268"/>
      <c r="JYA619" s="268"/>
      <c r="JYB619" s="268"/>
      <c r="JYC619" s="268"/>
      <c r="JYD619" s="268"/>
      <c r="JYE619" s="268"/>
      <c r="JYS619" s="268"/>
      <c r="JYT619" s="268"/>
      <c r="JYU619" s="268"/>
      <c r="JZI619" s="268"/>
      <c r="JZK619" s="268"/>
      <c r="JZL619" s="268"/>
      <c r="JZM619" s="268"/>
      <c r="JZN619" s="268"/>
      <c r="JZO619" s="268"/>
      <c r="JZP619" s="268"/>
      <c r="JZQ619" s="268"/>
      <c r="JZR619" s="268"/>
      <c r="JZS619" s="268"/>
      <c r="JZT619" s="268"/>
      <c r="JZU619" s="268"/>
      <c r="JZV619" s="268"/>
      <c r="JZW619" s="268"/>
      <c r="JZX619" s="268"/>
      <c r="JZY619" s="268"/>
      <c r="JZZ619" s="268"/>
      <c r="KAA619" s="268"/>
      <c r="KAB619" s="268"/>
      <c r="KAC619" s="268"/>
      <c r="KAD619" s="268"/>
      <c r="KAE619" s="268"/>
      <c r="KAF619" s="268"/>
      <c r="KAG619" s="268"/>
      <c r="KAH619" s="268"/>
      <c r="KAI619" s="268"/>
      <c r="KAJ619" s="268"/>
      <c r="KAK619" s="268"/>
      <c r="KAL619" s="268"/>
      <c r="KAM619" s="268"/>
      <c r="KAN619" s="268"/>
      <c r="KAO619" s="268"/>
      <c r="KAP619" s="268"/>
      <c r="KAQ619" s="268"/>
      <c r="KAR619" s="268"/>
      <c r="KAS619" s="268"/>
      <c r="KAT619" s="268"/>
      <c r="KAU619" s="268"/>
      <c r="KAV619" s="268"/>
      <c r="KAW619" s="268"/>
      <c r="KAX619" s="268"/>
      <c r="KAY619" s="268"/>
      <c r="KAZ619" s="268"/>
      <c r="KBA619" s="268"/>
      <c r="KBB619" s="268"/>
      <c r="KBC619" s="268"/>
      <c r="KBD619" s="268"/>
      <c r="KBE619" s="268"/>
      <c r="KBF619" s="268"/>
      <c r="KBG619" s="268"/>
      <c r="KBH619" s="268"/>
      <c r="KBI619" s="268"/>
      <c r="KBJ619" s="268"/>
      <c r="KBK619" s="268"/>
      <c r="KBL619" s="268"/>
      <c r="KBM619" s="268"/>
      <c r="KBN619" s="268"/>
      <c r="KBO619" s="268"/>
      <c r="KBP619" s="268"/>
      <c r="KBQ619" s="268"/>
      <c r="KBR619" s="268"/>
      <c r="KBS619" s="268"/>
      <c r="KBT619" s="268"/>
      <c r="KBU619" s="268"/>
      <c r="KBV619" s="268"/>
      <c r="KBW619" s="268"/>
      <c r="KBX619" s="268"/>
      <c r="KBY619" s="268"/>
      <c r="KBZ619" s="268"/>
      <c r="KCA619" s="268"/>
      <c r="KCB619" s="268"/>
      <c r="KCC619" s="268"/>
      <c r="KCD619" s="268"/>
      <c r="KCE619" s="268"/>
      <c r="KCF619" s="268"/>
      <c r="KCG619" s="268"/>
      <c r="KCH619" s="268"/>
      <c r="KCI619" s="268"/>
      <c r="KCJ619" s="268"/>
      <c r="KCK619" s="268"/>
      <c r="KCL619" s="268"/>
      <c r="KCM619" s="268"/>
      <c r="KCN619" s="268"/>
      <c r="KCO619" s="268"/>
      <c r="KCP619" s="268"/>
      <c r="KCQ619" s="268"/>
      <c r="KCR619" s="268"/>
      <c r="KCS619" s="268"/>
      <c r="KCT619" s="268"/>
      <c r="KCU619" s="268"/>
      <c r="KCV619" s="268"/>
      <c r="KCW619" s="268"/>
      <c r="KCX619" s="268"/>
      <c r="KCY619" s="268"/>
      <c r="KCZ619" s="268"/>
      <c r="KDA619" s="268"/>
      <c r="KDB619" s="268"/>
      <c r="KDC619" s="268"/>
      <c r="KDD619" s="268"/>
      <c r="KDE619" s="268"/>
      <c r="KDF619" s="268"/>
      <c r="KDG619" s="268"/>
      <c r="KDH619" s="268"/>
      <c r="KDI619" s="268"/>
      <c r="KDJ619" s="268"/>
      <c r="KDK619" s="268"/>
      <c r="KDL619" s="268"/>
      <c r="KDM619" s="268"/>
      <c r="KDN619" s="268"/>
      <c r="KDO619" s="268"/>
      <c r="KDP619" s="268"/>
      <c r="KDQ619" s="268"/>
      <c r="KDR619" s="268"/>
      <c r="KDS619" s="268"/>
      <c r="KDT619" s="268"/>
      <c r="KDU619" s="268"/>
      <c r="KDV619" s="268"/>
      <c r="KDW619" s="268"/>
      <c r="KDX619" s="268"/>
      <c r="KDY619" s="268"/>
      <c r="KDZ619" s="268"/>
      <c r="KEA619" s="268"/>
      <c r="KEB619" s="268"/>
      <c r="KEC619" s="268"/>
      <c r="KED619" s="268"/>
      <c r="KEE619" s="268"/>
      <c r="KEF619" s="268"/>
      <c r="KEG619" s="268"/>
      <c r="KEH619" s="268"/>
      <c r="KEI619" s="268"/>
      <c r="KEJ619" s="268"/>
      <c r="KEK619" s="268"/>
      <c r="KEL619" s="268"/>
      <c r="KEM619" s="268"/>
      <c r="KEN619" s="268"/>
      <c r="KEO619" s="268"/>
      <c r="KEP619" s="268"/>
      <c r="KEQ619" s="268"/>
      <c r="KER619" s="268"/>
      <c r="KES619" s="268"/>
      <c r="KET619" s="268"/>
      <c r="KEU619" s="268"/>
      <c r="KEV619" s="268"/>
      <c r="KEW619" s="268"/>
      <c r="KEX619" s="268"/>
      <c r="KEY619" s="268"/>
      <c r="KEZ619" s="268"/>
      <c r="KFA619" s="268"/>
      <c r="KFB619" s="268"/>
      <c r="KFC619" s="268"/>
      <c r="KFD619" s="268"/>
      <c r="KFE619" s="268"/>
      <c r="KFF619" s="268"/>
      <c r="KFG619" s="268"/>
      <c r="KFH619" s="268"/>
      <c r="KFI619" s="268"/>
      <c r="KFJ619" s="268"/>
      <c r="KFK619" s="268"/>
      <c r="KFL619" s="268"/>
      <c r="KFM619" s="268"/>
      <c r="KFN619" s="268"/>
      <c r="KFO619" s="268"/>
      <c r="KFP619" s="268"/>
      <c r="KFQ619" s="268"/>
      <c r="KFR619" s="268"/>
      <c r="KFS619" s="268"/>
      <c r="KFT619" s="268"/>
      <c r="KFU619" s="268"/>
      <c r="KFV619" s="268"/>
      <c r="KFW619" s="268"/>
      <c r="KFX619" s="268"/>
      <c r="KFY619" s="268"/>
      <c r="KFZ619" s="268"/>
      <c r="KGA619" s="268"/>
      <c r="KGB619" s="268"/>
      <c r="KGC619" s="268"/>
      <c r="KGD619" s="268"/>
      <c r="KGE619" s="268"/>
      <c r="KGF619" s="268"/>
      <c r="KGG619" s="268"/>
      <c r="KGH619" s="268"/>
      <c r="KGI619" s="268"/>
      <c r="KGJ619" s="268"/>
      <c r="KGK619" s="268"/>
      <c r="KGL619" s="268"/>
      <c r="KGM619" s="268"/>
      <c r="KGN619" s="268"/>
      <c r="KGO619" s="268"/>
      <c r="KGP619" s="268"/>
      <c r="KGQ619" s="268"/>
      <c r="KGR619" s="268"/>
      <c r="KGS619" s="268"/>
      <c r="KGT619" s="268"/>
      <c r="KGU619" s="268"/>
      <c r="KGV619" s="268"/>
      <c r="KGW619" s="268"/>
      <c r="KGX619" s="268"/>
      <c r="KGY619" s="268"/>
      <c r="KGZ619" s="268"/>
      <c r="KHA619" s="268"/>
      <c r="KHB619" s="268"/>
      <c r="KHC619" s="268"/>
      <c r="KHD619" s="268"/>
      <c r="KHE619" s="268"/>
      <c r="KHF619" s="268"/>
      <c r="KHG619" s="268"/>
      <c r="KHH619" s="268"/>
      <c r="KHI619" s="268"/>
      <c r="KHJ619" s="268"/>
      <c r="KHK619" s="268"/>
      <c r="KHL619" s="268"/>
      <c r="KHM619" s="268"/>
      <c r="KHN619" s="268"/>
      <c r="KHO619" s="268"/>
      <c r="KHP619" s="268"/>
      <c r="KHQ619" s="268"/>
      <c r="KHR619" s="268"/>
      <c r="KHS619" s="268"/>
      <c r="KHT619" s="268"/>
      <c r="KHU619" s="268"/>
      <c r="KHV619" s="268"/>
      <c r="KHW619" s="268"/>
      <c r="KHX619" s="268"/>
      <c r="KHY619" s="268"/>
      <c r="KHZ619" s="268"/>
      <c r="KIA619" s="268"/>
      <c r="KIO619" s="268"/>
      <c r="KIP619" s="268"/>
      <c r="KIQ619" s="268"/>
      <c r="KJE619" s="268"/>
      <c r="KJG619" s="268"/>
      <c r="KJH619" s="268"/>
      <c r="KJI619" s="268"/>
      <c r="KJJ619" s="268"/>
      <c r="KJK619" s="268"/>
      <c r="KJL619" s="268"/>
      <c r="KJM619" s="268"/>
      <c r="KJN619" s="268"/>
      <c r="KJO619" s="268"/>
      <c r="KJP619" s="268"/>
      <c r="KJQ619" s="268"/>
      <c r="KJR619" s="268"/>
      <c r="KJS619" s="268"/>
      <c r="KJT619" s="268"/>
      <c r="KJU619" s="268"/>
      <c r="KJV619" s="268"/>
      <c r="KJW619" s="268"/>
      <c r="KJX619" s="268"/>
      <c r="KJY619" s="268"/>
      <c r="KJZ619" s="268"/>
      <c r="KKA619" s="268"/>
      <c r="KKB619" s="268"/>
      <c r="KKC619" s="268"/>
      <c r="KKD619" s="268"/>
      <c r="KKE619" s="268"/>
      <c r="KKF619" s="268"/>
      <c r="KKG619" s="268"/>
      <c r="KKH619" s="268"/>
      <c r="KKI619" s="268"/>
      <c r="KKJ619" s="268"/>
      <c r="KKK619" s="268"/>
      <c r="KKL619" s="268"/>
      <c r="KKM619" s="268"/>
      <c r="KKN619" s="268"/>
      <c r="KKO619" s="268"/>
      <c r="KKP619" s="268"/>
      <c r="KKQ619" s="268"/>
      <c r="KKR619" s="268"/>
      <c r="KKS619" s="268"/>
      <c r="KKT619" s="268"/>
      <c r="KKU619" s="268"/>
      <c r="KKV619" s="268"/>
      <c r="KKW619" s="268"/>
      <c r="KKX619" s="268"/>
      <c r="KKY619" s="268"/>
      <c r="KKZ619" s="268"/>
      <c r="KLA619" s="268"/>
      <c r="KLB619" s="268"/>
      <c r="KLC619" s="268"/>
      <c r="KLD619" s="268"/>
      <c r="KLE619" s="268"/>
      <c r="KLF619" s="268"/>
      <c r="KLG619" s="268"/>
      <c r="KLH619" s="268"/>
      <c r="KLI619" s="268"/>
      <c r="KLJ619" s="268"/>
      <c r="KLK619" s="268"/>
      <c r="KLL619" s="268"/>
      <c r="KLM619" s="268"/>
      <c r="KLN619" s="268"/>
      <c r="KLO619" s="268"/>
      <c r="KLP619" s="268"/>
      <c r="KLQ619" s="268"/>
      <c r="KLR619" s="268"/>
      <c r="KLS619" s="268"/>
      <c r="KLT619" s="268"/>
      <c r="KLU619" s="268"/>
      <c r="KLV619" s="268"/>
      <c r="KLW619" s="268"/>
      <c r="KLX619" s="268"/>
      <c r="KLY619" s="268"/>
      <c r="KLZ619" s="268"/>
      <c r="KMA619" s="268"/>
      <c r="KMB619" s="268"/>
      <c r="KMC619" s="268"/>
      <c r="KMD619" s="268"/>
      <c r="KME619" s="268"/>
      <c r="KMF619" s="268"/>
      <c r="KMG619" s="268"/>
      <c r="KMH619" s="268"/>
      <c r="KMI619" s="268"/>
      <c r="KMJ619" s="268"/>
      <c r="KMK619" s="268"/>
      <c r="KML619" s="268"/>
      <c r="KMM619" s="268"/>
      <c r="KMN619" s="268"/>
      <c r="KMO619" s="268"/>
      <c r="KMP619" s="268"/>
      <c r="KMQ619" s="268"/>
      <c r="KMR619" s="268"/>
      <c r="KMS619" s="268"/>
      <c r="KMT619" s="268"/>
      <c r="KMU619" s="268"/>
      <c r="KMV619" s="268"/>
      <c r="KMW619" s="268"/>
      <c r="KMX619" s="268"/>
      <c r="KMY619" s="268"/>
      <c r="KMZ619" s="268"/>
      <c r="KNA619" s="268"/>
      <c r="KNB619" s="268"/>
      <c r="KNC619" s="268"/>
      <c r="KND619" s="268"/>
      <c r="KNE619" s="268"/>
      <c r="KNF619" s="268"/>
      <c r="KNG619" s="268"/>
      <c r="KNH619" s="268"/>
      <c r="KNI619" s="268"/>
      <c r="KNJ619" s="268"/>
      <c r="KNK619" s="268"/>
      <c r="KNL619" s="268"/>
      <c r="KNM619" s="268"/>
      <c r="KNN619" s="268"/>
      <c r="KNO619" s="268"/>
      <c r="KNP619" s="268"/>
      <c r="KNQ619" s="268"/>
      <c r="KNR619" s="268"/>
      <c r="KNS619" s="268"/>
      <c r="KNT619" s="268"/>
      <c r="KNU619" s="268"/>
      <c r="KNV619" s="268"/>
      <c r="KNW619" s="268"/>
      <c r="KNX619" s="268"/>
      <c r="KNY619" s="268"/>
      <c r="KNZ619" s="268"/>
      <c r="KOA619" s="268"/>
      <c r="KOB619" s="268"/>
      <c r="KOC619" s="268"/>
      <c r="KOD619" s="268"/>
      <c r="KOE619" s="268"/>
      <c r="KOF619" s="268"/>
      <c r="KOG619" s="268"/>
      <c r="KOH619" s="268"/>
      <c r="KOI619" s="268"/>
      <c r="KOJ619" s="268"/>
      <c r="KOK619" s="268"/>
      <c r="KOL619" s="268"/>
      <c r="KOM619" s="268"/>
      <c r="KON619" s="268"/>
      <c r="KOO619" s="268"/>
      <c r="KOP619" s="268"/>
      <c r="KOQ619" s="268"/>
      <c r="KOR619" s="268"/>
      <c r="KOS619" s="268"/>
      <c r="KOT619" s="268"/>
      <c r="KOU619" s="268"/>
      <c r="KOV619" s="268"/>
      <c r="KOW619" s="268"/>
      <c r="KOX619" s="268"/>
      <c r="KOY619" s="268"/>
      <c r="KOZ619" s="268"/>
      <c r="KPA619" s="268"/>
      <c r="KPB619" s="268"/>
      <c r="KPC619" s="268"/>
      <c r="KPD619" s="268"/>
      <c r="KPE619" s="268"/>
      <c r="KPF619" s="268"/>
      <c r="KPG619" s="268"/>
      <c r="KPH619" s="268"/>
      <c r="KPI619" s="268"/>
      <c r="KPJ619" s="268"/>
      <c r="KPK619" s="268"/>
      <c r="KPL619" s="268"/>
      <c r="KPM619" s="268"/>
      <c r="KPN619" s="268"/>
      <c r="KPO619" s="268"/>
      <c r="KPP619" s="268"/>
      <c r="KPQ619" s="268"/>
      <c r="KPR619" s="268"/>
      <c r="KPS619" s="268"/>
      <c r="KPT619" s="268"/>
      <c r="KPU619" s="268"/>
      <c r="KPV619" s="268"/>
      <c r="KPW619" s="268"/>
      <c r="KPX619" s="268"/>
      <c r="KPY619" s="268"/>
      <c r="KPZ619" s="268"/>
      <c r="KQA619" s="268"/>
      <c r="KQB619" s="268"/>
      <c r="KQC619" s="268"/>
      <c r="KQD619" s="268"/>
      <c r="KQE619" s="268"/>
      <c r="KQF619" s="268"/>
      <c r="KQG619" s="268"/>
      <c r="KQH619" s="268"/>
      <c r="KQI619" s="268"/>
      <c r="KQJ619" s="268"/>
      <c r="KQK619" s="268"/>
      <c r="KQL619" s="268"/>
      <c r="KQM619" s="268"/>
      <c r="KQN619" s="268"/>
      <c r="KQO619" s="268"/>
      <c r="KQP619" s="268"/>
      <c r="KQQ619" s="268"/>
      <c r="KQR619" s="268"/>
      <c r="KQS619" s="268"/>
      <c r="KQT619" s="268"/>
      <c r="KQU619" s="268"/>
      <c r="KQV619" s="268"/>
      <c r="KQW619" s="268"/>
      <c r="KQX619" s="268"/>
      <c r="KQY619" s="268"/>
      <c r="KQZ619" s="268"/>
      <c r="KRA619" s="268"/>
      <c r="KRB619" s="268"/>
      <c r="KRC619" s="268"/>
      <c r="KRD619" s="268"/>
      <c r="KRE619" s="268"/>
      <c r="KRF619" s="268"/>
      <c r="KRG619" s="268"/>
      <c r="KRH619" s="268"/>
      <c r="KRI619" s="268"/>
      <c r="KRJ619" s="268"/>
      <c r="KRK619" s="268"/>
      <c r="KRL619" s="268"/>
      <c r="KRM619" s="268"/>
      <c r="KRN619" s="268"/>
      <c r="KRO619" s="268"/>
      <c r="KRP619" s="268"/>
      <c r="KRQ619" s="268"/>
      <c r="KRR619" s="268"/>
      <c r="KRS619" s="268"/>
      <c r="KRT619" s="268"/>
      <c r="KRU619" s="268"/>
      <c r="KRV619" s="268"/>
      <c r="KRW619" s="268"/>
      <c r="KSK619" s="268"/>
      <c r="KSL619" s="268"/>
      <c r="KSM619" s="268"/>
      <c r="KTA619" s="268"/>
      <c r="KTC619" s="268"/>
      <c r="KTD619" s="268"/>
      <c r="KTE619" s="268"/>
      <c r="KTF619" s="268"/>
      <c r="KTG619" s="268"/>
      <c r="KTH619" s="268"/>
      <c r="KTI619" s="268"/>
      <c r="KTJ619" s="268"/>
      <c r="KTK619" s="268"/>
      <c r="KTL619" s="268"/>
      <c r="KTM619" s="268"/>
      <c r="KTN619" s="268"/>
      <c r="KTO619" s="268"/>
      <c r="KTP619" s="268"/>
      <c r="KTQ619" s="268"/>
      <c r="KTR619" s="268"/>
      <c r="KTS619" s="268"/>
      <c r="KTT619" s="268"/>
      <c r="KTU619" s="268"/>
      <c r="KTV619" s="268"/>
      <c r="KTW619" s="268"/>
      <c r="KTX619" s="268"/>
      <c r="KTY619" s="268"/>
      <c r="KTZ619" s="268"/>
      <c r="KUA619" s="268"/>
      <c r="KUB619" s="268"/>
      <c r="KUC619" s="268"/>
      <c r="KUD619" s="268"/>
      <c r="KUE619" s="268"/>
      <c r="KUF619" s="268"/>
      <c r="KUG619" s="268"/>
      <c r="KUH619" s="268"/>
      <c r="KUI619" s="268"/>
      <c r="KUJ619" s="268"/>
      <c r="KUK619" s="268"/>
      <c r="KUL619" s="268"/>
      <c r="KUM619" s="268"/>
      <c r="KUN619" s="268"/>
      <c r="KUO619" s="268"/>
      <c r="KUP619" s="268"/>
      <c r="KUQ619" s="268"/>
      <c r="KUR619" s="268"/>
      <c r="KUS619" s="268"/>
      <c r="KUT619" s="268"/>
      <c r="KUU619" s="268"/>
      <c r="KUV619" s="268"/>
      <c r="KUW619" s="268"/>
      <c r="KUX619" s="268"/>
      <c r="KUY619" s="268"/>
      <c r="KUZ619" s="268"/>
      <c r="KVA619" s="268"/>
      <c r="KVB619" s="268"/>
      <c r="KVC619" s="268"/>
      <c r="KVD619" s="268"/>
      <c r="KVE619" s="268"/>
      <c r="KVF619" s="268"/>
      <c r="KVG619" s="268"/>
      <c r="KVH619" s="268"/>
      <c r="KVI619" s="268"/>
      <c r="KVJ619" s="268"/>
      <c r="KVK619" s="268"/>
      <c r="KVL619" s="268"/>
      <c r="KVM619" s="268"/>
      <c r="KVN619" s="268"/>
      <c r="KVO619" s="268"/>
      <c r="KVP619" s="268"/>
      <c r="KVQ619" s="268"/>
      <c r="KVR619" s="268"/>
      <c r="KVS619" s="268"/>
      <c r="KVT619" s="268"/>
      <c r="KVU619" s="268"/>
      <c r="KVV619" s="268"/>
      <c r="KVW619" s="268"/>
      <c r="KVX619" s="268"/>
      <c r="KVY619" s="268"/>
      <c r="KVZ619" s="268"/>
      <c r="KWA619" s="268"/>
      <c r="KWB619" s="268"/>
      <c r="KWC619" s="268"/>
      <c r="KWD619" s="268"/>
      <c r="KWE619" s="268"/>
      <c r="KWF619" s="268"/>
      <c r="KWG619" s="268"/>
      <c r="KWH619" s="268"/>
      <c r="KWI619" s="268"/>
      <c r="KWJ619" s="268"/>
      <c r="KWK619" s="268"/>
      <c r="KWL619" s="268"/>
      <c r="KWM619" s="268"/>
      <c r="KWN619" s="268"/>
      <c r="KWO619" s="268"/>
      <c r="KWP619" s="268"/>
      <c r="KWQ619" s="268"/>
      <c r="KWR619" s="268"/>
      <c r="KWS619" s="268"/>
      <c r="KWT619" s="268"/>
      <c r="KWU619" s="268"/>
      <c r="KWV619" s="268"/>
      <c r="KWW619" s="268"/>
      <c r="KWX619" s="268"/>
      <c r="KWY619" s="268"/>
      <c r="KWZ619" s="268"/>
      <c r="KXA619" s="268"/>
      <c r="KXB619" s="268"/>
      <c r="KXC619" s="268"/>
      <c r="KXD619" s="268"/>
      <c r="KXE619" s="268"/>
      <c r="KXF619" s="268"/>
      <c r="KXG619" s="268"/>
      <c r="KXH619" s="268"/>
      <c r="KXI619" s="268"/>
      <c r="KXJ619" s="268"/>
      <c r="KXK619" s="268"/>
      <c r="KXL619" s="268"/>
      <c r="KXM619" s="268"/>
      <c r="KXN619" s="268"/>
      <c r="KXO619" s="268"/>
      <c r="KXP619" s="268"/>
      <c r="KXQ619" s="268"/>
      <c r="KXR619" s="268"/>
      <c r="KXS619" s="268"/>
      <c r="KXT619" s="268"/>
      <c r="KXU619" s="268"/>
      <c r="KXV619" s="268"/>
      <c r="KXW619" s="268"/>
      <c r="KXX619" s="268"/>
      <c r="KXY619" s="268"/>
      <c r="KXZ619" s="268"/>
      <c r="KYA619" s="268"/>
      <c r="KYB619" s="268"/>
      <c r="KYC619" s="268"/>
      <c r="KYD619" s="268"/>
      <c r="KYE619" s="268"/>
      <c r="KYF619" s="268"/>
      <c r="KYG619" s="268"/>
      <c r="KYH619" s="268"/>
      <c r="KYI619" s="268"/>
      <c r="KYJ619" s="268"/>
      <c r="KYK619" s="268"/>
      <c r="KYL619" s="268"/>
      <c r="KYM619" s="268"/>
      <c r="KYN619" s="268"/>
      <c r="KYO619" s="268"/>
      <c r="KYP619" s="268"/>
      <c r="KYQ619" s="268"/>
      <c r="KYR619" s="268"/>
      <c r="KYS619" s="268"/>
      <c r="KYT619" s="268"/>
      <c r="KYU619" s="268"/>
      <c r="KYV619" s="268"/>
      <c r="KYW619" s="268"/>
      <c r="KYX619" s="268"/>
      <c r="KYY619" s="268"/>
      <c r="KYZ619" s="268"/>
      <c r="KZA619" s="268"/>
      <c r="KZB619" s="268"/>
      <c r="KZC619" s="268"/>
      <c r="KZD619" s="268"/>
      <c r="KZE619" s="268"/>
      <c r="KZF619" s="268"/>
      <c r="KZG619" s="268"/>
      <c r="KZH619" s="268"/>
      <c r="KZI619" s="268"/>
      <c r="KZJ619" s="268"/>
      <c r="KZK619" s="268"/>
      <c r="KZL619" s="268"/>
      <c r="KZM619" s="268"/>
      <c r="KZN619" s="268"/>
      <c r="KZO619" s="268"/>
      <c r="KZP619" s="268"/>
      <c r="KZQ619" s="268"/>
      <c r="KZR619" s="268"/>
      <c r="KZS619" s="268"/>
      <c r="KZT619" s="268"/>
      <c r="KZU619" s="268"/>
      <c r="KZV619" s="268"/>
      <c r="KZW619" s="268"/>
      <c r="KZX619" s="268"/>
      <c r="KZY619" s="268"/>
      <c r="KZZ619" s="268"/>
      <c r="LAA619" s="268"/>
      <c r="LAB619" s="268"/>
      <c r="LAC619" s="268"/>
      <c r="LAD619" s="268"/>
      <c r="LAE619" s="268"/>
      <c r="LAF619" s="268"/>
      <c r="LAG619" s="268"/>
      <c r="LAH619" s="268"/>
      <c r="LAI619" s="268"/>
      <c r="LAJ619" s="268"/>
      <c r="LAK619" s="268"/>
      <c r="LAL619" s="268"/>
      <c r="LAM619" s="268"/>
      <c r="LAN619" s="268"/>
      <c r="LAO619" s="268"/>
      <c r="LAP619" s="268"/>
      <c r="LAQ619" s="268"/>
      <c r="LAR619" s="268"/>
      <c r="LAS619" s="268"/>
      <c r="LAT619" s="268"/>
      <c r="LAU619" s="268"/>
      <c r="LAV619" s="268"/>
      <c r="LAW619" s="268"/>
      <c r="LAX619" s="268"/>
      <c r="LAY619" s="268"/>
      <c r="LAZ619" s="268"/>
      <c r="LBA619" s="268"/>
      <c r="LBB619" s="268"/>
      <c r="LBC619" s="268"/>
      <c r="LBD619" s="268"/>
      <c r="LBE619" s="268"/>
      <c r="LBF619" s="268"/>
      <c r="LBG619" s="268"/>
      <c r="LBH619" s="268"/>
      <c r="LBI619" s="268"/>
      <c r="LBJ619" s="268"/>
      <c r="LBK619" s="268"/>
      <c r="LBL619" s="268"/>
      <c r="LBM619" s="268"/>
      <c r="LBN619" s="268"/>
      <c r="LBO619" s="268"/>
      <c r="LBP619" s="268"/>
      <c r="LBQ619" s="268"/>
      <c r="LBR619" s="268"/>
      <c r="LBS619" s="268"/>
      <c r="LCG619" s="268"/>
      <c r="LCH619" s="268"/>
      <c r="LCI619" s="268"/>
      <c r="LCW619" s="268"/>
      <c r="LCY619" s="268"/>
      <c r="LCZ619" s="268"/>
      <c r="LDA619" s="268"/>
      <c r="LDB619" s="268"/>
      <c r="LDC619" s="268"/>
      <c r="LDD619" s="268"/>
      <c r="LDE619" s="268"/>
      <c r="LDF619" s="268"/>
      <c r="LDG619" s="268"/>
      <c r="LDH619" s="268"/>
      <c r="LDI619" s="268"/>
      <c r="LDJ619" s="268"/>
      <c r="LDK619" s="268"/>
      <c r="LDL619" s="268"/>
      <c r="LDM619" s="268"/>
      <c r="LDN619" s="268"/>
      <c r="LDO619" s="268"/>
      <c r="LDP619" s="268"/>
      <c r="LDQ619" s="268"/>
      <c r="LDR619" s="268"/>
      <c r="LDS619" s="268"/>
      <c r="LDT619" s="268"/>
      <c r="LDU619" s="268"/>
      <c r="LDV619" s="268"/>
      <c r="LDW619" s="268"/>
      <c r="LDX619" s="268"/>
      <c r="LDY619" s="268"/>
      <c r="LDZ619" s="268"/>
      <c r="LEA619" s="268"/>
      <c r="LEB619" s="268"/>
      <c r="LEC619" s="268"/>
      <c r="LED619" s="268"/>
      <c r="LEE619" s="268"/>
      <c r="LEF619" s="268"/>
      <c r="LEG619" s="268"/>
      <c r="LEH619" s="268"/>
      <c r="LEI619" s="268"/>
      <c r="LEJ619" s="268"/>
      <c r="LEK619" s="268"/>
      <c r="LEL619" s="268"/>
      <c r="LEM619" s="268"/>
      <c r="LEN619" s="268"/>
      <c r="LEO619" s="268"/>
      <c r="LEP619" s="268"/>
      <c r="LEQ619" s="268"/>
      <c r="LER619" s="268"/>
      <c r="LES619" s="268"/>
      <c r="LET619" s="268"/>
      <c r="LEU619" s="268"/>
      <c r="LEV619" s="268"/>
      <c r="LEW619" s="268"/>
      <c r="LEX619" s="268"/>
      <c r="LEY619" s="268"/>
      <c r="LEZ619" s="268"/>
      <c r="LFA619" s="268"/>
      <c r="LFB619" s="268"/>
      <c r="LFC619" s="268"/>
      <c r="LFD619" s="268"/>
      <c r="LFE619" s="268"/>
      <c r="LFF619" s="268"/>
      <c r="LFG619" s="268"/>
      <c r="LFH619" s="268"/>
      <c r="LFI619" s="268"/>
      <c r="LFJ619" s="268"/>
      <c r="LFK619" s="268"/>
      <c r="LFL619" s="268"/>
      <c r="LFM619" s="268"/>
      <c r="LFN619" s="268"/>
      <c r="LFO619" s="268"/>
      <c r="LFP619" s="268"/>
      <c r="LFQ619" s="268"/>
      <c r="LFR619" s="268"/>
      <c r="LFS619" s="268"/>
      <c r="LFT619" s="268"/>
      <c r="LFU619" s="268"/>
      <c r="LFV619" s="268"/>
      <c r="LFW619" s="268"/>
      <c r="LFX619" s="268"/>
      <c r="LFY619" s="268"/>
      <c r="LFZ619" s="268"/>
      <c r="LGA619" s="268"/>
      <c r="LGB619" s="268"/>
      <c r="LGC619" s="268"/>
      <c r="LGD619" s="268"/>
      <c r="LGE619" s="268"/>
      <c r="LGF619" s="268"/>
      <c r="LGG619" s="268"/>
      <c r="LGH619" s="268"/>
      <c r="LGI619" s="268"/>
      <c r="LGJ619" s="268"/>
      <c r="LGK619" s="268"/>
      <c r="LGL619" s="268"/>
      <c r="LGM619" s="268"/>
      <c r="LGN619" s="268"/>
      <c r="LGO619" s="268"/>
      <c r="LGP619" s="268"/>
      <c r="LGQ619" s="268"/>
      <c r="LGR619" s="268"/>
      <c r="LGS619" s="268"/>
      <c r="LGT619" s="268"/>
      <c r="LGU619" s="268"/>
      <c r="LGV619" s="268"/>
      <c r="LGW619" s="268"/>
      <c r="LGX619" s="268"/>
      <c r="LGY619" s="268"/>
      <c r="LGZ619" s="268"/>
      <c r="LHA619" s="268"/>
      <c r="LHB619" s="268"/>
      <c r="LHC619" s="268"/>
      <c r="LHD619" s="268"/>
      <c r="LHE619" s="268"/>
      <c r="LHF619" s="268"/>
      <c r="LHG619" s="268"/>
      <c r="LHH619" s="268"/>
      <c r="LHI619" s="268"/>
      <c r="LHJ619" s="268"/>
      <c r="LHK619" s="268"/>
      <c r="LHL619" s="268"/>
      <c r="LHM619" s="268"/>
      <c r="LHN619" s="268"/>
      <c r="LHO619" s="268"/>
      <c r="LHP619" s="268"/>
      <c r="LHQ619" s="268"/>
      <c r="LHR619" s="268"/>
      <c r="LHS619" s="268"/>
      <c r="LHT619" s="268"/>
      <c r="LHU619" s="268"/>
      <c r="LHV619" s="268"/>
      <c r="LHW619" s="268"/>
      <c r="LHX619" s="268"/>
      <c r="LHY619" s="268"/>
      <c r="LHZ619" s="268"/>
      <c r="LIA619" s="268"/>
      <c r="LIB619" s="268"/>
      <c r="LIC619" s="268"/>
      <c r="LID619" s="268"/>
      <c r="LIE619" s="268"/>
      <c r="LIF619" s="268"/>
      <c r="LIG619" s="268"/>
      <c r="LIH619" s="268"/>
      <c r="LII619" s="268"/>
      <c r="LIJ619" s="268"/>
      <c r="LIK619" s="268"/>
      <c r="LIL619" s="268"/>
      <c r="LIM619" s="268"/>
      <c r="LIN619" s="268"/>
      <c r="LIO619" s="268"/>
      <c r="LIP619" s="268"/>
      <c r="LIQ619" s="268"/>
      <c r="LIR619" s="268"/>
      <c r="LIS619" s="268"/>
      <c r="LIT619" s="268"/>
      <c r="LIU619" s="268"/>
      <c r="LIV619" s="268"/>
      <c r="LIW619" s="268"/>
      <c r="LIX619" s="268"/>
      <c r="LIY619" s="268"/>
      <c r="LIZ619" s="268"/>
      <c r="LJA619" s="268"/>
      <c r="LJB619" s="268"/>
      <c r="LJC619" s="268"/>
      <c r="LJD619" s="268"/>
      <c r="LJE619" s="268"/>
      <c r="LJF619" s="268"/>
      <c r="LJG619" s="268"/>
      <c r="LJH619" s="268"/>
      <c r="LJI619" s="268"/>
      <c r="LJJ619" s="268"/>
      <c r="LJK619" s="268"/>
      <c r="LJL619" s="268"/>
      <c r="LJM619" s="268"/>
      <c r="LJN619" s="268"/>
      <c r="LJO619" s="268"/>
      <c r="LJP619" s="268"/>
      <c r="LJQ619" s="268"/>
      <c r="LJR619" s="268"/>
      <c r="LJS619" s="268"/>
      <c r="LJT619" s="268"/>
      <c r="LJU619" s="268"/>
      <c r="LJV619" s="268"/>
      <c r="LJW619" s="268"/>
      <c r="LJX619" s="268"/>
      <c r="LJY619" s="268"/>
      <c r="LJZ619" s="268"/>
      <c r="LKA619" s="268"/>
      <c r="LKB619" s="268"/>
      <c r="LKC619" s="268"/>
      <c r="LKD619" s="268"/>
      <c r="LKE619" s="268"/>
      <c r="LKF619" s="268"/>
      <c r="LKG619" s="268"/>
      <c r="LKH619" s="268"/>
      <c r="LKI619" s="268"/>
      <c r="LKJ619" s="268"/>
      <c r="LKK619" s="268"/>
      <c r="LKL619" s="268"/>
      <c r="LKM619" s="268"/>
      <c r="LKN619" s="268"/>
      <c r="LKO619" s="268"/>
      <c r="LKP619" s="268"/>
      <c r="LKQ619" s="268"/>
      <c r="LKR619" s="268"/>
      <c r="LKS619" s="268"/>
      <c r="LKT619" s="268"/>
      <c r="LKU619" s="268"/>
      <c r="LKV619" s="268"/>
      <c r="LKW619" s="268"/>
      <c r="LKX619" s="268"/>
      <c r="LKY619" s="268"/>
      <c r="LKZ619" s="268"/>
      <c r="LLA619" s="268"/>
      <c r="LLB619" s="268"/>
      <c r="LLC619" s="268"/>
      <c r="LLD619" s="268"/>
      <c r="LLE619" s="268"/>
      <c r="LLF619" s="268"/>
      <c r="LLG619" s="268"/>
      <c r="LLH619" s="268"/>
      <c r="LLI619" s="268"/>
      <c r="LLJ619" s="268"/>
      <c r="LLK619" s="268"/>
      <c r="LLL619" s="268"/>
      <c r="LLM619" s="268"/>
      <c r="LLN619" s="268"/>
      <c r="LLO619" s="268"/>
      <c r="LMC619" s="268"/>
      <c r="LMD619" s="268"/>
      <c r="LME619" s="268"/>
      <c r="LMS619" s="268"/>
      <c r="LMU619" s="268"/>
      <c r="LMV619" s="268"/>
      <c r="LMW619" s="268"/>
      <c r="LMX619" s="268"/>
      <c r="LMY619" s="268"/>
      <c r="LMZ619" s="268"/>
      <c r="LNA619" s="268"/>
      <c r="LNB619" s="268"/>
      <c r="LNC619" s="268"/>
      <c r="LND619" s="268"/>
      <c r="LNE619" s="268"/>
      <c r="LNF619" s="268"/>
      <c r="LNG619" s="268"/>
      <c r="LNH619" s="268"/>
      <c r="LNI619" s="268"/>
      <c r="LNJ619" s="268"/>
      <c r="LNK619" s="268"/>
      <c r="LNL619" s="268"/>
      <c r="LNM619" s="268"/>
      <c r="LNN619" s="268"/>
      <c r="LNO619" s="268"/>
      <c r="LNP619" s="268"/>
      <c r="LNQ619" s="268"/>
      <c r="LNR619" s="268"/>
      <c r="LNS619" s="268"/>
      <c r="LNT619" s="268"/>
      <c r="LNU619" s="268"/>
      <c r="LNV619" s="268"/>
      <c r="LNW619" s="268"/>
      <c r="LNX619" s="268"/>
      <c r="LNY619" s="268"/>
      <c r="LNZ619" s="268"/>
      <c r="LOA619" s="268"/>
      <c r="LOB619" s="268"/>
      <c r="LOC619" s="268"/>
      <c r="LOD619" s="268"/>
      <c r="LOE619" s="268"/>
      <c r="LOF619" s="268"/>
      <c r="LOG619" s="268"/>
      <c r="LOH619" s="268"/>
      <c r="LOI619" s="268"/>
      <c r="LOJ619" s="268"/>
      <c r="LOK619" s="268"/>
      <c r="LOL619" s="268"/>
      <c r="LOM619" s="268"/>
      <c r="LON619" s="268"/>
      <c r="LOO619" s="268"/>
      <c r="LOP619" s="268"/>
      <c r="LOQ619" s="268"/>
      <c r="LOR619" s="268"/>
      <c r="LOS619" s="268"/>
      <c r="LOT619" s="268"/>
      <c r="LOU619" s="268"/>
      <c r="LOV619" s="268"/>
      <c r="LOW619" s="268"/>
      <c r="LOX619" s="268"/>
      <c r="LOY619" s="268"/>
      <c r="LOZ619" s="268"/>
      <c r="LPA619" s="268"/>
      <c r="LPB619" s="268"/>
      <c r="LPC619" s="268"/>
      <c r="LPD619" s="268"/>
      <c r="LPE619" s="268"/>
      <c r="LPF619" s="268"/>
      <c r="LPG619" s="268"/>
      <c r="LPH619" s="268"/>
      <c r="LPI619" s="268"/>
      <c r="LPJ619" s="268"/>
      <c r="LPK619" s="268"/>
      <c r="LPL619" s="268"/>
      <c r="LPM619" s="268"/>
      <c r="LPN619" s="268"/>
      <c r="LPO619" s="268"/>
      <c r="LPP619" s="268"/>
      <c r="LPQ619" s="268"/>
      <c r="LPR619" s="268"/>
      <c r="LPS619" s="268"/>
      <c r="LPT619" s="268"/>
      <c r="LPU619" s="268"/>
      <c r="LPV619" s="268"/>
      <c r="LPW619" s="268"/>
      <c r="LPX619" s="268"/>
      <c r="LPY619" s="268"/>
      <c r="LPZ619" s="268"/>
      <c r="LQA619" s="268"/>
      <c r="LQB619" s="268"/>
      <c r="LQC619" s="268"/>
      <c r="LQD619" s="268"/>
      <c r="LQE619" s="268"/>
      <c r="LQF619" s="268"/>
      <c r="LQG619" s="268"/>
      <c r="LQH619" s="268"/>
      <c r="LQI619" s="268"/>
      <c r="LQJ619" s="268"/>
      <c r="LQK619" s="268"/>
      <c r="LQL619" s="268"/>
      <c r="LQM619" s="268"/>
      <c r="LQN619" s="268"/>
      <c r="LQO619" s="268"/>
      <c r="LQP619" s="268"/>
      <c r="LQQ619" s="268"/>
      <c r="LQR619" s="268"/>
      <c r="LQS619" s="268"/>
      <c r="LQT619" s="268"/>
      <c r="LQU619" s="268"/>
      <c r="LQV619" s="268"/>
      <c r="LQW619" s="268"/>
      <c r="LQX619" s="268"/>
      <c r="LQY619" s="268"/>
      <c r="LQZ619" s="268"/>
      <c r="LRA619" s="268"/>
      <c r="LRB619" s="268"/>
      <c r="LRC619" s="268"/>
      <c r="LRD619" s="268"/>
      <c r="LRE619" s="268"/>
      <c r="LRF619" s="268"/>
      <c r="LRG619" s="268"/>
      <c r="LRH619" s="268"/>
      <c r="LRI619" s="268"/>
      <c r="LRJ619" s="268"/>
      <c r="LRK619" s="268"/>
      <c r="LRL619" s="268"/>
      <c r="LRM619" s="268"/>
      <c r="LRN619" s="268"/>
      <c r="LRO619" s="268"/>
      <c r="LRP619" s="268"/>
      <c r="LRQ619" s="268"/>
      <c r="LRR619" s="268"/>
      <c r="LRS619" s="268"/>
      <c r="LRT619" s="268"/>
      <c r="LRU619" s="268"/>
      <c r="LRV619" s="268"/>
      <c r="LRW619" s="268"/>
      <c r="LRX619" s="268"/>
      <c r="LRY619" s="268"/>
      <c r="LRZ619" s="268"/>
      <c r="LSA619" s="268"/>
      <c r="LSB619" s="268"/>
      <c r="LSC619" s="268"/>
      <c r="LSD619" s="268"/>
      <c r="LSE619" s="268"/>
      <c r="LSF619" s="268"/>
      <c r="LSG619" s="268"/>
      <c r="LSH619" s="268"/>
      <c r="LSI619" s="268"/>
      <c r="LSJ619" s="268"/>
      <c r="LSK619" s="268"/>
      <c r="LSL619" s="268"/>
      <c r="LSM619" s="268"/>
      <c r="LSN619" s="268"/>
      <c r="LSO619" s="268"/>
      <c r="LSP619" s="268"/>
      <c r="LSQ619" s="268"/>
      <c r="LSR619" s="268"/>
      <c r="LSS619" s="268"/>
      <c r="LST619" s="268"/>
      <c r="LSU619" s="268"/>
      <c r="LSV619" s="268"/>
      <c r="LSW619" s="268"/>
      <c r="LSX619" s="268"/>
      <c r="LSY619" s="268"/>
      <c r="LSZ619" s="268"/>
      <c r="LTA619" s="268"/>
      <c r="LTB619" s="268"/>
      <c r="LTC619" s="268"/>
      <c r="LTD619" s="268"/>
      <c r="LTE619" s="268"/>
      <c r="LTF619" s="268"/>
      <c r="LTG619" s="268"/>
      <c r="LTH619" s="268"/>
      <c r="LTI619" s="268"/>
      <c r="LTJ619" s="268"/>
      <c r="LTK619" s="268"/>
      <c r="LTL619" s="268"/>
      <c r="LTM619" s="268"/>
      <c r="LTN619" s="268"/>
      <c r="LTO619" s="268"/>
      <c r="LTP619" s="268"/>
      <c r="LTQ619" s="268"/>
      <c r="LTR619" s="268"/>
      <c r="LTS619" s="268"/>
      <c r="LTT619" s="268"/>
      <c r="LTU619" s="268"/>
      <c r="LTV619" s="268"/>
      <c r="LTW619" s="268"/>
      <c r="LTX619" s="268"/>
      <c r="LTY619" s="268"/>
      <c r="LTZ619" s="268"/>
      <c r="LUA619" s="268"/>
      <c r="LUB619" s="268"/>
      <c r="LUC619" s="268"/>
      <c r="LUD619" s="268"/>
      <c r="LUE619" s="268"/>
      <c r="LUF619" s="268"/>
      <c r="LUG619" s="268"/>
      <c r="LUH619" s="268"/>
      <c r="LUI619" s="268"/>
      <c r="LUJ619" s="268"/>
      <c r="LUK619" s="268"/>
      <c r="LUL619" s="268"/>
      <c r="LUM619" s="268"/>
      <c r="LUN619" s="268"/>
      <c r="LUO619" s="268"/>
      <c r="LUP619" s="268"/>
      <c r="LUQ619" s="268"/>
      <c r="LUR619" s="268"/>
      <c r="LUS619" s="268"/>
      <c r="LUT619" s="268"/>
      <c r="LUU619" s="268"/>
      <c r="LUV619" s="268"/>
      <c r="LUW619" s="268"/>
      <c r="LUX619" s="268"/>
      <c r="LUY619" s="268"/>
      <c r="LUZ619" s="268"/>
      <c r="LVA619" s="268"/>
      <c r="LVB619" s="268"/>
      <c r="LVC619" s="268"/>
      <c r="LVD619" s="268"/>
      <c r="LVE619" s="268"/>
      <c r="LVF619" s="268"/>
      <c r="LVG619" s="268"/>
      <c r="LVH619" s="268"/>
      <c r="LVI619" s="268"/>
      <c r="LVJ619" s="268"/>
      <c r="LVK619" s="268"/>
      <c r="LVY619" s="268"/>
      <c r="LVZ619" s="268"/>
      <c r="LWA619" s="268"/>
      <c r="LWO619" s="268"/>
      <c r="LWQ619" s="268"/>
      <c r="LWR619" s="268"/>
      <c r="LWS619" s="268"/>
      <c r="LWT619" s="268"/>
      <c r="LWU619" s="268"/>
      <c r="LWV619" s="268"/>
      <c r="LWW619" s="268"/>
      <c r="LWX619" s="268"/>
      <c r="LWY619" s="268"/>
      <c r="LWZ619" s="268"/>
      <c r="LXA619" s="268"/>
      <c r="LXB619" s="268"/>
      <c r="LXC619" s="268"/>
      <c r="LXD619" s="268"/>
      <c r="LXE619" s="268"/>
      <c r="LXF619" s="268"/>
      <c r="LXG619" s="268"/>
      <c r="LXH619" s="268"/>
      <c r="LXI619" s="268"/>
      <c r="LXJ619" s="268"/>
      <c r="LXK619" s="268"/>
      <c r="LXL619" s="268"/>
      <c r="LXM619" s="268"/>
      <c r="LXN619" s="268"/>
      <c r="LXO619" s="268"/>
      <c r="LXP619" s="268"/>
      <c r="LXQ619" s="268"/>
      <c r="LXR619" s="268"/>
      <c r="LXS619" s="268"/>
      <c r="LXT619" s="268"/>
      <c r="LXU619" s="268"/>
      <c r="LXV619" s="268"/>
      <c r="LXW619" s="268"/>
      <c r="LXX619" s="268"/>
      <c r="LXY619" s="268"/>
      <c r="LXZ619" s="268"/>
      <c r="LYA619" s="268"/>
      <c r="LYB619" s="268"/>
      <c r="LYC619" s="268"/>
      <c r="LYD619" s="268"/>
      <c r="LYE619" s="268"/>
      <c r="LYF619" s="268"/>
      <c r="LYG619" s="268"/>
      <c r="LYH619" s="268"/>
      <c r="LYI619" s="268"/>
      <c r="LYJ619" s="268"/>
      <c r="LYK619" s="268"/>
      <c r="LYL619" s="268"/>
      <c r="LYM619" s="268"/>
      <c r="LYN619" s="268"/>
      <c r="LYO619" s="268"/>
      <c r="LYP619" s="268"/>
      <c r="LYQ619" s="268"/>
      <c r="LYR619" s="268"/>
      <c r="LYS619" s="268"/>
      <c r="LYT619" s="268"/>
      <c r="LYU619" s="268"/>
      <c r="LYV619" s="268"/>
      <c r="LYW619" s="268"/>
      <c r="LYX619" s="268"/>
      <c r="LYY619" s="268"/>
      <c r="LYZ619" s="268"/>
      <c r="LZA619" s="268"/>
      <c r="LZB619" s="268"/>
      <c r="LZC619" s="268"/>
      <c r="LZD619" s="268"/>
      <c r="LZE619" s="268"/>
      <c r="LZF619" s="268"/>
      <c r="LZG619" s="268"/>
      <c r="LZH619" s="268"/>
      <c r="LZI619" s="268"/>
      <c r="LZJ619" s="268"/>
      <c r="LZK619" s="268"/>
      <c r="LZL619" s="268"/>
      <c r="LZM619" s="268"/>
      <c r="LZN619" s="268"/>
      <c r="LZO619" s="268"/>
      <c r="LZP619" s="268"/>
      <c r="LZQ619" s="268"/>
      <c r="LZR619" s="268"/>
      <c r="LZS619" s="268"/>
      <c r="LZT619" s="268"/>
      <c r="LZU619" s="268"/>
      <c r="LZV619" s="268"/>
      <c r="LZW619" s="268"/>
      <c r="LZX619" s="268"/>
      <c r="LZY619" s="268"/>
      <c r="LZZ619" s="268"/>
      <c r="MAA619" s="268"/>
      <c r="MAB619" s="268"/>
      <c r="MAC619" s="268"/>
      <c r="MAD619" s="268"/>
      <c r="MAE619" s="268"/>
      <c r="MAF619" s="268"/>
      <c r="MAG619" s="268"/>
      <c r="MAH619" s="268"/>
      <c r="MAI619" s="268"/>
      <c r="MAJ619" s="268"/>
      <c r="MAK619" s="268"/>
      <c r="MAL619" s="268"/>
      <c r="MAM619" s="268"/>
      <c r="MAN619" s="268"/>
      <c r="MAO619" s="268"/>
      <c r="MAP619" s="268"/>
      <c r="MAQ619" s="268"/>
      <c r="MAR619" s="268"/>
      <c r="MAS619" s="268"/>
      <c r="MAT619" s="268"/>
      <c r="MAU619" s="268"/>
      <c r="MAV619" s="268"/>
      <c r="MAW619" s="268"/>
      <c r="MAX619" s="268"/>
      <c r="MAY619" s="268"/>
      <c r="MAZ619" s="268"/>
      <c r="MBA619" s="268"/>
      <c r="MBB619" s="268"/>
      <c r="MBC619" s="268"/>
      <c r="MBD619" s="268"/>
      <c r="MBE619" s="268"/>
      <c r="MBF619" s="268"/>
      <c r="MBG619" s="268"/>
      <c r="MBH619" s="268"/>
      <c r="MBI619" s="268"/>
      <c r="MBJ619" s="268"/>
      <c r="MBK619" s="268"/>
      <c r="MBL619" s="268"/>
      <c r="MBM619" s="268"/>
      <c r="MBN619" s="268"/>
      <c r="MBO619" s="268"/>
      <c r="MBP619" s="268"/>
      <c r="MBQ619" s="268"/>
      <c r="MBR619" s="268"/>
      <c r="MBS619" s="268"/>
      <c r="MBT619" s="268"/>
      <c r="MBU619" s="268"/>
      <c r="MBV619" s="268"/>
      <c r="MBW619" s="268"/>
      <c r="MBX619" s="268"/>
      <c r="MBY619" s="268"/>
      <c r="MBZ619" s="268"/>
      <c r="MCA619" s="268"/>
      <c r="MCB619" s="268"/>
      <c r="MCC619" s="268"/>
      <c r="MCD619" s="268"/>
      <c r="MCE619" s="268"/>
      <c r="MCF619" s="268"/>
      <c r="MCG619" s="268"/>
      <c r="MCH619" s="268"/>
      <c r="MCI619" s="268"/>
      <c r="MCJ619" s="268"/>
      <c r="MCK619" s="268"/>
      <c r="MCL619" s="268"/>
      <c r="MCM619" s="268"/>
      <c r="MCN619" s="268"/>
      <c r="MCO619" s="268"/>
      <c r="MCP619" s="268"/>
      <c r="MCQ619" s="268"/>
      <c r="MCR619" s="268"/>
      <c r="MCS619" s="268"/>
      <c r="MCT619" s="268"/>
      <c r="MCU619" s="268"/>
      <c r="MCV619" s="268"/>
      <c r="MCW619" s="268"/>
      <c r="MCX619" s="268"/>
      <c r="MCY619" s="268"/>
      <c r="MCZ619" s="268"/>
      <c r="MDA619" s="268"/>
      <c r="MDB619" s="268"/>
      <c r="MDC619" s="268"/>
      <c r="MDD619" s="268"/>
      <c r="MDE619" s="268"/>
      <c r="MDF619" s="268"/>
      <c r="MDG619" s="268"/>
      <c r="MDH619" s="268"/>
      <c r="MDI619" s="268"/>
      <c r="MDJ619" s="268"/>
      <c r="MDK619" s="268"/>
      <c r="MDL619" s="268"/>
      <c r="MDM619" s="268"/>
      <c r="MDN619" s="268"/>
      <c r="MDO619" s="268"/>
      <c r="MDP619" s="268"/>
      <c r="MDQ619" s="268"/>
      <c r="MDR619" s="268"/>
      <c r="MDS619" s="268"/>
      <c r="MDT619" s="268"/>
      <c r="MDU619" s="268"/>
      <c r="MDV619" s="268"/>
      <c r="MDW619" s="268"/>
      <c r="MDX619" s="268"/>
      <c r="MDY619" s="268"/>
      <c r="MDZ619" s="268"/>
      <c r="MEA619" s="268"/>
      <c r="MEB619" s="268"/>
      <c r="MEC619" s="268"/>
      <c r="MED619" s="268"/>
      <c r="MEE619" s="268"/>
      <c r="MEF619" s="268"/>
      <c r="MEG619" s="268"/>
      <c r="MEH619" s="268"/>
      <c r="MEI619" s="268"/>
      <c r="MEJ619" s="268"/>
      <c r="MEK619" s="268"/>
      <c r="MEL619" s="268"/>
      <c r="MEM619" s="268"/>
      <c r="MEN619" s="268"/>
      <c r="MEO619" s="268"/>
      <c r="MEP619" s="268"/>
      <c r="MEQ619" s="268"/>
      <c r="MER619" s="268"/>
      <c r="MES619" s="268"/>
      <c r="MET619" s="268"/>
      <c r="MEU619" s="268"/>
      <c r="MEV619" s="268"/>
      <c r="MEW619" s="268"/>
      <c r="MEX619" s="268"/>
      <c r="MEY619" s="268"/>
      <c r="MEZ619" s="268"/>
      <c r="MFA619" s="268"/>
      <c r="MFB619" s="268"/>
      <c r="MFC619" s="268"/>
      <c r="MFD619" s="268"/>
      <c r="MFE619" s="268"/>
      <c r="MFF619" s="268"/>
      <c r="MFG619" s="268"/>
      <c r="MFU619" s="268"/>
      <c r="MFV619" s="268"/>
      <c r="MFW619" s="268"/>
      <c r="MGK619" s="268"/>
      <c r="MGM619" s="268"/>
      <c r="MGN619" s="268"/>
      <c r="MGO619" s="268"/>
      <c r="MGP619" s="268"/>
      <c r="MGQ619" s="268"/>
      <c r="MGR619" s="268"/>
      <c r="MGS619" s="268"/>
      <c r="MGT619" s="268"/>
      <c r="MGU619" s="268"/>
      <c r="MGV619" s="268"/>
      <c r="MGW619" s="268"/>
      <c r="MGX619" s="268"/>
      <c r="MGY619" s="268"/>
      <c r="MGZ619" s="268"/>
      <c r="MHA619" s="268"/>
      <c r="MHB619" s="268"/>
      <c r="MHC619" s="268"/>
      <c r="MHD619" s="268"/>
      <c r="MHE619" s="268"/>
      <c r="MHF619" s="268"/>
      <c r="MHG619" s="268"/>
      <c r="MHH619" s="268"/>
      <c r="MHI619" s="268"/>
      <c r="MHJ619" s="268"/>
      <c r="MHK619" s="268"/>
      <c r="MHL619" s="268"/>
      <c r="MHM619" s="268"/>
      <c r="MHN619" s="268"/>
      <c r="MHO619" s="268"/>
      <c r="MHP619" s="268"/>
      <c r="MHQ619" s="268"/>
      <c r="MHR619" s="268"/>
      <c r="MHS619" s="268"/>
      <c r="MHT619" s="268"/>
      <c r="MHU619" s="268"/>
      <c r="MHV619" s="268"/>
      <c r="MHW619" s="268"/>
      <c r="MHX619" s="268"/>
      <c r="MHY619" s="268"/>
      <c r="MHZ619" s="268"/>
      <c r="MIA619" s="268"/>
      <c r="MIB619" s="268"/>
      <c r="MIC619" s="268"/>
      <c r="MID619" s="268"/>
      <c r="MIE619" s="268"/>
      <c r="MIF619" s="268"/>
      <c r="MIG619" s="268"/>
      <c r="MIH619" s="268"/>
      <c r="MII619" s="268"/>
      <c r="MIJ619" s="268"/>
      <c r="MIK619" s="268"/>
      <c r="MIL619" s="268"/>
      <c r="MIM619" s="268"/>
      <c r="MIN619" s="268"/>
      <c r="MIO619" s="268"/>
      <c r="MIP619" s="268"/>
      <c r="MIQ619" s="268"/>
      <c r="MIR619" s="268"/>
      <c r="MIS619" s="268"/>
      <c r="MIT619" s="268"/>
      <c r="MIU619" s="268"/>
      <c r="MIV619" s="268"/>
      <c r="MIW619" s="268"/>
      <c r="MIX619" s="268"/>
      <c r="MIY619" s="268"/>
      <c r="MIZ619" s="268"/>
      <c r="MJA619" s="268"/>
      <c r="MJB619" s="268"/>
      <c r="MJC619" s="268"/>
      <c r="MJD619" s="268"/>
      <c r="MJE619" s="268"/>
      <c r="MJF619" s="268"/>
      <c r="MJG619" s="268"/>
      <c r="MJH619" s="268"/>
      <c r="MJI619" s="268"/>
      <c r="MJJ619" s="268"/>
      <c r="MJK619" s="268"/>
      <c r="MJL619" s="268"/>
      <c r="MJM619" s="268"/>
      <c r="MJN619" s="268"/>
      <c r="MJO619" s="268"/>
      <c r="MJP619" s="268"/>
      <c r="MJQ619" s="268"/>
      <c r="MJR619" s="268"/>
      <c r="MJS619" s="268"/>
      <c r="MJT619" s="268"/>
      <c r="MJU619" s="268"/>
      <c r="MJV619" s="268"/>
      <c r="MJW619" s="268"/>
      <c r="MJX619" s="268"/>
      <c r="MJY619" s="268"/>
      <c r="MJZ619" s="268"/>
      <c r="MKA619" s="268"/>
      <c r="MKB619" s="268"/>
      <c r="MKC619" s="268"/>
      <c r="MKD619" s="268"/>
      <c r="MKE619" s="268"/>
      <c r="MKF619" s="268"/>
      <c r="MKG619" s="268"/>
      <c r="MKH619" s="268"/>
      <c r="MKI619" s="268"/>
      <c r="MKJ619" s="268"/>
      <c r="MKK619" s="268"/>
      <c r="MKL619" s="268"/>
      <c r="MKM619" s="268"/>
      <c r="MKN619" s="268"/>
      <c r="MKO619" s="268"/>
      <c r="MKP619" s="268"/>
      <c r="MKQ619" s="268"/>
      <c r="MKR619" s="268"/>
      <c r="MKS619" s="268"/>
      <c r="MKT619" s="268"/>
      <c r="MKU619" s="268"/>
      <c r="MKV619" s="268"/>
      <c r="MKW619" s="268"/>
      <c r="MKX619" s="268"/>
      <c r="MKY619" s="268"/>
      <c r="MKZ619" s="268"/>
      <c r="MLA619" s="268"/>
      <c r="MLB619" s="268"/>
      <c r="MLC619" s="268"/>
      <c r="MLD619" s="268"/>
      <c r="MLE619" s="268"/>
      <c r="MLF619" s="268"/>
      <c r="MLG619" s="268"/>
      <c r="MLH619" s="268"/>
      <c r="MLI619" s="268"/>
      <c r="MLJ619" s="268"/>
      <c r="MLK619" s="268"/>
      <c r="MLL619" s="268"/>
      <c r="MLM619" s="268"/>
      <c r="MLN619" s="268"/>
      <c r="MLO619" s="268"/>
      <c r="MLP619" s="268"/>
      <c r="MLQ619" s="268"/>
      <c r="MLR619" s="268"/>
      <c r="MLS619" s="268"/>
      <c r="MLT619" s="268"/>
      <c r="MLU619" s="268"/>
      <c r="MLV619" s="268"/>
      <c r="MLW619" s="268"/>
      <c r="MLX619" s="268"/>
      <c r="MLY619" s="268"/>
      <c r="MLZ619" s="268"/>
      <c r="MMA619" s="268"/>
      <c r="MMB619" s="268"/>
      <c r="MMC619" s="268"/>
      <c r="MMD619" s="268"/>
      <c r="MME619" s="268"/>
      <c r="MMF619" s="268"/>
      <c r="MMG619" s="268"/>
      <c r="MMH619" s="268"/>
      <c r="MMI619" s="268"/>
      <c r="MMJ619" s="268"/>
      <c r="MMK619" s="268"/>
      <c r="MML619" s="268"/>
      <c r="MMM619" s="268"/>
      <c r="MMN619" s="268"/>
      <c r="MMO619" s="268"/>
      <c r="MMP619" s="268"/>
      <c r="MMQ619" s="268"/>
      <c r="MMR619" s="268"/>
      <c r="MMS619" s="268"/>
      <c r="MMT619" s="268"/>
      <c r="MMU619" s="268"/>
      <c r="MMV619" s="268"/>
      <c r="MMW619" s="268"/>
      <c r="MMX619" s="268"/>
      <c r="MMY619" s="268"/>
      <c r="MMZ619" s="268"/>
      <c r="MNA619" s="268"/>
      <c r="MNB619" s="268"/>
      <c r="MNC619" s="268"/>
      <c r="MND619" s="268"/>
      <c r="MNE619" s="268"/>
      <c r="MNF619" s="268"/>
      <c r="MNG619" s="268"/>
      <c r="MNH619" s="268"/>
      <c r="MNI619" s="268"/>
      <c r="MNJ619" s="268"/>
      <c r="MNK619" s="268"/>
      <c r="MNL619" s="268"/>
      <c r="MNM619" s="268"/>
      <c r="MNN619" s="268"/>
      <c r="MNO619" s="268"/>
      <c r="MNP619" s="268"/>
      <c r="MNQ619" s="268"/>
      <c r="MNR619" s="268"/>
      <c r="MNS619" s="268"/>
      <c r="MNT619" s="268"/>
      <c r="MNU619" s="268"/>
      <c r="MNV619" s="268"/>
      <c r="MNW619" s="268"/>
      <c r="MNX619" s="268"/>
      <c r="MNY619" s="268"/>
      <c r="MNZ619" s="268"/>
      <c r="MOA619" s="268"/>
      <c r="MOB619" s="268"/>
      <c r="MOC619" s="268"/>
      <c r="MOD619" s="268"/>
      <c r="MOE619" s="268"/>
      <c r="MOF619" s="268"/>
      <c r="MOG619" s="268"/>
      <c r="MOH619" s="268"/>
      <c r="MOI619" s="268"/>
      <c r="MOJ619" s="268"/>
      <c r="MOK619" s="268"/>
      <c r="MOL619" s="268"/>
      <c r="MOM619" s="268"/>
      <c r="MON619" s="268"/>
      <c r="MOO619" s="268"/>
      <c r="MOP619" s="268"/>
      <c r="MOQ619" s="268"/>
      <c r="MOR619" s="268"/>
      <c r="MOS619" s="268"/>
      <c r="MOT619" s="268"/>
      <c r="MOU619" s="268"/>
      <c r="MOV619" s="268"/>
      <c r="MOW619" s="268"/>
      <c r="MOX619" s="268"/>
      <c r="MOY619" s="268"/>
      <c r="MOZ619" s="268"/>
      <c r="MPA619" s="268"/>
      <c r="MPB619" s="268"/>
      <c r="MPC619" s="268"/>
      <c r="MPQ619" s="268"/>
      <c r="MPR619" s="268"/>
      <c r="MPS619" s="268"/>
      <c r="MQG619" s="268"/>
      <c r="MQI619" s="268"/>
      <c r="MQJ619" s="268"/>
      <c r="MQK619" s="268"/>
      <c r="MQL619" s="268"/>
      <c r="MQM619" s="268"/>
      <c r="MQN619" s="268"/>
      <c r="MQO619" s="268"/>
      <c r="MQP619" s="268"/>
      <c r="MQQ619" s="268"/>
      <c r="MQR619" s="268"/>
      <c r="MQS619" s="268"/>
      <c r="MQT619" s="268"/>
      <c r="MQU619" s="268"/>
      <c r="MQV619" s="268"/>
      <c r="MQW619" s="268"/>
      <c r="MQX619" s="268"/>
      <c r="MQY619" s="268"/>
      <c r="MQZ619" s="268"/>
      <c r="MRA619" s="268"/>
      <c r="MRB619" s="268"/>
      <c r="MRC619" s="268"/>
      <c r="MRD619" s="268"/>
      <c r="MRE619" s="268"/>
      <c r="MRF619" s="268"/>
      <c r="MRG619" s="268"/>
      <c r="MRH619" s="268"/>
      <c r="MRI619" s="268"/>
      <c r="MRJ619" s="268"/>
      <c r="MRK619" s="268"/>
      <c r="MRL619" s="268"/>
      <c r="MRM619" s="268"/>
      <c r="MRN619" s="268"/>
      <c r="MRO619" s="268"/>
      <c r="MRP619" s="268"/>
      <c r="MRQ619" s="268"/>
      <c r="MRR619" s="268"/>
      <c r="MRS619" s="268"/>
      <c r="MRT619" s="268"/>
      <c r="MRU619" s="268"/>
      <c r="MRV619" s="268"/>
      <c r="MRW619" s="268"/>
      <c r="MRX619" s="268"/>
      <c r="MRY619" s="268"/>
      <c r="MRZ619" s="268"/>
      <c r="MSA619" s="268"/>
      <c r="MSB619" s="268"/>
      <c r="MSC619" s="268"/>
      <c r="MSD619" s="268"/>
      <c r="MSE619" s="268"/>
      <c r="MSF619" s="268"/>
      <c r="MSG619" s="268"/>
      <c r="MSH619" s="268"/>
      <c r="MSI619" s="268"/>
      <c r="MSJ619" s="268"/>
      <c r="MSK619" s="268"/>
      <c r="MSL619" s="268"/>
      <c r="MSM619" s="268"/>
      <c r="MSN619" s="268"/>
      <c r="MSO619" s="268"/>
      <c r="MSP619" s="268"/>
      <c r="MSQ619" s="268"/>
      <c r="MSR619" s="268"/>
      <c r="MSS619" s="268"/>
      <c r="MST619" s="268"/>
      <c r="MSU619" s="268"/>
      <c r="MSV619" s="268"/>
      <c r="MSW619" s="268"/>
      <c r="MSX619" s="268"/>
      <c r="MSY619" s="268"/>
      <c r="MSZ619" s="268"/>
      <c r="MTA619" s="268"/>
      <c r="MTB619" s="268"/>
      <c r="MTC619" s="268"/>
      <c r="MTD619" s="268"/>
      <c r="MTE619" s="268"/>
      <c r="MTF619" s="268"/>
      <c r="MTG619" s="268"/>
      <c r="MTH619" s="268"/>
      <c r="MTI619" s="268"/>
      <c r="MTJ619" s="268"/>
      <c r="MTK619" s="268"/>
      <c r="MTL619" s="268"/>
      <c r="MTM619" s="268"/>
      <c r="MTN619" s="268"/>
      <c r="MTO619" s="268"/>
      <c r="MTP619" s="268"/>
      <c r="MTQ619" s="268"/>
      <c r="MTR619" s="268"/>
      <c r="MTS619" s="268"/>
      <c r="MTT619" s="268"/>
      <c r="MTU619" s="268"/>
      <c r="MTV619" s="268"/>
      <c r="MTW619" s="268"/>
      <c r="MTX619" s="268"/>
      <c r="MTY619" s="268"/>
      <c r="MTZ619" s="268"/>
      <c r="MUA619" s="268"/>
      <c r="MUB619" s="268"/>
      <c r="MUC619" s="268"/>
      <c r="MUD619" s="268"/>
      <c r="MUE619" s="268"/>
      <c r="MUF619" s="268"/>
      <c r="MUG619" s="268"/>
      <c r="MUH619" s="268"/>
      <c r="MUI619" s="268"/>
      <c r="MUJ619" s="268"/>
      <c r="MUK619" s="268"/>
      <c r="MUL619" s="268"/>
      <c r="MUM619" s="268"/>
      <c r="MUN619" s="268"/>
      <c r="MUO619" s="268"/>
      <c r="MUP619" s="268"/>
      <c r="MUQ619" s="268"/>
      <c r="MUR619" s="268"/>
      <c r="MUS619" s="268"/>
      <c r="MUT619" s="268"/>
      <c r="MUU619" s="268"/>
      <c r="MUV619" s="268"/>
      <c r="MUW619" s="268"/>
      <c r="MUX619" s="268"/>
      <c r="MUY619" s="268"/>
      <c r="MUZ619" s="268"/>
      <c r="MVA619" s="268"/>
      <c r="MVB619" s="268"/>
      <c r="MVC619" s="268"/>
      <c r="MVD619" s="268"/>
      <c r="MVE619" s="268"/>
      <c r="MVF619" s="268"/>
      <c r="MVG619" s="268"/>
      <c r="MVH619" s="268"/>
      <c r="MVI619" s="268"/>
      <c r="MVJ619" s="268"/>
      <c r="MVK619" s="268"/>
      <c r="MVL619" s="268"/>
      <c r="MVM619" s="268"/>
      <c r="MVN619" s="268"/>
      <c r="MVO619" s="268"/>
      <c r="MVP619" s="268"/>
      <c r="MVQ619" s="268"/>
      <c r="MVR619" s="268"/>
      <c r="MVS619" s="268"/>
      <c r="MVT619" s="268"/>
      <c r="MVU619" s="268"/>
      <c r="MVV619" s="268"/>
      <c r="MVW619" s="268"/>
      <c r="MVX619" s="268"/>
      <c r="MVY619" s="268"/>
      <c r="MVZ619" s="268"/>
      <c r="MWA619" s="268"/>
      <c r="MWB619" s="268"/>
      <c r="MWC619" s="268"/>
      <c r="MWD619" s="268"/>
      <c r="MWE619" s="268"/>
      <c r="MWF619" s="268"/>
      <c r="MWG619" s="268"/>
      <c r="MWH619" s="268"/>
      <c r="MWI619" s="268"/>
      <c r="MWJ619" s="268"/>
      <c r="MWK619" s="268"/>
      <c r="MWL619" s="268"/>
      <c r="MWM619" s="268"/>
      <c r="MWN619" s="268"/>
      <c r="MWO619" s="268"/>
      <c r="MWP619" s="268"/>
      <c r="MWQ619" s="268"/>
      <c r="MWR619" s="268"/>
      <c r="MWS619" s="268"/>
      <c r="MWT619" s="268"/>
      <c r="MWU619" s="268"/>
      <c r="MWV619" s="268"/>
      <c r="MWW619" s="268"/>
      <c r="MWX619" s="268"/>
      <c r="MWY619" s="268"/>
      <c r="MWZ619" s="268"/>
      <c r="MXA619" s="268"/>
      <c r="MXB619" s="268"/>
      <c r="MXC619" s="268"/>
      <c r="MXD619" s="268"/>
      <c r="MXE619" s="268"/>
      <c r="MXF619" s="268"/>
      <c r="MXG619" s="268"/>
      <c r="MXH619" s="268"/>
      <c r="MXI619" s="268"/>
      <c r="MXJ619" s="268"/>
      <c r="MXK619" s="268"/>
      <c r="MXL619" s="268"/>
      <c r="MXM619" s="268"/>
      <c r="MXN619" s="268"/>
      <c r="MXO619" s="268"/>
      <c r="MXP619" s="268"/>
      <c r="MXQ619" s="268"/>
      <c r="MXR619" s="268"/>
      <c r="MXS619" s="268"/>
      <c r="MXT619" s="268"/>
      <c r="MXU619" s="268"/>
      <c r="MXV619" s="268"/>
      <c r="MXW619" s="268"/>
      <c r="MXX619" s="268"/>
      <c r="MXY619" s="268"/>
      <c r="MXZ619" s="268"/>
      <c r="MYA619" s="268"/>
      <c r="MYB619" s="268"/>
      <c r="MYC619" s="268"/>
      <c r="MYD619" s="268"/>
      <c r="MYE619" s="268"/>
      <c r="MYF619" s="268"/>
      <c r="MYG619" s="268"/>
      <c r="MYH619" s="268"/>
      <c r="MYI619" s="268"/>
      <c r="MYJ619" s="268"/>
      <c r="MYK619" s="268"/>
      <c r="MYL619" s="268"/>
      <c r="MYM619" s="268"/>
      <c r="MYN619" s="268"/>
      <c r="MYO619" s="268"/>
      <c r="MYP619" s="268"/>
      <c r="MYQ619" s="268"/>
      <c r="MYR619" s="268"/>
      <c r="MYS619" s="268"/>
      <c r="MYT619" s="268"/>
      <c r="MYU619" s="268"/>
      <c r="MYV619" s="268"/>
      <c r="MYW619" s="268"/>
      <c r="MYX619" s="268"/>
      <c r="MYY619" s="268"/>
      <c r="MZM619" s="268"/>
      <c r="MZN619" s="268"/>
      <c r="MZO619" s="268"/>
      <c r="NAC619" s="268"/>
      <c r="NAE619" s="268"/>
      <c r="NAF619" s="268"/>
      <c r="NAG619" s="268"/>
      <c r="NAH619" s="268"/>
      <c r="NAI619" s="268"/>
      <c r="NAJ619" s="268"/>
      <c r="NAK619" s="268"/>
      <c r="NAL619" s="268"/>
      <c r="NAM619" s="268"/>
      <c r="NAN619" s="268"/>
      <c r="NAO619" s="268"/>
      <c r="NAP619" s="268"/>
      <c r="NAQ619" s="268"/>
      <c r="NAR619" s="268"/>
      <c r="NAS619" s="268"/>
      <c r="NAT619" s="268"/>
      <c r="NAU619" s="268"/>
      <c r="NAV619" s="268"/>
      <c r="NAW619" s="268"/>
      <c r="NAX619" s="268"/>
      <c r="NAY619" s="268"/>
      <c r="NAZ619" s="268"/>
      <c r="NBA619" s="268"/>
      <c r="NBB619" s="268"/>
      <c r="NBC619" s="268"/>
      <c r="NBD619" s="268"/>
      <c r="NBE619" s="268"/>
      <c r="NBF619" s="268"/>
      <c r="NBG619" s="268"/>
      <c r="NBH619" s="268"/>
      <c r="NBI619" s="268"/>
      <c r="NBJ619" s="268"/>
      <c r="NBK619" s="268"/>
      <c r="NBL619" s="268"/>
      <c r="NBM619" s="268"/>
      <c r="NBN619" s="268"/>
      <c r="NBO619" s="268"/>
      <c r="NBP619" s="268"/>
      <c r="NBQ619" s="268"/>
      <c r="NBR619" s="268"/>
      <c r="NBS619" s="268"/>
      <c r="NBT619" s="268"/>
      <c r="NBU619" s="268"/>
      <c r="NBV619" s="268"/>
      <c r="NBW619" s="268"/>
      <c r="NBX619" s="268"/>
      <c r="NBY619" s="268"/>
      <c r="NBZ619" s="268"/>
      <c r="NCA619" s="268"/>
      <c r="NCB619" s="268"/>
      <c r="NCC619" s="268"/>
      <c r="NCD619" s="268"/>
      <c r="NCE619" s="268"/>
      <c r="NCF619" s="268"/>
      <c r="NCG619" s="268"/>
      <c r="NCH619" s="268"/>
      <c r="NCI619" s="268"/>
      <c r="NCJ619" s="268"/>
      <c r="NCK619" s="268"/>
      <c r="NCL619" s="268"/>
      <c r="NCM619" s="268"/>
      <c r="NCN619" s="268"/>
      <c r="NCO619" s="268"/>
      <c r="NCP619" s="268"/>
      <c r="NCQ619" s="268"/>
      <c r="NCR619" s="268"/>
      <c r="NCS619" s="268"/>
      <c r="NCT619" s="268"/>
      <c r="NCU619" s="268"/>
      <c r="NCV619" s="268"/>
      <c r="NCW619" s="268"/>
      <c r="NCX619" s="268"/>
      <c r="NCY619" s="268"/>
      <c r="NCZ619" s="268"/>
      <c r="NDA619" s="268"/>
      <c r="NDB619" s="268"/>
      <c r="NDC619" s="268"/>
      <c r="NDD619" s="268"/>
      <c r="NDE619" s="268"/>
      <c r="NDF619" s="268"/>
      <c r="NDG619" s="268"/>
      <c r="NDH619" s="268"/>
      <c r="NDI619" s="268"/>
      <c r="NDJ619" s="268"/>
      <c r="NDK619" s="268"/>
      <c r="NDL619" s="268"/>
      <c r="NDM619" s="268"/>
      <c r="NDN619" s="268"/>
      <c r="NDO619" s="268"/>
      <c r="NDP619" s="268"/>
      <c r="NDQ619" s="268"/>
      <c r="NDR619" s="268"/>
      <c r="NDS619" s="268"/>
      <c r="NDT619" s="268"/>
      <c r="NDU619" s="268"/>
      <c r="NDV619" s="268"/>
      <c r="NDW619" s="268"/>
      <c r="NDX619" s="268"/>
      <c r="NDY619" s="268"/>
      <c r="NDZ619" s="268"/>
      <c r="NEA619" s="268"/>
      <c r="NEB619" s="268"/>
      <c r="NEC619" s="268"/>
      <c r="NED619" s="268"/>
      <c r="NEE619" s="268"/>
      <c r="NEF619" s="268"/>
      <c r="NEG619" s="268"/>
      <c r="NEH619" s="268"/>
      <c r="NEI619" s="268"/>
      <c r="NEJ619" s="268"/>
      <c r="NEK619" s="268"/>
      <c r="NEL619" s="268"/>
      <c r="NEM619" s="268"/>
      <c r="NEN619" s="268"/>
      <c r="NEO619" s="268"/>
      <c r="NEP619" s="268"/>
      <c r="NEQ619" s="268"/>
      <c r="NER619" s="268"/>
      <c r="NES619" s="268"/>
      <c r="NET619" s="268"/>
      <c r="NEU619" s="268"/>
      <c r="NEV619" s="268"/>
      <c r="NEW619" s="268"/>
      <c r="NEX619" s="268"/>
      <c r="NEY619" s="268"/>
      <c r="NEZ619" s="268"/>
      <c r="NFA619" s="268"/>
      <c r="NFB619" s="268"/>
      <c r="NFC619" s="268"/>
      <c r="NFD619" s="268"/>
      <c r="NFE619" s="268"/>
      <c r="NFF619" s="268"/>
      <c r="NFG619" s="268"/>
      <c r="NFH619" s="268"/>
      <c r="NFI619" s="268"/>
      <c r="NFJ619" s="268"/>
      <c r="NFK619" s="268"/>
      <c r="NFL619" s="268"/>
      <c r="NFM619" s="268"/>
      <c r="NFN619" s="268"/>
      <c r="NFO619" s="268"/>
      <c r="NFP619" s="268"/>
      <c r="NFQ619" s="268"/>
      <c r="NFR619" s="268"/>
      <c r="NFS619" s="268"/>
      <c r="NFT619" s="268"/>
      <c r="NFU619" s="268"/>
      <c r="NFV619" s="268"/>
      <c r="NFW619" s="268"/>
      <c r="NFX619" s="268"/>
      <c r="NFY619" s="268"/>
      <c r="NFZ619" s="268"/>
      <c r="NGA619" s="268"/>
      <c r="NGB619" s="268"/>
      <c r="NGC619" s="268"/>
      <c r="NGD619" s="268"/>
      <c r="NGE619" s="268"/>
      <c r="NGF619" s="268"/>
      <c r="NGG619" s="268"/>
      <c r="NGH619" s="268"/>
      <c r="NGI619" s="268"/>
      <c r="NGJ619" s="268"/>
      <c r="NGK619" s="268"/>
      <c r="NGL619" s="268"/>
      <c r="NGM619" s="268"/>
      <c r="NGN619" s="268"/>
      <c r="NGO619" s="268"/>
      <c r="NGP619" s="268"/>
      <c r="NGQ619" s="268"/>
      <c r="NGR619" s="268"/>
      <c r="NGS619" s="268"/>
      <c r="NGT619" s="268"/>
      <c r="NGU619" s="268"/>
      <c r="NGV619" s="268"/>
      <c r="NGW619" s="268"/>
      <c r="NGX619" s="268"/>
      <c r="NGY619" s="268"/>
      <c r="NGZ619" s="268"/>
      <c r="NHA619" s="268"/>
      <c r="NHB619" s="268"/>
      <c r="NHC619" s="268"/>
      <c r="NHD619" s="268"/>
      <c r="NHE619" s="268"/>
      <c r="NHF619" s="268"/>
      <c r="NHG619" s="268"/>
      <c r="NHH619" s="268"/>
      <c r="NHI619" s="268"/>
      <c r="NHJ619" s="268"/>
      <c r="NHK619" s="268"/>
      <c r="NHL619" s="268"/>
      <c r="NHM619" s="268"/>
      <c r="NHN619" s="268"/>
      <c r="NHO619" s="268"/>
      <c r="NHP619" s="268"/>
      <c r="NHQ619" s="268"/>
      <c r="NHR619" s="268"/>
      <c r="NHS619" s="268"/>
      <c r="NHT619" s="268"/>
      <c r="NHU619" s="268"/>
      <c r="NHV619" s="268"/>
      <c r="NHW619" s="268"/>
      <c r="NHX619" s="268"/>
      <c r="NHY619" s="268"/>
      <c r="NHZ619" s="268"/>
      <c r="NIA619" s="268"/>
      <c r="NIB619" s="268"/>
      <c r="NIC619" s="268"/>
      <c r="NID619" s="268"/>
      <c r="NIE619" s="268"/>
      <c r="NIF619" s="268"/>
      <c r="NIG619" s="268"/>
      <c r="NIH619" s="268"/>
      <c r="NII619" s="268"/>
      <c r="NIJ619" s="268"/>
      <c r="NIK619" s="268"/>
      <c r="NIL619" s="268"/>
      <c r="NIM619" s="268"/>
      <c r="NIN619" s="268"/>
      <c r="NIO619" s="268"/>
      <c r="NIP619" s="268"/>
      <c r="NIQ619" s="268"/>
      <c r="NIR619" s="268"/>
      <c r="NIS619" s="268"/>
      <c r="NIT619" s="268"/>
      <c r="NIU619" s="268"/>
      <c r="NJI619" s="268"/>
      <c r="NJJ619" s="268"/>
      <c r="NJK619" s="268"/>
      <c r="NJY619" s="268"/>
      <c r="NKA619" s="268"/>
      <c r="NKB619" s="268"/>
      <c r="NKC619" s="268"/>
      <c r="NKD619" s="268"/>
      <c r="NKE619" s="268"/>
      <c r="NKF619" s="268"/>
      <c r="NKG619" s="268"/>
      <c r="NKH619" s="268"/>
      <c r="NKI619" s="268"/>
      <c r="NKJ619" s="268"/>
      <c r="NKK619" s="268"/>
      <c r="NKL619" s="268"/>
      <c r="NKM619" s="268"/>
      <c r="NKN619" s="268"/>
      <c r="NKO619" s="268"/>
      <c r="NKP619" s="268"/>
      <c r="NKQ619" s="268"/>
      <c r="NKR619" s="268"/>
      <c r="NKS619" s="268"/>
      <c r="NKT619" s="268"/>
      <c r="NKU619" s="268"/>
      <c r="NKV619" s="268"/>
      <c r="NKW619" s="268"/>
      <c r="NKX619" s="268"/>
      <c r="NKY619" s="268"/>
      <c r="NKZ619" s="268"/>
      <c r="NLA619" s="268"/>
      <c r="NLB619" s="268"/>
      <c r="NLC619" s="268"/>
      <c r="NLD619" s="268"/>
      <c r="NLE619" s="268"/>
      <c r="NLF619" s="268"/>
      <c r="NLG619" s="268"/>
      <c r="NLH619" s="268"/>
      <c r="NLI619" s="268"/>
      <c r="NLJ619" s="268"/>
      <c r="NLK619" s="268"/>
      <c r="NLL619" s="268"/>
      <c r="NLM619" s="268"/>
      <c r="NLN619" s="268"/>
      <c r="NLO619" s="268"/>
      <c r="NLP619" s="268"/>
      <c r="NLQ619" s="268"/>
      <c r="NLR619" s="268"/>
      <c r="NLS619" s="268"/>
      <c r="NLT619" s="268"/>
      <c r="NLU619" s="268"/>
      <c r="NLV619" s="268"/>
      <c r="NLW619" s="268"/>
      <c r="NLX619" s="268"/>
      <c r="NLY619" s="268"/>
      <c r="NLZ619" s="268"/>
      <c r="NMA619" s="268"/>
      <c r="NMB619" s="268"/>
      <c r="NMC619" s="268"/>
      <c r="NMD619" s="268"/>
      <c r="NME619" s="268"/>
      <c r="NMF619" s="268"/>
      <c r="NMG619" s="268"/>
      <c r="NMH619" s="268"/>
      <c r="NMI619" s="268"/>
      <c r="NMJ619" s="268"/>
      <c r="NMK619" s="268"/>
      <c r="NML619" s="268"/>
      <c r="NMM619" s="268"/>
      <c r="NMN619" s="268"/>
      <c r="NMO619" s="268"/>
      <c r="NMP619" s="268"/>
      <c r="NMQ619" s="268"/>
      <c r="NMR619" s="268"/>
      <c r="NMS619" s="268"/>
      <c r="NMT619" s="268"/>
      <c r="NMU619" s="268"/>
      <c r="NMV619" s="268"/>
      <c r="NMW619" s="268"/>
      <c r="NMX619" s="268"/>
      <c r="NMY619" s="268"/>
      <c r="NMZ619" s="268"/>
      <c r="NNA619" s="268"/>
      <c r="NNB619" s="268"/>
      <c r="NNC619" s="268"/>
      <c r="NND619" s="268"/>
      <c r="NNE619" s="268"/>
      <c r="NNF619" s="268"/>
      <c r="NNG619" s="268"/>
      <c r="NNH619" s="268"/>
      <c r="NNI619" s="268"/>
      <c r="NNJ619" s="268"/>
      <c r="NNK619" s="268"/>
      <c r="NNL619" s="268"/>
      <c r="NNM619" s="268"/>
      <c r="NNN619" s="268"/>
      <c r="NNO619" s="268"/>
      <c r="NNP619" s="268"/>
      <c r="NNQ619" s="268"/>
      <c r="NNR619" s="268"/>
      <c r="NNS619" s="268"/>
      <c r="NNT619" s="268"/>
      <c r="NNU619" s="268"/>
      <c r="NNV619" s="268"/>
      <c r="NNW619" s="268"/>
      <c r="NNX619" s="268"/>
      <c r="NNY619" s="268"/>
      <c r="NNZ619" s="268"/>
      <c r="NOA619" s="268"/>
      <c r="NOB619" s="268"/>
      <c r="NOC619" s="268"/>
      <c r="NOD619" s="268"/>
      <c r="NOE619" s="268"/>
      <c r="NOF619" s="268"/>
      <c r="NOG619" s="268"/>
      <c r="NOH619" s="268"/>
      <c r="NOI619" s="268"/>
      <c r="NOJ619" s="268"/>
      <c r="NOK619" s="268"/>
      <c r="NOL619" s="268"/>
      <c r="NOM619" s="268"/>
      <c r="NON619" s="268"/>
      <c r="NOO619" s="268"/>
      <c r="NOP619" s="268"/>
      <c r="NOQ619" s="268"/>
      <c r="NOR619" s="268"/>
      <c r="NOS619" s="268"/>
      <c r="NOT619" s="268"/>
      <c r="NOU619" s="268"/>
      <c r="NOV619" s="268"/>
      <c r="NOW619" s="268"/>
      <c r="NOX619" s="268"/>
      <c r="NOY619" s="268"/>
      <c r="NOZ619" s="268"/>
      <c r="NPA619" s="268"/>
      <c r="NPB619" s="268"/>
      <c r="NPC619" s="268"/>
      <c r="NPD619" s="268"/>
      <c r="NPE619" s="268"/>
      <c r="NPF619" s="268"/>
      <c r="NPG619" s="268"/>
      <c r="NPH619" s="268"/>
      <c r="NPI619" s="268"/>
      <c r="NPJ619" s="268"/>
      <c r="NPK619" s="268"/>
      <c r="NPL619" s="268"/>
      <c r="NPM619" s="268"/>
      <c r="NPN619" s="268"/>
      <c r="NPO619" s="268"/>
      <c r="NPP619" s="268"/>
      <c r="NPQ619" s="268"/>
      <c r="NPR619" s="268"/>
      <c r="NPS619" s="268"/>
      <c r="NPT619" s="268"/>
      <c r="NPU619" s="268"/>
      <c r="NPV619" s="268"/>
      <c r="NPW619" s="268"/>
      <c r="NPX619" s="268"/>
      <c r="NPY619" s="268"/>
      <c r="NPZ619" s="268"/>
      <c r="NQA619" s="268"/>
      <c r="NQB619" s="268"/>
      <c r="NQC619" s="268"/>
      <c r="NQD619" s="268"/>
      <c r="NQE619" s="268"/>
      <c r="NQF619" s="268"/>
      <c r="NQG619" s="268"/>
      <c r="NQH619" s="268"/>
      <c r="NQI619" s="268"/>
      <c r="NQJ619" s="268"/>
      <c r="NQK619" s="268"/>
      <c r="NQL619" s="268"/>
      <c r="NQM619" s="268"/>
      <c r="NQN619" s="268"/>
      <c r="NQO619" s="268"/>
      <c r="NQP619" s="268"/>
      <c r="NQQ619" s="268"/>
      <c r="NQR619" s="268"/>
      <c r="NQS619" s="268"/>
      <c r="NQT619" s="268"/>
      <c r="NQU619" s="268"/>
      <c r="NQV619" s="268"/>
      <c r="NQW619" s="268"/>
      <c r="NQX619" s="268"/>
      <c r="NQY619" s="268"/>
      <c r="NQZ619" s="268"/>
      <c r="NRA619" s="268"/>
      <c r="NRB619" s="268"/>
      <c r="NRC619" s="268"/>
      <c r="NRD619" s="268"/>
      <c r="NRE619" s="268"/>
      <c r="NRF619" s="268"/>
      <c r="NRG619" s="268"/>
      <c r="NRH619" s="268"/>
      <c r="NRI619" s="268"/>
      <c r="NRJ619" s="268"/>
      <c r="NRK619" s="268"/>
      <c r="NRL619" s="268"/>
      <c r="NRM619" s="268"/>
      <c r="NRN619" s="268"/>
      <c r="NRO619" s="268"/>
      <c r="NRP619" s="268"/>
      <c r="NRQ619" s="268"/>
      <c r="NRR619" s="268"/>
      <c r="NRS619" s="268"/>
      <c r="NRT619" s="268"/>
      <c r="NRU619" s="268"/>
      <c r="NRV619" s="268"/>
      <c r="NRW619" s="268"/>
      <c r="NRX619" s="268"/>
      <c r="NRY619" s="268"/>
      <c r="NRZ619" s="268"/>
      <c r="NSA619" s="268"/>
      <c r="NSB619" s="268"/>
      <c r="NSC619" s="268"/>
      <c r="NSD619" s="268"/>
      <c r="NSE619" s="268"/>
      <c r="NSF619" s="268"/>
      <c r="NSG619" s="268"/>
      <c r="NSH619" s="268"/>
      <c r="NSI619" s="268"/>
      <c r="NSJ619" s="268"/>
      <c r="NSK619" s="268"/>
      <c r="NSL619" s="268"/>
      <c r="NSM619" s="268"/>
      <c r="NSN619" s="268"/>
      <c r="NSO619" s="268"/>
      <c r="NSP619" s="268"/>
      <c r="NSQ619" s="268"/>
      <c r="NTE619" s="268"/>
      <c r="NTF619" s="268"/>
      <c r="NTG619" s="268"/>
      <c r="NTU619" s="268"/>
      <c r="NTW619" s="268"/>
      <c r="NTX619" s="268"/>
      <c r="NTY619" s="268"/>
      <c r="NTZ619" s="268"/>
      <c r="NUA619" s="268"/>
      <c r="NUB619" s="268"/>
      <c r="NUC619" s="268"/>
      <c r="NUD619" s="268"/>
      <c r="NUE619" s="268"/>
      <c r="NUF619" s="268"/>
      <c r="NUG619" s="268"/>
      <c r="NUH619" s="268"/>
      <c r="NUI619" s="268"/>
      <c r="NUJ619" s="268"/>
      <c r="NUK619" s="268"/>
      <c r="NUL619" s="268"/>
      <c r="NUM619" s="268"/>
      <c r="NUN619" s="268"/>
      <c r="NUO619" s="268"/>
      <c r="NUP619" s="268"/>
      <c r="NUQ619" s="268"/>
      <c r="NUR619" s="268"/>
      <c r="NUS619" s="268"/>
      <c r="NUT619" s="268"/>
      <c r="NUU619" s="268"/>
      <c r="NUV619" s="268"/>
      <c r="NUW619" s="268"/>
      <c r="NUX619" s="268"/>
      <c r="NUY619" s="268"/>
      <c r="NUZ619" s="268"/>
      <c r="NVA619" s="268"/>
      <c r="NVB619" s="268"/>
      <c r="NVC619" s="268"/>
      <c r="NVD619" s="268"/>
      <c r="NVE619" s="268"/>
      <c r="NVF619" s="268"/>
      <c r="NVG619" s="268"/>
      <c r="NVH619" s="268"/>
      <c r="NVI619" s="268"/>
      <c r="NVJ619" s="268"/>
      <c r="NVK619" s="268"/>
      <c r="NVL619" s="268"/>
      <c r="NVM619" s="268"/>
      <c r="NVN619" s="268"/>
      <c r="NVO619" s="268"/>
      <c r="NVP619" s="268"/>
      <c r="NVQ619" s="268"/>
      <c r="NVR619" s="268"/>
      <c r="NVS619" s="268"/>
      <c r="NVT619" s="268"/>
      <c r="NVU619" s="268"/>
      <c r="NVV619" s="268"/>
      <c r="NVW619" s="268"/>
      <c r="NVX619" s="268"/>
      <c r="NVY619" s="268"/>
      <c r="NVZ619" s="268"/>
      <c r="NWA619" s="268"/>
      <c r="NWB619" s="268"/>
      <c r="NWC619" s="268"/>
      <c r="NWD619" s="268"/>
      <c r="NWE619" s="268"/>
      <c r="NWF619" s="268"/>
      <c r="NWG619" s="268"/>
      <c r="NWH619" s="268"/>
      <c r="NWI619" s="268"/>
      <c r="NWJ619" s="268"/>
      <c r="NWK619" s="268"/>
      <c r="NWL619" s="268"/>
      <c r="NWM619" s="268"/>
      <c r="NWN619" s="268"/>
      <c r="NWO619" s="268"/>
      <c r="NWP619" s="268"/>
      <c r="NWQ619" s="268"/>
      <c r="NWR619" s="268"/>
      <c r="NWS619" s="268"/>
      <c r="NWT619" s="268"/>
      <c r="NWU619" s="268"/>
      <c r="NWV619" s="268"/>
      <c r="NWW619" s="268"/>
      <c r="NWX619" s="268"/>
      <c r="NWY619" s="268"/>
      <c r="NWZ619" s="268"/>
      <c r="NXA619" s="268"/>
      <c r="NXB619" s="268"/>
      <c r="NXC619" s="268"/>
      <c r="NXD619" s="268"/>
      <c r="NXE619" s="268"/>
      <c r="NXF619" s="268"/>
      <c r="NXG619" s="268"/>
      <c r="NXH619" s="268"/>
      <c r="NXI619" s="268"/>
      <c r="NXJ619" s="268"/>
      <c r="NXK619" s="268"/>
      <c r="NXL619" s="268"/>
      <c r="NXM619" s="268"/>
      <c r="NXN619" s="268"/>
      <c r="NXO619" s="268"/>
      <c r="NXP619" s="268"/>
      <c r="NXQ619" s="268"/>
      <c r="NXR619" s="268"/>
      <c r="NXS619" s="268"/>
      <c r="NXT619" s="268"/>
      <c r="NXU619" s="268"/>
      <c r="NXV619" s="268"/>
      <c r="NXW619" s="268"/>
      <c r="NXX619" s="268"/>
      <c r="NXY619" s="268"/>
      <c r="NXZ619" s="268"/>
      <c r="NYA619" s="268"/>
      <c r="NYB619" s="268"/>
      <c r="NYC619" s="268"/>
      <c r="NYD619" s="268"/>
      <c r="NYE619" s="268"/>
      <c r="NYF619" s="268"/>
      <c r="NYG619" s="268"/>
      <c r="NYH619" s="268"/>
      <c r="NYI619" s="268"/>
      <c r="NYJ619" s="268"/>
      <c r="NYK619" s="268"/>
      <c r="NYL619" s="268"/>
      <c r="NYM619" s="268"/>
      <c r="NYN619" s="268"/>
      <c r="NYO619" s="268"/>
      <c r="NYP619" s="268"/>
      <c r="NYQ619" s="268"/>
      <c r="NYR619" s="268"/>
      <c r="NYS619" s="268"/>
      <c r="NYT619" s="268"/>
      <c r="NYU619" s="268"/>
      <c r="NYV619" s="268"/>
      <c r="NYW619" s="268"/>
      <c r="NYX619" s="268"/>
      <c r="NYY619" s="268"/>
      <c r="NYZ619" s="268"/>
      <c r="NZA619" s="268"/>
      <c r="NZB619" s="268"/>
      <c r="NZC619" s="268"/>
      <c r="NZD619" s="268"/>
      <c r="NZE619" s="268"/>
      <c r="NZF619" s="268"/>
      <c r="NZG619" s="268"/>
      <c r="NZH619" s="268"/>
      <c r="NZI619" s="268"/>
      <c r="NZJ619" s="268"/>
      <c r="NZK619" s="268"/>
      <c r="NZL619" s="268"/>
      <c r="NZM619" s="268"/>
      <c r="NZN619" s="268"/>
      <c r="NZO619" s="268"/>
      <c r="NZP619" s="268"/>
      <c r="NZQ619" s="268"/>
      <c r="NZR619" s="268"/>
      <c r="NZS619" s="268"/>
      <c r="NZT619" s="268"/>
      <c r="NZU619" s="268"/>
      <c r="NZV619" s="268"/>
      <c r="NZW619" s="268"/>
      <c r="NZX619" s="268"/>
      <c r="NZY619" s="268"/>
      <c r="NZZ619" s="268"/>
      <c r="OAA619" s="268"/>
      <c r="OAB619" s="268"/>
      <c r="OAC619" s="268"/>
      <c r="OAD619" s="268"/>
      <c r="OAE619" s="268"/>
      <c r="OAF619" s="268"/>
      <c r="OAG619" s="268"/>
      <c r="OAH619" s="268"/>
      <c r="OAI619" s="268"/>
      <c r="OAJ619" s="268"/>
      <c r="OAK619" s="268"/>
      <c r="OAL619" s="268"/>
      <c r="OAM619" s="268"/>
      <c r="OAN619" s="268"/>
      <c r="OAO619" s="268"/>
      <c r="OAP619" s="268"/>
      <c r="OAQ619" s="268"/>
      <c r="OAR619" s="268"/>
      <c r="OAS619" s="268"/>
      <c r="OAT619" s="268"/>
      <c r="OAU619" s="268"/>
      <c r="OAV619" s="268"/>
      <c r="OAW619" s="268"/>
      <c r="OAX619" s="268"/>
      <c r="OAY619" s="268"/>
      <c r="OAZ619" s="268"/>
      <c r="OBA619" s="268"/>
      <c r="OBB619" s="268"/>
      <c r="OBC619" s="268"/>
      <c r="OBD619" s="268"/>
      <c r="OBE619" s="268"/>
      <c r="OBF619" s="268"/>
      <c r="OBG619" s="268"/>
      <c r="OBH619" s="268"/>
      <c r="OBI619" s="268"/>
      <c r="OBJ619" s="268"/>
      <c r="OBK619" s="268"/>
      <c r="OBL619" s="268"/>
      <c r="OBM619" s="268"/>
      <c r="OBN619" s="268"/>
      <c r="OBO619" s="268"/>
      <c r="OBP619" s="268"/>
      <c r="OBQ619" s="268"/>
      <c r="OBR619" s="268"/>
      <c r="OBS619" s="268"/>
      <c r="OBT619" s="268"/>
      <c r="OBU619" s="268"/>
      <c r="OBV619" s="268"/>
      <c r="OBW619" s="268"/>
      <c r="OBX619" s="268"/>
      <c r="OBY619" s="268"/>
      <c r="OBZ619" s="268"/>
      <c r="OCA619" s="268"/>
      <c r="OCB619" s="268"/>
      <c r="OCC619" s="268"/>
      <c r="OCD619" s="268"/>
      <c r="OCE619" s="268"/>
      <c r="OCF619" s="268"/>
      <c r="OCG619" s="268"/>
      <c r="OCH619" s="268"/>
      <c r="OCI619" s="268"/>
      <c r="OCJ619" s="268"/>
      <c r="OCK619" s="268"/>
      <c r="OCL619" s="268"/>
      <c r="OCM619" s="268"/>
      <c r="ODA619" s="268"/>
      <c r="ODB619" s="268"/>
      <c r="ODC619" s="268"/>
      <c r="ODQ619" s="268"/>
      <c r="ODS619" s="268"/>
      <c r="ODT619" s="268"/>
      <c r="ODU619" s="268"/>
      <c r="ODV619" s="268"/>
      <c r="ODW619" s="268"/>
      <c r="ODX619" s="268"/>
      <c r="ODY619" s="268"/>
      <c r="ODZ619" s="268"/>
      <c r="OEA619" s="268"/>
      <c r="OEB619" s="268"/>
      <c r="OEC619" s="268"/>
      <c r="OED619" s="268"/>
      <c r="OEE619" s="268"/>
      <c r="OEF619" s="268"/>
      <c r="OEG619" s="268"/>
      <c r="OEH619" s="268"/>
      <c r="OEI619" s="268"/>
      <c r="OEJ619" s="268"/>
      <c r="OEK619" s="268"/>
      <c r="OEL619" s="268"/>
      <c r="OEM619" s="268"/>
      <c r="OEN619" s="268"/>
      <c r="OEO619" s="268"/>
      <c r="OEP619" s="268"/>
      <c r="OEQ619" s="268"/>
      <c r="OER619" s="268"/>
      <c r="OES619" s="268"/>
      <c r="OET619" s="268"/>
      <c r="OEU619" s="268"/>
      <c r="OEV619" s="268"/>
      <c r="OEW619" s="268"/>
      <c r="OEX619" s="268"/>
      <c r="OEY619" s="268"/>
      <c r="OEZ619" s="268"/>
      <c r="OFA619" s="268"/>
      <c r="OFB619" s="268"/>
      <c r="OFC619" s="268"/>
      <c r="OFD619" s="268"/>
      <c r="OFE619" s="268"/>
      <c r="OFF619" s="268"/>
      <c r="OFG619" s="268"/>
      <c r="OFH619" s="268"/>
      <c r="OFI619" s="268"/>
      <c r="OFJ619" s="268"/>
      <c r="OFK619" s="268"/>
      <c r="OFL619" s="268"/>
      <c r="OFM619" s="268"/>
      <c r="OFN619" s="268"/>
      <c r="OFO619" s="268"/>
      <c r="OFP619" s="268"/>
      <c r="OFQ619" s="268"/>
      <c r="OFR619" s="268"/>
      <c r="OFS619" s="268"/>
      <c r="OFT619" s="268"/>
      <c r="OFU619" s="268"/>
      <c r="OFV619" s="268"/>
      <c r="OFW619" s="268"/>
      <c r="OFX619" s="268"/>
      <c r="OFY619" s="268"/>
      <c r="OFZ619" s="268"/>
      <c r="OGA619" s="268"/>
      <c r="OGB619" s="268"/>
      <c r="OGC619" s="268"/>
      <c r="OGD619" s="268"/>
      <c r="OGE619" s="268"/>
      <c r="OGF619" s="268"/>
      <c r="OGG619" s="268"/>
      <c r="OGH619" s="268"/>
      <c r="OGI619" s="268"/>
      <c r="OGJ619" s="268"/>
      <c r="OGK619" s="268"/>
      <c r="OGL619" s="268"/>
      <c r="OGM619" s="268"/>
      <c r="OGN619" s="268"/>
      <c r="OGO619" s="268"/>
      <c r="OGP619" s="268"/>
      <c r="OGQ619" s="268"/>
      <c r="OGR619" s="268"/>
      <c r="OGS619" s="268"/>
      <c r="OGT619" s="268"/>
      <c r="OGU619" s="268"/>
      <c r="OGV619" s="268"/>
      <c r="OGW619" s="268"/>
      <c r="OGX619" s="268"/>
      <c r="OGY619" s="268"/>
      <c r="OGZ619" s="268"/>
      <c r="OHA619" s="268"/>
      <c r="OHB619" s="268"/>
      <c r="OHC619" s="268"/>
      <c r="OHD619" s="268"/>
      <c r="OHE619" s="268"/>
      <c r="OHF619" s="268"/>
      <c r="OHG619" s="268"/>
      <c r="OHH619" s="268"/>
      <c r="OHI619" s="268"/>
      <c r="OHJ619" s="268"/>
      <c r="OHK619" s="268"/>
      <c r="OHL619" s="268"/>
      <c r="OHM619" s="268"/>
      <c r="OHN619" s="268"/>
      <c r="OHO619" s="268"/>
      <c r="OHP619" s="268"/>
      <c r="OHQ619" s="268"/>
      <c r="OHR619" s="268"/>
      <c r="OHS619" s="268"/>
      <c r="OHT619" s="268"/>
      <c r="OHU619" s="268"/>
      <c r="OHV619" s="268"/>
      <c r="OHW619" s="268"/>
      <c r="OHX619" s="268"/>
      <c r="OHY619" s="268"/>
      <c r="OHZ619" s="268"/>
      <c r="OIA619" s="268"/>
      <c r="OIB619" s="268"/>
      <c r="OIC619" s="268"/>
      <c r="OID619" s="268"/>
      <c r="OIE619" s="268"/>
      <c r="OIF619" s="268"/>
      <c r="OIG619" s="268"/>
      <c r="OIH619" s="268"/>
      <c r="OII619" s="268"/>
      <c r="OIJ619" s="268"/>
      <c r="OIK619" s="268"/>
      <c r="OIL619" s="268"/>
      <c r="OIM619" s="268"/>
      <c r="OIN619" s="268"/>
      <c r="OIO619" s="268"/>
      <c r="OIP619" s="268"/>
      <c r="OIQ619" s="268"/>
      <c r="OIR619" s="268"/>
      <c r="OIS619" s="268"/>
      <c r="OIT619" s="268"/>
      <c r="OIU619" s="268"/>
      <c r="OIV619" s="268"/>
      <c r="OIW619" s="268"/>
      <c r="OIX619" s="268"/>
      <c r="OIY619" s="268"/>
      <c r="OIZ619" s="268"/>
      <c r="OJA619" s="268"/>
      <c r="OJB619" s="268"/>
      <c r="OJC619" s="268"/>
      <c r="OJD619" s="268"/>
      <c r="OJE619" s="268"/>
      <c r="OJF619" s="268"/>
      <c r="OJG619" s="268"/>
      <c r="OJH619" s="268"/>
      <c r="OJI619" s="268"/>
      <c r="OJJ619" s="268"/>
      <c r="OJK619" s="268"/>
      <c r="OJL619" s="268"/>
      <c r="OJM619" s="268"/>
      <c r="OJN619" s="268"/>
      <c r="OJO619" s="268"/>
      <c r="OJP619" s="268"/>
      <c r="OJQ619" s="268"/>
      <c r="OJR619" s="268"/>
      <c r="OJS619" s="268"/>
      <c r="OJT619" s="268"/>
      <c r="OJU619" s="268"/>
      <c r="OJV619" s="268"/>
      <c r="OJW619" s="268"/>
      <c r="OJX619" s="268"/>
      <c r="OJY619" s="268"/>
      <c r="OJZ619" s="268"/>
      <c r="OKA619" s="268"/>
      <c r="OKB619" s="268"/>
      <c r="OKC619" s="268"/>
      <c r="OKD619" s="268"/>
      <c r="OKE619" s="268"/>
      <c r="OKF619" s="268"/>
      <c r="OKG619" s="268"/>
      <c r="OKH619" s="268"/>
      <c r="OKI619" s="268"/>
      <c r="OKJ619" s="268"/>
      <c r="OKK619" s="268"/>
      <c r="OKL619" s="268"/>
      <c r="OKM619" s="268"/>
      <c r="OKN619" s="268"/>
      <c r="OKO619" s="268"/>
      <c r="OKP619" s="268"/>
      <c r="OKQ619" s="268"/>
      <c r="OKR619" s="268"/>
      <c r="OKS619" s="268"/>
      <c r="OKT619" s="268"/>
      <c r="OKU619" s="268"/>
      <c r="OKV619" s="268"/>
      <c r="OKW619" s="268"/>
      <c r="OKX619" s="268"/>
      <c r="OKY619" s="268"/>
      <c r="OKZ619" s="268"/>
      <c r="OLA619" s="268"/>
      <c r="OLB619" s="268"/>
      <c r="OLC619" s="268"/>
      <c r="OLD619" s="268"/>
      <c r="OLE619" s="268"/>
      <c r="OLF619" s="268"/>
      <c r="OLG619" s="268"/>
      <c r="OLH619" s="268"/>
      <c r="OLI619" s="268"/>
      <c r="OLJ619" s="268"/>
      <c r="OLK619" s="268"/>
      <c r="OLL619" s="268"/>
      <c r="OLM619" s="268"/>
      <c r="OLN619" s="268"/>
      <c r="OLO619" s="268"/>
      <c r="OLP619" s="268"/>
      <c r="OLQ619" s="268"/>
      <c r="OLR619" s="268"/>
      <c r="OLS619" s="268"/>
      <c r="OLT619" s="268"/>
      <c r="OLU619" s="268"/>
      <c r="OLV619" s="268"/>
      <c r="OLW619" s="268"/>
      <c r="OLX619" s="268"/>
      <c r="OLY619" s="268"/>
      <c r="OLZ619" s="268"/>
      <c r="OMA619" s="268"/>
      <c r="OMB619" s="268"/>
      <c r="OMC619" s="268"/>
      <c r="OMD619" s="268"/>
      <c r="OME619" s="268"/>
      <c r="OMF619" s="268"/>
      <c r="OMG619" s="268"/>
      <c r="OMH619" s="268"/>
      <c r="OMI619" s="268"/>
      <c r="OMW619" s="268"/>
      <c r="OMX619" s="268"/>
      <c r="OMY619" s="268"/>
      <c r="ONM619" s="268"/>
      <c r="ONO619" s="268"/>
      <c r="ONP619" s="268"/>
      <c r="ONQ619" s="268"/>
      <c r="ONR619" s="268"/>
      <c r="ONS619" s="268"/>
      <c r="ONT619" s="268"/>
      <c r="ONU619" s="268"/>
      <c r="ONV619" s="268"/>
      <c r="ONW619" s="268"/>
      <c r="ONX619" s="268"/>
      <c r="ONY619" s="268"/>
      <c r="ONZ619" s="268"/>
      <c r="OOA619" s="268"/>
      <c r="OOB619" s="268"/>
      <c r="OOC619" s="268"/>
      <c r="OOD619" s="268"/>
      <c r="OOE619" s="268"/>
      <c r="OOF619" s="268"/>
      <c r="OOG619" s="268"/>
      <c r="OOH619" s="268"/>
      <c r="OOI619" s="268"/>
      <c r="OOJ619" s="268"/>
      <c r="OOK619" s="268"/>
      <c r="OOL619" s="268"/>
      <c r="OOM619" s="268"/>
      <c r="OON619" s="268"/>
      <c r="OOO619" s="268"/>
      <c r="OOP619" s="268"/>
      <c r="OOQ619" s="268"/>
      <c r="OOR619" s="268"/>
      <c r="OOS619" s="268"/>
      <c r="OOT619" s="268"/>
      <c r="OOU619" s="268"/>
      <c r="OOV619" s="268"/>
      <c r="OOW619" s="268"/>
      <c r="OOX619" s="268"/>
      <c r="OOY619" s="268"/>
      <c r="OOZ619" s="268"/>
      <c r="OPA619" s="268"/>
      <c r="OPB619" s="268"/>
      <c r="OPC619" s="268"/>
      <c r="OPD619" s="268"/>
      <c r="OPE619" s="268"/>
      <c r="OPF619" s="268"/>
      <c r="OPG619" s="268"/>
      <c r="OPH619" s="268"/>
      <c r="OPI619" s="268"/>
      <c r="OPJ619" s="268"/>
      <c r="OPK619" s="268"/>
      <c r="OPL619" s="268"/>
      <c r="OPM619" s="268"/>
      <c r="OPN619" s="268"/>
      <c r="OPO619" s="268"/>
      <c r="OPP619" s="268"/>
      <c r="OPQ619" s="268"/>
      <c r="OPR619" s="268"/>
      <c r="OPS619" s="268"/>
      <c r="OPT619" s="268"/>
      <c r="OPU619" s="268"/>
      <c r="OPV619" s="268"/>
      <c r="OPW619" s="268"/>
      <c r="OPX619" s="268"/>
      <c r="OPY619" s="268"/>
      <c r="OPZ619" s="268"/>
      <c r="OQA619" s="268"/>
      <c r="OQB619" s="268"/>
      <c r="OQC619" s="268"/>
      <c r="OQD619" s="268"/>
      <c r="OQE619" s="268"/>
      <c r="OQF619" s="268"/>
      <c r="OQG619" s="268"/>
      <c r="OQH619" s="268"/>
      <c r="OQI619" s="268"/>
      <c r="OQJ619" s="268"/>
      <c r="OQK619" s="268"/>
      <c r="OQL619" s="268"/>
      <c r="OQM619" s="268"/>
      <c r="OQN619" s="268"/>
      <c r="OQO619" s="268"/>
      <c r="OQP619" s="268"/>
      <c r="OQQ619" s="268"/>
      <c r="OQR619" s="268"/>
      <c r="OQS619" s="268"/>
      <c r="OQT619" s="268"/>
      <c r="OQU619" s="268"/>
      <c r="OQV619" s="268"/>
      <c r="OQW619" s="268"/>
      <c r="OQX619" s="268"/>
      <c r="OQY619" s="268"/>
      <c r="OQZ619" s="268"/>
      <c r="ORA619" s="268"/>
      <c r="ORB619" s="268"/>
      <c r="ORC619" s="268"/>
      <c r="ORD619" s="268"/>
      <c r="ORE619" s="268"/>
      <c r="ORF619" s="268"/>
      <c r="ORG619" s="268"/>
      <c r="ORH619" s="268"/>
      <c r="ORI619" s="268"/>
      <c r="ORJ619" s="268"/>
      <c r="ORK619" s="268"/>
      <c r="ORL619" s="268"/>
      <c r="ORM619" s="268"/>
      <c r="ORN619" s="268"/>
      <c r="ORO619" s="268"/>
      <c r="ORP619" s="268"/>
      <c r="ORQ619" s="268"/>
      <c r="ORR619" s="268"/>
      <c r="ORS619" s="268"/>
      <c r="ORT619" s="268"/>
      <c r="ORU619" s="268"/>
      <c r="ORV619" s="268"/>
      <c r="ORW619" s="268"/>
      <c r="ORX619" s="268"/>
      <c r="ORY619" s="268"/>
      <c r="ORZ619" s="268"/>
      <c r="OSA619" s="268"/>
      <c r="OSB619" s="268"/>
      <c r="OSC619" s="268"/>
      <c r="OSD619" s="268"/>
      <c r="OSE619" s="268"/>
      <c r="OSF619" s="268"/>
      <c r="OSG619" s="268"/>
      <c r="OSH619" s="268"/>
      <c r="OSI619" s="268"/>
      <c r="OSJ619" s="268"/>
      <c r="OSK619" s="268"/>
      <c r="OSL619" s="268"/>
      <c r="OSM619" s="268"/>
      <c r="OSN619" s="268"/>
      <c r="OSO619" s="268"/>
      <c r="OSP619" s="268"/>
      <c r="OSQ619" s="268"/>
      <c r="OSR619" s="268"/>
      <c r="OSS619" s="268"/>
      <c r="OST619" s="268"/>
      <c r="OSU619" s="268"/>
      <c r="OSV619" s="268"/>
      <c r="OSW619" s="268"/>
      <c r="OSX619" s="268"/>
      <c r="OSY619" s="268"/>
      <c r="OSZ619" s="268"/>
      <c r="OTA619" s="268"/>
      <c r="OTB619" s="268"/>
      <c r="OTC619" s="268"/>
      <c r="OTD619" s="268"/>
      <c r="OTE619" s="268"/>
      <c r="OTF619" s="268"/>
      <c r="OTG619" s="268"/>
      <c r="OTH619" s="268"/>
      <c r="OTI619" s="268"/>
      <c r="OTJ619" s="268"/>
      <c r="OTK619" s="268"/>
      <c r="OTL619" s="268"/>
      <c r="OTM619" s="268"/>
      <c r="OTN619" s="268"/>
      <c r="OTO619" s="268"/>
      <c r="OTP619" s="268"/>
      <c r="OTQ619" s="268"/>
      <c r="OTR619" s="268"/>
      <c r="OTS619" s="268"/>
      <c r="OTT619" s="268"/>
      <c r="OTU619" s="268"/>
      <c r="OTV619" s="268"/>
      <c r="OTW619" s="268"/>
      <c r="OTX619" s="268"/>
      <c r="OTY619" s="268"/>
      <c r="OTZ619" s="268"/>
      <c r="OUA619" s="268"/>
      <c r="OUB619" s="268"/>
      <c r="OUC619" s="268"/>
      <c r="OUD619" s="268"/>
      <c r="OUE619" s="268"/>
      <c r="OUF619" s="268"/>
      <c r="OUG619" s="268"/>
      <c r="OUH619" s="268"/>
      <c r="OUI619" s="268"/>
      <c r="OUJ619" s="268"/>
      <c r="OUK619" s="268"/>
      <c r="OUL619" s="268"/>
      <c r="OUM619" s="268"/>
      <c r="OUN619" s="268"/>
      <c r="OUO619" s="268"/>
      <c r="OUP619" s="268"/>
      <c r="OUQ619" s="268"/>
      <c r="OUR619" s="268"/>
      <c r="OUS619" s="268"/>
      <c r="OUT619" s="268"/>
      <c r="OUU619" s="268"/>
      <c r="OUV619" s="268"/>
      <c r="OUW619" s="268"/>
      <c r="OUX619" s="268"/>
      <c r="OUY619" s="268"/>
      <c r="OUZ619" s="268"/>
      <c r="OVA619" s="268"/>
      <c r="OVB619" s="268"/>
      <c r="OVC619" s="268"/>
      <c r="OVD619" s="268"/>
      <c r="OVE619" s="268"/>
      <c r="OVF619" s="268"/>
      <c r="OVG619" s="268"/>
      <c r="OVH619" s="268"/>
      <c r="OVI619" s="268"/>
      <c r="OVJ619" s="268"/>
      <c r="OVK619" s="268"/>
      <c r="OVL619" s="268"/>
      <c r="OVM619" s="268"/>
      <c r="OVN619" s="268"/>
      <c r="OVO619" s="268"/>
      <c r="OVP619" s="268"/>
      <c r="OVQ619" s="268"/>
      <c r="OVR619" s="268"/>
      <c r="OVS619" s="268"/>
      <c r="OVT619" s="268"/>
      <c r="OVU619" s="268"/>
      <c r="OVV619" s="268"/>
      <c r="OVW619" s="268"/>
      <c r="OVX619" s="268"/>
      <c r="OVY619" s="268"/>
      <c r="OVZ619" s="268"/>
      <c r="OWA619" s="268"/>
      <c r="OWB619" s="268"/>
      <c r="OWC619" s="268"/>
      <c r="OWD619" s="268"/>
      <c r="OWE619" s="268"/>
      <c r="OWS619" s="268"/>
      <c r="OWT619" s="268"/>
      <c r="OWU619" s="268"/>
      <c r="OXI619" s="268"/>
      <c r="OXK619" s="268"/>
      <c r="OXL619" s="268"/>
      <c r="OXM619" s="268"/>
      <c r="OXN619" s="268"/>
      <c r="OXO619" s="268"/>
      <c r="OXP619" s="268"/>
      <c r="OXQ619" s="268"/>
      <c r="OXR619" s="268"/>
      <c r="OXS619" s="268"/>
      <c r="OXT619" s="268"/>
      <c r="OXU619" s="268"/>
      <c r="OXV619" s="268"/>
      <c r="OXW619" s="268"/>
      <c r="OXX619" s="268"/>
      <c r="OXY619" s="268"/>
      <c r="OXZ619" s="268"/>
      <c r="OYA619" s="268"/>
      <c r="OYB619" s="268"/>
      <c r="OYC619" s="268"/>
      <c r="OYD619" s="268"/>
      <c r="OYE619" s="268"/>
      <c r="OYF619" s="268"/>
      <c r="OYG619" s="268"/>
      <c r="OYH619" s="268"/>
      <c r="OYI619" s="268"/>
      <c r="OYJ619" s="268"/>
      <c r="OYK619" s="268"/>
      <c r="OYL619" s="268"/>
      <c r="OYM619" s="268"/>
      <c r="OYN619" s="268"/>
      <c r="OYO619" s="268"/>
      <c r="OYP619" s="268"/>
      <c r="OYQ619" s="268"/>
      <c r="OYR619" s="268"/>
      <c r="OYS619" s="268"/>
      <c r="OYT619" s="268"/>
      <c r="OYU619" s="268"/>
      <c r="OYV619" s="268"/>
      <c r="OYW619" s="268"/>
      <c r="OYX619" s="268"/>
      <c r="OYY619" s="268"/>
      <c r="OYZ619" s="268"/>
      <c r="OZA619" s="268"/>
      <c r="OZB619" s="268"/>
      <c r="OZC619" s="268"/>
      <c r="OZD619" s="268"/>
      <c r="OZE619" s="268"/>
      <c r="OZF619" s="268"/>
      <c r="OZG619" s="268"/>
      <c r="OZH619" s="268"/>
      <c r="OZI619" s="268"/>
      <c r="OZJ619" s="268"/>
      <c r="OZK619" s="268"/>
      <c r="OZL619" s="268"/>
      <c r="OZM619" s="268"/>
      <c r="OZN619" s="268"/>
      <c r="OZO619" s="268"/>
      <c r="OZP619" s="268"/>
      <c r="OZQ619" s="268"/>
      <c r="OZR619" s="268"/>
      <c r="OZS619" s="268"/>
      <c r="OZT619" s="268"/>
      <c r="OZU619" s="268"/>
      <c r="OZV619" s="268"/>
      <c r="OZW619" s="268"/>
      <c r="OZX619" s="268"/>
      <c r="OZY619" s="268"/>
      <c r="OZZ619" s="268"/>
      <c r="PAA619" s="268"/>
      <c r="PAB619" s="268"/>
      <c r="PAC619" s="268"/>
      <c r="PAD619" s="268"/>
      <c r="PAE619" s="268"/>
      <c r="PAF619" s="268"/>
      <c r="PAG619" s="268"/>
      <c r="PAH619" s="268"/>
      <c r="PAI619" s="268"/>
      <c r="PAJ619" s="268"/>
      <c r="PAK619" s="268"/>
      <c r="PAL619" s="268"/>
      <c r="PAM619" s="268"/>
      <c r="PAN619" s="268"/>
      <c r="PAO619" s="268"/>
      <c r="PAP619" s="268"/>
      <c r="PAQ619" s="268"/>
      <c r="PAR619" s="268"/>
      <c r="PAS619" s="268"/>
      <c r="PAT619" s="268"/>
      <c r="PAU619" s="268"/>
      <c r="PAV619" s="268"/>
      <c r="PAW619" s="268"/>
      <c r="PAX619" s="268"/>
      <c r="PAY619" s="268"/>
      <c r="PAZ619" s="268"/>
      <c r="PBA619" s="268"/>
      <c r="PBB619" s="268"/>
      <c r="PBC619" s="268"/>
      <c r="PBD619" s="268"/>
      <c r="PBE619" s="268"/>
      <c r="PBF619" s="268"/>
      <c r="PBG619" s="268"/>
      <c r="PBH619" s="268"/>
      <c r="PBI619" s="268"/>
      <c r="PBJ619" s="268"/>
      <c r="PBK619" s="268"/>
      <c r="PBL619" s="268"/>
      <c r="PBM619" s="268"/>
      <c r="PBN619" s="268"/>
      <c r="PBO619" s="268"/>
      <c r="PBP619" s="268"/>
      <c r="PBQ619" s="268"/>
      <c r="PBR619" s="268"/>
      <c r="PBS619" s="268"/>
      <c r="PBT619" s="268"/>
      <c r="PBU619" s="268"/>
      <c r="PBV619" s="268"/>
      <c r="PBW619" s="268"/>
      <c r="PBX619" s="268"/>
      <c r="PBY619" s="268"/>
      <c r="PBZ619" s="268"/>
      <c r="PCA619" s="268"/>
      <c r="PCB619" s="268"/>
      <c r="PCC619" s="268"/>
      <c r="PCD619" s="268"/>
      <c r="PCE619" s="268"/>
      <c r="PCF619" s="268"/>
      <c r="PCG619" s="268"/>
      <c r="PCH619" s="268"/>
      <c r="PCI619" s="268"/>
      <c r="PCJ619" s="268"/>
      <c r="PCK619" s="268"/>
      <c r="PCL619" s="268"/>
      <c r="PCM619" s="268"/>
      <c r="PCN619" s="268"/>
      <c r="PCO619" s="268"/>
      <c r="PCP619" s="268"/>
      <c r="PCQ619" s="268"/>
      <c r="PCR619" s="268"/>
      <c r="PCS619" s="268"/>
      <c r="PCT619" s="268"/>
      <c r="PCU619" s="268"/>
      <c r="PCV619" s="268"/>
      <c r="PCW619" s="268"/>
      <c r="PCX619" s="268"/>
      <c r="PCY619" s="268"/>
      <c r="PCZ619" s="268"/>
      <c r="PDA619" s="268"/>
      <c r="PDB619" s="268"/>
      <c r="PDC619" s="268"/>
      <c r="PDD619" s="268"/>
      <c r="PDE619" s="268"/>
      <c r="PDF619" s="268"/>
      <c r="PDG619" s="268"/>
      <c r="PDH619" s="268"/>
      <c r="PDI619" s="268"/>
      <c r="PDJ619" s="268"/>
      <c r="PDK619" s="268"/>
      <c r="PDL619" s="268"/>
      <c r="PDM619" s="268"/>
      <c r="PDN619" s="268"/>
      <c r="PDO619" s="268"/>
      <c r="PDP619" s="268"/>
      <c r="PDQ619" s="268"/>
      <c r="PDR619" s="268"/>
      <c r="PDS619" s="268"/>
      <c r="PDT619" s="268"/>
      <c r="PDU619" s="268"/>
      <c r="PDV619" s="268"/>
      <c r="PDW619" s="268"/>
      <c r="PDX619" s="268"/>
      <c r="PDY619" s="268"/>
      <c r="PDZ619" s="268"/>
      <c r="PEA619" s="268"/>
      <c r="PEB619" s="268"/>
      <c r="PEC619" s="268"/>
      <c r="PED619" s="268"/>
      <c r="PEE619" s="268"/>
      <c r="PEF619" s="268"/>
      <c r="PEG619" s="268"/>
      <c r="PEH619" s="268"/>
      <c r="PEI619" s="268"/>
      <c r="PEJ619" s="268"/>
      <c r="PEK619" s="268"/>
      <c r="PEL619" s="268"/>
      <c r="PEM619" s="268"/>
      <c r="PEN619" s="268"/>
      <c r="PEO619" s="268"/>
      <c r="PEP619" s="268"/>
      <c r="PEQ619" s="268"/>
      <c r="PER619" s="268"/>
      <c r="PES619" s="268"/>
      <c r="PET619" s="268"/>
      <c r="PEU619" s="268"/>
      <c r="PEV619" s="268"/>
      <c r="PEW619" s="268"/>
      <c r="PEX619" s="268"/>
      <c r="PEY619" s="268"/>
      <c r="PEZ619" s="268"/>
      <c r="PFA619" s="268"/>
      <c r="PFB619" s="268"/>
      <c r="PFC619" s="268"/>
      <c r="PFD619" s="268"/>
      <c r="PFE619" s="268"/>
      <c r="PFF619" s="268"/>
      <c r="PFG619" s="268"/>
      <c r="PFH619" s="268"/>
      <c r="PFI619" s="268"/>
      <c r="PFJ619" s="268"/>
      <c r="PFK619" s="268"/>
      <c r="PFL619" s="268"/>
      <c r="PFM619" s="268"/>
      <c r="PFN619" s="268"/>
      <c r="PFO619" s="268"/>
      <c r="PFP619" s="268"/>
      <c r="PFQ619" s="268"/>
      <c r="PFR619" s="268"/>
      <c r="PFS619" s="268"/>
      <c r="PFT619" s="268"/>
      <c r="PFU619" s="268"/>
      <c r="PFV619" s="268"/>
      <c r="PFW619" s="268"/>
      <c r="PFX619" s="268"/>
      <c r="PFY619" s="268"/>
      <c r="PFZ619" s="268"/>
      <c r="PGA619" s="268"/>
      <c r="PGO619" s="268"/>
      <c r="PGP619" s="268"/>
      <c r="PGQ619" s="268"/>
      <c r="PHE619" s="268"/>
      <c r="PHG619" s="268"/>
      <c r="PHH619" s="268"/>
      <c r="PHI619" s="268"/>
      <c r="PHJ619" s="268"/>
      <c r="PHK619" s="268"/>
      <c r="PHL619" s="268"/>
      <c r="PHM619" s="268"/>
      <c r="PHN619" s="268"/>
      <c r="PHO619" s="268"/>
      <c r="PHP619" s="268"/>
      <c r="PHQ619" s="268"/>
      <c r="PHR619" s="268"/>
      <c r="PHS619" s="268"/>
      <c r="PHT619" s="268"/>
      <c r="PHU619" s="268"/>
      <c r="PHV619" s="268"/>
      <c r="PHW619" s="268"/>
      <c r="PHX619" s="268"/>
      <c r="PHY619" s="268"/>
      <c r="PHZ619" s="268"/>
      <c r="PIA619" s="268"/>
      <c r="PIB619" s="268"/>
      <c r="PIC619" s="268"/>
      <c r="PID619" s="268"/>
      <c r="PIE619" s="268"/>
      <c r="PIF619" s="268"/>
      <c r="PIG619" s="268"/>
      <c r="PIH619" s="268"/>
      <c r="PII619" s="268"/>
      <c r="PIJ619" s="268"/>
      <c r="PIK619" s="268"/>
      <c r="PIL619" s="268"/>
      <c r="PIM619" s="268"/>
      <c r="PIN619" s="268"/>
      <c r="PIO619" s="268"/>
      <c r="PIP619" s="268"/>
      <c r="PIQ619" s="268"/>
      <c r="PIR619" s="268"/>
      <c r="PIS619" s="268"/>
      <c r="PIT619" s="268"/>
      <c r="PIU619" s="268"/>
      <c r="PIV619" s="268"/>
      <c r="PIW619" s="268"/>
      <c r="PIX619" s="268"/>
      <c r="PIY619" s="268"/>
      <c r="PIZ619" s="268"/>
      <c r="PJA619" s="268"/>
      <c r="PJB619" s="268"/>
      <c r="PJC619" s="268"/>
      <c r="PJD619" s="268"/>
      <c r="PJE619" s="268"/>
      <c r="PJF619" s="268"/>
      <c r="PJG619" s="268"/>
      <c r="PJH619" s="268"/>
      <c r="PJI619" s="268"/>
      <c r="PJJ619" s="268"/>
      <c r="PJK619" s="268"/>
      <c r="PJL619" s="268"/>
      <c r="PJM619" s="268"/>
      <c r="PJN619" s="268"/>
      <c r="PJO619" s="268"/>
      <c r="PJP619" s="268"/>
      <c r="PJQ619" s="268"/>
      <c r="PJR619" s="268"/>
      <c r="PJS619" s="268"/>
      <c r="PJT619" s="268"/>
      <c r="PJU619" s="268"/>
      <c r="PJV619" s="268"/>
      <c r="PJW619" s="268"/>
      <c r="PJX619" s="268"/>
      <c r="PJY619" s="268"/>
      <c r="PJZ619" s="268"/>
      <c r="PKA619" s="268"/>
      <c r="PKB619" s="268"/>
      <c r="PKC619" s="268"/>
      <c r="PKD619" s="268"/>
      <c r="PKE619" s="268"/>
      <c r="PKF619" s="268"/>
      <c r="PKG619" s="268"/>
      <c r="PKH619" s="268"/>
      <c r="PKI619" s="268"/>
      <c r="PKJ619" s="268"/>
      <c r="PKK619" s="268"/>
      <c r="PKL619" s="268"/>
      <c r="PKM619" s="268"/>
      <c r="PKN619" s="268"/>
      <c r="PKO619" s="268"/>
      <c r="PKP619" s="268"/>
      <c r="PKQ619" s="268"/>
      <c r="PKR619" s="268"/>
      <c r="PKS619" s="268"/>
      <c r="PKT619" s="268"/>
      <c r="PKU619" s="268"/>
      <c r="PKV619" s="268"/>
      <c r="PKW619" s="268"/>
      <c r="PKX619" s="268"/>
      <c r="PKY619" s="268"/>
      <c r="PKZ619" s="268"/>
      <c r="PLA619" s="268"/>
      <c r="PLB619" s="268"/>
      <c r="PLC619" s="268"/>
      <c r="PLD619" s="268"/>
      <c r="PLE619" s="268"/>
      <c r="PLF619" s="268"/>
      <c r="PLG619" s="268"/>
      <c r="PLH619" s="268"/>
      <c r="PLI619" s="268"/>
      <c r="PLJ619" s="268"/>
      <c r="PLK619" s="268"/>
      <c r="PLL619" s="268"/>
      <c r="PLM619" s="268"/>
      <c r="PLN619" s="268"/>
      <c r="PLO619" s="268"/>
      <c r="PLP619" s="268"/>
      <c r="PLQ619" s="268"/>
      <c r="PLR619" s="268"/>
      <c r="PLS619" s="268"/>
      <c r="PLT619" s="268"/>
      <c r="PLU619" s="268"/>
      <c r="PLV619" s="268"/>
      <c r="PLW619" s="268"/>
      <c r="PLX619" s="268"/>
      <c r="PLY619" s="268"/>
      <c r="PLZ619" s="268"/>
      <c r="PMA619" s="268"/>
      <c r="PMB619" s="268"/>
      <c r="PMC619" s="268"/>
      <c r="PMD619" s="268"/>
      <c r="PME619" s="268"/>
      <c r="PMF619" s="268"/>
      <c r="PMG619" s="268"/>
      <c r="PMH619" s="268"/>
      <c r="PMI619" s="268"/>
      <c r="PMJ619" s="268"/>
      <c r="PMK619" s="268"/>
      <c r="PML619" s="268"/>
      <c r="PMM619" s="268"/>
      <c r="PMN619" s="268"/>
      <c r="PMO619" s="268"/>
      <c r="PMP619" s="268"/>
      <c r="PMQ619" s="268"/>
      <c r="PMR619" s="268"/>
      <c r="PMS619" s="268"/>
      <c r="PMT619" s="268"/>
      <c r="PMU619" s="268"/>
      <c r="PMV619" s="268"/>
      <c r="PMW619" s="268"/>
      <c r="PMX619" s="268"/>
      <c r="PMY619" s="268"/>
      <c r="PMZ619" s="268"/>
      <c r="PNA619" s="268"/>
      <c r="PNB619" s="268"/>
      <c r="PNC619" s="268"/>
      <c r="PND619" s="268"/>
      <c r="PNE619" s="268"/>
      <c r="PNF619" s="268"/>
      <c r="PNG619" s="268"/>
      <c r="PNH619" s="268"/>
      <c r="PNI619" s="268"/>
      <c r="PNJ619" s="268"/>
      <c r="PNK619" s="268"/>
      <c r="PNL619" s="268"/>
      <c r="PNM619" s="268"/>
      <c r="PNN619" s="268"/>
      <c r="PNO619" s="268"/>
      <c r="PNP619" s="268"/>
      <c r="PNQ619" s="268"/>
      <c r="PNR619" s="268"/>
      <c r="PNS619" s="268"/>
      <c r="PNT619" s="268"/>
      <c r="PNU619" s="268"/>
      <c r="PNV619" s="268"/>
      <c r="PNW619" s="268"/>
      <c r="PNX619" s="268"/>
      <c r="PNY619" s="268"/>
      <c r="PNZ619" s="268"/>
      <c r="POA619" s="268"/>
      <c r="POB619" s="268"/>
      <c r="POC619" s="268"/>
      <c r="POD619" s="268"/>
      <c r="POE619" s="268"/>
      <c r="POF619" s="268"/>
      <c r="POG619" s="268"/>
      <c r="POH619" s="268"/>
      <c r="POI619" s="268"/>
      <c r="POJ619" s="268"/>
      <c r="POK619" s="268"/>
      <c r="POL619" s="268"/>
      <c r="POM619" s="268"/>
      <c r="PON619" s="268"/>
      <c r="POO619" s="268"/>
      <c r="POP619" s="268"/>
      <c r="POQ619" s="268"/>
      <c r="POR619" s="268"/>
      <c r="POS619" s="268"/>
      <c r="POT619" s="268"/>
      <c r="POU619" s="268"/>
      <c r="POV619" s="268"/>
      <c r="POW619" s="268"/>
      <c r="POX619" s="268"/>
      <c r="POY619" s="268"/>
      <c r="POZ619" s="268"/>
      <c r="PPA619" s="268"/>
      <c r="PPB619" s="268"/>
      <c r="PPC619" s="268"/>
      <c r="PPD619" s="268"/>
      <c r="PPE619" s="268"/>
      <c r="PPF619" s="268"/>
      <c r="PPG619" s="268"/>
      <c r="PPH619" s="268"/>
      <c r="PPI619" s="268"/>
      <c r="PPJ619" s="268"/>
      <c r="PPK619" s="268"/>
      <c r="PPL619" s="268"/>
      <c r="PPM619" s="268"/>
      <c r="PPN619" s="268"/>
      <c r="PPO619" s="268"/>
      <c r="PPP619" s="268"/>
      <c r="PPQ619" s="268"/>
      <c r="PPR619" s="268"/>
      <c r="PPS619" s="268"/>
      <c r="PPT619" s="268"/>
      <c r="PPU619" s="268"/>
      <c r="PPV619" s="268"/>
      <c r="PPW619" s="268"/>
      <c r="PQK619" s="268"/>
      <c r="PQL619" s="268"/>
      <c r="PQM619" s="268"/>
      <c r="PRA619" s="268"/>
      <c r="PRC619" s="268"/>
      <c r="PRD619" s="268"/>
      <c r="PRE619" s="268"/>
      <c r="PRF619" s="268"/>
      <c r="PRG619" s="268"/>
      <c r="PRH619" s="268"/>
      <c r="PRI619" s="268"/>
      <c r="PRJ619" s="268"/>
      <c r="PRK619" s="268"/>
      <c r="PRL619" s="268"/>
      <c r="PRM619" s="268"/>
      <c r="PRN619" s="268"/>
      <c r="PRO619" s="268"/>
      <c r="PRP619" s="268"/>
      <c r="PRQ619" s="268"/>
      <c r="PRR619" s="268"/>
      <c r="PRS619" s="268"/>
      <c r="PRT619" s="268"/>
      <c r="PRU619" s="268"/>
      <c r="PRV619" s="268"/>
      <c r="PRW619" s="268"/>
      <c r="PRX619" s="268"/>
      <c r="PRY619" s="268"/>
      <c r="PRZ619" s="268"/>
      <c r="PSA619" s="268"/>
      <c r="PSB619" s="268"/>
      <c r="PSC619" s="268"/>
      <c r="PSD619" s="268"/>
      <c r="PSE619" s="268"/>
      <c r="PSF619" s="268"/>
      <c r="PSG619" s="268"/>
      <c r="PSH619" s="268"/>
      <c r="PSI619" s="268"/>
      <c r="PSJ619" s="268"/>
      <c r="PSK619" s="268"/>
      <c r="PSL619" s="268"/>
      <c r="PSM619" s="268"/>
      <c r="PSN619" s="268"/>
      <c r="PSO619" s="268"/>
      <c r="PSP619" s="268"/>
      <c r="PSQ619" s="268"/>
      <c r="PSR619" s="268"/>
      <c r="PSS619" s="268"/>
      <c r="PST619" s="268"/>
      <c r="PSU619" s="268"/>
      <c r="PSV619" s="268"/>
      <c r="PSW619" s="268"/>
      <c r="PSX619" s="268"/>
      <c r="PSY619" s="268"/>
      <c r="PSZ619" s="268"/>
      <c r="PTA619" s="268"/>
      <c r="PTB619" s="268"/>
      <c r="PTC619" s="268"/>
      <c r="PTD619" s="268"/>
      <c r="PTE619" s="268"/>
      <c r="PTF619" s="268"/>
      <c r="PTG619" s="268"/>
      <c r="PTH619" s="268"/>
      <c r="PTI619" s="268"/>
      <c r="PTJ619" s="268"/>
      <c r="PTK619" s="268"/>
      <c r="PTL619" s="268"/>
      <c r="PTM619" s="268"/>
      <c r="PTN619" s="268"/>
      <c r="PTO619" s="268"/>
      <c r="PTP619" s="268"/>
      <c r="PTQ619" s="268"/>
      <c r="PTR619" s="268"/>
      <c r="PTS619" s="268"/>
      <c r="PTT619" s="268"/>
      <c r="PTU619" s="268"/>
      <c r="PTV619" s="268"/>
      <c r="PTW619" s="268"/>
      <c r="PTX619" s="268"/>
      <c r="PTY619" s="268"/>
      <c r="PTZ619" s="268"/>
      <c r="PUA619" s="268"/>
      <c r="PUB619" s="268"/>
      <c r="PUC619" s="268"/>
      <c r="PUD619" s="268"/>
      <c r="PUE619" s="268"/>
      <c r="PUF619" s="268"/>
      <c r="PUG619" s="268"/>
      <c r="PUH619" s="268"/>
      <c r="PUI619" s="268"/>
      <c r="PUJ619" s="268"/>
      <c r="PUK619" s="268"/>
      <c r="PUL619" s="268"/>
      <c r="PUM619" s="268"/>
      <c r="PUN619" s="268"/>
      <c r="PUO619" s="268"/>
      <c r="PUP619" s="268"/>
      <c r="PUQ619" s="268"/>
      <c r="PUR619" s="268"/>
      <c r="PUS619" s="268"/>
      <c r="PUT619" s="268"/>
      <c r="PUU619" s="268"/>
      <c r="PUV619" s="268"/>
      <c r="PUW619" s="268"/>
      <c r="PUX619" s="268"/>
      <c r="PUY619" s="268"/>
      <c r="PUZ619" s="268"/>
      <c r="PVA619" s="268"/>
      <c r="PVB619" s="268"/>
      <c r="PVC619" s="268"/>
      <c r="PVD619" s="268"/>
      <c r="PVE619" s="268"/>
      <c r="PVF619" s="268"/>
      <c r="PVG619" s="268"/>
      <c r="PVH619" s="268"/>
      <c r="PVI619" s="268"/>
      <c r="PVJ619" s="268"/>
      <c r="PVK619" s="268"/>
      <c r="PVL619" s="268"/>
      <c r="PVM619" s="268"/>
      <c r="PVN619" s="268"/>
      <c r="PVO619" s="268"/>
      <c r="PVP619" s="268"/>
      <c r="PVQ619" s="268"/>
      <c r="PVR619" s="268"/>
      <c r="PVS619" s="268"/>
      <c r="PVT619" s="268"/>
      <c r="PVU619" s="268"/>
      <c r="PVV619" s="268"/>
      <c r="PVW619" s="268"/>
      <c r="PVX619" s="268"/>
      <c r="PVY619" s="268"/>
      <c r="PVZ619" s="268"/>
      <c r="PWA619" s="268"/>
      <c r="PWB619" s="268"/>
      <c r="PWC619" s="268"/>
      <c r="PWD619" s="268"/>
      <c r="PWE619" s="268"/>
      <c r="PWF619" s="268"/>
      <c r="PWG619" s="268"/>
      <c r="PWH619" s="268"/>
      <c r="PWI619" s="268"/>
      <c r="PWJ619" s="268"/>
      <c r="PWK619" s="268"/>
      <c r="PWL619" s="268"/>
      <c r="PWM619" s="268"/>
      <c r="PWN619" s="268"/>
      <c r="PWO619" s="268"/>
      <c r="PWP619" s="268"/>
      <c r="PWQ619" s="268"/>
      <c r="PWR619" s="268"/>
      <c r="PWS619" s="268"/>
      <c r="PWT619" s="268"/>
      <c r="PWU619" s="268"/>
      <c r="PWV619" s="268"/>
      <c r="PWW619" s="268"/>
      <c r="PWX619" s="268"/>
      <c r="PWY619" s="268"/>
      <c r="PWZ619" s="268"/>
      <c r="PXA619" s="268"/>
      <c r="PXB619" s="268"/>
      <c r="PXC619" s="268"/>
      <c r="PXD619" s="268"/>
      <c r="PXE619" s="268"/>
      <c r="PXF619" s="268"/>
      <c r="PXG619" s="268"/>
      <c r="PXH619" s="268"/>
      <c r="PXI619" s="268"/>
      <c r="PXJ619" s="268"/>
      <c r="PXK619" s="268"/>
      <c r="PXL619" s="268"/>
      <c r="PXM619" s="268"/>
      <c r="PXN619" s="268"/>
      <c r="PXO619" s="268"/>
      <c r="PXP619" s="268"/>
      <c r="PXQ619" s="268"/>
      <c r="PXR619" s="268"/>
      <c r="PXS619" s="268"/>
      <c r="PXT619" s="268"/>
      <c r="PXU619" s="268"/>
      <c r="PXV619" s="268"/>
      <c r="PXW619" s="268"/>
      <c r="PXX619" s="268"/>
      <c r="PXY619" s="268"/>
      <c r="PXZ619" s="268"/>
      <c r="PYA619" s="268"/>
      <c r="PYB619" s="268"/>
      <c r="PYC619" s="268"/>
      <c r="PYD619" s="268"/>
      <c r="PYE619" s="268"/>
      <c r="PYF619" s="268"/>
      <c r="PYG619" s="268"/>
      <c r="PYH619" s="268"/>
      <c r="PYI619" s="268"/>
      <c r="PYJ619" s="268"/>
      <c r="PYK619" s="268"/>
      <c r="PYL619" s="268"/>
      <c r="PYM619" s="268"/>
      <c r="PYN619" s="268"/>
      <c r="PYO619" s="268"/>
      <c r="PYP619" s="268"/>
      <c r="PYQ619" s="268"/>
      <c r="PYR619" s="268"/>
      <c r="PYS619" s="268"/>
      <c r="PYT619" s="268"/>
      <c r="PYU619" s="268"/>
      <c r="PYV619" s="268"/>
      <c r="PYW619" s="268"/>
      <c r="PYX619" s="268"/>
      <c r="PYY619" s="268"/>
      <c r="PYZ619" s="268"/>
      <c r="PZA619" s="268"/>
      <c r="PZB619" s="268"/>
      <c r="PZC619" s="268"/>
      <c r="PZD619" s="268"/>
      <c r="PZE619" s="268"/>
      <c r="PZF619" s="268"/>
      <c r="PZG619" s="268"/>
      <c r="PZH619" s="268"/>
      <c r="PZI619" s="268"/>
      <c r="PZJ619" s="268"/>
      <c r="PZK619" s="268"/>
      <c r="PZL619" s="268"/>
      <c r="PZM619" s="268"/>
      <c r="PZN619" s="268"/>
      <c r="PZO619" s="268"/>
      <c r="PZP619" s="268"/>
      <c r="PZQ619" s="268"/>
      <c r="PZR619" s="268"/>
      <c r="PZS619" s="268"/>
      <c r="QAG619" s="268"/>
      <c r="QAH619" s="268"/>
      <c r="QAI619" s="268"/>
      <c r="QAW619" s="268"/>
      <c r="QAY619" s="268"/>
      <c r="QAZ619" s="268"/>
      <c r="QBA619" s="268"/>
      <c r="QBB619" s="268"/>
      <c r="QBC619" s="268"/>
      <c r="QBD619" s="268"/>
      <c r="QBE619" s="268"/>
      <c r="QBF619" s="268"/>
      <c r="QBG619" s="268"/>
      <c r="QBH619" s="268"/>
      <c r="QBI619" s="268"/>
      <c r="QBJ619" s="268"/>
      <c r="QBK619" s="268"/>
      <c r="QBL619" s="268"/>
      <c r="QBM619" s="268"/>
      <c r="QBN619" s="268"/>
      <c r="QBO619" s="268"/>
      <c r="QBP619" s="268"/>
      <c r="QBQ619" s="268"/>
      <c r="QBR619" s="268"/>
      <c r="QBS619" s="268"/>
      <c r="QBT619" s="268"/>
      <c r="QBU619" s="268"/>
      <c r="QBV619" s="268"/>
      <c r="QBW619" s="268"/>
      <c r="QBX619" s="268"/>
      <c r="QBY619" s="268"/>
      <c r="QBZ619" s="268"/>
      <c r="QCA619" s="268"/>
      <c r="QCB619" s="268"/>
      <c r="QCC619" s="268"/>
      <c r="QCD619" s="268"/>
      <c r="QCE619" s="268"/>
      <c r="QCF619" s="268"/>
      <c r="QCG619" s="268"/>
      <c r="QCH619" s="268"/>
      <c r="QCI619" s="268"/>
      <c r="QCJ619" s="268"/>
      <c r="QCK619" s="268"/>
      <c r="QCL619" s="268"/>
      <c r="QCM619" s="268"/>
      <c r="QCN619" s="268"/>
      <c r="QCO619" s="268"/>
      <c r="QCP619" s="268"/>
      <c r="QCQ619" s="268"/>
      <c r="QCR619" s="268"/>
      <c r="QCS619" s="268"/>
      <c r="QCT619" s="268"/>
      <c r="QCU619" s="268"/>
      <c r="QCV619" s="268"/>
      <c r="QCW619" s="268"/>
      <c r="QCX619" s="268"/>
      <c r="QCY619" s="268"/>
      <c r="QCZ619" s="268"/>
      <c r="QDA619" s="268"/>
      <c r="QDB619" s="268"/>
      <c r="QDC619" s="268"/>
      <c r="QDD619" s="268"/>
      <c r="QDE619" s="268"/>
      <c r="QDF619" s="268"/>
      <c r="QDG619" s="268"/>
      <c r="QDH619" s="268"/>
      <c r="QDI619" s="268"/>
      <c r="QDJ619" s="268"/>
      <c r="QDK619" s="268"/>
      <c r="QDL619" s="268"/>
      <c r="QDM619" s="268"/>
      <c r="QDN619" s="268"/>
      <c r="QDO619" s="268"/>
      <c r="QDP619" s="268"/>
      <c r="QDQ619" s="268"/>
      <c r="QDR619" s="268"/>
      <c r="QDS619" s="268"/>
      <c r="QDT619" s="268"/>
      <c r="QDU619" s="268"/>
      <c r="QDV619" s="268"/>
      <c r="QDW619" s="268"/>
      <c r="QDX619" s="268"/>
      <c r="QDY619" s="268"/>
      <c r="QDZ619" s="268"/>
      <c r="QEA619" s="268"/>
      <c r="QEB619" s="268"/>
      <c r="QEC619" s="268"/>
      <c r="QED619" s="268"/>
      <c r="QEE619" s="268"/>
      <c r="QEF619" s="268"/>
      <c r="QEG619" s="268"/>
      <c r="QEH619" s="268"/>
      <c r="QEI619" s="268"/>
      <c r="QEJ619" s="268"/>
      <c r="QEK619" s="268"/>
      <c r="QEL619" s="268"/>
      <c r="QEM619" s="268"/>
      <c r="QEN619" s="268"/>
      <c r="QEO619" s="268"/>
      <c r="QEP619" s="268"/>
      <c r="QEQ619" s="268"/>
      <c r="QER619" s="268"/>
      <c r="QES619" s="268"/>
      <c r="QET619" s="268"/>
      <c r="QEU619" s="268"/>
      <c r="QEV619" s="268"/>
      <c r="QEW619" s="268"/>
      <c r="QEX619" s="268"/>
      <c r="QEY619" s="268"/>
      <c r="QEZ619" s="268"/>
      <c r="QFA619" s="268"/>
      <c r="QFB619" s="268"/>
      <c r="QFC619" s="268"/>
      <c r="QFD619" s="268"/>
      <c r="QFE619" s="268"/>
      <c r="QFF619" s="268"/>
      <c r="QFG619" s="268"/>
      <c r="QFH619" s="268"/>
      <c r="QFI619" s="268"/>
      <c r="QFJ619" s="268"/>
      <c r="QFK619" s="268"/>
      <c r="QFL619" s="268"/>
      <c r="QFM619" s="268"/>
      <c r="QFN619" s="268"/>
      <c r="QFO619" s="268"/>
      <c r="QFP619" s="268"/>
      <c r="QFQ619" s="268"/>
      <c r="QFR619" s="268"/>
      <c r="QFS619" s="268"/>
      <c r="QFT619" s="268"/>
      <c r="QFU619" s="268"/>
      <c r="QFV619" s="268"/>
      <c r="QFW619" s="268"/>
      <c r="QFX619" s="268"/>
      <c r="QFY619" s="268"/>
      <c r="QFZ619" s="268"/>
      <c r="QGA619" s="268"/>
      <c r="QGB619" s="268"/>
      <c r="QGC619" s="268"/>
      <c r="QGD619" s="268"/>
      <c r="QGE619" s="268"/>
      <c r="QGF619" s="268"/>
      <c r="QGG619" s="268"/>
      <c r="QGH619" s="268"/>
      <c r="QGI619" s="268"/>
      <c r="QGJ619" s="268"/>
      <c r="QGK619" s="268"/>
      <c r="QGL619" s="268"/>
      <c r="QGM619" s="268"/>
      <c r="QGN619" s="268"/>
      <c r="QGO619" s="268"/>
      <c r="QGP619" s="268"/>
      <c r="QGQ619" s="268"/>
      <c r="QGR619" s="268"/>
      <c r="QGS619" s="268"/>
      <c r="QGT619" s="268"/>
      <c r="QGU619" s="268"/>
      <c r="QGV619" s="268"/>
      <c r="QGW619" s="268"/>
      <c r="QGX619" s="268"/>
      <c r="QGY619" s="268"/>
      <c r="QGZ619" s="268"/>
      <c r="QHA619" s="268"/>
      <c r="QHB619" s="268"/>
      <c r="QHC619" s="268"/>
      <c r="QHD619" s="268"/>
      <c r="QHE619" s="268"/>
      <c r="QHF619" s="268"/>
      <c r="QHG619" s="268"/>
      <c r="QHH619" s="268"/>
      <c r="QHI619" s="268"/>
      <c r="QHJ619" s="268"/>
      <c r="QHK619" s="268"/>
      <c r="QHL619" s="268"/>
      <c r="QHM619" s="268"/>
      <c r="QHN619" s="268"/>
      <c r="QHO619" s="268"/>
      <c r="QHP619" s="268"/>
      <c r="QHQ619" s="268"/>
      <c r="QHR619" s="268"/>
      <c r="QHS619" s="268"/>
      <c r="QHT619" s="268"/>
      <c r="QHU619" s="268"/>
      <c r="QHV619" s="268"/>
      <c r="QHW619" s="268"/>
      <c r="QHX619" s="268"/>
      <c r="QHY619" s="268"/>
      <c r="QHZ619" s="268"/>
      <c r="QIA619" s="268"/>
      <c r="QIB619" s="268"/>
      <c r="QIC619" s="268"/>
      <c r="QID619" s="268"/>
      <c r="QIE619" s="268"/>
      <c r="QIF619" s="268"/>
      <c r="QIG619" s="268"/>
      <c r="QIH619" s="268"/>
      <c r="QII619" s="268"/>
      <c r="QIJ619" s="268"/>
      <c r="QIK619" s="268"/>
      <c r="QIL619" s="268"/>
      <c r="QIM619" s="268"/>
      <c r="QIN619" s="268"/>
      <c r="QIO619" s="268"/>
      <c r="QIP619" s="268"/>
      <c r="QIQ619" s="268"/>
      <c r="QIR619" s="268"/>
      <c r="QIS619" s="268"/>
      <c r="QIT619" s="268"/>
      <c r="QIU619" s="268"/>
      <c r="QIV619" s="268"/>
      <c r="QIW619" s="268"/>
      <c r="QIX619" s="268"/>
      <c r="QIY619" s="268"/>
      <c r="QIZ619" s="268"/>
      <c r="QJA619" s="268"/>
      <c r="QJB619" s="268"/>
      <c r="QJC619" s="268"/>
      <c r="QJD619" s="268"/>
      <c r="QJE619" s="268"/>
      <c r="QJF619" s="268"/>
      <c r="QJG619" s="268"/>
      <c r="QJH619" s="268"/>
      <c r="QJI619" s="268"/>
      <c r="QJJ619" s="268"/>
      <c r="QJK619" s="268"/>
      <c r="QJL619" s="268"/>
      <c r="QJM619" s="268"/>
      <c r="QJN619" s="268"/>
      <c r="QJO619" s="268"/>
      <c r="QKC619" s="268"/>
      <c r="QKD619" s="268"/>
      <c r="QKE619" s="268"/>
      <c r="QKS619" s="268"/>
      <c r="QKU619" s="268"/>
      <c r="QKV619" s="268"/>
      <c r="QKW619" s="268"/>
      <c r="QKX619" s="268"/>
      <c r="QKY619" s="268"/>
      <c r="QKZ619" s="268"/>
      <c r="QLA619" s="268"/>
      <c r="QLB619" s="268"/>
      <c r="QLC619" s="268"/>
      <c r="QLD619" s="268"/>
      <c r="QLE619" s="268"/>
      <c r="QLF619" s="268"/>
      <c r="QLG619" s="268"/>
      <c r="QLH619" s="268"/>
      <c r="QLI619" s="268"/>
      <c r="QLJ619" s="268"/>
      <c r="QLK619" s="268"/>
      <c r="QLL619" s="268"/>
      <c r="QLM619" s="268"/>
      <c r="QLN619" s="268"/>
      <c r="QLO619" s="268"/>
      <c r="QLP619" s="268"/>
      <c r="QLQ619" s="268"/>
      <c r="QLR619" s="268"/>
      <c r="QLS619" s="268"/>
      <c r="QLT619" s="268"/>
      <c r="QLU619" s="268"/>
      <c r="QLV619" s="268"/>
      <c r="QLW619" s="268"/>
      <c r="QLX619" s="268"/>
      <c r="QLY619" s="268"/>
      <c r="QLZ619" s="268"/>
      <c r="QMA619" s="268"/>
      <c r="QMB619" s="268"/>
      <c r="QMC619" s="268"/>
      <c r="QMD619" s="268"/>
      <c r="QME619" s="268"/>
      <c r="QMF619" s="268"/>
      <c r="QMG619" s="268"/>
      <c r="QMH619" s="268"/>
      <c r="QMI619" s="268"/>
      <c r="QMJ619" s="268"/>
      <c r="QMK619" s="268"/>
      <c r="QML619" s="268"/>
      <c r="QMM619" s="268"/>
      <c r="QMN619" s="268"/>
      <c r="QMO619" s="268"/>
      <c r="QMP619" s="268"/>
      <c r="QMQ619" s="268"/>
      <c r="QMR619" s="268"/>
      <c r="QMS619" s="268"/>
      <c r="QMT619" s="268"/>
      <c r="QMU619" s="268"/>
      <c r="QMV619" s="268"/>
      <c r="QMW619" s="268"/>
      <c r="QMX619" s="268"/>
      <c r="QMY619" s="268"/>
      <c r="QMZ619" s="268"/>
      <c r="QNA619" s="268"/>
      <c r="QNB619" s="268"/>
      <c r="QNC619" s="268"/>
      <c r="QND619" s="268"/>
      <c r="QNE619" s="268"/>
      <c r="QNF619" s="268"/>
      <c r="QNG619" s="268"/>
      <c r="QNH619" s="268"/>
      <c r="QNI619" s="268"/>
      <c r="QNJ619" s="268"/>
      <c r="QNK619" s="268"/>
      <c r="QNL619" s="268"/>
      <c r="QNM619" s="268"/>
      <c r="QNN619" s="268"/>
      <c r="QNO619" s="268"/>
      <c r="QNP619" s="268"/>
      <c r="QNQ619" s="268"/>
      <c r="QNR619" s="268"/>
      <c r="QNS619" s="268"/>
      <c r="QNT619" s="268"/>
      <c r="QNU619" s="268"/>
      <c r="QNV619" s="268"/>
      <c r="QNW619" s="268"/>
      <c r="QNX619" s="268"/>
      <c r="QNY619" s="268"/>
      <c r="QNZ619" s="268"/>
      <c r="QOA619" s="268"/>
      <c r="QOB619" s="268"/>
      <c r="QOC619" s="268"/>
      <c r="QOD619" s="268"/>
      <c r="QOE619" s="268"/>
      <c r="QOF619" s="268"/>
      <c r="QOG619" s="268"/>
      <c r="QOH619" s="268"/>
      <c r="QOI619" s="268"/>
      <c r="QOJ619" s="268"/>
      <c r="QOK619" s="268"/>
      <c r="QOL619" s="268"/>
      <c r="QOM619" s="268"/>
      <c r="QON619" s="268"/>
      <c r="QOO619" s="268"/>
      <c r="QOP619" s="268"/>
      <c r="QOQ619" s="268"/>
      <c r="QOR619" s="268"/>
      <c r="QOS619" s="268"/>
      <c r="QOT619" s="268"/>
      <c r="QOU619" s="268"/>
      <c r="QOV619" s="268"/>
      <c r="QOW619" s="268"/>
      <c r="QOX619" s="268"/>
      <c r="QOY619" s="268"/>
      <c r="QOZ619" s="268"/>
      <c r="QPA619" s="268"/>
      <c r="QPB619" s="268"/>
      <c r="QPC619" s="268"/>
      <c r="QPD619" s="268"/>
      <c r="QPE619" s="268"/>
      <c r="QPF619" s="268"/>
      <c r="QPG619" s="268"/>
      <c r="QPH619" s="268"/>
      <c r="QPI619" s="268"/>
      <c r="QPJ619" s="268"/>
      <c r="QPK619" s="268"/>
      <c r="QPL619" s="268"/>
      <c r="QPM619" s="268"/>
      <c r="QPN619" s="268"/>
      <c r="QPO619" s="268"/>
      <c r="QPP619" s="268"/>
      <c r="QPQ619" s="268"/>
      <c r="QPR619" s="268"/>
      <c r="QPS619" s="268"/>
      <c r="QPT619" s="268"/>
      <c r="QPU619" s="268"/>
      <c r="QPV619" s="268"/>
      <c r="QPW619" s="268"/>
      <c r="QPX619" s="268"/>
      <c r="QPY619" s="268"/>
      <c r="QPZ619" s="268"/>
      <c r="QQA619" s="268"/>
      <c r="QQB619" s="268"/>
      <c r="QQC619" s="268"/>
      <c r="QQD619" s="268"/>
      <c r="QQE619" s="268"/>
      <c r="QQF619" s="268"/>
      <c r="QQG619" s="268"/>
      <c r="QQH619" s="268"/>
      <c r="QQI619" s="268"/>
      <c r="QQJ619" s="268"/>
      <c r="QQK619" s="268"/>
      <c r="QQL619" s="268"/>
      <c r="QQM619" s="268"/>
      <c r="QQN619" s="268"/>
      <c r="QQO619" s="268"/>
      <c r="QQP619" s="268"/>
      <c r="QQQ619" s="268"/>
      <c r="QQR619" s="268"/>
      <c r="QQS619" s="268"/>
      <c r="QQT619" s="268"/>
      <c r="QQU619" s="268"/>
      <c r="QQV619" s="268"/>
      <c r="QQW619" s="268"/>
      <c r="QQX619" s="268"/>
      <c r="QQY619" s="268"/>
      <c r="QQZ619" s="268"/>
      <c r="QRA619" s="268"/>
      <c r="QRB619" s="268"/>
      <c r="QRC619" s="268"/>
      <c r="QRD619" s="268"/>
      <c r="QRE619" s="268"/>
      <c r="QRF619" s="268"/>
      <c r="QRG619" s="268"/>
      <c r="QRH619" s="268"/>
      <c r="QRI619" s="268"/>
      <c r="QRJ619" s="268"/>
      <c r="QRK619" s="268"/>
      <c r="QRL619" s="268"/>
      <c r="QRM619" s="268"/>
      <c r="QRN619" s="268"/>
      <c r="QRO619" s="268"/>
      <c r="QRP619" s="268"/>
      <c r="QRQ619" s="268"/>
      <c r="QRR619" s="268"/>
      <c r="QRS619" s="268"/>
      <c r="QRT619" s="268"/>
      <c r="QRU619" s="268"/>
      <c r="QRV619" s="268"/>
      <c r="QRW619" s="268"/>
      <c r="QRX619" s="268"/>
      <c r="QRY619" s="268"/>
      <c r="QRZ619" s="268"/>
      <c r="QSA619" s="268"/>
      <c r="QSB619" s="268"/>
      <c r="QSC619" s="268"/>
      <c r="QSD619" s="268"/>
      <c r="QSE619" s="268"/>
      <c r="QSF619" s="268"/>
      <c r="QSG619" s="268"/>
      <c r="QSH619" s="268"/>
      <c r="QSI619" s="268"/>
      <c r="QSJ619" s="268"/>
      <c r="QSK619" s="268"/>
      <c r="QSL619" s="268"/>
      <c r="QSM619" s="268"/>
      <c r="QSN619" s="268"/>
      <c r="QSO619" s="268"/>
      <c r="QSP619" s="268"/>
      <c r="QSQ619" s="268"/>
      <c r="QSR619" s="268"/>
      <c r="QSS619" s="268"/>
      <c r="QST619" s="268"/>
      <c r="QSU619" s="268"/>
      <c r="QSV619" s="268"/>
      <c r="QSW619" s="268"/>
      <c r="QSX619" s="268"/>
      <c r="QSY619" s="268"/>
      <c r="QSZ619" s="268"/>
      <c r="QTA619" s="268"/>
      <c r="QTB619" s="268"/>
      <c r="QTC619" s="268"/>
      <c r="QTD619" s="268"/>
      <c r="QTE619" s="268"/>
      <c r="QTF619" s="268"/>
      <c r="QTG619" s="268"/>
      <c r="QTH619" s="268"/>
      <c r="QTI619" s="268"/>
      <c r="QTJ619" s="268"/>
      <c r="QTK619" s="268"/>
      <c r="QTY619" s="268"/>
      <c r="QTZ619" s="268"/>
      <c r="QUA619" s="268"/>
      <c r="QUO619" s="268"/>
      <c r="QUQ619" s="268"/>
      <c r="QUR619" s="268"/>
      <c r="QUS619" s="268"/>
      <c r="QUT619" s="268"/>
      <c r="QUU619" s="268"/>
      <c r="QUV619" s="268"/>
      <c r="QUW619" s="268"/>
      <c r="QUX619" s="268"/>
      <c r="QUY619" s="268"/>
      <c r="QUZ619" s="268"/>
      <c r="QVA619" s="268"/>
      <c r="QVB619" s="268"/>
      <c r="QVC619" s="268"/>
      <c r="QVD619" s="268"/>
      <c r="QVE619" s="268"/>
      <c r="QVF619" s="268"/>
      <c r="QVG619" s="268"/>
      <c r="QVH619" s="268"/>
      <c r="QVI619" s="268"/>
      <c r="QVJ619" s="268"/>
      <c r="QVK619" s="268"/>
      <c r="QVL619" s="268"/>
      <c r="QVM619" s="268"/>
      <c r="QVN619" s="268"/>
      <c r="QVO619" s="268"/>
      <c r="QVP619" s="268"/>
      <c r="QVQ619" s="268"/>
      <c r="QVR619" s="268"/>
      <c r="QVS619" s="268"/>
      <c r="QVT619" s="268"/>
      <c r="QVU619" s="268"/>
      <c r="QVV619" s="268"/>
      <c r="QVW619" s="268"/>
      <c r="QVX619" s="268"/>
      <c r="QVY619" s="268"/>
      <c r="QVZ619" s="268"/>
      <c r="QWA619" s="268"/>
      <c r="QWB619" s="268"/>
      <c r="QWC619" s="268"/>
      <c r="QWD619" s="268"/>
      <c r="QWE619" s="268"/>
      <c r="QWF619" s="268"/>
      <c r="QWG619" s="268"/>
      <c r="QWH619" s="268"/>
      <c r="QWI619" s="268"/>
      <c r="QWJ619" s="268"/>
      <c r="QWK619" s="268"/>
      <c r="QWL619" s="268"/>
      <c r="QWM619" s="268"/>
      <c r="QWN619" s="268"/>
      <c r="QWO619" s="268"/>
      <c r="QWP619" s="268"/>
      <c r="QWQ619" s="268"/>
      <c r="QWR619" s="268"/>
      <c r="QWS619" s="268"/>
      <c r="QWT619" s="268"/>
      <c r="QWU619" s="268"/>
      <c r="QWV619" s="268"/>
      <c r="QWW619" s="268"/>
      <c r="QWX619" s="268"/>
      <c r="QWY619" s="268"/>
      <c r="QWZ619" s="268"/>
      <c r="QXA619" s="268"/>
      <c r="QXB619" s="268"/>
      <c r="QXC619" s="268"/>
      <c r="QXD619" s="268"/>
      <c r="QXE619" s="268"/>
      <c r="QXF619" s="268"/>
      <c r="QXG619" s="268"/>
      <c r="QXH619" s="268"/>
      <c r="QXI619" s="268"/>
      <c r="QXJ619" s="268"/>
      <c r="QXK619" s="268"/>
      <c r="QXL619" s="268"/>
      <c r="QXM619" s="268"/>
      <c r="QXN619" s="268"/>
      <c r="QXO619" s="268"/>
      <c r="QXP619" s="268"/>
      <c r="QXQ619" s="268"/>
      <c r="QXR619" s="268"/>
      <c r="QXS619" s="268"/>
      <c r="QXT619" s="268"/>
      <c r="QXU619" s="268"/>
      <c r="QXV619" s="268"/>
      <c r="QXW619" s="268"/>
      <c r="QXX619" s="268"/>
      <c r="QXY619" s="268"/>
      <c r="QXZ619" s="268"/>
      <c r="QYA619" s="268"/>
      <c r="QYB619" s="268"/>
      <c r="QYC619" s="268"/>
      <c r="QYD619" s="268"/>
      <c r="QYE619" s="268"/>
      <c r="QYF619" s="268"/>
      <c r="QYG619" s="268"/>
      <c r="QYH619" s="268"/>
      <c r="QYI619" s="268"/>
      <c r="QYJ619" s="268"/>
      <c r="QYK619" s="268"/>
      <c r="QYL619" s="268"/>
      <c r="QYM619" s="268"/>
      <c r="QYN619" s="268"/>
      <c r="QYO619" s="268"/>
      <c r="QYP619" s="268"/>
      <c r="QYQ619" s="268"/>
      <c r="QYR619" s="268"/>
      <c r="QYS619" s="268"/>
      <c r="QYT619" s="268"/>
      <c r="QYU619" s="268"/>
      <c r="QYV619" s="268"/>
      <c r="QYW619" s="268"/>
      <c r="QYX619" s="268"/>
      <c r="QYY619" s="268"/>
      <c r="QYZ619" s="268"/>
      <c r="QZA619" s="268"/>
      <c r="QZB619" s="268"/>
      <c r="QZC619" s="268"/>
      <c r="QZD619" s="268"/>
      <c r="QZE619" s="268"/>
      <c r="QZF619" s="268"/>
      <c r="QZG619" s="268"/>
      <c r="QZH619" s="268"/>
      <c r="QZI619" s="268"/>
      <c r="QZJ619" s="268"/>
      <c r="QZK619" s="268"/>
      <c r="QZL619" s="268"/>
      <c r="QZM619" s="268"/>
      <c r="QZN619" s="268"/>
      <c r="QZO619" s="268"/>
      <c r="QZP619" s="268"/>
      <c r="QZQ619" s="268"/>
      <c r="QZR619" s="268"/>
      <c r="QZS619" s="268"/>
      <c r="QZT619" s="268"/>
      <c r="QZU619" s="268"/>
      <c r="QZV619" s="268"/>
      <c r="QZW619" s="268"/>
      <c r="QZX619" s="268"/>
      <c r="QZY619" s="268"/>
      <c r="QZZ619" s="268"/>
      <c r="RAA619" s="268"/>
      <c r="RAB619" s="268"/>
      <c r="RAC619" s="268"/>
      <c r="RAD619" s="268"/>
      <c r="RAE619" s="268"/>
      <c r="RAF619" s="268"/>
      <c r="RAG619" s="268"/>
      <c r="RAH619" s="268"/>
      <c r="RAI619" s="268"/>
      <c r="RAJ619" s="268"/>
      <c r="RAK619" s="268"/>
      <c r="RAL619" s="268"/>
      <c r="RAM619" s="268"/>
      <c r="RAN619" s="268"/>
      <c r="RAO619" s="268"/>
      <c r="RAP619" s="268"/>
      <c r="RAQ619" s="268"/>
      <c r="RAR619" s="268"/>
      <c r="RAS619" s="268"/>
      <c r="RAT619" s="268"/>
      <c r="RAU619" s="268"/>
      <c r="RAV619" s="268"/>
      <c r="RAW619" s="268"/>
      <c r="RAX619" s="268"/>
      <c r="RAY619" s="268"/>
      <c r="RAZ619" s="268"/>
      <c r="RBA619" s="268"/>
      <c r="RBB619" s="268"/>
      <c r="RBC619" s="268"/>
      <c r="RBD619" s="268"/>
      <c r="RBE619" s="268"/>
      <c r="RBF619" s="268"/>
      <c r="RBG619" s="268"/>
      <c r="RBH619" s="268"/>
      <c r="RBI619" s="268"/>
      <c r="RBJ619" s="268"/>
      <c r="RBK619" s="268"/>
      <c r="RBL619" s="268"/>
      <c r="RBM619" s="268"/>
      <c r="RBN619" s="268"/>
      <c r="RBO619" s="268"/>
      <c r="RBP619" s="268"/>
      <c r="RBQ619" s="268"/>
      <c r="RBR619" s="268"/>
      <c r="RBS619" s="268"/>
      <c r="RBT619" s="268"/>
      <c r="RBU619" s="268"/>
      <c r="RBV619" s="268"/>
      <c r="RBW619" s="268"/>
      <c r="RBX619" s="268"/>
      <c r="RBY619" s="268"/>
      <c r="RBZ619" s="268"/>
      <c r="RCA619" s="268"/>
      <c r="RCB619" s="268"/>
      <c r="RCC619" s="268"/>
      <c r="RCD619" s="268"/>
      <c r="RCE619" s="268"/>
      <c r="RCF619" s="268"/>
      <c r="RCG619" s="268"/>
      <c r="RCH619" s="268"/>
      <c r="RCI619" s="268"/>
      <c r="RCJ619" s="268"/>
      <c r="RCK619" s="268"/>
      <c r="RCL619" s="268"/>
      <c r="RCM619" s="268"/>
      <c r="RCN619" s="268"/>
      <c r="RCO619" s="268"/>
      <c r="RCP619" s="268"/>
      <c r="RCQ619" s="268"/>
      <c r="RCR619" s="268"/>
      <c r="RCS619" s="268"/>
      <c r="RCT619" s="268"/>
      <c r="RCU619" s="268"/>
      <c r="RCV619" s="268"/>
      <c r="RCW619" s="268"/>
      <c r="RCX619" s="268"/>
      <c r="RCY619" s="268"/>
      <c r="RCZ619" s="268"/>
      <c r="RDA619" s="268"/>
      <c r="RDB619" s="268"/>
      <c r="RDC619" s="268"/>
      <c r="RDD619" s="268"/>
      <c r="RDE619" s="268"/>
      <c r="RDF619" s="268"/>
      <c r="RDG619" s="268"/>
      <c r="RDU619" s="268"/>
      <c r="RDV619" s="268"/>
      <c r="RDW619" s="268"/>
      <c r="REK619" s="268"/>
      <c r="REM619" s="268"/>
      <c r="REN619" s="268"/>
      <c r="REO619" s="268"/>
      <c r="REP619" s="268"/>
      <c r="REQ619" s="268"/>
      <c r="RER619" s="268"/>
      <c r="RES619" s="268"/>
      <c r="RET619" s="268"/>
      <c r="REU619" s="268"/>
      <c r="REV619" s="268"/>
      <c r="REW619" s="268"/>
      <c r="REX619" s="268"/>
      <c r="REY619" s="268"/>
      <c r="REZ619" s="268"/>
      <c r="RFA619" s="268"/>
      <c r="RFB619" s="268"/>
      <c r="RFC619" s="268"/>
      <c r="RFD619" s="268"/>
      <c r="RFE619" s="268"/>
      <c r="RFF619" s="268"/>
      <c r="RFG619" s="268"/>
      <c r="RFH619" s="268"/>
      <c r="RFI619" s="268"/>
      <c r="RFJ619" s="268"/>
      <c r="RFK619" s="268"/>
      <c r="RFL619" s="268"/>
      <c r="RFM619" s="268"/>
      <c r="RFN619" s="268"/>
      <c r="RFO619" s="268"/>
      <c r="RFP619" s="268"/>
      <c r="RFQ619" s="268"/>
      <c r="RFR619" s="268"/>
      <c r="RFS619" s="268"/>
      <c r="RFT619" s="268"/>
      <c r="RFU619" s="268"/>
      <c r="RFV619" s="268"/>
      <c r="RFW619" s="268"/>
      <c r="RFX619" s="268"/>
      <c r="RFY619" s="268"/>
      <c r="RFZ619" s="268"/>
      <c r="RGA619" s="268"/>
      <c r="RGB619" s="268"/>
      <c r="RGC619" s="268"/>
      <c r="RGD619" s="268"/>
      <c r="RGE619" s="268"/>
      <c r="RGF619" s="268"/>
      <c r="RGG619" s="268"/>
      <c r="RGH619" s="268"/>
      <c r="RGI619" s="268"/>
      <c r="RGJ619" s="268"/>
      <c r="RGK619" s="268"/>
      <c r="RGL619" s="268"/>
      <c r="RGM619" s="268"/>
      <c r="RGN619" s="268"/>
      <c r="RGO619" s="268"/>
      <c r="RGP619" s="268"/>
      <c r="RGQ619" s="268"/>
      <c r="RGR619" s="268"/>
      <c r="RGS619" s="268"/>
      <c r="RGT619" s="268"/>
      <c r="RGU619" s="268"/>
      <c r="RGV619" s="268"/>
      <c r="RGW619" s="268"/>
      <c r="RGX619" s="268"/>
      <c r="RGY619" s="268"/>
      <c r="RGZ619" s="268"/>
      <c r="RHA619" s="268"/>
      <c r="RHB619" s="268"/>
      <c r="RHC619" s="268"/>
      <c r="RHD619" s="268"/>
      <c r="RHE619" s="268"/>
      <c r="RHF619" s="268"/>
      <c r="RHG619" s="268"/>
      <c r="RHH619" s="268"/>
      <c r="RHI619" s="268"/>
      <c r="RHJ619" s="268"/>
      <c r="RHK619" s="268"/>
      <c r="RHL619" s="268"/>
      <c r="RHM619" s="268"/>
      <c r="RHN619" s="268"/>
      <c r="RHO619" s="268"/>
      <c r="RHP619" s="268"/>
      <c r="RHQ619" s="268"/>
      <c r="RHR619" s="268"/>
      <c r="RHS619" s="268"/>
      <c r="RHT619" s="268"/>
      <c r="RHU619" s="268"/>
      <c r="RHV619" s="268"/>
      <c r="RHW619" s="268"/>
      <c r="RHX619" s="268"/>
      <c r="RHY619" s="268"/>
      <c r="RHZ619" s="268"/>
      <c r="RIA619" s="268"/>
      <c r="RIB619" s="268"/>
      <c r="RIC619" s="268"/>
      <c r="RID619" s="268"/>
      <c r="RIE619" s="268"/>
      <c r="RIF619" s="268"/>
      <c r="RIG619" s="268"/>
      <c r="RIH619" s="268"/>
      <c r="RII619" s="268"/>
      <c r="RIJ619" s="268"/>
      <c r="RIK619" s="268"/>
      <c r="RIL619" s="268"/>
      <c r="RIM619" s="268"/>
      <c r="RIN619" s="268"/>
      <c r="RIO619" s="268"/>
      <c r="RIP619" s="268"/>
      <c r="RIQ619" s="268"/>
      <c r="RIR619" s="268"/>
      <c r="RIS619" s="268"/>
      <c r="RIT619" s="268"/>
      <c r="RIU619" s="268"/>
      <c r="RIV619" s="268"/>
      <c r="RIW619" s="268"/>
      <c r="RIX619" s="268"/>
      <c r="RIY619" s="268"/>
      <c r="RIZ619" s="268"/>
      <c r="RJA619" s="268"/>
      <c r="RJB619" s="268"/>
      <c r="RJC619" s="268"/>
      <c r="RJD619" s="268"/>
      <c r="RJE619" s="268"/>
      <c r="RJF619" s="268"/>
      <c r="RJG619" s="268"/>
      <c r="RJH619" s="268"/>
      <c r="RJI619" s="268"/>
      <c r="RJJ619" s="268"/>
      <c r="RJK619" s="268"/>
      <c r="RJL619" s="268"/>
      <c r="RJM619" s="268"/>
      <c r="RJN619" s="268"/>
      <c r="RJO619" s="268"/>
      <c r="RJP619" s="268"/>
      <c r="RJQ619" s="268"/>
      <c r="RJR619" s="268"/>
      <c r="RJS619" s="268"/>
      <c r="RJT619" s="268"/>
      <c r="RJU619" s="268"/>
      <c r="RJV619" s="268"/>
      <c r="RJW619" s="268"/>
      <c r="RJX619" s="268"/>
      <c r="RJY619" s="268"/>
      <c r="RJZ619" s="268"/>
      <c r="RKA619" s="268"/>
      <c r="RKB619" s="268"/>
      <c r="RKC619" s="268"/>
      <c r="RKD619" s="268"/>
      <c r="RKE619" s="268"/>
      <c r="RKF619" s="268"/>
      <c r="RKG619" s="268"/>
      <c r="RKH619" s="268"/>
      <c r="RKI619" s="268"/>
      <c r="RKJ619" s="268"/>
      <c r="RKK619" s="268"/>
      <c r="RKL619" s="268"/>
      <c r="RKM619" s="268"/>
      <c r="RKN619" s="268"/>
      <c r="RKO619" s="268"/>
      <c r="RKP619" s="268"/>
      <c r="RKQ619" s="268"/>
      <c r="RKR619" s="268"/>
      <c r="RKS619" s="268"/>
      <c r="RKT619" s="268"/>
      <c r="RKU619" s="268"/>
      <c r="RKV619" s="268"/>
      <c r="RKW619" s="268"/>
      <c r="RKX619" s="268"/>
      <c r="RKY619" s="268"/>
      <c r="RKZ619" s="268"/>
      <c r="RLA619" s="268"/>
      <c r="RLB619" s="268"/>
      <c r="RLC619" s="268"/>
      <c r="RLD619" s="268"/>
      <c r="RLE619" s="268"/>
      <c r="RLF619" s="268"/>
      <c r="RLG619" s="268"/>
      <c r="RLH619" s="268"/>
      <c r="RLI619" s="268"/>
      <c r="RLJ619" s="268"/>
      <c r="RLK619" s="268"/>
      <c r="RLL619" s="268"/>
      <c r="RLM619" s="268"/>
      <c r="RLN619" s="268"/>
      <c r="RLO619" s="268"/>
      <c r="RLP619" s="268"/>
      <c r="RLQ619" s="268"/>
      <c r="RLR619" s="268"/>
      <c r="RLS619" s="268"/>
      <c r="RLT619" s="268"/>
      <c r="RLU619" s="268"/>
      <c r="RLV619" s="268"/>
      <c r="RLW619" s="268"/>
      <c r="RLX619" s="268"/>
      <c r="RLY619" s="268"/>
      <c r="RLZ619" s="268"/>
      <c r="RMA619" s="268"/>
      <c r="RMB619" s="268"/>
      <c r="RMC619" s="268"/>
      <c r="RMD619" s="268"/>
      <c r="RME619" s="268"/>
      <c r="RMF619" s="268"/>
      <c r="RMG619" s="268"/>
      <c r="RMH619" s="268"/>
      <c r="RMI619" s="268"/>
      <c r="RMJ619" s="268"/>
      <c r="RMK619" s="268"/>
      <c r="RML619" s="268"/>
      <c r="RMM619" s="268"/>
      <c r="RMN619" s="268"/>
      <c r="RMO619" s="268"/>
      <c r="RMP619" s="268"/>
      <c r="RMQ619" s="268"/>
      <c r="RMR619" s="268"/>
      <c r="RMS619" s="268"/>
      <c r="RMT619" s="268"/>
      <c r="RMU619" s="268"/>
      <c r="RMV619" s="268"/>
      <c r="RMW619" s="268"/>
      <c r="RMX619" s="268"/>
      <c r="RMY619" s="268"/>
      <c r="RMZ619" s="268"/>
      <c r="RNA619" s="268"/>
      <c r="RNB619" s="268"/>
      <c r="RNC619" s="268"/>
      <c r="RNQ619" s="268"/>
      <c r="RNR619" s="268"/>
      <c r="RNS619" s="268"/>
      <c r="ROG619" s="268"/>
      <c r="ROI619" s="268"/>
      <c r="ROJ619" s="268"/>
      <c r="ROK619" s="268"/>
      <c r="ROL619" s="268"/>
      <c r="ROM619" s="268"/>
      <c r="RON619" s="268"/>
      <c r="ROO619" s="268"/>
      <c r="ROP619" s="268"/>
      <c r="ROQ619" s="268"/>
      <c r="ROR619" s="268"/>
      <c r="ROS619" s="268"/>
      <c r="ROT619" s="268"/>
      <c r="ROU619" s="268"/>
      <c r="ROV619" s="268"/>
      <c r="ROW619" s="268"/>
      <c r="ROX619" s="268"/>
      <c r="ROY619" s="268"/>
      <c r="ROZ619" s="268"/>
      <c r="RPA619" s="268"/>
      <c r="RPB619" s="268"/>
      <c r="RPC619" s="268"/>
      <c r="RPD619" s="268"/>
      <c r="RPE619" s="268"/>
      <c r="RPF619" s="268"/>
      <c r="RPG619" s="268"/>
      <c r="RPH619" s="268"/>
      <c r="RPI619" s="268"/>
      <c r="RPJ619" s="268"/>
      <c r="RPK619" s="268"/>
      <c r="RPL619" s="268"/>
      <c r="RPM619" s="268"/>
      <c r="RPN619" s="268"/>
      <c r="RPO619" s="268"/>
      <c r="RPP619" s="268"/>
      <c r="RPQ619" s="268"/>
      <c r="RPR619" s="268"/>
      <c r="RPS619" s="268"/>
      <c r="RPT619" s="268"/>
      <c r="RPU619" s="268"/>
      <c r="RPV619" s="268"/>
      <c r="RPW619" s="268"/>
      <c r="RPX619" s="268"/>
      <c r="RPY619" s="268"/>
      <c r="RPZ619" s="268"/>
      <c r="RQA619" s="268"/>
      <c r="RQB619" s="268"/>
      <c r="RQC619" s="268"/>
      <c r="RQD619" s="268"/>
      <c r="RQE619" s="268"/>
      <c r="RQF619" s="268"/>
      <c r="RQG619" s="268"/>
      <c r="RQH619" s="268"/>
      <c r="RQI619" s="268"/>
      <c r="RQJ619" s="268"/>
      <c r="RQK619" s="268"/>
      <c r="RQL619" s="268"/>
      <c r="RQM619" s="268"/>
      <c r="RQN619" s="268"/>
      <c r="RQO619" s="268"/>
      <c r="RQP619" s="268"/>
      <c r="RQQ619" s="268"/>
      <c r="RQR619" s="268"/>
      <c r="RQS619" s="268"/>
      <c r="RQT619" s="268"/>
      <c r="RQU619" s="268"/>
      <c r="RQV619" s="268"/>
      <c r="RQW619" s="268"/>
      <c r="RQX619" s="268"/>
      <c r="RQY619" s="268"/>
      <c r="RQZ619" s="268"/>
      <c r="RRA619" s="268"/>
      <c r="RRB619" s="268"/>
      <c r="RRC619" s="268"/>
      <c r="RRD619" s="268"/>
      <c r="RRE619" s="268"/>
      <c r="RRF619" s="268"/>
      <c r="RRG619" s="268"/>
      <c r="RRH619" s="268"/>
      <c r="RRI619" s="268"/>
      <c r="RRJ619" s="268"/>
      <c r="RRK619" s="268"/>
      <c r="RRL619" s="268"/>
      <c r="RRM619" s="268"/>
      <c r="RRN619" s="268"/>
      <c r="RRO619" s="268"/>
      <c r="RRP619" s="268"/>
      <c r="RRQ619" s="268"/>
      <c r="RRR619" s="268"/>
      <c r="RRS619" s="268"/>
      <c r="RRT619" s="268"/>
      <c r="RRU619" s="268"/>
      <c r="RRV619" s="268"/>
      <c r="RRW619" s="268"/>
      <c r="RRX619" s="268"/>
      <c r="RRY619" s="268"/>
      <c r="RRZ619" s="268"/>
      <c r="RSA619" s="268"/>
      <c r="RSB619" s="268"/>
      <c r="RSC619" s="268"/>
      <c r="RSD619" s="268"/>
      <c r="RSE619" s="268"/>
      <c r="RSF619" s="268"/>
      <c r="RSG619" s="268"/>
      <c r="RSH619" s="268"/>
      <c r="RSI619" s="268"/>
      <c r="RSJ619" s="268"/>
      <c r="RSK619" s="268"/>
      <c r="RSL619" s="268"/>
      <c r="RSM619" s="268"/>
      <c r="RSN619" s="268"/>
      <c r="RSO619" s="268"/>
      <c r="RSP619" s="268"/>
      <c r="RSQ619" s="268"/>
      <c r="RSR619" s="268"/>
      <c r="RSS619" s="268"/>
      <c r="RST619" s="268"/>
      <c r="RSU619" s="268"/>
      <c r="RSV619" s="268"/>
      <c r="RSW619" s="268"/>
      <c r="RSX619" s="268"/>
      <c r="RSY619" s="268"/>
      <c r="RSZ619" s="268"/>
      <c r="RTA619" s="268"/>
      <c r="RTB619" s="268"/>
      <c r="RTC619" s="268"/>
      <c r="RTD619" s="268"/>
      <c r="RTE619" s="268"/>
      <c r="RTF619" s="268"/>
      <c r="RTG619" s="268"/>
      <c r="RTH619" s="268"/>
      <c r="RTI619" s="268"/>
      <c r="RTJ619" s="268"/>
      <c r="RTK619" s="268"/>
      <c r="RTL619" s="268"/>
      <c r="RTM619" s="268"/>
      <c r="RTN619" s="268"/>
      <c r="RTO619" s="268"/>
      <c r="RTP619" s="268"/>
      <c r="RTQ619" s="268"/>
      <c r="RTR619" s="268"/>
      <c r="RTS619" s="268"/>
      <c r="RTT619" s="268"/>
      <c r="RTU619" s="268"/>
      <c r="RTV619" s="268"/>
      <c r="RTW619" s="268"/>
      <c r="RTX619" s="268"/>
      <c r="RTY619" s="268"/>
      <c r="RTZ619" s="268"/>
      <c r="RUA619" s="268"/>
      <c r="RUB619" s="268"/>
      <c r="RUC619" s="268"/>
      <c r="RUD619" s="268"/>
      <c r="RUE619" s="268"/>
      <c r="RUF619" s="268"/>
      <c r="RUG619" s="268"/>
      <c r="RUH619" s="268"/>
      <c r="RUI619" s="268"/>
      <c r="RUJ619" s="268"/>
      <c r="RUK619" s="268"/>
      <c r="RUL619" s="268"/>
      <c r="RUM619" s="268"/>
      <c r="RUN619" s="268"/>
      <c r="RUO619" s="268"/>
      <c r="RUP619" s="268"/>
      <c r="RUQ619" s="268"/>
      <c r="RUR619" s="268"/>
      <c r="RUS619" s="268"/>
      <c r="RUT619" s="268"/>
      <c r="RUU619" s="268"/>
      <c r="RUV619" s="268"/>
      <c r="RUW619" s="268"/>
      <c r="RUX619" s="268"/>
      <c r="RUY619" s="268"/>
      <c r="RUZ619" s="268"/>
      <c r="RVA619" s="268"/>
      <c r="RVB619" s="268"/>
      <c r="RVC619" s="268"/>
      <c r="RVD619" s="268"/>
      <c r="RVE619" s="268"/>
      <c r="RVF619" s="268"/>
      <c r="RVG619" s="268"/>
      <c r="RVH619" s="268"/>
      <c r="RVI619" s="268"/>
      <c r="RVJ619" s="268"/>
      <c r="RVK619" s="268"/>
      <c r="RVL619" s="268"/>
      <c r="RVM619" s="268"/>
      <c r="RVN619" s="268"/>
      <c r="RVO619" s="268"/>
      <c r="RVP619" s="268"/>
      <c r="RVQ619" s="268"/>
      <c r="RVR619" s="268"/>
      <c r="RVS619" s="268"/>
      <c r="RVT619" s="268"/>
      <c r="RVU619" s="268"/>
      <c r="RVV619" s="268"/>
      <c r="RVW619" s="268"/>
      <c r="RVX619" s="268"/>
      <c r="RVY619" s="268"/>
      <c r="RVZ619" s="268"/>
      <c r="RWA619" s="268"/>
      <c r="RWB619" s="268"/>
      <c r="RWC619" s="268"/>
      <c r="RWD619" s="268"/>
      <c r="RWE619" s="268"/>
      <c r="RWF619" s="268"/>
      <c r="RWG619" s="268"/>
      <c r="RWH619" s="268"/>
      <c r="RWI619" s="268"/>
      <c r="RWJ619" s="268"/>
      <c r="RWK619" s="268"/>
      <c r="RWL619" s="268"/>
      <c r="RWM619" s="268"/>
      <c r="RWN619" s="268"/>
      <c r="RWO619" s="268"/>
      <c r="RWP619" s="268"/>
      <c r="RWQ619" s="268"/>
      <c r="RWR619" s="268"/>
      <c r="RWS619" s="268"/>
      <c r="RWT619" s="268"/>
      <c r="RWU619" s="268"/>
      <c r="RWV619" s="268"/>
      <c r="RWW619" s="268"/>
      <c r="RWX619" s="268"/>
      <c r="RWY619" s="268"/>
      <c r="RXM619" s="268"/>
      <c r="RXN619" s="268"/>
      <c r="RXO619" s="268"/>
      <c r="RYC619" s="268"/>
      <c r="RYE619" s="268"/>
      <c r="RYF619" s="268"/>
      <c r="RYG619" s="268"/>
      <c r="RYH619" s="268"/>
      <c r="RYI619" s="268"/>
      <c r="RYJ619" s="268"/>
      <c r="RYK619" s="268"/>
      <c r="RYL619" s="268"/>
      <c r="RYM619" s="268"/>
      <c r="RYN619" s="268"/>
      <c r="RYO619" s="268"/>
      <c r="RYP619" s="268"/>
      <c r="RYQ619" s="268"/>
      <c r="RYR619" s="268"/>
      <c r="RYS619" s="268"/>
      <c r="RYT619" s="268"/>
      <c r="RYU619" s="268"/>
      <c r="RYV619" s="268"/>
      <c r="RYW619" s="268"/>
      <c r="RYX619" s="268"/>
      <c r="RYY619" s="268"/>
      <c r="RYZ619" s="268"/>
      <c r="RZA619" s="268"/>
      <c r="RZB619" s="268"/>
      <c r="RZC619" s="268"/>
      <c r="RZD619" s="268"/>
      <c r="RZE619" s="268"/>
      <c r="RZF619" s="268"/>
      <c r="RZG619" s="268"/>
      <c r="RZH619" s="268"/>
      <c r="RZI619" s="268"/>
      <c r="RZJ619" s="268"/>
      <c r="RZK619" s="268"/>
      <c r="RZL619" s="268"/>
      <c r="RZM619" s="268"/>
      <c r="RZN619" s="268"/>
      <c r="RZO619" s="268"/>
      <c r="RZP619" s="268"/>
      <c r="RZQ619" s="268"/>
      <c r="RZR619" s="268"/>
      <c r="RZS619" s="268"/>
      <c r="RZT619" s="268"/>
      <c r="RZU619" s="268"/>
      <c r="RZV619" s="268"/>
      <c r="RZW619" s="268"/>
      <c r="RZX619" s="268"/>
      <c r="RZY619" s="268"/>
      <c r="RZZ619" s="268"/>
      <c r="SAA619" s="268"/>
      <c r="SAB619" s="268"/>
      <c r="SAC619" s="268"/>
      <c r="SAD619" s="268"/>
      <c r="SAE619" s="268"/>
      <c r="SAF619" s="268"/>
      <c r="SAG619" s="268"/>
      <c r="SAH619" s="268"/>
      <c r="SAI619" s="268"/>
      <c r="SAJ619" s="268"/>
      <c r="SAK619" s="268"/>
      <c r="SAL619" s="268"/>
      <c r="SAM619" s="268"/>
      <c r="SAN619" s="268"/>
      <c r="SAO619" s="268"/>
      <c r="SAP619" s="268"/>
      <c r="SAQ619" s="268"/>
      <c r="SAR619" s="268"/>
      <c r="SAS619" s="268"/>
      <c r="SAT619" s="268"/>
      <c r="SAU619" s="268"/>
      <c r="SAV619" s="268"/>
      <c r="SAW619" s="268"/>
      <c r="SAX619" s="268"/>
      <c r="SAY619" s="268"/>
      <c r="SAZ619" s="268"/>
      <c r="SBA619" s="268"/>
      <c r="SBB619" s="268"/>
      <c r="SBC619" s="268"/>
      <c r="SBD619" s="268"/>
      <c r="SBE619" s="268"/>
      <c r="SBF619" s="268"/>
      <c r="SBG619" s="268"/>
      <c r="SBH619" s="268"/>
      <c r="SBI619" s="268"/>
      <c r="SBJ619" s="268"/>
      <c r="SBK619" s="268"/>
      <c r="SBL619" s="268"/>
      <c r="SBM619" s="268"/>
      <c r="SBN619" s="268"/>
      <c r="SBO619" s="268"/>
      <c r="SBP619" s="268"/>
      <c r="SBQ619" s="268"/>
      <c r="SBR619" s="268"/>
      <c r="SBS619" s="268"/>
      <c r="SBT619" s="268"/>
      <c r="SBU619" s="268"/>
      <c r="SBV619" s="268"/>
      <c r="SBW619" s="268"/>
      <c r="SBX619" s="268"/>
      <c r="SBY619" s="268"/>
      <c r="SBZ619" s="268"/>
      <c r="SCA619" s="268"/>
      <c r="SCB619" s="268"/>
      <c r="SCC619" s="268"/>
      <c r="SCD619" s="268"/>
      <c r="SCE619" s="268"/>
      <c r="SCF619" s="268"/>
      <c r="SCG619" s="268"/>
      <c r="SCH619" s="268"/>
      <c r="SCI619" s="268"/>
      <c r="SCJ619" s="268"/>
      <c r="SCK619" s="268"/>
      <c r="SCL619" s="268"/>
      <c r="SCM619" s="268"/>
      <c r="SCN619" s="268"/>
      <c r="SCO619" s="268"/>
      <c r="SCP619" s="268"/>
      <c r="SCQ619" s="268"/>
      <c r="SCR619" s="268"/>
      <c r="SCS619" s="268"/>
      <c r="SCT619" s="268"/>
      <c r="SCU619" s="268"/>
      <c r="SCV619" s="268"/>
      <c r="SCW619" s="268"/>
      <c r="SCX619" s="268"/>
      <c r="SCY619" s="268"/>
      <c r="SCZ619" s="268"/>
      <c r="SDA619" s="268"/>
      <c r="SDB619" s="268"/>
      <c r="SDC619" s="268"/>
      <c r="SDD619" s="268"/>
      <c r="SDE619" s="268"/>
      <c r="SDF619" s="268"/>
      <c r="SDG619" s="268"/>
      <c r="SDH619" s="268"/>
      <c r="SDI619" s="268"/>
      <c r="SDJ619" s="268"/>
      <c r="SDK619" s="268"/>
      <c r="SDL619" s="268"/>
      <c r="SDM619" s="268"/>
      <c r="SDN619" s="268"/>
      <c r="SDO619" s="268"/>
      <c r="SDP619" s="268"/>
      <c r="SDQ619" s="268"/>
      <c r="SDR619" s="268"/>
      <c r="SDS619" s="268"/>
      <c r="SDT619" s="268"/>
      <c r="SDU619" s="268"/>
      <c r="SDV619" s="268"/>
      <c r="SDW619" s="268"/>
      <c r="SDX619" s="268"/>
      <c r="SDY619" s="268"/>
      <c r="SDZ619" s="268"/>
      <c r="SEA619" s="268"/>
      <c r="SEB619" s="268"/>
      <c r="SEC619" s="268"/>
      <c r="SED619" s="268"/>
      <c r="SEE619" s="268"/>
      <c r="SEF619" s="268"/>
      <c r="SEG619" s="268"/>
      <c r="SEH619" s="268"/>
      <c r="SEI619" s="268"/>
      <c r="SEJ619" s="268"/>
      <c r="SEK619" s="268"/>
      <c r="SEL619" s="268"/>
      <c r="SEM619" s="268"/>
      <c r="SEN619" s="268"/>
      <c r="SEO619" s="268"/>
      <c r="SEP619" s="268"/>
      <c r="SEQ619" s="268"/>
      <c r="SER619" s="268"/>
      <c r="SES619" s="268"/>
      <c r="SET619" s="268"/>
      <c r="SEU619" s="268"/>
      <c r="SEV619" s="268"/>
      <c r="SEW619" s="268"/>
      <c r="SEX619" s="268"/>
      <c r="SEY619" s="268"/>
      <c r="SEZ619" s="268"/>
      <c r="SFA619" s="268"/>
      <c r="SFB619" s="268"/>
      <c r="SFC619" s="268"/>
      <c r="SFD619" s="268"/>
      <c r="SFE619" s="268"/>
      <c r="SFF619" s="268"/>
      <c r="SFG619" s="268"/>
      <c r="SFH619" s="268"/>
      <c r="SFI619" s="268"/>
      <c r="SFJ619" s="268"/>
      <c r="SFK619" s="268"/>
      <c r="SFL619" s="268"/>
      <c r="SFM619" s="268"/>
      <c r="SFN619" s="268"/>
      <c r="SFO619" s="268"/>
      <c r="SFP619" s="268"/>
      <c r="SFQ619" s="268"/>
      <c r="SFR619" s="268"/>
      <c r="SFS619" s="268"/>
      <c r="SFT619" s="268"/>
      <c r="SFU619" s="268"/>
      <c r="SFV619" s="268"/>
      <c r="SFW619" s="268"/>
      <c r="SFX619" s="268"/>
      <c r="SFY619" s="268"/>
      <c r="SFZ619" s="268"/>
      <c r="SGA619" s="268"/>
      <c r="SGB619" s="268"/>
      <c r="SGC619" s="268"/>
      <c r="SGD619" s="268"/>
      <c r="SGE619" s="268"/>
      <c r="SGF619" s="268"/>
      <c r="SGG619" s="268"/>
      <c r="SGH619" s="268"/>
      <c r="SGI619" s="268"/>
      <c r="SGJ619" s="268"/>
      <c r="SGK619" s="268"/>
      <c r="SGL619" s="268"/>
      <c r="SGM619" s="268"/>
      <c r="SGN619" s="268"/>
      <c r="SGO619" s="268"/>
      <c r="SGP619" s="268"/>
      <c r="SGQ619" s="268"/>
      <c r="SGR619" s="268"/>
      <c r="SGS619" s="268"/>
      <c r="SGT619" s="268"/>
      <c r="SGU619" s="268"/>
      <c r="SHI619" s="268"/>
      <c r="SHJ619" s="268"/>
      <c r="SHK619" s="268"/>
      <c r="SHY619" s="268"/>
      <c r="SIA619" s="268"/>
      <c r="SIB619" s="268"/>
      <c r="SIC619" s="268"/>
      <c r="SID619" s="268"/>
      <c r="SIE619" s="268"/>
      <c r="SIF619" s="268"/>
      <c r="SIG619" s="268"/>
      <c r="SIH619" s="268"/>
      <c r="SII619" s="268"/>
      <c r="SIJ619" s="268"/>
      <c r="SIK619" s="268"/>
      <c r="SIL619" s="268"/>
      <c r="SIM619" s="268"/>
      <c r="SIN619" s="268"/>
      <c r="SIO619" s="268"/>
      <c r="SIP619" s="268"/>
      <c r="SIQ619" s="268"/>
      <c r="SIR619" s="268"/>
      <c r="SIS619" s="268"/>
      <c r="SIT619" s="268"/>
      <c r="SIU619" s="268"/>
      <c r="SIV619" s="268"/>
      <c r="SIW619" s="268"/>
      <c r="SIX619" s="268"/>
      <c r="SIY619" s="268"/>
      <c r="SIZ619" s="268"/>
      <c r="SJA619" s="268"/>
      <c r="SJB619" s="268"/>
      <c r="SJC619" s="268"/>
      <c r="SJD619" s="268"/>
      <c r="SJE619" s="268"/>
      <c r="SJF619" s="268"/>
      <c r="SJG619" s="268"/>
      <c r="SJH619" s="268"/>
      <c r="SJI619" s="268"/>
      <c r="SJJ619" s="268"/>
      <c r="SJK619" s="268"/>
      <c r="SJL619" s="268"/>
      <c r="SJM619" s="268"/>
      <c r="SJN619" s="268"/>
      <c r="SJO619" s="268"/>
      <c r="SJP619" s="268"/>
      <c r="SJQ619" s="268"/>
      <c r="SJR619" s="268"/>
      <c r="SJS619" s="268"/>
      <c r="SJT619" s="268"/>
      <c r="SJU619" s="268"/>
      <c r="SJV619" s="268"/>
      <c r="SJW619" s="268"/>
      <c r="SJX619" s="268"/>
      <c r="SJY619" s="268"/>
      <c r="SJZ619" s="268"/>
      <c r="SKA619" s="268"/>
      <c r="SKB619" s="268"/>
      <c r="SKC619" s="268"/>
      <c r="SKD619" s="268"/>
      <c r="SKE619" s="268"/>
      <c r="SKF619" s="268"/>
      <c r="SKG619" s="268"/>
      <c r="SKH619" s="268"/>
      <c r="SKI619" s="268"/>
      <c r="SKJ619" s="268"/>
      <c r="SKK619" s="268"/>
      <c r="SKL619" s="268"/>
      <c r="SKM619" s="268"/>
      <c r="SKN619" s="268"/>
      <c r="SKO619" s="268"/>
      <c r="SKP619" s="268"/>
      <c r="SKQ619" s="268"/>
      <c r="SKR619" s="268"/>
      <c r="SKS619" s="268"/>
      <c r="SKT619" s="268"/>
      <c r="SKU619" s="268"/>
      <c r="SKV619" s="268"/>
      <c r="SKW619" s="268"/>
      <c r="SKX619" s="268"/>
      <c r="SKY619" s="268"/>
      <c r="SKZ619" s="268"/>
      <c r="SLA619" s="268"/>
      <c r="SLB619" s="268"/>
      <c r="SLC619" s="268"/>
      <c r="SLD619" s="268"/>
      <c r="SLE619" s="268"/>
      <c r="SLF619" s="268"/>
      <c r="SLG619" s="268"/>
      <c r="SLH619" s="268"/>
      <c r="SLI619" s="268"/>
      <c r="SLJ619" s="268"/>
      <c r="SLK619" s="268"/>
      <c r="SLL619" s="268"/>
      <c r="SLM619" s="268"/>
      <c r="SLN619" s="268"/>
      <c r="SLO619" s="268"/>
      <c r="SLP619" s="268"/>
      <c r="SLQ619" s="268"/>
      <c r="SLR619" s="268"/>
      <c r="SLS619" s="268"/>
      <c r="SLT619" s="268"/>
      <c r="SLU619" s="268"/>
      <c r="SLV619" s="268"/>
      <c r="SLW619" s="268"/>
      <c r="SLX619" s="268"/>
      <c r="SLY619" s="268"/>
      <c r="SLZ619" s="268"/>
      <c r="SMA619" s="268"/>
      <c r="SMB619" s="268"/>
      <c r="SMC619" s="268"/>
      <c r="SMD619" s="268"/>
      <c r="SME619" s="268"/>
      <c r="SMF619" s="268"/>
      <c r="SMG619" s="268"/>
      <c r="SMH619" s="268"/>
      <c r="SMI619" s="268"/>
      <c r="SMJ619" s="268"/>
      <c r="SMK619" s="268"/>
      <c r="SML619" s="268"/>
      <c r="SMM619" s="268"/>
      <c r="SMN619" s="268"/>
      <c r="SMO619" s="268"/>
      <c r="SMP619" s="268"/>
      <c r="SMQ619" s="268"/>
      <c r="SMR619" s="268"/>
      <c r="SMS619" s="268"/>
      <c r="SMT619" s="268"/>
      <c r="SMU619" s="268"/>
      <c r="SMV619" s="268"/>
      <c r="SMW619" s="268"/>
      <c r="SMX619" s="268"/>
      <c r="SMY619" s="268"/>
      <c r="SMZ619" s="268"/>
      <c r="SNA619" s="268"/>
      <c r="SNB619" s="268"/>
      <c r="SNC619" s="268"/>
      <c r="SND619" s="268"/>
      <c r="SNE619" s="268"/>
      <c r="SNF619" s="268"/>
      <c r="SNG619" s="268"/>
      <c r="SNH619" s="268"/>
      <c r="SNI619" s="268"/>
      <c r="SNJ619" s="268"/>
      <c r="SNK619" s="268"/>
      <c r="SNL619" s="268"/>
      <c r="SNM619" s="268"/>
      <c r="SNN619" s="268"/>
      <c r="SNO619" s="268"/>
      <c r="SNP619" s="268"/>
      <c r="SNQ619" s="268"/>
      <c r="SNR619" s="268"/>
      <c r="SNS619" s="268"/>
      <c r="SNT619" s="268"/>
      <c r="SNU619" s="268"/>
      <c r="SNV619" s="268"/>
      <c r="SNW619" s="268"/>
      <c r="SNX619" s="268"/>
      <c r="SNY619" s="268"/>
      <c r="SNZ619" s="268"/>
      <c r="SOA619" s="268"/>
      <c r="SOB619" s="268"/>
      <c r="SOC619" s="268"/>
      <c r="SOD619" s="268"/>
      <c r="SOE619" s="268"/>
      <c r="SOF619" s="268"/>
      <c r="SOG619" s="268"/>
      <c r="SOH619" s="268"/>
      <c r="SOI619" s="268"/>
      <c r="SOJ619" s="268"/>
      <c r="SOK619" s="268"/>
      <c r="SOL619" s="268"/>
      <c r="SOM619" s="268"/>
      <c r="SON619" s="268"/>
      <c r="SOO619" s="268"/>
      <c r="SOP619" s="268"/>
      <c r="SOQ619" s="268"/>
      <c r="SOR619" s="268"/>
      <c r="SOS619" s="268"/>
      <c r="SOT619" s="268"/>
      <c r="SOU619" s="268"/>
      <c r="SOV619" s="268"/>
      <c r="SOW619" s="268"/>
      <c r="SOX619" s="268"/>
      <c r="SOY619" s="268"/>
      <c r="SOZ619" s="268"/>
      <c r="SPA619" s="268"/>
      <c r="SPB619" s="268"/>
      <c r="SPC619" s="268"/>
      <c r="SPD619" s="268"/>
      <c r="SPE619" s="268"/>
      <c r="SPF619" s="268"/>
      <c r="SPG619" s="268"/>
      <c r="SPH619" s="268"/>
      <c r="SPI619" s="268"/>
      <c r="SPJ619" s="268"/>
      <c r="SPK619" s="268"/>
      <c r="SPL619" s="268"/>
      <c r="SPM619" s="268"/>
      <c r="SPN619" s="268"/>
      <c r="SPO619" s="268"/>
      <c r="SPP619" s="268"/>
      <c r="SPQ619" s="268"/>
      <c r="SPR619" s="268"/>
      <c r="SPS619" s="268"/>
      <c r="SPT619" s="268"/>
      <c r="SPU619" s="268"/>
      <c r="SPV619" s="268"/>
      <c r="SPW619" s="268"/>
      <c r="SPX619" s="268"/>
      <c r="SPY619" s="268"/>
      <c r="SPZ619" s="268"/>
      <c r="SQA619" s="268"/>
      <c r="SQB619" s="268"/>
      <c r="SQC619" s="268"/>
      <c r="SQD619" s="268"/>
      <c r="SQE619" s="268"/>
      <c r="SQF619" s="268"/>
      <c r="SQG619" s="268"/>
      <c r="SQH619" s="268"/>
      <c r="SQI619" s="268"/>
      <c r="SQJ619" s="268"/>
      <c r="SQK619" s="268"/>
      <c r="SQL619" s="268"/>
      <c r="SQM619" s="268"/>
      <c r="SQN619" s="268"/>
      <c r="SQO619" s="268"/>
      <c r="SQP619" s="268"/>
      <c r="SQQ619" s="268"/>
      <c r="SRE619" s="268"/>
      <c r="SRF619" s="268"/>
      <c r="SRG619" s="268"/>
      <c r="SRU619" s="268"/>
      <c r="SRW619" s="268"/>
      <c r="SRX619" s="268"/>
      <c r="SRY619" s="268"/>
      <c r="SRZ619" s="268"/>
      <c r="SSA619" s="268"/>
      <c r="SSB619" s="268"/>
      <c r="SSC619" s="268"/>
      <c r="SSD619" s="268"/>
      <c r="SSE619" s="268"/>
      <c r="SSF619" s="268"/>
      <c r="SSG619" s="268"/>
      <c r="SSH619" s="268"/>
      <c r="SSI619" s="268"/>
      <c r="SSJ619" s="268"/>
      <c r="SSK619" s="268"/>
      <c r="SSL619" s="268"/>
      <c r="SSM619" s="268"/>
      <c r="SSN619" s="268"/>
      <c r="SSO619" s="268"/>
      <c r="SSP619" s="268"/>
      <c r="SSQ619" s="268"/>
      <c r="SSR619" s="268"/>
      <c r="SSS619" s="268"/>
      <c r="SST619" s="268"/>
      <c r="SSU619" s="268"/>
      <c r="SSV619" s="268"/>
      <c r="SSW619" s="268"/>
      <c r="SSX619" s="268"/>
      <c r="SSY619" s="268"/>
      <c r="SSZ619" s="268"/>
      <c r="STA619" s="268"/>
      <c r="STB619" s="268"/>
      <c r="STC619" s="268"/>
      <c r="STD619" s="268"/>
      <c r="STE619" s="268"/>
      <c r="STF619" s="268"/>
      <c r="STG619" s="268"/>
      <c r="STH619" s="268"/>
      <c r="STI619" s="268"/>
      <c r="STJ619" s="268"/>
      <c r="STK619" s="268"/>
      <c r="STL619" s="268"/>
      <c r="STM619" s="268"/>
      <c r="STN619" s="268"/>
      <c r="STO619" s="268"/>
      <c r="STP619" s="268"/>
      <c r="STQ619" s="268"/>
      <c r="STR619" s="268"/>
      <c r="STS619" s="268"/>
      <c r="STT619" s="268"/>
      <c r="STU619" s="268"/>
      <c r="STV619" s="268"/>
      <c r="STW619" s="268"/>
      <c r="STX619" s="268"/>
      <c r="STY619" s="268"/>
      <c r="STZ619" s="268"/>
      <c r="SUA619" s="268"/>
      <c r="SUB619" s="268"/>
      <c r="SUC619" s="268"/>
      <c r="SUD619" s="268"/>
      <c r="SUE619" s="268"/>
      <c r="SUF619" s="268"/>
      <c r="SUG619" s="268"/>
      <c r="SUH619" s="268"/>
      <c r="SUI619" s="268"/>
      <c r="SUJ619" s="268"/>
      <c r="SUK619" s="268"/>
      <c r="SUL619" s="268"/>
      <c r="SUM619" s="268"/>
      <c r="SUN619" s="268"/>
      <c r="SUO619" s="268"/>
      <c r="SUP619" s="268"/>
      <c r="SUQ619" s="268"/>
      <c r="SUR619" s="268"/>
      <c r="SUS619" s="268"/>
      <c r="SUT619" s="268"/>
      <c r="SUU619" s="268"/>
      <c r="SUV619" s="268"/>
      <c r="SUW619" s="268"/>
      <c r="SUX619" s="268"/>
      <c r="SUY619" s="268"/>
      <c r="SUZ619" s="268"/>
      <c r="SVA619" s="268"/>
      <c r="SVB619" s="268"/>
      <c r="SVC619" s="268"/>
      <c r="SVD619" s="268"/>
      <c r="SVE619" s="268"/>
      <c r="SVF619" s="268"/>
      <c r="SVG619" s="268"/>
      <c r="SVH619" s="268"/>
      <c r="SVI619" s="268"/>
      <c r="SVJ619" s="268"/>
      <c r="SVK619" s="268"/>
      <c r="SVL619" s="268"/>
      <c r="SVM619" s="268"/>
      <c r="SVN619" s="268"/>
      <c r="SVO619" s="268"/>
      <c r="SVP619" s="268"/>
      <c r="SVQ619" s="268"/>
      <c r="SVR619" s="268"/>
      <c r="SVS619" s="268"/>
      <c r="SVT619" s="268"/>
      <c r="SVU619" s="268"/>
      <c r="SVV619" s="268"/>
      <c r="SVW619" s="268"/>
      <c r="SVX619" s="268"/>
      <c r="SVY619" s="268"/>
      <c r="SVZ619" s="268"/>
      <c r="SWA619" s="268"/>
      <c r="SWB619" s="268"/>
      <c r="SWC619" s="268"/>
      <c r="SWD619" s="268"/>
      <c r="SWE619" s="268"/>
      <c r="SWF619" s="268"/>
      <c r="SWG619" s="268"/>
      <c r="SWH619" s="268"/>
      <c r="SWI619" s="268"/>
      <c r="SWJ619" s="268"/>
      <c r="SWK619" s="268"/>
      <c r="SWL619" s="268"/>
      <c r="SWM619" s="268"/>
      <c r="SWN619" s="268"/>
      <c r="SWO619" s="268"/>
      <c r="SWP619" s="268"/>
      <c r="SWQ619" s="268"/>
      <c r="SWR619" s="268"/>
      <c r="SWS619" s="268"/>
      <c r="SWT619" s="268"/>
      <c r="SWU619" s="268"/>
      <c r="SWV619" s="268"/>
      <c r="SWW619" s="268"/>
      <c r="SWX619" s="268"/>
      <c r="SWY619" s="268"/>
      <c r="SWZ619" s="268"/>
      <c r="SXA619" s="268"/>
      <c r="SXB619" s="268"/>
      <c r="SXC619" s="268"/>
      <c r="SXD619" s="268"/>
      <c r="SXE619" s="268"/>
      <c r="SXF619" s="268"/>
      <c r="SXG619" s="268"/>
      <c r="SXH619" s="268"/>
      <c r="SXI619" s="268"/>
      <c r="SXJ619" s="268"/>
      <c r="SXK619" s="268"/>
      <c r="SXL619" s="268"/>
      <c r="SXM619" s="268"/>
      <c r="SXN619" s="268"/>
      <c r="SXO619" s="268"/>
      <c r="SXP619" s="268"/>
      <c r="SXQ619" s="268"/>
      <c r="SXR619" s="268"/>
      <c r="SXS619" s="268"/>
      <c r="SXT619" s="268"/>
      <c r="SXU619" s="268"/>
      <c r="SXV619" s="268"/>
      <c r="SXW619" s="268"/>
      <c r="SXX619" s="268"/>
      <c r="SXY619" s="268"/>
      <c r="SXZ619" s="268"/>
      <c r="SYA619" s="268"/>
      <c r="SYB619" s="268"/>
      <c r="SYC619" s="268"/>
      <c r="SYD619" s="268"/>
      <c r="SYE619" s="268"/>
      <c r="SYF619" s="268"/>
      <c r="SYG619" s="268"/>
      <c r="SYH619" s="268"/>
      <c r="SYI619" s="268"/>
      <c r="SYJ619" s="268"/>
      <c r="SYK619" s="268"/>
      <c r="SYL619" s="268"/>
      <c r="SYM619" s="268"/>
      <c r="SYN619" s="268"/>
      <c r="SYO619" s="268"/>
      <c r="SYP619" s="268"/>
      <c r="SYQ619" s="268"/>
      <c r="SYR619" s="268"/>
      <c r="SYS619" s="268"/>
      <c r="SYT619" s="268"/>
      <c r="SYU619" s="268"/>
      <c r="SYV619" s="268"/>
      <c r="SYW619" s="268"/>
      <c r="SYX619" s="268"/>
      <c r="SYY619" s="268"/>
      <c r="SYZ619" s="268"/>
      <c r="SZA619" s="268"/>
      <c r="SZB619" s="268"/>
      <c r="SZC619" s="268"/>
      <c r="SZD619" s="268"/>
      <c r="SZE619" s="268"/>
      <c r="SZF619" s="268"/>
      <c r="SZG619" s="268"/>
      <c r="SZH619" s="268"/>
      <c r="SZI619" s="268"/>
      <c r="SZJ619" s="268"/>
      <c r="SZK619" s="268"/>
      <c r="SZL619" s="268"/>
      <c r="SZM619" s="268"/>
      <c r="SZN619" s="268"/>
      <c r="SZO619" s="268"/>
      <c r="SZP619" s="268"/>
      <c r="SZQ619" s="268"/>
      <c r="SZR619" s="268"/>
      <c r="SZS619" s="268"/>
      <c r="SZT619" s="268"/>
      <c r="SZU619" s="268"/>
      <c r="SZV619" s="268"/>
      <c r="SZW619" s="268"/>
      <c r="SZX619" s="268"/>
      <c r="SZY619" s="268"/>
      <c r="SZZ619" s="268"/>
      <c r="TAA619" s="268"/>
      <c r="TAB619" s="268"/>
      <c r="TAC619" s="268"/>
      <c r="TAD619" s="268"/>
      <c r="TAE619" s="268"/>
      <c r="TAF619" s="268"/>
      <c r="TAG619" s="268"/>
      <c r="TAH619" s="268"/>
      <c r="TAI619" s="268"/>
      <c r="TAJ619" s="268"/>
      <c r="TAK619" s="268"/>
      <c r="TAL619" s="268"/>
      <c r="TAM619" s="268"/>
      <c r="TBA619" s="268"/>
      <c r="TBB619" s="268"/>
      <c r="TBC619" s="268"/>
      <c r="TBQ619" s="268"/>
      <c r="TBS619" s="268"/>
      <c r="TBT619" s="268"/>
      <c r="TBU619" s="268"/>
      <c r="TBV619" s="268"/>
      <c r="TBW619" s="268"/>
      <c r="TBX619" s="268"/>
      <c r="TBY619" s="268"/>
      <c r="TBZ619" s="268"/>
      <c r="TCA619" s="268"/>
      <c r="TCB619" s="268"/>
      <c r="TCC619" s="268"/>
      <c r="TCD619" s="268"/>
      <c r="TCE619" s="268"/>
      <c r="TCF619" s="268"/>
      <c r="TCG619" s="268"/>
      <c r="TCH619" s="268"/>
      <c r="TCI619" s="268"/>
      <c r="TCJ619" s="268"/>
      <c r="TCK619" s="268"/>
      <c r="TCL619" s="268"/>
      <c r="TCM619" s="268"/>
      <c r="TCN619" s="268"/>
      <c r="TCO619" s="268"/>
      <c r="TCP619" s="268"/>
      <c r="TCQ619" s="268"/>
      <c r="TCR619" s="268"/>
      <c r="TCS619" s="268"/>
      <c r="TCT619" s="268"/>
      <c r="TCU619" s="268"/>
      <c r="TCV619" s="268"/>
      <c r="TCW619" s="268"/>
      <c r="TCX619" s="268"/>
      <c r="TCY619" s="268"/>
      <c r="TCZ619" s="268"/>
      <c r="TDA619" s="268"/>
      <c r="TDB619" s="268"/>
      <c r="TDC619" s="268"/>
      <c r="TDD619" s="268"/>
      <c r="TDE619" s="268"/>
      <c r="TDF619" s="268"/>
      <c r="TDG619" s="268"/>
      <c r="TDH619" s="268"/>
      <c r="TDI619" s="268"/>
      <c r="TDJ619" s="268"/>
      <c r="TDK619" s="268"/>
      <c r="TDL619" s="268"/>
      <c r="TDM619" s="268"/>
      <c r="TDN619" s="268"/>
      <c r="TDO619" s="268"/>
      <c r="TDP619" s="268"/>
      <c r="TDQ619" s="268"/>
      <c r="TDR619" s="268"/>
      <c r="TDS619" s="268"/>
      <c r="TDT619" s="268"/>
      <c r="TDU619" s="268"/>
      <c r="TDV619" s="268"/>
      <c r="TDW619" s="268"/>
      <c r="TDX619" s="268"/>
      <c r="TDY619" s="268"/>
      <c r="TDZ619" s="268"/>
      <c r="TEA619" s="268"/>
      <c r="TEB619" s="268"/>
      <c r="TEC619" s="268"/>
      <c r="TED619" s="268"/>
      <c r="TEE619" s="268"/>
      <c r="TEF619" s="268"/>
      <c r="TEG619" s="268"/>
      <c r="TEH619" s="268"/>
      <c r="TEI619" s="268"/>
      <c r="TEJ619" s="268"/>
      <c r="TEK619" s="268"/>
      <c r="TEL619" s="268"/>
      <c r="TEM619" s="268"/>
      <c r="TEN619" s="268"/>
      <c r="TEO619" s="268"/>
      <c r="TEP619" s="268"/>
      <c r="TEQ619" s="268"/>
      <c r="TER619" s="268"/>
      <c r="TES619" s="268"/>
      <c r="TET619" s="268"/>
      <c r="TEU619" s="268"/>
      <c r="TEV619" s="268"/>
      <c r="TEW619" s="268"/>
      <c r="TEX619" s="268"/>
      <c r="TEY619" s="268"/>
      <c r="TEZ619" s="268"/>
      <c r="TFA619" s="268"/>
      <c r="TFB619" s="268"/>
      <c r="TFC619" s="268"/>
      <c r="TFD619" s="268"/>
      <c r="TFE619" s="268"/>
      <c r="TFF619" s="268"/>
      <c r="TFG619" s="268"/>
      <c r="TFH619" s="268"/>
      <c r="TFI619" s="268"/>
      <c r="TFJ619" s="268"/>
      <c r="TFK619" s="268"/>
      <c r="TFL619" s="268"/>
      <c r="TFM619" s="268"/>
      <c r="TFN619" s="268"/>
      <c r="TFO619" s="268"/>
      <c r="TFP619" s="268"/>
      <c r="TFQ619" s="268"/>
      <c r="TFR619" s="268"/>
      <c r="TFS619" s="268"/>
      <c r="TFT619" s="268"/>
      <c r="TFU619" s="268"/>
      <c r="TFV619" s="268"/>
      <c r="TFW619" s="268"/>
      <c r="TFX619" s="268"/>
      <c r="TFY619" s="268"/>
      <c r="TFZ619" s="268"/>
      <c r="TGA619" s="268"/>
      <c r="TGB619" s="268"/>
      <c r="TGC619" s="268"/>
      <c r="TGD619" s="268"/>
      <c r="TGE619" s="268"/>
      <c r="TGF619" s="268"/>
      <c r="TGG619" s="268"/>
      <c r="TGH619" s="268"/>
      <c r="TGI619" s="268"/>
      <c r="TGJ619" s="268"/>
      <c r="TGK619" s="268"/>
      <c r="TGL619" s="268"/>
      <c r="TGM619" s="268"/>
      <c r="TGN619" s="268"/>
      <c r="TGO619" s="268"/>
      <c r="TGP619" s="268"/>
      <c r="TGQ619" s="268"/>
      <c r="TGR619" s="268"/>
      <c r="TGS619" s="268"/>
      <c r="TGT619" s="268"/>
      <c r="TGU619" s="268"/>
      <c r="TGV619" s="268"/>
      <c r="TGW619" s="268"/>
      <c r="TGX619" s="268"/>
      <c r="TGY619" s="268"/>
      <c r="TGZ619" s="268"/>
      <c r="THA619" s="268"/>
      <c r="THB619" s="268"/>
      <c r="THC619" s="268"/>
      <c r="THD619" s="268"/>
      <c r="THE619" s="268"/>
      <c r="THF619" s="268"/>
      <c r="THG619" s="268"/>
      <c r="THH619" s="268"/>
      <c r="THI619" s="268"/>
      <c r="THJ619" s="268"/>
      <c r="THK619" s="268"/>
      <c r="THL619" s="268"/>
      <c r="THM619" s="268"/>
      <c r="THN619" s="268"/>
      <c r="THO619" s="268"/>
      <c r="THP619" s="268"/>
      <c r="THQ619" s="268"/>
      <c r="THR619" s="268"/>
      <c r="THS619" s="268"/>
      <c r="THT619" s="268"/>
      <c r="THU619" s="268"/>
      <c r="THV619" s="268"/>
      <c r="THW619" s="268"/>
      <c r="THX619" s="268"/>
      <c r="THY619" s="268"/>
      <c r="THZ619" s="268"/>
      <c r="TIA619" s="268"/>
      <c r="TIB619" s="268"/>
      <c r="TIC619" s="268"/>
      <c r="TID619" s="268"/>
      <c r="TIE619" s="268"/>
      <c r="TIF619" s="268"/>
      <c r="TIG619" s="268"/>
      <c r="TIH619" s="268"/>
      <c r="TII619" s="268"/>
      <c r="TIJ619" s="268"/>
      <c r="TIK619" s="268"/>
      <c r="TIL619" s="268"/>
      <c r="TIM619" s="268"/>
      <c r="TIN619" s="268"/>
      <c r="TIO619" s="268"/>
      <c r="TIP619" s="268"/>
      <c r="TIQ619" s="268"/>
      <c r="TIR619" s="268"/>
      <c r="TIS619" s="268"/>
      <c r="TIT619" s="268"/>
      <c r="TIU619" s="268"/>
      <c r="TIV619" s="268"/>
      <c r="TIW619" s="268"/>
      <c r="TIX619" s="268"/>
      <c r="TIY619" s="268"/>
      <c r="TIZ619" s="268"/>
      <c r="TJA619" s="268"/>
      <c r="TJB619" s="268"/>
      <c r="TJC619" s="268"/>
      <c r="TJD619" s="268"/>
      <c r="TJE619" s="268"/>
      <c r="TJF619" s="268"/>
      <c r="TJG619" s="268"/>
      <c r="TJH619" s="268"/>
      <c r="TJI619" s="268"/>
      <c r="TJJ619" s="268"/>
      <c r="TJK619" s="268"/>
      <c r="TJL619" s="268"/>
      <c r="TJM619" s="268"/>
      <c r="TJN619" s="268"/>
      <c r="TJO619" s="268"/>
      <c r="TJP619" s="268"/>
      <c r="TJQ619" s="268"/>
      <c r="TJR619" s="268"/>
      <c r="TJS619" s="268"/>
      <c r="TJT619" s="268"/>
      <c r="TJU619" s="268"/>
      <c r="TJV619" s="268"/>
      <c r="TJW619" s="268"/>
      <c r="TJX619" s="268"/>
      <c r="TJY619" s="268"/>
      <c r="TJZ619" s="268"/>
      <c r="TKA619" s="268"/>
      <c r="TKB619" s="268"/>
      <c r="TKC619" s="268"/>
      <c r="TKD619" s="268"/>
      <c r="TKE619" s="268"/>
      <c r="TKF619" s="268"/>
      <c r="TKG619" s="268"/>
      <c r="TKH619" s="268"/>
      <c r="TKI619" s="268"/>
      <c r="TKW619" s="268"/>
      <c r="TKX619" s="268"/>
      <c r="TKY619" s="268"/>
      <c r="TLM619" s="268"/>
      <c r="TLO619" s="268"/>
      <c r="TLP619" s="268"/>
      <c r="TLQ619" s="268"/>
      <c r="TLR619" s="268"/>
      <c r="TLS619" s="268"/>
      <c r="TLT619" s="268"/>
      <c r="TLU619" s="268"/>
      <c r="TLV619" s="268"/>
      <c r="TLW619" s="268"/>
      <c r="TLX619" s="268"/>
      <c r="TLY619" s="268"/>
      <c r="TLZ619" s="268"/>
      <c r="TMA619" s="268"/>
      <c r="TMB619" s="268"/>
      <c r="TMC619" s="268"/>
      <c r="TMD619" s="268"/>
      <c r="TME619" s="268"/>
      <c r="TMF619" s="268"/>
      <c r="TMG619" s="268"/>
      <c r="TMH619" s="268"/>
      <c r="TMI619" s="268"/>
      <c r="TMJ619" s="268"/>
      <c r="TMK619" s="268"/>
      <c r="TML619" s="268"/>
      <c r="TMM619" s="268"/>
      <c r="TMN619" s="268"/>
      <c r="TMO619" s="268"/>
      <c r="TMP619" s="268"/>
      <c r="TMQ619" s="268"/>
      <c r="TMR619" s="268"/>
      <c r="TMS619" s="268"/>
      <c r="TMT619" s="268"/>
      <c r="TMU619" s="268"/>
      <c r="TMV619" s="268"/>
      <c r="TMW619" s="268"/>
      <c r="TMX619" s="268"/>
      <c r="TMY619" s="268"/>
      <c r="TMZ619" s="268"/>
      <c r="TNA619" s="268"/>
      <c r="TNB619" s="268"/>
      <c r="TNC619" s="268"/>
      <c r="TND619" s="268"/>
      <c r="TNE619" s="268"/>
      <c r="TNF619" s="268"/>
      <c r="TNG619" s="268"/>
      <c r="TNH619" s="268"/>
      <c r="TNI619" s="268"/>
      <c r="TNJ619" s="268"/>
      <c r="TNK619" s="268"/>
      <c r="TNL619" s="268"/>
      <c r="TNM619" s="268"/>
      <c r="TNN619" s="268"/>
      <c r="TNO619" s="268"/>
      <c r="TNP619" s="268"/>
      <c r="TNQ619" s="268"/>
      <c r="TNR619" s="268"/>
      <c r="TNS619" s="268"/>
      <c r="TNT619" s="268"/>
      <c r="TNU619" s="268"/>
      <c r="TNV619" s="268"/>
      <c r="TNW619" s="268"/>
      <c r="TNX619" s="268"/>
      <c r="TNY619" s="268"/>
      <c r="TNZ619" s="268"/>
      <c r="TOA619" s="268"/>
      <c r="TOB619" s="268"/>
      <c r="TOC619" s="268"/>
      <c r="TOD619" s="268"/>
      <c r="TOE619" s="268"/>
      <c r="TOF619" s="268"/>
      <c r="TOG619" s="268"/>
      <c r="TOH619" s="268"/>
      <c r="TOI619" s="268"/>
      <c r="TOJ619" s="268"/>
      <c r="TOK619" s="268"/>
      <c r="TOL619" s="268"/>
      <c r="TOM619" s="268"/>
      <c r="TON619" s="268"/>
      <c r="TOO619" s="268"/>
      <c r="TOP619" s="268"/>
      <c r="TOQ619" s="268"/>
      <c r="TOR619" s="268"/>
      <c r="TOS619" s="268"/>
      <c r="TOT619" s="268"/>
      <c r="TOU619" s="268"/>
      <c r="TOV619" s="268"/>
      <c r="TOW619" s="268"/>
      <c r="TOX619" s="268"/>
      <c r="TOY619" s="268"/>
      <c r="TOZ619" s="268"/>
      <c r="TPA619" s="268"/>
      <c r="TPB619" s="268"/>
      <c r="TPC619" s="268"/>
      <c r="TPD619" s="268"/>
      <c r="TPE619" s="268"/>
      <c r="TPF619" s="268"/>
      <c r="TPG619" s="268"/>
      <c r="TPH619" s="268"/>
      <c r="TPI619" s="268"/>
      <c r="TPJ619" s="268"/>
      <c r="TPK619" s="268"/>
      <c r="TPL619" s="268"/>
      <c r="TPM619" s="268"/>
      <c r="TPN619" s="268"/>
      <c r="TPO619" s="268"/>
      <c r="TPP619" s="268"/>
      <c r="TPQ619" s="268"/>
      <c r="TPR619" s="268"/>
      <c r="TPS619" s="268"/>
      <c r="TPT619" s="268"/>
      <c r="TPU619" s="268"/>
      <c r="TPV619" s="268"/>
      <c r="TPW619" s="268"/>
      <c r="TPX619" s="268"/>
      <c r="TPY619" s="268"/>
      <c r="TPZ619" s="268"/>
      <c r="TQA619" s="268"/>
      <c r="TQB619" s="268"/>
      <c r="TQC619" s="268"/>
      <c r="TQD619" s="268"/>
      <c r="TQE619" s="268"/>
      <c r="TQF619" s="268"/>
      <c r="TQG619" s="268"/>
      <c r="TQH619" s="268"/>
      <c r="TQI619" s="268"/>
      <c r="TQJ619" s="268"/>
      <c r="TQK619" s="268"/>
      <c r="TQL619" s="268"/>
      <c r="TQM619" s="268"/>
      <c r="TQN619" s="268"/>
      <c r="TQO619" s="268"/>
      <c r="TQP619" s="268"/>
      <c r="TQQ619" s="268"/>
      <c r="TQR619" s="268"/>
      <c r="TQS619" s="268"/>
      <c r="TQT619" s="268"/>
      <c r="TQU619" s="268"/>
      <c r="TQV619" s="268"/>
      <c r="TQW619" s="268"/>
      <c r="TQX619" s="268"/>
      <c r="TQY619" s="268"/>
      <c r="TQZ619" s="268"/>
      <c r="TRA619" s="268"/>
      <c r="TRB619" s="268"/>
      <c r="TRC619" s="268"/>
      <c r="TRD619" s="268"/>
      <c r="TRE619" s="268"/>
      <c r="TRF619" s="268"/>
      <c r="TRG619" s="268"/>
      <c r="TRH619" s="268"/>
      <c r="TRI619" s="268"/>
      <c r="TRJ619" s="268"/>
      <c r="TRK619" s="268"/>
      <c r="TRL619" s="268"/>
      <c r="TRM619" s="268"/>
      <c r="TRN619" s="268"/>
      <c r="TRO619" s="268"/>
      <c r="TRP619" s="268"/>
      <c r="TRQ619" s="268"/>
      <c r="TRR619" s="268"/>
      <c r="TRS619" s="268"/>
      <c r="TRT619" s="268"/>
      <c r="TRU619" s="268"/>
      <c r="TRV619" s="268"/>
      <c r="TRW619" s="268"/>
      <c r="TRX619" s="268"/>
      <c r="TRY619" s="268"/>
      <c r="TRZ619" s="268"/>
      <c r="TSA619" s="268"/>
      <c r="TSB619" s="268"/>
      <c r="TSC619" s="268"/>
      <c r="TSD619" s="268"/>
      <c r="TSE619" s="268"/>
      <c r="TSF619" s="268"/>
      <c r="TSG619" s="268"/>
      <c r="TSH619" s="268"/>
      <c r="TSI619" s="268"/>
      <c r="TSJ619" s="268"/>
      <c r="TSK619" s="268"/>
      <c r="TSL619" s="268"/>
      <c r="TSM619" s="268"/>
      <c r="TSN619" s="268"/>
      <c r="TSO619" s="268"/>
      <c r="TSP619" s="268"/>
      <c r="TSQ619" s="268"/>
      <c r="TSR619" s="268"/>
      <c r="TSS619" s="268"/>
      <c r="TST619" s="268"/>
      <c r="TSU619" s="268"/>
      <c r="TSV619" s="268"/>
      <c r="TSW619" s="268"/>
      <c r="TSX619" s="268"/>
      <c r="TSY619" s="268"/>
      <c r="TSZ619" s="268"/>
      <c r="TTA619" s="268"/>
      <c r="TTB619" s="268"/>
      <c r="TTC619" s="268"/>
      <c r="TTD619" s="268"/>
      <c r="TTE619" s="268"/>
      <c r="TTF619" s="268"/>
      <c r="TTG619" s="268"/>
      <c r="TTH619" s="268"/>
      <c r="TTI619" s="268"/>
      <c r="TTJ619" s="268"/>
      <c r="TTK619" s="268"/>
      <c r="TTL619" s="268"/>
      <c r="TTM619" s="268"/>
      <c r="TTN619" s="268"/>
      <c r="TTO619" s="268"/>
      <c r="TTP619" s="268"/>
      <c r="TTQ619" s="268"/>
      <c r="TTR619" s="268"/>
      <c r="TTS619" s="268"/>
      <c r="TTT619" s="268"/>
      <c r="TTU619" s="268"/>
      <c r="TTV619" s="268"/>
      <c r="TTW619" s="268"/>
      <c r="TTX619" s="268"/>
      <c r="TTY619" s="268"/>
      <c r="TTZ619" s="268"/>
      <c r="TUA619" s="268"/>
      <c r="TUB619" s="268"/>
      <c r="TUC619" s="268"/>
      <c r="TUD619" s="268"/>
      <c r="TUE619" s="268"/>
      <c r="TUS619" s="268"/>
      <c r="TUT619" s="268"/>
      <c r="TUU619" s="268"/>
      <c r="TVI619" s="268"/>
      <c r="TVK619" s="268"/>
      <c r="TVL619" s="268"/>
      <c r="TVM619" s="268"/>
      <c r="TVN619" s="268"/>
      <c r="TVO619" s="268"/>
      <c r="TVP619" s="268"/>
      <c r="TVQ619" s="268"/>
      <c r="TVR619" s="268"/>
      <c r="TVS619" s="268"/>
      <c r="TVT619" s="268"/>
      <c r="TVU619" s="268"/>
      <c r="TVV619" s="268"/>
      <c r="TVW619" s="268"/>
      <c r="TVX619" s="268"/>
      <c r="TVY619" s="268"/>
      <c r="TVZ619" s="268"/>
      <c r="TWA619" s="268"/>
      <c r="TWB619" s="268"/>
      <c r="TWC619" s="268"/>
      <c r="TWD619" s="268"/>
      <c r="TWE619" s="268"/>
      <c r="TWF619" s="268"/>
      <c r="TWG619" s="268"/>
      <c r="TWH619" s="268"/>
      <c r="TWI619" s="268"/>
      <c r="TWJ619" s="268"/>
      <c r="TWK619" s="268"/>
      <c r="TWL619" s="268"/>
      <c r="TWM619" s="268"/>
      <c r="TWN619" s="268"/>
      <c r="TWO619" s="268"/>
      <c r="TWP619" s="268"/>
      <c r="TWQ619" s="268"/>
      <c r="TWR619" s="268"/>
      <c r="TWS619" s="268"/>
      <c r="TWT619" s="268"/>
      <c r="TWU619" s="268"/>
      <c r="TWV619" s="268"/>
      <c r="TWW619" s="268"/>
      <c r="TWX619" s="268"/>
      <c r="TWY619" s="268"/>
      <c r="TWZ619" s="268"/>
      <c r="TXA619" s="268"/>
      <c r="TXB619" s="268"/>
      <c r="TXC619" s="268"/>
      <c r="TXD619" s="268"/>
      <c r="TXE619" s="268"/>
      <c r="TXF619" s="268"/>
      <c r="TXG619" s="268"/>
      <c r="TXH619" s="268"/>
      <c r="TXI619" s="268"/>
      <c r="TXJ619" s="268"/>
      <c r="TXK619" s="268"/>
      <c r="TXL619" s="268"/>
      <c r="TXM619" s="268"/>
      <c r="TXN619" s="268"/>
      <c r="TXO619" s="268"/>
      <c r="TXP619" s="268"/>
      <c r="TXQ619" s="268"/>
      <c r="TXR619" s="268"/>
      <c r="TXS619" s="268"/>
      <c r="TXT619" s="268"/>
      <c r="TXU619" s="268"/>
      <c r="TXV619" s="268"/>
      <c r="TXW619" s="268"/>
      <c r="TXX619" s="268"/>
      <c r="TXY619" s="268"/>
      <c r="TXZ619" s="268"/>
      <c r="TYA619" s="268"/>
      <c r="TYB619" s="268"/>
      <c r="TYC619" s="268"/>
      <c r="TYD619" s="268"/>
      <c r="TYE619" s="268"/>
      <c r="TYF619" s="268"/>
      <c r="TYG619" s="268"/>
      <c r="TYH619" s="268"/>
      <c r="TYI619" s="268"/>
      <c r="TYJ619" s="268"/>
      <c r="TYK619" s="268"/>
      <c r="TYL619" s="268"/>
      <c r="TYM619" s="268"/>
      <c r="TYN619" s="268"/>
      <c r="TYO619" s="268"/>
      <c r="TYP619" s="268"/>
      <c r="TYQ619" s="268"/>
      <c r="TYR619" s="268"/>
      <c r="TYS619" s="268"/>
      <c r="TYT619" s="268"/>
      <c r="TYU619" s="268"/>
      <c r="TYV619" s="268"/>
      <c r="TYW619" s="268"/>
      <c r="TYX619" s="268"/>
      <c r="TYY619" s="268"/>
      <c r="TYZ619" s="268"/>
      <c r="TZA619" s="268"/>
      <c r="TZB619" s="268"/>
      <c r="TZC619" s="268"/>
      <c r="TZD619" s="268"/>
      <c r="TZE619" s="268"/>
      <c r="TZF619" s="268"/>
      <c r="TZG619" s="268"/>
      <c r="TZH619" s="268"/>
      <c r="TZI619" s="268"/>
      <c r="TZJ619" s="268"/>
      <c r="TZK619" s="268"/>
      <c r="TZL619" s="268"/>
      <c r="TZM619" s="268"/>
      <c r="TZN619" s="268"/>
      <c r="TZO619" s="268"/>
      <c r="TZP619" s="268"/>
      <c r="TZQ619" s="268"/>
      <c r="TZR619" s="268"/>
      <c r="TZS619" s="268"/>
      <c r="TZT619" s="268"/>
      <c r="TZU619" s="268"/>
      <c r="TZV619" s="268"/>
      <c r="TZW619" s="268"/>
      <c r="TZX619" s="268"/>
      <c r="TZY619" s="268"/>
      <c r="TZZ619" s="268"/>
      <c r="UAA619" s="268"/>
      <c r="UAB619" s="268"/>
      <c r="UAC619" s="268"/>
      <c r="UAD619" s="268"/>
      <c r="UAE619" s="268"/>
      <c r="UAF619" s="268"/>
      <c r="UAG619" s="268"/>
      <c r="UAH619" s="268"/>
      <c r="UAI619" s="268"/>
      <c r="UAJ619" s="268"/>
      <c r="UAK619" s="268"/>
      <c r="UAL619" s="268"/>
      <c r="UAM619" s="268"/>
      <c r="UAN619" s="268"/>
      <c r="UAO619" s="268"/>
      <c r="UAP619" s="268"/>
      <c r="UAQ619" s="268"/>
      <c r="UAR619" s="268"/>
      <c r="UAS619" s="268"/>
      <c r="UAT619" s="268"/>
      <c r="UAU619" s="268"/>
      <c r="UAV619" s="268"/>
      <c r="UAW619" s="268"/>
      <c r="UAX619" s="268"/>
      <c r="UAY619" s="268"/>
      <c r="UAZ619" s="268"/>
      <c r="UBA619" s="268"/>
      <c r="UBB619" s="268"/>
      <c r="UBC619" s="268"/>
      <c r="UBD619" s="268"/>
      <c r="UBE619" s="268"/>
      <c r="UBF619" s="268"/>
      <c r="UBG619" s="268"/>
      <c r="UBH619" s="268"/>
      <c r="UBI619" s="268"/>
      <c r="UBJ619" s="268"/>
      <c r="UBK619" s="268"/>
      <c r="UBL619" s="268"/>
      <c r="UBM619" s="268"/>
      <c r="UBN619" s="268"/>
      <c r="UBO619" s="268"/>
      <c r="UBP619" s="268"/>
      <c r="UBQ619" s="268"/>
      <c r="UBR619" s="268"/>
      <c r="UBS619" s="268"/>
      <c r="UBT619" s="268"/>
      <c r="UBU619" s="268"/>
      <c r="UBV619" s="268"/>
      <c r="UBW619" s="268"/>
      <c r="UBX619" s="268"/>
      <c r="UBY619" s="268"/>
      <c r="UBZ619" s="268"/>
      <c r="UCA619" s="268"/>
      <c r="UCB619" s="268"/>
      <c r="UCC619" s="268"/>
      <c r="UCD619" s="268"/>
      <c r="UCE619" s="268"/>
      <c r="UCF619" s="268"/>
      <c r="UCG619" s="268"/>
      <c r="UCH619" s="268"/>
      <c r="UCI619" s="268"/>
      <c r="UCJ619" s="268"/>
      <c r="UCK619" s="268"/>
      <c r="UCL619" s="268"/>
      <c r="UCM619" s="268"/>
      <c r="UCN619" s="268"/>
      <c r="UCO619" s="268"/>
      <c r="UCP619" s="268"/>
      <c r="UCQ619" s="268"/>
      <c r="UCR619" s="268"/>
      <c r="UCS619" s="268"/>
      <c r="UCT619" s="268"/>
      <c r="UCU619" s="268"/>
      <c r="UCV619" s="268"/>
      <c r="UCW619" s="268"/>
      <c r="UCX619" s="268"/>
      <c r="UCY619" s="268"/>
      <c r="UCZ619" s="268"/>
      <c r="UDA619" s="268"/>
      <c r="UDB619" s="268"/>
      <c r="UDC619" s="268"/>
      <c r="UDD619" s="268"/>
      <c r="UDE619" s="268"/>
      <c r="UDF619" s="268"/>
      <c r="UDG619" s="268"/>
      <c r="UDH619" s="268"/>
      <c r="UDI619" s="268"/>
      <c r="UDJ619" s="268"/>
      <c r="UDK619" s="268"/>
      <c r="UDL619" s="268"/>
      <c r="UDM619" s="268"/>
      <c r="UDN619" s="268"/>
      <c r="UDO619" s="268"/>
      <c r="UDP619" s="268"/>
      <c r="UDQ619" s="268"/>
      <c r="UDR619" s="268"/>
      <c r="UDS619" s="268"/>
      <c r="UDT619" s="268"/>
      <c r="UDU619" s="268"/>
      <c r="UDV619" s="268"/>
      <c r="UDW619" s="268"/>
      <c r="UDX619" s="268"/>
      <c r="UDY619" s="268"/>
      <c r="UDZ619" s="268"/>
      <c r="UEA619" s="268"/>
      <c r="UEO619" s="268"/>
      <c r="UEP619" s="268"/>
      <c r="UEQ619" s="268"/>
      <c r="UFE619" s="268"/>
      <c r="UFG619" s="268"/>
      <c r="UFH619" s="268"/>
      <c r="UFI619" s="268"/>
      <c r="UFJ619" s="268"/>
      <c r="UFK619" s="268"/>
      <c r="UFL619" s="268"/>
      <c r="UFM619" s="268"/>
      <c r="UFN619" s="268"/>
      <c r="UFO619" s="268"/>
      <c r="UFP619" s="268"/>
      <c r="UFQ619" s="268"/>
      <c r="UFR619" s="268"/>
      <c r="UFS619" s="268"/>
      <c r="UFT619" s="268"/>
      <c r="UFU619" s="268"/>
      <c r="UFV619" s="268"/>
      <c r="UFW619" s="268"/>
      <c r="UFX619" s="268"/>
      <c r="UFY619" s="268"/>
      <c r="UFZ619" s="268"/>
      <c r="UGA619" s="268"/>
      <c r="UGB619" s="268"/>
      <c r="UGC619" s="268"/>
      <c r="UGD619" s="268"/>
      <c r="UGE619" s="268"/>
      <c r="UGF619" s="268"/>
      <c r="UGG619" s="268"/>
      <c r="UGH619" s="268"/>
      <c r="UGI619" s="268"/>
      <c r="UGJ619" s="268"/>
      <c r="UGK619" s="268"/>
      <c r="UGL619" s="268"/>
      <c r="UGM619" s="268"/>
      <c r="UGN619" s="268"/>
      <c r="UGO619" s="268"/>
      <c r="UGP619" s="268"/>
      <c r="UGQ619" s="268"/>
      <c r="UGR619" s="268"/>
      <c r="UGS619" s="268"/>
      <c r="UGT619" s="268"/>
      <c r="UGU619" s="268"/>
      <c r="UGV619" s="268"/>
      <c r="UGW619" s="268"/>
      <c r="UGX619" s="268"/>
      <c r="UGY619" s="268"/>
      <c r="UGZ619" s="268"/>
      <c r="UHA619" s="268"/>
      <c r="UHB619" s="268"/>
      <c r="UHC619" s="268"/>
      <c r="UHD619" s="268"/>
      <c r="UHE619" s="268"/>
      <c r="UHF619" s="268"/>
      <c r="UHG619" s="268"/>
      <c r="UHH619" s="268"/>
      <c r="UHI619" s="268"/>
      <c r="UHJ619" s="268"/>
      <c r="UHK619" s="268"/>
      <c r="UHL619" s="268"/>
      <c r="UHM619" s="268"/>
      <c r="UHN619" s="268"/>
      <c r="UHO619" s="268"/>
      <c r="UHP619" s="268"/>
      <c r="UHQ619" s="268"/>
      <c r="UHR619" s="268"/>
      <c r="UHS619" s="268"/>
      <c r="UHT619" s="268"/>
      <c r="UHU619" s="268"/>
      <c r="UHV619" s="268"/>
      <c r="UHW619" s="268"/>
      <c r="UHX619" s="268"/>
      <c r="UHY619" s="268"/>
      <c r="UHZ619" s="268"/>
      <c r="UIA619" s="268"/>
      <c r="UIB619" s="268"/>
      <c r="UIC619" s="268"/>
      <c r="UID619" s="268"/>
      <c r="UIE619" s="268"/>
      <c r="UIF619" s="268"/>
      <c r="UIG619" s="268"/>
      <c r="UIH619" s="268"/>
      <c r="UII619" s="268"/>
      <c r="UIJ619" s="268"/>
      <c r="UIK619" s="268"/>
      <c r="UIL619" s="268"/>
      <c r="UIM619" s="268"/>
      <c r="UIN619" s="268"/>
      <c r="UIO619" s="268"/>
      <c r="UIP619" s="268"/>
      <c r="UIQ619" s="268"/>
      <c r="UIR619" s="268"/>
      <c r="UIS619" s="268"/>
      <c r="UIT619" s="268"/>
      <c r="UIU619" s="268"/>
      <c r="UIV619" s="268"/>
      <c r="UIW619" s="268"/>
      <c r="UIX619" s="268"/>
      <c r="UIY619" s="268"/>
      <c r="UIZ619" s="268"/>
      <c r="UJA619" s="268"/>
      <c r="UJB619" s="268"/>
      <c r="UJC619" s="268"/>
      <c r="UJD619" s="268"/>
      <c r="UJE619" s="268"/>
      <c r="UJF619" s="268"/>
      <c r="UJG619" s="268"/>
      <c r="UJH619" s="268"/>
      <c r="UJI619" s="268"/>
      <c r="UJJ619" s="268"/>
      <c r="UJK619" s="268"/>
      <c r="UJL619" s="268"/>
      <c r="UJM619" s="268"/>
      <c r="UJN619" s="268"/>
      <c r="UJO619" s="268"/>
      <c r="UJP619" s="268"/>
      <c r="UJQ619" s="268"/>
      <c r="UJR619" s="268"/>
      <c r="UJS619" s="268"/>
      <c r="UJT619" s="268"/>
      <c r="UJU619" s="268"/>
      <c r="UJV619" s="268"/>
      <c r="UJW619" s="268"/>
      <c r="UJX619" s="268"/>
      <c r="UJY619" s="268"/>
      <c r="UJZ619" s="268"/>
      <c r="UKA619" s="268"/>
      <c r="UKB619" s="268"/>
      <c r="UKC619" s="268"/>
      <c r="UKD619" s="268"/>
      <c r="UKE619" s="268"/>
      <c r="UKF619" s="268"/>
      <c r="UKG619" s="268"/>
      <c r="UKH619" s="268"/>
      <c r="UKI619" s="268"/>
      <c r="UKJ619" s="268"/>
      <c r="UKK619" s="268"/>
      <c r="UKL619" s="268"/>
      <c r="UKM619" s="268"/>
      <c r="UKN619" s="268"/>
      <c r="UKO619" s="268"/>
      <c r="UKP619" s="268"/>
      <c r="UKQ619" s="268"/>
      <c r="UKR619" s="268"/>
      <c r="UKS619" s="268"/>
      <c r="UKT619" s="268"/>
      <c r="UKU619" s="268"/>
      <c r="UKV619" s="268"/>
      <c r="UKW619" s="268"/>
      <c r="UKX619" s="268"/>
      <c r="UKY619" s="268"/>
      <c r="UKZ619" s="268"/>
      <c r="ULA619" s="268"/>
      <c r="ULB619" s="268"/>
      <c r="ULC619" s="268"/>
      <c r="ULD619" s="268"/>
      <c r="ULE619" s="268"/>
      <c r="ULF619" s="268"/>
      <c r="ULG619" s="268"/>
      <c r="ULH619" s="268"/>
      <c r="ULI619" s="268"/>
      <c r="ULJ619" s="268"/>
      <c r="ULK619" s="268"/>
      <c r="ULL619" s="268"/>
      <c r="ULM619" s="268"/>
      <c r="ULN619" s="268"/>
      <c r="ULO619" s="268"/>
      <c r="ULP619" s="268"/>
      <c r="ULQ619" s="268"/>
      <c r="ULR619" s="268"/>
      <c r="ULS619" s="268"/>
      <c r="ULT619" s="268"/>
      <c r="ULU619" s="268"/>
      <c r="ULV619" s="268"/>
      <c r="ULW619" s="268"/>
      <c r="ULX619" s="268"/>
      <c r="ULY619" s="268"/>
      <c r="ULZ619" s="268"/>
      <c r="UMA619" s="268"/>
      <c r="UMB619" s="268"/>
      <c r="UMC619" s="268"/>
      <c r="UMD619" s="268"/>
      <c r="UME619" s="268"/>
      <c r="UMF619" s="268"/>
      <c r="UMG619" s="268"/>
      <c r="UMH619" s="268"/>
      <c r="UMI619" s="268"/>
      <c r="UMJ619" s="268"/>
      <c r="UMK619" s="268"/>
      <c r="UML619" s="268"/>
      <c r="UMM619" s="268"/>
      <c r="UMN619" s="268"/>
      <c r="UMO619" s="268"/>
      <c r="UMP619" s="268"/>
      <c r="UMQ619" s="268"/>
      <c r="UMR619" s="268"/>
      <c r="UMS619" s="268"/>
      <c r="UMT619" s="268"/>
      <c r="UMU619" s="268"/>
      <c r="UMV619" s="268"/>
      <c r="UMW619" s="268"/>
      <c r="UMX619" s="268"/>
      <c r="UMY619" s="268"/>
      <c r="UMZ619" s="268"/>
      <c r="UNA619" s="268"/>
      <c r="UNB619" s="268"/>
      <c r="UNC619" s="268"/>
      <c r="UND619" s="268"/>
      <c r="UNE619" s="268"/>
      <c r="UNF619" s="268"/>
      <c r="UNG619" s="268"/>
      <c r="UNH619" s="268"/>
      <c r="UNI619" s="268"/>
      <c r="UNJ619" s="268"/>
      <c r="UNK619" s="268"/>
      <c r="UNL619" s="268"/>
      <c r="UNM619" s="268"/>
      <c r="UNN619" s="268"/>
      <c r="UNO619" s="268"/>
      <c r="UNP619" s="268"/>
      <c r="UNQ619" s="268"/>
      <c r="UNR619" s="268"/>
      <c r="UNS619" s="268"/>
      <c r="UNT619" s="268"/>
      <c r="UNU619" s="268"/>
      <c r="UNV619" s="268"/>
      <c r="UNW619" s="268"/>
      <c r="UOK619" s="268"/>
      <c r="UOL619" s="268"/>
      <c r="UOM619" s="268"/>
      <c r="UPA619" s="268"/>
      <c r="UPC619" s="268"/>
      <c r="UPD619" s="268"/>
      <c r="UPE619" s="268"/>
      <c r="UPF619" s="268"/>
      <c r="UPG619" s="268"/>
      <c r="UPH619" s="268"/>
      <c r="UPI619" s="268"/>
      <c r="UPJ619" s="268"/>
      <c r="UPK619" s="268"/>
      <c r="UPL619" s="268"/>
      <c r="UPM619" s="268"/>
      <c r="UPN619" s="268"/>
      <c r="UPO619" s="268"/>
      <c r="UPP619" s="268"/>
      <c r="UPQ619" s="268"/>
      <c r="UPR619" s="268"/>
      <c r="UPS619" s="268"/>
      <c r="UPT619" s="268"/>
      <c r="UPU619" s="268"/>
      <c r="UPV619" s="268"/>
      <c r="UPW619" s="268"/>
      <c r="UPX619" s="268"/>
      <c r="UPY619" s="268"/>
      <c r="UPZ619" s="268"/>
      <c r="UQA619" s="268"/>
      <c r="UQB619" s="268"/>
      <c r="UQC619" s="268"/>
      <c r="UQD619" s="268"/>
      <c r="UQE619" s="268"/>
      <c r="UQF619" s="268"/>
      <c r="UQG619" s="268"/>
      <c r="UQH619" s="268"/>
      <c r="UQI619" s="268"/>
      <c r="UQJ619" s="268"/>
      <c r="UQK619" s="268"/>
      <c r="UQL619" s="268"/>
      <c r="UQM619" s="268"/>
      <c r="UQN619" s="268"/>
      <c r="UQO619" s="268"/>
      <c r="UQP619" s="268"/>
      <c r="UQQ619" s="268"/>
      <c r="UQR619" s="268"/>
      <c r="UQS619" s="268"/>
      <c r="UQT619" s="268"/>
      <c r="UQU619" s="268"/>
      <c r="UQV619" s="268"/>
      <c r="UQW619" s="268"/>
      <c r="UQX619" s="268"/>
      <c r="UQY619" s="268"/>
      <c r="UQZ619" s="268"/>
      <c r="URA619" s="268"/>
      <c r="URB619" s="268"/>
      <c r="URC619" s="268"/>
      <c r="URD619" s="268"/>
      <c r="URE619" s="268"/>
      <c r="URF619" s="268"/>
      <c r="URG619" s="268"/>
      <c r="URH619" s="268"/>
      <c r="URI619" s="268"/>
      <c r="URJ619" s="268"/>
      <c r="URK619" s="268"/>
      <c r="URL619" s="268"/>
      <c r="URM619" s="268"/>
      <c r="URN619" s="268"/>
      <c r="URO619" s="268"/>
      <c r="URP619" s="268"/>
      <c r="URQ619" s="268"/>
      <c r="URR619" s="268"/>
      <c r="URS619" s="268"/>
      <c r="URT619" s="268"/>
      <c r="URU619" s="268"/>
      <c r="URV619" s="268"/>
      <c r="URW619" s="268"/>
      <c r="URX619" s="268"/>
      <c r="URY619" s="268"/>
      <c r="URZ619" s="268"/>
      <c r="USA619" s="268"/>
      <c r="USB619" s="268"/>
      <c r="USC619" s="268"/>
      <c r="USD619" s="268"/>
      <c r="USE619" s="268"/>
      <c r="USF619" s="268"/>
      <c r="USG619" s="268"/>
      <c r="USH619" s="268"/>
      <c r="USI619" s="268"/>
      <c r="USJ619" s="268"/>
      <c r="USK619" s="268"/>
      <c r="USL619" s="268"/>
      <c r="USM619" s="268"/>
      <c r="USN619" s="268"/>
      <c r="USO619" s="268"/>
      <c r="USP619" s="268"/>
      <c r="USQ619" s="268"/>
      <c r="USR619" s="268"/>
      <c r="USS619" s="268"/>
      <c r="UST619" s="268"/>
      <c r="USU619" s="268"/>
      <c r="USV619" s="268"/>
      <c r="USW619" s="268"/>
      <c r="USX619" s="268"/>
      <c r="USY619" s="268"/>
      <c r="USZ619" s="268"/>
      <c r="UTA619" s="268"/>
      <c r="UTB619" s="268"/>
      <c r="UTC619" s="268"/>
      <c r="UTD619" s="268"/>
      <c r="UTE619" s="268"/>
      <c r="UTF619" s="268"/>
      <c r="UTG619" s="268"/>
      <c r="UTH619" s="268"/>
      <c r="UTI619" s="268"/>
      <c r="UTJ619" s="268"/>
      <c r="UTK619" s="268"/>
      <c r="UTL619" s="268"/>
      <c r="UTM619" s="268"/>
      <c r="UTN619" s="268"/>
      <c r="UTO619" s="268"/>
      <c r="UTP619" s="268"/>
      <c r="UTQ619" s="268"/>
      <c r="UTR619" s="268"/>
      <c r="UTS619" s="268"/>
      <c r="UTT619" s="268"/>
      <c r="UTU619" s="268"/>
      <c r="UTV619" s="268"/>
      <c r="UTW619" s="268"/>
      <c r="UTX619" s="268"/>
      <c r="UTY619" s="268"/>
      <c r="UTZ619" s="268"/>
      <c r="UUA619" s="268"/>
      <c r="UUB619" s="268"/>
      <c r="UUC619" s="268"/>
      <c r="UUD619" s="268"/>
      <c r="UUE619" s="268"/>
      <c r="UUF619" s="268"/>
      <c r="UUG619" s="268"/>
      <c r="UUH619" s="268"/>
      <c r="UUI619" s="268"/>
      <c r="UUJ619" s="268"/>
      <c r="UUK619" s="268"/>
      <c r="UUL619" s="268"/>
      <c r="UUM619" s="268"/>
      <c r="UUN619" s="268"/>
      <c r="UUO619" s="268"/>
      <c r="UUP619" s="268"/>
      <c r="UUQ619" s="268"/>
      <c r="UUR619" s="268"/>
      <c r="UUS619" s="268"/>
      <c r="UUT619" s="268"/>
      <c r="UUU619" s="268"/>
      <c r="UUV619" s="268"/>
      <c r="UUW619" s="268"/>
      <c r="UUX619" s="268"/>
      <c r="UUY619" s="268"/>
      <c r="UUZ619" s="268"/>
      <c r="UVA619" s="268"/>
      <c r="UVB619" s="268"/>
      <c r="UVC619" s="268"/>
      <c r="UVD619" s="268"/>
      <c r="UVE619" s="268"/>
      <c r="UVF619" s="268"/>
      <c r="UVG619" s="268"/>
      <c r="UVH619" s="268"/>
      <c r="UVI619" s="268"/>
      <c r="UVJ619" s="268"/>
      <c r="UVK619" s="268"/>
      <c r="UVL619" s="268"/>
      <c r="UVM619" s="268"/>
      <c r="UVN619" s="268"/>
      <c r="UVO619" s="268"/>
      <c r="UVP619" s="268"/>
      <c r="UVQ619" s="268"/>
      <c r="UVR619" s="268"/>
      <c r="UVS619" s="268"/>
      <c r="UVT619" s="268"/>
      <c r="UVU619" s="268"/>
      <c r="UVV619" s="268"/>
      <c r="UVW619" s="268"/>
      <c r="UVX619" s="268"/>
      <c r="UVY619" s="268"/>
      <c r="UVZ619" s="268"/>
      <c r="UWA619" s="268"/>
      <c r="UWB619" s="268"/>
      <c r="UWC619" s="268"/>
      <c r="UWD619" s="268"/>
      <c r="UWE619" s="268"/>
      <c r="UWF619" s="268"/>
      <c r="UWG619" s="268"/>
      <c r="UWH619" s="268"/>
      <c r="UWI619" s="268"/>
      <c r="UWJ619" s="268"/>
      <c r="UWK619" s="268"/>
      <c r="UWL619" s="268"/>
      <c r="UWM619" s="268"/>
      <c r="UWN619" s="268"/>
      <c r="UWO619" s="268"/>
      <c r="UWP619" s="268"/>
      <c r="UWQ619" s="268"/>
      <c r="UWR619" s="268"/>
      <c r="UWS619" s="268"/>
      <c r="UWT619" s="268"/>
      <c r="UWU619" s="268"/>
      <c r="UWV619" s="268"/>
      <c r="UWW619" s="268"/>
      <c r="UWX619" s="268"/>
      <c r="UWY619" s="268"/>
      <c r="UWZ619" s="268"/>
      <c r="UXA619" s="268"/>
      <c r="UXB619" s="268"/>
      <c r="UXC619" s="268"/>
      <c r="UXD619" s="268"/>
      <c r="UXE619" s="268"/>
      <c r="UXF619" s="268"/>
      <c r="UXG619" s="268"/>
      <c r="UXH619" s="268"/>
      <c r="UXI619" s="268"/>
      <c r="UXJ619" s="268"/>
      <c r="UXK619" s="268"/>
      <c r="UXL619" s="268"/>
      <c r="UXM619" s="268"/>
      <c r="UXN619" s="268"/>
      <c r="UXO619" s="268"/>
      <c r="UXP619" s="268"/>
      <c r="UXQ619" s="268"/>
      <c r="UXR619" s="268"/>
      <c r="UXS619" s="268"/>
      <c r="UYG619" s="268"/>
      <c r="UYH619" s="268"/>
      <c r="UYI619" s="268"/>
      <c r="UYW619" s="268"/>
      <c r="UYY619" s="268"/>
      <c r="UYZ619" s="268"/>
      <c r="UZA619" s="268"/>
      <c r="UZB619" s="268"/>
      <c r="UZC619" s="268"/>
      <c r="UZD619" s="268"/>
      <c r="UZE619" s="268"/>
      <c r="UZF619" s="268"/>
      <c r="UZG619" s="268"/>
      <c r="UZH619" s="268"/>
      <c r="UZI619" s="268"/>
      <c r="UZJ619" s="268"/>
      <c r="UZK619" s="268"/>
      <c r="UZL619" s="268"/>
      <c r="UZM619" s="268"/>
      <c r="UZN619" s="268"/>
      <c r="UZO619" s="268"/>
      <c r="UZP619" s="268"/>
      <c r="UZQ619" s="268"/>
      <c r="UZR619" s="268"/>
      <c r="UZS619" s="268"/>
      <c r="UZT619" s="268"/>
      <c r="UZU619" s="268"/>
      <c r="UZV619" s="268"/>
      <c r="UZW619" s="268"/>
      <c r="UZX619" s="268"/>
      <c r="UZY619" s="268"/>
      <c r="UZZ619" s="268"/>
      <c r="VAA619" s="268"/>
      <c r="VAB619" s="268"/>
      <c r="VAC619" s="268"/>
      <c r="VAD619" s="268"/>
      <c r="VAE619" s="268"/>
      <c r="VAF619" s="268"/>
      <c r="VAG619" s="268"/>
      <c r="VAH619" s="268"/>
      <c r="VAI619" s="268"/>
      <c r="VAJ619" s="268"/>
      <c r="VAK619" s="268"/>
      <c r="VAL619" s="268"/>
      <c r="VAM619" s="268"/>
      <c r="VAN619" s="268"/>
      <c r="VAO619" s="268"/>
      <c r="VAP619" s="268"/>
      <c r="VAQ619" s="268"/>
      <c r="VAR619" s="268"/>
      <c r="VAS619" s="268"/>
      <c r="VAT619" s="268"/>
      <c r="VAU619" s="268"/>
      <c r="VAV619" s="268"/>
      <c r="VAW619" s="268"/>
      <c r="VAX619" s="268"/>
      <c r="VAY619" s="268"/>
      <c r="VAZ619" s="268"/>
      <c r="VBA619" s="268"/>
      <c r="VBB619" s="268"/>
      <c r="VBC619" s="268"/>
      <c r="VBD619" s="268"/>
      <c r="VBE619" s="268"/>
      <c r="VBF619" s="268"/>
      <c r="VBG619" s="268"/>
      <c r="VBH619" s="268"/>
      <c r="VBI619" s="268"/>
      <c r="VBJ619" s="268"/>
      <c r="VBK619" s="268"/>
      <c r="VBL619" s="268"/>
      <c r="VBM619" s="268"/>
      <c r="VBN619" s="268"/>
      <c r="VBO619" s="268"/>
      <c r="VBP619" s="268"/>
      <c r="VBQ619" s="268"/>
      <c r="VBR619" s="268"/>
      <c r="VBS619" s="268"/>
      <c r="VBT619" s="268"/>
      <c r="VBU619" s="268"/>
      <c r="VBV619" s="268"/>
      <c r="VBW619" s="268"/>
      <c r="VBX619" s="268"/>
      <c r="VBY619" s="268"/>
      <c r="VBZ619" s="268"/>
      <c r="VCA619" s="268"/>
      <c r="VCB619" s="268"/>
      <c r="VCC619" s="268"/>
      <c r="VCD619" s="268"/>
      <c r="VCE619" s="268"/>
      <c r="VCF619" s="268"/>
      <c r="VCG619" s="268"/>
      <c r="VCH619" s="268"/>
      <c r="VCI619" s="268"/>
      <c r="VCJ619" s="268"/>
      <c r="VCK619" s="268"/>
      <c r="VCL619" s="268"/>
      <c r="VCM619" s="268"/>
      <c r="VCN619" s="268"/>
      <c r="VCO619" s="268"/>
      <c r="VCP619" s="268"/>
      <c r="VCQ619" s="268"/>
      <c r="VCR619" s="268"/>
      <c r="VCS619" s="268"/>
      <c r="VCT619" s="268"/>
      <c r="VCU619" s="268"/>
      <c r="VCV619" s="268"/>
      <c r="VCW619" s="268"/>
      <c r="VCX619" s="268"/>
      <c r="VCY619" s="268"/>
      <c r="VCZ619" s="268"/>
      <c r="VDA619" s="268"/>
      <c r="VDB619" s="268"/>
      <c r="VDC619" s="268"/>
      <c r="VDD619" s="268"/>
      <c r="VDE619" s="268"/>
      <c r="VDF619" s="268"/>
      <c r="VDG619" s="268"/>
      <c r="VDH619" s="268"/>
      <c r="VDI619" s="268"/>
      <c r="VDJ619" s="268"/>
      <c r="VDK619" s="268"/>
      <c r="VDL619" s="268"/>
      <c r="VDM619" s="268"/>
      <c r="VDN619" s="268"/>
      <c r="VDO619" s="268"/>
      <c r="VDP619" s="268"/>
      <c r="VDQ619" s="268"/>
      <c r="VDR619" s="268"/>
      <c r="VDS619" s="268"/>
      <c r="VDT619" s="268"/>
      <c r="VDU619" s="268"/>
      <c r="VDV619" s="268"/>
      <c r="VDW619" s="268"/>
      <c r="VDX619" s="268"/>
      <c r="VDY619" s="268"/>
      <c r="VDZ619" s="268"/>
      <c r="VEA619" s="268"/>
      <c r="VEB619" s="268"/>
      <c r="VEC619" s="268"/>
      <c r="VED619" s="268"/>
      <c r="VEE619" s="268"/>
      <c r="VEF619" s="268"/>
      <c r="VEG619" s="268"/>
      <c r="VEH619" s="268"/>
      <c r="VEI619" s="268"/>
      <c r="VEJ619" s="268"/>
      <c r="VEK619" s="268"/>
      <c r="VEL619" s="268"/>
      <c r="VEM619" s="268"/>
      <c r="VEN619" s="268"/>
      <c r="VEO619" s="268"/>
      <c r="VEP619" s="268"/>
      <c r="VEQ619" s="268"/>
      <c r="VER619" s="268"/>
      <c r="VES619" s="268"/>
      <c r="VET619" s="268"/>
      <c r="VEU619" s="268"/>
      <c r="VEV619" s="268"/>
      <c r="VEW619" s="268"/>
      <c r="VEX619" s="268"/>
      <c r="VEY619" s="268"/>
      <c r="VEZ619" s="268"/>
      <c r="VFA619" s="268"/>
      <c r="VFB619" s="268"/>
      <c r="VFC619" s="268"/>
      <c r="VFD619" s="268"/>
      <c r="VFE619" s="268"/>
      <c r="VFF619" s="268"/>
      <c r="VFG619" s="268"/>
      <c r="VFH619" s="268"/>
      <c r="VFI619" s="268"/>
      <c r="VFJ619" s="268"/>
      <c r="VFK619" s="268"/>
      <c r="VFL619" s="268"/>
      <c r="VFM619" s="268"/>
      <c r="VFN619" s="268"/>
      <c r="VFO619" s="268"/>
      <c r="VFP619" s="268"/>
      <c r="VFQ619" s="268"/>
      <c r="VFR619" s="268"/>
      <c r="VFS619" s="268"/>
      <c r="VFT619" s="268"/>
      <c r="VFU619" s="268"/>
      <c r="VFV619" s="268"/>
      <c r="VFW619" s="268"/>
      <c r="VFX619" s="268"/>
      <c r="VFY619" s="268"/>
      <c r="VFZ619" s="268"/>
      <c r="VGA619" s="268"/>
      <c r="VGB619" s="268"/>
      <c r="VGC619" s="268"/>
      <c r="VGD619" s="268"/>
      <c r="VGE619" s="268"/>
      <c r="VGF619" s="268"/>
      <c r="VGG619" s="268"/>
      <c r="VGH619" s="268"/>
      <c r="VGI619" s="268"/>
      <c r="VGJ619" s="268"/>
      <c r="VGK619" s="268"/>
      <c r="VGL619" s="268"/>
      <c r="VGM619" s="268"/>
      <c r="VGN619" s="268"/>
      <c r="VGO619" s="268"/>
      <c r="VGP619" s="268"/>
      <c r="VGQ619" s="268"/>
      <c r="VGR619" s="268"/>
      <c r="VGS619" s="268"/>
      <c r="VGT619" s="268"/>
      <c r="VGU619" s="268"/>
      <c r="VGV619" s="268"/>
      <c r="VGW619" s="268"/>
      <c r="VGX619" s="268"/>
      <c r="VGY619" s="268"/>
      <c r="VGZ619" s="268"/>
      <c r="VHA619" s="268"/>
      <c r="VHB619" s="268"/>
      <c r="VHC619" s="268"/>
      <c r="VHD619" s="268"/>
      <c r="VHE619" s="268"/>
      <c r="VHF619" s="268"/>
      <c r="VHG619" s="268"/>
      <c r="VHH619" s="268"/>
      <c r="VHI619" s="268"/>
      <c r="VHJ619" s="268"/>
      <c r="VHK619" s="268"/>
      <c r="VHL619" s="268"/>
      <c r="VHM619" s="268"/>
      <c r="VHN619" s="268"/>
      <c r="VHO619" s="268"/>
      <c r="VIC619" s="268"/>
      <c r="VID619" s="268"/>
      <c r="VIE619" s="268"/>
      <c r="VIS619" s="268"/>
      <c r="VIU619" s="268"/>
      <c r="VIV619" s="268"/>
      <c r="VIW619" s="268"/>
      <c r="VIX619" s="268"/>
      <c r="VIY619" s="268"/>
      <c r="VIZ619" s="268"/>
      <c r="VJA619" s="268"/>
      <c r="VJB619" s="268"/>
      <c r="VJC619" s="268"/>
      <c r="VJD619" s="268"/>
      <c r="VJE619" s="268"/>
      <c r="VJF619" s="268"/>
      <c r="VJG619" s="268"/>
      <c r="VJH619" s="268"/>
      <c r="VJI619" s="268"/>
      <c r="VJJ619" s="268"/>
      <c r="VJK619" s="268"/>
      <c r="VJL619" s="268"/>
      <c r="VJM619" s="268"/>
      <c r="VJN619" s="268"/>
      <c r="VJO619" s="268"/>
      <c r="VJP619" s="268"/>
      <c r="VJQ619" s="268"/>
      <c r="VJR619" s="268"/>
      <c r="VJS619" s="268"/>
      <c r="VJT619" s="268"/>
      <c r="VJU619" s="268"/>
      <c r="VJV619" s="268"/>
      <c r="VJW619" s="268"/>
      <c r="VJX619" s="268"/>
      <c r="VJY619" s="268"/>
      <c r="VJZ619" s="268"/>
      <c r="VKA619" s="268"/>
      <c r="VKB619" s="268"/>
      <c r="VKC619" s="268"/>
      <c r="VKD619" s="268"/>
      <c r="VKE619" s="268"/>
      <c r="VKF619" s="268"/>
      <c r="VKG619" s="268"/>
      <c r="VKH619" s="268"/>
      <c r="VKI619" s="268"/>
      <c r="VKJ619" s="268"/>
      <c r="VKK619" s="268"/>
      <c r="VKL619" s="268"/>
      <c r="VKM619" s="268"/>
      <c r="VKN619" s="268"/>
      <c r="VKO619" s="268"/>
      <c r="VKP619" s="268"/>
      <c r="VKQ619" s="268"/>
      <c r="VKR619" s="268"/>
      <c r="VKS619" s="268"/>
      <c r="VKT619" s="268"/>
      <c r="VKU619" s="268"/>
      <c r="VKV619" s="268"/>
      <c r="VKW619" s="268"/>
      <c r="VKX619" s="268"/>
      <c r="VKY619" s="268"/>
      <c r="VKZ619" s="268"/>
      <c r="VLA619" s="268"/>
      <c r="VLB619" s="268"/>
      <c r="VLC619" s="268"/>
      <c r="VLD619" s="268"/>
      <c r="VLE619" s="268"/>
      <c r="VLF619" s="268"/>
      <c r="VLG619" s="268"/>
      <c r="VLH619" s="268"/>
      <c r="VLI619" s="268"/>
      <c r="VLJ619" s="268"/>
      <c r="VLK619" s="268"/>
      <c r="VLL619" s="268"/>
      <c r="VLM619" s="268"/>
      <c r="VLN619" s="268"/>
      <c r="VLO619" s="268"/>
      <c r="VLP619" s="268"/>
      <c r="VLQ619" s="268"/>
      <c r="VLR619" s="268"/>
      <c r="VLS619" s="268"/>
      <c r="VLT619" s="268"/>
      <c r="VLU619" s="268"/>
      <c r="VLV619" s="268"/>
      <c r="VLW619" s="268"/>
      <c r="VLX619" s="268"/>
      <c r="VLY619" s="268"/>
      <c r="VLZ619" s="268"/>
      <c r="VMA619" s="268"/>
      <c r="VMB619" s="268"/>
      <c r="VMC619" s="268"/>
      <c r="VMD619" s="268"/>
      <c r="VME619" s="268"/>
      <c r="VMF619" s="268"/>
      <c r="VMG619" s="268"/>
      <c r="VMH619" s="268"/>
      <c r="VMI619" s="268"/>
      <c r="VMJ619" s="268"/>
      <c r="VMK619" s="268"/>
      <c r="VML619" s="268"/>
      <c r="VMM619" s="268"/>
      <c r="VMN619" s="268"/>
      <c r="VMO619" s="268"/>
      <c r="VMP619" s="268"/>
      <c r="VMQ619" s="268"/>
      <c r="VMR619" s="268"/>
      <c r="VMS619" s="268"/>
      <c r="VMT619" s="268"/>
      <c r="VMU619" s="268"/>
      <c r="VMV619" s="268"/>
      <c r="VMW619" s="268"/>
      <c r="VMX619" s="268"/>
      <c r="VMY619" s="268"/>
      <c r="VMZ619" s="268"/>
      <c r="VNA619" s="268"/>
      <c r="VNB619" s="268"/>
      <c r="VNC619" s="268"/>
      <c r="VND619" s="268"/>
      <c r="VNE619" s="268"/>
      <c r="VNF619" s="268"/>
      <c r="VNG619" s="268"/>
      <c r="VNH619" s="268"/>
      <c r="VNI619" s="268"/>
      <c r="VNJ619" s="268"/>
      <c r="VNK619" s="268"/>
      <c r="VNL619" s="268"/>
      <c r="VNM619" s="268"/>
      <c r="VNN619" s="268"/>
      <c r="VNO619" s="268"/>
      <c r="VNP619" s="268"/>
      <c r="VNQ619" s="268"/>
      <c r="VNR619" s="268"/>
      <c r="VNS619" s="268"/>
      <c r="VNT619" s="268"/>
      <c r="VNU619" s="268"/>
      <c r="VNV619" s="268"/>
      <c r="VNW619" s="268"/>
      <c r="VNX619" s="268"/>
      <c r="VNY619" s="268"/>
      <c r="VNZ619" s="268"/>
      <c r="VOA619" s="268"/>
      <c r="VOB619" s="268"/>
      <c r="VOC619" s="268"/>
      <c r="VOD619" s="268"/>
      <c r="VOE619" s="268"/>
      <c r="VOF619" s="268"/>
      <c r="VOG619" s="268"/>
      <c r="VOH619" s="268"/>
      <c r="VOI619" s="268"/>
      <c r="VOJ619" s="268"/>
      <c r="VOK619" s="268"/>
      <c r="VOL619" s="268"/>
      <c r="VOM619" s="268"/>
      <c r="VON619" s="268"/>
      <c r="VOO619" s="268"/>
      <c r="VOP619" s="268"/>
      <c r="VOQ619" s="268"/>
      <c r="VOR619" s="268"/>
      <c r="VOS619" s="268"/>
      <c r="VOT619" s="268"/>
      <c r="VOU619" s="268"/>
      <c r="VOV619" s="268"/>
      <c r="VOW619" s="268"/>
      <c r="VOX619" s="268"/>
      <c r="VOY619" s="268"/>
      <c r="VOZ619" s="268"/>
      <c r="VPA619" s="268"/>
      <c r="VPB619" s="268"/>
      <c r="VPC619" s="268"/>
      <c r="VPD619" s="268"/>
      <c r="VPE619" s="268"/>
      <c r="VPF619" s="268"/>
      <c r="VPG619" s="268"/>
      <c r="VPH619" s="268"/>
      <c r="VPI619" s="268"/>
      <c r="VPJ619" s="268"/>
      <c r="VPK619" s="268"/>
      <c r="VPL619" s="268"/>
      <c r="VPM619" s="268"/>
      <c r="VPN619" s="268"/>
      <c r="VPO619" s="268"/>
      <c r="VPP619" s="268"/>
      <c r="VPQ619" s="268"/>
      <c r="VPR619" s="268"/>
      <c r="VPS619" s="268"/>
      <c r="VPT619" s="268"/>
      <c r="VPU619" s="268"/>
      <c r="VPV619" s="268"/>
      <c r="VPW619" s="268"/>
      <c r="VPX619" s="268"/>
      <c r="VPY619" s="268"/>
      <c r="VPZ619" s="268"/>
      <c r="VQA619" s="268"/>
      <c r="VQB619" s="268"/>
      <c r="VQC619" s="268"/>
      <c r="VQD619" s="268"/>
      <c r="VQE619" s="268"/>
      <c r="VQF619" s="268"/>
      <c r="VQG619" s="268"/>
      <c r="VQH619" s="268"/>
      <c r="VQI619" s="268"/>
      <c r="VQJ619" s="268"/>
      <c r="VQK619" s="268"/>
      <c r="VQL619" s="268"/>
      <c r="VQM619" s="268"/>
      <c r="VQN619" s="268"/>
      <c r="VQO619" s="268"/>
      <c r="VQP619" s="268"/>
      <c r="VQQ619" s="268"/>
      <c r="VQR619" s="268"/>
      <c r="VQS619" s="268"/>
      <c r="VQT619" s="268"/>
      <c r="VQU619" s="268"/>
      <c r="VQV619" s="268"/>
      <c r="VQW619" s="268"/>
      <c r="VQX619" s="268"/>
      <c r="VQY619" s="268"/>
      <c r="VQZ619" s="268"/>
      <c r="VRA619" s="268"/>
      <c r="VRB619" s="268"/>
      <c r="VRC619" s="268"/>
      <c r="VRD619" s="268"/>
      <c r="VRE619" s="268"/>
      <c r="VRF619" s="268"/>
      <c r="VRG619" s="268"/>
      <c r="VRH619" s="268"/>
      <c r="VRI619" s="268"/>
      <c r="VRJ619" s="268"/>
      <c r="VRK619" s="268"/>
      <c r="VRY619" s="268"/>
      <c r="VRZ619" s="268"/>
      <c r="VSA619" s="268"/>
      <c r="VSO619" s="268"/>
      <c r="VSQ619" s="268"/>
      <c r="VSR619" s="268"/>
      <c r="VSS619" s="268"/>
      <c r="VST619" s="268"/>
      <c r="VSU619" s="268"/>
      <c r="VSV619" s="268"/>
      <c r="VSW619" s="268"/>
      <c r="VSX619" s="268"/>
      <c r="VSY619" s="268"/>
      <c r="VSZ619" s="268"/>
      <c r="VTA619" s="268"/>
      <c r="VTB619" s="268"/>
      <c r="VTC619" s="268"/>
      <c r="VTD619" s="268"/>
      <c r="VTE619" s="268"/>
      <c r="VTF619" s="268"/>
      <c r="VTG619" s="268"/>
      <c r="VTH619" s="268"/>
      <c r="VTI619" s="268"/>
      <c r="VTJ619" s="268"/>
      <c r="VTK619" s="268"/>
      <c r="VTL619" s="268"/>
      <c r="VTM619" s="268"/>
      <c r="VTN619" s="268"/>
      <c r="VTO619" s="268"/>
      <c r="VTP619" s="268"/>
      <c r="VTQ619" s="268"/>
      <c r="VTR619" s="268"/>
      <c r="VTS619" s="268"/>
      <c r="VTT619" s="268"/>
      <c r="VTU619" s="268"/>
      <c r="VTV619" s="268"/>
      <c r="VTW619" s="268"/>
      <c r="VTX619" s="268"/>
      <c r="VTY619" s="268"/>
      <c r="VTZ619" s="268"/>
      <c r="VUA619" s="268"/>
      <c r="VUB619" s="268"/>
      <c r="VUC619" s="268"/>
      <c r="VUD619" s="268"/>
      <c r="VUE619" s="268"/>
      <c r="VUF619" s="268"/>
      <c r="VUG619" s="268"/>
      <c r="VUH619" s="268"/>
      <c r="VUI619" s="268"/>
      <c r="VUJ619" s="268"/>
      <c r="VUK619" s="268"/>
      <c r="VUL619" s="268"/>
      <c r="VUM619" s="268"/>
      <c r="VUN619" s="268"/>
      <c r="VUO619" s="268"/>
      <c r="VUP619" s="268"/>
      <c r="VUQ619" s="268"/>
      <c r="VUR619" s="268"/>
      <c r="VUS619" s="268"/>
      <c r="VUT619" s="268"/>
      <c r="VUU619" s="268"/>
      <c r="VUV619" s="268"/>
      <c r="VUW619" s="268"/>
      <c r="VUX619" s="268"/>
      <c r="VUY619" s="268"/>
      <c r="VUZ619" s="268"/>
      <c r="VVA619" s="268"/>
      <c r="VVB619" s="268"/>
      <c r="VVC619" s="268"/>
      <c r="VVD619" s="268"/>
      <c r="VVE619" s="268"/>
      <c r="VVF619" s="268"/>
      <c r="VVG619" s="268"/>
      <c r="VVH619" s="268"/>
      <c r="VVI619" s="268"/>
      <c r="VVJ619" s="268"/>
      <c r="VVK619" s="268"/>
      <c r="VVL619" s="268"/>
      <c r="VVM619" s="268"/>
      <c r="VVN619" s="268"/>
      <c r="VVO619" s="268"/>
      <c r="VVP619" s="268"/>
      <c r="VVQ619" s="268"/>
      <c r="VVR619" s="268"/>
      <c r="VVS619" s="268"/>
      <c r="VVT619" s="268"/>
      <c r="VVU619" s="268"/>
      <c r="VVV619" s="268"/>
      <c r="VVW619" s="268"/>
      <c r="VVX619" s="268"/>
      <c r="VVY619" s="268"/>
      <c r="VVZ619" s="268"/>
      <c r="VWA619" s="268"/>
      <c r="VWB619" s="268"/>
      <c r="VWC619" s="268"/>
      <c r="VWD619" s="268"/>
      <c r="VWE619" s="268"/>
      <c r="VWF619" s="268"/>
      <c r="VWG619" s="268"/>
      <c r="VWH619" s="268"/>
      <c r="VWI619" s="268"/>
      <c r="VWJ619" s="268"/>
      <c r="VWK619" s="268"/>
      <c r="VWL619" s="268"/>
      <c r="VWM619" s="268"/>
      <c r="VWN619" s="268"/>
      <c r="VWO619" s="268"/>
      <c r="VWP619" s="268"/>
      <c r="VWQ619" s="268"/>
      <c r="VWR619" s="268"/>
      <c r="VWS619" s="268"/>
      <c r="VWT619" s="268"/>
      <c r="VWU619" s="268"/>
      <c r="VWV619" s="268"/>
      <c r="VWW619" s="268"/>
      <c r="VWX619" s="268"/>
      <c r="VWY619" s="268"/>
      <c r="VWZ619" s="268"/>
      <c r="VXA619" s="268"/>
      <c r="VXB619" s="268"/>
      <c r="VXC619" s="268"/>
      <c r="VXD619" s="268"/>
      <c r="VXE619" s="268"/>
      <c r="VXF619" s="268"/>
      <c r="VXG619" s="268"/>
      <c r="VXH619" s="268"/>
      <c r="VXI619" s="268"/>
      <c r="VXJ619" s="268"/>
      <c r="VXK619" s="268"/>
      <c r="VXL619" s="268"/>
      <c r="VXM619" s="268"/>
      <c r="VXN619" s="268"/>
      <c r="VXO619" s="268"/>
      <c r="VXP619" s="268"/>
      <c r="VXQ619" s="268"/>
      <c r="VXR619" s="268"/>
      <c r="VXS619" s="268"/>
      <c r="VXT619" s="268"/>
      <c r="VXU619" s="268"/>
      <c r="VXV619" s="268"/>
      <c r="VXW619" s="268"/>
      <c r="VXX619" s="268"/>
      <c r="VXY619" s="268"/>
      <c r="VXZ619" s="268"/>
      <c r="VYA619" s="268"/>
      <c r="VYB619" s="268"/>
      <c r="VYC619" s="268"/>
      <c r="VYD619" s="268"/>
      <c r="VYE619" s="268"/>
      <c r="VYF619" s="268"/>
      <c r="VYG619" s="268"/>
      <c r="VYH619" s="268"/>
      <c r="VYI619" s="268"/>
      <c r="VYJ619" s="268"/>
      <c r="VYK619" s="268"/>
      <c r="VYL619" s="268"/>
      <c r="VYM619" s="268"/>
      <c r="VYN619" s="268"/>
      <c r="VYO619" s="268"/>
      <c r="VYP619" s="268"/>
      <c r="VYQ619" s="268"/>
      <c r="VYR619" s="268"/>
      <c r="VYS619" s="268"/>
      <c r="VYT619" s="268"/>
      <c r="VYU619" s="268"/>
      <c r="VYV619" s="268"/>
      <c r="VYW619" s="268"/>
      <c r="VYX619" s="268"/>
      <c r="VYY619" s="268"/>
      <c r="VYZ619" s="268"/>
      <c r="VZA619" s="268"/>
      <c r="VZB619" s="268"/>
      <c r="VZC619" s="268"/>
      <c r="VZD619" s="268"/>
      <c r="VZE619" s="268"/>
      <c r="VZF619" s="268"/>
      <c r="VZG619" s="268"/>
      <c r="VZH619" s="268"/>
      <c r="VZI619" s="268"/>
      <c r="VZJ619" s="268"/>
      <c r="VZK619" s="268"/>
      <c r="VZL619" s="268"/>
      <c r="VZM619" s="268"/>
      <c r="VZN619" s="268"/>
      <c r="VZO619" s="268"/>
      <c r="VZP619" s="268"/>
      <c r="VZQ619" s="268"/>
      <c r="VZR619" s="268"/>
      <c r="VZS619" s="268"/>
      <c r="VZT619" s="268"/>
      <c r="VZU619" s="268"/>
      <c r="VZV619" s="268"/>
      <c r="VZW619" s="268"/>
      <c r="VZX619" s="268"/>
      <c r="VZY619" s="268"/>
      <c r="VZZ619" s="268"/>
      <c r="WAA619" s="268"/>
      <c r="WAB619" s="268"/>
      <c r="WAC619" s="268"/>
      <c r="WAD619" s="268"/>
      <c r="WAE619" s="268"/>
      <c r="WAF619" s="268"/>
      <c r="WAG619" s="268"/>
      <c r="WAH619" s="268"/>
      <c r="WAI619" s="268"/>
      <c r="WAJ619" s="268"/>
      <c r="WAK619" s="268"/>
      <c r="WAL619" s="268"/>
      <c r="WAM619" s="268"/>
      <c r="WAN619" s="268"/>
      <c r="WAO619" s="268"/>
      <c r="WAP619" s="268"/>
      <c r="WAQ619" s="268"/>
      <c r="WAR619" s="268"/>
      <c r="WAS619" s="268"/>
      <c r="WAT619" s="268"/>
      <c r="WAU619" s="268"/>
      <c r="WAV619" s="268"/>
      <c r="WAW619" s="268"/>
      <c r="WAX619" s="268"/>
      <c r="WAY619" s="268"/>
      <c r="WAZ619" s="268"/>
      <c r="WBA619" s="268"/>
      <c r="WBB619" s="268"/>
      <c r="WBC619" s="268"/>
      <c r="WBD619" s="268"/>
      <c r="WBE619" s="268"/>
      <c r="WBF619" s="268"/>
      <c r="WBG619" s="268"/>
      <c r="WBU619" s="268"/>
      <c r="WBV619" s="268"/>
      <c r="WBW619" s="268"/>
      <c r="WCK619" s="268"/>
      <c r="WCM619" s="268"/>
      <c r="WCN619" s="268"/>
      <c r="WCO619" s="268"/>
      <c r="WCP619" s="268"/>
      <c r="WCQ619" s="268"/>
      <c r="WCR619" s="268"/>
      <c r="WCS619" s="268"/>
      <c r="WCT619" s="268"/>
      <c r="WCU619" s="268"/>
      <c r="WCV619" s="268"/>
      <c r="WCW619" s="268"/>
      <c r="WCX619" s="268"/>
      <c r="WCY619" s="268"/>
      <c r="WCZ619" s="268"/>
      <c r="WDA619" s="268"/>
      <c r="WDB619" s="268"/>
      <c r="WDC619" s="268"/>
      <c r="WDD619" s="268"/>
      <c r="WDE619" s="268"/>
      <c r="WDF619" s="268"/>
      <c r="WDG619" s="268"/>
      <c r="WDH619" s="268"/>
      <c r="WDI619" s="268"/>
      <c r="WDJ619" s="268"/>
      <c r="WDK619" s="268"/>
      <c r="WDL619" s="268"/>
      <c r="WDM619" s="268"/>
      <c r="WDN619" s="268"/>
      <c r="WDO619" s="268"/>
      <c r="WDP619" s="268"/>
      <c r="WDQ619" s="268"/>
      <c r="WDR619" s="268"/>
      <c r="WDS619" s="268"/>
      <c r="WDT619" s="268"/>
      <c r="WDU619" s="268"/>
      <c r="WDV619" s="268"/>
      <c r="WDW619" s="268"/>
      <c r="WDX619" s="268"/>
      <c r="WDY619" s="268"/>
      <c r="WDZ619" s="268"/>
      <c r="WEA619" s="268"/>
      <c r="WEB619" s="268"/>
      <c r="WEC619" s="268"/>
      <c r="WED619" s="268"/>
      <c r="WEE619" s="268"/>
      <c r="WEF619" s="268"/>
      <c r="WEG619" s="268"/>
      <c r="WEH619" s="268"/>
      <c r="WEI619" s="268"/>
      <c r="WEJ619" s="268"/>
      <c r="WEK619" s="268"/>
      <c r="WEL619" s="268"/>
      <c r="WEM619" s="268"/>
      <c r="WEN619" s="268"/>
      <c r="WEO619" s="268"/>
      <c r="WEP619" s="268"/>
      <c r="WEQ619" s="268"/>
      <c r="WER619" s="268"/>
      <c r="WES619" s="268"/>
      <c r="WET619" s="268"/>
      <c r="WEU619" s="268"/>
      <c r="WEV619" s="268"/>
      <c r="WEW619" s="268"/>
      <c r="WEX619" s="268"/>
      <c r="WEY619" s="268"/>
      <c r="WEZ619" s="268"/>
      <c r="WFA619" s="268"/>
      <c r="WFB619" s="268"/>
      <c r="WFC619" s="268"/>
      <c r="WFD619" s="268"/>
      <c r="WFE619" s="268"/>
      <c r="WFF619" s="268"/>
      <c r="WFG619" s="268"/>
      <c r="WFH619" s="268"/>
      <c r="WFI619" s="268"/>
      <c r="WFJ619" s="268"/>
      <c r="WFK619" s="268"/>
      <c r="WFL619" s="268"/>
      <c r="WFM619" s="268"/>
      <c r="WFN619" s="268"/>
      <c r="WFO619" s="268"/>
      <c r="WFP619" s="268"/>
      <c r="WFQ619" s="268"/>
      <c r="WFR619" s="268"/>
      <c r="WFS619" s="268"/>
      <c r="WFT619" s="268"/>
      <c r="WFU619" s="268"/>
      <c r="WFV619" s="268"/>
      <c r="WFW619" s="268"/>
      <c r="WFX619" s="268"/>
      <c r="WFY619" s="268"/>
      <c r="WFZ619" s="268"/>
      <c r="WGA619" s="268"/>
      <c r="WGB619" s="268"/>
      <c r="WGC619" s="268"/>
      <c r="WGD619" s="268"/>
      <c r="WGE619" s="268"/>
      <c r="WGF619" s="268"/>
      <c r="WGG619" s="268"/>
      <c r="WGH619" s="268"/>
      <c r="WGI619" s="268"/>
      <c r="WGJ619" s="268"/>
      <c r="WGK619" s="268"/>
      <c r="WGL619" s="268"/>
      <c r="WGM619" s="268"/>
      <c r="WGN619" s="268"/>
      <c r="WGO619" s="268"/>
      <c r="WGP619" s="268"/>
      <c r="WGQ619" s="268"/>
      <c r="WGR619" s="268"/>
      <c r="WGS619" s="268"/>
      <c r="WGT619" s="268"/>
      <c r="WGU619" s="268"/>
      <c r="WGV619" s="268"/>
      <c r="WGW619" s="268"/>
      <c r="WGX619" s="268"/>
      <c r="WGY619" s="268"/>
      <c r="WGZ619" s="268"/>
      <c r="WHA619" s="268"/>
      <c r="WHB619" s="268"/>
      <c r="WHC619" s="268"/>
      <c r="WHD619" s="268"/>
      <c r="WHE619" s="268"/>
      <c r="WHF619" s="268"/>
      <c r="WHG619" s="268"/>
      <c r="WHH619" s="268"/>
      <c r="WHI619" s="268"/>
      <c r="WHJ619" s="268"/>
      <c r="WHK619" s="268"/>
      <c r="WHL619" s="268"/>
      <c r="WHM619" s="268"/>
      <c r="WHN619" s="268"/>
      <c r="WHO619" s="268"/>
      <c r="WHP619" s="268"/>
      <c r="WHQ619" s="268"/>
      <c r="WHR619" s="268"/>
      <c r="WHS619" s="268"/>
      <c r="WHT619" s="268"/>
      <c r="WHU619" s="268"/>
      <c r="WHV619" s="268"/>
      <c r="WHW619" s="268"/>
      <c r="WHX619" s="268"/>
      <c r="WHY619" s="268"/>
      <c r="WHZ619" s="268"/>
      <c r="WIA619" s="268"/>
      <c r="WIB619" s="268"/>
      <c r="WIC619" s="268"/>
      <c r="WID619" s="268"/>
      <c r="WIE619" s="268"/>
      <c r="WIF619" s="268"/>
      <c r="WIG619" s="268"/>
      <c r="WIH619" s="268"/>
      <c r="WII619" s="268"/>
      <c r="WIJ619" s="268"/>
      <c r="WIK619" s="268"/>
      <c r="WIL619" s="268"/>
      <c r="WIM619" s="268"/>
      <c r="WIN619" s="268"/>
      <c r="WIO619" s="268"/>
      <c r="WIP619" s="268"/>
      <c r="WIQ619" s="268"/>
      <c r="WIR619" s="268"/>
      <c r="WIS619" s="268"/>
      <c r="WIT619" s="268"/>
      <c r="WIU619" s="268"/>
      <c r="WIV619" s="268"/>
      <c r="WIW619" s="268"/>
      <c r="WIX619" s="268"/>
      <c r="WIY619" s="268"/>
      <c r="WIZ619" s="268"/>
      <c r="WJA619" s="268"/>
      <c r="WJB619" s="268"/>
      <c r="WJC619" s="268"/>
      <c r="WJD619" s="268"/>
      <c r="WJE619" s="268"/>
      <c r="WJF619" s="268"/>
      <c r="WJG619" s="268"/>
      <c r="WJH619" s="268"/>
      <c r="WJI619" s="268"/>
      <c r="WJJ619" s="268"/>
      <c r="WJK619" s="268"/>
      <c r="WJL619" s="268"/>
      <c r="WJM619" s="268"/>
      <c r="WJN619" s="268"/>
      <c r="WJO619" s="268"/>
      <c r="WJP619" s="268"/>
      <c r="WJQ619" s="268"/>
      <c r="WJR619" s="268"/>
      <c r="WJS619" s="268"/>
      <c r="WJT619" s="268"/>
      <c r="WJU619" s="268"/>
      <c r="WJV619" s="268"/>
      <c r="WJW619" s="268"/>
      <c r="WJX619" s="268"/>
      <c r="WJY619" s="268"/>
      <c r="WJZ619" s="268"/>
      <c r="WKA619" s="268"/>
      <c r="WKB619" s="268"/>
      <c r="WKC619" s="268"/>
      <c r="WKD619" s="268"/>
      <c r="WKE619" s="268"/>
      <c r="WKF619" s="268"/>
      <c r="WKG619" s="268"/>
      <c r="WKH619" s="268"/>
      <c r="WKI619" s="268"/>
      <c r="WKJ619" s="268"/>
      <c r="WKK619" s="268"/>
      <c r="WKL619" s="268"/>
      <c r="WKM619" s="268"/>
      <c r="WKN619" s="268"/>
      <c r="WKO619" s="268"/>
      <c r="WKP619" s="268"/>
      <c r="WKQ619" s="268"/>
      <c r="WKR619" s="268"/>
      <c r="WKS619" s="268"/>
      <c r="WKT619" s="268"/>
      <c r="WKU619" s="268"/>
      <c r="WKV619" s="268"/>
      <c r="WKW619" s="268"/>
      <c r="WKX619" s="268"/>
      <c r="WKY619" s="268"/>
      <c r="WKZ619" s="268"/>
      <c r="WLA619" s="268"/>
      <c r="WLB619" s="268"/>
      <c r="WLC619" s="268"/>
      <c r="WLQ619" s="268"/>
      <c r="WLR619" s="268"/>
      <c r="WLS619" s="268"/>
      <c r="WMG619" s="268"/>
      <c r="WMI619" s="268"/>
      <c r="WMJ619" s="268"/>
      <c r="WMK619" s="268"/>
      <c r="WML619" s="268"/>
      <c r="WMM619" s="268"/>
      <c r="WMN619" s="268"/>
      <c r="WMO619" s="268"/>
      <c r="WMP619" s="268"/>
      <c r="WMQ619" s="268"/>
      <c r="WMR619" s="268"/>
      <c r="WMS619" s="268"/>
      <c r="WMT619" s="268"/>
      <c r="WMU619" s="268"/>
      <c r="WMV619" s="268"/>
      <c r="WMW619" s="268"/>
      <c r="WMX619" s="268"/>
      <c r="WMY619" s="268"/>
      <c r="WMZ619" s="268"/>
      <c r="WNA619" s="268"/>
      <c r="WNB619" s="268"/>
      <c r="WNC619" s="268"/>
      <c r="WND619" s="268"/>
      <c r="WNE619" s="268"/>
      <c r="WNF619" s="268"/>
      <c r="WNG619" s="268"/>
      <c r="WNH619" s="268"/>
      <c r="WNI619" s="268"/>
      <c r="WNJ619" s="268"/>
      <c r="WNK619" s="268"/>
      <c r="WNL619" s="268"/>
      <c r="WNM619" s="268"/>
      <c r="WNN619" s="268"/>
      <c r="WNO619" s="268"/>
      <c r="WNP619" s="268"/>
      <c r="WNQ619" s="268"/>
      <c r="WNR619" s="268"/>
      <c r="WNS619" s="268"/>
      <c r="WNT619" s="268"/>
      <c r="WNU619" s="268"/>
      <c r="WNV619" s="268"/>
      <c r="WNW619" s="268"/>
      <c r="WNX619" s="268"/>
      <c r="WNY619" s="268"/>
      <c r="WNZ619" s="268"/>
      <c r="WOA619" s="268"/>
      <c r="WOB619" s="268"/>
      <c r="WOC619" s="268"/>
      <c r="WOD619" s="268"/>
      <c r="WOE619" s="268"/>
      <c r="WOF619" s="268"/>
      <c r="WOG619" s="268"/>
      <c r="WOH619" s="268"/>
      <c r="WOI619" s="268"/>
      <c r="WOJ619" s="268"/>
      <c r="WOK619" s="268"/>
      <c r="WOL619" s="268"/>
      <c r="WOM619" s="268"/>
      <c r="WON619" s="268"/>
      <c r="WOO619" s="268"/>
      <c r="WOP619" s="268"/>
      <c r="WOQ619" s="268"/>
      <c r="WOR619" s="268"/>
      <c r="WOS619" s="268"/>
      <c r="WOT619" s="268"/>
      <c r="WOU619" s="268"/>
      <c r="WOV619" s="268"/>
      <c r="WOW619" s="268"/>
      <c r="WOX619" s="268"/>
      <c r="WOY619" s="268"/>
      <c r="WOZ619" s="268"/>
      <c r="WPA619" s="268"/>
      <c r="WPB619" s="268"/>
      <c r="WPC619" s="268"/>
      <c r="WPD619" s="268"/>
      <c r="WPE619" s="268"/>
      <c r="WPF619" s="268"/>
      <c r="WPG619" s="268"/>
      <c r="WPH619" s="268"/>
      <c r="WPI619" s="268"/>
      <c r="WPJ619" s="268"/>
      <c r="WPK619" s="268"/>
      <c r="WPL619" s="268"/>
      <c r="WPM619" s="268"/>
      <c r="WPN619" s="268"/>
      <c r="WPO619" s="268"/>
      <c r="WPP619" s="268"/>
      <c r="WPQ619" s="268"/>
      <c r="WPR619" s="268"/>
      <c r="WPS619" s="268"/>
      <c r="WPT619" s="268"/>
      <c r="WPU619" s="268"/>
      <c r="WPV619" s="268"/>
      <c r="WPW619" s="268"/>
      <c r="WPX619" s="268"/>
      <c r="WPY619" s="268"/>
      <c r="WPZ619" s="268"/>
      <c r="WQA619" s="268"/>
      <c r="WQB619" s="268"/>
      <c r="WQC619" s="268"/>
      <c r="WQD619" s="268"/>
      <c r="WQE619" s="268"/>
      <c r="WQF619" s="268"/>
      <c r="WQG619" s="268"/>
      <c r="WQH619" s="268"/>
      <c r="WQI619" s="268"/>
      <c r="WQJ619" s="268"/>
      <c r="WQK619" s="268"/>
      <c r="WQL619" s="268"/>
      <c r="WQM619" s="268"/>
      <c r="WQN619" s="268"/>
      <c r="WQO619" s="268"/>
      <c r="WQP619" s="268"/>
      <c r="WQQ619" s="268"/>
      <c r="WQR619" s="268"/>
      <c r="WQS619" s="268"/>
      <c r="WQT619" s="268"/>
      <c r="WQU619" s="268"/>
      <c r="WQV619" s="268"/>
      <c r="WQW619" s="268"/>
      <c r="WQX619" s="268"/>
      <c r="WQY619" s="268"/>
      <c r="WQZ619" s="268"/>
      <c r="WRA619" s="268"/>
      <c r="WRB619" s="268"/>
      <c r="WRC619" s="268"/>
      <c r="WRD619" s="268"/>
      <c r="WRE619" s="268"/>
      <c r="WRF619" s="268"/>
      <c r="WRG619" s="268"/>
      <c r="WRH619" s="268"/>
      <c r="WRI619" s="268"/>
      <c r="WRJ619" s="268"/>
      <c r="WRK619" s="268"/>
      <c r="WRL619" s="268"/>
      <c r="WRM619" s="268"/>
      <c r="WRN619" s="268"/>
      <c r="WRO619" s="268"/>
      <c r="WRP619" s="268"/>
      <c r="WRQ619" s="268"/>
      <c r="WRR619" s="268"/>
      <c r="WRS619" s="268"/>
      <c r="WRT619" s="268"/>
      <c r="WRU619" s="268"/>
      <c r="WRV619" s="268"/>
      <c r="WRW619" s="268"/>
      <c r="WRX619" s="268"/>
      <c r="WRY619" s="268"/>
      <c r="WRZ619" s="268"/>
      <c r="WSA619" s="268"/>
      <c r="WSB619" s="268"/>
      <c r="WSC619" s="268"/>
      <c r="WSD619" s="268"/>
      <c r="WSE619" s="268"/>
      <c r="WSF619" s="268"/>
      <c r="WSG619" s="268"/>
      <c r="WSH619" s="268"/>
      <c r="WSI619" s="268"/>
      <c r="WSJ619" s="268"/>
      <c r="WSK619" s="268"/>
      <c r="WSL619" s="268"/>
      <c r="WSM619" s="268"/>
      <c r="WSN619" s="268"/>
      <c r="WSO619" s="268"/>
      <c r="WSP619" s="268"/>
      <c r="WSQ619" s="268"/>
      <c r="WSR619" s="268"/>
      <c r="WSS619" s="268"/>
      <c r="WST619" s="268"/>
      <c r="WSU619" s="268"/>
      <c r="WSV619" s="268"/>
      <c r="WSW619" s="268"/>
      <c r="WSX619" s="268"/>
      <c r="WSY619" s="268"/>
      <c r="WSZ619" s="268"/>
      <c r="WTA619" s="268"/>
      <c r="WTB619" s="268"/>
      <c r="WTC619" s="268"/>
      <c r="WTD619" s="268"/>
      <c r="WTE619" s="268"/>
      <c r="WTF619" s="268"/>
      <c r="WTG619" s="268"/>
      <c r="WTH619" s="268"/>
      <c r="WTI619" s="268"/>
      <c r="WTJ619" s="268"/>
      <c r="WTK619" s="268"/>
      <c r="WTL619" s="268"/>
      <c r="WTM619" s="268"/>
      <c r="WTN619" s="268"/>
      <c r="WTO619" s="268"/>
      <c r="WTP619" s="268"/>
      <c r="WTQ619" s="268"/>
      <c r="WTR619" s="268"/>
      <c r="WTS619" s="268"/>
      <c r="WTT619" s="268"/>
      <c r="WTU619" s="268"/>
      <c r="WTV619" s="268"/>
      <c r="WTW619" s="268"/>
      <c r="WTX619" s="268"/>
      <c r="WTY619" s="268"/>
      <c r="WTZ619" s="268"/>
      <c r="WUA619" s="268"/>
      <c r="WUB619" s="268"/>
      <c r="WUC619" s="268"/>
      <c r="WUD619" s="268"/>
      <c r="WUE619" s="268"/>
      <c r="WUF619" s="268"/>
      <c r="WUG619" s="268"/>
      <c r="WUH619" s="268"/>
      <c r="WUI619" s="268"/>
      <c r="WUJ619" s="268"/>
      <c r="WUK619" s="268"/>
      <c r="WUL619" s="268"/>
      <c r="WUM619" s="268"/>
      <c r="WUN619" s="268"/>
      <c r="WUO619" s="268"/>
      <c r="WUP619" s="268"/>
      <c r="WUQ619" s="268"/>
      <c r="WUR619" s="268"/>
      <c r="WUS619" s="268"/>
      <c r="WUT619" s="268"/>
      <c r="WUU619" s="268"/>
      <c r="WUV619" s="268"/>
      <c r="WUW619" s="268"/>
      <c r="WUX619" s="268"/>
      <c r="WUY619" s="268"/>
      <c r="WVM619" s="268"/>
      <c r="WVN619" s="268"/>
      <c r="WVO619" s="268"/>
      <c r="WWC619" s="268"/>
      <c r="WWE619" s="268"/>
      <c r="WWF619" s="268"/>
      <c r="WWG619" s="268"/>
      <c r="WWH619" s="268"/>
      <c r="WWI619" s="268"/>
      <c r="WWJ619" s="268"/>
      <c r="WWK619" s="268"/>
      <c r="WWL619" s="268"/>
      <c r="WWM619" s="268"/>
      <c r="WWN619" s="268"/>
      <c r="WWO619" s="268"/>
      <c r="WWP619" s="268"/>
      <c r="WWQ619" s="268"/>
      <c r="WWR619" s="268"/>
      <c r="WWS619" s="268"/>
      <c r="WWT619" s="268"/>
      <c r="WWU619" s="268"/>
      <c r="WWV619" s="268"/>
      <c r="WWW619" s="268"/>
      <c r="WWX619" s="268"/>
      <c r="WWY619" s="268"/>
      <c r="WWZ619" s="268"/>
      <c r="WXA619" s="268"/>
      <c r="WXB619" s="268"/>
      <c r="WXC619" s="268"/>
      <c r="WXD619" s="268"/>
      <c r="WXE619" s="268"/>
      <c r="WXF619" s="268"/>
      <c r="WXG619" s="268"/>
      <c r="WXH619" s="268"/>
      <c r="WXI619" s="268"/>
      <c r="WXJ619" s="268"/>
      <c r="WXK619" s="268"/>
      <c r="WXL619" s="268"/>
      <c r="WXM619" s="268"/>
      <c r="WXN619" s="268"/>
      <c r="WXO619" s="268"/>
      <c r="WXP619" s="268"/>
      <c r="WXQ619" s="268"/>
      <c r="WXR619" s="268"/>
      <c r="WXS619" s="268"/>
      <c r="WXT619" s="268"/>
      <c r="WXU619" s="268"/>
      <c r="WXV619" s="268"/>
      <c r="WXW619" s="268"/>
      <c r="WXX619" s="268"/>
      <c r="WXY619" s="268"/>
      <c r="WXZ619" s="268"/>
      <c r="WYA619" s="268"/>
      <c r="WYB619" s="268"/>
      <c r="WYC619" s="268"/>
      <c r="WYD619" s="268"/>
      <c r="WYE619" s="268"/>
      <c r="WYF619" s="268"/>
      <c r="WYG619" s="268"/>
      <c r="WYH619" s="268"/>
      <c r="WYI619" s="268"/>
      <c r="WYJ619" s="268"/>
      <c r="WYK619" s="268"/>
      <c r="WYL619" s="268"/>
      <c r="WYM619" s="268"/>
      <c r="WYN619" s="268"/>
      <c r="WYO619" s="268"/>
      <c r="WYP619" s="268"/>
      <c r="WYQ619" s="268"/>
      <c r="WYR619" s="268"/>
      <c r="WYS619" s="268"/>
      <c r="WYT619" s="268"/>
      <c r="WYU619" s="268"/>
      <c r="WYV619" s="268"/>
      <c r="WYW619" s="268"/>
      <c r="WYX619" s="268"/>
      <c r="WYY619" s="268"/>
      <c r="WYZ619" s="268"/>
      <c r="WZA619" s="268"/>
      <c r="WZB619" s="268"/>
      <c r="WZC619" s="268"/>
      <c r="WZD619" s="268"/>
      <c r="WZE619" s="268"/>
      <c r="WZF619" s="268"/>
      <c r="WZG619" s="268"/>
      <c r="WZH619" s="268"/>
      <c r="WZI619" s="268"/>
      <c r="WZJ619" s="268"/>
      <c r="WZK619" s="268"/>
      <c r="WZL619" s="268"/>
      <c r="WZM619" s="268"/>
      <c r="WZN619" s="268"/>
      <c r="WZO619" s="268"/>
      <c r="WZP619" s="268"/>
      <c r="WZQ619" s="268"/>
      <c r="WZR619" s="268"/>
      <c r="WZS619" s="268"/>
      <c r="WZT619" s="268"/>
      <c r="WZU619" s="268"/>
      <c r="WZV619" s="268"/>
      <c r="WZW619" s="268"/>
      <c r="WZX619" s="268"/>
      <c r="WZY619" s="268"/>
      <c r="WZZ619" s="268"/>
      <c r="XAA619" s="268"/>
      <c r="XAB619" s="268"/>
      <c r="XAC619" s="268"/>
      <c r="XAD619" s="268"/>
      <c r="XAE619" s="268"/>
      <c r="XAF619" s="268"/>
      <c r="XAG619" s="268"/>
      <c r="XAH619" s="268"/>
      <c r="XAI619" s="268"/>
      <c r="XAJ619" s="268"/>
      <c r="XAK619" s="268"/>
      <c r="XAL619" s="268"/>
      <c r="XAM619" s="268"/>
      <c r="XAN619" s="268"/>
      <c r="XAO619" s="268"/>
      <c r="XAP619" s="268"/>
      <c r="XAQ619" s="268"/>
      <c r="XAR619" s="268"/>
      <c r="XAS619" s="268"/>
      <c r="XAT619" s="268"/>
      <c r="XAU619" s="268"/>
      <c r="XAV619" s="268"/>
      <c r="XAW619" s="268"/>
      <c r="XAX619" s="268"/>
      <c r="XAY619" s="268"/>
      <c r="XAZ619" s="268"/>
      <c r="XBA619" s="268"/>
      <c r="XBB619" s="268"/>
      <c r="XBC619" s="268"/>
      <c r="XBD619" s="268"/>
      <c r="XBE619" s="268"/>
      <c r="XBF619" s="268"/>
      <c r="XBG619" s="268"/>
      <c r="XBH619" s="268"/>
      <c r="XBI619" s="268"/>
      <c r="XBJ619" s="268"/>
      <c r="XBK619" s="268"/>
      <c r="XBL619" s="268"/>
      <c r="XBM619" s="268"/>
      <c r="XBN619" s="268"/>
      <c r="XBO619" s="268"/>
      <c r="XBP619" s="268"/>
      <c r="XBQ619" s="268"/>
      <c r="XBR619" s="268"/>
      <c r="XBS619" s="268"/>
      <c r="XBT619" s="268"/>
      <c r="XBU619" s="268"/>
      <c r="XBV619" s="268"/>
      <c r="XBW619" s="268"/>
      <c r="XBX619" s="268"/>
      <c r="XBY619" s="268"/>
      <c r="XBZ619" s="268"/>
      <c r="XCA619" s="268"/>
      <c r="XCB619" s="268"/>
      <c r="XCC619" s="268"/>
      <c r="XCD619" s="268"/>
      <c r="XCE619" s="268"/>
      <c r="XCF619" s="268"/>
      <c r="XCG619" s="268"/>
      <c r="XCH619" s="268"/>
      <c r="XCI619" s="268"/>
      <c r="XCJ619" s="268"/>
      <c r="XCK619" s="268"/>
      <c r="XCL619" s="268"/>
      <c r="XCM619" s="268"/>
      <c r="XCN619" s="268"/>
      <c r="XCO619" s="268"/>
      <c r="XCP619" s="268"/>
      <c r="XCQ619" s="268"/>
      <c r="XCR619" s="268"/>
      <c r="XCS619" s="268"/>
      <c r="XCT619" s="268"/>
      <c r="XCU619" s="268"/>
      <c r="XCV619" s="268"/>
      <c r="XCW619" s="268"/>
      <c r="XCX619" s="268"/>
      <c r="XCY619" s="268"/>
      <c r="XCZ619" s="268"/>
      <c r="XDA619" s="268"/>
      <c r="XDB619" s="268"/>
      <c r="XDC619" s="268"/>
      <c r="XDD619" s="268"/>
      <c r="XDE619" s="268"/>
      <c r="XDF619" s="268"/>
      <c r="XDG619" s="268"/>
      <c r="XDH619" s="268"/>
      <c r="XDI619" s="268"/>
      <c r="XDJ619" s="268"/>
      <c r="XDK619" s="268"/>
      <c r="XDL619" s="268"/>
      <c r="XDM619" s="268"/>
      <c r="XDN619" s="268"/>
      <c r="XDO619" s="268"/>
      <c r="XDP619" s="268"/>
      <c r="XDQ619" s="268"/>
      <c r="XDR619" s="268"/>
      <c r="XDS619" s="268"/>
      <c r="XDT619" s="268"/>
      <c r="XDU619" s="268"/>
      <c r="XDV619" s="268"/>
      <c r="XDW619" s="268"/>
      <c r="XDX619" s="268"/>
      <c r="XDY619" s="268"/>
      <c r="XDZ619" s="268"/>
      <c r="XEA619" s="268"/>
      <c r="XEB619" s="268"/>
      <c r="XEC619" s="268"/>
      <c r="XED619" s="268"/>
      <c r="XEE619" s="268"/>
      <c r="XEF619" s="268"/>
      <c r="XEG619" s="268"/>
      <c r="XEH619" s="268"/>
      <c r="XEI619" s="268"/>
      <c r="XEJ619" s="268"/>
      <c r="XEK619" s="268"/>
      <c r="XEL619" s="268"/>
      <c r="XEM619" s="268"/>
      <c r="XEN619" s="268"/>
      <c r="XEO619" s="268"/>
      <c r="XEP619" s="268"/>
      <c r="XEQ619" s="268"/>
      <c r="XER619" s="268"/>
      <c r="XES619" s="268"/>
    </row>
    <row r="620" spans="1:1015 1029:2039 2053:3063 3077:4087 4101:5111 5125:6135 6149:7159 7173:8183 8197:9207 9221:10231 10245:11255 11269:12279 12293:13303 13317:14327 14341:15351 15365:16373" hidden="1" outlineLevel="1" x14ac:dyDescent="0.25">
      <c r="A620" s="3"/>
      <c r="B620" s="62">
        <f>SUM(B617:B619)</f>
        <v>14750</v>
      </c>
      <c r="C620" s="32"/>
      <c r="D620" s="62">
        <f>SUM(D617:D619)</f>
        <v>3792</v>
      </c>
      <c r="E620" s="62">
        <f>SUM(E617:E619)</f>
        <v>10958</v>
      </c>
      <c r="F620" s="62">
        <f>SUM(F617:F619)</f>
        <v>14750</v>
      </c>
      <c r="G620" s="32"/>
      <c r="H620" s="62">
        <f>SUM(H617:H619)</f>
        <v>0</v>
      </c>
      <c r="I620" s="32"/>
      <c r="J620" s="62">
        <f>SUM(J617:J619)</f>
        <v>5806</v>
      </c>
      <c r="K620" s="62">
        <f>SUM(K617:K619)</f>
        <v>9944</v>
      </c>
      <c r="L620" s="62">
        <f>SUM(L617:L619)</f>
        <v>15750</v>
      </c>
      <c r="M620" s="32"/>
      <c r="N620" s="62">
        <f>SUM(N617:N619)</f>
        <v>1000</v>
      </c>
      <c r="P620" s="62">
        <f>SUM(P617:P619)</f>
        <v>16149.7</v>
      </c>
      <c r="R620" s="62">
        <f t="shared" ref="R620:Z620" si="399">SUM(R617:R619)</f>
        <v>7870</v>
      </c>
      <c r="S620" s="62">
        <f t="shared" si="399"/>
        <v>10280</v>
      </c>
      <c r="T620" s="62">
        <f t="shared" si="399"/>
        <v>18150</v>
      </c>
      <c r="U620" s="62">
        <f t="shared" si="399"/>
        <v>2000.3000000000002</v>
      </c>
      <c r="V620" s="62">
        <f t="shared" si="399"/>
        <v>9076</v>
      </c>
      <c r="W620" s="62">
        <f t="shared" si="399"/>
        <v>11674</v>
      </c>
      <c r="X620" s="62"/>
      <c r="Y620" s="62">
        <f t="shared" si="399"/>
        <v>20750</v>
      </c>
      <c r="Z620" s="62">
        <f t="shared" si="399"/>
        <v>2600</v>
      </c>
      <c r="AC620" s="62">
        <f>SUM(AC617:AC619)</f>
        <v>9273</v>
      </c>
      <c r="AD620" s="62">
        <f>SUM(AD617:AD619)</f>
        <v>11977</v>
      </c>
      <c r="AE620" s="62">
        <f>SUM(AE617:AE619)</f>
        <v>21250</v>
      </c>
      <c r="AF620" s="62">
        <f>SUM(AF617:AF619)</f>
        <v>500</v>
      </c>
      <c r="AG620" s="32"/>
      <c r="AI620" s="62">
        <f>SUM(AI617:AI619)</f>
        <v>18750</v>
      </c>
      <c r="AK620" s="62">
        <f>SUM(AK617:AK619)</f>
        <v>19050</v>
      </c>
      <c r="AM620" s="62">
        <f>SUM(AM617:AM619)</f>
        <v>19359</v>
      </c>
      <c r="AO620" s="62">
        <f>SUM(AO617:AO619)</f>
        <v>19677.27</v>
      </c>
      <c r="AP620" s="32"/>
      <c r="AQ620" s="62">
        <f>SUM(AQ617:AQ619)</f>
        <v>20005.088100000001</v>
      </c>
      <c r="AS620" s="62">
        <f>SUM(AS617:AS619)</f>
        <v>20342.740743000002</v>
      </c>
      <c r="AU620" s="62">
        <f>SUM(AU617:AU619)</f>
        <v>20690.522965290002</v>
      </c>
      <c r="AW620" s="62">
        <f>SUM(AW617:AW619)</f>
        <v>21048.7386542487</v>
      </c>
      <c r="AY620" s="62">
        <f>SUM(AY617:AY619)</f>
        <v>21417.700813876159</v>
      </c>
      <c r="BA620" s="62">
        <f>SUM(BA617:BA619)</f>
        <v>21797.731838292446</v>
      </c>
      <c r="BC620" s="62">
        <f>SUM(BC617:BC619)</f>
        <v>22189.163793441221</v>
      </c>
      <c r="BE620" s="62">
        <f>SUM(BE617:BE619)</f>
        <v>22592.338707244457</v>
      </c>
    </row>
    <row r="621" spans="1:1015 1029:2039 2053:3063 3077:4087 4101:5111 5125:6135 6149:7159 7173:8183 8197:9207 9221:10231 10245:11255 11269:12279 12293:13303 13317:14327 14341:15351 15365:16373" hidden="1" outlineLevel="1" x14ac:dyDescent="0.25">
      <c r="A621" s="7" t="s">
        <v>473</v>
      </c>
      <c r="BC621" s="3"/>
      <c r="BE621" s="3"/>
    </row>
    <row r="622" spans="1:1015 1029:2039 2053:3063 3077:4087 4101:5111 5125:6135 6149:7159 7173:8183 8197:9207 9221:10231 10245:11255 11269:12279 12293:13303 13317:14327 14341:15351 15365:16373" hidden="1" outlineLevel="1" x14ac:dyDescent="0.25">
      <c r="A622" s="3" t="s">
        <v>327</v>
      </c>
      <c r="Z622" s="3">
        <f>Y622-T622</f>
        <v>0</v>
      </c>
      <c r="BC622" s="3"/>
      <c r="BE622" s="3"/>
    </row>
    <row r="623" spans="1:1015 1029:2039 2053:3063 3077:4087 4101:5111 5125:6135 6149:7159 7173:8183 8197:9207 9221:10231 10245:11255 11269:12279 12293:13303 13317:14327 14341:15351 15365:16373" hidden="1" outlineLevel="1" x14ac:dyDescent="0.25">
      <c r="A623" s="3" t="s">
        <v>464</v>
      </c>
      <c r="Z623" s="3">
        <f>Y623-T623</f>
        <v>0</v>
      </c>
      <c r="BC623" s="3"/>
      <c r="BE623" s="3"/>
    </row>
    <row r="624" spans="1:1015 1029:2039 2053:3063 3077:4087 4101:5111 5125:6135 6149:7159 7173:8183 8197:9207 9221:10231 10245:11255 11269:12279 12293:13303 13317:14327 14341:15351 15365:16373" hidden="1" outlineLevel="1" x14ac:dyDescent="0.25">
      <c r="A624" s="3" t="s">
        <v>332</v>
      </c>
      <c r="Z624" s="3">
        <f>Y624-T624</f>
        <v>0</v>
      </c>
      <c r="BC624" s="3"/>
      <c r="BE624" s="3"/>
    </row>
    <row r="625" spans="1:1015 1029:2039 2053:3063 3077:4087 4101:5111 5125:6135 6149:7159 7173:8183 8197:9207 9221:10231 10245:11255 11269:12279 12293:13303 13317:14327 14341:15351 15365:16373" hidden="1" outlineLevel="1" x14ac:dyDescent="0.25">
      <c r="A625" s="3" t="s">
        <v>467</v>
      </c>
      <c r="E625" s="3">
        <f>F625-D625</f>
        <v>0</v>
      </c>
      <c r="H625" s="3">
        <f>F625-B625</f>
        <v>0</v>
      </c>
      <c r="K625" s="4">
        <f>L625-J625</f>
        <v>0</v>
      </c>
      <c r="L625" s="4"/>
      <c r="N625" s="4">
        <f>L625-F625</f>
        <v>0</v>
      </c>
      <c r="Z625" s="3">
        <f>Y625-T625</f>
        <v>0</v>
      </c>
      <c r="BC625" s="3"/>
      <c r="BE625" s="3"/>
    </row>
    <row r="626" spans="1:1015 1029:2039 2053:3063 3077:4087 4101:5111 5125:6135 6149:7159 7173:8183 8197:9207 9221:10231 10245:11255 11269:12279 12293:13303 13317:14327 14341:15351 15365:16373" hidden="1" outlineLevel="1" x14ac:dyDescent="0.25">
      <c r="A626" s="3" t="s">
        <v>90</v>
      </c>
      <c r="B626" s="3">
        <v>3000</v>
      </c>
      <c r="D626" s="3">
        <v>0</v>
      </c>
      <c r="E626" s="3">
        <f>F626-D626</f>
        <v>1500</v>
      </c>
      <c r="F626" s="3">
        <v>1500</v>
      </c>
      <c r="H626" s="3">
        <f>F626-B626</f>
        <v>-1500</v>
      </c>
      <c r="K626" s="4">
        <f>L626-J626</f>
        <v>1000</v>
      </c>
      <c r="L626" s="4">
        <v>1000</v>
      </c>
      <c r="N626" s="4">
        <f>L626-F626</f>
        <v>-500</v>
      </c>
      <c r="P626" s="3">
        <f>2000+200</f>
        <v>2200</v>
      </c>
      <c r="R626" s="3">
        <v>0</v>
      </c>
      <c r="S626" s="3">
        <f>T626-R626</f>
        <v>2200</v>
      </c>
      <c r="T626" s="3">
        <v>2200</v>
      </c>
      <c r="U626" s="3">
        <f>T626-P626</f>
        <v>0</v>
      </c>
      <c r="W626" s="3">
        <f>Y626-V626</f>
        <v>2200</v>
      </c>
      <c r="Y626" s="3">
        <v>2200</v>
      </c>
      <c r="Z626" s="3">
        <f>Y626-T626</f>
        <v>0</v>
      </c>
      <c r="AC626" s="3">
        <v>0</v>
      </c>
      <c r="AD626" s="3">
        <f>AE626-AC626</f>
        <v>0</v>
      </c>
      <c r="AE626" s="3">
        <v>0</v>
      </c>
      <c r="AF626" s="3">
        <f>AE626-Y626</f>
        <v>-2200</v>
      </c>
      <c r="BC626" s="3"/>
      <c r="BE626" s="3"/>
    </row>
    <row r="627" spans="1:1015 1029:2039 2053:3063 3077:4087 4101:5111 5125:6135 6149:7159 7173:8183 8197:9207 9221:10231 10245:11255 11269:12279 12293:13303 13317:14327 14341:15351 15365:16373" hidden="1" outlineLevel="1" x14ac:dyDescent="0.25">
      <c r="A627" s="3"/>
      <c r="B627" s="62">
        <f>SUM(B622:B626)</f>
        <v>3000</v>
      </c>
      <c r="C627" s="32"/>
      <c r="D627" s="62">
        <f>SUM(D622:D626)</f>
        <v>0</v>
      </c>
      <c r="E627" s="62">
        <f>SUM(E622:E626)</f>
        <v>1500</v>
      </c>
      <c r="F627" s="62">
        <f>SUM(F622:F626)</f>
        <v>1500</v>
      </c>
      <c r="G627" s="32"/>
      <c r="H627" s="62">
        <f>SUM(H622:H626)</f>
        <v>-1500</v>
      </c>
      <c r="I627" s="32"/>
      <c r="J627" s="62">
        <f>SUM(J622:J626)</f>
        <v>0</v>
      </c>
      <c r="K627" s="62">
        <f>SUM(K622:K626)</f>
        <v>1000</v>
      </c>
      <c r="L627" s="62">
        <f>SUM(L622:L626)</f>
        <v>1000</v>
      </c>
      <c r="M627" s="32"/>
      <c r="N627" s="62">
        <f>SUM(N622:N626)</f>
        <v>-500</v>
      </c>
      <c r="P627" s="62">
        <f>SUM(P622:P626)</f>
        <v>2200</v>
      </c>
      <c r="R627" s="62">
        <f t="shared" ref="R627:Z627" si="400">SUM(R622:R626)</f>
        <v>0</v>
      </c>
      <c r="S627" s="62">
        <f t="shared" si="400"/>
        <v>2200</v>
      </c>
      <c r="T627" s="62">
        <f t="shared" si="400"/>
        <v>2200</v>
      </c>
      <c r="U627" s="62">
        <f t="shared" si="400"/>
        <v>0</v>
      </c>
      <c r="V627" s="62">
        <f t="shared" si="400"/>
        <v>0</v>
      </c>
      <c r="W627" s="62">
        <f t="shared" si="400"/>
        <v>2200</v>
      </c>
      <c r="X627" s="62"/>
      <c r="Y627" s="62">
        <f t="shared" si="400"/>
        <v>2200</v>
      </c>
      <c r="Z627" s="62">
        <f t="shared" si="400"/>
        <v>0</v>
      </c>
      <c r="AC627" s="62">
        <f>SUM(AC622:AC626)</f>
        <v>0</v>
      </c>
      <c r="AD627" s="62">
        <f>SUM(AD622:AD626)</f>
        <v>0</v>
      </c>
      <c r="AE627" s="62">
        <f>SUM(AE622:AE626)</f>
        <v>0</v>
      </c>
      <c r="AF627" s="62">
        <f>SUM(AF622:AF626)</f>
        <v>-2200</v>
      </c>
      <c r="AG627" s="32"/>
      <c r="AI627" s="62">
        <f>SUM(AI622:AI626)</f>
        <v>0</v>
      </c>
      <c r="AK627" s="62">
        <f>SUM(AK622:AK626)</f>
        <v>0</v>
      </c>
      <c r="AM627" s="62">
        <f>SUM(AM622:AM626)</f>
        <v>0</v>
      </c>
      <c r="AO627" s="62">
        <f>SUM(AO622:AO626)</f>
        <v>0</v>
      </c>
      <c r="AP627" s="32"/>
      <c r="AQ627" s="62">
        <f>SUM(AQ622:AQ626)</f>
        <v>0</v>
      </c>
      <c r="AS627" s="62">
        <f>SUM(AS622:AS626)</f>
        <v>0</v>
      </c>
      <c r="AU627" s="62">
        <f>SUM(AU622:AU626)</f>
        <v>0</v>
      </c>
      <c r="AW627" s="62">
        <f>SUM(AW622:AW626)</f>
        <v>0</v>
      </c>
      <c r="AY627" s="62">
        <f>SUM(AY622:AY626)</f>
        <v>0</v>
      </c>
      <c r="BA627" s="62">
        <f>SUM(BA622:BA626)</f>
        <v>0</v>
      </c>
      <c r="BC627" s="62">
        <f>SUM(BC622:BC626)</f>
        <v>0</v>
      </c>
      <c r="BE627" s="62">
        <f>SUM(BE622:BE626)</f>
        <v>0</v>
      </c>
    </row>
    <row r="628" spans="1:1015 1029:2039 2053:3063 3077:4087 4101:5111 5125:6135 6149:7159 7173:8183 8197:9207 9221:10231 10245:11255 11269:12279 12293:13303 13317:14327 14341:15351 15365:16373" hidden="1" outlineLevel="1" x14ac:dyDescent="0.25">
      <c r="A628" s="7" t="s">
        <v>474</v>
      </c>
      <c r="BC628" s="3"/>
      <c r="BE628" s="3"/>
    </row>
    <row r="629" spans="1:1015 1029:2039 2053:3063 3077:4087 4101:5111 5125:6135 6149:7159 7173:8183 8197:9207 9221:10231 10245:11255 11269:12279 12293:13303 13317:14327 14341:15351 15365:16373" hidden="1" outlineLevel="1" x14ac:dyDescent="0.25">
      <c r="A629" s="3" t="s">
        <v>459</v>
      </c>
      <c r="B629" s="3">
        <v>2750</v>
      </c>
      <c r="D629" s="3">
        <v>1540</v>
      </c>
      <c r="E629" s="3">
        <f>F629-D629</f>
        <v>1210</v>
      </c>
      <c r="F629" s="3">
        <v>2750</v>
      </c>
      <c r="H629" s="3">
        <f>F629-B629</f>
        <v>0</v>
      </c>
      <c r="J629" s="3">
        <v>3792</v>
      </c>
      <c r="K629" s="4">
        <f>L629-J629</f>
        <v>8</v>
      </c>
      <c r="L629" s="4">
        <v>3800</v>
      </c>
      <c r="N629" s="4">
        <f>L629-F629</f>
        <v>1050</v>
      </c>
      <c r="P629" s="3">
        <f>L629*1.0281-7+250</f>
        <v>4149.7800000000007</v>
      </c>
      <c r="R629" s="3">
        <v>6310</v>
      </c>
      <c r="S629" s="3">
        <f>T629-R629</f>
        <v>190</v>
      </c>
      <c r="T629" s="3">
        <v>6500</v>
      </c>
      <c r="U629" s="3">
        <f>T629-P629</f>
        <v>2350.2199999999993</v>
      </c>
      <c r="V629" s="3">
        <v>6310</v>
      </c>
      <c r="W629" s="3">
        <f>Y629-V629</f>
        <v>190</v>
      </c>
      <c r="Y629" s="3">
        <v>6500</v>
      </c>
      <c r="Z629" s="3">
        <f>Y629-T629</f>
        <v>0</v>
      </c>
      <c r="AC629" s="3">
        <v>6310</v>
      </c>
      <c r="AD629" s="3">
        <f>AE629-AC629</f>
        <v>190</v>
      </c>
      <c r="AE629" s="3">
        <v>6500</v>
      </c>
      <c r="AF629" s="3">
        <f>AE629-Y629</f>
        <v>0</v>
      </c>
      <c r="AI629" s="3">
        <v>4150</v>
      </c>
      <c r="AK629" s="3">
        <f>AI629*1.03</f>
        <v>4274.5</v>
      </c>
      <c r="AM629" s="3">
        <f>AK629*1.03</f>
        <v>4402.7349999999997</v>
      </c>
      <c r="AO629" s="3">
        <f>AM629*1.03</f>
        <v>4534.8170499999997</v>
      </c>
      <c r="AQ629" s="3">
        <f>AO629*1.03</f>
        <v>4670.8615614999999</v>
      </c>
      <c r="AS629" s="3">
        <f>AQ629*1.03</f>
        <v>4810.9874083450004</v>
      </c>
      <c r="AU629" s="3">
        <f>AS629*1.03</f>
        <v>4955.3170305953508</v>
      </c>
      <c r="AW629" s="3">
        <f>AU629*1.03</f>
        <v>5103.9765415132115</v>
      </c>
      <c r="AY629" s="3">
        <f>AW629*1.03</f>
        <v>5257.0958377586076</v>
      </c>
      <c r="BA629" s="3">
        <f>AY629*1.03</f>
        <v>5414.8087128913658</v>
      </c>
      <c r="BC629" s="3">
        <f>BA629*1.03</f>
        <v>5577.2529742781071</v>
      </c>
      <c r="BE629" s="3">
        <f>BC629*1.03</f>
        <v>5744.5705635064505</v>
      </c>
    </row>
    <row r="630" spans="1:1015 1029:2039 2053:3063 3077:4087 4101:5111 5125:6135 6149:7159 7173:8183 8197:9207 9221:10231 10245:11255 11269:12279 12293:13303 13317:14327 14341:15351 15365:16373" hidden="1" outlineLevel="1" x14ac:dyDescent="0.25">
      <c r="A630" s="3" t="s">
        <v>475</v>
      </c>
      <c r="E630" s="3">
        <f>F630-D630</f>
        <v>0</v>
      </c>
      <c r="H630" s="3">
        <f>F630-B630</f>
        <v>0</v>
      </c>
      <c r="K630" s="4">
        <f>L630-J630</f>
        <v>0</v>
      </c>
      <c r="L630" s="4"/>
      <c r="N630" s="4">
        <f>L630-F630</f>
        <v>0</v>
      </c>
      <c r="S630" s="3">
        <f>T630-R630</f>
        <v>0</v>
      </c>
      <c r="U630" s="3">
        <f>T630-P630</f>
        <v>0</v>
      </c>
      <c r="W630" s="3">
        <f>Y630-V630</f>
        <v>0</v>
      </c>
      <c r="Z630" s="3">
        <f>Y630-T630</f>
        <v>0</v>
      </c>
      <c r="AD630" s="3">
        <f>AE630-AC630</f>
        <v>0</v>
      </c>
      <c r="AF630" s="3">
        <f>AE630-Y630</f>
        <v>0</v>
      </c>
      <c r="BC630" s="3"/>
      <c r="BE630" s="3"/>
    </row>
    <row r="631" spans="1:1015 1029:2039 2053:3063 3077:4087 4101:5111 5125:6135 6149:7159 7173:8183 8197:9207 9221:10231 10245:11255 11269:12279 12293:13303 13317:14327 14341:15351 15365:16373" hidden="1" outlineLevel="1" x14ac:dyDescent="0.25">
      <c r="A631" s="3" t="s">
        <v>331</v>
      </c>
      <c r="B631" s="3">
        <v>400</v>
      </c>
      <c r="E631" s="3">
        <f>F631-D631</f>
        <v>400</v>
      </c>
      <c r="F631" s="3">
        <v>400</v>
      </c>
      <c r="H631" s="3">
        <f>F631-B631</f>
        <v>0</v>
      </c>
      <c r="K631" s="4">
        <f>L631-J631</f>
        <v>0</v>
      </c>
      <c r="L631" s="4">
        <v>0</v>
      </c>
      <c r="N631" s="4">
        <f>L631-F631</f>
        <v>-400</v>
      </c>
      <c r="S631" s="3">
        <f>T631-R631</f>
        <v>0</v>
      </c>
      <c r="U631" s="3">
        <f>T631-P631</f>
        <v>0</v>
      </c>
      <c r="W631" s="3">
        <f>Y631-V631</f>
        <v>0</v>
      </c>
      <c r="Z631" s="3">
        <f>Y631-T631</f>
        <v>0</v>
      </c>
      <c r="AD631" s="3">
        <f>AE631-AC631</f>
        <v>0</v>
      </c>
      <c r="AF631" s="3">
        <f>AE631-Y631</f>
        <v>0</v>
      </c>
      <c r="BC631" s="3"/>
      <c r="BE631" s="3"/>
    </row>
    <row r="632" spans="1:1015 1029:2039 2053:3063 3077:4087 4101:5111 5125:6135 6149:7159 7173:8183 8197:9207 9221:10231 10245:11255 11269:12279 12293:13303 13317:14327 14341:15351 15365:16373" hidden="1" outlineLevel="1" x14ac:dyDescent="0.25">
      <c r="A632" s="267" t="s">
        <v>289</v>
      </c>
      <c r="B632" s="3">
        <v>2300</v>
      </c>
      <c r="D632" s="3">
        <v>0</v>
      </c>
      <c r="E632" s="3">
        <f>F632-D632</f>
        <v>2300</v>
      </c>
      <c r="F632" s="3">
        <v>2300</v>
      </c>
      <c r="H632" s="3">
        <f>F632-B632</f>
        <v>0</v>
      </c>
      <c r="K632" s="4">
        <f>L632-J632</f>
        <v>2300</v>
      </c>
      <c r="L632" s="4">
        <v>2300</v>
      </c>
      <c r="N632" s="4">
        <f>L632-F632</f>
        <v>0</v>
      </c>
      <c r="P632" s="3">
        <v>2300</v>
      </c>
      <c r="R632" s="3">
        <v>0</v>
      </c>
      <c r="S632" s="3">
        <f>T632-R632</f>
        <v>2300</v>
      </c>
      <c r="T632" s="3">
        <v>2300</v>
      </c>
      <c r="U632" s="3">
        <f>T632-P632</f>
        <v>0</v>
      </c>
      <c r="V632" s="3">
        <v>0</v>
      </c>
      <c r="W632" s="3">
        <f>Y632-V632</f>
        <v>2300</v>
      </c>
      <c r="Y632" s="3">
        <v>2300</v>
      </c>
      <c r="Z632" s="3">
        <f>Y632-T632</f>
        <v>0</v>
      </c>
      <c r="AC632" s="3">
        <v>0</v>
      </c>
      <c r="AD632" s="3">
        <f>AE632-AC632</f>
        <v>2300</v>
      </c>
      <c r="AE632" s="3">
        <v>2300</v>
      </c>
      <c r="AF632" s="3">
        <f>AE632-Y632</f>
        <v>0</v>
      </c>
      <c r="AI632" s="3">
        <v>2300</v>
      </c>
      <c r="AK632" s="3">
        <v>2300</v>
      </c>
      <c r="AM632" s="3">
        <v>2300</v>
      </c>
      <c r="AO632" s="3">
        <v>2300</v>
      </c>
      <c r="AQ632" s="3">
        <v>2300</v>
      </c>
      <c r="AS632" s="3">
        <v>2300</v>
      </c>
      <c r="AU632" s="3">
        <v>2300</v>
      </c>
      <c r="AW632" s="3">
        <v>2300</v>
      </c>
      <c r="AY632" s="3">
        <v>2300</v>
      </c>
      <c r="BA632" s="3">
        <v>2300</v>
      </c>
      <c r="BC632" s="3">
        <v>2300</v>
      </c>
      <c r="BE632" s="3">
        <v>2300</v>
      </c>
      <c r="BI632" s="268"/>
      <c r="BJ632" s="268"/>
      <c r="BK632" s="268"/>
      <c r="BL632" s="268"/>
      <c r="BM632" s="268"/>
      <c r="BN632" s="268"/>
      <c r="BO632" s="268"/>
      <c r="BP632" s="268"/>
      <c r="BQ632" s="268"/>
      <c r="BR632" s="268"/>
      <c r="BS632" s="268"/>
      <c r="BT632" s="268"/>
      <c r="BU632" s="268"/>
      <c r="BV632" s="268"/>
      <c r="BW632" s="268"/>
      <c r="BX632" s="268"/>
      <c r="BY632" s="268"/>
      <c r="BZ632" s="268"/>
      <c r="CA632" s="268"/>
      <c r="CB632" s="268"/>
      <c r="CC632" s="268"/>
      <c r="CD632" s="268"/>
      <c r="CE632" s="268"/>
      <c r="CF632" s="268"/>
      <c r="CG632" s="268"/>
      <c r="CH632" s="268"/>
      <c r="CI632" s="268"/>
      <c r="CJ632" s="268"/>
      <c r="CK632" s="268"/>
      <c r="CL632" s="268"/>
      <c r="CM632" s="268"/>
      <c r="CN632" s="268"/>
      <c r="CO632" s="268"/>
      <c r="CP632" s="268"/>
      <c r="CQ632" s="268"/>
      <c r="CR632" s="268"/>
      <c r="CS632" s="268"/>
      <c r="CT632" s="268"/>
      <c r="CU632" s="268"/>
      <c r="CV632" s="268"/>
      <c r="CW632" s="268"/>
      <c r="CX632" s="268"/>
      <c r="CY632" s="268"/>
      <c r="CZ632" s="268"/>
      <c r="DA632" s="268"/>
      <c r="DB632" s="268"/>
      <c r="DC632" s="268"/>
      <c r="DD632" s="268"/>
      <c r="DE632" s="268"/>
      <c r="DF632" s="268"/>
      <c r="DG632" s="268"/>
      <c r="DH632" s="268"/>
      <c r="DI632" s="268"/>
      <c r="DJ632" s="268"/>
      <c r="DK632" s="268"/>
      <c r="DL632" s="268"/>
      <c r="DM632" s="268"/>
      <c r="DN632" s="268"/>
      <c r="DO632" s="268"/>
      <c r="DP632" s="268"/>
      <c r="DQ632" s="268"/>
      <c r="DR632" s="268"/>
      <c r="DS632" s="268"/>
      <c r="DT632" s="268"/>
      <c r="DU632" s="268"/>
      <c r="DV632" s="268"/>
      <c r="DW632" s="268"/>
      <c r="DX632" s="268"/>
      <c r="DY632" s="268"/>
      <c r="DZ632" s="268"/>
      <c r="EA632" s="268"/>
      <c r="EB632" s="268"/>
      <c r="EC632" s="268"/>
      <c r="ED632" s="268"/>
      <c r="EE632" s="268"/>
      <c r="EF632" s="268"/>
      <c r="EG632" s="268"/>
      <c r="EH632" s="268"/>
      <c r="EI632" s="268"/>
      <c r="EJ632" s="268"/>
      <c r="EK632" s="268"/>
      <c r="EL632" s="268"/>
      <c r="EM632" s="268"/>
      <c r="EN632" s="268"/>
      <c r="EO632" s="268"/>
      <c r="EP632" s="268"/>
      <c r="EQ632" s="268"/>
      <c r="ER632" s="268"/>
      <c r="ES632" s="268"/>
      <c r="ET632" s="268"/>
      <c r="EU632" s="268"/>
      <c r="EV632" s="268"/>
      <c r="EW632" s="268"/>
      <c r="EX632" s="268"/>
      <c r="EY632" s="268"/>
      <c r="EZ632" s="268"/>
      <c r="FA632" s="268"/>
      <c r="FB632" s="268"/>
      <c r="FC632" s="268"/>
      <c r="FD632" s="268"/>
      <c r="FE632" s="268"/>
      <c r="FF632" s="268"/>
      <c r="FG632" s="268"/>
      <c r="FH632" s="268"/>
      <c r="FI632" s="268"/>
      <c r="FJ632" s="268"/>
      <c r="FK632" s="268"/>
      <c r="FL632" s="268"/>
      <c r="FM632" s="268"/>
      <c r="FN632" s="268"/>
      <c r="FO632" s="268"/>
      <c r="FP632" s="268"/>
      <c r="FQ632" s="268"/>
      <c r="FR632" s="268"/>
      <c r="FS632" s="268"/>
      <c r="FT632" s="268"/>
      <c r="FU632" s="268"/>
      <c r="FV632" s="268"/>
      <c r="FW632" s="268"/>
      <c r="FX632" s="268"/>
      <c r="FY632" s="268"/>
      <c r="FZ632" s="268"/>
      <c r="GA632" s="268"/>
      <c r="GB632" s="268"/>
      <c r="GC632" s="268"/>
      <c r="GD632" s="268"/>
      <c r="GE632" s="268"/>
      <c r="GF632" s="268"/>
      <c r="GG632" s="268"/>
      <c r="GH632" s="268"/>
      <c r="GI632" s="268"/>
      <c r="GJ632" s="268"/>
      <c r="GK632" s="268"/>
      <c r="GL632" s="268"/>
      <c r="GM632" s="268"/>
      <c r="GN632" s="268"/>
      <c r="GO632" s="268"/>
      <c r="GP632" s="268"/>
      <c r="GQ632" s="268"/>
      <c r="GR632" s="268"/>
      <c r="GS632" s="268"/>
      <c r="GT632" s="268"/>
      <c r="GU632" s="268"/>
      <c r="GV632" s="268"/>
      <c r="GW632" s="268"/>
      <c r="GX632" s="268"/>
      <c r="GY632" s="268"/>
      <c r="GZ632" s="268"/>
      <c r="HA632" s="268"/>
      <c r="HB632" s="268"/>
      <c r="HC632" s="268"/>
      <c r="HD632" s="268"/>
      <c r="HE632" s="268"/>
      <c r="HF632" s="268"/>
      <c r="HG632" s="268"/>
      <c r="HH632" s="268"/>
      <c r="HI632" s="268"/>
      <c r="HJ632" s="268"/>
      <c r="HK632" s="268"/>
      <c r="HL632" s="268"/>
      <c r="HM632" s="268"/>
      <c r="HN632" s="268"/>
      <c r="HO632" s="268"/>
      <c r="HP632" s="268"/>
      <c r="HQ632" s="268"/>
      <c r="HR632" s="268"/>
      <c r="HS632" s="268"/>
      <c r="HT632" s="268"/>
      <c r="HU632" s="268"/>
      <c r="HV632" s="268"/>
      <c r="HW632" s="268"/>
      <c r="HX632" s="268"/>
      <c r="HY632" s="268"/>
      <c r="HZ632" s="268"/>
      <c r="IA632" s="268"/>
      <c r="IB632" s="268"/>
      <c r="IC632" s="268"/>
      <c r="ID632" s="268"/>
      <c r="IE632" s="268"/>
      <c r="IF632" s="268"/>
      <c r="IG632" s="268"/>
      <c r="IH632" s="268"/>
      <c r="II632" s="268"/>
      <c r="IJ632" s="268"/>
      <c r="IK632" s="268"/>
      <c r="IL632" s="268"/>
      <c r="IM632" s="268"/>
      <c r="JA632" s="268"/>
      <c r="JB632" s="268"/>
      <c r="JC632" s="268"/>
      <c r="JQ632" s="268"/>
      <c r="JS632" s="268"/>
      <c r="JT632" s="268"/>
      <c r="JU632" s="268"/>
      <c r="JV632" s="268"/>
      <c r="JW632" s="268"/>
      <c r="JX632" s="268"/>
      <c r="JY632" s="268"/>
      <c r="JZ632" s="268"/>
      <c r="KA632" s="268"/>
      <c r="KB632" s="268"/>
      <c r="KC632" s="268"/>
      <c r="KD632" s="268"/>
      <c r="KE632" s="268"/>
      <c r="KF632" s="268"/>
      <c r="KG632" s="268"/>
      <c r="KH632" s="268"/>
      <c r="KI632" s="268"/>
      <c r="KJ632" s="268"/>
      <c r="KK632" s="268"/>
      <c r="KL632" s="268"/>
      <c r="KM632" s="268"/>
      <c r="KN632" s="268"/>
      <c r="KO632" s="268"/>
      <c r="KP632" s="268"/>
      <c r="KQ632" s="268"/>
      <c r="KR632" s="268"/>
      <c r="KS632" s="268"/>
      <c r="KT632" s="268"/>
      <c r="KU632" s="268"/>
      <c r="KV632" s="268"/>
      <c r="KW632" s="268"/>
      <c r="KX632" s="268"/>
      <c r="KY632" s="268"/>
      <c r="KZ632" s="268"/>
      <c r="LA632" s="268"/>
      <c r="LB632" s="268"/>
      <c r="LC632" s="268"/>
      <c r="LD632" s="268"/>
      <c r="LE632" s="268"/>
      <c r="LF632" s="268"/>
      <c r="LG632" s="268"/>
      <c r="LH632" s="268"/>
      <c r="LI632" s="268"/>
      <c r="LJ632" s="268"/>
      <c r="LK632" s="268"/>
      <c r="LL632" s="268"/>
      <c r="LM632" s="268"/>
      <c r="LN632" s="268"/>
      <c r="LO632" s="268"/>
      <c r="LP632" s="268"/>
      <c r="LQ632" s="268"/>
      <c r="LR632" s="268"/>
      <c r="LS632" s="268"/>
      <c r="LT632" s="268"/>
      <c r="LU632" s="268"/>
      <c r="LV632" s="268"/>
      <c r="LW632" s="268"/>
      <c r="LX632" s="268"/>
      <c r="LY632" s="268"/>
      <c r="LZ632" s="268"/>
      <c r="MA632" s="268"/>
      <c r="MB632" s="268"/>
      <c r="MC632" s="268"/>
      <c r="MD632" s="268"/>
      <c r="ME632" s="268"/>
      <c r="MF632" s="268"/>
      <c r="MG632" s="268"/>
      <c r="MH632" s="268"/>
      <c r="MI632" s="268"/>
      <c r="MJ632" s="268"/>
      <c r="MK632" s="268"/>
      <c r="ML632" s="268"/>
      <c r="MM632" s="268"/>
      <c r="MN632" s="268"/>
      <c r="MO632" s="268"/>
      <c r="MP632" s="268"/>
      <c r="MQ632" s="268"/>
      <c r="MR632" s="268"/>
      <c r="MS632" s="268"/>
      <c r="MT632" s="268"/>
      <c r="MU632" s="268"/>
      <c r="MV632" s="268"/>
      <c r="MW632" s="268"/>
      <c r="MX632" s="268"/>
      <c r="MY632" s="268"/>
      <c r="MZ632" s="268"/>
      <c r="NA632" s="268"/>
      <c r="NB632" s="268"/>
      <c r="NC632" s="268"/>
      <c r="ND632" s="268"/>
      <c r="NE632" s="268"/>
      <c r="NF632" s="268"/>
      <c r="NG632" s="268"/>
      <c r="NH632" s="268"/>
      <c r="NI632" s="268"/>
      <c r="NJ632" s="268"/>
      <c r="NK632" s="268"/>
      <c r="NL632" s="268"/>
      <c r="NM632" s="268"/>
      <c r="NN632" s="268"/>
      <c r="NO632" s="268"/>
      <c r="NP632" s="268"/>
      <c r="NQ632" s="268"/>
      <c r="NR632" s="268"/>
      <c r="NS632" s="268"/>
      <c r="NT632" s="268"/>
      <c r="NU632" s="268"/>
      <c r="NV632" s="268"/>
      <c r="NW632" s="268"/>
      <c r="NX632" s="268"/>
      <c r="NY632" s="268"/>
      <c r="NZ632" s="268"/>
      <c r="OA632" s="268"/>
      <c r="OB632" s="268"/>
      <c r="OC632" s="268"/>
      <c r="OD632" s="268"/>
      <c r="OE632" s="268"/>
      <c r="OF632" s="268"/>
      <c r="OG632" s="268"/>
      <c r="OH632" s="268"/>
      <c r="OI632" s="268"/>
      <c r="OJ632" s="268"/>
      <c r="OK632" s="268"/>
      <c r="OL632" s="268"/>
      <c r="OM632" s="268"/>
      <c r="ON632" s="268"/>
      <c r="OO632" s="268"/>
      <c r="OP632" s="268"/>
      <c r="OQ632" s="268"/>
      <c r="OR632" s="268"/>
      <c r="OS632" s="268"/>
      <c r="OT632" s="268"/>
      <c r="OU632" s="268"/>
      <c r="OV632" s="268"/>
      <c r="OW632" s="268"/>
      <c r="OX632" s="268"/>
      <c r="OY632" s="268"/>
      <c r="OZ632" s="268"/>
      <c r="PA632" s="268"/>
      <c r="PB632" s="268"/>
      <c r="PC632" s="268"/>
      <c r="PD632" s="268"/>
      <c r="PE632" s="268"/>
      <c r="PF632" s="268"/>
      <c r="PG632" s="268"/>
      <c r="PH632" s="268"/>
      <c r="PI632" s="268"/>
      <c r="PJ632" s="268"/>
      <c r="PK632" s="268"/>
      <c r="PL632" s="268"/>
      <c r="PM632" s="268"/>
      <c r="PN632" s="268"/>
      <c r="PO632" s="268"/>
      <c r="PP632" s="268"/>
      <c r="PQ632" s="268"/>
      <c r="PR632" s="268"/>
      <c r="PS632" s="268"/>
      <c r="PT632" s="268"/>
      <c r="PU632" s="268"/>
      <c r="PV632" s="268"/>
      <c r="PW632" s="268"/>
      <c r="PX632" s="268"/>
      <c r="PY632" s="268"/>
      <c r="PZ632" s="268"/>
      <c r="QA632" s="268"/>
      <c r="QB632" s="268"/>
      <c r="QC632" s="268"/>
      <c r="QD632" s="268"/>
      <c r="QE632" s="268"/>
      <c r="QF632" s="268"/>
      <c r="QG632" s="268"/>
      <c r="QH632" s="268"/>
      <c r="QI632" s="268"/>
      <c r="QJ632" s="268"/>
      <c r="QK632" s="268"/>
      <c r="QL632" s="268"/>
      <c r="QM632" s="268"/>
      <c r="QN632" s="268"/>
      <c r="QO632" s="268"/>
      <c r="QP632" s="268"/>
      <c r="QQ632" s="268"/>
      <c r="QR632" s="268"/>
      <c r="QS632" s="268"/>
      <c r="QT632" s="268"/>
      <c r="QU632" s="268"/>
      <c r="QV632" s="268"/>
      <c r="QW632" s="268"/>
      <c r="QX632" s="268"/>
      <c r="QY632" s="268"/>
      <c r="QZ632" s="268"/>
      <c r="RA632" s="268"/>
      <c r="RB632" s="268"/>
      <c r="RC632" s="268"/>
      <c r="RD632" s="268"/>
      <c r="RE632" s="268"/>
      <c r="RF632" s="268"/>
      <c r="RG632" s="268"/>
      <c r="RH632" s="268"/>
      <c r="RI632" s="268"/>
      <c r="RJ632" s="268"/>
      <c r="RK632" s="268"/>
      <c r="RL632" s="268"/>
      <c r="RM632" s="268"/>
      <c r="RN632" s="268"/>
      <c r="RO632" s="268"/>
      <c r="RP632" s="268"/>
      <c r="RQ632" s="268"/>
      <c r="RR632" s="268"/>
      <c r="RS632" s="268"/>
      <c r="RT632" s="268"/>
      <c r="RU632" s="268"/>
      <c r="RV632" s="268"/>
      <c r="RW632" s="268"/>
      <c r="RX632" s="268"/>
      <c r="RY632" s="268"/>
      <c r="RZ632" s="268"/>
      <c r="SA632" s="268"/>
      <c r="SB632" s="268"/>
      <c r="SC632" s="268"/>
      <c r="SD632" s="268"/>
      <c r="SE632" s="268"/>
      <c r="SF632" s="268"/>
      <c r="SG632" s="268"/>
      <c r="SH632" s="268"/>
      <c r="SI632" s="268"/>
      <c r="SW632" s="268"/>
      <c r="SX632" s="268"/>
      <c r="SY632" s="268"/>
      <c r="TM632" s="268"/>
      <c r="TO632" s="268"/>
      <c r="TP632" s="268"/>
      <c r="TQ632" s="268"/>
      <c r="TR632" s="268"/>
      <c r="TS632" s="268"/>
      <c r="TT632" s="268"/>
      <c r="TU632" s="268"/>
      <c r="TV632" s="268"/>
      <c r="TW632" s="268"/>
      <c r="TX632" s="268"/>
      <c r="TY632" s="268"/>
      <c r="TZ632" s="268"/>
      <c r="UA632" s="268"/>
      <c r="UB632" s="268"/>
      <c r="UC632" s="268"/>
      <c r="UD632" s="268"/>
      <c r="UE632" s="268"/>
      <c r="UF632" s="268"/>
      <c r="UG632" s="268"/>
      <c r="UH632" s="268"/>
      <c r="UI632" s="268"/>
      <c r="UJ632" s="268"/>
      <c r="UK632" s="268"/>
      <c r="UL632" s="268"/>
      <c r="UM632" s="268"/>
      <c r="UN632" s="268"/>
      <c r="UO632" s="268"/>
      <c r="UP632" s="268"/>
      <c r="UQ632" s="268"/>
      <c r="UR632" s="268"/>
      <c r="US632" s="268"/>
      <c r="UT632" s="268"/>
      <c r="UU632" s="268"/>
      <c r="UV632" s="268"/>
      <c r="UW632" s="268"/>
      <c r="UX632" s="268"/>
      <c r="UY632" s="268"/>
      <c r="UZ632" s="268"/>
      <c r="VA632" s="268"/>
      <c r="VB632" s="268"/>
      <c r="VC632" s="268"/>
      <c r="VD632" s="268"/>
      <c r="VE632" s="268"/>
      <c r="VF632" s="268"/>
      <c r="VG632" s="268"/>
      <c r="VH632" s="268"/>
      <c r="VI632" s="268"/>
      <c r="VJ632" s="268"/>
      <c r="VK632" s="268"/>
      <c r="VL632" s="268"/>
      <c r="VM632" s="268"/>
      <c r="VN632" s="268"/>
      <c r="VO632" s="268"/>
      <c r="VP632" s="268"/>
      <c r="VQ632" s="268"/>
      <c r="VR632" s="268"/>
      <c r="VS632" s="268"/>
      <c r="VT632" s="268"/>
      <c r="VU632" s="268"/>
      <c r="VV632" s="268"/>
      <c r="VW632" s="268"/>
      <c r="VX632" s="268"/>
      <c r="VY632" s="268"/>
      <c r="VZ632" s="268"/>
      <c r="WA632" s="268"/>
      <c r="WB632" s="268"/>
      <c r="WC632" s="268"/>
      <c r="WD632" s="268"/>
      <c r="WE632" s="268"/>
      <c r="WF632" s="268"/>
      <c r="WG632" s="268"/>
      <c r="WH632" s="268"/>
      <c r="WI632" s="268"/>
      <c r="WJ632" s="268"/>
      <c r="WK632" s="268"/>
      <c r="WL632" s="268"/>
      <c r="WM632" s="268"/>
      <c r="WN632" s="268"/>
      <c r="WO632" s="268"/>
      <c r="WP632" s="268"/>
      <c r="WQ632" s="268"/>
      <c r="WR632" s="268"/>
      <c r="WS632" s="268"/>
      <c r="WT632" s="268"/>
      <c r="WU632" s="268"/>
      <c r="WV632" s="268"/>
      <c r="WW632" s="268"/>
      <c r="WX632" s="268"/>
      <c r="WY632" s="268"/>
      <c r="WZ632" s="268"/>
      <c r="XA632" s="268"/>
      <c r="XB632" s="268"/>
      <c r="XC632" s="268"/>
      <c r="XD632" s="268"/>
      <c r="XE632" s="268"/>
      <c r="XF632" s="268"/>
      <c r="XG632" s="268"/>
      <c r="XH632" s="268"/>
      <c r="XI632" s="268"/>
      <c r="XJ632" s="268"/>
      <c r="XK632" s="268"/>
      <c r="XL632" s="268"/>
      <c r="XM632" s="268"/>
      <c r="XN632" s="268"/>
      <c r="XO632" s="268"/>
      <c r="XP632" s="268"/>
      <c r="XQ632" s="268"/>
      <c r="XR632" s="268"/>
      <c r="XS632" s="268"/>
      <c r="XT632" s="268"/>
      <c r="XU632" s="268"/>
      <c r="XV632" s="268"/>
      <c r="XW632" s="268"/>
      <c r="XX632" s="268"/>
      <c r="XY632" s="268"/>
      <c r="XZ632" s="268"/>
      <c r="YA632" s="268"/>
      <c r="YB632" s="268"/>
      <c r="YC632" s="268"/>
      <c r="YD632" s="268"/>
      <c r="YE632" s="268"/>
      <c r="YF632" s="268"/>
      <c r="YG632" s="268"/>
      <c r="YH632" s="268"/>
      <c r="YI632" s="268"/>
      <c r="YJ632" s="268"/>
      <c r="YK632" s="268"/>
      <c r="YL632" s="268"/>
      <c r="YM632" s="268"/>
      <c r="YN632" s="268"/>
      <c r="YO632" s="268"/>
      <c r="YP632" s="268"/>
      <c r="YQ632" s="268"/>
      <c r="YR632" s="268"/>
      <c r="YS632" s="268"/>
      <c r="YT632" s="268"/>
      <c r="YU632" s="268"/>
      <c r="YV632" s="268"/>
      <c r="YW632" s="268"/>
      <c r="YX632" s="268"/>
      <c r="YY632" s="268"/>
      <c r="YZ632" s="268"/>
      <c r="ZA632" s="268"/>
      <c r="ZB632" s="268"/>
      <c r="ZC632" s="268"/>
      <c r="ZD632" s="268"/>
      <c r="ZE632" s="268"/>
      <c r="ZF632" s="268"/>
      <c r="ZG632" s="268"/>
      <c r="ZH632" s="268"/>
      <c r="ZI632" s="268"/>
      <c r="ZJ632" s="268"/>
      <c r="ZK632" s="268"/>
      <c r="ZL632" s="268"/>
      <c r="ZM632" s="268"/>
      <c r="ZN632" s="268"/>
      <c r="ZO632" s="268"/>
      <c r="ZP632" s="268"/>
      <c r="ZQ632" s="268"/>
      <c r="ZR632" s="268"/>
      <c r="ZS632" s="268"/>
      <c r="ZT632" s="268"/>
      <c r="ZU632" s="268"/>
      <c r="ZV632" s="268"/>
      <c r="ZW632" s="268"/>
      <c r="ZX632" s="268"/>
      <c r="ZY632" s="268"/>
      <c r="ZZ632" s="268"/>
      <c r="AAA632" s="268"/>
      <c r="AAB632" s="268"/>
      <c r="AAC632" s="268"/>
      <c r="AAD632" s="268"/>
      <c r="AAE632" s="268"/>
      <c r="AAF632" s="268"/>
      <c r="AAG632" s="268"/>
      <c r="AAH632" s="268"/>
      <c r="AAI632" s="268"/>
      <c r="AAJ632" s="268"/>
      <c r="AAK632" s="268"/>
      <c r="AAL632" s="268"/>
      <c r="AAM632" s="268"/>
      <c r="AAN632" s="268"/>
      <c r="AAO632" s="268"/>
      <c r="AAP632" s="268"/>
      <c r="AAQ632" s="268"/>
      <c r="AAR632" s="268"/>
      <c r="AAS632" s="268"/>
      <c r="AAT632" s="268"/>
      <c r="AAU632" s="268"/>
      <c r="AAV632" s="268"/>
      <c r="AAW632" s="268"/>
      <c r="AAX632" s="268"/>
      <c r="AAY632" s="268"/>
      <c r="AAZ632" s="268"/>
      <c r="ABA632" s="268"/>
      <c r="ABB632" s="268"/>
      <c r="ABC632" s="268"/>
      <c r="ABD632" s="268"/>
      <c r="ABE632" s="268"/>
      <c r="ABF632" s="268"/>
      <c r="ABG632" s="268"/>
      <c r="ABH632" s="268"/>
      <c r="ABI632" s="268"/>
      <c r="ABJ632" s="268"/>
      <c r="ABK632" s="268"/>
      <c r="ABL632" s="268"/>
      <c r="ABM632" s="268"/>
      <c r="ABN632" s="268"/>
      <c r="ABO632" s="268"/>
      <c r="ABP632" s="268"/>
      <c r="ABQ632" s="268"/>
      <c r="ABR632" s="268"/>
      <c r="ABS632" s="268"/>
      <c r="ABT632" s="268"/>
      <c r="ABU632" s="268"/>
      <c r="ABV632" s="268"/>
      <c r="ABW632" s="268"/>
      <c r="ABX632" s="268"/>
      <c r="ABY632" s="268"/>
      <c r="ABZ632" s="268"/>
      <c r="ACA632" s="268"/>
      <c r="ACB632" s="268"/>
      <c r="ACC632" s="268"/>
      <c r="ACD632" s="268"/>
      <c r="ACE632" s="268"/>
      <c r="ACS632" s="268"/>
      <c r="ACT632" s="268"/>
      <c r="ACU632" s="268"/>
      <c r="ADI632" s="268"/>
      <c r="ADK632" s="268"/>
      <c r="ADL632" s="268"/>
      <c r="ADM632" s="268"/>
      <c r="ADN632" s="268"/>
      <c r="ADO632" s="268"/>
      <c r="ADP632" s="268"/>
      <c r="ADQ632" s="268"/>
      <c r="ADR632" s="268"/>
      <c r="ADS632" s="268"/>
      <c r="ADT632" s="268"/>
      <c r="ADU632" s="268"/>
      <c r="ADV632" s="268"/>
      <c r="ADW632" s="268"/>
      <c r="ADX632" s="268"/>
      <c r="ADY632" s="268"/>
      <c r="ADZ632" s="268"/>
      <c r="AEA632" s="268"/>
      <c r="AEB632" s="268"/>
      <c r="AEC632" s="268"/>
      <c r="AED632" s="268"/>
      <c r="AEE632" s="268"/>
      <c r="AEF632" s="268"/>
      <c r="AEG632" s="268"/>
      <c r="AEH632" s="268"/>
      <c r="AEI632" s="268"/>
      <c r="AEJ632" s="268"/>
      <c r="AEK632" s="268"/>
      <c r="AEL632" s="268"/>
      <c r="AEM632" s="268"/>
      <c r="AEN632" s="268"/>
      <c r="AEO632" s="268"/>
      <c r="AEP632" s="268"/>
      <c r="AEQ632" s="268"/>
      <c r="AER632" s="268"/>
      <c r="AES632" s="268"/>
      <c r="AET632" s="268"/>
      <c r="AEU632" s="268"/>
      <c r="AEV632" s="268"/>
      <c r="AEW632" s="268"/>
      <c r="AEX632" s="268"/>
      <c r="AEY632" s="268"/>
      <c r="AEZ632" s="268"/>
      <c r="AFA632" s="268"/>
      <c r="AFB632" s="268"/>
      <c r="AFC632" s="268"/>
      <c r="AFD632" s="268"/>
      <c r="AFE632" s="268"/>
      <c r="AFF632" s="268"/>
      <c r="AFG632" s="268"/>
      <c r="AFH632" s="268"/>
      <c r="AFI632" s="268"/>
      <c r="AFJ632" s="268"/>
      <c r="AFK632" s="268"/>
      <c r="AFL632" s="268"/>
      <c r="AFM632" s="268"/>
      <c r="AFN632" s="268"/>
      <c r="AFO632" s="268"/>
      <c r="AFP632" s="268"/>
      <c r="AFQ632" s="268"/>
      <c r="AFR632" s="268"/>
      <c r="AFS632" s="268"/>
      <c r="AFT632" s="268"/>
      <c r="AFU632" s="268"/>
      <c r="AFV632" s="268"/>
      <c r="AFW632" s="268"/>
      <c r="AFX632" s="268"/>
      <c r="AFY632" s="268"/>
      <c r="AFZ632" s="268"/>
      <c r="AGA632" s="268"/>
      <c r="AGB632" s="268"/>
      <c r="AGC632" s="268"/>
      <c r="AGD632" s="268"/>
      <c r="AGE632" s="268"/>
      <c r="AGF632" s="268"/>
      <c r="AGG632" s="268"/>
      <c r="AGH632" s="268"/>
      <c r="AGI632" s="268"/>
      <c r="AGJ632" s="268"/>
      <c r="AGK632" s="268"/>
      <c r="AGL632" s="268"/>
      <c r="AGM632" s="268"/>
      <c r="AGN632" s="268"/>
      <c r="AGO632" s="268"/>
      <c r="AGP632" s="268"/>
      <c r="AGQ632" s="268"/>
      <c r="AGR632" s="268"/>
      <c r="AGS632" s="268"/>
      <c r="AGT632" s="268"/>
      <c r="AGU632" s="268"/>
      <c r="AGV632" s="268"/>
      <c r="AGW632" s="268"/>
      <c r="AGX632" s="268"/>
      <c r="AGY632" s="268"/>
      <c r="AGZ632" s="268"/>
      <c r="AHA632" s="268"/>
      <c r="AHB632" s="268"/>
      <c r="AHC632" s="268"/>
      <c r="AHD632" s="268"/>
      <c r="AHE632" s="268"/>
      <c r="AHF632" s="268"/>
      <c r="AHG632" s="268"/>
      <c r="AHH632" s="268"/>
      <c r="AHI632" s="268"/>
      <c r="AHJ632" s="268"/>
      <c r="AHK632" s="268"/>
      <c r="AHL632" s="268"/>
      <c r="AHM632" s="268"/>
      <c r="AHN632" s="268"/>
      <c r="AHO632" s="268"/>
      <c r="AHP632" s="268"/>
      <c r="AHQ632" s="268"/>
      <c r="AHR632" s="268"/>
      <c r="AHS632" s="268"/>
      <c r="AHT632" s="268"/>
      <c r="AHU632" s="268"/>
      <c r="AHV632" s="268"/>
      <c r="AHW632" s="268"/>
      <c r="AHX632" s="268"/>
      <c r="AHY632" s="268"/>
      <c r="AHZ632" s="268"/>
      <c r="AIA632" s="268"/>
      <c r="AIB632" s="268"/>
      <c r="AIC632" s="268"/>
      <c r="AID632" s="268"/>
      <c r="AIE632" s="268"/>
      <c r="AIF632" s="268"/>
      <c r="AIG632" s="268"/>
      <c r="AIH632" s="268"/>
      <c r="AII632" s="268"/>
      <c r="AIJ632" s="268"/>
      <c r="AIK632" s="268"/>
      <c r="AIL632" s="268"/>
      <c r="AIM632" s="268"/>
      <c r="AIN632" s="268"/>
      <c r="AIO632" s="268"/>
      <c r="AIP632" s="268"/>
      <c r="AIQ632" s="268"/>
      <c r="AIR632" s="268"/>
      <c r="AIS632" s="268"/>
      <c r="AIT632" s="268"/>
      <c r="AIU632" s="268"/>
      <c r="AIV632" s="268"/>
      <c r="AIW632" s="268"/>
      <c r="AIX632" s="268"/>
      <c r="AIY632" s="268"/>
      <c r="AIZ632" s="268"/>
      <c r="AJA632" s="268"/>
      <c r="AJB632" s="268"/>
      <c r="AJC632" s="268"/>
      <c r="AJD632" s="268"/>
      <c r="AJE632" s="268"/>
      <c r="AJF632" s="268"/>
      <c r="AJG632" s="268"/>
      <c r="AJH632" s="268"/>
      <c r="AJI632" s="268"/>
      <c r="AJJ632" s="268"/>
      <c r="AJK632" s="268"/>
      <c r="AJL632" s="268"/>
      <c r="AJM632" s="268"/>
      <c r="AJN632" s="268"/>
      <c r="AJO632" s="268"/>
      <c r="AJP632" s="268"/>
      <c r="AJQ632" s="268"/>
      <c r="AJR632" s="268"/>
      <c r="AJS632" s="268"/>
      <c r="AJT632" s="268"/>
      <c r="AJU632" s="268"/>
      <c r="AJV632" s="268"/>
      <c r="AJW632" s="268"/>
      <c r="AJX632" s="268"/>
      <c r="AJY632" s="268"/>
      <c r="AJZ632" s="268"/>
      <c r="AKA632" s="268"/>
      <c r="AKB632" s="268"/>
      <c r="AKC632" s="268"/>
      <c r="AKD632" s="268"/>
      <c r="AKE632" s="268"/>
      <c r="AKF632" s="268"/>
      <c r="AKG632" s="268"/>
      <c r="AKH632" s="268"/>
      <c r="AKI632" s="268"/>
      <c r="AKJ632" s="268"/>
      <c r="AKK632" s="268"/>
      <c r="AKL632" s="268"/>
      <c r="AKM632" s="268"/>
      <c r="AKN632" s="268"/>
      <c r="AKO632" s="268"/>
      <c r="AKP632" s="268"/>
      <c r="AKQ632" s="268"/>
      <c r="AKR632" s="268"/>
      <c r="AKS632" s="268"/>
      <c r="AKT632" s="268"/>
      <c r="AKU632" s="268"/>
      <c r="AKV632" s="268"/>
      <c r="AKW632" s="268"/>
      <c r="AKX632" s="268"/>
      <c r="AKY632" s="268"/>
      <c r="AKZ632" s="268"/>
      <c r="ALA632" s="268"/>
      <c r="ALB632" s="268"/>
      <c r="ALC632" s="268"/>
      <c r="ALD632" s="268"/>
      <c r="ALE632" s="268"/>
      <c r="ALF632" s="268"/>
      <c r="ALG632" s="268"/>
      <c r="ALH632" s="268"/>
      <c r="ALI632" s="268"/>
      <c r="ALJ632" s="268"/>
      <c r="ALK632" s="268"/>
      <c r="ALL632" s="268"/>
      <c r="ALM632" s="268"/>
      <c r="ALN632" s="268"/>
      <c r="ALO632" s="268"/>
      <c r="ALP632" s="268"/>
      <c r="ALQ632" s="268"/>
      <c r="ALR632" s="268"/>
      <c r="ALS632" s="268"/>
      <c r="ALT632" s="268"/>
      <c r="ALU632" s="268"/>
      <c r="ALV632" s="268"/>
      <c r="ALW632" s="268"/>
      <c r="ALX632" s="268"/>
      <c r="ALY632" s="268"/>
      <c r="ALZ632" s="268"/>
      <c r="AMA632" s="268"/>
      <c r="AMO632" s="268"/>
      <c r="AMP632" s="268"/>
      <c r="AMQ632" s="268"/>
      <c r="ANE632" s="268"/>
      <c r="ANG632" s="268"/>
      <c r="ANH632" s="268"/>
      <c r="ANI632" s="268"/>
      <c r="ANJ632" s="268"/>
      <c r="ANK632" s="268"/>
      <c r="ANL632" s="268"/>
      <c r="ANM632" s="268"/>
      <c r="ANN632" s="268"/>
      <c r="ANO632" s="268"/>
      <c r="ANP632" s="268"/>
      <c r="ANQ632" s="268"/>
      <c r="ANR632" s="268"/>
      <c r="ANS632" s="268"/>
      <c r="ANT632" s="268"/>
      <c r="ANU632" s="268"/>
      <c r="ANV632" s="268"/>
      <c r="ANW632" s="268"/>
      <c r="ANX632" s="268"/>
      <c r="ANY632" s="268"/>
      <c r="ANZ632" s="268"/>
      <c r="AOA632" s="268"/>
      <c r="AOB632" s="268"/>
      <c r="AOC632" s="268"/>
      <c r="AOD632" s="268"/>
      <c r="AOE632" s="268"/>
      <c r="AOF632" s="268"/>
      <c r="AOG632" s="268"/>
      <c r="AOH632" s="268"/>
      <c r="AOI632" s="268"/>
      <c r="AOJ632" s="268"/>
      <c r="AOK632" s="268"/>
      <c r="AOL632" s="268"/>
      <c r="AOM632" s="268"/>
      <c r="AON632" s="268"/>
      <c r="AOO632" s="268"/>
      <c r="AOP632" s="268"/>
      <c r="AOQ632" s="268"/>
      <c r="AOR632" s="268"/>
      <c r="AOS632" s="268"/>
      <c r="AOT632" s="268"/>
      <c r="AOU632" s="268"/>
      <c r="AOV632" s="268"/>
      <c r="AOW632" s="268"/>
      <c r="AOX632" s="268"/>
      <c r="AOY632" s="268"/>
      <c r="AOZ632" s="268"/>
      <c r="APA632" s="268"/>
      <c r="APB632" s="268"/>
      <c r="APC632" s="268"/>
      <c r="APD632" s="268"/>
      <c r="APE632" s="268"/>
      <c r="APF632" s="268"/>
      <c r="APG632" s="268"/>
      <c r="APH632" s="268"/>
      <c r="API632" s="268"/>
      <c r="APJ632" s="268"/>
      <c r="APK632" s="268"/>
      <c r="APL632" s="268"/>
      <c r="APM632" s="268"/>
      <c r="APN632" s="268"/>
      <c r="APO632" s="268"/>
      <c r="APP632" s="268"/>
      <c r="APQ632" s="268"/>
      <c r="APR632" s="268"/>
      <c r="APS632" s="268"/>
      <c r="APT632" s="268"/>
      <c r="APU632" s="268"/>
      <c r="APV632" s="268"/>
      <c r="APW632" s="268"/>
      <c r="APX632" s="268"/>
      <c r="APY632" s="268"/>
      <c r="APZ632" s="268"/>
      <c r="AQA632" s="268"/>
      <c r="AQB632" s="268"/>
      <c r="AQC632" s="268"/>
      <c r="AQD632" s="268"/>
      <c r="AQE632" s="268"/>
      <c r="AQF632" s="268"/>
      <c r="AQG632" s="268"/>
      <c r="AQH632" s="268"/>
      <c r="AQI632" s="268"/>
      <c r="AQJ632" s="268"/>
      <c r="AQK632" s="268"/>
      <c r="AQL632" s="268"/>
      <c r="AQM632" s="268"/>
      <c r="AQN632" s="268"/>
      <c r="AQO632" s="268"/>
      <c r="AQP632" s="268"/>
      <c r="AQQ632" s="268"/>
      <c r="AQR632" s="268"/>
      <c r="AQS632" s="268"/>
      <c r="AQT632" s="268"/>
      <c r="AQU632" s="268"/>
      <c r="AQV632" s="268"/>
      <c r="AQW632" s="268"/>
      <c r="AQX632" s="268"/>
      <c r="AQY632" s="268"/>
      <c r="AQZ632" s="268"/>
      <c r="ARA632" s="268"/>
      <c r="ARB632" s="268"/>
      <c r="ARC632" s="268"/>
      <c r="ARD632" s="268"/>
      <c r="ARE632" s="268"/>
      <c r="ARF632" s="268"/>
      <c r="ARG632" s="268"/>
      <c r="ARH632" s="268"/>
      <c r="ARI632" s="268"/>
      <c r="ARJ632" s="268"/>
      <c r="ARK632" s="268"/>
      <c r="ARL632" s="268"/>
      <c r="ARM632" s="268"/>
      <c r="ARN632" s="268"/>
      <c r="ARO632" s="268"/>
      <c r="ARP632" s="268"/>
      <c r="ARQ632" s="268"/>
      <c r="ARR632" s="268"/>
      <c r="ARS632" s="268"/>
      <c r="ART632" s="268"/>
      <c r="ARU632" s="268"/>
      <c r="ARV632" s="268"/>
      <c r="ARW632" s="268"/>
      <c r="ARX632" s="268"/>
      <c r="ARY632" s="268"/>
      <c r="ARZ632" s="268"/>
      <c r="ASA632" s="268"/>
      <c r="ASB632" s="268"/>
      <c r="ASC632" s="268"/>
      <c r="ASD632" s="268"/>
      <c r="ASE632" s="268"/>
      <c r="ASF632" s="268"/>
      <c r="ASG632" s="268"/>
      <c r="ASH632" s="268"/>
      <c r="ASI632" s="268"/>
      <c r="ASJ632" s="268"/>
      <c r="ASK632" s="268"/>
      <c r="ASL632" s="268"/>
      <c r="ASM632" s="268"/>
      <c r="ASN632" s="268"/>
      <c r="ASO632" s="268"/>
      <c r="ASP632" s="268"/>
      <c r="ASQ632" s="268"/>
      <c r="ASR632" s="268"/>
      <c r="ASS632" s="268"/>
      <c r="AST632" s="268"/>
      <c r="ASU632" s="268"/>
      <c r="ASV632" s="268"/>
      <c r="ASW632" s="268"/>
      <c r="ASX632" s="268"/>
      <c r="ASY632" s="268"/>
      <c r="ASZ632" s="268"/>
      <c r="ATA632" s="268"/>
      <c r="ATB632" s="268"/>
      <c r="ATC632" s="268"/>
      <c r="ATD632" s="268"/>
      <c r="ATE632" s="268"/>
      <c r="ATF632" s="268"/>
      <c r="ATG632" s="268"/>
      <c r="ATH632" s="268"/>
      <c r="ATI632" s="268"/>
      <c r="ATJ632" s="268"/>
      <c r="ATK632" s="268"/>
      <c r="ATL632" s="268"/>
      <c r="ATM632" s="268"/>
      <c r="ATN632" s="268"/>
      <c r="ATO632" s="268"/>
      <c r="ATP632" s="268"/>
      <c r="ATQ632" s="268"/>
      <c r="ATR632" s="268"/>
      <c r="ATS632" s="268"/>
      <c r="ATT632" s="268"/>
      <c r="ATU632" s="268"/>
      <c r="ATV632" s="268"/>
      <c r="ATW632" s="268"/>
      <c r="ATX632" s="268"/>
      <c r="ATY632" s="268"/>
      <c r="ATZ632" s="268"/>
      <c r="AUA632" s="268"/>
      <c r="AUB632" s="268"/>
      <c r="AUC632" s="268"/>
      <c r="AUD632" s="268"/>
      <c r="AUE632" s="268"/>
      <c r="AUF632" s="268"/>
      <c r="AUG632" s="268"/>
      <c r="AUH632" s="268"/>
      <c r="AUI632" s="268"/>
      <c r="AUJ632" s="268"/>
      <c r="AUK632" s="268"/>
      <c r="AUL632" s="268"/>
      <c r="AUM632" s="268"/>
      <c r="AUN632" s="268"/>
      <c r="AUO632" s="268"/>
      <c r="AUP632" s="268"/>
      <c r="AUQ632" s="268"/>
      <c r="AUR632" s="268"/>
      <c r="AUS632" s="268"/>
      <c r="AUT632" s="268"/>
      <c r="AUU632" s="268"/>
      <c r="AUV632" s="268"/>
      <c r="AUW632" s="268"/>
      <c r="AUX632" s="268"/>
      <c r="AUY632" s="268"/>
      <c r="AUZ632" s="268"/>
      <c r="AVA632" s="268"/>
      <c r="AVB632" s="268"/>
      <c r="AVC632" s="268"/>
      <c r="AVD632" s="268"/>
      <c r="AVE632" s="268"/>
      <c r="AVF632" s="268"/>
      <c r="AVG632" s="268"/>
      <c r="AVH632" s="268"/>
      <c r="AVI632" s="268"/>
      <c r="AVJ632" s="268"/>
      <c r="AVK632" s="268"/>
      <c r="AVL632" s="268"/>
      <c r="AVM632" s="268"/>
      <c r="AVN632" s="268"/>
      <c r="AVO632" s="268"/>
      <c r="AVP632" s="268"/>
      <c r="AVQ632" s="268"/>
      <c r="AVR632" s="268"/>
      <c r="AVS632" s="268"/>
      <c r="AVT632" s="268"/>
      <c r="AVU632" s="268"/>
      <c r="AVV632" s="268"/>
      <c r="AVW632" s="268"/>
      <c r="AWK632" s="268"/>
      <c r="AWL632" s="268"/>
      <c r="AWM632" s="268"/>
      <c r="AXA632" s="268"/>
      <c r="AXC632" s="268"/>
      <c r="AXD632" s="268"/>
      <c r="AXE632" s="268"/>
      <c r="AXF632" s="268"/>
      <c r="AXG632" s="268"/>
      <c r="AXH632" s="268"/>
      <c r="AXI632" s="268"/>
      <c r="AXJ632" s="268"/>
      <c r="AXK632" s="268"/>
      <c r="AXL632" s="268"/>
      <c r="AXM632" s="268"/>
      <c r="AXN632" s="268"/>
      <c r="AXO632" s="268"/>
      <c r="AXP632" s="268"/>
      <c r="AXQ632" s="268"/>
      <c r="AXR632" s="268"/>
      <c r="AXS632" s="268"/>
      <c r="AXT632" s="268"/>
      <c r="AXU632" s="268"/>
      <c r="AXV632" s="268"/>
      <c r="AXW632" s="268"/>
      <c r="AXX632" s="268"/>
      <c r="AXY632" s="268"/>
      <c r="AXZ632" s="268"/>
      <c r="AYA632" s="268"/>
      <c r="AYB632" s="268"/>
      <c r="AYC632" s="268"/>
      <c r="AYD632" s="268"/>
      <c r="AYE632" s="268"/>
      <c r="AYF632" s="268"/>
      <c r="AYG632" s="268"/>
      <c r="AYH632" s="268"/>
      <c r="AYI632" s="268"/>
      <c r="AYJ632" s="268"/>
      <c r="AYK632" s="268"/>
      <c r="AYL632" s="268"/>
      <c r="AYM632" s="268"/>
      <c r="AYN632" s="268"/>
      <c r="AYO632" s="268"/>
      <c r="AYP632" s="268"/>
      <c r="AYQ632" s="268"/>
      <c r="AYR632" s="268"/>
      <c r="AYS632" s="268"/>
      <c r="AYT632" s="268"/>
      <c r="AYU632" s="268"/>
      <c r="AYV632" s="268"/>
      <c r="AYW632" s="268"/>
      <c r="AYX632" s="268"/>
      <c r="AYY632" s="268"/>
      <c r="AYZ632" s="268"/>
      <c r="AZA632" s="268"/>
      <c r="AZB632" s="268"/>
      <c r="AZC632" s="268"/>
      <c r="AZD632" s="268"/>
      <c r="AZE632" s="268"/>
      <c r="AZF632" s="268"/>
      <c r="AZG632" s="268"/>
      <c r="AZH632" s="268"/>
      <c r="AZI632" s="268"/>
      <c r="AZJ632" s="268"/>
      <c r="AZK632" s="268"/>
      <c r="AZL632" s="268"/>
      <c r="AZM632" s="268"/>
      <c r="AZN632" s="268"/>
      <c r="AZO632" s="268"/>
      <c r="AZP632" s="268"/>
      <c r="AZQ632" s="268"/>
      <c r="AZR632" s="268"/>
      <c r="AZS632" s="268"/>
      <c r="AZT632" s="268"/>
      <c r="AZU632" s="268"/>
      <c r="AZV632" s="268"/>
      <c r="AZW632" s="268"/>
      <c r="AZX632" s="268"/>
      <c r="AZY632" s="268"/>
      <c r="AZZ632" s="268"/>
      <c r="BAA632" s="268"/>
      <c r="BAB632" s="268"/>
      <c r="BAC632" s="268"/>
      <c r="BAD632" s="268"/>
      <c r="BAE632" s="268"/>
      <c r="BAF632" s="268"/>
      <c r="BAG632" s="268"/>
      <c r="BAH632" s="268"/>
      <c r="BAI632" s="268"/>
      <c r="BAJ632" s="268"/>
      <c r="BAK632" s="268"/>
      <c r="BAL632" s="268"/>
      <c r="BAM632" s="268"/>
      <c r="BAN632" s="268"/>
      <c r="BAO632" s="268"/>
      <c r="BAP632" s="268"/>
      <c r="BAQ632" s="268"/>
      <c r="BAR632" s="268"/>
      <c r="BAS632" s="268"/>
      <c r="BAT632" s="268"/>
      <c r="BAU632" s="268"/>
      <c r="BAV632" s="268"/>
      <c r="BAW632" s="268"/>
      <c r="BAX632" s="268"/>
      <c r="BAY632" s="268"/>
      <c r="BAZ632" s="268"/>
      <c r="BBA632" s="268"/>
      <c r="BBB632" s="268"/>
      <c r="BBC632" s="268"/>
      <c r="BBD632" s="268"/>
      <c r="BBE632" s="268"/>
      <c r="BBF632" s="268"/>
      <c r="BBG632" s="268"/>
      <c r="BBH632" s="268"/>
      <c r="BBI632" s="268"/>
      <c r="BBJ632" s="268"/>
      <c r="BBK632" s="268"/>
      <c r="BBL632" s="268"/>
      <c r="BBM632" s="268"/>
      <c r="BBN632" s="268"/>
      <c r="BBO632" s="268"/>
      <c r="BBP632" s="268"/>
      <c r="BBQ632" s="268"/>
      <c r="BBR632" s="268"/>
      <c r="BBS632" s="268"/>
      <c r="BBT632" s="268"/>
      <c r="BBU632" s="268"/>
      <c r="BBV632" s="268"/>
      <c r="BBW632" s="268"/>
      <c r="BBX632" s="268"/>
      <c r="BBY632" s="268"/>
      <c r="BBZ632" s="268"/>
      <c r="BCA632" s="268"/>
      <c r="BCB632" s="268"/>
      <c r="BCC632" s="268"/>
      <c r="BCD632" s="268"/>
      <c r="BCE632" s="268"/>
      <c r="BCF632" s="268"/>
      <c r="BCG632" s="268"/>
      <c r="BCH632" s="268"/>
      <c r="BCI632" s="268"/>
      <c r="BCJ632" s="268"/>
      <c r="BCK632" s="268"/>
      <c r="BCL632" s="268"/>
      <c r="BCM632" s="268"/>
      <c r="BCN632" s="268"/>
      <c r="BCO632" s="268"/>
      <c r="BCP632" s="268"/>
      <c r="BCQ632" s="268"/>
      <c r="BCR632" s="268"/>
      <c r="BCS632" s="268"/>
      <c r="BCT632" s="268"/>
      <c r="BCU632" s="268"/>
      <c r="BCV632" s="268"/>
      <c r="BCW632" s="268"/>
      <c r="BCX632" s="268"/>
      <c r="BCY632" s="268"/>
      <c r="BCZ632" s="268"/>
      <c r="BDA632" s="268"/>
      <c r="BDB632" s="268"/>
      <c r="BDC632" s="268"/>
      <c r="BDD632" s="268"/>
      <c r="BDE632" s="268"/>
      <c r="BDF632" s="268"/>
      <c r="BDG632" s="268"/>
      <c r="BDH632" s="268"/>
      <c r="BDI632" s="268"/>
      <c r="BDJ632" s="268"/>
      <c r="BDK632" s="268"/>
      <c r="BDL632" s="268"/>
      <c r="BDM632" s="268"/>
      <c r="BDN632" s="268"/>
      <c r="BDO632" s="268"/>
      <c r="BDP632" s="268"/>
      <c r="BDQ632" s="268"/>
      <c r="BDR632" s="268"/>
      <c r="BDS632" s="268"/>
      <c r="BDT632" s="268"/>
      <c r="BDU632" s="268"/>
      <c r="BDV632" s="268"/>
      <c r="BDW632" s="268"/>
      <c r="BDX632" s="268"/>
      <c r="BDY632" s="268"/>
      <c r="BDZ632" s="268"/>
      <c r="BEA632" s="268"/>
      <c r="BEB632" s="268"/>
      <c r="BEC632" s="268"/>
      <c r="BED632" s="268"/>
      <c r="BEE632" s="268"/>
      <c r="BEF632" s="268"/>
      <c r="BEG632" s="268"/>
      <c r="BEH632" s="268"/>
      <c r="BEI632" s="268"/>
      <c r="BEJ632" s="268"/>
      <c r="BEK632" s="268"/>
      <c r="BEL632" s="268"/>
      <c r="BEM632" s="268"/>
      <c r="BEN632" s="268"/>
      <c r="BEO632" s="268"/>
      <c r="BEP632" s="268"/>
      <c r="BEQ632" s="268"/>
      <c r="BER632" s="268"/>
      <c r="BES632" s="268"/>
      <c r="BET632" s="268"/>
      <c r="BEU632" s="268"/>
      <c r="BEV632" s="268"/>
      <c r="BEW632" s="268"/>
      <c r="BEX632" s="268"/>
      <c r="BEY632" s="268"/>
      <c r="BEZ632" s="268"/>
      <c r="BFA632" s="268"/>
      <c r="BFB632" s="268"/>
      <c r="BFC632" s="268"/>
      <c r="BFD632" s="268"/>
      <c r="BFE632" s="268"/>
      <c r="BFF632" s="268"/>
      <c r="BFG632" s="268"/>
      <c r="BFH632" s="268"/>
      <c r="BFI632" s="268"/>
      <c r="BFJ632" s="268"/>
      <c r="BFK632" s="268"/>
      <c r="BFL632" s="268"/>
      <c r="BFM632" s="268"/>
      <c r="BFN632" s="268"/>
      <c r="BFO632" s="268"/>
      <c r="BFP632" s="268"/>
      <c r="BFQ632" s="268"/>
      <c r="BFR632" s="268"/>
      <c r="BFS632" s="268"/>
      <c r="BGG632" s="268"/>
      <c r="BGH632" s="268"/>
      <c r="BGI632" s="268"/>
      <c r="BGW632" s="268"/>
      <c r="BGY632" s="268"/>
      <c r="BGZ632" s="268"/>
      <c r="BHA632" s="268"/>
      <c r="BHB632" s="268"/>
      <c r="BHC632" s="268"/>
      <c r="BHD632" s="268"/>
      <c r="BHE632" s="268"/>
      <c r="BHF632" s="268"/>
      <c r="BHG632" s="268"/>
      <c r="BHH632" s="268"/>
      <c r="BHI632" s="268"/>
      <c r="BHJ632" s="268"/>
      <c r="BHK632" s="268"/>
      <c r="BHL632" s="268"/>
      <c r="BHM632" s="268"/>
      <c r="BHN632" s="268"/>
      <c r="BHO632" s="268"/>
      <c r="BHP632" s="268"/>
      <c r="BHQ632" s="268"/>
      <c r="BHR632" s="268"/>
      <c r="BHS632" s="268"/>
      <c r="BHT632" s="268"/>
      <c r="BHU632" s="268"/>
      <c r="BHV632" s="268"/>
      <c r="BHW632" s="268"/>
      <c r="BHX632" s="268"/>
      <c r="BHY632" s="268"/>
      <c r="BHZ632" s="268"/>
      <c r="BIA632" s="268"/>
      <c r="BIB632" s="268"/>
      <c r="BIC632" s="268"/>
      <c r="BID632" s="268"/>
      <c r="BIE632" s="268"/>
      <c r="BIF632" s="268"/>
      <c r="BIG632" s="268"/>
      <c r="BIH632" s="268"/>
      <c r="BII632" s="268"/>
      <c r="BIJ632" s="268"/>
      <c r="BIK632" s="268"/>
      <c r="BIL632" s="268"/>
      <c r="BIM632" s="268"/>
      <c r="BIN632" s="268"/>
      <c r="BIO632" s="268"/>
      <c r="BIP632" s="268"/>
      <c r="BIQ632" s="268"/>
      <c r="BIR632" s="268"/>
      <c r="BIS632" s="268"/>
      <c r="BIT632" s="268"/>
      <c r="BIU632" s="268"/>
      <c r="BIV632" s="268"/>
      <c r="BIW632" s="268"/>
      <c r="BIX632" s="268"/>
      <c r="BIY632" s="268"/>
      <c r="BIZ632" s="268"/>
      <c r="BJA632" s="268"/>
      <c r="BJB632" s="268"/>
      <c r="BJC632" s="268"/>
      <c r="BJD632" s="268"/>
      <c r="BJE632" s="268"/>
      <c r="BJF632" s="268"/>
      <c r="BJG632" s="268"/>
      <c r="BJH632" s="268"/>
      <c r="BJI632" s="268"/>
      <c r="BJJ632" s="268"/>
      <c r="BJK632" s="268"/>
      <c r="BJL632" s="268"/>
      <c r="BJM632" s="268"/>
      <c r="BJN632" s="268"/>
      <c r="BJO632" s="268"/>
      <c r="BJP632" s="268"/>
      <c r="BJQ632" s="268"/>
      <c r="BJR632" s="268"/>
      <c r="BJS632" s="268"/>
      <c r="BJT632" s="268"/>
      <c r="BJU632" s="268"/>
      <c r="BJV632" s="268"/>
      <c r="BJW632" s="268"/>
      <c r="BJX632" s="268"/>
      <c r="BJY632" s="268"/>
      <c r="BJZ632" s="268"/>
      <c r="BKA632" s="268"/>
      <c r="BKB632" s="268"/>
      <c r="BKC632" s="268"/>
      <c r="BKD632" s="268"/>
      <c r="BKE632" s="268"/>
      <c r="BKF632" s="268"/>
      <c r="BKG632" s="268"/>
      <c r="BKH632" s="268"/>
      <c r="BKI632" s="268"/>
      <c r="BKJ632" s="268"/>
      <c r="BKK632" s="268"/>
      <c r="BKL632" s="268"/>
      <c r="BKM632" s="268"/>
      <c r="BKN632" s="268"/>
      <c r="BKO632" s="268"/>
      <c r="BKP632" s="268"/>
      <c r="BKQ632" s="268"/>
      <c r="BKR632" s="268"/>
      <c r="BKS632" s="268"/>
      <c r="BKT632" s="268"/>
      <c r="BKU632" s="268"/>
      <c r="BKV632" s="268"/>
      <c r="BKW632" s="268"/>
      <c r="BKX632" s="268"/>
      <c r="BKY632" s="268"/>
      <c r="BKZ632" s="268"/>
      <c r="BLA632" s="268"/>
      <c r="BLB632" s="268"/>
      <c r="BLC632" s="268"/>
      <c r="BLD632" s="268"/>
      <c r="BLE632" s="268"/>
      <c r="BLF632" s="268"/>
      <c r="BLG632" s="268"/>
      <c r="BLH632" s="268"/>
      <c r="BLI632" s="268"/>
      <c r="BLJ632" s="268"/>
      <c r="BLK632" s="268"/>
      <c r="BLL632" s="268"/>
      <c r="BLM632" s="268"/>
      <c r="BLN632" s="268"/>
      <c r="BLO632" s="268"/>
      <c r="BLP632" s="268"/>
      <c r="BLQ632" s="268"/>
      <c r="BLR632" s="268"/>
      <c r="BLS632" s="268"/>
      <c r="BLT632" s="268"/>
      <c r="BLU632" s="268"/>
      <c r="BLV632" s="268"/>
      <c r="BLW632" s="268"/>
      <c r="BLX632" s="268"/>
      <c r="BLY632" s="268"/>
      <c r="BLZ632" s="268"/>
      <c r="BMA632" s="268"/>
      <c r="BMB632" s="268"/>
      <c r="BMC632" s="268"/>
      <c r="BMD632" s="268"/>
      <c r="BME632" s="268"/>
      <c r="BMF632" s="268"/>
      <c r="BMG632" s="268"/>
      <c r="BMH632" s="268"/>
      <c r="BMI632" s="268"/>
      <c r="BMJ632" s="268"/>
      <c r="BMK632" s="268"/>
      <c r="BML632" s="268"/>
      <c r="BMM632" s="268"/>
      <c r="BMN632" s="268"/>
      <c r="BMO632" s="268"/>
      <c r="BMP632" s="268"/>
      <c r="BMQ632" s="268"/>
      <c r="BMR632" s="268"/>
      <c r="BMS632" s="268"/>
      <c r="BMT632" s="268"/>
      <c r="BMU632" s="268"/>
      <c r="BMV632" s="268"/>
      <c r="BMW632" s="268"/>
      <c r="BMX632" s="268"/>
      <c r="BMY632" s="268"/>
      <c r="BMZ632" s="268"/>
      <c r="BNA632" s="268"/>
      <c r="BNB632" s="268"/>
      <c r="BNC632" s="268"/>
      <c r="BND632" s="268"/>
      <c r="BNE632" s="268"/>
      <c r="BNF632" s="268"/>
      <c r="BNG632" s="268"/>
      <c r="BNH632" s="268"/>
      <c r="BNI632" s="268"/>
      <c r="BNJ632" s="268"/>
      <c r="BNK632" s="268"/>
      <c r="BNL632" s="268"/>
      <c r="BNM632" s="268"/>
      <c r="BNN632" s="268"/>
      <c r="BNO632" s="268"/>
      <c r="BNP632" s="268"/>
      <c r="BNQ632" s="268"/>
      <c r="BNR632" s="268"/>
      <c r="BNS632" s="268"/>
      <c r="BNT632" s="268"/>
      <c r="BNU632" s="268"/>
      <c r="BNV632" s="268"/>
      <c r="BNW632" s="268"/>
      <c r="BNX632" s="268"/>
      <c r="BNY632" s="268"/>
      <c r="BNZ632" s="268"/>
      <c r="BOA632" s="268"/>
      <c r="BOB632" s="268"/>
      <c r="BOC632" s="268"/>
      <c r="BOD632" s="268"/>
      <c r="BOE632" s="268"/>
      <c r="BOF632" s="268"/>
      <c r="BOG632" s="268"/>
      <c r="BOH632" s="268"/>
      <c r="BOI632" s="268"/>
      <c r="BOJ632" s="268"/>
      <c r="BOK632" s="268"/>
      <c r="BOL632" s="268"/>
      <c r="BOM632" s="268"/>
      <c r="BON632" s="268"/>
      <c r="BOO632" s="268"/>
      <c r="BOP632" s="268"/>
      <c r="BOQ632" s="268"/>
      <c r="BOR632" s="268"/>
      <c r="BOS632" s="268"/>
      <c r="BOT632" s="268"/>
      <c r="BOU632" s="268"/>
      <c r="BOV632" s="268"/>
      <c r="BOW632" s="268"/>
      <c r="BOX632" s="268"/>
      <c r="BOY632" s="268"/>
      <c r="BOZ632" s="268"/>
      <c r="BPA632" s="268"/>
      <c r="BPB632" s="268"/>
      <c r="BPC632" s="268"/>
      <c r="BPD632" s="268"/>
      <c r="BPE632" s="268"/>
      <c r="BPF632" s="268"/>
      <c r="BPG632" s="268"/>
      <c r="BPH632" s="268"/>
      <c r="BPI632" s="268"/>
      <c r="BPJ632" s="268"/>
      <c r="BPK632" s="268"/>
      <c r="BPL632" s="268"/>
      <c r="BPM632" s="268"/>
      <c r="BPN632" s="268"/>
      <c r="BPO632" s="268"/>
      <c r="BQC632" s="268"/>
      <c r="BQD632" s="268"/>
      <c r="BQE632" s="268"/>
      <c r="BQS632" s="268"/>
      <c r="BQU632" s="268"/>
      <c r="BQV632" s="268"/>
      <c r="BQW632" s="268"/>
      <c r="BQX632" s="268"/>
      <c r="BQY632" s="268"/>
      <c r="BQZ632" s="268"/>
      <c r="BRA632" s="268"/>
      <c r="BRB632" s="268"/>
      <c r="BRC632" s="268"/>
      <c r="BRD632" s="268"/>
      <c r="BRE632" s="268"/>
      <c r="BRF632" s="268"/>
      <c r="BRG632" s="268"/>
      <c r="BRH632" s="268"/>
      <c r="BRI632" s="268"/>
      <c r="BRJ632" s="268"/>
      <c r="BRK632" s="268"/>
      <c r="BRL632" s="268"/>
      <c r="BRM632" s="268"/>
      <c r="BRN632" s="268"/>
      <c r="BRO632" s="268"/>
      <c r="BRP632" s="268"/>
      <c r="BRQ632" s="268"/>
      <c r="BRR632" s="268"/>
      <c r="BRS632" s="268"/>
      <c r="BRT632" s="268"/>
      <c r="BRU632" s="268"/>
      <c r="BRV632" s="268"/>
      <c r="BRW632" s="268"/>
      <c r="BRX632" s="268"/>
      <c r="BRY632" s="268"/>
      <c r="BRZ632" s="268"/>
      <c r="BSA632" s="268"/>
      <c r="BSB632" s="268"/>
      <c r="BSC632" s="268"/>
      <c r="BSD632" s="268"/>
      <c r="BSE632" s="268"/>
      <c r="BSF632" s="268"/>
      <c r="BSG632" s="268"/>
      <c r="BSH632" s="268"/>
      <c r="BSI632" s="268"/>
      <c r="BSJ632" s="268"/>
      <c r="BSK632" s="268"/>
      <c r="BSL632" s="268"/>
      <c r="BSM632" s="268"/>
      <c r="BSN632" s="268"/>
      <c r="BSO632" s="268"/>
      <c r="BSP632" s="268"/>
      <c r="BSQ632" s="268"/>
      <c r="BSR632" s="268"/>
      <c r="BSS632" s="268"/>
      <c r="BST632" s="268"/>
      <c r="BSU632" s="268"/>
      <c r="BSV632" s="268"/>
      <c r="BSW632" s="268"/>
      <c r="BSX632" s="268"/>
      <c r="BSY632" s="268"/>
      <c r="BSZ632" s="268"/>
      <c r="BTA632" s="268"/>
      <c r="BTB632" s="268"/>
      <c r="BTC632" s="268"/>
      <c r="BTD632" s="268"/>
      <c r="BTE632" s="268"/>
      <c r="BTF632" s="268"/>
      <c r="BTG632" s="268"/>
      <c r="BTH632" s="268"/>
      <c r="BTI632" s="268"/>
      <c r="BTJ632" s="268"/>
      <c r="BTK632" s="268"/>
      <c r="BTL632" s="268"/>
      <c r="BTM632" s="268"/>
      <c r="BTN632" s="268"/>
      <c r="BTO632" s="268"/>
      <c r="BTP632" s="268"/>
      <c r="BTQ632" s="268"/>
      <c r="BTR632" s="268"/>
      <c r="BTS632" s="268"/>
      <c r="BTT632" s="268"/>
      <c r="BTU632" s="268"/>
      <c r="BTV632" s="268"/>
      <c r="BTW632" s="268"/>
      <c r="BTX632" s="268"/>
      <c r="BTY632" s="268"/>
      <c r="BTZ632" s="268"/>
      <c r="BUA632" s="268"/>
      <c r="BUB632" s="268"/>
      <c r="BUC632" s="268"/>
      <c r="BUD632" s="268"/>
      <c r="BUE632" s="268"/>
      <c r="BUF632" s="268"/>
      <c r="BUG632" s="268"/>
      <c r="BUH632" s="268"/>
      <c r="BUI632" s="268"/>
      <c r="BUJ632" s="268"/>
      <c r="BUK632" s="268"/>
      <c r="BUL632" s="268"/>
      <c r="BUM632" s="268"/>
      <c r="BUN632" s="268"/>
      <c r="BUO632" s="268"/>
      <c r="BUP632" s="268"/>
      <c r="BUQ632" s="268"/>
      <c r="BUR632" s="268"/>
      <c r="BUS632" s="268"/>
      <c r="BUT632" s="268"/>
      <c r="BUU632" s="268"/>
      <c r="BUV632" s="268"/>
      <c r="BUW632" s="268"/>
      <c r="BUX632" s="268"/>
      <c r="BUY632" s="268"/>
      <c r="BUZ632" s="268"/>
      <c r="BVA632" s="268"/>
      <c r="BVB632" s="268"/>
      <c r="BVC632" s="268"/>
      <c r="BVD632" s="268"/>
      <c r="BVE632" s="268"/>
      <c r="BVF632" s="268"/>
      <c r="BVG632" s="268"/>
      <c r="BVH632" s="268"/>
      <c r="BVI632" s="268"/>
      <c r="BVJ632" s="268"/>
      <c r="BVK632" s="268"/>
      <c r="BVL632" s="268"/>
      <c r="BVM632" s="268"/>
      <c r="BVN632" s="268"/>
      <c r="BVO632" s="268"/>
      <c r="BVP632" s="268"/>
      <c r="BVQ632" s="268"/>
      <c r="BVR632" s="268"/>
      <c r="BVS632" s="268"/>
      <c r="BVT632" s="268"/>
      <c r="BVU632" s="268"/>
      <c r="BVV632" s="268"/>
      <c r="BVW632" s="268"/>
      <c r="BVX632" s="268"/>
      <c r="BVY632" s="268"/>
      <c r="BVZ632" s="268"/>
      <c r="BWA632" s="268"/>
      <c r="BWB632" s="268"/>
      <c r="BWC632" s="268"/>
      <c r="BWD632" s="268"/>
      <c r="BWE632" s="268"/>
      <c r="BWF632" s="268"/>
      <c r="BWG632" s="268"/>
      <c r="BWH632" s="268"/>
      <c r="BWI632" s="268"/>
      <c r="BWJ632" s="268"/>
      <c r="BWK632" s="268"/>
      <c r="BWL632" s="268"/>
      <c r="BWM632" s="268"/>
      <c r="BWN632" s="268"/>
      <c r="BWO632" s="268"/>
      <c r="BWP632" s="268"/>
      <c r="BWQ632" s="268"/>
      <c r="BWR632" s="268"/>
      <c r="BWS632" s="268"/>
      <c r="BWT632" s="268"/>
      <c r="BWU632" s="268"/>
      <c r="BWV632" s="268"/>
      <c r="BWW632" s="268"/>
      <c r="BWX632" s="268"/>
      <c r="BWY632" s="268"/>
      <c r="BWZ632" s="268"/>
      <c r="BXA632" s="268"/>
      <c r="BXB632" s="268"/>
      <c r="BXC632" s="268"/>
      <c r="BXD632" s="268"/>
      <c r="BXE632" s="268"/>
      <c r="BXF632" s="268"/>
      <c r="BXG632" s="268"/>
      <c r="BXH632" s="268"/>
      <c r="BXI632" s="268"/>
      <c r="BXJ632" s="268"/>
      <c r="BXK632" s="268"/>
      <c r="BXL632" s="268"/>
      <c r="BXM632" s="268"/>
      <c r="BXN632" s="268"/>
      <c r="BXO632" s="268"/>
      <c r="BXP632" s="268"/>
      <c r="BXQ632" s="268"/>
      <c r="BXR632" s="268"/>
      <c r="BXS632" s="268"/>
      <c r="BXT632" s="268"/>
      <c r="BXU632" s="268"/>
      <c r="BXV632" s="268"/>
      <c r="BXW632" s="268"/>
      <c r="BXX632" s="268"/>
      <c r="BXY632" s="268"/>
      <c r="BXZ632" s="268"/>
      <c r="BYA632" s="268"/>
      <c r="BYB632" s="268"/>
      <c r="BYC632" s="268"/>
      <c r="BYD632" s="268"/>
      <c r="BYE632" s="268"/>
      <c r="BYF632" s="268"/>
      <c r="BYG632" s="268"/>
      <c r="BYH632" s="268"/>
      <c r="BYI632" s="268"/>
      <c r="BYJ632" s="268"/>
      <c r="BYK632" s="268"/>
      <c r="BYL632" s="268"/>
      <c r="BYM632" s="268"/>
      <c r="BYN632" s="268"/>
      <c r="BYO632" s="268"/>
      <c r="BYP632" s="268"/>
      <c r="BYQ632" s="268"/>
      <c r="BYR632" s="268"/>
      <c r="BYS632" s="268"/>
      <c r="BYT632" s="268"/>
      <c r="BYU632" s="268"/>
      <c r="BYV632" s="268"/>
      <c r="BYW632" s="268"/>
      <c r="BYX632" s="268"/>
      <c r="BYY632" s="268"/>
      <c r="BYZ632" s="268"/>
      <c r="BZA632" s="268"/>
      <c r="BZB632" s="268"/>
      <c r="BZC632" s="268"/>
      <c r="BZD632" s="268"/>
      <c r="BZE632" s="268"/>
      <c r="BZF632" s="268"/>
      <c r="BZG632" s="268"/>
      <c r="BZH632" s="268"/>
      <c r="BZI632" s="268"/>
      <c r="BZJ632" s="268"/>
      <c r="BZK632" s="268"/>
      <c r="BZY632" s="268"/>
      <c r="BZZ632" s="268"/>
      <c r="CAA632" s="268"/>
      <c r="CAO632" s="268"/>
      <c r="CAQ632" s="268"/>
      <c r="CAR632" s="268"/>
      <c r="CAS632" s="268"/>
      <c r="CAT632" s="268"/>
      <c r="CAU632" s="268"/>
      <c r="CAV632" s="268"/>
      <c r="CAW632" s="268"/>
      <c r="CAX632" s="268"/>
      <c r="CAY632" s="268"/>
      <c r="CAZ632" s="268"/>
      <c r="CBA632" s="268"/>
      <c r="CBB632" s="268"/>
      <c r="CBC632" s="268"/>
      <c r="CBD632" s="268"/>
      <c r="CBE632" s="268"/>
      <c r="CBF632" s="268"/>
      <c r="CBG632" s="268"/>
      <c r="CBH632" s="268"/>
      <c r="CBI632" s="268"/>
      <c r="CBJ632" s="268"/>
      <c r="CBK632" s="268"/>
      <c r="CBL632" s="268"/>
      <c r="CBM632" s="268"/>
      <c r="CBN632" s="268"/>
      <c r="CBO632" s="268"/>
      <c r="CBP632" s="268"/>
      <c r="CBQ632" s="268"/>
      <c r="CBR632" s="268"/>
      <c r="CBS632" s="268"/>
      <c r="CBT632" s="268"/>
      <c r="CBU632" s="268"/>
      <c r="CBV632" s="268"/>
      <c r="CBW632" s="268"/>
      <c r="CBX632" s="268"/>
      <c r="CBY632" s="268"/>
      <c r="CBZ632" s="268"/>
      <c r="CCA632" s="268"/>
      <c r="CCB632" s="268"/>
      <c r="CCC632" s="268"/>
      <c r="CCD632" s="268"/>
      <c r="CCE632" s="268"/>
      <c r="CCF632" s="268"/>
      <c r="CCG632" s="268"/>
      <c r="CCH632" s="268"/>
      <c r="CCI632" s="268"/>
      <c r="CCJ632" s="268"/>
      <c r="CCK632" s="268"/>
      <c r="CCL632" s="268"/>
      <c r="CCM632" s="268"/>
      <c r="CCN632" s="268"/>
      <c r="CCO632" s="268"/>
      <c r="CCP632" s="268"/>
      <c r="CCQ632" s="268"/>
      <c r="CCR632" s="268"/>
      <c r="CCS632" s="268"/>
      <c r="CCT632" s="268"/>
      <c r="CCU632" s="268"/>
      <c r="CCV632" s="268"/>
      <c r="CCW632" s="268"/>
      <c r="CCX632" s="268"/>
      <c r="CCY632" s="268"/>
      <c r="CCZ632" s="268"/>
      <c r="CDA632" s="268"/>
      <c r="CDB632" s="268"/>
      <c r="CDC632" s="268"/>
      <c r="CDD632" s="268"/>
      <c r="CDE632" s="268"/>
      <c r="CDF632" s="268"/>
      <c r="CDG632" s="268"/>
      <c r="CDH632" s="268"/>
      <c r="CDI632" s="268"/>
      <c r="CDJ632" s="268"/>
      <c r="CDK632" s="268"/>
      <c r="CDL632" s="268"/>
      <c r="CDM632" s="268"/>
      <c r="CDN632" s="268"/>
      <c r="CDO632" s="268"/>
      <c r="CDP632" s="268"/>
      <c r="CDQ632" s="268"/>
      <c r="CDR632" s="268"/>
      <c r="CDS632" s="268"/>
      <c r="CDT632" s="268"/>
      <c r="CDU632" s="268"/>
      <c r="CDV632" s="268"/>
      <c r="CDW632" s="268"/>
      <c r="CDX632" s="268"/>
      <c r="CDY632" s="268"/>
      <c r="CDZ632" s="268"/>
      <c r="CEA632" s="268"/>
      <c r="CEB632" s="268"/>
      <c r="CEC632" s="268"/>
      <c r="CED632" s="268"/>
      <c r="CEE632" s="268"/>
      <c r="CEF632" s="268"/>
      <c r="CEG632" s="268"/>
      <c r="CEH632" s="268"/>
      <c r="CEI632" s="268"/>
      <c r="CEJ632" s="268"/>
      <c r="CEK632" s="268"/>
      <c r="CEL632" s="268"/>
      <c r="CEM632" s="268"/>
      <c r="CEN632" s="268"/>
      <c r="CEO632" s="268"/>
      <c r="CEP632" s="268"/>
      <c r="CEQ632" s="268"/>
      <c r="CER632" s="268"/>
      <c r="CES632" s="268"/>
      <c r="CET632" s="268"/>
      <c r="CEU632" s="268"/>
      <c r="CEV632" s="268"/>
      <c r="CEW632" s="268"/>
      <c r="CEX632" s="268"/>
      <c r="CEY632" s="268"/>
      <c r="CEZ632" s="268"/>
      <c r="CFA632" s="268"/>
      <c r="CFB632" s="268"/>
      <c r="CFC632" s="268"/>
      <c r="CFD632" s="268"/>
      <c r="CFE632" s="268"/>
      <c r="CFF632" s="268"/>
      <c r="CFG632" s="268"/>
      <c r="CFH632" s="268"/>
      <c r="CFI632" s="268"/>
      <c r="CFJ632" s="268"/>
      <c r="CFK632" s="268"/>
      <c r="CFL632" s="268"/>
      <c r="CFM632" s="268"/>
      <c r="CFN632" s="268"/>
      <c r="CFO632" s="268"/>
      <c r="CFP632" s="268"/>
      <c r="CFQ632" s="268"/>
      <c r="CFR632" s="268"/>
      <c r="CFS632" s="268"/>
      <c r="CFT632" s="268"/>
      <c r="CFU632" s="268"/>
      <c r="CFV632" s="268"/>
      <c r="CFW632" s="268"/>
      <c r="CFX632" s="268"/>
      <c r="CFY632" s="268"/>
      <c r="CFZ632" s="268"/>
      <c r="CGA632" s="268"/>
      <c r="CGB632" s="268"/>
      <c r="CGC632" s="268"/>
      <c r="CGD632" s="268"/>
      <c r="CGE632" s="268"/>
      <c r="CGF632" s="268"/>
      <c r="CGG632" s="268"/>
      <c r="CGH632" s="268"/>
      <c r="CGI632" s="268"/>
      <c r="CGJ632" s="268"/>
      <c r="CGK632" s="268"/>
      <c r="CGL632" s="268"/>
      <c r="CGM632" s="268"/>
      <c r="CGN632" s="268"/>
      <c r="CGO632" s="268"/>
      <c r="CGP632" s="268"/>
      <c r="CGQ632" s="268"/>
      <c r="CGR632" s="268"/>
      <c r="CGS632" s="268"/>
      <c r="CGT632" s="268"/>
      <c r="CGU632" s="268"/>
      <c r="CGV632" s="268"/>
      <c r="CGW632" s="268"/>
      <c r="CGX632" s="268"/>
      <c r="CGY632" s="268"/>
      <c r="CGZ632" s="268"/>
      <c r="CHA632" s="268"/>
      <c r="CHB632" s="268"/>
      <c r="CHC632" s="268"/>
      <c r="CHD632" s="268"/>
      <c r="CHE632" s="268"/>
      <c r="CHF632" s="268"/>
      <c r="CHG632" s="268"/>
      <c r="CHH632" s="268"/>
      <c r="CHI632" s="268"/>
      <c r="CHJ632" s="268"/>
      <c r="CHK632" s="268"/>
      <c r="CHL632" s="268"/>
      <c r="CHM632" s="268"/>
      <c r="CHN632" s="268"/>
      <c r="CHO632" s="268"/>
      <c r="CHP632" s="268"/>
      <c r="CHQ632" s="268"/>
      <c r="CHR632" s="268"/>
      <c r="CHS632" s="268"/>
      <c r="CHT632" s="268"/>
      <c r="CHU632" s="268"/>
      <c r="CHV632" s="268"/>
      <c r="CHW632" s="268"/>
      <c r="CHX632" s="268"/>
      <c r="CHY632" s="268"/>
      <c r="CHZ632" s="268"/>
      <c r="CIA632" s="268"/>
      <c r="CIB632" s="268"/>
      <c r="CIC632" s="268"/>
      <c r="CID632" s="268"/>
      <c r="CIE632" s="268"/>
      <c r="CIF632" s="268"/>
      <c r="CIG632" s="268"/>
      <c r="CIH632" s="268"/>
      <c r="CII632" s="268"/>
      <c r="CIJ632" s="268"/>
      <c r="CIK632" s="268"/>
      <c r="CIL632" s="268"/>
      <c r="CIM632" s="268"/>
      <c r="CIN632" s="268"/>
      <c r="CIO632" s="268"/>
      <c r="CIP632" s="268"/>
      <c r="CIQ632" s="268"/>
      <c r="CIR632" s="268"/>
      <c r="CIS632" s="268"/>
      <c r="CIT632" s="268"/>
      <c r="CIU632" s="268"/>
      <c r="CIV632" s="268"/>
      <c r="CIW632" s="268"/>
      <c r="CIX632" s="268"/>
      <c r="CIY632" s="268"/>
      <c r="CIZ632" s="268"/>
      <c r="CJA632" s="268"/>
      <c r="CJB632" s="268"/>
      <c r="CJC632" s="268"/>
      <c r="CJD632" s="268"/>
      <c r="CJE632" s="268"/>
      <c r="CJF632" s="268"/>
      <c r="CJG632" s="268"/>
      <c r="CJU632" s="268"/>
      <c r="CJV632" s="268"/>
      <c r="CJW632" s="268"/>
      <c r="CKK632" s="268"/>
      <c r="CKM632" s="268"/>
      <c r="CKN632" s="268"/>
      <c r="CKO632" s="268"/>
      <c r="CKP632" s="268"/>
      <c r="CKQ632" s="268"/>
      <c r="CKR632" s="268"/>
      <c r="CKS632" s="268"/>
      <c r="CKT632" s="268"/>
      <c r="CKU632" s="268"/>
      <c r="CKV632" s="268"/>
      <c r="CKW632" s="268"/>
      <c r="CKX632" s="268"/>
      <c r="CKY632" s="268"/>
      <c r="CKZ632" s="268"/>
      <c r="CLA632" s="268"/>
      <c r="CLB632" s="268"/>
      <c r="CLC632" s="268"/>
      <c r="CLD632" s="268"/>
      <c r="CLE632" s="268"/>
      <c r="CLF632" s="268"/>
      <c r="CLG632" s="268"/>
      <c r="CLH632" s="268"/>
      <c r="CLI632" s="268"/>
      <c r="CLJ632" s="268"/>
      <c r="CLK632" s="268"/>
      <c r="CLL632" s="268"/>
      <c r="CLM632" s="268"/>
      <c r="CLN632" s="268"/>
      <c r="CLO632" s="268"/>
      <c r="CLP632" s="268"/>
      <c r="CLQ632" s="268"/>
      <c r="CLR632" s="268"/>
      <c r="CLS632" s="268"/>
      <c r="CLT632" s="268"/>
      <c r="CLU632" s="268"/>
      <c r="CLV632" s="268"/>
      <c r="CLW632" s="268"/>
      <c r="CLX632" s="268"/>
      <c r="CLY632" s="268"/>
      <c r="CLZ632" s="268"/>
      <c r="CMA632" s="268"/>
      <c r="CMB632" s="268"/>
      <c r="CMC632" s="268"/>
      <c r="CMD632" s="268"/>
      <c r="CME632" s="268"/>
      <c r="CMF632" s="268"/>
      <c r="CMG632" s="268"/>
      <c r="CMH632" s="268"/>
      <c r="CMI632" s="268"/>
      <c r="CMJ632" s="268"/>
      <c r="CMK632" s="268"/>
      <c r="CML632" s="268"/>
      <c r="CMM632" s="268"/>
      <c r="CMN632" s="268"/>
      <c r="CMO632" s="268"/>
      <c r="CMP632" s="268"/>
      <c r="CMQ632" s="268"/>
      <c r="CMR632" s="268"/>
      <c r="CMS632" s="268"/>
      <c r="CMT632" s="268"/>
      <c r="CMU632" s="268"/>
      <c r="CMV632" s="268"/>
      <c r="CMW632" s="268"/>
      <c r="CMX632" s="268"/>
      <c r="CMY632" s="268"/>
      <c r="CMZ632" s="268"/>
      <c r="CNA632" s="268"/>
      <c r="CNB632" s="268"/>
      <c r="CNC632" s="268"/>
      <c r="CND632" s="268"/>
      <c r="CNE632" s="268"/>
      <c r="CNF632" s="268"/>
      <c r="CNG632" s="268"/>
      <c r="CNH632" s="268"/>
      <c r="CNI632" s="268"/>
      <c r="CNJ632" s="268"/>
      <c r="CNK632" s="268"/>
      <c r="CNL632" s="268"/>
      <c r="CNM632" s="268"/>
      <c r="CNN632" s="268"/>
      <c r="CNO632" s="268"/>
      <c r="CNP632" s="268"/>
      <c r="CNQ632" s="268"/>
      <c r="CNR632" s="268"/>
      <c r="CNS632" s="268"/>
      <c r="CNT632" s="268"/>
      <c r="CNU632" s="268"/>
      <c r="CNV632" s="268"/>
      <c r="CNW632" s="268"/>
      <c r="CNX632" s="268"/>
      <c r="CNY632" s="268"/>
      <c r="CNZ632" s="268"/>
      <c r="COA632" s="268"/>
      <c r="COB632" s="268"/>
      <c r="COC632" s="268"/>
      <c r="COD632" s="268"/>
      <c r="COE632" s="268"/>
      <c r="COF632" s="268"/>
      <c r="COG632" s="268"/>
      <c r="COH632" s="268"/>
      <c r="COI632" s="268"/>
      <c r="COJ632" s="268"/>
      <c r="COK632" s="268"/>
      <c r="COL632" s="268"/>
      <c r="COM632" s="268"/>
      <c r="CON632" s="268"/>
      <c r="COO632" s="268"/>
      <c r="COP632" s="268"/>
      <c r="COQ632" s="268"/>
      <c r="COR632" s="268"/>
      <c r="COS632" s="268"/>
      <c r="COT632" s="268"/>
      <c r="COU632" s="268"/>
      <c r="COV632" s="268"/>
      <c r="COW632" s="268"/>
      <c r="COX632" s="268"/>
      <c r="COY632" s="268"/>
      <c r="COZ632" s="268"/>
      <c r="CPA632" s="268"/>
      <c r="CPB632" s="268"/>
      <c r="CPC632" s="268"/>
      <c r="CPD632" s="268"/>
      <c r="CPE632" s="268"/>
      <c r="CPF632" s="268"/>
      <c r="CPG632" s="268"/>
      <c r="CPH632" s="268"/>
      <c r="CPI632" s="268"/>
      <c r="CPJ632" s="268"/>
      <c r="CPK632" s="268"/>
      <c r="CPL632" s="268"/>
      <c r="CPM632" s="268"/>
      <c r="CPN632" s="268"/>
      <c r="CPO632" s="268"/>
      <c r="CPP632" s="268"/>
      <c r="CPQ632" s="268"/>
      <c r="CPR632" s="268"/>
      <c r="CPS632" s="268"/>
      <c r="CPT632" s="268"/>
      <c r="CPU632" s="268"/>
      <c r="CPV632" s="268"/>
      <c r="CPW632" s="268"/>
      <c r="CPX632" s="268"/>
      <c r="CPY632" s="268"/>
      <c r="CPZ632" s="268"/>
      <c r="CQA632" s="268"/>
      <c r="CQB632" s="268"/>
      <c r="CQC632" s="268"/>
      <c r="CQD632" s="268"/>
      <c r="CQE632" s="268"/>
      <c r="CQF632" s="268"/>
      <c r="CQG632" s="268"/>
      <c r="CQH632" s="268"/>
      <c r="CQI632" s="268"/>
      <c r="CQJ632" s="268"/>
      <c r="CQK632" s="268"/>
      <c r="CQL632" s="268"/>
      <c r="CQM632" s="268"/>
      <c r="CQN632" s="268"/>
      <c r="CQO632" s="268"/>
      <c r="CQP632" s="268"/>
      <c r="CQQ632" s="268"/>
      <c r="CQR632" s="268"/>
      <c r="CQS632" s="268"/>
      <c r="CQT632" s="268"/>
      <c r="CQU632" s="268"/>
      <c r="CQV632" s="268"/>
      <c r="CQW632" s="268"/>
      <c r="CQX632" s="268"/>
      <c r="CQY632" s="268"/>
      <c r="CQZ632" s="268"/>
      <c r="CRA632" s="268"/>
      <c r="CRB632" s="268"/>
      <c r="CRC632" s="268"/>
      <c r="CRD632" s="268"/>
      <c r="CRE632" s="268"/>
      <c r="CRF632" s="268"/>
      <c r="CRG632" s="268"/>
      <c r="CRH632" s="268"/>
      <c r="CRI632" s="268"/>
      <c r="CRJ632" s="268"/>
      <c r="CRK632" s="268"/>
      <c r="CRL632" s="268"/>
      <c r="CRM632" s="268"/>
      <c r="CRN632" s="268"/>
      <c r="CRO632" s="268"/>
      <c r="CRP632" s="268"/>
      <c r="CRQ632" s="268"/>
      <c r="CRR632" s="268"/>
      <c r="CRS632" s="268"/>
      <c r="CRT632" s="268"/>
      <c r="CRU632" s="268"/>
      <c r="CRV632" s="268"/>
      <c r="CRW632" s="268"/>
      <c r="CRX632" s="268"/>
      <c r="CRY632" s="268"/>
      <c r="CRZ632" s="268"/>
      <c r="CSA632" s="268"/>
      <c r="CSB632" s="268"/>
      <c r="CSC632" s="268"/>
      <c r="CSD632" s="268"/>
      <c r="CSE632" s="268"/>
      <c r="CSF632" s="268"/>
      <c r="CSG632" s="268"/>
      <c r="CSH632" s="268"/>
      <c r="CSI632" s="268"/>
      <c r="CSJ632" s="268"/>
      <c r="CSK632" s="268"/>
      <c r="CSL632" s="268"/>
      <c r="CSM632" s="268"/>
      <c r="CSN632" s="268"/>
      <c r="CSO632" s="268"/>
      <c r="CSP632" s="268"/>
      <c r="CSQ632" s="268"/>
      <c r="CSR632" s="268"/>
      <c r="CSS632" s="268"/>
      <c r="CST632" s="268"/>
      <c r="CSU632" s="268"/>
      <c r="CSV632" s="268"/>
      <c r="CSW632" s="268"/>
      <c r="CSX632" s="268"/>
      <c r="CSY632" s="268"/>
      <c r="CSZ632" s="268"/>
      <c r="CTA632" s="268"/>
      <c r="CTB632" s="268"/>
      <c r="CTC632" s="268"/>
      <c r="CTQ632" s="268"/>
      <c r="CTR632" s="268"/>
      <c r="CTS632" s="268"/>
      <c r="CUG632" s="268"/>
      <c r="CUI632" s="268"/>
      <c r="CUJ632" s="268"/>
      <c r="CUK632" s="268"/>
      <c r="CUL632" s="268"/>
      <c r="CUM632" s="268"/>
      <c r="CUN632" s="268"/>
      <c r="CUO632" s="268"/>
      <c r="CUP632" s="268"/>
      <c r="CUQ632" s="268"/>
      <c r="CUR632" s="268"/>
      <c r="CUS632" s="268"/>
      <c r="CUT632" s="268"/>
      <c r="CUU632" s="268"/>
      <c r="CUV632" s="268"/>
      <c r="CUW632" s="268"/>
      <c r="CUX632" s="268"/>
      <c r="CUY632" s="268"/>
      <c r="CUZ632" s="268"/>
      <c r="CVA632" s="268"/>
      <c r="CVB632" s="268"/>
      <c r="CVC632" s="268"/>
      <c r="CVD632" s="268"/>
      <c r="CVE632" s="268"/>
      <c r="CVF632" s="268"/>
      <c r="CVG632" s="268"/>
      <c r="CVH632" s="268"/>
      <c r="CVI632" s="268"/>
      <c r="CVJ632" s="268"/>
      <c r="CVK632" s="268"/>
      <c r="CVL632" s="268"/>
      <c r="CVM632" s="268"/>
      <c r="CVN632" s="268"/>
      <c r="CVO632" s="268"/>
      <c r="CVP632" s="268"/>
      <c r="CVQ632" s="268"/>
      <c r="CVR632" s="268"/>
      <c r="CVS632" s="268"/>
      <c r="CVT632" s="268"/>
      <c r="CVU632" s="268"/>
      <c r="CVV632" s="268"/>
      <c r="CVW632" s="268"/>
      <c r="CVX632" s="268"/>
      <c r="CVY632" s="268"/>
      <c r="CVZ632" s="268"/>
      <c r="CWA632" s="268"/>
      <c r="CWB632" s="268"/>
      <c r="CWC632" s="268"/>
      <c r="CWD632" s="268"/>
      <c r="CWE632" s="268"/>
      <c r="CWF632" s="268"/>
      <c r="CWG632" s="268"/>
      <c r="CWH632" s="268"/>
      <c r="CWI632" s="268"/>
      <c r="CWJ632" s="268"/>
      <c r="CWK632" s="268"/>
      <c r="CWL632" s="268"/>
      <c r="CWM632" s="268"/>
      <c r="CWN632" s="268"/>
      <c r="CWO632" s="268"/>
      <c r="CWP632" s="268"/>
      <c r="CWQ632" s="268"/>
      <c r="CWR632" s="268"/>
      <c r="CWS632" s="268"/>
      <c r="CWT632" s="268"/>
      <c r="CWU632" s="268"/>
      <c r="CWV632" s="268"/>
      <c r="CWW632" s="268"/>
      <c r="CWX632" s="268"/>
      <c r="CWY632" s="268"/>
      <c r="CWZ632" s="268"/>
      <c r="CXA632" s="268"/>
      <c r="CXB632" s="268"/>
      <c r="CXC632" s="268"/>
      <c r="CXD632" s="268"/>
      <c r="CXE632" s="268"/>
      <c r="CXF632" s="268"/>
      <c r="CXG632" s="268"/>
      <c r="CXH632" s="268"/>
      <c r="CXI632" s="268"/>
      <c r="CXJ632" s="268"/>
      <c r="CXK632" s="268"/>
      <c r="CXL632" s="268"/>
      <c r="CXM632" s="268"/>
      <c r="CXN632" s="268"/>
      <c r="CXO632" s="268"/>
      <c r="CXP632" s="268"/>
      <c r="CXQ632" s="268"/>
      <c r="CXR632" s="268"/>
      <c r="CXS632" s="268"/>
      <c r="CXT632" s="268"/>
      <c r="CXU632" s="268"/>
      <c r="CXV632" s="268"/>
      <c r="CXW632" s="268"/>
      <c r="CXX632" s="268"/>
      <c r="CXY632" s="268"/>
      <c r="CXZ632" s="268"/>
      <c r="CYA632" s="268"/>
      <c r="CYB632" s="268"/>
      <c r="CYC632" s="268"/>
      <c r="CYD632" s="268"/>
      <c r="CYE632" s="268"/>
      <c r="CYF632" s="268"/>
      <c r="CYG632" s="268"/>
      <c r="CYH632" s="268"/>
      <c r="CYI632" s="268"/>
      <c r="CYJ632" s="268"/>
      <c r="CYK632" s="268"/>
      <c r="CYL632" s="268"/>
      <c r="CYM632" s="268"/>
      <c r="CYN632" s="268"/>
      <c r="CYO632" s="268"/>
      <c r="CYP632" s="268"/>
      <c r="CYQ632" s="268"/>
      <c r="CYR632" s="268"/>
      <c r="CYS632" s="268"/>
      <c r="CYT632" s="268"/>
      <c r="CYU632" s="268"/>
      <c r="CYV632" s="268"/>
      <c r="CYW632" s="268"/>
      <c r="CYX632" s="268"/>
      <c r="CYY632" s="268"/>
      <c r="CYZ632" s="268"/>
      <c r="CZA632" s="268"/>
      <c r="CZB632" s="268"/>
      <c r="CZC632" s="268"/>
      <c r="CZD632" s="268"/>
      <c r="CZE632" s="268"/>
      <c r="CZF632" s="268"/>
      <c r="CZG632" s="268"/>
      <c r="CZH632" s="268"/>
      <c r="CZI632" s="268"/>
      <c r="CZJ632" s="268"/>
      <c r="CZK632" s="268"/>
      <c r="CZL632" s="268"/>
      <c r="CZM632" s="268"/>
      <c r="CZN632" s="268"/>
      <c r="CZO632" s="268"/>
      <c r="CZP632" s="268"/>
      <c r="CZQ632" s="268"/>
      <c r="CZR632" s="268"/>
      <c r="CZS632" s="268"/>
      <c r="CZT632" s="268"/>
      <c r="CZU632" s="268"/>
      <c r="CZV632" s="268"/>
      <c r="CZW632" s="268"/>
      <c r="CZX632" s="268"/>
      <c r="CZY632" s="268"/>
      <c r="CZZ632" s="268"/>
      <c r="DAA632" s="268"/>
      <c r="DAB632" s="268"/>
      <c r="DAC632" s="268"/>
      <c r="DAD632" s="268"/>
      <c r="DAE632" s="268"/>
      <c r="DAF632" s="268"/>
      <c r="DAG632" s="268"/>
      <c r="DAH632" s="268"/>
      <c r="DAI632" s="268"/>
      <c r="DAJ632" s="268"/>
      <c r="DAK632" s="268"/>
      <c r="DAL632" s="268"/>
      <c r="DAM632" s="268"/>
      <c r="DAN632" s="268"/>
      <c r="DAO632" s="268"/>
      <c r="DAP632" s="268"/>
      <c r="DAQ632" s="268"/>
      <c r="DAR632" s="268"/>
      <c r="DAS632" s="268"/>
      <c r="DAT632" s="268"/>
      <c r="DAU632" s="268"/>
      <c r="DAV632" s="268"/>
      <c r="DAW632" s="268"/>
      <c r="DAX632" s="268"/>
      <c r="DAY632" s="268"/>
      <c r="DAZ632" s="268"/>
      <c r="DBA632" s="268"/>
      <c r="DBB632" s="268"/>
      <c r="DBC632" s="268"/>
      <c r="DBD632" s="268"/>
      <c r="DBE632" s="268"/>
      <c r="DBF632" s="268"/>
      <c r="DBG632" s="268"/>
      <c r="DBH632" s="268"/>
      <c r="DBI632" s="268"/>
      <c r="DBJ632" s="268"/>
      <c r="DBK632" s="268"/>
      <c r="DBL632" s="268"/>
      <c r="DBM632" s="268"/>
      <c r="DBN632" s="268"/>
      <c r="DBO632" s="268"/>
      <c r="DBP632" s="268"/>
      <c r="DBQ632" s="268"/>
      <c r="DBR632" s="268"/>
      <c r="DBS632" s="268"/>
      <c r="DBT632" s="268"/>
      <c r="DBU632" s="268"/>
      <c r="DBV632" s="268"/>
      <c r="DBW632" s="268"/>
      <c r="DBX632" s="268"/>
      <c r="DBY632" s="268"/>
      <c r="DBZ632" s="268"/>
      <c r="DCA632" s="268"/>
      <c r="DCB632" s="268"/>
      <c r="DCC632" s="268"/>
      <c r="DCD632" s="268"/>
      <c r="DCE632" s="268"/>
      <c r="DCF632" s="268"/>
      <c r="DCG632" s="268"/>
      <c r="DCH632" s="268"/>
      <c r="DCI632" s="268"/>
      <c r="DCJ632" s="268"/>
      <c r="DCK632" s="268"/>
      <c r="DCL632" s="268"/>
      <c r="DCM632" s="268"/>
      <c r="DCN632" s="268"/>
      <c r="DCO632" s="268"/>
      <c r="DCP632" s="268"/>
      <c r="DCQ632" s="268"/>
      <c r="DCR632" s="268"/>
      <c r="DCS632" s="268"/>
      <c r="DCT632" s="268"/>
      <c r="DCU632" s="268"/>
      <c r="DCV632" s="268"/>
      <c r="DCW632" s="268"/>
      <c r="DCX632" s="268"/>
      <c r="DCY632" s="268"/>
      <c r="DDM632" s="268"/>
      <c r="DDN632" s="268"/>
      <c r="DDO632" s="268"/>
      <c r="DEC632" s="268"/>
      <c r="DEE632" s="268"/>
      <c r="DEF632" s="268"/>
      <c r="DEG632" s="268"/>
      <c r="DEH632" s="268"/>
      <c r="DEI632" s="268"/>
      <c r="DEJ632" s="268"/>
      <c r="DEK632" s="268"/>
      <c r="DEL632" s="268"/>
      <c r="DEM632" s="268"/>
      <c r="DEN632" s="268"/>
      <c r="DEO632" s="268"/>
      <c r="DEP632" s="268"/>
      <c r="DEQ632" s="268"/>
      <c r="DER632" s="268"/>
      <c r="DES632" s="268"/>
      <c r="DET632" s="268"/>
      <c r="DEU632" s="268"/>
      <c r="DEV632" s="268"/>
      <c r="DEW632" s="268"/>
      <c r="DEX632" s="268"/>
      <c r="DEY632" s="268"/>
      <c r="DEZ632" s="268"/>
      <c r="DFA632" s="268"/>
      <c r="DFB632" s="268"/>
      <c r="DFC632" s="268"/>
      <c r="DFD632" s="268"/>
      <c r="DFE632" s="268"/>
      <c r="DFF632" s="268"/>
      <c r="DFG632" s="268"/>
      <c r="DFH632" s="268"/>
      <c r="DFI632" s="268"/>
      <c r="DFJ632" s="268"/>
      <c r="DFK632" s="268"/>
      <c r="DFL632" s="268"/>
      <c r="DFM632" s="268"/>
      <c r="DFN632" s="268"/>
      <c r="DFO632" s="268"/>
      <c r="DFP632" s="268"/>
      <c r="DFQ632" s="268"/>
      <c r="DFR632" s="268"/>
      <c r="DFS632" s="268"/>
      <c r="DFT632" s="268"/>
      <c r="DFU632" s="268"/>
      <c r="DFV632" s="268"/>
      <c r="DFW632" s="268"/>
      <c r="DFX632" s="268"/>
      <c r="DFY632" s="268"/>
      <c r="DFZ632" s="268"/>
      <c r="DGA632" s="268"/>
      <c r="DGB632" s="268"/>
      <c r="DGC632" s="268"/>
      <c r="DGD632" s="268"/>
      <c r="DGE632" s="268"/>
      <c r="DGF632" s="268"/>
      <c r="DGG632" s="268"/>
      <c r="DGH632" s="268"/>
      <c r="DGI632" s="268"/>
      <c r="DGJ632" s="268"/>
      <c r="DGK632" s="268"/>
      <c r="DGL632" s="268"/>
      <c r="DGM632" s="268"/>
      <c r="DGN632" s="268"/>
      <c r="DGO632" s="268"/>
      <c r="DGP632" s="268"/>
      <c r="DGQ632" s="268"/>
      <c r="DGR632" s="268"/>
      <c r="DGS632" s="268"/>
      <c r="DGT632" s="268"/>
      <c r="DGU632" s="268"/>
      <c r="DGV632" s="268"/>
      <c r="DGW632" s="268"/>
      <c r="DGX632" s="268"/>
      <c r="DGY632" s="268"/>
      <c r="DGZ632" s="268"/>
      <c r="DHA632" s="268"/>
      <c r="DHB632" s="268"/>
      <c r="DHC632" s="268"/>
      <c r="DHD632" s="268"/>
      <c r="DHE632" s="268"/>
      <c r="DHF632" s="268"/>
      <c r="DHG632" s="268"/>
      <c r="DHH632" s="268"/>
      <c r="DHI632" s="268"/>
      <c r="DHJ632" s="268"/>
      <c r="DHK632" s="268"/>
      <c r="DHL632" s="268"/>
      <c r="DHM632" s="268"/>
      <c r="DHN632" s="268"/>
      <c r="DHO632" s="268"/>
      <c r="DHP632" s="268"/>
      <c r="DHQ632" s="268"/>
      <c r="DHR632" s="268"/>
      <c r="DHS632" s="268"/>
      <c r="DHT632" s="268"/>
      <c r="DHU632" s="268"/>
      <c r="DHV632" s="268"/>
      <c r="DHW632" s="268"/>
      <c r="DHX632" s="268"/>
      <c r="DHY632" s="268"/>
      <c r="DHZ632" s="268"/>
      <c r="DIA632" s="268"/>
      <c r="DIB632" s="268"/>
      <c r="DIC632" s="268"/>
      <c r="DID632" s="268"/>
      <c r="DIE632" s="268"/>
      <c r="DIF632" s="268"/>
      <c r="DIG632" s="268"/>
      <c r="DIH632" s="268"/>
      <c r="DII632" s="268"/>
      <c r="DIJ632" s="268"/>
      <c r="DIK632" s="268"/>
      <c r="DIL632" s="268"/>
      <c r="DIM632" s="268"/>
      <c r="DIN632" s="268"/>
      <c r="DIO632" s="268"/>
      <c r="DIP632" s="268"/>
      <c r="DIQ632" s="268"/>
      <c r="DIR632" s="268"/>
      <c r="DIS632" s="268"/>
      <c r="DIT632" s="268"/>
      <c r="DIU632" s="268"/>
      <c r="DIV632" s="268"/>
      <c r="DIW632" s="268"/>
      <c r="DIX632" s="268"/>
      <c r="DIY632" s="268"/>
      <c r="DIZ632" s="268"/>
      <c r="DJA632" s="268"/>
      <c r="DJB632" s="268"/>
      <c r="DJC632" s="268"/>
      <c r="DJD632" s="268"/>
      <c r="DJE632" s="268"/>
      <c r="DJF632" s="268"/>
      <c r="DJG632" s="268"/>
      <c r="DJH632" s="268"/>
      <c r="DJI632" s="268"/>
      <c r="DJJ632" s="268"/>
      <c r="DJK632" s="268"/>
      <c r="DJL632" s="268"/>
      <c r="DJM632" s="268"/>
      <c r="DJN632" s="268"/>
      <c r="DJO632" s="268"/>
      <c r="DJP632" s="268"/>
      <c r="DJQ632" s="268"/>
      <c r="DJR632" s="268"/>
      <c r="DJS632" s="268"/>
      <c r="DJT632" s="268"/>
      <c r="DJU632" s="268"/>
      <c r="DJV632" s="268"/>
      <c r="DJW632" s="268"/>
      <c r="DJX632" s="268"/>
      <c r="DJY632" s="268"/>
      <c r="DJZ632" s="268"/>
      <c r="DKA632" s="268"/>
      <c r="DKB632" s="268"/>
      <c r="DKC632" s="268"/>
      <c r="DKD632" s="268"/>
      <c r="DKE632" s="268"/>
      <c r="DKF632" s="268"/>
      <c r="DKG632" s="268"/>
      <c r="DKH632" s="268"/>
      <c r="DKI632" s="268"/>
      <c r="DKJ632" s="268"/>
      <c r="DKK632" s="268"/>
      <c r="DKL632" s="268"/>
      <c r="DKM632" s="268"/>
      <c r="DKN632" s="268"/>
      <c r="DKO632" s="268"/>
      <c r="DKP632" s="268"/>
      <c r="DKQ632" s="268"/>
      <c r="DKR632" s="268"/>
      <c r="DKS632" s="268"/>
      <c r="DKT632" s="268"/>
      <c r="DKU632" s="268"/>
      <c r="DKV632" s="268"/>
      <c r="DKW632" s="268"/>
      <c r="DKX632" s="268"/>
      <c r="DKY632" s="268"/>
      <c r="DKZ632" s="268"/>
      <c r="DLA632" s="268"/>
      <c r="DLB632" s="268"/>
      <c r="DLC632" s="268"/>
      <c r="DLD632" s="268"/>
      <c r="DLE632" s="268"/>
      <c r="DLF632" s="268"/>
      <c r="DLG632" s="268"/>
      <c r="DLH632" s="268"/>
      <c r="DLI632" s="268"/>
      <c r="DLJ632" s="268"/>
      <c r="DLK632" s="268"/>
      <c r="DLL632" s="268"/>
      <c r="DLM632" s="268"/>
      <c r="DLN632" s="268"/>
      <c r="DLO632" s="268"/>
      <c r="DLP632" s="268"/>
      <c r="DLQ632" s="268"/>
      <c r="DLR632" s="268"/>
      <c r="DLS632" s="268"/>
      <c r="DLT632" s="268"/>
      <c r="DLU632" s="268"/>
      <c r="DLV632" s="268"/>
      <c r="DLW632" s="268"/>
      <c r="DLX632" s="268"/>
      <c r="DLY632" s="268"/>
      <c r="DLZ632" s="268"/>
      <c r="DMA632" s="268"/>
      <c r="DMB632" s="268"/>
      <c r="DMC632" s="268"/>
      <c r="DMD632" s="268"/>
      <c r="DME632" s="268"/>
      <c r="DMF632" s="268"/>
      <c r="DMG632" s="268"/>
      <c r="DMH632" s="268"/>
      <c r="DMI632" s="268"/>
      <c r="DMJ632" s="268"/>
      <c r="DMK632" s="268"/>
      <c r="DML632" s="268"/>
      <c r="DMM632" s="268"/>
      <c r="DMN632" s="268"/>
      <c r="DMO632" s="268"/>
      <c r="DMP632" s="268"/>
      <c r="DMQ632" s="268"/>
      <c r="DMR632" s="268"/>
      <c r="DMS632" s="268"/>
      <c r="DMT632" s="268"/>
      <c r="DMU632" s="268"/>
      <c r="DNI632" s="268"/>
      <c r="DNJ632" s="268"/>
      <c r="DNK632" s="268"/>
      <c r="DNY632" s="268"/>
      <c r="DOA632" s="268"/>
      <c r="DOB632" s="268"/>
      <c r="DOC632" s="268"/>
      <c r="DOD632" s="268"/>
      <c r="DOE632" s="268"/>
      <c r="DOF632" s="268"/>
      <c r="DOG632" s="268"/>
      <c r="DOH632" s="268"/>
      <c r="DOI632" s="268"/>
      <c r="DOJ632" s="268"/>
      <c r="DOK632" s="268"/>
      <c r="DOL632" s="268"/>
      <c r="DOM632" s="268"/>
      <c r="DON632" s="268"/>
      <c r="DOO632" s="268"/>
      <c r="DOP632" s="268"/>
      <c r="DOQ632" s="268"/>
      <c r="DOR632" s="268"/>
      <c r="DOS632" s="268"/>
      <c r="DOT632" s="268"/>
      <c r="DOU632" s="268"/>
      <c r="DOV632" s="268"/>
      <c r="DOW632" s="268"/>
      <c r="DOX632" s="268"/>
      <c r="DOY632" s="268"/>
      <c r="DOZ632" s="268"/>
      <c r="DPA632" s="268"/>
      <c r="DPB632" s="268"/>
      <c r="DPC632" s="268"/>
      <c r="DPD632" s="268"/>
      <c r="DPE632" s="268"/>
      <c r="DPF632" s="268"/>
      <c r="DPG632" s="268"/>
      <c r="DPH632" s="268"/>
      <c r="DPI632" s="268"/>
      <c r="DPJ632" s="268"/>
      <c r="DPK632" s="268"/>
      <c r="DPL632" s="268"/>
      <c r="DPM632" s="268"/>
      <c r="DPN632" s="268"/>
      <c r="DPO632" s="268"/>
      <c r="DPP632" s="268"/>
      <c r="DPQ632" s="268"/>
      <c r="DPR632" s="268"/>
      <c r="DPS632" s="268"/>
      <c r="DPT632" s="268"/>
      <c r="DPU632" s="268"/>
      <c r="DPV632" s="268"/>
      <c r="DPW632" s="268"/>
      <c r="DPX632" s="268"/>
      <c r="DPY632" s="268"/>
      <c r="DPZ632" s="268"/>
      <c r="DQA632" s="268"/>
      <c r="DQB632" s="268"/>
      <c r="DQC632" s="268"/>
      <c r="DQD632" s="268"/>
      <c r="DQE632" s="268"/>
      <c r="DQF632" s="268"/>
      <c r="DQG632" s="268"/>
      <c r="DQH632" s="268"/>
      <c r="DQI632" s="268"/>
      <c r="DQJ632" s="268"/>
      <c r="DQK632" s="268"/>
      <c r="DQL632" s="268"/>
      <c r="DQM632" s="268"/>
      <c r="DQN632" s="268"/>
      <c r="DQO632" s="268"/>
      <c r="DQP632" s="268"/>
      <c r="DQQ632" s="268"/>
      <c r="DQR632" s="268"/>
      <c r="DQS632" s="268"/>
      <c r="DQT632" s="268"/>
      <c r="DQU632" s="268"/>
      <c r="DQV632" s="268"/>
      <c r="DQW632" s="268"/>
      <c r="DQX632" s="268"/>
      <c r="DQY632" s="268"/>
      <c r="DQZ632" s="268"/>
      <c r="DRA632" s="268"/>
      <c r="DRB632" s="268"/>
      <c r="DRC632" s="268"/>
      <c r="DRD632" s="268"/>
      <c r="DRE632" s="268"/>
      <c r="DRF632" s="268"/>
      <c r="DRG632" s="268"/>
      <c r="DRH632" s="268"/>
      <c r="DRI632" s="268"/>
      <c r="DRJ632" s="268"/>
      <c r="DRK632" s="268"/>
      <c r="DRL632" s="268"/>
      <c r="DRM632" s="268"/>
      <c r="DRN632" s="268"/>
      <c r="DRO632" s="268"/>
      <c r="DRP632" s="268"/>
      <c r="DRQ632" s="268"/>
      <c r="DRR632" s="268"/>
      <c r="DRS632" s="268"/>
      <c r="DRT632" s="268"/>
      <c r="DRU632" s="268"/>
      <c r="DRV632" s="268"/>
      <c r="DRW632" s="268"/>
      <c r="DRX632" s="268"/>
      <c r="DRY632" s="268"/>
      <c r="DRZ632" s="268"/>
      <c r="DSA632" s="268"/>
      <c r="DSB632" s="268"/>
      <c r="DSC632" s="268"/>
      <c r="DSD632" s="268"/>
      <c r="DSE632" s="268"/>
      <c r="DSF632" s="268"/>
      <c r="DSG632" s="268"/>
      <c r="DSH632" s="268"/>
      <c r="DSI632" s="268"/>
      <c r="DSJ632" s="268"/>
      <c r="DSK632" s="268"/>
      <c r="DSL632" s="268"/>
      <c r="DSM632" s="268"/>
      <c r="DSN632" s="268"/>
      <c r="DSO632" s="268"/>
      <c r="DSP632" s="268"/>
      <c r="DSQ632" s="268"/>
      <c r="DSR632" s="268"/>
      <c r="DSS632" s="268"/>
      <c r="DST632" s="268"/>
      <c r="DSU632" s="268"/>
      <c r="DSV632" s="268"/>
      <c r="DSW632" s="268"/>
      <c r="DSX632" s="268"/>
      <c r="DSY632" s="268"/>
      <c r="DSZ632" s="268"/>
      <c r="DTA632" s="268"/>
      <c r="DTB632" s="268"/>
      <c r="DTC632" s="268"/>
      <c r="DTD632" s="268"/>
      <c r="DTE632" s="268"/>
      <c r="DTF632" s="268"/>
      <c r="DTG632" s="268"/>
      <c r="DTH632" s="268"/>
      <c r="DTI632" s="268"/>
      <c r="DTJ632" s="268"/>
      <c r="DTK632" s="268"/>
      <c r="DTL632" s="268"/>
      <c r="DTM632" s="268"/>
      <c r="DTN632" s="268"/>
      <c r="DTO632" s="268"/>
      <c r="DTP632" s="268"/>
      <c r="DTQ632" s="268"/>
      <c r="DTR632" s="268"/>
      <c r="DTS632" s="268"/>
      <c r="DTT632" s="268"/>
      <c r="DTU632" s="268"/>
      <c r="DTV632" s="268"/>
      <c r="DTW632" s="268"/>
      <c r="DTX632" s="268"/>
      <c r="DTY632" s="268"/>
      <c r="DTZ632" s="268"/>
      <c r="DUA632" s="268"/>
      <c r="DUB632" s="268"/>
      <c r="DUC632" s="268"/>
      <c r="DUD632" s="268"/>
      <c r="DUE632" s="268"/>
      <c r="DUF632" s="268"/>
      <c r="DUG632" s="268"/>
      <c r="DUH632" s="268"/>
      <c r="DUI632" s="268"/>
      <c r="DUJ632" s="268"/>
      <c r="DUK632" s="268"/>
      <c r="DUL632" s="268"/>
      <c r="DUM632" s="268"/>
      <c r="DUN632" s="268"/>
      <c r="DUO632" s="268"/>
      <c r="DUP632" s="268"/>
      <c r="DUQ632" s="268"/>
      <c r="DUR632" s="268"/>
      <c r="DUS632" s="268"/>
      <c r="DUT632" s="268"/>
      <c r="DUU632" s="268"/>
      <c r="DUV632" s="268"/>
      <c r="DUW632" s="268"/>
      <c r="DUX632" s="268"/>
      <c r="DUY632" s="268"/>
      <c r="DUZ632" s="268"/>
      <c r="DVA632" s="268"/>
      <c r="DVB632" s="268"/>
      <c r="DVC632" s="268"/>
      <c r="DVD632" s="268"/>
      <c r="DVE632" s="268"/>
      <c r="DVF632" s="268"/>
      <c r="DVG632" s="268"/>
      <c r="DVH632" s="268"/>
      <c r="DVI632" s="268"/>
      <c r="DVJ632" s="268"/>
      <c r="DVK632" s="268"/>
      <c r="DVL632" s="268"/>
      <c r="DVM632" s="268"/>
      <c r="DVN632" s="268"/>
      <c r="DVO632" s="268"/>
      <c r="DVP632" s="268"/>
      <c r="DVQ632" s="268"/>
      <c r="DVR632" s="268"/>
      <c r="DVS632" s="268"/>
      <c r="DVT632" s="268"/>
      <c r="DVU632" s="268"/>
      <c r="DVV632" s="268"/>
      <c r="DVW632" s="268"/>
      <c r="DVX632" s="268"/>
      <c r="DVY632" s="268"/>
      <c r="DVZ632" s="268"/>
      <c r="DWA632" s="268"/>
      <c r="DWB632" s="268"/>
      <c r="DWC632" s="268"/>
      <c r="DWD632" s="268"/>
      <c r="DWE632" s="268"/>
      <c r="DWF632" s="268"/>
      <c r="DWG632" s="268"/>
      <c r="DWH632" s="268"/>
      <c r="DWI632" s="268"/>
      <c r="DWJ632" s="268"/>
      <c r="DWK632" s="268"/>
      <c r="DWL632" s="268"/>
      <c r="DWM632" s="268"/>
      <c r="DWN632" s="268"/>
      <c r="DWO632" s="268"/>
      <c r="DWP632" s="268"/>
      <c r="DWQ632" s="268"/>
      <c r="DXE632" s="268"/>
      <c r="DXF632" s="268"/>
      <c r="DXG632" s="268"/>
      <c r="DXU632" s="268"/>
      <c r="DXW632" s="268"/>
      <c r="DXX632" s="268"/>
      <c r="DXY632" s="268"/>
      <c r="DXZ632" s="268"/>
      <c r="DYA632" s="268"/>
      <c r="DYB632" s="268"/>
      <c r="DYC632" s="268"/>
      <c r="DYD632" s="268"/>
      <c r="DYE632" s="268"/>
      <c r="DYF632" s="268"/>
      <c r="DYG632" s="268"/>
      <c r="DYH632" s="268"/>
      <c r="DYI632" s="268"/>
      <c r="DYJ632" s="268"/>
      <c r="DYK632" s="268"/>
      <c r="DYL632" s="268"/>
      <c r="DYM632" s="268"/>
      <c r="DYN632" s="268"/>
      <c r="DYO632" s="268"/>
      <c r="DYP632" s="268"/>
      <c r="DYQ632" s="268"/>
      <c r="DYR632" s="268"/>
      <c r="DYS632" s="268"/>
      <c r="DYT632" s="268"/>
      <c r="DYU632" s="268"/>
      <c r="DYV632" s="268"/>
      <c r="DYW632" s="268"/>
      <c r="DYX632" s="268"/>
      <c r="DYY632" s="268"/>
      <c r="DYZ632" s="268"/>
      <c r="DZA632" s="268"/>
      <c r="DZB632" s="268"/>
      <c r="DZC632" s="268"/>
      <c r="DZD632" s="268"/>
      <c r="DZE632" s="268"/>
      <c r="DZF632" s="268"/>
      <c r="DZG632" s="268"/>
      <c r="DZH632" s="268"/>
      <c r="DZI632" s="268"/>
      <c r="DZJ632" s="268"/>
      <c r="DZK632" s="268"/>
      <c r="DZL632" s="268"/>
      <c r="DZM632" s="268"/>
      <c r="DZN632" s="268"/>
      <c r="DZO632" s="268"/>
      <c r="DZP632" s="268"/>
      <c r="DZQ632" s="268"/>
      <c r="DZR632" s="268"/>
      <c r="DZS632" s="268"/>
      <c r="DZT632" s="268"/>
      <c r="DZU632" s="268"/>
      <c r="DZV632" s="268"/>
      <c r="DZW632" s="268"/>
      <c r="DZX632" s="268"/>
      <c r="DZY632" s="268"/>
      <c r="DZZ632" s="268"/>
      <c r="EAA632" s="268"/>
      <c r="EAB632" s="268"/>
      <c r="EAC632" s="268"/>
      <c r="EAD632" s="268"/>
      <c r="EAE632" s="268"/>
      <c r="EAF632" s="268"/>
      <c r="EAG632" s="268"/>
      <c r="EAH632" s="268"/>
      <c r="EAI632" s="268"/>
      <c r="EAJ632" s="268"/>
      <c r="EAK632" s="268"/>
      <c r="EAL632" s="268"/>
      <c r="EAM632" s="268"/>
      <c r="EAN632" s="268"/>
      <c r="EAO632" s="268"/>
      <c r="EAP632" s="268"/>
      <c r="EAQ632" s="268"/>
      <c r="EAR632" s="268"/>
      <c r="EAS632" s="268"/>
      <c r="EAT632" s="268"/>
      <c r="EAU632" s="268"/>
      <c r="EAV632" s="268"/>
      <c r="EAW632" s="268"/>
      <c r="EAX632" s="268"/>
      <c r="EAY632" s="268"/>
      <c r="EAZ632" s="268"/>
      <c r="EBA632" s="268"/>
      <c r="EBB632" s="268"/>
      <c r="EBC632" s="268"/>
      <c r="EBD632" s="268"/>
      <c r="EBE632" s="268"/>
      <c r="EBF632" s="268"/>
      <c r="EBG632" s="268"/>
      <c r="EBH632" s="268"/>
      <c r="EBI632" s="268"/>
      <c r="EBJ632" s="268"/>
      <c r="EBK632" s="268"/>
      <c r="EBL632" s="268"/>
      <c r="EBM632" s="268"/>
      <c r="EBN632" s="268"/>
      <c r="EBO632" s="268"/>
      <c r="EBP632" s="268"/>
      <c r="EBQ632" s="268"/>
      <c r="EBR632" s="268"/>
      <c r="EBS632" s="268"/>
      <c r="EBT632" s="268"/>
      <c r="EBU632" s="268"/>
      <c r="EBV632" s="268"/>
      <c r="EBW632" s="268"/>
      <c r="EBX632" s="268"/>
      <c r="EBY632" s="268"/>
      <c r="EBZ632" s="268"/>
      <c r="ECA632" s="268"/>
      <c r="ECB632" s="268"/>
      <c r="ECC632" s="268"/>
      <c r="ECD632" s="268"/>
      <c r="ECE632" s="268"/>
      <c r="ECF632" s="268"/>
      <c r="ECG632" s="268"/>
      <c r="ECH632" s="268"/>
      <c r="ECI632" s="268"/>
      <c r="ECJ632" s="268"/>
      <c r="ECK632" s="268"/>
      <c r="ECL632" s="268"/>
      <c r="ECM632" s="268"/>
      <c r="ECN632" s="268"/>
      <c r="ECO632" s="268"/>
      <c r="ECP632" s="268"/>
      <c r="ECQ632" s="268"/>
      <c r="ECR632" s="268"/>
      <c r="ECS632" s="268"/>
      <c r="ECT632" s="268"/>
      <c r="ECU632" s="268"/>
      <c r="ECV632" s="268"/>
      <c r="ECW632" s="268"/>
      <c r="ECX632" s="268"/>
      <c r="ECY632" s="268"/>
      <c r="ECZ632" s="268"/>
      <c r="EDA632" s="268"/>
      <c r="EDB632" s="268"/>
      <c r="EDC632" s="268"/>
      <c r="EDD632" s="268"/>
      <c r="EDE632" s="268"/>
      <c r="EDF632" s="268"/>
      <c r="EDG632" s="268"/>
      <c r="EDH632" s="268"/>
      <c r="EDI632" s="268"/>
      <c r="EDJ632" s="268"/>
      <c r="EDK632" s="268"/>
      <c r="EDL632" s="268"/>
      <c r="EDM632" s="268"/>
      <c r="EDN632" s="268"/>
      <c r="EDO632" s="268"/>
      <c r="EDP632" s="268"/>
      <c r="EDQ632" s="268"/>
      <c r="EDR632" s="268"/>
      <c r="EDS632" s="268"/>
      <c r="EDT632" s="268"/>
      <c r="EDU632" s="268"/>
      <c r="EDV632" s="268"/>
      <c r="EDW632" s="268"/>
      <c r="EDX632" s="268"/>
      <c r="EDY632" s="268"/>
      <c r="EDZ632" s="268"/>
      <c r="EEA632" s="268"/>
      <c r="EEB632" s="268"/>
      <c r="EEC632" s="268"/>
      <c r="EED632" s="268"/>
      <c r="EEE632" s="268"/>
      <c r="EEF632" s="268"/>
      <c r="EEG632" s="268"/>
      <c r="EEH632" s="268"/>
      <c r="EEI632" s="268"/>
      <c r="EEJ632" s="268"/>
      <c r="EEK632" s="268"/>
      <c r="EEL632" s="268"/>
      <c r="EEM632" s="268"/>
      <c r="EEN632" s="268"/>
      <c r="EEO632" s="268"/>
      <c r="EEP632" s="268"/>
      <c r="EEQ632" s="268"/>
      <c r="EER632" s="268"/>
      <c r="EES632" s="268"/>
      <c r="EET632" s="268"/>
      <c r="EEU632" s="268"/>
      <c r="EEV632" s="268"/>
      <c r="EEW632" s="268"/>
      <c r="EEX632" s="268"/>
      <c r="EEY632" s="268"/>
      <c r="EEZ632" s="268"/>
      <c r="EFA632" s="268"/>
      <c r="EFB632" s="268"/>
      <c r="EFC632" s="268"/>
      <c r="EFD632" s="268"/>
      <c r="EFE632" s="268"/>
      <c r="EFF632" s="268"/>
      <c r="EFG632" s="268"/>
      <c r="EFH632" s="268"/>
      <c r="EFI632" s="268"/>
      <c r="EFJ632" s="268"/>
      <c r="EFK632" s="268"/>
      <c r="EFL632" s="268"/>
      <c r="EFM632" s="268"/>
      <c r="EFN632" s="268"/>
      <c r="EFO632" s="268"/>
      <c r="EFP632" s="268"/>
      <c r="EFQ632" s="268"/>
      <c r="EFR632" s="268"/>
      <c r="EFS632" s="268"/>
      <c r="EFT632" s="268"/>
      <c r="EFU632" s="268"/>
      <c r="EFV632" s="268"/>
      <c r="EFW632" s="268"/>
      <c r="EFX632" s="268"/>
      <c r="EFY632" s="268"/>
      <c r="EFZ632" s="268"/>
      <c r="EGA632" s="268"/>
      <c r="EGB632" s="268"/>
      <c r="EGC632" s="268"/>
      <c r="EGD632" s="268"/>
      <c r="EGE632" s="268"/>
      <c r="EGF632" s="268"/>
      <c r="EGG632" s="268"/>
      <c r="EGH632" s="268"/>
      <c r="EGI632" s="268"/>
      <c r="EGJ632" s="268"/>
      <c r="EGK632" s="268"/>
      <c r="EGL632" s="268"/>
      <c r="EGM632" s="268"/>
      <c r="EHA632" s="268"/>
      <c r="EHB632" s="268"/>
      <c r="EHC632" s="268"/>
      <c r="EHQ632" s="268"/>
      <c r="EHS632" s="268"/>
      <c r="EHT632" s="268"/>
      <c r="EHU632" s="268"/>
      <c r="EHV632" s="268"/>
      <c r="EHW632" s="268"/>
      <c r="EHX632" s="268"/>
      <c r="EHY632" s="268"/>
      <c r="EHZ632" s="268"/>
      <c r="EIA632" s="268"/>
      <c r="EIB632" s="268"/>
      <c r="EIC632" s="268"/>
      <c r="EID632" s="268"/>
      <c r="EIE632" s="268"/>
      <c r="EIF632" s="268"/>
      <c r="EIG632" s="268"/>
      <c r="EIH632" s="268"/>
      <c r="EII632" s="268"/>
      <c r="EIJ632" s="268"/>
      <c r="EIK632" s="268"/>
      <c r="EIL632" s="268"/>
      <c r="EIM632" s="268"/>
      <c r="EIN632" s="268"/>
      <c r="EIO632" s="268"/>
      <c r="EIP632" s="268"/>
      <c r="EIQ632" s="268"/>
      <c r="EIR632" s="268"/>
      <c r="EIS632" s="268"/>
      <c r="EIT632" s="268"/>
      <c r="EIU632" s="268"/>
      <c r="EIV632" s="268"/>
      <c r="EIW632" s="268"/>
      <c r="EIX632" s="268"/>
      <c r="EIY632" s="268"/>
      <c r="EIZ632" s="268"/>
      <c r="EJA632" s="268"/>
      <c r="EJB632" s="268"/>
      <c r="EJC632" s="268"/>
      <c r="EJD632" s="268"/>
      <c r="EJE632" s="268"/>
      <c r="EJF632" s="268"/>
      <c r="EJG632" s="268"/>
      <c r="EJH632" s="268"/>
      <c r="EJI632" s="268"/>
      <c r="EJJ632" s="268"/>
      <c r="EJK632" s="268"/>
      <c r="EJL632" s="268"/>
      <c r="EJM632" s="268"/>
      <c r="EJN632" s="268"/>
      <c r="EJO632" s="268"/>
      <c r="EJP632" s="268"/>
      <c r="EJQ632" s="268"/>
      <c r="EJR632" s="268"/>
      <c r="EJS632" s="268"/>
      <c r="EJT632" s="268"/>
      <c r="EJU632" s="268"/>
      <c r="EJV632" s="268"/>
      <c r="EJW632" s="268"/>
      <c r="EJX632" s="268"/>
      <c r="EJY632" s="268"/>
      <c r="EJZ632" s="268"/>
      <c r="EKA632" s="268"/>
      <c r="EKB632" s="268"/>
      <c r="EKC632" s="268"/>
      <c r="EKD632" s="268"/>
      <c r="EKE632" s="268"/>
      <c r="EKF632" s="268"/>
      <c r="EKG632" s="268"/>
      <c r="EKH632" s="268"/>
      <c r="EKI632" s="268"/>
      <c r="EKJ632" s="268"/>
      <c r="EKK632" s="268"/>
      <c r="EKL632" s="268"/>
      <c r="EKM632" s="268"/>
      <c r="EKN632" s="268"/>
      <c r="EKO632" s="268"/>
      <c r="EKP632" s="268"/>
      <c r="EKQ632" s="268"/>
      <c r="EKR632" s="268"/>
      <c r="EKS632" s="268"/>
      <c r="EKT632" s="268"/>
      <c r="EKU632" s="268"/>
      <c r="EKV632" s="268"/>
      <c r="EKW632" s="268"/>
      <c r="EKX632" s="268"/>
      <c r="EKY632" s="268"/>
      <c r="EKZ632" s="268"/>
      <c r="ELA632" s="268"/>
      <c r="ELB632" s="268"/>
      <c r="ELC632" s="268"/>
      <c r="ELD632" s="268"/>
      <c r="ELE632" s="268"/>
      <c r="ELF632" s="268"/>
      <c r="ELG632" s="268"/>
      <c r="ELH632" s="268"/>
      <c r="ELI632" s="268"/>
      <c r="ELJ632" s="268"/>
      <c r="ELK632" s="268"/>
      <c r="ELL632" s="268"/>
      <c r="ELM632" s="268"/>
      <c r="ELN632" s="268"/>
      <c r="ELO632" s="268"/>
      <c r="ELP632" s="268"/>
      <c r="ELQ632" s="268"/>
      <c r="ELR632" s="268"/>
      <c r="ELS632" s="268"/>
      <c r="ELT632" s="268"/>
      <c r="ELU632" s="268"/>
      <c r="ELV632" s="268"/>
      <c r="ELW632" s="268"/>
      <c r="ELX632" s="268"/>
      <c r="ELY632" s="268"/>
      <c r="ELZ632" s="268"/>
      <c r="EMA632" s="268"/>
      <c r="EMB632" s="268"/>
      <c r="EMC632" s="268"/>
      <c r="EMD632" s="268"/>
      <c r="EME632" s="268"/>
      <c r="EMF632" s="268"/>
      <c r="EMG632" s="268"/>
      <c r="EMH632" s="268"/>
      <c r="EMI632" s="268"/>
      <c r="EMJ632" s="268"/>
      <c r="EMK632" s="268"/>
      <c r="EML632" s="268"/>
      <c r="EMM632" s="268"/>
      <c r="EMN632" s="268"/>
      <c r="EMO632" s="268"/>
      <c r="EMP632" s="268"/>
      <c r="EMQ632" s="268"/>
      <c r="EMR632" s="268"/>
      <c r="EMS632" s="268"/>
      <c r="EMT632" s="268"/>
      <c r="EMU632" s="268"/>
      <c r="EMV632" s="268"/>
      <c r="EMW632" s="268"/>
      <c r="EMX632" s="268"/>
      <c r="EMY632" s="268"/>
      <c r="EMZ632" s="268"/>
      <c r="ENA632" s="268"/>
      <c r="ENB632" s="268"/>
      <c r="ENC632" s="268"/>
      <c r="END632" s="268"/>
      <c r="ENE632" s="268"/>
      <c r="ENF632" s="268"/>
      <c r="ENG632" s="268"/>
      <c r="ENH632" s="268"/>
      <c r="ENI632" s="268"/>
      <c r="ENJ632" s="268"/>
      <c r="ENK632" s="268"/>
      <c r="ENL632" s="268"/>
      <c r="ENM632" s="268"/>
      <c r="ENN632" s="268"/>
      <c r="ENO632" s="268"/>
      <c r="ENP632" s="268"/>
      <c r="ENQ632" s="268"/>
      <c r="ENR632" s="268"/>
      <c r="ENS632" s="268"/>
      <c r="ENT632" s="268"/>
      <c r="ENU632" s="268"/>
      <c r="ENV632" s="268"/>
      <c r="ENW632" s="268"/>
      <c r="ENX632" s="268"/>
      <c r="ENY632" s="268"/>
      <c r="ENZ632" s="268"/>
      <c r="EOA632" s="268"/>
      <c r="EOB632" s="268"/>
      <c r="EOC632" s="268"/>
      <c r="EOD632" s="268"/>
      <c r="EOE632" s="268"/>
      <c r="EOF632" s="268"/>
      <c r="EOG632" s="268"/>
      <c r="EOH632" s="268"/>
      <c r="EOI632" s="268"/>
      <c r="EOJ632" s="268"/>
      <c r="EOK632" s="268"/>
      <c r="EOL632" s="268"/>
      <c r="EOM632" s="268"/>
      <c r="EON632" s="268"/>
      <c r="EOO632" s="268"/>
      <c r="EOP632" s="268"/>
      <c r="EOQ632" s="268"/>
      <c r="EOR632" s="268"/>
      <c r="EOS632" s="268"/>
      <c r="EOT632" s="268"/>
      <c r="EOU632" s="268"/>
      <c r="EOV632" s="268"/>
      <c r="EOW632" s="268"/>
      <c r="EOX632" s="268"/>
      <c r="EOY632" s="268"/>
      <c r="EOZ632" s="268"/>
      <c r="EPA632" s="268"/>
      <c r="EPB632" s="268"/>
      <c r="EPC632" s="268"/>
      <c r="EPD632" s="268"/>
      <c r="EPE632" s="268"/>
      <c r="EPF632" s="268"/>
      <c r="EPG632" s="268"/>
      <c r="EPH632" s="268"/>
      <c r="EPI632" s="268"/>
      <c r="EPJ632" s="268"/>
      <c r="EPK632" s="268"/>
      <c r="EPL632" s="268"/>
      <c r="EPM632" s="268"/>
      <c r="EPN632" s="268"/>
      <c r="EPO632" s="268"/>
      <c r="EPP632" s="268"/>
      <c r="EPQ632" s="268"/>
      <c r="EPR632" s="268"/>
      <c r="EPS632" s="268"/>
      <c r="EPT632" s="268"/>
      <c r="EPU632" s="268"/>
      <c r="EPV632" s="268"/>
      <c r="EPW632" s="268"/>
      <c r="EPX632" s="268"/>
      <c r="EPY632" s="268"/>
      <c r="EPZ632" s="268"/>
      <c r="EQA632" s="268"/>
      <c r="EQB632" s="268"/>
      <c r="EQC632" s="268"/>
      <c r="EQD632" s="268"/>
      <c r="EQE632" s="268"/>
      <c r="EQF632" s="268"/>
      <c r="EQG632" s="268"/>
      <c r="EQH632" s="268"/>
      <c r="EQI632" s="268"/>
      <c r="EQW632" s="268"/>
      <c r="EQX632" s="268"/>
      <c r="EQY632" s="268"/>
      <c r="ERM632" s="268"/>
      <c r="ERO632" s="268"/>
      <c r="ERP632" s="268"/>
      <c r="ERQ632" s="268"/>
      <c r="ERR632" s="268"/>
      <c r="ERS632" s="268"/>
      <c r="ERT632" s="268"/>
      <c r="ERU632" s="268"/>
      <c r="ERV632" s="268"/>
      <c r="ERW632" s="268"/>
      <c r="ERX632" s="268"/>
      <c r="ERY632" s="268"/>
      <c r="ERZ632" s="268"/>
      <c r="ESA632" s="268"/>
      <c r="ESB632" s="268"/>
      <c r="ESC632" s="268"/>
      <c r="ESD632" s="268"/>
      <c r="ESE632" s="268"/>
      <c r="ESF632" s="268"/>
      <c r="ESG632" s="268"/>
      <c r="ESH632" s="268"/>
      <c r="ESI632" s="268"/>
      <c r="ESJ632" s="268"/>
      <c r="ESK632" s="268"/>
      <c r="ESL632" s="268"/>
      <c r="ESM632" s="268"/>
      <c r="ESN632" s="268"/>
      <c r="ESO632" s="268"/>
      <c r="ESP632" s="268"/>
      <c r="ESQ632" s="268"/>
      <c r="ESR632" s="268"/>
      <c r="ESS632" s="268"/>
      <c r="EST632" s="268"/>
      <c r="ESU632" s="268"/>
      <c r="ESV632" s="268"/>
      <c r="ESW632" s="268"/>
      <c r="ESX632" s="268"/>
      <c r="ESY632" s="268"/>
      <c r="ESZ632" s="268"/>
      <c r="ETA632" s="268"/>
      <c r="ETB632" s="268"/>
      <c r="ETC632" s="268"/>
      <c r="ETD632" s="268"/>
      <c r="ETE632" s="268"/>
      <c r="ETF632" s="268"/>
      <c r="ETG632" s="268"/>
      <c r="ETH632" s="268"/>
      <c r="ETI632" s="268"/>
      <c r="ETJ632" s="268"/>
      <c r="ETK632" s="268"/>
      <c r="ETL632" s="268"/>
      <c r="ETM632" s="268"/>
      <c r="ETN632" s="268"/>
      <c r="ETO632" s="268"/>
      <c r="ETP632" s="268"/>
      <c r="ETQ632" s="268"/>
      <c r="ETR632" s="268"/>
      <c r="ETS632" s="268"/>
      <c r="ETT632" s="268"/>
      <c r="ETU632" s="268"/>
      <c r="ETV632" s="268"/>
      <c r="ETW632" s="268"/>
      <c r="ETX632" s="268"/>
      <c r="ETY632" s="268"/>
      <c r="ETZ632" s="268"/>
      <c r="EUA632" s="268"/>
      <c r="EUB632" s="268"/>
      <c r="EUC632" s="268"/>
      <c r="EUD632" s="268"/>
      <c r="EUE632" s="268"/>
      <c r="EUF632" s="268"/>
      <c r="EUG632" s="268"/>
      <c r="EUH632" s="268"/>
      <c r="EUI632" s="268"/>
      <c r="EUJ632" s="268"/>
      <c r="EUK632" s="268"/>
      <c r="EUL632" s="268"/>
      <c r="EUM632" s="268"/>
      <c r="EUN632" s="268"/>
      <c r="EUO632" s="268"/>
      <c r="EUP632" s="268"/>
      <c r="EUQ632" s="268"/>
      <c r="EUR632" s="268"/>
      <c r="EUS632" s="268"/>
      <c r="EUT632" s="268"/>
      <c r="EUU632" s="268"/>
      <c r="EUV632" s="268"/>
      <c r="EUW632" s="268"/>
      <c r="EUX632" s="268"/>
      <c r="EUY632" s="268"/>
      <c r="EUZ632" s="268"/>
      <c r="EVA632" s="268"/>
      <c r="EVB632" s="268"/>
      <c r="EVC632" s="268"/>
      <c r="EVD632" s="268"/>
      <c r="EVE632" s="268"/>
      <c r="EVF632" s="268"/>
      <c r="EVG632" s="268"/>
      <c r="EVH632" s="268"/>
      <c r="EVI632" s="268"/>
      <c r="EVJ632" s="268"/>
      <c r="EVK632" s="268"/>
      <c r="EVL632" s="268"/>
      <c r="EVM632" s="268"/>
      <c r="EVN632" s="268"/>
      <c r="EVO632" s="268"/>
      <c r="EVP632" s="268"/>
      <c r="EVQ632" s="268"/>
      <c r="EVR632" s="268"/>
      <c r="EVS632" s="268"/>
      <c r="EVT632" s="268"/>
      <c r="EVU632" s="268"/>
      <c r="EVV632" s="268"/>
      <c r="EVW632" s="268"/>
      <c r="EVX632" s="268"/>
      <c r="EVY632" s="268"/>
      <c r="EVZ632" s="268"/>
      <c r="EWA632" s="268"/>
      <c r="EWB632" s="268"/>
      <c r="EWC632" s="268"/>
      <c r="EWD632" s="268"/>
      <c r="EWE632" s="268"/>
      <c r="EWF632" s="268"/>
      <c r="EWG632" s="268"/>
      <c r="EWH632" s="268"/>
      <c r="EWI632" s="268"/>
      <c r="EWJ632" s="268"/>
      <c r="EWK632" s="268"/>
      <c r="EWL632" s="268"/>
      <c r="EWM632" s="268"/>
      <c r="EWN632" s="268"/>
      <c r="EWO632" s="268"/>
      <c r="EWP632" s="268"/>
      <c r="EWQ632" s="268"/>
      <c r="EWR632" s="268"/>
      <c r="EWS632" s="268"/>
      <c r="EWT632" s="268"/>
      <c r="EWU632" s="268"/>
      <c r="EWV632" s="268"/>
      <c r="EWW632" s="268"/>
      <c r="EWX632" s="268"/>
      <c r="EWY632" s="268"/>
      <c r="EWZ632" s="268"/>
      <c r="EXA632" s="268"/>
      <c r="EXB632" s="268"/>
      <c r="EXC632" s="268"/>
      <c r="EXD632" s="268"/>
      <c r="EXE632" s="268"/>
      <c r="EXF632" s="268"/>
      <c r="EXG632" s="268"/>
      <c r="EXH632" s="268"/>
      <c r="EXI632" s="268"/>
      <c r="EXJ632" s="268"/>
      <c r="EXK632" s="268"/>
      <c r="EXL632" s="268"/>
      <c r="EXM632" s="268"/>
      <c r="EXN632" s="268"/>
      <c r="EXO632" s="268"/>
      <c r="EXP632" s="268"/>
      <c r="EXQ632" s="268"/>
      <c r="EXR632" s="268"/>
      <c r="EXS632" s="268"/>
      <c r="EXT632" s="268"/>
      <c r="EXU632" s="268"/>
      <c r="EXV632" s="268"/>
      <c r="EXW632" s="268"/>
      <c r="EXX632" s="268"/>
      <c r="EXY632" s="268"/>
      <c r="EXZ632" s="268"/>
      <c r="EYA632" s="268"/>
      <c r="EYB632" s="268"/>
      <c r="EYC632" s="268"/>
      <c r="EYD632" s="268"/>
      <c r="EYE632" s="268"/>
      <c r="EYF632" s="268"/>
      <c r="EYG632" s="268"/>
      <c r="EYH632" s="268"/>
      <c r="EYI632" s="268"/>
      <c r="EYJ632" s="268"/>
      <c r="EYK632" s="268"/>
      <c r="EYL632" s="268"/>
      <c r="EYM632" s="268"/>
      <c r="EYN632" s="268"/>
      <c r="EYO632" s="268"/>
      <c r="EYP632" s="268"/>
      <c r="EYQ632" s="268"/>
      <c r="EYR632" s="268"/>
      <c r="EYS632" s="268"/>
      <c r="EYT632" s="268"/>
      <c r="EYU632" s="268"/>
      <c r="EYV632" s="268"/>
      <c r="EYW632" s="268"/>
      <c r="EYX632" s="268"/>
      <c r="EYY632" s="268"/>
      <c r="EYZ632" s="268"/>
      <c r="EZA632" s="268"/>
      <c r="EZB632" s="268"/>
      <c r="EZC632" s="268"/>
      <c r="EZD632" s="268"/>
      <c r="EZE632" s="268"/>
      <c r="EZF632" s="268"/>
      <c r="EZG632" s="268"/>
      <c r="EZH632" s="268"/>
      <c r="EZI632" s="268"/>
      <c r="EZJ632" s="268"/>
      <c r="EZK632" s="268"/>
      <c r="EZL632" s="268"/>
      <c r="EZM632" s="268"/>
      <c r="EZN632" s="268"/>
      <c r="EZO632" s="268"/>
      <c r="EZP632" s="268"/>
      <c r="EZQ632" s="268"/>
      <c r="EZR632" s="268"/>
      <c r="EZS632" s="268"/>
      <c r="EZT632" s="268"/>
      <c r="EZU632" s="268"/>
      <c r="EZV632" s="268"/>
      <c r="EZW632" s="268"/>
      <c r="EZX632" s="268"/>
      <c r="EZY632" s="268"/>
      <c r="EZZ632" s="268"/>
      <c r="FAA632" s="268"/>
      <c r="FAB632" s="268"/>
      <c r="FAC632" s="268"/>
      <c r="FAD632" s="268"/>
      <c r="FAE632" s="268"/>
      <c r="FAS632" s="268"/>
      <c r="FAT632" s="268"/>
      <c r="FAU632" s="268"/>
      <c r="FBI632" s="268"/>
      <c r="FBK632" s="268"/>
      <c r="FBL632" s="268"/>
      <c r="FBM632" s="268"/>
      <c r="FBN632" s="268"/>
      <c r="FBO632" s="268"/>
      <c r="FBP632" s="268"/>
      <c r="FBQ632" s="268"/>
      <c r="FBR632" s="268"/>
      <c r="FBS632" s="268"/>
      <c r="FBT632" s="268"/>
      <c r="FBU632" s="268"/>
      <c r="FBV632" s="268"/>
      <c r="FBW632" s="268"/>
      <c r="FBX632" s="268"/>
      <c r="FBY632" s="268"/>
      <c r="FBZ632" s="268"/>
      <c r="FCA632" s="268"/>
      <c r="FCB632" s="268"/>
      <c r="FCC632" s="268"/>
      <c r="FCD632" s="268"/>
      <c r="FCE632" s="268"/>
      <c r="FCF632" s="268"/>
      <c r="FCG632" s="268"/>
      <c r="FCH632" s="268"/>
      <c r="FCI632" s="268"/>
      <c r="FCJ632" s="268"/>
      <c r="FCK632" s="268"/>
      <c r="FCL632" s="268"/>
      <c r="FCM632" s="268"/>
      <c r="FCN632" s="268"/>
      <c r="FCO632" s="268"/>
      <c r="FCP632" s="268"/>
      <c r="FCQ632" s="268"/>
      <c r="FCR632" s="268"/>
      <c r="FCS632" s="268"/>
      <c r="FCT632" s="268"/>
      <c r="FCU632" s="268"/>
      <c r="FCV632" s="268"/>
      <c r="FCW632" s="268"/>
      <c r="FCX632" s="268"/>
      <c r="FCY632" s="268"/>
      <c r="FCZ632" s="268"/>
      <c r="FDA632" s="268"/>
      <c r="FDB632" s="268"/>
      <c r="FDC632" s="268"/>
      <c r="FDD632" s="268"/>
      <c r="FDE632" s="268"/>
      <c r="FDF632" s="268"/>
      <c r="FDG632" s="268"/>
      <c r="FDH632" s="268"/>
      <c r="FDI632" s="268"/>
      <c r="FDJ632" s="268"/>
      <c r="FDK632" s="268"/>
      <c r="FDL632" s="268"/>
      <c r="FDM632" s="268"/>
      <c r="FDN632" s="268"/>
      <c r="FDO632" s="268"/>
      <c r="FDP632" s="268"/>
      <c r="FDQ632" s="268"/>
      <c r="FDR632" s="268"/>
      <c r="FDS632" s="268"/>
      <c r="FDT632" s="268"/>
      <c r="FDU632" s="268"/>
      <c r="FDV632" s="268"/>
      <c r="FDW632" s="268"/>
      <c r="FDX632" s="268"/>
      <c r="FDY632" s="268"/>
      <c r="FDZ632" s="268"/>
      <c r="FEA632" s="268"/>
      <c r="FEB632" s="268"/>
      <c r="FEC632" s="268"/>
      <c r="FED632" s="268"/>
      <c r="FEE632" s="268"/>
      <c r="FEF632" s="268"/>
      <c r="FEG632" s="268"/>
      <c r="FEH632" s="268"/>
      <c r="FEI632" s="268"/>
      <c r="FEJ632" s="268"/>
      <c r="FEK632" s="268"/>
      <c r="FEL632" s="268"/>
      <c r="FEM632" s="268"/>
      <c r="FEN632" s="268"/>
      <c r="FEO632" s="268"/>
      <c r="FEP632" s="268"/>
      <c r="FEQ632" s="268"/>
      <c r="FER632" s="268"/>
      <c r="FES632" s="268"/>
      <c r="FET632" s="268"/>
      <c r="FEU632" s="268"/>
      <c r="FEV632" s="268"/>
      <c r="FEW632" s="268"/>
      <c r="FEX632" s="268"/>
      <c r="FEY632" s="268"/>
      <c r="FEZ632" s="268"/>
      <c r="FFA632" s="268"/>
      <c r="FFB632" s="268"/>
      <c r="FFC632" s="268"/>
      <c r="FFD632" s="268"/>
      <c r="FFE632" s="268"/>
      <c r="FFF632" s="268"/>
      <c r="FFG632" s="268"/>
      <c r="FFH632" s="268"/>
      <c r="FFI632" s="268"/>
      <c r="FFJ632" s="268"/>
      <c r="FFK632" s="268"/>
      <c r="FFL632" s="268"/>
      <c r="FFM632" s="268"/>
      <c r="FFN632" s="268"/>
      <c r="FFO632" s="268"/>
      <c r="FFP632" s="268"/>
      <c r="FFQ632" s="268"/>
      <c r="FFR632" s="268"/>
      <c r="FFS632" s="268"/>
      <c r="FFT632" s="268"/>
      <c r="FFU632" s="268"/>
      <c r="FFV632" s="268"/>
      <c r="FFW632" s="268"/>
      <c r="FFX632" s="268"/>
      <c r="FFY632" s="268"/>
      <c r="FFZ632" s="268"/>
      <c r="FGA632" s="268"/>
      <c r="FGB632" s="268"/>
      <c r="FGC632" s="268"/>
      <c r="FGD632" s="268"/>
      <c r="FGE632" s="268"/>
      <c r="FGF632" s="268"/>
      <c r="FGG632" s="268"/>
      <c r="FGH632" s="268"/>
      <c r="FGI632" s="268"/>
      <c r="FGJ632" s="268"/>
      <c r="FGK632" s="268"/>
      <c r="FGL632" s="268"/>
      <c r="FGM632" s="268"/>
      <c r="FGN632" s="268"/>
      <c r="FGO632" s="268"/>
      <c r="FGP632" s="268"/>
      <c r="FGQ632" s="268"/>
      <c r="FGR632" s="268"/>
      <c r="FGS632" s="268"/>
      <c r="FGT632" s="268"/>
      <c r="FGU632" s="268"/>
      <c r="FGV632" s="268"/>
      <c r="FGW632" s="268"/>
      <c r="FGX632" s="268"/>
      <c r="FGY632" s="268"/>
      <c r="FGZ632" s="268"/>
      <c r="FHA632" s="268"/>
      <c r="FHB632" s="268"/>
      <c r="FHC632" s="268"/>
      <c r="FHD632" s="268"/>
      <c r="FHE632" s="268"/>
      <c r="FHF632" s="268"/>
      <c r="FHG632" s="268"/>
      <c r="FHH632" s="268"/>
      <c r="FHI632" s="268"/>
      <c r="FHJ632" s="268"/>
      <c r="FHK632" s="268"/>
      <c r="FHL632" s="268"/>
      <c r="FHM632" s="268"/>
      <c r="FHN632" s="268"/>
      <c r="FHO632" s="268"/>
      <c r="FHP632" s="268"/>
      <c r="FHQ632" s="268"/>
      <c r="FHR632" s="268"/>
      <c r="FHS632" s="268"/>
      <c r="FHT632" s="268"/>
      <c r="FHU632" s="268"/>
      <c r="FHV632" s="268"/>
      <c r="FHW632" s="268"/>
      <c r="FHX632" s="268"/>
      <c r="FHY632" s="268"/>
      <c r="FHZ632" s="268"/>
      <c r="FIA632" s="268"/>
      <c r="FIB632" s="268"/>
      <c r="FIC632" s="268"/>
      <c r="FID632" s="268"/>
      <c r="FIE632" s="268"/>
      <c r="FIF632" s="268"/>
      <c r="FIG632" s="268"/>
      <c r="FIH632" s="268"/>
      <c r="FII632" s="268"/>
      <c r="FIJ632" s="268"/>
      <c r="FIK632" s="268"/>
      <c r="FIL632" s="268"/>
      <c r="FIM632" s="268"/>
      <c r="FIN632" s="268"/>
      <c r="FIO632" s="268"/>
      <c r="FIP632" s="268"/>
      <c r="FIQ632" s="268"/>
      <c r="FIR632" s="268"/>
      <c r="FIS632" s="268"/>
      <c r="FIT632" s="268"/>
      <c r="FIU632" s="268"/>
      <c r="FIV632" s="268"/>
      <c r="FIW632" s="268"/>
      <c r="FIX632" s="268"/>
      <c r="FIY632" s="268"/>
      <c r="FIZ632" s="268"/>
      <c r="FJA632" s="268"/>
      <c r="FJB632" s="268"/>
      <c r="FJC632" s="268"/>
      <c r="FJD632" s="268"/>
      <c r="FJE632" s="268"/>
      <c r="FJF632" s="268"/>
      <c r="FJG632" s="268"/>
      <c r="FJH632" s="268"/>
      <c r="FJI632" s="268"/>
      <c r="FJJ632" s="268"/>
      <c r="FJK632" s="268"/>
      <c r="FJL632" s="268"/>
      <c r="FJM632" s="268"/>
      <c r="FJN632" s="268"/>
      <c r="FJO632" s="268"/>
      <c r="FJP632" s="268"/>
      <c r="FJQ632" s="268"/>
      <c r="FJR632" s="268"/>
      <c r="FJS632" s="268"/>
      <c r="FJT632" s="268"/>
      <c r="FJU632" s="268"/>
      <c r="FJV632" s="268"/>
      <c r="FJW632" s="268"/>
      <c r="FJX632" s="268"/>
      <c r="FJY632" s="268"/>
      <c r="FJZ632" s="268"/>
      <c r="FKA632" s="268"/>
      <c r="FKO632" s="268"/>
      <c r="FKP632" s="268"/>
      <c r="FKQ632" s="268"/>
      <c r="FLE632" s="268"/>
      <c r="FLG632" s="268"/>
      <c r="FLH632" s="268"/>
      <c r="FLI632" s="268"/>
      <c r="FLJ632" s="268"/>
      <c r="FLK632" s="268"/>
      <c r="FLL632" s="268"/>
      <c r="FLM632" s="268"/>
      <c r="FLN632" s="268"/>
      <c r="FLO632" s="268"/>
      <c r="FLP632" s="268"/>
      <c r="FLQ632" s="268"/>
      <c r="FLR632" s="268"/>
      <c r="FLS632" s="268"/>
      <c r="FLT632" s="268"/>
      <c r="FLU632" s="268"/>
      <c r="FLV632" s="268"/>
      <c r="FLW632" s="268"/>
      <c r="FLX632" s="268"/>
      <c r="FLY632" s="268"/>
      <c r="FLZ632" s="268"/>
      <c r="FMA632" s="268"/>
      <c r="FMB632" s="268"/>
      <c r="FMC632" s="268"/>
      <c r="FMD632" s="268"/>
      <c r="FME632" s="268"/>
      <c r="FMF632" s="268"/>
      <c r="FMG632" s="268"/>
      <c r="FMH632" s="268"/>
      <c r="FMI632" s="268"/>
      <c r="FMJ632" s="268"/>
      <c r="FMK632" s="268"/>
      <c r="FML632" s="268"/>
      <c r="FMM632" s="268"/>
      <c r="FMN632" s="268"/>
      <c r="FMO632" s="268"/>
      <c r="FMP632" s="268"/>
      <c r="FMQ632" s="268"/>
      <c r="FMR632" s="268"/>
      <c r="FMS632" s="268"/>
      <c r="FMT632" s="268"/>
      <c r="FMU632" s="268"/>
      <c r="FMV632" s="268"/>
      <c r="FMW632" s="268"/>
      <c r="FMX632" s="268"/>
      <c r="FMY632" s="268"/>
      <c r="FMZ632" s="268"/>
      <c r="FNA632" s="268"/>
      <c r="FNB632" s="268"/>
      <c r="FNC632" s="268"/>
      <c r="FND632" s="268"/>
      <c r="FNE632" s="268"/>
      <c r="FNF632" s="268"/>
      <c r="FNG632" s="268"/>
      <c r="FNH632" s="268"/>
      <c r="FNI632" s="268"/>
      <c r="FNJ632" s="268"/>
      <c r="FNK632" s="268"/>
      <c r="FNL632" s="268"/>
      <c r="FNM632" s="268"/>
      <c r="FNN632" s="268"/>
      <c r="FNO632" s="268"/>
      <c r="FNP632" s="268"/>
      <c r="FNQ632" s="268"/>
      <c r="FNR632" s="268"/>
      <c r="FNS632" s="268"/>
      <c r="FNT632" s="268"/>
      <c r="FNU632" s="268"/>
      <c r="FNV632" s="268"/>
      <c r="FNW632" s="268"/>
      <c r="FNX632" s="268"/>
      <c r="FNY632" s="268"/>
      <c r="FNZ632" s="268"/>
      <c r="FOA632" s="268"/>
      <c r="FOB632" s="268"/>
      <c r="FOC632" s="268"/>
      <c r="FOD632" s="268"/>
      <c r="FOE632" s="268"/>
      <c r="FOF632" s="268"/>
      <c r="FOG632" s="268"/>
      <c r="FOH632" s="268"/>
      <c r="FOI632" s="268"/>
      <c r="FOJ632" s="268"/>
      <c r="FOK632" s="268"/>
      <c r="FOL632" s="268"/>
      <c r="FOM632" s="268"/>
      <c r="FON632" s="268"/>
      <c r="FOO632" s="268"/>
      <c r="FOP632" s="268"/>
      <c r="FOQ632" s="268"/>
      <c r="FOR632" s="268"/>
      <c r="FOS632" s="268"/>
      <c r="FOT632" s="268"/>
      <c r="FOU632" s="268"/>
      <c r="FOV632" s="268"/>
      <c r="FOW632" s="268"/>
      <c r="FOX632" s="268"/>
      <c r="FOY632" s="268"/>
      <c r="FOZ632" s="268"/>
      <c r="FPA632" s="268"/>
      <c r="FPB632" s="268"/>
      <c r="FPC632" s="268"/>
      <c r="FPD632" s="268"/>
      <c r="FPE632" s="268"/>
      <c r="FPF632" s="268"/>
      <c r="FPG632" s="268"/>
      <c r="FPH632" s="268"/>
      <c r="FPI632" s="268"/>
      <c r="FPJ632" s="268"/>
      <c r="FPK632" s="268"/>
      <c r="FPL632" s="268"/>
      <c r="FPM632" s="268"/>
      <c r="FPN632" s="268"/>
      <c r="FPO632" s="268"/>
      <c r="FPP632" s="268"/>
      <c r="FPQ632" s="268"/>
      <c r="FPR632" s="268"/>
      <c r="FPS632" s="268"/>
      <c r="FPT632" s="268"/>
      <c r="FPU632" s="268"/>
      <c r="FPV632" s="268"/>
      <c r="FPW632" s="268"/>
      <c r="FPX632" s="268"/>
      <c r="FPY632" s="268"/>
      <c r="FPZ632" s="268"/>
      <c r="FQA632" s="268"/>
      <c r="FQB632" s="268"/>
      <c r="FQC632" s="268"/>
      <c r="FQD632" s="268"/>
      <c r="FQE632" s="268"/>
      <c r="FQF632" s="268"/>
      <c r="FQG632" s="268"/>
      <c r="FQH632" s="268"/>
      <c r="FQI632" s="268"/>
      <c r="FQJ632" s="268"/>
      <c r="FQK632" s="268"/>
      <c r="FQL632" s="268"/>
      <c r="FQM632" s="268"/>
      <c r="FQN632" s="268"/>
      <c r="FQO632" s="268"/>
      <c r="FQP632" s="268"/>
      <c r="FQQ632" s="268"/>
      <c r="FQR632" s="268"/>
      <c r="FQS632" s="268"/>
      <c r="FQT632" s="268"/>
      <c r="FQU632" s="268"/>
      <c r="FQV632" s="268"/>
      <c r="FQW632" s="268"/>
      <c r="FQX632" s="268"/>
      <c r="FQY632" s="268"/>
      <c r="FQZ632" s="268"/>
      <c r="FRA632" s="268"/>
      <c r="FRB632" s="268"/>
      <c r="FRC632" s="268"/>
      <c r="FRD632" s="268"/>
      <c r="FRE632" s="268"/>
      <c r="FRF632" s="268"/>
      <c r="FRG632" s="268"/>
      <c r="FRH632" s="268"/>
      <c r="FRI632" s="268"/>
      <c r="FRJ632" s="268"/>
      <c r="FRK632" s="268"/>
      <c r="FRL632" s="268"/>
      <c r="FRM632" s="268"/>
      <c r="FRN632" s="268"/>
      <c r="FRO632" s="268"/>
      <c r="FRP632" s="268"/>
      <c r="FRQ632" s="268"/>
      <c r="FRR632" s="268"/>
      <c r="FRS632" s="268"/>
      <c r="FRT632" s="268"/>
      <c r="FRU632" s="268"/>
      <c r="FRV632" s="268"/>
      <c r="FRW632" s="268"/>
      <c r="FRX632" s="268"/>
      <c r="FRY632" s="268"/>
      <c r="FRZ632" s="268"/>
      <c r="FSA632" s="268"/>
      <c r="FSB632" s="268"/>
      <c r="FSC632" s="268"/>
      <c r="FSD632" s="268"/>
      <c r="FSE632" s="268"/>
      <c r="FSF632" s="268"/>
      <c r="FSG632" s="268"/>
      <c r="FSH632" s="268"/>
      <c r="FSI632" s="268"/>
      <c r="FSJ632" s="268"/>
      <c r="FSK632" s="268"/>
      <c r="FSL632" s="268"/>
      <c r="FSM632" s="268"/>
      <c r="FSN632" s="268"/>
      <c r="FSO632" s="268"/>
      <c r="FSP632" s="268"/>
      <c r="FSQ632" s="268"/>
      <c r="FSR632" s="268"/>
      <c r="FSS632" s="268"/>
      <c r="FST632" s="268"/>
      <c r="FSU632" s="268"/>
      <c r="FSV632" s="268"/>
      <c r="FSW632" s="268"/>
      <c r="FSX632" s="268"/>
      <c r="FSY632" s="268"/>
      <c r="FSZ632" s="268"/>
      <c r="FTA632" s="268"/>
      <c r="FTB632" s="268"/>
      <c r="FTC632" s="268"/>
      <c r="FTD632" s="268"/>
      <c r="FTE632" s="268"/>
      <c r="FTF632" s="268"/>
      <c r="FTG632" s="268"/>
      <c r="FTH632" s="268"/>
      <c r="FTI632" s="268"/>
      <c r="FTJ632" s="268"/>
      <c r="FTK632" s="268"/>
      <c r="FTL632" s="268"/>
      <c r="FTM632" s="268"/>
      <c r="FTN632" s="268"/>
      <c r="FTO632" s="268"/>
      <c r="FTP632" s="268"/>
      <c r="FTQ632" s="268"/>
      <c r="FTR632" s="268"/>
      <c r="FTS632" s="268"/>
      <c r="FTT632" s="268"/>
      <c r="FTU632" s="268"/>
      <c r="FTV632" s="268"/>
      <c r="FTW632" s="268"/>
      <c r="FUK632" s="268"/>
      <c r="FUL632" s="268"/>
      <c r="FUM632" s="268"/>
      <c r="FVA632" s="268"/>
      <c r="FVC632" s="268"/>
      <c r="FVD632" s="268"/>
      <c r="FVE632" s="268"/>
      <c r="FVF632" s="268"/>
      <c r="FVG632" s="268"/>
      <c r="FVH632" s="268"/>
      <c r="FVI632" s="268"/>
      <c r="FVJ632" s="268"/>
      <c r="FVK632" s="268"/>
      <c r="FVL632" s="268"/>
      <c r="FVM632" s="268"/>
      <c r="FVN632" s="268"/>
      <c r="FVO632" s="268"/>
      <c r="FVP632" s="268"/>
      <c r="FVQ632" s="268"/>
      <c r="FVR632" s="268"/>
      <c r="FVS632" s="268"/>
      <c r="FVT632" s="268"/>
      <c r="FVU632" s="268"/>
      <c r="FVV632" s="268"/>
      <c r="FVW632" s="268"/>
      <c r="FVX632" s="268"/>
      <c r="FVY632" s="268"/>
      <c r="FVZ632" s="268"/>
      <c r="FWA632" s="268"/>
      <c r="FWB632" s="268"/>
      <c r="FWC632" s="268"/>
      <c r="FWD632" s="268"/>
      <c r="FWE632" s="268"/>
      <c r="FWF632" s="268"/>
      <c r="FWG632" s="268"/>
      <c r="FWH632" s="268"/>
      <c r="FWI632" s="268"/>
      <c r="FWJ632" s="268"/>
      <c r="FWK632" s="268"/>
      <c r="FWL632" s="268"/>
      <c r="FWM632" s="268"/>
      <c r="FWN632" s="268"/>
      <c r="FWO632" s="268"/>
      <c r="FWP632" s="268"/>
      <c r="FWQ632" s="268"/>
      <c r="FWR632" s="268"/>
      <c r="FWS632" s="268"/>
      <c r="FWT632" s="268"/>
      <c r="FWU632" s="268"/>
      <c r="FWV632" s="268"/>
      <c r="FWW632" s="268"/>
      <c r="FWX632" s="268"/>
      <c r="FWY632" s="268"/>
      <c r="FWZ632" s="268"/>
      <c r="FXA632" s="268"/>
      <c r="FXB632" s="268"/>
      <c r="FXC632" s="268"/>
      <c r="FXD632" s="268"/>
      <c r="FXE632" s="268"/>
      <c r="FXF632" s="268"/>
      <c r="FXG632" s="268"/>
      <c r="FXH632" s="268"/>
      <c r="FXI632" s="268"/>
      <c r="FXJ632" s="268"/>
      <c r="FXK632" s="268"/>
      <c r="FXL632" s="268"/>
      <c r="FXM632" s="268"/>
      <c r="FXN632" s="268"/>
      <c r="FXO632" s="268"/>
      <c r="FXP632" s="268"/>
      <c r="FXQ632" s="268"/>
      <c r="FXR632" s="268"/>
      <c r="FXS632" s="268"/>
      <c r="FXT632" s="268"/>
      <c r="FXU632" s="268"/>
      <c r="FXV632" s="268"/>
      <c r="FXW632" s="268"/>
      <c r="FXX632" s="268"/>
      <c r="FXY632" s="268"/>
      <c r="FXZ632" s="268"/>
      <c r="FYA632" s="268"/>
      <c r="FYB632" s="268"/>
      <c r="FYC632" s="268"/>
      <c r="FYD632" s="268"/>
      <c r="FYE632" s="268"/>
      <c r="FYF632" s="268"/>
      <c r="FYG632" s="268"/>
      <c r="FYH632" s="268"/>
      <c r="FYI632" s="268"/>
      <c r="FYJ632" s="268"/>
      <c r="FYK632" s="268"/>
      <c r="FYL632" s="268"/>
      <c r="FYM632" s="268"/>
      <c r="FYN632" s="268"/>
      <c r="FYO632" s="268"/>
      <c r="FYP632" s="268"/>
      <c r="FYQ632" s="268"/>
      <c r="FYR632" s="268"/>
      <c r="FYS632" s="268"/>
      <c r="FYT632" s="268"/>
      <c r="FYU632" s="268"/>
      <c r="FYV632" s="268"/>
      <c r="FYW632" s="268"/>
      <c r="FYX632" s="268"/>
      <c r="FYY632" s="268"/>
      <c r="FYZ632" s="268"/>
      <c r="FZA632" s="268"/>
      <c r="FZB632" s="268"/>
      <c r="FZC632" s="268"/>
      <c r="FZD632" s="268"/>
      <c r="FZE632" s="268"/>
      <c r="FZF632" s="268"/>
      <c r="FZG632" s="268"/>
      <c r="FZH632" s="268"/>
      <c r="FZI632" s="268"/>
      <c r="FZJ632" s="268"/>
      <c r="FZK632" s="268"/>
      <c r="FZL632" s="268"/>
      <c r="FZM632" s="268"/>
      <c r="FZN632" s="268"/>
      <c r="FZO632" s="268"/>
      <c r="FZP632" s="268"/>
      <c r="FZQ632" s="268"/>
      <c r="FZR632" s="268"/>
      <c r="FZS632" s="268"/>
      <c r="FZT632" s="268"/>
      <c r="FZU632" s="268"/>
      <c r="FZV632" s="268"/>
      <c r="FZW632" s="268"/>
      <c r="FZX632" s="268"/>
      <c r="FZY632" s="268"/>
      <c r="FZZ632" s="268"/>
      <c r="GAA632" s="268"/>
      <c r="GAB632" s="268"/>
      <c r="GAC632" s="268"/>
      <c r="GAD632" s="268"/>
      <c r="GAE632" s="268"/>
      <c r="GAF632" s="268"/>
      <c r="GAG632" s="268"/>
      <c r="GAH632" s="268"/>
      <c r="GAI632" s="268"/>
      <c r="GAJ632" s="268"/>
      <c r="GAK632" s="268"/>
      <c r="GAL632" s="268"/>
      <c r="GAM632" s="268"/>
      <c r="GAN632" s="268"/>
      <c r="GAO632" s="268"/>
      <c r="GAP632" s="268"/>
      <c r="GAQ632" s="268"/>
      <c r="GAR632" s="268"/>
      <c r="GAS632" s="268"/>
      <c r="GAT632" s="268"/>
      <c r="GAU632" s="268"/>
      <c r="GAV632" s="268"/>
      <c r="GAW632" s="268"/>
      <c r="GAX632" s="268"/>
      <c r="GAY632" s="268"/>
      <c r="GAZ632" s="268"/>
      <c r="GBA632" s="268"/>
      <c r="GBB632" s="268"/>
      <c r="GBC632" s="268"/>
      <c r="GBD632" s="268"/>
      <c r="GBE632" s="268"/>
      <c r="GBF632" s="268"/>
      <c r="GBG632" s="268"/>
      <c r="GBH632" s="268"/>
      <c r="GBI632" s="268"/>
      <c r="GBJ632" s="268"/>
      <c r="GBK632" s="268"/>
      <c r="GBL632" s="268"/>
      <c r="GBM632" s="268"/>
      <c r="GBN632" s="268"/>
      <c r="GBO632" s="268"/>
      <c r="GBP632" s="268"/>
      <c r="GBQ632" s="268"/>
      <c r="GBR632" s="268"/>
      <c r="GBS632" s="268"/>
      <c r="GBT632" s="268"/>
      <c r="GBU632" s="268"/>
      <c r="GBV632" s="268"/>
      <c r="GBW632" s="268"/>
      <c r="GBX632" s="268"/>
      <c r="GBY632" s="268"/>
      <c r="GBZ632" s="268"/>
      <c r="GCA632" s="268"/>
      <c r="GCB632" s="268"/>
      <c r="GCC632" s="268"/>
      <c r="GCD632" s="268"/>
      <c r="GCE632" s="268"/>
      <c r="GCF632" s="268"/>
      <c r="GCG632" s="268"/>
      <c r="GCH632" s="268"/>
      <c r="GCI632" s="268"/>
      <c r="GCJ632" s="268"/>
      <c r="GCK632" s="268"/>
      <c r="GCL632" s="268"/>
      <c r="GCM632" s="268"/>
      <c r="GCN632" s="268"/>
      <c r="GCO632" s="268"/>
      <c r="GCP632" s="268"/>
      <c r="GCQ632" s="268"/>
      <c r="GCR632" s="268"/>
      <c r="GCS632" s="268"/>
      <c r="GCT632" s="268"/>
      <c r="GCU632" s="268"/>
      <c r="GCV632" s="268"/>
      <c r="GCW632" s="268"/>
      <c r="GCX632" s="268"/>
      <c r="GCY632" s="268"/>
      <c r="GCZ632" s="268"/>
      <c r="GDA632" s="268"/>
      <c r="GDB632" s="268"/>
      <c r="GDC632" s="268"/>
      <c r="GDD632" s="268"/>
      <c r="GDE632" s="268"/>
      <c r="GDF632" s="268"/>
      <c r="GDG632" s="268"/>
      <c r="GDH632" s="268"/>
      <c r="GDI632" s="268"/>
      <c r="GDJ632" s="268"/>
      <c r="GDK632" s="268"/>
      <c r="GDL632" s="268"/>
      <c r="GDM632" s="268"/>
      <c r="GDN632" s="268"/>
      <c r="GDO632" s="268"/>
      <c r="GDP632" s="268"/>
      <c r="GDQ632" s="268"/>
      <c r="GDR632" s="268"/>
      <c r="GDS632" s="268"/>
      <c r="GEG632" s="268"/>
      <c r="GEH632" s="268"/>
      <c r="GEI632" s="268"/>
      <c r="GEW632" s="268"/>
      <c r="GEY632" s="268"/>
      <c r="GEZ632" s="268"/>
      <c r="GFA632" s="268"/>
      <c r="GFB632" s="268"/>
      <c r="GFC632" s="268"/>
      <c r="GFD632" s="268"/>
      <c r="GFE632" s="268"/>
      <c r="GFF632" s="268"/>
      <c r="GFG632" s="268"/>
      <c r="GFH632" s="268"/>
      <c r="GFI632" s="268"/>
      <c r="GFJ632" s="268"/>
      <c r="GFK632" s="268"/>
      <c r="GFL632" s="268"/>
      <c r="GFM632" s="268"/>
      <c r="GFN632" s="268"/>
      <c r="GFO632" s="268"/>
      <c r="GFP632" s="268"/>
      <c r="GFQ632" s="268"/>
      <c r="GFR632" s="268"/>
      <c r="GFS632" s="268"/>
      <c r="GFT632" s="268"/>
      <c r="GFU632" s="268"/>
      <c r="GFV632" s="268"/>
      <c r="GFW632" s="268"/>
      <c r="GFX632" s="268"/>
      <c r="GFY632" s="268"/>
      <c r="GFZ632" s="268"/>
      <c r="GGA632" s="268"/>
      <c r="GGB632" s="268"/>
      <c r="GGC632" s="268"/>
      <c r="GGD632" s="268"/>
      <c r="GGE632" s="268"/>
      <c r="GGF632" s="268"/>
      <c r="GGG632" s="268"/>
      <c r="GGH632" s="268"/>
      <c r="GGI632" s="268"/>
      <c r="GGJ632" s="268"/>
      <c r="GGK632" s="268"/>
      <c r="GGL632" s="268"/>
      <c r="GGM632" s="268"/>
      <c r="GGN632" s="268"/>
      <c r="GGO632" s="268"/>
      <c r="GGP632" s="268"/>
      <c r="GGQ632" s="268"/>
      <c r="GGR632" s="268"/>
      <c r="GGS632" s="268"/>
      <c r="GGT632" s="268"/>
      <c r="GGU632" s="268"/>
      <c r="GGV632" s="268"/>
      <c r="GGW632" s="268"/>
      <c r="GGX632" s="268"/>
      <c r="GGY632" s="268"/>
      <c r="GGZ632" s="268"/>
      <c r="GHA632" s="268"/>
      <c r="GHB632" s="268"/>
      <c r="GHC632" s="268"/>
      <c r="GHD632" s="268"/>
      <c r="GHE632" s="268"/>
      <c r="GHF632" s="268"/>
      <c r="GHG632" s="268"/>
      <c r="GHH632" s="268"/>
      <c r="GHI632" s="268"/>
      <c r="GHJ632" s="268"/>
      <c r="GHK632" s="268"/>
      <c r="GHL632" s="268"/>
      <c r="GHM632" s="268"/>
      <c r="GHN632" s="268"/>
      <c r="GHO632" s="268"/>
      <c r="GHP632" s="268"/>
      <c r="GHQ632" s="268"/>
      <c r="GHR632" s="268"/>
      <c r="GHS632" s="268"/>
      <c r="GHT632" s="268"/>
      <c r="GHU632" s="268"/>
      <c r="GHV632" s="268"/>
      <c r="GHW632" s="268"/>
      <c r="GHX632" s="268"/>
      <c r="GHY632" s="268"/>
      <c r="GHZ632" s="268"/>
      <c r="GIA632" s="268"/>
      <c r="GIB632" s="268"/>
      <c r="GIC632" s="268"/>
      <c r="GID632" s="268"/>
      <c r="GIE632" s="268"/>
      <c r="GIF632" s="268"/>
      <c r="GIG632" s="268"/>
      <c r="GIH632" s="268"/>
      <c r="GII632" s="268"/>
      <c r="GIJ632" s="268"/>
      <c r="GIK632" s="268"/>
      <c r="GIL632" s="268"/>
      <c r="GIM632" s="268"/>
      <c r="GIN632" s="268"/>
      <c r="GIO632" s="268"/>
      <c r="GIP632" s="268"/>
      <c r="GIQ632" s="268"/>
      <c r="GIR632" s="268"/>
      <c r="GIS632" s="268"/>
      <c r="GIT632" s="268"/>
      <c r="GIU632" s="268"/>
      <c r="GIV632" s="268"/>
      <c r="GIW632" s="268"/>
      <c r="GIX632" s="268"/>
      <c r="GIY632" s="268"/>
      <c r="GIZ632" s="268"/>
      <c r="GJA632" s="268"/>
      <c r="GJB632" s="268"/>
      <c r="GJC632" s="268"/>
      <c r="GJD632" s="268"/>
      <c r="GJE632" s="268"/>
      <c r="GJF632" s="268"/>
      <c r="GJG632" s="268"/>
      <c r="GJH632" s="268"/>
      <c r="GJI632" s="268"/>
      <c r="GJJ632" s="268"/>
      <c r="GJK632" s="268"/>
      <c r="GJL632" s="268"/>
      <c r="GJM632" s="268"/>
      <c r="GJN632" s="268"/>
      <c r="GJO632" s="268"/>
      <c r="GJP632" s="268"/>
      <c r="GJQ632" s="268"/>
      <c r="GJR632" s="268"/>
      <c r="GJS632" s="268"/>
      <c r="GJT632" s="268"/>
      <c r="GJU632" s="268"/>
      <c r="GJV632" s="268"/>
      <c r="GJW632" s="268"/>
      <c r="GJX632" s="268"/>
      <c r="GJY632" s="268"/>
      <c r="GJZ632" s="268"/>
      <c r="GKA632" s="268"/>
      <c r="GKB632" s="268"/>
      <c r="GKC632" s="268"/>
      <c r="GKD632" s="268"/>
      <c r="GKE632" s="268"/>
      <c r="GKF632" s="268"/>
      <c r="GKG632" s="268"/>
      <c r="GKH632" s="268"/>
      <c r="GKI632" s="268"/>
      <c r="GKJ632" s="268"/>
      <c r="GKK632" s="268"/>
      <c r="GKL632" s="268"/>
      <c r="GKM632" s="268"/>
      <c r="GKN632" s="268"/>
      <c r="GKO632" s="268"/>
      <c r="GKP632" s="268"/>
      <c r="GKQ632" s="268"/>
      <c r="GKR632" s="268"/>
      <c r="GKS632" s="268"/>
      <c r="GKT632" s="268"/>
      <c r="GKU632" s="268"/>
      <c r="GKV632" s="268"/>
      <c r="GKW632" s="268"/>
      <c r="GKX632" s="268"/>
      <c r="GKY632" s="268"/>
      <c r="GKZ632" s="268"/>
      <c r="GLA632" s="268"/>
      <c r="GLB632" s="268"/>
      <c r="GLC632" s="268"/>
      <c r="GLD632" s="268"/>
      <c r="GLE632" s="268"/>
      <c r="GLF632" s="268"/>
      <c r="GLG632" s="268"/>
      <c r="GLH632" s="268"/>
      <c r="GLI632" s="268"/>
      <c r="GLJ632" s="268"/>
      <c r="GLK632" s="268"/>
      <c r="GLL632" s="268"/>
      <c r="GLM632" s="268"/>
      <c r="GLN632" s="268"/>
      <c r="GLO632" s="268"/>
      <c r="GLP632" s="268"/>
      <c r="GLQ632" s="268"/>
      <c r="GLR632" s="268"/>
      <c r="GLS632" s="268"/>
      <c r="GLT632" s="268"/>
      <c r="GLU632" s="268"/>
      <c r="GLV632" s="268"/>
      <c r="GLW632" s="268"/>
      <c r="GLX632" s="268"/>
      <c r="GLY632" s="268"/>
      <c r="GLZ632" s="268"/>
      <c r="GMA632" s="268"/>
      <c r="GMB632" s="268"/>
      <c r="GMC632" s="268"/>
      <c r="GMD632" s="268"/>
      <c r="GME632" s="268"/>
      <c r="GMF632" s="268"/>
      <c r="GMG632" s="268"/>
      <c r="GMH632" s="268"/>
      <c r="GMI632" s="268"/>
      <c r="GMJ632" s="268"/>
      <c r="GMK632" s="268"/>
      <c r="GML632" s="268"/>
      <c r="GMM632" s="268"/>
      <c r="GMN632" s="268"/>
      <c r="GMO632" s="268"/>
      <c r="GMP632" s="268"/>
      <c r="GMQ632" s="268"/>
      <c r="GMR632" s="268"/>
      <c r="GMS632" s="268"/>
      <c r="GMT632" s="268"/>
      <c r="GMU632" s="268"/>
      <c r="GMV632" s="268"/>
      <c r="GMW632" s="268"/>
      <c r="GMX632" s="268"/>
      <c r="GMY632" s="268"/>
      <c r="GMZ632" s="268"/>
      <c r="GNA632" s="268"/>
      <c r="GNB632" s="268"/>
      <c r="GNC632" s="268"/>
      <c r="GND632" s="268"/>
      <c r="GNE632" s="268"/>
      <c r="GNF632" s="268"/>
      <c r="GNG632" s="268"/>
      <c r="GNH632" s="268"/>
      <c r="GNI632" s="268"/>
      <c r="GNJ632" s="268"/>
      <c r="GNK632" s="268"/>
      <c r="GNL632" s="268"/>
      <c r="GNM632" s="268"/>
      <c r="GNN632" s="268"/>
      <c r="GNO632" s="268"/>
      <c r="GOC632" s="268"/>
      <c r="GOD632" s="268"/>
      <c r="GOE632" s="268"/>
      <c r="GOS632" s="268"/>
      <c r="GOU632" s="268"/>
      <c r="GOV632" s="268"/>
      <c r="GOW632" s="268"/>
      <c r="GOX632" s="268"/>
      <c r="GOY632" s="268"/>
      <c r="GOZ632" s="268"/>
      <c r="GPA632" s="268"/>
      <c r="GPB632" s="268"/>
      <c r="GPC632" s="268"/>
      <c r="GPD632" s="268"/>
      <c r="GPE632" s="268"/>
      <c r="GPF632" s="268"/>
      <c r="GPG632" s="268"/>
      <c r="GPH632" s="268"/>
      <c r="GPI632" s="268"/>
      <c r="GPJ632" s="268"/>
      <c r="GPK632" s="268"/>
      <c r="GPL632" s="268"/>
      <c r="GPM632" s="268"/>
      <c r="GPN632" s="268"/>
      <c r="GPO632" s="268"/>
      <c r="GPP632" s="268"/>
      <c r="GPQ632" s="268"/>
      <c r="GPR632" s="268"/>
      <c r="GPS632" s="268"/>
      <c r="GPT632" s="268"/>
      <c r="GPU632" s="268"/>
      <c r="GPV632" s="268"/>
      <c r="GPW632" s="268"/>
      <c r="GPX632" s="268"/>
      <c r="GPY632" s="268"/>
      <c r="GPZ632" s="268"/>
      <c r="GQA632" s="268"/>
      <c r="GQB632" s="268"/>
      <c r="GQC632" s="268"/>
      <c r="GQD632" s="268"/>
      <c r="GQE632" s="268"/>
      <c r="GQF632" s="268"/>
      <c r="GQG632" s="268"/>
      <c r="GQH632" s="268"/>
      <c r="GQI632" s="268"/>
      <c r="GQJ632" s="268"/>
      <c r="GQK632" s="268"/>
      <c r="GQL632" s="268"/>
      <c r="GQM632" s="268"/>
      <c r="GQN632" s="268"/>
      <c r="GQO632" s="268"/>
      <c r="GQP632" s="268"/>
      <c r="GQQ632" s="268"/>
      <c r="GQR632" s="268"/>
      <c r="GQS632" s="268"/>
      <c r="GQT632" s="268"/>
      <c r="GQU632" s="268"/>
      <c r="GQV632" s="268"/>
      <c r="GQW632" s="268"/>
      <c r="GQX632" s="268"/>
      <c r="GQY632" s="268"/>
      <c r="GQZ632" s="268"/>
      <c r="GRA632" s="268"/>
      <c r="GRB632" s="268"/>
      <c r="GRC632" s="268"/>
      <c r="GRD632" s="268"/>
      <c r="GRE632" s="268"/>
      <c r="GRF632" s="268"/>
      <c r="GRG632" s="268"/>
      <c r="GRH632" s="268"/>
      <c r="GRI632" s="268"/>
      <c r="GRJ632" s="268"/>
      <c r="GRK632" s="268"/>
      <c r="GRL632" s="268"/>
      <c r="GRM632" s="268"/>
      <c r="GRN632" s="268"/>
      <c r="GRO632" s="268"/>
      <c r="GRP632" s="268"/>
      <c r="GRQ632" s="268"/>
      <c r="GRR632" s="268"/>
      <c r="GRS632" s="268"/>
      <c r="GRT632" s="268"/>
      <c r="GRU632" s="268"/>
      <c r="GRV632" s="268"/>
      <c r="GRW632" s="268"/>
      <c r="GRX632" s="268"/>
      <c r="GRY632" s="268"/>
      <c r="GRZ632" s="268"/>
      <c r="GSA632" s="268"/>
      <c r="GSB632" s="268"/>
      <c r="GSC632" s="268"/>
      <c r="GSD632" s="268"/>
      <c r="GSE632" s="268"/>
      <c r="GSF632" s="268"/>
      <c r="GSG632" s="268"/>
      <c r="GSH632" s="268"/>
      <c r="GSI632" s="268"/>
      <c r="GSJ632" s="268"/>
      <c r="GSK632" s="268"/>
      <c r="GSL632" s="268"/>
      <c r="GSM632" s="268"/>
      <c r="GSN632" s="268"/>
      <c r="GSO632" s="268"/>
      <c r="GSP632" s="268"/>
      <c r="GSQ632" s="268"/>
      <c r="GSR632" s="268"/>
      <c r="GSS632" s="268"/>
      <c r="GST632" s="268"/>
      <c r="GSU632" s="268"/>
      <c r="GSV632" s="268"/>
      <c r="GSW632" s="268"/>
      <c r="GSX632" s="268"/>
      <c r="GSY632" s="268"/>
      <c r="GSZ632" s="268"/>
      <c r="GTA632" s="268"/>
      <c r="GTB632" s="268"/>
      <c r="GTC632" s="268"/>
      <c r="GTD632" s="268"/>
      <c r="GTE632" s="268"/>
      <c r="GTF632" s="268"/>
      <c r="GTG632" s="268"/>
      <c r="GTH632" s="268"/>
      <c r="GTI632" s="268"/>
      <c r="GTJ632" s="268"/>
      <c r="GTK632" s="268"/>
      <c r="GTL632" s="268"/>
      <c r="GTM632" s="268"/>
      <c r="GTN632" s="268"/>
      <c r="GTO632" s="268"/>
      <c r="GTP632" s="268"/>
      <c r="GTQ632" s="268"/>
      <c r="GTR632" s="268"/>
      <c r="GTS632" s="268"/>
      <c r="GTT632" s="268"/>
      <c r="GTU632" s="268"/>
      <c r="GTV632" s="268"/>
      <c r="GTW632" s="268"/>
      <c r="GTX632" s="268"/>
      <c r="GTY632" s="268"/>
      <c r="GTZ632" s="268"/>
      <c r="GUA632" s="268"/>
      <c r="GUB632" s="268"/>
      <c r="GUC632" s="268"/>
      <c r="GUD632" s="268"/>
      <c r="GUE632" s="268"/>
      <c r="GUF632" s="268"/>
      <c r="GUG632" s="268"/>
      <c r="GUH632" s="268"/>
      <c r="GUI632" s="268"/>
      <c r="GUJ632" s="268"/>
      <c r="GUK632" s="268"/>
      <c r="GUL632" s="268"/>
      <c r="GUM632" s="268"/>
      <c r="GUN632" s="268"/>
      <c r="GUO632" s="268"/>
      <c r="GUP632" s="268"/>
      <c r="GUQ632" s="268"/>
      <c r="GUR632" s="268"/>
      <c r="GUS632" s="268"/>
      <c r="GUT632" s="268"/>
      <c r="GUU632" s="268"/>
      <c r="GUV632" s="268"/>
      <c r="GUW632" s="268"/>
      <c r="GUX632" s="268"/>
      <c r="GUY632" s="268"/>
      <c r="GUZ632" s="268"/>
      <c r="GVA632" s="268"/>
      <c r="GVB632" s="268"/>
      <c r="GVC632" s="268"/>
      <c r="GVD632" s="268"/>
      <c r="GVE632" s="268"/>
      <c r="GVF632" s="268"/>
      <c r="GVG632" s="268"/>
      <c r="GVH632" s="268"/>
      <c r="GVI632" s="268"/>
      <c r="GVJ632" s="268"/>
      <c r="GVK632" s="268"/>
      <c r="GVL632" s="268"/>
      <c r="GVM632" s="268"/>
      <c r="GVN632" s="268"/>
      <c r="GVO632" s="268"/>
      <c r="GVP632" s="268"/>
      <c r="GVQ632" s="268"/>
      <c r="GVR632" s="268"/>
      <c r="GVS632" s="268"/>
      <c r="GVT632" s="268"/>
      <c r="GVU632" s="268"/>
      <c r="GVV632" s="268"/>
      <c r="GVW632" s="268"/>
      <c r="GVX632" s="268"/>
      <c r="GVY632" s="268"/>
      <c r="GVZ632" s="268"/>
      <c r="GWA632" s="268"/>
      <c r="GWB632" s="268"/>
      <c r="GWC632" s="268"/>
      <c r="GWD632" s="268"/>
      <c r="GWE632" s="268"/>
      <c r="GWF632" s="268"/>
      <c r="GWG632" s="268"/>
      <c r="GWH632" s="268"/>
      <c r="GWI632" s="268"/>
      <c r="GWJ632" s="268"/>
      <c r="GWK632" s="268"/>
      <c r="GWL632" s="268"/>
      <c r="GWM632" s="268"/>
      <c r="GWN632" s="268"/>
      <c r="GWO632" s="268"/>
      <c r="GWP632" s="268"/>
      <c r="GWQ632" s="268"/>
      <c r="GWR632" s="268"/>
      <c r="GWS632" s="268"/>
      <c r="GWT632" s="268"/>
      <c r="GWU632" s="268"/>
      <c r="GWV632" s="268"/>
      <c r="GWW632" s="268"/>
      <c r="GWX632" s="268"/>
      <c r="GWY632" s="268"/>
      <c r="GWZ632" s="268"/>
      <c r="GXA632" s="268"/>
      <c r="GXB632" s="268"/>
      <c r="GXC632" s="268"/>
      <c r="GXD632" s="268"/>
      <c r="GXE632" s="268"/>
      <c r="GXF632" s="268"/>
      <c r="GXG632" s="268"/>
      <c r="GXH632" s="268"/>
      <c r="GXI632" s="268"/>
      <c r="GXJ632" s="268"/>
      <c r="GXK632" s="268"/>
      <c r="GXY632" s="268"/>
      <c r="GXZ632" s="268"/>
      <c r="GYA632" s="268"/>
      <c r="GYO632" s="268"/>
      <c r="GYQ632" s="268"/>
      <c r="GYR632" s="268"/>
      <c r="GYS632" s="268"/>
      <c r="GYT632" s="268"/>
      <c r="GYU632" s="268"/>
      <c r="GYV632" s="268"/>
      <c r="GYW632" s="268"/>
      <c r="GYX632" s="268"/>
      <c r="GYY632" s="268"/>
      <c r="GYZ632" s="268"/>
      <c r="GZA632" s="268"/>
      <c r="GZB632" s="268"/>
      <c r="GZC632" s="268"/>
      <c r="GZD632" s="268"/>
      <c r="GZE632" s="268"/>
      <c r="GZF632" s="268"/>
      <c r="GZG632" s="268"/>
      <c r="GZH632" s="268"/>
      <c r="GZI632" s="268"/>
      <c r="GZJ632" s="268"/>
      <c r="GZK632" s="268"/>
      <c r="GZL632" s="268"/>
      <c r="GZM632" s="268"/>
      <c r="GZN632" s="268"/>
      <c r="GZO632" s="268"/>
      <c r="GZP632" s="268"/>
      <c r="GZQ632" s="268"/>
      <c r="GZR632" s="268"/>
      <c r="GZS632" s="268"/>
      <c r="GZT632" s="268"/>
      <c r="GZU632" s="268"/>
      <c r="GZV632" s="268"/>
      <c r="GZW632" s="268"/>
      <c r="GZX632" s="268"/>
      <c r="GZY632" s="268"/>
      <c r="GZZ632" s="268"/>
      <c r="HAA632" s="268"/>
      <c r="HAB632" s="268"/>
      <c r="HAC632" s="268"/>
      <c r="HAD632" s="268"/>
      <c r="HAE632" s="268"/>
      <c r="HAF632" s="268"/>
      <c r="HAG632" s="268"/>
      <c r="HAH632" s="268"/>
      <c r="HAI632" s="268"/>
      <c r="HAJ632" s="268"/>
      <c r="HAK632" s="268"/>
      <c r="HAL632" s="268"/>
      <c r="HAM632" s="268"/>
      <c r="HAN632" s="268"/>
      <c r="HAO632" s="268"/>
      <c r="HAP632" s="268"/>
      <c r="HAQ632" s="268"/>
      <c r="HAR632" s="268"/>
      <c r="HAS632" s="268"/>
      <c r="HAT632" s="268"/>
      <c r="HAU632" s="268"/>
      <c r="HAV632" s="268"/>
      <c r="HAW632" s="268"/>
      <c r="HAX632" s="268"/>
      <c r="HAY632" s="268"/>
      <c r="HAZ632" s="268"/>
      <c r="HBA632" s="268"/>
      <c r="HBB632" s="268"/>
      <c r="HBC632" s="268"/>
      <c r="HBD632" s="268"/>
      <c r="HBE632" s="268"/>
      <c r="HBF632" s="268"/>
      <c r="HBG632" s="268"/>
      <c r="HBH632" s="268"/>
      <c r="HBI632" s="268"/>
      <c r="HBJ632" s="268"/>
      <c r="HBK632" s="268"/>
      <c r="HBL632" s="268"/>
      <c r="HBM632" s="268"/>
      <c r="HBN632" s="268"/>
      <c r="HBO632" s="268"/>
      <c r="HBP632" s="268"/>
      <c r="HBQ632" s="268"/>
      <c r="HBR632" s="268"/>
      <c r="HBS632" s="268"/>
      <c r="HBT632" s="268"/>
      <c r="HBU632" s="268"/>
      <c r="HBV632" s="268"/>
      <c r="HBW632" s="268"/>
      <c r="HBX632" s="268"/>
      <c r="HBY632" s="268"/>
      <c r="HBZ632" s="268"/>
      <c r="HCA632" s="268"/>
      <c r="HCB632" s="268"/>
      <c r="HCC632" s="268"/>
      <c r="HCD632" s="268"/>
      <c r="HCE632" s="268"/>
      <c r="HCF632" s="268"/>
      <c r="HCG632" s="268"/>
      <c r="HCH632" s="268"/>
      <c r="HCI632" s="268"/>
      <c r="HCJ632" s="268"/>
      <c r="HCK632" s="268"/>
      <c r="HCL632" s="268"/>
      <c r="HCM632" s="268"/>
      <c r="HCN632" s="268"/>
      <c r="HCO632" s="268"/>
      <c r="HCP632" s="268"/>
      <c r="HCQ632" s="268"/>
      <c r="HCR632" s="268"/>
      <c r="HCS632" s="268"/>
      <c r="HCT632" s="268"/>
      <c r="HCU632" s="268"/>
      <c r="HCV632" s="268"/>
      <c r="HCW632" s="268"/>
      <c r="HCX632" s="268"/>
      <c r="HCY632" s="268"/>
      <c r="HCZ632" s="268"/>
      <c r="HDA632" s="268"/>
      <c r="HDB632" s="268"/>
      <c r="HDC632" s="268"/>
      <c r="HDD632" s="268"/>
      <c r="HDE632" s="268"/>
      <c r="HDF632" s="268"/>
      <c r="HDG632" s="268"/>
      <c r="HDH632" s="268"/>
      <c r="HDI632" s="268"/>
      <c r="HDJ632" s="268"/>
      <c r="HDK632" s="268"/>
      <c r="HDL632" s="268"/>
      <c r="HDM632" s="268"/>
      <c r="HDN632" s="268"/>
      <c r="HDO632" s="268"/>
      <c r="HDP632" s="268"/>
      <c r="HDQ632" s="268"/>
      <c r="HDR632" s="268"/>
      <c r="HDS632" s="268"/>
      <c r="HDT632" s="268"/>
      <c r="HDU632" s="268"/>
      <c r="HDV632" s="268"/>
      <c r="HDW632" s="268"/>
      <c r="HDX632" s="268"/>
      <c r="HDY632" s="268"/>
      <c r="HDZ632" s="268"/>
      <c r="HEA632" s="268"/>
      <c r="HEB632" s="268"/>
      <c r="HEC632" s="268"/>
      <c r="HED632" s="268"/>
      <c r="HEE632" s="268"/>
      <c r="HEF632" s="268"/>
      <c r="HEG632" s="268"/>
      <c r="HEH632" s="268"/>
      <c r="HEI632" s="268"/>
      <c r="HEJ632" s="268"/>
      <c r="HEK632" s="268"/>
      <c r="HEL632" s="268"/>
      <c r="HEM632" s="268"/>
      <c r="HEN632" s="268"/>
      <c r="HEO632" s="268"/>
      <c r="HEP632" s="268"/>
      <c r="HEQ632" s="268"/>
      <c r="HER632" s="268"/>
      <c r="HES632" s="268"/>
      <c r="HET632" s="268"/>
      <c r="HEU632" s="268"/>
      <c r="HEV632" s="268"/>
      <c r="HEW632" s="268"/>
      <c r="HEX632" s="268"/>
      <c r="HEY632" s="268"/>
      <c r="HEZ632" s="268"/>
      <c r="HFA632" s="268"/>
      <c r="HFB632" s="268"/>
      <c r="HFC632" s="268"/>
      <c r="HFD632" s="268"/>
      <c r="HFE632" s="268"/>
      <c r="HFF632" s="268"/>
      <c r="HFG632" s="268"/>
      <c r="HFH632" s="268"/>
      <c r="HFI632" s="268"/>
      <c r="HFJ632" s="268"/>
      <c r="HFK632" s="268"/>
      <c r="HFL632" s="268"/>
      <c r="HFM632" s="268"/>
      <c r="HFN632" s="268"/>
      <c r="HFO632" s="268"/>
      <c r="HFP632" s="268"/>
      <c r="HFQ632" s="268"/>
      <c r="HFR632" s="268"/>
      <c r="HFS632" s="268"/>
      <c r="HFT632" s="268"/>
      <c r="HFU632" s="268"/>
      <c r="HFV632" s="268"/>
      <c r="HFW632" s="268"/>
      <c r="HFX632" s="268"/>
      <c r="HFY632" s="268"/>
      <c r="HFZ632" s="268"/>
      <c r="HGA632" s="268"/>
      <c r="HGB632" s="268"/>
      <c r="HGC632" s="268"/>
      <c r="HGD632" s="268"/>
      <c r="HGE632" s="268"/>
      <c r="HGF632" s="268"/>
      <c r="HGG632" s="268"/>
      <c r="HGH632" s="268"/>
      <c r="HGI632" s="268"/>
      <c r="HGJ632" s="268"/>
      <c r="HGK632" s="268"/>
      <c r="HGL632" s="268"/>
      <c r="HGM632" s="268"/>
      <c r="HGN632" s="268"/>
      <c r="HGO632" s="268"/>
      <c r="HGP632" s="268"/>
      <c r="HGQ632" s="268"/>
      <c r="HGR632" s="268"/>
      <c r="HGS632" s="268"/>
      <c r="HGT632" s="268"/>
      <c r="HGU632" s="268"/>
      <c r="HGV632" s="268"/>
      <c r="HGW632" s="268"/>
      <c r="HGX632" s="268"/>
      <c r="HGY632" s="268"/>
      <c r="HGZ632" s="268"/>
      <c r="HHA632" s="268"/>
      <c r="HHB632" s="268"/>
      <c r="HHC632" s="268"/>
      <c r="HHD632" s="268"/>
      <c r="HHE632" s="268"/>
      <c r="HHF632" s="268"/>
      <c r="HHG632" s="268"/>
      <c r="HHU632" s="268"/>
      <c r="HHV632" s="268"/>
      <c r="HHW632" s="268"/>
      <c r="HIK632" s="268"/>
      <c r="HIM632" s="268"/>
      <c r="HIN632" s="268"/>
      <c r="HIO632" s="268"/>
      <c r="HIP632" s="268"/>
      <c r="HIQ632" s="268"/>
      <c r="HIR632" s="268"/>
      <c r="HIS632" s="268"/>
      <c r="HIT632" s="268"/>
      <c r="HIU632" s="268"/>
      <c r="HIV632" s="268"/>
      <c r="HIW632" s="268"/>
      <c r="HIX632" s="268"/>
      <c r="HIY632" s="268"/>
      <c r="HIZ632" s="268"/>
      <c r="HJA632" s="268"/>
      <c r="HJB632" s="268"/>
      <c r="HJC632" s="268"/>
      <c r="HJD632" s="268"/>
      <c r="HJE632" s="268"/>
      <c r="HJF632" s="268"/>
      <c r="HJG632" s="268"/>
      <c r="HJH632" s="268"/>
      <c r="HJI632" s="268"/>
      <c r="HJJ632" s="268"/>
      <c r="HJK632" s="268"/>
      <c r="HJL632" s="268"/>
      <c r="HJM632" s="268"/>
      <c r="HJN632" s="268"/>
      <c r="HJO632" s="268"/>
      <c r="HJP632" s="268"/>
      <c r="HJQ632" s="268"/>
      <c r="HJR632" s="268"/>
      <c r="HJS632" s="268"/>
      <c r="HJT632" s="268"/>
      <c r="HJU632" s="268"/>
      <c r="HJV632" s="268"/>
      <c r="HJW632" s="268"/>
      <c r="HJX632" s="268"/>
      <c r="HJY632" s="268"/>
      <c r="HJZ632" s="268"/>
      <c r="HKA632" s="268"/>
      <c r="HKB632" s="268"/>
      <c r="HKC632" s="268"/>
      <c r="HKD632" s="268"/>
      <c r="HKE632" s="268"/>
      <c r="HKF632" s="268"/>
      <c r="HKG632" s="268"/>
      <c r="HKH632" s="268"/>
      <c r="HKI632" s="268"/>
      <c r="HKJ632" s="268"/>
      <c r="HKK632" s="268"/>
      <c r="HKL632" s="268"/>
      <c r="HKM632" s="268"/>
      <c r="HKN632" s="268"/>
      <c r="HKO632" s="268"/>
      <c r="HKP632" s="268"/>
      <c r="HKQ632" s="268"/>
      <c r="HKR632" s="268"/>
      <c r="HKS632" s="268"/>
      <c r="HKT632" s="268"/>
      <c r="HKU632" s="268"/>
      <c r="HKV632" s="268"/>
      <c r="HKW632" s="268"/>
      <c r="HKX632" s="268"/>
      <c r="HKY632" s="268"/>
      <c r="HKZ632" s="268"/>
      <c r="HLA632" s="268"/>
      <c r="HLB632" s="268"/>
      <c r="HLC632" s="268"/>
      <c r="HLD632" s="268"/>
      <c r="HLE632" s="268"/>
      <c r="HLF632" s="268"/>
      <c r="HLG632" s="268"/>
      <c r="HLH632" s="268"/>
      <c r="HLI632" s="268"/>
      <c r="HLJ632" s="268"/>
      <c r="HLK632" s="268"/>
      <c r="HLL632" s="268"/>
      <c r="HLM632" s="268"/>
      <c r="HLN632" s="268"/>
      <c r="HLO632" s="268"/>
      <c r="HLP632" s="268"/>
      <c r="HLQ632" s="268"/>
      <c r="HLR632" s="268"/>
      <c r="HLS632" s="268"/>
      <c r="HLT632" s="268"/>
      <c r="HLU632" s="268"/>
      <c r="HLV632" s="268"/>
      <c r="HLW632" s="268"/>
      <c r="HLX632" s="268"/>
      <c r="HLY632" s="268"/>
      <c r="HLZ632" s="268"/>
      <c r="HMA632" s="268"/>
      <c r="HMB632" s="268"/>
      <c r="HMC632" s="268"/>
      <c r="HMD632" s="268"/>
      <c r="HME632" s="268"/>
      <c r="HMF632" s="268"/>
      <c r="HMG632" s="268"/>
      <c r="HMH632" s="268"/>
      <c r="HMI632" s="268"/>
      <c r="HMJ632" s="268"/>
      <c r="HMK632" s="268"/>
      <c r="HML632" s="268"/>
      <c r="HMM632" s="268"/>
      <c r="HMN632" s="268"/>
      <c r="HMO632" s="268"/>
      <c r="HMP632" s="268"/>
      <c r="HMQ632" s="268"/>
      <c r="HMR632" s="268"/>
      <c r="HMS632" s="268"/>
      <c r="HMT632" s="268"/>
      <c r="HMU632" s="268"/>
      <c r="HMV632" s="268"/>
      <c r="HMW632" s="268"/>
      <c r="HMX632" s="268"/>
      <c r="HMY632" s="268"/>
      <c r="HMZ632" s="268"/>
      <c r="HNA632" s="268"/>
      <c r="HNB632" s="268"/>
      <c r="HNC632" s="268"/>
      <c r="HND632" s="268"/>
      <c r="HNE632" s="268"/>
      <c r="HNF632" s="268"/>
      <c r="HNG632" s="268"/>
      <c r="HNH632" s="268"/>
      <c r="HNI632" s="268"/>
      <c r="HNJ632" s="268"/>
      <c r="HNK632" s="268"/>
      <c r="HNL632" s="268"/>
      <c r="HNM632" s="268"/>
      <c r="HNN632" s="268"/>
      <c r="HNO632" s="268"/>
      <c r="HNP632" s="268"/>
      <c r="HNQ632" s="268"/>
      <c r="HNR632" s="268"/>
      <c r="HNS632" s="268"/>
      <c r="HNT632" s="268"/>
      <c r="HNU632" s="268"/>
      <c r="HNV632" s="268"/>
      <c r="HNW632" s="268"/>
      <c r="HNX632" s="268"/>
      <c r="HNY632" s="268"/>
      <c r="HNZ632" s="268"/>
      <c r="HOA632" s="268"/>
      <c r="HOB632" s="268"/>
      <c r="HOC632" s="268"/>
      <c r="HOD632" s="268"/>
      <c r="HOE632" s="268"/>
      <c r="HOF632" s="268"/>
      <c r="HOG632" s="268"/>
      <c r="HOH632" s="268"/>
      <c r="HOI632" s="268"/>
      <c r="HOJ632" s="268"/>
      <c r="HOK632" s="268"/>
      <c r="HOL632" s="268"/>
      <c r="HOM632" s="268"/>
      <c r="HON632" s="268"/>
      <c r="HOO632" s="268"/>
      <c r="HOP632" s="268"/>
      <c r="HOQ632" s="268"/>
      <c r="HOR632" s="268"/>
      <c r="HOS632" s="268"/>
      <c r="HOT632" s="268"/>
      <c r="HOU632" s="268"/>
      <c r="HOV632" s="268"/>
      <c r="HOW632" s="268"/>
      <c r="HOX632" s="268"/>
      <c r="HOY632" s="268"/>
      <c r="HOZ632" s="268"/>
      <c r="HPA632" s="268"/>
      <c r="HPB632" s="268"/>
      <c r="HPC632" s="268"/>
      <c r="HPD632" s="268"/>
      <c r="HPE632" s="268"/>
      <c r="HPF632" s="268"/>
      <c r="HPG632" s="268"/>
      <c r="HPH632" s="268"/>
      <c r="HPI632" s="268"/>
      <c r="HPJ632" s="268"/>
      <c r="HPK632" s="268"/>
      <c r="HPL632" s="268"/>
      <c r="HPM632" s="268"/>
      <c r="HPN632" s="268"/>
      <c r="HPO632" s="268"/>
      <c r="HPP632" s="268"/>
      <c r="HPQ632" s="268"/>
      <c r="HPR632" s="268"/>
      <c r="HPS632" s="268"/>
      <c r="HPT632" s="268"/>
      <c r="HPU632" s="268"/>
      <c r="HPV632" s="268"/>
      <c r="HPW632" s="268"/>
      <c r="HPX632" s="268"/>
      <c r="HPY632" s="268"/>
      <c r="HPZ632" s="268"/>
      <c r="HQA632" s="268"/>
      <c r="HQB632" s="268"/>
      <c r="HQC632" s="268"/>
      <c r="HQD632" s="268"/>
      <c r="HQE632" s="268"/>
      <c r="HQF632" s="268"/>
      <c r="HQG632" s="268"/>
      <c r="HQH632" s="268"/>
      <c r="HQI632" s="268"/>
      <c r="HQJ632" s="268"/>
      <c r="HQK632" s="268"/>
      <c r="HQL632" s="268"/>
      <c r="HQM632" s="268"/>
      <c r="HQN632" s="268"/>
      <c r="HQO632" s="268"/>
      <c r="HQP632" s="268"/>
      <c r="HQQ632" s="268"/>
      <c r="HQR632" s="268"/>
      <c r="HQS632" s="268"/>
      <c r="HQT632" s="268"/>
      <c r="HQU632" s="268"/>
      <c r="HQV632" s="268"/>
      <c r="HQW632" s="268"/>
      <c r="HQX632" s="268"/>
      <c r="HQY632" s="268"/>
      <c r="HQZ632" s="268"/>
      <c r="HRA632" s="268"/>
      <c r="HRB632" s="268"/>
      <c r="HRC632" s="268"/>
      <c r="HRQ632" s="268"/>
      <c r="HRR632" s="268"/>
      <c r="HRS632" s="268"/>
      <c r="HSG632" s="268"/>
      <c r="HSI632" s="268"/>
      <c r="HSJ632" s="268"/>
      <c r="HSK632" s="268"/>
      <c r="HSL632" s="268"/>
      <c r="HSM632" s="268"/>
      <c r="HSN632" s="268"/>
      <c r="HSO632" s="268"/>
      <c r="HSP632" s="268"/>
      <c r="HSQ632" s="268"/>
      <c r="HSR632" s="268"/>
      <c r="HSS632" s="268"/>
      <c r="HST632" s="268"/>
      <c r="HSU632" s="268"/>
      <c r="HSV632" s="268"/>
      <c r="HSW632" s="268"/>
      <c r="HSX632" s="268"/>
      <c r="HSY632" s="268"/>
      <c r="HSZ632" s="268"/>
      <c r="HTA632" s="268"/>
      <c r="HTB632" s="268"/>
      <c r="HTC632" s="268"/>
      <c r="HTD632" s="268"/>
      <c r="HTE632" s="268"/>
      <c r="HTF632" s="268"/>
      <c r="HTG632" s="268"/>
      <c r="HTH632" s="268"/>
      <c r="HTI632" s="268"/>
      <c r="HTJ632" s="268"/>
      <c r="HTK632" s="268"/>
      <c r="HTL632" s="268"/>
      <c r="HTM632" s="268"/>
      <c r="HTN632" s="268"/>
      <c r="HTO632" s="268"/>
      <c r="HTP632" s="268"/>
      <c r="HTQ632" s="268"/>
      <c r="HTR632" s="268"/>
      <c r="HTS632" s="268"/>
      <c r="HTT632" s="268"/>
      <c r="HTU632" s="268"/>
      <c r="HTV632" s="268"/>
      <c r="HTW632" s="268"/>
      <c r="HTX632" s="268"/>
      <c r="HTY632" s="268"/>
      <c r="HTZ632" s="268"/>
      <c r="HUA632" s="268"/>
      <c r="HUB632" s="268"/>
      <c r="HUC632" s="268"/>
      <c r="HUD632" s="268"/>
      <c r="HUE632" s="268"/>
      <c r="HUF632" s="268"/>
      <c r="HUG632" s="268"/>
      <c r="HUH632" s="268"/>
      <c r="HUI632" s="268"/>
      <c r="HUJ632" s="268"/>
      <c r="HUK632" s="268"/>
      <c r="HUL632" s="268"/>
      <c r="HUM632" s="268"/>
      <c r="HUN632" s="268"/>
      <c r="HUO632" s="268"/>
      <c r="HUP632" s="268"/>
      <c r="HUQ632" s="268"/>
      <c r="HUR632" s="268"/>
      <c r="HUS632" s="268"/>
      <c r="HUT632" s="268"/>
      <c r="HUU632" s="268"/>
      <c r="HUV632" s="268"/>
      <c r="HUW632" s="268"/>
      <c r="HUX632" s="268"/>
      <c r="HUY632" s="268"/>
      <c r="HUZ632" s="268"/>
      <c r="HVA632" s="268"/>
      <c r="HVB632" s="268"/>
      <c r="HVC632" s="268"/>
      <c r="HVD632" s="268"/>
      <c r="HVE632" s="268"/>
      <c r="HVF632" s="268"/>
      <c r="HVG632" s="268"/>
      <c r="HVH632" s="268"/>
      <c r="HVI632" s="268"/>
      <c r="HVJ632" s="268"/>
      <c r="HVK632" s="268"/>
      <c r="HVL632" s="268"/>
      <c r="HVM632" s="268"/>
      <c r="HVN632" s="268"/>
      <c r="HVO632" s="268"/>
      <c r="HVP632" s="268"/>
      <c r="HVQ632" s="268"/>
      <c r="HVR632" s="268"/>
      <c r="HVS632" s="268"/>
      <c r="HVT632" s="268"/>
      <c r="HVU632" s="268"/>
      <c r="HVV632" s="268"/>
      <c r="HVW632" s="268"/>
      <c r="HVX632" s="268"/>
      <c r="HVY632" s="268"/>
      <c r="HVZ632" s="268"/>
      <c r="HWA632" s="268"/>
      <c r="HWB632" s="268"/>
      <c r="HWC632" s="268"/>
      <c r="HWD632" s="268"/>
      <c r="HWE632" s="268"/>
      <c r="HWF632" s="268"/>
      <c r="HWG632" s="268"/>
      <c r="HWH632" s="268"/>
      <c r="HWI632" s="268"/>
      <c r="HWJ632" s="268"/>
      <c r="HWK632" s="268"/>
      <c r="HWL632" s="268"/>
      <c r="HWM632" s="268"/>
      <c r="HWN632" s="268"/>
      <c r="HWO632" s="268"/>
      <c r="HWP632" s="268"/>
      <c r="HWQ632" s="268"/>
      <c r="HWR632" s="268"/>
      <c r="HWS632" s="268"/>
      <c r="HWT632" s="268"/>
      <c r="HWU632" s="268"/>
      <c r="HWV632" s="268"/>
      <c r="HWW632" s="268"/>
      <c r="HWX632" s="268"/>
      <c r="HWY632" s="268"/>
      <c r="HWZ632" s="268"/>
      <c r="HXA632" s="268"/>
      <c r="HXB632" s="268"/>
      <c r="HXC632" s="268"/>
      <c r="HXD632" s="268"/>
      <c r="HXE632" s="268"/>
      <c r="HXF632" s="268"/>
      <c r="HXG632" s="268"/>
      <c r="HXH632" s="268"/>
      <c r="HXI632" s="268"/>
      <c r="HXJ632" s="268"/>
      <c r="HXK632" s="268"/>
      <c r="HXL632" s="268"/>
      <c r="HXM632" s="268"/>
      <c r="HXN632" s="268"/>
      <c r="HXO632" s="268"/>
      <c r="HXP632" s="268"/>
      <c r="HXQ632" s="268"/>
      <c r="HXR632" s="268"/>
      <c r="HXS632" s="268"/>
      <c r="HXT632" s="268"/>
      <c r="HXU632" s="268"/>
      <c r="HXV632" s="268"/>
      <c r="HXW632" s="268"/>
      <c r="HXX632" s="268"/>
      <c r="HXY632" s="268"/>
      <c r="HXZ632" s="268"/>
      <c r="HYA632" s="268"/>
      <c r="HYB632" s="268"/>
      <c r="HYC632" s="268"/>
      <c r="HYD632" s="268"/>
      <c r="HYE632" s="268"/>
      <c r="HYF632" s="268"/>
      <c r="HYG632" s="268"/>
      <c r="HYH632" s="268"/>
      <c r="HYI632" s="268"/>
      <c r="HYJ632" s="268"/>
      <c r="HYK632" s="268"/>
      <c r="HYL632" s="268"/>
      <c r="HYM632" s="268"/>
      <c r="HYN632" s="268"/>
      <c r="HYO632" s="268"/>
      <c r="HYP632" s="268"/>
      <c r="HYQ632" s="268"/>
      <c r="HYR632" s="268"/>
      <c r="HYS632" s="268"/>
      <c r="HYT632" s="268"/>
      <c r="HYU632" s="268"/>
      <c r="HYV632" s="268"/>
      <c r="HYW632" s="268"/>
      <c r="HYX632" s="268"/>
      <c r="HYY632" s="268"/>
      <c r="HYZ632" s="268"/>
      <c r="HZA632" s="268"/>
      <c r="HZB632" s="268"/>
      <c r="HZC632" s="268"/>
      <c r="HZD632" s="268"/>
      <c r="HZE632" s="268"/>
      <c r="HZF632" s="268"/>
      <c r="HZG632" s="268"/>
      <c r="HZH632" s="268"/>
      <c r="HZI632" s="268"/>
      <c r="HZJ632" s="268"/>
      <c r="HZK632" s="268"/>
      <c r="HZL632" s="268"/>
      <c r="HZM632" s="268"/>
      <c r="HZN632" s="268"/>
      <c r="HZO632" s="268"/>
      <c r="HZP632" s="268"/>
      <c r="HZQ632" s="268"/>
      <c r="HZR632" s="268"/>
      <c r="HZS632" s="268"/>
      <c r="HZT632" s="268"/>
      <c r="HZU632" s="268"/>
      <c r="HZV632" s="268"/>
      <c r="HZW632" s="268"/>
      <c r="HZX632" s="268"/>
      <c r="HZY632" s="268"/>
      <c r="HZZ632" s="268"/>
      <c r="IAA632" s="268"/>
      <c r="IAB632" s="268"/>
      <c r="IAC632" s="268"/>
      <c r="IAD632" s="268"/>
      <c r="IAE632" s="268"/>
      <c r="IAF632" s="268"/>
      <c r="IAG632" s="268"/>
      <c r="IAH632" s="268"/>
      <c r="IAI632" s="268"/>
      <c r="IAJ632" s="268"/>
      <c r="IAK632" s="268"/>
      <c r="IAL632" s="268"/>
      <c r="IAM632" s="268"/>
      <c r="IAN632" s="268"/>
      <c r="IAO632" s="268"/>
      <c r="IAP632" s="268"/>
      <c r="IAQ632" s="268"/>
      <c r="IAR632" s="268"/>
      <c r="IAS632" s="268"/>
      <c r="IAT632" s="268"/>
      <c r="IAU632" s="268"/>
      <c r="IAV632" s="268"/>
      <c r="IAW632" s="268"/>
      <c r="IAX632" s="268"/>
      <c r="IAY632" s="268"/>
      <c r="IBM632" s="268"/>
      <c r="IBN632" s="268"/>
      <c r="IBO632" s="268"/>
      <c r="ICC632" s="268"/>
      <c r="ICE632" s="268"/>
      <c r="ICF632" s="268"/>
      <c r="ICG632" s="268"/>
      <c r="ICH632" s="268"/>
      <c r="ICI632" s="268"/>
      <c r="ICJ632" s="268"/>
      <c r="ICK632" s="268"/>
      <c r="ICL632" s="268"/>
      <c r="ICM632" s="268"/>
      <c r="ICN632" s="268"/>
      <c r="ICO632" s="268"/>
      <c r="ICP632" s="268"/>
      <c r="ICQ632" s="268"/>
      <c r="ICR632" s="268"/>
      <c r="ICS632" s="268"/>
      <c r="ICT632" s="268"/>
      <c r="ICU632" s="268"/>
      <c r="ICV632" s="268"/>
      <c r="ICW632" s="268"/>
      <c r="ICX632" s="268"/>
      <c r="ICY632" s="268"/>
      <c r="ICZ632" s="268"/>
      <c r="IDA632" s="268"/>
      <c r="IDB632" s="268"/>
      <c r="IDC632" s="268"/>
      <c r="IDD632" s="268"/>
      <c r="IDE632" s="268"/>
      <c r="IDF632" s="268"/>
      <c r="IDG632" s="268"/>
      <c r="IDH632" s="268"/>
      <c r="IDI632" s="268"/>
      <c r="IDJ632" s="268"/>
      <c r="IDK632" s="268"/>
      <c r="IDL632" s="268"/>
      <c r="IDM632" s="268"/>
      <c r="IDN632" s="268"/>
      <c r="IDO632" s="268"/>
      <c r="IDP632" s="268"/>
      <c r="IDQ632" s="268"/>
      <c r="IDR632" s="268"/>
      <c r="IDS632" s="268"/>
      <c r="IDT632" s="268"/>
      <c r="IDU632" s="268"/>
      <c r="IDV632" s="268"/>
      <c r="IDW632" s="268"/>
      <c r="IDX632" s="268"/>
      <c r="IDY632" s="268"/>
      <c r="IDZ632" s="268"/>
      <c r="IEA632" s="268"/>
      <c r="IEB632" s="268"/>
      <c r="IEC632" s="268"/>
      <c r="IED632" s="268"/>
      <c r="IEE632" s="268"/>
      <c r="IEF632" s="268"/>
      <c r="IEG632" s="268"/>
      <c r="IEH632" s="268"/>
      <c r="IEI632" s="268"/>
      <c r="IEJ632" s="268"/>
      <c r="IEK632" s="268"/>
      <c r="IEL632" s="268"/>
      <c r="IEM632" s="268"/>
      <c r="IEN632" s="268"/>
      <c r="IEO632" s="268"/>
      <c r="IEP632" s="268"/>
      <c r="IEQ632" s="268"/>
      <c r="IER632" s="268"/>
      <c r="IES632" s="268"/>
      <c r="IET632" s="268"/>
      <c r="IEU632" s="268"/>
      <c r="IEV632" s="268"/>
      <c r="IEW632" s="268"/>
      <c r="IEX632" s="268"/>
      <c r="IEY632" s="268"/>
      <c r="IEZ632" s="268"/>
      <c r="IFA632" s="268"/>
      <c r="IFB632" s="268"/>
      <c r="IFC632" s="268"/>
      <c r="IFD632" s="268"/>
      <c r="IFE632" s="268"/>
      <c r="IFF632" s="268"/>
      <c r="IFG632" s="268"/>
      <c r="IFH632" s="268"/>
      <c r="IFI632" s="268"/>
      <c r="IFJ632" s="268"/>
      <c r="IFK632" s="268"/>
      <c r="IFL632" s="268"/>
      <c r="IFM632" s="268"/>
      <c r="IFN632" s="268"/>
      <c r="IFO632" s="268"/>
      <c r="IFP632" s="268"/>
      <c r="IFQ632" s="268"/>
      <c r="IFR632" s="268"/>
      <c r="IFS632" s="268"/>
      <c r="IFT632" s="268"/>
      <c r="IFU632" s="268"/>
      <c r="IFV632" s="268"/>
      <c r="IFW632" s="268"/>
      <c r="IFX632" s="268"/>
      <c r="IFY632" s="268"/>
      <c r="IFZ632" s="268"/>
      <c r="IGA632" s="268"/>
      <c r="IGB632" s="268"/>
      <c r="IGC632" s="268"/>
      <c r="IGD632" s="268"/>
      <c r="IGE632" s="268"/>
      <c r="IGF632" s="268"/>
      <c r="IGG632" s="268"/>
      <c r="IGH632" s="268"/>
      <c r="IGI632" s="268"/>
      <c r="IGJ632" s="268"/>
      <c r="IGK632" s="268"/>
      <c r="IGL632" s="268"/>
      <c r="IGM632" s="268"/>
      <c r="IGN632" s="268"/>
      <c r="IGO632" s="268"/>
      <c r="IGP632" s="268"/>
      <c r="IGQ632" s="268"/>
      <c r="IGR632" s="268"/>
      <c r="IGS632" s="268"/>
      <c r="IGT632" s="268"/>
      <c r="IGU632" s="268"/>
      <c r="IGV632" s="268"/>
      <c r="IGW632" s="268"/>
      <c r="IGX632" s="268"/>
      <c r="IGY632" s="268"/>
      <c r="IGZ632" s="268"/>
      <c r="IHA632" s="268"/>
      <c r="IHB632" s="268"/>
      <c r="IHC632" s="268"/>
      <c r="IHD632" s="268"/>
      <c r="IHE632" s="268"/>
      <c r="IHF632" s="268"/>
      <c r="IHG632" s="268"/>
      <c r="IHH632" s="268"/>
      <c r="IHI632" s="268"/>
      <c r="IHJ632" s="268"/>
      <c r="IHK632" s="268"/>
      <c r="IHL632" s="268"/>
      <c r="IHM632" s="268"/>
      <c r="IHN632" s="268"/>
      <c r="IHO632" s="268"/>
      <c r="IHP632" s="268"/>
      <c r="IHQ632" s="268"/>
      <c r="IHR632" s="268"/>
      <c r="IHS632" s="268"/>
      <c r="IHT632" s="268"/>
      <c r="IHU632" s="268"/>
      <c r="IHV632" s="268"/>
      <c r="IHW632" s="268"/>
      <c r="IHX632" s="268"/>
      <c r="IHY632" s="268"/>
      <c r="IHZ632" s="268"/>
      <c r="IIA632" s="268"/>
      <c r="IIB632" s="268"/>
      <c r="IIC632" s="268"/>
      <c r="IID632" s="268"/>
      <c r="IIE632" s="268"/>
      <c r="IIF632" s="268"/>
      <c r="IIG632" s="268"/>
      <c r="IIH632" s="268"/>
      <c r="III632" s="268"/>
      <c r="IIJ632" s="268"/>
      <c r="IIK632" s="268"/>
      <c r="IIL632" s="268"/>
      <c r="IIM632" s="268"/>
      <c r="IIN632" s="268"/>
      <c r="IIO632" s="268"/>
      <c r="IIP632" s="268"/>
      <c r="IIQ632" s="268"/>
      <c r="IIR632" s="268"/>
      <c r="IIS632" s="268"/>
      <c r="IIT632" s="268"/>
      <c r="IIU632" s="268"/>
      <c r="IIV632" s="268"/>
      <c r="IIW632" s="268"/>
      <c r="IIX632" s="268"/>
      <c r="IIY632" s="268"/>
      <c r="IIZ632" s="268"/>
      <c r="IJA632" s="268"/>
      <c r="IJB632" s="268"/>
      <c r="IJC632" s="268"/>
      <c r="IJD632" s="268"/>
      <c r="IJE632" s="268"/>
      <c r="IJF632" s="268"/>
      <c r="IJG632" s="268"/>
      <c r="IJH632" s="268"/>
      <c r="IJI632" s="268"/>
      <c r="IJJ632" s="268"/>
      <c r="IJK632" s="268"/>
      <c r="IJL632" s="268"/>
      <c r="IJM632" s="268"/>
      <c r="IJN632" s="268"/>
      <c r="IJO632" s="268"/>
      <c r="IJP632" s="268"/>
      <c r="IJQ632" s="268"/>
      <c r="IJR632" s="268"/>
      <c r="IJS632" s="268"/>
      <c r="IJT632" s="268"/>
      <c r="IJU632" s="268"/>
      <c r="IJV632" s="268"/>
      <c r="IJW632" s="268"/>
      <c r="IJX632" s="268"/>
      <c r="IJY632" s="268"/>
      <c r="IJZ632" s="268"/>
      <c r="IKA632" s="268"/>
      <c r="IKB632" s="268"/>
      <c r="IKC632" s="268"/>
      <c r="IKD632" s="268"/>
      <c r="IKE632" s="268"/>
      <c r="IKF632" s="268"/>
      <c r="IKG632" s="268"/>
      <c r="IKH632" s="268"/>
      <c r="IKI632" s="268"/>
      <c r="IKJ632" s="268"/>
      <c r="IKK632" s="268"/>
      <c r="IKL632" s="268"/>
      <c r="IKM632" s="268"/>
      <c r="IKN632" s="268"/>
      <c r="IKO632" s="268"/>
      <c r="IKP632" s="268"/>
      <c r="IKQ632" s="268"/>
      <c r="IKR632" s="268"/>
      <c r="IKS632" s="268"/>
      <c r="IKT632" s="268"/>
      <c r="IKU632" s="268"/>
      <c r="ILI632" s="268"/>
      <c r="ILJ632" s="268"/>
      <c r="ILK632" s="268"/>
      <c r="ILY632" s="268"/>
      <c r="IMA632" s="268"/>
      <c r="IMB632" s="268"/>
      <c r="IMC632" s="268"/>
      <c r="IMD632" s="268"/>
      <c r="IME632" s="268"/>
      <c r="IMF632" s="268"/>
      <c r="IMG632" s="268"/>
      <c r="IMH632" s="268"/>
      <c r="IMI632" s="268"/>
      <c r="IMJ632" s="268"/>
      <c r="IMK632" s="268"/>
      <c r="IML632" s="268"/>
      <c r="IMM632" s="268"/>
      <c r="IMN632" s="268"/>
      <c r="IMO632" s="268"/>
      <c r="IMP632" s="268"/>
      <c r="IMQ632" s="268"/>
      <c r="IMR632" s="268"/>
      <c r="IMS632" s="268"/>
      <c r="IMT632" s="268"/>
      <c r="IMU632" s="268"/>
      <c r="IMV632" s="268"/>
      <c r="IMW632" s="268"/>
      <c r="IMX632" s="268"/>
      <c r="IMY632" s="268"/>
      <c r="IMZ632" s="268"/>
      <c r="INA632" s="268"/>
      <c r="INB632" s="268"/>
      <c r="INC632" s="268"/>
      <c r="IND632" s="268"/>
      <c r="INE632" s="268"/>
      <c r="INF632" s="268"/>
      <c r="ING632" s="268"/>
      <c r="INH632" s="268"/>
      <c r="INI632" s="268"/>
      <c r="INJ632" s="268"/>
      <c r="INK632" s="268"/>
      <c r="INL632" s="268"/>
      <c r="INM632" s="268"/>
      <c r="INN632" s="268"/>
      <c r="INO632" s="268"/>
      <c r="INP632" s="268"/>
      <c r="INQ632" s="268"/>
      <c r="INR632" s="268"/>
      <c r="INS632" s="268"/>
      <c r="INT632" s="268"/>
      <c r="INU632" s="268"/>
      <c r="INV632" s="268"/>
      <c r="INW632" s="268"/>
      <c r="INX632" s="268"/>
      <c r="INY632" s="268"/>
      <c r="INZ632" s="268"/>
      <c r="IOA632" s="268"/>
      <c r="IOB632" s="268"/>
      <c r="IOC632" s="268"/>
      <c r="IOD632" s="268"/>
      <c r="IOE632" s="268"/>
      <c r="IOF632" s="268"/>
      <c r="IOG632" s="268"/>
      <c r="IOH632" s="268"/>
      <c r="IOI632" s="268"/>
      <c r="IOJ632" s="268"/>
      <c r="IOK632" s="268"/>
      <c r="IOL632" s="268"/>
      <c r="IOM632" s="268"/>
      <c r="ION632" s="268"/>
      <c r="IOO632" s="268"/>
      <c r="IOP632" s="268"/>
      <c r="IOQ632" s="268"/>
      <c r="IOR632" s="268"/>
      <c r="IOS632" s="268"/>
      <c r="IOT632" s="268"/>
      <c r="IOU632" s="268"/>
      <c r="IOV632" s="268"/>
      <c r="IOW632" s="268"/>
      <c r="IOX632" s="268"/>
      <c r="IOY632" s="268"/>
      <c r="IOZ632" s="268"/>
      <c r="IPA632" s="268"/>
      <c r="IPB632" s="268"/>
      <c r="IPC632" s="268"/>
      <c r="IPD632" s="268"/>
      <c r="IPE632" s="268"/>
      <c r="IPF632" s="268"/>
      <c r="IPG632" s="268"/>
      <c r="IPH632" s="268"/>
      <c r="IPI632" s="268"/>
      <c r="IPJ632" s="268"/>
      <c r="IPK632" s="268"/>
      <c r="IPL632" s="268"/>
      <c r="IPM632" s="268"/>
      <c r="IPN632" s="268"/>
      <c r="IPO632" s="268"/>
      <c r="IPP632" s="268"/>
      <c r="IPQ632" s="268"/>
      <c r="IPR632" s="268"/>
      <c r="IPS632" s="268"/>
      <c r="IPT632" s="268"/>
      <c r="IPU632" s="268"/>
      <c r="IPV632" s="268"/>
      <c r="IPW632" s="268"/>
      <c r="IPX632" s="268"/>
      <c r="IPY632" s="268"/>
      <c r="IPZ632" s="268"/>
      <c r="IQA632" s="268"/>
      <c r="IQB632" s="268"/>
      <c r="IQC632" s="268"/>
      <c r="IQD632" s="268"/>
      <c r="IQE632" s="268"/>
      <c r="IQF632" s="268"/>
      <c r="IQG632" s="268"/>
      <c r="IQH632" s="268"/>
      <c r="IQI632" s="268"/>
      <c r="IQJ632" s="268"/>
      <c r="IQK632" s="268"/>
      <c r="IQL632" s="268"/>
      <c r="IQM632" s="268"/>
      <c r="IQN632" s="268"/>
      <c r="IQO632" s="268"/>
      <c r="IQP632" s="268"/>
      <c r="IQQ632" s="268"/>
      <c r="IQR632" s="268"/>
      <c r="IQS632" s="268"/>
      <c r="IQT632" s="268"/>
      <c r="IQU632" s="268"/>
      <c r="IQV632" s="268"/>
      <c r="IQW632" s="268"/>
      <c r="IQX632" s="268"/>
      <c r="IQY632" s="268"/>
      <c r="IQZ632" s="268"/>
      <c r="IRA632" s="268"/>
      <c r="IRB632" s="268"/>
      <c r="IRC632" s="268"/>
      <c r="IRD632" s="268"/>
      <c r="IRE632" s="268"/>
      <c r="IRF632" s="268"/>
      <c r="IRG632" s="268"/>
      <c r="IRH632" s="268"/>
      <c r="IRI632" s="268"/>
      <c r="IRJ632" s="268"/>
      <c r="IRK632" s="268"/>
      <c r="IRL632" s="268"/>
      <c r="IRM632" s="268"/>
      <c r="IRN632" s="268"/>
      <c r="IRO632" s="268"/>
      <c r="IRP632" s="268"/>
      <c r="IRQ632" s="268"/>
      <c r="IRR632" s="268"/>
      <c r="IRS632" s="268"/>
      <c r="IRT632" s="268"/>
      <c r="IRU632" s="268"/>
      <c r="IRV632" s="268"/>
      <c r="IRW632" s="268"/>
      <c r="IRX632" s="268"/>
      <c r="IRY632" s="268"/>
      <c r="IRZ632" s="268"/>
      <c r="ISA632" s="268"/>
      <c r="ISB632" s="268"/>
      <c r="ISC632" s="268"/>
      <c r="ISD632" s="268"/>
      <c r="ISE632" s="268"/>
      <c r="ISF632" s="268"/>
      <c r="ISG632" s="268"/>
      <c r="ISH632" s="268"/>
      <c r="ISI632" s="268"/>
      <c r="ISJ632" s="268"/>
      <c r="ISK632" s="268"/>
      <c r="ISL632" s="268"/>
      <c r="ISM632" s="268"/>
      <c r="ISN632" s="268"/>
      <c r="ISO632" s="268"/>
      <c r="ISP632" s="268"/>
      <c r="ISQ632" s="268"/>
      <c r="ISR632" s="268"/>
      <c r="ISS632" s="268"/>
      <c r="IST632" s="268"/>
      <c r="ISU632" s="268"/>
      <c r="ISV632" s="268"/>
      <c r="ISW632" s="268"/>
      <c r="ISX632" s="268"/>
      <c r="ISY632" s="268"/>
      <c r="ISZ632" s="268"/>
      <c r="ITA632" s="268"/>
      <c r="ITB632" s="268"/>
      <c r="ITC632" s="268"/>
      <c r="ITD632" s="268"/>
      <c r="ITE632" s="268"/>
      <c r="ITF632" s="268"/>
      <c r="ITG632" s="268"/>
      <c r="ITH632" s="268"/>
      <c r="ITI632" s="268"/>
      <c r="ITJ632" s="268"/>
      <c r="ITK632" s="268"/>
      <c r="ITL632" s="268"/>
      <c r="ITM632" s="268"/>
      <c r="ITN632" s="268"/>
      <c r="ITO632" s="268"/>
      <c r="ITP632" s="268"/>
      <c r="ITQ632" s="268"/>
      <c r="ITR632" s="268"/>
      <c r="ITS632" s="268"/>
      <c r="ITT632" s="268"/>
      <c r="ITU632" s="268"/>
      <c r="ITV632" s="268"/>
      <c r="ITW632" s="268"/>
      <c r="ITX632" s="268"/>
      <c r="ITY632" s="268"/>
      <c r="ITZ632" s="268"/>
      <c r="IUA632" s="268"/>
      <c r="IUB632" s="268"/>
      <c r="IUC632" s="268"/>
      <c r="IUD632" s="268"/>
      <c r="IUE632" s="268"/>
      <c r="IUF632" s="268"/>
      <c r="IUG632" s="268"/>
      <c r="IUH632" s="268"/>
      <c r="IUI632" s="268"/>
      <c r="IUJ632" s="268"/>
      <c r="IUK632" s="268"/>
      <c r="IUL632" s="268"/>
      <c r="IUM632" s="268"/>
      <c r="IUN632" s="268"/>
      <c r="IUO632" s="268"/>
      <c r="IUP632" s="268"/>
      <c r="IUQ632" s="268"/>
      <c r="IVE632" s="268"/>
      <c r="IVF632" s="268"/>
      <c r="IVG632" s="268"/>
      <c r="IVU632" s="268"/>
      <c r="IVW632" s="268"/>
      <c r="IVX632" s="268"/>
      <c r="IVY632" s="268"/>
      <c r="IVZ632" s="268"/>
      <c r="IWA632" s="268"/>
      <c r="IWB632" s="268"/>
      <c r="IWC632" s="268"/>
      <c r="IWD632" s="268"/>
      <c r="IWE632" s="268"/>
      <c r="IWF632" s="268"/>
      <c r="IWG632" s="268"/>
      <c r="IWH632" s="268"/>
      <c r="IWI632" s="268"/>
      <c r="IWJ632" s="268"/>
      <c r="IWK632" s="268"/>
      <c r="IWL632" s="268"/>
      <c r="IWM632" s="268"/>
      <c r="IWN632" s="268"/>
      <c r="IWO632" s="268"/>
      <c r="IWP632" s="268"/>
      <c r="IWQ632" s="268"/>
      <c r="IWR632" s="268"/>
      <c r="IWS632" s="268"/>
      <c r="IWT632" s="268"/>
      <c r="IWU632" s="268"/>
      <c r="IWV632" s="268"/>
      <c r="IWW632" s="268"/>
      <c r="IWX632" s="268"/>
      <c r="IWY632" s="268"/>
      <c r="IWZ632" s="268"/>
      <c r="IXA632" s="268"/>
      <c r="IXB632" s="268"/>
      <c r="IXC632" s="268"/>
      <c r="IXD632" s="268"/>
      <c r="IXE632" s="268"/>
      <c r="IXF632" s="268"/>
      <c r="IXG632" s="268"/>
      <c r="IXH632" s="268"/>
      <c r="IXI632" s="268"/>
      <c r="IXJ632" s="268"/>
      <c r="IXK632" s="268"/>
      <c r="IXL632" s="268"/>
      <c r="IXM632" s="268"/>
      <c r="IXN632" s="268"/>
      <c r="IXO632" s="268"/>
      <c r="IXP632" s="268"/>
      <c r="IXQ632" s="268"/>
      <c r="IXR632" s="268"/>
      <c r="IXS632" s="268"/>
      <c r="IXT632" s="268"/>
      <c r="IXU632" s="268"/>
      <c r="IXV632" s="268"/>
      <c r="IXW632" s="268"/>
      <c r="IXX632" s="268"/>
      <c r="IXY632" s="268"/>
      <c r="IXZ632" s="268"/>
      <c r="IYA632" s="268"/>
      <c r="IYB632" s="268"/>
      <c r="IYC632" s="268"/>
      <c r="IYD632" s="268"/>
      <c r="IYE632" s="268"/>
      <c r="IYF632" s="268"/>
      <c r="IYG632" s="268"/>
      <c r="IYH632" s="268"/>
      <c r="IYI632" s="268"/>
      <c r="IYJ632" s="268"/>
      <c r="IYK632" s="268"/>
      <c r="IYL632" s="268"/>
      <c r="IYM632" s="268"/>
      <c r="IYN632" s="268"/>
      <c r="IYO632" s="268"/>
      <c r="IYP632" s="268"/>
      <c r="IYQ632" s="268"/>
      <c r="IYR632" s="268"/>
      <c r="IYS632" s="268"/>
      <c r="IYT632" s="268"/>
      <c r="IYU632" s="268"/>
      <c r="IYV632" s="268"/>
      <c r="IYW632" s="268"/>
      <c r="IYX632" s="268"/>
      <c r="IYY632" s="268"/>
      <c r="IYZ632" s="268"/>
      <c r="IZA632" s="268"/>
      <c r="IZB632" s="268"/>
      <c r="IZC632" s="268"/>
      <c r="IZD632" s="268"/>
      <c r="IZE632" s="268"/>
      <c r="IZF632" s="268"/>
      <c r="IZG632" s="268"/>
      <c r="IZH632" s="268"/>
      <c r="IZI632" s="268"/>
      <c r="IZJ632" s="268"/>
      <c r="IZK632" s="268"/>
      <c r="IZL632" s="268"/>
      <c r="IZM632" s="268"/>
      <c r="IZN632" s="268"/>
      <c r="IZO632" s="268"/>
      <c r="IZP632" s="268"/>
      <c r="IZQ632" s="268"/>
      <c r="IZR632" s="268"/>
      <c r="IZS632" s="268"/>
      <c r="IZT632" s="268"/>
      <c r="IZU632" s="268"/>
      <c r="IZV632" s="268"/>
      <c r="IZW632" s="268"/>
      <c r="IZX632" s="268"/>
      <c r="IZY632" s="268"/>
      <c r="IZZ632" s="268"/>
      <c r="JAA632" s="268"/>
      <c r="JAB632" s="268"/>
      <c r="JAC632" s="268"/>
      <c r="JAD632" s="268"/>
      <c r="JAE632" s="268"/>
      <c r="JAF632" s="268"/>
      <c r="JAG632" s="268"/>
      <c r="JAH632" s="268"/>
      <c r="JAI632" s="268"/>
      <c r="JAJ632" s="268"/>
      <c r="JAK632" s="268"/>
      <c r="JAL632" s="268"/>
      <c r="JAM632" s="268"/>
      <c r="JAN632" s="268"/>
      <c r="JAO632" s="268"/>
      <c r="JAP632" s="268"/>
      <c r="JAQ632" s="268"/>
      <c r="JAR632" s="268"/>
      <c r="JAS632" s="268"/>
      <c r="JAT632" s="268"/>
      <c r="JAU632" s="268"/>
      <c r="JAV632" s="268"/>
      <c r="JAW632" s="268"/>
      <c r="JAX632" s="268"/>
      <c r="JAY632" s="268"/>
      <c r="JAZ632" s="268"/>
      <c r="JBA632" s="268"/>
      <c r="JBB632" s="268"/>
      <c r="JBC632" s="268"/>
      <c r="JBD632" s="268"/>
      <c r="JBE632" s="268"/>
      <c r="JBF632" s="268"/>
      <c r="JBG632" s="268"/>
      <c r="JBH632" s="268"/>
      <c r="JBI632" s="268"/>
      <c r="JBJ632" s="268"/>
      <c r="JBK632" s="268"/>
      <c r="JBL632" s="268"/>
      <c r="JBM632" s="268"/>
      <c r="JBN632" s="268"/>
      <c r="JBO632" s="268"/>
      <c r="JBP632" s="268"/>
      <c r="JBQ632" s="268"/>
      <c r="JBR632" s="268"/>
      <c r="JBS632" s="268"/>
      <c r="JBT632" s="268"/>
      <c r="JBU632" s="268"/>
      <c r="JBV632" s="268"/>
      <c r="JBW632" s="268"/>
      <c r="JBX632" s="268"/>
      <c r="JBY632" s="268"/>
      <c r="JBZ632" s="268"/>
      <c r="JCA632" s="268"/>
      <c r="JCB632" s="268"/>
      <c r="JCC632" s="268"/>
      <c r="JCD632" s="268"/>
      <c r="JCE632" s="268"/>
      <c r="JCF632" s="268"/>
      <c r="JCG632" s="268"/>
      <c r="JCH632" s="268"/>
      <c r="JCI632" s="268"/>
      <c r="JCJ632" s="268"/>
      <c r="JCK632" s="268"/>
      <c r="JCL632" s="268"/>
      <c r="JCM632" s="268"/>
      <c r="JCN632" s="268"/>
      <c r="JCO632" s="268"/>
      <c r="JCP632" s="268"/>
      <c r="JCQ632" s="268"/>
      <c r="JCR632" s="268"/>
      <c r="JCS632" s="268"/>
      <c r="JCT632" s="268"/>
      <c r="JCU632" s="268"/>
      <c r="JCV632" s="268"/>
      <c r="JCW632" s="268"/>
      <c r="JCX632" s="268"/>
      <c r="JCY632" s="268"/>
      <c r="JCZ632" s="268"/>
      <c r="JDA632" s="268"/>
      <c r="JDB632" s="268"/>
      <c r="JDC632" s="268"/>
      <c r="JDD632" s="268"/>
      <c r="JDE632" s="268"/>
      <c r="JDF632" s="268"/>
      <c r="JDG632" s="268"/>
      <c r="JDH632" s="268"/>
      <c r="JDI632" s="268"/>
      <c r="JDJ632" s="268"/>
      <c r="JDK632" s="268"/>
      <c r="JDL632" s="268"/>
      <c r="JDM632" s="268"/>
      <c r="JDN632" s="268"/>
      <c r="JDO632" s="268"/>
      <c r="JDP632" s="268"/>
      <c r="JDQ632" s="268"/>
      <c r="JDR632" s="268"/>
      <c r="JDS632" s="268"/>
      <c r="JDT632" s="268"/>
      <c r="JDU632" s="268"/>
      <c r="JDV632" s="268"/>
      <c r="JDW632" s="268"/>
      <c r="JDX632" s="268"/>
      <c r="JDY632" s="268"/>
      <c r="JDZ632" s="268"/>
      <c r="JEA632" s="268"/>
      <c r="JEB632" s="268"/>
      <c r="JEC632" s="268"/>
      <c r="JED632" s="268"/>
      <c r="JEE632" s="268"/>
      <c r="JEF632" s="268"/>
      <c r="JEG632" s="268"/>
      <c r="JEH632" s="268"/>
      <c r="JEI632" s="268"/>
      <c r="JEJ632" s="268"/>
      <c r="JEK632" s="268"/>
      <c r="JEL632" s="268"/>
      <c r="JEM632" s="268"/>
      <c r="JFA632" s="268"/>
      <c r="JFB632" s="268"/>
      <c r="JFC632" s="268"/>
      <c r="JFQ632" s="268"/>
      <c r="JFS632" s="268"/>
      <c r="JFT632" s="268"/>
      <c r="JFU632" s="268"/>
      <c r="JFV632" s="268"/>
      <c r="JFW632" s="268"/>
      <c r="JFX632" s="268"/>
      <c r="JFY632" s="268"/>
      <c r="JFZ632" s="268"/>
      <c r="JGA632" s="268"/>
      <c r="JGB632" s="268"/>
      <c r="JGC632" s="268"/>
      <c r="JGD632" s="268"/>
      <c r="JGE632" s="268"/>
      <c r="JGF632" s="268"/>
      <c r="JGG632" s="268"/>
      <c r="JGH632" s="268"/>
      <c r="JGI632" s="268"/>
      <c r="JGJ632" s="268"/>
      <c r="JGK632" s="268"/>
      <c r="JGL632" s="268"/>
      <c r="JGM632" s="268"/>
      <c r="JGN632" s="268"/>
      <c r="JGO632" s="268"/>
      <c r="JGP632" s="268"/>
      <c r="JGQ632" s="268"/>
      <c r="JGR632" s="268"/>
      <c r="JGS632" s="268"/>
      <c r="JGT632" s="268"/>
      <c r="JGU632" s="268"/>
      <c r="JGV632" s="268"/>
      <c r="JGW632" s="268"/>
      <c r="JGX632" s="268"/>
      <c r="JGY632" s="268"/>
      <c r="JGZ632" s="268"/>
      <c r="JHA632" s="268"/>
      <c r="JHB632" s="268"/>
      <c r="JHC632" s="268"/>
      <c r="JHD632" s="268"/>
      <c r="JHE632" s="268"/>
      <c r="JHF632" s="268"/>
      <c r="JHG632" s="268"/>
      <c r="JHH632" s="268"/>
      <c r="JHI632" s="268"/>
      <c r="JHJ632" s="268"/>
      <c r="JHK632" s="268"/>
      <c r="JHL632" s="268"/>
      <c r="JHM632" s="268"/>
      <c r="JHN632" s="268"/>
      <c r="JHO632" s="268"/>
      <c r="JHP632" s="268"/>
      <c r="JHQ632" s="268"/>
      <c r="JHR632" s="268"/>
      <c r="JHS632" s="268"/>
      <c r="JHT632" s="268"/>
      <c r="JHU632" s="268"/>
      <c r="JHV632" s="268"/>
      <c r="JHW632" s="268"/>
      <c r="JHX632" s="268"/>
      <c r="JHY632" s="268"/>
      <c r="JHZ632" s="268"/>
      <c r="JIA632" s="268"/>
      <c r="JIB632" s="268"/>
      <c r="JIC632" s="268"/>
      <c r="JID632" s="268"/>
      <c r="JIE632" s="268"/>
      <c r="JIF632" s="268"/>
      <c r="JIG632" s="268"/>
      <c r="JIH632" s="268"/>
      <c r="JII632" s="268"/>
      <c r="JIJ632" s="268"/>
      <c r="JIK632" s="268"/>
      <c r="JIL632" s="268"/>
      <c r="JIM632" s="268"/>
      <c r="JIN632" s="268"/>
      <c r="JIO632" s="268"/>
      <c r="JIP632" s="268"/>
      <c r="JIQ632" s="268"/>
      <c r="JIR632" s="268"/>
      <c r="JIS632" s="268"/>
      <c r="JIT632" s="268"/>
      <c r="JIU632" s="268"/>
      <c r="JIV632" s="268"/>
      <c r="JIW632" s="268"/>
      <c r="JIX632" s="268"/>
      <c r="JIY632" s="268"/>
      <c r="JIZ632" s="268"/>
      <c r="JJA632" s="268"/>
      <c r="JJB632" s="268"/>
      <c r="JJC632" s="268"/>
      <c r="JJD632" s="268"/>
      <c r="JJE632" s="268"/>
      <c r="JJF632" s="268"/>
      <c r="JJG632" s="268"/>
      <c r="JJH632" s="268"/>
      <c r="JJI632" s="268"/>
      <c r="JJJ632" s="268"/>
      <c r="JJK632" s="268"/>
      <c r="JJL632" s="268"/>
      <c r="JJM632" s="268"/>
      <c r="JJN632" s="268"/>
      <c r="JJO632" s="268"/>
      <c r="JJP632" s="268"/>
      <c r="JJQ632" s="268"/>
      <c r="JJR632" s="268"/>
      <c r="JJS632" s="268"/>
      <c r="JJT632" s="268"/>
      <c r="JJU632" s="268"/>
      <c r="JJV632" s="268"/>
      <c r="JJW632" s="268"/>
      <c r="JJX632" s="268"/>
      <c r="JJY632" s="268"/>
      <c r="JJZ632" s="268"/>
      <c r="JKA632" s="268"/>
      <c r="JKB632" s="268"/>
      <c r="JKC632" s="268"/>
      <c r="JKD632" s="268"/>
      <c r="JKE632" s="268"/>
      <c r="JKF632" s="268"/>
      <c r="JKG632" s="268"/>
      <c r="JKH632" s="268"/>
      <c r="JKI632" s="268"/>
      <c r="JKJ632" s="268"/>
      <c r="JKK632" s="268"/>
      <c r="JKL632" s="268"/>
      <c r="JKM632" s="268"/>
      <c r="JKN632" s="268"/>
      <c r="JKO632" s="268"/>
      <c r="JKP632" s="268"/>
      <c r="JKQ632" s="268"/>
      <c r="JKR632" s="268"/>
      <c r="JKS632" s="268"/>
      <c r="JKT632" s="268"/>
      <c r="JKU632" s="268"/>
      <c r="JKV632" s="268"/>
      <c r="JKW632" s="268"/>
      <c r="JKX632" s="268"/>
      <c r="JKY632" s="268"/>
      <c r="JKZ632" s="268"/>
      <c r="JLA632" s="268"/>
      <c r="JLB632" s="268"/>
      <c r="JLC632" s="268"/>
      <c r="JLD632" s="268"/>
      <c r="JLE632" s="268"/>
      <c r="JLF632" s="268"/>
      <c r="JLG632" s="268"/>
      <c r="JLH632" s="268"/>
      <c r="JLI632" s="268"/>
      <c r="JLJ632" s="268"/>
      <c r="JLK632" s="268"/>
      <c r="JLL632" s="268"/>
      <c r="JLM632" s="268"/>
      <c r="JLN632" s="268"/>
      <c r="JLO632" s="268"/>
      <c r="JLP632" s="268"/>
      <c r="JLQ632" s="268"/>
      <c r="JLR632" s="268"/>
      <c r="JLS632" s="268"/>
      <c r="JLT632" s="268"/>
      <c r="JLU632" s="268"/>
      <c r="JLV632" s="268"/>
      <c r="JLW632" s="268"/>
      <c r="JLX632" s="268"/>
      <c r="JLY632" s="268"/>
      <c r="JLZ632" s="268"/>
      <c r="JMA632" s="268"/>
      <c r="JMB632" s="268"/>
      <c r="JMC632" s="268"/>
      <c r="JMD632" s="268"/>
      <c r="JME632" s="268"/>
      <c r="JMF632" s="268"/>
      <c r="JMG632" s="268"/>
      <c r="JMH632" s="268"/>
      <c r="JMI632" s="268"/>
      <c r="JMJ632" s="268"/>
      <c r="JMK632" s="268"/>
      <c r="JML632" s="268"/>
      <c r="JMM632" s="268"/>
      <c r="JMN632" s="268"/>
      <c r="JMO632" s="268"/>
      <c r="JMP632" s="268"/>
      <c r="JMQ632" s="268"/>
      <c r="JMR632" s="268"/>
      <c r="JMS632" s="268"/>
      <c r="JMT632" s="268"/>
      <c r="JMU632" s="268"/>
      <c r="JMV632" s="268"/>
      <c r="JMW632" s="268"/>
      <c r="JMX632" s="268"/>
      <c r="JMY632" s="268"/>
      <c r="JMZ632" s="268"/>
      <c r="JNA632" s="268"/>
      <c r="JNB632" s="268"/>
      <c r="JNC632" s="268"/>
      <c r="JND632" s="268"/>
      <c r="JNE632" s="268"/>
      <c r="JNF632" s="268"/>
      <c r="JNG632" s="268"/>
      <c r="JNH632" s="268"/>
      <c r="JNI632" s="268"/>
      <c r="JNJ632" s="268"/>
      <c r="JNK632" s="268"/>
      <c r="JNL632" s="268"/>
      <c r="JNM632" s="268"/>
      <c r="JNN632" s="268"/>
      <c r="JNO632" s="268"/>
      <c r="JNP632" s="268"/>
      <c r="JNQ632" s="268"/>
      <c r="JNR632" s="268"/>
      <c r="JNS632" s="268"/>
      <c r="JNT632" s="268"/>
      <c r="JNU632" s="268"/>
      <c r="JNV632" s="268"/>
      <c r="JNW632" s="268"/>
      <c r="JNX632" s="268"/>
      <c r="JNY632" s="268"/>
      <c r="JNZ632" s="268"/>
      <c r="JOA632" s="268"/>
      <c r="JOB632" s="268"/>
      <c r="JOC632" s="268"/>
      <c r="JOD632" s="268"/>
      <c r="JOE632" s="268"/>
      <c r="JOF632" s="268"/>
      <c r="JOG632" s="268"/>
      <c r="JOH632" s="268"/>
      <c r="JOI632" s="268"/>
      <c r="JOW632" s="268"/>
      <c r="JOX632" s="268"/>
      <c r="JOY632" s="268"/>
      <c r="JPM632" s="268"/>
      <c r="JPO632" s="268"/>
      <c r="JPP632" s="268"/>
      <c r="JPQ632" s="268"/>
      <c r="JPR632" s="268"/>
      <c r="JPS632" s="268"/>
      <c r="JPT632" s="268"/>
      <c r="JPU632" s="268"/>
      <c r="JPV632" s="268"/>
      <c r="JPW632" s="268"/>
      <c r="JPX632" s="268"/>
      <c r="JPY632" s="268"/>
      <c r="JPZ632" s="268"/>
      <c r="JQA632" s="268"/>
      <c r="JQB632" s="268"/>
      <c r="JQC632" s="268"/>
      <c r="JQD632" s="268"/>
      <c r="JQE632" s="268"/>
      <c r="JQF632" s="268"/>
      <c r="JQG632" s="268"/>
      <c r="JQH632" s="268"/>
      <c r="JQI632" s="268"/>
      <c r="JQJ632" s="268"/>
      <c r="JQK632" s="268"/>
      <c r="JQL632" s="268"/>
      <c r="JQM632" s="268"/>
      <c r="JQN632" s="268"/>
      <c r="JQO632" s="268"/>
      <c r="JQP632" s="268"/>
      <c r="JQQ632" s="268"/>
      <c r="JQR632" s="268"/>
      <c r="JQS632" s="268"/>
      <c r="JQT632" s="268"/>
      <c r="JQU632" s="268"/>
      <c r="JQV632" s="268"/>
      <c r="JQW632" s="268"/>
      <c r="JQX632" s="268"/>
      <c r="JQY632" s="268"/>
      <c r="JQZ632" s="268"/>
      <c r="JRA632" s="268"/>
      <c r="JRB632" s="268"/>
      <c r="JRC632" s="268"/>
      <c r="JRD632" s="268"/>
      <c r="JRE632" s="268"/>
      <c r="JRF632" s="268"/>
      <c r="JRG632" s="268"/>
      <c r="JRH632" s="268"/>
      <c r="JRI632" s="268"/>
      <c r="JRJ632" s="268"/>
      <c r="JRK632" s="268"/>
      <c r="JRL632" s="268"/>
      <c r="JRM632" s="268"/>
      <c r="JRN632" s="268"/>
      <c r="JRO632" s="268"/>
      <c r="JRP632" s="268"/>
      <c r="JRQ632" s="268"/>
      <c r="JRR632" s="268"/>
      <c r="JRS632" s="268"/>
      <c r="JRT632" s="268"/>
      <c r="JRU632" s="268"/>
      <c r="JRV632" s="268"/>
      <c r="JRW632" s="268"/>
      <c r="JRX632" s="268"/>
      <c r="JRY632" s="268"/>
      <c r="JRZ632" s="268"/>
      <c r="JSA632" s="268"/>
      <c r="JSB632" s="268"/>
      <c r="JSC632" s="268"/>
      <c r="JSD632" s="268"/>
      <c r="JSE632" s="268"/>
      <c r="JSF632" s="268"/>
      <c r="JSG632" s="268"/>
      <c r="JSH632" s="268"/>
      <c r="JSI632" s="268"/>
      <c r="JSJ632" s="268"/>
      <c r="JSK632" s="268"/>
      <c r="JSL632" s="268"/>
      <c r="JSM632" s="268"/>
      <c r="JSN632" s="268"/>
      <c r="JSO632" s="268"/>
      <c r="JSP632" s="268"/>
      <c r="JSQ632" s="268"/>
      <c r="JSR632" s="268"/>
      <c r="JSS632" s="268"/>
      <c r="JST632" s="268"/>
      <c r="JSU632" s="268"/>
      <c r="JSV632" s="268"/>
      <c r="JSW632" s="268"/>
      <c r="JSX632" s="268"/>
      <c r="JSY632" s="268"/>
      <c r="JSZ632" s="268"/>
      <c r="JTA632" s="268"/>
      <c r="JTB632" s="268"/>
      <c r="JTC632" s="268"/>
      <c r="JTD632" s="268"/>
      <c r="JTE632" s="268"/>
      <c r="JTF632" s="268"/>
      <c r="JTG632" s="268"/>
      <c r="JTH632" s="268"/>
      <c r="JTI632" s="268"/>
      <c r="JTJ632" s="268"/>
      <c r="JTK632" s="268"/>
      <c r="JTL632" s="268"/>
      <c r="JTM632" s="268"/>
      <c r="JTN632" s="268"/>
      <c r="JTO632" s="268"/>
      <c r="JTP632" s="268"/>
      <c r="JTQ632" s="268"/>
      <c r="JTR632" s="268"/>
      <c r="JTS632" s="268"/>
      <c r="JTT632" s="268"/>
      <c r="JTU632" s="268"/>
      <c r="JTV632" s="268"/>
      <c r="JTW632" s="268"/>
      <c r="JTX632" s="268"/>
      <c r="JTY632" s="268"/>
      <c r="JTZ632" s="268"/>
      <c r="JUA632" s="268"/>
      <c r="JUB632" s="268"/>
      <c r="JUC632" s="268"/>
      <c r="JUD632" s="268"/>
      <c r="JUE632" s="268"/>
      <c r="JUF632" s="268"/>
      <c r="JUG632" s="268"/>
      <c r="JUH632" s="268"/>
      <c r="JUI632" s="268"/>
      <c r="JUJ632" s="268"/>
      <c r="JUK632" s="268"/>
      <c r="JUL632" s="268"/>
      <c r="JUM632" s="268"/>
      <c r="JUN632" s="268"/>
      <c r="JUO632" s="268"/>
      <c r="JUP632" s="268"/>
      <c r="JUQ632" s="268"/>
      <c r="JUR632" s="268"/>
      <c r="JUS632" s="268"/>
      <c r="JUT632" s="268"/>
      <c r="JUU632" s="268"/>
      <c r="JUV632" s="268"/>
      <c r="JUW632" s="268"/>
      <c r="JUX632" s="268"/>
      <c r="JUY632" s="268"/>
      <c r="JUZ632" s="268"/>
      <c r="JVA632" s="268"/>
      <c r="JVB632" s="268"/>
      <c r="JVC632" s="268"/>
      <c r="JVD632" s="268"/>
      <c r="JVE632" s="268"/>
      <c r="JVF632" s="268"/>
      <c r="JVG632" s="268"/>
      <c r="JVH632" s="268"/>
      <c r="JVI632" s="268"/>
      <c r="JVJ632" s="268"/>
      <c r="JVK632" s="268"/>
      <c r="JVL632" s="268"/>
      <c r="JVM632" s="268"/>
      <c r="JVN632" s="268"/>
      <c r="JVO632" s="268"/>
      <c r="JVP632" s="268"/>
      <c r="JVQ632" s="268"/>
      <c r="JVR632" s="268"/>
      <c r="JVS632" s="268"/>
      <c r="JVT632" s="268"/>
      <c r="JVU632" s="268"/>
      <c r="JVV632" s="268"/>
      <c r="JVW632" s="268"/>
      <c r="JVX632" s="268"/>
      <c r="JVY632" s="268"/>
      <c r="JVZ632" s="268"/>
      <c r="JWA632" s="268"/>
      <c r="JWB632" s="268"/>
      <c r="JWC632" s="268"/>
      <c r="JWD632" s="268"/>
      <c r="JWE632" s="268"/>
      <c r="JWF632" s="268"/>
      <c r="JWG632" s="268"/>
      <c r="JWH632" s="268"/>
      <c r="JWI632" s="268"/>
      <c r="JWJ632" s="268"/>
      <c r="JWK632" s="268"/>
      <c r="JWL632" s="268"/>
      <c r="JWM632" s="268"/>
      <c r="JWN632" s="268"/>
      <c r="JWO632" s="268"/>
      <c r="JWP632" s="268"/>
      <c r="JWQ632" s="268"/>
      <c r="JWR632" s="268"/>
      <c r="JWS632" s="268"/>
      <c r="JWT632" s="268"/>
      <c r="JWU632" s="268"/>
      <c r="JWV632" s="268"/>
      <c r="JWW632" s="268"/>
      <c r="JWX632" s="268"/>
      <c r="JWY632" s="268"/>
      <c r="JWZ632" s="268"/>
      <c r="JXA632" s="268"/>
      <c r="JXB632" s="268"/>
      <c r="JXC632" s="268"/>
      <c r="JXD632" s="268"/>
      <c r="JXE632" s="268"/>
      <c r="JXF632" s="268"/>
      <c r="JXG632" s="268"/>
      <c r="JXH632" s="268"/>
      <c r="JXI632" s="268"/>
      <c r="JXJ632" s="268"/>
      <c r="JXK632" s="268"/>
      <c r="JXL632" s="268"/>
      <c r="JXM632" s="268"/>
      <c r="JXN632" s="268"/>
      <c r="JXO632" s="268"/>
      <c r="JXP632" s="268"/>
      <c r="JXQ632" s="268"/>
      <c r="JXR632" s="268"/>
      <c r="JXS632" s="268"/>
      <c r="JXT632" s="268"/>
      <c r="JXU632" s="268"/>
      <c r="JXV632" s="268"/>
      <c r="JXW632" s="268"/>
      <c r="JXX632" s="268"/>
      <c r="JXY632" s="268"/>
      <c r="JXZ632" s="268"/>
      <c r="JYA632" s="268"/>
      <c r="JYB632" s="268"/>
      <c r="JYC632" s="268"/>
      <c r="JYD632" s="268"/>
      <c r="JYE632" s="268"/>
      <c r="JYS632" s="268"/>
      <c r="JYT632" s="268"/>
      <c r="JYU632" s="268"/>
      <c r="JZI632" s="268"/>
      <c r="JZK632" s="268"/>
      <c r="JZL632" s="268"/>
      <c r="JZM632" s="268"/>
      <c r="JZN632" s="268"/>
      <c r="JZO632" s="268"/>
      <c r="JZP632" s="268"/>
      <c r="JZQ632" s="268"/>
      <c r="JZR632" s="268"/>
      <c r="JZS632" s="268"/>
      <c r="JZT632" s="268"/>
      <c r="JZU632" s="268"/>
      <c r="JZV632" s="268"/>
      <c r="JZW632" s="268"/>
      <c r="JZX632" s="268"/>
      <c r="JZY632" s="268"/>
      <c r="JZZ632" s="268"/>
      <c r="KAA632" s="268"/>
      <c r="KAB632" s="268"/>
      <c r="KAC632" s="268"/>
      <c r="KAD632" s="268"/>
      <c r="KAE632" s="268"/>
      <c r="KAF632" s="268"/>
      <c r="KAG632" s="268"/>
      <c r="KAH632" s="268"/>
      <c r="KAI632" s="268"/>
      <c r="KAJ632" s="268"/>
      <c r="KAK632" s="268"/>
      <c r="KAL632" s="268"/>
      <c r="KAM632" s="268"/>
      <c r="KAN632" s="268"/>
      <c r="KAO632" s="268"/>
      <c r="KAP632" s="268"/>
      <c r="KAQ632" s="268"/>
      <c r="KAR632" s="268"/>
      <c r="KAS632" s="268"/>
      <c r="KAT632" s="268"/>
      <c r="KAU632" s="268"/>
      <c r="KAV632" s="268"/>
      <c r="KAW632" s="268"/>
      <c r="KAX632" s="268"/>
      <c r="KAY632" s="268"/>
      <c r="KAZ632" s="268"/>
      <c r="KBA632" s="268"/>
      <c r="KBB632" s="268"/>
      <c r="KBC632" s="268"/>
      <c r="KBD632" s="268"/>
      <c r="KBE632" s="268"/>
      <c r="KBF632" s="268"/>
      <c r="KBG632" s="268"/>
      <c r="KBH632" s="268"/>
      <c r="KBI632" s="268"/>
      <c r="KBJ632" s="268"/>
      <c r="KBK632" s="268"/>
      <c r="KBL632" s="268"/>
      <c r="KBM632" s="268"/>
      <c r="KBN632" s="268"/>
      <c r="KBO632" s="268"/>
      <c r="KBP632" s="268"/>
      <c r="KBQ632" s="268"/>
      <c r="KBR632" s="268"/>
      <c r="KBS632" s="268"/>
      <c r="KBT632" s="268"/>
      <c r="KBU632" s="268"/>
      <c r="KBV632" s="268"/>
      <c r="KBW632" s="268"/>
      <c r="KBX632" s="268"/>
      <c r="KBY632" s="268"/>
      <c r="KBZ632" s="268"/>
      <c r="KCA632" s="268"/>
      <c r="KCB632" s="268"/>
      <c r="KCC632" s="268"/>
      <c r="KCD632" s="268"/>
      <c r="KCE632" s="268"/>
      <c r="KCF632" s="268"/>
      <c r="KCG632" s="268"/>
      <c r="KCH632" s="268"/>
      <c r="KCI632" s="268"/>
      <c r="KCJ632" s="268"/>
      <c r="KCK632" s="268"/>
      <c r="KCL632" s="268"/>
      <c r="KCM632" s="268"/>
      <c r="KCN632" s="268"/>
      <c r="KCO632" s="268"/>
      <c r="KCP632" s="268"/>
      <c r="KCQ632" s="268"/>
      <c r="KCR632" s="268"/>
      <c r="KCS632" s="268"/>
      <c r="KCT632" s="268"/>
      <c r="KCU632" s="268"/>
      <c r="KCV632" s="268"/>
      <c r="KCW632" s="268"/>
      <c r="KCX632" s="268"/>
      <c r="KCY632" s="268"/>
      <c r="KCZ632" s="268"/>
      <c r="KDA632" s="268"/>
      <c r="KDB632" s="268"/>
      <c r="KDC632" s="268"/>
      <c r="KDD632" s="268"/>
      <c r="KDE632" s="268"/>
      <c r="KDF632" s="268"/>
      <c r="KDG632" s="268"/>
      <c r="KDH632" s="268"/>
      <c r="KDI632" s="268"/>
      <c r="KDJ632" s="268"/>
      <c r="KDK632" s="268"/>
      <c r="KDL632" s="268"/>
      <c r="KDM632" s="268"/>
      <c r="KDN632" s="268"/>
      <c r="KDO632" s="268"/>
      <c r="KDP632" s="268"/>
      <c r="KDQ632" s="268"/>
      <c r="KDR632" s="268"/>
      <c r="KDS632" s="268"/>
      <c r="KDT632" s="268"/>
      <c r="KDU632" s="268"/>
      <c r="KDV632" s="268"/>
      <c r="KDW632" s="268"/>
      <c r="KDX632" s="268"/>
      <c r="KDY632" s="268"/>
      <c r="KDZ632" s="268"/>
      <c r="KEA632" s="268"/>
      <c r="KEB632" s="268"/>
      <c r="KEC632" s="268"/>
      <c r="KED632" s="268"/>
      <c r="KEE632" s="268"/>
      <c r="KEF632" s="268"/>
      <c r="KEG632" s="268"/>
      <c r="KEH632" s="268"/>
      <c r="KEI632" s="268"/>
      <c r="KEJ632" s="268"/>
      <c r="KEK632" s="268"/>
      <c r="KEL632" s="268"/>
      <c r="KEM632" s="268"/>
      <c r="KEN632" s="268"/>
      <c r="KEO632" s="268"/>
      <c r="KEP632" s="268"/>
      <c r="KEQ632" s="268"/>
      <c r="KER632" s="268"/>
      <c r="KES632" s="268"/>
      <c r="KET632" s="268"/>
      <c r="KEU632" s="268"/>
      <c r="KEV632" s="268"/>
      <c r="KEW632" s="268"/>
      <c r="KEX632" s="268"/>
      <c r="KEY632" s="268"/>
      <c r="KEZ632" s="268"/>
      <c r="KFA632" s="268"/>
      <c r="KFB632" s="268"/>
      <c r="KFC632" s="268"/>
      <c r="KFD632" s="268"/>
      <c r="KFE632" s="268"/>
      <c r="KFF632" s="268"/>
      <c r="KFG632" s="268"/>
      <c r="KFH632" s="268"/>
      <c r="KFI632" s="268"/>
      <c r="KFJ632" s="268"/>
      <c r="KFK632" s="268"/>
      <c r="KFL632" s="268"/>
      <c r="KFM632" s="268"/>
      <c r="KFN632" s="268"/>
      <c r="KFO632" s="268"/>
      <c r="KFP632" s="268"/>
      <c r="KFQ632" s="268"/>
      <c r="KFR632" s="268"/>
      <c r="KFS632" s="268"/>
      <c r="KFT632" s="268"/>
      <c r="KFU632" s="268"/>
      <c r="KFV632" s="268"/>
      <c r="KFW632" s="268"/>
      <c r="KFX632" s="268"/>
      <c r="KFY632" s="268"/>
      <c r="KFZ632" s="268"/>
      <c r="KGA632" s="268"/>
      <c r="KGB632" s="268"/>
      <c r="KGC632" s="268"/>
      <c r="KGD632" s="268"/>
      <c r="KGE632" s="268"/>
      <c r="KGF632" s="268"/>
      <c r="KGG632" s="268"/>
      <c r="KGH632" s="268"/>
      <c r="KGI632" s="268"/>
      <c r="KGJ632" s="268"/>
      <c r="KGK632" s="268"/>
      <c r="KGL632" s="268"/>
      <c r="KGM632" s="268"/>
      <c r="KGN632" s="268"/>
      <c r="KGO632" s="268"/>
      <c r="KGP632" s="268"/>
      <c r="KGQ632" s="268"/>
      <c r="KGR632" s="268"/>
      <c r="KGS632" s="268"/>
      <c r="KGT632" s="268"/>
      <c r="KGU632" s="268"/>
      <c r="KGV632" s="268"/>
      <c r="KGW632" s="268"/>
      <c r="KGX632" s="268"/>
      <c r="KGY632" s="268"/>
      <c r="KGZ632" s="268"/>
      <c r="KHA632" s="268"/>
      <c r="KHB632" s="268"/>
      <c r="KHC632" s="268"/>
      <c r="KHD632" s="268"/>
      <c r="KHE632" s="268"/>
      <c r="KHF632" s="268"/>
      <c r="KHG632" s="268"/>
      <c r="KHH632" s="268"/>
      <c r="KHI632" s="268"/>
      <c r="KHJ632" s="268"/>
      <c r="KHK632" s="268"/>
      <c r="KHL632" s="268"/>
      <c r="KHM632" s="268"/>
      <c r="KHN632" s="268"/>
      <c r="KHO632" s="268"/>
      <c r="KHP632" s="268"/>
      <c r="KHQ632" s="268"/>
      <c r="KHR632" s="268"/>
      <c r="KHS632" s="268"/>
      <c r="KHT632" s="268"/>
      <c r="KHU632" s="268"/>
      <c r="KHV632" s="268"/>
      <c r="KHW632" s="268"/>
      <c r="KHX632" s="268"/>
      <c r="KHY632" s="268"/>
      <c r="KHZ632" s="268"/>
      <c r="KIA632" s="268"/>
      <c r="KIO632" s="268"/>
      <c r="KIP632" s="268"/>
      <c r="KIQ632" s="268"/>
      <c r="KJE632" s="268"/>
      <c r="KJG632" s="268"/>
      <c r="KJH632" s="268"/>
      <c r="KJI632" s="268"/>
      <c r="KJJ632" s="268"/>
      <c r="KJK632" s="268"/>
      <c r="KJL632" s="268"/>
      <c r="KJM632" s="268"/>
      <c r="KJN632" s="268"/>
      <c r="KJO632" s="268"/>
      <c r="KJP632" s="268"/>
      <c r="KJQ632" s="268"/>
      <c r="KJR632" s="268"/>
      <c r="KJS632" s="268"/>
      <c r="KJT632" s="268"/>
      <c r="KJU632" s="268"/>
      <c r="KJV632" s="268"/>
      <c r="KJW632" s="268"/>
      <c r="KJX632" s="268"/>
      <c r="KJY632" s="268"/>
      <c r="KJZ632" s="268"/>
      <c r="KKA632" s="268"/>
      <c r="KKB632" s="268"/>
      <c r="KKC632" s="268"/>
      <c r="KKD632" s="268"/>
      <c r="KKE632" s="268"/>
      <c r="KKF632" s="268"/>
      <c r="KKG632" s="268"/>
      <c r="KKH632" s="268"/>
      <c r="KKI632" s="268"/>
      <c r="KKJ632" s="268"/>
      <c r="KKK632" s="268"/>
      <c r="KKL632" s="268"/>
      <c r="KKM632" s="268"/>
      <c r="KKN632" s="268"/>
      <c r="KKO632" s="268"/>
      <c r="KKP632" s="268"/>
      <c r="KKQ632" s="268"/>
      <c r="KKR632" s="268"/>
      <c r="KKS632" s="268"/>
      <c r="KKT632" s="268"/>
      <c r="KKU632" s="268"/>
      <c r="KKV632" s="268"/>
      <c r="KKW632" s="268"/>
      <c r="KKX632" s="268"/>
      <c r="KKY632" s="268"/>
      <c r="KKZ632" s="268"/>
      <c r="KLA632" s="268"/>
      <c r="KLB632" s="268"/>
      <c r="KLC632" s="268"/>
      <c r="KLD632" s="268"/>
      <c r="KLE632" s="268"/>
      <c r="KLF632" s="268"/>
      <c r="KLG632" s="268"/>
      <c r="KLH632" s="268"/>
      <c r="KLI632" s="268"/>
      <c r="KLJ632" s="268"/>
      <c r="KLK632" s="268"/>
      <c r="KLL632" s="268"/>
      <c r="KLM632" s="268"/>
      <c r="KLN632" s="268"/>
      <c r="KLO632" s="268"/>
      <c r="KLP632" s="268"/>
      <c r="KLQ632" s="268"/>
      <c r="KLR632" s="268"/>
      <c r="KLS632" s="268"/>
      <c r="KLT632" s="268"/>
      <c r="KLU632" s="268"/>
      <c r="KLV632" s="268"/>
      <c r="KLW632" s="268"/>
      <c r="KLX632" s="268"/>
      <c r="KLY632" s="268"/>
      <c r="KLZ632" s="268"/>
      <c r="KMA632" s="268"/>
      <c r="KMB632" s="268"/>
      <c r="KMC632" s="268"/>
      <c r="KMD632" s="268"/>
      <c r="KME632" s="268"/>
      <c r="KMF632" s="268"/>
      <c r="KMG632" s="268"/>
      <c r="KMH632" s="268"/>
      <c r="KMI632" s="268"/>
      <c r="KMJ632" s="268"/>
      <c r="KMK632" s="268"/>
      <c r="KML632" s="268"/>
      <c r="KMM632" s="268"/>
      <c r="KMN632" s="268"/>
      <c r="KMO632" s="268"/>
      <c r="KMP632" s="268"/>
      <c r="KMQ632" s="268"/>
      <c r="KMR632" s="268"/>
      <c r="KMS632" s="268"/>
      <c r="KMT632" s="268"/>
      <c r="KMU632" s="268"/>
      <c r="KMV632" s="268"/>
      <c r="KMW632" s="268"/>
      <c r="KMX632" s="268"/>
      <c r="KMY632" s="268"/>
      <c r="KMZ632" s="268"/>
      <c r="KNA632" s="268"/>
      <c r="KNB632" s="268"/>
      <c r="KNC632" s="268"/>
      <c r="KND632" s="268"/>
      <c r="KNE632" s="268"/>
      <c r="KNF632" s="268"/>
      <c r="KNG632" s="268"/>
      <c r="KNH632" s="268"/>
      <c r="KNI632" s="268"/>
      <c r="KNJ632" s="268"/>
      <c r="KNK632" s="268"/>
      <c r="KNL632" s="268"/>
      <c r="KNM632" s="268"/>
      <c r="KNN632" s="268"/>
      <c r="KNO632" s="268"/>
      <c r="KNP632" s="268"/>
      <c r="KNQ632" s="268"/>
      <c r="KNR632" s="268"/>
      <c r="KNS632" s="268"/>
      <c r="KNT632" s="268"/>
      <c r="KNU632" s="268"/>
      <c r="KNV632" s="268"/>
      <c r="KNW632" s="268"/>
      <c r="KNX632" s="268"/>
      <c r="KNY632" s="268"/>
      <c r="KNZ632" s="268"/>
      <c r="KOA632" s="268"/>
      <c r="KOB632" s="268"/>
      <c r="KOC632" s="268"/>
      <c r="KOD632" s="268"/>
      <c r="KOE632" s="268"/>
      <c r="KOF632" s="268"/>
      <c r="KOG632" s="268"/>
      <c r="KOH632" s="268"/>
      <c r="KOI632" s="268"/>
      <c r="KOJ632" s="268"/>
      <c r="KOK632" s="268"/>
      <c r="KOL632" s="268"/>
      <c r="KOM632" s="268"/>
      <c r="KON632" s="268"/>
      <c r="KOO632" s="268"/>
      <c r="KOP632" s="268"/>
      <c r="KOQ632" s="268"/>
      <c r="KOR632" s="268"/>
      <c r="KOS632" s="268"/>
      <c r="KOT632" s="268"/>
      <c r="KOU632" s="268"/>
      <c r="KOV632" s="268"/>
      <c r="KOW632" s="268"/>
      <c r="KOX632" s="268"/>
      <c r="KOY632" s="268"/>
      <c r="KOZ632" s="268"/>
      <c r="KPA632" s="268"/>
      <c r="KPB632" s="268"/>
      <c r="KPC632" s="268"/>
      <c r="KPD632" s="268"/>
      <c r="KPE632" s="268"/>
      <c r="KPF632" s="268"/>
      <c r="KPG632" s="268"/>
      <c r="KPH632" s="268"/>
      <c r="KPI632" s="268"/>
      <c r="KPJ632" s="268"/>
      <c r="KPK632" s="268"/>
      <c r="KPL632" s="268"/>
      <c r="KPM632" s="268"/>
      <c r="KPN632" s="268"/>
      <c r="KPO632" s="268"/>
      <c r="KPP632" s="268"/>
      <c r="KPQ632" s="268"/>
      <c r="KPR632" s="268"/>
      <c r="KPS632" s="268"/>
      <c r="KPT632" s="268"/>
      <c r="KPU632" s="268"/>
      <c r="KPV632" s="268"/>
      <c r="KPW632" s="268"/>
      <c r="KPX632" s="268"/>
      <c r="KPY632" s="268"/>
      <c r="KPZ632" s="268"/>
      <c r="KQA632" s="268"/>
      <c r="KQB632" s="268"/>
      <c r="KQC632" s="268"/>
      <c r="KQD632" s="268"/>
      <c r="KQE632" s="268"/>
      <c r="KQF632" s="268"/>
      <c r="KQG632" s="268"/>
      <c r="KQH632" s="268"/>
      <c r="KQI632" s="268"/>
      <c r="KQJ632" s="268"/>
      <c r="KQK632" s="268"/>
      <c r="KQL632" s="268"/>
      <c r="KQM632" s="268"/>
      <c r="KQN632" s="268"/>
      <c r="KQO632" s="268"/>
      <c r="KQP632" s="268"/>
      <c r="KQQ632" s="268"/>
      <c r="KQR632" s="268"/>
      <c r="KQS632" s="268"/>
      <c r="KQT632" s="268"/>
      <c r="KQU632" s="268"/>
      <c r="KQV632" s="268"/>
      <c r="KQW632" s="268"/>
      <c r="KQX632" s="268"/>
      <c r="KQY632" s="268"/>
      <c r="KQZ632" s="268"/>
      <c r="KRA632" s="268"/>
      <c r="KRB632" s="268"/>
      <c r="KRC632" s="268"/>
      <c r="KRD632" s="268"/>
      <c r="KRE632" s="268"/>
      <c r="KRF632" s="268"/>
      <c r="KRG632" s="268"/>
      <c r="KRH632" s="268"/>
      <c r="KRI632" s="268"/>
      <c r="KRJ632" s="268"/>
      <c r="KRK632" s="268"/>
      <c r="KRL632" s="268"/>
      <c r="KRM632" s="268"/>
      <c r="KRN632" s="268"/>
      <c r="KRO632" s="268"/>
      <c r="KRP632" s="268"/>
      <c r="KRQ632" s="268"/>
      <c r="KRR632" s="268"/>
      <c r="KRS632" s="268"/>
      <c r="KRT632" s="268"/>
      <c r="KRU632" s="268"/>
      <c r="KRV632" s="268"/>
      <c r="KRW632" s="268"/>
      <c r="KSK632" s="268"/>
      <c r="KSL632" s="268"/>
      <c r="KSM632" s="268"/>
      <c r="KTA632" s="268"/>
      <c r="KTC632" s="268"/>
      <c r="KTD632" s="268"/>
      <c r="KTE632" s="268"/>
      <c r="KTF632" s="268"/>
      <c r="KTG632" s="268"/>
      <c r="KTH632" s="268"/>
      <c r="KTI632" s="268"/>
      <c r="KTJ632" s="268"/>
      <c r="KTK632" s="268"/>
      <c r="KTL632" s="268"/>
      <c r="KTM632" s="268"/>
      <c r="KTN632" s="268"/>
      <c r="KTO632" s="268"/>
      <c r="KTP632" s="268"/>
      <c r="KTQ632" s="268"/>
      <c r="KTR632" s="268"/>
      <c r="KTS632" s="268"/>
      <c r="KTT632" s="268"/>
      <c r="KTU632" s="268"/>
      <c r="KTV632" s="268"/>
      <c r="KTW632" s="268"/>
      <c r="KTX632" s="268"/>
      <c r="KTY632" s="268"/>
      <c r="KTZ632" s="268"/>
      <c r="KUA632" s="268"/>
      <c r="KUB632" s="268"/>
      <c r="KUC632" s="268"/>
      <c r="KUD632" s="268"/>
      <c r="KUE632" s="268"/>
      <c r="KUF632" s="268"/>
      <c r="KUG632" s="268"/>
      <c r="KUH632" s="268"/>
      <c r="KUI632" s="268"/>
      <c r="KUJ632" s="268"/>
      <c r="KUK632" s="268"/>
      <c r="KUL632" s="268"/>
      <c r="KUM632" s="268"/>
      <c r="KUN632" s="268"/>
      <c r="KUO632" s="268"/>
      <c r="KUP632" s="268"/>
      <c r="KUQ632" s="268"/>
      <c r="KUR632" s="268"/>
      <c r="KUS632" s="268"/>
      <c r="KUT632" s="268"/>
      <c r="KUU632" s="268"/>
      <c r="KUV632" s="268"/>
      <c r="KUW632" s="268"/>
      <c r="KUX632" s="268"/>
      <c r="KUY632" s="268"/>
      <c r="KUZ632" s="268"/>
      <c r="KVA632" s="268"/>
      <c r="KVB632" s="268"/>
      <c r="KVC632" s="268"/>
      <c r="KVD632" s="268"/>
      <c r="KVE632" s="268"/>
      <c r="KVF632" s="268"/>
      <c r="KVG632" s="268"/>
      <c r="KVH632" s="268"/>
      <c r="KVI632" s="268"/>
      <c r="KVJ632" s="268"/>
      <c r="KVK632" s="268"/>
      <c r="KVL632" s="268"/>
      <c r="KVM632" s="268"/>
      <c r="KVN632" s="268"/>
      <c r="KVO632" s="268"/>
      <c r="KVP632" s="268"/>
      <c r="KVQ632" s="268"/>
      <c r="KVR632" s="268"/>
      <c r="KVS632" s="268"/>
      <c r="KVT632" s="268"/>
      <c r="KVU632" s="268"/>
      <c r="KVV632" s="268"/>
      <c r="KVW632" s="268"/>
      <c r="KVX632" s="268"/>
      <c r="KVY632" s="268"/>
      <c r="KVZ632" s="268"/>
      <c r="KWA632" s="268"/>
      <c r="KWB632" s="268"/>
      <c r="KWC632" s="268"/>
      <c r="KWD632" s="268"/>
      <c r="KWE632" s="268"/>
      <c r="KWF632" s="268"/>
      <c r="KWG632" s="268"/>
      <c r="KWH632" s="268"/>
      <c r="KWI632" s="268"/>
      <c r="KWJ632" s="268"/>
      <c r="KWK632" s="268"/>
      <c r="KWL632" s="268"/>
      <c r="KWM632" s="268"/>
      <c r="KWN632" s="268"/>
      <c r="KWO632" s="268"/>
      <c r="KWP632" s="268"/>
      <c r="KWQ632" s="268"/>
      <c r="KWR632" s="268"/>
      <c r="KWS632" s="268"/>
      <c r="KWT632" s="268"/>
      <c r="KWU632" s="268"/>
      <c r="KWV632" s="268"/>
      <c r="KWW632" s="268"/>
      <c r="KWX632" s="268"/>
      <c r="KWY632" s="268"/>
      <c r="KWZ632" s="268"/>
      <c r="KXA632" s="268"/>
      <c r="KXB632" s="268"/>
      <c r="KXC632" s="268"/>
      <c r="KXD632" s="268"/>
      <c r="KXE632" s="268"/>
      <c r="KXF632" s="268"/>
      <c r="KXG632" s="268"/>
      <c r="KXH632" s="268"/>
      <c r="KXI632" s="268"/>
      <c r="KXJ632" s="268"/>
      <c r="KXK632" s="268"/>
      <c r="KXL632" s="268"/>
      <c r="KXM632" s="268"/>
      <c r="KXN632" s="268"/>
      <c r="KXO632" s="268"/>
      <c r="KXP632" s="268"/>
      <c r="KXQ632" s="268"/>
      <c r="KXR632" s="268"/>
      <c r="KXS632" s="268"/>
      <c r="KXT632" s="268"/>
      <c r="KXU632" s="268"/>
      <c r="KXV632" s="268"/>
      <c r="KXW632" s="268"/>
      <c r="KXX632" s="268"/>
      <c r="KXY632" s="268"/>
      <c r="KXZ632" s="268"/>
      <c r="KYA632" s="268"/>
      <c r="KYB632" s="268"/>
      <c r="KYC632" s="268"/>
      <c r="KYD632" s="268"/>
      <c r="KYE632" s="268"/>
      <c r="KYF632" s="268"/>
      <c r="KYG632" s="268"/>
      <c r="KYH632" s="268"/>
      <c r="KYI632" s="268"/>
      <c r="KYJ632" s="268"/>
      <c r="KYK632" s="268"/>
      <c r="KYL632" s="268"/>
      <c r="KYM632" s="268"/>
      <c r="KYN632" s="268"/>
      <c r="KYO632" s="268"/>
      <c r="KYP632" s="268"/>
      <c r="KYQ632" s="268"/>
      <c r="KYR632" s="268"/>
      <c r="KYS632" s="268"/>
      <c r="KYT632" s="268"/>
      <c r="KYU632" s="268"/>
      <c r="KYV632" s="268"/>
      <c r="KYW632" s="268"/>
      <c r="KYX632" s="268"/>
      <c r="KYY632" s="268"/>
      <c r="KYZ632" s="268"/>
      <c r="KZA632" s="268"/>
      <c r="KZB632" s="268"/>
      <c r="KZC632" s="268"/>
      <c r="KZD632" s="268"/>
      <c r="KZE632" s="268"/>
      <c r="KZF632" s="268"/>
      <c r="KZG632" s="268"/>
      <c r="KZH632" s="268"/>
      <c r="KZI632" s="268"/>
      <c r="KZJ632" s="268"/>
      <c r="KZK632" s="268"/>
      <c r="KZL632" s="268"/>
      <c r="KZM632" s="268"/>
      <c r="KZN632" s="268"/>
      <c r="KZO632" s="268"/>
      <c r="KZP632" s="268"/>
      <c r="KZQ632" s="268"/>
      <c r="KZR632" s="268"/>
      <c r="KZS632" s="268"/>
      <c r="KZT632" s="268"/>
      <c r="KZU632" s="268"/>
      <c r="KZV632" s="268"/>
      <c r="KZW632" s="268"/>
      <c r="KZX632" s="268"/>
      <c r="KZY632" s="268"/>
      <c r="KZZ632" s="268"/>
      <c r="LAA632" s="268"/>
      <c r="LAB632" s="268"/>
      <c r="LAC632" s="268"/>
      <c r="LAD632" s="268"/>
      <c r="LAE632" s="268"/>
      <c r="LAF632" s="268"/>
      <c r="LAG632" s="268"/>
      <c r="LAH632" s="268"/>
      <c r="LAI632" s="268"/>
      <c r="LAJ632" s="268"/>
      <c r="LAK632" s="268"/>
      <c r="LAL632" s="268"/>
      <c r="LAM632" s="268"/>
      <c r="LAN632" s="268"/>
      <c r="LAO632" s="268"/>
      <c r="LAP632" s="268"/>
      <c r="LAQ632" s="268"/>
      <c r="LAR632" s="268"/>
      <c r="LAS632" s="268"/>
      <c r="LAT632" s="268"/>
      <c r="LAU632" s="268"/>
      <c r="LAV632" s="268"/>
      <c r="LAW632" s="268"/>
      <c r="LAX632" s="268"/>
      <c r="LAY632" s="268"/>
      <c r="LAZ632" s="268"/>
      <c r="LBA632" s="268"/>
      <c r="LBB632" s="268"/>
      <c r="LBC632" s="268"/>
      <c r="LBD632" s="268"/>
      <c r="LBE632" s="268"/>
      <c r="LBF632" s="268"/>
      <c r="LBG632" s="268"/>
      <c r="LBH632" s="268"/>
      <c r="LBI632" s="268"/>
      <c r="LBJ632" s="268"/>
      <c r="LBK632" s="268"/>
      <c r="LBL632" s="268"/>
      <c r="LBM632" s="268"/>
      <c r="LBN632" s="268"/>
      <c r="LBO632" s="268"/>
      <c r="LBP632" s="268"/>
      <c r="LBQ632" s="268"/>
      <c r="LBR632" s="268"/>
      <c r="LBS632" s="268"/>
      <c r="LCG632" s="268"/>
      <c r="LCH632" s="268"/>
      <c r="LCI632" s="268"/>
      <c r="LCW632" s="268"/>
      <c r="LCY632" s="268"/>
      <c r="LCZ632" s="268"/>
      <c r="LDA632" s="268"/>
      <c r="LDB632" s="268"/>
      <c r="LDC632" s="268"/>
      <c r="LDD632" s="268"/>
      <c r="LDE632" s="268"/>
      <c r="LDF632" s="268"/>
      <c r="LDG632" s="268"/>
      <c r="LDH632" s="268"/>
      <c r="LDI632" s="268"/>
      <c r="LDJ632" s="268"/>
      <c r="LDK632" s="268"/>
      <c r="LDL632" s="268"/>
      <c r="LDM632" s="268"/>
      <c r="LDN632" s="268"/>
      <c r="LDO632" s="268"/>
      <c r="LDP632" s="268"/>
      <c r="LDQ632" s="268"/>
      <c r="LDR632" s="268"/>
      <c r="LDS632" s="268"/>
      <c r="LDT632" s="268"/>
      <c r="LDU632" s="268"/>
      <c r="LDV632" s="268"/>
      <c r="LDW632" s="268"/>
      <c r="LDX632" s="268"/>
      <c r="LDY632" s="268"/>
      <c r="LDZ632" s="268"/>
      <c r="LEA632" s="268"/>
      <c r="LEB632" s="268"/>
      <c r="LEC632" s="268"/>
      <c r="LED632" s="268"/>
      <c r="LEE632" s="268"/>
      <c r="LEF632" s="268"/>
      <c r="LEG632" s="268"/>
      <c r="LEH632" s="268"/>
      <c r="LEI632" s="268"/>
      <c r="LEJ632" s="268"/>
      <c r="LEK632" s="268"/>
      <c r="LEL632" s="268"/>
      <c r="LEM632" s="268"/>
      <c r="LEN632" s="268"/>
      <c r="LEO632" s="268"/>
      <c r="LEP632" s="268"/>
      <c r="LEQ632" s="268"/>
      <c r="LER632" s="268"/>
      <c r="LES632" s="268"/>
      <c r="LET632" s="268"/>
      <c r="LEU632" s="268"/>
      <c r="LEV632" s="268"/>
      <c r="LEW632" s="268"/>
      <c r="LEX632" s="268"/>
      <c r="LEY632" s="268"/>
      <c r="LEZ632" s="268"/>
      <c r="LFA632" s="268"/>
      <c r="LFB632" s="268"/>
      <c r="LFC632" s="268"/>
      <c r="LFD632" s="268"/>
      <c r="LFE632" s="268"/>
      <c r="LFF632" s="268"/>
      <c r="LFG632" s="268"/>
      <c r="LFH632" s="268"/>
      <c r="LFI632" s="268"/>
      <c r="LFJ632" s="268"/>
      <c r="LFK632" s="268"/>
      <c r="LFL632" s="268"/>
      <c r="LFM632" s="268"/>
      <c r="LFN632" s="268"/>
      <c r="LFO632" s="268"/>
      <c r="LFP632" s="268"/>
      <c r="LFQ632" s="268"/>
      <c r="LFR632" s="268"/>
      <c r="LFS632" s="268"/>
      <c r="LFT632" s="268"/>
      <c r="LFU632" s="268"/>
      <c r="LFV632" s="268"/>
      <c r="LFW632" s="268"/>
      <c r="LFX632" s="268"/>
      <c r="LFY632" s="268"/>
      <c r="LFZ632" s="268"/>
      <c r="LGA632" s="268"/>
      <c r="LGB632" s="268"/>
      <c r="LGC632" s="268"/>
      <c r="LGD632" s="268"/>
      <c r="LGE632" s="268"/>
      <c r="LGF632" s="268"/>
      <c r="LGG632" s="268"/>
      <c r="LGH632" s="268"/>
      <c r="LGI632" s="268"/>
      <c r="LGJ632" s="268"/>
      <c r="LGK632" s="268"/>
      <c r="LGL632" s="268"/>
      <c r="LGM632" s="268"/>
      <c r="LGN632" s="268"/>
      <c r="LGO632" s="268"/>
      <c r="LGP632" s="268"/>
      <c r="LGQ632" s="268"/>
      <c r="LGR632" s="268"/>
      <c r="LGS632" s="268"/>
      <c r="LGT632" s="268"/>
      <c r="LGU632" s="268"/>
      <c r="LGV632" s="268"/>
      <c r="LGW632" s="268"/>
      <c r="LGX632" s="268"/>
      <c r="LGY632" s="268"/>
      <c r="LGZ632" s="268"/>
      <c r="LHA632" s="268"/>
      <c r="LHB632" s="268"/>
      <c r="LHC632" s="268"/>
      <c r="LHD632" s="268"/>
      <c r="LHE632" s="268"/>
      <c r="LHF632" s="268"/>
      <c r="LHG632" s="268"/>
      <c r="LHH632" s="268"/>
      <c r="LHI632" s="268"/>
      <c r="LHJ632" s="268"/>
      <c r="LHK632" s="268"/>
      <c r="LHL632" s="268"/>
      <c r="LHM632" s="268"/>
      <c r="LHN632" s="268"/>
      <c r="LHO632" s="268"/>
      <c r="LHP632" s="268"/>
      <c r="LHQ632" s="268"/>
      <c r="LHR632" s="268"/>
      <c r="LHS632" s="268"/>
      <c r="LHT632" s="268"/>
      <c r="LHU632" s="268"/>
      <c r="LHV632" s="268"/>
      <c r="LHW632" s="268"/>
      <c r="LHX632" s="268"/>
      <c r="LHY632" s="268"/>
      <c r="LHZ632" s="268"/>
      <c r="LIA632" s="268"/>
      <c r="LIB632" s="268"/>
      <c r="LIC632" s="268"/>
      <c r="LID632" s="268"/>
      <c r="LIE632" s="268"/>
      <c r="LIF632" s="268"/>
      <c r="LIG632" s="268"/>
      <c r="LIH632" s="268"/>
      <c r="LII632" s="268"/>
      <c r="LIJ632" s="268"/>
      <c r="LIK632" s="268"/>
      <c r="LIL632" s="268"/>
      <c r="LIM632" s="268"/>
      <c r="LIN632" s="268"/>
      <c r="LIO632" s="268"/>
      <c r="LIP632" s="268"/>
      <c r="LIQ632" s="268"/>
      <c r="LIR632" s="268"/>
      <c r="LIS632" s="268"/>
      <c r="LIT632" s="268"/>
      <c r="LIU632" s="268"/>
      <c r="LIV632" s="268"/>
      <c r="LIW632" s="268"/>
      <c r="LIX632" s="268"/>
      <c r="LIY632" s="268"/>
      <c r="LIZ632" s="268"/>
      <c r="LJA632" s="268"/>
      <c r="LJB632" s="268"/>
      <c r="LJC632" s="268"/>
      <c r="LJD632" s="268"/>
      <c r="LJE632" s="268"/>
      <c r="LJF632" s="268"/>
      <c r="LJG632" s="268"/>
      <c r="LJH632" s="268"/>
      <c r="LJI632" s="268"/>
      <c r="LJJ632" s="268"/>
      <c r="LJK632" s="268"/>
      <c r="LJL632" s="268"/>
      <c r="LJM632" s="268"/>
      <c r="LJN632" s="268"/>
      <c r="LJO632" s="268"/>
      <c r="LJP632" s="268"/>
      <c r="LJQ632" s="268"/>
      <c r="LJR632" s="268"/>
      <c r="LJS632" s="268"/>
      <c r="LJT632" s="268"/>
      <c r="LJU632" s="268"/>
      <c r="LJV632" s="268"/>
      <c r="LJW632" s="268"/>
      <c r="LJX632" s="268"/>
      <c r="LJY632" s="268"/>
      <c r="LJZ632" s="268"/>
      <c r="LKA632" s="268"/>
      <c r="LKB632" s="268"/>
      <c r="LKC632" s="268"/>
      <c r="LKD632" s="268"/>
      <c r="LKE632" s="268"/>
      <c r="LKF632" s="268"/>
      <c r="LKG632" s="268"/>
      <c r="LKH632" s="268"/>
      <c r="LKI632" s="268"/>
      <c r="LKJ632" s="268"/>
      <c r="LKK632" s="268"/>
      <c r="LKL632" s="268"/>
      <c r="LKM632" s="268"/>
      <c r="LKN632" s="268"/>
      <c r="LKO632" s="268"/>
      <c r="LKP632" s="268"/>
      <c r="LKQ632" s="268"/>
      <c r="LKR632" s="268"/>
      <c r="LKS632" s="268"/>
      <c r="LKT632" s="268"/>
      <c r="LKU632" s="268"/>
      <c r="LKV632" s="268"/>
      <c r="LKW632" s="268"/>
      <c r="LKX632" s="268"/>
      <c r="LKY632" s="268"/>
      <c r="LKZ632" s="268"/>
      <c r="LLA632" s="268"/>
      <c r="LLB632" s="268"/>
      <c r="LLC632" s="268"/>
      <c r="LLD632" s="268"/>
      <c r="LLE632" s="268"/>
      <c r="LLF632" s="268"/>
      <c r="LLG632" s="268"/>
      <c r="LLH632" s="268"/>
      <c r="LLI632" s="268"/>
      <c r="LLJ632" s="268"/>
      <c r="LLK632" s="268"/>
      <c r="LLL632" s="268"/>
      <c r="LLM632" s="268"/>
      <c r="LLN632" s="268"/>
      <c r="LLO632" s="268"/>
      <c r="LMC632" s="268"/>
      <c r="LMD632" s="268"/>
      <c r="LME632" s="268"/>
      <c r="LMS632" s="268"/>
      <c r="LMU632" s="268"/>
      <c r="LMV632" s="268"/>
      <c r="LMW632" s="268"/>
      <c r="LMX632" s="268"/>
      <c r="LMY632" s="268"/>
      <c r="LMZ632" s="268"/>
      <c r="LNA632" s="268"/>
      <c r="LNB632" s="268"/>
      <c r="LNC632" s="268"/>
      <c r="LND632" s="268"/>
      <c r="LNE632" s="268"/>
      <c r="LNF632" s="268"/>
      <c r="LNG632" s="268"/>
      <c r="LNH632" s="268"/>
      <c r="LNI632" s="268"/>
      <c r="LNJ632" s="268"/>
      <c r="LNK632" s="268"/>
      <c r="LNL632" s="268"/>
      <c r="LNM632" s="268"/>
      <c r="LNN632" s="268"/>
      <c r="LNO632" s="268"/>
      <c r="LNP632" s="268"/>
      <c r="LNQ632" s="268"/>
      <c r="LNR632" s="268"/>
      <c r="LNS632" s="268"/>
      <c r="LNT632" s="268"/>
      <c r="LNU632" s="268"/>
      <c r="LNV632" s="268"/>
      <c r="LNW632" s="268"/>
      <c r="LNX632" s="268"/>
      <c r="LNY632" s="268"/>
      <c r="LNZ632" s="268"/>
      <c r="LOA632" s="268"/>
      <c r="LOB632" s="268"/>
      <c r="LOC632" s="268"/>
      <c r="LOD632" s="268"/>
      <c r="LOE632" s="268"/>
      <c r="LOF632" s="268"/>
      <c r="LOG632" s="268"/>
      <c r="LOH632" s="268"/>
      <c r="LOI632" s="268"/>
      <c r="LOJ632" s="268"/>
      <c r="LOK632" s="268"/>
      <c r="LOL632" s="268"/>
      <c r="LOM632" s="268"/>
      <c r="LON632" s="268"/>
      <c r="LOO632" s="268"/>
      <c r="LOP632" s="268"/>
      <c r="LOQ632" s="268"/>
      <c r="LOR632" s="268"/>
      <c r="LOS632" s="268"/>
      <c r="LOT632" s="268"/>
      <c r="LOU632" s="268"/>
      <c r="LOV632" s="268"/>
      <c r="LOW632" s="268"/>
      <c r="LOX632" s="268"/>
      <c r="LOY632" s="268"/>
      <c r="LOZ632" s="268"/>
      <c r="LPA632" s="268"/>
      <c r="LPB632" s="268"/>
      <c r="LPC632" s="268"/>
      <c r="LPD632" s="268"/>
      <c r="LPE632" s="268"/>
      <c r="LPF632" s="268"/>
      <c r="LPG632" s="268"/>
      <c r="LPH632" s="268"/>
      <c r="LPI632" s="268"/>
      <c r="LPJ632" s="268"/>
      <c r="LPK632" s="268"/>
      <c r="LPL632" s="268"/>
      <c r="LPM632" s="268"/>
      <c r="LPN632" s="268"/>
      <c r="LPO632" s="268"/>
      <c r="LPP632" s="268"/>
      <c r="LPQ632" s="268"/>
      <c r="LPR632" s="268"/>
      <c r="LPS632" s="268"/>
      <c r="LPT632" s="268"/>
      <c r="LPU632" s="268"/>
      <c r="LPV632" s="268"/>
      <c r="LPW632" s="268"/>
      <c r="LPX632" s="268"/>
      <c r="LPY632" s="268"/>
      <c r="LPZ632" s="268"/>
      <c r="LQA632" s="268"/>
      <c r="LQB632" s="268"/>
      <c r="LQC632" s="268"/>
      <c r="LQD632" s="268"/>
      <c r="LQE632" s="268"/>
      <c r="LQF632" s="268"/>
      <c r="LQG632" s="268"/>
      <c r="LQH632" s="268"/>
      <c r="LQI632" s="268"/>
      <c r="LQJ632" s="268"/>
      <c r="LQK632" s="268"/>
      <c r="LQL632" s="268"/>
      <c r="LQM632" s="268"/>
      <c r="LQN632" s="268"/>
      <c r="LQO632" s="268"/>
      <c r="LQP632" s="268"/>
      <c r="LQQ632" s="268"/>
      <c r="LQR632" s="268"/>
      <c r="LQS632" s="268"/>
      <c r="LQT632" s="268"/>
      <c r="LQU632" s="268"/>
      <c r="LQV632" s="268"/>
      <c r="LQW632" s="268"/>
      <c r="LQX632" s="268"/>
      <c r="LQY632" s="268"/>
      <c r="LQZ632" s="268"/>
      <c r="LRA632" s="268"/>
      <c r="LRB632" s="268"/>
      <c r="LRC632" s="268"/>
      <c r="LRD632" s="268"/>
      <c r="LRE632" s="268"/>
      <c r="LRF632" s="268"/>
      <c r="LRG632" s="268"/>
      <c r="LRH632" s="268"/>
      <c r="LRI632" s="268"/>
      <c r="LRJ632" s="268"/>
      <c r="LRK632" s="268"/>
      <c r="LRL632" s="268"/>
      <c r="LRM632" s="268"/>
      <c r="LRN632" s="268"/>
      <c r="LRO632" s="268"/>
      <c r="LRP632" s="268"/>
      <c r="LRQ632" s="268"/>
      <c r="LRR632" s="268"/>
      <c r="LRS632" s="268"/>
      <c r="LRT632" s="268"/>
      <c r="LRU632" s="268"/>
      <c r="LRV632" s="268"/>
      <c r="LRW632" s="268"/>
      <c r="LRX632" s="268"/>
      <c r="LRY632" s="268"/>
      <c r="LRZ632" s="268"/>
      <c r="LSA632" s="268"/>
      <c r="LSB632" s="268"/>
      <c r="LSC632" s="268"/>
      <c r="LSD632" s="268"/>
      <c r="LSE632" s="268"/>
      <c r="LSF632" s="268"/>
      <c r="LSG632" s="268"/>
      <c r="LSH632" s="268"/>
      <c r="LSI632" s="268"/>
      <c r="LSJ632" s="268"/>
      <c r="LSK632" s="268"/>
      <c r="LSL632" s="268"/>
      <c r="LSM632" s="268"/>
      <c r="LSN632" s="268"/>
      <c r="LSO632" s="268"/>
      <c r="LSP632" s="268"/>
      <c r="LSQ632" s="268"/>
      <c r="LSR632" s="268"/>
      <c r="LSS632" s="268"/>
      <c r="LST632" s="268"/>
      <c r="LSU632" s="268"/>
      <c r="LSV632" s="268"/>
      <c r="LSW632" s="268"/>
      <c r="LSX632" s="268"/>
      <c r="LSY632" s="268"/>
      <c r="LSZ632" s="268"/>
      <c r="LTA632" s="268"/>
      <c r="LTB632" s="268"/>
      <c r="LTC632" s="268"/>
      <c r="LTD632" s="268"/>
      <c r="LTE632" s="268"/>
      <c r="LTF632" s="268"/>
      <c r="LTG632" s="268"/>
      <c r="LTH632" s="268"/>
      <c r="LTI632" s="268"/>
      <c r="LTJ632" s="268"/>
      <c r="LTK632" s="268"/>
      <c r="LTL632" s="268"/>
      <c r="LTM632" s="268"/>
      <c r="LTN632" s="268"/>
      <c r="LTO632" s="268"/>
      <c r="LTP632" s="268"/>
      <c r="LTQ632" s="268"/>
      <c r="LTR632" s="268"/>
      <c r="LTS632" s="268"/>
      <c r="LTT632" s="268"/>
      <c r="LTU632" s="268"/>
      <c r="LTV632" s="268"/>
      <c r="LTW632" s="268"/>
      <c r="LTX632" s="268"/>
      <c r="LTY632" s="268"/>
      <c r="LTZ632" s="268"/>
      <c r="LUA632" s="268"/>
      <c r="LUB632" s="268"/>
      <c r="LUC632" s="268"/>
      <c r="LUD632" s="268"/>
      <c r="LUE632" s="268"/>
      <c r="LUF632" s="268"/>
      <c r="LUG632" s="268"/>
      <c r="LUH632" s="268"/>
      <c r="LUI632" s="268"/>
      <c r="LUJ632" s="268"/>
      <c r="LUK632" s="268"/>
      <c r="LUL632" s="268"/>
      <c r="LUM632" s="268"/>
      <c r="LUN632" s="268"/>
      <c r="LUO632" s="268"/>
      <c r="LUP632" s="268"/>
      <c r="LUQ632" s="268"/>
      <c r="LUR632" s="268"/>
      <c r="LUS632" s="268"/>
      <c r="LUT632" s="268"/>
      <c r="LUU632" s="268"/>
      <c r="LUV632" s="268"/>
      <c r="LUW632" s="268"/>
      <c r="LUX632" s="268"/>
      <c r="LUY632" s="268"/>
      <c r="LUZ632" s="268"/>
      <c r="LVA632" s="268"/>
      <c r="LVB632" s="268"/>
      <c r="LVC632" s="268"/>
      <c r="LVD632" s="268"/>
      <c r="LVE632" s="268"/>
      <c r="LVF632" s="268"/>
      <c r="LVG632" s="268"/>
      <c r="LVH632" s="268"/>
      <c r="LVI632" s="268"/>
      <c r="LVJ632" s="268"/>
      <c r="LVK632" s="268"/>
      <c r="LVY632" s="268"/>
      <c r="LVZ632" s="268"/>
      <c r="LWA632" s="268"/>
      <c r="LWO632" s="268"/>
      <c r="LWQ632" s="268"/>
      <c r="LWR632" s="268"/>
      <c r="LWS632" s="268"/>
      <c r="LWT632" s="268"/>
      <c r="LWU632" s="268"/>
      <c r="LWV632" s="268"/>
      <c r="LWW632" s="268"/>
      <c r="LWX632" s="268"/>
      <c r="LWY632" s="268"/>
      <c r="LWZ632" s="268"/>
      <c r="LXA632" s="268"/>
      <c r="LXB632" s="268"/>
      <c r="LXC632" s="268"/>
      <c r="LXD632" s="268"/>
      <c r="LXE632" s="268"/>
      <c r="LXF632" s="268"/>
      <c r="LXG632" s="268"/>
      <c r="LXH632" s="268"/>
      <c r="LXI632" s="268"/>
      <c r="LXJ632" s="268"/>
      <c r="LXK632" s="268"/>
      <c r="LXL632" s="268"/>
      <c r="LXM632" s="268"/>
      <c r="LXN632" s="268"/>
      <c r="LXO632" s="268"/>
      <c r="LXP632" s="268"/>
      <c r="LXQ632" s="268"/>
      <c r="LXR632" s="268"/>
      <c r="LXS632" s="268"/>
      <c r="LXT632" s="268"/>
      <c r="LXU632" s="268"/>
      <c r="LXV632" s="268"/>
      <c r="LXW632" s="268"/>
      <c r="LXX632" s="268"/>
      <c r="LXY632" s="268"/>
      <c r="LXZ632" s="268"/>
      <c r="LYA632" s="268"/>
      <c r="LYB632" s="268"/>
      <c r="LYC632" s="268"/>
      <c r="LYD632" s="268"/>
      <c r="LYE632" s="268"/>
      <c r="LYF632" s="268"/>
      <c r="LYG632" s="268"/>
      <c r="LYH632" s="268"/>
      <c r="LYI632" s="268"/>
      <c r="LYJ632" s="268"/>
      <c r="LYK632" s="268"/>
      <c r="LYL632" s="268"/>
      <c r="LYM632" s="268"/>
      <c r="LYN632" s="268"/>
      <c r="LYO632" s="268"/>
      <c r="LYP632" s="268"/>
      <c r="LYQ632" s="268"/>
      <c r="LYR632" s="268"/>
      <c r="LYS632" s="268"/>
      <c r="LYT632" s="268"/>
      <c r="LYU632" s="268"/>
      <c r="LYV632" s="268"/>
      <c r="LYW632" s="268"/>
      <c r="LYX632" s="268"/>
      <c r="LYY632" s="268"/>
      <c r="LYZ632" s="268"/>
      <c r="LZA632" s="268"/>
      <c r="LZB632" s="268"/>
      <c r="LZC632" s="268"/>
      <c r="LZD632" s="268"/>
      <c r="LZE632" s="268"/>
      <c r="LZF632" s="268"/>
      <c r="LZG632" s="268"/>
      <c r="LZH632" s="268"/>
      <c r="LZI632" s="268"/>
      <c r="LZJ632" s="268"/>
      <c r="LZK632" s="268"/>
      <c r="LZL632" s="268"/>
      <c r="LZM632" s="268"/>
      <c r="LZN632" s="268"/>
      <c r="LZO632" s="268"/>
      <c r="LZP632" s="268"/>
      <c r="LZQ632" s="268"/>
      <c r="LZR632" s="268"/>
      <c r="LZS632" s="268"/>
      <c r="LZT632" s="268"/>
      <c r="LZU632" s="268"/>
      <c r="LZV632" s="268"/>
      <c r="LZW632" s="268"/>
      <c r="LZX632" s="268"/>
      <c r="LZY632" s="268"/>
      <c r="LZZ632" s="268"/>
      <c r="MAA632" s="268"/>
      <c r="MAB632" s="268"/>
      <c r="MAC632" s="268"/>
      <c r="MAD632" s="268"/>
      <c r="MAE632" s="268"/>
      <c r="MAF632" s="268"/>
      <c r="MAG632" s="268"/>
      <c r="MAH632" s="268"/>
      <c r="MAI632" s="268"/>
      <c r="MAJ632" s="268"/>
      <c r="MAK632" s="268"/>
      <c r="MAL632" s="268"/>
      <c r="MAM632" s="268"/>
      <c r="MAN632" s="268"/>
      <c r="MAO632" s="268"/>
      <c r="MAP632" s="268"/>
      <c r="MAQ632" s="268"/>
      <c r="MAR632" s="268"/>
      <c r="MAS632" s="268"/>
      <c r="MAT632" s="268"/>
      <c r="MAU632" s="268"/>
      <c r="MAV632" s="268"/>
      <c r="MAW632" s="268"/>
      <c r="MAX632" s="268"/>
      <c r="MAY632" s="268"/>
      <c r="MAZ632" s="268"/>
      <c r="MBA632" s="268"/>
      <c r="MBB632" s="268"/>
      <c r="MBC632" s="268"/>
      <c r="MBD632" s="268"/>
      <c r="MBE632" s="268"/>
      <c r="MBF632" s="268"/>
      <c r="MBG632" s="268"/>
      <c r="MBH632" s="268"/>
      <c r="MBI632" s="268"/>
      <c r="MBJ632" s="268"/>
      <c r="MBK632" s="268"/>
      <c r="MBL632" s="268"/>
      <c r="MBM632" s="268"/>
      <c r="MBN632" s="268"/>
      <c r="MBO632" s="268"/>
      <c r="MBP632" s="268"/>
      <c r="MBQ632" s="268"/>
      <c r="MBR632" s="268"/>
      <c r="MBS632" s="268"/>
      <c r="MBT632" s="268"/>
      <c r="MBU632" s="268"/>
      <c r="MBV632" s="268"/>
      <c r="MBW632" s="268"/>
      <c r="MBX632" s="268"/>
      <c r="MBY632" s="268"/>
      <c r="MBZ632" s="268"/>
      <c r="MCA632" s="268"/>
      <c r="MCB632" s="268"/>
      <c r="MCC632" s="268"/>
      <c r="MCD632" s="268"/>
      <c r="MCE632" s="268"/>
      <c r="MCF632" s="268"/>
      <c r="MCG632" s="268"/>
      <c r="MCH632" s="268"/>
      <c r="MCI632" s="268"/>
      <c r="MCJ632" s="268"/>
      <c r="MCK632" s="268"/>
      <c r="MCL632" s="268"/>
      <c r="MCM632" s="268"/>
      <c r="MCN632" s="268"/>
      <c r="MCO632" s="268"/>
      <c r="MCP632" s="268"/>
      <c r="MCQ632" s="268"/>
      <c r="MCR632" s="268"/>
      <c r="MCS632" s="268"/>
      <c r="MCT632" s="268"/>
      <c r="MCU632" s="268"/>
      <c r="MCV632" s="268"/>
      <c r="MCW632" s="268"/>
      <c r="MCX632" s="268"/>
      <c r="MCY632" s="268"/>
      <c r="MCZ632" s="268"/>
      <c r="MDA632" s="268"/>
      <c r="MDB632" s="268"/>
      <c r="MDC632" s="268"/>
      <c r="MDD632" s="268"/>
      <c r="MDE632" s="268"/>
      <c r="MDF632" s="268"/>
      <c r="MDG632" s="268"/>
      <c r="MDH632" s="268"/>
      <c r="MDI632" s="268"/>
      <c r="MDJ632" s="268"/>
      <c r="MDK632" s="268"/>
      <c r="MDL632" s="268"/>
      <c r="MDM632" s="268"/>
      <c r="MDN632" s="268"/>
      <c r="MDO632" s="268"/>
      <c r="MDP632" s="268"/>
      <c r="MDQ632" s="268"/>
      <c r="MDR632" s="268"/>
      <c r="MDS632" s="268"/>
      <c r="MDT632" s="268"/>
      <c r="MDU632" s="268"/>
      <c r="MDV632" s="268"/>
      <c r="MDW632" s="268"/>
      <c r="MDX632" s="268"/>
      <c r="MDY632" s="268"/>
      <c r="MDZ632" s="268"/>
      <c r="MEA632" s="268"/>
      <c r="MEB632" s="268"/>
      <c r="MEC632" s="268"/>
      <c r="MED632" s="268"/>
      <c r="MEE632" s="268"/>
      <c r="MEF632" s="268"/>
      <c r="MEG632" s="268"/>
      <c r="MEH632" s="268"/>
      <c r="MEI632" s="268"/>
      <c r="MEJ632" s="268"/>
      <c r="MEK632" s="268"/>
      <c r="MEL632" s="268"/>
      <c r="MEM632" s="268"/>
      <c r="MEN632" s="268"/>
      <c r="MEO632" s="268"/>
      <c r="MEP632" s="268"/>
      <c r="MEQ632" s="268"/>
      <c r="MER632" s="268"/>
      <c r="MES632" s="268"/>
      <c r="MET632" s="268"/>
      <c r="MEU632" s="268"/>
      <c r="MEV632" s="268"/>
      <c r="MEW632" s="268"/>
      <c r="MEX632" s="268"/>
      <c r="MEY632" s="268"/>
      <c r="MEZ632" s="268"/>
      <c r="MFA632" s="268"/>
      <c r="MFB632" s="268"/>
      <c r="MFC632" s="268"/>
      <c r="MFD632" s="268"/>
      <c r="MFE632" s="268"/>
      <c r="MFF632" s="268"/>
      <c r="MFG632" s="268"/>
      <c r="MFU632" s="268"/>
      <c r="MFV632" s="268"/>
      <c r="MFW632" s="268"/>
      <c r="MGK632" s="268"/>
      <c r="MGM632" s="268"/>
      <c r="MGN632" s="268"/>
      <c r="MGO632" s="268"/>
      <c r="MGP632" s="268"/>
      <c r="MGQ632" s="268"/>
      <c r="MGR632" s="268"/>
      <c r="MGS632" s="268"/>
      <c r="MGT632" s="268"/>
      <c r="MGU632" s="268"/>
      <c r="MGV632" s="268"/>
      <c r="MGW632" s="268"/>
      <c r="MGX632" s="268"/>
      <c r="MGY632" s="268"/>
      <c r="MGZ632" s="268"/>
      <c r="MHA632" s="268"/>
      <c r="MHB632" s="268"/>
      <c r="MHC632" s="268"/>
      <c r="MHD632" s="268"/>
      <c r="MHE632" s="268"/>
      <c r="MHF632" s="268"/>
      <c r="MHG632" s="268"/>
      <c r="MHH632" s="268"/>
      <c r="MHI632" s="268"/>
      <c r="MHJ632" s="268"/>
      <c r="MHK632" s="268"/>
      <c r="MHL632" s="268"/>
      <c r="MHM632" s="268"/>
      <c r="MHN632" s="268"/>
      <c r="MHO632" s="268"/>
      <c r="MHP632" s="268"/>
      <c r="MHQ632" s="268"/>
      <c r="MHR632" s="268"/>
      <c r="MHS632" s="268"/>
      <c r="MHT632" s="268"/>
      <c r="MHU632" s="268"/>
      <c r="MHV632" s="268"/>
      <c r="MHW632" s="268"/>
      <c r="MHX632" s="268"/>
      <c r="MHY632" s="268"/>
      <c r="MHZ632" s="268"/>
      <c r="MIA632" s="268"/>
      <c r="MIB632" s="268"/>
      <c r="MIC632" s="268"/>
      <c r="MID632" s="268"/>
      <c r="MIE632" s="268"/>
      <c r="MIF632" s="268"/>
      <c r="MIG632" s="268"/>
      <c r="MIH632" s="268"/>
      <c r="MII632" s="268"/>
      <c r="MIJ632" s="268"/>
      <c r="MIK632" s="268"/>
      <c r="MIL632" s="268"/>
      <c r="MIM632" s="268"/>
      <c r="MIN632" s="268"/>
      <c r="MIO632" s="268"/>
      <c r="MIP632" s="268"/>
      <c r="MIQ632" s="268"/>
      <c r="MIR632" s="268"/>
      <c r="MIS632" s="268"/>
      <c r="MIT632" s="268"/>
      <c r="MIU632" s="268"/>
      <c r="MIV632" s="268"/>
      <c r="MIW632" s="268"/>
      <c r="MIX632" s="268"/>
      <c r="MIY632" s="268"/>
      <c r="MIZ632" s="268"/>
      <c r="MJA632" s="268"/>
      <c r="MJB632" s="268"/>
      <c r="MJC632" s="268"/>
      <c r="MJD632" s="268"/>
      <c r="MJE632" s="268"/>
      <c r="MJF632" s="268"/>
      <c r="MJG632" s="268"/>
      <c r="MJH632" s="268"/>
      <c r="MJI632" s="268"/>
      <c r="MJJ632" s="268"/>
      <c r="MJK632" s="268"/>
      <c r="MJL632" s="268"/>
      <c r="MJM632" s="268"/>
      <c r="MJN632" s="268"/>
      <c r="MJO632" s="268"/>
      <c r="MJP632" s="268"/>
      <c r="MJQ632" s="268"/>
      <c r="MJR632" s="268"/>
      <c r="MJS632" s="268"/>
      <c r="MJT632" s="268"/>
      <c r="MJU632" s="268"/>
      <c r="MJV632" s="268"/>
      <c r="MJW632" s="268"/>
      <c r="MJX632" s="268"/>
      <c r="MJY632" s="268"/>
      <c r="MJZ632" s="268"/>
      <c r="MKA632" s="268"/>
      <c r="MKB632" s="268"/>
      <c r="MKC632" s="268"/>
      <c r="MKD632" s="268"/>
      <c r="MKE632" s="268"/>
      <c r="MKF632" s="268"/>
      <c r="MKG632" s="268"/>
      <c r="MKH632" s="268"/>
      <c r="MKI632" s="268"/>
      <c r="MKJ632" s="268"/>
      <c r="MKK632" s="268"/>
      <c r="MKL632" s="268"/>
      <c r="MKM632" s="268"/>
      <c r="MKN632" s="268"/>
      <c r="MKO632" s="268"/>
      <c r="MKP632" s="268"/>
      <c r="MKQ632" s="268"/>
      <c r="MKR632" s="268"/>
      <c r="MKS632" s="268"/>
      <c r="MKT632" s="268"/>
      <c r="MKU632" s="268"/>
      <c r="MKV632" s="268"/>
      <c r="MKW632" s="268"/>
      <c r="MKX632" s="268"/>
      <c r="MKY632" s="268"/>
      <c r="MKZ632" s="268"/>
      <c r="MLA632" s="268"/>
      <c r="MLB632" s="268"/>
      <c r="MLC632" s="268"/>
      <c r="MLD632" s="268"/>
      <c r="MLE632" s="268"/>
      <c r="MLF632" s="268"/>
      <c r="MLG632" s="268"/>
      <c r="MLH632" s="268"/>
      <c r="MLI632" s="268"/>
      <c r="MLJ632" s="268"/>
      <c r="MLK632" s="268"/>
      <c r="MLL632" s="268"/>
      <c r="MLM632" s="268"/>
      <c r="MLN632" s="268"/>
      <c r="MLO632" s="268"/>
      <c r="MLP632" s="268"/>
      <c r="MLQ632" s="268"/>
      <c r="MLR632" s="268"/>
      <c r="MLS632" s="268"/>
      <c r="MLT632" s="268"/>
      <c r="MLU632" s="268"/>
      <c r="MLV632" s="268"/>
      <c r="MLW632" s="268"/>
      <c r="MLX632" s="268"/>
      <c r="MLY632" s="268"/>
      <c r="MLZ632" s="268"/>
      <c r="MMA632" s="268"/>
      <c r="MMB632" s="268"/>
      <c r="MMC632" s="268"/>
      <c r="MMD632" s="268"/>
      <c r="MME632" s="268"/>
      <c r="MMF632" s="268"/>
      <c r="MMG632" s="268"/>
      <c r="MMH632" s="268"/>
      <c r="MMI632" s="268"/>
      <c r="MMJ632" s="268"/>
      <c r="MMK632" s="268"/>
      <c r="MML632" s="268"/>
      <c r="MMM632" s="268"/>
      <c r="MMN632" s="268"/>
      <c r="MMO632" s="268"/>
      <c r="MMP632" s="268"/>
      <c r="MMQ632" s="268"/>
      <c r="MMR632" s="268"/>
      <c r="MMS632" s="268"/>
      <c r="MMT632" s="268"/>
      <c r="MMU632" s="268"/>
      <c r="MMV632" s="268"/>
      <c r="MMW632" s="268"/>
      <c r="MMX632" s="268"/>
      <c r="MMY632" s="268"/>
      <c r="MMZ632" s="268"/>
      <c r="MNA632" s="268"/>
      <c r="MNB632" s="268"/>
      <c r="MNC632" s="268"/>
      <c r="MND632" s="268"/>
      <c r="MNE632" s="268"/>
      <c r="MNF632" s="268"/>
      <c r="MNG632" s="268"/>
      <c r="MNH632" s="268"/>
      <c r="MNI632" s="268"/>
      <c r="MNJ632" s="268"/>
      <c r="MNK632" s="268"/>
      <c r="MNL632" s="268"/>
      <c r="MNM632" s="268"/>
      <c r="MNN632" s="268"/>
      <c r="MNO632" s="268"/>
      <c r="MNP632" s="268"/>
      <c r="MNQ632" s="268"/>
      <c r="MNR632" s="268"/>
      <c r="MNS632" s="268"/>
      <c r="MNT632" s="268"/>
      <c r="MNU632" s="268"/>
      <c r="MNV632" s="268"/>
      <c r="MNW632" s="268"/>
      <c r="MNX632" s="268"/>
      <c r="MNY632" s="268"/>
      <c r="MNZ632" s="268"/>
      <c r="MOA632" s="268"/>
      <c r="MOB632" s="268"/>
      <c r="MOC632" s="268"/>
      <c r="MOD632" s="268"/>
      <c r="MOE632" s="268"/>
      <c r="MOF632" s="268"/>
      <c r="MOG632" s="268"/>
      <c r="MOH632" s="268"/>
      <c r="MOI632" s="268"/>
      <c r="MOJ632" s="268"/>
      <c r="MOK632" s="268"/>
      <c r="MOL632" s="268"/>
      <c r="MOM632" s="268"/>
      <c r="MON632" s="268"/>
      <c r="MOO632" s="268"/>
      <c r="MOP632" s="268"/>
      <c r="MOQ632" s="268"/>
      <c r="MOR632" s="268"/>
      <c r="MOS632" s="268"/>
      <c r="MOT632" s="268"/>
      <c r="MOU632" s="268"/>
      <c r="MOV632" s="268"/>
      <c r="MOW632" s="268"/>
      <c r="MOX632" s="268"/>
      <c r="MOY632" s="268"/>
      <c r="MOZ632" s="268"/>
      <c r="MPA632" s="268"/>
      <c r="MPB632" s="268"/>
      <c r="MPC632" s="268"/>
      <c r="MPQ632" s="268"/>
      <c r="MPR632" s="268"/>
      <c r="MPS632" s="268"/>
      <c r="MQG632" s="268"/>
      <c r="MQI632" s="268"/>
      <c r="MQJ632" s="268"/>
      <c r="MQK632" s="268"/>
      <c r="MQL632" s="268"/>
      <c r="MQM632" s="268"/>
      <c r="MQN632" s="268"/>
      <c r="MQO632" s="268"/>
      <c r="MQP632" s="268"/>
      <c r="MQQ632" s="268"/>
      <c r="MQR632" s="268"/>
      <c r="MQS632" s="268"/>
      <c r="MQT632" s="268"/>
      <c r="MQU632" s="268"/>
      <c r="MQV632" s="268"/>
      <c r="MQW632" s="268"/>
      <c r="MQX632" s="268"/>
      <c r="MQY632" s="268"/>
      <c r="MQZ632" s="268"/>
      <c r="MRA632" s="268"/>
      <c r="MRB632" s="268"/>
      <c r="MRC632" s="268"/>
      <c r="MRD632" s="268"/>
      <c r="MRE632" s="268"/>
      <c r="MRF632" s="268"/>
      <c r="MRG632" s="268"/>
      <c r="MRH632" s="268"/>
      <c r="MRI632" s="268"/>
      <c r="MRJ632" s="268"/>
      <c r="MRK632" s="268"/>
      <c r="MRL632" s="268"/>
      <c r="MRM632" s="268"/>
      <c r="MRN632" s="268"/>
      <c r="MRO632" s="268"/>
      <c r="MRP632" s="268"/>
      <c r="MRQ632" s="268"/>
      <c r="MRR632" s="268"/>
      <c r="MRS632" s="268"/>
      <c r="MRT632" s="268"/>
      <c r="MRU632" s="268"/>
      <c r="MRV632" s="268"/>
      <c r="MRW632" s="268"/>
      <c r="MRX632" s="268"/>
      <c r="MRY632" s="268"/>
      <c r="MRZ632" s="268"/>
      <c r="MSA632" s="268"/>
      <c r="MSB632" s="268"/>
      <c r="MSC632" s="268"/>
      <c r="MSD632" s="268"/>
      <c r="MSE632" s="268"/>
      <c r="MSF632" s="268"/>
      <c r="MSG632" s="268"/>
      <c r="MSH632" s="268"/>
      <c r="MSI632" s="268"/>
      <c r="MSJ632" s="268"/>
      <c r="MSK632" s="268"/>
      <c r="MSL632" s="268"/>
      <c r="MSM632" s="268"/>
      <c r="MSN632" s="268"/>
      <c r="MSO632" s="268"/>
      <c r="MSP632" s="268"/>
      <c r="MSQ632" s="268"/>
      <c r="MSR632" s="268"/>
      <c r="MSS632" s="268"/>
      <c r="MST632" s="268"/>
      <c r="MSU632" s="268"/>
      <c r="MSV632" s="268"/>
      <c r="MSW632" s="268"/>
      <c r="MSX632" s="268"/>
      <c r="MSY632" s="268"/>
      <c r="MSZ632" s="268"/>
      <c r="MTA632" s="268"/>
      <c r="MTB632" s="268"/>
      <c r="MTC632" s="268"/>
      <c r="MTD632" s="268"/>
      <c r="MTE632" s="268"/>
      <c r="MTF632" s="268"/>
      <c r="MTG632" s="268"/>
      <c r="MTH632" s="268"/>
      <c r="MTI632" s="268"/>
      <c r="MTJ632" s="268"/>
      <c r="MTK632" s="268"/>
      <c r="MTL632" s="268"/>
      <c r="MTM632" s="268"/>
      <c r="MTN632" s="268"/>
      <c r="MTO632" s="268"/>
      <c r="MTP632" s="268"/>
      <c r="MTQ632" s="268"/>
      <c r="MTR632" s="268"/>
      <c r="MTS632" s="268"/>
      <c r="MTT632" s="268"/>
      <c r="MTU632" s="268"/>
      <c r="MTV632" s="268"/>
      <c r="MTW632" s="268"/>
      <c r="MTX632" s="268"/>
      <c r="MTY632" s="268"/>
      <c r="MTZ632" s="268"/>
      <c r="MUA632" s="268"/>
      <c r="MUB632" s="268"/>
      <c r="MUC632" s="268"/>
      <c r="MUD632" s="268"/>
      <c r="MUE632" s="268"/>
      <c r="MUF632" s="268"/>
      <c r="MUG632" s="268"/>
      <c r="MUH632" s="268"/>
      <c r="MUI632" s="268"/>
      <c r="MUJ632" s="268"/>
      <c r="MUK632" s="268"/>
      <c r="MUL632" s="268"/>
      <c r="MUM632" s="268"/>
      <c r="MUN632" s="268"/>
      <c r="MUO632" s="268"/>
      <c r="MUP632" s="268"/>
      <c r="MUQ632" s="268"/>
      <c r="MUR632" s="268"/>
      <c r="MUS632" s="268"/>
      <c r="MUT632" s="268"/>
      <c r="MUU632" s="268"/>
      <c r="MUV632" s="268"/>
      <c r="MUW632" s="268"/>
      <c r="MUX632" s="268"/>
      <c r="MUY632" s="268"/>
      <c r="MUZ632" s="268"/>
      <c r="MVA632" s="268"/>
      <c r="MVB632" s="268"/>
      <c r="MVC632" s="268"/>
      <c r="MVD632" s="268"/>
      <c r="MVE632" s="268"/>
      <c r="MVF632" s="268"/>
      <c r="MVG632" s="268"/>
      <c r="MVH632" s="268"/>
      <c r="MVI632" s="268"/>
      <c r="MVJ632" s="268"/>
      <c r="MVK632" s="268"/>
      <c r="MVL632" s="268"/>
      <c r="MVM632" s="268"/>
      <c r="MVN632" s="268"/>
      <c r="MVO632" s="268"/>
      <c r="MVP632" s="268"/>
      <c r="MVQ632" s="268"/>
      <c r="MVR632" s="268"/>
      <c r="MVS632" s="268"/>
      <c r="MVT632" s="268"/>
      <c r="MVU632" s="268"/>
      <c r="MVV632" s="268"/>
      <c r="MVW632" s="268"/>
      <c r="MVX632" s="268"/>
      <c r="MVY632" s="268"/>
      <c r="MVZ632" s="268"/>
      <c r="MWA632" s="268"/>
      <c r="MWB632" s="268"/>
      <c r="MWC632" s="268"/>
      <c r="MWD632" s="268"/>
      <c r="MWE632" s="268"/>
      <c r="MWF632" s="268"/>
      <c r="MWG632" s="268"/>
      <c r="MWH632" s="268"/>
      <c r="MWI632" s="268"/>
      <c r="MWJ632" s="268"/>
      <c r="MWK632" s="268"/>
      <c r="MWL632" s="268"/>
      <c r="MWM632" s="268"/>
      <c r="MWN632" s="268"/>
      <c r="MWO632" s="268"/>
      <c r="MWP632" s="268"/>
      <c r="MWQ632" s="268"/>
      <c r="MWR632" s="268"/>
      <c r="MWS632" s="268"/>
      <c r="MWT632" s="268"/>
      <c r="MWU632" s="268"/>
      <c r="MWV632" s="268"/>
      <c r="MWW632" s="268"/>
      <c r="MWX632" s="268"/>
      <c r="MWY632" s="268"/>
      <c r="MWZ632" s="268"/>
      <c r="MXA632" s="268"/>
      <c r="MXB632" s="268"/>
      <c r="MXC632" s="268"/>
      <c r="MXD632" s="268"/>
      <c r="MXE632" s="268"/>
      <c r="MXF632" s="268"/>
      <c r="MXG632" s="268"/>
      <c r="MXH632" s="268"/>
      <c r="MXI632" s="268"/>
      <c r="MXJ632" s="268"/>
      <c r="MXK632" s="268"/>
      <c r="MXL632" s="268"/>
      <c r="MXM632" s="268"/>
      <c r="MXN632" s="268"/>
      <c r="MXO632" s="268"/>
      <c r="MXP632" s="268"/>
      <c r="MXQ632" s="268"/>
      <c r="MXR632" s="268"/>
      <c r="MXS632" s="268"/>
      <c r="MXT632" s="268"/>
      <c r="MXU632" s="268"/>
      <c r="MXV632" s="268"/>
      <c r="MXW632" s="268"/>
      <c r="MXX632" s="268"/>
      <c r="MXY632" s="268"/>
      <c r="MXZ632" s="268"/>
      <c r="MYA632" s="268"/>
      <c r="MYB632" s="268"/>
      <c r="MYC632" s="268"/>
      <c r="MYD632" s="268"/>
      <c r="MYE632" s="268"/>
      <c r="MYF632" s="268"/>
      <c r="MYG632" s="268"/>
      <c r="MYH632" s="268"/>
      <c r="MYI632" s="268"/>
      <c r="MYJ632" s="268"/>
      <c r="MYK632" s="268"/>
      <c r="MYL632" s="268"/>
      <c r="MYM632" s="268"/>
      <c r="MYN632" s="268"/>
      <c r="MYO632" s="268"/>
      <c r="MYP632" s="268"/>
      <c r="MYQ632" s="268"/>
      <c r="MYR632" s="268"/>
      <c r="MYS632" s="268"/>
      <c r="MYT632" s="268"/>
      <c r="MYU632" s="268"/>
      <c r="MYV632" s="268"/>
      <c r="MYW632" s="268"/>
      <c r="MYX632" s="268"/>
      <c r="MYY632" s="268"/>
      <c r="MZM632" s="268"/>
      <c r="MZN632" s="268"/>
      <c r="MZO632" s="268"/>
      <c r="NAC632" s="268"/>
      <c r="NAE632" s="268"/>
      <c r="NAF632" s="268"/>
      <c r="NAG632" s="268"/>
      <c r="NAH632" s="268"/>
      <c r="NAI632" s="268"/>
      <c r="NAJ632" s="268"/>
      <c r="NAK632" s="268"/>
      <c r="NAL632" s="268"/>
      <c r="NAM632" s="268"/>
      <c r="NAN632" s="268"/>
      <c r="NAO632" s="268"/>
      <c r="NAP632" s="268"/>
      <c r="NAQ632" s="268"/>
      <c r="NAR632" s="268"/>
      <c r="NAS632" s="268"/>
      <c r="NAT632" s="268"/>
      <c r="NAU632" s="268"/>
      <c r="NAV632" s="268"/>
      <c r="NAW632" s="268"/>
      <c r="NAX632" s="268"/>
      <c r="NAY632" s="268"/>
      <c r="NAZ632" s="268"/>
      <c r="NBA632" s="268"/>
      <c r="NBB632" s="268"/>
      <c r="NBC632" s="268"/>
      <c r="NBD632" s="268"/>
      <c r="NBE632" s="268"/>
      <c r="NBF632" s="268"/>
      <c r="NBG632" s="268"/>
      <c r="NBH632" s="268"/>
      <c r="NBI632" s="268"/>
      <c r="NBJ632" s="268"/>
      <c r="NBK632" s="268"/>
      <c r="NBL632" s="268"/>
      <c r="NBM632" s="268"/>
      <c r="NBN632" s="268"/>
      <c r="NBO632" s="268"/>
      <c r="NBP632" s="268"/>
      <c r="NBQ632" s="268"/>
      <c r="NBR632" s="268"/>
      <c r="NBS632" s="268"/>
      <c r="NBT632" s="268"/>
      <c r="NBU632" s="268"/>
      <c r="NBV632" s="268"/>
      <c r="NBW632" s="268"/>
      <c r="NBX632" s="268"/>
      <c r="NBY632" s="268"/>
      <c r="NBZ632" s="268"/>
      <c r="NCA632" s="268"/>
      <c r="NCB632" s="268"/>
      <c r="NCC632" s="268"/>
      <c r="NCD632" s="268"/>
      <c r="NCE632" s="268"/>
      <c r="NCF632" s="268"/>
      <c r="NCG632" s="268"/>
      <c r="NCH632" s="268"/>
      <c r="NCI632" s="268"/>
      <c r="NCJ632" s="268"/>
      <c r="NCK632" s="268"/>
      <c r="NCL632" s="268"/>
      <c r="NCM632" s="268"/>
      <c r="NCN632" s="268"/>
      <c r="NCO632" s="268"/>
      <c r="NCP632" s="268"/>
      <c r="NCQ632" s="268"/>
      <c r="NCR632" s="268"/>
      <c r="NCS632" s="268"/>
      <c r="NCT632" s="268"/>
      <c r="NCU632" s="268"/>
      <c r="NCV632" s="268"/>
      <c r="NCW632" s="268"/>
      <c r="NCX632" s="268"/>
      <c r="NCY632" s="268"/>
      <c r="NCZ632" s="268"/>
      <c r="NDA632" s="268"/>
      <c r="NDB632" s="268"/>
      <c r="NDC632" s="268"/>
      <c r="NDD632" s="268"/>
      <c r="NDE632" s="268"/>
      <c r="NDF632" s="268"/>
      <c r="NDG632" s="268"/>
      <c r="NDH632" s="268"/>
      <c r="NDI632" s="268"/>
      <c r="NDJ632" s="268"/>
      <c r="NDK632" s="268"/>
      <c r="NDL632" s="268"/>
      <c r="NDM632" s="268"/>
      <c r="NDN632" s="268"/>
      <c r="NDO632" s="268"/>
      <c r="NDP632" s="268"/>
      <c r="NDQ632" s="268"/>
      <c r="NDR632" s="268"/>
      <c r="NDS632" s="268"/>
      <c r="NDT632" s="268"/>
      <c r="NDU632" s="268"/>
      <c r="NDV632" s="268"/>
      <c r="NDW632" s="268"/>
      <c r="NDX632" s="268"/>
      <c r="NDY632" s="268"/>
      <c r="NDZ632" s="268"/>
      <c r="NEA632" s="268"/>
      <c r="NEB632" s="268"/>
      <c r="NEC632" s="268"/>
      <c r="NED632" s="268"/>
      <c r="NEE632" s="268"/>
      <c r="NEF632" s="268"/>
      <c r="NEG632" s="268"/>
      <c r="NEH632" s="268"/>
      <c r="NEI632" s="268"/>
      <c r="NEJ632" s="268"/>
      <c r="NEK632" s="268"/>
      <c r="NEL632" s="268"/>
      <c r="NEM632" s="268"/>
      <c r="NEN632" s="268"/>
      <c r="NEO632" s="268"/>
      <c r="NEP632" s="268"/>
      <c r="NEQ632" s="268"/>
      <c r="NER632" s="268"/>
      <c r="NES632" s="268"/>
      <c r="NET632" s="268"/>
      <c r="NEU632" s="268"/>
      <c r="NEV632" s="268"/>
      <c r="NEW632" s="268"/>
      <c r="NEX632" s="268"/>
      <c r="NEY632" s="268"/>
      <c r="NEZ632" s="268"/>
      <c r="NFA632" s="268"/>
      <c r="NFB632" s="268"/>
      <c r="NFC632" s="268"/>
      <c r="NFD632" s="268"/>
      <c r="NFE632" s="268"/>
      <c r="NFF632" s="268"/>
      <c r="NFG632" s="268"/>
      <c r="NFH632" s="268"/>
      <c r="NFI632" s="268"/>
      <c r="NFJ632" s="268"/>
      <c r="NFK632" s="268"/>
      <c r="NFL632" s="268"/>
      <c r="NFM632" s="268"/>
      <c r="NFN632" s="268"/>
      <c r="NFO632" s="268"/>
      <c r="NFP632" s="268"/>
      <c r="NFQ632" s="268"/>
      <c r="NFR632" s="268"/>
      <c r="NFS632" s="268"/>
      <c r="NFT632" s="268"/>
      <c r="NFU632" s="268"/>
      <c r="NFV632" s="268"/>
      <c r="NFW632" s="268"/>
      <c r="NFX632" s="268"/>
      <c r="NFY632" s="268"/>
      <c r="NFZ632" s="268"/>
      <c r="NGA632" s="268"/>
      <c r="NGB632" s="268"/>
      <c r="NGC632" s="268"/>
      <c r="NGD632" s="268"/>
      <c r="NGE632" s="268"/>
      <c r="NGF632" s="268"/>
      <c r="NGG632" s="268"/>
      <c r="NGH632" s="268"/>
      <c r="NGI632" s="268"/>
      <c r="NGJ632" s="268"/>
      <c r="NGK632" s="268"/>
      <c r="NGL632" s="268"/>
      <c r="NGM632" s="268"/>
      <c r="NGN632" s="268"/>
      <c r="NGO632" s="268"/>
      <c r="NGP632" s="268"/>
      <c r="NGQ632" s="268"/>
      <c r="NGR632" s="268"/>
      <c r="NGS632" s="268"/>
      <c r="NGT632" s="268"/>
      <c r="NGU632" s="268"/>
      <c r="NGV632" s="268"/>
      <c r="NGW632" s="268"/>
      <c r="NGX632" s="268"/>
      <c r="NGY632" s="268"/>
      <c r="NGZ632" s="268"/>
      <c r="NHA632" s="268"/>
      <c r="NHB632" s="268"/>
      <c r="NHC632" s="268"/>
      <c r="NHD632" s="268"/>
      <c r="NHE632" s="268"/>
      <c r="NHF632" s="268"/>
      <c r="NHG632" s="268"/>
      <c r="NHH632" s="268"/>
      <c r="NHI632" s="268"/>
      <c r="NHJ632" s="268"/>
      <c r="NHK632" s="268"/>
      <c r="NHL632" s="268"/>
      <c r="NHM632" s="268"/>
      <c r="NHN632" s="268"/>
      <c r="NHO632" s="268"/>
      <c r="NHP632" s="268"/>
      <c r="NHQ632" s="268"/>
      <c r="NHR632" s="268"/>
      <c r="NHS632" s="268"/>
      <c r="NHT632" s="268"/>
      <c r="NHU632" s="268"/>
      <c r="NHV632" s="268"/>
      <c r="NHW632" s="268"/>
      <c r="NHX632" s="268"/>
      <c r="NHY632" s="268"/>
      <c r="NHZ632" s="268"/>
      <c r="NIA632" s="268"/>
      <c r="NIB632" s="268"/>
      <c r="NIC632" s="268"/>
      <c r="NID632" s="268"/>
      <c r="NIE632" s="268"/>
      <c r="NIF632" s="268"/>
      <c r="NIG632" s="268"/>
      <c r="NIH632" s="268"/>
      <c r="NII632" s="268"/>
      <c r="NIJ632" s="268"/>
      <c r="NIK632" s="268"/>
      <c r="NIL632" s="268"/>
      <c r="NIM632" s="268"/>
      <c r="NIN632" s="268"/>
      <c r="NIO632" s="268"/>
      <c r="NIP632" s="268"/>
      <c r="NIQ632" s="268"/>
      <c r="NIR632" s="268"/>
      <c r="NIS632" s="268"/>
      <c r="NIT632" s="268"/>
      <c r="NIU632" s="268"/>
      <c r="NJI632" s="268"/>
      <c r="NJJ632" s="268"/>
      <c r="NJK632" s="268"/>
      <c r="NJY632" s="268"/>
      <c r="NKA632" s="268"/>
      <c r="NKB632" s="268"/>
      <c r="NKC632" s="268"/>
      <c r="NKD632" s="268"/>
      <c r="NKE632" s="268"/>
      <c r="NKF632" s="268"/>
      <c r="NKG632" s="268"/>
      <c r="NKH632" s="268"/>
      <c r="NKI632" s="268"/>
      <c r="NKJ632" s="268"/>
      <c r="NKK632" s="268"/>
      <c r="NKL632" s="268"/>
      <c r="NKM632" s="268"/>
      <c r="NKN632" s="268"/>
      <c r="NKO632" s="268"/>
      <c r="NKP632" s="268"/>
      <c r="NKQ632" s="268"/>
      <c r="NKR632" s="268"/>
      <c r="NKS632" s="268"/>
      <c r="NKT632" s="268"/>
      <c r="NKU632" s="268"/>
      <c r="NKV632" s="268"/>
      <c r="NKW632" s="268"/>
      <c r="NKX632" s="268"/>
      <c r="NKY632" s="268"/>
      <c r="NKZ632" s="268"/>
      <c r="NLA632" s="268"/>
      <c r="NLB632" s="268"/>
      <c r="NLC632" s="268"/>
      <c r="NLD632" s="268"/>
      <c r="NLE632" s="268"/>
      <c r="NLF632" s="268"/>
      <c r="NLG632" s="268"/>
      <c r="NLH632" s="268"/>
      <c r="NLI632" s="268"/>
      <c r="NLJ632" s="268"/>
      <c r="NLK632" s="268"/>
      <c r="NLL632" s="268"/>
      <c r="NLM632" s="268"/>
      <c r="NLN632" s="268"/>
      <c r="NLO632" s="268"/>
      <c r="NLP632" s="268"/>
      <c r="NLQ632" s="268"/>
      <c r="NLR632" s="268"/>
      <c r="NLS632" s="268"/>
      <c r="NLT632" s="268"/>
      <c r="NLU632" s="268"/>
      <c r="NLV632" s="268"/>
      <c r="NLW632" s="268"/>
      <c r="NLX632" s="268"/>
      <c r="NLY632" s="268"/>
      <c r="NLZ632" s="268"/>
      <c r="NMA632" s="268"/>
      <c r="NMB632" s="268"/>
      <c r="NMC632" s="268"/>
      <c r="NMD632" s="268"/>
      <c r="NME632" s="268"/>
      <c r="NMF632" s="268"/>
      <c r="NMG632" s="268"/>
      <c r="NMH632" s="268"/>
      <c r="NMI632" s="268"/>
      <c r="NMJ632" s="268"/>
      <c r="NMK632" s="268"/>
      <c r="NML632" s="268"/>
      <c r="NMM632" s="268"/>
      <c r="NMN632" s="268"/>
      <c r="NMO632" s="268"/>
      <c r="NMP632" s="268"/>
      <c r="NMQ632" s="268"/>
      <c r="NMR632" s="268"/>
      <c r="NMS632" s="268"/>
      <c r="NMT632" s="268"/>
      <c r="NMU632" s="268"/>
      <c r="NMV632" s="268"/>
      <c r="NMW632" s="268"/>
      <c r="NMX632" s="268"/>
      <c r="NMY632" s="268"/>
      <c r="NMZ632" s="268"/>
      <c r="NNA632" s="268"/>
      <c r="NNB632" s="268"/>
      <c r="NNC632" s="268"/>
      <c r="NND632" s="268"/>
      <c r="NNE632" s="268"/>
      <c r="NNF632" s="268"/>
      <c r="NNG632" s="268"/>
      <c r="NNH632" s="268"/>
      <c r="NNI632" s="268"/>
      <c r="NNJ632" s="268"/>
      <c r="NNK632" s="268"/>
      <c r="NNL632" s="268"/>
      <c r="NNM632" s="268"/>
      <c r="NNN632" s="268"/>
      <c r="NNO632" s="268"/>
      <c r="NNP632" s="268"/>
      <c r="NNQ632" s="268"/>
      <c r="NNR632" s="268"/>
      <c r="NNS632" s="268"/>
      <c r="NNT632" s="268"/>
      <c r="NNU632" s="268"/>
      <c r="NNV632" s="268"/>
      <c r="NNW632" s="268"/>
      <c r="NNX632" s="268"/>
      <c r="NNY632" s="268"/>
      <c r="NNZ632" s="268"/>
      <c r="NOA632" s="268"/>
      <c r="NOB632" s="268"/>
      <c r="NOC632" s="268"/>
      <c r="NOD632" s="268"/>
      <c r="NOE632" s="268"/>
      <c r="NOF632" s="268"/>
      <c r="NOG632" s="268"/>
      <c r="NOH632" s="268"/>
      <c r="NOI632" s="268"/>
      <c r="NOJ632" s="268"/>
      <c r="NOK632" s="268"/>
      <c r="NOL632" s="268"/>
      <c r="NOM632" s="268"/>
      <c r="NON632" s="268"/>
      <c r="NOO632" s="268"/>
      <c r="NOP632" s="268"/>
      <c r="NOQ632" s="268"/>
      <c r="NOR632" s="268"/>
      <c r="NOS632" s="268"/>
      <c r="NOT632" s="268"/>
      <c r="NOU632" s="268"/>
      <c r="NOV632" s="268"/>
      <c r="NOW632" s="268"/>
      <c r="NOX632" s="268"/>
      <c r="NOY632" s="268"/>
      <c r="NOZ632" s="268"/>
      <c r="NPA632" s="268"/>
      <c r="NPB632" s="268"/>
      <c r="NPC632" s="268"/>
      <c r="NPD632" s="268"/>
      <c r="NPE632" s="268"/>
      <c r="NPF632" s="268"/>
      <c r="NPG632" s="268"/>
      <c r="NPH632" s="268"/>
      <c r="NPI632" s="268"/>
      <c r="NPJ632" s="268"/>
      <c r="NPK632" s="268"/>
      <c r="NPL632" s="268"/>
      <c r="NPM632" s="268"/>
      <c r="NPN632" s="268"/>
      <c r="NPO632" s="268"/>
      <c r="NPP632" s="268"/>
      <c r="NPQ632" s="268"/>
      <c r="NPR632" s="268"/>
      <c r="NPS632" s="268"/>
      <c r="NPT632" s="268"/>
      <c r="NPU632" s="268"/>
      <c r="NPV632" s="268"/>
      <c r="NPW632" s="268"/>
      <c r="NPX632" s="268"/>
      <c r="NPY632" s="268"/>
      <c r="NPZ632" s="268"/>
      <c r="NQA632" s="268"/>
      <c r="NQB632" s="268"/>
      <c r="NQC632" s="268"/>
      <c r="NQD632" s="268"/>
      <c r="NQE632" s="268"/>
      <c r="NQF632" s="268"/>
      <c r="NQG632" s="268"/>
      <c r="NQH632" s="268"/>
      <c r="NQI632" s="268"/>
      <c r="NQJ632" s="268"/>
      <c r="NQK632" s="268"/>
      <c r="NQL632" s="268"/>
      <c r="NQM632" s="268"/>
      <c r="NQN632" s="268"/>
      <c r="NQO632" s="268"/>
      <c r="NQP632" s="268"/>
      <c r="NQQ632" s="268"/>
      <c r="NQR632" s="268"/>
      <c r="NQS632" s="268"/>
      <c r="NQT632" s="268"/>
      <c r="NQU632" s="268"/>
      <c r="NQV632" s="268"/>
      <c r="NQW632" s="268"/>
      <c r="NQX632" s="268"/>
      <c r="NQY632" s="268"/>
      <c r="NQZ632" s="268"/>
      <c r="NRA632" s="268"/>
      <c r="NRB632" s="268"/>
      <c r="NRC632" s="268"/>
      <c r="NRD632" s="268"/>
      <c r="NRE632" s="268"/>
      <c r="NRF632" s="268"/>
      <c r="NRG632" s="268"/>
      <c r="NRH632" s="268"/>
      <c r="NRI632" s="268"/>
      <c r="NRJ632" s="268"/>
      <c r="NRK632" s="268"/>
      <c r="NRL632" s="268"/>
      <c r="NRM632" s="268"/>
      <c r="NRN632" s="268"/>
      <c r="NRO632" s="268"/>
      <c r="NRP632" s="268"/>
      <c r="NRQ632" s="268"/>
      <c r="NRR632" s="268"/>
      <c r="NRS632" s="268"/>
      <c r="NRT632" s="268"/>
      <c r="NRU632" s="268"/>
      <c r="NRV632" s="268"/>
      <c r="NRW632" s="268"/>
      <c r="NRX632" s="268"/>
      <c r="NRY632" s="268"/>
      <c r="NRZ632" s="268"/>
      <c r="NSA632" s="268"/>
      <c r="NSB632" s="268"/>
      <c r="NSC632" s="268"/>
      <c r="NSD632" s="268"/>
      <c r="NSE632" s="268"/>
      <c r="NSF632" s="268"/>
      <c r="NSG632" s="268"/>
      <c r="NSH632" s="268"/>
      <c r="NSI632" s="268"/>
      <c r="NSJ632" s="268"/>
      <c r="NSK632" s="268"/>
      <c r="NSL632" s="268"/>
      <c r="NSM632" s="268"/>
      <c r="NSN632" s="268"/>
      <c r="NSO632" s="268"/>
      <c r="NSP632" s="268"/>
      <c r="NSQ632" s="268"/>
      <c r="NTE632" s="268"/>
      <c r="NTF632" s="268"/>
      <c r="NTG632" s="268"/>
      <c r="NTU632" s="268"/>
      <c r="NTW632" s="268"/>
      <c r="NTX632" s="268"/>
      <c r="NTY632" s="268"/>
      <c r="NTZ632" s="268"/>
      <c r="NUA632" s="268"/>
      <c r="NUB632" s="268"/>
      <c r="NUC632" s="268"/>
      <c r="NUD632" s="268"/>
      <c r="NUE632" s="268"/>
      <c r="NUF632" s="268"/>
      <c r="NUG632" s="268"/>
      <c r="NUH632" s="268"/>
      <c r="NUI632" s="268"/>
      <c r="NUJ632" s="268"/>
      <c r="NUK632" s="268"/>
      <c r="NUL632" s="268"/>
      <c r="NUM632" s="268"/>
      <c r="NUN632" s="268"/>
      <c r="NUO632" s="268"/>
      <c r="NUP632" s="268"/>
      <c r="NUQ632" s="268"/>
      <c r="NUR632" s="268"/>
      <c r="NUS632" s="268"/>
      <c r="NUT632" s="268"/>
      <c r="NUU632" s="268"/>
      <c r="NUV632" s="268"/>
      <c r="NUW632" s="268"/>
      <c r="NUX632" s="268"/>
      <c r="NUY632" s="268"/>
      <c r="NUZ632" s="268"/>
      <c r="NVA632" s="268"/>
      <c r="NVB632" s="268"/>
      <c r="NVC632" s="268"/>
      <c r="NVD632" s="268"/>
      <c r="NVE632" s="268"/>
      <c r="NVF632" s="268"/>
      <c r="NVG632" s="268"/>
      <c r="NVH632" s="268"/>
      <c r="NVI632" s="268"/>
      <c r="NVJ632" s="268"/>
      <c r="NVK632" s="268"/>
      <c r="NVL632" s="268"/>
      <c r="NVM632" s="268"/>
      <c r="NVN632" s="268"/>
      <c r="NVO632" s="268"/>
      <c r="NVP632" s="268"/>
      <c r="NVQ632" s="268"/>
      <c r="NVR632" s="268"/>
      <c r="NVS632" s="268"/>
      <c r="NVT632" s="268"/>
      <c r="NVU632" s="268"/>
      <c r="NVV632" s="268"/>
      <c r="NVW632" s="268"/>
      <c r="NVX632" s="268"/>
      <c r="NVY632" s="268"/>
      <c r="NVZ632" s="268"/>
      <c r="NWA632" s="268"/>
      <c r="NWB632" s="268"/>
      <c r="NWC632" s="268"/>
      <c r="NWD632" s="268"/>
      <c r="NWE632" s="268"/>
      <c r="NWF632" s="268"/>
      <c r="NWG632" s="268"/>
      <c r="NWH632" s="268"/>
      <c r="NWI632" s="268"/>
      <c r="NWJ632" s="268"/>
      <c r="NWK632" s="268"/>
      <c r="NWL632" s="268"/>
      <c r="NWM632" s="268"/>
      <c r="NWN632" s="268"/>
      <c r="NWO632" s="268"/>
      <c r="NWP632" s="268"/>
      <c r="NWQ632" s="268"/>
      <c r="NWR632" s="268"/>
      <c r="NWS632" s="268"/>
      <c r="NWT632" s="268"/>
      <c r="NWU632" s="268"/>
      <c r="NWV632" s="268"/>
      <c r="NWW632" s="268"/>
      <c r="NWX632" s="268"/>
      <c r="NWY632" s="268"/>
      <c r="NWZ632" s="268"/>
      <c r="NXA632" s="268"/>
      <c r="NXB632" s="268"/>
      <c r="NXC632" s="268"/>
      <c r="NXD632" s="268"/>
      <c r="NXE632" s="268"/>
      <c r="NXF632" s="268"/>
      <c r="NXG632" s="268"/>
      <c r="NXH632" s="268"/>
      <c r="NXI632" s="268"/>
      <c r="NXJ632" s="268"/>
      <c r="NXK632" s="268"/>
      <c r="NXL632" s="268"/>
      <c r="NXM632" s="268"/>
      <c r="NXN632" s="268"/>
      <c r="NXO632" s="268"/>
      <c r="NXP632" s="268"/>
      <c r="NXQ632" s="268"/>
      <c r="NXR632" s="268"/>
      <c r="NXS632" s="268"/>
      <c r="NXT632" s="268"/>
      <c r="NXU632" s="268"/>
      <c r="NXV632" s="268"/>
      <c r="NXW632" s="268"/>
      <c r="NXX632" s="268"/>
      <c r="NXY632" s="268"/>
      <c r="NXZ632" s="268"/>
      <c r="NYA632" s="268"/>
      <c r="NYB632" s="268"/>
      <c r="NYC632" s="268"/>
      <c r="NYD632" s="268"/>
      <c r="NYE632" s="268"/>
      <c r="NYF632" s="268"/>
      <c r="NYG632" s="268"/>
      <c r="NYH632" s="268"/>
      <c r="NYI632" s="268"/>
      <c r="NYJ632" s="268"/>
      <c r="NYK632" s="268"/>
      <c r="NYL632" s="268"/>
      <c r="NYM632" s="268"/>
      <c r="NYN632" s="268"/>
      <c r="NYO632" s="268"/>
      <c r="NYP632" s="268"/>
      <c r="NYQ632" s="268"/>
      <c r="NYR632" s="268"/>
      <c r="NYS632" s="268"/>
      <c r="NYT632" s="268"/>
      <c r="NYU632" s="268"/>
      <c r="NYV632" s="268"/>
      <c r="NYW632" s="268"/>
      <c r="NYX632" s="268"/>
      <c r="NYY632" s="268"/>
      <c r="NYZ632" s="268"/>
      <c r="NZA632" s="268"/>
      <c r="NZB632" s="268"/>
      <c r="NZC632" s="268"/>
      <c r="NZD632" s="268"/>
      <c r="NZE632" s="268"/>
      <c r="NZF632" s="268"/>
      <c r="NZG632" s="268"/>
      <c r="NZH632" s="268"/>
      <c r="NZI632" s="268"/>
      <c r="NZJ632" s="268"/>
      <c r="NZK632" s="268"/>
      <c r="NZL632" s="268"/>
      <c r="NZM632" s="268"/>
      <c r="NZN632" s="268"/>
      <c r="NZO632" s="268"/>
      <c r="NZP632" s="268"/>
      <c r="NZQ632" s="268"/>
      <c r="NZR632" s="268"/>
      <c r="NZS632" s="268"/>
      <c r="NZT632" s="268"/>
      <c r="NZU632" s="268"/>
      <c r="NZV632" s="268"/>
      <c r="NZW632" s="268"/>
      <c r="NZX632" s="268"/>
      <c r="NZY632" s="268"/>
      <c r="NZZ632" s="268"/>
      <c r="OAA632" s="268"/>
      <c r="OAB632" s="268"/>
      <c r="OAC632" s="268"/>
      <c r="OAD632" s="268"/>
      <c r="OAE632" s="268"/>
      <c r="OAF632" s="268"/>
      <c r="OAG632" s="268"/>
      <c r="OAH632" s="268"/>
      <c r="OAI632" s="268"/>
      <c r="OAJ632" s="268"/>
      <c r="OAK632" s="268"/>
      <c r="OAL632" s="268"/>
      <c r="OAM632" s="268"/>
      <c r="OAN632" s="268"/>
      <c r="OAO632" s="268"/>
      <c r="OAP632" s="268"/>
      <c r="OAQ632" s="268"/>
      <c r="OAR632" s="268"/>
      <c r="OAS632" s="268"/>
      <c r="OAT632" s="268"/>
      <c r="OAU632" s="268"/>
      <c r="OAV632" s="268"/>
      <c r="OAW632" s="268"/>
      <c r="OAX632" s="268"/>
      <c r="OAY632" s="268"/>
      <c r="OAZ632" s="268"/>
      <c r="OBA632" s="268"/>
      <c r="OBB632" s="268"/>
      <c r="OBC632" s="268"/>
      <c r="OBD632" s="268"/>
      <c r="OBE632" s="268"/>
      <c r="OBF632" s="268"/>
      <c r="OBG632" s="268"/>
      <c r="OBH632" s="268"/>
      <c r="OBI632" s="268"/>
      <c r="OBJ632" s="268"/>
      <c r="OBK632" s="268"/>
      <c r="OBL632" s="268"/>
      <c r="OBM632" s="268"/>
      <c r="OBN632" s="268"/>
      <c r="OBO632" s="268"/>
      <c r="OBP632" s="268"/>
      <c r="OBQ632" s="268"/>
      <c r="OBR632" s="268"/>
      <c r="OBS632" s="268"/>
      <c r="OBT632" s="268"/>
      <c r="OBU632" s="268"/>
      <c r="OBV632" s="268"/>
      <c r="OBW632" s="268"/>
      <c r="OBX632" s="268"/>
      <c r="OBY632" s="268"/>
      <c r="OBZ632" s="268"/>
      <c r="OCA632" s="268"/>
      <c r="OCB632" s="268"/>
      <c r="OCC632" s="268"/>
      <c r="OCD632" s="268"/>
      <c r="OCE632" s="268"/>
      <c r="OCF632" s="268"/>
      <c r="OCG632" s="268"/>
      <c r="OCH632" s="268"/>
      <c r="OCI632" s="268"/>
      <c r="OCJ632" s="268"/>
      <c r="OCK632" s="268"/>
      <c r="OCL632" s="268"/>
      <c r="OCM632" s="268"/>
      <c r="ODA632" s="268"/>
      <c r="ODB632" s="268"/>
      <c r="ODC632" s="268"/>
      <c r="ODQ632" s="268"/>
      <c r="ODS632" s="268"/>
      <c r="ODT632" s="268"/>
      <c r="ODU632" s="268"/>
      <c r="ODV632" s="268"/>
      <c r="ODW632" s="268"/>
      <c r="ODX632" s="268"/>
      <c r="ODY632" s="268"/>
      <c r="ODZ632" s="268"/>
      <c r="OEA632" s="268"/>
      <c r="OEB632" s="268"/>
      <c r="OEC632" s="268"/>
      <c r="OED632" s="268"/>
      <c r="OEE632" s="268"/>
      <c r="OEF632" s="268"/>
      <c r="OEG632" s="268"/>
      <c r="OEH632" s="268"/>
      <c r="OEI632" s="268"/>
      <c r="OEJ632" s="268"/>
      <c r="OEK632" s="268"/>
      <c r="OEL632" s="268"/>
      <c r="OEM632" s="268"/>
      <c r="OEN632" s="268"/>
      <c r="OEO632" s="268"/>
      <c r="OEP632" s="268"/>
      <c r="OEQ632" s="268"/>
      <c r="OER632" s="268"/>
      <c r="OES632" s="268"/>
      <c r="OET632" s="268"/>
      <c r="OEU632" s="268"/>
      <c r="OEV632" s="268"/>
      <c r="OEW632" s="268"/>
      <c r="OEX632" s="268"/>
      <c r="OEY632" s="268"/>
      <c r="OEZ632" s="268"/>
      <c r="OFA632" s="268"/>
      <c r="OFB632" s="268"/>
      <c r="OFC632" s="268"/>
      <c r="OFD632" s="268"/>
      <c r="OFE632" s="268"/>
      <c r="OFF632" s="268"/>
      <c r="OFG632" s="268"/>
      <c r="OFH632" s="268"/>
      <c r="OFI632" s="268"/>
      <c r="OFJ632" s="268"/>
      <c r="OFK632" s="268"/>
      <c r="OFL632" s="268"/>
      <c r="OFM632" s="268"/>
      <c r="OFN632" s="268"/>
      <c r="OFO632" s="268"/>
      <c r="OFP632" s="268"/>
      <c r="OFQ632" s="268"/>
      <c r="OFR632" s="268"/>
      <c r="OFS632" s="268"/>
      <c r="OFT632" s="268"/>
      <c r="OFU632" s="268"/>
      <c r="OFV632" s="268"/>
      <c r="OFW632" s="268"/>
      <c r="OFX632" s="268"/>
      <c r="OFY632" s="268"/>
      <c r="OFZ632" s="268"/>
      <c r="OGA632" s="268"/>
      <c r="OGB632" s="268"/>
      <c r="OGC632" s="268"/>
      <c r="OGD632" s="268"/>
      <c r="OGE632" s="268"/>
      <c r="OGF632" s="268"/>
      <c r="OGG632" s="268"/>
      <c r="OGH632" s="268"/>
      <c r="OGI632" s="268"/>
      <c r="OGJ632" s="268"/>
      <c r="OGK632" s="268"/>
      <c r="OGL632" s="268"/>
      <c r="OGM632" s="268"/>
      <c r="OGN632" s="268"/>
      <c r="OGO632" s="268"/>
      <c r="OGP632" s="268"/>
      <c r="OGQ632" s="268"/>
      <c r="OGR632" s="268"/>
      <c r="OGS632" s="268"/>
      <c r="OGT632" s="268"/>
      <c r="OGU632" s="268"/>
      <c r="OGV632" s="268"/>
      <c r="OGW632" s="268"/>
      <c r="OGX632" s="268"/>
      <c r="OGY632" s="268"/>
      <c r="OGZ632" s="268"/>
      <c r="OHA632" s="268"/>
      <c r="OHB632" s="268"/>
      <c r="OHC632" s="268"/>
      <c r="OHD632" s="268"/>
      <c r="OHE632" s="268"/>
      <c r="OHF632" s="268"/>
      <c r="OHG632" s="268"/>
      <c r="OHH632" s="268"/>
      <c r="OHI632" s="268"/>
      <c r="OHJ632" s="268"/>
      <c r="OHK632" s="268"/>
      <c r="OHL632" s="268"/>
      <c r="OHM632" s="268"/>
      <c r="OHN632" s="268"/>
      <c r="OHO632" s="268"/>
      <c r="OHP632" s="268"/>
      <c r="OHQ632" s="268"/>
      <c r="OHR632" s="268"/>
      <c r="OHS632" s="268"/>
      <c r="OHT632" s="268"/>
      <c r="OHU632" s="268"/>
      <c r="OHV632" s="268"/>
      <c r="OHW632" s="268"/>
      <c r="OHX632" s="268"/>
      <c r="OHY632" s="268"/>
      <c r="OHZ632" s="268"/>
      <c r="OIA632" s="268"/>
      <c r="OIB632" s="268"/>
      <c r="OIC632" s="268"/>
      <c r="OID632" s="268"/>
      <c r="OIE632" s="268"/>
      <c r="OIF632" s="268"/>
      <c r="OIG632" s="268"/>
      <c r="OIH632" s="268"/>
      <c r="OII632" s="268"/>
      <c r="OIJ632" s="268"/>
      <c r="OIK632" s="268"/>
      <c r="OIL632" s="268"/>
      <c r="OIM632" s="268"/>
      <c r="OIN632" s="268"/>
      <c r="OIO632" s="268"/>
      <c r="OIP632" s="268"/>
      <c r="OIQ632" s="268"/>
      <c r="OIR632" s="268"/>
      <c r="OIS632" s="268"/>
      <c r="OIT632" s="268"/>
      <c r="OIU632" s="268"/>
      <c r="OIV632" s="268"/>
      <c r="OIW632" s="268"/>
      <c r="OIX632" s="268"/>
      <c r="OIY632" s="268"/>
      <c r="OIZ632" s="268"/>
      <c r="OJA632" s="268"/>
      <c r="OJB632" s="268"/>
      <c r="OJC632" s="268"/>
      <c r="OJD632" s="268"/>
      <c r="OJE632" s="268"/>
      <c r="OJF632" s="268"/>
      <c r="OJG632" s="268"/>
      <c r="OJH632" s="268"/>
      <c r="OJI632" s="268"/>
      <c r="OJJ632" s="268"/>
      <c r="OJK632" s="268"/>
      <c r="OJL632" s="268"/>
      <c r="OJM632" s="268"/>
      <c r="OJN632" s="268"/>
      <c r="OJO632" s="268"/>
      <c r="OJP632" s="268"/>
      <c r="OJQ632" s="268"/>
      <c r="OJR632" s="268"/>
      <c r="OJS632" s="268"/>
      <c r="OJT632" s="268"/>
      <c r="OJU632" s="268"/>
      <c r="OJV632" s="268"/>
      <c r="OJW632" s="268"/>
      <c r="OJX632" s="268"/>
      <c r="OJY632" s="268"/>
      <c r="OJZ632" s="268"/>
      <c r="OKA632" s="268"/>
      <c r="OKB632" s="268"/>
      <c r="OKC632" s="268"/>
      <c r="OKD632" s="268"/>
      <c r="OKE632" s="268"/>
      <c r="OKF632" s="268"/>
      <c r="OKG632" s="268"/>
      <c r="OKH632" s="268"/>
      <c r="OKI632" s="268"/>
      <c r="OKJ632" s="268"/>
      <c r="OKK632" s="268"/>
      <c r="OKL632" s="268"/>
      <c r="OKM632" s="268"/>
      <c r="OKN632" s="268"/>
      <c r="OKO632" s="268"/>
      <c r="OKP632" s="268"/>
      <c r="OKQ632" s="268"/>
      <c r="OKR632" s="268"/>
      <c r="OKS632" s="268"/>
      <c r="OKT632" s="268"/>
      <c r="OKU632" s="268"/>
      <c r="OKV632" s="268"/>
      <c r="OKW632" s="268"/>
      <c r="OKX632" s="268"/>
      <c r="OKY632" s="268"/>
      <c r="OKZ632" s="268"/>
      <c r="OLA632" s="268"/>
      <c r="OLB632" s="268"/>
      <c r="OLC632" s="268"/>
      <c r="OLD632" s="268"/>
      <c r="OLE632" s="268"/>
      <c r="OLF632" s="268"/>
      <c r="OLG632" s="268"/>
      <c r="OLH632" s="268"/>
      <c r="OLI632" s="268"/>
      <c r="OLJ632" s="268"/>
      <c r="OLK632" s="268"/>
      <c r="OLL632" s="268"/>
      <c r="OLM632" s="268"/>
      <c r="OLN632" s="268"/>
      <c r="OLO632" s="268"/>
      <c r="OLP632" s="268"/>
      <c r="OLQ632" s="268"/>
      <c r="OLR632" s="268"/>
      <c r="OLS632" s="268"/>
      <c r="OLT632" s="268"/>
      <c r="OLU632" s="268"/>
      <c r="OLV632" s="268"/>
      <c r="OLW632" s="268"/>
      <c r="OLX632" s="268"/>
      <c r="OLY632" s="268"/>
      <c r="OLZ632" s="268"/>
      <c r="OMA632" s="268"/>
      <c r="OMB632" s="268"/>
      <c r="OMC632" s="268"/>
      <c r="OMD632" s="268"/>
      <c r="OME632" s="268"/>
      <c r="OMF632" s="268"/>
      <c r="OMG632" s="268"/>
      <c r="OMH632" s="268"/>
      <c r="OMI632" s="268"/>
      <c r="OMW632" s="268"/>
      <c r="OMX632" s="268"/>
      <c r="OMY632" s="268"/>
      <c r="ONM632" s="268"/>
      <c r="ONO632" s="268"/>
      <c r="ONP632" s="268"/>
      <c r="ONQ632" s="268"/>
      <c r="ONR632" s="268"/>
      <c r="ONS632" s="268"/>
      <c r="ONT632" s="268"/>
      <c r="ONU632" s="268"/>
      <c r="ONV632" s="268"/>
      <c r="ONW632" s="268"/>
      <c r="ONX632" s="268"/>
      <c r="ONY632" s="268"/>
      <c r="ONZ632" s="268"/>
      <c r="OOA632" s="268"/>
      <c r="OOB632" s="268"/>
      <c r="OOC632" s="268"/>
      <c r="OOD632" s="268"/>
      <c r="OOE632" s="268"/>
      <c r="OOF632" s="268"/>
      <c r="OOG632" s="268"/>
      <c r="OOH632" s="268"/>
      <c r="OOI632" s="268"/>
      <c r="OOJ632" s="268"/>
      <c r="OOK632" s="268"/>
      <c r="OOL632" s="268"/>
      <c r="OOM632" s="268"/>
      <c r="OON632" s="268"/>
      <c r="OOO632" s="268"/>
      <c r="OOP632" s="268"/>
      <c r="OOQ632" s="268"/>
      <c r="OOR632" s="268"/>
      <c r="OOS632" s="268"/>
      <c r="OOT632" s="268"/>
      <c r="OOU632" s="268"/>
      <c r="OOV632" s="268"/>
      <c r="OOW632" s="268"/>
      <c r="OOX632" s="268"/>
      <c r="OOY632" s="268"/>
      <c r="OOZ632" s="268"/>
      <c r="OPA632" s="268"/>
      <c r="OPB632" s="268"/>
      <c r="OPC632" s="268"/>
      <c r="OPD632" s="268"/>
      <c r="OPE632" s="268"/>
      <c r="OPF632" s="268"/>
      <c r="OPG632" s="268"/>
      <c r="OPH632" s="268"/>
      <c r="OPI632" s="268"/>
      <c r="OPJ632" s="268"/>
      <c r="OPK632" s="268"/>
      <c r="OPL632" s="268"/>
      <c r="OPM632" s="268"/>
      <c r="OPN632" s="268"/>
      <c r="OPO632" s="268"/>
      <c r="OPP632" s="268"/>
      <c r="OPQ632" s="268"/>
      <c r="OPR632" s="268"/>
      <c r="OPS632" s="268"/>
      <c r="OPT632" s="268"/>
      <c r="OPU632" s="268"/>
      <c r="OPV632" s="268"/>
      <c r="OPW632" s="268"/>
      <c r="OPX632" s="268"/>
      <c r="OPY632" s="268"/>
      <c r="OPZ632" s="268"/>
      <c r="OQA632" s="268"/>
      <c r="OQB632" s="268"/>
      <c r="OQC632" s="268"/>
      <c r="OQD632" s="268"/>
      <c r="OQE632" s="268"/>
      <c r="OQF632" s="268"/>
      <c r="OQG632" s="268"/>
      <c r="OQH632" s="268"/>
      <c r="OQI632" s="268"/>
      <c r="OQJ632" s="268"/>
      <c r="OQK632" s="268"/>
      <c r="OQL632" s="268"/>
      <c r="OQM632" s="268"/>
      <c r="OQN632" s="268"/>
      <c r="OQO632" s="268"/>
      <c r="OQP632" s="268"/>
      <c r="OQQ632" s="268"/>
      <c r="OQR632" s="268"/>
      <c r="OQS632" s="268"/>
      <c r="OQT632" s="268"/>
      <c r="OQU632" s="268"/>
      <c r="OQV632" s="268"/>
      <c r="OQW632" s="268"/>
      <c r="OQX632" s="268"/>
      <c r="OQY632" s="268"/>
      <c r="OQZ632" s="268"/>
      <c r="ORA632" s="268"/>
      <c r="ORB632" s="268"/>
      <c r="ORC632" s="268"/>
      <c r="ORD632" s="268"/>
      <c r="ORE632" s="268"/>
      <c r="ORF632" s="268"/>
      <c r="ORG632" s="268"/>
      <c r="ORH632" s="268"/>
      <c r="ORI632" s="268"/>
      <c r="ORJ632" s="268"/>
      <c r="ORK632" s="268"/>
      <c r="ORL632" s="268"/>
      <c r="ORM632" s="268"/>
      <c r="ORN632" s="268"/>
      <c r="ORO632" s="268"/>
      <c r="ORP632" s="268"/>
      <c r="ORQ632" s="268"/>
      <c r="ORR632" s="268"/>
      <c r="ORS632" s="268"/>
      <c r="ORT632" s="268"/>
      <c r="ORU632" s="268"/>
      <c r="ORV632" s="268"/>
      <c r="ORW632" s="268"/>
      <c r="ORX632" s="268"/>
      <c r="ORY632" s="268"/>
      <c r="ORZ632" s="268"/>
      <c r="OSA632" s="268"/>
      <c r="OSB632" s="268"/>
      <c r="OSC632" s="268"/>
      <c r="OSD632" s="268"/>
      <c r="OSE632" s="268"/>
      <c r="OSF632" s="268"/>
      <c r="OSG632" s="268"/>
      <c r="OSH632" s="268"/>
      <c r="OSI632" s="268"/>
      <c r="OSJ632" s="268"/>
      <c r="OSK632" s="268"/>
      <c r="OSL632" s="268"/>
      <c r="OSM632" s="268"/>
      <c r="OSN632" s="268"/>
      <c r="OSO632" s="268"/>
      <c r="OSP632" s="268"/>
      <c r="OSQ632" s="268"/>
      <c r="OSR632" s="268"/>
      <c r="OSS632" s="268"/>
      <c r="OST632" s="268"/>
      <c r="OSU632" s="268"/>
      <c r="OSV632" s="268"/>
      <c r="OSW632" s="268"/>
      <c r="OSX632" s="268"/>
      <c r="OSY632" s="268"/>
      <c r="OSZ632" s="268"/>
      <c r="OTA632" s="268"/>
      <c r="OTB632" s="268"/>
      <c r="OTC632" s="268"/>
      <c r="OTD632" s="268"/>
      <c r="OTE632" s="268"/>
      <c r="OTF632" s="268"/>
      <c r="OTG632" s="268"/>
      <c r="OTH632" s="268"/>
      <c r="OTI632" s="268"/>
      <c r="OTJ632" s="268"/>
      <c r="OTK632" s="268"/>
      <c r="OTL632" s="268"/>
      <c r="OTM632" s="268"/>
      <c r="OTN632" s="268"/>
      <c r="OTO632" s="268"/>
      <c r="OTP632" s="268"/>
      <c r="OTQ632" s="268"/>
      <c r="OTR632" s="268"/>
      <c r="OTS632" s="268"/>
      <c r="OTT632" s="268"/>
      <c r="OTU632" s="268"/>
      <c r="OTV632" s="268"/>
      <c r="OTW632" s="268"/>
      <c r="OTX632" s="268"/>
      <c r="OTY632" s="268"/>
      <c r="OTZ632" s="268"/>
      <c r="OUA632" s="268"/>
      <c r="OUB632" s="268"/>
      <c r="OUC632" s="268"/>
      <c r="OUD632" s="268"/>
      <c r="OUE632" s="268"/>
      <c r="OUF632" s="268"/>
      <c r="OUG632" s="268"/>
      <c r="OUH632" s="268"/>
      <c r="OUI632" s="268"/>
      <c r="OUJ632" s="268"/>
      <c r="OUK632" s="268"/>
      <c r="OUL632" s="268"/>
      <c r="OUM632" s="268"/>
      <c r="OUN632" s="268"/>
      <c r="OUO632" s="268"/>
      <c r="OUP632" s="268"/>
      <c r="OUQ632" s="268"/>
      <c r="OUR632" s="268"/>
      <c r="OUS632" s="268"/>
      <c r="OUT632" s="268"/>
      <c r="OUU632" s="268"/>
      <c r="OUV632" s="268"/>
      <c r="OUW632" s="268"/>
      <c r="OUX632" s="268"/>
      <c r="OUY632" s="268"/>
      <c r="OUZ632" s="268"/>
      <c r="OVA632" s="268"/>
      <c r="OVB632" s="268"/>
      <c r="OVC632" s="268"/>
      <c r="OVD632" s="268"/>
      <c r="OVE632" s="268"/>
      <c r="OVF632" s="268"/>
      <c r="OVG632" s="268"/>
      <c r="OVH632" s="268"/>
      <c r="OVI632" s="268"/>
      <c r="OVJ632" s="268"/>
      <c r="OVK632" s="268"/>
      <c r="OVL632" s="268"/>
      <c r="OVM632" s="268"/>
      <c r="OVN632" s="268"/>
      <c r="OVO632" s="268"/>
      <c r="OVP632" s="268"/>
      <c r="OVQ632" s="268"/>
      <c r="OVR632" s="268"/>
      <c r="OVS632" s="268"/>
      <c r="OVT632" s="268"/>
      <c r="OVU632" s="268"/>
      <c r="OVV632" s="268"/>
      <c r="OVW632" s="268"/>
      <c r="OVX632" s="268"/>
      <c r="OVY632" s="268"/>
      <c r="OVZ632" s="268"/>
      <c r="OWA632" s="268"/>
      <c r="OWB632" s="268"/>
      <c r="OWC632" s="268"/>
      <c r="OWD632" s="268"/>
      <c r="OWE632" s="268"/>
      <c r="OWS632" s="268"/>
      <c r="OWT632" s="268"/>
      <c r="OWU632" s="268"/>
      <c r="OXI632" s="268"/>
      <c r="OXK632" s="268"/>
      <c r="OXL632" s="268"/>
      <c r="OXM632" s="268"/>
      <c r="OXN632" s="268"/>
      <c r="OXO632" s="268"/>
      <c r="OXP632" s="268"/>
      <c r="OXQ632" s="268"/>
      <c r="OXR632" s="268"/>
      <c r="OXS632" s="268"/>
      <c r="OXT632" s="268"/>
      <c r="OXU632" s="268"/>
      <c r="OXV632" s="268"/>
      <c r="OXW632" s="268"/>
      <c r="OXX632" s="268"/>
      <c r="OXY632" s="268"/>
      <c r="OXZ632" s="268"/>
      <c r="OYA632" s="268"/>
      <c r="OYB632" s="268"/>
      <c r="OYC632" s="268"/>
      <c r="OYD632" s="268"/>
      <c r="OYE632" s="268"/>
      <c r="OYF632" s="268"/>
      <c r="OYG632" s="268"/>
      <c r="OYH632" s="268"/>
      <c r="OYI632" s="268"/>
      <c r="OYJ632" s="268"/>
      <c r="OYK632" s="268"/>
      <c r="OYL632" s="268"/>
      <c r="OYM632" s="268"/>
      <c r="OYN632" s="268"/>
      <c r="OYO632" s="268"/>
      <c r="OYP632" s="268"/>
      <c r="OYQ632" s="268"/>
      <c r="OYR632" s="268"/>
      <c r="OYS632" s="268"/>
      <c r="OYT632" s="268"/>
      <c r="OYU632" s="268"/>
      <c r="OYV632" s="268"/>
      <c r="OYW632" s="268"/>
      <c r="OYX632" s="268"/>
      <c r="OYY632" s="268"/>
      <c r="OYZ632" s="268"/>
      <c r="OZA632" s="268"/>
      <c r="OZB632" s="268"/>
      <c r="OZC632" s="268"/>
      <c r="OZD632" s="268"/>
      <c r="OZE632" s="268"/>
      <c r="OZF632" s="268"/>
      <c r="OZG632" s="268"/>
      <c r="OZH632" s="268"/>
      <c r="OZI632" s="268"/>
      <c r="OZJ632" s="268"/>
      <c r="OZK632" s="268"/>
      <c r="OZL632" s="268"/>
      <c r="OZM632" s="268"/>
      <c r="OZN632" s="268"/>
      <c r="OZO632" s="268"/>
      <c r="OZP632" s="268"/>
      <c r="OZQ632" s="268"/>
      <c r="OZR632" s="268"/>
      <c r="OZS632" s="268"/>
      <c r="OZT632" s="268"/>
      <c r="OZU632" s="268"/>
      <c r="OZV632" s="268"/>
      <c r="OZW632" s="268"/>
      <c r="OZX632" s="268"/>
      <c r="OZY632" s="268"/>
      <c r="OZZ632" s="268"/>
      <c r="PAA632" s="268"/>
      <c r="PAB632" s="268"/>
      <c r="PAC632" s="268"/>
      <c r="PAD632" s="268"/>
      <c r="PAE632" s="268"/>
      <c r="PAF632" s="268"/>
      <c r="PAG632" s="268"/>
      <c r="PAH632" s="268"/>
      <c r="PAI632" s="268"/>
      <c r="PAJ632" s="268"/>
      <c r="PAK632" s="268"/>
      <c r="PAL632" s="268"/>
      <c r="PAM632" s="268"/>
      <c r="PAN632" s="268"/>
      <c r="PAO632" s="268"/>
      <c r="PAP632" s="268"/>
      <c r="PAQ632" s="268"/>
      <c r="PAR632" s="268"/>
      <c r="PAS632" s="268"/>
      <c r="PAT632" s="268"/>
      <c r="PAU632" s="268"/>
      <c r="PAV632" s="268"/>
      <c r="PAW632" s="268"/>
      <c r="PAX632" s="268"/>
      <c r="PAY632" s="268"/>
      <c r="PAZ632" s="268"/>
      <c r="PBA632" s="268"/>
      <c r="PBB632" s="268"/>
      <c r="PBC632" s="268"/>
      <c r="PBD632" s="268"/>
      <c r="PBE632" s="268"/>
      <c r="PBF632" s="268"/>
      <c r="PBG632" s="268"/>
      <c r="PBH632" s="268"/>
      <c r="PBI632" s="268"/>
      <c r="PBJ632" s="268"/>
      <c r="PBK632" s="268"/>
      <c r="PBL632" s="268"/>
      <c r="PBM632" s="268"/>
      <c r="PBN632" s="268"/>
      <c r="PBO632" s="268"/>
      <c r="PBP632" s="268"/>
      <c r="PBQ632" s="268"/>
      <c r="PBR632" s="268"/>
      <c r="PBS632" s="268"/>
      <c r="PBT632" s="268"/>
      <c r="PBU632" s="268"/>
      <c r="PBV632" s="268"/>
      <c r="PBW632" s="268"/>
      <c r="PBX632" s="268"/>
      <c r="PBY632" s="268"/>
      <c r="PBZ632" s="268"/>
      <c r="PCA632" s="268"/>
      <c r="PCB632" s="268"/>
      <c r="PCC632" s="268"/>
      <c r="PCD632" s="268"/>
      <c r="PCE632" s="268"/>
      <c r="PCF632" s="268"/>
      <c r="PCG632" s="268"/>
      <c r="PCH632" s="268"/>
      <c r="PCI632" s="268"/>
      <c r="PCJ632" s="268"/>
      <c r="PCK632" s="268"/>
      <c r="PCL632" s="268"/>
      <c r="PCM632" s="268"/>
      <c r="PCN632" s="268"/>
      <c r="PCO632" s="268"/>
      <c r="PCP632" s="268"/>
      <c r="PCQ632" s="268"/>
      <c r="PCR632" s="268"/>
      <c r="PCS632" s="268"/>
      <c r="PCT632" s="268"/>
      <c r="PCU632" s="268"/>
      <c r="PCV632" s="268"/>
      <c r="PCW632" s="268"/>
      <c r="PCX632" s="268"/>
      <c r="PCY632" s="268"/>
      <c r="PCZ632" s="268"/>
      <c r="PDA632" s="268"/>
      <c r="PDB632" s="268"/>
      <c r="PDC632" s="268"/>
      <c r="PDD632" s="268"/>
      <c r="PDE632" s="268"/>
      <c r="PDF632" s="268"/>
      <c r="PDG632" s="268"/>
      <c r="PDH632" s="268"/>
      <c r="PDI632" s="268"/>
      <c r="PDJ632" s="268"/>
      <c r="PDK632" s="268"/>
      <c r="PDL632" s="268"/>
      <c r="PDM632" s="268"/>
      <c r="PDN632" s="268"/>
      <c r="PDO632" s="268"/>
      <c r="PDP632" s="268"/>
      <c r="PDQ632" s="268"/>
      <c r="PDR632" s="268"/>
      <c r="PDS632" s="268"/>
      <c r="PDT632" s="268"/>
      <c r="PDU632" s="268"/>
      <c r="PDV632" s="268"/>
      <c r="PDW632" s="268"/>
      <c r="PDX632" s="268"/>
      <c r="PDY632" s="268"/>
      <c r="PDZ632" s="268"/>
      <c r="PEA632" s="268"/>
      <c r="PEB632" s="268"/>
      <c r="PEC632" s="268"/>
      <c r="PED632" s="268"/>
      <c r="PEE632" s="268"/>
      <c r="PEF632" s="268"/>
      <c r="PEG632" s="268"/>
      <c r="PEH632" s="268"/>
      <c r="PEI632" s="268"/>
      <c r="PEJ632" s="268"/>
      <c r="PEK632" s="268"/>
      <c r="PEL632" s="268"/>
      <c r="PEM632" s="268"/>
      <c r="PEN632" s="268"/>
      <c r="PEO632" s="268"/>
      <c r="PEP632" s="268"/>
      <c r="PEQ632" s="268"/>
      <c r="PER632" s="268"/>
      <c r="PES632" s="268"/>
      <c r="PET632" s="268"/>
      <c r="PEU632" s="268"/>
      <c r="PEV632" s="268"/>
      <c r="PEW632" s="268"/>
      <c r="PEX632" s="268"/>
      <c r="PEY632" s="268"/>
      <c r="PEZ632" s="268"/>
      <c r="PFA632" s="268"/>
      <c r="PFB632" s="268"/>
      <c r="PFC632" s="268"/>
      <c r="PFD632" s="268"/>
      <c r="PFE632" s="268"/>
      <c r="PFF632" s="268"/>
      <c r="PFG632" s="268"/>
      <c r="PFH632" s="268"/>
      <c r="PFI632" s="268"/>
      <c r="PFJ632" s="268"/>
      <c r="PFK632" s="268"/>
      <c r="PFL632" s="268"/>
      <c r="PFM632" s="268"/>
      <c r="PFN632" s="268"/>
      <c r="PFO632" s="268"/>
      <c r="PFP632" s="268"/>
      <c r="PFQ632" s="268"/>
      <c r="PFR632" s="268"/>
      <c r="PFS632" s="268"/>
      <c r="PFT632" s="268"/>
      <c r="PFU632" s="268"/>
      <c r="PFV632" s="268"/>
      <c r="PFW632" s="268"/>
      <c r="PFX632" s="268"/>
      <c r="PFY632" s="268"/>
      <c r="PFZ632" s="268"/>
      <c r="PGA632" s="268"/>
      <c r="PGO632" s="268"/>
      <c r="PGP632" s="268"/>
      <c r="PGQ632" s="268"/>
      <c r="PHE632" s="268"/>
      <c r="PHG632" s="268"/>
      <c r="PHH632" s="268"/>
      <c r="PHI632" s="268"/>
      <c r="PHJ632" s="268"/>
      <c r="PHK632" s="268"/>
      <c r="PHL632" s="268"/>
      <c r="PHM632" s="268"/>
      <c r="PHN632" s="268"/>
      <c r="PHO632" s="268"/>
      <c r="PHP632" s="268"/>
      <c r="PHQ632" s="268"/>
      <c r="PHR632" s="268"/>
      <c r="PHS632" s="268"/>
      <c r="PHT632" s="268"/>
      <c r="PHU632" s="268"/>
      <c r="PHV632" s="268"/>
      <c r="PHW632" s="268"/>
      <c r="PHX632" s="268"/>
      <c r="PHY632" s="268"/>
      <c r="PHZ632" s="268"/>
      <c r="PIA632" s="268"/>
      <c r="PIB632" s="268"/>
      <c r="PIC632" s="268"/>
      <c r="PID632" s="268"/>
      <c r="PIE632" s="268"/>
      <c r="PIF632" s="268"/>
      <c r="PIG632" s="268"/>
      <c r="PIH632" s="268"/>
      <c r="PII632" s="268"/>
      <c r="PIJ632" s="268"/>
      <c r="PIK632" s="268"/>
      <c r="PIL632" s="268"/>
      <c r="PIM632" s="268"/>
      <c r="PIN632" s="268"/>
      <c r="PIO632" s="268"/>
      <c r="PIP632" s="268"/>
      <c r="PIQ632" s="268"/>
      <c r="PIR632" s="268"/>
      <c r="PIS632" s="268"/>
      <c r="PIT632" s="268"/>
      <c r="PIU632" s="268"/>
      <c r="PIV632" s="268"/>
      <c r="PIW632" s="268"/>
      <c r="PIX632" s="268"/>
      <c r="PIY632" s="268"/>
      <c r="PIZ632" s="268"/>
      <c r="PJA632" s="268"/>
      <c r="PJB632" s="268"/>
      <c r="PJC632" s="268"/>
      <c r="PJD632" s="268"/>
      <c r="PJE632" s="268"/>
      <c r="PJF632" s="268"/>
      <c r="PJG632" s="268"/>
      <c r="PJH632" s="268"/>
      <c r="PJI632" s="268"/>
      <c r="PJJ632" s="268"/>
      <c r="PJK632" s="268"/>
      <c r="PJL632" s="268"/>
      <c r="PJM632" s="268"/>
      <c r="PJN632" s="268"/>
      <c r="PJO632" s="268"/>
      <c r="PJP632" s="268"/>
      <c r="PJQ632" s="268"/>
      <c r="PJR632" s="268"/>
      <c r="PJS632" s="268"/>
      <c r="PJT632" s="268"/>
      <c r="PJU632" s="268"/>
      <c r="PJV632" s="268"/>
      <c r="PJW632" s="268"/>
      <c r="PJX632" s="268"/>
      <c r="PJY632" s="268"/>
      <c r="PJZ632" s="268"/>
      <c r="PKA632" s="268"/>
      <c r="PKB632" s="268"/>
      <c r="PKC632" s="268"/>
      <c r="PKD632" s="268"/>
      <c r="PKE632" s="268"/>
      <c r="PKF632" s="268"/>
      <c r="PKG632" s="268"/>
      <c r="PKH632" s="268"/>
      <c r="PKI632" s="268"/>
      <c r="PKJ632" s="268"/>
      <c r="PKK632" s="268"/>
      <c r="PKL632" s="268"/>
      <c r="PKM632" s="268"/>
      <c r="PKN632" s="268"/>
      <c r="PKO632" s="268"/>
      <c r="PKP632" s="268"/>
      <c r="PKQ632" s="268"/>
      <c r="PKR632" s="268"/>
      <c r="PKS632" s="268"/>
      <c r="PKT632" s="268"/>
      <c r="PKU632" s="268"/>
      <c r="PKV632" s="268"/>
      <c r="PKW632" s="268"/>
      <c r="PKX632" s="268"/>
      <c r="PKY632" s="268"/>
      <c r="PKZ632" s="268"/>
      <c r="PLA632" s="268"/>
      <c r="PLB632" s="268"/>
      <c r="PLC632" s="268"/>
      <c r="PLD632" s="268"/>
      <c r="PLE632" s="268"/>
      <c r="PLF632" s="268"/>
      <c r="PLG632" s="268"/>
      <c r="PLH632" s="268"/>
      <c r="PLI632" s="268"/>
      <c r="PLJ632" s="268"/>
      <c r="PLK632" s="268"/>
      <c r="PLL632" s="268"/>
      <c r="PLM632" s="268"/>
      <c r="PLN632" s="268"/>
      <c r="PLO632" s="268"/>
      <c r="PLP632" s="268"/>
      <c r="PLQ632" s="268"/>
      <c r="PLR632" s="268"/>
      <c r="PLS632" s="268"/>
      <c r="PLT632" s="268"/>
      <c r="PLU632" s="268"/>
      <c r="PLV632" s="268"/>
      <c r="PLW632" s="268"/>
      <c r="PLX632" s="268"/>
      <c r="PLY632" s="268"/>
      <c r="PLZ632" s="268"/>
      <c r="PMA632" s="268"/>
      <c r="PMB632" s="268"/>
      <c r="PMC632" s="268"/>
      <c r="PMD632" s="268"/>
      <c r="PME632" s="268"/>
      <c r="PMF632" s="268"/>
      <c r="PMG632" s="268"/>
      <c r="PMH632" s="268"/>
      <c r="PMI632" s="268"/>
      <c r="PMJ632" s="268"/>
      <c r="PMK632" s="268"/>
      <c r="PML632" s="268"/>
      <c r="PMM632" s="268"/>
      <c r="PMN632" s="268"/>
      <c r="PMO632" s="268"/>
      <c r="PMP632" s="268"/>
      <c r="PMQ632" s="268"/>
      <c r="PMR632" s="268"/>
      <c r="PMS632" s="268"/>
      <c r="PMT632" s="268"/>
      <c r="PMU632" s="268"/>
      <c r="PMV632" s="268"/>
      <c r="PMW632" s="268"/>
      <c r="PMX632" s="268"/>
      <c r="PMY632" s="268"/>
      <c r="PMZ632" s="268"/>
      <c r="PNA632" s="268"/>
      <c r="PNB632" s="268"/>
      <c r="PNC632" s="268"/>
      <c r="PND632" s="268"/>
      <c r="PNE632" s="268"/>
      <c r="PNF632" s="268"/>
      <c r="PNG632" s="268"/>
      <c r="PNH632" s="268"/>
      <c r="PNI632" s="268"/>
      <c r="PNJ632" s="268"/>
      <c r="PNK632" s="268"/>
      <c r="PNL632" s="268"/>
      <c r="PNM632" s="268"/>
      <c r="PNN632" s="268"/>
      <c r="PNO632" s="268"/>
      <c r="PNP632" s="268"/>
      <c r="PNQ632" s="268"/>
      <c r="PNR632" s="268"/>
      <c r="PNS632" s="268"/>
      <c r="PNT632" s="268"/>
      <c r="PNU632" s="268"/>
      <c r="PNV632" s="268"/>
      <c r="PNW632" s="268"/>
      <c r="PNX632" s="268"/>
      <c r="PNY632" s="268"/>
      <c r="PNZ632" s="268"/>
      <c r="POA632" s="268"/>
      <c r="POB632" s="268"/>
      <c r="POC632" s="268"/>
      <c r="POD632" s="268"/>
      <c r="POE632" s="268"/>
      <c r="POF632" s="268"/>
      <c r="POG632" s="268"/>
      <c r="POH632" s="268"/>
      <c r="POI632" s="268"/>
      <c r="POJ632" s="268"/>
      <c r="POK632" s="268"/>
      <c r="POL632" s="268"/>
      <c r="POM632" s="268"/>
      <c r="PON632" s="268"/>
      <c r="POO632" s="268"/>
      <c r="POP632" s="268"/>
      <c r="POQ632" s="268"/>
      <c r="POR632" s="268"/>
      <c r="POS632" s="268"/>
      <c r="POT632" s="268"/>
      <c r="POU632" s="268"/>
      <c r="POV632" s="268"/>
      <c r="POW632" s="268"/>
      <c r="POX632" s="268"/>
      <c r="POY632" s="268"/>
      <c r="POZ632" s="268"/>
      <c r="PPA632" s="268"/>
      <c r="PPB632" s="268"/>
      <c r="PPC632" s="268"/>
      <c r="PPD632" s="268"/>
      <c r="PPE632" s="268"/>
      <c r="PPF632" s="268"/>
      <c r="PPG632" s="268"/>
      <c r="PPH632" s="268"/>
      <c r="PPI632" s="268"/>
      <c r="PPJ632" s="268"/>
      <c r="PPK632" s="268"/>
      <c r="PPL632" s="268"/>
      <c r="PPM632" s="268"/>
      <c r="PPN632" s="268"/>
      <c r="PPO632" s="268"/>
      <c r="PPP632" s="268"/>
      <c r="PPQ632" s="268"/>
      <c r="PPR632" s="268"/>
      <c r="PPS632" s="268"/>
      <c r="PPT632" s="268"/>
      <c r="PPU632" s="268"/>
      <c r="PPV632" s="268"/>
      <c r="PPW632" s="268"/>
      <c r="PQK632" s="268"/>
      <c r="PQL632" s="268"/>
      <c r="PQM632" s="268"/>
      <c r="PRA632" s="268"/>
      <c r="PRC632" s="268"/>
      <c r="PRD632" s="268"/>
      <c r="PRE632" s="268"/>
      <c r="PRF632" s="268"/>
      <c r="PRG632" s="268"/>
      <c r="PRH632" s="268"/>
      <c r="PRI632" s="268"/>
      <c r="PRJ632" s="268"/>
      <c r="PRK632" s="268"/>
      <c r="PRL632" s="268"/>
      <c r="PRM632" s="268"/>
      <c r="PRN632" s="268"/>
      <c r="PRO632" s="268"/>
      <c r="PRP632" s="268"/>
      <c r="PRQ632" s="268"/>
      <c r="PRR632" s="268"/>
      <c r="PRS632" s="268"/>
      <c r="PRT632" s="268"/>
      <c r="PRU632" s="268"/>
      <c r="PRV632" s="268"/>
      <c r="PRW632" s="268"/>
      <c r="PRX632" s="268"/>
      <c r="PRY632" s="268"/>
      <c r="PRZ632" s="268"/>
      <c r="PSA632" s="268"/>
      <c r="PSB632" s="268"/>
      <c r="PSC632" s="268"/>
      <c r="PSD632" s="268"/>
      <c r="PSE632" s="268"/>
      <c r="PSF632" s="268"/>
      <c r="PSG632" s="268"/>
      <c r="PSH632" s="268"/>
      <c r="PSI632" s="268"/>
      <c r="PSJ632" s="268"/>
      <c r="PSK632" s="268"/>
      <c r="PSL632" s="268"/>
      <c r="PSM632" s="268"/>
      <c r="PSN632" s="268"/>
      <c r="PSO632" s="268"/>
      <c r="PSP632" s="268"/>
      <c r="PSQ632" s="268"/>
      <c r="PSR632" s="268"/>
      <c r="PSS632" s="268"/>
      <c r="PST632" s="268"/>
      <c r="PSU632" s="268"/>
      <c r="PSV632" s="268"/>
      <c r="PSW632" s="268"/>
      <c r="PSX632" s="268"/>
      <c r="PSY632" s="268"/>
      <c r="PSZ632" s="268"/>
      <c r="PTA632" s="268"/>
      <c r="PTB632" s="268"/>
      <c r="PTC632" s="268"/>
      <c r="PTD632" s="268"/>
      <c r="PTE632" s="268"/>
      <c r="PTF632" s="268"/>
      <c r="PTG632" s="268"/>
      <c r="PTH632" s="268"/>
      <c r="PTI632" s="268"/>
      <c r="PTJ632" s="268"/>
      <c r="PTK632" s="268"/>
      <c r="PTL632" s="268"/>
      <c r="PTM632" s="268"/>
      <c r="PTN632" s="268"/>
      <c r="PTO632" s="268"/>
      <c r="PTP632" s="268"/>
      <c r="PTQ632" s="268"/>
      <c r="PTR632" s="268"/>
      <c r="PTS632" s="268"/>
      <c r="PTT632" s="268"/>
      <c r="PTU632" s="268"/>
      <c r="PTV632" s="268"/>
      <c r="PTW632" s="268"/>
      <c r="PTX632" s="268"/>
      <c r="PTY632" s="268"/>
      <c r="PTZ632" s="268"/>
      <c r="PUA632" s="268"/>
      <c r="PUB632" s="268"/>
      <c r="PUC632" s="268"/>
      <c r="PUD632" s="268"/>
      <c r="PUE632" s="268"/>
      <c r="PUF632" s="268"/>
      <c r="PUG632" s="268"/>
      <c r="PUH632" s="268"/>
      <c r="PUI632" s="268"/>
      <c r="PUJ632" s="268"/>
      <c r="PUK632" s="268"/>
      <c r="PUL632" s="268"/>
      <c r="PUM632" s="268"/>
      <c r="PUN632" s="268"/>
      <c r="PUO632" s="268"/>
      <c r="PUP632" s="268"/>
      <c r="PUQ632" s="268"/>
      <c r="PUR632" s="268"/>
      <c r="PUS632" s="268"/>
      <c r="PUT632" s="268"/>
      <c r="PUU632" s="268"/>
      <c r="PUV632" s="268"/>
      <c r="PUW632" s="268"/>
      <c r="PUX632" s="268"/>
      <c r="PUY632" s="268"/>
      <c r="PUZ632" s="268"/>
      <c r="PVA632" s="268"/>
      <c r="PVB632" s="268"/>
      <c r="PVC632" s="268"/>
      <c r="PVD632" s="268"/>
      <c r="PVE632" s="268"/>
      <c r="PVF632" s="268"/>
      <c r="PVG632" s="268"/>
      <c r="PVH632" s="268"/>
      <c r="PVI632" s="268"/>
      <c r="PVJ632" s="268"/>
      <c r="PVK632" s="268"/>
      <c r="PVL632" s="268"/>
      <c r="PVM632" s="268"/>
      <c r="PVN632" s="268"/>
      <c r="PVO632" s="268"/>
      <c r="PVP632" s="268"/>
      <c r="PVQ632" s="268"/>
      <c r="PVR632" s="268"/>
      <c r="PVS632" s="268"/>
      <c r="PVT632" s="268"/>
      <c r="PVU632" s="268"/>
      <c r="PVV632" s="268"/>
      <c r="PVW632" s="268"/>
      <c r="PVX632" s="268"/>
      <c r="PVY632" s="268"/>
      <c r="PVZ632" s="268"/>
      <c r="PWA632" s="268"/>
      <c r="PWB632" s="268"/>
      <c r="PWC632" s="268"/>
      <c r="PWD632" s="268"/>
      <c r="PWE632" s="268"/>
      <c r="PWF632" s="268"/>
      <c r="PWG632" s="268"/>
      <c r="PWH632" s="268"/>
      <c r="PWI632" s="268"/>
      <c r="PWJ632" s="268"/>
      <c r="PWK632" s="268"/>
      <c r="PWL632" s="268"/>
      <c r="PWM632" s="268"/>
      <c r="PWN632" s="268"/>
      <c r="PWO632" s="268"/>
      <c r="PWP632" s="268"/>
      <c r="PWQ632" s="268"/>
      <c r="PWR632" s="268"/>
      <c r="PWS632" s="268"/>
      <c r="PWT632" s="268"/>
      <c r="PWU632" s="268"/>
      <c r="PWV632" s="268"/>
      <c r="PWW632" s="268"/>
      <c r="PWX632" s="268"/>
      <c r="PWY632" s="268"/>
      <c r="PWZ632" s="268"/>
      <c r="PXA632" s="268"/>
      <c r="PXB632" s="268"/>
      <c r="PXC632" s="268"/>
      <c r="PXD632" s="268"/>
      <c r="PXE632" s="268"/>
      <c r="PXF632" s="268"/>
      <c r="PXG632" s="268"/>
      <c r="PXH632" s="268"/>
      <c r="PXI632" s="268"/>
      <c r="PXJ632" s="268"/>
      <c r="PXK632" s="268"/>
      <c r="PXL632" s="268"/>
      <c r="PXM632" s="268"/>
      <c r="PXN632" s="268"/>
      <c r="PXO632" s="268"/>
      <c r="PXP632" s="268"/>
      <c r="PXQ632" s="268"/>
      <c r="PXR632" s="268"/>
      <c r="PXS632" s="268"/>
      <c r="PXT632" s="268"/>
      <c r="PXU632" s="268"/>
      <c r="PXV632" s="268"/>
      <c r="PXW632" s="268"/>
      <c r="PXX632" s="268"/>
      <c r="PXY632" s="268"/>
      <c r="PXZ632" s="268"/>
      <c r="PYA632" s="268"/>
      <c r="PYB632" s="268"/>
      <c r="PYC632" s="268"/>
      <c r="PYD632" s="268"/>
      <c r="PYE632" s="268"/>
      <c r="PYF632" s="268"/>
      <c r="PYG632" s="268"/>
      <c r="PYH632" s="268"/>
      <c r="PYI632" s="268"/>
      <c r="PYJ632" s="268"/>
      <c r="PYK632" s="268"/>
      <c r="PYL632" s="268"/>
      <c r="PYM632" s="268"/>
      <c r="PYN632" s="268"/>
      <c r="PYO632" s="268"/>
      <c r="PYP632" s="268"/>
      <c r="PYQ632" s="268"/>
      <c r="PYR632" s="268"/>
      <c r="PYS632" s="268"/>
      <c r="PYT632" s="268"/>
      <c r="PYU632" s="268"/>
      <c r="PYV632" s="268"/>
      <c r="PYW632" s="268"/>
      <c r="PYX632" s="268"/>
      <c r="PYY632" s="268"/>
      <c r="PYZ632" s="268"/>
      <c r="PZA632" s="268"/>
      <c r="PZB632" s="268"/>
      <c r="PZC632" s="268"/>
      <c r="PZD632" s="268"/>
      <c r="PZE632" s="268"/>
      <c r="PZF632" s="268"/>
      <c r="PZG632" s="268"/>
      <c r="PZH632" s="268"/>
      <c r="PZI632" s="268"/>
      <c r="PZJ632" s="268"/>
      <c r="PZK632" s="268"/>
      <c r="PZL632" s="268"/>
      <c r="PZM632" s="268"/>
      <c r="PZN632" s="268"/>
      <c r="PZO632" s="268"/>
      <c r="PZP632" s="268"/>
      <c r="PZQ632" s="268"/>
      <c r="PZR632" s="268"/>
      <c r="PZS632" s="268"/>
      <c r="QAG632" s="268"/>
      <c r="QAH632" s="268"/>
      <c r="QAI632" s="268"/>
      <c r="QAW632" s="268"/>
      <c r="QAY632" s="268"/>
      <c r="QAZ632" s="268"/>
      <c r="QBA632" s="268"/>
      <c r="QBB632" s="268"/>
      <c r="QBC632" s="268"/>
      <c r="QBD632" s="268"/>
      <c r="QBE632" s="268"/>
      <c r="QBF632" s="268"/>
      <c r="QBG632" s="268"/>
      <c r="QBH632" s="268"/>
      <c r="QBI632" s="268"/>
      <c r="QBJ632" s="268"/>
      <c r="QBK632" s="268"/>
      <c r="QBL632" s="268"/>
      <c r="QBM632" s="268"/>
      <c r="QBN632" s="268"/>
      <c r="QBO632" s="268"/>
      <c r="QBP632" s="268"/>
      <c r="QBQ632" s="268"/>
      <c r="QBR632" s="268"/>
      <c r="QBS632" s="268"/>
      <c r="QBT632" s="268"/>
      <c r="QBU632" s="268"/>
      <c r="QBV632" s="268"/>
      <c r="QBW632" s="268"/>
      <c r="QBX632" s="268"/>
      <c r="QBY632" s="268"/>
      <c r="QBZ632" s="268"/>
      <c r="QCA632" s="268"/>
      <c r="QCB632" s="268"/>
      <c r="QCC632" s="268"/>
      <c r="QCD632" s="268"/>
      <c r="QCE632" s="268"/>
      <c r="QCF632" s="268"/>
      <c r="QCG632" s="268"/>
      <c r="QCH632" s="268"/>
      <c r="QCI632" s="268"/>
      <c r="QCJ632" s="268"/>
      <c r="QCK632" s="268"/>
      <c r="QCL632" s="268"/>
      <c r="QCM632" s="268"/>
      <c r="QCN632" s="268"/>
      <c r="QCO632" s="268"/>
      <c r="QCP632" s="268"/>
      <c r="QCQ632" s="268"/>
      <c r="QCR632" s="268"/>
      <c r="QCS632" s="268"/>
      <c r="QCT632" s="268"/>
      <c r="QCU632" s="268"/>
      <c r="QCV632" s="268"/>
      <c r="QCW632" s="268"/>
      <c r="QCX632" s="268"/>
      <c r="QCY632" s="268"/>
      <c r="QCZ632" s="268"/>
      <c r="QDA632" s="268"/>
      <c r="QDB632" s="268"/>
      <c r="QDC632" s="268"/>
      <c r="QDD632" s="268"/>
      <c r="QDE632" s="268"/>
      <c r="QDF632" s="268"/>
      <c r="QDG632" s="268"/>
      <c r="QDH632" s="268"/>
      <c r="QDI632" s="268"/>
      <c r="QDJ632" s="268"/>
      <c r="QDK632" s="268"/>
      <c r="QDL632" s="268"/>
      <c r="QDM632" s="268"/>
      <c r="QDN632" s="268"/>
      <c r="QDO632" s="268"/>
      <c r="QDP632" s="268"/>
      <c r="QDQ632" s="268"/>
      <c r="QDR632" s="268"/>
      <c r="QDS632" s="268"/>
      <c r="QDT632" s="268"/>
      <c r="QDU632" s="268"/>
      <c r="QDV632" s="268"/>
      <c r="QDW632" s="268"/>
      <c r="QDX632" s="268"/>
      <c r="QDY632" s="268"/>
      <c r="QDZ632" s="268"/>
      <c r="QEA632" s="268"/>
      <c r="QEB632" s="268"/>
      <c r="QEC632" s="268"/>
      <c r="QED632" s="268"/>
      <c r="QEE632" s="268"/>
      <c r="QEF632" s="268"/>
      <c r="QEG632" s="268"/>
      <c r="QEH632" s="268"/>
      <c r="QEI632" s="268"/>
      <c r="QEJ632" s="268"/>
      <c r="QEK632" s="268"/>
      <c r="QEL632" s="268"/>
      <c r="QEM632" s="268"/>
      <c r="QEN632" s="268"/>
      <c r="QEO632" s="268"/>
      <c r="QEP632" s="268"/>
      <c r="QEQ632" s="268"/>
      <c r="QER632" s="268"/>
      <c r="QES632" s="268"/>
      <c r="QET632" s="268"/>
      <c r="QEU632" s="268"/>
      <c r="QEV632" s="268"/>
      <c r="QEW632" s="268"/>
      <c r="QEX632" s="268"/>
      <c r="QEY632" s="268"/>
      <c r="QEZ632" s="268"/>
      <c r="QFA632" s="268"/>
      <c r="QFB632" s="268"/>
      <c r="QFC632" s="268"/>
      <c r="QFD632" s="268"/>
      <c r="QFE632" s="268"/>
      <c r="QFF632" s="268"/>
      <c r="QFG632" s="268"/>
      <c r="QFH632" s="268"/>
      <c r="QFI632" s="268"/>
      <c r="QFJ632" s="268"/>
      <c r="QFK632" s="268"/>
      <c r="QFL632" s="268"/>
      <c r="QFM632" s="268"/>
      <c r="QFN632" s="268"/>
      <c r="QFO632" s="268"/>
      <c r="QFP632" s="268"/>
      <c r="QFQ632" s="268"/>
      <c r="QFR632" s="268"/>
      <c r="QFS632" s="268"/>
      <c r="QFT632" s="268"/>
      <c r="QFU632" s="268"/>
      <c r="QFV632" s="268"/>
      <c r="QFW632" s="268"/>
      <c r="QFX632" s="268"/>
      <c r="QFY632" s="268"/>
      <c r="QFZ632" s="268"/>
      <c r="QGA632" s="268"/>
      <c r="QGB632" s="268"/>
      <c r="QGC632" s="268"/>
      <c r="QGD632" s="268"/>
      <c r="QGE632" s="268"/>
      <c r="QGF632" s="268"/>
      <c r="QGG632" s="268"/>
      <c r="QGH632" s="268"/>
      <c r="QGI632" s="268"/>
      <c r="QGJ632" s="268"/>
      <c r="QGK632" s="268"/>
      <c r="QGL632" s="268"/>
      <c r="QGM632" s="268"/>
      <c r="QGN632" s="268"/>
      <c r="QGO632" s="268"/>
      <c r="QGP632" s="268"/>
      <c r="QGQ632" s="268"/>
      <c r="QGR632" s="268"/>
      <c r="QGS632" s="268"/>
      <c r="QGT632" s="268"/>
      <c r="QGU632" s="268"/>
      <c r="QGV632" s="268"/>
      <c r="QGW632" s="268"/>
      <c r="QGX632" s="268"/>
      <c r="QGY632" s="268"/>
      <c r="QGZ632" s="268"/>
      <c r="QHA632" s="268"/>
      <c r="QHB632" s="268"/>
      <c r="QHC632" s="268"/>
      <c r="QHD632" s="268"/>
      <c r="QHE632" s="268"/>
      <c r="QHF632" s="268"/>
      <c r="QHG632" s="268"/>
      <c r="QHH632" s="268"/>
      <c r="QHI632" s="268"/>
      <c r="QHJ632" s="268"/>
      <c r="QHK632" s="268"/>
      <c r="QHL632" s="268"/>
      <c r="QHM632" s="268"/>
      <c r="QHN632" s="268"/>
      <c r="QHO632" s="268"/>
      <c r="QHP632" s="268"/>
      <c r="QHQ632" s="268"/>
      <c r="QHR632" s="268"/>
      <c r="QHS632" s="268"/>
      <c r="QHT632" s="268"/>
      <c r="QHU632" s="268"/>
      <c r="QHV632" s="268"/>
      <c r="QHW632" s="268"/>
      <c r="QHX632" s="268"/>
      <c r="QHY632" s="268"/>
      <c r="QHZ632" s="268"/>
      <c r="QIA632" s="268"/>
      <c r="QIB632" s="268"/>
      <c r="QIC632" s="268"/>
      <c r="QID632" s="268"/>
      <c r="QIE632" s="268"/>
      <c r="QIF632" s="268"/>
      <c r="QIG632" s="268"/>
      <c r="QIH632" s="268"/>
      <c r="QII632" s="268"/>
      <c r="QIJ632" s="268"/>
      <c r="QIK632" s="268"/>
      <c r="QIL632" s="268"/>
      <c r="QIM632" s="268"/>
      <c r="QIN632" s="268"/>
      <c r="QIO632" s="268"/>
      <c r="QIP632" s="268"/>
      <c r="QIQ632" s="268"/>
      <c r="QIR632" s="268"/>
      <c r="QIS632" s="268"/>
      <c r="QIT632" s="268"/>
      <c r="QIU632" s="268"/>
      <c r="QIV632" s="268"/>
      <c r="QIW632" s="268"/>
      <c r="QIX632" s="268"/>
      <c r="QIY632" s="268"/>
      <c r="QIZ632" s="268"/>
      <c r="QJA632" s="268"/>
      <c r="QJB632" s="268"/>
      <c r="QJC632" s="268"/>
      <c r="QJD632" s="268"/>
      <c r="QJE632" s="268"/>
      <c r="QJF632" s="268"/>
      <c r="QJG632" s="268"/>
      <c r="QJH632" s="268"/>
      <c r="QJI632" s="268"/>
      <c r="QJJ632" s="268"/>
      <c r="QJK632" s="268"/>
      <c r="QJL632" s="268"/>
      <c r="QJM632" s="268"/>
      <c r="QJN632" s="268"/>
      <c r="QJO632" s="268"/>
      <c r="QKC632" s="268"/>
      <c r="QKD632" s="268"/>
      <c r="QKE632" s="268"/>
      <c r="QKS632" s="268"/>
      <c r="QKU632" s="268"/>
      <c r="QKV632" s="268"/>
      <c r="QKW632" s="268"/>
      <c r="QKX632" s="268"/>
      <c r="QKY632" s="268"/>
      <c r="QKZ632" s="268"/>
      <c r="QLA632" s="268"/>
      <c r="QLB632" s="268"/>
      <c r="QLC632" s="268"/>
      <c r="QLD632" s="268"/>
      <c r="QLE632" s="268"/>
      <c r="QLF632" s="268"/>
      <c r="QLG632" s="268"/>
      <c r="QLH632" s="268"/>
      <c r="QLI632" s="268"/>
      <c r="QLJ632" s="268"/>
      <c r="QLK632" s="268"/>
      <c r="QLL632" s="268"/>
      <c r="QLM632" s="268"/>
      <c r="QLN632" s="268"/>
      <c r="QLO632" s="268"/>
      <c r="QLP632" s="268"/>
      <c r="QLQ632" s="268"/>
      <c r="QLR632" s="268"/>
      <c r="QLS632" s="268"/>
      <c r="QLT632" s="268"/>
      <c r="QLU632" s="268"/>
      <c r="QLV632" s="268"/>
      <c r="QLW632" s="268"/>
      <c r="QLX632" s="268"/>
      <c r="QLY632" s="268"/>
      <c r="QLZ632" s="268"/>
      <c r="QMA632" s="268"/>
      <c r="QMB632" s="268"/>
      <c r="QMC632" s="268"/>
      <c r="QMD632" s="268"/>
      <c r="QME632" s="268"/>
      <c r="QMF632" s="268"/>
      <c r="QMG632" s="268"/>
      <c r="QMH632" s="268"/>
      <c r="QMI632" s="268"/>
      <c r="QMJ632" s="268"/>
      <c r="QMK632" s="268"/>
      <c r="QML632" s="268"/>
      <c r="QMM632" s="268"/>
      <c r="QMN632" s="268"/>
      <c r="QMO632" s="268"/>
      <c r="QMP632" s="268"/>
      <c r="QMQ632" s="268"/>
      <c r="QMR632" s="268"/>
      <c r="QMS632" s="268"/>
      <c r="QMT632" s="268"/>
      <c r="QMU632" s="268"/>
      <c r="QMV632" s="268"/>
      <c r="QMW632" s="268"/>
      <c r="QMX632" s="268"/>
      <c r="QMY632" s="268"/>
      <c r="QMZ632" s="268"/>
      <c r="QNA632" s="268"/>
      <c r="QNB632" s="268"/>
      <c r="QNC632" s="268"/>
      <c r="QND632" s="268"/>
      <c r="QNE632" s="268"/>
      <c r="QNF632" s="268"/>
      <c r="QNG632" s="268"/>
      <c r="QNH632" s="268"/>
      <c r="QNI632" s="268"/>
      <c r="QNJ632" s="268"/>
      <c r="QNK632" s="268"/>
      <c r="QNL632" s="268"/>
      <c r="QNM632" s="268"/>
      <c r="QNN632" s="268"/>
      <c r="QNO632" s="268"/>
      <c r="QNP632" s="268"/>
      <c r="QNQ632" s="268"/>
      <c r="QNR632" s="268"/>
      <c r="QNS632" s="268"/>
      <c r="QNT632" s="268"/>
      <c r="QNU632" s="268"/>
      <c r="QNV632" s="268"/>
      <c r="QNW632" s="268"/>
      <c r="QNX632" s="268"/>
      <c r="QNY632" s="268"/>
      <c r="QNZ632" s="268"/>
      <c r="QOA632" s="268"/>
      <c r="QOB632" s="268"/>
      <c r="QOC632" s="268"/>
      <c r="QOD632" s="268"/>
      <c r="QOE632" s="268"/>
      <c r="QOF632" s="268"/>
      <c r="QOG632" s="268"/>
      <c r="QOH632" s="268"/>
      <c r="QOI632" s="268"/>
      <c r="QOJ632" s="268"/>
      <c r="QOK632" s="268"/>
      <c r="QOL632" s="268"/>
      <c r="QOM632" s="268"/>
      <c r="QON632" s="268"/>
      <c r="QOO632" s="268"/>
      <c r="QOP632" s="268"/>
      <c r="QOQ632" s="268"/>
      <c r="QOR632" s="268"/>
      <c r="QOS632" s="268"/>
      <c r="QOT632" s="268"/>
      <c r="QOU632" s="268"/>
      <c r="QOV632" s="268"/>
      <c r="QOW632" s="268"/>
      <c r="QOX632" s="268"/>
      <c r="QOY632" s="268"/>
      <c r="QOZ632" s="268"/>
      <c r="QPA632" s="268"/>
      <c r="QPB632" s="268"/>
      <c r="QPC632" s="268"/>
      <c r="QPD632" s="268"/>
      <c r="QPE632" s="268"/>
      <c r="QPF632" s="268"/>
      <c r="QPG632" s="268"/>
      <c r="QPH632" s="268"/>
      <c r="QPI632" s="268"/>
      <c r="QPJ632" s="268"/>
      <c r="QPK632" s="268"/>
      <c r="QPL632" s="268"/>
      <c r="QPM632" s="268"/>
      <c r="QPN632" s="268"/>
      <c r="QPO632" s="268"/>
      <c r="QPP632" s="268"/>
      <c r="QPQ632" s="268"/>
      <c r="QPR632" s="268"/>
      <c r="QPS632" s="268"/>
      <c r="QPT632" s="268"/>
      <c r="QPU632" s="268"/>
      <c r="QPV632" s="268"/>
      <c r="QPW632" s="268"/>
      <c r="QPX632" s="268"/>
      <c r="QPY632" s="268"/>
      <c r="QPZ632" s="268"/>
      <c r="QQA632" s="268"/>
      <c r="QQB632" s="268"/>
      <c r="QQC632" s="268"/>
      <c r="QQD632" s="268"/>
      <c r="QQE632" s="268"/>
      <c r="QQF632" s="268"/>
      <c r="QQG632" s="268"/>
      <c r="QQH632" s="268"/>
      <c r="QQI632" s="268"/>
      <c r="QQJ632" s="268"/>
      <c r="QQK632" s="268"/>
      <c r="QQL632" s="268"/>
      <c r="QQM632" s="268"/>
      <c r="QQN632" s="268"/>
      <c r="QQO632" s="268"/>
      <c r="QQP632" s="268"/>
      <c r="QQQ632" s="268"/>
      <c r="QQR632" s="268"/>
      <c r="QQS632" s="268"/>
      <c r="QQT632" s="268"/>
      <c r="QQU632" s="268"/>
      <c r="QQV632" s="268"/>
      <c r="QQW632" s="268"/>
      <c r="QQX632" s="268"/>
      <c r="QQY632" s="268"/>
      <c r="QQZ632" s="268"/>
      <c r="QRA632" s="268"/>
      <c r="QRB632" s="268"/>
      <c r="QRC632" s="268"/>
      <c r="QRD632" s="268"/>
      <c r="QRE632" s="268"/>
      <c r="QRF632" s="268"/>
      <c r="QRG632" s="268"/>
      <c r="QRH632" s="268"/>
      <c r="QRI632" s="268"/>
      <c r="QRJ632" s="268"/>
      <c r="QRK632" s="268"/>
      <c r="QRL632" s="268"/>
      <c r="QRM632" s="268"/>
      <c r="QRN632" s="268"/>
      <c r="QRO632" s="268"/>
      <c r="QRP632" s="268"/>
      <c r="QRQ632" s="268"/>
      <c r="QRR632" s="268"/>
      <c r="QRS632" s="268"/>
      <c r="QRT632" s="268"/>
      <c r="QRU632" s="268"/>
      <c r="QRV632" s="268"/>
      <c r="QRW632" s="268"/>
      <c r="QRX632" s="268"/>
      <c r="QRY632" s="268"/>
      <c r="QRZ632" s="268"/>
      <c r="QSA632" s="268"/>
      <c r="QSB632" s="268"/>
      <c r="QSC632" s="268"/>
      <c r="QSD632" s="268"/>
      <c r="QSE632" s="268"/>
      <c r="QSF632" s="268"/>
      <c r="QSG632" s="268"/>
      <c r="QSH632" s="268"/>
      <c r="QSI632" s="268"/>
      <c r="QSJ632" s="268"/>
      <c r="QSK632" s="268"/>
      <c r="QSL632" s="268"/>
      <c r="QSM632" s="268"/>
      <c r="QSN632" s="268"/>
      <c r="QSO632" s="268"/>
      <c r="QSP632" s="268"/>
      <c r="QSQ632" s="268"/>
      <c r="QSR632" s="268"/>
      <c r="QSS632" s="268"/>
      <c r="QST632" s="268"/>
      <c r="QSU632" s="268"/>
      <c r="QSV632" s="268"/>
      <c r="QSW632" s="268"/>
      <c r="QSX632" s="268"/>
      <c r="QSY632" s="268"/>
      <c r="QSZ632" s="268"/>
      <c r="QTA632" s="268"/>
      <c r="QTB632" s="268"/>
      <c r="QTC632" s="268"/>
      <c r="QTD632" s="268"/>
      <c r="QTE632" s="268"/>
      <c r="QTF632" s="268"/>
      <c r="QTG632" s="268"/>
      <c r="QTH632" s="268"/>
      <c r="QTI632" s="268"/>
      <c r="QTJ632" s="268"/>
      <c r="QTK632" s="268"/>
      <c r="QTY632" s="268"/>
      <c r="QTZ632" s="268"/>
      <c r="QUA632" s="268"/>
      <c r="QUO632" s="268"/>
      <c r="QUQ632" s="268"/>
      <c r="QUR632" s="268"/>
      <c r="QUS632" s="268"/>
      <c r="QUT632" s="268"/>
      <c r="QUU632" s="268"/>
      <c r="QUV632" s="268"/>
      <c r="QUW632" s="268"/>
      <c r="QUX632" s="268"/>
      <c r="QUY632" s="268"/>
      <c r="QUZ632" s="268"/>
      <c r="QVA632" s="268"/>
      <c r="QVB632" s="268"/>
      <c r="QVC632" s="268"/>
      <c r="QVD632" s="268"/>
      <c r="QVE632" s="268"/>
      <c r="QVF632" s="268"/>
      <c r="QVG632" s="268"/>
      <c r="QVH632" s="268"/>
      <c r="QVI632" s="268"/>
      <c r="QVJ632" s="268"/>
      <c r="QVK632" s="268"/>
      <c r="QVL632" s="268"/>
      <c r="QVM632" s="268"/>
      <c r="QVN632" s="268"/>
      <c r="QVO632" s="268"/>
      <c r="QVP632" s="268"/>
      <c r="QVQ632" s="268"/>
      <c r="QVR632" s="268"/>
      <c r="QVS632" s="268"/>
      <c r="QVT632" s="268"/>
      <c r="QVU632" s="268"/>
      <c r="QVV632" s="268"/>
      <c r="QVW632" s="268"/>
      <c r="QVX632" s="268"/>
      <c r="QVY632" s="268"/>
      <c r="QVZ632" s="268"/>
      <c r="QWA632" s="268"/>
      <c r="QWB632" s="268"/>
      <c r="QWC632" s="268"/>
      <c r="QWD632" s="268"/>
      <c r="QWE632" s="268"/>
      <c r="QWF632" s="268"/>
      <c r="QWG632" s="268"/>
      <c r="QWH632" s="268"/>
      <c r="QWI632" s="268"/>
      <c r="QWJ632" s="268"/>
      <c r="QWK632" s="268"/>
      <c r="QWL632" s="268"/>
      <c r="QWM632" s="268"/>
      <c r="QWN632" s="268"/>
      <c r="QWO632" s="268"/>
      <c r="QWP632" s="268"/>
      <c r="QWQ632" s="268"/>
      <c r="QWR632" s="268"/>
      <c r="QWS632" s="268"/>
      <c r="QWT632" s="268"/>
      <c r="QWU632" s="268"/>
      <c r="QWV632" s="268"/>
      <c r="QWW632" s="268"/>
      <c r="QWX632" s="268"/>
      <c r="QWY632" s="268"/>
      <c r="QWZ632" s="268"/>
      <c r="QXA632" s="268"/>
      <c r="QXB632" s="268"/>
      <c r="QXC632" s="268"/>
      <c r="QXD632" s="268"/>
      <c r="QXE632" s="268"/>
      <c r="QXF632" s="268"/>
      <c r="QXG632" s="268"/>
      <c r="QXH632" s="268"/>
      <c r="QXI632" s="268"/>
      <c r="QXJ632" s="268"/>
      <c r="QXK632" s="268"/>
      <c r="QXL632" s="268"/>
      <c r="QXM632" s="268"/>
      <c r="QXN632" s="268"/>
      <c r="QXO632" s="268"/>
      <c r="QXP632" s="268"/>
      <c r="QXQ632" s="268"/>
      <c r="QXR632" s="268"/>
      <c r="QXS632" s="268"/>
      <c r="QXT632" s="268"/>
      <c r="QXU632" s="268"/>
      <c r="QXV632" s="268"/>
      <c r="QXW632" s="268"/>
      <c r="QXX632" s="268"/>
      <c r="QXY632" s="268"/>
      <c r="QXZ632" s="268"/>
      <c r="QYA632" s="268"/>
      <c r="QYB632" s="268"/>
      <c r="QYC632" s="268"/>
      <c r="QYD632" s="268"/>
      <c r="QYE632" s="268"/>
      <c r="QYF632" s="268"/>
      <c r="QYG632" s="268"/>
      <c r="QYH632" s="268"/>
      <c r="QYI632" s="268"/>
      <c r="QYJ632" s="268"/>
      <c r="QYK632" s="268"/>
      <c r="QYL632" s="268"/>
      <c r="QYM632" s="268"/>
      <c r="QYN632" s="268"/>
      <c r="QYO632" s="268"/>
      <c r="QYP632" s="268"/>
      <c r="QYQ632" s="268"/>
      <c r="QYR632" s="268"/>
      <c r="QYS632" s="268"/>
      <c r="QYT632" s="268"/>
      <c r="QYU632" s="268"/>
      <c r="QYV632" s="268"/>
      <c r="QYW632" s="268"/>
      <c r="QYX632" s="268"/>
      <c r="QYY632" s="268"/>
      <c r="QYZ632" s="268"/>
      <c r="QZA632" s="268"/>
      <c r="QZB632" s="268"/>
      <c r="QZC632" s="268"/>
      <c r="QZD632" s="268"/>
      <c r="QZE632" s="268"/>
      <c r="QZF632" s="268"/>
      <c r="QZG632" s="268"/>
      <c r="QZH632" s="268"/>
      <c r="QZI632" s="268"/>
      <c r="QZJ632" s="268"/>
      <c r="QZK632" s="268"/>
      <c r="QZL632" s="268"/>
      <c r="QZM632" s="268"/>
      <c r="QZN632" s="268"/>
      <c r="QZO632" s="268"/>
      <c r="QZP632" s="268"/>
      <c r="QZQ632" s="268"/>
      <c r="QZR632" s="268"/>
      <c r="QZS632" s="268"/>
      <c r="QZT632" s="268"/>
      <c r="QZU632" s="268"/>
      <c r="QZV632" s="268"/>
      <c r="QZW632" s="268"/>
      <c r="QZX632" s="268"/>
      <c r="QZY632" s="268"/>
      <c r="QZZ632" s="268"/>
      <c r="RAA632" s="268"/>
      <c r="RAB632" s="268"/>
      <c r="RAC632" s="268"/>
      <c r="RAD632" s="268"/>
      <c r="RAE632" s="268"/>
      <c r="RAF632" s="268"/>
      <c r="RAG632" s="268"/>
      <c r="RAH632" s="268"/>
      <c r="RAI632" s="268"/>
      <c r="RAJ632" s="268"/>
      <c r="RAK632" s="268"/>
      <c r="RAL632" s="268"/>
      <c r="RAM632" s="268"/>
      <c r="RAN632" s="268"/>
      <c r="RAO632" s="268"/>
      <c r="RAP632" s="268"/>
      <c r="RAQ632" s="268"/>
      <c r="RAR632" s="268"/>
      <c r="RAS632" s="268"/>
      <c r="RAT632" s="268"/>
      <c r="RAU632" s="268"/>
      <c r="RAV632" s="268"/>
      <c r="RAW632" s="268"/>
      <c r="RAX632" s="268"/>
      <c r="RAY632" s="268"/>
      <c r="RAZ632" s="268"/>
      <c r="RBA632" s="268"/>
      <c r="RBB632" s="268"/>
      <c r="RBC632" s="268"/>
      <c r="RBD632" s="268"/>
      <c r="RBE632" s="268"/>
      <c r="RBF632" s="268"/>
      <c r="RBG632" s="268"/>
      <c r="RBH632" s="268"/>
      <c r="RBI632" s="268"/>
      <c r="RBJ632" s="268"/>
      <c r="RBK632" s="268"/>
      <c r="RBL632" s="268"/>
      <c r="RBM632" s="268"/>
      <c r="RBN632" s="268"/>
      <c r="RBO632" s="268"/>
      <c r="RBP632" s="268"/>
      <c r="RBQ632" s="268"/>
      <c r="RBR632" s="268"/>
      <c r="RBS632" s="268"/>
      <c r="RBT632" s="268"/>
      <c r="RBU632" s="268"/>
      <c r="RBV632" s="268"/>
      <c r="RBW632" s="268"/>
      <c r="RBX632" s="268"/>
      <c r="RBY632" s="268"/>
      <c r="RBZ632" s="268"/>
      <c r="RCA632" s="268"/>
      <c r="RCB632" s="268"/>
      <c r="RCC632" s="268"/>
      <c r="RCD632" s="268"/>
      <c r="RCE632" s="268"/>
      <c r="RCF632" s="268"/>
      <c r="RCG632" s="268"/>
      <c r="RCH632" s="268"/>
      <c r="RCI632" s="268"/>
      <c r="RCJ632" s="268"/>
      <c r="RCK632" s="268"/>
      <c r="RCL632" s="268"/>
      <c r="RCM632" s="268"/>
      <c r="RCN632" s="268"/>
      <c r="RCO632" s="268"/>
      <c r="RCP632" s="268"/>
      <c r="RCQ632" s="268"/>
      <c r="RCR632" s="268"/>
      <c r="RCS632" s="268"/>
      <c r="RCT632" s="268"/>
      <c r="RCU632" s="268"/>
      <c r="RCV632" s="268"/>
      <c r="RCW632" s="268"/>
      <c r="RCX632" s="268"/>
      <c r="RCY632" s="268"/>
      <c r="RCZ632" s="268"/>
      <c r="RDA632" s="268"/>
      <c r="RDB632" s="268"/>
      <c r="RDC632" s="268"/>
      <c r="RDD632" s="268"/>
      <c r="RDE632" s="268"/>
      <c r="RDF632" s="268"/>
      <c r="RDG632" s="268"/>
      <c r="RDU632" s="268"/>
      <c r="RDV632" s="268"/>
      <c r="RDW632" s="268"/>
      <c r="REK632" s="268"/>
      <c r="REM632" s="268"/>
      <c r="REN632" s="268"/>
      <c r="REO632" s="268"/>
      <c r="REP632" s="268"/>
      <c r="REQ632" s="268"/>
      <c r="RER632" s="268"/>
      <c r="RES632" s="268"/>
      <c r="RET632" s="268"/>
      <c r="REU632" s="268"/>
      <c r="REV632" s="268"/>
      <c r="REW632" s="268"/>
      <c r="REX632" s="268"/>
      <c r="REY632" s="268"/>
      <c r="REZ632" s="268"/>
      <c r="RFA632" s="268"/>
      <c r="RFB632" s="268"/>
      <c r="RFC632" s="268"/>
      <c r="RFD632" s="268"/>
      <c r="RFE632" s="268"/>
      <c r="RFF632" s="268"/>
      <c r="RFG632" s="268"/>
      <c r="RFH632" s="268"/>
      <c r="RFI632" s="268"/>
      <c r="RFJ632" s="268"/>
      <c r="RFK632" s="268"/>
      <c r="RFL632" s="268"/>
      <c r="RFM632" s="268"/>
      <c r="RFN632" s="268"/>
      <c r="RFO632" s="268"/>
      <c r="RFP632" s="268"/>
      <c r="RFQ632" s="268"/>
      <c r="RFR632" s="268"/>
      <c r="RFS632" s="268"/>
      <c r="RFT632" s="268"/>
      <c r="RFU632" s="268"/>
      <c r="RFV632" s="268"/>
      <c r="RFW632" s="268"/>
      <c r="RFX632" s="268"/>
      <c r="RFY632" s="268"/>
      <c r="RFZ632" s="268"/>
      <c r="RGA632" s="268"/>
      <c r="RGB632" s="268"/>
      <c r="RGC632" s="268"/>
      <c r="RGD632" s="268"/>
      <c r="RGE632" s="268"/>
      <c r="RGF632" s="268"/>
      <c r="RGG632" s="268"/>
      <c r="RGH632" s="268"/>
      <c r="RGI632" s="268"/>
      <c r="RGJ632" s="268"/>
      <c r="RGK632" s="268"/>
      <c r="RGL632" s="268"/>
      <c r="RGM632" s="268"/>
      <c r="RGN632" s="268"/>
      <c r="RGO632" s="268"/>
      <c r="RGP632" s="268"/>
      <c r="RGQ632" s="268"/>
      <c r="RGR632" s="268"/>
      <c r="RGS632" s="268"/>
      <c r="RGT632" s="268"/>
      <c r="RGU632" s="268"/>
      <c r="RGV632" s="268"/>
      <c r="RGW632" s="268"/>
      <c r="RGX632" s="268"/>
      <c r="RGY632" s="268"/>
      <c r="RGZ632" s="268"/>
      <c r="RHA632" s="268"/>
      <c r="RHB632" s="268"/>
      <c r="RHC632" s="268"/>
      <c r="RHD632" s="268"/>
      <c r="RHE632" s="268"/>
      <c r="RHF632" s="268"/>
      <c r="RHG632" s="268"/>
      <c r="RHH632" s="268"/>
      <c r="RHI632" s="268"/>
      <c r="RHJ632" s="268"/>
      <c r="RHK632" s="268"/>
      <c r="RHL632" s="268"/>
      <c r="RHM632" s="268"/>
      <c r="RHN632" s="268"/>
      <c r="RHO632" s="268"/>
      <c r="RHP632" s="268"/>
      <c r="RHQ632" s="268"/>
      <c r="RHR632" s="268"/>
      <c r="RHS632" s="268"/>
      <c r="RHT632" s="268"/>
      <c r="RHU632" s="268"/>
      <c r="RHV632" s="268"/>
      <c r="RHW632" s="268"/>
      <c r="RHX632" s="268"/>
      <c r="RHY632" s="268"/>
      <c r="RHZ632" s="268"/>
      <c r="RIA632" s="268"/>
      <c r="RIB632" s="268"/>
      <c r="RIC632" s="268"/>
      <c r="RID632" s="268"/>
      <c r="RIE632" s="268"/>
      <c r="RIF632" s="268"/>
      <c r="RIG632" s="268"/>
      <c r="RIH632" s="268"/>
      <c r="RII632" s="268"/>
      <c r="RIJ632" s="268"/>
      <c r="RIK632" s="268"/>
      <c r="RIL632" s="268"/>
      <c r="RIM632" s="268"/>
      <c r="RIN632" s="268"/>
      <c r="RIO632" s="268"/>
      <c r="RIP632" s="268"/>
      <c r="RIQ632" s="268"/>
      <c r="RIR632" s="268"/>
      <c r="RIS632" s="268"/>
      <c r="RIT632" s="268"/>
      <c r="RIU632" s="268"/>
      <c r="RIV632" s="268"/>
      <c r="RIW632" s="268"/>
      <c r="RIX632" s="268"/>
      <c r="RIY632" s="268"/>
      <c r="RIZ632" s="268"/>
      <c r="RJA632" s="268"/>
      <c r="RJB632" s="268"/>
      <c r="RJC632" s="268"/>
      <c r="RJD632" s="268"/>
      <c r="RJE632" s="268"/>
      <c r="RJF632" s="268"/>
      <c r="RJG632" s="268"/>
      <c r="RJH632" s="268"/>
      <c r="RJI632" s="268"/>
      <c r="RJJ632" s="268"/>
      <c r="RJK632" s="268"/>
      <c r="RJL632" s="268"/>
      <c r="RJM632" s="268"/>
      <c r="RJN632" s="268"/>
      <c r="RJO632" s="268"/>
      <c r="RJP632" s="268"/>
      <c r="RJQ632" s="268"/>
      <c r="RJR632" s="268"/>
      <c r="RJS632" s="268"/>
      <c r="RJT632" s="268"/>
      <c r="RJU632" s="268"/>
      <c r="RJV632" s="268"/>
      <c r="RJW632" s="268"/>
      <c r="RJX632" s="268"/>
      <c r="RJY632" s="268"/>
      <c r="RJZ632" s="268"/>
      <c r="RKA632" s="268"/>
      <c r="RKB632" s="268"/>
      <c r="RKC632" s="268"/>
      <c r="RKD632" s="268"/>
      <c r="RKE632" s="268"/>
      <c r="RKF632" s="268"/>
      <c r="RKG632" s="268"/>
      <c r="RKH632" s="268"/>
      <c r="RKI632" s="268"/>
      <c r="RKJ632" s="268"/>
      <c r="RKK632" s="268"/>
      <c r="RKL632" s="268"/>
      <c r="RKM632" s="268"/>
      <c r="RKN632" s="268"/>
      <c r="RKO632" s="268"/>
      <c r="RKP632" s="268"/>
      <c r="RKQ632" s="268"/>
      <c r="RKR632" s="268"/>
      <c r="RKS632" s="268"/>
      <c r="RKT632" s="268"/>
      <c r="RKU632" s="268"/>
      <c r="RKV632" s="268"/>
      <c r="RKW632" s="268"/>
      <c r="RKX632" s="268"/>
      <c r="RKY632" s="268"/>
      <c r="RKZ632" s="268"/>
      <c r="RLA632" s="268"/>
      <c r="RLB632" s="268"/>
      <c r="RLC632" s="268"/>
      <c r="RLD632" s="268"/>
      <c r="RLE632" s="268"/>
      <c r="RLF632" s="268"/>
      <c r="RLG632" s="268"/>
      <c r="RLH632" s="268"/>
      <c r="RLI632" s="268"/>
      <c r="RLJ632" s="268"/>
      <c r="RLK632" s="268"/>
      <c r="RLL632" s="268"/>
      <c r="RLM632" s="268"/>
      <c r="RLN632" s="268"/>
      <c r="RLO632" s="268"/>
      <c r="RLP632" s="268"/>
      <c r="RLQ632" s="268"/>
      <c r="RLR632" s="268"/>
      <c r="RLS632" s="268"/>
      <c r="RLT632" s="268"/>
      <c r="RLU632" s="268"/>
      <c r="RLV632" s="268"/>
      <c r="RLW632" s="268"/>
      <c r="RLX632" s="268"/>
      <c r="RLY632" s="268"/>
      <c r="RLZ632" s="268"/>
      <c r="RMA632" s="268"/>
      <c r="RMB632" s="268"/>
      <c r="RMC632" s="268"/>
      <c r="RMD632" s="268"/>
      <c r="RME632" s="268"/>
      <c r="RMF632" s="268"/>
      <c r="RMG632" s="268"/>
      <c r="RMH632" s="268"/>
      <c r="RMI632" s="268"/>
      <c r="RMJ632" s="268"/>
      <c r="RMK632" s="268"/>
      <c r="RML632" s="268"/>
      <c r="RMM632" s="268"/>
      <c r="RMN632" s="268"/>
      <c r="RMO632" s="268"/>
      <c r="RMP632" s="268"/>
      <c r="RMQ632" s="268"/>
      <c r="RMR632" s="268"/>
      <c r="RMS632" s="268"/>
      <c r="RMT632" s="268"/>
      <c r="RMU632" s="268"/>
      <c r="RMV632" s="268"/>
      <c r="RMW632" s="268"/>
      <c r="RMX632" s="268"/>
      <c r="RMY632" s="268"/>
      <c r="RMZ632" s="268"/>
      <c r="RNA632" s="268"/>
      <c r="RNB632" s="268"/>
      <c r="RNC632" s="268"/>
      <c r="RNQ632" s="268"/>
      <c r="RNR632" s="268"/>
      <c r="RNS632" s="268"/>
      <c r="ROG632" s="268"/>
      <c r="ROI632" s="268"/>
      <c r="ROJ632" s="268"/>
      <c r="ROK632" s="268"/>
      <c r="ROL632" s="268"/>
      <c r="ROM632" s="268"/>
      <c r="RON632" s="268"/>
      <c r="ROO632" s="268"/>
      <c r="ROP632" s="268"/>
      <c r="ROQ632" s="268"/>
      <c r="ROR632" s="268"/>
      <c r="ROS632" s="268"/>
      <c r="ROT632" s="268"/>
      <c r="ROU632" s="268"/>
      <c r="ROV632" s="268"/>
      <c r="ROW632" s="268"/>
      <c r="ROX632" s="268"/>
      <c r="ROY632" s="268"/>
      <c r="ROZ632" s="268"/>
      <c r="RPA632" s="268"/>
      <c r="RPB632" s="268"/>
      <c r="RPC632" s="268"/>
      <c r="RPD632" s="268"/>
      <c r="RPE632" s="268"/>
      <c r="RPF632" s="268"/>
      <c r="RPG632" s="268"/>
      <c r="RPH632" s="268"/>
      <c r="RPI632" s="268"/>
      <c r="RPJ632" s="268"/>
      <c r="RPK632" s="268"/>
      <c r="RPL632" s="268"/>
      <c r="RPM632" s="268"/>
      <c r="RPN632" s="268"/>
      <c r="RPO632" s="268"/>
      <c r="RPP632" s="268"/>
      <c r="RPQ632" s="268"/>
      <c r="RPR632" s="268"/>
      <c r="RPS632" s="268"/>
      <c r="RPT632" s="268"/>
      <c r="RPU632" s="268"/>
      <c r="RPV632" s="268"/>
      <c r="RPW632" s="268"/>
      <c r="RPX632" s="268"/>
      <c r="RPY632" s="268"/>
      <c r="RPZ632" s="268"/>
      <c r="RQA632" s="268"/>
      <c r="RQB632" s="268"/>
      <c r="RQC632" s="268"/>
      <c r="RQD632" s="268"/>
      <c r="RQE632" s="268"/>
      <c r="RQF632" s="268"/>
      <c r="RQG632" s="268"/>
      <c r="RQH632" s="268"/>
      <c r="RQI632" s="268"/>
      <c r="RQJ632" s="268"/>
      <c r="RQK632" s="268"/>
      <c r="RQL632" s="268"/>
      <c r="RQM632" s="268"/>
      <c r="RQN632" s="268"/>
      <c r="RQO632" s="268"/>
      <c r="RQP632" s="268"/>
      <c r="RQQ632" s="268"/>
      <c r="RQR632" s="268"/>
      <c r="RQS632" s="268"/>
      <c r="RQT632" s="268"/>
      <c r="RQU632" s="268"/>
      <c r="RQV632" s="268"/>
      <c r="RQW632" s="268"/>
      <c r="RQX632" s="268"/>
      <c r="RQY632" s="268"/>
      <c r="RQZ632" s="268"/>
      <c r="RRA632" s="268"/>
      <c r="RRB632" s="268"/>
      <c r="RRC632" s="268"/>
      <c r="RRD632" s="268"/>
      <c r="RRE632" s="268"/>
      <c r="RRF632" s="268"/>
      <c r="RRG632" s="268"/>
      <c r="RRH632" s="268"/>
      <c r="RRI632" s="268"/>
      <c r="RRJ632" s="268"/>
      <c r="RRK632" s="268"/>
      <c r="RRL632" s="268"/>
      <c r="RRM632" s="268"/>
      <c r="RRN632" s="268"/>
      <c r="RRO632" s="268"/>
      <c r="RRP632" s="268"/>
      <c r="RRQ632" s="268"/>
      <c r="RRR632" s="268"/>
      <c r="RRS632" s="268"/>
      <c r="RRT632" s="268"/>
      <c r="RRU632" s="268"/>
      <c r="RRV632" s="268"/>
      <c r="RRW632" s="268"/>
      <c r="RRX632" s="268"/>
      <c r="RRY632" s="268"/>
      <c r="RRZ632" s="268"/>
      <c r="RSA632" s="268"/>
      <c r="RSB632" s="268"/>
      <c r="RSC632" s="268"/>
      <c r="RSD632" s="268"/>
      <c r="RSE632" s="268"/>
      <c r="RSF632" s="268"/>
      <c r="RSG632" s="268"/>
      <c r="RSH632" s="268"/>
      <c r="RSI632" s="268"/>
      <c r="RSJ632" s="268"/>
      <c r="RSK632" s="268"/>
      <c r="RSL632" s="268"/>
      <c r="RSM632" s="268"/>
      <c r="RSN632" s="268"/>
      <c r="RSO632" s="268"/>
      <c r="RSP632" s="268"/>
      <c r="RSQ632" s="268"/>
      <c r="RSR632" s="268"/>
      <c r="RSS632" s="268"/>
      <c r="RST632" s="268"/>
      <c r="RSU632" s="268"/>
      <c r="RSV632" s="268"/>
      <c r="RSW632" s="268"/>
      <c r="RSX632" s="268"/>
      <c r="RSY632" s="268"/>
      <c r="RSZ632" s="268"/>
      <c r="RTA632" s="268"/>
      <c r="RTB632" s="268"/>
      <c r="RTC632" s="268"/>
      <c r="RTD632" s="268"/>
      <c r="RTE632" s="268"/>
      <c r="RTF632" s="268"/>
      <c r="RTG632" s="268"/>
      <c r="RTH632" s="268"/>
      <c r="RTI632" s="268"/>
      <c r="RTJ632" s="268"/>
      <c r="RTK632" s="268"/>
      <c r="RTL632" s="268"/>
      <c r="RTM632" s="268"/>
      <c r="RTN632" s="268"/>
      <c r="RTO632" s="268"/>
      <c r="RTP632" s="268"/>
      <c r="RTQ632" s="268"/>
      <c r="RTR632" s="268"/>
      <c r="RTS632" s="268"/>
      <c r="RTT632" s="268"/>
      <c r="RTU632" s="268"/>
      <c r="RTV632" s="268"/>
      <c r="RTW632" s="268"/>
      <c r="RTX632" s="268"/>
      <c r="RTY632" s="268"/>
      <c r="RTZ632" s="268"/>
      <c r="RUA632" s="268"/>
      <c r="RUB632" s="268"/>
      <c r="RUC632" s="268"/>
      <c r="RUD632" s="268"/>
      <c r="RUE632" s="268"/>
      <c r="RUF632" s="268"/>
      <c r="RUG632" s="268"/>
      <c r="RUH632" s="268"/>
      <c r="RUI632" s="268"/>
      <c r="RUJ632" s="268"/>
      <c r="RUK632" s="268"/>
      <c r="RUL632" s="268"/>
      <c r="RUM632" s="268"/>
      <c r="RUN632" s="268"/>
      <c r="RUO632" s="268"/>
      <c r="RUP632" s="268"/>
      <c r="RUQ632" s="268"/>
      <c r="RUR632" s="268"/>
      <c r="RUS632" s="268"/>
      <c r="RUT632" s="268"/>
      <c r="RUU632" s="268"/>
      <c r="RUV632" s="268"/>
      <c r="RUW632" s="268"/>
      <c r="RUX632" s="268"/>
      <c r="RUY632" s="268"/>
      <c r="RUZ632" s="268"/>
      <c r="RVA632" s="268"/>
      <c r="RVB632" s="268"/>
      <c r="RVC632" s="268"/>
      <c r="RVD632" s="268"/>
      <c r="RVE632" s="268"/>
      <c r="RVF632" s="268"/>
      <c r="RVG632" s="268"/>
      <c r="RVH632" s="268"/>
      <c r="RVI632" s="268"/>
      <c r="RVJ632" s="268"/>
      <c r="RVK632" s="268"/>
      <c r="RVL632" s="268"/>
      <c r="RVM632" s="268"/>
      <c r="RVN632" s="268"/>
      <c r="RVO632" s="268"/>
      <c r="RVP632" s="268"/>
      <c r="RVQ632" s="268"/>
      <c r="RVR632" s="268"/>
      <c r="RVS632" s="268"/>
      <c r="RVT632" s="268"/>
      <c r="RVU632" s="268"/>
      <c r="RVV632" s="268"/>
      <c r="RVW632" s="268"/>
      <c r="RVX632" s="268"/>
      <c r="RVY632" s="268"/>
      <c r="RVZ632" s="268"/>
      <c r="RWA632" s="268"/>
      <c r="RWB632" s="268"/>
      <c r="RWC632" s="268"/>
      <c r="RWD632" s="268"/>
      <c r="RWE632" s="268"/>
      <c r="RWF632" s="268"/>
      <c r="RWG632" s="268"/>
      <c r="RWH632" s="268"/>
      <c r="RWI632" s="268"/>
      <c r="RWJ632" s="268"/>
      <c r="RWK632" s="268"/>
      <c r="RWL632" s="268"/>
      <c r="RWM632" s="268"/>
      <c r="RWN632" s="268"/>
      <c r="RWO632" s="268"/>
      <c r="RWP632" s="268"/>
      <c r="RWQ632" s="268"/>
      <c r="RWR632" s="268"/>
      <c r="RWS632" s="268"/>
      <c r="RWT632" s="268"/>
      <c r="RWU632" s="268"/>
      <c r="RWV632" s="268"/>
      <c r="RWW632" s="268"/>
      <c r="RWX632" s="268"/>
      <c r="RWY632" s="268"/>
      <c r="RXM632" s="268"/>
      <c r="RXN632" s="268"/>
      <c r="RXO632" s="268"/>
      <c r="RYC632" s="268"/>
      <c r="RYE632" s="268"/>
      <c r="RYF632" s="268"/>
      <c r="RYG632" s="268"/>
      <c r="RYH632" s="268"/>
      <c r="RYI632" s="268"/>
      <c r="RYJ632" s="268"/>
      <c r="RYK632" s="268"/>
      <c r="RYL632" s="268"/>
      <c r="RYM632" s="268"/>
      <c r="RYN632" s="268"/>
      <c r="RYO632" s="268"/>
      <c r="RYP632" s="268"/>
      <c r="RYQ632" s="268"/>
      <c r="RYR632" s="268"/>
      <c r="RYS632" s="268"/>
      <c r="RYT632" s="268"/>
      <c r="RYU632" s="268"/>
      <c r="RYV632" s="268"/>
      <c r="RYW632" s="268"/>
      <c r="RYX632" s="268"/>
      <c r="RYY632" s="268"/>
      <c r="RYZ632" s="268"/>
      <c r="RZA632" s="268"/>
      <c r="RZB632" s="268"/>
      <c r="RZC632" s="268"/>
      <c r="RZD632" s="268"/>
      <c r="RZE632" s="268"/>
      <c r="RZF632" s="268"/>
      <c r="RZG632" s="268"/>
      <c r="RZH632" s="268"/>
      <c r="RZI632" s="268"/>
      <c r="RZJ632" s="268"/>
      <c r="RZK632" s="268"/>
      <c r="RZL632" s="268"/>
      <c r="RZM632" s="268"/>
      <c r="RZN632" s="268"/>
      <c r="RZO632" s="268"/>
      <c r="RZP632" s="268"/>
      <c r="RZQ632" s="268"/>
      <c r="RZR632" s="268"/>
      <c r="RZS632" s="268"/>
      <c r="RZT632" s="268"/>
      <c r="RZU632" s="268"/>
      <c r="RZV632" s="268"/>
      <c r="RZW632" s="268"/>
      <c r="RZX632" s="268"/>
      <c r="RZY632" s="268"/>
      <c r="RZZ632" s="268"/>
      <c r="SAA632" s="268"/>
      <c r="SAB632" s="268"/>
      <c r="SAC632" s="268"/>
      <c r="SAD632" s="268"/>
      <c r="SAE632" s="268"/>
      <c r="SAF632" s="268"/>
      <c r="SAG632" s="268"/>
      <c r="SAH632" s="268"/>
      <c r="SAI632" s="268"/>
      <c r="SAJ632" s="268"/>
      <c r="SAK632" s="268"/>
      <c r="SAL632" s="268"/>
      <c r="SAM632" s="268"/>
      <c r="SAN632" s="268"/>
      <c r="SAO632" s="268"/>
      <c r="SAP632" s="268"/>
      <c r="SAQ632" s="268"/>
      <c r="SAR632" s="268"/>
      <c r="SAS632" s="268"/>
      <c r="SAT632" s="268"/>
      <c r="SAU632" s="268"/>
      <c r="SAV632" s="268"/>
      <c r="SAW632" s="268"/>
      <c r="SAX632" s="268"/>
      <c r="SAY632" s="268"/>
      <c r="SAZ632" s="268"/>
      <c r="SBA632" s="268"/>
      <c r="SBB632" s="268"/>
      <c r="SBC632" s="268"/>
      <c r="SBD632" s="268"/>
      <c r="SBE632" s="268"/>
      <c r="SBF632" s="268"/>
      <c r="SBG632" s="268"/>
      <c r="SBH632" s="268"/>
      <c r="SBI632" s="268"/>
      <c r="SBJ632" s="268"/>
      <c r="SBK632" s="268"/>
      <c r="SBL632" s="268"/>
      <c r="SBM632" s="268"/>
      <c r="SBN632" s="268"/>
      <c r="SBO632" s="268"/>
      <c r="SBP632" s="268"/>
      <c r="SBQ632" s="268"/>
      <c r="SBR632" s="268"/>
      <c r="SBS632" s="268"/>
      <c r="SBT632" s="268"/>
      <c r="SBU632" s="268"/>
      <c r="SBV632" s="268"/>
      <c r="SBW632" s="268"/>
      <c r="SBX632" s="268"/>
      <c r="SBY632" s="268"/>
      <c r="SBZ632" s="268"/>
      <c r="SCA632" s="268"/>
      <c r="SCB632" s="268"/>
      <c r="SCC632" s="268"/>
      <c r="SCD632" s="268"/>
      <c r="SCE632" s="268"/>
      <c r="SCF632" s="268"/>
      <c r="SCG632" s="268"/>
      <c r="SCH632" s="268"/>
      <c r="SCI632" s="268"/>
      <c r="SCJ632" s="268"/>
      <c r="SCK632" s="268"/>
      <c r="SCL632" s="268"/>
      <c r="SCM632" s="268"/>
      <c r="SCN632" s="268"/>
      <c r="SCO632" s="268"/>
      <c r="SCP632" s="268"/>
      <c r="SCQ632" s="268"/>
      <c r="SCR632" s="268"/>
      <c r="SCS632" s="268"/>
      <c r="SCT632" s="268"/>
      <c r="SCU632" s="268"/>
      <c r="SCV632" s="268"/>
      <c r="SCW632" s="268"/>
      <c r="SCX632" s="268"/>
      <c r="SCY632" s="268"/>
      <c r="SCZ632" s="268"/>
      <c r="SDA632" s="268"/>
      <c r="SDB632" s="268"/>
      <c r="SDC632" s="268"/>
      <c r="SDD632" s="268"/>
      <c r="SDE632" s="268"/>
      <c r="SDF632" s="268"/>
      <c r="SDG632" s="268"/>
      <c r="SDH632" s="268"/>
      <c r="SDI632" s="268"/>
      <c r="SDJ632" s="268"/>
      <c r="SDK632" s="268"/>
      <c r="SDL632" s="268"/>
      <c r="SDM632" s="268"/>
      <c r="SDN632" s="268"/>
      <c r="SDO632" s="268"/>
      <c r="SDP632" s="268"/>
      <c r="SDQ632" s="268"/>
      <c r="SDR632" s="268"/>
      <c r="SDS632" s="268"/>
      <c r="SDT632" s="268"/>
      <c r="SDU632" s="268"/>
      <c r="SDV632" s="268"/>
      <c r="SDW632" s="268"/>
      <c r="SDX632" s="268"/>
      <c r="SDY632" s="268"/>
      <c r="SDZ632" s="268"/>
      <c r="SEA632" s="268"/>
      <c r="SEB632" s="268"/>
      <c r="SEC632" s="268"/>
      <c r="SED632" s="268"/>
      <c r="SEE632" s="268"/>
      <c r="SEF632" s="268"/>
      <c r="SEG632" s="268"/>
      <c r="SEH632" s="268"/>
      <c r="SEI632" s="268"/>
      <c r="SEJ632" s="268"/>
      <c r="SEK632" s="268"/>
      <c r="SEL632" s="268"/>
      <c r="SEM632" s="268"/>
      <c r="SEN632" s="268"/>
      <c r="SEO632" s="268"/>
      <c r="SEP632" s="268"/>
      <c r="SEQ632" s="268"/>
      <c r="SER632" s="268"/>
      <c r="SES632" s="268"/>
      <c r="SET632" s="268"/>
      <c r="SEU632" s="268"/>
      <c r="SEV632" s="268"/>
      <c r="SEW632" s="268"/>
      <c r="SEX632" s="268"/>
      <c r="SEY632" s="268"/>
      <c r="SEZ632" s="268"/>
      <c r="SFA632" s="268"/>
      <c r="SFB632" s="268"/>
      <c r="SFC632" s="268"/>
      <c r="SFD632" s="268"/>
      <c r="SFE632" s="268"/>
      <c r="SFF632" s="268"/>
      <c r="SFG632" s="268"/>
      <c r="SFH632" s="268"/>
      <c r="SFI632" s="268"/>
      <c r="SFJ632" s="268"/>
      <c r="SFK632" s="268"/>
      <c r="SFL632" s="268"/>
      <c r="SFM632" s="268"/>
      <c r="SFN632" s="268"/>
      <c r="SFO632" s="268"/>
      <c r="SFP632" s="268"/>
      <c r="SFQ632" s="268"/>
      <c r="SFR632" s="268"/>
      <c r="SFS632" s="268"/>
      <c r="SFT632" s="268"/>
      <c r="SFU632" s="268"/>
      <c r="SFV632" s="268"/>
      <c r="SFW632" s="268"/>
      <c r="SFX632" s="268"/>
      <c r="SFY632" s="268"/>
      <c r="SFZ632" s="268"/>
      <c r="SGA632" s="268"/>
      <c r="SGB632" s="268"/>
      <c r="SGC632" s="268"/>
      <c r="SGD632" s="268"/>
      <c r="SGE632" s="268"/>
      <c r="SGF632" s="268"/>
      <c r="SGG632" s="268"/>
      <c r="SGH632" s="268"/>
      <c r="SGI632" s="268"/>
      <c r="SGJ632" s="268"/>
      <c r="SGK632" s="268"/>
      <c r="SGL632" s="268"/>
      <c r="SGM632" s="268"/>
      <c r="SGN632" s="268"/>
      <c r="SGO632" s="268"/>
      <c r="SGP632" s="268"/>
      <c r="SGQ632" s="268"/>
      <c r="SGR632" s="268"/>
      <c r="SGS632" s="268"/>
      <c r="SGT632" s="268"/>
      <c r="SGU632" s="268"/>
      <c r="SHI632" s="268"/>
      <c r="SHJ632" s="268"/>
      <c r="SHK632" s="268"/>
      <c r="SHY632" s="268"/>
      <c r="SIA632" s="268"/>
      <c r="SIB632" s="268"/>
      <c r="SIC632" s="268"/>
      <c r="SID632" s="268"/>
      <c r="SIE632" s="268"/>
      <c r="SIF632" s="268"/>
      <c r="SIG632" s="268"/>
      <c r="SIH632" s="268"/>
      <c r="SII632" s="268"/>
      <c r="SIJ632" s="268"/>
      <c r="SIK632" s="268"/>
      <c r="SIL632" s="268"/>
      <c r="SIM632" s="268"/>
      <c r="SIN632" s="268"/>
      <c r="SIO632" s="268"/>
      <c r="SIP632" s="268"/>
      <c r="SIQ632" s="268"/>
      <c r="SIR632" s="268"/>
      <c r="SIS632" s="268"/>
      <c r="SIT632" s="268"/>
      <c r="SIU632" s="268"/>
      <c r="SIV632" s="268"/>
      <c r="SIW632" s="268"/>
      <c r="SIX632" s="268"/>
      <c r="SIY632" s="268"/>
      <c r="SIZ632" s="268"/>
      <c r="SJA632" s="268"/>
      <c r="SJB632" s="268"/>
      <c r="SJC632" s="268"/>
      <c r="SJD632" s="268"/>
      <c r="SJE632" s="268"/>
      <c r="SJF632" s="268"/>
      <c r="SJG632" s="268"/>
      <c r="SJH632" s="268"/>
      <c r="SJI632" s="268"/>
      <c r="SJJ632" s="268"/>
      <c r="SJK632" s="268"/>
      <c r="SJL632" s="268"/>
      <c r="SJM632" s="268"/>
      <c r="SJN632" s="268"/>
      <c r="SJO632" s="268"/>
      <c r="SJP632" s="268"/>
      <c r="SJQ632" s="268"/>
      <c r="SJR632" s="268"/>
      <c r="SJS632" s="268"/>
      <c r="SJT632" s="268"/>
      <c r="SJU632" s="268"/>
      <c r="SJV632" s="268"/>
      <c r="SJW632" s="268"/>
      <c r="SJX632" s="268"/>
      <c r="SJY632" s="268"/>
      <c r="SJZ632" s="268"/>
      <c r="SKA632" s="268"/>
      <c r="SKB632" s="268"/>
      <c r="SKC632" s="268"/>
      <c r="SKD632" s="268"/>
      <c r="SKE632" s="268"/>
      <c r="SKF632" s="268"/>
      <c r="SKG632" s="268"/>
      <c r="SKH632" s="268"/>
      <c r="SKI632" s="268"/>
      <c r="SKJ632" s="268"/>
      <c r="SKK632" s="268"/>
      <c r="SKL632" s="268"/>
      <c r="SKM632" s="268"/>
      <c r="SKN632" s="268"/>
      <c r="SKO632" s="268"/>
      <c r="SKP632" s="268"/>
      <c r="SKQ632" s="268"/>
      <c r="SKR632" s="268"/>
      <c r="SKS632" s="268"/>
      <c r="SKT632" s="268"/>
      <c r="SKU632" s="268"/>
      <c r="SKV632" s="268"/>
      <c r="SKW632" s="268"/>
      <c r="SKX632" s="268"/>
      <c r="SKY632" s="268"/>
      <c r="SKZ632" s="268"/>
      <c r="SLA632" s="268"/>
      <c r="SLB632" s="268"/>
      <c r="SLC632" s="268"/>
      <c r="SLD632" s="268"/>
      <c r="SLE632" s="268"/>
      <c r="SLF632" s="268"/>
      <c r="SLG632" s="268"/>
      <c r="SLH632" s="268"/>
      <c r="SLI632" s="268"/>
      <c r="SLJ632" s="268"/>
      <c r="SLK632" s="268"/>
      <c r="SLL632" s="268"/>
      <c r="SLM632" s="268"/>
      <c r="SLN632" s="268"/>
      <c r="SLO632" s="268"/>
      <c r="SLP632" s="268"/>
      <c r="SLQ632" s="268"/>
      <c r="SLR632" s="268"/>
      <c r="SLS632" s="268"/>
      <c r="SLT632" s="268"/>
      <c r="SLU632" s="268"/>
      <c r="SLV632" s="268"/>
      <c r="SLW632" s="268"/>
      <c r="SLX632" s="268"/>
      <c r="SLY632" s="268"/>
      <c r="SLZ632" s="268"/>
      <c r="SMA632" s="268"/>
      <c r="SMB632" s="268"/>
      <c r="SMC632" s="268"/>
      <c r="SMD632" s="268"/>
      <c r="SME632" s="268"/>
      <c r="SMF632" s="268"/>
      <c r="SMG632" s="268"/>
      <c r="SMH632" s="268"/>
      <c r="SMI632" s="268"/>
      <c r="SMJ632" s="268"/>
      <c r="SMK632" s="268"/>
      <c r="SML632" s="268"/>
      <c r="SMM632" s="268"/>
      <c r="SMN632" s="268"/>
      <c r="SMO632" s="268"/>
      <c r="SMP632" s="268"/>
      <c r="SMQ632" s="268"/>
      <c r="SMR632" s="268"/>
      <c r="SMS632" s="268"/>
      <c r="SMT632" s="268"/>
      <c r="SMU632" s="268"/>
      <c r="SMV632" s="268"/>
      <c r="SMW632" s="268"/>
      <c r="SMX632" s="268"/>
      <c r="SMY632" s="268"/>
      <c r="SMZ632" s="268"/>
      <c r="SNA632" s="268"/>
      <c r="SNB632" s="268"/>
      <c r="SNC632" s="268"/>
      <c r="SND632" s="268"/>
      <c r="SNE632" s="268"/>
      <c r="SNF632" s="268"/>
      <c r="SNG632" s="268"/>
      <c r="SNH632" s="268"/>
      <c r="SNI632" s="268"/>
      <c r="SNJ632" s="268"/>
      <c r="SNK632" s="268"/>
      <c r="SNL632" s="268"/>
      <c r="SNM632" s="268"/>
      <c r="SNN632" s="268"/>
      <c r="SNO632" s="268"/>
      <c r="SNP632" s="268"/>
      <c r="SNQ632" s="268"/>
      <c r="SNR632" s="268"/>
      <c r="SNS632" s="268"/>
      <c r="SNT632" s="268"/>
      <c r="SNU632" s="268"/>
      <c r="SNV632" s="268"/>
      <c r="SNW632" s="268"/>
      <c r="SNX632" s="268"/>
      <c r="SNY632" s="268"/>
      <c r="SNZ632" s="268"/>
      <c r="SOA632" s="268"/>
      <c r="SOB632" s="268"/>
      <c r="SOC632" s="268"/>
      <c r="SOD632" s="268"/>
      <c r="SOE632" s="268"/>
      <c r="SOF632" s="268"/>
      <c r="SOG632" s="268"/>
      <c r="SOH632" s="268"/>
      <c r="SOI632" s="268"/>
      <c r="SOJ632" s="268"/>
      <c r="SOK632" s="268"/>
      <c r="SOL632" s="268"/>
      <c r="SOM632" s="268"/>
      <c r="SON632" s="268"/>
      <c r="SOO632" s="268"/>
      <c r="SOP632" s="268"/>
      <c r="SOQ632" s="268"/>
      <c r="SOR632" s="268"/>
      <c r="SOS632" s="268"/>
      <c r="SOT632" s="268"/>
      <c r="SOU632" s="268"/>
      <c r="SOV632" s="268"/>
      <c r="SOW632" s="268"/>
      <c r="SOX632" s="268"/>
      <c r="SOY632" s="268"/>
      <c r="SOZ632" s="268"/>
      <c r="SPA632" s="268"/>
      <c r="SPB632" s="268"/>
      <c r="SPC632" s="268"/>
      <c r="SPD632" s="268"/>
      <c r="SPE632" s="268"/>
      <c r="SPF632" s="268"/>
      <c r="SPG632" s="268"/>
      <c r="SPH632" s="268"/>
      <c r="SPI632" s="268"/>
      <c r="SPJ632" s="268"/>
      <c r="SPK632" s="268"/>
      <c r="SPL632" s="268"/>
      <c r="SPM632" s="268"/>
      <c r="SPN632" s="268"/>
      <c r="SPO632" s="268"/>
      <c r="SPP632" s="268"/>
      <c r="SPQ632" s="268"/>
      <c r="SPR632" s="268"/>
      <c r="SPS632" s="268"/>
      <c r="SPT632" s="268"/>
      <c r="SPU632" s="268"/>
      <c r="SPV632" s="268"/>
      <c r="SPW632" s="268"/>
      <c r="SPX632" s="268"/>
      <c r="SPY632" s="268"/>
      <c r="SPZ632" s="268"/>
      <c r="SQA632" s="268"/>
      <c r="SQB632" s="268"/>
      <c r="SQC632" s="268"/>
      <c r="SQD632" s="268"/>
      <c r="SQE632" s="268"/>
      <c r="SQF632" s="268"/>
      <c r="SQG632" s="268"/>
      <c r="SQH632" s="268"/>
      <c r="SQI632" s="268"/>
      <c r="SQJ632" s="268"/>
      <c r="SQK632" s="268"/>
      <c r="SQL632" s="268"/>
      <c r="SQM632" s="268"/>
      <c r="SQN632" s="268"/>
      <c r="SQO632" s="268"/>
      <c r="SQP632" s="268"/>
      <c r="SQQ632" s="268"/>
      <c r="SRE632" s="268"/>
      <c r="SRF632" s="268"/>
      <c r="SRG632" s="268"/>
      <c r="SRU632" s="268"/>
      <c r="SRW632" s="268"/>
      <c r="SRX632" s="268"/>
      <c r="SRY632" s="268"/>
      <c r="SRZ632" s="268"/>
      <c r="SSA632" s="268"/>
      <c r="SSB632" s="268"/>
      <c r="SSC632" s="268"/>
      <c r="SSD632" s="268"/>
      <c r="SSE632" s="268"/>
      <c r="SSF632" s="268"/>
      <c r="SSG632" s="268"/>
      <c r="SSH632" s="268"/>
      <c r="SSI632" s="268"/>
      <c r="SSJ632" s="268"/>
      <c r="SSK632" s="268"/>
      <c r="SSL632" s="268"/>
      <c r="SSM632" s="268"/>
      <c r="SSN632" s="268"/>
      <c r="SSO632" s="268"/>
      <c r="SSP632" s="268"/>
      <c r="SSQ632" s="268"/>
      <c r="SSR632" s="268"/>
      <c r="SSS632" s="268"/>
      <c r="SST632" s="268"/>
      <c r="SSU632" s="268"/>
      <c r="SSV632" s="268"/>
      <c r="SSW632" s="268"/>
      <c r="SSX632" s="268"/>
      <c r="SSY632" s="268"/>
      <c r="SSZ632" s="268"/>
      <c r="STA632" s="268"/>
      <c r="STB632" s="268"/>
      <c r="STC632" s="268"/>
      <c r="STD632" s="268"/>
      <c r="STE632" s="268"/>
      <c r="STF632" s="268"/>
      <c r="STG632" s="268"/>
      <c r="STH632" s="268"/>
      <c r="STI632" s="268"/>
      <c r="STJ632" s="268"/>
      <c r="STK632" s="268"/>
      <c r="STL632" s="268"/>
      <c r="STM632" s="268"/>
      <c r="STN632" s="268"/>
      <c r="STO632" s="268"/>
      <c r="STP632" s="268"/>
      <c r="STQ632" s="268"/>
      <c r="STR632" s="268"/>
      <c r="STS632" s="268"/>
      <c r="STT632" s="268"/>
      <c r="STU632" s="268"/>
      <c r="STV632" s="268"/>
      <c r="STW632" s="268"/>
      <c r="STX632" s="268"/>
      <c r="STY632" s="268"/>
      <c r="STZ632" s="268"/>
      <c r="SUA632" s="268"/>
      <c r="SUB632" s="268"/>
      <c r="SUC632" s="268"/>
      <c r="SUD632" s="268"/>
      <c r="SUE632" s="268"/>
      <c r="SUF632" s="268"/>
      <c r="SUG632" s="268"/>
      <c r="SUH632" s="268"/>
      <c r="SUI632" s="268"/>
      <c r="SUJ632" s="268"/>
      <c r="SUK632" s="268"/>
      <c r="SUL632" s="268"/>
      <c r="SUM632" s="268"/>
      <c r="SUN632" s="268"/>
      <c r="SUO632" s="268"/>
      <c r="SUP632" s="268"/>
      <c r="SUQ632" s="268"/>
      <c r="SUR632" s="268"/>
      <c r="SUS632" s="268"/>
      <c r="SUT632" s="268"/>
      <c r="SUU632" s="268"/>
      <c r="SUV632" s="268"/>
      <c r="SUW632" s="268"/>
      <c r="SUX632" s="268"/>
      <c r="SUY632" s="268"/>
      <c r="SUZ632" s="268"/>
      <c r="SVA632" s="268"/>
      <c r="SVB632" s="268"/>
      <c r="SVC632" s="268"/>
      <c r="SVD632" s="268"/>
      <c r="SVE632" s="268"/>
      <c r="SVF632" s="268"/>
      <c r="SVG632" s="268"/>
      <c r="SVH632" s="268"/>
      <c r="SVI632" s="268"/>
      <c r="SVJ632" s="268"/>
      <c r="SVK632" s="268"/>
      <c r="SVL632" s="268"/>
      <c r="SVM632" s="268"/>
      <c r="SVN632" s="268"/>
      <c r="SVO632" s="268"/>
      <c r="SVP632" s="268"/>
      <c r="SVQ632" s="268"/>
      <c r="SVR632" s="268"/>
      <c r="SVS632" s="268"/>
      <c r="SVT632" s="268"/>
      <c r="SVU632" s="268"/>
      <c r="SVV632" s="268"/>
      <c r="SVW632" s="268"/>
      <c r="SVX632" s="268"/>
      <c r="SVY632" s="268"/>
      <c r="SVZ632" s="268"/>
      <c r="SWA632" s="268"/>
      <c r="SWB632" s="268"/>
      <c r="SWC632" s="268"/>
      <c r="SWD632" s="268"/>
      <c r="SWE632" s="268"/>
      <c r="SWF632" s="268"/>
      <c r="SWG632" s="268"/>
      <c r="SWH632" s="268"/>
      <c r="SWI632" s="268"/>
      <c r="SWJ632" s="268"/>
      <c r="SWK632" s="268"/>
      <c r="SWL632" s="268"/>
      <c r="SWM632" s="268"/>
      <c r="SWN632" s="268"/>
      <c r="SWO632" s="268"/>
      <c r="SWP632" s="268"/>
      <c r="SWQ632" s="268"/>
      <c r="SWR632" s="268"/>
      <c r="SWS632" s="268"/>
      <c r="SWT632" s="268"/>
      <c r="SWU632" s="268"/>
      <c r="SWV632" s="268"/>
      <c r="SWW632" s="268"/>
      <c r="SWX632" s="268"/>
      <c r="SWY632" s="268"/>
      <c r="SWZ632" s="268"/>
      <c r="SXA632" s="268"/>
      <c r="SXB632" s="268"/>
      <c r="SXC632" s="268"/>
      <c r="SXD632" s="268"/>
      <c r="SXE632" s="268"/>
      <c r="SXF632" s="268"/>
      <c r="SXG632" s="268"/>
      <c r="SXH632" s="268"/>
      <c r="SXI632" s="268"/>
      <c r="SXJ632" s="268"/>
      <c r="SXK632" s="268"/>
      <c r="SXL632" s="268"/>
      <c r="SXM632" s="268"/>
      <c r="SXN632" s="268"/>
      <c r="SXO632" s="268"/>
      <c r="SXP632" s="268"/>
      <c r="SXQ632" s="268"/>
      <c r="SXR632" s="268"/>
      <c r="SXS632" s="268"/>
      <c r="SXT632" s="268"/>
      <c r="SXU632" s="268"/>
      <c r="SXV632" s="268"/>
      <c r="SXW632" s="268"/>
      <c r="SXX632" s="268"/>
      <c r="SXY632" s="268"/>
      <c r="SXZ632" s="268"/>
      <c r="SYA632" s="268"/>
      <c r="SYB632" s="268"/>
      <c r="SYC632" s="268"/>
      <c r="SYD632" s="268"/>
      <c r="SYE632" s="268"/>
      <c r="SYF632" s="268"/>
      <c r="SYG632" s="268"/>
      <c r="SYH632" s="268"/>
      <c r="SYI632" s="268"/>
      <c r="SYJ632" s="268"/>
      <c r="SYK632" s="268"/>
      <c r="SYL632" s="268"/>
      <c r="SYM632" s="268"/>
      <c r="SYN632" s="268"/>
      <c r="SYO632" s="268"/>
      <c r="SYP632" s="268"/>
      <c r="SYQ632" s="268"/>
      <c r="SYR632" s="268"/>
      <c r="SYS632" s="268"/>
      <c r="SYT632" s="268"/>
      <c r="SYU632" s="268"/>
      <c r="SYV632" s="268"/>
      <c r="SYW632" s="268"/>
      <c r="SYX632" s="268"/>
      <c r="SYY632" s="268"/>
      <c r="SYZ632" s="268"/>
      <c r="SZA632" s="268"/>
      <c r="SZB632" s="268"/>
      <c r="SZC632" s="268"/>
      <c r="SZD632" s="268"/>
      <c r="SZE632" s="268"/>
      <c r="SZF632" s="268"/>
      <c r="SZG632" s="268"/>
      <c r="SZH632" s="268"/>
      <c r="SZI632" s="268"/>
      <c r="SZJ632" s="268"/>
      <c r="SZK632" s="268"/>
      <c r="SZL632" s="268"/>
      <c r="SZM632" s="268"/>
      <c r="SZN632" s="268"/>
      <c r="SZO632" s="268"/>
      <c r="SZP632" s="268"/>
      <c r="SZQ632" s="268"/>
      <c r="SZR632" s="268"/>
      <c r="SZS632" s="268"/>
      <c r="SZT632" s="268"/>
      <c r="SZU632" s="268"/>
      <c r="SZV632" s="268"/>
      <c r="SZW632" s="268"/>
      <c r="SZX632" s="268"/>
      <c r="SZY632" s="268"/>
      <c r="SZZ632" s="268"/>
      <c r="TAA632" s="268"/>
      <c r="TAB632" s="268"/>
      <c r="TAC632" s="268"/>
      <c r="TAD632" s="268"/>
      <c r="TAE632" s="268"/>
      <c r="TAF632" s="268"/>
      <c r="TAG632" s="268"/>
      <c r="TAH632" s="268"/>
      <c r="TAI632" s="268"/>
      <c r="TAJ632" s="268"/>
      <c r="TAK632" s="268"/>
      <c r="TAL632" s="268"/>
      <c r="TAM632" s="268"/>
      <c r="TBA632" s="268"/>
      <c r="TBB632" s="268"/>
      <c r="TBC632" s="268"/>
      <c r="TBQ632" s="268"/>
      <c r="TBS632" s="268"/>
      <c r="TBT632" s="268"/>
      <c r="TBU632" s="268"/>
      <c r="TBV632" s="268"/>
      <c r="TBW632" s="268"/>
      <c r="TBX632" s="268"/>
      <c r="TBY632" s="268"/>
      <c r="TBZ632" s="268"/>
      <c r="TCA632" s="268"/>
      <c r="TCB632" s="268"/>
      <c r="TCC632" s="268"/>
      <c r="TCD632" s="268"/>
      <c r="TCE632" s="268"/>
      <c r="TCF632" s="268"/>
      <c r="TCG632" s="268"/>
      <c r="TCH632" s="268"/>
      <c r="TCI632" s="268"/>
      <c r="TCJ632" s="268"/>
      <c r="TCK632" s="268"/>
      <c r="TCL632" s="268"/>
      <c r="TCM632" s="268"/>
      <c r="TCN632" s="268"/>
      <c r="TCO632" s="268"/>
      <c r="TCP632" s="268"/>
      <c r="TCQ632" s="268"/>
      <c r="TCR632" s="268"/>
      <c r="TCS632" s="268"/>
      <c r="TCT632" s="268"/>
      <c r="TCU632" s="268"/>
      <c r="TCV632" s="268"/>
      <c r="TCW632" s="268"/>
      <c r="TCX632" s="268"/>
      <c r="TCY632" s="268"/>
      <c r="TCZ632" s="268"/>
      <c r="TDA632" s="268"/>
      <c r="TDB632" s="268"/>
      <c r="TDC632" s="268"/>
      <c r="TDD632" s="268"/>
      <c r="TDE632" s="268"/>
      <c r="TDF632" s="268"/>
      <c r="TDG632" s="268"/>
      <c r="TDH632" s="268"/>
      <c r="TDI632" s="268"/>
      <c r="TDJ632" s="268"/>
      <c r="TDK632" s="268"/>
      <c r="TDL632" s="268"/>
      <c r="TDM632" s="268"/>
      <c r="TDN632" s="268"/>
      <c r="TDO632" s="268"/>
      <c r="TDP632" s="268"/>
      <c r="TDQ632" s="268"/>
      <c r="TDR632" s="268"/>
      <c r="TDS632" s="268"/>
      <c r="TDT632" s="268"/>
      <c r="TDU632" s="268"/>
      <c r="TDV632" s="268"/>
      <c r="TDW632" s="268"/>
      <c r="TDX632" s="268"/>
      <c r="TDY632" s="268"/>
      <c r="TDZ632" s="268"/>
      <c r="TEA632" s="268"/>
      <c r="TEB632" s="268"/>
      <c r="TEC632" s="268"/>
      <c r="TED632" s="268"/>
      <c r="TEE632" s="268"/>
      <c r="TEF632" s="268"/>
      <c r="TEG632" s="268"/>
      <c r="TEH632" s="268"/>
      <c r="TEI632" s="268"/>
      <c r="TEJ632" s="268"/>
      <c r="TEK632" s="268"/>
      <c r="TEL632" s="268"/>
      <c r="TEM632" s="268"/>
      <c r="TEN632" s="268"/>
      <c r="TEO632" s="268"/>
      <c r="TEP632" s="268"/>
      <c r="TEQ632" s="268"/>
      <c r="TER632" s="268"/>
      <c r="TES632" s="268"/>
      <c r="TET632" s="268"/>
      <c r="TEU632" s="268"/>
      <c r="TEV632" s="268"/>
      <c r="TEW632" s="268"/>
      <c r="TEX632" s="268"/>
      <c r="TEY632" s="268"/>
      <c r="TEZ632" s="268"/>
      <c r="TFA632" s="268"/>
      <c r="TFB632" s="268"/>
      <c r="TFC632" s="268"/>
      <c r="TFD632" s="268"/>
      <c r="TFE632" s="268"/>
      <c r="TFF632" s="268"/>
      <c r="TFG632" s="268"/>
      <c r="TFH632" s="268"/>
      <c r="TFI632" s="268"/>
      <c r="TFJ632" s="268"/>
      <c r="TFK632" s="268"/>
      <c r="TFL632" s="268"/>
      <c r="TFM632" s="268"/>
      <c r="TFN632" s="268"/>
      <c r="TFO632" s="268"/>
      <c r="TFP632" s="268"/>
      <c r="TFQ632" s="268"/>
      <c r="TFR632" s="268"/>
      <c r="TFS632" s="268"/>
      <c r="TFT632" s="268"/>
      <c r="TFU632" s="268"/>
      <c r="TFV632" s="268"/>
      <c r="TFW632" s="268"/>
      <c r="TFX632" s="268"/>
      <c r="TFY632" s="268"/>
      <c r="TFZ632" s="268"/>
      <c r="TGA632" s="268"/>
      <c r="TGB632" s="268"/>
      <c r="TGC632" s="268"/>
      <c r="TGD632" s="268"/>
      <c r="TGE632" s="268"/>
      <c r="TGF632" s="268"/>
      <c r="TGG632" s="268"/>
      <c r="TGH632" s="268"/>
      <c r="TGI632" s="268"/>
      <c r="TGJ632" s="268"/>
      <c r="TGK632" s="268"/>
      <c r="TGL632" s="268"/>
      <c r="TGM632" s="268"/>
      <c r="TGN632" s="268"/>
      <c r="TGO632" s="268"/>
      <c r="TGP632" s="268"/>
      <c r="TGQ632" s="268"/>
      <c r="TGR632" s="268"/>
      <c r="TGS632" s="268"/>
      <c r="TGT632" s="268"/>
      <c r="TGU632" s="268"/>
      <c r="TGV632" s="268"/>
      <c r="TGW632" s="268"/>
      <c r="TGX632" s="268"/>
      <c r="TGY632" s="268"/>
      <c r="TGZ632" s="268"/>
      <c r="THA632" s="268"/>
      <c r="THB632" s="268"/>
      <c r="THC632" s="268"/>
      <c r="THD632" s="268"/>
      <c r="THE632" s="268"/>
      <c r="THF632" s="268"/>
      <c r="THG632" s="268"/>
      <c r="THH632" s="268"/>
      <c r="THI632" s="268"/>
      <c r="THJ632" s="268"/>
      <c r="THK632" s="268"/>
      <c r="THL632" s="268"/>
      <c r="THM632" s="268"/>
      <c r="THN632" s="268"/>
      <c r="THO632" s="268"/>
      <c r="THP632" s="268"/>
      <c r="THQ632" s="268"/>
      <c r="THR632" s="268"/>
      <c r="THS632" s="268"/>
      <c r="THT632" s="268"/>
      <c r="THU632" s="268"/>
      <c r="THV632" s="268"/>
      <c r="THW632" s="268"/>
      <c r="THX632" s="268"/>
      <c r="THY632" s="268"/>
      <c r="THZ632" s="268"/>
      <c r="TIA632" s="268"/>
      <c r="TIB632" s="268"/>
      <c r="TIC632" s="268"/>
      <c r="TID632" s="268"/>
      <c r="TIE632" s="268"/>
      <c r="TIF632" s="268"/>
      <c r="TIG632" s="268"/>
      <c r="TIH632" s="268"/>
      <c r="TII632" s="268"/>
      <c r="TIJ632" s="268"/>
      <c r="TIK632" s="268"/>
      <c r="TIL632" s="268"/>
      <c r="TIM632" s="268"/>
      <c r="TIN632" s="268"/>
      <c r="TIO632" s="268"/>
      <c r="TIP632" s="268"/>
      <c r="TIQ632" s="268"/>
      <c r="TIR632" s="268"/>
      <c r="TIS632" s="268"/>
      <c r="TIT632" s="268"/>
      <c r="TIU632" s="268"/>
      <c r="TIV632" s="268"/>
      <c r="TIW632" s="268"/>
      <c r="TIX632" s="268"/>
      <c r="TIY632" s="268"/>
      <c r="TIZ632" s="268"/>
      <c r="TJA632" s="268"/>
      <c r="TJB632" s="268"/>
      <c r="TJC632" s="268"/>
      <c r="TJD632" s="268"/>
      <c r="TJE632" s="268"/>
      <c r="TJF632" s="268"/>
      <c r="TJG632" s="268"/>
      <c r="TJH632" s="268"/>
      <c r="TJI632" s="268"/>
      <c r="TJJ632" s="268"/>
      <c r="TJK632" s="268"/>
      <c r="TJL632" s="268"/>
      <c r="TJM632" s="268"/>
      <c r="TJN632" s="268"/>
      <c r="TJO632" s="268"/>
      <c r="TJP632" s="268"/>
      <c r="TJQ632" s="268"/>
      <c r="TJR632" s="268"/>
      <c r="TJS632" s="268"/>
      <c r="TJT632" s="268"/>
      <c r="TJU632" s="268"/>
      <c r="TJV632" s="268"/>
      <c r="TJW632" s="268"/>
      <c r="TJX632" s="268"/>
      <c r="TJY632" s="268"/>
      <c r="TJZ632" s="268"/>
      <c r="TKA632" s="268"/>
      <c r="TKB632" s="268"/>
      <c r="TKC632" s="268"/>
      <c r="TKD632" s="268"/>
      <c r="TKE632" s="268"/>
      <c r="TKF632" s="268"/>
      <c r="TKG632" s="268"/>
      <c r="TKH632" s="268"/>
      <c r="TKI632" s="268"/>
      <c r="TKW632" s="268"/>
      <c r="TKX632" s="268"/>
      <c r="TKY632" s="268"/>
      <c r="TLM632" s="268"/>
      <c r="TLO632" s="268"/>
      <c r="TLP632" s="268"/>
      <c r="TLQ632" s="268"/>
      <c r="TLR632" s="268"/>
      <c r="TLS632" s="268"/>
      <c r="TLT632" s="268"/>
      <c r="TLU632" s="268"/>
      <c r="TLV632" s="268"/>
      <c r="TLW632" s="268"/>
      <c r="TLX632" s="268"/>
      <c r="TLY632" s="268"/>
      <c r="TLZ632" s="268"/>
      <c r="TMA632" s="268"/>
      <c r="TMB632" s="268"/>
      <c r="TMC632" s="268"/>
      <c r="TMD632" s="268"/>
      <c r="TME632" s="268"/>
      <c r="TMF632" s="268"/>
      <c r="TMG632" s="268"/>
      <c r="TMH632" s="268"/>
      <c r="TMI632" s="268"/>
      <c r="TMJ632" s="268"/>
      <c r="TMK632" s="268"/>
      <c r="TML632" s="268"/>
      <c r="TMM632" s="268"/>
      <c r="TMN632" s="268"/>
      <c r="TMO632" s="268"/>
      <c r="TMP632" s="268"/>
      <c r="TMQ632" s="268"/>
      <c r="TMR632" s="268"/>
      <c r="TMS632" s="268"/>
      <c r="TMT632" s="268"/>
      <c r="TMU632" s="268"/>
      <c r="TMV632" s="268"/>
      <c r="TMW632" s="268"/>
      <c r="TMX632" s="268"/>
      <c r="TMY632" s="268"/>
      <c r="TMZ632" s="268"/>
      <c r="TNA632" s="268"/>
      <c r="TNB632" s="268"/>
      <c r="TNC632" s="268"/>
      <c r="TND632" s="268"/>
      <c r="TNE632" s="268"/>
      <c r="TNF632" s="268"/>
      <c r="TNG632" s="268"/>
      <c r="TNH632" s="268"/>
      <c r="TNI632" s="268"/>
      <c r="TNJ632" s="268"/>
      <c r="TNK632" s="268"/>
      <c r="TNL632" s="268"/>
      <c r="TNM632" s="268"/>
      <c r="TNN632" s="268"/>
      <c r="TNO632" s="268"/>
      <c r="TNP632" s="268"/>
      <c r="TNQ632" s="268"/>
      <c r="TNR632" s="268"/>
      <c r="TNS632" s="268"/>
      <c r="TNT632" s="268"/>
      <c r="TNU632" s="268"/>
      <c r="TNV632" s="268"/>
      <c r="TNW632" s="268"/>
      <c r="TNX632" s="268"/>
      <c r="TNY632" s="268"/>
      <c r="TNZ632" s="268"/>
      <c r="TOA632" s="268"/>
      <c r="TOB632" s="268"/>
      <c r="TOC632" s="268"/>
      <c r="TOD632" s="268"/>
      <c r="TOE632" s="268"/>
      <c r="TOF632" s="268"/>
      <c r="TOG632" s="268"/>
      <c r="TOH632" s="268"/>
      <c r="TOI632" s="268"/>
      <c r="TOJ632" s="268"/>
      <c r="TOK632" s="268"/>
      <c r="TOL632" s="268"/>
      <c r="TOM632" s="268"/>
      <c r="TON632" s="268"/>
      <c r="TOO632" s="268"/>
      <c r="TOP632" s="268"/>
      <c r="TOQ632" s="268"/>
      <c r="TOR632" s="268"/>
      <c r="TOS632" s="268"/>
      <c r="TOT632" s="268"/>
      <c r="TOU632" s="268"/>
      <c r="TOV632" s="268"/>
      <c r="TOW632" s="268"/>
      <c r="TOX632" s="268"/>
      <c r="TOY632" s="268"/>
      <c r="TOZ632" s="268"/>
      <c r="TPA632" s="268"/>
      <c r="TPB632" s="268"/>
      <c r="TPC632" s="268"/>
      <c r="TPD632" s="268"/>
      <c r="TPE632" s="268"/>
      <c r="TPF632" s="268"/>
      <c r="TPG632" s="268"/>
      <c r="TPH632" s="268"/>
      <c r="TPI632" s="268"/>
      <c r="TPJ632" s="268"/>
      <c r="TPK632" s="268"/>
      <c r="TPL632" s="268"/>
      <c r="TPM632" s="268"/>
      <c r="TPN632" s="268"/>
      <c r="TPO632" s="268"/>
      <c r="TPP632" s="268"/>
      <c r="TPQ632" s="268"/>
      <c r="TPR632" s="268"/>
      <c r="TPS632" s="268"/>
      <c r="TPT632" s="268"/>
      <c r="TPU632" s="268"/>
      <c r="TPV632" s="268"/>
      <c r="TPW632" s="268"/>
      <c r="TPX632" s="268"/>
      <c r="TPY632" s="268"/>
      <c r="TPZ632" s="268"/>
      <c r="TQA632" s="268"/>
      <c r="TQB632" s="268"/>
      <c r="TQC632" s="268"/>
      <c r="TQD632" s="268"/>
      <c r="TQE632" s="268"/>
      <c r="TQF632" s="268"/>
      <c r="TQG632" s="268"/>
      <c r="TQH632" s="268"/>
      <c r="TQI632" s="268"/>
      <c r="TQJ632" s="268"/>
      <c r="TQK632" s="268"/>
      <c r="TQL632" s="268"/>
      <c r="TQM632" s="268"/>
      <c r="TQN632" s="268"/>
      <c r="TQO632" s="268"/>
      <c r="TQP632" s="268"/>
      <c r="TQQ632" s="268"/>
      <c r="TQR632" s="268"/>
      <c r="TQS632" s="268"/>
      <c r="TQT632" s="268"/>
      <c r="TQU632" s="268"/>
      <c r="TQV632" s="268"/>
      <c r="TQW632" s="268"/>
      <c r="TQX632" s="268"/>
      <c r="TQY632" s="268"/>
      <c r="TQZ632" s="268"/>
      <c r="TRA632" s="268"/>
      <c r="TRB632" s="268"/>
      <c r="TRC632" s="268"/>
      <c r="TRD632" s="268"/>
      <c r="TRE632" s="268"/>
      <c r="TRF632" s="268"/>
      <c r="TRG632" s="268"/>
      <c r="TRH632" s="268"/>
      <c r="TRI632" s="268"/>
      <c r="TRJ632" s="268"/>
      <c r="TRK632" s="268"/>
      <c r="TRL632" s="268"/>
      <c r="TRM632" s="268"/>
      <c r="TRN632" s="268"/>
      <c r="TRO632" s="268"/>
      <c r="TRP632" s="268"/>
      <c r="TRQ632" s="268"/>
      <c r="TRR632" s="268"/>
      <c r="TRS632" s="268"/>
      <c r="TRT632" s="268"/>
      <c r="TRU632" s="268"/>
      <c r="TRV632" s="268"/>
      <c r="TRW632" s="268"/>
      <c r="TRX632" s="268"/>
      <c r="TRY632" s="268"/>
      <c r="TRZ632" s="268"/>
      <c r="TSA632" s="268"/>
      <c r="TSB632" s="268"/>
      <c r="TSC632" s="268"/>
      <c r="TSD632" s="268"/>
      <c r="TSE632" s="268"/>
      <c r="TSF632" s="268"/>
      <c r="TSG632" s="268"/>
      <c r="TSH632" s="268"/>
      <c r="TSI632" s="268"/>
      <c r="TSJ632" s="268"/>
      <c r="TSK632" s="268"/>
      <c r="TSL632" s="268"/>
      <c r="TSM632" s="268"/>
      <c r="TSN632" s="268"/>
      <c r="TSO632" s="268"/>
      <c r="TSP632" s="268"/>
      <c r="TSQ632" s="268"/>
      <c r="TSR632" s="268"/>
      <c r="TSS632" s="268"/>
      <c r="TST632" s="268"/>
      <c r="TSU632" s="268"/>
      <c r="TSV632" s="268"/>
      <c r="TSW632" s="268"/>
      <c r="TSX632" s="268"/>
      <c r="TSY632" s="268"/>
      <c r="TSZ632" s="268"/>
      <c r="TTA632" s="268"/>
      <c r="TTB632" s="268"/>
      <c r="TTC632" s="268"/>
      <c r="TTD632" s="268"/>
      <c r="TTE632" s="268"/>
      <c r="TTF632" s="268"/>
      <c r="TTG632" s="268"/>
      <c r="TTH632" s="268"/>
      <c r="TTI632" s="268"/>
      <c r="TTJ632" s="268"/>
      <c r="TTK632" s="268"/>
      <c r="TTL632" s="268"/>
      <c r="TTM632" s="268"/>
      <c r="TTN632" s="268"/>
      <c r="TTO632" s="268"/>
      <c r="TTP632" s="268"/>
      <c r="TTQ632" s="268"/>
      <c r="TTR632" s="268"/>
      <c r="TTS632" s="268"/>
      <c r="TTT632" s="268"/>
      <c r="TTU632" s="268"/>
      <c r="TTV632" s="268"/>
      <c r="TTW632" s="268"/>
      <c r="TTX632" s="268"/>
      <c r="TTY632" s="268"/>
      <c r="TTZ632" s="268"/>
      <c r="TUA632" s="268"/>
      <c r="TUB632" s="268"/>
      <c r="TUC632" s="268"/>
      <c r="TUD632" s="268"/>
      <c r="TUE632" s="268"/>
      <c r="TUS632" s="268"/>
      <c r="TUT632" s="268"/>
      <c r="TUU632" s="268"/>
      <c r="TVI632" s="268"/>
      <c r="TVK632" s="268"/>
      <c r="TVL632" s="268"/>
      <c r="TVM632" s="268"/>
      <c r="TVN632" s="268"/>
      <c r="TVO632" s="268"/>
      <c r="TVP632" s="268"/>
      <c r="TVQ632" s="268"/>
      <c r="TVR632" s="268"/>
      <c r="TVS632" s="268"/>
      <c r="TVT632" s="268"/>
      <c r="TVU632" s="268"/>
      <c r="TVV632" s="268"/>
      <c r="TVW632" s="268"/>
      <c r="TVX632" s="268"/>
      <c r="TVY632" s="268"/>
      <c r="TVZ632" s="268"/>
      <c r="TWA632" s="268"/>
      <c r="TWB632" s="268"/>
      <c r="TWC632" s="268"/>
      <c r="TWD632" s="268"/>
      <c r="TWE632" s="268"/>
      <c r="TWF632" s="268"/>
      <c r="TWG632" s="268"/>
      <c r="TWH632" s="268"/>
      <c r="TWI632" s="268"/>
      <c r="TWJ632" s="268"/>
      <c r="TWK632" s="268"/>
      <c r="TWL632" s="268"/>
      <c r="TWM632" s="268"/>
      <c r="TWN632" s="268"/>
      <c r="TWO632" s="268"/>
      <c r="TWP632" s="268"/>
      <c r="TWQ632" s="268"/>
      <c r="TWR632" s="268"/>
      <c r="TWS632" s="268"/>
      <c r="TWT632" s="268"/>
      <c r="TWU632" s="268"/>
      <c r="TWV632" s="268"/>
      <c r="TWW632" s="268"/>
      <c r="TWX632" s="268"/>
      <c r="TWY632" s="268"/>
      <c r="TWZ632" s="268"/>
      <c r="TXA632" s="268"/>
      <c r="TXB632" s="268"/>
      <c r="TXC632" s="268"/>
      <c r="TXD632" s="268"/>
      <c r="TXE632" s="268"/>
      <c r="TXF632" s="268"/>
      <c r="TXG632" s="268"/>
      <c r="TXH632" s="268"/>
      <c r="TXI632" s="268"/>
      <c r="TXJ632" s="268"/>
      <c r="TXK632" s="268"/>
      <c r="TXL632" s="268"/>
      <c r="TXM632" s="268"/>
      <c r="TXN632" s="268"/>
      <c r="TXO632" s="268"/>
      <c r="TXP632" s="268"/>
      <c r="TXQ632" s="268"/>
      <c r="TXR632" s="268"/>
      <c r="TXS632" s="268"/>
      <c r="TXT632" s="268"/>
      <c r="TXU632" s="268"/>
      <c r="TXV632" s="268"/>
      <c r="TXW632" s="268"/>
      <c r="TXX632" s="268"/>
      <c r="TXY632" s="268"/>
      <c r="TXZ632" s="268"/>
      <c r="TYA632" s="268"/>
      <c r="TYB632" s="268"/>
      <c r="TYC632" s="268"/>
      <c r="TYD632" s="268"/>
      <c r="TYE632" s="268"/>
      <c r="TYF632" s="268"/>
      <c r="TYG632" s="268"/>
      <c r="TYH632" s="268"/>
      <c r="TYI632" s="268"/>
      <c r="TYJ632" s="268"/>
      <c r="TYK632" s="268"/>
      <c r="TYL632" s="268"/>
      <c r="TYM632" s="268"/>
      <c r="TYN632" s="268"/>
      <c r="TYO632" s="268"/>
      <c r="TYP632" s="268"/>
      <c r="TYQ632" s="268"/>
      <c r="TYR632" s="268"/>
      <c r="TYS632" s="268"/>
      <c r="TYT632" s="268"/>
      <c r="TYU632" s="268"/>
      <c r="TYV632" s="268"/>
      <c r="TYW632" s="268"/>
      <c r="TYX632" s="268"/>
      <c r="TYY632" s="268"/>
      <c r="TYZ632" s="268"/>
      <c r="TZA632" s="268"/>
      <c r="TZB632" s="268"/>
      <c r="TZC632" s="268"/>
      <c r="TZD632" s="268"/>
      <c r="TZE632" s="268"/>
      <c r="TZF632" s="268"/>
      <c r="TZG632" s="268"/>
      <c r="TZH632" s="268"/>
      <c r="TZI632" s="268"/>
      <c r="TZJ632" s="268"/>
      <c r="TZK632" s="268"/>
      <c r="TZL632" s="268"/>
      <c r="TZM632" s="268"/>
      <c r="TZN632" s="268"/>
      <c r="TZO632" s="268"/>
      <c r="TZP632" s="268"/>
      <c r="TZQ632" s="268"/>
      <c r="TZR632" s="268"/>
      <c r="TZS632" s="268"/>
      <c r="TZT632" s="268"/>
      <c r="TZU632" s="268"/>
      <c r="TZV632" s="268"/>
      <c r="TZW632" s="268"/>
      <c r="TZX632" s="268"/>
      <c r="TZY632" s="268"/>
      <c r="TZZ632" s="268"/>
      <c r="UAA632" s="268"/>
      <c r="UAB632" s="268"/>
      <c r="UAC632" s="268"/>
      <c r="UAD632" s="268"/>
      <c r="UAE632" s="268"/>
      <c r="UAF632" s="268"/>
      <c r="UAG632" s="268"/>
      <c r="UAH632" s="268"/>
      <c r="UAI632" s="268"/>
      <c r="UAJ632" s="268"/>
      <c r="UAK632" s="268"/>
      <c r="UAL632" s="268"/>
      <c r="UAM632" s="268"/>
      <c r="UAN632" s="268"/>
      <c r="UAO632" s="268"/>
      <c r="UAP632" s="268"/>
      <c r="UAQ632" s="268"/>
      <c r="UAR632" s="268"/>
      <c r="UAS632" s="268"/>
      <c r="UAT632" s="268"/>
      <c r="UAU632" s="268"/>
      <c r="UAV632" s="268"/>
      <c r="UAW632" s="268"/>
      <c r="UAX632" s="268"/>
      <c r="UAY632" s="268"/>
      <c r="UAZ632" s="268"/>
      <c r="UBA632" s="268"/>
      <c r="UBB632" s="268"/>
      <c r="UBC632" s="268"/>
      <c r="UBD632" s="268"/>
      <c r="UBE632" s="268"/>
      <c r="UBF632" s="268"/>
      <c r="UBG632" s="268"/>
      <c r="UBH632" s="268"/>
      <c r="UBI632" s="268"/>
      <c r="UBJ632" s="268"/>
      <c r="UBK632" s="268"/>
      <c r="UBL632" s="268"/>
      <c r="UBM632" s="268"/>
      <c r="UBN632" s="268"/>
      <c r="UBO632" s="268"/>
      <c r="UBP632" s="268"/>
      <c r="UBQ632" s="268"/>
      <c r="UBR632" s="268"/>
      <c r="UBS632" s="268"/>
      <c r="UBT632" s="268"/>
      <c r="UBU632" s="268"/>
      <c r="UBV632" s="268"/>
      <c r="UBW632" s="268"/>
      <c r="UBX632" s="268"/>
      <c r="UBY632" s="268"/>
      <c r="UBZ632" s="268"/>
      <c r="UCA632" s="268"/>
      <c r="UCB632" s="268"/>
      <c r="UCC632" s="268"/>
      <c r="UCD632" s="268"/>
      <c r="UCE632" s="268"/>
      <c r="UCF632" s="268"/>
      <c r="UCG632" s="268"/>
      <c r="UCH632" s="268"/>
      <c r="UCI632" s="268"/>
      <c r="UCJ632" s="268"/>
      <c r="UCK632" s="268"/>
      <c r="UCL632" s="268"/>
      <c r="UCM632" s="268"/>
      <c r="UCN632" s="268"/>
      <c r="UCO632" s="268"/>
      <c r="UCP632" s="268"/>
      <c r="UCQ632" s="268"/>
      <c r="UCR632" s="268"/>
      <c r="UCS632" s="268"/>
      <c r="UCT632" s="268"/>
      <c r="UCU632" s="268"/>
      <c r="UCV632" s="268"/>
      <c r="UCW632" s="268"/>
      <c r="UCX632" s="268"/>
      <c r="UCY632" s="268"/>
      <c r="UCZ632" s="268"/>
      <c r="UDA632" s="268"/>
      <c r="UDB632" s="268"/>
      <c r="UDC632" s="268"/>
      <c r="UDD632" s="268"/>
      <c r="UDE632" s="268"/>
      <c r="UDF632" s="268"/>
      <c r="UDG632" s="268"/>
      <c r="UDH632" s="268"/>
      <c r="UDI632" s="268"/>
      <c r="UDJ632" s="268"/>
      <c r="UDK632" s="268"/>
      <c r="UDL632" s="268"/>
      <c r="UDM632" s="268"/>
      <c r="UDN632" s="268"/>
      <c r="UDO632" s="268"/>
      <c r="UDP632" s="268"/>
      <c r="UDQ632" s="268"/>
      <c r="UDR632" s="268"/>
      <c r="UDS632" s="268"/>
      <c r="UDT632" s="268"/>
      <c r="UDU632" s="268"/>
      <c r="UDV632" s="268"/>
      <c r="UDW632" s="268"/>
      <c r="UDX632" s="268"/>
      <c r="UDY632" s="268"/>
      <c r="UDZ632" s="268"/>
      <c r="UEA632" s="268"/>
      <c r="UEO632" s="268"/>
      <c r="UEP632" s="268"/>
      <c r="UEQ632" s="268"/>
      <c r="UFE632" s="268"/>
      <c r="UFG632" s="268"/>
      <c r="UFH632" s="268"/>
      <c r="UFI632" s="268"/>
      <c r="UFJ632" s="268"/>
      <c r="UFK632" s="268"/>
      <c r="UFL632" s="268"/>
      <c r="UFM632" s="268"/>
      <c r="UFN632" s="268"/>
      <c r="UFO632" s="268"/>
      <c r="UFP632" s="268"/>
      <c r="UFQ632" s="268"/>
      <c r="UFR632" s="268"/>
      <c r="UFS632" s="268"/>
      <c r="UFT632" s="268"/>
      <c r="UFU632" s="268"/>
      <c r="UFV632" s="268"/>
      <c r="UFW632" s="268"/>
      <c r="UFX632" s="268"/>
      <c r="UFY632" s="268"/>
      <c r="UFZ632" s="268"/>
      <c r="UGA632" s="268"/>
      <c r="UGB632" s="268"/>
      <c r="UGC632" s="268"/>
      <c r="UGD632" s="268"/>
      <c r="UGE632" s="268"/>
      <c r="UGF632" s="268"/>
      <c r="UGG632" s="268"/>
      <c r="UGH632" s="268"/>
      <c r="UGI632" s="268"/>
      <c r="UGJ632" s="268"/>
      <c r="UGK632" s="268"/>
      <c r="UGL632" s="268"/>
      <c r="UGM632" s="268"/>
      <c r="UGN632" s="268"/>
      <c r="UGO632" s="268"/>
      <c r="UGP632" s="268"/>
      <c r="UGQ632" s="268"/>
      <c r="UGR632" s="268"/>
      <c r="UGS632" s="268"/>
      <c r="UGT632" s="268"/>
      <c r="UGU632" s="268"/>
      <c r="UGV632" s="268"/>
      <c r="UGW632" s="268"/>
      <c r="UGX632" s="268"/>
      <c r="UGY632" s="268"/>
      <c r="UGZ632" s="268"/>
      <c r="UHA632" s="268"/>
      <c r="UHB632" s="268"/>
      <c r="UHC632" s="268"/>
      <c r="UHD632" s="268"/>
      <c r="UHE632" s="268"/>
      <c r="UHF632" s="268"/>
      <c r="UHG632" s="268"/>
      <c r="UHH632" s="268"/>
      <c r="UHI632" s="268"/>
      <c r="UHJ632" s="268"/>
      <c r="UHK632" s="268"/>
      <c r="UHL632" s="268"/>
      <c r="UHM632" s="268"/>
      <c r="UHN632" s="268"/>
      <c r="UHO632" s="268"/>
      <c r="UHP632" s="268"/>
      <c r="UHQ632" s="268"/>
      <c r="UHR632" s="268"/>
      <c r="UHS632" s="268"/>
      <c r="UHT632" s="268"/>
      <c r="UHU632" s="268"/>
      <c r="UHV632" s="268"/>
      <c r="UHW632" s="268"/>
      <c r="UHX632" s="268"/>
      <c r="UHY632" s="268"/>
      <c r="UHZ632" s="268"/>
      <c r="UIA632" s="268"/>
      <c r="UIB632" s="268"/>
      <c r="UIC632" s="268"/>
      <c r="UID632" s="268"/>
      <c r="UIE632" s="268"/>
      <c r="UIF632" s="268"/>
      <c r="UIG632" s="268"/>
      <c r="UIH632" s="268"/>
      <c r="UII632" s="268"/>
      <c r="UIJ632" s="268"/>
      <c r="UIK632" s="268"/>
      <c r="UIL632" s="268"/>
      <c r="UIM632" s="268"/>
      <c r="UIN632" s="268"/>
      <c r="UIO632" s="268"/>
      <c r="UIP632" s="268"/>
      <c r="UIQ632" s="268"/>
      <c r="UIR632" s="268"/>
      <c r="UIS632" s="268"/>
      <c r="UIT632" s="268"/>
      <c r="UIU632" s="268"/>
      <c r="UIV632" s="268"/>
      <c r="UIW632" s="268"/>
      <c r="UIX632" s="268"/>
      <c r="UIY632" s="268"/>
      <c r="UIZ632" s="268"/>
      <c r="UJA632" s="268"/>
      <c r="UJB632" s="268"/>
      <c r="UJC632" s="268"/>
      <c r="UJD632" s="268"/>
      <c r="UJE632" s="268"/>
      <c r="UJF632" s="268"/>
      <c r="UJG632" s="268"/>
      <c r="UJH632" s="268"/>
      <c r="UJI632" s="268"/>
      <c r="UJJ632" s="268"/>
      <c r="UJK632" s="268"/>
      <c r="UJL632" s="268"/>
      <c r="UJM632" s="268"/>
      <c r="UJN632" s="268"/>
      <c r="UJO632" s="268"/>
      <c r="UJP632" s="268"/>
      <c r="UJQ632" s="268"/>
      <c r="UJR632" s="268"/>
      <c r="UJS632" s="268"/>
      <c r="UJT632" s="268"/>
      <c r="UJU632" s="268"/>
      <c r="UJV632" s="268"/>
      <c r="UJW632" s="268"/>
      <c r="UJX632" s="268"/>
      <c r="UJY632" s="268"/>
      <c r="UJZ632" s="268"/>
      <c r="UKA632" s="268"/>
      <c r="UKB632" s="268"/>
      <c r="UKC632" s="268"/>
      <c r="UKD632" s="268"/>
      <c r="UKE632" s="268"/>
      <c r="UKF632" s="268"/>
      <c r="UKG632" s="268"/>
      <c r="UKH632" s="268"/>
      <c r="UKI632" s="268"/>
      <c r="UKJ632" s="268"/>
      <c r="UKK632" s="268"/>
      <c r="UKL632" s="268"/>
      <c r="UKM632" s="268"/>
      <c r="UKN632" s="268"/>
      <c r="UKO632" s="268"/>
      <c r="UKP632" s="268"/>
      <c r="UKQ632" s="268"/>
      <c r="UKR632" s="268"/>
      <c r="UKS632" s="268"/>
      <c r="UKT632" s="268"/>
      <c r="UKU632" s="268"/>
      <c r="UKV632" s="268"/>
      <c r="UKW632" s="268"/>
      <c r="UKX632" s="268"/>
      <c r="UKY632" s="268"/>
      <c r="UKZ632" s="268"/>
      <c r="ULA632" s="268"/>
      <c r="ULB632" s="268"/>
      <c r="ULC632" s="268"/>
      <c r="ULD632" s="268"/>
      <c r="ULE632" s="268"/>
      <c r="ULF632" s="268"/>
      <c r="ULG632" s="268"/>
      <c r="ULH632" s="268"/>
      <c r="ULI632" s="268"/>
      <c r="ULJ632" s="268"/>
      <c r="ULK632" s="268"/>
      <c r="ULL632" s="268"/>
      <c r="ULM632" s="268"/>
      <c r="ULN632" s="268"/>
      <c r="ULO632" s="268"/>
      <c r="ULP632" s="268"/>
      <c r="ULQ632" s="268"/>
      <c r="ULR632" s="268"/>
      <c r="ULS632" s="268"/>
      <c r="ULT632" s="268"/>
      <c r="ULU632" s="268"/>
      <c r="ULV632" s="268"/>
      <c r="ULW632" s="268"/>
      <c r="ULX632" s="268"/>
      <c r="ULY632" s="268"/>
      <c r="ULZ632" s="268"/>
      <c r="UMA632" s="268"/>
      <c r="UMB632" s="268"/>
      <c r="UMC632" s="268"/>
      <c r="UMD632" s="268"/>
      <c r="UME632" s="268"/>
      <c r="UMF632" s="268"/>
      <c r="UMG632" s="268"/>
      <c r="UMH632" s="268"/>
      <c r="UMI632" s="268"/>
      <c r="UMJ632" s="268"/>
      <c r="UMK632" s="268"/>
      <c r="UML632" s="268"/>
      <c r="UMM632" s="268"/>
      <c r="UMN632" s="268"/>
      <c r="UMO632" s="268"/>
      <c r="UMP632" s="268"/>
      <c r="UMQ632" s="268"/>
      <c r="UMR632" s="268"/>
      <c r="UMS632" s="268"/>
      <c r="UMT632" s="268"/>
      <c r="UMU632" s="268"/>
      <c r="UMV632" s="268"/>
      <c r="UMW632" s="268"/>
      <c r="UMX632" s="268"/>
      <c r="UMY632" s="268"/>
      <c r="UMZ632" s="268"/>
      <c r="UNA632" s="268"/>
      <c r="UNB632" s="268"/>
      <c r="UNC632" s="268"/>
      <c r="UND632" s="268"/>
      <c r="UNE632" s="268"/>
      <c r="UNF632" s="268"/>
      <c r="UNG632" s="268"/>
      <c r="UNH632" s="268"/>
      <c r="UNI632" s="268"/>
      <c r="UNJ632" s="268"/>
      <c r="UNK632" s="268"/>
      <c r="UNL632" s="268"/>
      <c r="UNM632" s="268"/>
      <c r="UNN632" s="268"/>
      <c r="UNO632" s="268"/>
      <c r="UNP632" s="268"/>
      <c r="UNQ632" s="268"/>
      <c r="UNR632" s="268"/>
      <c r="UNS632" s="268"/>
      <c r="UNT632" s="268"/>
      <c r="UNU632" s="268"/>
      <c r="UNV632" s="268"/>
      <c r="UNW632" s="268"/>
      <c r="UOK632" s="268"/>
      <c r="UOL632" s="268"/>
      <c r="UOM632" s="268"/>
      <c r="UPA632" s="268"/>
      <c r="UPC632" s="268"/>
      <c r="UPD632" s="268"/>
      <c r="UPE632" s="268"/>
      <c r="UPF632" s="268"/>
      <c r="UPG632" s="268"/>
      <c r="UPH632" s="268"/>
      <c r="UPI632" s="268"/>
      <c r="UPJ632" s="268"/>
      <c r="UPK632" s="268"/>
      <c r="UPL632" s="268"/>
      <c r="UPM632" s="268"/>
      <c r="UPN632" s="268"/>
      <c r="UPO632" s="268"/>
      <c r="UPP632" s="268"/>
      <c r="UPQ632" s="268"/>
      <c r="UPR632" s="268"/>
      <c r="UPS632" s="268"/>
      <c r="UPT632" s="268"/>
      <c r="UPU632" s="268"/>
      <c r="UPV632" s="268"/>
      <c r="UPW632" s="268"/>
      <c r="UPX632" s="268"/>
      <c r="UPY632" s="268"/>
      <c r="UPZ632" s="268"/>
      <c r="UQA632" s="268"/>
      <c r="UQB632" s="268"/>
      <c r="UQC632" s="268"/>
      <c r="UQD632" s="268"/>
      <c r="UQE632" s="268"/>
      <c r="UQF632" s="268"/>
      <c r="UQG632" s="268"/>
      <c r="UQH632" s="268"/>
      <c r="UQI632" s="268"/>
      <c r="UQJ632" s="268"/>
      <c r="UQK632" s="268"/>
      <c r="UQL632" s="268"/>
      <c r="UQM632" s="268"/>
      <c r="UQN632" s="268"/>
      <c r="UQO632" s="268"/>
      <c r="UQP632" s="268"/>
      <c r="UQQ632" s="268"/>
      <c r="UQR632" s="268"/>
      <c r="UQS632" s="268"/>
      <c r="UQT632" s="268"/>
      <c r="UQU632" s="268"/>
      <c r="UQV632" s="268"/>
      <c r="UQW632" s="268"/>
      <c r="UQX632" s="268"/>
      <c r="UQY632" s="268"/>
      <c r="UQZ632" s="268"/>
      <c r="URA632" s="268"/>
      <c r="URB632" s="268"/>
      <c r="URC632" s="268"/>
      <c r="URD632" s="268"/>
      <c r="URE632" s="268"/>
      <c r="URF632" s="268"/>
      <c r="URG632" s="268"/>
      <c r="URH632" s="268"/>
      <c r="URI632" s="268"/>
      <c r="URJ632" s="268"/>
      <c r="URK632" s="268"/>
      <c r="URL632" s="268"/>
      <c r="URM632" s="268"/>
      <c r="URN632" s="268"/>
      <c r="URO632" s="268"/>
      <c r="URP632" s="268"/>
      <c r="URQ632" s="268"/>
      <c r="URR632" s="268"/>
      <c r="URS632" s="268"/>
      <c r="URT632" s="268"/>
      <c r="URU632" s="268"/>
      <c r="URV632" s="268"/>
      <c r="URW632" s="268"/>
      <c r="URX632" s="268"/>
      <c r="URY632" s="268"/>
      <c r="URZ632" s="268"/>
      <c r="USA632" s="268"/>
      <c r="USB632" s="268"/>
      <c r="USC632" s="268"/>
      <c r="USD632" s="268"/>
      <c r="USE632" s="268"/>
      <c r="USF632" s="268"/>
      <c r="USG632" s="268"/>
      <c r="USH632" s="268"/>
      <c r="USI632" s="268"/>
      <c r="USJ632" s="268"/>
      <c r="USK632" s="268"/>
      <c r="USL632" s="268"/>
      <c r="USM632" s="268"/>
      <c r="USN632" s="268"/>
      <c r="USO632" s="268"/>
      <c r="USP632" s="268"/>
      <c r="USQ632" s="268"/>
      <c r="USR632" s="268"/>
      <c r="USS632" s="268"/>
      <c r="UST632" s="268"/>
      <c r="USU632" s="268"/>
      <c r="USV632" s="268"/>
      <c r="USW632" s="268"/>
      <c r="USX632" s="268"/>
      <c r="USY632" s="268"/>
      <c r="USZ632" s="268"/>
      <c r="UTA632" s="268"/>
      <c r="UTB632" s="268"/>
      <c r="UTC632" s="268"/>
      <c r="UTD632" s="268"/>
      <c r="UTE632" s="268"/>
      <c r="UTF632" s="268"/>
      <c r="UTG632" s="268"/>
      <c r="UTH632" s="268"/>
      <c r="UTI632" s="268"/>
      <c r="UTJ632" s="268"/>
      <c r="UTK632" s="268"/>
      <c r="UTL632" s="268"/>
      <c r="UTM632" s="268"/>
      <c r="UTN632" s="268"/>
      <c r="UTO632" s="268"/>
      <c r="UTP632" s="268"/>
      <c r="UTQ632" s="268"/>
      <c r="UTR632" s="268"/>
      <c r="UTS632" s="268"/>
      <c r="UTT632" s="268"/>
      <c r="UTU632" s="268"/>
      <c r="UTV632" s="268"/>
      <c r="UTW632" s="268"/>
      <c r="UTX632" s="268"/>
      <c r="UTY632" s="268"/>
      <c r="UTZ632" s="268"/>
      <c r="UUA632" s="268"/>
      <c r="UUB632" s="268"/>
      <c r="UUC632" s="268"/>
      <c r="UUD632" s="268"/>
      <c r="UUE632" s="268"/>
      <c r="UUF632" s="268"/>
      <c r="UUG632" s="268"/>
      <c r="UUH632" s="268"/>
      <c r="UUI632" s="268"/>
      <c r="UUJ632" s="268"/>
      <c r="UUK632" s="268"/>
      <c r="UUL632" s="268"/>
      <c r="UUM632" s="268"/>
      <c r="UUN632" s="268"/>
      <c r="UUO632" s="268"/>
      <c r="UUP632" s="268"/>
      <c r="UUQ632" s="268"/>
      <c r="UUR632" s="268"/>
      <c r="UUS632" s="268"/>
      <c r="UUT632" s="268"/>
      <c r="UUU632" s="268"/>
      <c r="UUV632" s="268"/>
      <c r="UUW632" s="268"/>
      <c r="UUX632" s="268"/>
      <c r="UUY632" s="268"/>
      <c r="UUZ632" s="268"/>
      <c r="UVA632" s="268"/>
      <c r="UVB632" s="268"/>
      <c r="UVC632" s="268"/>
      <c r="UVD632" s="268"/>
      <c r="UVE632" s="268"/>
      <c r="UVF632" s="268"/>
      <c r="UVG632" s="268"/>
      <c r="UVH632" s="268"/>
      <c r="UVI632" s="268"/>
      <c r="UVJ632" s="268"/>
      <c r="UVK632" s="268"/>
      <c r="UVL632" s="268"/>
      <c r="UVM632" s="268"/>
      <c r="UVN632" s="268"/>
      <c r="UVO632" s="268"/>
      <c r="UVP632" s="268"/>
      <c r="UVQ632" s="268"/>
      <c r="UVR632" s="268"/>
      <c r="UVS632" s="268"/>
      <c r="UVT632" s="268"/>
      <c r="UVU632" s="268"/>
      <c r="UVV632" s="268"/>
      <c r="UVW632" s="268"/>
      <c r="UVX632" s="268"/>
      <c r="UVY632" s="268"/>
      <c r="UVZ632" s="268"/>
      <c r="UWA632" s="268"/>
      <c r="UWB632" s="268"/>
      <c r="UWC632" s="268"/>
      <c r="UWD632" s="268"/>
      <c r="UWE632" s="268"/>
      <c r="UWF632" s="268"/>
      <c r="UWG632" s="268"/>
      <c r="UWH632" s="268"/>
      <c r="UWI632" s="268"/>
      <c r="UWJ632" s="268"/>
      <c r="UWK632" s="268"/>
      <c r="UWL632" s="268"/>
      <c r="UWM632" s="268"/>
      <c r="UWN632" s="268"/>
      <c r="UWO632" s="268"/>
      <c r="UWP632" s="268"/>
      <c r="UWQ632" s="268"/>
      <c r="UWR632" s="268"/>
      <c r="UWS632" s="268"/>
      <c r="UWT632" s="268"/>
      <c r="UWU632" s="268"/>
      <c r="UWV632" s="268"/>
      <c r="UWW632" s="268"/>
      <c r="UWX632" s="268"/>
      <c r="UWY632" s="268"/>
      <c r="UWZ632" s="268"/>
      <c r="UXA632" s="268"/>
      <c r="UXB632" s="268"/>
      <c r="UXC632" s="268"/>
      <c r="UXD632" s="268"/>
      <c r="UXE632" s="268"/>
      <c r="UXF632" s="268"/>
      <c r="UXG632" s="268"/>
      <c r="UXH632" s="268"/>
      <c r="UXI632" s="268"/>
      <c r="UXJ632" s="268"/>
      <c r="UXK632" s="268"/>
      <c r="UXL632" s="268"/>
      <c r="UXM632" s="268"/>
      <c r="UXN632" s="268"/>
      <c r="UXO632" s="268"/>
      <c r="UXP632" s="268"/>
      <c r="UXQ632" s="268"/>
      <c r="UXR632" s="268"/>
      <c r="UXS632" s="268"/>
      <c r="UYG632" s="268"/>
      <c r="UYH632" s="268"/>
      <c r="UYI632" s="268"/>
      <c r="UYW632" s="268"/>
      <c r="UYY632" s="268"/>
      <c r="UYZ632" s="268"/>
      <c r="UZA632" s="268"/>
      <c r="UZB632" s="268"/>
      <c r="UZC632" s="268"/>
      <c r="UZD632" s="268"/>
      <c r="UZE632" s="268"/>
      <c r="UZF632" s="268"/>
      <c r="UZG632" s="268"/>
      <c r="UZH632" s="268"/>
      <c r="UZI632" s="268"/>
      <c r="UZJ632" s="268"/>
      <c r="UZK632" s="268"/>
      <c r="UZL632" s="268"/>
      <c r="UZM632" s="268"/>
      <c r="UZN632" s="268"/>
      <c r="UZO632" s="268"/>
      <c r="UZP632" s="268"/>
      <c r="UZQ632" s="268"/>
      <c r="UZR632" s="268"/>
      <c r="UZS632" s="268"/>
      <c r="UZT632" s="268"/>
      <c r="UZU632" s="268"/>
      <c r="UZV632" s="268"/>
      <c r="UZW632" s="268"/>
      <c r="UZX632" s="268"/>
      <c r="UZY632" s="268"/>
      <c r="UZZ632" s="268"/>
      <c r="VAA632" s="268"/>
      <c r="VAB632" s="268"/>
      <c r="VAC632" s="268"/>
      <c r="VAD632" s="268"/>
      <c r="VAE632" s="268"/>
      <c r="VAF632" s="268"/>
      <c r="VAG632" s="268"/>
      <c r="VAH632" s="268"/>
      <c r="VAI632" s="268"/>
      <c r="VAJ632" s="268"/>
      <c r="VAK632" s="268"/>
      <c r="VAL632" s="268"/>
      <c r="VAM632" s="268"/>
      <c r="VAN632" s="268"/>
      <c r="VAO632" s="268"/>
      <c r="VAP632" s="268"/>
      <c r="VAQ632" s="268"/>
      <c r="VAR632" s="268"/>
      <c r="VAS632" s="268"/>
      <c r="VAT632" s="268"/>
      <c r="VAU632" s="268"/>
      <c r="VAV632" s="268"/>
      <c r="VAW632" s="268"/>
      <c r="VAX632" s="268"/>
      <c r="VAY632" s="268"/>
      <c r="VAZ632" s="268"/>
      <c r="VBA632" s="268"/>
      <c r="VBB632" s="268"/>
      <c r="VBC632" s="268"/>
      <c r="VBD632" s="268"/>
      <c r="VBE632" s="268"/>
      <c r="VBF632" s="268"/>
      <c r="VBG632" s="268"/>
      <c r="VBH632" s="268"/>
      <c r="VBI632" s="268"/>
      <c r="VBJ632" s="268"/>
      <c r="VBK632" s="268"/>
      <c r="VBL632" s="268"/>
      <c r="VBM632" s="268"/>
      <c r="VBN632" s="268"/>
      <c r="VBO632" s="268"/>
      <c r="VBP632" s="268"/>
      <c r="VBQ632" s="268"/>
      <c r="VBR632" s="268"/>
      <c r="VBS632" s="268"/>
      <c r="VBT632" s="268"/>
      <c r="VBU632" s="268"/>
      <c r="VBV632" s="268"/>
      <c r="VBW632" s="268"/>
      <c r="VBX632" s="268"/>
      <c r="VBY632" s="268"/>
      <c r="VBZ632" s="268"/>
      <c r="VCA632" s="268"/>
      <c r="VCB632" s="268"/>
      <c r="VCC632" s="268"/>
      <c r="VCD632" s="268"/>
      <c r="VCE632" s="268"/>
      <c r="VCF632" s="268"/>
      <c r="VCG632" s="268"/>
      <c r="VCH632" s="268"/>
      <c r="VCI632" s="268"/>
      <c r="VCJ632" s="268"/>
      <c r="VCK632" s="268"/>
      <c r="VCL632" s="268"/>
      <c r="VCM632" s="268"/>
      <c r="VCN632" s="268"/>
      <c r="VCO632" s="268"/>
      <c r="VCP632" s="268"/>
      <c r="VCQ632" s="268"/>
      <c r="VCR632" s="268"/>
      <c r="VCS632" s="268"/>
      <c r="VCT632" s="268"/>
      <c r="VCU632" s="268"/>
      <c r="VCV632" s="268"/>
      <c r="VCW632" s="268"/>
      <c r="VCX632" s="268"/>
      <c r="VCY632" s="268"/>
      <c r="VCZ632" s="268"/>
      <c r="VDA632" s="268"/>
      <c r="VDB632" s="268"/>
      <c r="VDC632" s="268"/>
      <c r="VDD632" s="268"/>
      <c r="VDE632" s="268"/>
      <c r="VDF632" s="268"/>
      <c r="VDG632" s="268"/>
      <c r="VDH632" s="268"/>
      <c r="VDI632" s="268"/>
      <c r="VDJ632" s="268"/>
      <c r="VDK632" s="268"/>
      <c r="VDL632" s="268"/>
      <c r="VDM632" s="268"/>
      <c r="VDN632" s="268"/>
      <c r="VDO632" s="268"/>
      <c r="VDP632" s="268"/>
      <c r="VDQ632" s="268"/>
      <c r="VDR632" s="268"/>
      <c r="VDS632" s="268"/>
      <c r="VDT632" s="268"/>
      <c r="VDU632" s="268"/>
      <c r="VDV632" s="268"/>
      <c r="VDW632" s="268"/>
      <c r="VDX632" s="268"/>
      <c r="VDY632" s="268"/>
      <c r="VDZ632" s="268"/>
      <c r="VEA632" s="268"/>
      <c r="VEB632" s="268"/>
      <c r="VEC632" s="268"/>
      <c r="VED632" s="268"/>
      <c r="VEE632" s="268"/>
      <c r="VEF632" s="268"/>
      <c r="VEG632" s="268"/>
      <c r="VEH632" s="268"/>
      <c r="VEI632" s="268"/>
      <c r="VEJ632" s="268"/>
      <c r="VEK632" s="268"/>
      <c r="VEL632" s="268"/>
      <c r="VEM632" s="268"/>
      <c r="VEN632" s="268"/>
      <c r="VEO632" s="268"/>
      <c r="VEP632" s="268"/>
      <c r="VEQ632" s="268"/>
      <c r="VER632" s="268"/>
      <c r="VES632" s="268"/>
      <c r="VET632" s="268"/>
      <c r="VEU632" s="268"/>
      <c r="VEV632" s="268"/>
      <c r="VEW632" s="268"/>
      <c r="VEX632" s="268"/>
      <c r="VEY632" s="268"/>
      <c r="VEZ632" s="268"/>
      <c r="VFA632" s="268"/>
      <c r="VFB632" s="268"/>
      <c r="VFC632" s="268"/>
      <c r="VFD632" s="268"/>
      <c r="VFE632" s="268"/>
      <c r="VFF632" s="268"/>
      <c r="VFG632" s="268"/>
      <c r="VFH632" s="268"/>
      <c r="VFI632" s="268"/>
      <c r="VFJ632" s="268"/>
      <c r="VFK632" s="268"/>
      <c r="VFL632" s="268"/>
      <c r="VFM632" s="268"/>
      <c r="VFN632" s="268"/>
      <c r="VFO632" s="268"/>
      <c r="VFP632" s="268"/>
      <c r="VFQ632" s="268"/>
      <c r="VFR632" s="268"/>
      <c r="VFS632" s="268"/>
      <c r="VFT632" s="268"/>
      <c r="VFU632" s="268"/>
      <c r="VFV632" s="268"/>
      <c r="VFW632" s="268"/>
      <c r="VFX632" s="268"/>
      <c r="VFY632" s="268"/>
      <c r="VFZ632" s="268"/>
      <c r="VGA632" s="268"/>
      <c r="VGB632" s="268"/>
      <c r="VGC632" s="268"/>
      <c r="VGD632" s="268"/>
      <c r="VGE632" s="268"/>
      <c r="VGF632" s="268"/>
      <c r="VGG632" s="268"/>
      <c r="VGH632" s="268"/>
      <c r="VGI632" s="268"/>
      <c r="VGJ632" s="268"/>
      <c r="VGK632" s="268"/>
      <c r="VGL632" s="268"/>
      <c r="VGM632" s="268"/>
      <c r="VGN632" s="268"/>
      <c r="VGO632" s="268"/>
      <c r="VGP632" s="268"/>
      <c r="VGQ632" s="268"/>
      <c r="VGR632" s="268"/>
      <c r="VGS632" s="268"/>
      <c r="VGT632" s="268"/>
      <c r="VGU632" s="268"/>
      <c r="VGV632" s="268"/>
      <c r="VGW632" s="268"/>
      <c r="VGX632" s="268"/>
      <c r="VGY632" s="268"/>
      <c r="VGZ632" s="268"/>
      <c r="VHA632" s="268"/>
      <c r="VHB632" s="268"/>
      <c r="VHC632" s="268"/>
      <c r="VHD632" s="268"/>
      <c r="VHE632" s="268"/>
      <c r="VHF632" s="268"/>
      <c r="VHG632" s="268"/>
      <c r="VHH632" s="268"/>
      <c r="VHI632" s="268"/>
      <c r="VHJ632" s="268"/>
      <c r="VHK632" s="268"/>
      <c r="VHL632" s="268"/>
      <c r="VHM632" s="268"/>
      <c r="VHN632" s="268"/>
      <c r="VHO632" s="268"/>
      <c r="VIC632" s="268"/>
      <c r="VID632" s="268"/>
      <c r="VIE632" s="268"/>
      <c r="VIS632" s="268"/>
      <c r="VIU632" s="268"/>
      <c r="VIV632" s="268"/>
      <c r="VIW632" s="268"/>
      <c r="VIX632" s="268"/>
      <c r="VIY632" s="268"/>
      <c r="VIZ632" s="268"/>
      <c r="VJA632" s="268"/>
      <c r="VJB632" s="268"/>
      <c r="VJC632" s="268"/>
      <c r="VJD632" s="268"/>
      <c r="VJE632" s="268"/>
      <c r="VJF632" s="268"/>
      <c r="VJG632" s="268"/>
      <c r="VJH632" s="268"/>
      <c r="VJI632" s="268"/>
      <c r="VJJ632" s="268"/>
      <c r="VJK632" s="268"/>
      <c r="VJL632" s="268"/>
      <c r="VJM632" s="268"/>
      <c r="VJN632" s="268"/>
      <c r="VJO632" s="268"/>
      <c r="VJP632" s="268"/>
      <c r="VJQ632" s="268"/>
      <c r="VJR632" s="268"/>
      <c r="VJS632" s="268"/>
      <c r="VJT632" s="268"/>
      <c r="VJU632" s="268"/>
      <c r="VJV632" s="268"/>
      <c r="VJW632" s="268"/>
      <c r="VJX632" s="268"/>
      <c r="VJY632" s="268"/>
      <c r="VJZ632" s="268"/>
      <c r="VKA632" s="268"/>
      <c r="VKB632" s="268"/>
      <c r="VKC632" s="268"/>
      <c r="VKD632" s="268"/>
      <c r="VKE632" s="268"/>
      <c r="VKF632" s="268"/>
      <c r="VKG632" s="268"/>
      <c r="VKH632" s="268"/>
      <c r="VKI632" s="268"/>
      <c r="VKJ632" s="268"/>
      <c r="VKK632" s="268"/>
      <c r="VKL632" s="268"/>
      <c r="VKM632" s="268"/>
      <c r="VKN632" s="268"/>
      <c r="VKO632" s="268"/>
      <c r="VKP632" s="268"/>
      <c r="VKQ632" s="268"/>
      <c r="VKR632" s="268"/>
      <c r="VKS632" s="268"/>
      <c r="VKT632" s="268"/>
      <c r="VKU632" s="268"/>
      <c r="VKV632" s="268"/>
      <c r="VKW632" s="268"/>
      <c r="VKX632" s="268"/>
      <c r="VKY632" s="268"/>
      <c r="VKZ632" s="268"/>
      <c r="VLA632" s="268"/>
      <c r="VLB632" s="268"/>
      <c r="VLC632" s="268"/>
      <c r="VLD632" s="268"/>
      <c r="VLE632" s="268"/>
      <c r="VLF632" s="268"/>
      <c r="VLG632" s="268"/>
      <c r="VLH632" s="268"/>
      <c r="VLI632" s="268"/>
      <c r="VLJ632" s="268"/>
      <c r="VLK632" s="268"/>
      <c r="VLL632" s="268"/>
      <c r="VLM632" s="268"/>
      <c r="VLN632" s="268"/>
      <c r="VLO632" s="268"/>
      <c r="VLP632" s="268"/>
      <c r="VLQ632" s="268"/>
      <c r="VLR632" s="268"/>
      <c r="VLS632" s="268"/>
      <c r="VLT632" s="268"/>
      <c r="VLU632" s="268"/>
      <c r="VLV632" s="268"/>
      <c r="VLW632" s="268"/>
      <c r="VLX632" s="268"/>
      <c r="VLY632" s="268"/>
      <c r="VLZ632" s="268"/>
      <c r="VMA632" s="268"/>
      <c r="VMB632" s="268"/>
      <c r="VMC632" s="268"/>
      <c r="VMD632" s="268"/>
      <c r="VME632" s="268"/>
      <c r="VMF632" s="268"/>
      <c r="VMG632" s="268"/>
      <c r="VMH632" s="268"/>
      <c r="VMI632" s="268"/>
      <c r="VMJ632" s="268"/>
      <c r="VMK632" s="268"/>
      <c r="VML632" s="268"/>
      <c r="VMM632" s="268"/>
      <c r="VMN632" s="268"/>
      <c r="VMO632" s="268"/>
      <c r="VMP632" s="268"/>
      <c r="VMQ632" s="268"/>
      <c r="VMR632" s="268"/>
      <c r="VMS632" s="268"/>
      <c r="VMT632" s="268"/>
      <c r="VMU632" s="268"/>
      <c r="VMV632" s="268"/>
      <c r="VMW632" s="268"/>
      <c r="VMX632" s="268"/>
      <c r="VMY632" s="268"/>
      <c r="VMZ632" s="268"/>
      <c r="VNA632" s="268"/>
      <c r="VNB632" s="268"/>
      <c r="VNC632" s="268"/>
      <c r="VND632" s="268"/>
      <c r="VNE632" s="268"/>
      <c r="VNF632" s="268"/>
      <c r="VNG632" s="268"/>
      <c r="VNH632" s="268"/>
      <c r="VNI632" s="268"/>
      <c r="VNJ632" s="268"/>
      <c r="VNK632" s="268"/>
      <c r="VNL632" s="268"/>
      <c r="VNM632" s="268"/>
      <c r="VNN632" s="268"/>
      <c r="VNO632" s="268"/>
      <c r="VNP632" s="268"/>
      <c r="VNQ632" s="268"/>
      <c r="VNR632" s="268"/>
      <c r="VNS632" s="268"/>
      <c r="VNT632" s="268"/>
      <c r="VNU632" s="268"/>
      <c r="VNV632" s="268"/>
      <c r="VNW632" s="268"/>
      <c r="VNX632" s="268"/>
      <c r="VNY632" s="268"/>
      <c r="VNZ632" s="268"/>
      <c r="VOA632" s="268"/>
      <c r="VOB632" s="268"/>
      <c r="VOC632" s="268"/>
      <c r="VOD632" s="268"/>
      <c r="VOE632" s="268"/>
      <c r="VOF632" s="268"/>
      <c r="VOG632" s="268"/>
      <c r="VOH632" s="268"/>
      <c r="VOI632" s="268"/>
      <c r="VOJ632" s="268"/>
      <c r="VOK632" s="268"/>
      <c r="VOL632" s="268"/>
      <c r="VOM632" s="268"/>
      <c r="VON632" s="268"/>
      <c r="VOO632" s="268"/>
      <c r="VOP632" s="268"/>
      <c r="VOQ632" s="268"/>
      <c r="VOR632" s="268"/>
      <c r="VOS632" s="268"/>
      <c r="VOT632" s="268"/>
      <c r="VOU632" s="268"/>
      <c r="VOV632" s="268"/>
      <c r="VOW632" s="268"/>
      <c r="VOX632" s="268"/>
      <c r="VOY632" s="268"/>
      <c r="VOZ632" s="268"/>
      <c r="VPA632" s="268"/>
      <c r="VPB632" s="268"/>
      <c r="VPC632" s="268"/>
      <c r="VPD632" s="268"/>
      <c r="VPE632" s="268"/>
      <c r="VPF632" s="268"/>
      <c r="VPG632" s="268"/>
      <c r="VPH632" s="268"/>
      <c r="VPI632" s="268"/>
      <c r="VPJ632" s="268"/>
      <c r="VPK632" s="268"/>
      <c r="VPL632" s="268"/>
      <c r="VPM632" s="268"/>
      <c r="VPN632" s="268"/>
      <c r="VPO632" s="268"/>
      <c r="VPP632" s="268"/>
      <c r="VPQ632" s="268"/>
      <c r="VPR632" s="268"/>
      <c r="VPS632" s="268"/>
      <c r="VPT632" s="268"/>
      <c r="VPU632" s="268"/>
      <c r="VPV632" s="268"/>
      <c r="VPW632" s="268"/>
      <c r="VPX632" s="268"/>
      <c r="VPY632" s="268"/>
      <c r="VPZ632" s="268"/>
      <c r="VQA632" s="268"/>
      <c r="VQB632" s="268"/>
      <c r="VQC632" s="268"/>
      <c r="VQD632" s="268"/>
      <c r="VQE632" s="268"/>
      <c r="VQF632" s="268"/>
      <c r="VQG632" s="268"/>
      <c r="VQH632" s="268"/>
      <c r="VQI632" s="268"/>
      <c r="VQJ632" s="268"/>
      <c r="VQK632" s="268"/>
      <c r="VQL632" s="268"/>
      <c r="VQM632" s="268"/>
      <c r="VQN632" s="268"/>
      <c r="VQO632" s="268"/>
      <c r="VQP632" s="268"/>
      <c r="VQQ632" s="268"/>
      <c r="VQR632" s="268"/>
      <c r="VQS632" s="268"/>
      <c r="VQT632" s="268"/>
      <c r="VQU632" s="268"/>
      <c r="VQV632" s="268"/>
      <c r="VQW632" s="268"/>
      <c r="VQX632" s="268"/>
      <c r="VQY632" s="268"/>
      <c r="VQZ632" s="268"/>
      <c r="VRA632" s="268"/>
      <c r="VRB632" s="268"/>
      <c r="VRC632" s="268"/>
      <c r="VRD632" s="268"/>
      <c r="VRE632" s="268"/>
      <c r="VRF632" s="268"/>
      <c r="VRG632" s="268"/>
      <c r="VRH632" s="268"/>
      <c r="VRI632" s="268"/>
      <c r="VRJ632" s="268"/>
      <c r="VRK632" s="268"/>
      <c r="VRY632" s="268"/>
      <c r="VRZ632" s="268"/>
      <c r="VSA632" s="268"/>
      <c r="VSO632" s="268"/>
      <c r="VSQ632" s="268"/>
      <c r="VSR632" s="268"/>
      <c r="VSS632" s="268"/>
      <c r="VST632" s="268"/>
      <c r="VSU632" s="268"/>
      <c r="VSV632" s="268"/>
      <c r="VSW632" s="268"/>
      <c r="VSX632" s="268"/>
      <c r="VSY632" s="268"/>
      <c r="VSZ632" s="268"/>
      <c r="VTA632" s="268"/>
      <c r="VTB632" s="268"/>
      <c r="VTC632" s="268"/>
      <c r="VTD632" s="268"/>
      <c r="VTE632" s="268"/>
      <c r="VTF632" s="268"/>
      <c r="VTG632" s="268"/>
      <c r="VTH632" s="268"/>
      <c r="VTI632" s="268"/>
      <c r="VTJ632" s="268"/>
      <c r="VTK632" s="268"/>
      <c r="VTL632" s="268"/>
      <c r="VTM632" s="268"/>
      <c r="VTN632" s="268"/>
      <c r="VTO632" s="268"/>
      <c r="VTP632" s="268"/>
      <c r="VTQ632" s="268"/>
      <c r="VTR632" s="268"/>
      <c r="VTS632" s="268"/>
      <c r="VTT632" s="268"/>
      <c r="VTU632" s="268"/>
      <c r="VTV632" s="268"/>
      <c r="VTW632" s="268"/>
      <c r="VTX632" s="268"/>
      <c r="VTY632" s="268"/>
      <c r="VTZ632" s="268"/>
      <c r="VUA632" s="268"/>
      <c r="VUB632" s="268"/>
      <c r="VUC632" s="268"/>
      <c r="VUD632" s="268"/>
      <c r="VUE632" s="268"/>
      <c r="VUF632" s="268"/>
      <c r="VUG632" s="268"/>
      <c r="VUH632" s="268"/>
      <c r="VUI632" s="268"/>
      <c r="VUJ632" s="268"/>
      <c r="VUK632" s="268"/>
      <c r="VUL632" s="268"/>
      <c r="VUM632" s="268"/>
      <c r="VUN632" s="268"/>
      <c r="VUO632" s="268"/>
      <c r="VUP632" s="268"/>
      <c r="VUQ632" s="268"/>
      <c r="VUR632" s="268"/>
      <c r="VUS632" s="268"/>
      <c r="VUT632" s="268"/>
      <c r="VUU632" s="268"/>
      <c r="VUV632" s="268"/>
      <c r="VUW632" s="268"/>
      <c r="VUX632" s="268"/>
      <c r="VUY632" s="268"/>
      <c r="VUZ632" s="268"/>
      <c r="VVA632" s="268"/>
      <c r="VVB632" s="268"/>
      <c r="VVC632" s="268"/>
      <c r="VVD632" s="268"/>
      <c r="VVE632" s="268"/>
      <c r="VVF632" s="268"/>
      <c r="VVG632" s="268"/>
      <c r="VVH632" s="268"/>
      <c r="VVI632" s="268"/>
      <c r="VVJ632" s="268"/>
      <c r="VVK632" s="268"/>
      <c r="VVL632" s="268"/>
      <c r="VVM632" s="268"/>
      <c r="VVN632" s="268"/>
      <c r="VVO632" s="268"/>
      <c r="VVP632" s="268"/>
      <c r="VVQ632" s="268"/>
      <c r="VVR632" s="268"/>
      <c r="VVS632" s="268"/>
      <c r="VVT632" s="268"/>
      <c r="VVU632" s="268"/>
      <c r="VVV632" s="268"/>
      <c r="VVW632" s="268"/>
      <c r="VVX632" s="268"/>
      <c r="VVY632" s="268"/>
      <c r="VVZ632" s="268"/>
      <c r="VWA632" s="268"/>
      <c r="VWB632" s="268"/>
      <c r="VWC632" s="268"/>
      <c r="VWD632" s="268"/>
      <c r="VWE632" s="268"/>
      <c r="VWF632" s="268"/>
      <c r="VWG632" s="268"/>
      <c r="VWH632" s="268"/>
      <c r="VWI632" s="268"/>
      <c r="VWJ632" s="268"/>
      <c r="VWK632" s="268"/>
      <c r="VWL632" s="268"/>
      <c r="VWM632" s="268"/>
      <c r="VWN632" s="268"/>
      <c r="VWO632" s="268"/>
      <c r="VWP632" s="268"/>
      <c r="VWQ632" s="268"/>
      <c r="VWR632" s="268"/>
      <c r="VWS632" s="268"/>
      <c r="VWT632" s="268"/>
      <c r="VWU632" s="268"/>
      <c r="VWV632" s="268"/>
      <c r="VWW632" s="268"/>
      <c r="VWX632" s="268"/>
      <c r="VWY632" s="268"/>
      <c r="VWZ632" s="268"/>
      <c r="VXA632" s="268"/>
      <c r="VXB632" s="268"/>
      <c r="VXC632" s="268"/>
      <c r="VXD632" s="268"/>
      <c r="VXE632" s="268"/>
      <c r="VXF632" s="268"/>
      <c r="VXG632" s="268"/>
      <c r="VXH632" s="268"/>
      <c r="VXI632" s="268"/>
      <c r="VXJ632" s="268"/>
      <c r="VXK632" s="268"/>
      <c r="VXL632" s="268"/>
      <c r="VXM632" s="268"/>
      <c r="VXN632" s="268"/>
      <c r="VXO632" s="268"/>
      <c r="VXP632" s="268"/>
      <c r="VXQ632" s="268"/>
      <c r="VXR632" s="268"/>
      <c r="VXS632" s="268"/>
      <c r="VXT632" s="268"/>
      <c r="VXU632" s="268"/>
      <c r="VXV632" s="268"/>
      <c r="VXW632" s="268"/>
      <c r="VXX632" s="268"/>
      <c r="VXY632" s="268"/>
      <c r="VXZ632" s="268"/>
      <c r="VYA632" s="268"/>
      <c r="VYB632" s="268"/>
      <c r="VYC632" s="268"/>
      <c r="VYD632" s="268"/>
      <c r="VYE632" s="268"/>
      <c r="VYF632" s="268"/>
      <c r="VYG632" s="268"/>
      <c r="VYH632" s="268"/>
      <c r="VYI632" s="268"/>
      <c r="VYJ632" s="268"/>
      <c r="VYK632" s="268"/>
      <c r="VYL632" s="268"/>
      <c r="VYM632" s="268"/>
      <c r="VYN632" s="268"/>
      <c r="VYO632" s="268"/>
      <c r="VYP632" s="268"/>
      <c r="VYQ632" s="268"/>
      <c r="VYR632" s="268"/>
      <c r="VYS632" s="268"/>
      <c r="VYT632" s="268"/>
      <c r="VYU632" s="268"/>
      <c r="VYV632" s="268"/>
      <c r="VYW632" s="268"/>
      <c r="VYX632" s="268"/>
      <c r="VYY632" s="268"/>
      <c r="VYZ632" s="268"/>
      <c r="VZA632" s="268"/>
      <c r="VZB632" s="268"/>
      <c r="VZC632" s="268"/>
      <c r="VZD632" s="268"/>
      <c r="VZE632" s="268"/>
      <c r="VZF632" s="268"/>
      <c r="VZG632" s="268"/>
      <c r="VZH632" s="268"/>
      <c r="VZI632" s="268"/>
      <c r="VZJ632" s="268"/>
      <c r="VZK632" s="268"/>
      <c r="VZL632" s="268"/>
      <c r="VZM632" s="268"/>
      <c r="VZN632" s="268"/>
      <c r="VZO632" s="268"/>
      <c r="VZP632" s="268"/>
      <c r="VZQ632" s="268"/>
      <c r="VZR632" s="268"/>
      <c r="VZS632" s="268"/>
      <c r="VZT632" s="268"/>
      <c r="VZU632" s="268"/>
      <c r="VZV632" s="268"/>
      <c r="VZW632" s="268"/>
      <c r="VZX632" s="268"/>
      <c r="VZY632" s="268"/>
      <c r="VZZ632" s="268"/>
      <c r="WAA632" s="268"/>
      <c r="WAB632" s="268"/>
      <c r="WAC632" s="268"/>
      <c r="WAD632" s="268"/>
      <c r="WAE632" s="268"/>
      <c r="WAF632" s="268"/>
      <c r="WAG632" s="268"/>
      <c r="WAH632" s="268"/>
      <c r="WAI632" s="268"/>
      <c r="WAJ632" s="268"/>
      <c r="WAK632" s="268"/>
      <c r="WAL632" s="268"/>
      <c r="WAM632" s="268"/>
      <c r="WAN632" s="268"/>
      <c r="WAO632" s="268"/>
      <c r="WAP632" s="268"/>
      <c r="WAQ632" s="268"/>
      <c r="WAR632" s="268"/>
      <c r="WAS632" s="268"/>
      <c r="WAT632" s="268"/>
      <c r="WAU632" s="268"/>
      <c r="WAV632" s="268"/>
      <c r="WAW632" s="268"/>
      <c r="WAX632" s="268"/>
      <c r="WAY632" s="268"/>
      <c r="WAZ632" s="268"/>
      <c r="WBA632" s="268"/>
      <c r="WBB632" s="268"/>
      <c r="WBC632" s="268"/>
      <c r="WBD632" s="268"/>
      <c r="WBE632" s="268"/>
      <c r="WBF632" s="268"/>
      <c r="WBG632" s="268"/>
      <c r="WBU632" s="268"/>
      <c r="WBV632" s="268"/>
      <c r="WBW632" s="268"/>
      <c r="WCK632" s="268"/>
      <c r="WCM632" s="268"/>
      <c r="WCN632" s="268"/>
      <c r="WCO632" s="268"/>
      <c r="WCP632" s="268"/>
      <c r="WCQ632" s="268"/>
      <c r="WCR632" s="268"/>
      <c r="WCS632" s="268"/>
      <c r="WCT632" s="268"/>
      <c r="WCU632" s="268"/>
      <c r="WCV632" s="268"/>
      <c r="WCW632" s="268"/>
      <c r="WCX632" s="268"/>
      <c r="WCY632" s="268"/>
      <c r="WCZ632" s="268"/>
      <c r="WDA632" s="268"/>
      <c r="WDB632" s="268"/>
      <c r="WDC632" s="268"/>
      <c r="WDD632" s="268"/>
      <c r="WDE632" s="268"/>
      <c r="WDF632" s="268"/>
      <c r="WDG632" s="268"/>
      <c r="WDH632" s="268"/>
      <c r="WDI632" s="268"/>
      <c r="WDJ632" s="268"/>
      <c r="WDK632" s="268"/>
      <c r="WDL632" s="268"/>
      <c r="WDM632" s="268"/>
      <c r="WDN632" s="268"/>
      <c r="WDO632" s="268"/>
      <c r="WDP632" s="268"/>
      <c r="WDQ632" s="268"/>
      <c r="WDR632" s="268"/>
      <c r="WDS632" s="268"/>
      <c r="WDT632" s="268"/>
      <c r="WDU632" s="268"/>
      <c r="WDV632" s="268"/>
      <c r="WDW632" s="268"/>
      <c r="WDX632" s="268"/>
      <c r="WDY632" s="268"/>
      <c r="WDZ632" s="268"/>
      <c r="WEA632" s="268"/>
      <c r="WEB632" s="268"/>
      <c r="WEC632" s="268"/>
      <c r="WED632" s="268"/>
      <c r="WEE632" s="268"/>
      <c r="WEF632" s="268"/>
      <c r="WEG632" s="268"/>
      <c r="WEH632" s="268"/>
      <c r="WEI632" s="268"/>
      <c r="WEJ632" s="268"/>
      <c r="WEK632" s="268"/>
      <c r="WEL632" s="268"/>
      <c r="WEM632" s="268"/>
      <c r="WEN632" s="268"/>
      <c r="WEO632" s="268"/>
      <c r="WEP632" s="268"/>
      <c r="WEQ632" s="268"/>
      <c r="WER632" s="268"/>
      <c r="WES632" s="268"/>
      <c r="WET632" s="268"/>
      <c r="WEU632" s="268"/>
      <c r="WEV632" s="268"/>
      <c r="WEW632" s="268"/>
      <c r="WEX632" s="268"/>
      <c r="WEY632" s="268"/>
      <c r="WEZ632" s="268"/>
      <c r="WFA632" s="268"/>
      <c r="WFB632" s="268"/>
      <c r="WFC632" s="268"/>
      <c r="WFD632" s="268"/>
      <c r="WFE632" s="268"/>
      <c r="WFF632" s="268"/>
      <c r="WFG632" s="268"/>
      <c r="WFH632" s="268"/>
      <c r="WFI632" s="268"/>
      <c r="WFJ632" s="268"/>
      <c r="WFK632" s="268"/>
      <c r="WFL632" s="268"/>
      <c r="WFM632" s="268"/>
      <c r="WFN632" s="268"/>
      <c r="WFO632" s="268"/>
      <c r="WFP632" s="268"/>
      <c r="WFQ632" s="268"/>
      <c r="WFR632" s="268"/>
      <c r="WFS632" s="268"/>
      <c r="WFT632" s="268"/>
      <c r="WFU632" s="268"/>
      <c r="WFV632" s="268"/>
      <c r="WFW632" s="268"/>
      <c r="WFX632" s="268"/>
      <c r="WFY632" s="268"/>
      <c r="WFZ632" s="268"/>
      <c r="WGA632" s="268"/>
      <c r="WGB632" s="268"/>
      <c r="WGC632" s="268"/>
      <c r="WGD632" s="268"/>
      <c r="WGE632" s="268"/>
      <c r="WGF632" s="268"/>
      <c r="WGG632" s="268"/>
      <c r="WGH632" s="268"/>
      <c r="WGI632" s="268"/>
      <c r="WGJ632" s="268"/>
      <c r="WGK632" s="268"/>
      <c r="WGL632" s="268"/>
      <c r="WGM632" s="268"/>
      <c r="WGN632" s="268"/>
      <c r="WGO632" s="268"/>
      <c r="WGP632" s="268"/>
      <c r="WGQ632" s="268"/>
      <c r="WGR632" s="268"/>
      <c r="WGS632" s="268"/>
      <c r="WGT632" s="268"/>
      <c r="WGU632" s="268"/>
      <c r="WGV632" s="268"/>
      <c r="WGW632" s="268"/>
      <c r="WGX632" s="268"/>
      <c r="WGY632" s="268"/>
      <c r="WGZ632" s="268"/>
      <c r="WHA632" s="268"/>
      <c r="WHB632" s="268"/>
      <c r="WHC632" s="268"/>
      <c r="WHD632" s="268"/>
      <c r="WHE632" s="268"/>
      <c r="WHF632" s="268"/>
      <c r="WHG632" s="268"/>
      <c r="WHH632" s="268"/>
      <c r="WHI632" s="268"/>
      <c r="WHJ632" s="268"/>
      <c r="WHK632" s="268"/>
      <c r="WHL632" s="268"/>
      <c r="WHM632" s="268"/>
      <c r="WHN632" s="268"/>
      <c r="WHO632" s="268"/>
      <c r="WHP632" s="268"/>
      <c r="WHQ632" s="268"/>
      <c r="WHR632" s="268"/>
      <c r="WHS632" s="268"/>
      <c r="WHT632" s="268"/>
      <c r="WHU632" s="268"/>
      <c r="WHV632" s="268"/>
      <c r="WHW632" s="268"/>
      <c r="WHX632" s="268"/>
      <c r="WHY632" s="268"/>
      <c r="WHZ632" s="268"/>
      <c r="WIA632" s="268"/>
      <c r="WIB632" s="268"/>
      <c r="WIC632" s="268"/>
      <c r="WID632" s="268"/>
      <c r="WIE632" s="268"/>
      <c r="WIF632" s="268"/>
      <c r="WIG632" s="268"/>
      <c r="WIH632" s="268"/>
      <c r="WII632" s="268"/>
      <c r="WIJ632" s="268"/>
      <c r="WIK632" s="268"/>
      <c r="WIL632" s="268"/>
      <c r="WIM632" s="268"/>
      <c r="WIN632" s="268"/>
      <c r="WIO632" s="268"/>
      <c r="WIP632" s="268"/>
      <c r="WIQ632" s="268"/>
      <c r="WIR632" s="268"/>
      <c r="WIS632" s="268"/>
      <c r="WIT632" s="268"/>
      <c r="WIU632" s="268"/>
      <c r="WIV632" s="268"/>
      <c r="WIW632" s="268"/>
      <c r="WIX632" s="268"/>
      <c r="WIY632" s="268"/>
      <c r="WIZ632" s="268"/>
      <c r="WJA632" s="268"/>
      <c r="WJB632" s="268"/>
      <c r="WJC632" s="268"/>
      <c r="WJD632" s="268"/>
      <c r="WJE632" s="268"/>
      <c r="WJF632" s="268"/>
      <c r="WJG632" s="268"/>
      <c r="WJH632" s="268"/>
      <c r="WJI632" s="268"/>
      <c r="WJJ632" s="268"/>
      <c r="WJK632" s="268"/>
      <c r="WJL632" s="268"/>
      <c r="WJM632" s="268"/>
      <c r="WJN632" s="268"/>
      <c r="WJO632" s="268"/>
      <c r="WJP632" s="268"/>
      <c r="WJQ632" s="268"/>
      <c r="WJR632" s="268"/>
      <c r="WJS632" s="268"/>
      <c r="WJT632" s="268"/>
      <c r="WJU632" s="268"/>
      <c r="WJV632" s="268"/>
      <c r="WJW632" s="268"/>
      <c r="WJX632" s="268"/>
      <c r="WJY632" s="268"/>
      <c r="WJZ632" s="268"/>
      <c r="WKA632" s="268"/>
      <c r="WKB632" s="268"/>
      <c r="WKC632" s="268"/>
      <c r="WKD632" s="268"/>
      <c r="WKE632" s="268"/>
      <c r="WKF632" s="268"/>
      <c r="WKG632" s="268"/>
      <c r="WKH632" s="268"/>
      <c r="WKI632" s="268"/>
      <c r="WKJ632" s="268"/>
      <c r="WKK632" s="268"/>
      <c r="WKL632" s="268"/>
      <c r="WKM632" s="268"/>
      <c r="WKN632" s="268"/>
      <c r="WKO632" s="268"/>
      <c r="WKP632" s="268"/>
      <c r="WKQ632" s="268"/>
      <c r="WKR632" s="268"/>
      <c r="WKS632" s="268"/>
      <c r="WKT632" s="268"/>
      <c r="WKU632" s="268"/>
      <c r="WKV632" s="268"/>
      <c r="WKW632" s="268"/>
      <c r="WKX632" s="268"/>
      <c r="WKY632" s="268"/>
      <c r="WKZ632" s="268"/>
      <c r="WLA632" s="268"/>
      <c r="WLB632" s="268"/>
      <c r="WLC632" s="268"/>
      <c r="WLQ632" s="268"/>
      <c r="WLR632" s="268"/>
      <c r="WLS632" s="268"/>
      <c r="WMG632" s="268"/>
      <c r="WMI632" s="268"/>
      <c r="WMJ632" s="268"/>
      <c r="WMK632" s="268"/>
      <c r="WML632" s="268"/>
      <c r="WMM632" s="268"/>
      <c r="WMN632" s="268"/>
      <c r="WMO632" s="268"/>
      <c r="WMP632" s="268"/>
      <c r="WMQ632" s="268"/>
      <c r="WMR632" s="268"/>
      <c r="WMS632" s="268"/>
      <c r="WMT632" s="268"/>
      <c r="WMU632" s="268"/>
      <c r="WMV632" s="268"/>
      <c r="WMW632" s="268"/>
      <c r="WMX632" s="268"/>
      <c r="WMY632" s="268"/>
      <c r="WMZ632" s="268"/>
      <c r="WNA632" s="268"/>
      <c r="WNB632" s="268"/>
      <c r="WNC632" s="268"/>
      <c r="WND632" s="268"/>
      <c r="WNE632" s="268"/>
      <c r="WNF632" s="268"/>
      <c r="WNG632" s="268"/>
      <c r="WNH632" s="268"/>
      <c r="WNI632" s="268"/>
      <c r="WNJ632" s="268"/>
      <c r="WNK632" s="268"/>
      <c r="WNL632" s="268"/>
      <c r="WNM632" s="268"/>
      <c r="WNN632" s="268"/>
      <c r="WNO632" s="268"/>
      <c r="WNP632" s="268"/>
      <c r="WNQ632" s="268"/>
      <c r="WNR632" s="268"/>
      <c r="WNS632" s="268"/>
      <c r="WNT632" s="268"/>
      <c r="WNU632" s="268"/>
      <c r="WNV632" s="268"/>
      <c r="WNW632" s="268"/>
      <c r="WNX632" s="268"/>
      <c r="WNY632" s="268"/>
      <c r="WNZ632" s="268"/>
      <c r="WOA632" s="268"/>
      <c r="WOB632" s="268"/>
      <c r="WOC632" s="268"/>
      <c r="WOD632" s="268"/>
      <c r="WOE632" s="268"/>
      <c r="WOF632" s="268"/>
      <c r="WOG632" s="268"/>
      <c r="WOH632" s="268"/>
      <c r="WOI632" s="268"/>
      <c r="WOJ632" s="268"/>
      <c r="WOK632" s="268"/>
      <c r="WOL632" s="268"/>
      <c r="WOM632" s="268"/>
      <c r="WON632" s="268"/>
      <c r="WOO632" s="268"/>
      <c r="WOP632" s="268"/>
      <c r="WOQ632" s="268"/>
      <c r="WOR632" s="268"/>
      <c r="WOS632" s="268"/>
      <c r="WOT632" s="268"/>
      <c r="WOU632" s="268"/>
      <c r="WOV632" s="268"/>
      <c r="WOW632" s="268"/>
      <c r="WOX632" s="268"/>
      <c r="WOY632" s="268"/>
      <c r="WOZ632" s="268"/>
      <c r="WPA632" s="268"/>
      <c r="WPB632" s="268"/>
      <c r="WPC632" s="268"/>
      <c r="WPD632" s="268"/>
      <c r="WPE632" s="268"/>
      <c r="WPF632" s="268"/>
      <c r="WPG632" s="268"/>
      <c r="WPH632" s="268"/>
      <c r="WPI632" s="268"/>
      <c r="WPJ632" s="268"/>
      <c r="WPK632" s="268"/>
      <c r="WPL632" s="268"/>
      <c r="WPM632" s="268"/>
      <c r="WPN632" s="268"/>
      <c r="WPO632" s="268"/>
      <c r="WPP632" s="268"/>
      <c r="WPQ632" s="268"/>
      <c r="WPR632" s="268"/>
      <c r="WPS632" s="268"/>
      <c r="WPT632" s="268"/>
      <c r="WPU632" s="268"/>
      <c r="WPV632" s="268"/>
      <c r="WPW632" s="268"/>
      <c r="WPX632" s="268"/>
      <c r="WPY632" s="268"/>
      <c r="WPZ632" s="268"/>
      <c r="WQA632" s="268"/>
      <c r="WQB632" s="268"/>
      <c r="WQC632" s="268"/>
      <c r="WQD632" s="268"/>
      <c r="WQE632" s="268"/>
      <c r="WQF632" s="268"/>
      <c r="WQG632" s="268"/>
      <c r="WQH632" s="268"/>
      <c r="WQI632" s="268"/>
      <c r="WQJ632" s="268"/>
      <c r="WQK632" s="268"/>
      <c r="WQL632" s="268"/>
      <c r="WQM632" s="268"/>
      <c r="WQN632" s="268"/>
      <c r="WQO632" s="268"/>
      <c r="WQP632" s="268"/>
      <c r="WQQ632" s="268"/>
      <c r="WQR632" s="268"/>
      <c r="WQS632" s="268"/>
      <c r="WQT632" s="268"/>
      <c r="WQU632" s="268"/>
      <c r="WQV632" s="268"/>
      <c r="WQW632" s="268"/>
      <c r="WQX632" s="268"/>
      <c r="WQY632" s="268"/>
      <c r="WQZ632" s="268"/>
      <c r="WRA632" s="268"/>
      <c r="WRB632" s="268"/>
      <c r="WRC632" s="268"/>
      <c r="WRD632" s="268"/>
      <c r="WRE632" s="268"/>
      <c r="WRF632" s="268"/>
      <c r="WRG632" s="268"/>
      <c r="WRH632" s="268"/>
      <c r="WRI632" s="268"/>
      <c r="WRJ632" s="268"/>
      <c r="WRK632" s="268"/>
      <c r="WRL632" s="268"/>
      <c r="WRM632" s="268"/>
      <c r="WRN632" s="268"/>
      <c r="WRO632" s="268"/>
      <c r="WRP632" s="268"/>
      <c r="WRQ632" s="268"/>
      <c r="WRR632" s="268"/>
      <c r="WRS632" s="268"/>
      <c r="WRT632" s="268"/>
      <c r="WRU632" s="268"/>
      <c r="WRV632" s="268"/>
      <c r="WRW632" s="268"/>
      <c r="WRX632" s="268"/>
      <c r="WRY632" s="268"/>
      <c r="WRZ632" s="268"/>
      <c r="WSA632" s="268"/>
      <c r="WSB632" s="268"/>
      <c r="WSC632" s="268"/>
      <c r="WSD632" s="268"/>
      <c r="WSE632" s="268"/>
      <c r="WSF632" s="268"/>
      <c r="WSG632" s="268"/>
      <c r="WSH632" s="268"/>
      <c r="WSI632" s="268"/>
      <c r="WSJ632" s="268"/>
      <c r="WSK632" s="268"/>
      <c r="WSL632" s="268"/>
      <c r="WSM632" s="268"/>
      <c r="WSN632" s="268"/>
      <c r="WSO632" s="268"/>
      <c r="WSP632" s="268"/>
      <c r="WSQ632" s="268"/>
      <c r="WSR632" s="268"/>
      <c r="WSS632" s="268"/>
      <c r="WST632" s="268"/>
      <c r="WSU632" s="268"/>
      <c r="WSV632" s="268"/>
      <c r="WSW632" s="268"/>
      <c r="WSX632" s="268"/>
      <c r="WSY632" s="268"/>
      <c r="WSZ632" s="268"/>
      <c r="WTA632" s="268"/>
      <c r="WTB632" s="268"/>
      <c r="WTC632" s="268"/>
      <c r="WTD632" s="268"/>
      <c r="WTE632" s="268"/>
      <c r="WTF632" s="268"/>
      <c r="WTG632" s="268"/>
      <c r="WTH632" s="268"/>
      <c r="WTI632" s="268"/>
      <c r="WTJ632" s="268"/>
      <c r="WTK632" s="268"/>
      <c r="WTL632" s="268"/>
      <c r="WTM632" s="268"/>
      <c r="WTN632" s="268"/>
      <c r="WTO632" s="268"/>
      <c r="WTP632" s="268"/>
      <c r="WTQ632" s="268"/>
      <c r="WTR632" s="268"/>
      <c r="WTS632" s="268"/>
      <c r="WTT632" s="268"/>
      <c r="WTU632" s="268"/>
      <c r="WTV632" s="268"/>
      <c r="WTW632" s="268"/>
      <c r="WTX632" s="268"/>
      <c r="WTY632" s="268"/>
      <c r="WTZ632" s="268"/>
      <c r="WUA632" s="268"/>
      <c r="WUB632" s="268"/>
      <c r="WUC632" s="268"/>
      <c r="WUD632" s="268"/>
      <c r="WUE632" s="268"/>
      <c r="WUF632" s="268"/>
      <c r="WUG632" s="268"/>
      <c r="WUH632" s="268"/>
      <c r="WUI632" s="268"/>
      <c r="WUJ632" s="268"/>
      <c r="WUK632" s="268"/>
      <c r="WUL632" s="268"/>
      <c r="WUM632" s="268"/>
      <c r="WUN632" s="268"/>
      <c r="WUO632" s="268"/>
      <c r="WUP632" s="268"/>
      <c r="WUQ632" s="268"/>
      <c r="WUR632" s="268"/>
      <c r="WUS632" s="268"/>
      <c r="WUT632" s="268"/>
      <c r="WUU632" s="268"/>
      <c r="WUV632" s="268"/>
      <c r="WUW632" s="268"/>
      <c r="WUX632" s="268"/>
      <c r="WUY632" s="268"/>
      <c r="WVM632" s="268"/>
      <c r="WVN632" s="268"/>
      <c r="WVO632" s="268"/>
      <c r="WWC632" s="268"/>
      <c r="WWE632" s="268"/>
      <c r="WWF632" s="268"/>
      <c r="WWG632" s="268"/>
      <c r="WWH632" s="268"/>
      <c r="WWI632" s="268"/>
      <c r="WWJ632" s="268"/>
      <c r="WWK632" s="268"/>
      <c r="WWL632" s="268"/>
      <c r="WWM632" s="268"/>
      <c r="WWN632" s="268"/>
      <c r="WWO632" s="268"/>
      <c r="WWP632" s="268"/>
      <c r="WWQ632" s="268"/>
      <c r="WWR632" s="268"/>
      <c r="WWS632" s="268"/>
      <c r="WWT632" s="268"/>
      <c r="WWU632" s="268"/>
      <c r="WWV632" s="268"/>
      <c r="WWW632" s="268"/>
      <c r="WWX632" s="268"/>
      <c r="WWY632" s="268"/>
      <c r="WWZ632" s="268"/>
      <c r="WXA632" s="268"/>
      <c r="WXB632" s="268"/>
      <c r="WXC632" s="268"/>
      <c r="WXD632" s="268"/>
      <c r="WXE632" s="268"/>
      <c r="WXF632" s="268"/>
      <c r="WXG632" s="268"/>
      <c r="WXH632" s="268"/>
      <c r="WXI632" s="268"/>
      <c r="WXJ632" s="268"/>
      <c r="WXK632" s="268"/>
      <c r="WXL632" s="268"/>
      <c r="WXM632" s="268"/>
      <c r="WXN632" s="268"/>
      <c r="WXO632" s="268"/>
      <c r="WXP632" s="268"/>
      <c r="WXQ632" s="268"/>
      <c r="WXR632" s="268"/>
      <c r="WXS632" s="268"/>
      <c r="WXT632" s="268"/>
      <c r="WXU632" s="268"/>
      <c r="WXV632" s="268"/>
      <c r="WXW632" s="268"/>
      <c r="WXX632" s="268"/>
      <c r="WXY632" s="268"/>
      <c r="WXZ632" s="268"/>
      <c r="WYA632" s="268"/>
      <c r="WYB632" s="268"/>
      <c r="WYC632" s="268"/>
      <c r="WYD632" s="268"/>
      <c r="WYE632" s="268"/>
      <c r="WYF632" s="268"/>
      <c r="WYG632" s="268"/>
      <c r="WYH632" s="268"/>
      <c r="WYI632" s="268"/>
      <c r="WYJ632" s="268"/>
      <c r="WYK632" s="268"/>
      <c r="WYL632" s="268"/>
      <c r="WYM632" s="268"/>
      <c r="WYN632" s="268"/>
      <c r="WYO632" s="268"/>
      <c r="WYP632" s="268"/>
      <c r="WYQ632" s="268"/>
      <c r="WYR632" s="268"/>
      <c r="WYS632" s="268"/>
      <c r="WYT632" s="268"/>
      <c r="WYU632" s="268"/>
      <c r="WYV632" s="268"/>
      <c r="WYW632" s="268"/>
      <c r="WYX632" s="268"/>
      <c r="WYY632" s="268"/>
      <c r="WYZ632" s="268"/>
      <c r="WZA632" s="268"/>
      <c r="WZB632" s="268"/>
      <c r="WZC632" s="268"/>
      <c r="WZD632" s="268"/>
      <c r="WZE632" s="268"/>
      <c r="WZF632" s="268"/>
      <c r="WZG632" s="268"/>
      <c r="WZH632" s="268"/>
      <c r="WZI632" s="268"/>
      <c r="WZJ632" s="268"/>
      <c r="WZK632" s="268"/>
      <c r="WZL632" s="268"/>
      <c r="WZM632" s="268"/>
      <c r="WZN632" s="268"/>
      <c r="WZO632" s="268"/>
      <c r="WZP632" s="268"/>
      <c r="WZQ632" s="268"/>
      <c r="WZR632" s="268"/>
      <c r="WZS632" s="268"/>
      <c r="WZT632" s="268"/>
      <c r="WZU632" s="268"/>
      <c r="WZV632" s="268"/>
      <c r="WZW632" s="268"/>
      <c r="WZX632" s="268"/>
      <c r="WZY632" s="268"/>
      <c r="WZZ632" s="268"/>
      <c r="XAA632" s="268"/>
      <c r="XAB632" s="268"/>
      <c r="XAC632" s="268"/>
      <c r="XAD632" s="268"/>
      <c r="XAE632" s="268"/>
      <c r="XAF632" s="268"/>
      <c r="XAG632" s="268"/>
      <c r="XAH632" s="268"/>
      <c r="XAI632" s="268"/>
      <c r="XAJ632" s="268"/>
      <c r="XAK632" s="268"/>
      <c r="XAL632" s="268"/>
      <c r="XAM632" s="268"/>
      <c r="XAN632" s="268"/>
      <c r="XAO632" s="268"/>
      <c r="XAP632" s="268"/>
      <c r="XAQ632" s="268"/>
      <c r="XAR632" s="268"/>
      <c r="XAS632" s="268"/>
      <c r="XAT632" s="268"/>
      <c r="XAU632" s="268"/>
      <c r="XAV632" s="268"/>
      <c r="XAW632" s="268"/>
      <c r="XAX632" s="268"/>
      <c r="XAY632" s="268"/>
      <c r="XAZ632" s="268"/>
      <c r="XBA632" s="268"/>
      <c r="XBB632" s="268"/>
      <c r="XBC632" s="268"/>
      <c r="XBD632" s="268"/>
      <c r="XBE632" s="268"/>
      <c r="XBF632" s="268"/>
      <c r="XBG632" s="268"/>
      <c r="XBH632" s="268"/>
      <c r="XBI632" s="268"/>
      <c r="XBJ632" s="268"/>
      <c r="XBK632" s="268"/>
      <c r="XBL632" s="268"/>
      <c r="XBM632" s="268"/>
      <c r="XBN632" s="268"/>
      <c r="XBO632" s="268"/>
      <c r="XBP632" s="268"/>
      <c r="XBQ632" s="268"/>
      <c r="XBR632" s="268"/>
      <c r="XBS632" s="268"/>
      <c r="XBT632" s="268"/>
      <c r="XBU632" s="268"/>
      <c r="XBV632" s="268"/>
      <c r="XBW632" s="268"/>
      <c r="XBX632" s="268"/>
      <c r="XBY632" s="268"/>
      <c r="XBZ632" s="268"/>
      <c r="XCA632" s="268"/>
      <c r="XCB632" s="268"/>
      <c r="XCC632" s="268"/>
      <c r="XCD632" s="268"/>
      <c r="XCE632" s="268"/>
      <c r="XCF632" s="268"/>
      <c r="XCG632" s="268"/>
      <c r="XCH632" s="268"/>
      <c r="XCI632" s="268"/>
      <c r="XCJ632" s="268"/>
      <c r="XCK632" s="268"/>
      <c r="XCL632" s="268"/>
      <c r="XCM632" s="268"/>
      <c r="XCN632" s="268"/>
      <c r="XCO632" s="268"/>
      <c r="XCP632" s="268"/>
      <c r="XCQ632" s="268"/>
      <c r="XCR632" s="268"/>
      <c r="XCS632" s="268"/>
      <c r="XCT632" s="268"/>
      <c r="XCU632" s="268"/>
      <c r="XCV632" s="268"/>
      <c r="XCW632" s="268"/>
      <c r="XCX632" s="268"/>
      <c r="XCY632" s="268"/>
      <c r="XCZ632" s="268"/>
      <c r="XDA632" s="268"/>
      <c r="XDB632" s="268"/>
      <c r="XDC632" s="268"/>
      <c r="XDD632" s="268"/>
      <c r="XDE632" s="268"/>
      <c r="XDF632" s="268"/>
      <c r="XDG632" s="268"/>
      <c r="XDH632" s="268"/>
      <c r="XDI632" s="268"/>
      <c r="XDJ632" s="268"/>
      <c r="XDK632" s="268"/>
      <c r="XDL632" s="268"/>
      <c r="XDM632" s="268"/>
      <c r="XDN632" s="268"/>
      <c r="XDO632" s="268"/>
      <c r="XDP632" s="268"/>
      <c r="XDQ632" s="268"/>
      <c r="XDR632" s="268"/>
      <c r="XDS632" s="268"/>
      <c r="XDT632" s="268"/>
      <c r="XDU632" s="268"/>
      <c r="XDV632" s="268"/>
      <c r="XDW632" s="268"/>
      <c r="XDX632" s="268"/>
      <c r="XDY632" s="268"/>
      <c r="XDZ632" s="268"/>
      <c r="XEA632" s="268"/>
      <c r="XEB632" s="268"/>
      <c r="XEC632" s="268"/>
      <c r="XED632" s="268"/>
      <c r="XEE632" s="268"/>
      <c r="XEF632" s="268"/>
      <c r="XEG632" s="268"/>
      <c r="XEH632" s="268"/>
      <c r="XEI632" s="268"/>
      <c r="XEJ632" s="268"/>
      <c r="XEK632" s="268"/>
      <c r="XEL632" s="268"/>
      <c r="XEM632" s="268"/>
      <c r="XEN632" s="268"/>
      <c r="XEO632" s="268"/>
      <c r="XEP632" s="268"/>
      <c r="XEQ632" s="268"/>
      <c r="XER632" s="268"/>
      <c r="XES632" s="268"/>
    </row>
    <row r="633" spans="1:1015 1029:2039 2053:3063 3077:4087 4101:5111 5125:6135 6149:7159 7173:8183 8197:9207 9221:10231 10245:11255 11269:12279 12293:13303 13317:14327 14341:15351 15365:16373" hidden="1" outlineLevel="1" x14ac:dyDescent="0.25">
      <c r="A633" s="3" t="s">
        <v>374</v>
      </c>
      <c r="B633" s="62">
        <f>SUM(B629:B632)</f>
        <v>5450</v>
      </c>
      <c r="C633" s="32"/>
      <c r="D633" s="62">
        <f>SUM(D629:D632)</f>
        <v>1540</v>
      </c>
      <c r="E633" s="62">
        <f>SUM(E629:E632)</f>
        <v>3910</v>
      </c>
      <c r="F633" s="62">
        <f>SUM(F629:F632)</f>
        <v>5450</v>
      </c>
      <c r="G633" s="32"/>
      <c r="H633" s="62">
        <f>SUM(H629:H632)</f>
        <v>0</v>
      </c>
      <c r="I633" s="32"/>
      <c r="J633" s="62">
        <f>SUM(J629:J632)</f>
        <v>3792</v>
      </c>
      <c r="K633" s="62">
        <f>SUM(K629:K632)</f>
        <v>2308</v>
      </c>
      <c r="L633" s="62">
        <f>SUM(L629:L632)</f>
        <v>6100</v>
      </c>
      <c r="M633" s="32"/>
      <c r="N633" s="62">
        <f>SUM(N629:N632)</f>
        <v>650</v>
      </c>
      <c r="P633" s="62">
        <f>SUM(P629:P632)</f>
        <v>6449.7800000000007</v>
      </c>
      <c r="R633" s="62">
        <f t="shared" ref="R633:Z633" si="401">SUM(R629:R632)</f>
        <v>6310</v>
      </c>
      <c r="S633" s="62">
        <f t="shared" si="401"/>
        <v>2490</v>
      </c>
      <c r="T633" s="62">
        <f t="shared" si="401"/>
        <v>8800</v>
      </c>
      <c r="U633" s="62">
        <f t="shared" si="401"/>
        <v>2350.2199999999993</v>
      </c>
      <c r="V633" s="62">
        <f t="shared" si="401"/>
        <v>6310</v>
      </c>
      <c r="W633" s="62">
        <f t="shared" si="401"/>
        <v>2490</v>
      </c>
      <c r="X633" s="62"/>
      <c r="Y633" s="62">
        <f t="shared" si="401"/>
        <v>8800</v>
      </c>
      <c r="Z633" s="62">
        <f t="shared" si="401"/>
        <v>0</v>
      </c>
      <c r="AC633" s="62">
        <f>SUM(AC629:AC632)</f>
        <v>6310</v>
      </c>
      <c r="AD633" s="62">
        <f>SUM(AD629:AD632)</f>
        <v>2490</v>
      </c>
      <c r="AE633" s="62">
        <f>SUM(AE629:AE632)</f>
        <v>8800</v>
      </c>
      <c r="AF633" s="62">
        <f>SUM(AF629:AF632)</f>
        <v>0</v>
      </c>
      <c r="AG633" s="32"/>
      <c r="AI633" s="62">
        <f>SUM(AI629:AI632)</f>
        <v>6450</v>
      </c>
      <c r="AK633" s="62">
        <f>SUM(AK629:AK632)</f>
        <v>6574.5</v>
      </c>
      <c r="AM633" s="62">
        <f>SUM(AM629:AM632)</f>
        <v>6702.7349999999997</v>
      </c>
      <c r="AO633" s="62">
        <f>SUM(AO629:AO632)</f>
        <v>6834.8170499999997</v>
      </c>
      <c r="AP633" s="32"/>
      <c r="AQ633" s="62">
        <f>SUM(AQ629:AQ632)</f>
        <v>6970.8615614999999</v>
      </c>
      <c r="AS633" s="62">
        <f>SUM(AS629:AS632)</f>
        <v>7110.9874083450004</v>
      </c>
      <c r="AU633" s="62">
        <f>SUM(AU629:AU632)</f>
        <v>7255.3170305953508</v>
      </c>
      <c r="AW633" s="62">
        <f>SUM(AW629:AW632)</f>
        <v>7403.9765415132115</v>
      </c>
      <c r="AY633" s="62">
        <f>SUM(AY629:AY632)</f>
        <v>7557.0958377586076</v>
      </c>
      <c r="BA633" s="62">
        <f>SUM(BA629:BA632)</f>
        <v>7714.8087128913658</v>
      </c>
      <c r="BC633" s="62">
        <f>SUM(BC629:BC632)</f>
        <v>7877.2529742781071</v>
      </c>
      <c r="BE633" s="62">
        <f>SUM(BE629:BE632)</f>
        <v>8044.5705635064505</v>
      </c>
    </row>
    <row r="634" spans="1:1015 1029:2039 2053:3063 3077:4087 4101:5111 5125:6135 6149:7159 7173:8183 8197:9207 9221:10231 10245:11255 11269:12279 12293:13303 13317:14327 14341:15351 15365:16373" hidden="1" outlineLevel="1" x14ac:dyDescent="0.25">
      <c r="A634" s="7" t="s">
        <v>151</v>
      </c>
      <c r="BC634" s="3"/>
      <c r="BE634" s="3"/>
    </row>
    <row r="635" spans="1:1015 1029:2039 2053:3063 3077:4087 4101:5111 5125:6135 6149:7159 7173:8183 8197:9207 9221:10231 10245:11255 11269:12279 12293:13303 13317:14327 14341:15351 15365:16373" hidden="1" outlineLevel="1" x14ac:dyDescent="0.25">
      <c r="A635" s="3" t="s">
        <v>476</v>
      </c>
      <c r="BC635" s="3"/>
      <c r="BE635" s="3"/>
    </row>
    <row r="636" spans="1:1015 1029:2039 2053:3063 3077:4087 4101:5111 5125:6135 6149:7159 7173:8183 8197:9207 9221:10231 10245:11255 11269:12279 12293:13303 13317:14327 14341:15351 15365:16373" hidden="1" outlineLevel="1" x14ac:dyDescent="0.25">
      <c r="A636" s="3" t="s">
        <v>477</v>
      </c>
      <c r="BC636" s="3"/>
      <c r="BE636" s="3"/>
    </row>
    <row r="637" spans="1:1015 1029:2039 2053:3063 3077:4087 4101:5111 5125:6135 6149:7159 7173:8183 8197:9207 9221:10231 10245:11255 11269:12279 12293:13303 13317:14327 14341:15351 15365:16373" hidden="1" outlineLevel="1" x14ac:dyDescent="0.25">
      <c r="A637" s="3" t="s">
        <v>478</v>
      </c>
      <c r="BC637" s="3"/>
      <c r="BE637" s="3"/>
    </row>
    <row r="638" spans="1:1015 1029:2039 2053:3063 3077:4087 4101:5111 5125:6135 6149:7159 7173:8183 8197:9207 9221:10231 10245:11255 11269:12279 12293:13303 13317:14327 14341:15351 15365:16373" hidden="1" outlineLevel="1" x14ac:dyDescent="0.25">
      <c r="A638" s="3" t="s">
        <v>479</v>
      </c>
      <c r="BC638" s="3"/>
      <c r="BE638" s="3"/>
    </row>
    <row r="639" spans="1:1015 1029:2039 2053:3063 3077:4087 4101:5111 5125:6135 6149:7159 7173:8183 8197:9207 9221:10231 10245:11255 11269:12279 12293:13303 13317:14327 14341:15351 15365:16373" hidden="1" outlineLevel="1" x14ac:dyDescent="0.25">
      <c r="A639" s="3" t="s">
        <v>480</v>
      </c>
      <c r="BC639" s="3"/>
      <c r="BE639" s="3"/>
    </row>
    <row r="640" spans="1:1015 1029:2039 2053:3063 3077:4087 4101:5111 5125:6135 6149:7159 7173:8183 8197:9207 9221:10231 10245:11255 11269:12279 12293:13303 13317:14327 14341:15351 15365:16373" hidden="1" outlineLevel="1" x14ac:dyDescent="0.25">
      <c r="A640" s="3" t="s">
        <v>481</v>
      </c>
      <c r="P640" s="3">
        <v>0</v>
      </c>
      <c r="S640" s="3">
        <f>T640-R640</f>
        <v>0</v>
      </c>
      <c r="U640" s="3">
        <f>T640-P640</f>
        <v>0</v>
      </c>
      <c r="W640" s="3">
        <f>Y640-V640</f>
        <v>0</v>
      </c>
      <c r="Z640" s="3">
        <f>Y640-T640</f>
        <v>0</v>
      </c>
      <c r="AD640" s="3">
        <f>AE640-AC640</f>
        <v>0</v>
      </c>
      <c r="AF640" s="3">
        <f>AE640-Y640</f>
        <v>0</v>
      </c>
      <c r="AI640" s="3">
        <f>P640*1.0281</f>
        <v>0</v>
      </c>
      <c r="AK640" s="3">
        <f>AI640*1.0281</f>
        <v>0</v>
      </c>
      <c r="AM640" s="3">
        <f>AK640*1.0281</f>
        <v>0</v>
      </c>
      <c r="AO640" s="3">
        <f>AM640*1.0281</f>
        <v>0</v>
      </c>
      <c r="AQ640" s="3">
        <f>AO640*1.0281</f>
        <v>0</v>
      </c>
      <c r="AS640" s="3">
        <f>AQ640*1.0281</f>
        <v>0</v>
      </c>
      <c r="AU640" s="3">
        <f>AS640*1.0281</f>
        <v>0</v>
      </c>
      <c r="AW640" s="3">
        <f>AU640*1.0281</f>
        <v>0</v>
      </c>
      <c r="AY640" s="3">
        <f>AW640*1.0281</f>
        <v>0</v>
      </c>
      <c r="BA640" s="3">
        <f>AY640*1.0281</f>
        <v>0</v>
      </c>
      <c r="BC640" s="3">
        <f>BA640*1.0281</f>
        <v>0</v>
      </c>
      <c r="BE640" s="3">
        <f>BC640*1.0281</f>
        <v>0</v>
      </c>
    </row>
    <row r="641" spans="1:1015 1029:2039 2053:3063 3077:4087 4101:5111 5125:6135 6149:7159 7173:8183 8197:9207 9221:10231 10245:11255 11269:12279 12293:13303 13317:14327 14341:15351 15365:16373" hidden="1" outlineLevel="1" x14ac:dyDescent="0.25">
      <c r="A641" s="3" t="s">
        <v>90</v>
      </c>
      <c r="B641" s="3">
        <v>7400</v>
      </c>
      <c r="E641" s="3">
        <f>F641-D641</f>
        <v>3500</v>
      </c>
      <c r="F641" s="3">
        <v>3500</v>
      </c>
      <c r="H641" s="3">
        <f>F641-B641</f>
        <v>-3900</v>
      </c>
      <c r="J641" s="3">
        <v>1540</v>
      </c>
      <c r="K641" s="4">
        <f>L641-J641</f>
        <v>1460</v>
      </c>
      <c r="L641" s="4">
        <v>3000</v>
      </c>
      <c r="N641" s="4">
        <f>L641-F641</f>
        <v>-500</v>
      </c>
      <c r="P641" s="3">
        <f>L641*1.0281+16</f>
        <v>3100.3</v>
      </c>
      <c r="R641" s="3">
        <v>1685</v>
      </c>
      <c r="S641" s="3">
        <f>T641-R641</f>
        <v>1415</v>
      </c>
      <c r="T641" s="3">
        <v>3100</v>
      </c>
      <c r="U641" s="3">
        <f>T641-P641</f>
        <v>-0.3000000000001819</v>
      </c>
      <c r="V641" s="3">
        <v>1685</v>
      </c>
      <c r="W641" s="3">
        <f>Y641-V641</f>
        <v>1415</v>
      </c>
      <c r="Y641" s="3">
        <v>3100</v>
      </c>
      <c r="Z641" s="3">
        <f>Y641-T641</f>
        <v>0</v>
      </c>
      <c r="AC641" s="3">
        <v>1685</v>
      </c>
      <c r="AD641" s="3">
        <f>AE641-AC641</f>
        <v>1415</v>
      </c>
      <c r="AE641" s="3">
        <v>3100</v>
      </c>
      <c r="AF641" s="3">
        <f>AE641-Y641</f>
        <v>0</v>
      </c>
      <c r="AI641" s="3">
        <f>AE641*1.03+7</f>
        <v>3200</v>
      </c>
      <c r="AK641" s="3">
        <f>AI641*1.03-196</f>
        <v>3100</v>
      </c>
      <c r="AM641" s="3">
        <f>AK641*1.03</f>
        <v>3193</v>
      </c>
      <c r="AO641" s="3">
        <f>AM641*1.03</f>
        <v>3288.79</v>
      </c>
      <c r="AQ641" s="3">
        <f>AO641*1.03</f>
        <v>3387.4537</v>
      </c>
      <c r="AS641" s="3">
        <f>AQ641*1.03</f>
        <v>3489.077311</v>
      </c>
      <c r="AU641" s="3">
        <f>AS641*1.03</f>
        <v>3593.7496303299999</v>
      </c>
      <c r="AW641" s="3">
        <f>AU641*1.03</f>
        <v>3701.5621192398999</v>
      </c>
      <c r="AY641" s="3">
        <f>AW641*1.03</f>
        <v>3812.6089828170971</v>
      </c>
      <c r="BA641" s="3">
        <f>AY641*1.03</f>
        <v>3926.9872523016102</v>
      </c>
      <c r="BC641" s="3">
        <f>BA641*1.03</f>
        <v>4044.7968698706586</v>
      </c>
      <c r="BE641" s="3">
        <f>BC641*1.03</f>
        <v>4166.1407759667782</v>
      </c>
    </row>
    <row r="642" spans="1:1015 1029:2039 2053:3063 3077:4087 4101:5111 5125:6135 6149:7159 7173:8183 8197:9207 9221:10231 10245:11255 11269:12279 12293:13303 13317:14327 14341:15351 15365:16373" hidden="1" outlineLevel="1" x14ac:dyDescent="0.25">
      <c r="A642" s="3" t="s">
        <v>482</v>
      </c>
      <c r="B642" s="3">
        <v>7000</v>
      </c>
      <c r="D642" s="3">
        <v>10657</v>
      </c>
      <c r="E642" s="3">
        <f>F642-D642</f>
        <v>3343</v>
      </c>
      <c r="F642" s="3">
        <v>14000</v>
      </c>
      <c r="H642" s="3">
        <f>F642-B642</f>
        <v>7000</v>
      </c>
      <c r="J642" s="3">
        <v>12259</v>
      </c>
      <c r="K642" s="4">
        <f>L642-J642</f>
        <v>3241</v>
      </c>
      <c r="L642" s="4">
        <v>15500</v>
      </c>
      <c r="N642" s="4">
        <f>L642-F642</f>
        <v>1500</v>
      </c>
      <c r="P642" s="3">
        <v>13000</v>
      </c>
      <c r="R642" s="3">
        <v>8115</v>
      </c>
      <c r="S642" s="3">
        <f>T642-R642</f>
        <v>4885</v>
      </c>
      <c r="T642" s="3">
        <v>13000</v>
      </c>
      <c r="U642" s="3">
        <f>T642-P642</f>
        <v>0</v>
      </c>
      <c r="V642" s="3">
        <v>8426</v>
      </c>
      <c r="W642" s="3">
        <f>Y642-V642</f>
        <v>4574</v>
      </c>
      <c r="Y642" s="3">
        <v>13000</v>
      </c>
      <c r="Z642" s="3">
        <f>Y642-T642</f>
        <v>0</v>
      </c>
      <c r="AC642" s="3">
        <v>10463</v>
      </c>
      <c r="AD642" s="3">
        <f>AE642-AC642</f>
        <v>3537</v>
      </c>
      <c r="AE642" s="3">
        <v>14000</v>
      </c>
      <c r="AF642" s="3">
        <f>AE642-Y642</f>
        <v>1000</v>
      </c>
      <c r="AI642" s="3">
        <v>13000</v>
      </c>
      <c r="AK642" s="3">
        <f>AI642*1.03+16</f>
        <v>13406</v>
      </c>
      <c r="AM642" s="3">
        <f>AK642*1.03</f>
        <v>13808.18</v>
      </c>
      <c r="AO642" s="3">
        <f>AM642*1.03</f>
        <v>14222.4254</v>
      </c>
      <c r="AQ642" s="3">
        <f>AO642*1.03</f>
        <v>14649.098162</v>
      </c>
      <c r="AS642" s="3">
        <f>AQ642*1.03</f>
        <v>15088.571106860001</v>
      </c>
      <c r="AU642" s="3">
        <f>AS642*1.03</f>
        <v>15541.228240065802</v>
      </c>
      <c r="AW642" s="3">
        <f>AU642*1.03</f>
        <v>16007.465087267778</v>
      </c>
      <c r="AY642" s="3">
        <f>AW642*1.03</f>
        <v>16487.689039885812</v>
      </c>
      <c r="BA642" s="3">
        <f>AY642*1.03</f>
        <v>16982.319711082386</v>
      </c>
      <c r="BC642" s="3">
        <f>BA642*1.03</f>
        <v>17491.789302414858</v>
      </c>
      <c r="BE642" s="3">
        <f>BC642*1.03</f>
        <v>18016.542981487306</v>
      </c>
    </row>
    <row r="643" spans="1:1015 1029:2039 2053:3063 3077:4087 4101:5111 5125:6135 6149:7159 7173:8183 8197:9207 9221:10231 10245:11255 11269:12279 12293:13303 13317:14327 14341:15351 15365:16373" hidden="1" outlineLevel="1" x14ac:dyDescent="0.25">
      <c r="A643" s="3"/>
      <c r="B643" s="62">
        <f>SUM(B635:B642)</f>
        <v>14400</v>
      </c>
      <c r="C643" s="32"/>
      <c r="D643" s="62">
        <f>SUM(D635:D642)</f>
        <v>10657</v>
      </c>
      <c r="E643" s="62">
        <f>SUM(E635:E642)</f>
        <v>6843</v>
      </c>
      <c r="F643" s="62">
        <f>SUM(F635:F642)</f>
        <v>17500</v>
      </c>
      <c r="G643" s="32"/>
      <c r="H643" s="62">
        <f>SUM(H635:H642)</f>
        <v>3100</v>
      </c>
      <c r="I643" s="32"/>
      <c r="J643" s="62">
        <f>SUM(J635:J642)</f>
        <v>13799</v>
      </c>
      <c r="K643" s="62">
        <f>SUM(K635:K642)</f>
        <v>4701</v>
      </c>
      <c r="L643" s="62">
        <f>SUM(L635:L642)</f>
        <v>18500</v>
      </c>
      <c r="M643" s="32"/>
      <c r="N643" s="62">
        <f>SUM(N635:N642)</f>
        <v>1000</v>
      </c>
      <c r="P643" s="62">
        <f>SUM(P635:P642)</f>
        <v>16100.3</v>
      </c>
      <c r="R643" s="62">
        <f t="shared" ref="R643:Z643" si="402">SUM(R635:R642)</f>
        <v>9800</v>
      </c>
      <c r="S643" s="62">
        <f t="shared" si="402"/>
        <v>6300</v>
      </c>
      <c r="T643" s="62">
        <f t="shared" si="402"/>
        <v>16100</v>
      </c>
      <c r="U643" s="62">
        <f t="shared" si="402"/>
        <v>-0.3000000000001819</v>
      </c>
      <c r="V643" s="62">
        <f t="shared" si="402"/>
        <v>10111</v>
      </c>
      <c r="W643" s="62">
        <f t="shared" si="402"/>
        <v>5989</v>
      </c>
      <c r="X643" s="62"/>
      <c r="Y643" s="62">
        <f t="shared" si="402"/>
        <v>16100</v>
      </c>
      <c r="Z643" s="62">
        <f t="shared" si="402"/>
        <v>0</v>
      </c>
      <c r="AC643" s="62">
        <f>SUM(AC635:AC642)</f>
        <v>12148</v>
      </c>
      <c r="AD643" s="62">
        <f>SUM(AD635:AD642)</f>
        <v>4952</v>
      </c>
      <c r="AE643" s="62">
        <f>SUM(AE635:AE642)</f>
        <v>17100</v>
      </c>
      <c r="AF643" s="62">
        <f>SUM(AF635:AF642)</f>
        <v>1000</v>
      </c>
      <c r="AG643" s="32"/>
      <c r="AI643" s="62">
        <f>SUM(AI635:AI642)</f>
        <v>16200</v>
      </c>
      <c r="AK643" s="62">
        <f>SUM(AK635:AK642)</f>
        <v>16506</v>
      </c>
      <c r="AM643" s="62">
        <f>SUM(AM635:AM642)</f>
        <v>17001.18</v>
      </c>
      <c r="AO643" s="62">
        <f>SUM(AO635:AO642)</f>
        <v>17511.215400000001</v>
      </c>
      <c r="AP643" s="32"/>
      <c r="AQ643" s="62">
        <f>SUM(AQ635:AQ642)</f>
        <v>18036.551862</v>
      </c>
      <c r="AS643" s="62">
        <f>SUM(AS635:AS642)</f>
        <v>18577.64841786</v>
      </c>
      <c r="AU643" s="62">
        <f>SUM(AU635:AU642)</f>
        <v>19134.977870395804</v>
      </c>
      <c r="AW643" s="62">
        <f>SUM(AW635:AW642)</f>
        <v>19709.027206507679</v>
      </c>
      <c r="AY643" s="62">
        <f>SUM(AY635:AY642)</f>
        <v>20300.298022702911</v>
      </c>
      <c r="BA643" s="62">
        <f>SUM(BA635:BA642)</f>
        <v>20909.306963383995</v>
      </c>
      <c r="BC643" s="62">
        <f>SUM(BC635:BC642)</f>
        <v>21536.586172285515</v>
      </c>
      <c r="BE643" s="62">
        <f>SUM(BE635:BE642)</f>
        <v>22182.683757454084</v>
      </c>
    </row>
    <row r="644" spans="1:1015 1029:2039 2053:3063 3077:4087 4101:5111 5125:6135 6149:7159 7173:8183 8197:9207 9221:10231 10245:11255 11269:12279 12293:13303 13317:14327 14341:15351 15365:16373" hidden="1" outlineLevel="1" x14ac:dyDescent="0.25">
      <c r="A644" s="7" t="s">
        <v>483</v>
      </c>
      <c r="BC644" s="3"/>
      <c r="BE644" s="3"/>
    </row>
    <row r="645" spans="1:1015 1029:2039 2053:3063 3077:4087 4101:5111 5125:6135 6149:7159 7173:8183 8197:9207 9221:10231 10245:11255 11269:12279 12293:13303 13317:14327 14341:15351 15365:16373" hidden="1" outlineLevel="1" x14ac:dyDescent="0.25">
      <c r="A645" s="3" t="s">
        <v>484</v>
      </c>
      <c r="BC645" s="3"/>
      <c r="BE645" s="3"/>
    </row>
    <row r="646" spans="1:1015 1029:2039 2053:3063 3077:4087 4101:5111 5125:6135 6149:7159 7173:8183 8197:9207 9221:10231 10245:11255 11269:12279 12293:13303 13317:14327 14341:15351 15365:16373" hidden="1" outlineLevel="1" x14ac:dyDescent="0.25">
      <c r="A646" s="3" t="s">
        <v>485</v>
      </c>
      <c r="B646" s="3">
        <v>75000</v>
      </c>
      <c r="D646" s="3">
        <v>11136</v>
      </c>
      <c r="E646" s="3">
        <f>F646-D646</f>
        <v>68864</v>
      </c>
      <c r="F646" s="3">
        <v>80000</v>
      </c>
      <c r="H646" s="3">
        <f>F646-B646</f>
        <v>5000</v>
      </c>
      <c r="J646" s="3">
        <v>22990</v>
      </c>
      <c r="K646" s="4">
        <f>L646-J646</f>
        <v>57010</v>
      </c>
      <c r="L646" s="4">
        <v>80000</v>
      </c>
      <c r="N646" s="4">
        <f>L646-F646</f>
        <v>0</v>
      </c>
      <c r="P646" s="3">
        <f>L646*1.0281+2752</f>
        <v>85000</v>
      </c>
      <c r="R646" s="3">
        <v>12462</v>
      </c>
      <c r="S646" s="3">
        <f>T646-R646</f>
        <v>72538</v>
      </c>
      <c r="T646" s="3">
        <v>85000</v>
      </c>
      <c r="U646" s="3">
        <f>T646-P646</f>
        <v>0</v>
      </c>
      <c r="V646" s="3">
        <v>37778</v>
      </c>
      <c r="W646" s="3">
        <f>Y646-V646</f>
        <v>47222</v>
      </c>
      <c r="Y646" s="3">
        <v>85000</v>
      </c>
      <c r="Z646" s="3">
        <f>Y646-T646</f>
        <v>0</v>
      </c>
      <c r="AC646" s="3">
        <v>58210</v>
      </c>
      <c r="AD646" s="3">
        <f>AE646-AC646</f>
        <v>24290</v>
      </c>
      <c r="AE646" s="3">
        <v>82500</v>
      </c>
      <c r="AF646" s="3">
        <f>AE646-Y646</f>
        <v>-2500</v>
      </c>
      <c r="AI646" s="3">
        <v>82500</v>
      </c>
      <c r="AK646" s="3">
        <f>AI646*1.03</f>
        <v>84975</v>
      </c>
      <c r="AM646" s="3">
        <f>AK646*1.03</f>
        <v>87524.25</v>
      </c>
      <c r="AO646" s="3">
        <f>AM646*1.03</f>
        <v>90149.977500000008</v>
      </c>
      <c r="AQ646" s="3">
        <f>AO646*1.03</f>
        <v>92854.476825000005</v>
      </c>
      <c r="AS646" s="3">
        <f>AQ646*1.03</f>
        <v>95640.111129750003</v>
      </c>
      <c r="AU646" s="3">
        <f>AS646*1.03</f>
        <v>98509.314463642499</v>
      </c>
      <c r="AW646" s="3">
        <f>AU646*1.03</f>
        <v>101464.59389755178</v>
      </c>
      <c r="AY646" s="3">
        <f>AW646*1.03</f>
        <v>104508.53171447833</v>
      </c>
      <c r="BA646" s="3">
        <f>AY646*1.03</f>
        <v>107643.78766591269</v>
      </c>
      <c r="BC646" s="3">
        <f>BA646*1.03</f>
        <v>110873.10129589008</v>
      </c>
      <c r="BE646" s="3">
        <f>BC646*1.03</f>
        <v>114199.29433476679</v>
      </c>
    </row>
    <row r="647" spans="1:1015 1029:2039 2053:3063 3077:4087 4101:5111 5125:6135 6149:7159 7173:8183 8197:9207 9221:10231 10245:11255 11269:12279 12293:13303 13317:14327 14341:15351 15365:16373" hidden="1" outlineLevel="1" x14ac:dyDescent="0.25">
      <c r="A647" s="267" t="s">
        <v>289</v>
      </c>
      <c r="B647" s="3">
        <v>50000</v>
      </c>
      <c r="D647" s="3">
        <v>0</v>
      </c>
      <c r="E647" s="3">
        <f>F647-D647</f>
        <v>50000</v>
      </c>
      <c r="F647" s="3">
        <v>50000</v>
      </c>
      <c r="H647" s="3">
        <f>F647-B647</f>
        <v>0</v>
      </c>
      <c r="K647" s="4">
        <f>L647-J647</f>
        <v>50000</v>
      </c>
      <c r="L647" s="4">
        <v>50000</v>
      </c>
      <c r="N647" s="4">
        <f>L647-F647</f>
        <v>0</v>
      </c>
      <c r="P647" s="3">
        <v>50000</v>
      </c>
      <c r="S647" s="3">
        <f>T647-R647</f>
        <v>50000</v>
      </c>
      <c r="T647" s="3">
        <v>50000</v>
      </c>
      <c r="U647" s="3">
        <f>T647-P647</f>
        <v>0</v>
      </c>
      <c r="V647" s="3">
        <v>0</v>
      </c>
      <c r="W647" s="3">
        <f>Y647-V647</f>
        <v>50000</v>
      </c>
      <c r="Y647" s="3">
        <v>50000</v>
      </c>
      <c r="Z647" s="3">
        <f>Y647-T647</f>
        <v>0</v>
      </c>
      <c r="AC647" s="3">
        <v>0</v>
      </c>
      <c r="AD647" s="3">
        <f>AE647-AC647</f>
        <v>50000</v>
      </c>
      <c r="AE647" s="3">
        <v>50000</v>
      </c>
      <c r="AF647" s="3">
        <f>AE647-Y647</f>
        <v>0</v>
      </c>
      <c r="AI647" s="3">
        <v>50000</v>
      </c>
      <c r="AK647" s="3">
        <v>50000</v>
      </c>
      <c r="AM647" s="3">
        <v>50000</v>
      </c>
      <c r="AO647" s="3">
        <v>50000</v>
      </c>
      <c r="AQ647" s="3">
        <v>50000</v>
      </c>
      <c r="AS647" s="3">
        <v>50000</v>
      </c>
      <c r="AU647" s="3">
        <v>50000</v>
      </c>
      <c r="AW647" s="3">
        <v>50000</v>
      </c>
      <c r="AY647" s="3">
        <v>50000</v>
      </c>
      <c r="BA647" s="3">
        <v>50000</v>
      </c>
      <c r="BC647" s="3">
        <v>50000</v>
      </c>
      <c r="BE647" s="3">
        <v>50000</v>
      </c>
      <c r="BI647" s="268"/>
      <c r="BJ647" s="268"/>
      <c r="BK647" s="268"/>
      <c r="BL647" s="268"/>
      <c r="BM647" s="268"/>
      <c r="BN647" s="268"/>
      <c r="BO647" s="268"/>
      <c r="BP647" s="268"/>
      <c r="BQ647" s="268"/>
      <c r="BR647" s="268"/>
      <c r="BS647" s="268"/>
      <c r="BT647" s="268"/>
      <c r="BU647" s="268"/>
      <c r="BV647" s="268"/>
      <c r="BW647" s="268"/>
      <c r="BX647" s="268"/>
      <c r="BY647" s="268"/>
      <c r="BZ647" s="268"/>
      <c r="CA647" s="268"/>
      <c r="CB647" s="268"/>
      <c r="CC647" s="268"/>
      <c r="CD647" s="268"/>
      <c r="CE647" s="268"/>
      <c r="CF647" s="268"/>
      <c r="CG647" s="268"/>
      <c r="CH647" s="268"/>
      <c r="CI647" s="268"/>
      <c r="CJ647" s="268"/>
      <c r="CK647" s="268"/>
      <c r="CL647" s="268"/>
      <c r="CM647" s="268"/>
      <c r="CN647" s="268"/>
      <c r="CO647" s="268"/>
      <c r="CP647" s="268"/>
      <c r="CQ647" s="268"/>
      <c r="CR647" s="268"/>
      <c r="CS647" s="268"/>
      <c r="CT647" s="268"/>
      <c r="CU647" s="268"/>
      <c r="CV647" s="268"/>
      <c r="CW647" s="268"/>
      <c r="CX647" s="268"/>
      <c r="CY647" s="268"/>
      <c r="CZ647" s="268"/>
      <c r="DA647" s="268"/>
      <c r="DB647" s="268"/>
      <c r="DC647" s="268"/>
      <c r="DD647" s="268"/>
      <c r="DE647" s="268"/>
      <c r="DF647" s="268"/>
      <c r="DG647" s="268"/>
      <c r="DH647" s="268"/>
      <c r="DI647" s="268"/>
      <c r="DJ647" s="268"/>
      <c r="DK647" s="268"/>
      <c r="DL647" s="268"/>
      <c r="DM647" s="268"/>
      <c r="DN647" s="268"/>
      <c r="DO647" s="268"/>
      <c r="DP647" s="268"/>
      <c r="DQ647" s="268"/>
      <c r="DR647" s="268"/>
      <c r="DS647" s="268"/>
      <c r="DT647" s="268"/>
      <c r="DU647" s="268"/>
      <c r="DV647" s="268"/>
      <c r="DW647" s="268"/>
      <c r="DX647" s="268"/>
      <c r="DY647" s="268"/>
      <c r="DZ647" s="268"/>
      <c r="EA647" s="268"/>
      <c r="EB647" s="268"/>
      <c r="EC647" s="268"/>
      <c r="ED647" s="268"/>
      <c r="EE647" s="268"/>
      <c r="EF647" s="268"/>
      <c r="EG647" s="268"/>
      <c r="EH647" s="268"/>
      <c r="EI647" s="268"/>
      <c r="EJ647" s="268"/>
      <c r="EK647" s="268"/>
      <c r="EL647" s="268"/>
      <c r="EM647" s="268"/>
      <c r="EN647" s="268"/>
      <c r="EO647" s="268"/>
      <c r="EP647" s="268"/>
      <c r="EQ647" s="268"/>
      <c r="ER647" s="268"/>
      <c r="ES647" s="268"/>
      <c r="ET647" s="268"/>
      <c r="EU647" s="268"/>
      <c r="EV647" s="268"/>
      <c r="EW647" s="268"/>
      <c r="EX647" s="268"/>
      <c r="EY647" s="268"/>
      <c r="EZ647" s="268"/>
      <c r="FA647" s="268"/>
      <c r="FB647" s="268"/>
      <c r="FC647" s="268"/>
      <c r="FD647" s="268"/>
      <c r="FE647" s="268"/>
      <c r="FF647" s="268"/>
      <c r="FG647" s="268"/>
      <c r="FH647" s="268"/>
      <c r="FI647" s="268"/>
      <c r="FJ647" s="268"/>
      <c r="FK647" s="268"/>
      <c r="FL647" s="268"/>
      <c r="FM647" s="268"/>
      <c r="FN647" s="268"/>
      <c r="FO647" s="268"/>
      <c r="FP647" s="268"/>
      <c r="FQ647" s="268"/>
      <c r="FR647" s="268"/>
      <c r="FS647" s="268"/>
      <c r="FT647" s="268"/>
      <c r="FU647" s="268"/>
      <c r="FV647" s="268"/>
      <c r="FW647" s="268"/>
      <c r="FX647" s="268"/>
      <c r="FY647" s="268"/>
      <c r="FZ647" s="268"/>
      <c r="GA647" s="268"/>
      <c r="GB647" s="268"/>
      <c r="GC647" s="268"/>
      <c r="GD647" s="268"/>
      <c r="GE647" s="268"/>
      <c r="GF647" s="268"/>
      <c r="GG647" s="268"/>
      <c r="GH647" s="268"/>
      <c r="GI647" s="268"/>
      <c r="GJ647" s="268"/>
      <c r="GK647" s="268"/>
      <c r="GL647" s="268"/>
      <c r="GM647" s="268"/>
      <c r="GN647" s="268"/>
      <c r="GO647" s="268"/>
      <c r="GP647" s="268"/>
      <c r="GQ647" s="268"/>
      <c r="GR647" s="268"/>
      <c r="GS647" s="268"/>
      <c r="GT647" s="268"/>
      <c r="GU647" s="268"/>
      <c r="GV647" s="268"/>
      <c r="GW647" s="268"/>
      <c r="GX647" s="268"/>
      <c r="GY647" s="268"/>
      <c r="GZ647" s="268"/>
      <c r="HA647" s="268"/>
      <c r="HB647" s="268"/>
      <c r="HC647" s="268"/>
      <c r="HD647" s="268"/>
      <c r="HE647" s="268"/>
      <c r="HF647" s="268"/>
      <c r="HG647" s="268"/>
      <c r="HH647" s="268"/>
      <c r="HI647" s="268"/>
      <c r="HJ647" s="268"/>
      <c r="HK647" s="268"/>
      <c r="HL647" s="268"/>
      <c r="HM647" s="268"/>
      <c r="HN647" s="268"/>
      <c r="HO647" s="268"/>
      <c r="HP647" s="268"/>
      <c r="HQ647" s="268"/>
      <c r="HR647" s="268"/>
      <c r="HS647" s="268"/>
      <c r="HT647" s="268"/>
      <c r="HU647" s="268"/>
      <c r="HV647" s="268"/>
      <c r="HW647" s="268"/>
      <c r="HX647" s="268"/>
      <c r="HY647" s="268"/>
      <c r="HZ647" s="268"/>
      <c r="IA647" s="268"/>
      <c r="IB647" s="268"/>
      <c r="IC647" s="268"/>
      <c r="ID647" s="268"/>
      <c r="IE647" s="268"/>
      <c r="IF647" s="268"/>
      <c r="IG647" s="268"/>
      <c r="IH647" s="268"/>
      <c r="II647" s="268"/>
      <c r="IJ647" s="268"/>
      <c r="IK647" s="268"/>
      <c r="IL647" s="268"/>
      <c r="IM647" s="268"/>
      <c r="JA647" s="268"/>
      <c r="JB647" s="268"/>
      <c r="JC647" s="268"/>
      <c r="JQ647" s="268"/>
      <c r="JS647" s="268"/>
      <c r="JT647" s="268"/>
      <c r="JU647" s="268"/>
      <c r="JV647" s="268"/>
      <c r="JW647" s="268"/>
      <c r="JX647" s="268"/>
      <c r="JY647" s="268"/>
      <c r="JZ647" s="268"/>
      <c r="KA647" s="268"/>
      <c r="KB647" s="268"/>
      <c r="KC647" s="268"/>
      <c r="KD647" s="268"/>
      <c r="KE647" s="268"/>
      <c r="KF647" s="268"/>
      <c r="KG647" s="268"/>
      <c r="KH647" s="268"/>
      <c r="KI647" s="268"/>
      <c r="KJ647" s="268"/>
      <c r="KK647" s="268"/>
      <c r="KL647" s="268"/>
      <c r="KM647" s="268"/>
      <c r="KN647" s="268"/>
      <c r="KO647" s="268"/>
      <c r="KP647" s="268"/>
      <c r="KQ647" s="268"/>
      <c r="KR647" s="268"/>
      <c r="KS647" s="268"/>
      <c r="KT647" s="268"/>
      <c r="KU647" s="268"/>
      <c r="KV647" s="268"/>
      <c r="KW647" s="268"/>
      <c r="KX647" s="268"/>
      <c r="KY647" s="268"/>
      <c r="KZ647" s="268"/>
      <c r="LA647" s="268"/>
      <c r="LB647" s="268"/>
      <c r="LC647" s="268"/>
      <c r="LD647" s="268"/>
      <c r="LE647" s="268"/>
      <c r="LF647" s="268"/>
      <c r="LG647" s="268"/>
      <c r="LH647" s="268"/>
      <c r="LI647" s="268"/>
      <c r="LJ647" s="268"/>
      <c r="LK647" s="268"/>
      <c r="LL647" s="268"/>
      <c r="LM647" s="268"/>
      <c r="LN647" s="268"/>
      <c r="LO647" s="268"/>
      <c r="LP647" s="268"/>
      <c r="LQ647" s="268"/>
      <c r="LR647" s="268"/>
      <c r="LS647" s="268"/>
      <c r="LT647" s="268"/>
      <c r="LU647" s="268"/>
      <c r="LV647" s="268"/>
      <c r="LW647" s="268"/>
      <c r="LX647" s="268"/>
      <c r="LY647" s="268"/>
      <c r="LZ647" s="268"/>
      <c r="MA647" s="268"/>
      <c r="MB647" s="268"/>
      <c r="MC647" s="268"/>
      <c r="MD647" s="268"/>
      <c r="ME647" s="268"/>
      <c r="MF647" s="268"/>
      <c r="MG647" s="268"/>
      <c r="MH647" s="268"/>
      <c r="MI647" s="268"/>
      <c r="MJ647" s="268"/>
      <c r="MK647" s="268"/>
      <c r="ML647" s="268"/>
      <c r="MM647" s="268"/>
      <c r="MN647" s="268"/>
      <c r="MO647" s="268"/>
      <c r="MP647" s="268"/>
      <c r="MQ647" s="268"/>
      <c r="MR647" s="268"/>
      <c r="MS647" s="268"/>
      <c r="MT647" s="268"/>
      <c r="MU647" s="268"/>
      <c r="MV647" s="268"/>
      <c r="MW647" s="268"/>
      <c r="MX647" s="268"/>
      <c r="MY647" s="268"/>
      <c r="MZ647" s="268"/>
      <c r="NA647" s="268"/>
      <c r="NB647" s="268"/>
      <c r="NC647" s="268"/>
      <c r="ND647" s="268"/>
      <c r="NE647" s="268"/>
      <c r="NF647" s="268"/>
      <c r="NG647" s="268"/>
      <c r="NH647" s="268"/>
      <c r="NI647" s="268"/>
      <c r="NJ647" s="268"/>
      <c r="NK647" s="268"/>
      <c r="NL647" s="268"/>
      <c r="NM647" s="268"/>
      <c r="NN647" s="268"/>
      <c r="NO647" s="268"/>
      <c r="NP647" s="268"/>
      <c r="NQ647" s="268"/>
      <c r="NR647" s="268"/>
      <c r="NS647" s="268"/>
      <c r="NT647" s="268"/>
      <c r="NU647" s="268"/>
      <c r="NV647" s="268"/>
      <c r="NW647" s="268"/>
      <c r="NX647" s="268"/>
      <c r="NY647" s="268"/>
      <c r="NZ647" s="268"/>
      <c r="OA647" s="268"/>
      <c r="OB647" s="268"/>
      <c r="OC647" s="268"/>
      <c r="OD647" s="268"/>
      <c r="OE647" s="268"/>
      <c r="OF647" s="268"/>
      <c r="OG647" s="268"/>
      <c r="OH647" s="268"/>
      <c r="OI647" s="268"/>
      <c r="OJ647" s="268"/>
      <c r="OK647" s="268"/>
      <c r="OL647" s="268"/>
      <c r="OM647" s="268"/>
      <c r="ON647" s="268"/>
      <c r="OO647" s="268"/>
      <c r="OP647" s="268"/>
      <c r="OQ647" s="268"/>
      <c r="OR647" s="268"/>
      <c r="OS647" s="268"/>
      <c r="OT647" s="268"/>
      <c r="OU647" s="268"/>
      <c r="OV647" s="268"/>
      <c r="OW647" s="268"/>
      <c r="OX647" s="268"/>
      <c r="OY647" s="268"/>
      <c r="OZ647" s="268"/>
      <c r="PA647" s="268"/>
      <c r="PB647" s="268"/>
      <c r="PC647" s="268"/>
      <c r="PD647" s="268"/>
      <c r="PE647" s="268"/>
      <c r="PF647" s="268"/>
      <c r="PG647" s="268"/>
      <c r="PH647" s="268"/>
      <c r="PI647" s="268"/>
      <c r="PJ647" s="268"/>
      <c r="PK647" s="268"/>
      <c r="PL647" s="268"/>
      <c r="PM647" s="268"/>
      <c r="PN647" s="268"/>
      <c r="PO647" s="268"/>
      <c r="PP647" s="268"/>
      <c r="PQ647" s="268"/>
      <c r="PR647" s="268"/>
      <c r="PS647" s="268"/>
      <c r="PT647" s="268"/>
      <c r="PU647" s="268"/>
      <c r="PV647" s="268"/>
      <c r="PW647" s="268"/>
      <c r="PX647" s="268"/>
      <c r="PY647" s="268"/>
      <c r="PZ647" s="268"/>
      <c r="QA647" s="268"/>
      <c r="QB647" s="268"/>
      <c r="QC647" s="268"/>
      <c r="QD647" s="268"/>
      <c r="QE647" s="268"/>
      <c r="QF647" s="268"/>
      <c r="QG647" s="268"/>
      <c r="QH647" s="268"/>
      <c r="QI647" s="268"/>
      <c r="QJ647" s="268"/>
      <c r="QK647" s="268"/>
      <c r="QL647" s="268"/>
      <c r="QM647" s="268"/>
      <c r="QN647" s="268"/>
      <c r="QO647" s="268"/>
      <c r="QP647" s="268"/>
      <c r="QQ647" s="268"/>
      <c r="QR647" s="268"/>
      <c r="QS647" s="268"/>
      <c r="QT647" s="268"/>
      <c r="QU647" s="268"/>
      <c r="QV647" s="268"/>
      <c r="QW647" s="268"/>
      <c r="QX647" s="268"/>
      <c r="QY647" s="268"/>
      <c r="QZ647" s="268"/>
      <c r="RA647" s="268"/>
      <c r="RB647" s="268"/>
      <c r="RC647" s="268"/>
      <c r="RD647" s="268"/>
      <c r="RE647" s="268"/>
      <c r="RF647" s="268"/>
      <c r="RG647" s="268"/>
      <c r="RH647" s="268"/>
      <c r="RI647" s="268"/>
      <c r="RJ647" s="268"/>
      <c r="RK647" s="268"/>
      <c r="RL647" s="268"/>
      <c r="RM647" s="268"/>
      <c r="RN647" s="268"/>
      <c r="RO647" s="268"/>
      <c r="RP647" s="268"/>
      <c r="RQ647" s="268"/>
      <c r="RR647" s="268"/>
      <c r="RS647" s="268"/>
      <c r="RT647" s="268"/>
      <c r="RU647" s="268"/>
      <c r="RV647" s="268"/>
      <c r="RW647" s="268"/>
      <c r="RX647" s="268"/>
      <c r="RY647" s="268"/>
      <c r="RZ647" s="268"/>
      <c r="SA647" s="268"/>
      <c r="SB647" s="268"/>
      <c r="SC647" s="268"/>
      <c r="SD647" s="268"/>
      <c r="SE647" s="268"/>
      <c r="SF647" s="268"/>
      <c r="SG647" s="268"/>
      <c r="SH647" s="268"/>
      <c r="SI647" s="268"/>
      <c r="SW647" s="268"/>
      <c r="SX647" s="268"/>
      <c r="SY647" s="268"/>
      <c r="TM647" s="268"/>
      <c r="TO647" s="268"/>
      <c r="TP647" s="268"/>
      <c r="TQ647" s="268"/>
      <c r="TR647" s="268"/>
      <c r="TS647" s="268"/>
      <c r="TT647" s="268"/>
      <c r="TU647" s="268"/>
      <c r="TV647" s="268"/>
      <c r="TW647" s="268"/>
      <c r="TX647" s="268"/>
      <c r="TY647" s="268"/>
      <c r="TZ647" s="268"/>
      <c r="UA647" s="268"/>
      <c r="UB647" s="268"/>
      <c r="UC647" s="268"/>
      <c r="UD647" s="268"/>
      <c r="UE647" s="268"/>
      <c r="UF647" s="268"/>
      <c r="UG647" s="268"/>
      <c r="UH647" s="268"/>
      <c r="UI647" s="268"/>
      <c r="UJ647" s="268"/>
      <c r="UK647" s="268"/>
      <c r="UL647" s="268"/>
      <c r="UM647" s="268"/>
      <c r="UN647" s="268"/>
      <c r="UO647" s="268"/>
      <c r="UP647" s="268"/>
      <c r="UQ647" s="268"/>
      <c r="UR647" s="268"/>
      <c r="US647" s="268"/>
      <c r="UT647" s="268"/>
      <c r="UU647" s="268"/>
      <c r="UV647" s="268"/>
      <c r="UW647" s="268"/>
      <c r="UX647" s="268"/>
      <c r="UY647" s="268"/>
      <c r="UZ647" s="268"/>
      <c r="VA647" s="268"/>
      <c r="VB647" s="268"/>
      <c r="VC647" s="268"/>
      <c r="VD647" s="268"/>
      <c r="VE647" s="268"/>
      <c r="VF647" s="268"/>
      <c r="VG647" s="268"/>
      <c r="VH647" s="268"/>
      <c r="VI647" s="268"/>
      <c r="VJ647" s="268"/>
      <c r="VK647" s="268"/>
      <c r="VL647" s="268"/>
      <c r="VM647" s="268"/>
      <c r="VN647" s="268"/>
      <c r="VO647" s="268"/>
      <c r="VP647" s="268"/>
      <c r="VQ647" s="268"/>
      <c r="VR647" s="268"/>
      <c r="VS647" s="268"/>
      <c r="VT647" s="268"/>
      <c r="VU647" s="268"/>
      <c r="VV647" s="268"/>
      <c r="VW647" s="268"/>
      <c r="VX647" s="268"/>
      <c r="VY647" s="268"/>
      <c r="VZ647" s="268"/>
      <c r="WA647" s="268"/>
      <c r="WB647" s="268"/>
      <c r="WC647" s="268"/>
      <c r="WD647" s="268"/>
      <c r="WE647" s="268"/>
      <c r="WF647" s="268"/>
      <c r="WG647" s="268"/>
      <c r="WH647" s="268"/>
      <c r="WI647" s="268"/>
      <c r="WJ647" s="268"/>
      <c r="WK647" s="268"/>
      <c r="WL647" s="268"/>
      <c r="WM647" s="268"/>
      <c r="WN647" s="268"/>
      <c r="WO647" s="268"/>
      <c r="WP647" s="268"/>
      <c r="WQ647" s="268"/>
      <c r="WR647" s="268"/>
      <c r="WS647" s="268"/>
      <c r="WT647" s="268"/>
      <c r="WU647" s="268"/>
      <c r="WV647" s="268"/>
      <c r="WW647" s="268"/>
      <c r="WX647" s="268"/>
      <c r="WY647" s="268"/>
      <c r="WZ647" s="268"/>
      <c r="XA647" s="268"/>
      <c r="XB647" s="268"/>
      <c r="XC647" s="268"/>
      <c r="XD647" s="268"/>
      <c r="XE647" s="268"/>
      <c r="XF647" s="268"/>
      <c r="XG647" s="268"/>
      <c r="XH647" s="268"/>
      <c r="XI647" s="268"/>
      <c r="XJ647" s="268"/>
      <c r="XK647" s="268"/>
      <c r="XL647" s="268"/>
      <c r="XM647" s="268"/>
      <c r="XN647" s="268"/>
      <c r="XO647" s="268"/>
      <c r="XP647" s="268"/>
      <c r="XQ647" s="268"/>
      <c r="XR647" s="268"/>
      <c r="XS647" s="268"/>
      <c r="XT647" s="268"/>
      <c r="XU647" s="268"/>
      <c r="XV647" s="268"/>
      <c r="XW647" s="268"/>
      <c r="XX647" s="268"/>
      <c r="XY647" s="268"/>
      <c r="XZ647" s="268"/>
      <c r="YA647" s="268"/>
      <c r="YB647" s="268"/>
      <c r="YC647" s="268"/>
      <c r="YD647" s="268"/>
      <c r="YE647" s="268"/>
      <c r="YF647" s="268"/>
      <c r="YG647" s="268"/>
      <c r="YH647" s="268"/>
      <c r="YI647" s="268"/>
      <c r="YJ647" s="268"/>
      <c r="YK647" s="268"/>
      <c r="YL647" s="268"/>
      <c r="YM647" s="268"/>
      <c r="YN647" s="268"/>
      <c r="YO647" s="268"/>
      <c r="YP647" s="268"/>
      <c r="YQ647" s="268"/>
      <c r="YR647" s="268"/>
      <c r="YS647" s="268"/>
      <c r="YT647" s="268"/>
      <c r="YU647" s="268"/>
      <c r="YV647" s="268"/>
      <c r="YW647" s="268"/>
      <c r="YX647" s="268"/>
      <c r="YY647" s="268"/>
      <c r="YZ647" s="268"/>
      <c r="ZA647" s="268"/>
      <c r="ZB647" s="268"/>
      <c r="ZC647" s="268"/>
      <c r="ZD647" s="268"/>
      <c r="ZE647" s="268"/>
      <c r="ZF647" s="268"/>
      <c r="ZG647" s="268"/>
      <c r="ZH647" s="268"/>
      <c r="ZI647" s="268"/>
      <c r="ZJ647" s="268"/>
      <c r="ZK647" s="268"/>
      <c r="ZL647" s="268"/>
      <c r="ZM647" s="268"/>
      <c r="ZN647" s="268"/>
      <c r="ZO647" s="268"/>
      <c r="ZP647" s="268"/>
      <c r="ZQ647" s="268"/>
      <c r="ZR647" s="268"/>
      <c r="ZS647" s="268"/>
      <c r="ZT647" s="268"/>
      <c r="ZU647" s="268"/>
      <c r="ZV647" s="268"/>
      <c r="ZW647" s="268"/>
      <c r="ZX647" s="268"/>
      <c r="ZY647" s="268"/>
      <c r="ZZ647" s="268"/>
      <c r="AAA647" s="268"/>
      <c r="AAB647" s="268"/>
      <c r="AAC647" s="268"/>
      <c r="AAD647" s="268"/>
      <c r="AAE647" s="268"/>
      <c r="AAF647" s="268"/>
      <c r="AAG647" s="268"/>
      <c r="AAH647" s="268"/>
      <c r="AAI647" s="268"/>
      <c r="AAJ647" s="268"/>
      <c r="AAK647" s="268"/>
      <c r="AAL647" s="268"/>
      <c r="AAM647" s="268"/>
      <c r="AAN647" s="268"/>
      <c r="AAO647" s="268"/>
      <c r="AAP647" s="268"/>
      <c r="AAQ647" s="268"/>
      <c r="AAR647" s="268"/>
      <c r="AAS647" s="268"/>
      <c r="AAT647" s="268"/>
      <c r="AAU647" s="268"/>
      <c r="AAV647" s="268"/>
      <c r="AAW647" s="268"/>
      <c r="AAX647" s="268"/>
      <c r="AAY647" s="268"/>
      <c r="AAZ647" s="268"/>
      <c r="ABA647" s="268"/>
      <c r="ABB647" s="268"/>
      <c r="ABC647" s="268"/>
      <c r="ABD647" s="268"/>
      <c r="ABE647" s="268"/>
      <c r="ABF647" s="268"/>
      <c r="ABG647" s="268"/>
      <c r="ABH647" s="268"/>
      <c r="ABI647" s="268"/>
      <c r="ABJ647" s="268"/>
      <c r="ABK647" s="268"/>
      <c r="ABL647" s="268"/>
      <c r="ABM647" s="268"/>
      <c r="ABN647" s="268"/>
      <c r="ABO647" s="268"/>
      <c r="ABP647" s="268"/>
      <c r="ABQ647" s="268"/>
      <c r="ABR647" s="268"/>
      <c r="ABS647" s="268"/>
      <c r="ABT647" s="268"/>
      <c r="ABU647" s="268"/>
      <c r="ABV647" s="268"/>
      <c r="ABW647" s="268"/>
      <c r="ABX647" s="268"/>
      <c r="ABY647" s="268"/>
      <c r="ABZ647" s="268"/>
      <c r="ACA647" s="268"/>
      <c r="ACB647" s="268"/>
      <c r="ACC647" s="268"/>
      <c r="ACD647" s="268"/>
      <c r="ACE647" s="268"/>
      <c r="ACS647" s="268"/>
      <c r="ACT647" s="268"/>
      <c r="ACU647" s="268"/>
      <c r="ADI647" s="268"/>
      <c r="ADK647" s="268"/>
      <c r="ADL647" s="268"/>
      <c r="ADM647" s="268"/>
      <c r="ADN647" s="268"/>
      <c r="ADO647" s="268"/>
      <c r="ADP647" s="268"/>
      <c r="ADQ647" s="268"/>
      <c r="ADR647" s="268"/>
      <c r="ADS647" s="268"/>
      <c r="ADT647" s="268"/>
      <c r="ADU647" s="268"/>
      <c r="ADV647" s="268"/>
      <c r="ADW647" s="268"/>
      <c r="ADX647" s="268"/>
      <c r="ADY647" s="268"/>
      <c r="ADZ647" s="268"/>
      <c r="AEA647" s="268"/>
      <c r="AEB647" s="268"/>
      <c r="AEC647" s="268"/>
      <c r="AED647" s="268"/>
      <c r="AEE647" s="268"/>
      <c r="AEF647" s="268"/>
      <c r="AEG647" s="268"/>
      <c r="AEH647" s="268"/>
      <c r="AEI647" s="268"/>
      <c r="AEJ647" s="268"/>
      <c r="AEK647" s="268"/>
      <c r="AEL647" s="268"/>
      <c r="AEM647" s="268"/>
      <c r="AEN647" s="268"/>
      <c r="AEO647" s="268"/>
      <c r="AEP647" s="268"/>
      <c r="AEQ647" s="268"/>
      <c r="AER647" s="268"/>
      <c r="AES647" s="268"/>
      <c r="AET647" s="268"/>
      <c r="AEU647" s="268"/>
      <c r="AEV647" s="268"/>
      <c r="AEW647" s="268"/>
      <c r="AEX647" s="268"/>
      <c r="AEY647" s="268"/>
      <c r="AEZ647" s="268"/>
      <c r="AFA647" s="268"/>
      <c r="AFB647" s="268"/>
      <c r="AFC647" s="268"/>
      <c r="AFD647" s="268"/>
      <c r="AFE647" s="268"/>
      <c r="AFF647" s="268"/>
      <c r="AFG647" s="268"/>
      <c r="AFH647" s="268"/>
      <c r="AFI647" s="268"/>
      <c r="AFJ647" s="268"/>
      <c r="AFK647" s="268"/>
      <c r="AFL647" s="268"/>
      <c r="AFM647" s="268"/>
      <c r="AFN647" s="268"/>
      <c r="AFO647" s="268"/>
      <c r="AFP647" s="268"/>
      <c r="AFQ647" s="268"/>
      <c r="AFR647" s="268"/>
      <c r="AFS647" s="268"/>
      <c r="AFT647" s="268"/>
      <c r="AFU647" s="268"/>
      <c r="AFV647" s="268"/>
      <c r="AFW647" s="268"/>
      <c r="AFX647" s="268"/>
      <c r="AFY647" s="268"/>
      <c r="AFZ647" s="268"/>
      <c r="AGA647" s="268"/>
      <c r="AGB647" s="268"/>
      <c r="AGC647" s="268"/>
      <c r="AGD647" s="268"/>
      <c r="AGE647" s="268"/>
      <c r="AGF647" s="268"/>
      <c r="AGG647" s="268"/>
      <c r="AGH647" s="268"/>
      <c r="AGI647" s="268"/>
      <c r="AGJ647" s="268"/>
      <c r="AGK647" s="268"/>
      <c r="AGL647" s="268"/>
      <c r="AGM647" s="268"/>
      <c r="AGN647" s="268"/>
      <c r="AGO647" s="268"/>
      <c r="AGP647" s="268"/>
      <c r="AGQ647" s="268"/>
      <c r="AGR647" s="268"/>
      <c r="AGS647" s="268"/>
      <c r="AGT647" s="268"/>
      <c r="AGU647" s="268"/>
      <c r="AGV647" s="268"/>
      <c r="AGW647" s="268"/>
      <c r="AGX647" s="268"/>
      <c r="AGY647" s="268"/>
      <c r="AGZ647" s="268"/>
      <c r="AHA647" s="268"/>
      <c r="AHB647" s="268"/>
      <c r="AHC647" s="268"/>
      <c r="AHD647" s="268"/>
      <c r="AHE647" s="268"/>
      <c r="AHF647" s="268"/>
      <c r="AHG647" s="268"/>
      <c r="AHH647" s="268"/>
      <c r="AHI647" s="268"/>
      <c r="AHJ647" s="268"/>
      <c r="AHK647" s="268"/>
      <c r="AHL647" s="268"/>
      <c r="AHM647" s="268"/>
      <c r="AHN647" s="268"/>
      <c r="AHO647" s="268"/>
      <c r="AHP647" s="268"/>
      <c r="AHQ647" s="268"/>
      <c r="AHR647" s="268"/>
      <c r="AHS647" s="268"/>
      <c r="AHT647" s="268"/>
      <c r="AHU647" s="268"/>
      <c r="AHV647" s="268"/>
      <c r="AHW647" s="268"/>
      <c r="AHX647" s="268"/>
      <c r="AHY647" s="268"/>
      <c r="AHZ647" s="268"/>
      <c r="AIA647" s="268"/>
      <c r="AIB647" s="268"/>
      <c r="AIC647" s="268"/>
      <c r="AID647" s="268"/>
      <c r="AIE647" s="268"/>
      <c r="AIF647" s="268"/>
      <c r="AIG647" s="268"/>
      <c r="AIH647" s="268"/>
      <c r="AII647" s="268"/>
      <c r="AIJ647" s="268"/>
      <c r="AIK647" s="268"/>
      <c r="AIL647" s="268"/>
      <c r="AIM647" s="268"/>
      <c r="AIN647" s="268"/>
      <c r="AIO647" s="268"/>
      <c r="AIP647" s="268"/>
      <c r="AIQ647" s="268"/>
      <c r="AIR647" s="268"/>
      <c r="AIS647" s="268"/>
      <c r="AIT647" s="268"/>
      <c r="AIU647" s="268"/>
      <c r="AIV647" s="268"/>
      <c r="AIW647" s="268"/>
      <c r="AIX647" s="268"/>
      <c r="AIY647" s="268"/>
      <c r="AIZ647" s="268"/>
      <c r="AJA647" s="268"/>
      <c r="AJB647" s="268"/>
      <c r="AJC647" s="268"/>
      <c r="AJD647" s="268"/>
      <c r="AJE647" s="268"/>
      <c r="AJF647" s="268"/>
      <c r="AJG647" s="268"/>
      <c r="AJH647" s="268"/>
      <c r="AJI647" s="268"/>
      <c r="AJJ647" s="268"/>
      <c r="AJK647" s="268"/>
      <c r="AJL647" s="268"/>
      <c r="AJM647" s="268"/>
      <c r="AJN647" s="268"/>
      <c r="AJO647" s="268"/>
      <c r="AJP647" s="268"/>
      <c r="AJQ647" s="268"/>
      <c r="AJR647" s="268"/>
      <c r="AJS647" s="268"/>
      <c r="AJT647" s="268"/>
      <c r="AJU647" s="268"/>
      <c r="AJV647" s="268"/>
      <c r="AJW647" s="268"/>
      <c r="AJX647" s="268"/>
      <c r="AJY647" s="268"/>
      <c r="AJZ647" s="268"/>
      <c r="AKA647" s="268"/>
      <c r="AKB647" s="268"/>
      <c r="AKC647" s="268"/>
      <c r="AKD647" s="268"/>
      <c r="AKE647" s="268"/>
      <c r="AKF647" s="268"/>
      <c r="AKG647" s="268"/>
      <c r="AKH647" s="268"/>
      <c r="AKI647" s="268"/>
      <c r="AKJ647" s="268"/>
      <c r="AKK647" s="268"/>
      <c r="AKL647" s="268"/>
      <c r="AKM647" s="268"/>
      <c r="AKN647" s="268"/>
      <c r="AKO647" s="268"/>
      <c r="AKP647" s="268"/>
      <c r="AKQ647" s="268"/>
      <c r="AKR647" s="268"/>
      <c r="AKS647" s="268"/>
      <c r="AKT647" s="268"/>
      <c r="AKU647" s="268"/>
      <c r="AKV647" s="268"/>
      <c r="AKW647" s="268"/>
      <c r="AKX647" s="268"/>
      <c r="AKY647" s="268"/>
      <c r="AKZ647" s="268"/>
      <c r="ALA647" s="268"/>
      <c r="ALB647" s="268"/>
      <c r="ALC647" s="268"/>
      <c r="ALD647" s="268"/>
      <c r="ALE647" s="268"/>
      <c r="ALF647" s="268"/>
      <c r="ALG647" s="268"/>
      <c r="ALH647" s="268"/>
      <c r="ALI647" s="268"/>
      <c r="ALJ647" s="268"/>
      <c r="ALK647" s="268"/>
      <c r="ALL647" s="268"/>
      <c r="ALM647" s="268"/>
      <c r="ALN647" s="268"/>
      <c r="ALO647" s="268"/>
      <c r="ALP647" s="268"/>
      <c r="ALQ647" s="268"/>
      <c r="ALR647" s="268"/>
      <c r="ALS647" s="268"/>
      <c r="ALT647" s="268"/>
      <c r="ALU647" s="268"/>
      <c r="ALV647" s="268"/>
      <c r="ALW647" s="268"/>
      <c r="ALX647" s="268"/>
      <c r="ALY647" s="268"/>
      <c r="ALZ647" s="268"/>
      <c r="AMA647" s="268"/>
      <c r="AMO647" s="268"/>
      <c r="AMP647" s="268"/>
      <c r="AMQ647" s="268"/>
      <c r="ANE647" s="268"/>
      <c r="ANG647" s="268"/>
      <c r="ANH647" s="268"/>
      <c r="ANI647" s="268"/>
      <c r="ANJ647" s="268"/>
      <c r="ANK647" s="268"/>
      <c r="ANL647" s="268"/>
      <c r="ANM647" s="268"/>
      <c r="ANN647" s="268"/>
      <c r="ANO647" s="268"/>
      <c r="ANP647" s="268"/>
      <c r="ANQ647" s="268"/>
      <c r="ANR647" s="268"/>
      <c r="ANS647" s="268"/>
      <c r="ANT647" s="268"/>
      <c r="ANU647" s="268"/>
      <c r="ANV647" s="268"/>
      <c r="ANW647" s="268"/>
      <c r="ANX647" s="268"/>
      <c r="ANY647" s="268"/>
      <c r="ANZ647" s="268"/>
      <c r="AOA647" s="268"/>
      <c r="AOB647" s="268"/>
      <c r="AOC647" s="268"/>
      <c r="AOD647" s="268"/>
      <c r="AOE647" s="268"/>
      <c r="AOF647" s="268"/>
      <c r="AOG647" s="268"/>
      <c r="AOH647" s="268"/>
      <c r="AOI647" s="268"/>
      <c r="AOJ647" s="268"/>
      <c r="AOK647" s="268"/>
      <c r="AOL647" s="268"/>
      <c r="AOM647" s="268"/>
      <c r="AON647" s="268"/>
      <c r="AOO647" s="268"/>
      <c r="AOP647" s="268"/>
      <c r="AOQ647" s="268"/>
      <c r="AOR647" s="268"/>
      <c r="AOS647" s="268"/>
      <c r="AOT647" s="268"/>
      <c r="AOU647" s="268"/>
      <c r="AOV647" s="268"/>
      <c r="AOW647" s="268"/>
      <c r="AOX647" s="268"/>
      <c r="AOY647" s="268"/>
      <c r="AOZ647" s="268"/>
      <c r="APA647" s="268"/>
      <c r="APB647" s="268"/>
      <c r="APC647" s="268"/>
      <c r="APD647" s="268"/>
      <c r="APE647" s="268"/>
      <c r="APF647" s="268"/>
      <c r="APG647" s="268"/>
      <c r="APH647" s="268"/>
      <c r="API647" s="268"/>
      <c r="APJ647" s="268"/>
      <c r="APK647" s="268"/>
      <c r="APL647" s="268"/>
      <c r="APM647" s="268"/>
      <c r="APN647" s="268"/>
      <c r="APO647" s="268"/>
      <c r="APP647" s="268"/>
      <c r="APQ647" s="268"/>
      <c r="APR647" s="268"/>
      <c r="APS647" s="268"/>
      <c r="APT647" s="268"/>
      <c r="APU647" s="268"/>
      <c r="APV647" s="268"/>
      <c r="APW647" s="268"/>
      <c r="APX647" s="268"/>
      <c r="APY647" s="268"/>
      <c r="APZ647" s="268"/>
      <c r="AQA647" s="268"/>
      <c r="AQB647" s="268"/>
      <c r="AQC647" s="268"/>
      <c r="AQD647" s="268"/>
      <c r="AQE647" s="268"/>
      <c r="AQF647" s="268"/>
      <c r="AQG647" s="268"/>
      <c r="AQH647" s="268"/>
      <c r="AQI647" s="268"/>
      <c r="AQJ647" s="268"/>
      <c r="AQK647" s="268"/>
      <c r="AQL647" s="268"/>
      <c r="AQM647" s="268"/>
      <c r="AQN647" s="268"/>
      <c r="AQO647" s="268"/>
      <c r="AQP647" s="268"/>
      <c r="AQQ647" s="268"/>
      <c r="AQR647" s="268"/>
      <c r="AQS647" s="268"/>
      <c r="AQT647" s="268"/>
      <c r="AQU647" s="268"/>
      <c r="AQV647" s="268"/>
      <c r="AQW647" s="268"/>
      <c r="AQX647" s="268"/>
      <c r="AQY647" s="268"/>
      <c r="AQZ647" s="268"/>
      <c r="ARA647" s="268"/>
      <c r="ARB647" s="268"/>
      <c r="ARC647" s="268"/>
      <c r="ARD647" s="268"/>
      <c r="ARE647" s="268"/>
      <c r="ARF647" s="268"/>
      <c r="ARG647" s="268"/>
      <c r="ARH647" s="268"/>
      <c r="ARI647" s="268"/>
      <c r="ARJ647" s="268"/>
      <c r="ARK647" s="268"/>
      <c r="ARL647" s="268"/>
      <c r="ARM647" s="268"/>
      <c r="ARN647" s="268"/>
      <c r="ARO647" s="268"/>
      <c r="ARP647" s="268"/>
      <c r="ARQ647" s="268"/>
      <c r="ARR647" s="268"/>
      <c r="ARS647" s="268"/>
      <c r="ART647" s="268"/>
      <c r="ARU647" s="268"/>
      <c r="ARV647" s="268"/>
      <c r="ARW647" s="268"/>
      <c r="ARX647" s="268"/>
      <c r="ARY647" s="268"/>
      <c r="ARZ647" s="268"/>
      <c r="ASA647" s="268"/>
      <c r="ASB647" s="268"/>
      <c r="ASC647" s="268"/>
      <c r="ASD647" s="268"/>
      <c r="ASE647" s="268"/>
      <c r="ASF647" s="268"/>
      <c r="ASG647" s="268"/>
      <c r="ASH647" s="268"/>
      <c r="ASI647" s="268"/>
      <c r="ASJ647" s="268"/>
      <c r="ASK647" s="268"/>
      <c r="ASL647" s="268"/>
      <c r="ASM647" s="268"/>
      <c r="ASN647" s="268"/>
      <c r="ASO647" s="268"/>
      <c r="ASP647" s="268"/>
      <c r="ASQ647" s="268"/>
      <c r="ASR647" s="268"/>
      <c r="ASS647" s="268"/>
      <c r="AST647" s="268"/>
      <c r="ASU647" s="268"/>
      <c r="ASV647" s="268"/>
      <c r="ASW647" s="268"/>
      <c r="ASX647" s="268"/>
      <c r="ASY647" s="268"/>
      <c r="ASZ647" s="268"/>
      <c r="ATA647" s="268"/>
      <c r="ATB647" s="268"/>
      <c r="ATC647" s="268"/>
      <c r="ATD647" s="268"/>
      <c r="ATE647" s="268"/>
      <c r="ATF647" s="268"/>
      <c r="ATG647" s="268"/>
      <c r="ATH647" s="268"/>
      <c r="ATI647" s="268"/>
      <c r="ATJ647" s="268"/>
      <c r="ATK647" s="268"/>
      <c r="ATL647" s="268"/>
      <c r="ATM647" s="268"/>
      <c r="ATN647" s="268"/>
      <c r="ATO647" s="268"/>
      <c r="ATP647" s="268"/>
      <c r="ATQ647" s="268"/>
      <c r="ATR647" s="268"/>
      <c r="ATS647" s="268"/>
      <c r="ATT647" s="268"/>
      <c r="ATU647" s="268"/>
      <c r="ATV647" s="268"/>
      <c r="ATW647" s="268"/>
      <c r="ATX647" s="268"/>
      <c r="ATY647" s="268"/>
      <c r="ATZ647" s="268"/>
      <c r="AUA647" s="268"/>
      <c r="AUB647" s="268"/>
      <c r="AUC647" s="268"/>
      <c r="AUD647" s="268"/>
      <c r="AUE647" s="268"/>
      <c r="AUF647" s="268"/>
      <c r="AUG647" s="268"/>
      <c r="AUH647" s="268"/>
      <c r="AUI647" s="268"/>
      <c r="AUJ647" s="268"/>
      <c r="AUK647" s="268"/>
      <c r="AUL647" s="268"/>
      <c r="AUM647" s="268"/>
      <c r="AUN647" s="268"/>
      <c r="AUO647" s="268"/>
      <c r="AUP647" s="268"/>
      <c r="AUQ647" s="268"/>
      <c r="AUR647" s="268"/>
      <c r="AUS647" s="268"/>
      <c r="AUT647" s="268"/>
      <c r="AUU647" s="268"/>
      <c r="AUV647" s="268"/>
      <c r="AUW647" s="268"/>
      <c r="AUX647" s="268"/>
      <c r="AUY647" s="268"/>
      <c r="AUZ647" s="268"/>
      <c r="AVA647" s="268"/>
      <c r="AVB647" s="268"/>
      <c r="AVC647" s="268"/>
      <c r="AVD647" s="268"/>
      <c r="AVE647" s="268"/>
      <c r="AVF647" s="268"/>
      <c r="AVG647" s="268"/>
      <c r="AVH647" s="268"/>
      <c r="AVI647" s="268"/>
      <c r="AVJ647" s="268"/>
      <c r="AVK647" s="268"/>
      <c r="AVL647" s="268"/>
      <c r="AVM647" s="268"/>
      <c r="AVN647" s="268"/>
      <c r="AVO647" s="268"/>
      <c r="AVP647" s="268"/>
      <c r="AVQ647" s="268"/>
      <c r="AVR647" s="268"/>
      <c r="AVS647" s="268"/>
      <c r="AVT647" s="268"/>
      <c r="AVU647" s="268"/>
      <c r="AVV647" s="268"/>
      <c r="AVW647" s="268"/>
      <c r="AWK647" s="268"/>
      <c r="AWL647" s="268"/>
      <c r="AWM647" s="268"/>
      <c r="AXA647" s="268"/>
      <c r="AXC647" s="268"/>
      <c r="AXD647" s="268"/>
      <c r="AXE647" s="268"/>
      <c r="AXF647" s="268"/>
      <c r="AXG647" s="268"/>
      <c r="AXH647" s="268"/>
      <c r="AXI647" s="268"/>
      <c r="AXJ647" s="268"/>
      <c r="AXK647" s="268"/>
      <c r="AXL647" s="268"/>
      <c r="AXM647" s="268"/>
      <c r="AXN647" s="268"/>
      <c r="AXO647" s="268"/>
      <c r="AXP647" s="268"/>
      <c r="AXQ647" s="268"/>
      <c r="AXR647" s="268"/>
      <c r="AXS647" s="268"/>
      <c r="AXT647" s="268"/>
      <c r="AXU647" s="268"/>
      <c r="AXV647" s="268"/>
      <c r="AXW647" s="268"/>
      <c r="AXX647" s="268"/>
      <c r="AXY647" s="268"/>
      <c r="AXZ647" s="268"/>
      <c r="AYA647" s="268"/>
      <c r="AYB647" s="268"/>
      <c r="AYC647" s="268"/>
      <c r="AYD647" s="268"/>
      <c r="AYE647" s="268"/>
      <c r="AYF647" s="268"/>
      <c r="AYG647" s="268"/>
      <c r="AYH647" s="268"/>
      <c r="AYI647" s="268"/>
      <c r="AYJ647" s="268"/>
      <c r="AYK647" s="268"/>
      <c r="AYL647" s="268"/>
      <c r="AYM647" s="268"/>
      <c r="AYN647" s="268"/>
      <c r="AYO647" s="268"/>
      <c r="AYP647" s="268"/>
      <c r="AYQ647" s="268"/>
      <c r="AYR647" s="268"/>
      <c r="AYS647" s="268"/>
      <c r="AYT647" s="268"/>
      <c r="AYU647" s="268"/>
      <c r="AYV647" s="268"/>
      <c r="AYW647" s="268"/>
      <c r="AYX647" s="268"/>
      <c r="AYY647" s="268"/>
      <c r="AYZ647" s="268"/>
      <c r="AZA647" s="268"/>
      <c r="AZB647" s="268"/>
      <c r="AZC647" s="268"/>
      <c r="AZD647" s="268"/>
      <c r="AZE647" s="268"/>
      <c r="AZF647" s="268"/>
      <c r="AZG647" s="268"/>
      <c r="AZH647" s="268"/>
      <c r="AZI647" s="268"/>
      <c r="AZJ647" s="268"/>
      <c r="AZK647" s="268"/>
      <c r="AZL647" s="268"/>
      <c r="AZM647" s="268"/>
      <c r="AZN647" s="268"/>
      <c r="AZO647" s="268"/>
      <c r="AZP647" s="268"/>
      <c r="AZQ647" s="268"/>
      <c r="AZR647" s="268"/>
      <c r="AZS647" s="268"/>
      <c r="AZT647" s="268"/>
      <c r="AZU647" s="268"/>
      <c r="AZV647" s="268"/>
      <c r="AZW647" s="268"/>
      <c r="AZX647" s="268"/>
      <c r="AZY647" s="268"/>
      <c r="AZZ647" s="268"/>
      <c r="BAA647" s="268"/>
      <c r="BAB647" s="268"/>
      <c r="BAC647" s="268"/>
      <c r="BAD647" s="268"/>
      <c r="BAE647" s="268"/>
      <c r="BAF647" s="268"/>
      <c r="BAG647" s="268"/>
      <c r="BAH647" s="268"/>
      <c r="BAI647" s="268"/>
      <c r="BAJ647" s="268"/>
      <c r="BAK647" s="268"/>
      <c r="BAL647" s="268"/>
      <c r="BAM647" s="268"/>
      <c r="BAN647" s="268"/>
      <c r="BAO647" s="268"/>
      <c r="BAP647" s="268"/>
      <c r="BAQ647" s="268"/>
      <c r="BAR647" s="268"/>
      <c r="BAS647" s="268"/>
      <c r="BAT647" s="268"/>
      <c r="BAU647" s="268"/>
      <c r="BAV647" s="268"/>
      <c r="BAW647" s="268"/>
      <c r="BAX647" s="268"/>
      <c r="BAY647" s="268"/>
      <c r="BAZ647" s="268"/>
      <c r="BBA647" s="268"/>
      <c r="BBB647" s="268"/>
      <c r="BBC647" s="268"/>
      <c r="BBD647" s="268"/>
      <c r="BBE647" s="268"/>
      <c r="BBF647" s="268"/>
      <c r="BBG647" s="268"/>
      <c r="BBH647" s="268"/>
      <c r="BBI647" s="268"/>
      <c r="BBJ647" s="268"/>
      <c r="BBK647" s="268"/>
      <c r="BBL647" s="268"/>
      <c r="BBM647" s="268"/>
      <c r="BBN647" s="268"/>
      <c r="BBO647" s="268"/>
      <c r="BBP647" s="268"/>
      <c r="BBQ647" s="268"/>
      <c r="BBR647" s="268"/>
      <c r="BBS647" s="268"/>
      <c r="BBT647" s="268"/>
      <c r="BBU647" s="268"/>
      <c r="BBV647" s="268"/>
      <c r="BBW647" s="268"/>
      <c r="BBX647" s="268"/>
      <c r="BBY647" s="268"/>
      <c r="BBZ647" s="268"/>
      <c r="BCA647" s="268"/>
      <c r="BCB647" s="268"/>
      <c r="BCC647" s="268"/>
      <c r="BCD647" s="268"/>
      <c r="BCE647" s="268"/>
      <c r="BCF647" s="268"/>
      <c r="BCG647" s="268"/>
      <c r="BCH647" s="268"/>
      <c r="BCI647" s="268"/>
      <c r="BCJ647" s="268"/>
      <c r="BCK647" s="268"/>
      <c r="BCL647" s="268"/>
      <c r="BCM647" s="268"/>
      <c r="BCN647" s="268"/>
      <c r="BCO647" s="268"/>
      <c r="BCP647" s="268"/>
      <c r="BCQ647" s="268"/>
      <c r="BCR647" s="268"/>
      <c r="BCS647" s="268"/>
      <c r="BCT647" s="268"/>
      <c r="BCU647" s="268"/>
      <c r="BCV647" s="268"/>
      <c r="BCW647" s="268"/>
      <c r="BCX647" s="268"/>
      <c r="BCY647" s="268"/>
      <c r="BCZ647" s="268"/>
      <c r="BDA647" s="268"/>
      <c r="BDB647" s="268"/>
      <c r="BDC647" s="268"/>
      <c r="BDD647" s="268"/>
      <c r="BDE647" s="268"/>
      <c r="BDF647" s="268"/>
      <c r="BDG647" s="268"/>
      <c r="BDH647" s="268"/>
      <c r="BDI647" s="268"/>
      <c r="BDJ647" s="268"/>
      <c r="BDK647" s="268"/>
      <c r="BDL647" s="268"/>
      <c r="BDM647" s="268"/>
      <c r="BDN647" s="268"/>
      <c r="BDO647" s="268"/>
      <c r="BDP647" s="268"/>
      <c r="BDQ647" s="268"/>
      <c r="BDR647" s="268"/>
      <c r="BDS647" s="268"/>
      <c r="BDT647" s="268"/>
      <c r="BDU647" s="268"/>
      <c r="BDV647" s="268"/>
      <c r="BDW647" s="268"/>
      <c r="BDX647" s="268"/>
      <c r="BDY647" s="268"/>
      <c r="BDZ647" s="268"/>
      <c r="BEA647" s="268"/>
      <c r="BEB647" s="268"/>
      <c r="BEC647" s="268"/>
      <c r="BED647" s="268"/>
      <c r="BEE647" s="268"/>
      <c r="BEF647" s="268"/>
      <c r="BEG647" s="268"/>
      <c r="BEH647" s="268"/>
      <c r="BEI647" s="268"/>
      <c r="BEJ647" s="268"/>
      <c r="BEK647" s="268"/>
      <c r="BEL647" s="268"/>
      <c r="BEM647" s="268"/>
      <c r="BEN647" s="268"/>
      <c r="BEO647" s="268"/>
      <c r="BEP647" s="268"/>
      <c r="BEQ647" s="268"/>
      <c r="BER647" s="268"/>
      <c r="BES647" s="268"/>
      <c r="BET647" s="268"/>
      <c r="BEU647" s="268"/>
      <c r="BEV647" s="268"/>
      <c r="BEW647" s="268"/>
      <c r="BEX647" s="268"/>
      <c r="BEY647" s="268"/>
      <c r="BEZ647" s="268"/>
      <c r="BFA647" s="268"/>
      <c r="BFB647" s="268"/>
      <c r="BFC647" s="268"/>
      <c r="BFD647" s="268"/>
      <c r="BFE647" s="268"/>
      <c r="BFF647" s="268"/>
      <c r="BFG647" s="268"/>
      <c r="BFH647" s="268"/>
      <c r="BFI647" s="268"/>
      <c r="BFJ647" s="268"/>
      <c r="BFK647" s="268"/>
      <c r="BFL647" s="268"/>
      <c r="BFM647" s="268"/>
      <c r="BFN647" s="268"/>
      <c r="BFO647" s="268"/>
      <c r="BFP647" s="268"/>
      <c r="BFQ647" s="268"/>
      <c r="BFR647" s="268"/>
      <c r="BFS647" s="268"/>
      <c r="BGG647" s="268"/>
      <c r="BGH647" s="268"/>
      <c r="BGI647" s="268"/>
      <c r="BGW647" s="268"/>
      <c r="BGY647" s="268"/>
      <c r="BGZ647" s="268"/>
      <c r="BHA647" s="268"/>
      <c r="BHB647" s="268"/>
      <c r="BHC647" s="268"/>
      <c r="BHD647" s="268"/>
      <c r="BHE647" s="268"/>
      <c r="BHF647" s="268"/>
      <c r="BHG647" s="268"/>
      <c r="BHH647" s="268"/>
      <c r="BHI647" s="268"/>
      <c r="BHJ647" s="268"/>
      <c r="BHK647" s="268"/>
      <c r="BHL647" s="268"/>
      <c r="BHM647" s="268"/>
      <c r="BHN647" s="268"/>
      <c r="BHO647" s="268"/>
      <c r="BHP647" s="268"/>
      <c r="BHQ647" s="268"/>
      <c r="BHR647" s="268"/>
      <c r="BHS647" s="268"/>
      <c r="BHT647" s="268"/>
      <c r="BHU647" s="268"/>
      <c r="BHV647" s="268"/>
      <c r="BHW647" s="268"/>
      <c r="BHX647" s="268"/>
      <c r="BHY647" s="268"/>
      <c r="BHZ647" s="268"/>
      <c r="BIA647" s="268"/>
      <c r="BIB647" s="268"/>
      <c r="BIC647" s="268"/>
      <c r="BID647" s="268"/>
      <c r="BIE647" s="268"/>
      <c r="BIF647" s="268"/>
      <c r="BIG647" s="268"/>
      <c r="BIH647" s="268"/>
      <c r="BII647" s="268"/>
      <c r="BIJ647" s="268"/>
      <c r="BIK647" s="268"/>
      <c r="BIL647" s="268"/>
      <c r="BIM647" s="268"/>
      <c r="BIN647" s="268"/>
      <c r="BIO647" s="268"/>
      <c r="BIP647" s="268"/>
      <c r="BIQ647" s="268"/>
      <c r="BIR647" s="268"/>
      <c r="BIS647" s="268"/>
      <c r="BIT647" s="268"/>
      <c r="BIU647" s="268"/>
      <c r="BIV647" s="268"/>
      <c r="BIW647" s="268"/>
      <c r="BIX647" s="268"/>
      <c r="BIY647" s="268"/>
      <c r="BIZ647" s="268"/>
      <c r="BJA647" s="268"/>
      <c r="BJB647" s="268"/>
      <c r="BJC647" s="268"/>
      <c r="BJD647" s="268"/>
      <c r="BJE647" s="268"/>
      <c r="BJF647" s="268"/>
      <c r="BJG647" s="268"/>
      <c r="BJH647" s="268"/>
      <c r="BJI647" s="268"/>
      <c r="BJJ647" s="268"/>
      <c r="BJK647" s="268"/>
      <c r="BJL647" s="268"/>
      <c r="BJM647" s="268"/>
      <c r="BJN647" s="268"/>
      <c r="BJO647" s="268"/>
      <c r="BJP647" s="268"/>
      <c r="BJQ647" s="268"/>
      <c r="BJR647" s="268"/>
      <c r="BJS647" s="268"/>
      <c r="BJT647" s="268"/>
      <c r="BJU647" s="268"/>
      <c r="BJV647" s="268"/>
      <c r="BJW647" s="268"/>
      <c r="BJX647" s="268"/>
      <c r="BJY647" s="268"/>
      <c r="BJZ647" s="268"/>
      <c r="BKA647" s="268"/>
      <c r="BKB647" s="268"/>
      <c r="BKC647" s="268"/>
      <c r="BKD647" s="268"/>
      <c r="BKE647" s="268"/>
      <c r="BKF647" s="268"/>
      <c r="BKG647" s="268"/>
      <c r="BKH647" s="268"/>
      <c r="BKI647" s="268"/>
      <c r="BKJ647" s="268"/>
      <c r="BKK647" s="268"/>
      <c r="BKL647" s="268"/>
      <c r="BKM647" s="268"/>
      <c r="BKN647" s="268"/>
      <c r="BKO647" s="268"/>
      <c r="BKP647" s="268"/>
      <c r="BKQ647" s="268"/>
      <c r="BKR647" s="268"/>
      <c r="BKS647" s="268"/>
      <c r="BKT647" s="268"/>
      <c r="BKU647" s="268"/>
      <c r="BKV647" s="268"/>
      <c r="BKW647" s="268"/>
      <c r="BKX647" s="268"/>
      <c r="BKY647" s="268"/>
      <c r="BKZ647" s="268"/>
      <c r="BLA647" s="268"/>
      <c r="BLB647" s="268"/>
      <c r="BLC647" s="268"/>
      <c r="BLD647" s="268"/>
      <c r="BLE647" s="268"/>
      <c r="BLF647" s="268"/>
      <c r="BLG647" s="268"/>
      <c r="BLH647" s="268"/>
      <c r="BLI647" s="268"/>
      <c r="BLJ647" s="268"/>
      <c r="BLK647" s="268"/>
      <c r="BLL647" s="268"/>
      <c r="BLM647" s="268"/>
      <c r="BLN647" s="268"/>
      <c r="BLO647" s="268"/>
      <c r="BLP647" s="268"/>
      <c r="BLQ647" s="268"/>
      <c r="BLR647" s="268"/>
      <c r="BLS647" s="268"/>
      <c r="BLT647" s="268"/>
      <c r="BLU647" s="268"/>
      <c r="BLV647" s="268"/>
      <c r="BLW647" s="268"/>
      <c r="BLX647" s="268"/>
      <c r="BLY647" s="268"/>
      <c r="BLZ647" s="268"/>
      <c r="BMA647" s="268"/>
      <c r="BMB647" s="268"/>
      <c r="BMC647" s="268"/>
      <c r="BMD647" s="268"/>
      <c r="BME647" s="268"/>
      <c r="BMF647" s="268"/>
      <c r="BMG647" s="268"/>
      <c r="BMH647" s="268"/>
      <c r="BMI647" s="268"/>
      <c r="BMJ647" s="268"/>
      <c r="BMK647" s="268"/>
      <c r="BML647" s="268"/>
      <c r="BMM647" s="268"/>
      <c r="BMN647" s="268"/>
      <c r="BMO647" s="268"/>
      <c r="BMP647" s="268"/>
      <c r="BMQ647" s="268"/>
      <c r="BMR647" s="268"/>
      <c r="BMS647" s="268"/>
      <c r="BMT647" s="268"/>
      <c r="BMU647" s="268"/>
      <c r="BMV647" s="268"/>
      <c r="BMW647" s="268"/>
      <c r="BMX647" s="268"/>
      <c r="BMY647" s="268"/>
      <c r="BMZ647" s="268"/>
      <c r="BNA647" s="268"/>
      <c r="BNB647" s="268"/>
      <c r="BNC647" s="268"/>
      <c r="BND647" s="268"/>
      <c r="BNE647" s="268"/>
      <c r="BNF647" s="268"/>
      <c r="BNG647" s="268"/>
      <c r="BNH647" s="268"/>
      <c r="BNI647" s="268"/>
      <c r="BNJ647" s="268"/>
      <c r="BNK647" s="268"/>
      <c r="BNL647" s="268"/>
      <c r="BNM647" s="268"/>
      <c r="BNN647" s="268"/>
      <c r="BNO647" s="268"/>
      <c r="BNP647" s="268"/>
      <c r="BNQ647" s="268"/>
      <c r="BNR647" s="268"/>
      <c r="BNS647" s="268"/>
      <c r="BNT647" s="268"/>
      <c r="BNU647" s="268"/>
      <c r="BNV647" s="268"/>
      <c r="BNW647" s="268"/>
      <c r="BNX647" s="268"/>
      <c r="BNY647" s="268"/>
      <c r="BNZ647" s="268"/>
      <c r="BOA647" s="268"/>
      <c r="BOB647" s="268"/>
      <c r="BOC647" s="268"/>
      <c r="BOD647" s="268"/>
      <c r="BOE647" s="268"/>
      <c r="BOF647" s="268"/>
      <c r="BOG647" s="268"/>
      <c r="BOH647" s="268"/>
      <c r="BOI647" s="268"/>
      <c r="BOJ647" s="268"/>
      <c r="BOK647" s="268"/>
      <c r="BOL647" s="268"/>
      <c r="BOM647" s="268"/>
      <c r="BON647" s="268"/>
      <c r="BOO647" s="268"/>
      <c r="BOP647" s="268"/>
      <c r="BOQ647" s="268"/>
      <c r="BOR647" s="268"/>
      <c r="BOS647" s="268"/>
      <c r="BOT647" s="268"/>
      <c r="BOU647" s="268"/>
      <c r="BOV647" s="268"/>
      <c r="BOW647" s="268"/>
      <c r="BOX647" s="268"/>
      <c r="BOY647" s="268"/>
      <c r="BOZ647" s="268"/>
      <c r="BPA647" s="268"/>
      <c r="BPB647" s="268"/>
      <c r="BPC647" s="268"/>
      <c r="BPD647" s="268"/>
      <c r="BPE647" s="268"/>
      <c r="BPF647" s="268"/>
      <c r="BPG647" s="268"/>
      <c r="BPH647" s="268"/>
      <c r="BPI647" s="268"/>
      <c r="BPJ647" s="268"/>
      <c r="BPK647" s="268"/>
      <c r="BPL647" s="268"/>
      <c r="BPM647" s="268"/>
      <c r="BPN647" s="268"/>
      <c r="BPO647" s="268"/>
      <c r="BQC647" s="268"/>
      <c r="BQD647" s="268"/>
      <c r="BQE647" s="268"/>
      <c r="BQS647" s="268"/>
      <c r="BQU647" s="268"/>
      <c r="BQV647" s="268"/>
      <c r="BQW647" s="268"/>
      <c r="BQX647" s="268"/>
      <c r="BQY647" s="268"/>
      <c r="BQZ647" s="268"/>
      <c r="BRA647" s="268"/>
      <c r="BRB647" s="268"/>
      <c r="BRC647" s="268"/>
      <c r="BRD647" s="268"/>
      <c r="BRE647" s="268"/>
      <c r="BRF647" s="268"/>
      <c r="BRG647" s="268"/>
      <c r="BRH647" s="268"/>
      <c r="BRI647" s="268"/>
      <c r="BRJ647" s="268"/>
      <c r="BRK647" s="268"/>
      <c r="BRL647" s="268"/>
      <c r="BRM647" s="268"/>
      <c r="BRN647" s="268"/>
      <c r="BRO647" s="268"/>
      <c r="BRP647" s="268"/>
      <c r="BRQ647" s="268"/>
      <c r="BRR647" s="268"/>
      <c r="BRS647" s="268"/>
      <c r="BRT647" s="268"/>
      <c r="BRU647" s="268"/>
      <c r="BRV647" s="268"/>
      <c r="BRW647" s="268"/>
      <c r="BRX647" s="268"/>
      <c r="BRY647" s="268"/>
      <c r="BRZ647" s="268"/>
      <c r="BSA647" s="268"/>
      <c r="BSB647" s="268"/>
      <c r="BSC647" s="268"/>
      <c r="BSD647" s="268"/>
      <c r="BSE647" s="268"/>
      <c r="BSF647" s="268"/>
      <c r="BSG647" s="268"/>
      <c r="BSH647" s="268"/>
      <c r="BSI647" s="268"/>
      <c r="BSJ647" s="268"/>
      <c r="BSK647" s="268"/>
      <c r="BSL647" s="268"/>
      <c r="BSM647" s="268"/>
      <c r="BSN647" s="268"/>
      <c r="BSO647" s="268"/>
      <c r="BSP647" s="268"/>
      <c r="BSQ647" s="268"/>
      <c r="BSR647" s="268"/>
      <c r="BSS647" s="268"/>
      <c r="BST647" s="268"/>
      <c r="BSU647" s="268"/>
      <c r="BSV647" s="268"/>
      <c r="BSW647" s="268"/>
      <c r="BSX647" s="268"/>
      <c r="BSY647" s="268"/>
      <c r="BSZ647" s="268"/>
      <c r="BTA647" s="268"/>
      <c r="BTB647" s="268"/>
      <c r="BTC647" s="268"/>
      <c r="BTD647" s="268"/>
      <c r="BTE647" s="268"/>
      <c r="BTF647" s="268"/>
      <c r="BTG647" s="268"/>
      <c r="BTH647" s="268"/>
      <c r="BTI647" s="268"/>
      <c r="BTJ647" s="268"/>
      <c r="BTK647" s="268"/>
      <c r="BTL647" s="268"/>
      <c r="BTM647" s="268"/>
      <c r="BTN647" s="268"/>
      <c r="BTO647" s="268"/>
      <c r="BTP647" s="268"/>
      <c r="BTQ647" s="268"/>
      <c r="BTR647" s="268"/>
      <c r="BTS647" s="268"/>
      <c r="BTT647" s="268"/>
      <c r="BTU647" s="268"/>
      <c r="BTV647" s="268"/>
      <c r="BTW647" s="268"/>
      <c r="BTX647" s="268"/>
      <c r="BTY647" s="268"/>
      <c r="BTZ647" s="268"/>
      <c r="BUA647" s="268"/>
      <c r="BUB647" s="268"/>
      <c r="BUC647" s="268"/>
      <c r="BUD647" s="268"/>
      <c r="BUE647" s="268"/>
      <c r="BUF647" s="268"/>
      <c r="BUG647" s="268"/>
      <c r="BUH647" s="268"/>
      <c r="BUI647" s="268"/>
      <c r="BUJ647" s="268"/>
      <c r="BUK647" s="268"/>
      <c r="BUL647" s="268"/>
      <c r="BUM647" s="268"/>
      <c r="BUN647" s="268"/>
      <c r="BUO647" s="268"/>
      <c r="BUP647" s="268"/>
      <c r="BUQ647" s="268"/>
      <c r="BUR647" s="268"/>
      <c r="BUS647" s="268"/>
      <c r="BUT647" s="268"/>
      <c r="BUU647" s="268"/>
      <c r="BUV647" s="268"/>
      <c r="BUW647" s="268"/>
      <c r="BUX647" s="268"/>
      <c r="BUY647" s="268"/>
      <c r="BUZ647" s="268"/>
      <c r="BVA647" s="268"/>
      <c r="BVB647" s="268"/>
      <c r="BVC647" s="268"/>
      <c r="BVD647" s="268"/>
      <c r="BVE647" s="268"/>
      <c r="BVF647" s="268"/>
      <c r="BVG647" s="268"/>
      <c r="BVH647" s="268"/>
      <c r="BVI647" s="268"/>
      <c r="BVJ647" s="268"/>
      <c r="BVK647" s="268"/>
      <c r="BVL647" s="268"/>
      <c r="BVM647" s="268"/>
      <c r="BVN647" s="268"/>
      <c r="BVO647" s="268"/>
      <c r="BVP647" s="268"/>
      <c r="BVQ647" s="268"/>
      <c r="BVR647" s="268"/>
      <c r="BVS647" s="268"/>
      <c r="BVT647" s="268"/>
      <c r="BVU647" s="268"/>
      <c r="BVV647" s="268"/>
      <c r="BVW647" s="268"/>
      <c r="BVX647" s="268"/>
      <c r="BVY647" s="268"/>
      <c r="BVZ647" s="268"/>
      <c r="BWA647" s="268"/>
      <c r="BWB647" s="268"/>
      <c r="BWC647" s="268"/>
      <c r="BWD647" s="268"/>
      <c r="BWE647" s="268"/>
      <c r="BWF647" s="268"/>
      <c r="BWG647" s="268"/>
      <c r="BWH647" s="268"/>
      <c r="BWI647" s="268"/>
      <c r="BWJ647" s="268"/>
      <c r="BWK647" s="268"/>
      <c r="BWL647" s="268"/>
      <c r="BWM647" s="268"/>
      <c r="BWN647" s="268"/>
      <c r="BWO647" s="268"/>
      <c r="BWP647" s="268"/>
      <c r="BWQ647" s="268"/>
      <c r="BWR647" s="268"/>
      <c r="BWS647" s="268"/>
      <c r="BWT647" s="268"/>
      <c r="BWU647" s="268"/>
      <c r="BWV647" s="268"/>
      <c r="BWW647" s="268"/>
      <c r="BWX647" s="268"/>
      <c r="BWY647" s="268"/>
      <c r="BWZ647" s="268"/>
      <c r="BXA647" s="268"/>
      <c r="BXB647" s="268"/>
      <c r="BXC647" s="268"/>
      <c r="BXD647" s="268"/>
      <c r="BXE647" s="268"/>
      <c r="BXF647" s="268"/>
      <c r="BXG647" s="268"/>
      <c r="BXH647" s="268"/>
      <c r="BXI647" s="268"/>
      <c r="BXJ647" s="268"/>
      <c r="BXK647" s="268"/>
      <c r="BXL647" s="268"/>
      <c r="BXM647" s="268"/>
      <c r="BXN647" s="268"/>
      <c r="BXO647" s="268"/>
      <c r="BXP647" s="268"/>
      <c r="BXQ647" s="268"/>
      <c r="BXR647" s="268"/>
      <c r="BXS647" s="268"/>
      <c r="BXT647" s="268"/>
      <c r="BXU647" s="268"/>
      <c r="BXV647" s="268"/>
      <c r="BXW647" s="268"/>
      <c r="BXX647" s="268"/>
      <c r="BXY647" s="268"/>
      <c r="BXZ647" s="268"/>
      <c r="BYA647" s="268"/>
      <c r="BYB647" s="268"/>
      <c r="BYC647" s="268"/>
      <c r="BYD647" s="268"/>
      <c r="BYE647" s="268"/>
      <c r="BYF647" s="268"/>
      <c r="BYG647" s="268"/>
      <c r="BYH647" s="268"/>
      <c r="BYI647" s="268"/>
      <c r="BYJ647" s="268"/>
      <c r="BYK647" s="268"/>
      <c r="BYL647" s="268"/>
      <c r="BYM647" s="268"/>
      <c r="BYN647" s="268"/>
      <c r="BYO647" s="268"/>
      <c r="BYP647" s="268"/>
      <c r="BYQ647" s="268"/>
      <c r="BYR647" s="268"/>
      <c r="BYS647" s="268"/>
      <c r="BYT647" s="268"/>
      <c r="BYU647" s="268"/>
      <c r="BYV647" s="268"/>
      <c r="BYW647" s="268"/>
      <c r="BYX647" s="268"/>
      <c r="BYY647" s="268"/>
      <c r="BYZ647" s="268"/>
      <c r="BZA647" s="268"/>
      <c r="BZB647" s="268"/>
      <c r="BZC647" s="268"/>
      <c r="BZD647" s="268"/>
      <c r="BZE647" s="268"/>
      <c r="BZF647" s="268"/>
      <c r="BZG647" s="268"/>
      <c r="BZH647" s="268"/>
      <c r="BZI647" s="268"/>
      <c r="BZJ647" s="268"/>
      <c r="BZK647" s="268"/>
      <c r="BZY647" s="268"/>
      <c r="BZZ647" s="268"/>
      <c r="CAA647" s="268"/>
      <c r="CAO647" s="268"/>
      <c r="CAQ647" s="268"/>
      <c r="CAR647" s="268"/>
      <c r="CAS647" s="268"/>
      <c r="CAT647" s="268"/>
      <c r="CAU647" s="268"/>
      <c r="CAV647" s="268"/>
      <c r="CAW647" s="268"/>
      <c r="CAX647" s="268"/>
      <c r="CAY647" s="268"/>
      <c r="CAZ647" s="268"/>
      <c r="CBA647" s="268"/>
      <c r="CBB647" s="268"/>
      <c r="CBC647" s="268"/>
      <c r="CBD647" s="268"/>
      <c r="CBE647" s="268"/>
      <c r="CBF647" s="268"/>
      <c r="CBG647" s="268"/>
      <c r="CBH647" s="268"/>
      <c r="CBI647" s="268"/>
      <c r="CBJ647" s="268"/>
      <c r="CBK647" s="268"/>
      <c r="CBL647" s="268"/>
      <c r="CBM647" s="268"/>
      <c r="CBN647" s="268"/>
      <c r="CBO647" s="268"/>
      <c r="CBP647" s="268"/>
      <c r="CBQ647" s="268"/>
      <c r="CBR647" s="268"/>
      <c r="CBS647" s="268"/>
      <c r="CBT647" s="268"/>
      <c r="CBU647" s="268"/>
      <c r="CBV647" s="268"/>
      <c r="CBW647" s="268"/>
      <c r="CBX647" s="268"/>
      <c r="CBY647" s="268"/>
      <c r="CBZ647" s="268"/>
      <c r="CCA647" s="268"/>
      <c r="CCB647" s="268"/>
      <c r="CCC647" s="268"/>
      <c r="CCD647" s="268"/>
      <c r="CCE647" s="268"/>
      <c r="CCF647" s="268"/>
      <c r="CCG647" s="268"/>
      <c r="CCH647" s="268"/>
      <c r="CCI647" s="268"/>
      <c r="CCJ647" s="268"/>
      <c r="CCK647" s="268"/>
      <c r="CCL647" s="268"/>
      <c r="CCM647" s="268"/>
      <c r="CCN647" s="268"/>
      <c r="CCO647" s="268"/>
      <c r="CCP647" s="268"/>
      <c r="CCQ647" s="268"/>
      <c r="CCR647" s="268"/>
      <c r="CCS647" s="268"/>
      <c r="CCT647" s="268"/>
      <c r="CCU647" s="268"/>
      <c r="CCV647" s="268"/>
      <c r="CCW647" s="268"/>
      <c r="CCX647" s="268"/>
      <c r="CCY647" s="268"/>
      <c r="CCZ647" s="268"/>
      <c r="CDA647" s="268"/>
      <c r="CDB647" s="268"/>
      <c r="CDC647" s="268"/>
      <c r="CDD647" s="268"/>
      <c r="CDE647" s="268"/>
      <c r="CDF647" s="268"/>
      <c r="CDG647" s="268"/>
      <c r="CDH647" s="268"/>
      <c r="CDI647" s="268"/>
      <c r="CDJ647" s="268"/>
      <c r="CDK647" s="268"/>
      <c r="CDL647" s="268"/>
      <c r="CDM647" s="268"/>
      <c r="CDN647" s="268"/>
      <c r="CDO647" s="268"/>
      <c r="CDP647" s="268"/>
      <c r="CDQ647" s="268"/>
      <c r="CDR647" s="268"/>
      <c r="CDS647" s="268"/>
      <c r="CDT647" s="268"/>
      <c r="CDU647" s="268"/>
      <c r="CDV647" s="268"/>
      <c r="CDW647" s="268"/>
      <c r="CDX647" s="268"/>
      <c r="CDY647" s="268"/>
      <c r="CDZ647" s="268"/>
      <c r="CEA647" s="268"/>
      <c r="CEB647" s="268"/>
      <c r="CEC647" s="268"/>
      <c r="CED647" s="268"/>
      <c r="CEE647" s="268"/>
      <c r="CEF647" s="268"/>
      <c r="CEG647" s="268"/>
      <c r="CEH647" s="268"/>
      <c r="CEI647" s="268"/>
      <c r="CEJ647" s="268"/>
      <c r="CEK647" s="268"/>
      <c r="CEL647" s="268"/>
      <c r="CEM647" s="268"/>
      <c r="CEN647" s="268"/>
      <c r="CEO647" s="268"/>
      <c r="CEP647" s="268"/>
      <c r="CEQ647" s="268"/>
      <c r="CER647" s="268"/>
      <c r="CES647" s="268"/>
      <c r="CET647" s="268"/>
      <c r="CEU647" s="268"/>
      <c r="CEV647" s="268"/>
      <c r="CEW647" s="268"/>
      <c r="CEX647" s="268"/>
      <c r="CEY647" s="268"/>
      <c r="CEZ647" s="268"/>
      <c r="CFA647" s="268"/>
      <c r="CFB647" s="268"/>
      <c r="CFC647" s="268"/>
      <c r="CFD647" s="268"/>
      <c r="CFE647" s="268"/>
      <c r="CFF647" s="268"/>
      <c r="CFG647" s="268"/>
      <c r="CFH647" s="268"/>
      <c r="CFI647" s="268"/>
      <c r="CFJ647" s="268"/>
      <c r="CFK647" s="268"/>
      <c r="CFL647" s="268"/>
      <c r="CFM647" s="268"/>
      <c r="CFN647" s="268"/>
      <c r="CFO647" s="268"/>
      <c r="CFP647" s="268"/>
      <c r="CFQ647" s="268"/>
      <c r="CFR647" s="268"/>
      <c r="CFS647" s="268"/>
      <c r="CFT647" s="268"/>
      <c r="CFU647" s="268"/>
      <c r="CFV647" s="268"/>
      <c r="CFW647" s="268"/>
      <c r="CFX647" s="268"/>
      <c r="CFY647" s="268"/>
      <c r="CFZ647" s="268"/>
      <c r="CGA647" s="268"/>
      <c r="CGB647" s="268"/>
      <c r="CGC647" s="268"/>
      <c r="CGD647" s="268"/>
      <c r="CGE647" s="268"/>
      <c r="CGF647" s="268"/>
      <c r="CGG647" s="268"/>
      <c r="CGH647" s="268"/>
      <c r="CGI647" s="268"/>
      <c r="CGJ647" s="268"/>
      <c r="CGK647" s="268"/>
      <c r="CGL647" s="268"/>
      <c r="CGM647" s="268"/>
      <c r="CGN647" s="268"/>
      <c r="CGO647" s="268"/>
      <c r="CGP647" s="268"/>
      <c r="CGQ647" s="268"/>
      <c r="CGR647" s="268"/>
      <c r="CGS647" s="268"/>
      <c r="CGT647" s="268"/>
      <c r="CGU647" s="268"/>
      <c r="CGV647" s="268"/>
      <c r="CGW647" s="268"/>
      <c r="CGX647" s="268"/>
      <c r="CGY647" s="268"/>
      <c r="CGZ647" s="268"/>
      <c r="CHA647" s="268"/>
      <c r="CHB647" s="268"/>
      <c r="CHC647" s="268"/>
      <c r="CHD647" s="268"/>
      <c r="CHE647" s="268"/>
      <c r="CHF647" s="268"/>
      <c r="CHG647" s="268"/>
      <c r="CHH647" s="268"/>
      <c r="CHI647" s="268"/>
      <c r="CHJ647" s="268"/>
      <c r="CHK647" s="268"/>
      <c r="CHL647" s="268"/>
      <c r="CHM647" s="268"/>
      <c r="CHN647" s="268"/>
      <c r="CHO647" s="268"/>
      <c r="CHP647" s="268"/>
      <c r="CHQ647" s="268"/>
      <c r="CHR647" s="268"/>
      <c r="CHS647" s="268"/>
      <c r="CHT647" s="268"/>
      <c r="CHU647" s="268"/>
      <c r="CHV647" s="268"/>
      <c r="CHW647" s="268"/>
      <c r="CHX647" s="268"/>
      <c r="CHY647" s="268"/>
      <c r="CHZ647" s="268"/>
      <c r="CIA647" s="268"/>
      <c r="CIB647" s="268"/>
      <c r="CIC647" s="268"/>
      <c r="CID647" s="268"/>
      <c r="CIE647" s="268"/>
      <c r="CIF647" s="268"/>
      <c r="CIG647" s="268"/>
      <c r="CIH647" s="268"/>
      <c r="CII647" s="268"/>
      <c r="CIJ647" s="268"/>
      <c r="CIK647" s="268"/>
      <c r="CIL647" s="268"/>
      <c r="CIM647" s="268"/>
      <c r="CIN647" s="268"/>
      <c r="CIO647" s="268"/>
      <c r="CIP647" s="268"/>
      <c r="CIQ647" s="268"/>
      <c r="CIR647" s="268"/>
      <c r="CIS647" s="268"/>
      <c r="CIT647" s="268"/>
      <c r="CIU647" s="268"/>
      <c r="CIV647" s="268"/>
      <c r="CIW647" s="268"/>
      <c r="CIX647" s="268"/>
      <c r="CIY647" s="268"/>
      <c r="CIZ647" s="268"/>
      <c r="CJA647" s="268"/>
      <c r="CJB647" s="268"/>
      <c r="CJC647" s="268"/>
      <c r="CJD647" s="268"/>
      <c r="CJE647" s="268"/>
      <c r="CJF647" s="268"/>
      <c r="CJG647" s="268"/>
      <c r="CJU647" s="268"/>
      <c r="CJV647" s="268"/>
      <c r="CJW647" s="268"/>
      <c r="CKK647" s="268"/>
      <c r="CKM647" s="268"/>
      <c r="CKN647" s="268"/>
      <c r="CKO647" s="268"/>
      <c r="CKP647" s="268"/>
      <c r="CKQ647" s="268"/>
      <c r="CKR647" s="268"/>
      <c r="CKS647" s="268"/>
      <c r="CKT647" s="268"/>
      <c r="CKU647" s="268"/>
      <c r="CKV647" s="268"/>
      <c r="CKW647" s="268"/>
      <c r="CKX647" s="268"/>
      <c r="CKY647" s="268"/>
      <c r="CKZ647" s="268"/>
      <c r="CLA647" s="268"/>
      <c r="CLB647" s="268"/>
      <c r="CLC647" s="268"/>
      <c r="CLD647" s="268"/>
      <c r="CLE647" s="268"/>
      <c r="CLF647" s="268"/>
      <c r="CLG647" s="268"/>
      <c r="CLH647" s="268"/>
      <c r="CLI647" s="268"/>
      <c r="CLJ647" s="268"/>
      <c r="CLK647" s="268"/>
      <c r="CLL647" s="268"/>
      <c r="CLM647" s="268"/>
      <c r="CLN647" s="268"/>
      <c r="CLO647" s="268"/>
      <c r="CLP647" s="268"/>
      <c r="CLQ647" s="268"/>
      <c r="CLR647" s="268"/>
      <c r="CLS647" s="268"/>
      <c r="CLT647" s="268"/>
      <c r="CLU647" s="268"/>
      <c r="CLV647" s="268"/>
      <c r="CLW647" s="268"/>
      <c r="CLX647" s="268"/>
      <c r="CLY647" s="268"/>
      <c r="CLZ647" s="268"/>
      <c r="CMA647" s="268"/>
      <c r="CMB647" s="268"/>
      <c r="CMC647" s="268"/>
      <c r="CMD647" s="268"/>
      <c r="CME647" s="268"/>
      <c r="CMF647" s="268"/>
      <c r="CMG647" s="268"/>
      <c r="CMH647" s="268"/>
      <c r="CMI647" s="268"/>
      <c r="CMJ647" s="268"/>
      <c r="CMK647" s="268"/>
      <c r="CML647" s="268"/>
      <c r="CMM647" s="268"/>
      <c r="CMN647" s="268"/>
      <c r="CMO647" s="268"/>
      <c r="CMP647" s="268"/>
      <c r="CMQ647" s="268"/>
      <c r="CMR647" s="268"/>
      <c r="CMS647" s="268"/>
      <c r="CMT647" s="268"/>
      <c r="CMU647" s="268"/>
      <c r="CMV647" s="268"/>
      <c r="CMW647" s="268"/>
      <c r="CMX647" s="268"/>
      <c r="CMY647" s="268"/>
      <c r="CMZ647" s="268"/>
      <c r="CNA647" s="268"/>
      <c r="CNB647" s="268"/>
      <c r="CNC647" s="268"/>
      <c r="CND647" s="268"/>
      <c r="CNE647" s="268"/>
      <c r="CNF647" s="268"/>
      <c r="CNG647" s="268"/>
      <c r="CNH647" s="268"/>
      <c r="CNI647" s="268"/>
      <c r="CNJ647" s="268"/>
      <c r="CNK647" s="268"/>
      <c r="CNL647" s="268"/>
      <c r="CNM647" s="268"/>
      <c r="CNN647" s="268"/>
      <c r="CNO647" s="268"/>
      <c r="CNP647" s="268"/>
      <c r="CNQ647" s="268"/>
      <c r="CNR647" s="268"/>
      <c r="CNS647" s="268"/>
      <c r="CNT647" s="268"/>
      <c r="CNU647" s="268"/>
      <c r="CNV647" s="268"/>
      <c r="CNW647" s="268"/>
      <c r="CNX647" s="268"/>
      <c r="CNY647" s="268"/>
      <c r="CNZ647" s="268"/>
      <c r="COA647" s="268"/>
      <c r="COB647" s="268"/>
      <c r="COC647" s="268"/>
      <c r="COD647" s="268"/>
      <c r="COE647" s="268"/>
      <c r="COF647" s="268"/>
      <c r="COG647" s="268"/>
      <c r="COH647" s="268"/>
      <c r="COI647" s="268"/>
      <c r="COJ647" s="268"/>
      <c r="COK647" s="268"/>
      <c r="COL647" s="268"/>
      <c r="COM647" s="268"/>
      <c r="CON647" s="268"/>
      <c r="COO647" s="268"/>
      <c r="COP647" s="268"/>
      <c r="COQ647" s="268"/>
      <c r="COR647" s="268"/>
      <c r="COS647" s="268"/>
      <c r="COT647" s="268"/>
      <c r="COU647" s="268"/>
      <c r="COV647" s="268"/>
      <c r="COW647" s="268"/>
      <c r="COX647" s="268"/>
      <c r="COY647" s="268"/>
      <c r="COZ647" s="268"/>
      <c r="CPA647" s="268"/>
      <c r="CPB647" s="268"/>
      <c r="CPC647" s="268"/>
      <c r="CPD647" s="268"/>
      <c r="CPE647" s="268"/>
      <c r="CPF647" s="268"/>
      <c r="CPG647" s="268"/>
      <c r="CPH647" s="268"/>
      <c r="CPI647" s="268"/>
      <c r="CPJ647" s="268"/>
      <c r="CPK647" s="268"/>
      <c r="CPL647" s="268"/>
      <c r="CPM647" s="268"/>
      <c r="CPN647" s="268"/>
      <c r="CPO647" s="268"/>
      <c r="CPP647" s="268"/>
      <c r="CPQ647" s="268"/>
      <c r="CPR647" s="268"/>
      <c r="CPS647" s="268"/>
      <c r="CPT647" s="268"/>
      <c r="CPU647" s="268"/>
      <c r="CPV647" s="268"/>
      <c r="CPW647" s="268"/>
      <c r="CPX647" s="268"/>
      <c r="CPY647" s="268"/>
      <c r="CPZ647" s="268"/>
      <c r="CQA647" s="268"/>
      <c r="CQB647" s="268"/>
      <c r="CQC647" s="268"/>
      <c r="CQD647" s="268"/>
      <c r="CQE647" s="268"/>
      <c r="CQF647" s="268"/>
      <c r="CQG647" s="268"/>
      <c r="CQH647" s="268"/>
      <c r="CQI647" s="268"/>
      <c r="CQJ647" s="268"/>
      <c r="CQK647" s="268"/>
      <c r="CQL647" s="268"/>
      <c r="CQM647" s="268"/>
      <c r="CQN647" s="268"/>
      <c r="CQO647" s="268"/>
      <c r="CQP647" s="268"/>
      <c r="CQQ647" s="268"/>
      <c r="CQR647" s="268"/>
      <c r="CQS647" s="268"/>
      <c r="CQT647" s="268"/>
      <c r="CQU647" s="268"/>
      <c r="CQV647" s="268"/>
      <c r="CQW647" s="268"/>
      <c r="CQX647" s="268"/>
      <c r="CQY647" s="268"/>
      <c r="CQZ647" s="268"/>
      <c r="CRA647" s="268"/>
      <c r="CRB647" s="268"/>
      <c r="CRC647" s="268"/>
      <c r="CRD647" s="268"/>
      <c r="CRE647" s="268"/>
      <c r="CRF647" s="268"/>
      <c r="CRG647" s="268"/>
      <c r="CRH647" s="268"/>
      <c r="CRI647" s="268"/>
      <c r="CRJ647" s="268"/>
      <c r="CRK647" s="268"/>
      <c r="CRL647" s="268"/>
      <c r="CRM647" s="268"/>
      <c r="CRN647" s="268"/>
      <c r="CRO647" s="268"/>
      <c r="CRP647" s="268"/>
      <c r="CRQ647" s="268"/>
      <c r="CRR647" s="268"/>
      <c r="CRS647" s="268"/>
      <c r="CRT647" s="268"/>
      <c r="CRU647" s="268"/>
      <c r="CRV647" s="268"/>
      <c r="CRW647" s="268"/>
      <c r="CRX647" s="268"/>
      <c r="CRY647" s="268"/>
      <c r="CRZ647" s="268"/>
      <c r="CSA647" s="268"/>
      <c r="CSB647" s="268"/>
      <c r="CSC647" s="268"/>
      <c r="CSD647" s="268"/>
      <c r="CSE647" s="268"/>
      <c r="CSF647" s="268"/>
      <c r="CSG647" s="268"/>
      <c r="CSH647" s="268"/>
      <c r="CSI647" s="268"/>
      <c r="CSJ647" s="268"/>
      <c r="CSK647" s="268"/>
      <c r="CSL647" s="268"/>
      <c r="CSM647" s="268"/>
      <c r="CSN647" s="268"/>
      <c r="CSO647" s="268"/>
      <c r="CSP647" s="268"/>
      <c r="CSQ647" s="268"/>
      <c r="CSR647" s="268"/>
      <c r="CSS647" s="268"/>
      <c r="CST647" s="268"/>
      <c r="CSU647" s="268"/>
      <c r="CSV647" s="268"/>
      <c r="CSW647" s="268"/>
      <c r="CSX647" s="268"/>
      <c r="CSY647" s="268"/>
      <c r="CSZ647" s="268"/>
      <c r="CTA647" s="268"/>
      <c r="CTB647" s="268"/>
      <c r="CTC647" s="268"/>
      <c r="CTQ647" s="268"/>
      <c r="CTR647" s="268"/>
      <c r="CTS647" s="268"/>
      <c r="CUG647" s="268"/>
      <c r="CUI647" s="268"/>
      <c r="CUJ647" s="268"/>
      <c r="CUK647" s="268"/>
      <c r="CUL647" s="268"/>
      <c r="CUM647" s="268"/>
      <c r="CUN647" s="268"/>
      <c r="CUO647" s="268"/>
      <c r="CUP647" s="268"/>
      <c r="CUQ647" s="268"/>
      <c r="CUR647" s="268"/>
      <c r="CUS647" s="268"/>
      <c r="CUT647" s="268"/>
      <c r="CUU647" s="268"/>
      <c r="CUV647" s="268"/>
      <c r="CUW647" s="268"/>
      <c r="CUX647" s="268"/>
      <c r="CUY647" s="268"/>
      <c r="CUZ647" s="268"/>
      <c r="CVA647" s="268"/>
      <c r="CVB647" s="268"/>
      <c r="CVC647" s="268"/>
      <c r="CVD647" s="268"/>
      <c r="CVE647" s="268"/>
      <c r="CVF647" s="268"/>
      <c r="CVG647" s="268"/>
      <c r="CVH647" s="268"/>
      <c r="CVI647" s="268"/>
      <c r="CVJ647" s="268"/>
      <c r="CVK647" s="268"/>
      <c r="CVL647" s="268"/>
      <c r="CVM647" s="268"/>
      <c r="CVN647" s="268"/>
      <c r="CVO647" s="268"/>
      <c r="CVP647" s="268"/>
      <c r="CVQ647" s="268"/>
      <c r="CVR647" s="268"/>
      <c r="CVS647" s="268"/>
      <c r="CVT647" s="268"/>
      <c r="CVU647" s="268"/>
      <c r="CVV647" s="268"/>
      <c r="CVW647" s="268"/>
      <c r="CVX647" s="268"/>
      <c r="CVY647" s="268"/>
      <c r="CVZ647" s="268"/>
      <c r="CWA647" s="268"/>
      <c r="CWB647" s="268"/>
      <c r="CWC647" s="268"/>
      <c r="CWD647" s="268"/>
      <c r="CWE647" s="268"/>
      <c r="CWF647" s="268"/>
      <c r="CWG647" s="268"/>
      <c r="CWH647" s="268"/>
      <c r="CWI647" s="268"/>
      <c r="CWJ647" s="268"/>
      <c r="CWK647" s="268"/>
      <c r="CWL647" s="268"/>
      <c r="CWM647" s="268"/>
      <c r="CWN647" s="268"/>
      <c r="CWO647" s="268"/>
      <c r="CWP647" s="268"/>
      <c r="CWQ647" s="268"/>
      <c r="CWR647" s="268"/>
      <c r="CWS647" s="268"/>
      <c r="CWT647" s="268"/>
      <c r="CWU647" s="268"/>
      <c r="CWV647" s="268"/>
      <c r="CWW647" s="268"/>
      <c r="CWX647" s="268"/>
      <c r="CWY647" s="268"/>
      <c r="CWZ647" s="268"/>
      <c r="CXA647" s="268"/>
      <c r="CXB647" s="268"/>
      <c r="CXC647" s="268"/>
      <c r="CXD647" s="268"/>
      <c r="CXE647" s="268"/>
      <c r="CXF647" s="268"/>
      <c r="CXG647" s="268"/>
      <c r="CXH647" s="268"/>
      <c r="CXI647" s="268"/>
      <c r="CXJ647" s="268"/>
      <c r="CXK647" s="268"/>
      <c r="CXL647" s="268"/>
      <c r="CXM647" s="268"/>
      <c r="CXN647" s="268"/>
      <c r="CXO647" s="268"/>
      <c r="CXP647" s="268"/>
      <c r="CXQ647" s="268"/>
      <c r="CXR647" s="268"/>
      <c r="CXS647" s="268"/>
      <c r="CXT647" s="268"/>
      <c r="CXU647" s="268"/>
      <c r="CXV647" s="268"/>
      <c r="CXW647" s="268"/>
      <c r="CXX647" s="268"/>
      <c r="CXY647" s="268"/>
      <c r="CXZ647" s="268"/>
      <c r="CYA647" s="268"/>
      <c r="CYB647" s="268"/>
      <c r="CYC647" s="268"/>
      <c r="CYD647" s="268"/>
      <c r="CYE647" s="268"/>
      <c r="CYF647" s="268"/>
      <c r="CYG647" s="268"/>
      <c r="CYH647" s="268"/>
      <c r="CYI647" s="268"/>
      <c r="CYJ647" s="268"/>
      <c r="CYK647" s="268"/>
      <c r="CYL647" s="268"/>
      <c r="CYM647" s="268"/>
      <c r="CYN647" s="268"/>
      <c r="CYO647" s="268"/>
      <c r="CYP647" s="268"/>
      <c r="CYQ647" s="268"/>
      <c r="CYR647" s="268"/>
      <c r="CYS647" s="268"/>
      <c r="CYT647" s="268"/>
      <c r="CYU647" s="268"/>
      <c r="CYV647" s="268"/>
      <c r="CYW647" s="268"/>
      <c r="CYX647" s="268"/>
      <c r="CYY647" s="268"/>
      <c r="CYZ647" s="268"/>
      <c r="CZA647" s="268"/>
      <c r="CZB647" s="268"/>
      <c r="CZC647" s="268"/>
      <c r="CZD647" s="268"/>
      <c r="CZE647" s="268"/>
      <c r="CZF647" s="268"/>
      <c r="CZG647" s="268"/>
      <c r="CZH647" s="268"/>
      <c r="CZI647" s="268"/>
      <c r="CZJ647" s="268"/>
      <c r="CZK647" s="268"/>
      <c r="CZL647" s="268"/>
      <c r="CZM647" s="268"/>
      <c r="CZN647" s="268"/>
      <c r="CZO647" s="268"/>
      <c r="CZP647" s="268"/>
      <c r="CZQ647" s="268"/>
      <c r="CZR647" s="268"/>
      <c r="CZS647" s="268"/>
      <c r="CZT647" s="268"/>
      <c r="CZU647" s="268"/>
      <c r="CZV647" s="268"/>
      <c r="CZW647" s="268"/>
      <c r="CZX647" s="268"/>
      <c r="CZY647" s="268"/>
      <c r="CZZ647" s="268"/>
      <c r="DAA647" s="268"/>
      <c r="DAB647" s="268"/>
      <c r="DAC647" s="268"/>
      <c r="DAD647" s="268"/>
      <c r="DAE647" s="268"/>
      <c r="DAF647" s="268"/>
      <c r="DAG647" s="268"/>
      <c r="DAH647" s="268"/>
      <c r="DAI647" s="268"/>
      <c r="DAJ647" s="268"/>
      <c r="DAK647" s="268"/>
      <c r="DAL647" s="268"/>
      <c r="DAM647" s="268"/>
      <c r="DAN647" s="268"/>
      <c r="DAO647" s="268"/>
      <c r="DAP647" s="268"/>
      <c r="DAQ647" s="268"/>
      <c r="DAR647" s="268"/>
      <c r="DAS647" s="268"/>
      <c r="DAT647" s="268"/>
      <c r="DAU647" s="268"/>
      <c r="DAV647" s="268"/>
      <c r="DAW647" s="268"/>
      <c r="DAX647" s="268"/>
      <c r="DAY647" s="268"/>
      <c r="DAZ647" s="268"/>
      <c r="DBA647" s="268"/>
      <c r="DBB647" s="268"/>
      <c r="DBC647" s="268"/>
      <c r="DBD647" s="268"/>
      <c r="DBE647" s="268"/>
      <c r="DBF647" s="268"/>
      <c r="DBG647" s="268"/>
      <c r="DBH647" s="268"/>
      <c r="DBI647" s="268"/>
      <c r="DBJ647" s="268"/>
      <c r="DBK647" s="268"/>
      <c r="DBL647" s="268"/>
      <c r="DBM647" s="268"/>
      <c r="DBN647" s="268"/>
      <c r="DBO647" s="268"/>
      <c r="DBP647" s="268"/>
      <c r="DBQ647" s="268"/>
      <c r="DBR647" s="268"/>
      <c r="DBS647" s="268"/>
      <c r="DBT647" s="268"/>
      <c r="DBU647" s="268"/>
      <c r="DBV647" s="268"/>
      <c r="DBW647" s="268"/>
      <c r="DBX647" s="268"/>
      <c r="DBY647" s="268"/>
      <c r="DBZ647" s="268"/>
      <c r="DCA647" s="268"/>
      <c r="DCB647" s="268"/>
      <c r="DCC647" s="268"/>
      <c r="DCD647" s="268"/>
      <c r="DCE647" s="268"/>
      <c r="DCF647" s="268"/>
      <c r="DCG647" s="268"/>
      <c r="DCH647" s="268"/>
      <c r="DCI647" s="268"/>
      <c r="DCJ647" s="268"/>
      <c r="DCK647" s="268"/>
      <c r="DCL647" s="268"/>
      <c r="DCM647" s="268"/>
      <c r="DCN647" s="268"/>
      <c r="DCO647" s="268"/>
      <c r="DCP647" s="268"/>
      <c r="DCQ647" s="268"/>
      <c r="DCR647" s="268"/>
      <c r="DCS647" s="268"/>
      <c r="DCT647" s="268"/>
      <c r="DCU647" s="268"/>
      <c r="DCV647" s="268"/>
      <c r="DCW647" s="268"/>
      <c r="DCX647" s="268"/>
      <c r="DCY647" s="268"/>
      <c r="DDM647" s="268"/>
      <c r="DDN647" s="268"/>
      <c r="DDO647" s="268"/>
      <c r="DEC647" s="268"/>
      <c r="DEE647" s="268"/>
      <c r="DEF647" s="268"/>
      <c r="DEG647" s="268"/>
      <c r="DEH647" s="268"/>
      <c r="DEI647" s="268"/>
      <c r="DEJ647" s="268"/>
      <c r="DEK647" s="268"/>
      <c r="DEL647" s="268"/>
      <c r="DEM647" s="268"/>
      <c r="DEN647" s="268"/>
      <c r="DEO647" s="268"/>
      <c r="DEP647" s="268"/>
      <c r="DEQ647" s="268"/>
      <c r="DER647" s="268"/>
      <c r="DES647" s="268"/>
      <c r="DET647" s="268"/>
      <c r="DEU647" s="268"/>
      <c r="DEV647" s="268"/>
      <c r="DEW647" s="268"/>
      <c r="DEX647" s="268"/>
      <c r="DEY647" s="268"/>
      <c r="DEZ647" s="268"/>
      <c r="DFA647" s="268"/>
      <c r="DFB647" s="268"/>
      <c r="DFC647" s="268"/>
      <c r="DFD647" s="268"/>
      <c r="DFE647" s="268"/>
      <c r="DFF647" s="268"/>
      <c r="DFG647" s="268"/>
      <c r="DFH647" s="268"/>
      <c r="DFI647" s="268"/>
      <c r="DFJ647" s="268"/>
      <c r="DFK647" s="268"/>
      <c r="DFL647" s="268"/>
      <c r="DFM647" s="268"/>
      <c r="DFN647" s="268"/>
      <c r="DFO647" s="268"/>
      <c r="DFP647" s="268"/>
      <c r="DFQ647" s="268"/>
      <c r="DFR647" s="268"/>
      <c r="DFS647" s="268"/>
      <c r="DFT647" s="268"/>
      <c r="DFU647" s="268"/>
      <c r="DFV647" s="268"/>
      <c r="DFW647" s="268"/>
      <c r="DFX647" s="268"/>
      <c r="DFY647" s="268"/>
      <c r="DFZ647" s="268"/>
      <c r="DGA647" s="268"/>
      <c r="DGB647" s="268"/>
      <c r="DGC647" s="268"/>
      <c r="DGD647" s="268"/>
      <c r="DGE647" s="268"/>
      <c r="DGF647" s="268"/>
      <c r="DGG647" s="268"/>
      <c r="DGH647" s="268"/>
      <c r="DGI647" s="268"/>
      <c r="DGJ647" s="268"/>
      <c r="DGK647" s="268"/>
      <c r="DGL647" s="268"/>
      <c r="DGM647" s="268"/>
      <c r="DGN647" s="268"/>
      <c r="DGO647" s="268"/>
      <c r="DGP647" s="268"/>
      <c r="DGQ647" s="268"/>
      <c r="DGR647" s="268"/>
      <c r="DGS647" s="268"/>
      <c r="DGT647" s="268"/>
      <c r="DGU647" s="268"/>
      <c r="DGV647" s="268"/>
      <c r="DGW647" s="268"/>
      <c r="DGX647" s="268"/>
      <c r="DGY647" s="268"/>
      <c r="DGZ647" s="268"/>
      <c r="DHA647" s="268"/>
      <c r="DHB647" s="268"/>
      <c r="DHC647" s="268"/>
      <c r="DHD647" s="268"/>
      <c r="DHE647" s="268"/>
      <c r="DHF647" s="268"/>
      <c r="DHG647" s="268"/>
      <c r="DHH647" s="268"/>
      <c r="DHI647" s="268"/>
      <c r="DHJ647" s="268"/>
      <c r="DHK647" s="268"/>
      <c r="DHL647" s="268"/>
      <c r="DHM647" s="268"/>
      <c r="DHN647" s="268"/>
      <c r="DHO647" s="268"/>
      <c r="DHP647" s="268"/>
      <c r="DHQ647" s="268"/>
      <c r="DHR647" s="268"/>
      <c r="DHS647" s="268"/>
      <c r="DHT647" s="268"/>
      <c r="DHU647" s="268"/>
      <c r="DHV647" s="268"/>
      <c r="DHW647" s="268"/>
      <c r="DHX647" s="268"/>
      <c r="DHY647" s="268"/>
      <c r="DHZ647" s="268"/>
      <c r="DIA647" s="268"/>
      <c r="DIB647" s="268"/>
      <c r="DIC647" s="268"/>
      <c r="DID647" s="268"/>
      <c r="DIE647" s="268"/>
      <c r="DIF647" s="268"/>
      <c r="DIG647" s="268"/>
      <c r="DIH647" s="268"/>
      <c r="DII647" s="268"/>
      <c r="DIJ647" s="268"/>
      <c r="DIK647" s="268"/>
      <c r="DIL647" s="268"/>
      <c r="DIM647" s="268"/>
      <c r="DIN647" s="268"/>
      <c r="DIO647" s="268"/>
      <c r="DIP647" s="268"/>
      <c r="DIQ647" s="268"/>
      <c r="DIR647" s="268"/>
      <c r="DIS647" s="268"/>
      <c r="DIT647" s="268"/>
      <c r="DIU647" s="268"/>
      <c r="DIV647" s="268"/>
      <c r="DIW647" s="268"/>
      <c r="DIX647" s="268"/>
      <c r="DIY647" s="268"/>
      <c r="DIZ647" s="268"/>
      <c r="DJA647" s="268"/>
      <c r="DJB647" s="268"/>
      <c r="DJC647" s="268"/>
      <c r="DJD647" s="268"/>
      <c r="DJE647" s="268"/>
      <c r="DJF647" s="268"/>
      <c r="DJG647" s="268"/>
      <c r="DJH647" s="268"/>
      <c r="DJI647" s="268"/>
      <c r="DJJ647" s="268"/>
      <c r="DJK647" s="268"/>
      <c r="DJL647" s="268"/>
      <c r="DJM647" s="268"/>
      <c r="DJN647" s="268"/>
      <c r="DJO647" s="268"/>
      <c r="DJP647" s="268"/>
      <c r="DJQ647" s="268"/>
      <c r="DJR647" s="268"/>
      <c r="DJS647" s="268"/>
      <c r="DJT647" s="268"/>
      <c r="DJU647" s="268"/>
      <c r="DJV647" s="268"/>
      <c r="DJW647" s="268"/>
      <c r="DJX647" s="268"/>
      <c r="DJY647" s="268"/>
      <c r="DJZ647" s="268"/>
      <c r="DKA647" s="268"/>
      <c r="DKB647" s="268"/>
      <c r="DKC647" s="268"/>
      <c r="DKD647" s="268"/>
      <c r="DKE647" s="268"/>
      <c r="DKF647" s="268"/>
      <c r="DKG647" s="268"/>
      <c r="DKH647" s="268"/>
      <c r="DKI647" s="268"/>
      <c r="DKJ647" s="268"/>
      <c r="DKK647" s="268"/>
      <c r="DKL647" s="268"/>
      <c r="DKM647" s="268"/>
      <c r="DKN647" s="268"/>
      <c r="DKO647" s="268"/>
      <c r="DKP647" s="268"/>
      <c r="DKQ647" s="268"/>
      <c r="DKR647" s="268"/>
      <c r="DKS647" s="268"/>
      <c r="DKT647" s="268"/>
      <c r="DKU647" s="268"/>
      <c r="DKV647" s="268"/>
      <c r="DKW647" s="268"/>
      <c r="DKX647" s="268"/>
      <c r="DKY647" s="268"/>
      <c r="DKZ647" s="268"/>
      <c r="DLA647" s="268"/>
      <c r="DLB647" s="268"/>
      <c r="DLC647" s="268"/>
      <c r="DLD647" s="268"/>
      <c r="DLE647" s="268"/>
      <c r="DLF647" s="268"/>
      <c r="DLG647" s="268"/>
      <c r="DLH647" s="268"/>
      <c r="DLI647" s="268"/>
      <c r="DLJ647" s="268"/>
      <c r="DLK647" s="268"/>
      <c r="DLL647" s="268"/>
      <c r="DLM647" s="268"/>
      <c r="DLN647" s="268"/>
      <c r="DLO647" s="268"/>
      <c r="DLP647" s="268"/>
      <c r="DLQ647" s="268"/>
      <c r="DLR647" s="268"/>
      <c r="DLS647" s="268"/>
      <c r="DLT647" s="268"/>
      <c r="DLU647" s="268"/>
      <c r="DLV647" s="268"/>
      <c r="DLW647" s="268"/>
      <c r="DLX647" s="268"/>
      <c r="DLY647" s="268"/>
      <c r="DLZ647" s="268"/>
      <c r="DMA647" s="268"/>
      <c r="DMB647" s="268"/>
      <c r="DMC647" s="268"/>
      <c r="DMD647" s="268"/>
      <c r="DME647" s="268"/>
      <c r="DMF647" s="268"/>
      <c r="DMG647" s="268"/>
      <c r="DMH647" s="268"/>
      <c r="DMI647" s="268"/>
      <c r="DMJ647" s="268"/>
      <c r="DMK647" s="268"/>
      <c r="DML647" s="268"/>
      <c r="DMM647" s="268"/>
      <c r="DMN647" s="268"/>
      <c r="DMO647" s="268"/>
      <c r="DMP647" s="268"/>
      <c r="DMQ647" s="268"/>
      <c r="DMR647" s="268"/>
      <c r="DMS647" s="268"/>
      <c r="DMT647" s="268"/>
      <c r="DMU647" s="268"/>
      <c r="DNI647" s="268"/>
      <c r="DNJ647" s="268"/>
      <c r="DNK647" s="268"/>
      <c r="DNY647" s="268"/>
      <c r="DOA647" s="268"/>
      <c r="DOB647" s="268"/>
      <c r="DOC647" s="268"/>
      <c r="DOD647" s="268"/>
      <c r="DOE647" s="268"/>
      <c r="DOF647" s="268"/>
      <c r="DOG647" s="268"/>
      <c r="DOH647" s="268"/>
      <c r="DOI647" s="268"/>
      <c r="DOJ647" s="268"/>
      <c r="DOK647" s="268"/>
      <c r="DOL647" s="268"/>
      <c r="DOM647" s="268"/>
      <c r="DON647" s="268"/>
      <c r="DOO647" s="268"/>
      <c r="DOP647" s="268"/>
      <c r="DOQ647" s="268"/>
      <c r="DOR647" s="268"/>
      <c r="DOS647" s="268"/>
      <c r="DOT647" s="268"/>
      <c r="DOU647" s="268"/>
      <c r="DOV647" s="268"/>
      <c r="DOW647" s="268"/>
      <c r="DOX647" s="268"/>
      <c r="DOY647" s="268"/>
      <c r="DOZ647" s="268"/>
      <c r="DPA647" s="268"/>
      <c r="DPB647" s="268"/>
      <c r="DPC647" s="268"/>
      <c r="DPD647" s="268"/>
      <c r="DPE647" s="268"/>
      <c r="DPF647" s="268"/>
      <c r="DPG647" s="268"/>
      <c r="DPH647" s="268"/>
      <c r="DPI647" s="268"/>
      <c r="DPJ647" s="268"/>
      <c r="DPK647" s="268"/>
      <c r="DPL647" s="268"/>
      <c r="DPM647" s="268"/>
      <c r="DPN647" s="268"/>
      <c r="DPO647" s="268"/>
      <c r="DPP647" s="268"/>
      <c r="DPQ647" s="268"/>
      <c r="DPR647" s="268"/>
      <c r="DPS647" s="268"/>
      <c r="DPT647" s="268"/>
      <c r="DPU647" s="268"/>
      <c r="DPV647" s="268"/>
      <c r="DPW647" s="268"/>
      <c r="DPX647" s="268"/>
      <c r="DPY647" s="268"/>
      <c r="DPZ647" s="268"/>
      <c r="DQA647" s="268"/>
      <c r="DQB647" s="268"/>
      <c r="DQC647" s="268"/>
      <c r="DQD647" s="268"/>
      <c r="DQE647" s="268"/>
      <c r="DQF647" s="268"/>
      <c r="DQG647" s="268"/>
      <c r="DQH647" s="268"/>
      <c r="DQI647" s="268"/>
      <c r="DQJ647" s="268"/>
      <c r="DQK647" s="268"/>
      <c r="DQL647" s="268"/>
      <c r="DQM647" s="268"/>
      <c r="DQN647" s="268"/>
      <c r="DQO647" s="268"/>
      <c r="DQP647" s="268"/>
      <c r="DQQ647" s="268"/>
      <c r="DQR647" s="268"/>
      <c r="DQS647" s="268"/>
      <c r="DQT647" s="268"/>
      <c r="DQU647" s="268"/>
      <c r="DQV647" s="268"/>
      <c r="DQW647" s="268"/>
      <c r="DQX647" s="268"/>
      <c r="DQY647" s="268"/>
      <c r="DQZ647" s="268"/>
      <c r="DRA647" s="268"/>
      <c r="DRB647" s="268"/>
      <c r="DRC647" s="268"/>
      <c r="DRD647" s="268"/>
      <c r="DRE647" s="268"/>
      <c r="DRF647" s="268"/>
      <c r="DRG647" s="268"/>
      <c r="DRH647" s="268"/>
      <c r="DRI647" s="268"/>
      <c r="DRJ647" s="268"/>
      <c r="DRK647" s="268"/>
      <c r="DRL647" s="268"/>
      <c r="DRM647" s="268"/>
      <c r="DRN647" s="268"/>
      <c r="DRO647" s="268"/>
      <c r="DRP647" s="268"/>
      <c r="DRQ647" s="268"/>
      <c r="DRR647" s="268"/>
      <c r="DRS647" s="268"/>
      <c r="DRT647" s="268"/>
      <c r="DRU647" s="268"/>
      <c r="DRV647" s="268"/>
      <c r="DRW647" s="268"/>
      <c r="DRX647" s="268"/>
      <c r="DRY647" s="268"/>
      <c r="DRZ647" s="268"/>
      <c r="DSA647" s="268"/>
      <c r="DSB647" s="268"/>
      <c r="DSC647" s="268"/>
      <c r="DSD647" s="268"/>
      <c r="DSE647" s="268"/>
      <c r="DSF647" s="268"/>
      <c r="DSG647" s="268"/>
      <c r="DSH647" s="268"/>
      <c r="DSI647" s="268"/>
      <c r="DSJ647" s="268"/>
      <c r="DSK647" s="268"/>
      <c r="DSL647" s="268"/>
      <c r="DSM647" s="268"/>
      <c r="DSN647" s="268"/>
      <c r="DSO647" s="268"/>
      <c r="DSP647" s="268"/>
      <c r="DSQ647" s="268"/>
      <c r="DSR647" s="268"/>
      <c r="DSS647" s="268"/>
      <c r="DST647" s="268"/>
      <c r="DSU647" s="268"/>
      <c r="DSV647" s="268"/>
      <c r="DSW647" s="268"/>
      <c r="DSX647" s="268"/>
      <c r="DSY647" s="268"/>
      <c r="DSZ647" s="268"/>
      <c r="DTA647" s="268"/>
      <c r="DTB647" s="268"/>
      <c r="DTC647" s="268"/>
      <c r="DTD647" s="268"/>
      <c r="DTE647" s="268"/>
      <c r="DTF647" s="268"/>
      <c r="DTG647" s="268"/>
      <c r="DTH647" s="268"/>
      <c r="DTI647" s="268"/>
      <c r="DTJ647" s="268"/>
      <c r="DTK647" s="268"/>
      <c r="DTL647" s="268"/>
      <c r="DTM647" s="268"/>
      <c r="DTN647" s="268"/>
      <c r="DTO647" s="268"/>
      <c r="DTP647" s="268"/>
      <c r="DTQ647" s="268"/>
      <c r="DTR647" s="268"/>
      <c r="DTS647" s="268"/>
      <c r="DTT647" s="268"/>
      <c r="DTU647" s="268"/>
      <c r="DTV647" s="268"/>
      <c r="DTW647" s="268"/>
      <c r="DTX647" s="268"/>
      <c r="DTY647" s="268"/>
      <c r="DTZ647" s="268"/>
      <c r="DUA647" s="268"/>
      <c r="DUB647" s="268"/>
      <c r="DUC647" s="268"/>
      <c r="DUD647" s="268"/>
      <c r="DUE647" s="268"/>
      <c r="DUF647" s="268"/>
      <c r="DUG647" s="268"/>
      <c r="DUH647" s="268"/>
      <c r="DUI647" s="268"/>
      <c r="DUJ647" s="268"/>
      <c r="DUK647" s="268"/>
      <c r="DUL647" s="268"/>
      <c r="DUM647" s="268"/>
      <c r="DUN647" s="268"/>
      <c r="DUO647" s="268"/>
      <c r="DUP647" s="268"/>
      <c r="DUQ647" s="268"/>
      <c r="DUR647" s="268"/>
      <c r="DUS647" s="268"/>
      <c r="DUT647" s="268"/>
      <c r="DUU647" s="268"/>
      <c r="DUV647" s="268"/>
      <c r="DUW647" s="268"/>
      <c r="DUX647" s="268"/>
      <c r="DUY647" s="268"/>
      <c r="DUZ647" s="268"/>
      <c r="DVA647" s="268"/>
      <c r="DVB647" s="268"/>
      <c r="DVC647" s="268"/>
      <c r="DVD647" s="268"/>
      <c r="DVE647" s="268"/>
      <c r="DVF647" s="268"/>
      <c r="DVG647" s="268"/>
      <c r="DVH647" s="268"/>
      <c r="DVI647" s="268"/>
      <c r="DVJ647" s="268"/>
      <c r="DVK647" s="268"/>
      <c r="DVL647" s="268"/>
      <c r="DVM647" s="268"/>
      <c r="DVN647" s="268"/>
      <c r="DVO647" s="268"/>
      <c r="DVP647" s="268"/>
      <c r="DVQ647" s="268"/>
      <c r="DVR647" s="268"/>
      <c r="DVS647" s="268"/>
      <c r="DVT647" s="268"/>
      <c r="DVU647" s="268"/>
      <c r="DVV647" s="268"/>
      <c r="DVW647" s="268"/>
      <c r="DVX647" s="268"/>
      <c r="DVY647" s="268"/>
      <c r="DVZ647" s="268"/>
      <c r="DWA647" s="268"/>
      <c r="DWB647" s="268"/>
      <c r="DWC647" s="268"/>
      <c r="DWD647" s="268"/>
      <c r="DWE647" s="268"/>
      <c r="DWF647" s="268"/>
      <c r="DWG647" s="268"/>
      <c r="DWH647" s="268"/>
      <c r="DWI647" s="268"/>
      <c r="DWJ647" s="268"/>
      <c r="DWK647" s="268"/>
      <c r="DWL647" s="268"/>
      <c r="DWM647" s="268"/>
      <c r="DWN647" s="268"/>
      <c r="DWO647" s="268"/>
      <c r="DWP647" s="268"/>
      <c r="DWQ647" s="268"/>
      <c r="DXE647" s="268"/>
      <c r="DXF647" s="268"/>
      <c r="DXG647" s="268"/>
      <c r="DXU647" s="268"/>
      <c r="DXW647" s="268"/>
      <c r="DXX647" s="268"/>
      <c r="DXY647" s="268"/>
      <c r="DXZ647" s="268"/>
      <c r="DYA647" s="268"/>
      <c r="DYB647" s="268"/>
      <c r="DYC647" s="268"/>
      <c r="DYD647" s="268"/>
      <c r="DYE647" s="268"/>
      <c r="DYF647" s="268"/>
      <c r="DYG647" s="268"/>
      <c r="DYH647" s="268"/>
      <c r="DYI647" s="268"/>
      <c r="DYJ647" s="268"/>
      <c r="DYK647" s="268"/>
      <c r="DYL647" s="268"/>
      <c r="DYM647" s="268"/>
      <c r="DYN647" s="268"/>
      <c r="DYO647" s="268"/>
      <c r="DYP647" s="268"/>
      <c r="DYQ647" s="268"/>
      <c r="DYR647" s="268"/>
      <c r="DYS647" s="268"/>
      <c r="DYT647" s="268"/>
      <c r="DYU647" s="268"/>
      <c r="DYV647" s="268"/>
      <c r="DYW647" s="268"/>
      <c r="DYX647" s="268"/>
      <c r="DYY647" s="268"/>
      <c r="DYZ647" s="268"/>
      <c r="DZA647" s="268"/>
      <c r="DZB647" s="268"/>
      <c r="DZC647" s="268"/>
      <c r="DZD647" s="268"/>
      <c r="DZE647" s="268"/>
      <c r="DZF647" s="268"/>
      <c r="DZG647" s="268"/>
      <c r="DZH647" s="268"/>
      <c r="DZI647" s="268"/>
      <c r="DZJ647" s="268"/>
      <c r="DZK647" s="268"/>
      <c r="DZL647" s="268"/>
      <c r="DZM647" s="268"/>
      <c r="DZN647" s="268"/>
      <c r="DZO647" s="268"/>
      <c r="DZP647" s="268"/>
      <c r="DZQ647" s="268"/>
      <c r="DZR647" s="268"/>
      <c r="DZS647" s="268"/>
      <c r="DZT647" s="268"/>
      <c r="DZU647" s="268"/>
      <c r="DZV647" s="268"/>
      <c r="DZW647" s="268"/>
      <c r="DZX647" s="268"/>
      <c r="DZY647" s="268"/>
      <c r="DZZ647" s="268"/>
      <c r="EAA647" s="268"/>
      <c r="EAB647" s="268"/>
      <c r="EAC647" s="268"/>
      <c r="EAD647" s="268"/>
      <c r="EAE647" s="268"/>
      <c r="EAF647" s="268"/>
      <c r="EAG647" s="268"/>
      <c r="EAH647" s="268"/>
      <c r="EAI647" s="268"/>
      <c r="EAJ647" s="268"/>
      <c r="EAK647" s="268"/>
      <c r="EAL647" s="268"/>
      <c r="EAM647" s="268"/>
      <c r="EAN647" s="268"/>
      <c r="EAO647" s="268"/>
      <c r="EAP647" s="268"/>
      <c r="EAQ647" s="268"/>
      <c r="EAR647" s="268"/>
      <c r="EAS647" s="268"/>
      <c r="EAT647" s="268"/>
      <c r="EAU647" s="268"/>
      <c r="EAV647" s="268"/>
      <c r="EAW647" s="268"/>
      <c r="EAX647" s="268"/>
      <c r="EAY647" s="268"/>
      <c r="EAZ647" s="268"/>
      <c r="EBA647" s="268"/>
      <c r="EBB647" s="268"/>
      <c r="EBC647" s="268"/>
      <c r="EBD647" s="268"/>
      <c r="EBE647" s="268"/>
      <c r="EBF647" s="268"/>
      <c r="EBG647" s="268"/>
      <c r="EBH647" s="268"/>
      <c r="EBI647" s="268"/>
      <c r="EBJ647" s="268"/>
      <c r="EBK647" s="268"/>
      <c r="EBL647" s="268"/>
      <c r="EBM647" s="268"/>
      <c r="EBN647" s="268"/>
      <c r="EBO647" s="268"/>
      <c r="EBP647" s="268"/>
      <c r="EBQ647" s="268"/>
      <c r="EBR647" s="268"/>
      <c r="EBS647" s="268"/>
      <c r="EBT647" s="268"/>
      <c r="EBU647" s="268"/>
      <c r="EBV647" s="268"/>
      <c r="EBW647" s="268"/>
      <c r="EBX647" s="268"/>
      <c r="EBY647" s="268"/>
      <c r="EBZ647" s="268"/>
      <c r="ECA647" s="268"/>
      <c r="ECB647" s="268"/>
      <c r="ECC647" s="268"/>
      <c r="ECD647" s="268"/>
      <c r="ECE647" s="268"/>
      <c r="ECF647" s="268"/>
      <c r="ECG647" s="268"/>
      <c r="ECH647" s="268"/>
      <c r="ECI647" s="268"/>
      <c r="ECJ647" s="268"/>
      <c r="ECK647" s="268"/>
      <c r="ECL647" s="268"/>
      <c r="ECM647" s="268"/>
      <c r="ECN647" s="268"/>
      <c r="ECO647" s="268"/>
      <c r="ECP647" s="268"/>
      <c r="ECQ647" s="268"/>
      <c r="ECR647" s="268"/>
      <c r="ECS647" s="268"/>
      <c r="ECT647" s="268"/>
      <c r="ECU647" s="268"/>
      <c r="ECV647" s="268"/>
      <c r="ECW647" s="268"/>
      <c r="ECX647" s="268"/>
      <c r="ECY647" s="268"/>
      <c r="ECZ647" s="268"/>
      <c r="EDA647" s="268"/>
      <c r="EDB647" s="268"/>
      <c r="EDC647" s="268"/>
      <c r="EDD647" s="268"/>
      <c r="EDE647" s="268"/>
      <c r="EDF647" s="268"/>
      <c r="EDG647" s="268"/>
      <c r="EDH647" s="268"/>
      <c r="EDI647" s="268"/>
      <c r="EDJ647" s="268"/>
      <c r="EDK647" s="268"/>
      <c r="EDL647" s="268"/>
      <c r="EDM647" s="268"/>
      <c r="EDN647" s="268"/>
      <c r="EDO647" s="268"/>
      <c r="EDP647" s="268"/>
      <c r="EDQ647" s="268"/>
      <c r="EDR647" s="268"/>
      <c r="EDS647" s="268"/>
      <c r="EDT647" s="268"/>
      <c r="EDU647" s="268"/>
      <c r="EDV647" s="268"/>
      <c r="EDW647" s="268"/>
      <c r="EDX647" s="268"/>
      <c r="EDY647" s="268"/>
      <c r="EDZ647" s="268"/>
      <c r="EEA647" s="268"/>
      <c r="EEB647" s="268"/>
      <c r="EEC647" s="268"/>
      <c r="EED647" s="268"/>
      <c r="EEE647" s="268"/>
      <c r="EEF647" s="268"/>
      <c r="EEG647" s="268"/>
      <c r="EEH647" s="268"/>
      <c r="EEI647" s="268"/>
      <c r="EEJ647" s="268"/>
      <c r="EEK647" s="268"/>
      <c r="EEL647" s="268"/>
      <c r="EEM647" s="268"/>
      <c r="EEN647" s="268"/>
      <c r="EEO647" s="268"/>
      <c r="EEP647" s="268"/>
      <c r="EEQ647" s="268"/>
      <c r="EER647" s="268"/>
      <c r="EES647" s="268"/>
      <c r="EET647" s="268"/>
      <c r="EEU647" s="268"/>
      <c r="EEV647" s="268"/>
      <c r="EEW647" s="268"/>
      <c r="EEX647" s="268"/>
      <c r="EEY647" s="268"/>
      <c r="EEZ647" s="268"/>
      <c r="EFA647" s="268"/>
      <c r="EFB647" s="268"/>
      <c r="EFC647" s="268"/>
      <c r="EFD647" s="268"/>
      <c r="EFE647" s="268"/>
      <c r="EFF647" s="268"/>
      <c r="EFG647" s="268"/>
      <c r="EFH647" s="268"/>
      <c r="EFI647" s="268"/>
      <c r="EFJ647" s="268"/>
      <c r="EFK647" s="268"/>
      <c r="EFL647" s="268"/>
      <c r="EFM647" s="268"/>
      <c r="EFN647" s="268"/>
      <c r="EFO647" s="268"/>
      <c r="EFP647" s="268"/>
      <c r="EFQ647" s="268"/>
      <c r="EFR647" s="268"/>
      <c r="EFS647" s="268"/>
      <c r="EFT647" s="268"/>
      <c r="EFU647" s="268"/>
      <c r="EFV647" s="268"/>
      <c r="EFW647" s="268"/>
      <c r="EFX647" s="268"/>
      <c r="EFY647" s="268"/>
      <c r="EFZ647" s="268"/>
      <c r="EGA647" s="268"/>
      <c r="EGB647" s="268"/>
      <c r="EGC647" s="268"/>
      <c r="EGD647" s="268"/>
      <c r="EGE647" s="268"/>
      <c r="EGF647" s="268"/>
      <c r="EGG647" s="268"/>
      <c r="EGH647" s="268"/>
      <c r="EGI647" s="268"/>
      <c r="EGJ647" s="268"/>
      <c r="EGK647" s="268"/>
      <c r="EGL647" s="268"/>
      <c r="EGM647" s="268"/>
      <c r="EHA647" s="268"/>
      <c r="EHB647" s="268"/>
      <c r="EHC647" s="268"/>
      <c r="EHQ647" s="268"/>
      <c r="EHS647" s="268"/>
      <c r="EHT647" s="268"/>
      <c r="EHU647" s="268"/>
      <c r="EHV647" s="268"/>
      <c r="EHW647" s="268"/>
      <c r="EHX647" s="268"/>
      <c r="EHY647" s="268"/>
      <c r="EHZ647" s="268"/>
      <c r="EIA647" s="268"/>
      <c r="EIB647" s="268"/>
      <c r="EIC647" s="268"/>
      <c r="EID647" s="268"/>
      <c r="EIE647" s="268"/>
      <c r="EIF647" s="268"/>
      <c r="EIG647" s="268"/>
      <c r="EIH647" s="268"/>
      <c r="EII647" s="268"/>
      <c r="EIJ647" s="268"/>
      <c r="EIK647" s="268"/>
      <c r="EIL647" s="268"/>
      <c r="EIM647" s="268"/>
      <c r="EIN647" s="268"/>
      <c r="EIO647" s="268"/>
      <c r="EIP647" s="268"/>
      <c r="EIQ647" s="268"/>
      <c r="EIR647" s="268"/>
      <c r="EIS647" s="268"/>
      <c r="EIT647" s="268"/>
      <c r="EIU647" s="268"/>
      <c r="EIV647" s="268"/>
      <c r="EIW647" s="268"/>
      <c r="EIX647" s="268"/>
      <c r="EIY647" s="268"/>
      <c r="EIZ647" s="268"/>
      <c r="EJA647" s="268"/>
      <c r="EJB647" s="268"/>
      <c r="EJC647" s="268"/>
      <c r="EJD647" s="268"/>
      <c r="EJE647" s="268"/>
      <c r="EJF647" s="268"/>
      <c r="EJG647" s="268"/>
      <c r="EJH647" s="268"/>
      <c r="EJI647" s="268"/>
      <c r="EJJ647" s="268"/>
      <c r="EJK647" s="268"/>
      <c r="EJL647" s="268"/>
      <c r="EJM647" s="268"/>
      <c r="EJN647" s="268"/>
      <c r="EJO647" s="268"/>
      <c r="EJP647" s="268"/>
      <c r="EJQ647" s="268"/>
      <c r="EJR647" s="268"/>
      <c r="EJS647" s="268"/>
      <c r="EJT647" s="268"/>
      <c r="EJU647" s="268"/>
      <c r="EJV647" s="268"/>
      <c r="EJW647" s="268"/>
      <c r="EJX647" s="268"/>
      <c r="EJY647" s="268"/>
      <c r="EJZ647" s="268"/>
      <c r="EKA647" s="268"/>
      <c r="EKB647" s="268"/>
      <c r="EKC647" s="268"/>
      <c r="EKD647" s="268"/>
      <c r="EKE647" s="268"/>
      <c r="EKF647" s="268"/>
      <c r="EKG647" s="268"/>
      <c r="EKH647" s="268"/>
      <c r="EKI647" s="268"/>
      <c r="EKJ647" s="268"/>
      <c r="EKK647" s="268"/>
      <c r="EKL647" s="268"/>
      <c r="EKM647" s="268"/>
      <c r="EKN647" s="268"/>
      <c r="EKO647" s="268"/>
      <c r="EKP647" s="268"/>
      <c r="EKQ647" s="268"/>
      <c r="EKR647" s="268"/>
      <c r="EKS647" s="268"/>
      <c r="EKT647" s="268"/>
      <c r="EKU647" s="268"/>
      <c r="EKV647" s="268"/>
      <c r="EKW647" s="268"/>
      <c r="EKX647" s="268"/>
      <c r="EKY647" s="268"/>
      <c r="EKZ647" s="268"/>
      <c r="ELA647" s="268"/>
      <c r="ELB647" s="268"/>
      <c r="ELC647" s="268"/>
      <c r="ELD647" s="268"/>
      <c r="ELE647" s="268"/>
      <c r="ELF647" s="268"/>
      <c r="ELG647" s="268"/>
      <c r="ELH647" s="268"/>
      <c r="ELI647" s="268"/>
      <c r="ELJ647" s="268"/>
      <c r="ELK647" s="268"/>
      <c r="ELL647" s="268"/>
      <c r="ELM647" s="268"/>
      <c r="ELN647" s="268"/>
      <c r="ELO647" s="268"/>
      <c r="ELP647" s="268"/>
      <c r="ELQ647" s="268"/>
      <c r="ELR647" s="268"/>
      <c r="ELS647" s="268"/>
      <c r="ELT647" s="268"/>
      <c r="ELU647" s="268"/>
      <c r="ELV647" s="268"/>
      <c r="ELW647" s="268"/>
      <c r="ELX647" s="268"/>
      <c r="ELY647" s="268"/>
      <c r="ELZ647" s="268"/>
      <c r="EMA647" s="268"/>
      <c r="EMB647" s="268"/>
      <c r="EMC647" s="268"/>
      <c r="EMD647" s="268"/>
      <c r="EME647" s="268"/>
      <c r="EMF647" s="268"/>
      <c r="EMG647" s="268"/>
      <c r="EMH647" s="268"/>
      <c r="EMI647" s="268"/>
      <c r="EMJ647" s="268"/>
      <c r="EMK647" s="268"/>
      <c r="EML647" s="268"/>
      <c r="EMM647" s="268"/>
      <c r="EMN647" s="268"/>
      <c r="EMO647" s="268"/>
      <c r="EMP647" s="268"/>
      <c r="EMQ647" s="268"/>
      <c r="EMR647" s="268"/>
      <c r="EMS647" s="268"/>
      <c r="EMT647" s="268"/>
      <c r="EMU647" s="268"/>
      <c r="EMV647" s="268"/>
      <c r="EMW647" s="268"/>
      <c r="EMX647" s="268"/>
      <c r="EMY647" s="268"/>
      <c r="EMZ647" s="268"/>
      <c r="ENA647" s="268"/>
      <c r="ENB647" s="268"/>
      <c r="ENC647" s="268"/>
      <c r="END647" s="268"/>
      <c r="ENE647" s="268"/>
      <c r="ENF647" s="268"/>
      <c r="ENG647" s="268"/>
      <c r="ENH647" s="268"/>
      <c r="ENI647" s="268"/>
      <c r="ENJ647" s="268"/>
      <c r="ENK647" s="268"/>
      <c r="ENL647" s="268"/>
      <c r="ENM647" s="268"/>
      <c r="ENN647" s="268"/>
      <c r="ENO647" s="268"/>
      <c r="ENP647" s="268"/>
      <c r="ENQ647" s="268"/>
      <c r="ENR647" s="268"/>
      <c r="ENS647" s="268"/>
      <c r="ENT647" s="268"/>
      <c r="ENU647" s="268"/>
      <c r="ENV647" s="268"/>
      <c r="ENW647" s="268"/>
      <c r="ENX647" s="268"/>
      <c r="ENY647" s="268"/>
      <c r="ENZ647" s="268"/>
      <c r="EOA647" s="268"/>
      <c r="EOB647" s="268"/>
      <c r="EOC647" s="268"/>
      <c r="EOD647" s="268"/>
      <c r="EOE647" s="268"/>
      <c r="EOF647" s="268"/>
      <c r="EOG647" s="268"/>
      <c r="EOH647" s="268"/>
      <c r="EOI647" s="268"/>
      <c r="EOJ647" s="268"/>
      <c r="EOK647" s="268"/>
      <c r="EOL647" s="268"/>
      <c r="EOM647" s="268"/>
      <c r="EON647" s="268"/>
      <c r="EOO647" s="268"/>
      <c r="EOP647" s="268"/>
      <c r="EOQ647" s="268"/>
      <c r="EOR647" s="268"/>
      <c r="EOS647" s="268"/>
      <c r="EOT647" s="268"/>
      <c r="EOU647" s="268"/>
      <c r="EOV647" s="268"/>
      <c r="EOW647" s="268"/>
      <c r="EOX647" s="268"/>
      <c r="EOY647" s="268"/>
      <c r="EOZ647" s="268"/>
      <c r="EPA647" s="268"/>
      <c r="EPB647" s="268"/>
      <c r="EPC647" s="268"/>
      <c r="EPD647" s="268"/>
      <c r="EPE647" s="268"/>
      <c r="EPF647" s="268"/>
      <c r="EPG647" s="268"/>
      <c r="EPH647" s="268"/>
      <c r="EPI647" s="268"/>
      <c r="EPJ647" s="268"/>
      <c r="EPK647" s="268"/>
      <c r="EPL647" s="268"/>
      <c r="EPM647" s="268"/>
      <c r="EPN647" s="268"/>
      <c r="EPO647" s="268"/>
      <c r="EPP647" s="268"/>
      <c r="EPQ647" s="268"/>
      <c r="EPR647" s="268"/>
      <c r="EPS647" s="268"/>
      <c r="EPT647" s="268"/>
      <c r="EPU647" s="268"/>
      <c r="EPV647" s="268"/>
      <c r="EPW647" s="268"/>
      <c r="EPX647" s="268"/>
      <c r="EPY647" s="268"/>
      <c r="EPZ647" s="268"/>
      <c r="EQA647" s="268"/>
      <c r="EQB647" s="268"/>
      <c r="EQC647" s="268"/>
      <c r="EQD647" s="268"/>
      <c r="EQE647" s="268"/>
      <c r="EQF647" s="268"/>
      <c r="EQG647" s="268"/>
      <c r="EQH647" s="268"/>
      <c r="EQI647" s="268"/>
      <c r="EQW647" s="268"/>
      <c r="EQX647" s="268"/>
      <c r="EQY647" s="268"/>
      <c r="ERM647" s="268"/>
      <c r="ERO647" s="268"/>
      <c r="ERP647" s="268"/>
      <c r="ERQ647" s="268"/>
      <c r="ERR647" s="268"/>
      <c r="ERS647" s="268"/>
      <c r="ERT647" s="268"/>
      <c r="ERU647" s="268"/>
      <c r="ERV647" s="268"/>
      <c r="ERW647" s="268"/>
      <c r="ERX647" s="268"/>
      <c r="ERY647" s="268"/>
      <c r="ERZ647" s="268"/>
      <c r="ESA647" s="268"/>
      <c r="ESB647" s="268"/>
      <c r="ESC647" s="268"/>
      <c r="ESD647" s="268"/>
      <c r="ESE647" s="268"/>
      <c r="ESF647" s="268"/>
      <c r="ESG647" s="268"/>
      <c r="ESH647" s="268"/>
      <c r="ESI647" s="268"/>
      <c r="ESJ647" s="268"/>
      <c r="ESK647" s="268"/>
      <c r="ESL647" s="268"/>
      <c r="ESM647" s="268"/>
      <c r="ESN647" s="268"/>
      <c r="ESO647" s="268"/>
      <c r="ESP647" s="268"/>
      <c r="ESQ647" s="268"/>
      <c r="ESR647" s="268"/>
      <c r="ESS647" s="268"/>
      <c r="EST647" s="268"/>
      <c r="ESU647" s="268"/>
      <c r="ESV647" s="268"/>
      <c r="ESW647" s="268"/>
      <c r="ESX647" s="268"/>
      <c r="ESY647" s="268"/>
      <c r="ESZ647" s="268"/>
      <c r="ETA647" s="268"/>
      <c r="ETB647" s="268"/>
      <c r="ETC647" s="268"/>
      <c r="ETD647" s="268"/>
      <c r="ETE647" s="268"/>
      <c r="ETF647" s="268"/>
      <c r="ETG647" s="268"/>
      <c r="ETH647" s="268"/>
      <c r="ETI647" s="268"/>
      <c r="ETJ647" s="268"/>
      <c r="ETK647" s="268"/>
      <c r="ETL647" s="268"/>
      <c r="ETM647" s="268"/>
      <c r="ETN647" s="268"/>
      <c r="ETO647" s="268"/>
      <c r="ETP647" s="268"/>
      <c r="ETQ647" s="268"/>
      <c r="ETR647" s="268"/>
      <c r="ETS647" s="268"/>
      <c r="ETT647" s="268"/>
      <c r="ETU647" s="268"/>
      <c r="ETV647" s="268"/>
      <c r="ETW647" s="268"/>
      <c r="ETX647" s="268"/>
      <c r="ETY647" s="268"/>
      <c r="ETZ647" s="268"/>
      <c r="EUA647" s="268"/>
      <c r="EUB647" s="268"/>
      <c r="EUC647" s="268"/>
      <c r="EUD647" s="268"/>
      <c r="EUE647" s="268"/>
      <c r="EUF647" s="268"/>
      <c r="EUG647" s="268"/>
      <c r="EUH647" s="268"/>
      <c r="EUI647" s="268"/>
      <c r="EUJ647" s="268"/>
      <c r="EUK647" s="268"/>
      <c r="EUL647" s="268"/>
      <c r="EUM647" s="268"/>
      <c r="EUN647" s="268"/>
      <c r="EUO647" s="268"/>
      <c r="EUP647" s="268"/>
      <c r="EUQ647" s="268"/>
      <c r="EUR647" s="268"/>
      <c r="EUS647" s="268"/>
      <c r="EUT647" s="268"/>
      <c r="EUU647" s="268"/>
      <c r="EUV647" s="268"/>
      <c r="EUW647" s="268"/>
      <c r="EUX647" s="268"/>
      <c r="EUY647" s="268"/>
      <c r="EUZ647" s="268"/>
      <c r="EVA647" s="268"/>
      <c r="EVB647" s="268"/>
      <c r="EVC647" s="268"/>
      <c r="EVD647" s="268"/>
      <c r="EVE647" s="268"/>
      <c r="EVF647" s="268"/>
      <c r="EVG647" s="268"/>
      <c r="EVH647" s="268"/>
      <c r="EVI647" s="268"/>
      <c r="EVJ647" s="268"/>
      <c r="EVK647" s="268"/>
      <c r="EVL647" s="268"/>
      <c r="EVM647" s="268"/>
      <c r="EVN647" s="268"/>
      <c r="EVO647" s="268"/>
      <c r="EVP647" s="268"/>
      <c r="EVQ647" s="268"/>
      <c r="EVR647" s="268"/>
      <c r="EVS647" s="268"/>
      <c r="EVT647" s="268"/>
      <c r="EVU647" s="268"/>
      <c r="EVV647" s="268"/>
      <c r="EVW647" s="268"/>
      <c r="EVX647" s="268"/>
      <c r="EVY647" s="268"/>
      <c r="EVZ647" s="268"/>
      <c r="EWA647" s="268"/>
      <c r="EWB647" s="268"/>
      <c r="EWC647" s="268"/>
      <c r="EWD647" s="268"/>
      <c r="EWE647" s="268"/>
      <c r="EWF647" s="268"/>
      <c r="EWG647" s="268"/>
      <c r="EWH647" s="268"/>
      <c r="EWI647" s="268"/>
      <c r="EWJ647" s="268"/>
      <c r="EWK647" s="268"/>
      <c r="EWL647" s="268"/>
      <c r="EWM647" s="268"/>
      <c r="EWN647" s="268"/>
      <c r="EWO647" s="268"/>
      <c r="EWP647" s="268"/>
      <c r="EWQ647" s="268"/>
      <c r="EWR647" s="268"/>
      <c r="EWS647" s="268"/>
      <c r="EWT647" s="268"/>
      <c r="EWU647" s="268"/>
      <c r="EWV647" s="268"/>
      <c r="EWW647" s="268"/>
      <c r="EWX647" s="268"/>
      <c r="EWY647" s="268"/>
      <c r="EWZ647" s="268"/>
      <c r="EXA647" s="268"/>
      <c r="EXB647" s="268"/>
      <c r="EXC647" s="268"/>
      <c r="EXD647" s="268"/>
      <c r="EXE647" s="268"/>
      <c r="EXF647" s="268"/>
      <c r="EXG647" s="268"/>
      <c r="EXH647" s="268"/>
      <c r="EXI647" s="268"/>
      <c r="EXJ647" s="268"/>
      <c r="EXK647" s="268"/>
      <c r="EXL647" s="268"/>
      <c r="EXM647" s="268"/>
      <c r="EXN647" s="268"/>
      <c r="EXO647" s="268"/>
      <c r="EXP647" s="268"/>
      <c r="EXQ647" s="268"/>
      <c r="EXR647" s="268"/>
      <c r="EXS647" s="268"/>
      <c r="EXT647" s="268"/>
      <c r="EXU647" s="268"/>
      <c r="EXV647" s="268"/>
      <c r="EXW647" s="268"/>
      <c r="EXX647" s="268"/>
      <c r="EXY647" s="268"/>
      <c r="EXZ647" s="268"/>
      <c r="EYA647" s="268"/>
      <c r="EYB647" s="268"/>
      <c r="EYC647" s="268"/>
      <c r="EYD647" s="268"/>
      <c r="EYE647" s="268"/>
      <c r="EYF647" s="268"/>
      <c r="EYG647" s="268"/>
      <c r="EYH647" s="268"/>
      <c r="EYI647" s="268"/>
      <c r="EYJ647" s="268"/>
      <c r="EYK647" s="268"/>
      <c r="EYL647" s="268"/>
      <c r="EYM647" s="268"/>
      <c r="EYN647" s="268"/>
      <c r="EYO647" s="268"/>
      <c r="EYP647" s="268"/>
      <c r="EYQ647" s="268"/>
      <c r="EYR647" s="268"/>
      <c r="EYS647" s="268"/>
      <c r="EYT647" s="268"/>
      <c r="EYU647" s="268"/>
      <c r="EYV647" s="268"/>
      <c r="EYW647" s="268"/>
      <c r="EYX647" s="268"/>
      <c r="EYY647" s="268"/>
      <c r="EYZ647" s="268"/>
      <c r="EZA647" s="268"/>
      <c r="EZB647" s="268"/>
      <c r="EZC647" s="268"/>
      <c r="EZD647" s="268"/>
      <c r="EZE647" s="268"/>
      <c r="EZF647" s="268"/>
      <c r="EZG647" s="268"/>
      <c r="EZH647" s="268"/>
      <c r="EZI647" s="268"/>
      <c r="EZJ647" s="268"/>
      <c r="EZK647" s="268"/>
      <c r="EZL647" s="268"/>
      <c r="EZM647" s="268"/>
      <c r="EZN647" s="268"/>
      <c r="EZO647" s="268"/>
      <c r="EZP647" s="268"/>
      <c r="EZQ647" s="268"/>
      <c r="EZR647" s="268"/>
      <c r="EZS647" s="268"/>
      <c r="EZT647" s="268"/>
      <c r="EZU647" s="268"/>
      <c r="EZV647" s="268"/>
      <c r="EZW647" s="268"/>
      <c r="EZX647" s="268"/>
      <c r="EZY647" s="268"/>
      <c r="EZZ647" s="268"/>
      <c r="FAA647" s="268"/>
      <c r="FAB647" s="268"/>
      <c r="FAC647" s="268"/>
      <c r="FAD647" s="268"/>
      <c r="FAE647" s="268"/>
      <c r="FAS647" s="268"/>
      <c r="FAT647" s="268"/>
      <c r="FAU647" s="268"/>
      <c r="FBI647" s="268"/>
      <c r="FBK647" s="268"/>
      <c r="FBL647" s="268"/>
      <c r="FBM647" s="268"/>
      <c r="FBN647" s="268"/>
      <c r="FBO647" s="268"/>
      <c r="FBP647" s="268"/>
      <c r="FBQ647" s="268"/>
      <c r="FBR647" s="268"/>
      <c r="FBS647" s="268"/>
      <c r="FBT647" s="268"/>
      <c r="FBU647" s="268"/>
      <c r="FBV647" s="268"/>
      <c r="FBW647" s="268"/>
      <c r="FBX647" s="268"/>
      <c r="FBY647" s="268"/>
      <c r="FBZ647" s="268"/>
      <c r="FCA647" s="268"/>
      <c r="FCB647" s="268"/>
      <c r="FCC647" s="268"/>
      <c r="FCD647" s="268"/>
      <c r="FCE647" s="268"/>
      <c r="FCF647" s="268"/>
      <c r="FCG647" s="268"/>
      <c r="FCH647" s="268"/>
      <c r="FCI647" s="268"/>
      <c r="FCJ647" s="268"/>
      <c r="FCK647" s="268"/>
      <c r="FCL647" s="268"/>
      <c r="FCM647" s="268"/>
      <c r="FCN647" s="268"/>
      <c r="FCO647" s="268"/>
      <c r="FCP647" s="268"/>
      <c r="FCQ647" s="268"/>
      <c r="FCR647" s="268"/>
      <c r="FCS647" s="268"/>
      <c r="FCT647" s="268"/>
      <c r="FCU647" s="268"/>
      <c r="FCV647" s="268"/>
      <c r="FCW647" s="268"/>
      <c r="FCX647" s="268"/>
      <c r="FCY647" s="268"/>
      <c r="FCZ647" s="268"/>
      <c r="FDA647" s="268"/>
      <c r="FDB647" s="268"/>
      <c r="FDC647" s="268"/>
      <c r="FDD647" s="268"/>
      <c r="FDE647" s="268"/>
      <c r="FDF647" s="268"/>
      <c r="FDG647" s="268"/>
      <c r="FDH647" s="268"/>
      <c r="FDI647" s="268"/>
      <c r="FDJ647" s="268"/>
      <c r="FDK647" s="268"/>
      <c r="FDL647" s="268"/>
      <c r="FDM647" s="268"/>
      <c r="FDN647" s="268"/>
      <c r="FDO647" s="268"/>
      <c r="FDP647" s="268"/>
      <c r="FDQ647" s="268"/>
      <c r="FDR647" s="268"/>
      <c r="FDS647" s="268"/>
      <c r="FDT647" s="268"/>
      <c r="FDU647" s="268"/>
      <c r="FDV647" s="268"/>
      <c r="FDW647" s="268"/>
      <c r="FDX647" s="268"/>
      <c r="FDY647" s="268"/>
      <c r="FDZ647" s="268"/>
      <c r="FEA647" s="268"/>
      <c r="FEB647" s="268"/>
      <c r="FEC647" s="268"/>
      <c r="FED647" s="268"/>
      <c r="FEE647" s="268"/>
      <c r="FEF647" s="268"/>
      <c r="FEG647" s="268"/>
      <c r="FEH647" s="268"/>
      <c r="FEI647" s="268"/>
      <c r="FEJ647" s="268"/>
      <c r="FEK647" s="268"/>
      <c r="FEL647" s="268"/>
      <c r="FEM647" s="268"/>
      <c r="FEN647" s="268"/>
      <c r="FEO647" s="268"/>
      <c r="FEP647" s="268"/>
      <c r="FEQ647" s="268"/>
      <c r="FER647" s="268"/>
      <c r="FES647" s="268"/>
      <c r="FET647" s="268"/>
      <c r="FEU647" s="268"/>
      <c r="FEV647" s="268"/>
      <c r="FEW647" s="268"/>
      <c r="FEX647" s="268"/>
      <c r="FEY647" s="268"/>
      <c r="FEZ647" s="268"/>
      <c r="FFA647" s="268"/>
      <c r="FFB647" s="268"/>
      <c r="FFC647" s="268"/>
      <c r="FFD647" s="268"/>
      <c r="FFE647" s="268"/>
      <c r="FFF647" s="268"/>
      <c r="FFG647" s="268"/>
      <c r="FFH647" s="268"/>
      <c r="FFI647" s="268"/>
      <c r="FFJ647" s="268"/>
      <c r="FFK647" s="268"/>
      <c r="FFL647" s="268"/>
      <c r="FFM647" s="268"/>
      <c r="FFN647" s="268"/>
      <c r="FFO647" s="268"/>
      <c r="FFP647" s="268"/>
      <c r="FFQ647" s="268"/>
      <c r="FFR647" s="268"/>
      <c r="FFS647" s="268"/>
      <c r="FFT647" s="268"/>
      <c r="FFU647" s="268"/>
      <c r="FFV647" s="268"/>
      <c r="FFW647" s="268"/>
      <c r="FFX647" s="268"/>
      <c r="FFY647" s="268"/>
      <c r="FFZ647" s="268"/>
      <c r="FGA647" s="268"/>
      <c r="FGB647" s="268"/>
      <c r="FGC647" s="268"/>
      <c r="FGD647" s="268"/>
      <c r="FGE647" s="268"/>
      <c r="FGF647" s="268"/>
      <c r="FGG647" s="268"/>
      <c r="FGH647" s="268"/>
      <c r="FGI647" s="268"/>
      <c r="FGJ647" s="268"/>
      <c r="FGK647" s="268"/>
      <c r="FGL647" s="268"/>
      <c r="FGM647" s="268"/>
      <c r="FGN647" s="268"/>
      <c r="FGO647" s="268"/>
      <c r="FGP647" s="268"/>
      <c r="FGQ647" s="268"/>
      <c r="FGR647" s="268"/>
      <c r="FGS647" s="268"/>
      <c r="FGT647" s="268"/>
      <c r="FGU647" s="268"/>
      <c r="FGV647" s="268"/>
      <c r="FGW647" s="268"/>
      <c r="FGX647" s="268"/>
      <c r="FGY647" s="268"/>
      <c r="FGZ647" s="268"/>
      <c r="FHA647" s="268"/>
      <c r="FHB647" s="268"/>
      <c r="FHC647" s="268"/>
      <c r="FHD647" s="268"/>
      <c r="FHE647" s="268"/>
      <c r="FHF647" s="268"/>
      <c r="FHG647" s="268"/>
      <c r="FHH647" s="268"/>
      <c r="FHI647" s="268"/>
      <c r="FHJ647" s="268"/>
      <c r="FHK647" s="268"/>
      <c r="FHL647" s="268"/>
      <c r="FHM647" s="268"/>
      <c r="FHN647" s="268"/>
      <c r="FHO647" s="268"/>
      <c r="FHP647" s="268"/>
      <c r="FHQ647" s="268"/>
      <c r="FHR647" s="268"/>
      <c r="FHS647" s="268"/>
      <c r="FHT647" s="268"/>
      <c r="FHU647" s="268"/>
      <c r="FHV647" s="268"/>
      <c r="FHW647" s="268"/>
      <c r="FHX647" s="268"/>
      <c r="FHY647" s="268"/>
      <c r="FHZ647" s="268"/>
      <c r="FIA647" s="268"/>
      <c r="FIB647" s="268"/>
      <c r="FIC647" s="268"/>
      <c r="FID647" s="268"/>
      <c r="FIE647" s="268"/>
      <c r="FIF647" s="268"/>
      <c r="FIG647" s="268"/>
      <c r="FIH647" s="268"/>
      <c r="FII647" s="268"/>
      <c r="FIJ647" s="268"/>
      <c r="FIK647" s="268"/>
      <c r="FIL647" s="268"/>
      <c r="FIM647" s="268"/>
      <c r="FIN647" s="268"/>
      <c r="FIO647" s="268"/>
      <c r="FIP647" s="268"/>
      <c r="FIQ647" s="268"/>
      <c r="FIR647" s="268"/>
      <c r="FIS647" s="268"/>
      <c r="FIT647" s="268"/>
      <c r="FIU647" s="268"/>
      <c r="FIV647" s="268"/>
      <c r="FIW647" s="268"/>
      <c r="FIX647" s="268"/>
      <c r="FIY647" s="268"/>
      <c r="FIZ647" s="268"/>
      <c r="FJA647" s="268"/>
      <c r="FJB647" s="268"/>
      <c r="FJC647" s="268"/>
      <c r="FJD647" s="268"/>
      <c r="FJE647" s="268"/>
      <c r="FJF647" s="268"/>
      <c r="FJG647" s="268"/>
      <c r="FJH647" s="268"/>
      <c r="FJI647" s="268"/>
      <c r="FJJ647" s="268"/>
      <c r="FJK647" s="268"/>
      <c r="FJL647" s="268"/>
      <c r="FJM647" s="268"/>
      <c r="FJN647" s="268"/>
      <c r="FJO647" s="268"/>
      <c r="FJP647" s="268"/>
      <c r="FJQ647" s="268"/>
      <c r="FJR647" s="268"/>
      <c r="FJS647" s="268"/>
      <c r="FJT647" s="268"/>
      <c r="FJU647" s="268"/>
      <c r="FJV647" s="268"/>
      <c r="FJW647" s="268"/>
      <c r="FJX647" s="268"/>
      <c r="FJY647" s="268"/>
      <c r="FJZ647" s="268"/>
      <c r="FKA647" s="268"/>
      <c r="FKO647" s="268"/>
      <c r="FKP647" s="268"/>
      <c r="FKQ647" s="268"/>
      <c r="FLE647" s="268"/>
      <c r="FLG647" s="268"/>
      <c r="FLH647" s="268"/>
      <c r="FLI647" s="268"/>
      <c r="FLJ647" s="268"/>
      <c r="FLK647" s="268"/>
      <c r="FLL647" s="268"/>
      <c r="FLM647" s="268"/>
      <c r="FLN647" s="268"/>
      <c r="FLO647" s="268"/>
      <c r="FLP647" s="268"/>
      <c r="FLQ647" s="268"/>
      <c r="FLR647" s="268"/>
      <c r="FLS647" s="268"/>
      <c r="FLT647" s="268"/>
      <c r="FLU647" s="268"/>
      <c r="FLV647" s="268"/>
      <c r="FLW647" s="268"/>
      <c r="FLX647" s="268"/>
      <c r="FLY647" s="268"/>
      <c r="FLZ647" s="268"/>
      <c r="FMA647" s="268"/>
      <c r="FMB647" s="268"/>
      <c r="FMC647" s="268"/>
      <c r="FMD647" s="268"/>
      <c r="FME647" s="268"/>
      <c r="FMF647" s="268"/>
      <c r="FMG647" s="268"/>
      <c r="FMH647" s="268"/>
      <c r="FMI647" s="268"/>
      <c r="FMJ647" s="268"/>
      <c r="FMK647" s="268"/>
      <c r="FML647" s="268"/>
      <c r="FMM647" s="268"/>
      <c r="FMN647" s="268"/>
      <c r="FMO647" s="268"/>
      <c r="FMP647" s="268"/>
      <c r="FMQ647" s="268"/>
      <c r="FMR647" s="268"/>
      <c r="FMS647" s="268"/>
      <c r="FMT647" s="268"/>
      <c r="FMU647" s="268"/>
      <c r="FMV647" s="268"/>
      <c r="FMW647" s="268"/>
      <c r="FMX647" s="268"/>
      <c r="FMY647" s="268"/>
      <c r="FMZ647" s="268"/>
      <c r="FNA647" s="268"/>
      <c r="FNB647" s="268"/>
      <c r="FNC647" s="268"/>
      <c r="FND647" s="268"/>
      <c r="FNE647" s="268"/>
      <c r="FNF647" s="268"/>
      <c r="FNG647" s="268"/>
      <c r="FNH647" s="268"/>
      <c r="FNI647" s="268"/>
      <c r="FNJ647" s="268"/>
      <c r="FNK647" s="268"/>
      <c r="FNL647" s="268"/>
      <c r="FNM647" s="268"/>
      <c r="FNN647" s="268"/>
      <c r="FNO647" s="268"/>
      <c r="FNP647" s="268"/>
      <c r="FNQ647" s="268"/>
      <c r="FNR647" s="268"/>
      <c r="FNS647" s="268"/>
      <c r="FNT647" s="268"/>
      <c r="FNU647" s="268"/>
      <c r="FNV647" s="268"/>
      <c r="FNW647" s="268"/>
      <c r="FNX647" s="268"/>
      <c r="FNY647" s="268"/>
      <c r="FNZ647" s="268"/>
      <c r="FOA647" s="268"/>
      <c r="FOB647" s="268"/>
      <c r="FOC647" s="268"/>
      <c r="FOD647" s="268"/>
      <c r="FOE647" s="268"/>
      <c r="FOF647" s="268"/>
      <c r="FOG647" s="268"/>
      <c r="FOH647" s="268"/>
      <c r="FOI647" s="268"/>
      <c r="FOJ647" s="268"/>
      <c r="FOK647" s="268"/>
      <c r="FOL647" s="268"/>
      <c r="FOM647" s="268"/>
      <c r="FON647" s="268"/>
      <c r="FOO647" s="268"/>
      <c r="FOP647" s="268"/>
      <c r="FOQ647" s="268"/>
      <c r="FOR647" s="268"/>
      <c r="FOS647" s="268"/>
      <c r="FOT647" s="268"/>
      <c r="FOU647" s="268"/>
      <c r="FOV647" s="268"/>
      <c r="FOW647" s="268"/>
      <c r="FOX647" s="268"/>
      <c r="FOY647" s="268"/>
      <c r="FOZ647" s="268"/>
      <c r="FPA647" s="268"/>
      <c r="FPB647" s="268"/>
      <c r="FPC647" s="268"/>
      <c r="FPD647" s="268"/>
      <c r="FPE647" s="268"/>
      <c r="FPF647" s="268"/>
      <c r="FPG647" s="268"/>
      <c r="FPH647" s="268"/>
      <c r="FPI647" s="268"/>
      <c r="FPJ647" s="268"/>
      <c r="FPK647" s="268"/>
      <c r="FPL647" s="268"/>
      <c r="FPM647" s="268"/>
      <c r="FPN647" s="268"/>
      <c r="FPO647" s="268"/>
      <c r="FPP647" s="268"/>
      <c r="FPQ647" s="268"/>
      <c r="FPR647" s="268"/>
      <c r="FPS647" s="268"/>
      <c r="FPT647" s="268"/>
      <c r="FPU647" s="268"/>
      <c r="FPV647" s="268"/>
      <c r="FPW647" s="268"/>
      <c r="FPX647" s="268"/>
      <c r="FPY647" s="268"/>
      <c r="FPZ647" s="268"/>
      <c r="FQA647" s="268"/>
      <c r="FQB647" s="268"/>
      <c r="FQC647" s="268"/>
      <c r="FQD647" s="268"/>
      <c r="FQE647" s="268"/>
      <c r="FQF647" s="268"/>
      <c r="FQG647" s="268"/>
      <c r="FQH647" s="268"/>
      <c r="FQI647" s="268"/>
      <c r="FQJ647" s="268"/>
      <c r="FQK647" s="268"/>
      <c r="FQL647" s="268"/>
      <c r="FQM647" s="268"/>
      <c r="FQN647" s="268"/>
      <c r="FQO647" s="268"/>
      <c r="FQP647" s="268"/>
      <c r="FQQ647" s="268"/>
      <c r="FQR647" s="268"/>
      <c r="FQS647" s="268"/>
      <c r="FQT647" s="268"/>
      <c r="FQU647" s="268"/>
      <c r="FQV647" s="268"/>
      <c r="FQW647" s="268"/>
      <c r="FQX647" s="268"/>
      <c r="FQY647" s="268"/>
      <c r="FQZ647" s="268"/>
      <c r="FRA647" s="268"/>
      <c r="FRB647" s="268"/>
      <c r="FRC647" s="268"/>
      <c r="FRD647" s="268"/>
      <c r="FRE647" s="268"/>
      <c r="FRF647" s="268"/>
      <c r="FRG647" s="268"/>
      <c r="FRH647" s="268"/>
      <c r="FRI647" s="268"/>
      <c r="FRJ647" s="268"/>
      <c r="FRK647" s="268"/>
      <c r="FRL647" s="268"/>
      <c r="FRM647" s="268"/>
      <c r="FRN647" s="268"/>
      <c r="FRO647" s="268"/>
      <c r="FRP647" s="268"/>
      <c r="FRQ647" s="268"/>
      <c r="FRR647" s="268"/>
      <c r="FRS647" s="268"/>
      <c r="FRT647" s="268"/>
      <c r="FRU647" s="268"/>
      <c r="FRV647" s="268"/>
      <c r="FRW647" s="268"/>
      <c r="FRX647" s="268"/>
      <c r="FRY647" s="268"/>
      <c r="FRZ647" s="268"/>
      <c r="FSA647" s="268"/>
      <c r="FSB647" s="268"/>
      <c r="FSC647" s="268"/>
      <c r="FSD647" s="268"/>
      <c r="FSE647" s="268"/>
      <c r="FSF647" s="268"/>
      <c r="FSG647" s="268"/>
      <c r="FSH647" s="268"/>
      <c r="FSI647" s="268"/>
      <c r="FSJ647" s="268"/>
      <c r="FSK647" s="268"/>
      <c r="FSL647" s="268"/>
      <c r="FSM647" s="268"/>
      <c r="FSN647" s="268"/>
      <c r="FSO647" s="268"/>
      <c r="FSP647" s="268"/>
      <c r="FSQ647" s="268"/>
      <c r="FSR647" s="268"/>
      <c r="FSS647" s="268"/>
      <c r="FST647" s="268"/>
      <c r="FSU647" s="268"/>
      <c r="FSV647" s="268"/>
      <c r="FSW647" s="268"/>
      <c r="FSX647" s="268"/>
      <c r="FSY647" s="268"/>
      <c r="FSZ647" s="268"/>
      <c r="FTA647" s="268"/>
      <c r="FTB647" s="268"/>
      <c r="FTC647" s="268"/>
      <c r="FTD647" s="268"/>
      <c r="FTE647" s="268"/>
      <c r="FTF647" s="268"/>
      <c r="FTG647" s="268"/>
      <c r="FTH647" s="268"/>
      <c r="FTI647" s="268"/>
      <c r="FTJ647" s="268"/>
      <c r="FTK647" s="268"/>
      <c r="FTL647" s="268"/>
      <c r="FTM647" s="268"/>
      <c r="FTN647" s="268"/>
      <c r="FTO647" s="268"/>
      <c r="FTP647" s="268"/>
      <c r="FTQ647" s="268"/>
      <c r="FTR647" s="268"/>
      <c r="FTS647" s="268"/>
      <c r="FTT647" s="268"/>
      <c r="FTU647" s="268"/>
      <c r="FTV647" s="268"/>
      <c r="FTW647" s="268"/>
      <c r="FUK647" s="268"/>
      <c r="FUL647" s="268"/>
      <c r="FUM647" s="268"/>
      <c r="FVA647" s="268"/>
      <c r="FVC647" s="268"/>
      <c r="FVD647" s="268"/>
      <c r="FVE647" s="268"/>
      <c r="FVF647" s="268"/>
      <c r="FVG647" s="268"/>
      <c r="FVH647" s="268"/>
      <c r="FVI647" s="268"/>
      <c r="FVJ647" s="268"/>
      <c r="FVK647" s="268"/>
      <c r="FVL647" s="268"/>
      <c r="FVM647" s="268"/>
      <c r="FVN647" s="268"/>
      <c r="FVO647" s="268"/>
      <c r="FVP647" s="268"/>
      <c r="FVQ647" s="268"/>
      <c r="FVR647" s="268"/>
      <c r="FVS647" s="268"/>
      <c r="FVT647" s="268"/>
      <c r="FVU647" s="268"/>
      <c r="FVV647" s="268"/>
      <c r="FVW647" s="268"/>
      <c r="FVX647" s="268"/>
      <c r="FVY647" s="268"/>
      <c r="FVZ647" s="268"/>
      <c r="FWA647" s="268"/>
      <c r="FWB647" s="268"/>
      <c r="FWC647" s="268"/>
      <c r="FWD647" s="268"/>
      <c r="FWE647" s="268"/>
      <c r="FWF647" s="268"/>
      <c r="FWG647" s="268"/>
      <c r="FWH647" s="268"/>
      <c r="FWI647" s="268"/>
      <c r="FWJ647" s="268"/>
      <c r="FWK647" s="268"/>
      <c r="FWL647" s="268"/>
      <c r="FWM647" s="268"/>
      <c r="FWN647" s="268"/>
      <c r="FWO647" s="268"/>
      <c r="FWP647" s="268"/>
      <c r="FWQ647" s="268"/>
      <c r="FWR647" s="268"/>
      <c r="FWS647" s="268"/>
      <c r="FWT647" s="268"/>
      <c r="FWU647" s="268"/>
      <c r="FWV647" s="268"/>
      <c r="FWW647" s="268"/>
      <c r="FWX647" s="268"/>
      <c r="FWY647" s="268"/>
      <c r="FWZ647" s="268"/>
      <c r="FXA647" s="268"/>
      <c r="FXB647" s="268"/>
      <c r="FXC647" s="268"/>
      <c r="FXD647" s="268"/>
      <c r="FXE647" s="268"/>
      <c r="FXF647" s="268"/>
      <c r="FXG647" s="268"/>
      <c r="FXH647" s="268"/>
      <c r="FXI647" s="268"/>
      <c r="FXJ647" s="268"/>
      <c r="FXK647" s="268"/>
      <c r="FXL647" s="268"/>
      <c r="FXM647" s="268"/>
      <c r="FXN647" s="268"/>
      <c r="FXO647" s="268"/>
      <c r="FXP647" s="268"/>
      <c r="FXQ647" s="268"/>
      <c r="FXR647" s="268"/>
      <c r="FXS647" s="268"/>
      <c r="FXT647" s="268"/>
      <c r="FXU647" s="268"/>
      <c r="FXV647" s="268"/>
      <c r="FXW647" s="268"/>
      <c r="FXX647" s="268"/>
      <c r="FXY647" s="268"/>
      <c r="FXZ647" s="268"/>
      <c r="FYA647" s="268"/>
      <c r="FYB647" s="268"/>
      <c r="FYC647" s="268"/>
      <c r="FYD647" s="268"/>
      <c r="FYE647" s="268"/>
      <c r="FYF647" s="268"/>
      <c r="FYG647" s="268"/>
      <c r="FYH647" s="268"/>
      <c r="FYI647" s="268"/>
      <c r="FYJ647" s="268"/>
      <c r="FYK647" s="268"/>
      <c r="FYL647" s="268"/>
      <c r="FYM647" s="268"/>
      <c r="FYN647" s="268"/>
      <c r="FYO647" s="268"/>
      <c r="FYP647" s="268"/>
      <c r="FYQ647" s="268"/>
      <c r="FYR647" s="268"/>
      <c r="FYS647" s="268"/>
      <c r="FYT647" s="268"/>
      <c r="FYU647" s="268"/>
      <c r="FYV647" s="268"/>
      <c r="FYW647" s="268"/>
      <c r="FYX647" s="268"/>
      <c r="FYY647" s="268"/>
      <c r="FYZ647" s="268"/>
      <c r="FZA647" s="268"/>
      <c r="FZB647" s="268"/>
      <c r="FZC647" s="268"/>
      <c r="FZD647" s="268"/>
      <c r="FZE647" s="268"/>
      <c r="FZF647" s="268"/>
      <c r="FZG647" s="268"/>
      <c r="FZH647" s="268"/>
      <c r="FZI647" s="268"/>
      <c r="FZJ647" s="268"/>
      <c r="FZK647" s="268"/>
      <c r="FZL647" s="268"/>
      <c r="FZM647" s="268"/>
      <c r="FZN647" s="268"/>
      <c r="FZO647" s="268"/>
      <c r="FZP647" s="268"/>
      <c r="FZQ647" s="268"/>
      <c r="FZR647" s="268"/>
      <c r="FZS647" s="268"/>
      <c r="FZT647" s="268"/>
      <c r="FZU647" s="268"/>
      <c r="FZV647" s="268"/>
      <c r="FZW647" s="268"/>
      <c r="FZX647" s="268"/>
      <c r="FZY647" s="268"/>
      <c r="FZZ647" s="268"/>
      <c r="GAA647" s="268"/>
      <c r="GAB647" s="268"/>
      <c r="GAC647" s="268"/>
      <c r="GAD647" s="268"/>
      <c r="GAE647" s="268"/>
      <c r="GAF647" s="268"/>
      <c r="GAG647" s="268"/>
      <c r="GAH647" s="268"/>
      <c r="GAI647" s="268"/>
      <c r="GAJ647" s="268"/>
      <c r="GAK647" s="268"/>
      <c r="GAL647" s="268"/>
      <c r="GAM647" s="268"/>
      <c r="GAN647" s="268"/>
      <c r="GAO647" s="268"/>
      <c r="GAP647" s="268"/>
      <c r="GAQ647" s="268"/>
      <c r="GAR647" s="268"/>
      <c r="GAS647" s="268"/>
      <c r="GAT647" s="268"/>
      <c r="GAU647" s="268"/>
      <c r="GAV647" s="268"/>
      <c r="GAW647" s="268"/>
      <c r="GAX647" s="268"/>
      <c r="GAY647" s="268"/>
      <c r="GAZ647" s="268"/>
      <c r="GBA647" s="268"/>
      <c r="GBB647" s="268"/>
      <c r="GBC647" s="268"/>
      <c r="GBD647" s="268"/>
      <c r="GBE647" s="268"/>
      <c r="GBF647" s="268"/>
      <c r="GBG647" s="268"/>
      <c r="GBH647" s="268"/>
      <c r="GBI647" s="268"/>
      <c r="GBJ647" s="268"/>
      <c r="GBK647" s="268"/>
      <c r="GBL647" s="268"/>
      <c r="GBM647" s="268"/>
      <c r="GBN647" s="268"/>
      <c r="GBO647" s="268"/>
      <c r="GBP647" s="268"/>
      <c r="GBQ647" s="268"/>
      <c r="GBR647" s="268"/>
      <c r="GBS647" s="268"/>
      <c r="GBT647" s="268"/>
      <c r="GBU647" s="268"/>
      <c r="GBV647" s="268"/>
      <c r="GBW647" s="268"/>
      <c r="GBX647" s="268"/>
      <c r="GBY647" s="268"/>
      <c r="GBZ647" s="268"/>
      <c r="GCA647" s="268"/>
      <c r="GCB647" s="268"/>
      <c r="GCC647" s="268"/>
      <c r="GCD647" s="268"/>
      <c r="GCE647" s="268"/>
      <c r="GCF647" s="268"/>
      <c r="GCG647" s="268"/>
      <c r="GCH647" s="268"/>
      <c r="GCI647" s="268"/>
      <c r="GCJ647" s="268"/>
      <c r="GCK647" s="268"/>
      <c r="GCL647" s="268"/>
      <c r="GCM647" s="268"/>
      <c r="GCN647" s="268"/>
      <c r="GCO647" s="268"/>
      <c r="GCP647" s="268"/>
      <c r="GCQ647" s="268"/>
      <c r="GCR647" s="268"/>
      <c r="GCS647" s="268"/>
      <c r="GCT647" s="268"/>
      <c r="GCU647" s="268"/>
      <c r="GCV647" s="268"/>
      <c r="GCW647" s="268"/>
      <c r="GCX647" s="268"/>
      <c r="GCY647" s="268"/>
      <c r="GCZ647" s="268"/>
      <c r="GDA647" s="268"/>
      <c r="GDB647" s="268"/>
      <c r="GDC647" s="268"/>
      <c r="GDD647" s="268"/>
      <c r="GDE647" s="268"/>
      <c r="GDF647" s="268"/>
      <c r="GDG647" s="268"/>
      <c r="GDH647" s="268"/>
      <c r="GDI647" s="268"/>
      <c r="GDJ647" s="268"/>
      <c r="GDK647" s="268"/>
      <c r="GDL647" s="268"/>
      <c r="GDM647" s="268"/>
      <c r="GDN647" s="268"/>
      <c r="GDO647" s="268"/>
      <c r="GDP647" s="268"/>
      <c r="GDQ647" s="268"/>
      <c r="GDR647" s="268"/>
      <c r="GDS647" s="268"/>
      <c r="GEG647" s="268"/>
      <c r="GEH647" s="268"/>
      <c r="GEI647" s="268"/>
      <c r="GEW647" s="268"/>
      <c r="GEY647" s="268"/>
      <c r="GEZ647" s="268"/>
      <c r="GFA647" s="268"/>
      <c r="GFB647" s="268"/>
      <c r="GFC647" s="268"/>
      <c r="GFD647" s="268"/>
      <c r="GFE647" s="268"/>
      <c r="GFF647" s="268"/>
      <c r="GFG647" s="268"/>
      <c r="GFH647" s="268"/>
      <c r="GFI647" s="268"/>
      <c r="GFJ647" s="268"/>
      <c r="GFK647" s="268"/>
      <c r="GFL647" s="268"/>
      <c r="GFM647" s="268"/>
      <c r="GFN647" s="268"/>
      <c r="GFO647" s="268"/>
      <c r="GFP647" s="268"/>
      <c r="GFQ647" s="268"/>
      <c r="GFR647" s="268"/>
      <c r="GFS647" s="268"/>
      <c r="GFT647" s="268"/>
      <c r="GFU647" s="268"/>
      <c r="GFV647" s="268"/>
      <c r="GFW647" s="268"/>
      <c r="GFX647" s="268"/>
      <c r="GFY647" s="268"/>
      <c r="GFZ647" s="268"/>
      <c r="GGA647" s="268"/>
      <c r="GGB647" s="268"/>
      <c r="GGC647" s="268"/>
      <c r="GGD647" s="268"/>
      <c r="GGE647" s="268"/>
      <c r="GGF647" s="268"/>
      <c r="GGG647" s="268"/>
      <c r="GGH647" s="268"/>
      <c r="GGI647" s="268"/>
      <c r="GGJ647" s="268"/>
      <c r="GGK647" s="268"/>
      <c r="GGL647" s="268"/>
      <c r="GGM647" s="268"/>
      <c r="GGN647" s="268"/>
      <c r="GGO647" s="268"/>
      <c r="GGP647" s="268"/>
      <c r="GGQ647" s="268"/>
      <c r="GGR647" s="268"/>
      <c r="GGS647" s="268"/>
      <c r="GGT647" s="268"/>
      <c r="GGU647" s="268"/>
      <c r="GGV647" s="268"/>
      <c r="GGW647" s="268"/>
      <c r="GGX647" s="268"/>
      <c r="GGY647" s="268"/>
      <c r="GGZ647" s="268"/>
      <c r="GHA647" s="268"/>
      <c r="GHB647" s="268"/>
      <c r="GHC647" s="268"/>
      <c r="GHD647" s="268"/>
      <c r="GHE647" s="268"/>
      <c r="GHF647" s="268"/>
      <c r="GHG647" s="268"/>
      <c r="GHH647" s="268"/>
      <c r="GHI647" s="268"/>
      <c r="GHJ647" s="268"/>
      <c r="GHK647" s="268"/>
      <c r="GHL647" s="268"/>
      <c r="GHM647" s="268"/>
      <c r="GHN647" s="268"/>
      <c r="GHO647" s="268"/>
      <c r="GHP647" s="268"/>
      <c r="GHQ647" s="268"/>
      <c r="GHR647" s="268"/>
      <c r="GHS647" s="268"/>
      <c r="GHT647" s="268"/>
      <c r="GHU647" s="268"/>
      <c r="GHV647" s="268"/>
      <c r="GHW647" s="268"/>
      <c r="GHX647" s="268"/>
      <c r="GHY647" s="268"/>
      <c r="GHZ647" s="268"/>
      <c r="GIA647" s="268"/>
      <c r="GIB647" s="268"/>
      <c r="GIC647" s="268"/>
      <c r="GID647" s="268"/>
      <c r="GIE647" s="268"/>
      <c r="GIF647" s="268"/>
      <c r="GIG647" s="268"/>
      <c r="GIH647" s="268"/>
      <c r="GII647" s="268"/>
      <c r="GIJ647" s="268"/>
      <c r="GIK647" s="268"/>
      <c r="GIL647" s="268"/>
      <c r="GIM647" s="268"/>
      <c r="GIN647" s="268"/>
      <c r="GIO647" s="268"/>
      <c r="GIP647" s="268"/>
      <c r="GIQ647" s="268"/>
      <c r="GIR647" s="268"/>
      <c r="GIS647" s="268"/>
      <c r="GIT647" s="268"/>
      <c r="GIU647" s="268"/>
      <c r="GIV647" s="268"/>
      <c r="GIW647" s="268"/>
      <c r="GIX647" s="268"/>
      <c r="GIY647" s="268"/>
      <c r="GIZ647" s="268"/>
      <c r="GJA647" s="268"/>
      <c r="GJB647" s="268"/>
      <c r="GJC647" s="268"/>
      <c r="GJD647" s="268"/>
      <c r="GJE647" s="268"/>
      <c r="GJF647" s="268"/>
      <c r="GJG647" s="268"/>
      <c r="GJH647" s="268"/>
      <c r="GJI647" s="268"/>
      <c r="GJJ647" s="268"/>
      <c r="GJK647" s="268"/>
      <c r="GJL647" s="268"/>
      <c r="GJM647" s="268"/>
      <c r="GJN647" s="268"/>
      <c r="GJO647" s="268"/>
      <c r="GJP647" s="268"/>
      <c r="GJQ647" s="268"/>
      <c r="GJR647" s="268"/>
      <c r="GJS647" s="268"/>
      <c r="GJT647" s="268"/>
      <c r="GJU647" s="268"/>
      <c r="GJV647" s="268"/>
      <c r="GJW647" s="268"/>
      <c r="GJX647" s="268"/>
      <c r="GJY647" s="268"/>
      <c r="GJZ647" s="268"/>
      <c r="GKA647" s="268"/>
      <c r="GKB647" s="268"/>
      <c r="GKC647" s="268"/>
      <c r="GKD647" s="268"/>
      <c r="GKE647" s="268"/>
      <c r="GKF647" s="268"/>
      <c r="GKG647" s="268"/>
      <c r="GKH647" s="268"/>
      <c r="GKI647" s="268"/>
      <c r="GKJ647" s="268"/>
      <c r="GKK647" s="268"/>
      <c r="GKL647" s="268"/>
      <c r="GKM647" s="268"/>
      <c r="GKN647" s="268"/>
      <c r="GKO647" s="268"/>
      <c r="GKP647" s="268"/>
      <c r="GKQ647" s="268"/>
      <c r="GKR647" s="268"/>
      <c r="GKS647" s="268"/>
      <c r="GKT647" s="268"/>
      <c r="GKU647" s="268"/>
      <c r="GKV647" s="268"/>
      <c r="GKW647" s="268"/>
      <c r="GKX647" s="268"/>
      <c r="GKY647" s="268"/>
      <c r="GKZ647" s="268"/>
      <c r="GLA647" s="268"/>
      <c r="GLB647" s="268"/>
      <c r="GLC647" s="268"/>
      <c r="GLD647" s="268"/>
      <c r="GLE647" s="268"/>
      <c r="GLF647" s="268"/>
      <c r="GLG647" s="268"/>
      <c r="GLH647" s="268"/>
      <c r="GLI647" s="268"/>
      <c r="GLJ647" s="268"/>
      <c r="GLK647" s="268"/>
      <c r="GLL647" s="268"/>
      <c r="GLM647" s="268"/>
      <c r="GLN647" s="268"/>
      <c r="GLO647" s="268"/>
      <c r="GLP647" s="268"/>
      <c r="GLQ647" s="268"/>
      <c r="GLR647" s="268"/>
      <c r="GLS647" s="268"/>
      <c r="GLT647" s="268"/>
      <c r="GLU647" s="268"/>
      <c r="GLV647" s="268"/>
      <c r="GLW647" s="268"/>
      <c r="GLX647" s="268"/>
      <c r="GLY647" s="268"/>
      <c r="GLZ647" s="268"/>
      <c r="GMA647" s="268"/>
      <c r="GMB647" s="268"/>
      <c r="GMC647" s="268"/>
      <c r="GMD647" s="268"/>
      <c r="GME647" s="268"/>
      <c r="GMF647" s="268"/>
      <c r="GMG647" s="268"/>
      <c r="GMH647" s="268"/>
      <c r="GMI647" s="268"/>
      <c r="GMJ647" s="268"/>
      <c r="GMK647" s="268"/>
      <c r="GML647" s="268"/>
      <c r="GMM647" s="268"/>
      <c r="GMN647" s="268"/>
      <c r="GMO647" s="268"/>
      <c r="GMP647" s="268"/>
      <c r="GMQ647" s="268"/>
      <c r="GMR647" s="268"/>
      <c r="GMS647" s="268"/>
      <c r="GMT647" s="268"/>
      <c r="GMU647" s="268"/>
      <c r="GMV647" s="268"/>
      <c r="GMW647" s="268"/>
      <c r="GMX647" s="268"/>
      <c r="GMY647" s="268"/>
      <c r="GMZ647" s="268"/>
      <c r="GNA647" s="268"/>
      <c r="GNB647" s="268"/>
      <c r="GNC647" s="268"/>
      <c r="GND647" s="268"/>
      <c r="GNE647" s="268"/>
      <c r="GNF647" s="268"/>
      <c r="GNG647" s="268"/>
      <c r="GNH647" s="268"/>
      <c r="GNI647" s="268"/>
      <c r="GNJ647" s="268"/>
      <c r="GNK647" s="268"/>
      <c r="GNL647" s="268"/>
      <c r="GNM647" s="268"/>
      <c r="GNN647" s="268"/>
      <c r="GNO647" s="268"/>
      <c r="GOC647" s="268"/>
      <c r="GOD647" s="268"/>
      <c r="GOE647" s="268"/>
      <c r="GOS647" s="268"/>
      <c r="GOU647" s="268"/>
      <c r="GOV647" s="268"/>
      <c r="GOW647" s="268"/>
      <c r="GOX647" s="268"/>
      <c r="GOY647" s="268"/>
      <c r="GOZ647" s="268"/>
      <c r="GPA647" s="268"/>
      <c r="GPB647" s="268"/>
      <c r="GPC647" s="268"/>
      <c r="GPD647" s="268"/>
      <c r="GPE647" s="268"/>
      <c r="GPF647" s="268"/>
      <c r="GPG647" s="268"/>
      <c r="GPH647" s="268"/>
      <c r="GPI647" s="268"/>
      <c r="GPJ647" s="268"/>
      <c r="GPK647" s="268"/>
      <c r="GPL647" s="268"/>
      <c r="GPM647" s="268"/>
      <c r="GPN647" s="268"/>
      <c r="GPO647" s="268"/>
      <c r="GPP647" s="268"/>
      <c r="GPQ647" s="268"/>
      <c r="GPR647" s="268"/>
      <c r="GPS647" s="268"/>
      <c r="GPT647" s="268"/>
      <c r="GPU647" s="268"/>
      <c r="GPV647" s="268"/>
      <c r="GPW647" s="268"/>
      <c r="GPX647" s="268"/>
      <c r="GPY647" s="268"/>
      <c r="GPZ647" s="268"/>
      <c r="GQA647" s="268"/>
      <c r="GQB647" s="268"/>
      <c r="GQC647" s="268"/>
      <c r="GQD647" s="268"/>
      <c r="GQE647" s="268"/>
      <c r="GQF647" s="268"/>
      <c r="GQG647" s="268"/>
      <c r="GQH647" s="268"/>
      <c r="GQI647" s="268"/>
      <c r="GQJ647" s="268"/>
      <c r="GQK647" s="268"/>
      <c r="GQL647" s="268"/>
      <c r="GQM647" s="268"/>
      <c r="GQN647" s="268"/>
      <c r="GQO647" s="268"/>
      <c r="GQP647" s="268"/>
      <c r="GQQ647" s="268"/>
      <c r="GQR647" s="268"/>
      <c r="GQS647" s="268"/>
      <c r="GQT647" s="268"/>
      <c r="GQU647" s="268"/>
      <c r="GQV647" s="268"/>
      <c r="GQW647" s="268"/>
      <c r="GQX647" s="268"/>
      <c r="GQY647" s="268"/>
      <c r="GQZ647" s="268"/>
      <c r="GRA647" s="268"/>
      <c r="GRB647" s="268"/>
      <c r="GRC647" s="268"/>
      <c r="GRD647" s="268"/>
      <c r="GRE647" s="268"/>
      <c r="GRF647" s="268"/>
      <c r="GRG647" s="268"/>
      <c r="GRH647" s="268"/>
      <c r="GRI647" s="268"/>
      <c r="GRJ647" s="268"/>
      <c r="GRK647" s="268"/>
      <c r="GRL647" s="268"/>
      <c r="GRM647" s="268"/>
      <c r="GRN647" s="268"/>
      <c r="GRO647" s="268"/>
      <c r="GRP647" s="268"/>
      <c r="GRQ647" s="268"/>
      <c r="GRR647" s="268"/>
      <c r="GRS647" s="268"/>
      <c r="GRT647" s="268"/>
      <c r="GRU647" s="268"/>
      <c r="GRV647" s="268"/>
      <c r="GRW647" s="268"/>
      <c r="GRX647" s="268"/>
      <c r="GRY647" s="268"/>
      <c r="GRZ647" s="268"/>
      <c r="GSA647" s="268"/>
      <c r="GSB647" s="268"/>
      <c r="GSC647" s="268"/>
      <c r="GSD647" s="268"/>
      <c r="GSE647" s="268"/>
      <c r="GSF647" s="268"/>
      <c r="GSG647" s="268"/>
      <c r="GSH647" s="268"/>
      <c r="GSI647" s="268"/>
      <c r="GSJ647" s="268"/>
      <c r="GSK647" s="268"/>
      <c r="GSL647" s="268"/>
      <c r="GSM647" s="268"/>
      <c r="GSN647" s="268"/>
      <c r="GSO647" s="268"/>
      <c r="GSP647" s="268"/>
      <c r="GSQ647" s="268"/>
      <c r="GSR647" s="268"/>
      <c r="GSS647" s="268"/>
      <c r="GST647" s="268"/>
      <c r="GSU647" s="268"/>
      <c r="GSV647" s="268"/>
      <c r="GSW647" s="268"/>
      <c r="GSX647" s="268"/>
      <c r="GSY647" s="268"/>
      <c r="GSZ647" s="268"/>
      <c r="GTA647" s="268"/>
      <c r="GTB647" s="268"/>
      <c r="GTC647" s="268"/>
      <c r="GTD647" s="268"/>
      <c r="GTE647" s="268"/>
      <c r="GTF647" s="268"/>
      <c r="GTG647" s="268"/>
      <c r="GTH647" s="268"/>
      <c r="GTI647" s="268"/>
      <c r="GTJ647" s="268"/>
      <c r="GTK647" s="268"/>
      <c r="GTL647" s="268"/>
      <c r="GTM647" s="268"/>
      <c r="GTN647" s="268"/>
      <c r="GTO647" s="268"/>
      <c r="GTP647" s="268"/>
      <c r="GTQ647" s="268"/>
      <c r="GTR647" s="268"/>
      <c r="GTS647" s="268"/>
      <c r="GTT647" s="268"/>
      <c r="GTU647" s="268"/>
      <c r="GTV647" s="268"/>
      <c r="GTW647" s="268"/>
      <c r="GTX647" s="268"/>
      <c r="GTY647" s="268"/>
      <c r="GTZ647" s="268"/>
      <c r="GUA647" s="268"/>
      <c r="GUB647" s="268"/>
      <c r="GUC647" s="268"/>
      <c r="GUD647" s="268"/>
      <c r="GUE647" s="268"/>
      <c r="GUF647" s="268"/>
      <c r="GUG647" s="268"/>
      <c r="GUH647" s="268"/>
      <c r="GUI647" s="268"/>
      <c r="GUJ647" s="268"/>
      <c r="GUK647" s="268"/>
      <c r="GUL647" s="268"/>
      <c r="GUM647" s="268"/>
      <c r="GUN647" s="268"/>
      <c r="GUO647" s="268"/>
      <c r="GUP647" s="268"/>
      <c r="GUQ647" s="268"/>
      <c r="GUR647" s="268"/>
      <c r="GUS647" s="268"/>
      <c r="GUT647" s="268"/>
      <c r="GUU647" s="268"/>
      <c r="GUV647" s="268"/>
      <c r="GUW647" s="268"/>
      <c r="GUX647" s="268"/>
      <c r="GUY647" s="268"/>
      <c r="GUZ647" s="268"/>
      <c r="GVA647" s="268"/>
      <c r="GVB647" s="268"/>
      <c r="GVC647" s="268"/>
      <c r="GVD647" s="268"/>
      <c r="GVE647" s="268"/>
      <c r="GVF647" s="268"/>
      <c r="GVG647" s="268"/>
      <c r="GVH647" s="268"/>
      <c r="GVI647" s="268"/>
      <c r="GVJ647" s="268"/>
      <c r="GVK647" s="268"/>
      <c r="GVL647" s="268"/>
      <c r="GVM647" s="268"/>
      <c r="GVN647" s="268"/>
      <c r="GVO647" s="268"/>
      <c r="GVP647" s="268"/>
      <c r="GVQ647" s="268"/>
      <c r="GVR647" s="268"/>
      <c r="GVS647" s="268"/>
      <c r="GVT647" s="268"/>
      <c r="GVU647" s="268"/>
      <c r="GVV647" s="268"/>
      <c r="GVW647" s="268"/>
      <c r="GVX647" s="268"/>
      <c r="GVY647" s="268"/>
      <c r="GVZ647" s="268"/>
      <c r="GWA647" s="268"/>
      <c r="GWB647" s="268"/>
      <c r="GWC647" s="268"/>
      <c r="GWD647" s="268"/>
      <c r="GWE647" s="268"/>
      <c r="GWF647" s="268"/>
      <c r="GWG647" s="268"/>
      <c r="GWH647" s="268"/>
      <c r="GWI647" s="268"/>
      <c r="GWJ647" s="268"/>
      <c r="GWK647" s="268"/>
      <c r="GWL647" s="268"/>
      <c r="GWM647" s="268"/>
      <c r="GWN647" s="268"/>
      <c r="GWO647" s="268"/>
      <c r="GWP647" s="268"/>
      <c r="GWQ647" s="268"/>
      <c r="GWR647" s="268"/>
      <c r="GWS647" s="268"/>
      <c r="GWT647" s="268"/>
      <c r="GWU647" s="268"/>
      <c r="GWV647" s="268"/>
      <c r="GWW647" s="268"/>
      <c r="GWX647" s="268"/>
      <c r="GWY647" s="268"/>
      <c r="GWZ647" s="268"/>
      <c r="GXA647" s="268"/>
      <c r="GXB647" s="268"/>
      <c r="GXC647" s="268"/>
      <c r="GXD647" s="268"/>
      <c r="GXE647" s="268"/>
      <c r="GXF647" s="268"/>
      <c r="GXG647" s="268"/>
      <c r="GXH647" s="268"/>
      <c r="GXI647" s="268"/>
      <c r="GXJ647" s="268"/>
      <c r="GXK647" s="268"/>
      <c r="GXY647" s="268"/>
      <c r="GXZ647" s="268"/>
      <c r="GYA647" s="268"/>
      <c r="GYO647" s="268"/>
      <c r="GYQ647" s="268"/>
      <c r="GYR647" s="268"/>
      <c r="GYS647" s="268"/>
      <c r="GYT647" s="268"/>
      <c r="GYU647" s="268"/>
      <c r="GYV647" s="268"/>
      <c r="GYW647" s="268"/>
      <c r="GYX647" s="268"/>
      <c r="GYY647" s="268"/>
      <c r="GYZ647" s="268"/>
      <c r="GZA647" s="268"/>
      <c r="GZB647" s="268"/>
      <c r="GZC647" s="268"/>
      <c r="GZD647" s="268"/>
      <c r="GZE647" s="268"/>
      <c r="GZF647" s="268"/>
      <c r="GZG647" s="268"/>
      <c r="GZH647" s="268"/>
      <c r="GZI647" s="268"/>
      <c r="GZJ647" s="268"/>
      <c r="GZK647" s="268"/>
      <c r="GZL647" s="268"/>
      <c r="GZM647" s="268"/>
      <c r="GZN647" s="268"/>
      <c r="GZO647" s="268"/>
      <c r="GZP647" s="268"/>
      <c r="GZQ647" s="268"/>
      <c r="GZR647" s="268"/>
      <c r="GZS647" s="268"/>
      <c r="GZT647" s="268"/>
      <c r="GZU647" s="268"/>
      <c r="GZV647" s="268"/>
      <c r="GZW647" s="268"/>
      <c r="GZX647" s="268"/>
      <c r="GZY647" s="268"/>
      <c r="GZZ647" s="268"/>
      <c r="HAA647" s="268"/>
      <c r="HAB647" s="268"/>
      <c r="HAC647" s="268"/>
      <c r="HAD647" s="268"/>
      <c r="HAE647" s="268"/>
      <c r="HAF647" s="268"/>
      <c r="HAG647" s="268"/>
      <c r="HAH647" s="268"/>
      <c r="HAI647" s="268"/>
      <c r="HAJ647" s="268"/>
      <c r="HAK647" s="268"/>
      <c r="HAL647" s="268"/>
      <c r="HAM647" s="268"/>
      <c r="HAN647" s="268"/>
      <c r="HAO647" s="268"/>
      <c r="HAP647" s="268"/>
      <c r="HAQ647" s="268"/>
      <c r="HAR647" s="268"/>
      <c r="HAS647" s="268"/>
      <c r="HAT647" s="268"/>
      <c r="HAU647" s="268"/>
      <c r="HAV647" s="268"/>
      <c r="HAW647" s="268"/>
      <c r="HAX647" s="268"/>
      <c r="HAY647" s="268"/>
      <c r="HAZ647" s="268"/>
      <c r="HBA647" s="268"/>
      <c r="HBB647" s="268"/>
      <c r="HBC647" s="268"/>
      <c r="HBD647" s="268"/>
      <c r="HBE647" s="268"/>
      <c r="HBF647" s="268"/>
      <c r="HBG647" s="268"/>
      <c r="HBH647" s="268"/>
      <c r="HBI647" s="268"/>
      <c r="HBJ647" s="268"/>
      <c r="HBK647" s="268"/>
      <c r="HBL647" s="268"/>
      <c r="HBM647" s="268"/>
      <c r="HBN647" s="268"/>
      <c r="HBO647" s="268"/>
      <c r="HBP647" s="268"/>
      <c r="HBQ647" s="268"/>
      <c r="HBR647" s="268"/>
      <c r="HBS647" s="268"/>
      <c r="HBT647" s="268"/>
      <c r="HBU647" s="268"/>
      <c r="HBV647" s="268"/>
      <c r="HBW647" s="268"/>
      <c r="HBX647" s="268"/>
      <c r="HBY647" s="268"/>
      <c r="HBZ647" s="268"/>
      <c r="HCA647" s="268"/>
      <c r="HCB647" s="268"/>
      <c r="HCC647" s="268"/>
      <c r="HCD647" s="268"/>
      <c r="HCE647" s="268"/>
      <c r="HCF647" s="268"/>
      <c r="HCG647" s="268"/>
      <c r="HCH647" s="268"/>
      <c r="HCI647" s="268"/>
      <c r="HCJ647" s="268"/>
      <c r="HCK647" s="268"/>
      <c r="HCL647" s="268"/>
      <c r="HCM647" s="268"/>
      <c r="HCN647" s="268"/>
      <c r="HCO647" s="268"/>
      <c r="HCP647" s="268"/>
      <c r="HCQ647" s="268"/>
      <c r="HCR647" s="268"/>
      <c r="HCS647" s="268"/>
      <c r="HCT647" s="268"/>
      <c r="HCU647" s="268"/>
      <c r="HCV647" s="268"/>
      <c r="HCW647" s="268"/>
      <c r="HCX647" s="268"/>
      <c r="HCY647" s="268"/>
      <c r="HCZ647" s="268"/>
      <c r="HDA647" s="268"/>
      <c r="HDB647" s="268"/>
      <c r="HDC647" s="268"/>
      <c r="HDD647" s="268"/>
      <c r="HDE647" s="268"/>
      <c r="HDF647" s="268"/>
      <c r="HDG647" s="268"/>
      <c r="HDH647" s="268"/>
      <c r="HDI647" s="268"/>
      <c r="HDJ647" s="268"/>
      <c r="HDK647" s="268"/>
      <c r="HDL647" s="268"/>
      <c r="HDM647" s="268"/>
      <c r="HDN647" s="268"/>
      <c r="HDO647" s="268"/>
      <c r="HDP647" s="268"/>
      <c r="HDQ647" s="268"/>
      <c r="HDR647" s="268"/>
      <c r="HDS647" s="268"/>
      <c r="HDT647" s="268"/>
      <c r="HDU647" s="268"/>
      <c r="HDV647" s="268"/>
      <c r="HDW647" s="268"/>
      <c r="HDX647" s="268"/>
      <c r="HDY647" s="268"/>
      <c r="HDZ647" s="268"/>
      <c r="HEA647" s="268"/>
      <c r="HEB647" s="268"/>
      <c r="HEC647" s="268"/>
      <c r="HED647" s="268"/>
      <c r="HEE647" s="268"/>
      <c r="HEF647" s="268"/>
      <c r="HEG647" s="268"/>
      <c r="HEH647" s="268"/>
      <c r="HEI647" s="268"/>
      <c r="HEJ647" s="268"/>
      <c r="HEK647" s="268"/>
      <c r="HEL647" s="268"/>
      <c r="HEM647" s="268"/>
      <c r="HEN647" s="268"/>
      <c r="HEO647" s="268"/>
      <c r="HEP647" s="268"/>
      <c r="HEQ647" s="268"/>
      <c r="HER647" s="268"/>
      <c r="HES647" s="268"/>
      <c r="HET647" s="268"/>
      <c r="HEU647" s="268"/>
      <c r="HEV647" s="268"/>
      <c r="HEW647" s="268"/>
      <c r="HEX647" s="268"/>
      <c r="HEY647" s="268"/>
      <c r="HEZ647" s="268"/>
      <c r="HFA647" s="268"/>
      <c r="HFB647" s="268"/>
      <c r="HFC647" s="268"/>
      <c r="HFD647" s="268"/>
      <c r="HFE647" s="268"/>
      <c r="HFF647" s="268"/>
      <c r="HFG647" s="268"/>
      <c r="HFH647" s="268"/>
      <c r="HFI647" s="268"/>
      <c r="HFJ647" s="268"/>
      <c r="HFK647" s="268"/>
      <c r="HFL647" s="268"/>
      <c r="HFM647" s="268"/>
      <c r="HFN647" s="268"/>
      <c r="HFO647" s="268"/>
      <c r="HFP647" s="268"/>
      <c r="HFQ647" s="268"/>
      <c r="HFR647" s="268"/>
      <c r="HFS647" s="268"/>
      <c r="HFT647" s="268"/>
      <c r="HFU647" s="268"/>
      <c r="HFV647" s="268"/>
      <c r="HFW647" s="268"/>
      <c r="HFX647" s="268"/>
      <c r="HFY647" s="268"/>
      <c r="HFZ647" s="268"/>
      <c r="HGA647" s="268"/>
      <c r="HGB647" s="268"/>
      <c r="HGC647" s="268"/>
      <c r="HGD647" s="268"/>
      <c r="HGE647" s="268"/>
      <c r="HGF647" s="268"/>
      <c r="HGG647" s="268"/>
      <c r="HGH647" s="268"/>
      <c r="HGI647" s="268"/>
      <c r="HGJ647" s="268"/>
      <c r="HGK647" s="268"/>
      <c r="HGL647" s="268"/>
      <c r="HGM647" s="268"/>
      <c r="HGN647" s="268"/>
      <c r="HGO647" s="268"/>
      <c r="HGP647" s="268"/>
      <c r="HGQ647" s="268"/>
      <c r="HGR647" s="268"/>
      <c r="HGS647" s="268"/>
      <c r="HGT647" s="268"/>
      <c r="HGU647" s="268"/>
      <c r="HGV647" s="268"/>
      <c r="HGW647" s="268"/>
      <c r="HGX647" s="268"/>
      <c r="HGY647" s="268"/>
      <c r="HGZ647" s="268"/>
      <c r="HHA647" s="268"/>
      <c r="HHB647" s="268"/>
      <c r="HHC647" s="268"/>
      <c r="HHD647" s="268"/>
      <c r="HHE647" s="268"/>
      <c r="HHF647" s="268"/>
      <c r="HHG647" s="268"/>
      <c r="HHU647" s="268"/>
      <c r="HHV647" s="268"/>
      <c r="HHW647" s="268"/>
      <c r="HIK647" s="268"/>
      <c r="HIM647" s="268"/>
      <c r="HIN647" s="268"/>
      <c r="HIO647" s="268"/>
      <c r="HIP647" s="268"/>
      <c r="HIQ647" s="268"/>
      <c r="HIR647" s="268"/>
      <c r="HIS647" s="268"/>
      <c r="HIT647" s="268"/>
      <c r="HIU647" s="268"/>
      <c r="HIV647" s="268"/>
      <c r="HIW647" s="268"/>
      <c r="HIX647" s="268"/>
      <c r="HIY647" s="268"/>
      <c r="HIZ647" s="268"/>
      <c r="HJA647" s="268"/>
      <c r="HJB647" s="268"/>
      <c r="HJC647" s="268"/>
      <c r="HJD647" s="268"/>
      <c r="HJE647" s="268"/>
      <c r="HJF647" s="268"/>
      <c r="HJG647" s="268"/>
      <c r="HJH647" s="268"/>
      <c r="HJI647" s="268"/>
      <c r="HJJ647" s="268"/>
      <c r="HJK647" s="268"/>
      <c r="HJL647" s="268"/>
      <c r="HJM647" s="268"/>
      <c r="HJN647" s="268"/>
      <c r="HJO647" s="268"/>
      <c r="HJP647" s="268"/>
      <c r="HJQ647" s="268"/>
      <c r="HJR647" s="268"/>
      <c r="HJS647" s="268"/>
      <c r="HJT647" s="268"/>
      <c r="HJU647" s="268"/>
      <c r="HJV647" s="268"/>
      <c r="HJW647" s="268"/>
      <c r="HJX647" s="268"/>
      <c r="HJY647" s="268"/>
      <c r="HJZ647" s="268"/>
      <c r="HKA647" s="268"/>
      <c r="HKB647" s="268"/>
      <c r="HKC647" s="268"/>
      <c r="HKD647" s="268"/>
      <c r="HKE647" s="268"/>
      <c r="HKF647" s="268"/>
      <c r="HKG647" s="268"/>
      <c r="HKH647" s="268"/>
      <c r="HKI647" s="268"/>
      <c r="HKJ647" s="268"/>
      <c r="HKK647" s="268"/>
      <c r="HKL647" s="268"/>
      <c r="HKM647" s="268"/>
      <c r="HKN647" s="268"/>
      <c r="HKO647" s="268"/>
      <c r="HKP647" s="268"/>
      <c r="HKQ647" s="268"/>
      <c r="HKR647" s="268"/>
      <c r="HKS647" s="268"/>
      <c r="HKT647" s="268"/>
      <c r="HKU647" s="268"/>
      <c r="HKV647" s="268"/>
      <c r="HKW647" s="268"/>
      <c r="HKX647" s="268"/>
      <c r="HKY647" s="268"/>
      <c r="HKZ647" s="268"/>
      <c r="HLA647" s="268"/>
      <c r="HLB647" s="268"/>
      <c r="HLC647" s="268"/>
      <c r="HLD647" s="268"/>
      <c r="HLE647" s="268"/>
      <c r="HLF647" s="268"/>
      <c r="HLG647" s="268"/>
      <c r="HLH647" s="268"/>
      <c r="HLI647" s="268"/>
      <c r="HLJ647" s="268"/>
      <c r="HLK647" s="268"/>
      <c r="HLL647" s="268"/>
      <c r="HLM647" s="268"/>
      <c r="HLN647" s="268"/>
      <c r="HLO647" s="268"/>
      <c r="HLP647" s="268"/>
      <c r="HLQ647" s="268"/>
      <c r="HLR647" s="268"/>
      <c r="HLS647" s="268"/>
      <c r="HLT647" s="268"/>
      <c r="HLU647" s="268"/>
      <c r="HLV647" s="268"/>
      <c r="HLW647" s="268"/>
      <c r="HLX647" s="268"/>
      <c r="HLY647" s="268"/>
      <c r="HLZ647" s="268"/>
      <c r="HMA647" s="268"/>
      <c r="HMB647" s="268"/>
      <c r="HMC647" s="268"/>
      <c r="HMD647" s="268"/>
      <c r="HME647" s="268"/>
      <c r="HMF647" s="268"/>
      <c r="HMG647" s="268"/>
      <c r="HMH647" s="268"/>
      <c r="HMI647" s="268"/>
      <c r="HMJ647" s="268"/>
      <c r="HMK647" s="268"/>
      <c r="HML647" s="268"/>
      <c r="HMM647" s="268"/>
      <c r="HMN647" s="268"/>
      <c r="HMO647" s="268"/>
      <c r="HMP647" s="268"/>
      <c r="HMQ647" s="268"/>
      <c r="HMR647" s="268"/>
      <c r="HMS647" s="268"/>
      <c r="HMT647" s="268"/>
      <c r="HMU647" s="268"/>
      <c r="HMV647" s="268"/>
      <c r="HMW647" s="268"/>
      <c r="HMX647" s="268"/>
      <c r="HMY647" s="268"/>
      <c r="HMZ647" s="268"/>
      <c r="HNA647" s="268"/>
      <c r="HNB647" s="268"/>
      <c r="HNC647" s="268"/>
      <c r="HND647" s="268"/>
      <c r="HNE647" s="268"/>
      <c r="HNF647" s="268"/>
      <c r="HNG647" s="268"/>
      <c r="HNH647" s="268"/>
      <c r="HNI647" s="268"/>
      <c r="HNJ647" s="268"/>
      <c r="HNK647" s="268"/>
      <c r="HNL647" s="268"/>
      <c r="HNM647" s="268"/>
      <c r="HNN647" s="268"/>
      <c r="HNO647" s="268"/>
      <c r="HNP647" s="268"/>
      <c r="HNQ647" s="268"/>
      <c r="HNR647" s="268"/>
      <c r="HNS647" s="268"/>
      <c r="HNT647" s="268"/>
      <c r="HNU647" s="268"/>
      <c r="HNV647" s="268"/>
      <c r="HNW647" s="268"/>
      <c r="HNX647" s="268"/>
      <c r="HNY647" s="268"/>
      <c r="HNZ647" s="268"/>
      <c r="HOA647" s="268"/>
      <c r="HOB647" s="268"/>
      <c r="HOC647" s="268"/>
      <c r="HOD647" s="268"/>
      <c r="HOE647" s="268"/>
      <c r="HOF647" s="268"/>
      <c r="HOG647" s="268"/>
      <c r="HOH647" s="268"/>
      <c r="HOI647" s="268"/>
      <c r="HOJ647" s="268"/>
      <c r="HOK647" s="268"/>
      <c r="HOL647" s="268"/>
      <c r="HOM647" s="268"/>
      <c r="HON647" s="268"/>
      <c r="HOO647" s="268"/>
      <c r="HOP647" s="268"/>
      <c r="HOQ647" s="268"/>
      <c r="HOR647" s="268"/>
      <c r="HOS647" s="268"/>
      <c r="HOT647" s="268"/>
      <c r="HOU647" s="268"/>
      <c r="HOV647" s="268"/>
      <c r="HOW647" s="268"/>
      <c r="HOX647" s="268"/>
      <c r="HOY647" s="268"/>
      <c r="HOZ647" s="268"/>
      <c r="HPA647" s="268"/>
      <c r="HPB647" s="268"/>
      <c r="HPC647" s="268"/>
      <c r="HPD647" s="268"/>
      <c r="HPE647" s="268"/>
      <c r="HPF647" s="268"/>
      <c r="HPG647" s="268"/>
      <c r="HPH647" s="268"/>
      <c r="HPI647" s="268"/>
      <c r="HPJ647" s="268"/>
      <c r="HPK647" s="268"/>
      <c r="HPL647" s="268"/>
      <c r="HPM647" s="268"/>
      <c r="HPN647" s="268"/>
      <c r="HPO647" s="268"/>
      <c r="HPP647" s="268"/>
      <c r="HPQ647" s="268"/>
      <c r="HPR647" s="268"/>
      <c r="HPS647" s="268"/>
      <c r="HPT647" s="268"/>
      <c r="HPU647" s="268"/>
      <c r="HPV647" s="268"/>
      <c r="HPW647" s="268"/>
      <c r="HPX647" s="268"/>
      <c r="HPY647" s="268"/>
      <c r="HPZ647" s="268"/>
      <c r="HQA647" s="268"/>
      <c r="HQB647" s="268"/>
      <c r="HQC647" s="268"/>
      <c r="HQD647" s="268"/>
      <c r="HQE647" s="268"/>
      <c r="HQF647" s="268"/>
      <c r="HQG647" s="268"/>
      <c r="HQH647" s="268"/>
      <c r="HQI647" s="268"/>
      <c r="HQJ647" s="268"/>
      <c r="HQK647" s="268"/>
      <c r="HQL647" s="268"/>
      <c r="HQM647" s="268"/>
      <c r="HQN647" s="268"/>
      <c r="HQO647" s="268"/>
      <c r="HQP647" s="268"/>
      <c r="HQQ647" s="268"/>
      <c r="HQR647" s="268"/>
      <c r="HQS647" s="268"/>
      <c r="HQT647" s="268"/>
      <c r="HQU647" s="268"/>
      <c r="HQV647" s="268"/>
      <c r="HQW647" s="268"/>
      <c r="HQX647" s="268"/>
      <c r="HQY647" s="268"/>
      <c r="HQZ647" s="268"/>
      <c r="HRA647" s="268"/>
      <c r="HRB647" s="268"/>
      <c r="HRC647" s="268"/>
      <c r="HRQ647" s="268"/>
      <c r="HRR647" s="268"/>
      <c r="HRS647" s="268"/>
      <c r="HSG647" s="268"/>
      <c r="HSI647" s="268"/>
      <c r="HSJ647" s="268"/>
      <c r="HSK647" s="268"/>
      <c r="HSL647" s="268"/>
      <c r="HSM647" s="268"/>
      <c r="HSN647" s="268"/>
      <c r="HSO647" s="268"/>
      <c r="HSP647" s="268"/>
      <c r="HSQ647" s="268"/>
      <c r="HSR647" s="268"/>
      <c r="HSS647" s="268"/>
      <c r="HST647" s="268"/>
      <c r="HSU647" s="268"/>
      <c r="HSV647" s="268"/>
      <c r="HSW647" s="268"/>
      <c r="HSX647" s="268"/>
      <c r="HSY647" s="268"/>
      <c r="HSZ647" s="268"/>
      <c r="HTA647" s="268"/>
      <c r="HTB647" s="268"/>
      <c r="HTC647" s="268"/>
      <c r="HTD647" s="268"/>
      <c r="HTE647" s="268"/>
      <c r="HTF647" s="268"/>
      <c r="HTG647" s="268"/>
      <c r="HTH647" s="268"/>
      <c r="HTI647" s="268"/>
      <c r="HTJ647" s="268"/>
      <c r="HTK647" s="268"/>
      <c r="HTL647" s="268"/>
      <c r="HTM647" s="268"/>
      <c r="HTN647" s="268"/>
      <c r="HTO647" s="268"/>
      <c r="HTP647" s="268"/>
      <c r="HTQ647" s="268"/>
      <c r="HTR647" s="268"/>
      <c r="HTS647" s="268"/>
      <c r="HTT647" s="268"/>
      <c r="HTU647" s="268"/>
      <c r="HTV647" s="268"/>
      <c r="HTW647" s="268"/>
      <c r="HTX647" s="268"/>
      <c r="HTY647" s="268"/>
      <c r="HTZ647" s="268"/>
      <c r="HUA647" s="268"/>
      <c r="HUB647" s="268"/>
      <c r="HUC647" s="268"/>
      <c r="HUD647" s="268"/>
      <c r="HUE647" s="268"/>
      <c r="HUF647" s="268"/>
      <c r="HUG647" s="268"/>
      <c r="HUH647" s="268"/>
      <c r="HUI647" s="268"/>
      <c r="HUJ647" s="268"/>
      <c r="HUK647" s="268"/>
      <c r="HUL647" s="268"/>
      <c r="HUM647" s="268"/>
      <c r="HUN647" s="268"/>
      <c r="HUO647" s="268"/>
      <c r="HUP647" s="268"/>
      <c r="HUQ647" s="268"/>
      <c r="HUR647" s="268"/>
      <c r="HUS647" s="268"/>
      <c r="HUT647" s="268"/>
      <c r="HUU647" s="268"/>
      <c r="HUV647" s="268"/>
      <c r="HUW647" s="268"/>
      <c r="HUX647" s="268"/>
      <c r="HUY647" s="268"/>
      <c r="HUZ647" s="268"/>
      <c r="HVA647" s="268"/>
      <c r="HVB647" s="268"/>
      <c r="HVC647" s="268"/>
      <c r="HVD647" s="268"/>
      <c r="HVE647" s="268"/>
      <c r="HVF647" s="268"/>
      <c r="HVG647" s="268"/>
      <c r="HVH647" s="268"/>
      <c r="HVI647" s="268"/>
      <c r="HVJ647" s="268"/>
      <c r="HVK647" s="268"/>
      <c r="HVL647" s="268"/>
      <c r="HVM647" s="268"/>
      <c r="HVN647" s="268"/>
      <c r="HVO647" s="268"/>
      <c r="HVP647" s="268"/>
      <c r="HVQ647" s="268"/>
      <c r="HVR647" s="268"/>
      <c r="HVS647" s="268"/>
      <c r="HVT647" s="268"/>
      <c r="HVU647" s="268"/>
      <c r="HVV647" s="268"/>
      <c r="HVW647" s="268"/>
      <c r="HVX647" s="268"/>
      <c r="HVY647" s="268"/>
      <c r="HVZ647" s="268"/>
      <c r="HWA647" s="268"/>
      <c r="HWB647" s="268"/>
      <c r="HWC647" s="268"/>
      <c r="HWD647" s="268"/>
      <c r="HWE647" s="268"/>
      <c r="HWF647" s="268"/>
      <c r="HWG647" s="268"/>
      <c r="HWH647" s="268"/>
      <c r="HWI647" s="268"/>
      <c r="HWJ647" s="268"/>
      <c r="HWK647" s="268"/>
      <c r="HWL647" s="268"/>
      <c r="HWM647" s="268"/>
      <c r="HWN647" s="268"/>
      <c r="HWO647" s="268"/>
      <c r="HWP647" s="268"/>
      <c r="HWQ647" s="268"/>
      <c r="HWR647" s="268"/>
      <c r="HWS647" s="268"/>
      <c r="HWT647" s="268"/>
      <c r="HWU647" s="268"/>
      <c r="HWV647" s="268"/>
      <c r="HWW647" s="268"/>
      <c r="HWX647" s="268"/>
      <c r="HWY647" s="268"/>
      <c r="HWZ647" s="268"/>
      <c r="HXA647" s="268"/>
      <c r="HXB647" s="268"/>
      <c r="HXC647" s="268"/>
      <c r="HXD647" s="268"/>
      <c r="HXE647" s="268"/>
      <c r="HXF647" s="268"/>
      <c r="HXG647" s="268"/>
      <c r="HXH647" s="268"/>
      <c r="HXI647" s="268"/>
      <c r="HXJ647" s="268"/>
      <c r="HXK647" s="268"/>
      <c r="HXL647" s="268"/>
      <c r="HXM647" s="268"/>
      <c r="HXN647" s="268"/>
      <c r="HXO647" s="268"/>
      <c r="HXP647" s="268"/>
      <c r="HXQ647" s="268"/>
      <c r="HXR647" s="268"/>
      <c r="HXS647" s="268"/>
      <c r="HXT647" s="268"/>
      <c r="HXU647" s="268"/>
      <c r="HXV647" s="268"/>
      <c r="HXW647" s="268"/>
      <c r="HXX647" s="268"/>
      <c r="HXY647" s="268"/>
      <c r="HXZ647" s="268"/>
      <c r="HYA647" s="268"/>
      <c r="HYB647" s="268"/>
      <c r="HYC647" s="268"/>
      <c r="HYD647" s="268"/>
      <c r="HYE647" s="268"/>
      <c r="HYF647" s="268"/>
      <c r="HYG647" s="268"/>
      <c r="HYH647" s="268"/>
      <c r="HYI647" s="268"/>
      <c r="HYJ647" s="268"/>
      <c r="HYK647" s="268"/>
      <c r="HYL647" s="268"/>
      <c r="HYM647" s="268"/>
      <c r="HYN647" s="268"/>
      <c r="HYO647" s="268"/>
      <c r="HYP647" s="268"/>
      <c r="HYQ647" s="268"/>
      <c r="HYR647" s="268"/>
      <c r="HYS647" s="268"/>
      <c r="HYT647" s="268"/>
      <c r="HYU647" s="268"/>
      <c r="HYV647" s="268"/>
      <c r="HYW647" s="268"/>
      <c r="HYX647" s="268"/>
      <c r="HYY647" s="268"/>
      <c r="HYZ647" s="268"/>
      <c r="HZA647" s="268"/>
      <c r="HZB647" s="268"/>
      <c r="HZC647" s="268"/>
      <c r="HZD647" s="268"/>
      <c r="HZE647" s="268"/>
      <c r="HZF647" s="268"/>
      <c r="HZG647" s="268"/>
      <c r="HZH647" s="268"/>
      <c r="HZI647" s="268"/>
      <c r="HZJ647" s="268"/>
      <c r="HZK647" s="268"/>
      <c r="HZL647" s="268"/>
      <c r="HZM647" s="268"/>
      <c r="HZN647" s="268"/>
      <c r="HZO647" s="268"/>
      <c r="HZP647" s="268"/>
      <c r="HZQ647" s="268"/>
      <c r="HZR647" s="268"/>
      <c r="HZS647" s="268"/>
      <c r="HZT647" s="268"/>
      <c r="HZU647" s="268"/>
      <c r="HZV647" s="268"/>
      <c r="HZW647" s="268"/>
      <c r="HZX647" s="268"/>
      <c r="HZY647" s="268"/>
      <c r="HZZ647" s="268"/>
      <c r="IAA647" s="268"/>
      <c r="IAB647" s="268"/>
      <c r="IAC647" s="268"/>
      <c r="IAD647" s="268"/>
      <c r="IAE647" s="268"/>
      <c r="IAF647" s="268"/>
      <c r="IAG647" s="268"/>
      <c r="IAH647" s="268"/>
      <c r="IAI647" s="268"/>
      <c r="IAJ647" s="268"/>
      <c r="IAK647" s="268"/>
      <c r="IAL647" s="268"/>
      <c r="IAM647" s="268"/>
      <c r="IAN647" s="268"/>
      <c r="IAO647" s="268"/>
      <c r="IAP647" s="268"/>
      <c r="IAQ647" s="268"/>
      <c r="IAR647" s="268"/>
      <c r="IAS647" s="268"/>
      <c r="IAT647" s="268"/>
      <c r="IAU647" s="268"/>
      <c r="IAV647" s="268"/>
      <c r="IAW647" s="268"/>
      <c r="IAX647" s="268"/>
      <c r="IAY647" s="268"/>
      <c r="IBM647" s="268"/>
      <c r="IBN647" s="268"/>
      <c r="IBO647" s="268"/>
      <c r="ICC647" s="268"/>
      <c r="ICE647" s="268"/>
      <c r="ICF647" s="268"/>
      <c r="ICG647" s="268"/>
      <c r="ICH647" s="268"/>
      <c r="ICI647" s="268"/>
      <c r="ICJ647" s="268"/>
      <c r="ICK647" s="268"/>
      <c r="ICL647" s="268"/>
      <c r="ICM647" s="268"/>
      <c r="ICN647" s="268"/>
      <c r="ICO647" s="268"/>
      <c r="ICP647" s="268"/>
      <c r="ICQ647" s="268"/>
      <c r="ICR647" s="268"/>
      <c r="ICS647" s="268"/>
      <c r="ICT647" s="268"/>
      <c r="ICU647" s="268"/>
      <c r="ICV647" s="268"/>
      <c r="ICW647" s="268"/>
      <c r="ICX647" s="268"/>
      <c r="ICY647" s="268"/>
      <c r="ICZ647" s="268"/>
      <c r="IDA647" s="268"/>
      <c r="IDB647" s="268"/>
      <c r="IDC647" s="268"/>
      <c r="IDD647" s="268"/>
      <c r="IDE647" s="268"/>
      <c r="IDF647" s="268"/>
      <c r="IDG647" s="268"/>
      <c r="IDH647" s="268"/>
      <c r="IDI647" s="268"/>
      <c r="IDJ647" s="268"/>
      <c r="IDK647" s="268"/>
      <c r="IDL647" s="268"/>
      <c r="IDM647" s="268"/>
      <c r="IDN647" s="268"/>
      <c r="IDO647" s="268"/>
      <c r="IDP647" s="268"/>
      <c r="IDQ647" s="268"/>
      <c r="IDR647" s="268"/>
      <c r="IDS647" s="268"/>
      <c r="IDT647" s="268"/>
      <c r="IDU647" s="268"/>
      <c r="IDV647" s="268"/>
      <c r="IDW647" s="268"/>
      <c r="IDX647" s="268"/>
      <c r="IDY647" s="268"/>
      <c r="IDZ647" s="268"/>
      <c r="IEA647" s="268"/>
      <c r="IEB647" s="268"/>
      <c r="IEC647" s="268"/>
      <c r="IED647" s="268"/>
      <c r="IEE647" s="268"/>
      <c r="IEF647" s="268"/>
      <c r="IEG647" s="268"/>
      <c r="IEH647" s="268"/>
      <c r="IEI647" s="268"/>
      <c r="IEJ647" s="268"/>
      <c r="IEK647" s="268"/>
      <c r="IEL647" s="268"/>
      <c r="IEM647" s="268"/>
      <c r="IEN647" s="268"/>
      <c r="IEO647" s="268"/>
      <c r="IEP647" s="268"/>
      <c r="IEQ647" s="268"/>
      <c r="IER647" s="268"/>
      <c r="IES647" s="268"/>
      <c r="IET647" s="268"/>
      <c r="IEU647" s="268"/>
      <c r="IEV647" s="268"/>
      <c r="IEW647" s="268"/>
      <c r="IEX647" s="268"/>
      <c r="IEY647" s="268"/>
      <c r="IEZ647" s="268"/>
      <c r="IFA647" s="268"/>
      <c r="IFB647" s="268"/>
      <c r="IFC647" s="268"/>
      <c r="IFD647" s="268"/>
      <c r="IFE647" s="268"/>
      <c r="IFF647" s="268"/>
      <c r="IFG647" s="268"/>
      <c r="IFH647" s="268"/>
      <c r="IFI647" s="268"/>
      <c r="IFJ647" s="268"/>
      <c r="IFK647" s="268"/>
      <c r="IFL647" s="268"/>
      <c r="IFM647" s="268"/>
      <c r="IFN647" s="268"/>
      <c r="IFO647" s="268"/>
      <c r="IFP647" s="268"/>
      <c r="IFQ647" s="268"/>
      <c r="IFR647" s="268"/>
      <c r="IFS647" s="268"/>
      <c r="IFT647" s="268"/>
      <c r="IFU647" s="268"/>
      <c r="IFV647" s="268"/>
      <c r="IFW647" s="268"/>
      <c r="IFX647" s="268"/>
      <c r="IFY647" s="268"/>
      <c r="IFZ647" s="268"/>
      <c r="IGA647" s="268"/>
      <c r="IGB647" s="268"/>
      <c r="IGC647" s="268"/>
      <c r="IGD647" s="268"/>
      <c r="IGE647" s="268"/>
      <c r="IGF647" s="268"/>
      <c r="IGG647" s="268"/>
      <c r="IGH647" s="268"/>
      <c r="IGI647" s="268"/>
      <c r="IGJ647" s="268"/>
      <c r="IGK647" s="268"/>
      <c r="IGL647" s="268"/>
      <c r="IGM647" s="268"/>
      <c r="IGN647" s="268"/>
      <c r="IGO647" s="268"/>
      <c r="IGP647" s="268"/>
      <c r="IGQ647" s="268"/>
      <c r="IGR647" s="268"/>
      <c r="IGS647" s="268"/>
      <c r="IGT647" s="268"/>
      <c r="IGU647" s="268"/>
      <c r="IGV647" s="268"/>
      <c r="IGW647" s="268"/>
      <c r="IGX647" s="268"/>
      <c r="IGY647" s="268"/>
      <c r="IGZ647" s="268"/>
      <c r="IHA647" s="268"/>
      <c r="IHB647" s="268"/>
      <c r="IHC647" s="268"/>
      <c r="IHD647" s="268"/>
      <c r="IHE647" s="268"/>
      <c r="IHF647" s="268"/>
      <c r="IHG647" s="268"/>
      <c r="IHH647" s="268"/>
      <c r="IHI647" s="268"/>
      <c r="IHJ647" s="268"/>
      <c r="IHK647" s="268"/>
      <c r="IHL647" s="268"/>
      <c r="IHM647" s="268"/>
      <c r="IHN647" s="268"/>
      <c r="IHO647" s="268"/>
      <c r="IHP647" s="268"/>
      <c r="IHQ647" s="268"/>
      <c r="IHR647" s="268"/>
      <c r="IHS647" s="268"/>
      <c r="IHT647" s="268"/>
      <c r="IHU647" s="268"/>
      <c r="IHV647" s="268"/>
      <c r="IHW647" s="268"/>
      <c r="IHX647" s="268"/>
      <c r="IHY647" s="268"/>
      <c r="IHZ647" s="268"/>
      <c r="IIA647" s="268"/>
      <c r="IIB647" s="268"/>
      <c r="IIC647" s="268"/>
      <c r="IID647" s="268"/>
      <c r="IIE647" s="268"/>
      <c r="IIF647" s="268"/>
      <c r="IIG647" s="268"/>
      <c r="IIH647" s="268"/>
      <c r="III647" s="268"/>
      <c r="IIJ647" s="268"/>
      <c r="IIK647" s="268"/>
      <c r="IIL647" s="268"/>
      <c r="IIM647" s="268"/>
      <c r="IIN647" s="268"/>
      <c r="IIO647" s="268"/>
      <c r="IIP647" s="268"/>
      <c r="IIQ647" s="268"/>
      <c r="IIR647" s="268"/>
      <c r="IIS647" s="268"/>
      <c r="IIT647" s="268"/>
      <c r="IIU647" s="268"/>
      <c r="IIV647" s="268"/>
      <c r="IIW647" s="268"/>
      <c r="IIX647" s="268"/>
      <c r="IIY647" s="268"/>
      <c r="IIZ647" s="268"/>
      <c r="IJA647" s="268"/>
      <c r="IJB647" s="268"/>
      <c r="IJC647" s="268"/>
      <c r="IJD647" s="268"/>
      <c r="IJE647" s="268"/>
      <c r="IJF647" s="268"/>
      <c r="IJG647" s="268"/>
      <c r="IJH647" s="268"/>
      <c r="IJI647" s="268"/>
      <c r="IJJ647" s="268"/>
      <c r="IJK647" s="268"/>
      <c r="IJL647" s="268"/>
      <c r="IJM647" s="268"/>
      <c r="IJN647" s="268"/>
      <c r="IJO647" s="268"/>
      <c r="IJP647" s="268"/>
      <c r="IJQ647" s="268"/>
      <c r="IJR647" s="268"/>
      <c r="IJS647" s="268"/>
      <c r="IJT647" s="268"/>
      <c r="IJU647" s="268"/>
      <c r="IJV647" s="268"/>
      <c r="IJW647" s="268"/>
      <c r="IJX647" s="268"/>
      <c r="IJY647" s="268"/>
      <c r="IJZ647" s="268"/>
      <c r="IKA647" s="268"/>
      <c r="IKB647" s="268"/>
      <c r="IKC647" s="268"/>
      <c r="IKD647" s="268"/>
      <c r="IKE647" s="268"/>
      <c r="IKF647" s="268"/>
      <c r="IKG647" s="268"/>
      <c r="IKH647" s="268"/>
      <c r="IKI647" s="268"/>
      <c r="IKJ647" s="268"/>
      <c r="IKK647" s="268"/>
      <c r="IKL647" s="268"/>
      <c r="IKM647" s="268"/>
      <c r="IKN647" s="268"/>
      <c r="IKO647" s="268"/>
      <c r="IKP647" s="268"/>
      <c r="IKQ647" s="268"/>
      <c r="IKR647" s="268"/>
      <c r="IKS647" s="268"/>
      <c r="IKT647" s="268"/>
      <c r="IKU647" s="268"/>
      <c r="ILI647" s="268"/>
      <c r="ILJ647" s="268"/>
      <c r="ILK647" s="268"/>
      <c r="ILY647" s="268"/>
      <c r="IMA647" s="268"/>
      <c r="IMB647" s="268"/>
      <c r="IMC647" s="268"/>
      <c r="IMD647" s="268"/>
      <c r="IME647" s="268"/>
      <c r="IMF647" s="268"/>
      <c r="IMG647" s="268"/>
      <c r="IMH647" s="268"/>
      <c r="IMI647" s="268"/>
      <c r="IMJ647" s="268"/>
      <c r="IMK647" s="268"/>
      <c r="IML647" s="268"/>
      <c r="IMM647" s="268"/>
      <c r="IMN647" s="268"/>
      <c r="IMO647" s="268"/>
      <c r="IMP647" s="268"/>
      <c r="IMQ647" s="268"/>
      <c r="IMR647" s="268"/>
      <c r="IMS647" s="268"/>
      <c r="IMT647" s="268"/>
      <c r="IMU647" s="268"/>
      <c r="IMV647" s="268"/>
      <c r="IMW647" s="268"/>
      <c r="IMX647" s="268"/>
      <c r="IMY647" s="268"/>
      <c r="IMZ647" s="268"/>
      <c r="INA647" s="268"/>
      <c r="INB647" s="268"/>
      <c r="INC647" s="268"/>
      <c r="IND647" s="268"/>
      <c r="INE647" s="268"/>
      <c r="INF647" s="268"/>
      <c r="ING647" s="268"/>
      <c r="INH647" s="268"/>
      <c r="INI647" s="268"/>
      <c r="INJ647" s="268"/>
      <c r="INK647" s="268"/>
      <c r="INL647" s="268"/>
      <c r="INM647" s="268"/>
      <c r="INN647" s="268"/>
      <c r="INO647" s="268"/>
      <c r="INP647" s="268"/>
      <c r="INQ647" s="268"/>
      <c r="INR647" s="268"/>
      <c r="INS647" s="268"/>
      <c r="INT647" s="268"/>
      <c r="INU647" s="268"/>
      <c r="INV647" s="268"/>
      <c r="INW647" s="268"/>
      <c r="INX647" s="268"/>
      <c r="INY647" s="268"/>
      <c r="INZ647" s="268"/>
      <c r="IOA647" s="268"/>
      <c r="IOB647" s="268"/>
      <c r="IOC647" s="268"/>
      <c r="IOD647" s="268"/>
      <c r="IOE647" s="268"/>
      <c r="IOF647" s="268"/>
      <c r="IOG647" s="268"/>
      <c r="IOH647" s="268"/>
      <c r="IOI647" s="268"/>
      <c r="IOJ647" s="268"/>
      <c r="IOK647" s="268"/>
      <c r="IOL647" s="268"/>
      <c r="IOM647" s="268"/>
      <c r="ION647" s="268"/>
      <c r="IOO647" s="268"/>
      <c r="IOP647" s="268"/>
      <c r="IOQ647" s="268"/>
      <c r="IOR647" s="268"/>
      <c r="IOS647" s="268"/>
      <c r="IOT647" s="268"/>
      <c r="IOU647" s="268"/>
      <c r="IOV647" s="268"/>
      <c r="IOW647" s="268"/>
      <c r="IOX647" s="268"/>
      <c r="IOY647" s="268"/>
      <c r="IOZ647" s="268"/>
      <c r="IPA647" s="268"/>
      <c r="IPB647" s="268"/>
      <c r="IPC647" s="268"/>
      <c r="IPD647" s="268"/>
      <c r="IPE647" s="268"/>
      <c r="IPF647" s="268"/>
      <c r="IPG647" s="268"/>
      <c r="IPH647" s="268"/>
      <c r="IPI647" s="268"/>
      <c r="IPJ647" s="268"/>
      <c r="IPK647" s="268"/>
      <c r="IPL647" s="268"/>
      <c r="IPM647" s="268"/>
      <c r="IPN647" s="268"/>
      <c r="IPO647" s="268"/>
      <c r="IPP647" s="268"/>
      <c r="IPQ647" s="268"/>
      <c r="IPR647" s="268"/>
      <c r="IPS647" s="268"/>
      <c r="IPT647" s="268"/>
      <c r="IPU647" s="268"/>
      <c r="IPV647" s="268"/>
      <c r="IPW647" s="268"/>
      <c r="IPX647" s="268"/>
      <c r="IPY647" s="268"/>
      <c r="IPZ647" s="268"/>
      <c r="IQA647" s="268"/>
      <c r="IQB647" s="268"/>
      <c r="IQC647" s="268"/>
      <c r="IQD647" s="268"/>
      <c r="IQE647" s="268"/>
      <c r="IQF647" s="268"/>
      <c r="IQG647" s="268"/>
      <c r="IQH647" s="268"/>
      <c r="IQI647" s="268"/>
      <c r="IQJ647" s="268"/>
      <c r="IQK647" s="268"/>
      <c r="IQL647" s="268"/>
      <c r="IQM647" s="268"/>
      <c r="IQN647" s="268"/>
      <c r="IQO647" s="268"/>
      <c r="IQP647" s="268"/>
      <c r="IQQ647" s="268"/>
      <c r="IQR647" s="268"/>
      <c r="IQS647" s="268"/>
      <c r="IQT647" s="268"/>
      <c r="IQU647" s="268"/>
      <c r="IQV647" s="268"/>
      <c r="IQW647" s="268"/>
      <c r="IQX647" s="268"/>
      <c r="IQY647" s="268"/>
      <c r="IQZ647" s="268"/>
      <c r="IRA647" s="268"/>
      <c r="IRB647" s="268"/>
      <c r="IRC647" s="268"/>
      <c r="IRD647" s="268"/>
      <c r="IRE647" s="268"/>
      <c r="IRF647" s="268"/>
      <c r="IRG647" s="268"/>
      <c r="IRH647" s="268"/>
      <c r="IRI647" s="268"/>
      <c r="IRJ647" s="268"/>
      <c r="IRK647" s="268"/>
      <c r="IRL647" s="268"/>
      <c r="IRM647" s="268"/>
      <c r="IRN647" s="268"/>
      <c r="IRO647" s="268"/>
      <c r="IRP647" s="268"/>
      <c r="IRQ647" s="268"/>
      <c r="IRR647" s="268"/>
      <c r="IRS647" s="268"/>
      <c r="IRT647" s="268"/>
      <c r="IRU647" s="268"/>
      <c r="IRV647" s="268"/>
      <c r="IRW647" s="268"/>
      <c r="IRX647" s="268"/>
      <c r="IRY647" s="268"/>
      <c r="IRZ647" s="268"/>
      <c r="ISA647" s="268"/>
      <c r="ISB647" s="268"/>
      <c r="ISC647" s="268"/>
      <c r="ISD647" s="268"/>
      <c r="ISE647" s="268"/>
      <c r="ISF647" s="268"/>
      <c r="ISG647" s="268"/>
      <c r="ISH647" s="268"/>
      <c r="ISI647" s="268"/>
      <c r="ISJ647" s="268"/>
      <c r="ISK647" s="268"/>
      <c r="ISL647" s="268"/>
      <c r="ISM647" s="268"/>
      <c r="ISN647" s="268"/>
      <c r="ISO647" s="268"/>
      <c r="ISP647" s="268"/>
      <c r="ISQ647" s="268"/>
      <c r="ISR647" s="268"/>
      <c r="ISS647" s="268"/>
      <c r="IST647" s="268"/>
      <c r="ISU647" s="268"/>
      <c r="ISV647" s="268"/>
      <c r="ISW647" s="268"/>
      <c r="ISX647" s="268"/>
      <c r="ISY647" s="268"/>
      <c r="ISZ647" s="268"/>
      <c r="ITA647" s="268"/>
      <c r="ITB647" s="268"/>
      <c r="ITC647" s="268"/>
      <c r="ITD647" s="268"/>
      <c r="ITE647" s="268"/>
      <c r="ITF647" s="268"/>
      <c r="ITG647" s="268"/>
      <c r="ITH647" s="268"/>
      <c r="ITI647" s="268"/>
      <c r="ITJ647" s="268"/>
      <c r="ITK647" s="268"/>
      <c r="ITL647" s="268"/>
      <c r="ITM647" s="268"/>
      <c r="ITN647" s="268"/>
      <c r="ITO647" s="268"/>
      <c r="ITP647" s="268"/>
      <c r="ITQ647" s="268"/>
      <c r="ITR647" s="268"/>
      <c r="ITS647" s="268"/>
      <c r="ITT647" s="268"/>
      <c r="ITU647" s="268"/>
      <c r="ITV647" s="268"/>
      <c r="ITW647" s="268"/>
      <c r="ITX647" s="268"/>
      <c r="ITY647" s="268"/>
      <c r="ITZ647" s="268"/>
      <c r="IUA647" s="268"/>
      <c r="IUB647" s="268"/>
      <c r="IUC647" s="268"/>
      <c r="IUD647" s="268"/>
      <c r="IUE647" s="268"/>
      <c r="IUF647" s="268"/>
      <c r="IUG647" s="268"/>
      <c r="IUH647" s="268"/>
      <c r="IUI647" s="268"/>
      <c r="IUJ647" s="268"/>
      <c r="IUK647" s="268"/>
      <c r="IUL647" s="268"/>
      <c r="IUM647" s="268"/>
      <c r="IUN647" s="268"/>
      <c r="IUO647" s="268"/>
      <c r="IUP647" s="268"/>
      <c r="IUQ647" s="268"/>
      <c r="IVE647" s="268"/>
      <c r="IVF647" s="268"/>
      <c r="IVG647" s="268"/>
      <c r="IVU647" s="268"/>
      <c r="IVW647" s="268"/>
      <c r="IVX647" s="268"/>
      <c r="IVY647" s="268"/>
      <c r="IVZ647" s="268"/>
      <c r="IWA647" s="268"/>
      <c r="IWB647" s="268"/>
      <c r="IWC647" s="268"/>
      <c r="IWD647" s="268"/>
      <c r="IWE647" s="268"/>
      <c r="IWF647" s="268"/>
      <c r="IWG647" s="268"/>
      <c r="IWH647" s="268"/>
      <c r="IWI647" s="268"/>
      <c r="IWJ647" s="268"/>
      <c r="IWK647" s="268"/>
      <c r="IWL647" s="268"/>
      <c r="IWM647" s="268"/>
      <c r="IWN647" s="268"/>
      <c r="IWO647" s="268"/>
      <c r="IWP647" s="268"/>
      <c r="IWQ647" s="268"/>
      <c r="IWR647" s="268"/>
      <c r="IWS647" s="268"/>
      <c r="IWT647" s="268"/>
      <c r="IWU647" s="268"/>
      <c r="IWV647" s="268"/>
      <c r="IWW647" s="268"/>
      <c r="IWX647" s="268"/>
      <c r="IWY647" s="268"/>
      <c r="IWZ647" s="268"/>
      <c r="IXA647" s="268"/>
      <c r="IXB647" s="268"/>
      <c r="IXC647" s="268"/>
      <c r="IXD647" s="268"/>
      <c r="IXE647" s="268"/>
      <c r="IXF647" s="268"/>
      <c r="IXG647" s="268"/>
      <c r="IXH647" s="268"/>
      <c r="IXI647" s="268"/>
      <c r="IXJ647" s="268"/>
      <c r="IXK647" s="268"/>
      <c r="IXL647" s="268"/>
      <c r="IXM647" s="268"/>
      <c r="IXN647" s="268"/>
      <c r="IXO647" s="268"/>
      <c r="IXP647" s="268"/>
      <c r="IXQ647" s="268"/>
      <c r="IXR647" s="268"/>
      <c r="IXS647" s="268"/>
      <c r="IXT647" s="268"/>
      <c r="IXU647" s="268"/>
      <c r="IXV647" s="268"/>
      <c r="IXW647" s="268"/>
      <c r="IXX647" s="268"/>
      <c r="IXY647" s="268"/>
      <c r="IXZ647" s="268"/>
      <c r="IYA647" s="268"/>
      <c r="IYB647" s="268"/>
      <c r="IYC647" s="268"/>
      <c r="IYD647" s="268"/>
      <c r="IYE647" s="268"/>
      <c r="IYF647" s="268"/>
      <c r="IYG647" s="268"/>
      <c r="IYH647" s="268"/>
      <c r="IYI647" s="268"/>
      <c r="IYJ647" s="268"/>
      <c r="IYK647" s="268"/>
      <c r="IYL647" s="268"/>
      <c r="IYM647" s="268"/>
      <c r="IYN647" s="268"/>
      <c r="IYO647" s="268"/>
      <c r="IYP647" s="268"/>
      <c r="IYQ647" s="268"/>
      <c r="IYR647" s="268"/>
      <c r="IYS647" s="268"/>
      <c r="IYT647" s="268"/>
      <c r="IYU647" s="268"/>
      <c r="IYV647" s="268"/>
      <c r="IYW647" s="268"/>
      <c r="IYX647" s="268"/>
      <c r="IYY647" s="268"/>
      <c r="IYZ647" s="268"/>
      <c r="IZA647" s="268"/>
      <c r="IZB647" s="268"/>
      <c r="IZC647" s="268"/>
      <c r="IZD647" s="268"/>
      <c r="IZE647" s="268"/>
      <c r="IZF647" s="268"/>
      <c r="IZG647" s="268"/>
      <c r="IZH647" s="268"/>
      <c r="IZI647" s="268"/>
      <c r="IZJ647" s="268"/>
      <c r="IZK647" s="268"/>
      <c r="IZL647" s="268"/>
      <c r="IZM647" s="268"/>
      <c r="IZN647" s="268"/>
      <c r="IZO647" s="268"/>
      <c r="IZP647" s="268"/>
      <c r="IZQ647" s="268"/>
      <c r="IZR647" s="268"/>
      <c r="IZS647" s="268"/>
      <c r="IZT647" s="268"/>
      <c r="IZU647" s="268"/>
      <c r="IZV647" s="268"/>
      <c r="IZW647" s="268"/>
      <c r="IZX647" s="268"/>
      <c r="IZY647" s="268"/>
      <c r="IZZ647" s="268"/>
      <c r="JAA647" s="268"/>
      <c r="JAB647" s="268"/>
      <c r="JAC647" s="268"/>
      <c r="JAD647" s="268"/>
      <c r="JAE647" s="268"/>
      <c r="JAF647" s="268"/>
      <c r="JAG647" s="268"/>
      <c r="JAH647" s="268"/>
      <c r="JAI647" s="268"/>
      <c r="JAJ647" s="268"/>
      <c r="JAK647" s="268"/>
      <c r="JAL647" s="268"/>
      <c r="JAM647" s="268"/>
      <c r="JAN647" s="268"/>
      <c r="JAO647" s="268"/>
      <c r="JAP647" s="268"/>
      <c r="JAQ647" s="268"/>
      <c r="JAR647" s="268"/>
      <c r="JAS647" s="268"/>
      <c r="JAT647" s="268"/>
      <c r="JAU647" s="268"/>
      <c r="JAV647" s="268"/>
      <c r="JAW647" s="268"/>
      <c r="JAX647" s="268"/>
      <c r="JAY647" s="268"/>
      <c r="JAZ647" s="268"/>
      <c r="JBA647" s="268"/>
      <c r="JBB647" s="268"/>
      <c r="JBC647" s="268"/>
      <c r="JBD647" s="268"/>
      <c r="JBE647" s="268"/>
      <c r="JBF647" s="268"/>
      <c r="JBG647" s="268"/>
      <c r="JBH647" s="268"/>
      <c r="JBI647" s="268"/>
      <c r="JBJ647" s="268"/>
      <c r="JBK647" s="268"/>
      <c r="JBL647" s="268"/>
      <c r="JBM647" s="268"/>
      <c r="JBN647" s="268"/>
      <c r="JBO647" s="268"/>
      <c r="JBP647" s="268"/>
      <c r="JBQ647" s="268"/>
      <c r="JBR647" s="268"/>
      <c r="JBS647" s="268"/>
      <c r="JBT647" s="268"/>
      <c r="JBU647" s="268"/>
      <c r="JBV647" s="268"/>
      <c r="JBW647" s="268"/>
      <c r="JBX647" s="268"/>
      <c r="JBY647" s="268"/>
      <c r="JBZ647" s="268"/>
      <c r="JCA647" s="268"/>
      <c r="JCB647" s="268"/>
      <c r="JCC647" s="268"/>
      <c r="JCD647" s="268"/>
      <c r="JCE647" s="268"/>
      <c r="JCF647" s="268"/>
      <c r="JCG647" s="268"/>
      <c r="JCH647" s="268"/>
      <c r="JCI647" s="268"/>
      <c r="JCJ647" s="268"/>
      <c r="JCK647" s="268"/>
      <c r="JCL647" s="268"/>
      <c r="JCM647" s="268"/>
      <c r="JCN647" s="268"/>
      <c r="JCO647" s="268"/>
      <c r="JCP647" s="268"/>
      <c r="JCQ647" s="268"/>
      <c r="JCR647" s="268"/>
      <c r="JCS647" s="268"/>
      <c r="JCT647" s="268"/>
      <c r="JCU647" s="268"/>
      <c r="JCV647" s="268"/>
      <c r="JCW647" s="268"/>
      <c r="JCX647" s="268"/>
      <c r="JCY647" s="268"/>
      <c r="JCZ647" s="268"/>
      <c r="JDA647" s="268"/>
      <c r="JDB647" s="268"/>
      <c r="JDC647" s="268"/>
      <c r="JDD647" s="268"/>
      <c r="JDE647" s="268"/>
      <c r="JDF647" s="268"/>
      <c r="JDG647" s="268"/>
      <c r="JDH647" s="268"/>
      <c r="JDI647" s="268"/>
      <c r="JDJ647" s="268"/>
      <c r="JDK647" s="268"/>
      <c r="JDL647" s="268"/>
      <c r="JDM647" s="268"/>
      <c r="JDN647" s="268"/>
      <c r="JDO647" s="268"/>
      <c r="JDP647" s="268"/>
      <c r="JDQ647" s="268"/>
      <c r="JDR647" s="268"/>
      <c r="JDS647" s="268"/>
      <c r="JDT647" s="268"/>
      <c r="JDU647" s="268"/>
      <c r="JDV647" s="268"/>
      <c r="JDW647" s="268"/>
      <c r="JDX647" s="268"/>
      <c r="JDY647" s="268"/>
      <c r="JDZ647" s="268"/>
      <c r="JEA647" s="268"/>
      <c r="JEB647" s="268"/>
      <c r="JEC647" s="268"/>
      <c r="JED647" s="268"/>
      <c r="JEE647" s="268"/>
      <c r="JEF647" s="268"/>
      <c r="JEG647" s="268"/>
      <c r="JEH647" s="268"/>
      <c r="JEI647" s="268"/>
      <c r="JEJ647" s="268"/>
      <c r="JEK647" s="268"/>
      <c r="JEL647" s="268"/>
      <c r="JEM647" s="268"/>
      <c r="JFA647" s="268"/>
      <c r="JFB647" s="268"/>
      <c r="JFC647" s="268"/>
      <c r="JFQ647" s="268"/>
      <c r="JFS647" s="268"/>
      <c r="JFT647" s="268"/>
      <c r="JFU647" s="268"/>
      <c r="JFV647" s="268"/>
      <c r="JFW647" s="268"/>
      <c r="JFX647" s="268"/>
      <c r="JFY647" s="268"/>
      <c r="JFZ647" s="268"/>
      <c r="JGA647" s="268"/>
      <c r="JGB647" s="268"/>
      <c r="JGC647" s="268"/>
      <c r="JGD647" s="268"/>
      <c r="JGE647" s="268"/>
      <c r="JGF647" s="268"/>
      <c r="JGG647" s="268"/>
      <c r="JGH647" s="268"/>
      <c r="JGI647" s="268"/>
      <c r="JGJ647" s="268"/>
      <c r="JGK647" s="268"/>
      <c r="JGL647" s="268"/>
      <c r="JGM647" s="268"/>
      <c r="JGN647" s="268"/>
      <c r="JGO647" s="268"/>
      <c r="JGP647" s="268"/>
      <c r="JGQ647" s="268"/>
      <c r="JGR647" s="268"/>
      <c r="JGS647" s="268"/>
      <c r="JGT647" s="268"/>
      <c r="JGU647" s="268"/>
      <c r="JGV647" s="268"/>
      <c r="JGW647" s="268"/>
      <c r="JGX647" s="268"/>
      <c r="JGY647" s="268"/>
      <c r="JGZ647" s="268"/>
      <c r="JHA647" s="268"/>
      <c r="JHB647" s="268"/>
      <c r="JHC647" s="268"/>
      <c r="JHD647" s="268"/>
      <c r="JHE647" s="268"/>
      <c r="JHF647" s="268"/>
      <c r="JHG647" s="268"/>
      <c r="JHH647" s="268"/>
      <c r="JHI647" s="268"/>
      <c r="JHJ647" s="268"/>
      <c r="JHK647" s="268"/>
      <c r="JHL647" s="268"/>
      <c r="JHM647" s="268"/>
      <c r="JHN647" s="268"/>
      <c r="JHO647" s="268"/>
      <c r="JHP647" s="268"/>
      <c r="JHQ647" s="268"/>
      <c r="JHR647" s="268"/>
      <c r="JHS647" s="268"/>
      <c r="JHT647" s="268"/>
      <c r="JHU647" s="268"/>
      <c r="JHV647" s="268"/>
      <c r="JHW647" s="268"/>
      <c r="JHX647" s="268"/>
      <c r="JHY647" s="268"/>
      <c r="JHZ647" s="268"/>
      <c r="JIA647" s="268"/>
      <c r="JIB647" s="268"/>
      <c r="JIC647" s="268"/>
      <c r="JID647" s="268"/>
      <c r="JIE647" s="268"/>
      <c r="JIF647" s="268"/>
      <c r="JIG647" s="268"/>
      <c r="JIH647" s="268"/>
      <c r="JII647" s="268"/>
      <c r="JIJ647" s="268"/>
      <c r="JIK647" s="268"/>
      <c r="JIL647" s="268"/>
      <c r="JIM647" s="268"/>
      <c r="JIN647" s="268"/>
      <c r="JIO647" s="268"/>
      <c r="JIP647" s="268"/>
      <c r="JIQ647" s="268"/>
      <c r="JIR647" s="268"/>
      <c r="JIS647" s="268"/>
      <c r="JIT647" s="268"/>
      <c r="JIU647" s="268"/>
      <c r="JIV647" s="268"/>
      <c r="JIW647" s="268"/>
      <c r="JIX647" s="268"/>
      <c r="JIY647" s="268"/>
      <c r="JIZ647" s="268"/>
      <c r="JJA647" s="268"/>
      <c r="JJB647" s="268"/>
      <c r="JJC647" s="268"/>
      <c r="JJD647" s="268"/>
      <c r="JJE647" s="268"/>
      <c r="JJF647" s="268"/>
      <c r="JJG647" s="268"/>
      <c r="JJH647" s="268"/>
      <c r="JJI647" s="268"/>
      <c r="JJJ647" s="268"/>
      <c r="JJK647" s="268"/>
      <c r="JJL647" s="268"/>
      <c r="JJM647" s="268"/>
      <c r="JJN647" s="268"/>
      <c r="JJO647" s="268"/>
      <c r="JJP647" s="268"/>
      <c r="JJQ647" s="268"/>
      <c r="JJR647" s="268"/>
      <c r="JJS647" s="268"/>
      <c r="JJT647" s="268"/>
      <c r="JJU647" s="268"/>
      <c r="JJV647" s="268"/>
      <c r="JJW647" s="268"/>
      <c r="JJX647" s="268"/>
      <c r="JJY647" s="268"/>
      <c r="JJZ647" s="268"/>
      <c r="JKA647" s="268"/>
      <c r="JKB647" s="268"/>
      <c r="JKC647" s="268"/>
      <c r="JKD647" s="268"/>
      <c r="JKE647" s="268"/>
      <c r="JKF647" s="268"/>
      <c r="JKG647" s="268"/>
      <c r="JKH647" s="268"/>
      <c r="JKI647" s="268"/>
      <c r="JKJ647" s="268"/>
      <c r="JKK647" s="268"/>
      <c r="JKL647" s="268"/>
      <c r="JKM647" s="268"/>
      <c r="JKN647" s="268"/>
      <c r="JKO647" s="268"/>
      <c r="JKP647" s="268"/>
      <c r="JKQ647" s="268"/>
      <c r="JKR647" s="268"/>
      <c r="JKS647" s="268"/>
      <c r="JKT647" s="268"/>
      <c r="JKU647" s="268"/>
      <c r="JKV647" s="268"/>
      <c r="JKW647" s="268"/>
      <c r="JKX647" s="268"/>
      <c r="JKY647" s="268"/>
      <c r="JKZ647" s="268"/>
      <c r="JLA647" s="268"/>
      <c r="JLB647" s="268"/>
      <c r="JLC647" s="268"/>
      <c r="JLD647" s="268"/>
      <c r="JLE647" s="268"/>
      <c r="JLF647" s="268"/>
      <c r="JLG647" s="268"/>
      <c r="JLH647" s="268"/>
      <c r="JLI647" s="268"/>
      <c r="JLJ647" s="268"/>
      <c r="JLK647" s="268"/>
      <c r="JLL647" s="268"/>
      <c r="JLM647" s="268"/>
      <c r="JLN647" s="268"/>
      <c r="JLO647" s="268"/>
      <c r="JLP647" s="268"/>
      <c r="JLQ647" s="268"/>
      <c r="JLR647" s="268"/>
      <c r="JLS647" s="268"/>
      <c r="JLT647" s="268"/>
      <c r="JLU647" s="268"/>
      <c r="JLV647" s="268"/>
      <c r="JLW647" s="268"/>
      <c r="JLX647" s="268"/>
      <c r="JLY647" s="268"/>
      <c r="JLZ647" s="268"/>
      <c r="JMA647" s="268"/>
      <c r="JMB647" s="268"/>
      <c r="JMC647" s="268"/>
      <c r="JMD647" s="268"/>
      <c r="JME647" s="268"/>
      <c r="JMF647" s="268"/>
      <c r="JMG647" s="268"/>
      <c r="JMH647" s="268"/>
      <c r="JMI647" s="268"/>
      <c r="JMJ647" s="268"/>
      <c r="JMK647" s="268"/>
      <c r="JML647" s="268"/>
      <c r="JMM647" s="268"/>
      <c r="JMN647" s="268"/>
      <c r="JMO647" s="268"/>
      <c r="JMP647" s="268"/>
      <c r="JMQ647" s="268"/>
      <c r="JMR647" s="268"/>
      <c r="JMS647" s="268"/>
      <c r="JMT647" s="268"/>
      <c r="JMU647" s="268"/>
      <c r="JMV647" s="268"/>
      <c r="JMW647" s="268"/>
      <c r="JMX647" s="268"/>
      <c r="JMY647" s="268"/>
      <c r="JMZ647" s="268"/>
      <c r="JNA647" s="268"/>
      <c r="JNB647" s="268"/>
      <c r="JNC647" s="268"/>
      <c r="JND647" s="268"/>
      <c r="JNE647" s="268"/>
      <c r="JNF647" s="268"/>
      <c r="JNG647" s="268"/>
      <c r="JNH647" s="268"/>
      <c r="JNI647" s="268"/>
      <c r="JNJ647" s="268"/>
      <c r="JNK647" s="268"/>
      <c r="JNL647" s="268"/>
      <c r="JNM647" s="268"/>
      <c r="JNN647" s="268"/>
      <c r="JNO647" s="268"/>
      <c r="JNP647" s="268"/>
      <c r="JNQ647" s="268"/>
      <c r="JNR647" s="268"/>
      <c r="JNS647" s="268"/>
      <c r="JNT647" s="268"/>
      <c r="JNU647" s="268"/>
      <c r="JNV647" s="268"/>
      <c r="JNW647" s="268"/>
      <c r="JNX647" s="268"/>
      <c r="JNY647" s="268"/>
      <c r="JNZ647" s="268"/>
      <c r="JOA647" s="268"/>
      <c r="JOB647" s="268"/>
      <c r="JOC647" s="268"/>
      <c r="JOD647" s="268"/>
      <c r="JOE647" s="268"/>
      <c r="JOF647" s="268"/>
      <c r="JOG647" s="268"/>
      <c r="JOH647" s="268"/>
      <c r="JOI647" s="268"/>
      <c r="JOW647" s="268"/>
      <c r="JOX647" s="268"/>
      <c r="JOY647" s="268"/>
      <c r="JPM647" s="268"/>
      <c r="JPO647" s="268"/>
      <c r="JPP647" s="268"/>
      <c r="JPQ647" s="268"/>
      <c r="JPR647" s="268"/>
      <c r="JPS647" s="268"/>
      <c r="JPT647" s="268"/>
      <c r="JPU647" s="268"/>
      <c r="JPV647" s="268"/>
      <c r="JPW647" s="268"/>
      <c r="JPX647" s="268"/>
      <c r="JPY647" s="268"/>
      <c r="JPZ647" s="268"/>
      <c r="JQA647" s="268"/>
      <c r="JQB647" s="268"/>
      <c r="JQC647" s="268"/>
      <c r="JQD647" s="268"/>
      <c r="JQE647" s="268"/>
      <c r="JQF647" s="268"/>
      <c r="JQG647" s="268"/>
      <c r="JQH647" s="268"/>
      <c r="JQI647" s="268"/>
      <c r="JQJ647" s="268"/>
      <c r="JQK647" s="268"/>
      <c r="JQL647" s="268"/>
      <c r="JQM647" s="268"/>
      <c r="JQN647" s="268"/>
      <c r="JQO647" s="268"/>
      <c r="JQP647" s="268"/>
      <c r="JQQ647" s="268"/>
      <c r="JQR647" s="268"/>
      <c r="JQS647" s="268"/>
      <c r="JQT647" s="268"/>
      <c r="JQU647" s="268"/>
      <c r="JQV647" s="268"/>
      <c r="JQW647" s="268"/>
      <c r="JQX647" s="268"/>
      <c r="JQY647" s="268"/>
      <c r="JQZ647" s="268"/>
      <c r="JRA647" s="268"/>
      <c r="JRB647" s="268"/>
      <c r="JRC647" s="268"/>
      <c r="JRD647" s="268"/>
      <c r="JRE647" s="268"/>
      <c r="JRF647" s="268"/>
      <c r="JRG647" s="268"/>
      <c r="JRH647" s="268"/>
      <c r="JRI647" s="268"/>
      <c r="JRJ647" s="268"/>
      <c r="JRK647" s="268"/>
      <c r="JRL647" s="268"/>
      <c r="JRM647" s="268"/>
      <c r="JRN647" s="268"/>
      <c r="JRO647" s="268"/>
      <c r="JRP647" s="268"/>
      <c r="JRQ647" s="268"/>
      <c r="JRR647" s="268"/>
      <c r="JRS647" s="268"/>
      <c r="JRT647" s="268"/>
      <c r="JRU647" s="268"/>
      <c r="JRV647" s="268"/>
      <c r="JRW647" s="268"/>
      <c r="JRX647" s="268"/>
      <c r="JRY647" s="268"/>
      <c r="JRZ647" s="268"/>
      <c r="JSA647" s="268"/>
      <c r="JSB647" s="268"/>
      <c r="JSC647" s="268"/>
      <c r="JSD647" s="268"/>
      <c r="JSE647" s="268"/>
      <c r="JSF647" s="268"/>
      <c r="JSG647" s="268"/>
      <c r="JSH647" s="268"/>
      <c r="JSI647" s="268"/>
      <c r="JSJ647" s="268"/>
      <c r="JSK647" s="268"/>
      <c r="JSL647" s="268"/>
      <c r="JSM647" s="268"/>
      <c r="JSN647" s="268"/>
      <c r="JSO647" s="268"/>
      <c r="JSP647" s="268"/>
      <c r="JSQ647" s="268"/>
      <c r="JSR647" s="268"/>
      <c r="JSS647" s="268"/>
      <c r="JST647" s="268"/>
      <c r="JSU647" s="268"/>
      <c r="JSV647" s="268"/>
      <c r="JSW647" s="268"/>
      <c r="JSX647" s="268"/>
      <c r="JSY647" s="268"/>
      <c r="JSZ647" s="268"/>
      <c r="JTA647" s="268"/>
      <c r="JTB647" s="268"/>
      <c r="JTC647" s="268"/>
      <c r="JTD647" s="268"/>
      <c r="JTE647" s="268"/>
      <c r="JTF647" s="268"/>
      <c r="JTG647" s="268"/>
      <c r="JTH647" s="268"/>
      <c r="JTI647" s="268"/>
      <c r="JTJ647" s="268"/>
      <c r="JTK647" s="268"/>
      <c r="JTL647" s="268"/>
      <c r="JTM647" s="268"/>
      <c r="JTN647" s="268"/>
      <c r="JTO647" s="268"/>
      <c r="JTP647" s="268"/>
      <c r="JTQ647" s="268"/>
      <c r="JTR647" s="268"/>
      <c r="JTS647" s="268"/>
      <c r="JTT647" s="268"/>
      <c r="JTU647" s="268"/>
      <c r="JTV647" s="268"/>
      <c r="JTW647" s="268"/>
      <c r="JTX647" s="268"/>
      <c r="JTY647" s="268"/>
      <c r="JTZ647" s="268"/>
      <c r="JUA647" s="268"/>
      <c r="JUB647" s="268"/>
      <c r="JUC647" s="268"/>
      <c r="JUD647" s="268"/>
      <c r="JUE647" s="268"/>
      <c r="JUF647" s="268"/>
      <c r="JUG647" s="268"/>
      <c r="JUH647" s="268"/>
      <c r="JUI647" s="268"/>
      <c r="JUJ647" s="268"/>
      <c r="JUK647" s="268"/>
      <c r="JUL647" s="268"/>
      <c r="JUM647" s="268"/>
      <c r="JUN647" s="268"/>
      <c r="JUO647" s="268"/>
      <c r="JUP647" s="268"/>
      <c r="JUQ647" s="268"/>
      <c r="JUR647" s="268"/>
      <c r="JUS647" s="268"/>
      <c r="JUT647" s="268"/>
      <c r="JUU647" s="268"/>
      <c r="JUV647" s="268"/>
      <c r="JUW647" s="268"/>
      <c r="JUX647" s="268"/>
      <c r="JUY647" s="268"/>
      <c r="JUZ647" s="268"/>
      <c r="JVA647" s="268"/>
      <c r="JVB647" s="268"/>
      <c r="JVC647" s="268"/>
      <c r="JVD647" s="268"/>
      <c r="JVE647" s="268"/>
      <c r="JVF647" s="268"/>
      <c r="JVG647" s="268"/>
      <c r="JVH647" s="268"/>
      <c r="JVI647" s="268"/>
      <c r="JVJ647" s="268"/>
      <c r="JVK647" s="268"/>
      <c r="JVL647" s="268"/>
      <c r="JVM647" s="268"/>
      <c r="JVN647" s="268"/>
      <c r="JVO647" s="268"/>
      <c r="JVP647" s="268"/>
      <c r="JVQ647" s="268"/>
      <c r="JVR647" s="268"/>
      <c r="JVS647" s="268"/>
      <c r="JVT647" s="268"/>
      <c r="JVU647" s="268"/>
      <c r="JVV647" s="268"/>
      <c r="JVW647" s="268"/>
      <c r="JVX647" s="268"/>
      <c r="JVY647" s="268"/>
      <c r="JVZ647" s="268"/>
      <c r="JWA647" s="268"/>
      <c r="JWB647" s="268"/>
      <c r="JWC647" s="268"/>
      <c r="JWD647" s="268"/>
      <c r="JWE647" s="268"/>
      <c r="JWF647" s="268"/>
      <c r="JWG647" s="268"/>
      <c r="JWH647" s="268"/>
      <c r="JWI647" s="268"/>
      <c r="JWJ647" s="268"/>
      <c r="JWK647" s="268"/>
      <c r="JWL647" s="268"/>
      <c r="JWM647" s="268"/>
      <c r="JWN647" s="268"/>
      <c r="JWO647" s="268"/>
      <c r="JWP647" s="268"/>
      <c r="JWQ647" s="268"/>
      <c r="JWR647" s="268"/>
      <c r="JWS647" s="268"/>
      <c r="JWT647" s="268"/>
      <c r="JWU647" s="268"/>
      <c r="JWV647" s="268"/>
      <c r="JWW647" s="268"/>
      <c r="JWX647" s="268"/>
      <c r="JWY647" s="268"/>
      <c r="JWZ647" s="268"/>
      <c r="JXA647" s="268"/>
      <c r="JXB647" s="268"/>
      <c r="JXC647" s="268"/>
      <c r="JXD647" s="268"/>
      <c r="JXE647" s="268"/>
      <c r="JXF647" s="268"/>
      <c r="JXG647" s="268"/>
      <c r="JXH647" s="268"/>
      <c r="JXI647" s="268"/>
      <c r="JXJ647" s="268"/>
      <c r="JXK647" s="268"/>
      <c r="JXL647" s="268"/>
      <c r="JXM647" s="268"/>
      <c r="JXN647" s="268"/>
      <c r="JXO647" s="268"/>
      <c r="JXP647" s="268"/>
      <c r="JXQ647" s="268"/>
      <c r="JXR647" s="268"/>
      <c r="JXS647" s="268"/>
      <c r="JXT647" s="268"/>
      <c r="JXU647" s="268"/>
      <c r="JXV647" s="268"/>
      <c r="JXW647" s="268"/>
      <c r="JXX647" s="268"/>
      <c r="JXY647" s="268"/>
      <c r="JXZ647" s="268"/>
      <c r="JYA647" s="268"/>
      <c r="JYB647" s="268"/>
      <c r="JYC647" s="268"/>
      <c r="JYD647" s="268"/>
      <c r="JYE647" s="268"/>
      <c r="JYS647" s="268"/>
      <c r="JYT647" s="268"/>
      <c r="JYU647" s="268"/>
      <c r="JZI647" s="268"/>
      <c r="JZK647" s="268"/>
      <c r="JZL647" s="268"/>
      <c r="JZM647" s="268"/>
      <c r="JZN647" s="268"/>
      <c r="JZO647" s="268"/>
      <c r="JZP647" s="268"/>
      <c r="JZQ647" s="268"/>
      <c r="JZR647" s="268"/>
      <c r="JZS647" s="268"/>
      <c r="JZT647" s="268"/>
      <c r="JZU647" s="268"/>
      <c r="JZV647" s="268"/>
      <c r="JZW647" s="268"/>
      <c r="JZX647" s="268"/>
      <c r="JZY647" s="268"/>
      <c r="JZZ647" s="268"/>
      <c r="KAA647" s="268"/>
      <c r="KAB647" s="268"/>
      <c r="KAC647" s="268"/>
      <c r="KAD647" s="268"/>
      <c r="KAE647" s="268"/>
      <c r="KAF647" s="268"/>
      <c r="KAG647" s="268"/>
      <c r="KAH647" s="268"/>
      <c r="KAI647" s="268"/>
      <c r="KAJ647" s="268"/>
      <c r="KAK647" s="268"/>
      <c r="KAL647" s="268"/>
      <c r="KAM647" s="268"/>
      <c r="KAN647" s="268"/>
      <c r="KAO647" s="268"/>
      <c r="KAP647" s="268"/>
      <c r="KAQ647" s="268"/>
      <c r="KAR647" s="268"/>
      <c r="KAS647" s="268"/>
      <c r="KAT647" s="268"/>
      <c r="KAU647" s="268"/>
      <c r="KAV647" s="268"/>
      <c r="KAW647" s="268"/>
      <c r="KAX647" s="268"/>
      <c r="KAY647" s="268"/>
      <c r="KAZ647" s="268"/>
      <c r="KBA647" s="268"/>
      <c r="KBB647" s="268"/>
      <c r="KBC647" s="268"/>
      <c r="KBD647" s="268"/>
      <c r="KBE647" s="268"/>
      <c r="KBF647" s="268"/>
      <c r="KBG647" s="268"/>
      <c r="KBH647" s="268"/>
      <c r="KBI647" s="268"/>
      <c r="KBJ647" s="268"/>
      <c r="KBK647" s="268"/>
      <c r="KBL647" s="268"/>
      <c r="KBM647" s="268"/>
      <c r="KBN647" s="268"/>
      <c r="KBO647" s="268"/>
      <c r="KBP647" s="268"/>
      <c r="KBQ647" s="268"/>
      <c r="KBR647" s="268"/>
      <c r="KBS647" s="268"/>
      <c r="KBT647" s="268"/>
      <c r="KBU647" s="268"/>
      <c r="KBV647" s="268"/>
      <c r="KBW647" s="268"/>
      <c r="KBX647" s="268"/>
      <c r="KBY647" s="268"/>
      <c r="KBZ647" s="268"/>
      <c r="KCA647" s="268"/>
      <c r="KCB647" s="268"/>
      <c r="KCC647" s="268"/>
      <c r="KCD647" s="268"/>
      <c r="KCE647" s="268"/>
      <c r="KCF647" s="268"/>
      <c r="KCG647" s="268"/>
      <c r="KCH647" s="268"/>
      <c r="KCI647" s="268"/>
      <c r="KCJ647" s="268"/>
      <c r="KCK647" s="268"/>
      <c r="KCL647" s="268"/>
      <c r="KCM647" s="268"/>
      <c r="KCN647" s="268"/>
      <c r="KCO647" s="268"/>
      <c r="KCP647" s="268"/>
      <c r="KCQ647" s="268"/>
      <c r="KCR647" s="268"/>
      <c r="KCS647" s="268"/>
      <c r="KCT647" s="268"/>
      <c r="KCU647" s="268"/>
      <c r="KCV647" s="268"/>
      <c r="KCW647" s="268"/>
      <c r="KCX647" s="268"/>
      <c r="KCY647" s="268"/>
      <c r="KCZ647" s="268"/>
      <c r="KDA647" s="268"/>
      <c r="KDB647" s="268"/>
      <c r="KDC647" s="268"/>
      <c r="KDD647" s="268"/>
      <c r="KDE647" s="268"/>
      <c r="KDF647" s="268"/>
      <c r="KDG647" s="268"/>
      <c r="KDH647" s="268"/>
      <c r="KDI647" s="268"/>
      <c r="KDJ647" s="268"/>
      <c r="KDK647" s="268"/>
      <c r="KDL647" s="268"/>
      <c r="KDM647" s="268"/>
      <c r="KDN647" s="268"/>
      <c r="KDO647" s="268"/>
      <c r="KDP647" s="268"/>
      <c r="KDQ647" s="268"/>
      <c r="KDR647" s="268"/>
      <c r="KDS647" s="268"/>
      <c r="KDT647" s="268"/>
      <c r="KDU647" s="268"/>
      <c r="KDV647" s="268"/>
      <c r="KDW647" s="268"/>
      <c r="KDX647" s="268"/>
      <c r="KDY647" s="268"/>
      <c r="KDZ647" s="268"/>
      <c r="KEA647" s="268"/>
      <c r="KEB647" s="268"/>
      <c r="KEC647" s="268"/>
      <c r="KED647" s="268"/>
      <c r="KEE647" s="268"/>
      <c r="KEF647" s="268"/>
      <c r="KEG647" s="268"/>
      <c r="KEH647" s="268"/>
      <c r="KEI647" s="268"/>
      <c r="KEJ647" s="268"/>
      <c r="KEK647" s="268"/>
      <c r="KEL647" s="268"/>
      <c r="KEM647" s="268"/>
      <c r="KEN647" s="268"/>
      <c r="KEO647" s="268"/>
      <c r="KEP647" s="268"/>
      <c r="KEQ647" s="268"/>
      <c r="KER647" s="268"/>
      <c r="KES647" s="268"/>
      <c r="KET647" s="268"/>
      <c r="KEU647" s="268"/>
      <c r="KEV647" s="268"/>
      <c r="KEW647" s="268"/>
      <c r="KEX647" s="268"/>
      <c r="KEY647" s="268"/>
      <c r="KEZ647" s="268"/>
      <c r="KFA647" s="268"/>
      <c r="KFB647" s="268"/>
      <c r="KFC647" s="268"/>
      <c r="KFD647" s="268"/>
      <c r="KFE647" s="268"/>
      <c r="KFF647" s="268"/>
      <c r="KFG647" s="268"/>
      <c r="KFH647" s="268"/>
      <c r="KFI647" s="268"/>
      <c r="KFJ647" s="268"/>
      <c r="KFK647" s="268"/>
      <c r="KFL647" s="268"/>
      <c r="KFM647" s="268"/>
      <c r="KFN647" s="268"/>
      <c r="KFO647" s="268"/>
      <c r="KFP647" s="268"/>
      <c r="KFQ647" s="268"/>
      <c r="KFR647" s="268"/>
      <c r="KFS647" s="268"/>
      <c r="KFT647" s="268"/>
      <c r="KFU647" s="268"/>
      <c r="KFV647" s="268"/>
      <c r="KFW647" s="268"/>
      <c r="KFX647" s="268"/>
      <c r="KFY647" s="268"/>
      <c r="KFZ647" s="268"/>
      <c r="KGA647" s="268"/>
      <c r="KGB647" s="268"/>
      <c r="KGC647" s="268"/>
      <c r="KGD647" s="268"/>
      <c r="KGE647" s="268"/>
      <c r="KGF647" s="268"/>
      <c r="KGG647" s="268"/>
      <c r="KGH647" s="268"/>
      <c r="KGI647" s="268"/>
      <c r="KGJ647" s="268"/>
      <c r="KGK647" s="268"/>
      <c r="KGL647" s="268"/>
      <c r="KGM647" s="268"/>
      <c r="KGN647" s="268"/>
      <c r="KGO647" s="268"/>
      <c r="KGP647" s="268"/>
      <c r="KGQ647" s="268"/>
      <c r="KGR647" s="268"/>
      <c r="KGS647" s="268"/>
      <c r="KGT647" s="268"/>
      <c r="KGU647" s="268"/>
      <c r="KGV647" s="268"/>
      <c r="KGW647" s="268"/>
      <c r="KGX647" s="268"/>
      <c r="KGY647" s="268"/>
      <c r="KGZ647" s="268"/>
      <c r="KHA647" s="268"/>
      <c r="KHB647" s="268"/>
      <c r="KHC647" s="268"/>
      <c r="KHD647" s="268"/>
      <c r="KHE647" s="268"/>
      <c r="KHF647" s="268"/>
      <c r="KHG647" s="268"/>
      <c r="KHH647" s="268"/>
      <c r="KHI647" s="268"/>
      <c r="KHJ647" s="268"/>
      <c r="KHK647" s="268"/>
      <c r="KHL647" s="268"/>
      <c r="KHM647" s="268"/>
      <c r="KHN647" s="268"/>
      <c r="KHO647" s="268"/>
      <c r="KHP647" s="268"/>
      <c r="KHQ647" s="268"/>
      <c r="KHR647" s="268"/>
      <c r="KHS647" s="268"/>
      <c r="KHT647" s="268"/>
      <c r="KHU647" s="268"/>
      <c r="KHV647" s="268"/>
      <c r="KHW647" s="268"/>
      <c r="KHX647" s="268"/>
      <c r="KHY647" s="268"/>
      <c r="KHZ647" s="268"/>
      <c r="KIA647" s="268"/>
      <c r="KIO647" s="268"/>
      <c r="KIP647" s="268"/>
      <c r="KIQ647" s="268"/>
      <c r="KJE647" s="268"/>
      <c r="KJG647" s="268"/>
      <c r="KJH647" s="268"/>
      <c r="KJI647" s="268"/>
      <c r="KJJ647" s="268"/>
      <c r="KJK647" s="268"/>
      <c r="KJL647" s="268"/>
      <c r="KJM647" s="268"/>
      <c r="KJN647" s="268"/>
      <c r="KJO647" s="268"/>
      <c r="KJP647" s="268"/>
      <c r="KJQ647" s="268"/>
      <c r="KJR647" s="268"/>
      <c r="KJS647" s="268"/>
      <c r="KJT647" s="268"/>
      <c r="KJU647" s="268"/>
      <c r="KJV647" s="268"/>
      <c r="KJW647" s="268"/>
      <c r="KJX647" s="268"/>
      <c r="KJY647" s="268"/>
      <c r="KJZ647" s="268"/>
      <c r="KKA647" s="268"/>
      <c r="KKB647" s="268"/>
      <c r="KKC647" s="268"/>
      <c r="KKD647" s="268"/>
      <c r="KKE647" s="268"/>
      <c r="KKF647" s="268"/>
      <c r="KKG647" s="268"/>
      <c r="KKH647" s="268"/>
      <c r="KKI647" s="268"/>
      <c r="KKJ647" s="268"/>
      <c r="KKK647" s="268"/>
      <c r="KKL647" s="268"/>
      <c r="KKM647" s="268"/>
      <c r="KKN647" s="268"/>
      <c r="KKO647" s="268"/>
      <c r="KKP647" s="268"/>
      <c r="KKQ647" s="268"/>
      <c r="KKR647" s="268"/>
      <c r="KKS647" s="268"/>
      <c r="KKT647" s="268"/>
      <c r="KKU647" s="268"/>
      <c r="KKV647" s="268"/>
      <c r="KKW647" s="268"/>
      <c r="KKX647" s="268"/>
      <c r="KKY647" s="268"/>
      <c r="KKZ647" s="268"/>
      <c r="KLA647" s="268"/>
      <c r="KLB647" s="268"/>
      <c r="KLC647" s="268"/>
      <c r="KLD647" s="268"/>
      <c r="KLE647" s="268"/>
      <c r="KLF647" s="268"/>
      <c r="KLG647" s="268"/>
      <c r="KLH647" s="268"/>
      <c r="KLI647" s="268"/>
      <c r="KLJ647" s="268"/>
      <c r="KLK647" s="268"/>
      <c r="KLL647" s="268"/>
      <c r="KLM647" s="268"/>
      <c r="KLN647" s="268"/>
      <c r="KLO647" s="268"/>
      <c r="KLP647" s="268"/>
      <c r="KLQ647" s="268"/>
      <c r="KLR647" s="268"/>
      <c r="KLS647" s="268"/>
      <c r="KLT647" s="268"/>
      <c r="KLU647" s="268"/>
      <c r="KLV647" s="268"/>
      <c r="KLW647" s="268"/>
      <c r="KLX647" s="268"/>
      <c r="KLY647" s="268"/>
      <c r="KLZ647" s="268"/>
      <c r="KMA647" s="268"/>
      <c r="KMB647" s="268"/>
      <c r="KMC647" s="268"/>
      <c r="KMD647" s="268"/>
      <c r="KME647" s="268"/>
      <c r="KMF647" s="268"/>
      <c r="KMG647" s="268"/>
      <c r="KMH647" s="268"/>
      <c r="KMI647" s="268"/>
      <c r="KMJ647" s="268"/>
      <c r="KMK647" s="268"/>
      <c r="KML647" s="268"/>
      <c r="KMM647" s="268"/>
      <c r="KMN647" s="268"/>
      <c r="KMO647" s="268"/>
      <c r="KMP647" s="268"/>
      <c r="KMQ647" s="268"/>
      <c r="KMR647" s="268"/>
      <c r="KMS647" s="268"/>
      <c r="KMT647" s="268"/>
      <c r="KMU647" s="268"/>
      <c r="KMV647" s="268"/>
      <c r="KMW647" s="268"/>
      <c r="KMX647" s="268"/>
      <c r="KMY647" s="268"/>
      <c r="KMZ647" s="268"/>
      <c r="KNA647" s="268"/>
      <c r="KNB647" s="268"/>
      <c r="KNC647" s="268"/>
      <c r="KND647" s="268"/>
      <c r="KNE647" s="268"/>
      <c r="KNF647" s="268"/>
      <c r="KNG647" s="268"/>
      <c r="KNH647" s="268"/>
      <c r="KNI647" s="268"/>
      <c r="KNJ647" s="268"/>
      <c r="KNK647" s="268"/>
      <c r="KNL647" s="268"/>
      <c r="KNM647" s="268"/>
      <c r="KNN647" s="268"/>
      <c r="KNO647" s="268"/>
      <c r="KNP647" s="268"/>
      <c r="KNQ647" s="268"/>
      <c r="KNR647" s="268"/>
      <c r="KNS647" s="268"/>
      <c r="KNT647" s="268"/>
      <c r="KNU647" s="268"/>
      <c r="KNV647" s="268"/>
      <c r="KNW647" s="268"/>
      <c r="KNX647" s="268"/>
      <c r="KNY647" s="268"/>
      <c r="KNZ647" s="268"/>
      <c r="KOA647" s="268"/>
      <c r="KOB647" s="268"/>
      <c r="KOC647" s="268"/>
      <c r="KOD647" s="268"/>
      <c r="KOE647" s="268"/>
      <c r="KOF647" s="268"/>
      <c r="KOG647" s="268"/>
      <c r="KOH647" s="268"/>
      <c r="KOI647" s="268"/>
      <c r="KOJ647" s="268"/>
      <c r="KOK647" s="268"/>
      <c r="KOL647" s="268"/>
      <c r="KOM647" s="268"/>
      <c r="KON647" s="268"/>
      <c r="KOO647" s="268"/>
      <c r="KOP647" s="268"/>
      <c r="KOQ647" s="268"/>
      <c r="KOR647" s="268"/>
      <c r="KOS647" s="268"/>
      <c r="KOT647" s="268"/>
      <c r="KOU647" s="268"/>
      <c r="KOV647" s="268"/>
      <c r="KOW647" s="268"/>
      <c r="KOX647" s="268"/>
      <c r="KOY647" s="268"/>
      <c r="KOZ647" s="268"/>
      <c r="KPA647" s="268"/>
      <c r="KPB647" s="268"/>
      <c r="KPC647" s="268"/>
      <c r="KPD647" s="268"/>
      <c r="KPE647" s="268"/>
      <c r="KPF647" s="268"/>
      <c r="KPG647" s="268"/>
      <c r="KPH647" s="268"/>
      <c r="KPI647" s="268"/>
      <c r="KPJ647" s="268"/>
      <c r="KPK647" s="268"/>
      <c r="KPL647" s="268"/>
      <c r="KPM647" s="268"/>
      <c r="KPN647" s="268"/>
      <c r="KPO647" s="268"/>
      <c r="KPP647" s="268"/>
      <c r="KPQ647" s="268"/>
      <c r="KPR647" s="268"/>
      <c r="KPS647" s="268"/>
      <c r="KPT647" s="268"/>
      <c r="KPU647" s="268"/>
      <c r="KPV647" s="268"/>
      <c r="KPW647" s="268"/>
      <c r="KPX647" s="268"/>
      <c r="KPY647" s="268"/>
      <c r="KPZ647" s="268"/>
      <c r="KQA647" s="268"/>
      <c r="KQB647" s="268"/>
      <c r="KQC647" s="268"/>
      <c r="KQD647" s="268"/>
      <c r="KQE647" s="268"/>
      <c r="KQF647" s="268"/>
      <c r="KQG647" s="268"/>
      <c r="KQH647" s="268"/>
      <c r="KQI647" s="268"/>
      <c r="KQJ647" s="268"/>
      <c r="KQK647" s="268"/>
      <c r="KQL647" s="268"/>
      <c r="KQM647" s="268"/>
      <c r="KQN647" s="268"/>
      <c r="KQO647" s="268"/>
      <c r="KQP647" s="268"/>
      <c r="KQQ647" s="268"/>
      <c r="KQR647" s="268"/>
      <c r="KQS647" s="268"/>
      <c r="KQT647" s="268"/>
      <c r="KQU647" s="268"/>
      <c r="KQV647" s="268"/>
      <c r="KQW647" s="268"/>
      <c r="KQX647" s="268"/>
      <c r="KQY647" s="268"/>
      <c r="KQZ647" s="268"/>
      <c r="KRA647" s="268"/>
      <c r="KRB647" s="268"/>
      <c r="KRC647" s="268"/>
      <c r="KRD647" s="268"/>
      <c r="KRE647" s="268"/>
      <c r="KRF647" s="268"/>
      <c r="KRG647" s="268"/>
      <c r="KRH647" s="268"/>
      <c r="KRI647" s="268"/>
      <c r="KRJ647" s="268"/>
      <c r="KRK647" s="268"/>
      <c r="KRL647" s="268"/>
      <c r="KRM647" s="268"/>
      <c r="KRN647" s="268"/>
      <c r="KRO647" s="268"/>
      <c r="KRP647" s="268"/>
      <c r="KRQ647" s="268"/>
      <c r="KRR647" s="268"/>
      <c r="KRS647" s="268"/>
      <c r="KRT647" s="268"/>
      <c r="KRU647" s="268"/>
      <c r="KRV647" s="268"/>
      <c r="KRW647" s="268"/>
      <c r="KSK647" s="268"/>
      <c r="KSL647" s="268"/>
      <c r="KSM647" s="268"/>
      <c r="KTA647" s="268"/>
      <c r="KTC647" s="268"/>
      <c r="KTD647" s="268"/>
      <c r="KTE647" s="268"/>
      <c r="KTF647" s="268"/>
      <c r="KTG647" s="268"/>
      <c r="KTH647" s="268"/>
      <c r="KTI647" s="268"/>
      <c r="KTJ647" s="268"/>
      <c r="KTK647" s="268"/>
      <c r="KTL647" s="268"/>
      <c r="KTM647" s="268"/>
      <c r="KTN647" s="268"/>
      <c r="KTO647" s="268"/>
      <c r="KTP647" s="268"/>
      <c r="KTQ647" s="268"/>
      <c r="KTR647" s="268"/>
      <c r="KTS647" s="268"/>
      <c r="KTT647" s="268"/>
      <c r="KTU647" s="268"/>
      <c r="KTV647" s="268"/>
      <c r="KTW647" s="268"/>
      <c r="KTX647" s="268"/>
      <c r="KTY647" s="268"/>
      <c r="KTZ647" s="268"/>
      <c r="KUA647" s="268"/>
      <c r="KUB647" s="268"/>
      <c r="KUC647" s="268"/>
      <c r="KUD647" s="268"/>
      <c r="KUE647" s="268"/>
      <c r="KUF647" s="268"/>
      <c r="KUG647" s="268"/>
      <c r="KUH647" s="268"/>
      <c r="KUI647" s="268"/>
      <c r="KUJ647" s="268"/>
      <c r="KUK647" s="268"/>
      <c r="KUL647" s="268"/>
      <c r="KUM647" s="268"/>
      <c r="KUN647" s="268"/>
      <c r="KUO647" s="268"/>
      <c r="KUP647" s="268"/>
      <c r="KUQ647" s="268"/>
      <c r="KUR647" s="268"/>
      <c r="KUS647" s="268"/>
      <c r="KUT647" s="268"/>
      <c r="KUU647" s="268"/>
      <c r="KUV647" s="268"/>
      <c r="KUW647" s="268"/>
      <c r="KUX647" s="268"/>
      <c r="KUY647" s="268"/>
      <c r="KUZ647" s="268"/>
      <c r="KVA647" s="268"/>
      <c r="KVB647" s="268"/>
      <c r="KVC647" s="268"/>
      <c r="KVD647" s="268"/>
      <c r="KVE647" s="268"/>
      <c r="KVF647" s="268"/>
      <c r="KVG647" s="268"/>
      <c r="KVH647" s="268"/>
      <c r="KVI647" s="268"/>
      <c r="KVJ647" s="268"/>
      <c r="KVK647" s="268"/>
      <c r="KVL647" s="268"/>
      <c r="KVM647" s="268"/>
      <c r="KVN647" s="268"/>
      <c r="KVO647" s="268"/>
      <c r="KVP647" s="268"/>
      <c r="KVQ647" s="268"/>
      <c r="KVR647" s="268"/>
      <c r="KVS647" s="268"/>
      <c r="KVT647" s="268"/>
      <c r="KVU647" s="268"/>
      <c r="KVV647" s="268"/>
      <c r="KVW647" s="268"/>
      <c r="KVX647" s="268"/>
      <c r="KVY647" s="268"/>
      <c r="KVZ647" s="268"/>
      <c r="KWA647" s="268"/>
      <c r="KWB647" s="268"/>
      <c r="KWC647" s="268"/>
      <c r="KWD647" s="268"/>
      <c r="KWE647" s="268"/>
      <c r="KWF647" s="268"/>
      <c r="KWG647" s="268"/>
      <c r="KWH647" s="268"/>
      <c r="KWI647" s="268"/>
      <c r="KWJ647" s="268"/>
      <c r="KWK647" s="268"/>
      <c r="KWL647" s="268"/>
      <c r="KWM647" s="268"/>
      <c r="KWN647" s="268"/>
      <c r="KWO647" s="268"/>
      <c r="KWP647" s="268"/>
      <c r="KWQ647" s="268"/>
      <c r="KWR647" s="268"/>
      <c r="KWS647" s="268"/>
      <c r="KWT647" s="268"/>
      <c r="KWU647" s="268"/>
      <c r="KWV647" s="268"/>
      <c r="KWW647" s="268"/>
      <c r="KWX647" s="268"/>
      <c r="KWY647" s="268"/>
      <c r="KWZ647" s="268"/>
      <c r="KXA647" s="268"/>
      <c r="KXB647" s="268"/>
      <c r="KXC647" s="268"/>
      <c r="KXD647" s="268"/>
      <c r="KXE647" s="268"/>
      <c r="KXF647" s="268"/>
      <c r="KXG647" s="268"/>
      <c r="KXH647" s="268"/>
      <c r="KXI647" s="268"/>
      <c r="KXJ647" s="268"/>
      <c r="KXK647" s="268"/>
      <c r="KXL647" s="268"/>
      <c r="KXM647" s="268"/>
      <c r="KXN647" s="268"/>
      <c r="KXO647" s="268"/>
      <c r="KXP647" s="268"/>
      <c r="KXQ647" s="268"/>
      <c r="KXR647" s="268"/>
      <c r="KXS647" s="268"/>
      <c r="KXT647" s="268"/>
      <c r="KXU647" s="268"/>
      <c r="KXV647" s="268"/>
      <c r="KXW647" s="268"/>
      <c r="KXX647" s="268"/>
      <c r="KXY647" s="268"/>
      <c r="KXZ647" s="268"/>
      <c r="KYA647" s="268"/>
      <c r="KYB647" s="268"/>
      <c r="KYC647" s="268"/>
      <c r="KYD647" s="268"/>
      <c r="KYE647" s="268"/>
      <c r="KYF647" s="268"/>
      <c r="KYG647" s="268"/>
      <c r="KYH647" s="268"/>
      <c r="KYI647" s="268"/>
      <c r="KYJ647" s="268"/>
      <c r="KYK647" s="268"/>
      <c r="KYL647" s="268"/>
      <c r="KYM647" s="268"/>
      <c r="KYN647" s="268"/>
      <c r="KYO647" s="268"/>
      <c r="KYP647" s="268"/>
      <c r="KYQ647" s="268"/>
      <c r="KYR647" s="268"/>
      <c r="KYS647" s="268"/>
      <c r="KYT647" s="268"/>
      <c r="KYU647" s="268"/>
      <c r="KYV647" s="268"/>
      <c r="KYW647" s="268"/>
      <c r="KYX647" s="268"/>
      <c r="KYY647" s="268"/>
      <c r="KYZ647" s="268"/>
      <c r="KZA647" s="268"/>
      <c r="KZB647" s="268"/>
      <c r="KZC647" s="268"/>
      <c r="KZD647" s="268"/>
      <c r="KZE647" s="268"/>
      <c r="KZF647" s="268"/>
      <c r="KZG647" s="268"/>
      <c r="KZH647" s="268"/>
      <c r="KZI647" s="268"/>
      <c r="KZJ647" s="268"/>
      <c r="KZK647" s="268"/>
      <c r="KZL647" s="268"/>
      <c r="KZM647" s="268"/>
      <c r="KZN647" s="268"/>
      <c r="KZO647" s="268"/>
      <c r="KZP647" s="268"/>
      <c r="KZQ647" s="268"/>
      <c r="KZR647" s="268"/>
      <c r="KZS647" s="268"/>
      <c r="KZT647" s="268"/>
      <c r="KZU647" s="268"/>
      <c r="KZV647" s="268"/>
      <c r="KZW647" s="268"/>
      <c r="KZX647" s="268"/>
      <c r="KZY647" s="268"/>
      <c r="KZZ647" s="268"/>
      <c r="LAA647" s="268"/>
      <c r="LAB647" s="268"/>
      <c r="LAC647" s="268"/>
      <c r="LAD647" s="268"/>
      <c r="LAE647" s="268"/>
      <c r="LAF647" s="268"/>
      <c r="LAG647" s="268"/>
      <c r="LAH647" s="268"/>
      <c r="LAI647" s="268"/>
      <c r="LAJ647" s="268"/>
      <c r="LAK647" s="268"/>
      <c r="LAL647" s="268"/>
      <c r="LAM647" s="268"/>
      <c r="LAN647" s="268"/>
      <c r="LAO647" s="268"/>
      <c r="LAP647" s="268"/>
      <c r="LAQ647" s="268"/>
      <c r="LAR647" s="268"/>
      <c r="LAS647" s="268"/>
      <c r="LAT647" s="268"/>
      <c r="LAU647" s="268"/>
      <c r="LAV647" s="268"/>
      <c r="LAW647" s="268"/>
      <c r="LAX647" s="268"/>
      <c r="LAY647" s="268"/>
      <c r="LAZ647" s="268"/>
      <c r="LBA647" s="268"/>
      <c r="LBB647" s="268"/>
      <c r="LBC647" s="268"/>
      <c r="LBD647" s="268"/>
      <c r="LBE647" s="268"/>
      <c r="LBF647" s="268"/>
      <c r="LBG647" s="268"/>
      <c r="LBH647" s="268"/>
      <c r="LBI647" s="268"/>
      <c r="LBJ647" s="268"/>
      <c r="LBK647" s="268"/>
      <c r="LBL647" s="268"/>
      <c r="LBM647" s="268"/>
      <c r="LBN647" s="268"/>
      <c r="LBO647" s="268"/>
      <c r="LBP647" s="268"/>
      <c r="LBQ647" s="268"/>
      <c r="LBR647" s="268"/>
      <c r="LBS647" s="268"/>
      <c r="LCG647" s="268"/>
      <c r="LCH647" s="268"/>
      <c r="LCI647" s="268"/>
      <c r="LCW647" s="268"/>
      <c r="LCY647" s="268"/>
      <c r="LCZ647" s="268"/>
      <c r="LDA647" s="268"/>
      <c r="LDB647" s="268"/>
      <c r="LDC647" s="268"/>
      <c r="LDD647" s="268"/>
      <c r="LDE647" s="268"/>
      <c r="LDF647" s="268"/>
      <c r="LDG647" s="268"/>
      <c r="LDH647" s="268"/>
      <c r="LDI647" s="268"/>
      <c r="LDJ647" s="268"/>
      <c r="LDK647" s="268"/>
      <c r="LDL647" s="268"/>
      <c r="LDM647" s="268"/>
      <c r="LDN647" s="268"/>
      <c r="LDO647" s="268"/>
      <c r="LDP647" s="268"/>
      <c r="LDQ647" s="268"/>
      <c r="LDR647" s="268"/>
      <c r="LDS647" s="268"/>
      <c r="LDT647" s="268"/>
      <c r="LDU647" s="268"/>
      <c r="LDV647" s="268"/>
      <c r="LDW647" s="268"/>
      <c r="LDX647" s="268"/>
      <c r="LDY647" s="268"/>
      <c r="LDZ647" s="268"/>
      <c r="LEA647" s="268"/>
      <c r="LEB647" s="268"/>
      <c r="LEC647" s="268"/>
      <c r="LED647" s="268"/>
      <c r="LEE647" s="268"/>
      <c r="LEF647" s="268"/>
      <c r="LEG647" s="268"/>
      <c r="LEH647" s="268"/>
      <c r="LEI647" s="268"/>
      <c r="LEJ647" s="268"/>
      <c r="LEK647" s="268"/>
      <c r="LEL647" s="268"/>
      <c r="LEM647" s="268"/>
      <c r="LEN647" s="268"/>
      <c r="LEO647" s="268"/>
      <c r="LEP647" s="268"/>
      <c r="LEQ647" s="268"/>
      <c r="LER647" s="268"/>
      <c r="LES647" s="268"/>
      <c r="LET647" s="268"/>
      <c r="LEU647" s="268"/>
      <c r="LEV647" s="268"/>
      <c r="LEW647" s="268"/>
      <c r="LEX647" s="268"/>
      <c r="LEY647" s="268"/>
      <c r="LEZ647" s="268"/>
      <c r="LFA647" s="268"/>
      <c r="LFB647" s="268"/>
      <c r="LFC647" s="268"/>
      <c r="LFD647" s="268"/>
      <c r="LFE647" s="268"/>
      <c r="LFF647" s="268"/>
      <c r="LFG647" s="268"/>
      <c r="LFH647" s="268"/>
      <c r="LFI647" s="268"/>
      <c r="LFJ647" s="268"/>
      <c r="LFK647" s="268"/>
      <c r="LFL647" s="268"/>
      <c r="LFM647" s="268"/>
      <c r="LFN647" s="268"/>
      <c r="LFO647" s="268"/>
      <c r="LFP647" s="268"/>
      <c r="LFQ647" s="268"/>
      <c r="LFR647" s="268"/>
      <c r="LFS647" s="268"/>
      <c r="LFT647" s="268"/>
      <c r="LFU647" s="268"/>
      <c r="LFV647" s="268"/>
      <c r="LFW647" s="268"/>
      <c r="LFX647" s="268"/>
      <c r="LFY647" s="268"/>
      <c r="LFZ647" s="268"/>
      <c r="LGA647" s="268"/>
      <c r="LGB647" s="268"/>
      <c r="LGC647" s="268"/>
      <c r="LGD647" s="268"/>
      <c r="LGE647" s="268"/>
      <c r="LGF647" s="268"/>
      <c r="LGG647" s="268"/>
      <c r="LGH647" s="268"/>
      <c r="LGI647" s="268"/>
      <c r="LGJ647" s="268"/>
      <c r="LGK647" s="268"/>
      <c r="LGL647" s="268"/>
      <c r="LGM647" s="268"/>
      <c r="LGN647" s="268"/>
      <c r="LGO647" s="268"/>
      <c r="LGP647" s="268"/>
      <c r="LGQ647" s="268"/>
      <c r="LGR647" s="268"/>
      <c r="LGS647" s="268"/>
      <c r="LGT647" s="268"/>
      <c r="LGU647" s="268"/>
      <c r="LGV647" s="268"/>
      <c r="LGW647" s="268"/>
      <c r="LGX647" s="268"/>
      <c r="LGY647" s="268"/>
      <c r="LGZ647" s="268"/>
      <c r="LHA647" s="268"/>
      <c r="LHB647" s="268"/>
      <c r="LHC647" s="268"/>
      <c r="LHD647" s="268"/>
      <c r="LHE647" s="268"/>
      <c r="LHF647" s="268"/>
      <c r="LHG647" s="268"/>
      <c r="LHH647" s="268"/>
      <c r="LHI647" s="268"/>
      <c r="LHJ647" s="268"/>
      <c r="LHK647" s="268"/>
      <c r="LHL647" s="268"/>
      <c r="LHM647" s="268"/>
      <c r="LHN647" s="268"/>
      <c r="LHO647" s="268"/>
      <c r="LHP647" s="268"/>
      <c r="LHQ647" s="268"/>
      <c r="LHR647" s="268"/>
      <c r="LHS647" s="268"/>
      <c r="LHT647" s="268"/>
      <c r="LHU647" s="268"/>
      <c r="LHV647" s="268"/>
      <c r="LHW647" s="268"/>
      <c r="LHX647" s="268"/>
      <c r="LHY647" s="268"/>
      <c r="LHZ647" s="268"/>
      <c r="LIA647" s="268"/>
      <c r="LIB647" s="268"/>
      <c r="LIC647" s="268"/>
      <c r="LID647" s="268"/>
      <c r="LIE647" s="268"/>
      <c r="LIF647" s="268"/>
      <c r="LIG647" s="268"/>
      <c r="LIH647" s="268"/>
      <c r="LII647" s="268"/>
      <c r="LIJ647" s="268"/>
      <c r="LIK647" s="268"/>
      <c r="LIL647" s="268"/>
      <c r="LIM647" s="268"/>
      <c r="LIN647" s="268"/>
      <c r="LIO647" s="268"/>
      <c r="LIP647" s="268"/>
      <c r="LIQ647" s="268"/>
      <c r="LIR647" s="268"/>
      <c r="LIS647" s="268"/>
      <c r="LIT647" s="268"/>
      <c r="LIU647" s="268"/>
      <c r="LIV647" s="268"/>
      <c r="LIW647" s="268"/>
      <c r="LIX647" s="268"/>
      <c r="LIY647" s="268"/>
      <c r="LIZ647" s="268"/>
      <c r="LJA647" s="268"/>
      <c r="LJB647" s="268"/>
      <c r="LJC647" s="268"/>
      <c r="LJD647" s="268"/>
      <c r="LJE647" s="268"/>
      <c r="LJF647" s="268"/>
      <c r="LJG647" s="268"/>
      <c r="LJH647" s="268"/>
      <c r="LJI647" s="268"/>
      <c r="LJJ647" s="268"/>
      <c r="LJK647" s="268"/>
      <c r="LJL647" s="268"/>
      <c r="LJM647" s="268"/>
      <c r="LJN647" s="268"/>
      <c r="LJO647" s="268"/>
      <c r="LJP647" s="268"/>
      <c r="LJQ647" s="268"/>
      <c r="LJR647" s="268"/>
      <c r="LJS647" s="268"/>
      <c r="LJT647" s="268"/>
      <c r="LJU647" s="268"/>
      <c r="LJV647" s="268"/>
      <c r="LJW647" s="268"/>
      <c r="LJX647" s="268"/>
      <c r="LJY647" s="268"/>
      <c r="LJZ647" s="268"/>
      <c r="LKA647" s="268"/>
      <c r="LKB647" s="268"/>
      <c r="LKC647" s="268"/>
      <c r="LKD647" s="268"/>
      <c r="LKE647" s="268"/>
      <c r="LKF647" s="268"/>
      <c r="LKG647" s="268"/>
      <c r="LKH647" s="268"/>
      <c r="LKI647" s="268"/>
      <c r="LKJ647" s="268"/>
      <c r="LKK647" s="268"/>
      <c r="LKL647" s="268"/>
      <c r="LKM647" s="268"/>
      <c r="LKN647" s="268"/>
      <c r="LKO647" s="268"/>
      <c r="LKP647" s="268"/>
      <c r="LKQ647" s="268"/>
      <c r="LKR647" s="268"/>
      <c r="LKS647" s="268"/>
      <c r="LKT647" s="268"/>
      <c r="LKU647" s="268"/>
      <c r="LKV647" s="268"/>
      <c r="LKW647" s="268"/>
      <c r="LKX647" s="268"/>
      <c r="LKY647" s="268"/>
      <c r="LKZ647" s="268"/>
      <c r="LLA647" s="268"/>
      <c r="LLB647" s="268"/>
      <c r="LLC647" s="268"/>
      <c r="LLD647" s="268"/>
      <c r="LLE647" s="268"/>
      <c r="LLF647" s="268"/>
      <c r="LLG647" s="268"/>
      <c r="LLH647" s="268"/>
      <c r="LLI647" s="268"/>
      <c r="LLJ647" s="268"/>
      <c r="LLK647" s="268"/>
      <c r="LLL647" s="268"/>
      <c r="LLM647" s="268"/>
      <c r="LLN647" s="268"/>
      <c r="LLO647" s="268"/>
      <c r="LMC647" s="268"/>
      <c r="LMD647" s="268"/>
      <c r="LME647" s="268"/>
      <c r="LMS647" s="268"/>
      <c r="LMU647" s="268"/>
      <c r="LMV647" s="268"/>
      <c r="LMW647" s="268"/>
      <c r="LMX647" s="268"/>
      <c r="LMY647" s="268"/>
      <c r="LMZ647" s="268"/>
      <c r="LNA647" s="268"/>
      <c r="LNB647" s="268"/>
      <c r="LNC647" s="268"/>
      <c r="LND647" s="268"/>
      <c r="LNE647" s="268"/>
      <c r="LNF647" s="268"/>
      <c r="LNG647" s="268"/>
      <c r="LNH647" s="268"/>
      <c r="LNI647" s="268"/>
      <c r="LNJ647" s="268"/>
      <c r="LNK647" s="268"/>
      <c r="LNL647" s="268"/>
      <c r="LNM647" s="268"/>
      <c r="LNN647" s="268"/>
      <c r="LNO647" s="268"/>
      <c r="LNP647" s="268"/>
      <c r="LNQ647" s="268"/>
      <c r="LNR647" s="268"/>
      <c r="LNS647" s="268"/>
      <c r="LNT647" s="268"/>
      <c r="LNU647" s="268"/>
      <c r="LNV647" s="268"/>
      <c r="LNW647" s="268"/>
      <c r="LNX647" s="268"/>
      <c r="LNY647" s="268"/>
      <c r="LNZ647" s="268"/>
      <c r="LOA647" s="268"/>
      <c r="LOB647" s="268"/>
      <c r="LOC647" s="268"/>
      <c r="LOD647" s="268"/>
      <c r="LOE647" s="268"/>
      <c r="LOF647" s="268"/>
      <c r="LOG647" s="268"/>
      <c r="LOH647" s="268"/>
      <c r="LOI647" s="268"/>
      <c r="LOJ647" s="268"/>
      <c r="LOK647" s="268"/>
      <c r="LOL647" s="268"/>
      <c r="LOM647" s="268"/>
      <c r="LON647" s="268"/>
      <c r="LOO647" s="268"/>
      <c r="LOP647" s="268"/>
      <c r="LOQ647" s="268"/>
      <c r="LOR647" s="268"/>
      <c r="LOS647" s="268"/>
      <c r="LOT647" s="268"/>
      <c r="LOU647" s="268"/>
      <c r="LOV647" s="268"/>
      <c r="LOW647" s="268"/>
      <c r="LOX647" s="268"/>
      <c r="LOY647" s="268"/>
      <c r="LOZ647" s="268"/>
      <c r="LPA647" s="268"/>
      <c r="LPB647" s="268"/>
      <c r="LPC647" s="268"/>
      <c r="LPD647" s="268"/>
      <c r="LPE647" s="268"/>
      <c r="LPF647" s="268"/>
      <c r="LPG647" s="268"/>
      <c r="LPH647" s="268"/>
      <c r="LPI647" s="268"/>
      <c r="LPJ647" s="268"/>
      <c r="LPK647" s="268"/>
      <c r="LPL647" s="268"/>
      <c r="LPM647" s="268"/>
      <c r="LPN647" s="268"/>
      <c r="LPO647" s="268"/>
      <c r="LPP647" s="268"/>
      <c r="LPQ647" s="268"/>
      <c r="LPR647" s="268"/>
      <c r="LPS647" s="268"/>
      <c r="LPT647" s="268"/>
      <c r="LPU647" s="268"/>
      <c r="LPV647" s="268"/>
      <c r="LPW647" s="268"/>
      <c r="LPX647" s="268"/>
      <c r="LPY647" s="268"/>
      <c r="LPZ647" s="268"/>
      <c r="LQA647" s="268"/>
      <c r="LQB647" s="268"/>
      <c r="LQC647" s="268"/>
      <c r="LQD647" s="268"/>
      <c r="LQE647" s="268"/>
      <c r="LQF647" s="268"/>
      <c r="LQG647" s="268"/>
      <c r="LQH647" s="268"/>
      <c r="LQI647" s="268"/>
      <c r="LQJ647" s="268"/>
      <c r="LQK647" s="268"/>
      <c r="LQL647" s="268"/>
      <c r="LQM647" s="268"/>
      <c r="LQN647" s="268"/>
      <c r="LQO647" s="268"/>
      <c r="LQP647" s="268"/>
      <c r="LQQ647" s="268"/>
      <c r="LQR647" s="268"/>
      <c r="LQS647" s="268"/>
      <c r="LQT647" s="268"/>
      <c r="LQU647" s="268"/>
      <c r="LQV647" s="268"/>
      <c r="LQW647" s="268"/>
      <c r="LQX647" s="268"/>
      <c r="LQY647" s="268"/>
      <c r="LQZ647" s="268"/>
      <c r="LRA647" s="268"/>
      <c r="LRB647" s="268"/>
      <c r="LRC647" s="268"/>
      <c r="LRD647" s="268"/>
      <c r="LRE647" s="268"/>
      <c r="LRF647" s="268"/>
      <c r="LRG647" s="268"/>
      <c r="LRH647" s="268"/>
      <c r="LRI647" s="268"/>
      <c r="LRJ647" s="268"/>
      <c r="LRK647" s="268"/>
      <c r="LRL647" s="268"/>
      <c r="LRM647" s="268"/>
      <c r="LRN647" s="268"/>
      <c r="LRO647" s="268"/>
      <c r="LRP647" s="268"/>
      <c r="LRQ647" s="268"/>
      <c r="LRR647" s="268"/>
      <c r="LRS647" s="268"/>
      <c r="LRT647" s="268"/>
      <c r="LRU647" s="268"/>
      <c r="LRV647" s="268"/>
      <c r="LRW647" s="268"/>
      <c r="LRX647" s="268"/>
      <c r="LRY647" s="268"/>
      <c r="LRZ647" s="268"/>
      <c r="LSA647" s="268"/>
      <c r="LSB647" s="268"/>
      <c r="LSC647" s="268"/>
      <c r="LSD647" s="268"/>
      <c r="LSE647" s="268"/>
      <c r="LSF647" s="268"/>
      <c r="LSG647" s="268"/>
      <c r="LSH647" s="268"/>
      <c r="LSI647" s="268"/>
      <c r="LSJ647" s="268"/>
      <c r="LSK647" s="268"/>
      <c r="LSL647" s="268"/>
      <c r="LSM647" s="268"/>
      <c r="LSN647" s="268"/>
      <c r="LSO647" s="268"/>
      <c r="LSP647" s="268"/>
      <c r="LSQ647" s="268"/>
      <c r="LSR647" s="268"/>
      <c r="LSS647" s="268"/>
      <c r="LST647" s="268"/>
      <c r="LSU647" s="268"/>
      <c r="LSV647" s="268"/>
      <c r="LSW647" s="268"/>
      <c r="LSX647" s="268"/>
      <c r="LSY647" s="268"/>
      <c r="LSZ647" s="268"/>
      <c r="LTA647" s="268"/>
      <c r="LTB647" s="268"/>
      <c r="LTC647" s="268"/>
      <c r="LTD647" s="268"/>
      <c r="LTE647" s="268"/>
      <c r="LTF647" s="268"/>
      <c r="LTG647" s="268"/>
      <c r="LTH647" s="268"/>
      <c r="LTI647" s="268"/>
      <c r="LTJ647" s="268"/>
      <c r="LTK647" s="268"/>
      <c r="LTL647" s="268"/>
      <c r="LTM647" s="268"/>
      <c r="LTN647" s="268"/>
      <c r="LTO647" s="268"/>
      <c r="LTP647" s="268"/>
      <c r="LTQ647" s="268"/>
      <c r="LTR647" s="268"/>
      <c r="LTS647" s="268"/>
      <c r="LTT647" s="268"/>
      <c r="LTU647" s="268"/>
      <c r="LTV647" s="268"/>
      <c r="LTW647" s="268"/>
      <c r="LTX647" s="268"/>
      <c r="LTY647" s="268"/>
      <c r="LTZ647" s="268"/>
      <c r="LUA647" s="268"/>
      <c r="LUB647" s="268"/>
      <c r="LUC647" s="268"/>
      <c r="LUD647" s="268"/>
      <c r="LUE647" s="268"/>
      <c r="LUF647" s="268"/>
      <c r="LUG647" s="268"/>
      <c r="LUH647" s="268"/>
      <c r="LUI647" s="268"/>
      <c r="LUJ647" s="268"/>
      <c r="LUK647" s="268"/>
      <c r="LUL647" s="268"/>
      <c r="LUM647" s="268"/>
      <c r="LUN647" s="268"/>
      <c r="LUO647" s="268"/>
      <c r="LUP647" s="268"/>
      <c r="LUQ647" s="268"/>
      <c r="LUR647" s="268"/>
      <c r="LUS647" s="268"/>
      <c r="LUT647" s="268"/>
      <c r="LUU647" s="268"/>
      <c r="LUV647" s="268"/>
      <c r="LUW647" s="268"/>
      <c r="LUX647" s="268"/>
      <c r="LUY647" s="268"/>
      <c r="LUZ647" s="268"/>
      <c r="LVA647" s="268"/>
      <c r="LVB647" s="268"/>
      <c r="LVC647" s="268"/>
      <c r="LVD647" s="268"/>
      <c r="LVE647" s="268"/>
      <c r="LVF647" s="268"/>
      <c r="LVG647" s="268"/>
      <c r="LVH647" s="268"/>
      <c r="LVI647" s="268"/>
      <c r="LVJ647" s="268"/>
      <c r="LVK647" s="268"/>
      <c r="LVY647" s="268"/>
      <c r="LVZ647" s="268"/>
      <c r="LWA647" s="268"/>
      <c r="LWO647" s="268"/>
      <c r="LWQ647" s="268"/>
      <c r="LWR647" s="268"/>
      <c r="LWS647" s="268"/>
      <c r="LWT647" s="268"/>
      <c r="LWU647" s="268"/>
      <c r="LWV647" s="268"/>
      <c r="LWW647" s="268"/>
      <c r="LWX647" s="268"/>
      <c r="LWY647" s="268"/>
      <c r="LWZ647" s="268"/>
      <c r="LXA647" s="268"/>
      <c r="LXB647" s="268"/>
      <c r="LXC647" s="268"/>
      <c r="LXD647" s="268"/>
      <c r="LXE647" s="268"/>
      <c r="LXF647" s="268"/>
      <c r="LXG647" s="268"/>
      <c r="LXH647" s="268"/>
      <c r="LXI647" s="268"/>
      <c r="LXJ647" s="268"/>
      <c r="LXK647" s="268"/>
      <c r="LXL647" s="268"/>
      <c r="LXM647" s="268"/>
      <c r="LXN647" s="268"/>
      <c r="LXO647" s="268"/>
      <c r="LXP647" s="268"/>
      <c r="LXQ647" s="268"/>
      <c r="LXR647" s="268"/>
      <c r="LXS647" s="268"/>
      <c r="LXT647" s="268"/>
      <c r="LXU647" s="268"/>
      <c r="LXV647" s="268"/>
      <c r="LXW647" s="268"/>
      <c r="LXX647" s="268"/>
      <c r="LXY647" s="268"/>
      <c r="LXZ647" s="268"/>
      <c r="LYA647" s="268"/>
      <c r="LYB647" s="268"/>
      <c r="LYC647" s="268"/>
      <c r="LYD647" s="268"/>
      <c r="LYE647" s="268"/>
      <c r="LYF647" s="268"/>
      <c r="LYG647" s="268"/>
      <c r="LYH647" s="268"/>
      <c r="LYI647" s="268"/>
      <c r="LYJ647" s="268"/>
      <c r="LYK647" s="268"/>
      <c r="LYL647" s="268"/>
      <c r="LYM647" s="268"/>
      <c r="LYN647" s="268"/>
      <c r="LYO647" s="268"/>
      <c r="LYP647" s="268"/>
      <c r="LYQ647" s="268"/>
      <c r="LYR647" s="268"/>
      <c r="LYS647" s="268"/>
      <c r="LYT647" s="268"/>
      <c r="LYU647" s="268"/>
      <c r="LYV647" s="268"/>
      <c r="LYW647" s="268"/>
      <c r="LYX647" s="268"/>
      <c r="LYY647" s="268"/>
      <c r="LYZ647" s="268"/>
      <c r="LZA647" s="268"/>
      <c r="LZB647" s="268"/>
      <c r="LZC647" s="268"/>
      <c r="LZD647" s="268"/>
      <c r="LZE647" s="268"/>
      <c r="LZF647" s="268"/>
      <c r="LZG647" s="268"/>
      <c r="LZH647" s="268"/>
      <c r="LZI647" s="268"/>
      <c r="LZJ647" s="268"/>
      <c r="LZK647" s="268"/>
      <c r="LZL647" s="268"/>
      <c r="LZM647" s="268"/>
      <c r="LZN647" s="268"/>
      <c r="LZO647" s="268"/>
      <c r="LZP647" s="268"/>
      <c r="LZQ647" s="268"/>
      <c r="LZR647" s="268"/>
      <c r="LZS647" s="268"/>
      <c r="LZT647" s="268"/>
      <c r="LZU647" s="268"/>
      <c r="LZV647" s="268"/>
      <c r="LZW647" s="268"/>
      <c r="LZX647" s="268"/>
      <c r="LZY647" s="268"/>
      <c r="LZZ647" s="268"/>
      <c r="MAA647" s="268"/>
      <c r="MAB647" s="268"/>
      <c r="MAC647" s="268"/>
      <c r="MAD647" s="268"/>
      <c r="MAE647" s="268"/>
      <c r="MAF647" s="268"/>
      <c r="MAG647" s="268"/>
      <c r="MAH647" s="268"/>
      <c r="MAI647" s="268"/>
      <c r="MAJ647" s="268"/>
      <c r="MAK647" s="268"/>
      <c r="MAL647" s="268"/>
      <c r="MAM647" s="268"/>
      <c r="MAN647" s="268"/>
      <c r="MAO647" s="268"/>
      <c r="MAP647" s="268"/>
      <c r="MAQ647" s="268"/>
      <c r="MAR647" s="268"/>
      <c r="MAS647" s="268"/>
      <c r="MAT647" s="268"/>
      <c r="MAU647" s="268"/>
      <c r="MAV647" s="268"/>
      <c r="MAW647" s="268"/>
      <c r="MAX647" s="268"/>
      <c r="MAY647" s="268"/>
      <c r="MAZ647" s="268"/>
      <c r="MBA647" s="268"/>
      <c r="MBB647" s="268"/>
      <c r="MBC647" s="268"/>
      <c r="MBD647" s="268"/>
      <c r="MBE647" s="268"/>
      <c r="MBF647" s="268"/>
      <c r="MBG647" s="268"/>
      <c r="MBH647" s="268"/>
      <c r="MBI647" s="268"/>
      <c r="MBJ647" s="268"/>
      <c r="MBK647" s="268"/>
      <c r="MBL647" s="268"/>
      <c r="MBM647" s="268"/>
      <c r="MBN647" s="268"/>
      <c r="MBO647" s="268"/>
      <c r="MBP647" s="268"/>
      <c r="MBQ647" s="268"/>
      <c r="MBR647" s="268"/>
      <c r="MBS647" s="268"/>
      <c r="MBT647" s="268"/>
      <c r="MBU647" s="268"/>
      <c r="MBV647" s="268"/>
      <c r="MBW647" s="268"/>
      <c r="MBX647" s="268"/>
      <c r="MBY647" s="268"/>
      <c r="MBZ647" s="268"/>
      <c r="MCA647" s="268"/>
      <c r="MCB647" s="268"/>
      <c r="MCC647" s="268"/>
      <c r="MCD647" s="268"/>
      <c r="MCE647" s="268"/>
      <c r="MCF647" s="268"/>
      <c r="MCG647" s="268"/>
      <c r="MCH647" s="268"/>
      <c r="MCI647" s="268"/>
      <c r="MCJ647" s="268"/>
      <c r="MCK647" s="268"/>
      <c r="MCL647" s="268"/>
      <c r="MCM647" s="268"/>
      <c r="MCN647" s="268"/>
      <c r="MCO647" s="268"/>
      <c r="MCP647" s="268"/>
      <c r="MCQ647" s="268"/>
      <c r="MCR647" s="268"/>
      <c r="MCS647" s="268"/>
      <c r="MCT647" s="268"/>
      <c r="MCU647" s="268"/>
      <c r="MCV647" s="268"/>
      <c r="MCW647" s="268"/>
      <c r="MCX647" s="268"/>
      <c r="MCY647" s="268"/>
      <c r="MCZ647" s="268"/>
      <c r="MDA647" s="268"/>
      <c r="MDB647" s="268"/>
      <c r="MDC647" s="268"/>
      <c r="MDD647" s="268"/>
      <c r="MDE647" s="268"/>
      <c r="MDF647" s="268"/>
      <c r="MDG647" s="268"/>
      <c r="MDH647" s="268"/>
      <c r="MDI647" s="268"/>
      <c r="MDJ647" s="268"/>
      <c r="MDK647" s="268"/>
      <c r="MDL647" s="268"/>
      <c r="MDM647" s="268"/>
      <c r="MDN647" s="268"/>
      <c r="MDO647" s="268"/>
      <c r="MDP647" s="268"/>
      <c r="MDQ647" s="268"/>
      <c r="MDR647" s="268"/>
      <c r="MDS647" s="268"/>
      <c r="MDT647" s="268"/>
      <c r="MDU647" s="268"/>
      <c r="MDV647" s="268"/>
      <c r="MDW647" s="268"/>
      <c r="MDX647" s="268"/>
      <c r="MDY647" s="268"/>
      <c r="MDZ647" s="268"/>
      <c r="MEA647" s="268"/>
      <c r="MEB647" s="268"/>
      <c r="MEC647" s="268"/>
      <c r="MED647" s="268"/>
      <c r="MEE647" s="268"/>
      <c r="MEF647" s="268"/>
      <c r="MEG647" s="268"/>
      <c r="MEH647" s="268"/>
      <c r="MEI647" s="268"/>
      <c r="MEJ647" s="268"/>
      <c r="MEK647" s="268"/>
      <c r="MEL647" s="268"/>
      <c r="MEM647" s="268"/>
      <c r="MEN647" s="268"/>
      <c r="MEO647" s="268"/>
      <c r="MEP647" s="268"/>
      <c r="MEQ647" s="268"/>
      <c r="MER647" s="268"/>
      <c r="MES647" s="268"/>
      <c r="MET647" s="268"/>
      <c r="MEU647" s="268"/>
      <c r="MEV647" s="268"/>
      <c r="MEW647" s="268"/>
      <c r="MEX647" s="268"/>
      <c r="MEY647" s="268"/>
      <c r="MEZ647" s="268"/>
      <c r="MFA647" s="268"/>
      <c r="MFB647" s="268"/>
      <c r="MFC647" s="268"/>
      <c r="MFD647" s="268"/>
      <c r="MFE647" s="268"/>
      <c r="MFF647" s="268"/>
      <c r="MFG647" s="268"/>
      <c r="MFU647" s="268"/>
      <c r="MFV647" s="268"/>
      <c r="MFW647" s="268"/>
      <c r="MGK647" s="268"/>
      <c r="MGM647" s="268"/>
      <c r="MGN647" s="268"/>
      <c r="MGO647" s="268"/>
      <c r="MGP647" s="268"/>
      <c r="MGQ647" s="268"/>
      <c r="MGR647" s="268"/>
      <c r="MGS647" s="268"/>
      <c r="MGT647" s="268"/>
      <c r="MGU647" s="268"/>
      <c r="MGV647" s="268"/>
      <c r="MGW647" s="268"/>
      <c r="MGX647" s="268"/>
      <c r="MGY647" s="268"/>
      <c r="MGZ647" s="268"/>
      <c r="MHA647" s="268"/>
      <c r="MHB647" s="268"/>
      <c r="MHC647" s="268"/>
      <c r="MHD647" s="268"/>
      <c r="MHE647" s="268"/>
      <c r="MHF647" s="268"/>
      <c r="MHG647" s="268"/>
      <c r="MHH647" s="268"/>
      <c r="MHI647" s="268"/>
      <c r="MHJ647" s="268"/>
      <c r="MHK647" s="268"/>
      <c r="MHL647" s="268"/>
      <c r="MHM647" s="268"/>
      <c r="MHN647" s="268"/>
      <c r="MHO647" s="268"/>
      <c r="MHP647" s="268"/>
      <c r="MHQ647" s="268"/>
      <c r="MHR647" s="268"/>
      <c r="MHS647" s="268"/>
      <c r="MHT647" s="268"/>
      <c r="MHU647" s="268"/>
      <c r="MHV647" s="268"/>
      <c r="MHW647" s="268"/>
      <c r="MHX647" s="268"/>
      <c r="MHY647" s="268"/>
      <c r="MHZ647" s="268"/>
      <c r="MIA647" s="268"/>
      <c r="MIB647" s="268"/>
      <c r="MIC647" s="268"/>
      <c r="MID647" s="268"/>
      <c r="MIE647" s="268"/>
      <c r="MIF647" s="268"/>
      <c r="MIG647" s="268"/>
      <c r="MIH647" s="268"/>
      <c r="MII647" s="268"/>
      <c r="MIJ647" s="268"/>
      <c r="MIK647" s="268"/>
      <c r="MIL647" s="268"/>
      <c r="MIM647" s="268"/>
      <c r="MIN647" s="268"/>
      <c r="MIO647" s="268"/>
      <c r="MIP647" s="268"/>
      <c r="MIQ647" s="268"/>
      <c r="MIR647" s="268"/>
      <c r="MIS647" s="268"/>
      <c r="MIT647" s="268"/>
      <c r="MIU647" s="268"/>
      <c r="MIV647" s="268"/>
      <c r="MIW647" s="268"/>
      <c r="MIX647" s="268"/>
      <c r="MIY647" s="268"/>
      <c r="MIZ647" s="268"/>
      <c r="MJA647" s="268"/>
      <c r="MJB647" s="268"/>
      <c r="MJC647" s="268"/>
      <c r="MJD647" s="268"/>
      <c r="MJE647" s="268"/>
      <c r="MJF647" s="268"/>
      <c r="MJG647" s="268"/>
      <c r="MJH647" s="268"/>
      <c r="MJI647" s="268"/>
      <c r="MJJ647" s="268"/>
      <c r="MJK647" s="268"/>
      <c r="MJL647" s="268"/>
      <c r="MJM647" s="268"/>
      <c r="MJN647" s="268"/>
      <c r="MJO647" s="268"/>
      <c r="MJP647" s="268"/>
      <c r="MJQ647" s="268"/>
      <c r="MJR647" s="268"/>
      <c r="MJS647" s="268"/>
      <c r="MJT647" s="268"/>
      <c r="MJU647" s="268"/>
      <c r="MJV647" s="268"/>
      <c r="MJW647" s="268"/>
      <c r="MJX647" s="268"/>
      <c r="MJY647" s="268"/>
      <c r="MJZ647" s="268"/>
      <c r="MKA647" s="268"/>
      <c r="MKB647" s="268"/>
      <c r="MKC647" s="268"/>
      <c r="MKD647" s="268"/>
      <c r="MKE647" s="268"/>
      <c r="MKF647" s="268"/>
      <c r="MKG647" s="268"/>
      <c r="MKH647" s="268"/>
      <c r="MKI647" s="268"/>
      <c r="MKJ647" s="268"/>
      <c r="MKK647" s="268"/>
      <c r="MKL647" s="268"/>
      <c r="MKM647" s="268"/>
      <c r="MKN647" s="268"/>
      <c r="MKO647" s="268"/>
      <c r="MKP647" s="268"/>
      <c r="MKQ647" s="268"/>
      <c r="MKR647" s="268"/>
      <c r="MKS647" s="268"/>
      <c r="MKT647" s="268"/>
      <c r="MKU647" s="268"/>
      <c r="MKV647" s="268"/>
      <c r="MKW647" s="268"/>
      <c r="MKX647" s="268"/>
      <c r="MKY647" s="268"/>
      <c r="MKZ647" s="268"/>
      <c r="MLA647" s="268"/>
      <c r="MLB647" s="268"/>
      <c r="MLC647" s="268"/>
      <c r="MLD647" s="268"/>
      <c r="MLE647" s="268"/>
      <c r="MLF647" s="268"/>
      <c r="MLG647" s="268"/>
      <c r="MLH647" s="268"/>
      <c r="MLI647" s="268"/>
      <c r="MLJ647" s="268"/>
      <c r="MLK647" s="268"/>
      <c r="MLL647" s="268"/>
      <c r="MLM647" s="268"/>
      <c r="MLN647" s="268"/>
      <c r="MLO647" s="268"/>
      <c r="MLP647" s="268"/>
      <c r="MLQ647" s="268"/>
      <c r="MLR647" s="268"/>
      <c r="MLS647" s="268"/>
      <c r="MLT647" s="268"/>
      <c r="MLU647" s="268"/>
      <c r="MLV647" s="268"/>
      <c r="MLW647" s="268"/>
      <c r="MLX647" s="268"/>
      <c r="MLY647" s="268"/>
      <c r="MLZ647" s="268"/>
      <c r="MMA647" s="268"/>
      <c r="MMB647" s="268"/>
      <c r="MMC647" s="268"/>
      <c r="MMD647" s="268"/>
      <c r="MME647" s="268"/>
      <c r="MMF647" s="268"/>
      <c r="MMG647" s="268"/>
      <c r="MMH647" s="268"/>
      <c r="MMI647" s="268"/>
      <c r="MMJ647" s="268"/>
      <c r="MMK647" s="268"/>
      <c r="MML647" s="268"/>
      <c r="MMM647" s="268"/>
      <c r="MMN647" s="268"/>
      <c r="MMO647" s="268"/>
      <c r="MMP647" s="268"/>
      <c r="MMQ647" s="268"/>
      <c r="MMR647" s="268"/>
      <c r="MMS647" s="268"/>
      <c r="MMT647" s="268"/>
      <c r="MMU647" s="268"/>
      <c r="MMV647" s="268"/>
      <c r="MMW647" s="268"/>
      <c r="MMX647" s="268"/>
      <c r="MMY647" s="268"/>
      <c r="MMZ647" s="268"/>
      <c r="MNA647" s="268"/>
      <c r="MNB647" s="268"/>
      <c r="MNC647" s="268"/>
      <c r="MND647" s="268"/>
      <c r="MNE647" s="268"/>
      <c r="MNF647" s="268"/>
      <c r="MNG647" s="268"/>
      <c r="MNH647" s="268"/>
      <c r="MNI647" s="268"/>
      <c r="MNJ647" s="268"/>
      <c r="MNK647" s="268"/>
      <c r="MNL647" s="268"/>
      <c r="MNM647" s="268"/>
      <c r="MNN647" s="268"/>
      <c r="MNO647" s="268"/>
      <c r="MNP647" s="268"/>
      <c r="MNQ647" s="268"/>
      <c r="MNR647" s="268"/>
      <c r="MNS647" s="268"/>
      <c r="MNT647" s="268"/>
      <c r="MNU647" s="268"/>
      <c r="MNV647" s="268"/>
      <c r="MNW647" s="268"/>
      <c r="MNX647" s="268"/>
      <c r="MNY647" s="268"/>
      <c r="MNZ647" s="268"/>
      <c r="MOA647" s="268"/>
      <c r="MOB647" s="268"/>
      <c r="MOC647" s="268"/>
      <c r="MOD647" s="268"/>
      <c r="MOE647" s="268"/>
      <c r="MOF647" s="268"/>
      <c r="MOG647" s="268"/>
      <c r="MOH647" s="268"/>
      <c r="MOI647" s="268"/>
      <c r="MOJ647" s="268"/>
      <c r="MOK647" s="268"/>
      <c r="MOL647" s="268"/>
      <c r="MOM647" s="268"/>
      <c r="MON647" s="268"/>
      <c r="MOO647" s="268"/>
      <c r="MOP647" s="268"/>
      <c r="MOQ647" s="268"/>
      <c r="MOR647" s="268"/>
      <c r="MOS647" s="268"/>
      <c r="MOT647" s="268"/>
      <c r="MOU647" s="268"/>
      <c r="MOV647" s="268"/>
      <c r="MOW647" s="268"/>
      <c r="MOX647" s="268"/>
      <c r="MOY647" s="268"/>
      <c r="MOZ647" s="268"/>
      <c r="MPA647" s="268"/>
      <c r="MPB647" s="268"/>
      <c r="MPC647" s="268"/>
      <c r="MPQ647" s="268"/>
      <c r="MPR647" s="268"/>
      <c r="MPS647" s="268"/>
      <c r="MQG647" s="268"/>
      <c r="MQI647" s="268"/>
      <c r="MQJ647" s="268"/>
      <c r="MQK647" s="268"/>
      <c r="MQL647" s="268"/>
      <c r="MQM647" s="268"/>
      <c r="MQN647" s="268"/>
      <c r="MQO647" s="268"/>
      <c r="MQP647" s="268"/>
      <c r="MQQ647" s="268"/>
      <c r="MQR647" s="268"/>
      <c r="MQS647" s="268"/>
      <c r="MQT647" s="268"/>
      <c r="MQU647" s="268"/>
      <c r="MQV647" s="268"/>
      <c r="MQW647" s="268"/>
      <c r="MQX647" s="268"/>
      <c r="MQY647" s="268"/>
      <c r="MQZ647" s="268"/>
      <c r="MRA647" s="268"/>
      <c r="MRB647" s="268"/>
      <c r="MRC647" s="268"/>
      <c r="MRD647" s="268"/>
      <c r="MRE647" s="268"/>
      <c r="MRF647" s="268"/>
      <c r="MRG647" s="268"/>
      <c r="MRH647" s="268"/>
      <c r="MRI647" s="268"/>
      <c r="MRJ647" s="268"/>
      <c r="MRK647" s="268"/>
      <c r="MRL647" s="268"/>
      <c r="MRM647" s="268"/>
      <c r="MRN647" s="268"/>
      <c r="MRO647" s="268"/>
      <c r="MRP647" s="268"/>
      <c r="MRQ647" s="268"/>
      <c r="MRR647" s="268"/>
      <c r="MRS647" s="268"/>
      <c r="MRT647" s="268"/>
      <c r="MRU647" s="268"/>
      <c r="MRV647" s="268"/>
      <c r="MRW647" s="268"/>
      <c r="MRX647" s="268"/>
      <c r="MRY647" s="268"/>
      <c r="MRZ647" s="268"/>
      <c r="MSA647" s="268"/>
      <c r="MSB647" s="268"/>
      <c r="MSC647" s="268"/>
      <c r="MSD647" s="268"/>
      <c r="MSE647" s="268"/>
      <c r="MSF647" s="268"/>
      <c r="MSG647" s="268"/>
      <c r="MSH647" s="268"/>
      <c r="MSI647" s="268"/>
      <c r="MSJ647" s="268"/>
      <c r="MSK647" s="268"/>
      <c r="MSL647" s="268"/>
      <c r="MSM647" s="268"/>
      <c r="MSN647" s="268"/>
      <c r="MSO647" s="268"/>
      <c r="MSP647" s="268"/>
      <c r="MSQ647" s="268"/>
      <c r="MSR647" s="268"/>
      <c r="MSS647" s="268"/>
      <c r="MST647" s="268"/>
      <c r="MSU647" s="268"/>
      <c r="MSV647" s="268"/>
      <c r="MSW647" s="268"/>
      <c r="MSX647" s="268"/>
      <c r="MSY647" s="268"/>
      <c r="MSZ647" s="268"/>
      <c r="MTA647" s="268"/>
      <c r="MTB647" s="268"/>
      <c r="MTC647" s="268"/>
      <c r="MTD647" s="268"/>
      <c r="MTE647" s="268"/>
      <c r="MTF647" s="268"/>
      <c r="MTG647" s="268"/>
      <c r="MTH647" s="268"/>
      <c r="MTI647" s="268"/>
      <c r="MTJ647" s="268"/>
      <c r="MTK647" s="268"/>
      <c r="MTL647" s="268"/>
      <c r="MTM647" s="268"/>
      <c r="MTN647" s="268"/>
      <c r="MTO647" s="268"/>
      <c r="MTP647" s="268"/>
      <c r="MTQ647" s="268"/>
      <c r="MTR647" s="268"/>
      <c r="MTS647" s="268"/>
      <c r="MTT647" s="268"/>
      <c r="MTU647" s="268"/>
      <c r="MTV647" s="268"/>
      <c r="MTW647" s="268"/>
      <c r="MTX647" s="268"/>
      <c r="MTY647" s="268"/>
      <c r="MTZ647" s="268"/>
      <c r="MUA647" s="268"/>
      <c r="MUB647" s="268"/>
      <c r="MUC647" s="268"/>
      <c r="MUD647" s="268"/>
      <c r="MUE647" s="268"/>
      <c r="MUF647" s="268"/>
      <c r="MUG647" s="268"/>
      <c r="MUH647" s="268"/>
      <c r="MUI647" s="268"/>
      <c r="MUJ647" s="268"/>
      <c r="MUK647" s="268"/>
      <c r="MUL647" s="268"/>
      <c r="MUM647" s="268"/>
      <c r="MUN647" s="268"/>
      <c r="MUO647" s="268"/>
      <c r="MUP647" s="268"/>
      <c r="MUQ647" s="268"/>
      <c r="MUR647" s="268"/>
      <c r="MUS647" s="268"/>
      <c r="MUT647" s="268"/>
      <c r="MUU647" s="268"/>
      <c r="MUV647" s="268"/>
      <c r="MUW647" s="268"/>
      <c r="MUX647" s="268"/>
      <c r="MUY647" s="268"/>
      <c r="MUZ647" s="268"/>
      <c r="MVA647" s="268"/>
      <c r="MVB647" s="268"/>
      <c r="MVC647" s="268"/>
      <c r="MVD647" s="268"/>
      <c r="MVE647" s="268"/>
      <c r="MVF647" s="268"/>
      <c r="MVG647" s="268"/>
      <c r="MVH647" s="268"/>
      <c r="MVI647" s="268"/>
      <c r="MVJ647" s="268"/>
      <c r="MVK647" s="268"/>
      <c r="MVL647" s="268"/>
      <c r="MVM647" s="268"/>
      <c r="MVN647" s="268"/>
      <c r="MVO647" s="268"/>
      <c r="MVP647" s="268"/>
      <c r="MVQ647" s="268"/>
      <c r="MVR647" s="268"/>
      <c r="MVS647" s="268"/>
      <c r="MVT647" s="268"/>
      <c r="MVU647" s="268"/>
      <c r="MVV647" s="268"/>
      <c r="MVW647" s="268"/>
      <c r="MVX647" s="268"/>
      <c r="MVY647" s="268"/>
      <c r="MVZ647" s="268"/>
      <c r="MWA647" s="268"/>
      <c r="MWB647" s="268"/>
      <c r="MWC647" s="268"/>
      <c r="MWD647" s="268"/>
      <c r="MWE647" s="268"/>
      <c r="MWF647" s="268"/>
      <c r="MWG647" s="268"/>
      <c r="MWH647" s="268"/>
      <c r="MWI647" s="268"/>
      <c r="MWJ647" s="268"/>
      <c r="MWK647" s="268"/>
      <c r="MWL647" s="268"/>
      <c r="MWM647" s="268"/>
      <c r="MWN647" s="268"/>
      <c r="MWO647" s="268"/>
      <c r="MWP647" s="268"/>
      <c r="MWQ647" s="268"/>
      <c r="MWR647" s="268"/>
      <c r="MWS647" s="268"/>
      <c r="MWT647" s="268"/>
      <c r="MWU647" s="268"/>
      <c r="MWV647" s="268"/>
      <c r="MWW647" s="268"/>
      <c r="MWX647" s="268"/>
      <c r="MWY647" s="268"/>
      <c r="MWZ647" s="268"/>
      <c r="MXA647" s="268"/>
      <c r="MXB647" s="268"/>
      <c r="MXC647" s="268"/>
      <c r="MXD647" s="268"/>
      <c r="MXE647" s="268"/>
      <c r="MXF647" s="268"/>
      <c r="MXG647" s="268"/>
      <c r="MXH647" s="268"/>
      <c r="MXI647" s="268"/>
      <c r="MXJ647" s="268"/>
      <c r="MXK647" s="268"/>
      <c r="MXL647" s="268"/>
      <c r="MXM647" s="268"/>
      <c r="MXN647" s="268"/>
      <c r="MXO647" s="268"/>
      <c r="MXP647" s="268"/>
      <c r="MXQ647" s="268"/>
      <c r="MXR647" s="268"/>
      <c r="MXS647" s="268"/>
      <c r="MXT647" s="268"/>
      <c r="MXU647" s="268"/>
      <c r="MXV647" s="268"/>
      <c r="MXW647" s="268"/>
      <c r="MXX647" s="268"/>
      <c r="MXY647" s="268"/>
      <c r="MXZ647" s="268"/>
      <c r="MYA647" s="268"/>
      <c r="MYB647" s="268"/>
      <c r="MYC647" s="268"/>
      <c r="MYD647" s="268"/>
      <c r="MYE647" s="268"/>
      <c r="MYF647" s="268"/>
      <c r="MYG647" s="268"/>
      <c r="MYH647" s="268"/>
      <c r="MYI647" s="268"/>
      <c r="MYJ647" s="268"/>
      <c r="MYK647" s="268"/>
      <c r="MYL647" s="268"/>
      <c r="MYM647" s="268"/>
      <c r="MYN647" s="268"/>
      <c r="MYO647" s="268"/>
      <c r="MYP647" s="268"/>
      <c r="MYQ647" s="268"/>
      <c r="MYR647" s="268"/>
      <c r="MYS647" s="268"/>
      <c r="MYT647" s="268"/>
      <c r="MYU647" s="268"/>
      <c r="MYV647" s="268"/>
      <c r="MYW647" s="268"/>
      <c r="MYX647" s="268"/>
      <c r="MYY647" s="268"/>
      <c r="MZM647" s="268"/>
      <c r="MZN647" s="268"/>
      <c r="MZO647" s="268"/>
      <c r="NAC647" s="268"/>
      <c r="NAE647" s="268"/>
      <c r="NAF647" s="268"/>
      <c r="NAG647" s="268"/>
      <c r="NAH647" s="268"/>
      <c r="NAI647" s="268"/>
      <c r="NAJ647" s="268"/>
      <c r="NAK647" s="268"/>
      <c r="NAL647" s="268"/>
      <c r="NAM647" s="268"/>
      <c r="NAN647" s="268"/>
      <c r="NAO647" s="268"/>
      <c r="NAP647" s="268"/>
      <c r="NAQ647" s="268"/>
      <c r="NAR647" s="268"/>
      <c r="NAS647" s="268"/>
      <c r="NAT647" s="268"/>
      <c r="NAU647" s="268"/>
      <c r="NAV647" s="268"/>
      <c r="NAW647" s="268"/>
      <c r="NAX647" s="268"/>
      <c r="NAY647" s="268"/>
      <c r="NAZ647" s="268"/>
      <c r="NBA647" s="268"/>
      <c r="NBB647" s="268"/>
      <c r="NBC647" s="268"/>
      <c r="NBD647" s="268"/>
      <c r="NBE647" s="268"/>
      <c r="NBF647" s="268"/>
      <c r="NBG647" s="268"/>
      <c r="NBH647" s="268"/>
      <c r="NBI647" s="268"/>
      <c r="NBJ647" s="268"/>
      <c r="NBK647" s="268"/>
      <c r="NBL647" s="268"/>
      <c r="NBM647" s="268"/>
      <c r="NBN647" s="268"/>
      <c r="NBO647" s="268"/>
      <c r="NBP647" s="268"/>
      <c r="NBQ647" s="268"/>
      <c r="NBR647" s="268"/>
      <c r="NBS647" s="268"/>
      <c r="NBT647" s="268"/>
      <c r="NBU647" s="268"/>
      <c r="NBV647" s="268"/>
      <c r="NBW647" s="268"/>
      <c r="NBX647" s="268"/>
      <c r="NBY647" s="268"/>
      <c r="NBZ647" s="268"/>
      <c r="NCA647" s="268"/>
      <c r="NCB647" s="268"/>
      <c r="NCC647" s="268"/>
      <c r="NCD647" s="268"/>
      <c r="NCE647" s="268"/>
      <c r="NCF647" s="268"/>
      <c r="NCG647" s="268"/>
      <c r="NCH647" s="268"/>
      <c r="NCI647" s="268"/>
      <c r="NCJ647" s="268"/>
      <c r="NCK647" s="268"/>
      <c r="NCL647" s="268"/>
      <c r="NCM647" s="268"/>
      <c r="NCN647" s="268"/>
      <c r="NCO647" s="268"/>
      <c r="NCP647" s="268"/>
      <c r="NCQ647" s="268"/>
      <c r="NCR647" s="268"/>
      <c r="NCS647" s="268"/>
      <c r="NCT647" s="268"/>
      <c r="NCU647" s="268"/>
      <c r="NCV647" s="268"/>
      <c r="NCW647" s="268"/>
      <c r="NCX647" s="268"/>
      <c r="NCY647" s="268"/>
      <c r="NCZ647" s="268"/>
      <c r="NDA647" s="268"/>
      <c r="NDB647" s="268"/>
      <c r="NDC647" s="268"/>
      <c r="NDD647" s="268"/>
      <c r="NDE647" s="268"/>
      <c r="NDF647" s="268"/>
      <c r="NDG647" s="268"/>
      <c r="NDH647" s="268"/>
      <c r="NDI647" s="268"/>
      <c r="NDJ647" s="268"/>
      <c r="NDK647" s="268"/>
      <c r="NDL647" s="268"/>
      <c r="NDM647" s="268"/>
      <c r="NDN647" s="268"/>
      <c r="NDO647" s="268"/>
      <c r="NDP647" s="268"/>
      <c r="NDQ647" s="268"/>
      <c r="NDR647" s="268"/>
      <c r="NDS647" s="268"/>
      <c r="NDT647" s="268"/>
      <c r="NDU647" s="268"/>
      <c r="NDV647" s="268"/>
      <c r="NDW647" s="268"/>
      <c r="NDX647" s="268"/>
      <c r="NDY647" s="268"/>
      <c r="NDZ647" s="268"/>
      <c r="NEA647" s="268"/>
      <c r="NEB647" s="268"/>
      <c r="NEC647" s="268"/>
      <c r="NED647" s="268"/>
      <c r="NEE647" s="268"/>
      <c r="NEF647" s="268"/>
      <c r="NEG647" s="268"/>
      <c r="NEH647" s="268"/>
      <c r="NEI647" s="268"/>
      <c r="NEJ647" s="268"/>
      <c r="NEK647" s="268"/>
      <c r="NEL647" s="268"/>
      <c r="NEM647" s="268"/>
      <c r="NEN647" s="268"/>
      <c r="NEO647" s="268"/>
      <c r="NEP647" s="268"/>
      <c r="NEQ647" s="268"/>
      <c r="NER647" s="268"/>
      <c r="NES647" s="268"/>
      <c r="NET647" s="268"/>
      <c r="NEU647" s="268"/>
      <c r="NEV647" s="268"/>
      <c r="NEW647" s="268"/>
      <c r="NEX647" s="268"/>
      <c r="NEY647" s="268"/>
      <c r="NEZ647" s="268"/>
      <c r="NFA647" s="268"/>
      <c r="NFB647" s="268"/>
      <c r="NFC647" s="268"/>
      <c r="NFD647" s="268"/>
      <c r="NFE647" s="268"/>
      <c r="NFF647" s="268"/>
      <c r="NFG647" s="268"/>
      <c r="NFH647" s="268"/>
      <c r="NFI647" s="268"/>
      <c r="NFJ647" s="268"/>
      <c r="NFK647" s="268"/>
      <c r="NFL647" s="268"/>
      <c r="NFM647" s="268"/>
      <c r="NFN647" s="268"/>
      <c r="NFO647" s="268"/>
      <c r="NFP647" s="268"/>
      <c r="NFQ647" s="268"/>
      <c r="NFR647" s="268"/>
      <c r="NFS647" s="268"/>
      <c r="NFT647" s="268"/>
      <c r="NFU647" s="268"/>
      <c r="NFV647" s="268"/>
      <c r="NFW647" s="268"/>
      <c r="NFX647" s="268"/>
      <c r="NFY647" s="268"/>
      <c r="NFZ647" s="268"/>
      <c r="NGA647" s="268"/>
      <c r="NGB647" s="268"/>
      <c r="NGC647" s="268"/>
      <c r="NGD647" s="268"/>
      <c r="NGE647" s="268"/>
      <c r="NGF647" s="268"/>
      <c r="NGG647" s="268"/>
      <c r="NGH647" s="268"/>
      <c r="NGI647" s="268"/>
      <c r="NGJ647" s="268"/>
      <c r="NGK647" s="268"/>
      <c r="NGL647" s="268"/>
      <c r="NGM647" s="268"/>
      <c r="NGN647" s="268"/>
      <c r="NGO647" s="268"/>
      <c r="NGP647" s="268"/>
      <c r="NGQ647" s="268"/>
      <c r="NGR647" s="268"/>
      <c r="NGS647" s="268"/>
      <c r="NGT647" s="268"/>
      <c r="NGU647" s="268"/>
      <c r="NGV647" s="268"/>
      <c r="NGW647" s="268"/>
      <c r="NGX647" s="268"/>
      <c r="NGY647" s="268"/>
      <c r="NGZ647" s="268"/>
      <c r="NHA647" s="268"/>
      <c r="NHB647" s="268"/>
      <c r="NHC647" s="268"/>
      <c r="NHD647" s="268"/>
      <c r="NHE647" s="268"/>
      <c r="NHF647" s="268"/>
      <c r="NHG647" s="268"/>
      <c r="NHH647" s="268"/>
      <c r="NHI647" s="268"/>
      <c r="NHJ647" s="268"/>
      <c r="NHK647" s="268"/>
      <c r="NHL647" s="268"/>
      <c r="NHM647" s="268"/>
      <c r="NHN647" s="268"/>
      <c r="NHO647" s="268"/>
      <c r="NHP647" s="268"/>
      <c r="NHQ647" s="268"/>
      <c r="NHR647" s="268"/>
      <c r="NHS647" s="268"/>
      <c r="NHT647" s="268"/>
      <c r="NHU647" s="268"/>
      <c r="NHV647" s="268"/>
      <c r="NHW647" s="268"/>
      <c r="NHX647" s="268"/>
      <c r="NHY647" s="268"/>
      <c r="NHZ647" s="268"/>
      <c r="NIA647" s="268"/>
      <c r="NIB647" s="268"/>
      <c r="NIC647" s="268"/>
      <c r="NID647" s="268"/>
      <c r="NIE647" s="268"/>
      <c r="NIF647" s="268"/>
      <c r="NIG647" s="268"/>
      <c r="NIH647" s="268"/>
      <c r="NII647" s="268"/>
      <c r="NIJ647" s="268"/>
      <c r="NIK647" s="268"/>
      <c r="NIL647" s="268"/>
      <c r="NIM647" s="268"/>
      <c r="NIN647" s="268"/>
      <c r="NIO647" s="268"/>
      <c r="NIP647" s="268"/>
      <c r="NIQ647" s="268"/>
      <c r="NIR647" s="268"/>
      <c r="NIS647" s="268"/>
      <c r="NIT647" s="268"/>
      <c r="NIU647" s="268"/>
      <c r="NJI647" s="268"/>
      <c r="NJJ647" s="268"/>
      <c r="NJK647" s="268"/>
      <c r="NJY647" s="268"/>
      <c r="NKA647" s="268"/>
      <c r="NKB647" s="268"/>
      <c r="NKC647" s="268"/>
      <c r="NKD647" s="268"/>
      <c r="NKE647" s="268"/>
      <c r="NKF647" s="268"/>
      <c r="NKG647" s="268"/>
      <c r="NKH647" s="268"/>
      <c r="NKI647" s="268"/>
      <c r="NKJ647" s="268"/>
      <c r="NKK647" s="268"/>
      <c r="NKL647" s="268"/>
      <c r="NKM647" s="268"/>
      <c r="NKN647" s="268"/>
      <c r="NKO647" s="268"/>
      <c r="NKP647" s="268"/>
      <c r="NKQ647" s="268"/>
      <c r="NKR647" s="268"/>
      <c r="NKS647" s="268"/>
      <c r="NKT647" s="268"/>
      <c r="NKU647" s="268"/>
      <c r="NKV647" s="268"/>
      <c r="NKW647" s="268"/>
      <c r="NKX647" s="268"/>
      <c r="NKY647" s="268"/>
      <c r="NKZ647" s="268"/>
      <c r="NLA647" s="268"/>
      <c r="NLB647" s="268"/>
      <c r="NLC647" s="268"/>
      <c r="NLD647" s="268"/>
      <c r="NLE647" s="268"/>
      <c r="NLF647" s="268"/>
      <c r="NLG647" s="268"/>
      <c r="NLH647" s="268"/>
      <c r="NLI647" s="268"/>
      <c r="NLJ647" s="268"/>
      <c r="NLK647" s="268"/>
      <c r="NLL647" s="268"/>
      <c r="NLM647" s="268"/>
      <c r="NLN647" s="268"/>
      <c r="NLO647" s="268"/>
      <c r="NLP647" s="268"/>
      <c r="NLQ647" s="268"/>
      <c r="NLR647" s="268"/>
      <c r="NLS647" s="268"/>
      <c r="NLT647" s="268"/>
      <c r="NLU647" s="268"/>
      <c r="NLV647" s="268"/>
      <c r="NLW647" s="268"/>
      <c r="NLX647" s="268"/>
      <c r="NLY647" s="268"/>
      <c r="NLZ647" s="268"/>
      <c r="NMA647" s="268"/>
      <c r="NMB647" s="268"/>
      <c r="NMC647" s="268"/>
      <c r="NMD647" s="268"/>
      <c r="NME647" s="268"/>
      <c r="NMF647" s="268"/>
      <c r="NMG647" s="268"/>
      <c r="NMH647" s="268"/>
      <c r="NMI647" s="268"/>
      <c r="NMJ647" s="268"/>
      <c r="NMK647" s="268"/>
      <c r="NML647" s="268"/>
      <c r="NMM647" s="268"/>
      <c r="NMN647" s="268"/>
      <c r="NMO647" s="268"/>
      <c r="NMP647" s="268"/>
      <c r="NMQ647" s="268"/>
      <c r="NMR647" s="268"/>
      <c r="NMS647" s="268"/>
      <c r="NMT647" s="268"/>
      <c r="NMU647" s="268"/>
      <c r="NMV647" s="268"/>
      <c r="NMW647" s="268"/>
      <c r="NMX647" s="268"/>
      <c r="NMY647" s="268"/>
      <c r="NMZ647" s="268"/>
      <c r="NNA647" s="268"/>
      <c r="NNB647" s="268"/>
      <c r="NNC647" s="268"/>
      <c r="NND647" s="268"/>
      <c r="NNE647" s="268"/>
      <c r="NNF647" s="268"/>
      <c r="NNG647" s="268"/>
      <c r="NNH647" s="268"/>
      <c r="NNI647" s="268"/>
      <c r="NNJ647" s="268"/>
      <c r="NNK647" s="268"/>
      <c r="NNL647" s="268"/>
      <c r="NNM647" s="268"/>
      <c r="NNN647" s="268"/>
      <c r="NNO647" s="268"/>
      <c r="NNP647" s="268"/>
      <c r="NNQ647" s="268"/>
      <c r="NNR647" s="268"/>
      <c r="NNS647" s="268"/>
      <c r="NNT647" s="268"/>
      <c r="NNU647" s="268"/>
      <c r="NNV647" s="268"/>
      <c r="NNW647" s="268"/>
      <c r="NNX647" s="268"/>
      <c r="NNY647" s="268"/>
      <c r="NNZ647" s="268"/>
      <c r="NOA647" s="268"/>
      <c r="NOB647" s="268"/>
      <c r="NOC647" s="268"/>
      <c r="NOD647" s="268"/>
      <c r="NOE647" s="268"/>
      <c r="NOF647" s="268"/>
      <c r="NOG647" s="268"/>
      <c r="NOH647" s="268"/>
      <c r="NOI647" s="268"/>
      <c r="NOJ647" s="268"/>
      <c r="NOK647" s="268"/>
      <c r="NOL647" s="268"/>
      <c r="NOM647" s="268"/>
      <c r="NON647" s="268"/>
      <c r="NOO647" s="268"/>
      <c r="NOP647" s="268"/>
      <c r="NOQ647" s="268"/>
      <c r="NOR647" s="268"/>
      <c r="NOS647" s="268"/>
      <c r="NOT647" s="268"/>
      <c r="NOU647" s="268"/>
      <c r="NOV647" s="268"/>
      <c r="NOW647" s="268"/>
      <c r="NOX647" s="268"/>
      <c r="NOY647" s="268"/>
      <c r="NOZ647" s="268"/>
      <c r="NPA647" s="268"/>
      <c r="NPB647" s="268"/>
      <c r="NPC647" s="268"/>
      <c r="NPD647" s="268"/>
      <c r="NPE647" s="268"/>
      <c r="NPF647" s="268"/>
      <c r="NPG647" s="268"/>
      <c r="NPH647" s="268"/>
      <c r="NPI647" s="268"/>
      <c r="NPJ647" s="268"/>
      <c r="NPK647" s="268"/>
      <c r="NPL647" s="268"/>
      <c r="NPM647" s="268"/>
      <c r="NPN647" s="268"/>
      <c r="NPO647" s="268"/>
      <c r="NPP647" s="268"/>
      <c r="NPQ647" s="268"/>
      <c r="NPR647" s="268"/>
      <c r="NPS647" s="268"/>
      <c r="NPT647" s="268"/>
      <c r="NPU647" s="268"/>
      <c r="NPV647" s="268"/>
      <c r="NPW647" s="268"/>
      <c r="NPX647" s="268"/>
      <c r="NPY647" s="268"/>
      <c r="NPZ647" s="268"/>
      <c r="NQA647" s="268"/>
      <c r="NQB647" s="268"/>
      <c r="NQC647" s="268"/>
      <c r="NQD647" s="268"/>
      <c r="NQE647" s="268"/>
      <c r="NQF647" s="268"/>
      <c r="NQG647" s="268"/>
      <c r="NQH647" s="268"/>
      <c r="NQI647" s="268"/>
      <c r="NQJ647" s="268"/>
      <c r="NQK647" s="268"/>
      <c r="NQL647" s="268"/>
      <c r="NQM647" s="268"/>
      <c r="NQN647" s="268"/>
      <c r="NQO647" s="268"/>
      <c r="NQP647" s="268"/>
      <c r="NQQ647" s="268"/>
      <c r="NQR647" s="268"/>
      <c r="NQS647" s="268"/>
      <c r="NQT647" s="268"/>
      <c r="NQU647" s="268"/>
      <c r="NQV647" s="268"/>
      <c r="NQW647" s="268"/>
      <c r="NQX647" s="268"/>
      <c r="NQY647" s="268"/>
      <c r="NQZ647" s="268"/>
      <c r="NRA647" s="268"/>
      <c r="NRB647" s="268"/>
      <c r="NRC647" s="268"/>
      <c r="NRD647" s="268"/>
      <c r="NRE647" s="268"/>
      <c r="NRF647" s="268"/>
      <c r="NRG647" s="268"/>
      <c r="NRH647" s="268"/>
      <c r="NRI647" s="268"/>
      <c r="NRJ647" s="268"/>
      <c r="NRK647" s="268"/>
      <c r="NRL647" s="268"/>
      <c r="NRM647" s="268"/>
      <c r="NRN647" s="268"/>
      <c r="NRO647" s="268"/>
      <c r="NRP647" s="268"/>
      <c r="NRQ647" s="268"/>
      <c r="NRR647" s="268"/>
      <c r="NRS647" s="268"/>
      <c r="NRT647" s="268"/>
      <c r="NRU647" s="268"/>
      <c r="NRV647" s="268"/>
      <c r="NRW647" s="268"/>
      <c r="NRX647" s="268"/>
      <c r="NRY647" s="268"/>
      <c r="NRZ647" s="268"/>
      <c r="NSA647" s="268"/>
      <c r="NSB647" s="268"/>
      <c r="NSC647" s="268"/>
      <c r="NSD647" s="268"/>
      <c r="NSE647" s="268"/>
      <c r="NSF647" s="268"/>
      <c r="NSG647" s="268"/>
      <c r="NSH647" s="268"/>
      <c r="NSI647" s="268"/>
      <c r="NSJ647" s="268"/>
      <c r="NSK647" s="268"/>
      <c r="NSL647" s="268"/>
      <c r="NSM647" s="268"/>
      <c r="NSN647" s="268"/>
      <c r="NSO647" s="268"/>
      <c r="NSP647" s="268"/>
      <c r="NSQ647" s="268"/>
      <c r="NTE647" s="268"/>
      <c r="NTF647" s="268"/>
      <c r="NTG647" s="268"/>
      <c r="NTU647" s="268"/>
      <c r="NTW647" s="268"/>
      <c r="NTX647" s="268"/>
      <c r="NTY647" s="268"/>
      <c r="NTZ647" s="268"/>
      <c r="NUA647" s="268"/>
      <c r="NUB647" s="268"/>
      <c r="NUC647" s="268"/>
      <c r="NUD647" s="268"/>
      <c r="NUE647" s="268"/>
      <c r="NUF647" s="268"/>
      <c r="NUG647" s="268"/>
      <c r="NUH647" s="268"/>
      <c r="NUI647" s="268"/>
      <c r="NUJ647" s="268"/>
      <c r="NUK647" s="268"/>
      <c r="NUL647" s="268"/>
      <c r="NUM647" s="268"/>
      <c r="NUN647" s="268"/>
      <c r="NUO647" s="268"/>
      <c r="NUP647" s="268"/>
      <c r="NUQ647" s="268"/>
      <c r="NUR647" s="268"/>
      <c r="NUS647" s="268"/>
      <c r="NUT647" s="268"/>
      <c r="NUU647" s="268"/>
      <c r="NUV647" s="268"/>
      <c r="NUW647" s="268"/>
      <c r="NUX647" s="268"/>
      <c r="NUY647" s="268"/>
      <c r="NUZ647" s="268"/>
      <c r="NVA647" s="268"/>
      <c r="NVB647" s="268"/>
      <c r="NVC647" s="268"/>
      <c r="NVD647" s="268"/>
      <c r="NVE647" s="268"/>
      <c r="NVF647" s="268"/>
      <c r="NVG647" s="268"/>
      <c r="NVH647" s="268"/>
      <c r="NVI647" s="268"/>
      <c r="NVJ647" s="268"/>
      <c r="NVK647" s="268"/>
      <c r="NVL647" s="268"/>
      <c r="NVM647" s="268"/>
      <c r="NVN647" s="268"/>
      <c r="NVO647" s="268"/>
      <c r="NVP647" s="268"/>
      <c r="NVQ647" s="268"/>
      <c r="NVR647" s="268"/>
      <c r="NVS647" s="268"/>
      <c r="NVT647" s="268"/>
      <c r="NVU647" s="268"/>
      <c r="NVV647" s="268"/>
      <c r="NVW647" s="268"/>
      <c r="NVX647" s="268"/>
      <c r="NVY647" s="268"/>
      <c r="NVZ647" s="268"/>
      <c r="NWA647" s="268"/>
      <c r="NWB647" s="268"/>
      <c r="NWC647" s="268"/>
      <c r="NWD647" s="268"/>
      <c r="NWE647" s="268"/>
      <c r="NWF647" s="268"/>
      <c r="NWG647" s="268"/>
      <c r="NWH647" s="268"/>
      <c r="NWI647" s="268"/>
      <c r="NWJ647" s="268"/>
      <c r="NWK647" s="268"/>
      <c r="NWL647" s="268"/>
      <c r="NWM647" s="268"/>
      <c r="NWN647" s="268"/>
      <c r="NWO647" s="268"/>
      <c r="NWP647" s="268"/>
      <c r="NWQ647" s="268"/>
      <c r="NWR647" s="268"/>
      <c r="NWS647" s="268"/>
      <c r="NWT647" s="268"/>
      <c r="NWU647" s="268"/>
      <c r="NWV647" s="268"/>
      <c r="NWW647" s="268"/>
      <c r="NWX647" s="268"/>
      <c r="NWY647" s="268"/>
      <c r="NWZ647" s="268"/>
      <c r="NXA647" s="268"/>
      <c r="NXB647" s="268"/>
      <c r="NXC647" s="268"/>
      <c r="NXD647" s="268"/>
      <c r="NXE647" s="268"/>
      <c r="NXF647" s="268"/>
      <c r="NXG647" s="268"/>
      <c r="NXH647" s="268"/>
      <c r="NXI647" s="268"/>
      <c r="NXJ647" s="268"/>
      <c r="NXK647" s="268"/>
      <c r="NXL647" s="268"/>
      <c r="NXM647" s="268"/>
      <c r="NXN647" s="268"/>
      <c r="NXO647" s="268"/>
      <c r="NXP647" s="268"/>
      <c r="NXQ647" s="268"/>
      <c r="NXR647" s="268"/>
      <c r="NXS647" s="268"/>
      <c r="NXT647" s="268"/>
      <c r="NXU647" s="268"/>
      <c r="NXV647" s="268"/>
      <c r="NXW647" s="268"/>
      <c r="NXX647" s="268"/>
      <c r="NXY647" s="268"/>
      <c r="NXZ647" s="268"/>
      <c r="NYA647" s="268"/>
      <c r="NYB647" s="268"/>
      <c r="NYC647" s="268"/>
      <c r="NYD647" s="268"/>
      <c r="NYE647" s="268"/>
      <c r="NYF647" s="268"/>
      <c r="NYG647" s="268"/>
      <c r="NYH647" s="268"/>
      <c r="NYI647" s="268"/>
      <c r="NYJ647" s="268"/>
      <c r="NYK647" s="268"/>
      <c r="NYL647" s="268"/>
      <c r="NYM647" s="268"/>
      <c r="NYN647" s="268"/>
      <c r="NYO647" s="268"/>
      <c r="NYP647" s="268"/>
      <c r="NYQ647" s="268"/>
      <c r="NYR647" s="268"/>
      <c r="NYS647" s="268"/>
      <c r="NYT647" s="268"/>
      <c r="NYU647" s="268"/>
      <c r="NYV647" s="268"/>
      <c r="NYW647" s="268"/>
      <c r="NYX647" s="268"/>
      <c r="NYY647" s="268"/>
      <c r="NYZ647" s="268"/>
      <c r="NZA647" s="268"/>
      <c r="NZB647" s="268"/>
      <c r="NZC647" s="268"/>
      <c r="NZD647" s="268"/>
      <c r="NZE647" s="268"/>
      <c r="NZF647" s="268"/>
      <c r="NZG647" s="268"/>
      <c r="NZH647" s="268"/>
      <c r="NZI647" s="268"/>
      <c r="NZJ647" s="268"/>
      <c r="NZK647" s="268"/>
      <c r="NZL647" s="268"/>
      <c r="NZM647" s="268"/>
      <c r="NZN647" s="268"/>
      <c r="NZO647" s="268"/>
      <c r="NZP647" s="268"/>
      <c r="NZQ647" s="268"/>
      <c r="NZR647" s="268"/>
      <c r="NZS647" s="268"/>
      <c r="NZT647" s="268"/>
      <c r="NZU647" s="268"/>
      <c r="NZV647" s="268"/>
      <c r="NZW647" s="268"/>
      <c r="NZX647" s="268"/>
      <c r="NZY647" s="268"/>
      <c r="NZZ647" s="268"/>
      <c r="OAA647" s="268"/>
      <c r="OAB647" s="268"/>
      <c r="OAC647" s="268"/>
      <c r="OAD647" s="268"/>
      <c r="OAE647" s="268"/>
      <c r="OAF647" s="268"/>
      <c r="OAG647" s="268"/>
      <c r="OAH647" s="268"/>
      <c r="OAI647" s="268"/>
      <c r="OAJ647" s="268"/>
      <c r="OAK647" s="268"/>
      <c r="OAL647" s="268"/>
      <c r="OAM647" s="268"/>
      <c r="OAN647" s="268"/>
      <c r="OAO647" s="268"/>
      <c r="OAP647" s="268"/>
      <c r="OAQ647" s="268"/>
      <c r="OAR647" s="268"/>
      <c r="OAS647" s="268"/>
      <c r="OAT647" s="268"/>
      <c r="OAU647" s="268"/>
      <c r="OAV647" s="268"/>
      <c r="OAW647" s="268"/>
      <c r="OAX647" s="268"/>
      <c r="OAY647" s="268"/>
      <c r="OAZ647" s="268"/>
      <c r="OBA647" s="268"/>
      <c r="OBB647" s="268"/>
      <c r="OBC647" s="268"/>
      <c r="OBD647" s="268"/>
      <c r="OBE647" s="268"/>
      <c r="OBF647" s="268"/>
      <c r="OBG647" s="268"/>
      <c r="OBH647" s="268"/>
      <c r="OBI647" s="268"/>
      <c r="OBJ647" s="268"/>
      <c r="OBK647" s="268"/>
      <c r="OBL647" s="268"/>
      <c r="OBM647" s="268"/>
      <c r="OBN647" s="268"/>
      <c r="OBO647" s="268"/>
      <c r="OBP647" s="268"/>
      <c r="OBQ647" s="268"/>
      <c r="OBR647" s="268"/>
      <c r="OBS647" s="268"/>
      <c r="OBT647" s="268"/>
      <c r="OBU647" s="268"/>
      <c r="OBV647" s="268"/>
      <c r="OBW647" s="268"/>
      <c r="OBX647" s="268"/>
      <c r="OBY647" s="268"/>
      <c r="OBZ647" s="268"/>
      <c r="OCA647" s="268"/>
      <c r="OCB647" s="268"/>
      <c r="OCC647" s="268"/>
      <c r="OCD647" s="268"/>
      <c r="OCE647" s="268"/>
      <c r="OCF647" s="268"/>
      <c r="OCG647" s="268"/>
      <c r="OCH647" s="268"/>
      <c r="OCI647" s="268"/>
      <c r="OCJ647" s="268"/>
      <c r="OCK647" s="268"/>
      <c r="OCL647" s="268"/>
      <c r="OCM647" s="268"/>
      <c r="ODA647" s="268"/>
      <c r="ODB647" s="268"/>
      <c r="ODC647" s="268"/>
      <c r="ODQ647" s="268"/>
      <c r="ODS647" s="268"/>
      <c r="ODT647" s="268"/>
      <c r="ODU647" s="268"/>
      <c r="ODV647" s="268"/>
      <c r="ODW647" s="268"/>
      <c r="ODX647" s="268"/>
      <c r="ODY647" s="268"/>
      <c r="ODZ647" s="268"/>
      <c r="OEA647" s="268"/>
      <c r="OEB647" s="268"/>
      <c r="OEC647" s="268"/>
      <c r="OED647" s="268"/>
      <c r="OEE647" s="268"/>
      <c r="OEF647" s="268"/>
      <c r="OEG647" s="268"/>
      <c r="OEH647" s="268"/>
      <c r="OEI647" s="268"/>
      <c r="OEJ647" s="268"/>
      <c r="OEK647" s="268"/>
      <c r="OEL647" s="268"/>
      <c r="OEM647" s="268"/>
      <c r="OEN647" s="268"/>
      <c r="OEO647" s="268"/>
      <c r="OEP647" s="268"/>
      <c r="OEQ647" s="268"/>
      <c r="OER647" s="268"/>
      <c r="OES647" s="268"/>
      <c r="OET647" s="268"/>
      <c r="OEU647" s="268"/>
      <c r="OEV647" s="268"/>
      <c r="OEW647" s="268"/>
      <c r="OEX647" s="268"/>
      <c r="OEY647" s="268"/>
      <c r="OEZ647" s="268"/>
      <c r="OFA647" s="268"/>
      <c r="OFB647" s="268"/>
      <c r="OFC647" s="268"/>
      <c r="OFD647" s="268"/>
      <c r="OFE647" s="268"/>
      <c r="OFF647" s="268"/>
      <c r="OFG647" s="268"/>
      <c r="OFH647" s="268"/>
      <c r="OFI647" s="268"/>
      <c r="OFJ647" s="268"/>
      <c r="OFK647" s="268"/>
      <c r="OFL647" s="268"/>
      <c r="OFM647" s="268"/>
      <c r="OFN647" s="268"/>
      <c r="OFO647" s="268"/>
      <c r="OFP647" s="268"/>
      <c r="OFQ647" s="268"/>
      <c r="OFR647" s="268"/>
      <c r="OFS647" s="268"/>
      <c r="OFT647" s="268"/>
      <c r="OFU647" s="268"/>
      <c r="OFV647" s="268"/>
      <c r="OFW647" s="268"/>
      <c r="OFX647" s="268"/>
      <c r="OFY647" s="268"/>
      <c r="OFZ647" s="268"/>
      <c r="OGA647" s="268"/>
      <c r="OGB647" s="268"/>
      <c r="OGC647" s="268"/>
      <c r="OGD647" s="268"/>
      <c r="OGE647" s="268"/>
      <c r="OGF647" s="268"/>
      <c r="OGG647" s="268"/>
      <c r="OGH647" s="268"/>
      <c r="OGI647" s="268"/>
      <c r="OGJ647" s="268"/>
      <c r="OGK647" s="268"/>
      <c r="OGL647" s="268"/>
      <c r="OGM647" s="268"/>
      <c r="OGN647" s="268"/>
      <c r="OGO647" s="268"/>
      <c r="OGP647" s="268"/>
      <c r="OGQ647" s="268"/>
      <c r="OGR647" s="268"/>
      <c r="OGS647" s="268"/>
      <c r="OGT647" s="268"/>
      <c r="OGU647" s="268"/>
      <c r="OGV647" s="268"/>
      <c r="OGW647" s="268"/>
      <c r="OGX647" s="268"/>
      <c r="OGY647" s="268"/>
      <c r="OGZ647" s="268"/>
      <c r="OHA647" s="268"/>
      <c r="OHB647" s="268"/>
      <c r="OHC647" s="268"/>
      <c r="OHD647" s="268"/>
      <c r="OHE647" s="268"/>
      <c r="OHF647" s="268"/>
      <c r="OHG647" s="268"/>
      <c r="OHH647" s="268"/>
      <c r="OHI647" s="268"/>
      <c r="OHJ647" s="268"/>
      <c r="OHK647" s="268"/>
      <c r="OHL647" s="268"/>
      <c r="OHM647" s="268"/>
      <c r="OHN647" s="268"/>
      <c r="OHO647" s="268"/>
      <c r="OHP647" s="268"/>
      <c r="OHQ647" s="268"/>
      <c r="OHR647" s="268"/>
      <c r="OHS647" s="268"/>
      <c r="OHT647" s="268"/>
      <c r="OHU647" s="268"/>
      <c r="OHV647" s="268"/>
      <c r="OHW647" s="268"/>
      <c r="OHX647" s="268"/>
      <c r="OHY647" s="268"/>
      <c r="OHZ647" s="268"/>
      <c r="OIA647" s="268"/>
      <c r="OIB647" s="268"/>
      <c r="OIC647" s="268"/>
      <c r="OID647" s="268"/>
      <c r="OIE647" s="268"/>
      <c r="OIF647" s="268"/>
      <c r="OIG647" s="268"/>
      <c r="OIH647" s="268"/>
      <c r="OII647" s="268"/>
      <c r="OIJ647" s="268"/>
      <c r="OIK647" s="268"/>
      <c r="OIL647" s="268"/>
      <c r="OIM647" s="268"/>
      <c r="OIN647" s="268"/>
      <c r="OIO647" s="268"/>
      <c r="OIP647" s="268"/>
      <c r="OIQ647" s="268"/>
      <c r="OIR647" s="268"/>
      <c r="OIS647" s="268"/>
      <c r="OIT647" s="268"/>
      <c r="OIU647" s="268"/>
      <c r="OIV647" s="268"/>
      <c r="OIW647" s="268"/>
      <c r="OIX647" s="268"/>
      <c r="OIY647" s="268"/>
      <c r="OIZ647" s="268"/>
      <c r="OJA647" s="268"/>
      <c r="OJB647" s="268"/>
      <c r="OJC647" s="268"/>
      <c r="OJD647" s="268"/>
      <c r="OJE647" s="268"/>
      <c r="OJF647" s="268"/>
      <c r="OJG647" s="268"/>
      <c r="OJH647" s="268"/>
      <c r="OJI647" s="268"/>
      <c r="OJJ647" s="268"/>
      <c r="OJK647" s="268"/>
      <c r="OJL647" s="268"/>
      <c r="OJM647" s="268"/>
      <c r="OJN647" s="268"/>
      <c r="OJO647" s="268"/>
      <c r="OJP647" s="268"/>
      <c r="OJQ647" s="268"/>
      <c r="OJR647" s="268"/>
      <c r="OJS647" s="268"/>
      <c r="OJT647" s="268"/>
      <c r="OJU647" s="268"/>
      <c r="OJV647" s="268"/>
      <c r="OJW647" s="268"/>
      <c r="OJX647" s="268"/>
      <c r="OJY647" s="268"/>
      <c r="OJZ647" s="268"/>
      <c r="OKA647" s="268"/>
      <c r="OKB647" s="268"/>
      <c r="OKC647" s="268"/>
      <c r="OKD647" s="268"/>
      <c r="OKE647" s="268"/>
      <c r="OKF647" s="268"/>
      <c r="OKG647" s="268"/>
      <c r="OKH647" s="268"/>
      <c r="OKI647" s="268"/>
      <c r="OKJ647" s="268"/>
      <c r="OKK647" s="268"/>
      <c r="OKL647" s="268"/>
      <c r="OKM647" s="268"/>
      <c r="OKN647" s="268"/>
      <c r="OKO647" s="268"/>
      <c r="OKP647" s="268"/>
      <c r="OKQ647" s="268"/>
      <c r="OKR647" s="268"/>
      <c r="OKS647" s="268"/>
      <c r="OKT647" s="268"/>
      <c r="OKU647" s="268"/>
      <c r="OKV647" s="268"/>
      <c r="OKW647" s="268"/>
      <c r="OKX647" s="268"/>
      <c r="OKY647" s="268"/>
      <c r="OKZ647" s="268"/>
      <c r="OLA647" s="268"/>
      <c r="OLB647" s="268"/>
      <c r="OLC647" s="268"/>
      <c r="OLD647" s="268"/>
      <c r="OLE647" s="268"/>
      <c r="OLF647" s="268"/>
      <c r="OLG647" s="268"/>
      <c r="OLH647" s="268"/>
      <c r="OLI647" s="268"/>
      <c r="OLJ647" s="268"/>
      <c r="OLK647" s="268"/>
      <c r="OLL647" s="268"/>
      <c r="OLM647" s="268"/>
      <c r="OLN647" s="268"/>
      <c r="OLO647" s="268"/>
      <c r="OLP647" s="268"/>
      <c r="OLQ647" s="268"/>
      <c r="OLR647" s="268"/>
      <c r="OLS647" s="268"/>
      <c r="OLT647" s="268"/>
      <c r="OLU647" s="268"/>
      <c r="OLV647" s="268"/>
      <c r="OLW647" s="268"/>
      <c r="OLX647" s="268"/>
      <c r="OLY647" s="268"/>
      <c r="OLZ647" s="268"/>
      <c r="OMA647" s="268"/>
      <c r="OMB647" s="268"/>
      <c r="OMC647" s="268"/>
      <c r="OMD647" s="268"/>
      <c r="OME647" s="268"/>
      <c r="OMF647" s="268"/>
      <c r="OMG647" s="268"/>
      <c r="OMH647" s="268"/>
      <c r="OMI647" s="268"/>
      <c r="OMW647" s="268"/>
      <c r="OMX647" s="268"/>
      <c r="OMY647" s="268"/>
      <c r="ONM647" s="268"/>
      <c r="ONO647" s="268"/>
      <c r="ONP647" s="268"/>
      <c r="ONQ647" s="268"/>
      <c r="ONR647" s="268"/>
      <c r="ONS647" s="268"/>
      <c r="ONT647" s="268"/>
      <c r="ONU647" s="268"/>
      <c r="ONV647" s="268"/>
      <c r="ONW647" s="268"/>
      <c r="ONX647" s="268"/>
      <c r="ONY647" s="268"/>
      <c r="ONZ647" s="268"/>
      <c r="OOA647" s="268"/>
      <c r="OOB647" s="268"/>
      <c r="OOC647" s="268"/>
      <c r="OOD647" s="268"/>
      <c r="OOE647" s="268"/>
      <c r="OOF647" s="268"/>
      <c r="OOG647" s="268"/>
      <c r="OOH647" s="268"/>
      <c r="OOI647" s="268"/>
      <c r="OOJ647" s="268"/>
      <c r="OOK647" s="268"/>
      <c r="OOL647" s="268"/>
      <c r="OOM647" s="268"/>
      <c r="OON647" s="268"/>
      <c r="OOO647" s="268"/>
      <c r="OOP647" s="268"/>
      <c r="OOQ647" s="268"/>
      <c r="OOR647" s="268"/>
      <c r="OOS647" s="268"/>
      <c r="OOT647" s="268"/>
      <c r="OOU647" s="268"/>
      <c r="OOV647" s="268"/>
      <c r="OOW647" s="268"/>
      <c r="OOX647" s="268"/>
      <c r="OOY647" s="268"/>
      <c r="OOZ647" s="268"/>
      <c r="OPA647" s="268"/>
      <c r="OPB647" s="268"/>
      <c r="OPC647" s="268"/>
      <c r="OPD647" s="268"/>
      <c r="OPE647" s="268"/>
      <c r="OPF647" s="268"/>
      <c r="OPG647" s="268"/>
      <c r="OPH647" s="268"/>
      <c r="OPI647" s="268"/>
      <c r="OPJ647" s="268"/>
      <c r="OPK647" s="268"/>
      <c r="OPL647" s="268"/>
      <c r="OPM647" s="268"/>
      <c r="OPN647" s="268"/>
      <c r="OPO647" s="268"/>
      <c r="OPP647" s="268"/>
      <c r="OPQ647" s="268"/>
      <c r="OPR647" s="268"/>
      <c r="OPS647" s="268"/>
      <c r="OPT647" s="268"/>
      <c r="OPU647" s="268"/>
      <c r="OPV647" s="268"/>
      <c r="OPW647" s="268"/>
      <c r="OPX647" s="268"/>
      <c r="OPY647" s="268"/>
      <c r="OPZ647" s="268"/>
      <c r="OQA647" s="268"/>
      <c r="OQB647" s="268"/>
      <c r="OQC647" s="268"/>
      <c r="OQD647" s="268"/>
      <c r="OQE647" s="268"/>
      <c r="OQF647" s="268"/>
      <c r="OQG647" s="268"/>
      <c r="OQH647" s="268"/>
      <c r="OQI647" s="268"/>
      <c r="OQJ647" s="268"/>
      <c r="OQK647" s="268"/>
      <c r="OQL647" s="268"/>
      <c r="OQM647" s="268"/>
      <c r="OQN647" s="268"/>
      <c r="OQO647" s="268"/>
      <c r="OQP647" s="268"/>
      <c r="OQQ647" s="268"/>
      <c r="OQR647" s="268"/>
      <c r="OQS647" s="268"/>
      <c r="OQT647" s="268"/>
      <c r="OQU647" s="268"/>
      <c r="OQV647" s="268"/>
      <c r="OQW647" s="268"/>
      <c r="OQX647" s="268"/>
      <c r="OQY647" s="268"/>
      <c r="OQZ647" s="268"/>
      <c r="ORA647" s="268"/>
      <c r="ORB647" s="268"/>
      <c r="ORC647" s="268"/>
      <c r="ORD647" s="268"/>
      <c r="ORE647" s="268"/>
      <c r="ORF647" s="268"/>
      <c r="ORG647" s="268"/>
      <c r="ORH647" s="268"/>
      <c r="ORI647" s="268"/>
      <c r="ORJ647" s="268"/>
      <c r="ORK647" s="268"/>
      <c r="ORL647" s="268"/>
      <c r="ORM647" s="268"/>
      <c r="ORN647" s="268"/>
      <c r="ORO647" s="268"/>
      <c r="ORP647" s="268"/>
      <c r="ORQ647" s="268"/>
      <c r="ORR647" s="268"/>
      <c r="ORS647" s="268"/>
      <c r="ORT647" s="268"/>
      <c r="ORU647" s="268"/>
      <c r="ORV647" s="268"/>
      <c r="ORW647" s="268"/>
      <c r="ORX647" s="268"/>
      <c r="ORY647" s="268"/>
      <c r="ORZ647" s="268"/>
      <c r="OSA647" s="268"/>
      <c r="OSB647" s="268"/>
      <c r="OSC647" s="268"/>
      <c r="OSD647" s="268"/>
      <c r="OSE647" s="268"/>
      <c r="OSF647" s="268"/>
      <c r="OSG647" s="268"/>
      <c r="OSH647" s="268"/>
      <c r="OSI647" s="268"/>
      <c r="OSJ647" s="268"/>
      <c r="OSK647" s="268"/>
      <c r="OSL647" s="268"/>
      <c r="OSM647" s="268"/>
      <c r="OSN647" s="268"/>
      <c r="OSO647" s="268"/>
      <c r="OSP647" s="268"/>
      <c r="OSQ647" s="268"/>
      <c r="OSR647" s="268"/>
      <c r="OSS647" s="268"/>
      <c r="OST647" s="268"/>
      <c r="OSU647" s="268"/>
      <c r="OSV647" s="268"/>
      <c r="OSW647" s="268"/>
      <c r="OSX647" s="268"/>
      <c r="OSY647" s="268"/>
      <c r="OSZ647" s="268"/>
      <c r="OTA647" s="268"/>
      <c r="OTB647" s="268"/>
      <c r="OTC647" s="268"/>
      <c r="OTD647" s="268"/>
      <c r="OTE647" s="268"/>
      <c r="OTF647" s="268"/>
      <c r="OTG647" s="268"/>
      <c r="OTH647" s="268"/>
      <c r="OTI647" s="268"/>
      <c r="OTJ647" s="268"/>
      <c r="OTK647" s="268"/>
      <c r="OTL647" s="268"/>
      <c r="OTM647" s="268"/>
      <c r="OTN647" s="268"/>
      <c r="OTO647" s="268"/>
      <c r="OTP647" s="268"/>
      <c r="OTQ647" s="268"/>
      <c r="OTR647" s="268"/>
      <c r="OTS647" s="268"/>
      <c r="OTT647" s="268"/>
      <c r="OTU647" s="268"/>
      <c r="OTV647" s="268"/>
      <c r="OTW647" s="268"/>
      <c r="OTX647" s="268"/>
      <c r="OTY647" s="268"/>
      <c r="OTZ647" s="268"/>
      <c r="OUA647" s="268"/>
      <c r="OUB647" s="268"/>
      <c r="OUC647" s="268"/>
      <c r="OUD647" s="268"/>
      <c r="OUE647" s="268"/>
      <c r="OUF647" s="268"/>
      <c r="OUG647" s="268"/>
      <c r="OUH647" s="268"/>
      <c r="OUI647" s="268"/>
      <c r="OUJ647" s="268"/>
      <c r="OUK647" s="268"/>
      <c r="OUL647" s="268"/>
      <c r="OUM647" s="268"/>
      <c r="OUN647" s="268"/>
      <c r="OUO647" s="268"/>
      <c r="OUP647" s="268"/>
      <c r="OUQ647" s="268"/>
      <c r="OUR647" s="268"/>
      <c r="OUS647" s="268"/>
      <c r="OUT647" s="268"/>
      <c r="OUU647" s="268"/>
      <c r="OUV647" s="268"/>
      <c r="OUW647" s="268"/>
      <c r="OUX647" s="268"/>
      <c r="OUY647" s="268"/>
      <c r="OUZ647" s="268"/>
      <c r="OVA647" s="268"/>
      <c r="OVB647" s="268"/>
      <c r="OVC647" s="268"/>
      <c r="OVD647" s="268"/>
      <c r="OVE647" s="268"/>
      <c r="OVF647" s="268"/>
      <c r="OVG647" s="268"/>
      <c r="OVH647" s="268"/>
      <c r="OVI647" s="268"/>
      <c r="OVJ647" s="268"/>
      <c r="OVK647" s="268"/>
      <c r="OVL647" s="268"/>
      <c r="OVM647" s="268"/>
      <c r="OVN647" s="268"/>
      <c r="OVO647" s="268"/>
      <c r="OVP647" s="268"/>
      <c r="OVQ647" s="268"/>
      <c r="OVR647" s="268"/>
      <c r="OVS647" s="268"/>
      <c r="OVT647" s="268"/>
      <c r="OVU647" s="268"/>
      <c r="OVV647" s="268"/>
      <c r="OVW647" s="268"/>
      <c r="OVX647" s="268"/>
      <c r="OVY647" s="268"/>
      <c r="OVZ647" s="268"/>
      <c r="OWA647" s="268"/>
      <c r="OWB647" s="268"/>
      <c r="OWC647" s="268"/>
      <c r="OWD647" s="268"/>
      <c r="OWE647" s="268"/>
      <c r="OWS647" s="268"/>
      <c r="OWT647" s="268"/>
      <c r="OWU647" s="268"/>
      <c r="OXI647" s="268"/>
      <c r="OXK647" s="268"/>
      <c r="OXL647" s="268"/>
      <c r="OXM647" s="268"/>
      <c r="OXN647" s="268"/>
      <c r="OXO647" s="268"/>
      <c r="OXP647" s="268"/>
      <c r="OXQ647" s="268"/>
      <c r="OXR647" s="268"/>
      <c r="OXS647" s="268"/>
      <c r="OXT647" s="268"/>
      <c r="OXU647" s="268"/>
      <c r="OXV647" s="268"/>
      <c r="OXW647" s="268"/>
      <c r="OXX647" s="268"/>
      <c r="OXY647" s="268"/>
      <c r="OXZ647" s="268"/>
      <c r="OYA647" s="268"/>
      <c r="OYB647" s="268"/>
      <c r="OYC647" s="268"/>
      <c r="OYD647" s="268"/>
      <c r="OYE647" s="268"/>
      <c r="OYF647" s="268"/>
      <c r="OYG647" s="268"/>
      <c r="OYH647" s="268"/>
      <c r="OYI647" s="268"/>
      <c r="OYJ647" s="268"/>
      <c r="OYK647" s="268"/>
      <c r="OYL647" s="268"/>
      <c r="OYM647" s="268"/>
      <c r="OYN647" s="268"/>
      <c r="OYO647" s="268"/>
      <c r="OYP647" s="268"/>
      <c r="OYQ647" s="268"/>
      <c r="OYR647" s="268"/>
      <c r="OYS647" s="268"/>
      <c r="OYT647" s="268"/>
      <c r="OYU647" s="268"/>
      <c r="OYV647" s="268"/>
      <c r="OYW647" s="268"/>
      <c r="OYX647" s="268"/>
      <c r="OYY647" s="268"/>
      <c r="OYZ647" s="268"/>
      <c r="OZA647" s="268"/>
      <c r="OZB647" s="268"/>
      <c r="OZC647" s="268"/>
      <c r="OZD647" s="268"/>
      <c r="OZE647" s="268"/>
      <c r="OZF647" s="268"/>
      <c r="OZG647" s="268"/>
      <c r="OZH647" s="268"/>
      <c r="OZI647" s="268"/>
      <c r="OZJ647" s="268"/>
      <c r="OZK647" s="268"/>
      <c r="OZL647" s="268"/>
      <c r="OZM647" s="268"/>
      <c r="OZN647" s="268"/>
      <c r="OZO647" s="268"/>
      <c r="OZP647" s="268"/>
      <c r="OZQ647" s="268"/>
      <c r="OZR647" s="268"/>
      <c r="OZS647" s="268"/>
      <c r="OZT647" s="268"/>
      <c r="OZU647" s="268"/>
      <c r="OZV647" s="268"/>
      <c r="OZW647" s="268"/>
      <c r="OZX647" s="268"/>
      <c r="OZY647" s="268"/>
      <c r="OZZ647" s="268"/>
      <c r="PAA647" s="268"/>
      <c r="PAB647" s="268"/>
      <c r="PAC647" s="268"/>
      <c r="PAD647" s="268"/>
      <c r="PAE647" s="268"/>
      <c r="PAF647" s="268"/>
      <c r="PAG647" s="268"/>
      <c r="PAH647" s="268"/>
      <c r="PAI647" s="268"/>
      <c r="PAJ647" s="268"/>
      <c r="PAK647" s="268"/>
      <c r="PAL647" s="268"/>
      <c r="PAM647" s="268"/>
      <c r="PAN647" s="268"/>
      <c r="PAO647" s="268"/>
      <c r="PAP647" s="268"/>
      <c r="PAQ647" s="268"/>
      <c r="PAR647" s="268"/>
      <c r="PAS647" s="268"/>
      <c r="PAT647" s="268"/>
      <c r="PAU647" s="268"/>
      <c r="PAV647" s="268"/>
      <c r="PAW647" s="268"/>
      <c r="PAX647" s="268"/>
      <c r="PAY647" s="268"/>
      <c r="PAZ647" s="268"/>
      <c r="PBA647" s="268"/>
      <c r="PBB647" s="268"/>
      <c r="PBC647" s="268"/>
      <c r="PBD647" s="268"/>
      <c r="PBE647" s="268"/>
      <c r="PBF647" s="268"/>
      <c r="PBG647" s="268"/>
      <c r="PBH647" s="268"/>
      <c r="PBI647" s="268"/>
      <c r="PBJ647" s="268"/>
      <c r="PBK647" s="268"/>
      <c r="PBL647" s="268"/>
      <c r="PBM647" s="268"/>
      <c r="PBN647" s="268"/>
      <c r="PBO647" s="268"/>
      <c r="PBP647" s="268"/>
      <c r="PBQ647" s="268"/>
      <c r="PBR647" s="268"/>
      <c r="PBS647" s="268"/>
      <c r="PBT647" s="268"/>
      <c r="PBU647" s="268"/>
      <c r="PBV647" s="268"/>
      <c r="PBW647" s="268"/>
      <c r="PBX647" s="268"/>
      <c r="PBY647" s="268"/>
      <c r="PBZ647" s="268"/>
      <c r="PCA647" s="268"/>
      <c r="PCB647" s="268"/>
      <c r="PCC647" s="268"/>
      <c r="PCD647" s="268"/>
      <c r="PCE647" s="268"/>
      <c r="PCF647" s="268"/>
      <c r="PCG647" s="268"/>
      <c r="PCH647" s="268"/>
      <c r="PCI647" s="268"/>
      <c r="PCJ647" s="268"/>
      <c r="PCK647" s="268"/>
      <c r="PCL647" s="268"/>
      <c r="PCM647" s="268"/>
      <c r="PCN647" s="268"/>
      <c r="PCO647" s="268"/>
      <c r="PCP647" s="268"/>
      <c r="PCQ647" s="268"/>
      <c r="PCR647" s="268"/>
      <c r="PCS647" s="268"/>
      <c r="PCT647" s="268"/>
      <c r="PCU647" s="268"/>
      <c r="PCV647" s="268"/>
      <c r="PCW647" s="268"/>
      <c r="PCX647" s="268"/>
      <c r="PCY647" s="268"/>
      <c r="PCZ647" s="268"/>
      <c r="PDA647" s="268"/>
      <c r="PDB647" s="268"/>
      <c r="PDC647" s="268"/>
      <c r="PDD647" s="268"/>
      <c r="PDE647" s="268"/>
      <c r="PDF647" s="268"/>
      <c r="PDG647" s="268"/>
      <c r="PDH647" s="268"/>
      <c r="PDI647" s="268"/>
      <c r="PDJ647" s="268"/>
      <c r="PDK647" s="268"/>
      <c r="PDL647" s="268"/>
      <c r="PDM647" s="268"/>
      <c r="PDN647" s="268"/>
      <c r="PDO647" s="268"/>
      <c r="PDP647" s="268"/>
      <c r="PDQ647" s="268"/>
      <c r="PDR647" s="268"/>
      <c r="PDS647" s="268"/>
      <c r="PDT647" s="268"/>
      <c r="PDU647" s="268"/>
      <c r="PDV647" s="268"/>
      <c r="PDW647" s="268"/>
      <c r="PDX647" s="268"/>
      <c r="PDY647" s="268"/>
      <c r="PDZ647" s="268"/>
      <c r="PEA647" s="268"/>
      <c r="PEB647" s="268"/>
      <c r="PEC647" s="268"/>
      <c r="PED647" s="268"/>
      <c r="PEE647" s="268"/>
      <c r="PEF647" s="268"/>
      <c r="PEG647" s="268"/>
      <c r="PEH647" s="268"/>
      <c r="PEI647" s="268"/>
      <c r="PEJ647" s="268"/>
      <c r="PEK647" s="268"/>
      <c r="PEL647" s="268"/>
      <c r="PEM647" s="268"/>
      <c r="PEN647" s="268"/>
      <c r="PEO647" s="268"/>
      <c r="PEP647" s="268"/>
      <c r="PEQ647" s="268"/>
      <c r="PER647" s="268"/>
      <c r="PES647" s="268"/>
      <c r="PET647" s="268"/>
      <c r="PEU647" s="268"/>
      <c r="PEV647" s="268"/>
      <c r="PEW647" s="268"/>
      <c r="PEX647" s="268"/>
      <c r="PEY647" s="268"/>
      <c r="PEZ647" s="268"/>
      <c r="PFA647" s="268"/>
      <c r="PFB647" s="268"/>
      <c r="PFC647" s="268"/>
      <c r="PFD647" s="268"/>
      <c r="PFE647" s="268"/>
      <c r="PFF647" s="268"/>
      <c r="PFG647" s="268"/>
      <c r="PFH647" s="268"/>
      <c r="PFI647" s="268"/>
      <c r="PFJ647" s="268"/>
      <c r="PFK647" s="268"/>
      <c r="PFL647" s="268"/>
      <c r="PFM647" s="268"/>
      <c r="PFN647" s="268"/>
      <c r="PFO647" s="268"/>
      <c r="PFP647" s="268"/>
      <c r="PFQ647" s="268"/>
      <c r="PFR647" s="268"/>
      <c r="PFS647" s="268"/>
      <c r="PFT647" s="268"/>
      <c r="PFU647" s="268"/>
      <c r="PFV647" s="268"/>
      <c r="PFW647" s="268"/>
      <c r="PFX647" s="268"/>
      <c r="PFY647" s="268"/>
      <c r="PFZ647" s="268"/>
      <c r="PGA647" s="268"/>
      <c r="PGO647" s="268"/>
      <c r="PGP647" s="268"/>
      <c r="PGQ647" s="268"/>
      <c r="PHE647" s="268"/>
      <c r="PHG647" s="268"/>
      <c r="PHH647" s="268"/>
      <c r="PHI647" s="268"/>
      <c r="PHJ647" s="268"/>
      <c r="PHK647" s="268"/>
      <c r="PHL647" s="268"/>
      <c r="PHM647" s="268"/>
      <c r="PHN647" s="268"/>
      <c r="PHO647" s="268"/>
      <c r="PHP647" s="268"/>
      <c r="PHQ647" s="268"/>
      <c r="PHR647" s="268"/>
      <c r="PHS647" s="268"/>
      <c r="PHT647" s="268"/>
      <c r="PHU647" s="268"/>
      <c r="PHV647" s="268"/>
      <c r="PHW647" s="268"/>
      <c r="PHX647" s="268"/>
      <c r="PHY647" s="268"/>
      <c r="PHZ647" s="268"/>
      <c r="PIA647" s="268"/>
      <c r="PIB647" s="268"/>
      <c r="PIC647" s="268"/>
      <c r="PID647" s="268"/>
      <c r="PIE647" s="268"/>
      <c r="PIF647" s="268"/>
      <c r="PIG647" s="268"/>
      <c r="PIH647" s="268"/>
      <c r="PII647" s="268"/>
      <c r="PIJ647" s="268"/>
      <c r="PIK647" s="268"/>
      <c r="PIL647" s="268"/>
      <c r="PIM647" s="268"/>
      <c r="PIN647" s="268"/>
      <c r="PIO647" s="268"/>
      <c r="PIP647" s="268"/>
      <c r="PIQ647" s="268"/>
      <c r="PIR647" s="268"/>
      <c r="PIS647" s="268"/>
      <c r="PIT647" s="268"/>
      <c r="PIU647" s="268"/>
      <c r="PIV647" s="268"/>
      <c r="PIW647" s="268"/>
      <c r="PIX647" s="268"/>
      <c r="PIY647" s="268"/>
      <c r="PIZ647" s="268"/>
      <c r="PJA647" s="268"/>
      <c r="PJB647" s="268"/>
      <c r="PJC647" s="268"/>
      <c r="PJD647" s="268"/>
      <c r="PJE647" s="268"/>
      <c r="PJF647" s="268"/>
      <c r="PJG647" s="268"/>
      <c r="PJH647" s="268"/>
      <c r="PJI647" s="268"/>
      <c r="PJJ647" s="268"/>
      <c r="PJK647" s="268"/>
      <c r="PJL647" s="268"/>
      <c r="PJM647" s="268"/>
      <c r="PJN647" s="268"/>
      <c r="PJO647" s="268"/>
      <c r="PJP647" s="268"/>
      <c r="PJQ647" s="268"/>
      <c r="PJR647" s="268"/>
      <c r="PJS647" s="268"/>
      <c r="PJT647" s="268"/>
      <c r="PJU647" s="268"/>
      <c r="PJV647" s="268"/>
      <c r="PJW647" s="268"/>
      <c r="PJX647" s="268"/>
      <c r="PJY647" s="268"/>
      <c r="PJZ647" s="268"/>
      <c r="PKA647" s="268"/>
      <c r="PKB647" s="268"/>
      <c r="PKC647" s="268"/>
      <c r="PKD647" s="268"/>
      <c r="PKE647" s="268"/>
      <c r="PKF647" s="268"/>
      <c r="PKG647" s="268"/>
      <c r="PKH647" s="268"/>
      <c r="PKI647" s="268"/>
      <c r="PKJ647" s="268"/>
      <c r="PKK647" s="268"/>
      <c r="PKL647" s="268"/>
      <c r="PKM647" s="268"/>
      <c r="PKN647" s="268"/>
      <c r="PKO647" s="268"/>
      <c r="PKP647" s="268"/>
      <c r="PKQ647" s="268"/>
      <c r="PKR647" s="268"/>
      <c r="PKS647" s="268"/>
      <c r="PKT647" s="268"/>
      <c r="PKU647" s="268"/>
      <c r="PKV647" s="268"/>
      <c r="PKW647" s="268"/>
      <c r="PKX647" s="268"/>
      <c r="PKY647" s="268"/>
      <c r="PKZ647" s="268"/>
      <c r="PLA647" s="268"/>
      <c r="PLB647" s="268"/>
      <c r="PLC647" s="268"/>
      <c r="PLD647" s="268"/>
      <c r="PLE647" s="268"/>
      <c r="PLF647" s="268"/>
      <c r="PLG647" s="268"/>
      <c r="PLH647" s="268"/>
      <c r="PLI647" s="268"/>
      <c r="PLJ647" s="268"/>
      <c r="PLK647" s="268"/>
      <c r="PLL647" s="268"/>
      <c r="PLM647" s="268"/>
      <c r="PLN647" s="268"/>
      <c r="PLO647" s="268"/>
      <c r="PLP647" s="268"/>
      <c r="PLQ647" s="268"/>
      <c r="PLR647" s="268"/>
      <c r="PLS647" s="268"/>
      <c r="PLT647" s="268"/>
      <c r="PLU647" s="268"/>
      <c r="PLV647" s="268"/>
      <c r="PLW647" s="268"/>
      <c r="PLX647" s="268"/>
      <c r="PLY647" s="268"/>
      <c r="PLZ647" s="268"/>
      <c r="PMA647" s="268"/>
      <c r="PMB647" s="268"/>
      <c r="PMC647" s="268"/>
      <c r="PMD647" s="268"/>
      <c r="PME647" s="268"/>
      <c r="PMF647" s="268"/>
      <c r="PMG647" s="268"/>
      <c r="PMH647" s="268"/>
      <c r="PMI647" s="268"/>
      <c r="PMJ647" s="268"/>
      <c r="PMK647" s="268"/>
      <c r="PML647" s="268"/>
      <c r="PMM647" s="268"/>
      <c r="PMN647" s="268"/>
      <c r="PMO647" s="268"/>
      <c r="PMP647" s="268"/>
      <c r="PMQ647" s="268"/>
      <c r="PMR647" s="268"/>
      <c r="PMS647" s="268"/>
      <c r="PMT647" s="268"/>
      <c r="PMU647" s="268"/>
      <c r="PMV647" s="268"/>
      <c r="PMW647" s="268"/>
      <c r="PMX647" s="268"/>
      <c r="PMY647" s="268"/>
      <c r="PMZ647" s="268"/>
      <c r="PNA647" s="268"/>
      <c r="PNB647" s="268"/>
      <c r="PNC647" s="268"/>
      <c r="PND647" s="268"/>
      <c r="PNE647" s="268"/>
      <c r="PNF647" s="268"/>
      <c r="PNG647" s="268"/>
      <c r="PNH647" s="268"/>
      <c r="PNI647" s="268"/>
      <c r="PNJ647" s="268"/>
      <c r="PNK647" s="268"/>
      <c r="PNL647" s="268"/>
      <c r="PNM647" s="268"/>
      <c r="PNN647" s="268"/>
      <c r="PNO647" s="268"/>
      <c r="PNP647" s="268"/>
      <c r="PNQ647" s="268"/>
      <c r="PNR647" s="268"/>
      <c r="PNS647" s="268"/>
      <c r="PNT647" s="268"/>
      <c r="PNU647" s="268"/>
      <c r="PNV647" s="268"/>
      <c r="PNW647" s="268"/>
      <c r="PNX647" s="268"/>
      <c r="PNY647" s="268"/>
      <c r="PNZ647" s="268"/>
      <c r="POA647" s="268"/>
      <c r="POB647" s="268"/>
      <c r="POC647" s="268"/>
      <c r="POD647" s="268"/>
      <c r="POE647" s="268"/>
      <c r="POF647" s="268"/>
      <c r="POG647" s="268"/>
      <c r="POH647" s="268"/>
      <c r="POI647" s="268"/>
      <c r="POJ647" s="268"/>
      <c r="POK647" s="268"/>
      <c r="POL647" s="268"/>
      <c r="POM647" s="268"/>
      <c r="PON647" s="268"/>
      <c r="POO647" s="268"/>
      <c r="POP647" s="268"/>
      <c r="POQ647" s="268"/>
      <c r="POR647" s="268"/>
      <c r="POS647" s="268"/>
      <c r="POT647" s="268"/>
      <c r="POU647" s="268"/>
      <c r="POV647" s="268"/>
      <c r="POW647" s="268"/>
      <c r="POX647" s="268"/>
      <c r="POY647" s="268"/>
      <c r="POZ647" s="268"/>
      <c r="PPA647" s="268"/>
      <c r="PPB647" s="268"/>
      <c r="PPC647" s="268"/>
      <c r="PPD647" s="268"/>
      <c r="PPE647" s="268"/>
      <c r="PPF647" s="268"/>
      <c r="PPG647" s="268"/>
      <c r="PPH647" s="268"/>
      <c r="PPI647" s="268"/>
      <c r="PPJ647" s="268"/>
      <c r="PPK647" s="268"/>
      <c r="PPL647" s="268"/>
      <c r="PPM647" s="268"/>
      <c r="PPN647" s="268"/>
      <c r="PPO647" s="268"/>
      <c r="PPP647" s="268"/>
      <c r="PPQ647" s="268"/>
      <c r="PPR647" s="268"/>
      <c r="PPS647" s="268"/>
      <c r="PPT647" s="268"/>
      <c r="PPU647" s="268"/>
      <c r="PPV647" s="268"/>
      <c r="PPW647" s="268"/>
      <c r="PQK647" s="268"/>
      <c r="PQL647" s="268"/>
      <c r="PQM647" s="268"/>
      <c r="PRA647" s="268"/>
      <c r="PRC647" s="268"/>
      <c r="PRD647" s="268"/>
      <c r="PRE647" s="268"/>
      <c r="PRF647" s="268"/>
      <c r="PRG647" s="268"/>
      <c r="PRH647" s="268"/>
      <c r="PRI647" s="268"/>
      <c r="PRJ647" s="268"/>
      <c r="PRK647" s="268"/>
      <c r="PRL647" s="268"/>
      <c r="PRM647" s="268"/>
      <c r="PRN647" s="268"/>
      <c r="PRO647" s="268"/>
      <c r="PRP647" s="268"/>
      <c r="PRQ647" s="268"/>
      <c r="PRR647" s="268"/>
      <c r="PRS647" s="268"/>
      <c r="PRT647" s="268"/>
      <c r="PRU647" s="268"/>
      <c r="PRV647" s="268"/>
      <c r="PRW647" s="268"/>
      <c r="PRX647" s="268"/>
      <c r="PRY647" s="268"/>
      <c r="PRZ647" s="268"/>
      <c r="PSA647" s="268"/>
      <c r="PSB647" s="268"/>
      <c r="PSC647" s="268"/>
      <c r="PSD647" s="268"/>
      <c r="PSE647" s="268"/>
      <c r="PSF647" s="268"/>
      <c r="PSG647" s="268"/>
      <c r="PSH647" s="268"/>
      <c r="PSI647" s="268"/>
      <c r="PSJ647" s="268"/>
      <c r="PSK647" s="268"/>
      <c r="PSL647" s="268"/>
      <c r="PSM647" s="268"/>
      <c r="PSN647" s="268"/>
      <c r="PSO647" s="268"/>
      <c r="PSP647" s="268"/>
      <c r="PSQ647" s="268"/>
      <c r="PSR647" s="268"/>
      <c r="PSS647" s="268"/>
      <c r="PST647" s="268"/>
      <c r="PSU647" s="268"/>
      <c r="PSV647" s="268"/>
      <c r="PSW647" s="268"/>
      <c r="PSX647" s="268"/>
      <c r="PSY647" s="268"/>
      <c r="PSZ647" s="268"/>
      <c r="PTA647" s="268"/>
      <c r="PTB647" s="268"/>
      <c r="PTC647" s="268"/>
      <c r="PTD647" s="268"/>
      <c r="PTE647" s="268"/>
      <c r="PTF647" s="268"/>
      <c r="PTG647" s="268"/>
      <c r="PTH647" s="268"/>
      <c r="PTI647" s="268"/>
      <c r="PTJ647" s="268"/>
      <c r="PTK647" s="268"/>
      <c r="PTL647" s="268"/>
      <c r="PTM647" s="268"/>
      <c r="PTN647" s="268"/>
      <c r="PTO647" s="268"/>
      <c r="PTP647" s="268"/>
      <c r="PTQ647" s="268"/>
      <c r="PTR647" s="268"/>
      <c r="PTS647" s="268"/>
      <c r="PTT647" s="268"/>
      <c r="PTU647" s="268"/>
      <c r="PTV647" s="268"/>
      <c r="PTW647" s="268"/>
      <c r="PTX647" s="268"/>
      <c r="PTY647" s="268"/>
      <c r="PTZ647" s="268"/>
      <c r="PUA647" s="268"/>
      <c r="PUB647" s="268"/>
      <c r="PUC647" s="268"/>
      <c r="PUD647" s="268"/>
      <c r="PUE647" s="268"/>
      <c r="PUF647" s="268"/>
      <c r="PUG647" s="268"/>
      <c r="PUH647" s="268"/>
      <c r="PUI647" s="268"/>
      <c r="PUJ647" s="268"/>
      <c r="PUK647" s="268"/>
      <c r="PUL647" s="268"/>
      <c r="PUM647" s="268"/>
      <c r="PUN647" s="268"/>
      <c r="PUO647" s="268"/>
      <c r="PUP647" s="268"/>
      <c r="PUQ647" s="268"/>
      <c r="PUR647" s="268"/>
      <c r="PUS647" s="268"/>
      <c r="PUT647" s="268"/>
      <c r="PUU647" s="268"/>
      <c r="PUV647" s="268"/>
      <c r="PUW647" s="268"/>
      <c r="PUX647" s="268"/>
      <c r="PUY647" s="268"/>
      <c r="PUZ647" s="268"/>
      <c r="PVA647" s="268"/>
      <c r="PVB647" s="268"/>
      <c r="PVC647" s="268"/>
      <c r="PVD647" s="268"/>
      <c r="PVE647" s="268"/>
      <c r="PVF647" s="268"/>
      <c r="PVG647" s="268"/>
      <c r="PVH647" s="268"/>
      <c r="PVI647" s="268"/>
      <c r="PVJ647" s="268"/>
      <c r="PVK647" s="268"/>
      <c r="PVL647" s="268"/>
      <c r="PVM647" s="268"/>
      <c r="PVN647" s="268"/>
      <c r="PVO647" s="268"/>
      <c r="PVP647" s="268"/>
      <c r="PVQ647" s="268"/>
      <c r="PVR647" s="268"/>
      <c r="PVS647" s="268"/>
      <c r="PVT647" s="268"/>
      <c r="PVU647" s="268"/>
      <c r="PVV647" s="268"/>
      <c r="PVW647" s="268"/>
      <c r="PVX647" s="268"/>
      <c r="PVY647" s="268"/>
      <c r="PVZ647" s="268"/>
      <c r="PWA647" s="268"/>
      <c r="PWB647" s="268"/>
      <c r="PWC647" s="268"/>
      <c r="PWD647" s="268"/>
      <c r="PWE647" s="268"/>
      <c r="PWF647" s="268"/>
      <c r="PWG647" s="268"/>
      <c r="PWH647" s="268"/>
      <c r="PWI647" s="268"/>
      <c r="PWJ647" s="268"/>
      <c r="PWK647" s="268"/>
      <c r="PWL647" s="268"/>
      <c r="PWM647" s="268"/>
      <c r="PWN647" s="268"/>
      <c r="PWO647" s="268"/>
      <c r="PWP647" s="268"/>
      <c r="PWQ647" s="268"/>
      <c r="PWR647" s="268"/>
      <c r="PWS647" s="268"/>
      <c r="PWT647" s="268"/>
      <c r="PWU647" s="268"/>
      <c r="PWV647" s="268"/>
      <c r="PWW647" s="268"/>
      <c r="PWX647" s="268"/>
      <c r="PWY647" s="268"/>
      <c r="PWZ647" s="268"/>
      <c r="PXA647" s="268"/>
      <c r="PXB647" s="268"/>
      <c r="PXC647" s="268"/>
      <c r="PXD647" s="268"/>
      <c r="PXE647" s="268"/>
      <c r="PXF647" s="268"/>
      <c r="PXG647" s="268"/>
      <c r="PXH647" s="268"/>
      <c r="PXI647" s="268"/>
      <c r="PXJ647" s="268"/>
      <c r="PXK647" s="268"/>
      <c r="PXL647" s="268"/>
      <c r="PXM647" s="268"/>
      <c r="PXN647" s="268"/>
      <c r="PXO647" s="268"/>
      <c r="PXP647" s="268"/>
      <c r="PXQ647" s="268"/>
      <c r="PXR647" s="268"/>
      <c r="PXS647" s="268"/>
      <c r="PXT647" s="268"/>
      <c r="PXU647" s="268"/>
      <c r="PXV647" s="268"/>
      <c r="PXW647" s="268"/>
      <c r="PXX647" s="268"/>
      <c r="PXY647" s="268"/>
      <c r="PXZ647" s="268"/>
      <c r="PYA647" s="268"/>
      <c r="PYB647" s="268"/>
      <c r="PYC647" s="268"/>
      <c r="PYD647" s="268"/>
      <c r="PYE647" s="268"/>
      <c r="PYF647" s="268"/>
      <c r="PYG647" s="268"/>
      <c r="PYH647" s="268"/>
      <c r="PYI647" s="268"/>
      <c r="PYJ647" s="268"/>
      <c r="PYK647" s="268"/>
      <c r="PYL647" s="268"/>
      <c r="PYM647" s="268"/>
      <c r="PYN647" s="268"/>
      <c r="PYO647" s="268"/>
      <c r="PYP647" s="268"/>
      <c r="PYQ647" s="268"/>
      <c r="PYR647" s="268"/>
      <c r="PYS647" s="268"/>
      <c r="PYT647" s="268"/>
      <c r="PYU647" s="268"/>
      <c r="PYV647" s="268"/>
      <c r="PYW647" s="268"/>
      <c r="PYX647" s="268"/>
      <c r="PYY647" s="268"/>
      <c r="PYZ647" s="268"/>
      <c r="PZA647" s="268"/>
      <c r="PZB647" s="268"/>
      <c r="PZC647" s="268"/>
      <c r="PZD647" s="268"/>
      <c r="PZE647" s="268"/>
      <c r="PZF647" s="268"/>
      <c r="PZG647" s="268"/>
      <c r="PZH647" s="268"/>
      <c r="PZI647" s="268"/>
      <c r="PZJ647" s="268"/>
      <c r="PZK647" s="268"/>
      <c r="PZL647" s="268"/>
      <c r="PZM647" s="268"/>
      <c r="PZN647" s="268"/>
      <c r="PZO647" s="268"/>
      <c r="PZP647" s="268"/>
      <c r="PZQ647" s="268"/>
      <c r="PZR647" s="268"/>
      <c r="PZS647" s="268"/>
      <c r="QAG647" s="268"/>
      <c r="QAH647" s="268"/>
      <c r="QAI647" s="268"/>
      <c r="QAW647" s="268"/>
      <c r="QAY647" s="268"/>
      <c r="QAZ647" s="268"/>
      <c r="QBA647" s="268"/>
      <c r="QBB647" s="268"/>
      <c r="QBC647" s="268"/>
      <c r="QBD647" s="268"/>
      <c r="QBE647" s="268"/>
      <c r="QBF647" s="268"/>
      <c r="QBG647" s="268"/>
      <c r="QBH647" s="268"/>
      <c r="QBI647" s="268"/>
      <c r="QBJ647" s="268"/>
      <c r="QBK647" s="268"/>
      <c r="QBL647" s="268"/>
      <c r="QBM647" s="268"/>
      <c r="QBN647" s="268"/>
      <c r="QBO647" s="268"/>
      <c r="QBP647" s="268"/>
      <c r="QBQ647" s="268"/>
      <c r="QBR647" s="268"/>
      <c r="QBS647" s="268"/>
      <c r="QBT647" s="268"/>
      <c r="QBU647" s="268"/>
      <c r="QBV647" s="268"/>
      <c r="QBW647" s="268"/>
      <c r="QBX647" s="268"/>
      <c r="QBY647" s="268"/>
      <c r="QBZ647" s="268"/>
      <c r="QCA647" s="268"/>
      <c r="QCB647" s="268"/>
      <c r="QCC647" s="268"/>
      <c r="QCD647" s="268"/>
      <c r="QCE647" s="268"/>
      <c r="QCF647" s="268"/>
      <c r="QCG647" s="268"/>
      <c r="QCH647" s="268"/>
      <c r="QCI647" s="268"/>
      <c r="QCJ647" s="268"/>
      <c r="QCK647" s="268"/>
      <c r="QCL647" s="268"/>
      <c r="QCM647" s="268"/>
      <c r="QCN647" s="268"/>
      <c r="QCO647" s="268"/>
      <c r="QCP647" s="268"/>
      <c r="QCQ647" s="268"/>
      <c r="QCR647" s="268"/>
      <c r="QCS647" s="268"/>
      <c r="QCT647" s="268"/>
      <c r="QCU647" s="268"/>
      <c r="QCV647" s="268"/>
      <c r="QCW647" s="268"/>
      <c r="QCX647" s="268"/>
      <c r="QCY647" s="268"/>
      <c r="QCZ647" s="268"/>
      <c r="QDA647" s="268"/>
      <c r="QDB647" s="268"/>
      <c r="QDC647" s="268"/>
      <c r="QDD647" s="268"/>
      <c r="QDE647" s="268"/>
      <c r="QDF647" s="268"/>
      <c r="QDG647" s="268"/>
      <c r="QDH647" s="268"/>
      <c r="QDI647" s="268"/>
      <c r="QDJ647" s="268"/>
      <c r="QDK647" s="268"/>
      <c r="QDL647" s="268"/>
      <c r="QDM647" s="268"/>
      <c r="QDN647" s="268"/>
      <c r="QDO647" s="268"/>
      <c r="QDP647" s="268"/>
      <c r="QDQ647" s="268"/>
      <c r="QDR647" s="268"/>
      <c r="QDS647" s="268"/>
      <c r="QDT647" s="268"/>
      <c r="QDU647" s="268"/>
      <c r="QDV647" s="268"/>
      <c r="QDW647" s="268"/>
      <c r="QDX647" s="268"/>
      <c r="QDY647" s="268"/>
      <c r="QDZ647" s="268"/>
      <c r="QEA647" s="268"/>
      <c r="QEB647" s="268"/>
      <c r="QEC647" s="268"/>
      <c r="QED647" s="268"/>
      <c r="QEE647" s="268"/>
      <c r="QEF647" s="268"/>
      <c r="QEG647" s="268"/>
      <c r="QEH647" s="268"/>
      <c r="QEI647" s="268"/>
      <c r="QEJ647" s="268"/>
      <c r="QEK647" s="268"/>
      <c r="QEL647" s="268"/>
      <c r="QEM647" s="268"/>
      <c r="QEN647" s="268"/>
      <c r="QEO647" s="268"/>
      <c r="QEP647" s="268"/>
      <c r="QEQ647" s="268"/>
      <c r="QER647" s="268"/>
      <c r="QES647" s="268"/>
      <c r="QET647" s="268"/>
      <c r="QEU647" s="268"/>
      <c r="QEV647" s="268"/>
      <c r="QEW647" s="268"/>
      <c r="QEX647" s="268"/>
      <c r="QEY647" s="268"/>
      <c r="QEZ647" s="268"/>
      <c r="QFA647" s="268"/>
      <c r="QFB647" s="268"/>
      <c r="QFC647" s="268"/>
      <c r="QFD647" s="268"/>
      <c r="QFE647" s="268"/>
      <c r="QFF647" s="268"/>
      <c r="QFG647" s="268"/>
      <c r="QFH647" s="268"/>
      <c r="QFI647" s="268"/>
      <c r="QFJ647" s="268"/>
      <c r="QFK647" s="268"/>
      <c r="QFL647" s="268"/>
      <c r="QFM647" s="268"/>
      <c r="QFN647" s="268"/>
      <c r="QFO647" s="268"/>
      <c r="QFP647" s="268"/>
      <c r="QFQ647" s="268"/>
      <c r="QFR647" s="268"/>
      <c r="QFS647" s="268"/>
      <c r="QFT647" s="268"/>
      <c r="QFU647" s="268"/>
      <c r="QFV647" s="268"/>
      <c r="QFW647" s="268"/>
      <c r="QFX647" s="268"/>
      <c r="QFY647" s="268"/>
      <c r="QFZ647" s="268"/>
      <c r="QGA647" s="268"/>
      <c r="QGB647" s="268"/>
      <c r="QGC647" s="268"/>
      <c r="QGD647" s="268"/>
      <c r="QGE647" s="268"/>
      <c r="QGF647" s="268"/>
      <c r="QGG647" s="268"/>
      <c r="QGH647" s="268"/>
      <c r="QGI647" s="268"/>
      <c r="QGJ647" s="268"/>
      <c r="QGK647" s="268"/>
      <c r="QGL647" s="268"/>
      <c r="QGM647" s="268"/>
      <c r="QGN647" s="268"/>
      <c r="QGO647" s="268"/>
      <c r="QGP647" s="268"/>
      <c r="QGQ647" s="268"/>
      <c r="QGR647" s="268"/>
      <c r="QGS647" s="268"/>
      <c r="QGT647" s="268"/>
      <c r="QGU647" s="268"/>
      <c r="QGV647" s="268"/>
      <c r="QGW647" s="268"/>
      <c r="QGX647" s="268"/>
      <c r="QGY647" s="268"/>
      <c r="QGZ647" s="268"/>
      <c r="QHA647" s="268"/>
      <c r="QHB647" s="268"/>
      <c r="QHC647" s="268"/>
      <c r="QHD647" s="268"/>
      <c r="QHE647" s="268"/>
      <c r="QHF647" s="268"/>
      <c r="QHG647" s="268"/>
      <c r="QHH647" s="268"/>
      <c r="QHI647" s="268"/>
      <c r="QHJ647" s="268"/>
      <c r="QHK647" s="268"/>
      <c r="QHL647" s="268"/>
      <c r="QHM647" s="268"/>
      <c r="QHN647" s="268"/>
      <c r="QHO647" s="268"/>
      <c r="QHP647" s="268"/>
      <c r="QHQ647" s="268"/>
      <c r="QHR647" s="268"/>
      <c r="QHS647" s="268"/>
      <c r="QHT647" s="268"/>
      <c r="QHU647" s="268"/>
      <c r="QHV647" s="268"/>
      <c r="QHW647" s="268"/>
      <c r="QHX647" s="268"/>
      <c r="QHY647" s="268"/>
      <c r="QHZ647" s="268"/>
      <c r="QIA647" s="268"/>
      <c r="QIB647" s="268"/>
      <c r="QIC647" s="268"/>
      <c r="QID647" s="268"/>
      <c r="QIE647" s="268"/>
      <c r="QIF647" s="268"/>
      <c r="QIG647" s="268"/>
      <c r="QIH647" s="268"/>
      <c r="QII647" s="268"/>
      <c r="QIJ647" s="268"/>
      <c r="QIK647" s="268"/>
      <c r="QIL647" s="268"/>
      <c r="QIM647" s="268"/>
      <c r="QIN647" s="268"/>
      <c r="QIO647" s="268"/>
      <c r="QIP647" s="268"/>
      <c r="QIQ647" s="268"/>
      <c r="QIR647" s="268"/>
      <c r="QIS647" s="268"/>
      <c r="QIT647" s="268"/>
      <c r="QIU647" s="268"/>
      <c r="QIV647" s="268"/>
      <c r="QIW647" s="268"/>
      <c r="QIX647" s="268"/>
      <c r="QIY647" s="268"/>
      <c r="QIZ647" s="268"/>
      <c r="QJA647" s="268"/>
      <c r="QJB647" s="268"/>
      <c r="QJC647" s="268"/>
      <c r="QJD647" s="268"/>
      <c r="QJE647" s="268"/>
      <c r="QJF647" s="268"/>
      <c r="QJG647" s="268"/>
      <c r="QJH647" s="268"/>
      <c r="QJI647" s="268"/>
      <c r="QJJ647" s="268"/>
      <c r="QJK647" s="268"/>
      <c r="QJL647" s="268"/>
      <c r="QJM647" s="268"/>
      <c r="QJN647" s="268"/>
      <c r="QJO647" s="268"/>
      <c r="QKC647" s="268"/>
      <c r="QKD647" s="268"/>
      <c r="QKE647" s="268"/>
      <c r="QKS647" s="268"/>
      <c r="QKU647" s="268"/>
      <c r="QKV647" s="268"/>
      <c r="QKW647" s="268"/>
      <c r="QKX647" s="268"/>
      <c r="QKY647" s="268"/>
      <c r="QKZ647" s="268"/>
      <c r="QLA647" s="268"/>
      <c r="QLB647" s="268"/>
      <c r="QLC647" s="268"/>
      <c r="QLD647" s="268"/>
      <c r="QLE647" s="268"/>
      <c r="QLF647" s="268"/>
      <c r="QLG647" s="268"/>
      <c r="QLH647" s="268"/>
      <c r="QLI647" s="268"/>
      <c r="QLJ647" s="268"/>
      <c r="QLK647" s="268"/>
      <c r="QLL647" s="268"/>
      <c r="QLM647" s="268"/>
      <c r="QLN647" s="268"/>
      <c r="QLO647" s="268"/>
      <c r="QLP647" s="268"/>
      <c r="QLQ647" s="268"/>
      <c r="QLR647" s="268"/>
      <c r="QLS647" s="268"/>
      <c r="QLT647" s="268"/>
      <c r="QLU647" s="268"/>
      <c r="QLV647" s="268"/>
      <c r="QLW647" s="268"/>
      <c r="QLX647" s="268"/>
      <c r="QLY647" s="268"/>
      <c r="QLZ647" s="268"/>
      <c r="QMA647" s="268"/>
      <c r="QMB647" s="268"/>
      <c r="QMC647" s="268"/>
      <c r="QMD647" s="268"/>
      <c r="QME647" s="268"/>
      <c r="QMF647" s="268"/>
      <c r="QMG647" s="268"/>
      <c r="QMH647" s="268"/>
      <c r="QMI647" s="268"/>
      <c r="QMJ647" s="268"/>
      <c r="QMK647" s="268"/>
      <c r="QML647" s="268"/>
      <c r="QMM647" s="268"/>
      <c r="QMN647" s="268"/>
      <c r="QMO647" s="268"/>
      <c r="QMP647" s="268"/>
      <c r="QMQ647" s="268"/>
      <c r="QMR647" s="268"/>
      <c r="QMS647" s="268"/>
      <c r="QMT647" s="268"/>
      <c r="QMU647" s="268"/>
      <c r="QMV647" s="268"/>
      <c r="QMW647" s="268"/>
      <c r="QMX647" s="268"/>
      <c r="QMY647" s="268"/>
      <c r="QMZ647" s="268"/>
      <c r="QNA647" s="268"/>
      <c r="QNB647" s="268"/>
      <c r="QNC647" s="268"/>
      <c r="QND647" s="268"/>
      <c r="QNE647" s="268"/>
      <c r="QNF647" s="268"/>
      <c r="QNG647" s="268"/>
      <c r="QNH647" s="268"/>
      <c r="QNI647" s="268"/>
      <c r="QNJ647" s="268"/>
      <c r="QNK647" s="268"/>
      <c r="QNL647" s="268"/>
      <c r="QNM647" s="268"/>
      <c r="QNN647" s="268"/>
      <c r="QNO647" s="268"/>
      <c r="QNP647" s="268"/>
      <c r="QNQ647" s="268"/>
      <c r="QNR647" s="268"/>
      <c r="QNS647" s="268"/>
      <c r="QNT647" s="268"/>
      <c r="QNU647" s="268"/>
      <c r="QNV647" s="268"/>
      <c r="QNW647" s="268"/>
      <c r="QNX647" s="268"/>
      <c r="QNY647" s="268"/>
      <c r="QNZ647" s="268"/>
      <c r="QOA647" s="268"/>
      <c r="QOB647" s="268"/>
      <c r="QOC647" s="268"/>
      <c r="QOD647" s="268"/>
      <c r="QOE647" s="268"/>
      <c r="QOF647" s="268"/>
      <c r="QOG647" s="268"/>
      <c r="QOH647" s="268"/>
      <c r="QOI647" s="268"/>
      <c r="QOJ647" s="268"/>
      <c r="QOK647" s="268"/>
      <c r="QOL647" s="268"/>
      <c r="QOM647" s="268"/>
      <c r="QON647" s="268"/>
      <c r="QOO647" s="268"/>
      <c r="QOP647" s="268"/>
      <c r="QOQ647" s="268"/>
      <c r="QOR647" s="268"/>
      <c r="QOS647" s="268"/>
      <c r="QOT647" s="268"/>
      <c r="QOU647" s="268"/>
      <c r="QOV647" s="268"/>
      <c r="QOW647" s="268"/>
      <c r="QOX647" s="268"/>
      <c r="QOY647" s="268"/>
      <c r="QOZ647" s="268"/>
      <c r="QPA647" s="268"/>
      <c r="QPB647" s="268"/>
      <c r="QPC647" s="268"/>
      <c r="QPD647" s="268"/>
      <c r="QPE647" s="268"/>
      <c r="QPF647" s="268"/>
      <c r="QPG647" s="268"/>
      <c r="QPH647" s="268"/>
      <c r="QPI647" s="268"/>
      <c r="QPJ647" s="268"/>
      <c r="QPK647" s="268"/>
      <c r="QPL647" s="268"/>
      <c r="QPM647" s="268"/>
      <c r="QPN647" s="268"/>
      <c r="QPO647" s="268"/>
      <c r="QPP647" s="268"/>
      <c r="QPQ647" s="268"/>
      <c r="QPR647" s="268"/>
      <c r="QPS647" s="268"/>
      <c r="QPT647" s="268"/>
      <c r="QPU647" s="268"/>
      <c r="QPV647" s="268"/>
      <c r="QPW647" s="268"/>
      <c r="QPX647" s="268"/>
      <c r="QPY647" s="268"/>
      <c r="QPZ647" s="268"/>
      <c r="QQA647" s="268"/>
      <c r="QQB647" s="268"/>
      <c r="QQC647" s="268"/>
      <c r="QQD647" s="268"/>
      <c r="QQE647" s="268"/>
      <c r="QQF647" s="268"/>
      <c r="QQG647" s="268"/>
      <c r="QQH647" s="268"/>
      <c r="QQI647" s="268"/>
      <c r="QQJ647" s="268"/>
      <c r="QQK647" s="268"/>
      <c r="QQL647" s="268"/>
      <c r="QQM647" s="268"/>
      <c r="QQN647" s="268"/>
      <c r="QQO647" s="268"/>
      <c r="QQP647" s="268"/>
      <c r="QQQ647" s="268"/>
      <c r="QQR647" s="268"/>
      <c r="QQS647" s="268"/>
      <c r="QQT647" s="268"/>
      <c r="QQU647" s="268"/>
      <c r="QQV647" s="268"/>
      <c r="QQW647" s="268"/>
      <c r="QQX647" s="268"/>
      <c r="QQY647" s="268"/>
      <c r="QQZ647" s="268"/>
      <c r="QRA647" s="268"/>
      <c r="QRB647" s="268"/>
      <c r="QRC647" s="268"/>
      <c r="QRD647" s="268"/>
      <c r="QRE647" s="268"/>
      <c r="QRF647" s="268"/>
      <c r="QRG647" s="268"/>
      <c r="QRH647" s="268"/>
      <c r="QRI647" s="268"/>
      <c r="QRJ647" s="268"/>
      <c r="QRK647" s="268"/>
      <c r="QRL647" s="268"/>
      <c r="QRM647" s="268"/>
      <c r="QRN647" s="268"/>
      <c r="QRO647" s="268"/>
      <c r="QRP647" s="268"/>
      <c r="QRQ647" s="268"/>
      <c r="QRR647" s="268"/>
      <c r="QRS647" s="268"/>
      <c r="QRT647" s="268"/>
      <c r="QRU647" s="268"/>
      <c r="QRV647" s="268"/>
      <c r="QRW647" s="268"/>
      <c r="QRX647" s="268"/>
      <c r="QRY647" s="268"/>
      <c r="QRZ647" s="268"/>
      <c r="QSA647" s="268"/>
      <c r="QSB647" s="268"/>
      <c r="QSC647" s="268"/>
      <c r="QSD647" s="268"/>
      <c r="QSE647" s="268"/>
      <c r="QSF647" s="268"/>
      <c r="QSG647" s="268"/>
      <c r="QSH647" s="268"/>
      <c r="QSI647" s="268"/>
      <c r="QSJ647" s="268"/>
      <c r="QSK647" s="268"/>
      <c r="QSL647" s="268"/>
      <c r="QSM647" s="268"/>
      <c r="QSN647" s="268"/>
      <c r="QSO647" s="268"/>
      <c r="QSP647" s="268"/>
      <c r="QSQ647" s="268"/>
      <c r="QSR647" s="268"/>
      <c r="QSS647" s="268"/>
      <c r="QST647" s="268"/>
      <c r="QSU647" s="268"/>
      <c r="QSV647" s="268"/>
      <c r="QSW647" s="268"/>
      <c r="QSX647" s="268"/>
      <c r="QSY647" s="268"/>
      <c r="QSZ647" s="268"/>
      <c r="QTA647" s="268"/>
      <c r="QTB647" s="268"/>
      <c r="QTC647" s="268"/>
      <c r="QTD647" s="268"/>
      <c r="QTE647" s="268"/>
      <c r="QTF647" s="268"/>
      <c r="QTG647" s="268"/>
      <c r="QTH647" s="268"/>
      <c r="QTI647" s="268"/>
      <c r="QTJ647" s="268"/>
      <c r="QTK647" s="268"/>
      <c r="QTY647" s="268"/>
      <c r="QTZ647" s="268"/>
      <c r="QUA647" s="268"/>
      <c r="QUO647" s="268"/>
      <c r="QUQ647" s="268"/>
      <c r="QUR647" s="268"/>
      <c r="QUS647" s="268"/>
      <c r="QUT647" s="268"/>
      <c r="QUU647" s="268"/>
      <c r="QUV647" s="268"/>
      <c r="QUW647" s="268"/>
      <c r="QUX647" s="268"/>
      <c r="QUY647" s="268"/>
      <c r="QUZ647" s="268"/>
      <c r="QVA647" s="268"/>
      <c r="QVB647" s="268"/>
      <c r="QVC647" s="268"/>
      <c r="QVD647" s="268"/>
      <c r="QVE647" s="268"/>
      <c r="QVF647" s="268"/>
      <c r="QVG647" s="268"/>
      <c r="QVH647" s="268"/>
      <c r="QVI647" s="268"/>
      <c r="QVJ647" s="268"/>
      <c r="QVK647" s="268"/>
      <c r="QVL647" s="268"/>
      <c r="QVM647" s="268"/>
      <c r="QVN647" s="268"/>
      <c r="QVO647" s="268"/>
      <c r="QVP647" s="268"/>
      <c r="QVQ647" s="268"/>
      <c r="QVR647" s="268"/>
      <c r="QVS647" s="268"/>
      <c r="QVT647" s="268"/>
      <c r="QVU647" s="268"/>
      <c r="QVV647" s="268"/>
      <c r="QVW647" s="268"/>
      <c r="QVX647" s="268"/>
      <c r="QVY647" s="268"/>
      <c r="QVZ647" s="268"/>
      <c r="QWA647" s="268"/>
      <c r="QWB647" s="268"/>
      <c r="QWC647" s="268"/>
      <c r="QWD647" s="268"/>
      <c r="QWE647" s="268"/>
      <c r="QWF647" s="268"/>
      <c r="QWG647" s="268"/>
      <c r="QWH647" s="268"/>
      <c r="QWI647" s="268"/>
      <c r="QWJ647" s="268"/>
      <c r="QWK647" s="268"/>
      <c r="QWL647" s="268"/>
      <c r="QWM647" s="268"/>
      <c r="QWN647" s="268"/>
      <c r="QWO647" s="268"/>
      <c r="QWP647" s="268"/>
      <c r="QWQ647" s="268"/>
      <c r="QWR647" s="268"/>
      <c r="QWS647" s="268"/>
      <c r="QWT647" s="268"/>
      <c r="QWU647" s="268"/>
      <c r="QWV647" s="268"/>
      <c r="QWW647" s="268"/>
      <c r="QWX647" s="268"/>
      <c r="QWY647" s="268"/>
      <c r="QWZ647" s="268"/>
      <c r="QXA647" s="268"/>
      <c r="QXB647" s="268"/>
      <c r="QXC647" s="268"/>
      <c r="QXD647" s="268"/>
      <c r="QXE647" s="268"/>
      <c r="QXF647" s="268"/>
      <c r="QXG647" s="268"/>
      <c r="QXH647" s="268"/>
      <c r="QXI647" s="268"/>
      <c r="QXJ647" s="268"/>
      <c r="QXK647" s="268"/>
      <c r="QXL647" s="268"/>
      <c r="QXM647" s="268"/>
      <c r="QXN647" s="268"/>
      <c r="QXO647" s="268"/>
      <c r="QXP647" s="268"/>
      <c r="QXQ647" s="268"/>
      <c r="QXR647" s="268"/>
      <c r="QXS647" s="268"/>
      <c r="QXT647" s="268"/>
      <c r="QXU647" s="268"/>
      <c r="QXV647" s="268"/>
      <c r="QXW647" s="268"/>
      <c r="QXX647" s="268"/>
      <c r="QXY647" s="268"/>
      <c r="QXZ647" s="268"/>
      <c r="QYA647" s="268"/>
      <c r="QYB647" s="268"/>
      <c r="QYC647" s="268"/>
      <c r="QYD647" s="268"/>
      <c r="QYE647" s="268"/>
      <c r="QYF647" s="268"/>
      <c r="QYG647" s="268"/>
      <c r="QYH647" s="268"/>
      <c r="QYI647" s="268"/>
      <c r="QYJ647" s="268"/>
      <c r="QYK647" s="268"/>
      <c r="QYL647" s="268"/>
      <c r="QYM647" s="268"/>
      <c r="QYN647" s="268"/>
      <c r="QYO647" s="268"/>
      <c r="QYP647" s="268"/>
      <c r="QYQ647" s="268"/>
      <c r="QYR647" s="268"/>
      <c r="QYS647" s="268"/>
      <c r="QYT647" s="268"/>
      <c r="QYU647" s="268"/>
      <c r="QYV647" s="268"/>
      <c r="QYW647" s="268"/>
      <c r="QYX647" s="268"/>
      <c r="QYY647" s="268"/>
      <c r="QYZ647" s="268"/>
      <c r="QZA647" s="268"/>
      <c r="QZB647" s="268"/>
      <c r="QZC647" s="268"/>
      <c r="QZD647" s="268"/>
      <c r="QZE647" s="268"/>
      <c r="QZF647" s="268"/>
      <c r="QZG647" s="268"/>
      <c r="QZH647" s="268"/>
      <c r="QZI647" s="268"/>
      <c r="QZJ647" s="268"/>
      <c r="QZK647" s="268"/>
      <c r="QZL647" s="268"/>
      <c r="QZM647" s="268"/>
      <c r="QZN647" s="268"/>
      <c r="QZO647" s="268"/>
      <c r="QZP647" s="268"/>
      <c r="QZQ647" s="268"/>
      <c r="QZR647" s="268"/>
      <c r="QZS647" s="268"/>
      <c r="QZT647" s="268"/>
      <c r="QZU647" s="268"/>
      <c r="QZV647" s="268"/>
      <c r="QZW647" s="268"/>
      <c r="QZX647" s="268"/>
      <c r="QZY647" s="268"/>
      <c r="QZZ647" s="268"/>
      <c r="RAA647" s="268"/>
      <c r="RAB647" s="268"/>
      <c r="RAC647" s="268"/>
      <c r="RAD647" s="268"/>
      <c r="RAE647" s="268"/>
      <c r="RAF647" s="268"/>
      <c r="RAG647" s="268"/>
      <c r="RAH647" s="268"/>
      <c r="RAI647" s="268"/>
      <c r="RAJ647" s="268"/>
      <c r="RAK647" s="268"/>
      <c r="RAL647" s="268"/>
      <c r="RAM647" s="268"/>
      <c r="RAN647" s="268"/>
      <c r="RAO647" s="268"/>
      <c r="RAP647" s="268"/>
      <c r="RAQ647" s="268"/>
      <c r="RAR647" s="268"/>
      <c r="RAS647" s="268"/>
      <c r="RAT647" s="268"/>
      <c r="RAU647" s="268"/>
      <c r="RAV647" s="268"/>
      <c r="RAW647" s="268"/>
      <c r="RAX647" s="268"/>
      <c r="RAY647" s="268"/>
      <c r="RAZ647" s="268"/>
      <c r="RBA647" s="268"/>
      <c r="RBB647" s="268"/>
      <c r="RBC647" s="268"/>
      <c r="RBD647" s="268"/>
      <c r="RBE647" s="268"/>
      <c r="RBF647" s="268"/>
      <c r="RBG647" s="268"/>
      <c r="RBH647" s="268"/>
      <c r="RBI647" s="268"/>
      <c r="RBJ647" s="268"/>
      <c r="RBK647" s="268"/>
      <c r="RBL647" s="268"/>
      <c r="RBM647" s="268"/>
      <c r="RBN647" s="268"/>
      <c r="RBO647" s="268"/>
      <c r="RBP647" s="268"/>
      <c r="RBQ647" s="268"/>
      <c r="RBR647" s="268"/>
      <c r="RBS647" s="268"/>
      <c r="RBT647" s="268"/>
      <c r="RBU647" s="268"/>
      <c r="RBV647" s="268"/>
      <c r="RBW647" s="268"/>
      <c r="RBX647" s="268"/>
      <c r="RBY647" s="268"/>
      <c r="RBZ647" s="268"/>
      <c r="RCA647" s="268"/>
      <c r="RCB647" s="268"/>
      <c r="RCC647" s="268"/>
      <c r="RCD647" s="268"/>
      <c r="RCE647" s="268"/>
      <c r="RCF647" s="268"/>
      <c r="RCG647" s="268"/>
      <c r="RCH647" s="268"/>
      <c r="RCI647" s="268"/>
      <c r="RCJ647" s="268"/>
      <c r="RCK647" s="268"/>
      <c r="RCL647" s="268"/>
      <c r="RCM647" s="268"/>
      <c r="RCN647" s="268"/>
      <c r="RCO647" s="268"/>
      <c r="RCP647" s="268"/>
      <c r="RCQ647" s="268"/>
      <c r="RCR647" s="268"/>
      <c r="RCS647" s="268"/>
      <c r="RCT647" s="268"/>
      <c r="RCU647" s="268"/>
      <c r="RCV647" s="268"/>
      <c r="RCW647" s="268"/>
      <c r="RCX647" s="268"/>
      <c r="RCY647" s="268"/>
      <c r="RCZ647" s="268"/>
      <c r="RDA647" s="268"/>
      <c r="RDB647" s="268"/>
      <c r="RDC647" s="268"/>
      <c r="RDD647" s="268"/>
      <c r="RDE647" s="268"/>
      <c r="RDF647" s="268"/>
      <c r="RDG647" s="268"/>
      <c r="RDU647" s="268"/>
      <c r="RDV647" s="268"/>
      <c r="RDW647" s="268"/>
      <c r="REK647" s="268"/>
      <c r="REM647" s="268"/>
      <c r="REN647" s="268"/>
      <c r="REO647" s="268"/>
      <c r="REP647" s="268"/>
      <c r="REQ647" s="268"/>
      <c r="RER647" s="268"/>
      <c r="RES647" s="268"/>
      <c r="RET647" s="268"/>
      <c r="REU647" s="268"/>
      <c r="REV647" s="268"/>
      <c r="REW647" s="268"/>
      <c r="REX647" s="268"/>
      <c r="REY647" s="268"/>
      <c r="REZ647" s="268"/>
      <c r="RFA647" s="268"/>
      <c r="RFB647" s="268"/>
      <c r="RFC647" s="268"/>
      <c r="RFD647" s="268"/>
      <c r="RFE647" s="268"/>
      <c r="RFF647" s="268"/>
      <c r="RFG647" s="268"/>
      <c r="RFH647" s="268"/>
      <c r="RFI647" s="268"/>
      <c r="RFJ647" s="268"/>
      <c r="RFK647" s="268"/>
      <c r="RFL647" s="268"/>
      <c r="RFM647" s="268"/>
      <c r="RFN647" s="268"/>
      <c r="RFO647" s="268"/>
      <c r="RFP647" s="268"/>
      <c r="RFQ647" s="268"/>
      <c r="RFR647" s="268"/>
      <c r="RFS647" s="268"/>
      <c r="RFT647" s="268"/>
      <c r="RFU647" s="268"/>
      <c r="RFV647" s="268"/>
      <c r="RFW647" s="268"/>
      <c r="RFX647" s="268"/>
      <c r="RFY647" s="268"/>
      <c r="RFZ647" s="268"/>
      <c r="RGA647" s="268"/>
      <c r="RGB647" s="268"/>
      <c r="RGC647" s="268"/>
      <c r="RGD647" s="268"/>
      <c r="RGE647" s="268"/>
      <c r="RGF647" s="268"/>
      <c r="RGG647" s="268"/>
      <c r="RGH647" s="268"/>
      <c r="RGI647" s="268"/>
      <c r="RGJ647" s="268"/>
      <c r="RGK647" s="268"/>
      <c r="RGL647" s="268"/>
      <c r="RGM647" s="268"/>
      <c r="RGN647" s="268"/>
      <c r="RGO647" s="268"/>
      <c r="RGP647" s="268"/>
      <c r="RGQ647" s="268"/>
      <c r="RGR647" s="268"/>
      <c r="RGS647" s="268"/>
      <c r="RGT647" s="268"/>
      <c r="RGU647" s="268"/>
      <c r="RGV647" s="268"/>
      <c r="RGW647" s="268"/>
      <c r="RGX647" s="268"/>
      <c r="RGY647" s="268"/>
      <c r="RGZ647" s="268"/>
      <c r="RHA647" s="268"/>
      <c r="RHB647" s="268"/>
      <c r="RHC647" s="268"/>
      <c r="RHD647" s="268"/>
      <c r="RHE647" s="268"/>
      <c r="RHF647" s="268"/>
      <c r="RHG647" s="268"/>
      <c r="RHH647" s="268"/>
      <c r="RHI647" s="268"/>
      <c r="RHJ647" s="268"/>
      <c r="RHK647" s="268"/>
      <c r="RHL647" s="268"/>
      <c r="RHM647" s="268"/>
      <c r="RHN647" s="268"/>
      <c r="RHO647" s="268"/>
      <c r="RHP647" s="268"/>
      <c r="RHQ647" s="268"/>
      <c r="RHR647" s="268"/>
      <c r="RHS647" s="268"/>
      <c r="RHT647" s="268"/>
      <c r="RHU647" s="268"/>
      <c r="RHV647" s="268"/>
      <c r="RHW647" s="268"/>
      <c r="RHX647" s="268"/>
      <c r="RHY647" s="268"/>
      <c r="RHZ647" s="268"/>
      <c r="RIA647" s="268"/>
      <c r="RIB647" s="268"/>
      <c r="RIC647" s="268"/>
      <c r="RID647" s="268"/>
      <c r="RIE647" s="268"/>
      <c r="RIF647" s="268"/>
      <c r="RIG647" s="268"/>
      <c r="RIH647" s="268"/>
      <c r="RII647" s="268"/>
      <c r="RIJ647" s="268"/>
      <c r="RIK647" s="268"/>
      <c r="RIL647" s="268"/>
      <c r="RIM647" s="268"/>
      <c r="RIN647" s="268"/>
      <c r="RIO647" s="268"/>
      <c r="RIP647" s="268"/>
      <c r="RIQ647" s="268"/>
      <c r="RIR647" s="268"/>
      <c r="RIS647" s="268"/>
      <c r="RIT647" s="268"/>
      <c r="RIU647" s="268"/>
      <c r="RIV647" s="268"/>
      <c r="RIW647" s="268"/>
      <c r="RIX647" s="268"/>
      <c r="RIY647" s="268"/>
      <c r="RIZ647" s="268"/>
      <c r="RJA647" s="268"/>
      <c r="RJB647" s="268"/>
      <c r="RJC647" s="268"/>
      <c r="RJD647" s="268"/>
      <c r="RJE647" s="268"/>
      <c r="RJF647" s="268"/>
      <c r="RJG647" s="268"/>
      <c r="RJH647" s="268"/>
      <c r="RJI647" s="268"/>
      <c r="RJJ647" s="268"/>
      <c r="RJK647" s="268"/>
      <c r="RJL647" s="268"/>
      <c r="RJM647" s="268"/>
      <c r="RJN647" s="268"/>
      <c r="RJO647" s="268"/>
      <c r="RJP647" s="268"/>
      <c r="RJQ647" s="268"/>
      <c r="RJR647" s="268"/>
      <c r="RJS647" s="268"/>
      <c r="RJT647" s="268"/>
      <c r="RJU647" s="268"/>
      <c r="RJV647" s="268"/>
      <c r="RJW647" s="268"/>
      <c r="RJX647" s="268"/>
      <c r="RJY647" s="268"/>
      <c r="RJZ647" s="268"/>
      <c r="RKA647" s="268"/>
      <c r="RKB647" s="268"/>
      <c r="RKC647" s="268"/>
      <c r="RKD647" s="268"/>
      <c r="RKE647" s="268"/>
      <c r="RKF647" s="268"/>
      <c r="RKG647" s="268"/>
      <c r="RKH647" s="268"/>
      <c r="RKI647" s="268"/>
      <c r="RKJ647" s="268"/>
      <c r="RKK647" s="268"/>
      <c r="RKL647" s="268"/>
      <c r="RKM647" s="268"/>
      <c r="RKN647" s="268"/>
      <c r="RKO647" s="268"/>
      <c r="RKP647" s="268"/>
      <c r="RKQ647" s="268"/>
      <c r="RKR647" s="268"/>
      <c r="RKS647" s="268"/>
      <c r="RKT647" s="268"/>
      <c r="RKU647" s="268"/>
      <c r="RKV647" s="268"/>
      <c r="RKW647" s="268"/>
      <c r="RKX647" s="268"/>
      <c r="RKY647" s="268"/>
      <c r="RKZ647" s="268"/>
      <c r="RLA647" s="268"/>
      <c r="RLB647" s="268"/>
      <c r="RLC647" s="268"/>
      <c r="RLD647" s="268"/>
      <c r="RLE647" s="268"/>
      <c r="RLF647" s="268"/>
      <c r="RLG647" s="268"/>
      <c r="RLH647" s="268"/>
      <c r="RLI647" s="268"/>
      <c r="RLJ647" s="268"/>
      <c r="RLK647" s="268"/>
      <c r="RLL647" s="268"/>
      <c r="RLM647" s="268"/>
      <c r="RLN647" s="268"/>
      <c r="RLO647" s="268"/>
      <c r="RLP647" s="268"/>
      <c r="RLQ647" s="268"/>
      <c r="RLR647" s="268"/>
      <c r="RLS647" s="268"/>
      <c r="RLT647" s="268"/>
      <c r="RLU647" s="268"/>
      <c r="RLV647" s="268"/>
      <c r="RLW647" s="268"/>
      <c r="RLX647" s="268"/>
      <c r="RLY647" s="268"/>
      <c r="RLZ647" s="268"/>
      <c r="RMA647" s="268"/>
      <c r="RMB647" s="268"/>
      <c r="RMC647" s="268"/>
      <c r="RMD647" s="268"/>
      <c r="RME647" s="268"/>
      <c r="RMF647" s="268"/>
      <c r="RMG647" s="268"/>
      <c r="RMH647" s="268"/>
      <c r="RMI647" s="268"/>
      <c r="RMJ647" s="268"/>
      <c r="RMK647" s="268"/>
      <c r="RML647" s="268"/>
      <c r="RMM647" s="268"/>
      <c r="RMN647" s="268"/>
      <c r="RMO647" s="268"/>
      <c r="RMP647" s="268"/>
      <c r="RMQ647" s="268"/>
      <c r="RMR647" s="268"/>
      <c r="RMS647" s="268"/>
      <c r="RMT647" s="268"/>
      <c r="RMU647" s="268"/>
      <c r="RMV647" s="268"/>
      <c r="RMW647" s="268"/>
      <c r="RMX647" s="268"/>
      <c r="RMY647" s="268"/>
      <c r="RMZ647" s="268"/>
      <c r="RNA647" s="268"/>
      <c r="RNB647" s="268"/>
      <c r="RNC647" s="268"/>
      <c r="RNQ647" s="268"/>
      <c r="RNR647" s="268"/>
      <c r="RNS647" s="268"/>
      <c r="ROG647" s="268"/>
      <c r="ROI647" s="268"/>
      <c r="ROJ647" s="268"/>
      <c r="ROK647" s="268"/>
      <c r="ROL647" s="268"/>
      <c r="ROM647" s="268"/>
      <c r="RON647" s="268"/>
      <c r="ROO647" s="268"/>
      <c r="ROP647" s="268"/>
      <c r="ROQ647" s="268"/>
      <c r="ROR647" s="268"/>
      <c r="ROS647" s="268"/>
      <c r="ROT647" s="268"/>
      <c r="ROU647" s="268"/>
      <c r="ROV647" s="268"/>
      <c r="ROW647" s="268"/>
      <c r="ROX647" s="268"/>
      <c r="ROY647" s="268"/>
      <c r="ROZ647" s="268"/>
      <c r="RPA647" s="268"/>
      <c r="RPB647" s="268"/>
      <c r="RPC647" s="268"/>
      <c r="RPD647" s="268"/>
      <c r="RPE647" s="268"/>
      <c r="RPF647" s="268"/>
      <c r="RPG647" s="268"/>
      <c r="RPH647" s="268"/>
      <c r="RPI647" s="268"/>
      <c r="RPJ647" s="268"/>
      <c r="RPK647" s="268"/>
      <c r="RPL647" s="268"/>
      <c r="RPM647" s="268"/>
      <c r="RPN647" s="268"/>
      <c r="RPO647" s="268"/>
      <c r="RPP647" s="268"/>
      <c r="RPQ647" s="268"/>
      <c r="RPR647" s="268"/>
      <c r="RPS647" s="268"/>
      <c r="RPT647" s="268"/>
      <c r="RPU647" s="268"/>
      <c r="RPV647" s="268"/>
      <c r="RPW647" s="268"/>
      <c r="RPX647" s="268"/>
      <c r="RPY647" s="268"/>
      <c r="RPZ647" s="268"/>
      <c r="RQA647" s="268"/>
      <c r="RQB647" s="268"/>
      <c r="RQC647" s="268"/>
      <c r="RQD647" s="268"/>
      <c r="RQE647" s="268"/>
      <c r="RQF647" s="268"/>
      <c r="RQG647" s="268"/>
      <c r="RQH647" s="268"/>
      <c r="RQI647" s="268"/>
      <c r="RQJ647" s="268"/>
      <c r="RQK647" s="268"/>
      <c r="RQL647" s="268"/>
      <c r="RQM647" s="268"/>
      <c r="RQN647" s="268"/>
      <c r="RQO647" s="268"/>
      <c r="RQP647" s="268"/>
      <c r="RQQ647" s="268"/>
      <c r="RQR647" s="268"/>
      <c r="RQS647" s="268"/>
      <c r="RQT647" s="268"/>
      <c r="RQU647" s="268"/>
      <c r="RQV647" s="268"/>
      <c r="RQW647" s="268"/>
      <c r="RQX647" s="268"/>
      <c r="RQY647" s="268"/>
      <c r="RQZ647" s="268"/>
      <c r="RRA647" s="268"/>
      <c r="RRB647" s="268"/>
      <c r="RRC647" s="268"/>
      <c r="RRD647" s="268"/>
      <c r="RRE647" s="268"/>
      <c r="RRF647" s="268"/>
      <c r="RRG647" s="268"/>
      <c r="RRH647" s="268"/>
      <c r="RRI647" s="268"/>
      <c r="RRJ647" s="268"/>
      <c r="RRK647" s="268"/>
      <c r="RRL647" s="268"/>
      <c r="RRM647" s="268"/>
      <c r="RRN647" s="268"/>
      <c r="RRO647" s="268"/>
      <c r="RRP647" s="268"/>
      <c r="RRQ647" s="268"/>
      <c r="RRR647" s="268"/>
      <c r="RRS647" s="268"/>
      <c r="RRT647" s="268"/>
      <c r="RRU647" s="268"/>
      <c r="RRV647" s="268"/>
      <c r="RRW647" s="268"/>
      <c r="RRX647" s="268"/>
      <c r="RRY647" s="268"/>
      <c r="RRZ647" s="268"/>
      <c r="RSA647" s="268"/>
      <c r="RSB647" s="268"/>
      <c r="RSC647" s="268"/>
      <c r="RSD647" s="268"/>
      <c r="RSE647" s="268"/>
      <c r="RSF647" s="268"/>
      <c r="RSG647" s="268"/>
      <c r="RSH647" s="268"/>
      <c r="RSI647" s="268"/>
      <c r="RSJ647" s="268"/>
      <c r="RSK647" s="268"/>
      <c r="RSL647" s="268"/>
      <c r="RSM647" s="268"/>
      <c r="RSN647" s="268"/>
      <c r="RSO647" s="268"/>
      <c r="RSP647" s="268"/>
      <c r="RSQ647" s="268"/>
      <c r="RSR647" s="268"/>
      <c r="RSS647" s="268"/>
      <c r="RST647" s="268"/>
      <c r="RSU647" s="268"/>
      <c r="RSV647" s="268"/>
      <c r="RSW647" s="268"/>
      <c r="RSX647" s="268"/>
      <c r="RSY647" s="268"/>
      <c r="RSZ647" s="268"/>
      <c r="RTA647" s="268"/>
      <c r="RTB647" s="268"/>
      <c r="RTC647" s="268"/>
      <c r="RTD647" s="268"/>
      <c r="RTE647" s="268"/>
      <c r="RTF647" s="268"/>
      <c r="RTG647" s="268"/>
      <c r="RTH647" s="268"/>
      <c r="RTI647" s="268"/>
      <c r="RTJ647" s="268"/>
      <c r="RTK647" s="268"/>
      <c r="RTL647" s="268"/>
      <c r="RTM647" s="268"/>
      <c r="RTN647" s="268"/>
      <c r="RTO647" s="268"/>
      <c r="RTP647" s="268"/>
      <c r="RTQ647" s="268"/>
      <c r="RTR647" s="268"/>
      <c r="RTS647" s="268"/>
      <c r="RTT647" s="268"/>
      <c r="RTU647" s="268"/>
      <c r="RTV647" s="268"/>
      <c r="RTW647" s="268"/>
      <c r="RTX647" s="268"/>
      <c r="RTY647" s="268"/>
      <c r="RTZ647" s="268"/>
      <c r="RUA647" s="268"/>
      <c r="RUB647" s="268"/>
      <c r="RUC647" s="268"/>
      <c r="RUD647" s="268"/>
      <c r="RUE647" s="268"/>
      <c r="RUF647" s="268"/>
      <c r="RUG647" s="268"/>
      <c r="RUH647" s="268"/>
      <c r="RUI647" s="268"/>
      <c r="RUJ647" s="268"/>
      <c r="RUK647" s="268"/>
      <c r="RUL647" s="268"/>
      <c r="RUM647" s="268"/>
      <c r="RUN647" s="268"/>
      <c r="RUO647" s="268"/>
      <c r="RUP647" s="268"/>
      <c r="RUQ647" s="268"/>
      <c r="RUR647" s="268"/>
      <c r="RUS647" s="268"/>
      <c r="RUT647" s="268"/>
      <c r="RUU647" s="268"/>
      <c r="RUV647" s="268"/>
      <c r="RUW647" s="268"/>
      <c r="RUX647" s="268"/>
      <c r="RUY647" s="268"/>
      <c r="RUZ647" s="268"/>
      <c r="RVA647" s="268"/>
      <c r="RVB647" s="268"/>
      <c r="RVC647" s="268"/>
      <c r="RVD647" s="268"/>
      <c r="RVE647" s="268"/>
      <c r="RVF647" s="268"/>
      <c r="RVG647" s="268"/>
      <c r="RVH647" s="268"/>
      <c r="RVI647" s="268"/>
      <c r="RVJ647" s="268"/>
      <c r="RVK647" s="268"/>
      <c r="RVL647" s="268"/>
      <c r="RVM647" s="268"/>
      <c r="RVN647" s="268"/>
      <c r="RVO647" s="268"/>
      <c r="RVP647" s="268"/>
      <c r="RVQ647" s="268"/>
      <c r="RVR647" s="268"/>
      <c r="RVS647" s="268"/>
      <c r="RVT647" s="268"/>
      <c r="RVU647" s="268"/>
      <c r="RVV647" s="268"/>
      <c r="RVW647" s="268"/>
      <c r="RVX647" s="268"/>
      <c r="RVY647" s="268"/>
      <c r="RVZ647" s="268"/>
      <c r="RWA647" s="268"/>
      <c r="RWB647" s="268"/>
      <c r="RWC647" s="268"/>
      <c r="RWD647" s="268"/>
      <c r="RWE647" s="268"/>
      <c r="RWF647" s="268"/>
      <c r="RWG647" s="268"/>
      <c r="RWH647" s="268"/>
      <c r="RWI647" s="268"/>
      <c r="RWJ647" s="268"/>
      <c r="RWK647" s="268"/>
      <c r="RWL647" s="268"/>
      <c r="RWM647" s="268"/>
      <c r="RWN647" s="268"/>
      <c r="RWO647" s="268"/>
      <c r="RWP647" s="268"/>
      <c r="RWQ647" s="268"/>
      <c r="RWR647" s="268"/>
      <c r="RWS647" s="268"/>
      <c r="RWT647" s="268"/>
      <c r="RWU647" s="268"/>
      <c r="RWV647" s="268"/>
      <c r="RWW647" s="268"/>
      <c r="RWX647" s="268"/>
      <c r="RWY647" s="268"/>
      <c r="RXM647" s="268"/>
      <c r="RXN647" s="268"/>
      <c r="RXO647" s="268"/>
      <c r="RYC647" s="268"/>
      <c r="RYE647" s="268"/>
      <c r="RYF647" s="268"/>
      <c r="RYG647" s="268"/>
      <c r="RYH647" s="268"/>
      <c r="RYI647" s="268"/>
      <c r="RYJ647" s="268"/>
      <c r="RYK647" s="268"/>
      <c r="RYL647" s="268"/>
      <c r="RYM647" s="268"/>
      <c r="RYN647" s="268"/>
      <c r="RYO647" s="268"/>
      <c r="RYP647" s="268"/>
      <c r="RYQ647" s="268"/>
      <c r="RYR647" s="268"/>
      <c r="RYS647" s="268"/>
      <c r="RYT647" s="268"/>
      <c r="RYU647" s="268"/>
      <c r="RYV647" s="268"/>
      <c r="RYW647" s="268"/>
      <c r="RYX647" s="268"/>
      <c r="RYY647" s="268"/>
      <c r="RYZ647" s="268"/>
      <c r="RZA647" s="268"/>
      <c r="RZB647" s="268"/>
      <c r="RZC647" s="268"/>
      <c r="RZD647" s="268"/>
      <c r="RZE647" s="268"/>
      <c r="RZF647" s="268"/>
      <c r="RZG647" s="268"/>
      <c r="RZH647" s="268"/>
      <c r="RZI647" s="268"/>
      <c r="RZJ647" s="268"/>
      <c r="RZK647" s="268"/>
      <c r="RZL647" s="268"/>
      <c r="RZM647" s="268"/>
      <c r="RZN647" s="268"/>
      <c r="RZO647" s="268"/>
      <c r="RZP647" s="268"/>
      <c r="RZQ647" s="268"/>
      <c r="RZR647" s="268"/>
      <c r="RZS647" s="268"/>
      <c r="RZT647" s="268"/>
      <c r="RZU647" s="268"/>
      <c r="RZV647" s="268"/>
      <c r="RZW647" s="268"/>
      <c r="RZX647" s="268"/>
      <c r="RZY647" s="268"/>
      <c r="RZZ647" s="268"/>
      <c r="SAA647" s="268"/>
      <c r="SAB647" s="268"/>
      <c r="SAC647" s="268"/>
      <c r="SAD647" s="268"/>
      <c r="SAE647" s="268"/>
      <c r="SAF647" s="268"/>
      <c r="SAG647" s="268"/>
      <c r="SAH647" s="268"/>
      <c r="SAI647" s="268"/>
      <c r="SAJ647" s="268"/>
      <c r="SAK647" s="268"/>
      <c r="SAL647" s="268"/>
      <c r="SAM647" s="268"/>
      <c r="SAN647" s="268"/>
      <c r="SAO647" s="268"/>
      <c r="SAP647" s="268"/>
      <c r="SAQ647" s="268"/>
      <c r="SAR647" s="268"/>
      <c r="SAS647" s="268"/>
      <c r="SAT647" s="268"/>
      <c r="SAU647" s="268"/>
      <c r="SAV647" s="268"/>
      <c r="SAW647" s="268"/>
      <c r="SAX647" s="268"/>
      <c r="SAY647" s="268"/>
      <c r="SAZ647" s="268"/>
      <c r="SBA647" s="268"/>
      <c r="SBB647" s="268"/>
      <c r="SBC647" s="268"/>
      <c r="SBD647" s="268"/>
      <c r="SBE647" s="268"/>
      <c r="SBF647" s="268"/>
      <c r="SBG647" s="268"/>
      <c r="SBH647" s="268"/>
      <c r="SBI647" s="268"/>
      <c r="SBJ647" s="268"/>
      <c r="SBK647" s="268"/>
      <c r="SBL647" s="268"/>
      <c r="SBM647" s="268"/>
      <c r="SBN647" s="268"/>
      <c r="SBO647" s="268"/>
      <c r="SBP647" s="268"/>
      <c r="SBQ647" s="268"/>
      <c r="SBR647" s="268"/>
      <c r="SBS647" s="268"/>
      <c r="SBT647" s="268"/>
      <c r="SBU647" s="268"/>
      <c r="SBV647" s="268"/>
      <c r="SBW647" s="268"/>
      <c r="SBX647" s="268"/>
      <c r="SBY647" s="268"/>
      <c r="SBZ647" s="268"/>
      <c r="SCA647" s="268"/>
      <c r="SCB647" s="268"/>
      <c r="SCC647" s="268"/>
      <c r="SCD647" s="268"/>
      <c r="SCE647" s="268"/>
      <c r="SCF647" s="268"/>
      <c r="SCG647" s="268"/>
      <c r="SCH647" s="268"/>
      <c r="SCI647" s="268"/>
      <c r="SCJ647" s="268"/>
      <c r="SCK647" s="268"/>
      <c r="SCL647" s="268"/>
      <c r="SCM647" s="268"/>
      <c r="SCN647" s="268"/>
      <c r="SCO647" s="268"/>
      <c r="SCP647" s="268"/>
      <c r="SCQ647" s="268"/>
      <c r="SCR647" s="268"/>
      <c r="SCS647" s="268"/>
      <c r="SCT647" s="268"/>
      <c r="SCU647" s="268"/>
      <c r="SCV647" s="268"/>
      <c r="SCW647" s="268"/>
      <c r="SCX647" s="268"/>
      <c r="SCY647" s="268"/>
      <c r="SCZ647" s="268"/>
      <c r="SDA647" s="268"/>
      <c r="SDB647" s="268"/>
      <c r="SDC647" s="268"/>
      <c r="SDD647" s="268"/>
      <c r="SDE647" s="268"/>
      <c r="SDF647" s="268"/>
      <c r="SDG647" s="268"/>
      <c r="SDH647" s="268"/>
      <c r="SDI647" s="268"/>
      <c r="SDJ647" s="268"/>
      <c r="SDK647" s="268"/>
      <c r="SDL647" s="268"/>
      <c r="SDM647" s="268"/>
      <c r="SDN647" s="268"/>
      <c r="SDO647" s="268"/>
      <c r="SDP647" s="268"/>
      <c r="SDQ647" s="268"/>
      <c r="SDR647" s="268"/>
      <c r="SDS647" s="268"/>
      <c r="SDT647" s="268"/>
      <c r="SDU647" s="268"/>
      <c r="SDV647" s="268"/>
      <c r="SDW647" s="268"/>
      <c r="SDX647" s="268"/>
      <c r="SDY647" s="268"/>
      <c r="SDZ647" s="268"/>
      <c r="SEA647" s="268"/>
      <c r="SEB647" s="268"/>
      <c r="SEC647" s="268"/>
      <c r="SED647" s="268"/>
      <c r="SEE647" s="268"/>
      <c r="SEF647" s="268"/>
      <c r="SEG647" s="268"/>
      <c r="SEH647" s="268"/>
      <c r="SEI647" s="268"/>
      <c r="SEJ647" s="268"/>
      <c r="SEK647" s="268"/>
      <c r="SEL647" s="268"/>
      <c r="SEM647" s="268"/>
      <c r="SEN647" s="268"/>
      <c r="SEO647" s="268"/>
      <c r="SEP647" s="268"/>
      <c r="SEQ647" s="268"/>
      <c r="SER647" s="268"/>
      <c r="SES647" s="268"/>
      <c r="SET647" s="268"/>
      <c r="SEU647" s="268"/>
      <c r="SEV647" s="268"/>
      <c r="SEW647" s="268"/>
      <c r="SEX647" s="268"/>
      <c r="SEY647" s="268"/>
      <c r="SEZ647" s="268"/>
      <c r="SFA647" s="268"/>
      <c r="SFB647" s="268"/>
      <c r="SFC647" s="268"/>
      <c r="SFD647" s="268"/>
      <c r="SFE647" s="268"/>
      <c r="SFF647" s="268"/>
      <c r="SFG647" s="268"/>
      <c r="SFH647" s="268"/>
      <c r="SFI647" s="268"/>
      <c r="SFJ647" s="268"/>
      <c r="SFK647" s="268"/>
      <c r="SFL647" s="268"/>
      <c r="SFM647" s="268"/>
      <c r="SFN647" s="268"/>
      <c r="SFO647" s="268"/>
      <c r="SFP647" s="268"/>
      <c r="SFQ647" s="268"/>
      <c r="SFR647" s="268"/>
      <c r="SFS647" s="268"/>
      <c r="SFT647" s="268"/>
      <c r="SFU647" s="268"/>
      <c r="SFV647" s="268"/>
      <c r="SFW647" s="268"/>
      <c r="SFX647" s="268"/>
      <c r="SFY647" s="268"/>
      <c r="SFZ647" s="268"/>
      <c r="SGA647" s="268"/>
      <c r="SGB647" s="268"/>
      <c r="SGC647" s="268"/>
      <c r="SGD647" s="268"/>
      <c r="SGE647" s="268"/>
      <c r="SGF647" s="268"/>
      <c r="SGG647" s="268"/>
      <c r="SGH647" s="268"/>
      <c r="SGI647" s="268"/>
      <c r="SGJ647" s="268"/>
      <c r="SGK647" s="268"/>
      <c r="SGL647" s="268"/>
      <c r="SGM647" s="268"/>
      <c r="SGN647" s="268"/>
      <c r="SGO647" s="268"/>
      <c r="SGP647" s="268"/>
      <c r="SGQ647" s="268"/>
      <c r="SGR647" s="268"/>
      <c r="SGS647" s="268"/>
      <c r="SGT647" s="268"/>
      <c r="SGU647" s="268"/>
      <c r="SHI647" s="268"/>
      <c r="SHJ647" s="268"/>
      <c r="SHK647" s="268"/>
      <c r="SHY647" s="268"/>
      <c r="SIA647" s="268"/>
      <c r="SIB647" s="268"/>
      <c r="SIC647" s="268"/>
      <c r="SID647" s="268"/>
      <c r="SIE647" s="268"/>
      <c r="SIF647" s="268"/>
      <c r="SIG647" s="268"/>
      <c r="SIH647" s="268"/>
      <c r="SII647" s="268"/>
      <c r="SIJ647" s="268"/>
      <c r="SIK647" s="268"/>
      <c r="SIL647" s="268"/>
      <c r="SIM647" s="268"/>
      <c r="SIN647" s="268"/>
      <c r="SIO647" s="268"/>
      <c r="SIP647" s="268"/>
      <c r="SIQ647" s="268"/>
      <c r="SIR647" s="268"/>
      <c r="SIS647" s="268"/>
      <c r="SIT647" s="268"/>
      <c r="SIU647" s="268"/>
      <c r="SIV647" s="268"/>
      <c r="SIW647" s="268"/>
      <c r="SIX647" s="268"/>
      <c r="SIY647" s="268"/>
      <c r="SIZ647" s="268"/>
      <c r="SJA647" s="268"/>
      <c r="SJB647" s="268"/>
      <c r="SJC647" s="268"/>
      <c r="SJD647" s="268"/>
      <c r="SJE647" s="268"/>
      <c r="SJF647" s="268"/>
      <c r="SJG647" s="268"/>
      <c r="SJH647" s="268"/>
      <c r="SJI647" s="268"/>
      <c r="SJJ647" s="268"/>
      <c r="SJK647" s="268"/>
      <c r="SJL647" s="268"/>
      <c r="SJM647" s="268"/>
      <c r="SJN647" s="268"/>
      <c r="SJO647" s="268"/>
      <c r="SJP647" s="268"/>
      <c r="SJQ647" s="268"/>
      <c r="SJR647" s="268"/>
      <c r="SJS647" s="268"/>
      <c r="SJT647" s="268"/>
      <c r="SJU647" s="268"/>
      <c r="SJV647" s="268"/>
      <c r="SJW647" s="268"/>
      <c r="SJX647" s="268"/>
      <c r="SJY647" s="268"/>
      <c r="SJZ647" s="268"/>
      <c r="SKA647" s="268"/>
      <c r="SKB647" s="268"/>
      <c r="SKC647" s="268"/>
      <c r="SKD647" s="268"/>
      <c r="SKE647" s="268"/>
      <c r="SKF647" s="268"/>
      <c r="SKG647" s="268"/>
      <c r="SKH647" s="268"/>
      <c r="SKI647" s="268"/>
      <c r="SKJ647" s="268"/>
      <c r="SKK647" s="268"/>
      <c r="SKL647" s="268"/>
      <c r="SKM647" s="268"/>
      <c r="SKN647" s="268"/>
      <c r="SKO647" s="268"/>
      <c r="SKP647" s="268"/>
      <c r="SKQ647" s="268"/>
      <c r="SKR647" s="268"/>
      <c r="SKS647" s="268"/>
      <c r="SKT647" s="268"/>
      <c r="SKU647" s="268"/>
      <c r="SKV647" s="268"/>
      <c r="SKW647" s="268"/>
      <c r="SKX647" s="268"/>
      <c r="SKY647" s="268"/>
      <c r="SKZ647" s="268"/>
      <c r="SLA647" s="268"/>
      <c r="SLB647" s="268"/>
      <c r="SLC647" s="268"/>
      <c r="SLD647" s="268"/>
      <c r="SLE647" s="268"/>
      <c r="SLF647" s="268"/>
      <c r="SLG647" s="268"/>
      <c r="SLH647" s="268"/>
      <c r="SLI647" s="268"/>
      <c r="SLJ647" s="268"/>
      <c r="SLK647" s="268"/>
      <c r="SLL647" s="268"/>
      <c r="SLM647" s="268"/>
      <c r="SLN647" s="268"/>
      <c r="SLO647" s="268"/>
      <c r="SLP647" s="268"/>
      <c r="SLQ647" s="268"/>
      <c r="SLR647" s="268"/>
      <c r="SLS647" s="268"/>
      <c r="SLT647" s="268"/>
      <c r="SLU647" s="268"/>
      <c r="SLV647" s="268"/>
      <c r="SLW647" s="268"/>
      <c r="SLX647" s="268"/>
      <c r="SLY647" s="268"/>
      <c r="SLZ647" s="268"/>
      <c r="SMA647" s="268"/>
      <c r="SMB647" s="268"/>
      <c r="SMC647" s="268"/>
      <c r="SMD647" s="268"/>
      <c r="SME647" s="268"/>
      <c r="SMF647" s="268"/>
      <c r="SMG647" s="268"/>
      <c r="SMH647" s="268"/>
      <c r="SMI647" s="268"/>
      <c r="SMJ647" s="268"/>
      <c r="SMK647" s="268"/>
      <c r="SML647" s="268"/>
      <c r="SMM647" s="268"/>
      <c r="SMN647" s="268"/>
      <c r="SMO647" s="268"/>
      <c r="SMP647" s="268"/>
      <c r="SMQ647" s="268"/>
      <c r="SMR647" s="268"/>
      <c r="SMS647" s="268"/>
      <c r="SMT647" s="268"/>
      <c r="SMU647" s="268"/>
      <c r="SMV647" s="268"/>
      <c r="SMW647" s="268"/>
      <c r="SMX647" s="268"/>
      <c r="SMY647" s="268"/>
      <c r="SMZ647" s="268"/>
      <c r="SNA647" s="268"/>
      <c r="SNB647" s="268"/>
      <c r="SNC647" s="268"/>
      <c r="SND647" s="268"/>
      <c r="SNE647" s="268"/>
      <c r="SNF647" s="268"/>
      <c r="SNG647" s="268"/>
      <c r="SNH647" s="268"/>
      <c r="SNI647" s="268"/>
      <c r="SNJ647" s="268"/>
      <c r="SNK647" s="268"/>
      <c r="SNL647" s="268"/>
      <c r="SNM647" s="268"/>
      <c r="SNN647" s="268"/>
      <c r="SNO647" s="268"/>
      <c r="SNP647" s="268"/>
      <c r="SNQ647" s="268"/>
      <c r="SNR647" s="268"/>
      <c r="SNS647" s="268"/>
      <c r="SNT647" s="268"/>
      <c r="SNU647" s="268"/>
      <c r="SNV647" s="268"/>
      <c r="SNW647" s="268"/>
      <c r="SNX647" s="268"/>
      <c r="SNY647" s="268"/>
      <c r="SNZ647" s="268"/>
      <c r="SOA647" s="268"/>
      <c r="SOB647" s="268"/>
      <c r="SOC647" s="268"/>
      <c r="SOD647" s="268"/>
      <c r="SOE647" s="268"/>
      <c r="SOF647" s="268"/>
      <c r="SOG647" s="268"/>
      <c r="SOH647" s="268"/>
      <c r="SOI647" s="268"/>
      <c r="SOJ647" s="268"/>
      <c r="SOK647" s="268"/>
      <c r="SOL647" s="268"/>
      <c r="SOM647" s="268"/>
      <c r="SON647" s="268"/>
      <c r="SOO647" s="268"/>
      <c r="SOP647" s="268"/>
      <c r="SOQ647" s="268"/>
      <c r="SOR647" s="268"/>
      <c r="SOS647" s="268"/>
      <c r="SOT647" s="268"/>
      <c r="SOU647" s="268"/>
      <c r="SOV647" s="268"/>
      <c r="SOW647" s="268"/>
      <c r="SOX647" s="268"/>
      <c r="SOY647" s="268"/>
      <c r="SOZ647" s="268"/>
      <c r="SPA647" s="268"/>
      <c r="SPB647" s="268"/>
      <c r="SPC647" s="268"/>
      <c r="SPD647" s="268"/>
      <c r="SPE647" s="268"/>
      <c r="SPF647" s="268"/>
      <c r="SPG647" s="268"/>
      <c r="SPH647" s="268"/>
      <c r="SPI647" s="268"/>
      <c r="SPJ647" s="268"/>
      <c r="SPK647" s="268"/>
      <c r="SPL647" s="268"/>
      <c r="SPM647" s="268"/>
      <c r="SPN647" s="268"/>
      <c r="SPO647" s="268"/>
      <c r="SPP647" s="268"/>
      <c r="SPQ647" s="268"/>
      <c r="SPR647" s="268"/>
      <c r="SPS647" s="268"/>
      <c r="SPT647" s="268"/>
      <c r="SPU647" s="268"/>
      <c r="SPV647" s="268"/>
      <c r="SPW647" s="268"/>
      <c r="SPX647" s="268"/>
      <c r="SPY647" s="268"/>
      <c r="SPZ647" s="268"/>
      <c r="SQA647" s="268"/>
      <c r="SQB647" s="268"/>
      <c r="SQC647" s="268"/>
      <c r="SQD647" s="268"/>
      <c r="SQE647" s="268"/>
      <c r="SQF647" s="268"/>
      <c r="SQG647" s="268"/>
      <c r="SQH647" s="268"/>
      <c r="SQI647" s="268"/>
      <c r="SQJ647" s="268"/>
      <c r="SQK647" s="268"/>
      <c r="SQL647" s="268"/>
      <c r="SQM647" s="268"/>
      <c r="SQN647" s="268"/>
      <c r="SQO647" s="268"/>
      <c r="SQP647" s="268"/>
      <c r="SQQ647" s="268"/>
      <c r="SRE647" s="268"/>
      <c r="SRF647" s="268"/>
      <c r="SRG647" s="268"/>
      <c r="SRU647" s="268"/>
      <c r="SRW647" s="268"/>
      <c r="SRX647" s="268"/>
      <c r="SRY647" s="268"/>
      <c r="SRZ647" s="268"/>
      <c r="SSA647" s="268"/>
      <c r="SSB647" s="268"/>
      <c r="SSC647" s="268"/>
      <c r="SSD647" s="268"/>
      <c r="SSE647" s="268"/>
      <c r="SSF647" s="268"/>
      <c r="SSG647" s="268"/>
      <c r="SSH647" s="268"/>
      <c r="SSI647" s="268"/>
      <c r="SSJ647" s="268"/>
      <c r="SSK647" s="268"/>
      <c r="SSL647" s="268"/>
      <c r="SSM647" s="268"/>
      <c r="SSN647" s="268"/>
      <c r="SSO647" s="268"/>
      <c r="SSP647" s="268"/>
      <c r="SSQ647" s="268"/>
      <c r="SSR647" s="268"/>
      <c r="SSS647" s="268"/>
      <c r="SST647" s="268"/>
      <c r="SSU647" s="268"/>
      <c r="SSV647" s="268"/>
      <c r="SSW647" s="268"/>
      <c r="SSX647" s="268"/>
      <c r="SSY647" s="268"/>
      <c r="SSZ647" s="268"/>
      <c r="STA647" s="268"/>
      <c r="STB647" s="268"/>
      <c r="STC647" s="268"/>
      <c r="STD647" s="268"/>
      <c r="STE647" s="268"/>
      <c r="STF647" s="268"/>
      <c r="STG647" s="268"/>
      <c r="STH647" s="268"/>
      <c r="STI647" s="268"/>
      <c r="STJ647" s="268"/>
      <c r="STK647" s="268"/>
      <c r="STL647" s="268"/>
      <c r="STM647" s="268"/>
      <c r="STN647" s="268"/>
      <c r="STO647" s="268"/>
      <c r="STP647" s="268"/>
      <c r="STQ647" s="268"/>
      <c r="STR647" s="268"/>
      <c r="STS647" s="268"/>
      <c r="STT647" s="268"/>
      <c r="STU647" s="268"/>
      <c r="STV647" s="268"/>
      <c r="STW647" s="268"/>
      <c r="STX647" s="268"/>
      <c r="STY647" s="268"/>
      <c r="STZ647" s="268"/>
      <c r="SUA647" s="268"/>
      <c r="SUB647" s="268"/>
      <c r="SUC647" s="268"/>
      <c r="SUD647" s="268"/>
      <c r="SUE647" s="268"/>
      <c r="SUF647" s="268"/>
      <c r="SUG647" s="268"/>
      <c r="SUH647" s="268"/>
      <c r="SUI647" s="268"/>
      <c r="SUJ647" s="268"/>
      <c r="SUK647" s="268"/>
      <c r="SUL647" s="268"/>
      <c r="SUM647" s="268"/>
      <c r="SUN647" s="268"/>
      <c r="SUO647" s="268"/>
      <c r="SUP647" s="268"/>
      <c r="SUQ647" s="268"/>
      <c r="SUR647" s="268"/>
      <c r="SUS647" s="268"/>
      <c r="SUT647" s="268"/>
      <c r="SUU647" s="268"/>
      <c r="SUV647" s="268"/>
      <c r="SUW647" s="268"/>
      <c r="SUX647" s="268"/>
      <c r="SUY647" s="268"/>
      <c r="SUZ647" s="268"/>
      <c r="SVA647" s="268"/>
      <c r="SVB647" s="268"/>
      <c r="SVC647" s="268"/>
      <c r="SVD647" s="268"/>
      <c r="SVE647" s="268"/>
      <c r="SVF647" s="268"/>
      <c r="SVG647" s="268"/>
      <c r="SVH647" s="268"/>
      <c r="SVI647" s="268"/>
      <c r="SVJ647" s="268"/>
      <c r="SVK647" s="268"/>
      <c r="SVL647" s="268"/>
      <c r="SVM647" s="268"/>
      <c r="SVN647" s="268"/>
      <c r="SVO647" s="268"/>
      <c r="SVP647" s="268"/>
      <c r="SVQ647" s="268"/>
      <c r="SVR647" s="268"/>
      <c r="SVS647" s="268"/>
      <c r="SVT647" s="268"/>
      <c r="SVU647" s="268"/>
      <c r="SVV647" s="268"/>
      <c r="SVW647" s="268"/>
      <c r="SVX647" s="268"/>
      <c r="SVY647" s="268"/>
      <c r="SVZ647" s="268"/>
      <c r="SWA647" s="268"/>
      <c r="SWB647" s="268"/>
      <c r="SWC647" s="268"/>
      <c r="SWD647" s="268"/>
      <c r="SWE647" s="268"/>
      <c r="SWF647" s="268"/>
      <c r="SWG647" s="268"/>
      <c r="SWH647" s="268"/>
      <c r="SWI647" s="268"/>
      <c r="SWJ647" s="268"/>
      <c r="SWK647" s="268"/>
      <c r="SWL647" s="268"/>
      <c r="SWM647" s="268"/>
      <c r="SWN647" s="268"/>
      <c r="SWO647" s="268"/>
      <c r="SWP647" s="268"/>
      <c r="SWQ647" s="268"/>
      <c r="SWR647" s="268"/>
      <c r="SWS647" s="268"/>
      <c r="SWT647" s="268"/>
      <c r="SWU647" s="268"/>
      <c r="SWV647" s="268"/>
      <c r="SWW647" s="268"/>
      <c r="SWX647" s="268"/>
      <c r="SWY647" s="268"/>
      <c r="SWZ647" s="268"/>
      <c r="SXA647" s="268"/>
      <c r="SXB647" s="268"/>
      <c r="SXC647" s="268"/>
      <c r="SXD647" s="268"/>
      <c r="SXE647" s="268"/>
      <c r="SXF647" s="268"/>
      <c r="SXG647" s="268"/>
      <c r="SXH647" s="268"/>
      <c r="SXI647" s="268"/>
      <c r="SXJ647" s="268"/>
      <c r="SXK647" s="268"/>
      <c r="SXL647" s="268"/>
      <c r="SXM647" s="268"/>
      <c r="SXN647" s="268"/>
      <c r="SXO647" s="268"/>
      <c r="SXP647" s="268"/>
      <c r="SXQ647" s="268"/>
      <c r="SXR647" s="268"/>
      <c r="SXS647" s="268"/>
      <c r="SXT647" s="268"/>
      <c r="SXU647" s="268"/>
      <c r="SXV647" s="268"/>
      <c r="SXW647" s="268"/>
      <c r="SXX647" s="268"/>
      <c r="SXY647" s="268"/>
      <c r="SXZ647" s="268"/>
      <c r="SYA647" s="268"/>
      <c r="SYB647" s="268"/>
      <c r="SYC647" s="268"/>
      <c r="SYD647" s="268"/>
      <c r="SYE647" s="268"/>
      <c r="SYF647" s="268"/>
      <c r="SYG647" s="268"/>
      <c r="SYH647" s="268"/>
      <c r="SYI647" s="268"/>
      <c r="SYJ647" s="268"/>
      <c r="SYK647" s="268"/>
      <c r="SYL647" s="268"/>
      <c r="SYM647" s="268"/>
      <c r="SYN647" s="268"/>
      <c r="SYO647" s="268"/>
      <c r="SYP647" s="268"/>
      <c r="SYQ647" s="268"/>
      <c r="SYR647" s="268"/>
      <c r="SYS647" s="268"/>
      <c r="SYT647" s="268"/>
      <c r="SYU647" s="268"/>
      <c r="SYV647" s="268"/>
      <c r="SYW647" s="268"/>
      <c r="SYX647" s="268"/>
      <c r="SYY647" s="268"/>
      <c r="SYZ647" s="268"/>
      <c r="SZA647" s="268"/>
      <c r="SZB647" s="268"/>
      <c r="SZC647" s="268"/>
      <c r="SZD647" s="268"/>
      <c r="SZE647" s="268"/>
      <c r="SZF647" s="268"/>
      <c r="SZG647" s="268"/>
      <c r="SZH647" s="268"/>
      <c r="SZI647" s="268"/>
      <c r="SZJ647" s="268"/>
      <c r="SZK647" s="268"/>
      <c r="SZL647" s="268"/>
      <c r="SZM647" s="268"/>
      <c r="SZN647" s="268"/>
      <c r="SZO647" s="268"/>
      <c r="SZP647" s="268"/>
      <c r="SZQ647" s="268"/>
      <c r="SZR647" s="268"/>
      <c r="SZS647" s="268"/>
      <c r="SZT647" s="268"/>
      <c r="SZU647" s="268"/>
      <c r="SZV647" s="268"/>
      <c r="SZW647" s="268"/>
      <c r="SZX647" s="268"/>
      <c r="SZY647" s="268"/>
      <c r="SZZ647" s="268"/>
      <c r="TAA647" s="268"/>
      <c r="TAB647" s="268"/>
      <c r="TAC647" s="268"/>
      <c r="TAD647" s="268"/>
      <c r="TAE647" s="268"/>
      <c r="TAF647" s="268"/>
      <c r="TAG647" s="268"/>
      <c r="TAH647" s="268"/>
      <c r="TAI647" s="268"/>
      <c r="TAJ647" s="268"/>
      <c r="TAK647" s="268"/>
      <c r="TAL647" s="268"/>
      <c r="TAM647" s="268"/>
      <c r="TBA647" s="268"/>
      <c r="TBB647" s="268"/>
      <c r="TBC647" s="268"/>
      <c r="TBQ647" s="268"/>
      <c r="TBS647" s="268"/>
      <c r="TBT647" s="268"/>
      <c r="TBU647" s="268"/>
      <c r="TBV647" s="268"/>
      <c r="TBW647" s="268"/>
      <c r="TBX647" s="268"/>
      <c r="TBY647" s="268"/>
      <c r="TBZ647" s="268"/>
      <c r="TCA647" s="268"/>
      <c r="TCB647" s="268"/>
      <c r="TCC647" s="268"/>
      <c r="TCD647" s="268"/>
      <c r="TCE647" s="268"/>
      <c r="TCF647" s="268"/>
      <c r="TCG647" s="268"/>
      <c r="TCH647" s="268"/>
      <c r="TCI647" s="268"/>
      <c r="TCJ647" s="268"/>
      <c r="TCK647" s="268"/>
      <c r="TCL647" s="268"/>
      <c r="TCM647" s="268"/>
      <c r="TCN647" s="268"/>
      <c r="TCO647" s="268"/>
      <c r="TCP647" s="268"/>
      <c r="TCQ647" s="268"/>
      <c r="TCR647" s="268"/>
      <c r="TCS647" s="268"/>
      <c r="TCT647" s="268"/>
      <c r="TCU647" s="268"/>
      <c r="TCV647" s="268"/>
      <c r="TCW647" s="268"/>
      <c r="TCX647" s="268"/>
      <c r="TCY647" s="268"/>
      <c r="TCZ647" s="268"/>
      <c r="TDA647" s="268"/>
      <c r="TDB647" s="268"/>
      <c r="TDC647" s="268"/>
      <c r="TDD647" s="268"/>
      <c r="TDE647" s="268"/>
      <c r="TDF647" s="268"/>
      <c r="TDG647" s="268"/>
      <c r="TDH647" s="268"/>
      <c r="TDI647" s="268"/>
      <c r="TDJ647" s="268"/>
      <c r="TDK647" s="268"/>
      <c r="TDL647" s="268"/>
      <c r="TDM647" s="268"/>
      <c r="TDN647" s="268"/>
      <c r="TDO647" s="268"/>
      <c r="TDP647" s="268"/>
      <c r="TDQ647" s="268"/>
      <c r="TDR647" s="268"/>
      <c r="TDS647" s="268"/>
      <c r="TDT647" s="268"/>
      <c r="TDU647" s="268"/>
      <c r="TDV647" s="268"/>
      <c r="TDW647" s="268"/>
      <c r="TDX647" s="268"/>
      <c r="TDY647" s="268"/>
      <c r="TDZ647" s="268"/>
      <c r="TEA647" s="268"/>
      <c r="TEB647" s="268"/>
      <c r="TEC647" s="268"/>
      <c r="TED647" s="268"/>
      <c r="TEE647" s="268"/>
      <c r="TEF647" s="268"/>
      <c r="TEG647" s="268"/>
      <c r="TEH647" s="268"/>
      <c r="TEI647" s="268"/>
      <c r="TEJ647" s="268"/>
      <c r="TEK647" s="268"/>
      <c r="TEL647" s="268"/>
      <c r="TEM647" s="268"/>
      <c r="TEN647" s="268"/>
      <c r="TEO647" s="268"/>
      <c r="TEP647" s="268"/>
      <c r="TEQ647" s="268"/>
      <c r="TER647" s="268"/>
      <c r="TES647" s="268"/>
      <c r="TET647" s="268"/>
      <c r="TEU647" s="268"/>
      <c r="TEV647" s="268"/>
      <c r="TEW647" s="268"/>
      <c r="TEX647" s="268"/>
      <c r="TEY647" s="268"/>
      <c r="TEZ647" s="268"/>
      <c r="TFA647" s="268"/>
      <c r="TFB647" s="268"/>
      <c r="TFC647" s="268"/>
      <c r="TFD647" s="268"/>
      <c r="TFE647" s="268"/>
      <c r="TFF647" s="268"/>
      <c r="TFG647" s="268"/>
      <c r="TFH647" s="268"/>
      <c r="TFI647" s="268"/>
      <c r="TFJ647" s="268"/>
      <c r="TFK647" s="268"/>
      <c r="TFL647" s="268"/>
      <c r="TFM647" s="268"/>
      <c r="TFN647" s="268"/>
      <c r="TFO647" s="268"/>
      <c r="TFP647" s="268"/>
      <c r="TFQ647" s="268"/>
      <c r="TFR647" s="268"/>
      <c r="TFS647" s="268"/>
      <c r="TFT647" s="268"/>
      <c r="TFU647" s="268"/>
      <c r="TFV647" s="268"/>
      <c r="TFW647" s="268"/>
      <c r="TFX647" s="268"/>
      <c r="TFY647" s="268"/>
      <c r="TFZ647" s="268"/>
      <c r="TGA647" s="268"/>
      <c r="TGB647" s="268"/>
      <c r="TGC647" s="268"/>
      <c r="TGD647" s="268"/>
      <c r="TGE647" s="268"/>
      <c r="TGF647" s="268"/>
      <c r="TGG647" s="268"/>
      <c r="TGH647" s="268"/>
      <c r="TGI647" s="268"/>
      <c r="TGJ647" s="268"/>
      <c r="TGK647" s="268"/>
      <c r="TGL647" s="268"/>
      <c r="TGM647" s="268"/>
      <c r="TGN647" s="268"/>
      <c r="TGO647" s="268"/>
      <c r="TGP647" s="268"/>
      <c r="TGQ647" s="268"/>
      <c r="TGR647" s="268"/>
      <c r="TGS647" s="268"/>
      <c r="TGT647" s="268"/>
      <c r="TGU647" s="268"/>
      <c r="TGV647" s="268"/>
      <c r="TGW647" s="268"/>
      <c r="TGX647" s="268"/>
      <c r="TGY647" s="268"/>
      <c r="TGZ647" s="268"/>
      <c r="THA647" s="268"/>
      <c r="THB647" s="268"/>
      <c r="THC647" s="268"/>
      <c r="THD647" s="268"/>
      <c r="THE647" s="268"/>
      <c r="THF647" s="268"/>
      <c r="THG647" s="268"/>
      <c r="THH647" s="268"/>
      <c r="THI647" s="268"/>
      <c r="THJ647" s="268"/>
      <c r="THK647" s="268"/>
      <c r="THL647" s="268"/>
      <c r="THM647" s="268"/>
      <c r="THN647" s="268"/>
      <c r="THO647" s="268"/>
      <c r="THP647" s="268"/>
      <c r="THQ647" s="268"/>
      <c r="THR647" s="268"/>
      <c r="THS647" s="268"/>
      <c r="THT647" s="268"/>
      <c r="THU647" s="268"/>
      <c r="THV647" s="268"/>
      <c r="THW647" s="268"/>
      <c r="THX647" s="268"/>
      <c r="THY647" s="268"/>
      <c r="THZ647" s="268"/>
      <c r="TIA647" s="268"/>
      <c r="TIB647" s="268"/>
      <c r="TIC647" s="268"/>
      <c r="TID647" s="268"/>
      <c r="TIE647" s="268"/>
      <c r="TIF647" s="268"/>
      <c r="TIG647" s="268"/>
      <c r="TIH647" s="268"/>
      <c r="TII647" s="268"/>
      <c r="TIJ647" s="268"/>
      <c r="TIK647" s="268"/>
      <c r="TIL647" s="268"/>
      <c r="TIM647" s="268"/>
      <c r="TIN647" s="268"/>
      <c r="TIO647" s="268"/>
      <c r="TIP647" s="268"/>
      <c r="TIQ647" s="268"/>
      <c r="TIR647" s="268"/>
      <c r="TIS647" s="268"/>
      <c r="TIT647" s="268"/>
      <c r="TIU647" s="268"/>
      <c r="TIV647" s="268"/>
      <c r="TIW647" s="268"/>
      <c r="TIX647" s="268"/>
      <c r="TIY647" s="268"/>
      <c r="TIZ647" s="268"/>
      <c r="TJA647" s="268"/>
      <c r="TJB647" s="268"/>
      <c r="TJC647" s="268"/>
      <c r="TJD647" s="268"/>
      <c r="TJE647" s="268"/>
      <c r="TJF647" s="268"/>
      <c r="TJG647" s="268"/>
      <c r="TJH647" s="268"/>
      <c r="TJI647" s="268"/>
      <c r="TJJ647" s="268"/>
      <c r="TJK647" s="268"/>
      <c r="TJL647" s="268"/>
      <c r="TJM647" s="268"/>
      <c r="TJN647" s="268"/>
      <c r="TJO647" s="268"/>
      <c r="TJP647" s="268"/>
      <c r="TJQ647" s="268"/>
      <c r="TJR647" s="268"/>
      <c r="TJS647" s="268"/>
      <c r="TJT647" s="268"/>
      <c r="TJU647" s="268"/>
      <c r="TJV647" s="268"/>
      <c r="TJW647" s="268"/>
      <c r="TJX647" s="268"/>
      <c r="TJY647" s="268"/>
      <c r="TJZ647" s="268"/>
      <c r="TKA647" s="268"/>
      <c r="TKB647" s="268"/>
      <c r="TKC647" s="268"/>
      <c r="TKD647" s="268"/>
      <c r="TKE647" s="268"/>
      <c r="TKF647" s="268"/>
      <c r="TKG647" s="268"/>
      <c r="TKH647" s="268"/>
      <c r="TKI647" s="268"/>
      <c r="TKW647" s="268"/>
      <c r="TKX647" s="268"/>
      <c r="TKY647" s="268"/>
      <c r="TLM647" s="268"/>
      <c r="TLO647" s="268"/>
      <c r="TLP647" s="268"/>
      <c r="TLQ647" s="268"/>
      <c r="TLR647" s="268"/>
      <c r="TLS647" s="268"/>
      <c r="TLT647" s="268"/>
      <c r="TLU647" s="268"/>
      <c r="TLV647" s="268"/>
      <c r="TLW647" s="268"/>
      <c r="TLX647" s="268"/>
      <c r="TLY647" s="268"/>
      <c r="TLZ647" s="268"/>
      <c r="TMA647" s="268"/>
      <c r="TMB647" s="268"/>
      <c r="TMC647" s="268"/>
      <c r="TMD647" s="268"/>
      <c r="TME647" s="268"/>
      <c r="TMF647" s="268"/>
      <c r="TMG647" s="268"/>
      <c r="TMH647" s="268"/>
      <c r="TMI647" s="268"/>
      <c r="TMJ647" s="268"/>
      <c r="TMK647" s="268"/>
      <c r="TML647" s="268"/>
      <c r="TMM647" s="268"/>
      <c r="TMN647" s="268"/>
      <c r="TMO647" s="268"/>
      <c r="TMP647" s="268"/>
      <c r="TMQ647" s="268"/>
      <c r="TMR647" s="268"/>
      <c r="TMS647" s="268"/>
      <c r="TMT647" s="268"/>
      <c r="TMU647" s="268"/>
      <c r="TMV647" s="268"/>
      <c r="TMW647" s="268"/>
      <c r="TMX647" s="268"/>
      <c r="TMY647" s="268"/>
      <c r="TMZ647" s="268"/>
      <c r="TNA647" s="268"/>
      <c r="TNB647" s="268"/>
      <c r="TNC647" s="268"/>
      <c r="TND647" s="268"/>
      <c r="TNE647" s="268"/>
      <c r="TNF647" s="268"/>
      <c r="TNG647" s="268"/>
      <c r="TNH647" s="268"/>
      <c r="TNI647" s="268"/>
      <c r="TNJ647" s="268"/>
      <c r="TNK647" s="268"/>
      <c r="TNL647" s="268"/>
      <c r="TNM647" s="268"/>
      <c r="TNN647" s="268"/>
      <c r="TNO647" s="268"/>
      <c r="TNP647" s="268"/>
      <c r="TNQ647" s="268"/>
      <c r="TNR647" s="268"/>
      <c r="TNS647" s="268"/>
      <c r="TNT647" s="268"/>
      <c r="TNU647" s="268"/>
      <c r="TNV647" s="268"/>
      <c r="TNW647" s="268"/>
      <c r="TNX647" s="268"/>
      <c r="TNY647" s="268"/>
      <c r="TNZ647" s="268"/>
      <c r="TOA647" s="268"/>
      <c r="TOB647" s="268"/>
      <c r="TOC647" s="268"/>
      <c r="TOD647" s="268"/>
      <c r="TOE647" s="268"/>
      <c r="TOF647" s="268"/>
      <c r="TOG647" s="268"/>
      <c r="TOH647" s="268"/>
      <c r="TOI647" s="268"/>
      <c r="TOJ647" s="268"/>
      <c r="TOK647" s="268"/>
      <c r="TOL647" s="268"/>
      <c r="TOM647" s="268"/>
      <c r="TON647" s="268"/>
      <c r="TOO647" s="268"/>
      <c r="TOP647" s="268"/>
      <c r="TOQ647" s="268"/>
      <c r="TOR647" s="268"/>
      <c r="TOS647" s="268"/>
      <c r="TOT647" s="268"/>
      <c r="TOU647" s="268"/>
      <c r="TOV647" s="268"/>
      <c r="TOW647" s="268"/>
      <c r="TOX647" s="268"/>
      <c r="TOY647" s="268"/>
      <c r="TOZ647" s="268"/>
      <c r="TPA647" s="268"/>
      <c r="TPB647" s="268"/>
      <c r="TPC647" s="268"/>
      <c r="TPD647" s="268"/>
      <c r="TPE647" s="268"/>
      <c r="TPF647" s="268"/>
      <c r="TPG647" s="268"/>
      <c r="TPH647" s="268"/>
      <c r="TPI647" s="268"/>
      <c r="TPJ647" s="268"/>
      <c r="TPK647" s="268"/>
      <c r="TPL647" s="268"/>
      <c r="TPM647" s="268"/>
      <c r="TPN647" s="268"/>
      <c r="TPO647" s="268"/>
      <c r="TPP647" s="268"/>
      <c r="TPQ647" s="268"/>
      <c r="TPR647" s="268"/>
      <c r="TPS647" s="268"/>
      <c r="TPT647" s="268"/>
      <c r="TPU647" s="268"/>
      <c r="TPV647" s="268"/>
      <c r="TPW647" s="268"/>
      <c r="TPX647" s="268"/>
      <c r="TPY647" s="268"/>
      <c r="TPZ647" s="268"/>
      <c r="TQA647" s="268"/>
      <c r="TQB647" s="268"/>
      <c r="TQC647" s="268"/>
      <c r="TQD647" s="268"/>
      <c r="TQE647" s="268"/>
      <c r="TQF647" s="268"/>
      <c r="TQG647" s="268"/>
      <c r="TQH647" s="268"/>
      <c r="TQI647" s="268"/>
      <c r="TQJ647" s="268"/>
      <c r="TQK647" s="268"/>
      <c r="TQL647" s="268"/>
      <c r="TQM647" s="268"/>
      <c r="TQN647" s="268"/>
      <c r="TQO647" s="268"/>
      <c r="TQP647" s="268"/>
      <c r="TQQ647" s="268"/>
      <c r="TQR647" s="268"/>
      <c r="TQS647" s="268"/>
      <c r="TQT647" s="268"/>
      <c r="TQU647" s="268"/>
      <c r="TQV647" s="268"/>
      <c r="TQW647" s="268"/>
      <c r="TQX647" s="268"/>
      <c r="TQY647" s="268"/>
      <c r="TQZ647" s="268"/>
      <c r="TRA647" s="268"/>
      <c r="TRB647" s="268"/>
      <c r="TRC647" s="268"/>
      <c r="TRD647" s="268"/>
      <c r="TRE647" s="268"/>
      <c r="TRF647" s="268"/>
      <c r="TRG647" s="268"/>
      <c r="TRH647" s="268"/>
      <c r="TRI647" s="268"/>
      <c r="TRJ647" s="268"/>
      <c r="TRK647" s="268"/>
      <c r="TRL647" s="268"/>
      <c r="TRM647" s="268"/>
      <c r="TRN647" s="268"/>
      <c r="TRO647" s="268"/>
      <c r="TRP647" s="268"/>
      <c r="TRQ647" s="268"/>
      <c r="TRR647" s="268"/>
      <c r="TRS647" s="268"/>
      <c r="TRT647" s="268"/>
      <c r="TRU647" s="268"/>
      <c r="TRV647" s="268"/>
      <c r="TRW647" s="268"/>
      <c r="TRX647" s="268"/>
      <c r="TRY647" s="268"/>
      <c r="TRZ647" s="268"/>
      <c r="TSA647" s="268"/>
      <c r="TSB647" s="268"/>
      <c r="TSC647" s="268"/>
      <c r="TSD647" s="268"/>
      <c r="TSE647" s="268"/>
      <c r="TSF647" s="268"/>
      <c r="TSG647" s="268"/>
      <c r="TSH647" s="268"/>
      <c r="TSI647" s="268"/>
      <c r="TSJ647" s="268"/>
      <c r="TSK647" s="268"/>
      <c r="TSL647" s="268"/>
      <c r="TSM647" s="268"/>
      <c r="TSN647" s="268"/>
      <c r="TSO647" s="268"/>
      <c r="TSP647" s="268"/>
      <c r="TSQ647" s="268"/>
      <c r="TSR647" s="268"/>
      <c r="TSS647" s="268"/>
      <c r="TST647" s="268"/>
      <c r="TSU647" s="268"/>
      <c r="TSV647" s="268"/>
      <c r="TSW647" s="268"/>
      <c r="TSX647" s="268"/>
      <c r="TSY647" s="268"/>
      <c r="TSZ647" s="268"/>
      <c r="TTA647" s="268"/>
      <c r="TTB647" s="268"/>
      <c r="TTC647" s="268"/>
      <c r="TTD647" s="268"/>
      <c r="TTE647" s="268"/>
      <c r="TTF647" s="268"/>
      <c r="TTG647" s="268"/>
      <c r="TTH647" s="268"/>
      <c r="TTI647" s="268"/>
      <c r="TTJ647" s="268"/>
      <c r="TTK647" s="268"/>
      <c r="TTL647" s="268"/>
      <c r="TTM647" s="268"/>
      <c r="TTN647" s="268"/>
      <c r="TTO647" s="268"/>
      <c r="TTP647" s="268"/>
      <c r="TTQ647" s="268"/>
      <c r="TTR647" s="268"/>
      <c r="TTS647" s="268"/>
      <c r="TTT647" s="268"/>
      <c r="TTU647" s="268"/>
      <c r="TTV647" s="268"/>
      <c r="TTW647" s="268"/>
      <c r="TTX647" s="268"/>
      <c r="TTY647" s="268"/>
      <c r="TTZ647" s="268"/>
      <c r="TUA647" s="268"/>
      <c r="TUB647" s="268"/>
      <c r="TUC647" s="268"/>
      <c r="TUD647" s="268"/>
      <c r="TUE647" s="268"/>
      <c r="TUS647" s="268"/>
      <c r="TUT647" s="268"/>
      <c r="TUU647" s="268"/>
      <c r="TVI647" s="268"/>
      <c r="TVK647" s="268"/>
      <c r="TVL647" s="268"/>
      <c r="TVM647" s="268"/>
      <c r="TVN647" s="268"/>
      <c r="TVO647" s="268"/>
      <c r="TVP647" s="268"/>
      <c r="TVQ647" s="268"/>
      <c r="TVR647" s="268"/>
      <c r="TVS647" s="268"/>
      <c r="TVT647" s="268"/>
      <c r="TVU647" s="268"/>
      <c r="TVV647" s="268"/>
      <c r="TVW647" s="268"/>
      <c r="TVX647" s="268"/>
      <c r="TVY647" s="268"/>
      <c r="TVZ647" s="268"/>
      <c r="TWA647" s="268"/>
      <c r="TWB647" s="268"/>
      <c r="TWC647" s="268"/>
      <c r="TWD647" s="268"/>
      <c r="TWE647" s="268"/>
      <c r="TWF647" s="268"/>
      <c r="TWG647" s="268"/>
      <c r="TWH647" s="268"/>
      <c r="TWI647" s="268"/>
      <c r="TWJ647" s="268"/>
      <c r="TWK647" s="268"/>
      <c r="TWL647" s="268"/>
      <c r="TWM647" s="268"/>
      <c r="TWN647" s="268"/>
      <c r="TWO647" s="268"/>
      <c r="TWP647" s="268"/>
      <c r="TWQ647" s="268"/>
      <c r="TWR647" s="268"/>
      <c r="TWS647" s="268"/>
      <c r="TWT647" s="268"/>
      <c r="TWU647" s="268"/>
      <c r="TWV647" s="268"/>
      <c r="TWW647" s="268"/>
      <c r="TWX647" s="268"/>
      <c r="TWY647" s="268"/>
      <c r="TWZ647" s="268"/>
      <c r="TXA647" s="268"/>
      <c r="TXB647" s="268"/>
      <c r="TXC647" s="268"/>
      <c r="TXD647" s="268"/>
      <c r="TXE647" s="268"/>
      <c r="TXF647" s="268"/>
      <c r="TXG647" s="268"/>
      <c r="TXH647" s="268"/>
      <c r="TXI647" s="268"/>
      <c r="TXJ647" s="268"/>
      <c r="TXK647" s="268"/>
      <c r="TXL647" s="268"/>
      <c r="TXM647" s="268"/>
      <c r="TXN647" s="268"/>
      <c r="TXO647" s="268"/>
      <c r="TXP647" s="268"/>
      <c r="TXQ647" s="268"/>
      <c r="TXR647" s="268"/>
      <c r="TXS647" s="268"/>
      <c r="TXT647" s="268"/>
      <c r="TXU647" s="268"/>
      <c r="TXV647" s="268"/>
      <c r="TXW647" s="268"/>
      <c r="TXX647" s="268"/>
      <c r="TXY647" s="268"/>
      <c r="TXZ647" s="268"/>
      <c r="TYA647" s="268"/>
      <c r="TYB647" s="268"/>
      <c r="TYC647" s="268"/>
      <c r="TYD647" s="268"/>
      <c r="TYE647" s="268"/>
      <c r="TYF647" s="268"/>
      <c r="TYG647" s="268"/>
      <c r="TYH647" s="268"/>
      <c r="TYI647" s="268"/>
      <c r="TYJ647" s="268"/>
      <c r="TYK647" s="268"/>
      <c r="TYL647" s="268"/>
      <c r="TYM647" s="268"/>
      <c r="TYN647" s="268"/>
      <c r="TYO647" s="268"/>
      <c r="TYP647" s="268"/>
      <c r="TYQ647" s="268"/>
      <c r="TYR647" s="268"/>
      <c r="TYS647" s="268"/>
      <c r="TYT647" s="268"/>
      <c r="TYU647" s="268"/>
      <c r="TYV647" s="268"/>
      <c r="TYW647" s="268"/>
      <c r="TYX647" s="268"/>
      <c r="TYY647" s="268"/>
      <c r="TYZ647" s="268"/>
      <c r="TZA647" s="268"/>
      <c r="TZB647" s="268"/>
      <c r="TZC647" s="268"/>
      <c r="TZD647" s="268"/>
      <c r="TZE647" s="268"/>
      <c r="TZF647" s="268"/>
      <c r="TZG647" s="268"/>
      <c r="TZH647" s="268"/>
      <c r="TZI647" s="268"/>
      <c r="TZJ647" s="268"/>
      <c r="TZK647" s="268"/>
      <c r="TZL647" s="268"/>
      <c r="TZM647" s="268"/>
      <c r="TZN647" s="268"/>
      <c r="TZO647" s="268"/>
      <c r="TZP647" s="268"/>
      <c r="TZQ647" s="268"/>
      <c r="TZR647" s="268"/>
      <c r="TZS647" s="268"/>
      <c r="TZT647" s="268"/>
      <c r="TZU647" s="268"/>
      <c r="TZV647" s="268"/>
      <c r="TZW647" s="268"/>
      <c r="TZX647" s="268"/>
      <c r="TZY647" s="268"/>
      <c r="TZZ647" s="268"/>
      <c r="UAA647" s="268"/>
      <c r="UAB647" s="268"/>
      <c r="UAC647" s="268"/>
      <c r="UAD647" s="268"/>
      <c r="UAE647" s="268"/>
      <c r="UAF647" s="268"/>
      <c r="UAG647" s="268"/>
      <c r="UAH647" s="268"/>
      <c r="UAI647" s="268"/>
      <c r="UAJ647" s="268"/>
      <c r="UAK647" s="268"/>
      <c r="UAL647" s="268"/>
      <c r="UAM647" s="268"/>
      <c r="UAN647" s="268"/>
      <c r="UAO647" s="268"/>
      <c r="UAP647" s="268"/>
      <c r="UAQ647" s="268"/>
      <c r="UAR647" s="268"/>
      <c r="UAS647" s="268"/>
      <c r="UAT647" s="268"/>
      <c r="UAU647" s="268"/>
      <c r="UAV647" s="268"/>
      <c r="UAW647" s="268"/>
      <c r="UAX647" s="268"/>
      <c r="UAY647" s="268"/>
      <c r="UAZ647" s="268"/>
      <c r="UBA647" s="268"/>
      <c r="UBB647" s="268"/>
      <c r="UBC647" s="268"/>
      <c r="UBD647" s="268"/>
      <c r="UBE647" s="268"/>
      <c r="UBF647" s="268"/>
      <c r="UBG647" s="268"/>
      <c r="UBH647" s="268"/>
      <c r="UBI647" s="268"/>
      <c r="UBJ647" s="268"/>
      <c r="UBK647" s="268"/>
      <c r="UBL647" s="268"/>
      <c r="UBM647" s="268"/>
      <c r="UBN647" s="268"/>
      <c r="UBO647" s="268"/>
      <c r="UBP647" s="268"/>
      <c r="UBQ647" s="268"/>
      <c r="UBR647" s="268"/>
      <c r="UBS647" s="268"/>
      <c r="UBT647" s="268"/>
      <c r="UBU647" s="268"/>
      <c r="UBV647" s="268"/>
      <c r="UBW647" s="268"/>
      <c r="UBX647" s="268"/>
      <c r="UBY647" s="268"/>
      <c r="UBZ647" s="268"/>
      <c r="UCA647" s="268"/>
      <c r="UCB647" s="268"/>
      <c r="UCC647" s="268"/>
      <c r="UCD647" s="268"/>
      <c r="UCE647" s="268"/>
      <c r="UCF647" s="268"/>
      <c r="UCG647" s="268"/>
      <c r="UCH647" s="268"/>
      <c r="UCI647" s="268"/>
      <c r="UCJ647" s="268"/>
      <c r="UCK647" s="268"/>
      <c r="UCL647" s="268"/>
      <c r="UCM647" s="268"/>
      <c r="UCN647" s="268"/>
      <c r="UCO647" s="268"/>
      <c r="UCP647" s="268"/>
      <c r="UCQ647" s="268"/>
      <c r="UCR647" s="268"/>
      <c r="UCS647" s="268"/>
      <c r="UCT647" s="268"/>
      <c r="UCU647" s="268"/>
      <c r="UCV647" s="268"/>
      <c r="UCW647" s="268"/>
      <c r="UCX647" s="268"/>
      <c r="UCY647" s="268"/>
      <c r="UCZ647" s="268"/>
      <c r="UDA647" s="268"/>
      <c r="UDB647" s="268"/>
      <c r="UDC647" s="268"/>
      <c r="UDD647" s="268"/>
      <c r="UDE647" s="268"/>
      <c r="UDF647" s="268"/>
      <c r="UDG647" s="268"/>
      <c r="UDH647" s="268"/>
      <c r="UDI647" s="268"/>
      <c r="UDJ647" s="268"/>
      <c r="UDK647" s="268"/>
      <c r="UDL647" s="268"/>
      <c r="UDM647" s="268"/>
      <c r="UDN647" s="268"/>
      <c r="UDO647" s="268"/>
      <c r="UDP647" s="268"/>
      <c r="UDQ647" s="268"/>
      <c r="UDR647" s="268"/>
      <c r="UDS647" s="268"/>
      <c r="UDT647" s="268"/>
      <c r="UDU647" s="268"/>
      <c r="UDV647" s="268"/>
      <c r="UDW647" s="268"/>
      <c r="UDX647" s="268"/>
      <c r="UDY647" s="268"/>
      <c r="UDZ647" s="268"/>
      <c r="UEA647" s="268"/>
      <c r="UEO647" s="268"/>
      <c r="UEP647" s="268"/>
      <c r="UEQ647" s="268"/>
      <c r="UFE647" s="268"/>
      <c r="UFG647" s="268"/>
      <c r="UFH647" s="268"/>
      <c r="UFI647" s="268"/>
      <c r="UFJ647" s="268"/>
      <c r="UFK647" s="268"/>
      <c r="UFL647" s="268"/>
      <c r="UFM647" s="268"/>
      <c r="UFN647" s="268"/>
      <c r="UFO647" s="268"/>
      <c r="UFP647" s="268"/>
      <c r="UFQ647" s="268"/>
      <c r="UFR647" s="268"/>
      <c r="UFS647" s="268"/>
      <c r="UFT647" s="268"/>
      <c r="UFU647" s="268"/>
      <c r="UFV647" s="268"/>
      <c r="UFW647" s="268"/>
      <c r="UFX647" s="268"/>
      <c r="UFY647" s="268"/>
      <c r="UFZ647" s="268"/>
      <c r="UGA647" s="268"/>
      <c r="UGB647" s="268"/>
      <c r="UGC647" s="268"/>
      <c r="UGD647" s="268"/>
      <c r="UGE647" s="268"/>
      <c r="UGF647" s="268"/>
      <c r="UGG647" s="268"/>
      <c r="UGH647" s="268"/>
      <c r="UGI647" s="268"/>
      <c r="UGJ647" s="268"/>
      <c r="UGK647" s="268"/>
      <c r="UGL647" s="268"/>
      <c r="UGM647" s="268"/>
      <c r="UGN647" s="268"/>
      <c r="UGO647" s="268"/>
      <c r="UGP647" s="268"/>
      <c r="UGQ647" s="268"/>
      <c r="UGR647" s="268"/>
      <c r="UGS647" s="268"/>
      <c r="UGT647" s="268"/>
      <c r="UGU647" s="268"/>
      <c r="UGV647" s="268"/>
      <c r="UGW647" s="268"/>
      <c r="UGX647" s="268"/>
      <c r="UGY647" s="268"/>
      <c r="UGZ647" s="268"/>
      <c r="UHA647" s="268"/>
      <c r="UHB647" s="268"/>
      <c r="UHC647" s="268"/>
      <c r="UHD647" s="268"/>
      <c r="UHE647" s="268"/>
      <c r="UHF647" s="268"/>
      <c r="UHG647" s="268"/>
      <c r="UHH647" s="268"/>
      <c r="UHI647" s="268"/>
      <c r="UHJ647" s="268"/>
      <c r="UHK647" s="268"/>
      <c r="UHL647" s="268"/>
      <c r="UHM647" s="268"/>
      <c r="UHN647" s="268"/>
      <c r="UHO647" s="268"/>
      <c r="UHP647" s="268"/>
      <c r="UHQ647" s="268"/>
      <c r="UHR647" s="268"/>
      <c r="UHS647" s="268"/>
      <c r="UHT647" s="268"/>
      <c r="UHU647" s="268"/>
      <c r="UHV647" s="268"/>
      <c r="UHW647" s="268"/>
      <c r="UHX647" s="268"/>
      <c r="UHY647" s="268"/>
      <c r="UHZ647" s="268"/>
      <c r="UIA647" s="268"/>
      <c r="UIB647" s="268"/>
      <c r="UIC647" s="268"/>
      <c r="UID647" s="268"/>
      <c r="UIE647" s="268"/>
      <c r="UIF647" s="268"/>
      <c r="UIG647" s="268"/>
      <c r="UIH647" s="268"/>
      <c r="UII647" s="268"/>
      <c r="UIJ647" s="268"/>
      <c r="UIK647" s="268"/>
      <c r="UIL647" s="268"/>
      <c r="UIM647" s="268"/>
      <c r="UIN647" s="268"/>
      <c r="UIO647" s="268"/>
      <c r="UIP647" s="268"/>
      <c r="UIQ647" s="268"/>
      <c r="UIR647" s="268"/>
      <c r="UIS647" s="268"/>
      <c r="UIT647" s="268"/>
      <c r="UIU647" s="268"/>
      <c r="UIV647" s="268"/>
      <c r="UIW647" s="268"/>
      <c r="UIX647" s="268"/>
      <c r="UIY647" s="268"/>
      <c r="UIZ647" s="268"/>
      <c r="UJA647" s="268"/>
      <c r="UJB647" s="268"/>
      <c r="UJC647" s="268"/>
      <c r="UJD647" s="268"/>
      <c r="UJE647" s="268"/>
      <c r="UJF647" s="268"/>
      <c r="UJG647" s="268"/>
      <c r="UJH647" s="268"/>
      <c r="UJI647" s="268"/>
      <c r="UJJ647" s="268"/>
      <c r="UJK647" s="268"/>
      <c r="UJL647" s="268"/>
      <c r="UJM647" s="268"/>
      <c r="UJN647" s="268"/>
      <c r="UJO647" s="268"/>
      <c r="UJP647" s="268"/>
      <c r="UJQ647" s="268"/>
      <c r="UJR647" s="268"/>
      <c r="UJS647" s="268"/>
      <c r="UJT647" s="268"/>
      <c r="UJU647" s="268"/>
      <c r="UJV647" s="268"/>
      <c r="UJW647" s="268"/>
      <c r="UJX647" s="268"/>
      <c r="UJY647" s="268"/>
      <c r="UJZ647" s="268"/>
      <c r="UKA647" s="268"/>
      <c r="UKB647" s="268"/>
      <c r="UKC647" s="268"/>
      <c r="UKD647" s="268"/>
      <c r="UKE647" s="268"/>
      <c r="UKF647" s="268"/>
      <c r="UKG647" s="268"/>
      <c r="UKH647" s="268"/>
      <c r="UKI647" s="268"/>
      <c r="UKJ647" s="268"/>
      <c r="UKK647" s="268"/>
      <c r="UKL647" s="268"/>
      <c r="UKM647" s="268"/>
      <c r="UKN647" s="268"/>
      <c r="UKO647" s="268"/>
      <c r="UKP647" s="268"/>
      <c r="UKQ647" s="268"/>
      <c r="UKR647" s="268"/>
      <c r="UKS647" s="268"/>
      <c r="UKT647" s="268"/>
      <c r="UKU647" s="268"/>
      <c r="UKV647" s="268"/>
      <c r="UKW647" s="268"/>
      <c r="UKX647" s="268"/>
      <c r="UKY647" s="268"/>
      <c r="UKZ647" s="268"/>
      <c r="ULA647" s="268"/>
      <c r="ULB647" s="268"/>
      <c r="ULC647" s="268"/>
      <c r="ULD647" s="268"/>
      <c r="ULE647" s="268"/>
      <c r="ULF647" s="268"/>
      <c r="ULG647" s="268"/>
      <c r="ULH647" s="268"/>
      <c r="ULI647" s="268"/>
      <c r="ULJ647" s="268"/>
      <c r="ULK647" s="268"/>
      <c r="ULL647" s="268"/>
      <c r="ULM647" s="268"/>
      <c r="ULN647" s="268"/>
      <c r="ULO647" s="268"/>
      <c r="ULP647" s="268"/>
      <c r="ULQ647" s="268"/>
      <c r="ULR647" s="268"/>
      <c r="ULS647" s="268"/>
      <c r="ULT647" s="268"/>
      <c r="ULU647" s="268"/>
      <c r="ULV647" s="268"/>
      <c r="ULW647" s="268"/>
      <c r="ULX647" s="268"/>
      <c r="ULY647" s="268"/>
      <c r="ULZ647" s="268"/>
      <c r="UMA647" s="268"/>
      <c r="UMB647" s="268"/>
      <c r="UMC647" s="268"/>
      <c r="UMD647" s="268"/>
      <c r="UME647" s="268"/>
      <c r="UMF647" s="268"/>
      <c r="UMG647" s="268"/>
      <c r="UMH647" s="268"/>
      <c r="UMI647" s="268"/>
      <c r="UMJ647" s="268"/>
      <c r="UMK647" s="268"/>
      <c r="UML647" s="268"/>
      <c r="UMM647" s="268"/>
      <c r="UMN647" s="268"/>
      <c r="UMO647" s="268"/>
      <c r="UMP647" s="268"/>
      <c r="UMQ647" s="268"/>
      <c r="UMR647" s="268"/>
      <c r="UMS647" s="268"/>
      <c r="UMT647" s="268"/>
      <c r="UMU647" s="268"/>
      <c r="UMV647" s="268"/>
      <c r="UMW647" s="268"/>
      <c r="UMX647" s="268"/>
      <c r="UMY647" s="268"/>
      <c r="UMZ647" s="268"/>
      <c r="UNA647" s="268"/>
      <c r="UNB647" s="268"/>
      <c r="UNC647" s="268"/>
      <c r="UND647" s="268"/>
      <c r="UNE647" s="268"/>
      <c r="UNF647" s="268"/>
      <c r="UNG647" s="268"/>
      <c r="UNH647" s="268"/>
      <c r="UNI647" s="268"/>
      <c r="UNJ647" s="268"/>
      <c r="UNK647" s="268"/>
      <c r="UNL647" s="268"/>
      <c r="UNM647" s="268"/>
      <c r="UNN647" s="268"/>
      <c r="UNO647" s="268"/>
      <c r="UNP647" s="268"/>
      <c r="UNQ647" s="268"/>
      <c r="UNR647" s="268"/>
      <c r="UNS647" s="268"/>
      <c r="UNT647" s="268"/>
      <c r="UNU647" s="268"/>
      <c r="UNV647" s="268"/>
      <c r="UNW647" s="268"/>
      <c r="UOK647" s="268"/>
      <c r="UOL647" s="268"/>
      <c r="UOM647" s="268"/>
      <c r="UPA647" s="268"/>
      <c r="UPC647" s="268"/>
      <c r="UPD647" s="268"/>
      <c r="UPE647" s="268"/>
      <c r="UPF647" s="268"/>
      <c r="UPG647" s="268"/>
      <c r="UPH647" s="268"/>
      <c r="UPI647" s="268"/>
      <c r="UPJ647" s="268"/>
      <c r="UPK647" s="268"/>
      <c r="UPL647" s="268"/>
      <c r="UPM647" s="268"/>
      <c r="UPN647" s="268"/>
      <c r="UPO647" s="268"/>
      <c r="UPP647" s="268"/>
      <c r="UPQ647" s="268"/>
      <c r="UPR647" s="268"/>
      <c r="UPS647" s="268"/>
      <c r="UPT647" s="268"/>
      <c r="UPU647" s="268"/>
      <c r="UPV647" s="268"/>
      <c r="UPW647" s="268"/>
      <c r="UPX647" s="268"/>
      <c r="UPY647" s="268"/>
      <c r="UPZ647" s="268"/>
      <c r="UQA647" s="268"/>
      <c r="UQB647" s="268"/>
      <c r="UQC647" s="268"/>
      <c r="UQD647" s="268"/>
      <c r="UQE647" s="268"/>
      <c r="UQF647" s="268"/>
      <c r="UQG647" s="268"/>
      <c r="UQH647" s="268"/>
      <c r="UQI647" s="268"/>
      <c r="UQJ647" s="268"/>
      <c r="UQK647" s="268"/>
      <c r="UQL647" s="268"/>
      <c r="UQM647" s="268"/>
      <c r="UQN647" s="268"/>
      <c r="UQO647" s="268"/>
      <c r="UQP647" s="268"/>
      <c r="UQQ647" s="268"/>
      <c r="UQR647" s="268"/>
      <c r="UQS647" s="268"/>
      <c r="UQT647" s="268"/>
      <c r="UQU647" s="268"/>
      <c r="UQV647" s="268"/>
      <c r="UQW647" s="268"/>
      <c r="UQX647" s="268"/>
      <c r="UQY647" s="268"/>
      <c r="UQZ647" s="268"/>
      <c r="URA647" s="268"/>
      <c r="URB647" s="268"/>
      <c r="URC647" s="268"/>
      <c r="URD647" s="268"/>
      <c r="URE647" s="268"/>
      <c r="URF647" s="268"/>
      <c r="URG647" s="268"/>
      <c r="URH647" s="268"/>
      <c r="URI647" s="268"/>
      <c r="URJ647" s="268"/>
      <c r="URK647" s="268"/>
      <c r="URL647" s="268"/>
      <c r="URM647" s="268"/>
      <c r="URN647" s="268"/>
      <c r="URO647" s="268"/>
      <c r="URP647" s="268"/>
      <c r="URQ647" s="268"/>
      <c r="URR647" s="268"/>
      <c r="URS647" s="268"/>
      <c r="URT647" s="268"/>
      <c r="URU647" s="268"/>
      <c r="URV647" s="268"/>
      <c r="URW647" s="268"/>
      <c r="URX647" s="268"/>
      <c r="URY647" s="268"/>
      <c r="URZ647" s="268"/>
      <c r="USA647" s="268"/>
      <c r="USB647" s="268"/>
      <c r="USC647" s="268"/>
      <c r="USD647" s="268"/>
      <c r="USE647" s="268"/>
      <c r="USF647" s="268"/>
      <c r="USG647" s="268"/>
      <c r="USH647" s="268"/>
      <c r="USI647" s="268"/>
      <c r="USJ647" s="268"/>
      <c r="USK647" s="268"/>
      <c r="USL647" s="268"/>
      <c r="USM647" s="268"/>
      <c r="USN647" s="268"/>
      <c r="USO647" s="268"/>
      <c r="USP647" s="268"/>
      <c r="USQ647" s="268"/>
      <c r="USR647" s="268"/>
      <c r="USS647" s="268"/>
      <c r="UST647" s="268"/>
      <c r="USU647" s="268"/>
      <c r="USV647" s="268"/>
      <c r="USW647" s="268"/>
      <c r="USX647" s="268"/>
      <c r="USY647" s="268"/>
      <c r="USZ647" s="268"/>
      <c r="UTA647" s="268"/>
      <c r="UTB647" s="268"/>
      <c r="UTC647" s="268"/>
      <c r="UTD647" s="268"/>
      <c r="UTE647" s="268"/>
      <c r="UTF647" s="268"/>
      <c r="UTG647" s="268"/>
      <c r="UTH647" s="268"/>
      <c r="UTI647" s="268"/>
      <c r="UTJ647" s="268"/>
      <c r="UTK647" s="268"/>
      <c r="UTL647" s="268"/>
      <c r="UTM647" s="268"/>
      <c r="UTN647" s="268"/>
      <c r="UTO647" s="268"/>
      <c r="UTP647" s="268"/>
      <c r="UTQ647" s="268"/>
      <c r="UTR647" s="268"/>
      <c r="UTS647" s="268"/>
      <c r="UTT647" s="268"/>
      <c r="UTU647" s="268"/>
      <c r="UTV647" s="268"/>
      <c r="UTW647" s="268"/>
      <c r="UTX647" s="268"/>
      <c r="UTY647" s="268"/>
      <c r="UTZ647" s="268"/>
      <c r="UUA647" s="268"/>
      <c r="UUB647" s="268"/>
      <c r="UUC647" s="268"/>
      <c r="UUD647" s="268"/>
      <c r="UUE647" s="268"/>
      <c r="UUF647" s="268"/>
      <c r="UUG647" s="268"/>
      <c r="UUH647" s="268"/>
      <c r="UUI647" s="268"/>
      <c r="UUJ647" s="268"/>
      <c r="UUK647" s="268"/>
      <c r="UUL647" s="268"/>
      <c r="UUM647" s="268"/>
      <c r="UUN647" s="268"/>
      <c r="UUO647" s="268"/>
      <c r="UUP647" s="268"/>
      <c r="UUQ647" s="268"/>
      <c r="UUR647" s="268"/>
      <c r="UUS647" s="268"/>
      <c r="UUT647" s="268"/>
      <c r="UUU647" s="268"/>
      <c r="UUV647" s="268"/>
      <c r="UUW647" s="268"/>
      <c r="UUX647" s="268"/>
      <c r="UUY647" s="268"/>
      <c r="UUZ647" s="268"/>
      <c r="UVA647" s="268"/>
      <c r="UVB647" s="268"/>
      <c r="UVC647" s="268"/>
      <c r="UVD647" s="268"/>
      <c r="UVE647" s="268"/>
      <c r="UVF647" s="268"/>
      <c r="UVG647" s="268"/>
      <c r="UVH647" s="268"/>
      <c r="UVI647" s="268"/>
      <c r="UVJ647" s="268"/>
      <c r="UVK647" s="268"/>
      <c r="UVL647" s="268"/>
      <c r="UVM647" s="268"/>
      <c r="UVN647" s="268"/>
      <c r="UVO647" s="268"/>
      <c r="UVP647" s="268"/>
      <c r="UVQ647" s="268"/>
      <c r="UVR647" s="268"/>
      <c r="UVS647" s="268"/>
      <c r="UVT647" s="268"/>
      <c r="UVU647" s="268"/>
      <c r="UVV647" s="268"/>
      <c r="UVW647" s="268"/>
      <c r="UVX647" s="268"/>
      <c r="UVY647" s="268"/>
      <c r="UVZ647" s="268"/>
      <c r="UWA647" s="268"/>
      <c r="UWB647" s="268"/>
      <c r="UWC647" s="268"/>
      <c r="UWD647" s="268"/>
      <c r="UWE647" s="268"/>
      <c r="UWF647" s="268"/>
      <c r="UWG647" s="268"/>
      <c r="UWH647" s="268"/>
      <c r="UWI647" s="268"/>
      <c r="UWJ647" s="268"/>
      <c r="UWK647" s="268"/>
      <c r="UWL647" s="268"/>
      <c r="UWM647" s="268"/>
      <c r="UWN647" s="268"/>
      <c r="UWO647" s="268"/>
      <c r="UWP647" s="268"/>
      <c r="UWQ647" s="268"/>
      <c r="UWR647" s="268"/>
      <c r="UWS647" s="268"/>
      <c r="UWT647" s="268"/>
      <c r="UWU647" s="268"/>
      <c r="UWV647" s="268"/>
      <c r="UWW647" s="268"/>
      <c r="UWX647" s="268"/>
      <c r="UWY647" s="268"/>
      <c r="UWZ647" s="268"/>
      <c r="UXA647" s="268"/>
      <c r="UXB647" s="268"/>
      <c r="UXC647" s="268"/>
      <c r="UXD647" s="268"/>
      <c r="UXE647" s="268"/>
      <c r="UXF647" s="268"/>
      <c r="UXG647" s="268"/>
      <c r="UXH647" s="268"/>
      <c r="UXI647" s="268"/>
      <c r="UXJ647" s="268"/>
      <c r="UXK647" s="268"/>
      <c r="UXL647" s="268"/>
      <c r="UXM647" s="268"/>
      <c r="UXN647" s="268"/>
      <c r="UXO647" s="268"/>
      <c r="UXP647" s="268"/>
      <c r="UXQ647" s="268"/>
      <c r="UXR647" s="268"/>
      <c r="UXS647" s="268"/>
      <c r="UYG647" s="268"/>
      <c r="UYH647" s="268"/>
      <c r="UYI647" s="268"/>
      <c r="UYW647" s="268"/>
      <c r="UYY647" s="268"/>
      <c r="UYZ647" s="268"/>
      <c r="UZA647" s="268"/>
      <c r="UZB647" s="268"/>
      <c r="UZC647" s="268"/>
      <c r="UZD647" s="268"/>
      <c r="UZE647" s="268"/>
      <c r="UZF647" s="268"/>
      <c r="UZG647" s="268"/>
      <c r="UZH647" s="268"/>
      <c r="UZI647" s="268"/>
      <c r="UZJ647" s="268"/>
      <c r="UZK647" s="268"/>
      <c r="UZL647" s="268"/>
      <c r="UZM647" s="268"/>
      <c r="UZN647" s="268"/>
      <c r="UZO647" s="268"/>
      <c r="UZP647" s="268"/>
      <c r="UZQ647" s="268"/>
      <c r="UZR647" s="268"/>
      <c r="UZS647" s="268"/>
      <c r="UZT647" s="268"/>
      <c r="UZU647" s="268"/>
      <c r="UZV647" s="268"/>
      <c r="UZW647" s="268"/>
      <c r="UZX647" s="268"/>
      <c r="UZY647" s="268"/>
      <c r="UZZ647" s="268"/>
      <c r="VAA647" s="268"/>
      <c r="VAB647" s="268"/>
      <c r="VAC647" s="268"/>
      <c r="VAD647" s="268"/>
      <c r="VAE647" s="268"/>
      <c r="VAF647" s="268"/>
      <c r="VAG647" s="268"/>
      <c r="VAH647" s="268"/>
      <c r="VAI647" s="268"/>
      <c r="VAJ647" s="268"/>
      <c r="VAK647" s="268"/>
      <c r="VAL647" s="268"/>
      <c r="VAM647" s="268"/>
      <c r="VAN647" s="268"/>
      <c r="VAO647" s="268"/>
      <c r="VAP647" s="268"/>
      <c r="VAQ647" s="268"/>
      <c r="VAR647" s="268"/>
      <c r="VAS647" s="268"/>
      <c r="VAT647" s="268"/>
      <c r="VAU647" s="268"/>
      <c r="VAV647" s="268"/>
      <c r="VAW647" s="268"/>
      <c r="VAX647" s="268"/>
      <c r="VAY647" s="268"/>
      <c r="VAZ647" s="268"/>
      <c r="VBA647" s="268"/>
      <c r="VBB647" s="268"/>
      <c r="VBC647" s="268"/>
      <c r="VBD647" s="268"/>
      <c r="VBE647" s="268"/>
      <c r="VBF647" s="268"/>
      <c r="VBG647" s="268"/>
      <c r="VBH647" s="268"/>
      <c r="VBI647" s="268"/>
      <c r="VBJ647" s="268"/>
      <c r="VBK647" s="268"/>
      <c r="VBL647" s="268"/>
      <c r="VBM647" s="268"/>
      <c r="VBN647" s="268"/>
      <c r="VBO647" s="268"/>
      <c r="VBP647" s="268"/>
      <c r="VBQ647" s="268"/>
      <c r="VBR647" s="268"/>
      <c r="VBS647" s="268"/>
      <c r="VBT647" s="268"/>
      <c r="VBU647" s="268"/>
      <c r="VBV647" s="268"/>
      <c r="VBW647" s="268"/>
      <c r="VBX647" s="268"/>
      <c r="VBY647" s="268"/>
      <c r="VBZ647" s="268"/>
      <c r="VCA647" s="268"/>
      <c r="VCB647" s="268"/>
      <c r="VCC647" s="268"/>
      <c r="VCD647" s="268"/>
      <c r="VCE647" s="268"/>
      <c r="VCF647" s="268"/>
      <c r="VCG647" s="268"/>
      <c r="VCH647" s="268"/>
      <c r="VCI647" s="268"/>
      <c r="VCJ647" s="268"/>
      <c r="VCK647" s="268"/>
      <c r="VCL647" s="268"/>
      <c r="VCM647" s="268"/>
      <c r="VCN647" s="268"/>
      <c r="VCO647" s="268"/>
      <c r="VCP647" s="268"/>
      <c r="VCQ647" s="268"/>
      <c r="VCR647" s="268"/>
      <c r="VCS647" s="268"/>
      <c r="VCT647" s="268"/>
      <c r="VCU647" s="268"/>
      <c r="VCV647" s="268"/>
      <c r="VCW647" s="268"/>
      <c r="VCX647" s="268"/>
      <c r="VCY647" s="268"/>
      <c r="VCZ647" s="268"/>
      <c r="VDA647" s="268"/>
      <c r="VDB647" s="268"/>
      <c r="VDC647" s="268"/>
      <c r="VDD647" s="268"/>
      <c r="VDE647" s="268"/>
      <c r="VDF647" s="268"/>
      <c r="VDG647" s="268"/>
      <c r="VDH647" s="268"/>
      <c r="VDI647" s="268"/>
      <c r="VDJ647" s="268"/>
      <c r="VDK647" s="268"/>
      <c r="VDL647" s="268"/>
      <c r="VDM647" s="268"/>
      <c r="VDN647" s="268"/>
      <c r="VDO647" s="268"/>
      <c r="VDP647" s="268"/>
      <c r="VDQ647" s="268"/>
      <c r="VDR647" s="268"/>
      <c r="VDS647" s="268"/>
      <c r="VDT647" s="268"/>
      <c r="VDU647" s="268"/>
      <c r="VDV647" s="268"/>
      <c r="VDW647" s="268"/>
      <c r="VDX647" s="268"/>
      <c r="VDY647" s="268"/>
      <c r="VDZ647" s="268"/>
      <c r="VEA647" s="268"/>
      <c r="VEB647" s="268"/>
      <c r="VEC647" s="268"/>
      <c r="VED647" s="268"/>
      <c r="VEE647" s="268"/>
      <c r="VEF647" s="268"/>
      <c r="VEG647" s="268"/>
      <c r="VEH647" s="268"/>
      <c r="VEI647" s="268"/>
      <c r="VEJ647" s="268"/>
      <c r="VEK647" s="268"/>
      <c r="VEL647" s="268"/>
      <c r="VEM647" s="268"/>
      <c r="VEN647" s="268"/>
      <c r="VEO647" s="268"/>
      <c r="VEP647" s="268"/>
      <c r="VEQ647" s="268"/>
      <c r="VER647" s="268"/>
      <c r="VES647" s="268"/>
      <c r="VET647" s="268"/>
      <c r="VEU647" s="268"/>
      <c r="VEV647" s="268"/>
      <c r="VEW647" s="268"/>
      <c r="VEX647" s="268"/>
      <c r="VEY647" s="268"/>
      <c r="VEZ647" s="268"/>
      <c r="VFA647" s="268"/>
      <c r="VFB647" s="268"/>
      <c r="VFC647" s="268"/>
      <c r="VFD647" s="268"/>
      <c r="VFE647" s="268"/>
      <c r="VFF647" s="268"/>
      <c r="VFG647" s="268"/>
      <c r="VFH647" s="268"/>
      <c r="VFI647" s="268"/>
      <c r="VFJ647" s="268"/>
      <c r="VFK647" s="268"/>
      <c r="VFL647" s="268"/>
      <c r="VFM647" s="268"/>
      <c r="VFN647" s="268"/>
      <c r="VFO647" s="268"/>
      <c r="VFP647" s="268"/>
      <c r="VFQ647" s="268"/>
      <c r="VFR647" s="268"/>
      <c r="VFS647" s="268"/>
      <c r="VFT647" s="268"/>
      <c r="VFU647" s="268"/>
      <c r="VFV647" s="268"/>
      <c r="VFW647" s="268"/>
      <c r="VFX647" s="268"/>
      <c r="VFY647" s="268"/>
      <c r="VFZ647" s="268"/>
      <c r="VGA647" s="268"/>
      <c r="VGB647" s="268"/>
      <c r="VGC647" s="268"/>
      <c r="VGD647" s="268"/>
      <c r="VGE647" s="268"/>
      <c r="VGF647" s="268"/>
      <c r="VGG647" s="268"/>
      <c r="VGH647" s="268"/>
      <c r="VGI647" s="268"/>
      <c r="VGJ647" s="268"/>
      <c r="VGK647" s="268"/>
      <c r="VGL647" s="268"/>
      <c r="VGM647" s="268"/>
      <c r="VGN647" s="268"/>
      <c r="VGO647" s="268"/>
      <c r="VGP647" s="268"/>
      <c r="VGQ647" s="268"/>
      <c r="VGR647" s="268"/>
      <c r="VGS647" s="268"/>
      <c r="VGT647" s="268"/>
      <c r="VGU647" s="268"/>
      <c r="VGV647" s="268"/>
      <c r="VGW647" s="268"/>
      <c r="VGX647" s="268"/>
      <c r="VGY647" s="268"/>
      <c r="VGZ647" s="268"/>
      <c r="VHA647" s="268"/>
      <c r="VHB647" s="268"/>
      <c r="VHC647" s="268"/>
      <c r="VHD647" s="268"/>
      <c r="VHE647" s="268"/>
      <c r="VHF647" s="268"/>
      <c r="VHG647" s="268"/>
      <c r="VHH647" s="268"/>
      <c r="VHI647" s="268"/>
      <c r="VHJ647" s="268"/>
      <c r="VHK647" s="268"/>
      <c r="VHL647" s="268"/>
      <c r="VHM647" s="268"/>
      <c r="VHN647" s="268"/>
      <c r="VHO647" s="268"/>
      <c r="VIC647" s="268"/>
      <c r="VID647" s="268"/>
      <c r="VIE647" s="268"/>
      <c r="VIS647" s="268"/>
      <c r="VIU647" s="268"/>
      <c r="VIV647" s="268"/>
      <c r="VIW647" s="268"/>
      <c r="VIX647" s="268"/>
      <c r="VIY647" s="268"/>
      <c r="VIZ647" s="268"/>
      <c r="VJA647" s="268"/>
      <c r="VJB647" s="268"/>
      <c r="VJC647" s="268"/>
      <c r="VJD647" s="268"/>
      <c r="VJE647" s="268"/>
      <c r="VJF647" s="268"/>
      <c r="VJG647" s="268"/>
      <c r="VJH647" s="268"/>
      <c r="VJI647" s="268"/>
      <c r="VJJ647" s="268"/>
      <c r="VJK647" s="268"/>
      <c r="VJL647" s="268"/>
      <c r="VJM647" s="268"/>
      <c r="VJN647" s="268"/>
      <c r="VJO647" s="268"/>
      <c r="VJP647" s="268"/>
      <c r="VJQ647" s="268"/>
      <c r="VJR647" s="268"/>
      <c r="VJS647" s="268"/>
      <c r="VJT647" s="268"/>
      <c r="VJU647" s="268"/>
      <c r="VJV647" s="268"/>
      <c r="VJW647" s="268"/>
      <c r="VJX647" s="268"/>
      <c r="VJY647" s="268"/>
      <c r="VJZ647" s="268"/>
      <c r="VKA647" s="268"/>
      <c r="VKB647" s="268"/>
      <c r="VKC647" s="268"/>
      <c r="VKD647" s="268"/>
      <c r="VKE647" s="268"/>
      <c r="VKF647" s="268"/>
      <c r="VKG647" s="268"/>
      <c r="VKH647" s="268"/>
      <c r="VKI647" s="268"/>
      <c r="VKJ647" s="268"/>
      <c r="VKK647" s="268"/>
      <c r="VKL647" s="268"/>
      <c r="VKM647" s="268"/>
      <c r="VKN647" s="268"/>
      <c r="VKO647" s="268"/>
      <c r="VKP647" s="268"/>
      <c r="VKQ647" s="268"/>
      <c r="VKR647" s="268"/>
      <c r="VKS647" s="268"/>
      <c r="VKT647" s="268"/>
      <c r="VKU647" s="268"/>
      <c r="VKV647" s="268"/>
      <c r="VKW647" s="268"/>
      <c r="VKX647" s="268"/>
      <c r="VKY647" s="268"/>
      <c r="VKZ647" s="268"/>
      <c r="VLA647" s="268"/>
      <c r="VLB647" s="268"/>
      <c r="VLC647" s="268"/>
      <c r="VLD647" s="268"/>
      <c r="VLE647" s="268"/>
      <c r="VLF647" s="268"/>
      <c r="VLG647" s="268"/>
      <c r="VLH647" s="268"/>
      <c r="VLI647" s="268"/>
      <c r="VLJ647" s="268"/>
      <c r="VLK647" s="268"/>
      <c r="VLL647" s="268"/>
      <c r="VLM647" s="268"/>
      <c r="VLN647" s="268"/>
      <c r="VLO647" s="268"/>
      <c r="VLP647" s="268"/>
      <c r="VLQ647" s="268"/>
      <c r="VLR647" s="268"/>
      <c r="VLS647" s="268"/>
      <c r="VLT647" s="268"/>
      <c r="VLU647" s="268"/>
      <c r="VLV647" s="268"/>
      <c r="VLW647" s="268"/>
      <c r="VLX647" s="268"/>
      <c r="VLY647" s="268"/>
      <c r="VLZ647" s="268"/>
      <c r="VMA647" s="268"/>
      <c r="VMB647" s="268"/>
      <c r="VMC647" s="268"/>
      <c r="VMD647" s="268"/>
      <c r="VME647" s="268"/>
      <c r="VMF647" s="268"/>
      <c r="VMG647" s="268"/>
      <c r="VMH647" s="268"/>
      <c r="VMI647" s="268"/>
      <c r="VMJ647" s="268"/>
      <c r="VMK647" s="268"/>
      <c r="VML647" s="268"/>
      <c r="VMM647" s="268"/>
      <c r="VMN647" s="268"/>
      <c r="VMO647" s="268"/>
      <c r="VMP647" s="268"/>
      <c r="VMQ647" s="268"/>
      <c r="VMR647" s="268"/>
      <c r="VMS647" s="268"/>
      <c r="VMT647" s="268"/>
      <c r="VMU647" s="268"/>
      <c r="VMV647" s="268"/>
      <c r="VMW647" s="268"/>
      <c r="VMX647" s="268"/>
      <c r="VMY647" s="268"/>
      <c r="VMZ647" s="268"/>
      <c r="VNA647" s="268"/>
      <c r="VNB647" s="268"/>
      <c r="VNC647" s="268"/>
      <c r="VND647" s="268"/>
      <c r="VNE647" s="268"/>
      <c r="VNF647" s="268"/>
      <c r="VNG647" s="268"/>
      <c r="VNH647" s="268"/>
      <c r="VNI647" s="268"/>
      <c r="VNJ647" s="268"/>
      <c r="VNK647" s="268"/>
      <c r="VNL647" s="268"/>
      <c r="VNM647" s="268"/>
      <c r="VNN647" s="268"/>
      <c r="VNO647" s="268"/>
      <c r="VNP647" s="268"/>
      <c r="VNQ647" s="268"/>
      <c r="VNR647" s="268"/>
      <c r="VNS647" s="268"/>
      <c r="VNT647" s="268"/>
      <c r="VNU647" s="268"/>
      <c r="VNV647" s="268"/>
      <c r="VNW647" s="268"/>
      <c r="VNX647" s="268"/>
      <c r="VNY647" s="268"/>
      <c r="VNZ647" s="268"/>
      <c r="VOA647" s="268"/>
      <c r="VOB647" s="268"/>
      <c r="VOC647" s="268"/>
      <c r="VOD647" s="268"/>
      <c r="VOE647" s="268"/>
      <c r="VOF647" s="268"/>
      <c r="VOG647" s="268"/>
      <c r="VOH647" s="268"/>
      <c r="VOI647" s="268"/>
      <c r="VOJ647" s="268"/>
      <c r="VOK647" s="268"/>
      <c r="VOL647" s="268"/>
      <c r="VOM647" s="268"/>
      <c r="VON647" s="268"/>
      <c r="VOO647" s="268"/>
      <c r="VOP647" s="268"/>
      <c r="VOQ647" s="268"/>
      <c r="VOR647" s="268"/>
      <c r="VOS647" s="268"/>
      <c r="VOT647" s="268"/>
      <c r="VOU647" s="268"/>
      <c r="VOV647" s="268"/>
      <c r="VOW647" s="268"/>
      <c r="VOX647" s="268"/>
      <c r="VOY647" s="268"/>
      <c r="VOZ647" s="268"/>
      <c r="VPA647" s="268"/>
      <c r="VPB647" s="268"/>
      <c r="VPC647" s="268"/>
      <c r="VPD647" s="268"/>
      <c r="VPE647" s="268"/>
      <c r="VPF647" s="268"/>
      <c r="VPG647" s="268"/>
      <c r="VPH647" s="268"/>
      <c r="VPI647" s="268"/>
      <c r="VPJ647" s="268"/>
      <c r="VPK647" s="268"/>
      <c r="VPL647" s="268"/>
      <c r="VPM647" s="268"/>
      <c r="VPN647" s="268"/>
      <c r="VPO647" s="268"/>
      <c r="VPP647" s="268"/>
      <c r="VPQ647" s="268"/>
      <c r="VPR647" s="268"/>
      <c r="VPS647" s="268"/>
      <c r="VPT647" s="268"/>
      <c r="VPU647" s="268"/>
      <c r="VPV647" s="268"/>
      <c r="VPW647" s="268"/>
      <c r="VPX647" s="268"/>
      <c r="VPY647" s="268"/>
      <c r="VPZ647" s="268"/>
      <c r="VQA647" s="268"/>
      <c r="VQB647" s="268"/>
      <c r="VQC647" s="268"/>
      <c r="VQD647" s="268"/>
      <c r="VQE647" s="268"/>
      <c r="VQF647" s="268"/>
      <c r="VQG647" s="268"/>
      <c r="VQH647" s="268"/>
      <c r="VQI647" s="268"/>
      <c r="VQJ647" s="268"/>
      <c r="VQK647" s="268"/>
      <c r="VQL647" s="268"/>
      <c r="VQM647" s="268"/>
      <c r="VQN647" s="268"/>
      <c r="VQO647" s="268"/>
      <c r="VQP647" s="268"/>
      <c r="VQQ647" s="268"/>
      <c r="VQR647" s="268"/>
      <c r="VQS647" s="268"/>
      <c r="VQT647" s="268"/>
      <c r="VQU647" s="268"/>
      <c r="VQV647" s="268"/>
      <c r="VQW647" s="268"/>
      <c r="VQX647" s="268"/>
      <c r="VQY647" s="268"/>
      <c r="VQZ647" s="268"/>
      <c r="VRA647" s="268"/>
      <c r="VRB647" s="268"/>
      <c r="VRC647" s="268"/>
      <c r="VRD647" s="268"/>
      <c r="VRE647" s="268"/>
      <c r="VRF647" s="268"/>
      <c r="VRG647" s="268"/>
      <c r="VRH647" s="268"/>
      <c r="VRI647" s="268"/>
      <c r="VRJ647" s="268"/>
      <c r="VRK647" s="268"/>
      <c r="VRY647" s="268"/>
      <c r="VRZ647" s="268"/>
      <c r="VSA647" s="268"/>
      <c r="VSO647" s="268"/>
      <c r="VSQ647" s="268"/>
      <c r="VSR647" s="268"/>
      <c r="VSS647" s="268"/>
      <c r="VST647" s="268"/>
      <c r="VSU647" s="268"/>
      <c r="VSV647" s="268"/>
      <c r="VSW647" s="268"/>
      <c r="VSX647" s="268"/>
      <c r="VSY647" s="268"/>
      <c r="VSZ647" s="268"/>
      <c r="VTA647" s="268"/>
      <c r="VTB647" s="268"/>
      <c r="VTC647" s="268"/>
      <c r="VTD647" s="268"/>
      <c r="VTE647" s="268"/>
      <c r="VTF647" s="268"/>
      <c r="VTG647" s="268"/>
      <c r="VTH647" s="268"/>
      <c r="VTI647" s="268"/>
      <c r="VTJ647" s="268"/>
      <c r="VTK647" s="268"/>
      <c r="VTL647" s="268"/>
      <c r="VTM647" s="268"/>
      <c r="VTN647" s="268"/>
      <c r="VTO647" s="268"/>
      <c r="VTP647" s="268"/>
      <c r="VTQ647" s="268"/>
      <c r="VTR647" s="268"/>
      <c r="VTS647" s="268"/>
      <c r="VTT647" s="268"/>
      <c r="VTU647" s="268"/>
      <c r="VTV647" s="268"/>
      <c r="VTW647" s="268"/>
      <c r="VTX647" s="268"/>
      <c r="VTY647" s="268"/>
      <c r="VTZ647" s="268"/>
      <c r="VUA647" s="268"/>
      <c r="VUB647" s="268"/>
      <c r="VUC647" s="268"/>
      <c r="VUD647" s="268"/>
      <c r="VUE647" s="268"/>
      <c r="VUF647" s="268"/>
      <c r="VUG647" s="268"/>
      <c r="VUH647" s="268"/>
      <c r="VUI647" s="268"/>
      <c r="VUJ647" s="268"/>
      <c r="VUK647" s="268"/>
      <c r="VUL647" s="268"/>
      <c r="VUM647" s="268"/>
      <c r="VUN647" s="268"/>
      <c r="VUO647" s="268"/>
      <c r="VUP647" s="268"/>
      <c r="VUQ647" s="268"/>
      <c r="VUR647" s="268"/>
      <c r="VUS647" s="268"/>
      <c r="VUT647" s="268"/>
      <c r="VUU647" s="268"/>
      <c r="VUV647" s="268"/>
      <c r="VUW647" s="268"/>
      <c r="VUX647" s="268"/>
      <c r="VUY647" s="268"/>
      <c r="VUZ647" s="268"/>
      <c r="VVA647" s="268"/>
      <c r="VVB647" s="268"/>
      <c r="VVC647" s="268"/>
      <c r="VVD647" s="268"/>
      <c r="VVE647" s="268"/>
      <c r="VVF647" s="268"/>
      <c r="VVG647" s="268"/>
      <c r="VVH647" s="268"/>
      <c r="VVI647" s="268"/>
      <c r="VVJ647" s="268"/>
      <c r="VVK647" s="268"/>
      <c r="VVL647" s="268"/>
      <c r="VVM647" s="268"/>
      <c r="VVN647" s="268"/>
      <c r="VVO647" s="268"/>
      <c r="VVP647" s="268"/>
      <c r="VVQ647" s="268"/>
      <c r="VVR647" s="268"/>
      <c r="VVS647" s="268"/>
      <c r="VVT647" s="268"/>
      <c r="VVU647" s="268"/>
      <c r="VVV647" s="268"/>
      <c r="VVW647" s="268"/>
      <c r="VVX647" s="268"/>
      <c r="VVY647" s="268"/>
      <c r="VVZ647" s="268"/>
      <c r="VWA647" s="268"/>
      <c r="VWB647" s="268"/>
      <c r="VWC647" s="268"/>
      <c r="VWD647" s="268"/>
      <c r="VWE647" s="268"/>
      <c r="VWF647" s="268"/>
      <c r="VWG647" s="268"/>
      <c r="VWH647" s="268"/>
      <c r="VWI647" s="268"/>
      <c r="VWJ647" s="268"/>
      <c r="VWK647" s="268"/>
      <c r="VWL647" s="268"/>
      <c r="VWM647" s="268"/>
      <c r="VWN647" s="268"/>
      <c r="VWO647" s="268"/>
      <c r="VWP647" s="268"/>
      <c r="VWQ647" s="268"/>
      <c r="VWR647" s="268"/>
      <c r="VWS647" s="268"/>
      <c r="VWT647" s="268"/>
      <c r="VWU647" s="268"/>
      <c r="VWV647" s="268"/>
      <c r="VWW647" s="268"/>
      <c r="VWX647" s="268"/>
      <c r="VWY647" s="268"/>
      <c r="VWZ647" s="268"/>
      <c r="VXA647" s="268"/>
      <c r="VXB647" s="268"/>
      <c r="VXC647" s="268"/>
      <c r="VXD647" s="268"/>
      <c r="VXE647" s="268"/>
      <c r="VXF647" s="268"/>
      <c r="VXG647" s="268"/>
      <c r="VXH647" s="268"/>
      <c r="VXI647" s="268"/>
      <c r="VXJ647" s="268"/>
      <c r="VXK647" s="268"/>
      <c r="VXL647" s="268"/>
      <c r="VXM647" s="268"/>
      <c r="VXN647" s="268"/>
      <c r="VXO647" s="268"/>
      <c r="VXP647" s="268"/>
      <c r="VXQ647" s="268"/>
      <c r="VXR647" s="268"/>
      <c r="VXS647" s="268"/>
      <c r="VXT647" s="268"/>
      <c r="VXU647" s="268"/>
      <c r="VXV647" s="268"/>
      <c r="VXW647" s="268"/>
      <c r="VXX647" s="268"/>
      <c r="VXY647" s="268"/>
      <c r="VXZ647" s="268"/>
      <c r="VYA647" s="268"/>
      <c r="VYB647" s="268"/>
      <c r="VYC647" s="268"/>
      <c r="VYD647" s="268"/>
      <c r="VYE647" s="268"/>
      <c r="VYF647" s="268"/>
      <c r="VYG647" s="268"/>
      <c r="VYH647" s="268"/>
      <c r="VYI647" s="268"/>
      <c r="VYJ647" s="268"/>
      <c r="VYK647" s="268"/>
      <c r="VYL647" s="268"/>
      <c r="VYM647" s="268"/>
      <c r="VYN647" s="268"/>
      <c r="VYO647" s="268"/>
      <c r="VYP647" s="268"/>
      <c r="VYQ647" s="268"/>
      <c r="VYR647" s="268"/>
      <c r="VYS647" s="268"/>
      <c r="VYT647" s="268"/>
      <c r="VYU647" s="268"/>
      <c r="VYV647" s="268"/>
      <c r="VYW647" s="268"/>
      <c r="VYX647" s="268"/>
      <c r="VYY647" s="268"/>
      <c r="VYZ647" s="268"/>
      <c r="VZA647" s="268"/>
      <c r="VZB647" s="268"/>
      <c r="VZC647" s="268"/>
      <c r="VZD647" s="268"/>
      <c r="VZE647" s="268"/>
      <c r="VZF647" s="268"/>
      <c r="VZG647" s="268"/>
      <c r="VZH647" s="268"/>
      <c r="VZI647" s="268"/>
      <c r="VZJ647" s="268"/>
      <c r="VZK647" s="268"/>
      <c r="VZL647" s="268"/>
      <c r="VZM647" s="268"/>
      <c r="VZN647" s="268"/>
      <c r="VZO647" s="268"/>
      <c r="VZP647" s="268"/>
      <c r="VZQ647" s="268"/>
      <c r="VZR647" s="268"/>
      <c r="VZS647" s="268"/>
      <c r="VZT647" s="268"/>
      <c r="VZU647" s="268"/>
      <c r="VZV647" s="268"/>
      <c r="VZW647" s="268"/>
      <c r="VZX647" s="268"/>
      <c r="VZY647" s="268"/>
      <c r="VZZ647" s="268"/>
      <c r="WAA647" s="268"/>
      <c r="WAB647" s="268"/>
      <c r="WAC647" s="268"/>
      <c r="WAD647" s="268"/>
      <c r="WAE647" s="268"/>
      <c r="WAF647" s="268"/>
      <c r="WAG647" s="268"/>
      <c r="WAH647" s="268"/>
      <c r="WAI647" s="268"/>
      <c r="WAJ647" s="268"/>
      <c r="WAK647" s="268"/>
      <c r="WAL647" s="268"/>
      <c r="WAM647" s="268"/>
      <c r="WAN647" s="268"/>
      <c r="WAO647" s="268"/>
      <c r="WAP647" s="268"/>
      <c r="WAQ647" s="268"/>
      <c r="WAR647" s="268"/>
      <c r="WAS647" s="268"/>
      <c r="WAT647" s="268"/>
      <c r="WAU647" s="268"/>
      <c r="WAV647" s="268"/>
      <c r="WAW647" s="268"/>
      <c r="WAX647" s="268"/>
      <c r="WAY647" s="268"/>
      <c r="WAZ647" s="268"/>
      <c r="WBA647" s="268"/>
      <c r="WBB647" s="268"/>
      <c r="WBC647" s="268"/>
      <c r="WBD647" s="268"/>
      <c r="WBE647" s="268"/>
      <c r="WBF647" s="268"/>
      <c r="WBG647" s="268"/>
      <c r="WBU647" s="268"/>
      <c r="WBV647" s="268"/>
      <c r="WBW647" s="268"/>
      <c r="WCK647" s="268"/>
      <c r="WCM647" s="268"/>
      <c r="WCN647" s="268"/>
      <c r="WCO647" s="268"/>
      <c r="WCP647" s="268"/>
      <c r="WCQ647" s="268"/>
      <c r="WCR647" s="268"/>
      <c r="WCS647" s="268"/>
      <c r="WCT647" s="268"/>
      <c r="WCU647" s="268"/>
      <c r="WCV647" s="268"/>
      <c r="WCW647" s="268"/>
      <c r="WCX647" s="268"/>
      <c r="WCY647" s="268"/>
      <c r="WCZ647" s="268"/>
      <c r="WDA647" s="268"/>
      <c r="WDB647" s="268"/>
      <c r="WDC647" s="268"/>
      <c r="WDD647" s="268"/>
      <c r="WDE647" s="268"/>
      <c r="WDF647" s="268"/>
      <c r="WDG647" s="268"/>
      <c r="WDH647" s="268"/>
      <c r="WDI647" s="268"/>
      <c r="WDJ647" s="268"/>
      <c r="WDK647" s="268"/>
      <c r="WDL647" s="268"/>
      <c r="WDM647" s="268"/>
      <c r="WDN647" s="268"/>
      <c r="WDO647" s="268"/>
      <c r="WDP647" s="268"/>
      <c r="WDQ647" s="268"/>
      <c r="WDR647" s="268"/>
      <c r="WDS647" s="268"/>
      <c r="WDT647" s="268"/>
      <c r="WDU647" s="268"/>
      <c r="WDV647" s="268"/>
      <c r="WDW647" s="268"/>
      <c r="WDX647" s="268"/>
      <c r="WDY647" s="268"/>
      <c r="WDZ647" s="268"/>
      <c r="WEA647" s="268"/>
      <c r="WEB647" s="268"/>
      <c r="WEC647" s="268"/>
      <c r="WED647" s="268"/>
      <c r="WEE647" s="268"/>
      <c r="WEF647" s="268"/>
      <c r="WEG647" s="268"/>
      <c r="WEH647" s="268"/>
      <c r="WEI647" s="268"/>
      <c r="WEJ647" s="268"/>
      <c r="WEK647" s="268"/>
      <c r="WEL647" s="268"/>
      <c r="WEM647" s="268"/>
      <c r="WEN647" s="268"/>
      <c r="WEO647" s="268"/>
      <c r="WEP647" s="268"/>
      <c r="WEQ647" s="268"/>
      <c r="WER647" s="268"/>
      <c r="WES647" s="268"/>
      <c r="WET647" s="268"/>
      <c r="WEU647" s="268"/>
      <c r="WEV647" s="268"/>
      <c r="WEW647" s="268"/>
      <c r="WEX647" s="268"/>
      <c r="WEY647" s="268"/>
      <c r="WEZ647" s="268"/>
      <c r="WFA647" s="268"/>
      <c r="WFB647" s="268"/>
      <c r="WFC647" s="268"/>
      <c r="WFD647" s="268"/>
      <c r="WFE647" s="268"/>
      <c r="WFF647" s="268"/>
      <c r="WFG647" s="268"/>
      <c r="WFH647" s="268"/>
      <c r="WFI647" s="268"/>
      <c r="WFJ647" s="268"/>
      <c r="WFK647" s="268"/>
      <c r="WFL647" s="268"/>
      <c r="WFM647" s="268"/>
      <c r="WFN647" s="268"/>
      <c r="WFO647" s="268"/>
      <c r="WFP647" s="268"/>
      <c r="WFQ647" s="268"/>
      <c r="WFR647" s="268"/>
      <c r="WFS647" s="268"/>
      <c r="WFT647" s="268"/>
      <c r="WFU647" s="268"/>
      <c r="WFV647" s="268"/>
      <c r="WFW647" s="268"/>
      <c r="WFX647" s="268"/>
      <c r="WFY647" s="268"/>
      <c r="WFZ647" s="268"/>
      <c r="WGA647" s="268"/>
      <c r="WGB647" s="268"/>
      <c r="WGC647" s="268"/>
      <c r="WGD647" s="268"/>
      <c r="WGE647" s="268"/>
      <c r="WGF647" s="268"/>
      <c r="WGG647" s="268"/>
      <c r="WGH647" s="268"/>
      <c r="WGI647" s="268"/>
      <c r="WGJ647" s="268"/>
      <c r="WGK647" s="268"/>
      <c r="WGL647" s="268"/>
      <c r="WGM647" s="268"/>
      <c r="WGN647" s="268"/>
      <c r="WGO647" s="268"/>
      <c r="WGP647" s="268"/>
      <c r="WGQ647" s="268"/>
      <c r="WGR647" s="268"/>
      <c r="WGS647" s="268"/>
      <c r="WGT647" s="268"/>
      <c r="WGU647" s="268"/>
      <c r="WGV647" s="268"/>
      <c r="WGW647" s="268"/>
      <c r="WGX647" s="268"/>
      <c r="WGY647" s="268"/>
      <c r="WGZ647" s="268"/>
      <c r="WHA647" s="268"/>
      <c r="WHB647" s="268"/>
      <c r="WHC647" s="268"/>
      <c r="WHD647" s="268"/>
      <c r="WHE647" s="268"/>
      <c r="WHF647" s="268"/>
      <c r="WHG647" s="268"/>
      <c r="WHH647" s="268"/>
      <c r="WHI647" s="268"/>
      <c r="WHJ647" s="268"/>
      <c r="WHK647" s="268"/>
      <c r="WHL647" s="268"/>
      <c r="WHM647" s="268"/>
      <c r="WHN647" s="268"/>
      <c r="WHO647" s="268"/>
      <c r="WHP647" s="268"/>
      <c r="WHQ647" s="268"/>
      <c r="WHR647" s="268"/>
      <c r="WHS647" s="268"/>
      <c r="WHT647" s="268"/>
      <c r="WHU647" s="268"/>
      <c r="WHV647" s="268"/>
      <c r="WHW647" s="268"/>
      <c r="WHX647" s="268"/>
      <c r="WHY647" s="268"/>
      <c r="WHZ647" s="268"/>
      <c r="WIA647" s="268"/>
      <c r="WIB647" s="268"/>
      <c r="WIC647" s="268"/>
      <c r="WID647" s="268"/>
      <c r="WIE647" s="268"/>
      <c r="WIF647" s="268"/>
      <c r="WIG647" s="268"/>
      <c r="WIH647" s="268"/>
      <c r="WII647" s="268"/>
      <c r="WIJ647" s="268"/>
      <c r="WIK647" s="268"/>
      <c r="WIL647" s="268"/>
      <c r="WIM647" s="268"/>
      <c r="WIN647" s="268"/>
      <c r="WIO647" s="268"/>
      <c r="WIP647" s="268"/>
      <c r="WIQ647" s="268"/>
      <c r="WIR647" s="268"/>
      <c r="WIS647" s="268"/>
      <c r="WIT647" s="268"/>
      <c r="WIU647" s="268"/>
      <c r="WIV647" s="268"/>
      <c r="WIW647" s="268"/>
      <c r="WIX647" s="268"/>
      <c r="WIY647" s="268"/>
      <c r="WIZ647" s="268"/>
      <c r="WJA647" s="268"/>
      <c r="WJB647" s="268"/>
      <c r="WJC647" s="268"/>
      <c r="WJD647" s="268"/>
      <c r="WJE647" s="268"/>
      <c r="WJF647" s="268"/>
      <c r="WJG647" s="268"/>
      <c r="WJH647" s="268"/>
      <c r="WJI647" s="268"/>
      <c r="WJJ647" s="268"/>
      <c r="WJK647" s="268"/>
      <c r="WJL647" s="268"/>
      <c r="WJM647" s="268"/>
      <c r="WJN647" s="268"/>
      <c r="WJO647" s="268"/>
      <c r="WJP647" s="268"/>
      <c r="WJQ647" s="268"/>
      <c r="WJR647" s="268"/>
      <c r="WJS647" s="268"/>
      <c r="WJT647" s="268"/>
      <c r="WJU647" s="268"/>
      <c r="WJV647" s="268"/>
      <c r="WJW647" s="268"/>
      <c r="WJX647" s="268"/>
      <c r="WJY647" s="268"/>
      <c r="WJZ647" s="268"/>
      <c r="WKA647" s="268"/>
      <c r="WKB647" s="268"/>
      <c r="WKC647" s="268"/>
      <c r="WKD647" s="268"/>
      <c r="WKE647" s="268"/>
      <c r="WKF647" s="268"/>
      <c r="WKG647" s="268"/>
      <c r="WKH647" s="268"/>
      <c r="WKI647" s="268"/>
      <c r="WKJ647" s="268"/>
      <c r="WKK647" s="268"/>
      <c r="WKL647" s="268"/>
      <c r="WKM647" s="268"/>
      <c r="WKN647" s="268"/>
      <c r="WKO647" s="268"/>
      <c r="WKP647" s="268"/>
      <c r="WKQ647" s="268"/>
      <c r="WKR647" s="268"/>
      <c r="WKS647" s="268"/>
      <c r="WKT647" s="268"/>
      <c r="WKU647" s="268"/>
      <c r="WKV647" s="268"/>
      <c r="WKW647" s="268"/>
      <c r="WKX647" s="268"/>
      <c r="WKY647" s="268"/>
      <c r="WKZ647" s="268"/>
      <c r="WLA647" s="268"/>
      <c r="WLB647" s="268"/>
      <c r="WLC647" s="268"/>
      <c r="WLQ647" s="268"/>
      <c r="WLR647" s="268"/>
      <c r="WLS647" s="268"/>
      <c r="WMG647" s="268"/>
      <c r="WMI647" s="268"/>
      <c r="WMJ647" s="268"/>
      <c r="WMK647" s="268"/>
      <c r="WML647" s="268"/>
      <c r="WMM647" s="268"/>
      <c r="WMN647" s="268"/>
      <c r="WMO647" s="268"/>
      <c r="WMP647" s="268"/>
      <c r="WMQ647" s="268"/>
      <c r="WMR647" s="268"/>
      <c r="WMS647" s="268"/>
      <c r="WMT647" s="268"/>
      <c r="WMU647" s="268"/>
      <c r="WMV647" s="268"/>
      <c r="WMW647" s="268"/>
      <c r="WMX647" s="268"/>
      <c r="WMY647" s="268"/>
      <c r="WMZ647" s="268"/>
      <c r="WNA647" s="268"/>
      <c r="WNB647" s="268"/>
      <c r="WNC647" s="268"/>
      <c r="WND647" s="268"/>
      <c r="WNE647" s="268"/>
      <c r="WNF647" s="268"/>
      <c r="WNG647" s="268"/>
      <c r="WNH647" s="268"/>
      <c r="WNI647" s="268"/>
      <c r="WNJ647" s="268"/>
      <c r="WNK647" s="268"/>
      <c r="WNL647" s="268"/>
      <c r="WNM647" s="268"/>
      <c r="WNN647" s="268"/>
      <c r="WNO647" s="268"/>
      <c r="WNP647" s="268"/>
      <c r="WNQ647" s="268"/>
      <c r="WNR647" s="268"/>
      <c r="WNS647" s="268"/>
      <c r="WNT647" s="268"/>
      <c r="WNU647" s="268"/>
      <c r="WNV647" s="268"/>
      <c r="WNW647" s="268"/>
      <c r="WNX647" s="268"/>
      <c r="WNY647" s="268"/>
      <c r="WNZ647" s="268"/>
      <c r="WOA647" s="268"/>
      <c r="WOB647" s="268"/>
      <c r="WOC647" s="268"/>
      <c r="WOD647" s="268"/>
      <c r="WOE647" s="268"/>
      <c r="WOF647" s="268"/>
      <c r="WOG647" s="268"/>
      <c r="WOH647" s="268"/>
      <c r="WOI647" s="268"/>
      <c r="WOJ647" s="268"/>
      <c r="WOK647" s="268"/>
      <c r="WOL647" s="268"/>
      <c r="WOM647" s="268"/>
      <c r="WON647" s="268"/>
      <c r="WOO647" s="268"/>
      <c r="WOP647" s="268"/>
      <c r="WOQ647" s="268"/>
      <c r="WOR647" s="268"/>
      <c r="WOS647" s="268"/>
      <c r="WOT647" s="268"/>
      <c r="WOU647" s="268"/>
      <c r="WOV647" s="268"/>
      <c r="WOW647" s="268"/>
      <c r="WOX647" s="268"/>
      <c r="WOY647" s="268"/>
      <c r="WOZ647" s="268"/>
      <c r="WPA647" s="268"/>
      <c r="WPB647" s="268"/>
      <c r="WPC647" s="268"/>
      <c r="WPD647" s="268"/>
      <c r="WPE647" s="268"/>
      <c r="WPF647" s="268"/>
      <c r="WPG647" s="268"/>
      <c r="WPH647" s="268"/>
      <c r="WPI647" s="268"/>
      <c r="WPJ647" s="268"/>
      <c r="WPK647" s="268"/>
      <c r="WPL647" s="268"/>
      <c r="WPM647" s="268"/>
      <c r="WPN647" s="268"/>
      <c r="WPO647" s="268"/>
      <c r="WPP647" s="268"/>
      <c r="WPQ647" s="268"/>
      <c r="WPR647" s="268"/>
      <c r="WPS647" s="268"/>
      <c r="WPT647" s="268"/>
      <c r="WPU647" s="268"/>
      <c r="WPV647" s="268"/>
      <c r="WPW647" s="268"/>
      <c r="WPX647" s="268"/>
      <c r="WPY647" s="268"/>
      <c r="WPZ647" s="268"/>
      <c r="WQA647" s="268"/>
      <c r="WQB647" s="268"/>
      <c r="WQC647" s="268"/>
      <c r="WQD647" s="268"/>
      <c r="WQE647" s="268"/>
      <c r="WQF647" s="268"/>
      <c r="WQG647" s="268"/>
      <c r="WQH647" s="268"/>
      <c r="WQI647" s="268"/>
      <c r="WQJ647" s="268"/>
      <c r="WQK647" s="268"/>
      <c r="WQL647" s="268"/>
      <c r="WQM647" s="268"/>
      <c r="WQN647" s="268"/>
      <c r="WQO647" s="268"/>
      <c r="WQP647" s="268"/>
      <c r="WQQ647" s="268"/>
      <c r="WQR647" s="268"/>
      <c r="WQS647" s="268"/>
      <c r="WQT647" s="268"/>
      <c r="WQU647" s="268"/>
      <c r="WQV647" s="268"/>
      <c r="WQW647" s="268"/>
      <c r="WQX647" s="268"/>
      <c r="WQY647" s="268"/>
      <c r="WQZ647" s="268"/>
      <c r="WRA647" s="268"/>
      <c r="WRB647" s="268"/>
      <c r="WRC647" s="268"/>
      <c r="WRD647" s="268"/>
      <c r="WRE647" s="268"/>
      <c r="WRF647" s="268"/>
      <c r="WRG647" s="268"/>
      <c r="WRH647" s="268"/>
      <c r="WRI647" s="268"/>
      <c r="WRJ647" s="268"/>
      <c r="WRK647" s="268"/>
      <c r="WRL647" s="268"/>
      <c r="WRM647" s="268"/>
      <c r="WRN647" s="268"/>
      <c r="WRO647" s="268"/>
      <c r="WRP647" s="268"/>
      <c r="WRQ647" s="268"/>
      <c r="WRR647" s="268"/>
      <c r="WRS647" s="268"/>
      <c r="WRT647" s="268"/>
      <c r="WRU647" s="268"/>
      <c r="WRV647" s="268"/>
      <c r="WRW647" s="268"/>
      <c r="WRX647" s="268"/>
      <c r="WRY647" s="268"/>
      <c r="WRZ647" s="268"/>
      <c r="WSA647" s="268"/>
      <c r="WSB647" s="268"/>
      <c r="WSC647" s="268"/>
      <c r="WSD647" s="268"/>
      <c r="WSE647" s="268"/>
      <c r="WSF647" s="268"/>
      <c r="WSG647" s="268"/>
      <c r="WSH647" s="268"/>
      <c r="WSI647" s="268"/>
      <c r="WSJ647" s="268"/>
      <c r="WSK647" s="268"/>
      <c r="WSL647" s="268"/>
      <c r="WSM647" s="268"/>
      <c r="WSN647" s="268"/>
      <c r="WSO647" s="268"/>
      <c r="WSP647" s="268"/>
      <c r="WSQ647" s="268"/>
      <c r="WSR647" s="268"/>
      <c r="WSS647" s="268"/>
      <c r="WST647" s="268"/>
      <c r="WSU647" s="268"/>
      <c r="WSV647" s="268"/>
      <c r="WSW647" s="268"/>
      <c r="WSX647" s="268"/>
      <c r="WSY647" s="268"/>
      <c r="WSZ647" s="268"/>
      <c r="WTA647" s="268"/>
      <c r="WTB647" s="268"/>
      <c r="WTC647" s="268"/>
      <c r="WTD647" s="268"/>
      <c r="WTE647" s="268"/>
      <c r="WTF647" s="268"/>
      <c r="WTG647" s="268"/>
      <c r="WTH647" s="268"/>
      <c r="WTI647" s="268"/>
      <c r="WTJ647" s="268"/>
      <c r="WTK647" s="268"/>
      <c r="WTL647" s="268"/>
      <c r="WTM647" s="268"/>
      <c r="WTN647" s="268"/>
      <c r="WTO647" s="268"/>
      <c r="WTP647" s="268"/>
      <c r="WTQ647" s="268"/>
      <c r="WTR647" s="268"/>
      <c r="WTS647" s="268"/>
      <c r="WTT647" s="268"/>
      <c r="WTU647" s="268"/>
      <c r="WTV647" s="268"/>
      <c r="WTW647" s="268"/>
      <c r="WTX647" s="268"/>
      <c r="WTY647" s="268"/>
      <c r="WTZ647" s="268"/>
      <c r="WUA647" s="268"/>
      <c r="WUB647" s="268"/>
      <c r="WUC647" s="268"/>
      <c r="WUD647" s="268"/>
      <c r="WUE647" s="268"/>
      <c r="WUF647" s="268"/>
      <c r="WUG647" s="268"/>
      <c r="WUH647" s="268"/>
      <c r="WUI647" s="268"/>
      <c r="WUJ647" s="268"/>
      <c r="WUK647" s="268"/>
      <c r="WUL647" s="268"/>
      <c r="WUM647" s="268"/>
      <c r="WUN647" s="268"/>
      <c r="WUO647" s="268"/>
      <c r="WUP647" s="268"/>
      <c r="WUQ647" s="268"/>
      <c r="WUR647" s="268"/>
      <c r="WUS647" s="268"/>
      <c r="WUT647" s="268"/>
      <c r="WUU647" s="268"/>
      <c r="WUV647" s="268"/>
      <c r="WUW647" s="268"/>
      <c r="WUX647" s="268"/>
      <c r="WUY647" s="268"/>
      <c r="WVM647" s="268"/>
      <c r="WVN647" s="268"/>
      <c r="WVO647" s="268"/>
      <c r="WWC647" s="268"/>
      <c r="WWE647" s="268"/>
      <c r="WWF647" s="268"/>
      <c r="WWG647" s="268"/>
      <c r="WWH647" s="268"/>
      <c r="WWI647" s="268"/>
      <c r="WWJ647" s="268"/>
      <c r="WWK647" s="268"/>
      <c r="WWL647" s="268"/>
      <c r="WWM647" s="268"/>
      <c r="WWN647" s="268"/>
      <c r="WWO647" s="268"/>
      <c r="WWP647" s="268"/>
      <c r="WWQ647" s="268"/>
      <c r="WWR647" s="268"/>
      <c r="WWS647" s="268"/>
      <c r="WWT647" s="268"/>
      <c r="WWU647" s="268"/>
      <c r="WWV647" s="268"/>
      <c r="WWW647" s="268"/>
      <c r="WWX647" s="268"/>
      <c r="WWY647" s="268"/>
      <c r="WWZ647" s="268"/>
      <c r="WXA647" s="268"/>
      <c r="WXB647" s="268"/>
      <c r="WXC647" s="268"/>
      <c r="WXD647" s="268"/>
      <c r="WXE647" s="268"/>
      <c r="WXF647" s="268"/>
      <c r="WXG647" s="268"/>
      <c r="WXH647" s="268"/>
      <c r="WXI647" s="268"/>
      <c r="WXJ647" s="268"/>
      <c r="WXK647" s="268"/>
      <c r="WXL647" s="268"/>
      <c r="WXM647" s="268"/>
      <c r="WXN647" s="268"/>
      <c r="WXO647" s="268"/>
      <c r="WXP647" s="268"/>
      <c r="WXQ647" s="268"/>
      <c r="WXR647" s="268"/>
      <c r="WXS647" s="268"/>
      <c r="WXT647" s="268"/>
      <c r="WXU647" s="268"/>
      <c r="WXV647" s="268"/>
      <c r="WXW647" s="268"/>
      <c r="WXX647" s="268"/>
      <c r="WXY647" s="268"/>
      <c r="WXZ647" s="268"/>
      <c r="WYA647" s="268"/>
      <c r="WYB647" s="268"/>
      <c r="WYC647" s="268"/>
      <c r="WYD647" s="268"/>
      <c r="WYE647" s="268"/>
      <c r="WYF647" s="268"/>
      <c r="WYG647" s="268"/>
      <c r="WYH647" s="268"/>
      <c r="WYI647" s="268"/>
      <c r="WYJ647" s="268"/>
      <c r="WYK647" s="268"/>
      <c r="WYL647" s="268"/>
      <c r="WYM647" s="268"/>
      <c r="WYN647" s="268"/>
      <c r="WYO647" s="268"/>
      <c r="WYP647" s="268"/>
      <c r="WYQ647" s="268"/>
      <c r="WYR647" s="268"/>
      <c r="WYS647" s="268"/>
      <c r="WYT647" s="268"/>
      <c r="WYU647" s="268"/>
      <c r="WYV647" s="268"/>
      <c r="WYW647" s="268"/>
      <c r="WYX647" s="268"/>
      <c r="WYY647" s="268"/>
      <c r="WYZ647" s="268"/>
      <c r="WZA647" s="268"/>
      <c r="WZB647" s="268"/>
      <c r="WZC647" s="268"/>
      <c r="WZD647" s="268"/>
      <c r="WZE647" s="268"/>
      <c r="WZF647" s="268"/>
      <c r="WZG647" s="268"/>
      <c r="WZH647" s="268"/>
      <c r="WZI647" s="268"/>
      <c r="WZJ647" s="268"/>
      <c r="WZK647" s="268"/>
      <c r="WZL647" s="268"/>
      <c r="WZM647" s="268"/>
      <c r="WZN647" s="268"/>
      <c r="WZO647" s="268"/>
      <c r="WZP647" s="268"/>
      <c r="WZQ647" s="268"/>
      <c r="WZR647" s="268"/>
      <c r="WZS647" s="268"/>
      <c r="WZT647" s="268"/>
      <c r="WZU647" s="268"/>
      <c r="WZV647" s="268"/>
      <c r="WZW647" s="268"/>
      <c r="WZX647" s="268"/>
      <c r="WZY647" s="268"/>
      <c r="WZZ647" s="268"/>
      <c r="XAA647" s="268"/>
      <c r="XAB647" s="268"/>
      <c r="XAC647" s="268"/>
      <c r="XAD647" s="268"/>
      <c r="XAE647" s="268"/>
      <c r="XAF647" s="268"/>
      <c r="XAG647" s="268"/>
      <c r="XAH647" s="268"/>
      <c r="XAI647" s="268"/>
      <c r="XAJ647" s="268"/>
      <c r="XAK647" s="268"/>
      <c r="XAL647" s="268"/>
      <c r="XAM647" s="268"/>
      <c r="XAN647" s="268"/>
      <c r="XAO647" s="268"/>
      <c r="XAP647" s="268"/>
      <c r="XAQ647" s="268"/>
      <c r="XAR647" s="268"/>
      <c r="XAS647" s="268"/>
      <c r="XAT647" s="268"/>
      <c r="XAU647" s="268"/>
      <c r="XAV647" s="268"/>
      <c r="XAW647" s="268"/>
      <c r="XAX647" s="268"/>
      <c r="XAY647" s="268"/>
      <c r="XAZ647" s="268"/>
      <c r="XBA647" s="268"/>
      <c r="XBB647" s="268"/>
      <c r="XBC647" s="268"/>
      <c r="XBD647" s="268"/>
      <c r="XBE647" s="268"/>
      <c r="XBF647" s="268"/>
      <c r="XBG647" s="268"/>
      <c r="XBH647" s="268"/>
      <c r="XBI647" s="268"/>
      <c r="XBJ647" s="268"/>
      <c r="XBK647" s="268"/>
      <c r="XBL647" s="268"/>
      <c r="XBM647" s="268"/>
      <c r="XBN647" s="268"/>
      <c r="XBO647" s="268"/>
      <c r="XBP647" s="268"/>
      <c r="XBQ647" s="268"/>
      <c r="XBR647" s="268"/>
      <c r="XBS647" s="268"/>
      <c r="XBT647" s="268"/>
      <c r="XBU647" s="268"/>
      <c r="XBV647" s="268"/>
      <c r="XBW647" s="268"/>
      <c r="XBX647" s="268"/>
      <c r="XBY647" s="268"/>
      <c r="XBZ647" s="268"/>
      <c r="XCA647" s="268"/>
      <c r="XCB647" s="268"/>
      <c r="XCC647" s="268"/>
      <c r="XCD647" s="268"/>
      <c r="XCE647" s="268"/>
      <c r="XCF647" s="268"/>
      <c r="XCG647" s="268"/>
      <c r="XCH647" s="268"/>
      <c r="XCI647" s="268"/>
      <c r="XCJ647" s="268"/>
      <c r="XCK647" s="268"/>
      <c r="XCL647" s="268"/>
      <c r="XCM647" s="268"/>
      <c r="XCN647" s="268"/>
      <c r="XCO647" s="268"/>
      <c r="XCP647" s="268"/>
      <c r="XCQ647" s="268"/>
      <c r="XCR647" s="268"/>
      <c r="XCS647" s="268"/>
      <c r="XCT647" s="268"/>
      <c r="XCU647" s="268"/>
      <c r="XCV647" s="268"/>
      <c r="XCW647" s="268"/>
      <c r="XCX647" s="268"/>
      <c r="XCY647" s="268"/>
      <c r="XCZ647" s="268"/>
      <c r="XDA647" s="268"/>
      <c r="XDB647" s="268"/>
      <c r="XDC647" s="268"/>
      <c r="XDD647" s="268"/>
      <c r="XDE647" s="268"/>
      <c r="XDF647" s="268"/>
      <c r="XDG647" s="268"/>
      <c r="XDH647" s="268"/>
      <c r="XDI647" s="268"/>
      <c r="XDJ647" s="268"/>
      <c r="XDK647" s="268"/>
      <c r="XDL647" s="268"/>
      <c r="XDM647" s="268"/>
      <c r="XDN647" s="268"/>
      <c r="XDO647" s="268"/>
      <c r="XDP647" s="268"/>
      <c r="XDQ647" s="268"/>
      <c r="XDR647" s="268"/>
      <c r="XDS647" s="268"/>
      <c r="XDT647" s="268"/>
      <c r="XDU647" s="268"/>
      <c r="XDV647" s="268"/>
      <c r="XDW647" s="268"/>
      <c r="XDX647" s="268"/>
      <c r="XDY647" s="268"/>
      <c r="XDZ647" s="268"/>
      <c r="XEA647" s="268"/>
      <c r="XEB647" s="268"/>
      <c r="XEC647" s="268"/>
      <c r="XED647" s="268"/>
      <c r="XEE647" s="268"/>
      <c r="XEF647" s="268"/>
      <c r="XEG647" s="268"/>
      <c r="XEH647" s="268"/>
      <c r="XEI647" s="268"/>
      <c r="XEJ647" s="268"/>
      <c r="XEK647" s="268"/>
      <c r="XEL647" s="268"/>
      <c r="XEM647" s="268"/>
      <c r="XEN647" s="268"/>
      <c r="XEO647" s="268"/>
      <c r="XEP647" s="268"/>
      <c r="XEQ647" s="268"/>
      <c r="XER647" s="268"/>
      <c r="XES647" s="268"/>
    </row>
    <row r="648" spans="1:1015 1029:2039 2053:3063 3077:4087 4101:5111 5125:6135 6149:7159 7173:8183 8197:9207 9221:10231 10245:11255 11269:12279 12293:13303 13317:14327 14341:15351 15365:16373" hidden="1" outlineLevel="1" x14ac:dyDescent="0.25">
      <c r="A648" s="3"/>
      <c r="B648" s="247">
        <f>SUM(B645:B647)</f>
        <v>125000</v>
      </c>
      <c r="C648" s="32"/>
      <c r="D648" s="247">
        <f>SUM(D645:D647)</f>
        <v>11136</v>
      </c>
      <c r="E648" s="247">
        <f>SUM(E645:E647)</f>
        <v>118864</v>
      </c>
      <c r="F648" s="247">
        <f>SUM(F645:F647)</f>
        <v>130000</v>
      </c>
      <c r="G648" s="32"/>
      <c r="H648" s="247">
        <f>SUM(H645:H647)</f>
        <v>5000</v>
      </c>
      <c r="I648" s="32"/>
      <c r="J648" s="247">
        <f>SUM(J645:J647)</f>
        <v>22990</v>
      </c>
      <c r="K648" s="247">
        <f>SUM(K645:K647)</f>
        <v>107010</v>
      </c>
      <c r="L648" s="247">
        <f>SUM(L645:L647)</f>
        <v>130000</v>
      </c>
      <c r="M648" s="32"/>
      <c r="N648" s="247">
        <f>SUM(N645:N647)</f>
        <v>0</v>
      </c>
      <c r="P648" s="247">
        <f>SUM(P645:P647)</f>
        <v>135000</v>
      </c>
      <c r="R648" s="247">
        <f t="shared" ref="R648:Z648" si="403">SUM(R645:R647)</f>
        <v>12462</v>
      </c>
      <c r="S648" s="247">
        <f t="shared" si="403"/>
        <v>122538</v>
      </c>
      <c r="T648" s="247">
        <f t="shared" si="403"/>
        <v>135000</v>
      </c>
      <c r="U648" s="247">
        <f t="shared" si="403"/>
        <v>0</v>
      </c>
      <c r="V648" s="247">
        <f t="shared" si="403"/>
        <v>37778</v>
      </c>
      <c r="W648" s="247">
        <f t="shared" si="403"/>
        <v>97222</v>
      </c>
      <c r="X648" s="247"/>
      <c r="Y648" s="247">
        <f t="shared" si="403"/>
        <v>135000</v>
      </c>
      <c r="Z648" s="247">
        <f t="shared" si="403"/>
        <v>0</v>
      </c>
      <c r="AC648" s="247">
        <f>SUM(AC645:AC647)</f>
        <v>58210</v>
      </c>
      <c r="AD648" s="247">
        <f>SUM(AD645:AD647)</f>
        <v>74290</v>
      </c>
      <c r="AE648" s="247">
        <f>SUM(AE645:AE647)</f>
        <v>132500</v>
      </c>
      <c r="AF648" s="247">
        <f>SUM(AF645:AF647)</f>
        <v>-2500</v>
      </c>
      <c r="AG648" s="32"/>
      <c r="AI648" s="247">
        <f>SUM(AI645:AI647)</f>
        <v>132500</v>
      </c>
      <c r="AK648" s="247">
        <f>SUM(AK645:AK647)</f>
        <v>134975</v>
      </c>
      <c r="AM648" s="247">
        <f>SUM(AM645:AM647)</f>
        <v>137524.25</v>
      </c>
      <c r="AO648" s="247">
        <f>SUM(AO645:AO647)</f>
        <v>140149.97750000001</v>
      </c>
      <c r="AP648" s="32"/>
      <c r="AQ648" s="247">
        <f>SUM(AQ645:AQ647)</f>
        <v>142854.47682500002</v>
      </c>
      <c r="AS648" s="247">
        <f>SUM(AS645:AS647)</f>
        <v>145640.11112975</v>
      </c>
      <c r="AU648" s="247">
        <f>SUM(AU645:AU647)</f>
        <v>148509.31446364248</v>
      </c>
      <c r="AW648" s="247">
        <f>SUM(AW645:AW647)</f>
        <v>151464.59389755176</v>
      </c>
      <c r="AY648" s="247">
        <f>SUM(AY645:AY647)</f>
        <v>154508.53171447833</v>
      </c>
      <c r="BA648" s="247">
        <f>SUM(BA645:BA647)</f>
        <v>157643.78766591271</v>
      </c>
      <c r="BC648" s="247">
        <f>SUM(BC645:BC647)</f>
        <v>160873.10129589008</v>
      </c>
      <c r="BE648" s="247">
        <f>SUM(BE645:BE647)</f>
        <v>164199.2943347668</v>
      </c>
    </row>
    <row r="649" spans="1:1015 1029:2039 2053:3063 3077:4087 4101:5111 5125:6135 6149:7159 7173:8183 8197:9207 9221:10231 10245:11255 11269:12279 12293:13303 13317:14327 14341:15351 15365:16373" s="59" customFormat="1" hidden="1" outlineLevel="1" x14ac:dyDescent="0.25">
      <c r="A649" s="4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4"/>
      <c r="P649" s="9"/>
      <c r="Q649" s="4"/>
      <c r="R649" s="9"/>
      <c r="S649" s="32"/>
      <c r="T649" s="258"/>
      <c r="U649" s="32"/>
      <c r="V649" s="9"/>
      <c r="W649" s="32"/>
      <c r="X649" s="32"/>
      <c r="Y649" s="258"/>
      <c r="Z649" s="32"/>
      <c r="AA649" s="4"/>
      <c r="AB649" s="4"/>
      <c r="AC649" s="9"/>
      <c r="AD649" s="32"/>
      <c r="AE649" s="258"/>
      <c r="AF649" s="32"/>
      <c r="AG649" s="32"/>
      <c r="AH649" s="4"/>
      <c r="AI649" s="9"/>
      <c r="AJ649" s="4"/>
      <c r="AK649" s="9"/>
      <c r="AL649" s="4"/>
      <c r="AM649" s="9"/>
      <c r="AN649" s="4"/>
      <c r="AO649" s="9"/>
      <c r="AP649" s="9"/>
      <c r="AQ649" s="9"/>
      <c r="AR649" s="51"/>
      <c r="AS649" s="9"/>
      <c r="AT649" s="51"/>
      <c r="AU649" s="9"/>
      <c r="AV649" s="51"/>
      <c r="AW649" s="9"/>
      <c r="AX649" s="51"/>
      <c r="AY649" s="9"/>
      <c r="AZ649" s="51"/>
      <c r="BA649" s="9"/>
      <c r="BB649" s="51"/>
      <c r="BC649" s="9"/>
      <c r="BD649" s="51"/>
      <c r="BE649" s="9"/>
    </row>
    <row r="650" spans="1:1015 1029:2039 2053:3063 3077:4087 4101:5111 5125:6135 6149:7159 7173:8183 8197:9207 9221:10231 10245:11255 11269:12279 12293:13303 13317:14327 14341:15351 15365:16373" hidden="1" outlineLevel="1" x14ac:dyDescent="0.25">
      <c r="A650" s="7" t="s">
        <v>486</v>
      </c>
      <c r="BC650" s="3"/>
      <c r="BE650" s="3"/>
    </row>
    <row r="651" spans="1:1015 1029:2039 2053:3063 3077:4087 4101:5111 5125:6135 6149:7159 7173:8183 8197:9207 9221:10231 10245:11255 11269:12279 12293:13303 13317:14327 14341:15351 15365:16373" hidden="1" outlineLevel="1" x14ac:dyDescent="0.25">
      <c r="A651" s="3" t="s">
        <v>487</v>
      </c>
      <c r="B651" s="3">
        <v>192000</v>
      </c>
      <c r="D651" s="3">
        <f>41031+595</f>
        <v>41626</v>
      </c>
      <c r="E651" s="3">
        <f t="shared" ref="E651:E659" si="404">F651-D651</f>
        <v>150374</v>
      </c>
      <c r="F651" s="3">
        <v>192000</v>
      </c>
      <c r="H651" s="3">
        <f t="shared" ref="H651:H659" si="405">F651-B651</f>
        <v>0</v>
      </c>
      <c r="J651" s="3">
        <v>90424</v>
      </c>
      <c r="K651" s="4">
        <f t="shared" ref="K651:K659" si="406">L651-J651</f>
        <v>101576</v>
      </c>
      <c r="L651" s="4">
        <v>192000</v>
      </c>
      <c r="N651" s="4">
        <f t="shared" ref="N651:N659" si="407">L651-F651</f>
        <v>0</v>
      </c>
      <c r="P651" s="3">
        <f>L651*1.0281+26605</f>
        <v>224000.2</v>
      </c>
      <c r="R651" s="3">
        <v>48119</v>
      </c>
      <c r="S651" s="3">
        <f t="shared" ref="S651:S659" si="408">T651-R651</f>
        <v>175881</v>
      </c>
      <c r="T651" s="3">
        <v>224000</v>
      </c>
      <c r="U651" s="3">
        <f t="shared" ref="U651:U659" si="409">T651-P651</f>
        <v>-0.20000000001164153</v>
      </c>
      <c r="V651" s="3">
        <f>16896+64118+3038</f>
        <v>84052</v>
      </c>
      <c r="W651" s="3">
        <f t="shared" ref="W651:W659" si="410">Y651-V651</f>
        <v>139948</v>
      </c>
      <c r="Y651" s="3">
        <v>224000</v>
      </c>
      <c r="Z651" s="3">
        <f t="shared" ref="Z651:Z659" si="411">Y651-T651</f>
        <v>0</v>
      </c>
      <c r="AC651" s="3">
        <v>151334</v>
      </c>
      <c r="AD651" s="3">
        <f t="shared" ref="AD651:AD659" si="412">AE651-AC651</f>
        <v>63666</v>
      </c>
      <c r="AE651" s="3">
        <v>215000</v>
      </c>
      <c r="AF651" s="3">
        <f t="shared" ref="AF651:AF659" si="413">AE651-Y651</f>
        <v>-9000</v>
      </c>
      <c r="AI651" s="3">
        <v>204000</v>
      </c>
      <c r="AK651" s="3">
        <f>AI651*1.03</f>
        <v>210120</v>
      </c>
      <c r="AM651" s="3">
        <f>AK651*1.03</f>
        <v>216423.6</v>
      </c>
      <c r="AO651" s="3">
        <f>AM651*1.03</f>
        <v>222916.30800000002</v>
      </c>
      <c r="AQ651" s="3">
        <f>AO651*1.03</f>
        <v>229603.79724000001</v>
      </c>
      <c r="AS651" s="3">
        <f>AQ651*1.03</f>
        <v>236491.91115720003</v>
      </c>
      <c r="AU651" s="3">
        <f>AS651*1.03</f>
        <v>243586.66849191603</v>
      </c>
      <c r="AW651" s="3">
        <f>AU651*1.03</f>
        <v>250894.26854667353</v>
      </c>
      <c r="AY651" s="3">
        <f>AW651*1.03</f>
        <v>258421.09660307373</v>
      </c>
      <c r="BA651" s="3">
        <f>AY651*1.03</f>
        <v>266173.72950116597</v>
      </c>
      <c r="BC651" s="3">
        <f>BA651*1.03</f>
        <v>274158.94138620095</v>
      </c>
      <c r="BE651" s="3">
        <f>BC651*1.03</f>
        <v>282383.709627787</v>
      </c>
    </row>
    <row r="652" spans="1:1015 1029:2039 2053:3063 3077:4087 4101:5111 5125:6135 6149:7159 7173:8183 8197:9207 9221:10231 10245:11255 11269:12279 12293:13303 13317:14327 14341:15351 15365:16373" hidden="1" outlineLevel="1" x14ac:dyDescent="0.25">
      <c r="A652" s="3" t="s">
        <v>488</v>
      </c>
      <c r="E652" s="3">
        <f t="shared" si="404"/>
        <v>0</v>
      </c>
      <c r="H652" s="3">
        <f t="shared" si="405"/>
        <v>0</v>
      </c>
      <c r="J652" s="3">
        <v>0</v>
      </c>
      <c r="K652" s="4">
        <f t="shared" si="406"/>
        <v>5000</v>
      </c>
      <c r="L652" s="4">
        <v>5000</v>
      </c>
      <c r="N652" s="4">
        <f t="shared" si="407"/>
        <v>5000</v>
      </c>
      <c r="S652" s="3">
        <f t="shared" si="408"/>
        <v>0</v>
      </c>
      <c r="U652" s="3">
        <f t="shared" si="409"/>
        <v>0</v>
      </c>
      <c r="W652" s="3">
        <f t="shared" si="410"/>
        <v>0</v>
      </c>
      <c r="Z652" s="3">
        <f t="shared" si="411"/>
        <v>0</v>
      </c>
      <c r="AD652" s="3">
        <f t="shared" si="412"/>
        <v>0</v>
      </c>
      <c r="AF652" s="3">
        <f t="shared" si="413"/>
        <v>0</v>
      </c>
      <c r="BC652" s="3"/>
      <c r="BE652" s="3"/>
    </row>
    <row r="653" spans="1:1015 1029:2039 2053:3063 3077:4087 4101:5111 5125:6135 6149:7159 7173:8183 8197:9207 9221:10231 10245:11255 11269:12279 12293:13303 13317:14327 14341:15351 15365:16373" hidden="1" outlineLevel="1" x14ac:dyDescent="0.25">
      <c r="A653" s="3" t="s">
        <v>489</v>
      </c>
      <c r="E653" s="3">
        <f t="shared" si="404"/>
        <v>21180</v>
      </c>
      <c r="F653" s="3">
        <v>21180</v>
      </c>
      <c r="H653" s="3">
        <f t="shared" si="405"/>
        <v>21180</v>
      </c>
      <c r="J653" s="3">
        <v>0</v>
      </c>
      <c r="K653" s="4">
        <f t="shared" si="406"/>
        <v>0</v>
      </c>
      <c r="L653" s="4">
        <v>0</v>
      </c>
      <c r="N653" s="4">
        <f t="shared" si="407"/>
        <v>-21180</v>
      </c>
      <c r="S653" s="3">
        <f t="shared" si="408"/>
        <v>0</v>
      </c>
      <c r="U653" s="3">
        <f t="shared" si="409"/>
        <v>0</v>
      </c>
      <c r="W653" s="3">
        <f t="shared" si="410"/>
        <v>0</v>
      </c>
      <c r="Z653" s="3">
        <f t="shared" si="411"/>
        <v>0</v>
      </c>
      <c r="AD653" s="3">
        <f t="shared" si="412"/>
        <v>0</v>
      </c>
      <c r="AF653" s="3">
        <f t="shared" si="413"/>
        <v>0</v>
      </c>
      <c r="BC653" s="3"/>
      <c r="BE653" s="3"/>
    </row>
    <row r="654" spans="1:1015 1029:2039 2053:3063 3077:4087 4101:5111 5125:6135 6149:7159 7173:8183 8197:9207 9221:10231 10245:11255 11269:12279 12293:13303 13317:14327 14341:15351 15365:16373" hidden="1" outlineLevel="1" x14ac:dyDescent="0.25">
      <c r="A654" s="3" t="s">
        <v>490</v>
      </c>
      <c r="K654" s="4"/>
      <c r="L654" s="4"/>
      <c r="N654" s="4"/>
      <c r="S654" s="3">
        <f>T654-R654</f>
        <v>21500</v>
      </c>
      <c r="T654" s="3">
        <v>21500</v>
      </c>
      <c r="U654" s="3">
        <f>T654-P654</f>
        <v>21500</v>
      </c>
      <c r="W654" s="3">
        <f t="shared" si="410"/>
        <v>21500</v>
      </c>
      <c r="Y654" s="3">
        <v>21500</v>
      </c>
      <c r="Z654" s="3">
        <f t="shared" si="411"/>
        <v>0</v>
      </c>
      <c r="AC654" s="3">
        <v>0</v>
      </c>
      <c r="AD654" s="3">
        <f t="shared" si="412"/>
        <v>21500</v>
      </c>
      <c r="AE654" s="3">
        <v>21500</v>
      </c>
      <c r="AF654" s="3">
        <f t="shared" si="413"/>
        <v>0</v>
      </c>
      <c r="BC654" s="3"/>
      <c r="BE654" s="3"/>
    </row>
    <row r="655" spans="1:1015 1029:2039 2053:3063 3077:4087 4101:5111 5125:6135 6149:7159 7173:8183 8197:9207 9221:10231 10245:11255 11269:12279 12293:13303 13317:14327 14341:15351 15365:16373" hidden="1" outlineLevel="1" x14ac:dyDescent="0.25">
      <c r="A655" s="3" t="s">
        <v>491</v>
      </c>
      <c r="K655" s="4"/>
      <c r="L655" s="4"/>
      <c r="N655" s="4"/>
      <c r="S655" s="3">
        <f t="shared" si="408"/>
        <v>0</v>
      </c>
      <c r="U655" s="3">
        <f t="shared" si="409"/>
        <v>0</v>
      </c>
      <c r="W655" s="3">
        <f t="shared" si="410"/>
        <v>0</v>
      </c>
      <c r="Z655" s="3">
        <f t="shared" si="411"/>
        <v>0</v>
      </c>
      <c r="AD655" s="3">
        <f t="shared" si="412"/>
        <v>0</v>
      </c>
      <c r="AF655" s="3">
        <f t="shared" si="413"/>
        <v>0</v>
      </c>
      <c r="AI655" s="3">
        <v>10000</v>
      </c>
      <c r="BC655" s="3"/>
      <c r="BE655" s="3"/>
    </row>
    <row r="656" spans="1:1015 1029:2039 2053:3063 3077:4087 4101:5111 5125:6135 6149:7159 7173:8183 8197:9207 9221:10231 10245:11255 11269:12279 12293:13303 13317:14327 14341:15351 15365:16373" hidden="1" outlineLevel="1" x14ac:dyDescent="0.25">
      <c r="A656" s="3" t="s">
        <v>177</v>
      </c>
      <c r="E656" s="3">
        <f t="shared" si="404"/>
        <v>0</v>
      </c>
      <c r="H656" s="3">
        <f t="shared" si="405"/>
        <v>0</v>
      </c>
      <c r="K656" s="4">
        <f t="shared" si="406"/>
        <v>0</v>
      </c>
      <c r="L656" s="4"/>
      <c r="N656" s="4">
        <f t="shared" si="407"/>
        <v>0</v>
      </c>
      <c r="S656" s="3">
        <f t="shared" si="408"/>
        <v>0</v>
      </c>
      <c r="U656" s="3">
        <f t="shared" si="409"/>
        <v>0</v>
      </c>
      <c r="W656" s="3">
        <f t="shared" si="410"/>
        <v>0</v>
      </c>
      <c r="Z656" s="3">
        <f t="shared" si="411"/>
        <v>0</v>
      </c>
      <c r="AD656" s="3">
        <f t="shared" si="412"/>
        <v>0</v>
      </c>
      <c r="AF656" s="3">
        <f t="shared" si="413"/>
        <v>0</v>
      </c>
      <c r="BC656" s="3"/>
      <c r="BE656" s="3"/>
    </row>
    <row r="657" spans="1:1015 1029:2039 2053:3063 3077:4087 4101:5111 5125:6135 6149:7159 7173:8183 8197:9207 9221:10231 10245:11255 11269:12279 12293:13303 13317:14327 14341:15351 15365:16373" hidden="1" outlineLevel="1" x14ac:dyDescent="0.25">
      <c r="A657" s="3" t="s">
        <v>178</v>
      </c>
      <c r="D657" s="3">
        <v>715</v>
      </c>
      <c r="E657" s="3">
        <f t="shared" si="404"/>
        <v>5</v>
      </c>
      <c r="F657" s="3">
        <v>720</v>
      </c>
      <c r="H657" s="3">
        <f t="shared" si="405"/>
        <v>720</v>
      </c>
      <c r="J657" s="3">
        <v>715</v>
      </c>
      <c r="K657" s="4">
        <f t="shared" si="406"/>
        <v>5</v>
      </c>
      <c r="L657" s="4">
        <v>720</v>
      </c>
      <c r="N657" s="4">
        <f t="shared" si="407"/>
        <v>0</v>
      </c>
      <c r="S657" s="3">
        <f t="shared" si="408"/>
        <v>0</v>
      </c>
      <c r="U657" s="3">
        <f t="shared" si="409"/>
        <v>0</v>
      </c>
      <c r="W657" s="3">
        <f t="shared" si="410"/>
        <v>0</v>
      </c>
      <c r="Z657" s="3">
        <f t="shared" si="411"/>
        <v>0</v>
      </c>
      <c r="AD657" s="3">
        <f t="shared" si="412"/>
        <v>0</v>
      </c>
      <c r="AF657" s="3">
        <f t="shared" si="413"/>
        <v>0</v>
      </c>
      <c r="BC657" s="3"/>
      <c r="BE657" s="3"/>
    </row>
    <row r="658" spans="1:1015 1029:2039 2053:3063 3077:4087 4101:5111 5125:6135 6149:7159 7173:8183 8197:9207 9221:10231 10245:11255 11269:12279 12293:13303 13317:14327 14341:15351 15365:16373" hidden="1" outlineLevel="1" x14ac:dyDescent="0.25">
      <c r="A658" s="3" t="s">
        <v>492</v>
      </c>
      <c r="K658" s="4"/>
      <c r="L658" s="4"/>
      <c r="N658" s="4"/>
      <c r="S658" s="3">
        <f t="shared" si="408"/>
        <v>0</v>
      </c>
      <c r="U658" s="3">
        <f t="shared" si="409"/>
        <v>0</v>
      </c>
      <c r="V658" s="3">
        <v>6504</v>
      </c>
      <c r="W658" s="3">
        <f t="shared" si="410"/>
        <v>1</v>
      </c>
      <c r="Y658" s="3">
        <v>6505</v>
      </c>
      <c r="Z658" s="3">
        <f t="shared" si="411"/>
        <v>6505</v>
      </c>
      <c r="AC658" s="3">
        <v>6505</v>
      </c>
      <c r="AD658" s="3">
        <f t="shared" si="412"/>
        <v>0</v>
      </c>
      <c r="AE658" s="3">
        <v>6505</v>
      </c>
      <c r="AF658" s="3">
        <f t="shared" si="413"/>
        <v>0</v>
      </c>
      <c r="BC658" s="3"/>
      <c r="BE658" s="3"/>
    </row>
    <row r="659" spans="1:1015 1029:2039 2053:3063 3077:4087 4101:5111 5125:6135 6149:7159 7173:8183 8197:9207 9221:10231 10245:11255 11269:12279 12293:13303 13317:14327 14341:15351 15365:16373" hidden="1" outlineLevel="1" x14ac:dyDescent="0.25">
      <c r="A659" s="267" t="s">
        <v>289</v>
      </c>
      <c r="B659" s="3">
        <v>26000</v>
      </c>
      <c r="D659" s="3">
        <v>0</v>
      </c>
      <c r="E659" s="3">
        <f t="shared" si="404"/>
        <v>26000</v>
      </c>
      <c r="F659" s="3">
        <v>26000</v>
      </c>
      <c r="H659" s="3">
        <f t="shared" si="405"/>
        <v>0</v>
      </c>
      <c r="J659" s="3">
        <v>0</v>
      </c>
      <c r="K659" s="4">
        <f t="shared" si="406"/>
        <v>26000</v>
      </c>
      <c r="L659" s="4">
        <v>26000</v>
      </c>
      <c r="N659" s="4">
        <f t="shared" si="407"/>
        <v>0</v>
      </c>
      <c r="P659" s="3">
        <v>26000</v>
      </c>
      <c r="R659" s="3">
        <v>0</v>
      </c>
      <c r="S659" s="3">
        <f t="shared" si="408"/>
        <v>26000</v>
      </c>
      <c r="T659" s="3">
        <v>26000</v>
      </c>
      <c r="U659" s="3">
        <f t="shared" si="409"/>
        <v>0</v>
      </c>
      <c r="V659" s="3">
        <v>0</v>
      </c>
      <c r="W659" s="3">
        <f t="shared" si="410"/>
        <v>26000</v>
      </c>
      <c r="Y659" s="3">
        <v>26000</v>
      </c>
      <c r="Z659" s="3">
        <f t="shared" si="411"/>
        <v>0</v>
      </c>
      <c r="AC659" s="3">
        <v>0</v>
      </c>
      <c r="AD659" s="3">
        <f t="shared" si="412"/>
        <v>26000</v>
      </c>
      <c r="AE659" s="3">
        <v>26000</v>
      </c>
      <c r="AF659" s="3">
        <f t="shared" si="413"/>
        <v>0</v>
      </c>
      <c r="AI659" s="3">
        <v>26000</v>
      </c>
      <c r="AK659" s="3">
        <v>26000</v>
      </c>
      <c r="AM659" s="3">
        <v>26000</v>
      </c>
      <c r="AO659" s="3">
        <v>26000</v>
      </c>
      <c r="AQ659" s="3">
        <v>26000</v>
      </c>
      <c r="AS659" s="3">
        <v>26000</v>
      </c>
      <c r="AU659" s="3">
        <v>26000</v>
      </c>
      <c r="AW659" s="3">
        <v>26000</v>
      </c>
      <c r="AY659" s="3">
        <v>26000</v>
      </c>
      <c r="BA659" s="3">
        <v>26000</v>
      </c>
      <c r="BC659" s="3">
        <v>26000</v>
      </c>
      <c r="BE659" s="3">
        <v>26000</v>
      </c>
      <c r="BI659" s="268"/>
      <c r="BJ659" s="268"/>
      <c r="BK659" s="268"/>
      <c r="BL659" s="268"/>
      <c r="BM659" s="268"/>
      <c r="BN659" s="268"/>
      <c r="BO659" s="268"/>
      <c r="BP659" s="268"/>
      <c r="BQ659" s="268"/>
      <c r="BR659" s="268"/>
      <c r="BS659" s="268"/>
      <c r="BT659" s="268"/>
      <c r="BU659" s="268"/>
      <c r="BV659" s="268"/>
      <c r="BW659" s="268"/>
      <c r="BX659" s="268"/>
      <c r="BY659" s="268"/>
      <c r="BZ659" s="268"/>
      <c r="CA659" s="268"/>
      <c r="CB659" s="268"/>
      <c r="CC659" s="268"/>
      <c r="CD659" s="268"/>
      <c r="CE659" s="268"/>
      <c r="CF659" s="268"/>
      <c r="CG659" s="268"/>
      <c r="CH659" s="268"/>
      <c r="CI659" s="268"/>
      <c r="CJ659" s="268"/>
      <c r="CK659" s="268"/>
      <c r="CL659" s="268"/>
      <c r="CM659" s="268"/>
      <c r="CN659" s="268"/>
      <c r="CO659" s="268"/>
      <c r="CP659" s="268"/>
      <c r="CQ659" s="268"/>
      <c r="CR659" s="268"/>
      <c r="CS659" s="268"/>
      <c r="CT659" s="268"/>
      <c r="CU659" s="268"/>
      <c r="CV659" s="268"/>
      <c r="CW659" s="268"/>
      <c r="CX659" s="268"/>
      <c r="CY659" s="268"/>
      <c r="CZ659" s="268"/>
      <c r="DA659" s="268"/>
      <c r="DB659" s="268"/>
      <c r="DC659" s="268"/>
      <c r="DD659" s="268"/>
      <c r="DE659" s="268"/>
      <c r="DF659" s="268"/>
      <c r="DG659" s="268"/>
      <c r="DH659" s="268"/>
      <c r="DI659" s="268"/>
      <c r="DJ659" s="268"/>
      <c r="DK659" s="268"/>
      <c r="DL659" s="268"/>
      <c r="DM659" s="268"/>
      <c r="DN659" s="268"/>
      <c r="DO659" s="268"/>
      <c r="DP659" s="268"/>
      <c r="DQ659" s="268"/>
      <c r="DR659" s="268"/>
      <c r="DS659" s="268"/>
      <c r="DT659" s="268"/>
      <c r="DU659" s="268"/>
      <c r="DV659" s="268"/>
      <c r="DW659" s="268"/>
      <c r="DX659" s="268"/>
      <c r="DY659" s="268"/>
      <c r="DZ659" s="268"/>
      <c r="EA659" s="268"/>
      <c r="EB659" s="268"/>
      <c r="EC659" s="268"/>
      <c r="ED659" s="268"/>
      <c r="EE659" s="268"/>
      <c r="EF659" s="268"/>
      <c r="EG659" s="268"/>
      <c r="EH659" s="268"/>
      <c r="EI659" s="268"/>
      <c r="EJ659" s="268"/>
      <c r="EK659" s="268"/>
      <c r="EL659" s="268"/>
      <c r="EM659" s="268"/>
      <c r="EN659" s="268"/>
      <c r="EO659" s="268"/>
      <c r="EP659" s="268"/>
      <c r="EQ659" s="268"/>
      <c r="ER659" s="268"/>
      <c r="ES659" s="268"/>
      <c r="ET659" s="268"/>
      <c r="EU659" s="268"/>
      <c r="EV659" s="268"/>
      <c r="EW659" s="268"/>
      <c r="EX659" s="268"/>
      <c r="EY659" s="268"/>
      <c r="EZ659" s="268"/>
      <c r="FA659" s="268"/>
      <c r="FB659" s="268"/>
      <c r="FC659" s="268"/>
      <c r="FD659" s="268"/>
      <c r="FE659" s="268"/>
      <c r="FF659" s="268"/>
      <c r="FG659" s="268"/>
      <c r="FH659" s="268"/>
      <c r="FI659" s="268"/>
      <c r="FJ659" s="268"/>
      <c r="FK659" s="268"/>
      <c r="FL659" s="268"/>
      <c r="FM659" s="268"/>
      <c r="FN659" s="268"/>
      <c r="FO659" s="268"/>
      <c r="FP659" s="268"/>
      <c r="FQ659" s="268"/>
      <c r="FR659" s="268"/>
      <c r="FS659" s="268"/>
      <c r="FT659" s="268"/>
      <c r="FU659" s="268"/>
      <c r="FV659" s="268"/>
      <c r="FW659" s="268"/>
      <c r="FX659" s="268"/>
      <c r="FY659" s="268"/>
      <c r="FZ659" s="268"/>
      <c r="GA659" s="268"/>
      <c r="GB659" s="268"/>
      <c r="GC659" s="268"/>
      <c r="GD659" s="268"/>
      <c r="GE659" s="268"/>
      <c r="GF659" s="268"/>
      <c r="GG659" s="268"/>
      <c r="GH659" s="268"/>
      <c r="GI659" s="268"/>
      <c r="GJ659" s="268"/>
      <c r="GK659" s="268"/>
      <c r="GL659" s="268"/>
      <c r="GM659" s="268"/>
      <c r="GN659" s="268"/>
      <c r="GO659" s="268"/>
      <c r="GP659" s="268"/>
      <c r="GQ659" s="268"/>
      <c r="GR659" s="268"/>
      <c r="GS659" s="268"/>
      <c r="GT659" s="268"/>
      <c r="GU659" s="268"/>
      <c r="GV659" s="268"/>
      <c r="GW659" s="268"/>
      <c r="GX659" s="268"/>
      <c r="GY659" s="268"/>
      <c r="GZ659" s="268"/>
      <c r="HA659" s="268"/>
      <c r="HB659" s="268"/>
      <c r="HC659" s="268"/>
      <c r="HD659" s="268"/>
      <c r="HE659" s="268"/>
      <c r="HF659" s="268"/>
      <c r="HG659" s="268"/>
      <c r="HH659" s="268"/>
      <c r="HI659" s="268"/>
      <c r="HJ659" s="268"/>
      <c r="HK659" s="268"/>
      <c r="HL659" s="268"/>
      <c r="HM659" s="268"/>
      <c r="HN659" s="268"/>
      <c r="HO659" s="268"/>
      <c r="HP659" s="268"/>
      <c r="HQ659" s="268"/>
      <c r="HR659" s="268"/>
      <c r="HS659" s="268"/>
      <c r="HT659" s="268"/>
      <c r="HU659" s="268"/>
      <c r="HV659" s="268"/>
      <c r="HW659" s="268"/>
      <c r="HX659" s="268"/>
      <c r="HY659" s="268"/>
      <c r="HZ659" s="268"/>
      <c r="IA659" s="268"/>
      <c r="IB659" s="268"/>
      <c r="IC659" s="268"/>
      <c r="ID659" s="268"/>
      <c r="IE659" s="268"/>
      <c r="IF659" s="268"/>
      <c r="IG659" s="268"/>
      <c r="IH659" s="268"/>
      <c r="II659" s="268"/>
      <c r="IJ659" s="268"/>
      <c r="IK659" s="268"/>
      <c r="IL659" s="268"/>
      <c r="IM659" s="268"/>
      <c r="JA659" s="268"/>
      <c r="JB659" s="268"/>
      <c r="JC659" s="268"/>
      <c r="JQ659" s="268"/>
      <c r="JS659" s="268"/>
      <c r="JT659" s="268"/>
      <c r="JU659" s="268"/>
      <c r="JV659" s="268"/>
      <c r="JW659" s="268"/>
      <c r="JX659" s="268"/>
      <c r="JY659" s="268"/>
      <c r="JZ659" s="268"/>
      <c r="KA659" s="268"/>
      <c r="KB659" s="268"/>
      <c r="KC659" s="268"/>
      <c r="KD659" s="268"/>
      <c r="KE659" s="268"/>
      <c r="KF659" s="268"/>
      <c r="KG659" s="268"/>
      <c r="KH659" s="268"/>
      <c r="KI659" s="268"/>
      <c r="KJ659" s="268"/>
      <c r="KK659" s="268"/>
      <c r="KL659" s="268"/>
      <c r="KM659" s="268"/>
      <c r="KN659" s="268"/>
      <c r="KO659" s="268"/>
      <c r="KP659" s="268"/>
      <c r="KQ659" s="268"/>
      <c r="KR659" s="268"/>
      <c r="KS659" s="268"/>
      <c r="KT659" s="268"/>
      <c r="KU659" s="268"/>
      <c r="KV659" s="268"/>
      <c r="KW659" s="268"/>
      <c r="KX659" s="268"/>
      <c r="KY659" s="268"/>
      <c r="KZ659" s="268"/>
      <c r="LA659" s="268"/>
      <c r="LB659" s="268"/>
      <c r="LC659" s="268"/>
      <c r="LD659" s="268"/>
      <c r="LE659" s="268"/>
      <c r="LF659" s="268"/>
      <c r="LG659" s="268"/>
      <c r="LH659" s="268"/>
      <c r="LI659" s="268"/>
      <c r="LJ659" s="268"/>
      <c r="LK659" s="268"/>
      <c r="LL659" s="268"/>
      <c r="LM659" s="268"/>
      <c r="LN659" s="268"/>
      <c r="LO659" s="268"/>
      <c r="LP659" s="268"/>
      <c r="LQ659" s="268"/>
      <c r="LR659" s="268"/>
      <c r="LS659" s="268"/>
      <c r="LT659" s="268"/>
      <c r="LU659" s="268"/>
      <c r="LV659" s="268"/>
      <c r="LW659" s="268"/>
      <c r="LX659" s="268"/>
      <c r="LY659" s="268"/>
      <c r="LZ659" s="268"/>
      <c r="MA659" s="268"/>
      <c r="MB659" s="268"/>
      <c r="MC659" s="268"/>
      <c r="MD659" s="268"/>
      <c r="ME659" s="268"/>
      <c r="MF659" s="268"/>
      <c r="MG659" s="268"/>
      <c r="MH659" s="268"/>
      <c r="MI659" s="268"/>
      <c r="MJ659" s="268"/>
      <c r="MK659" s="268"/>
      <c r="ML659" s="268"/>
      <c r="MM659" s="268"/>
      <c r="MN659" s="268"/>
      <c r="MO659" s="268"/>
      <c r="MP659" s="268"/>
      <c r="MQ659" s="268"/>
      <c r="MR659" s="268"/>
      <c r="MS659" s="268"/>
      <c r="MT659" s="268"/>
      <c r="MU659" s="268"/>
      <c r="MV659" s="268"/>
      <c r="MW659" s="268"/>
      <c r="MX659" s="268"/>
      <c r="MY659" s="268"/>
      <c r="MZ659" s="268"/>
      <c r="NA659" s="268"/>
      <c r="NB659" s="268"/>
      <c r="NC659" s="268"/>
      <c r="ND659" s="268"/>
      <c r="NE659" s="268"/>
      <c r="NF659" s="268"/>
      <c r="NG659" s="268"/>
      <c r="NH659" s="268"/>
      <c r="NI659" s="268"/>
      <c r="NJ659" s="268"/>
      <c r="NK659" s="268"/>
      <c r="NL659" s="268"/>
      <c r="NM659" s="268"/>
      <c r="NN659" s="268"/>
      <c r="NO659" s="268"/>
      <c r="NP659" s="268"/>
      <c r="NQ659" s="268"/>
      <c r="NR659" s="268"/>
      <c r="NS659" s="268"/>
      <c r="NT659" s="268"/>
      <c r="NU659" s="268"/>
      <c r="NV659" s="268"/>
      <c r="NW659" s="268"/>
      <c r="NX659" s="268"/>
      <c r="NY659" s="268"/>
      <c r="NZ659" s="268"/>
      <c r="OA659" s="268"/>
      <c r="OB659" s="268"/>
      <c r="OC659" s="268"/>
      <c r="OD659" s="268"/>
      <c r="OE659" s="268"/>
      <c r="OF659" s="268"/>
      <c r="OG659" s="268"/>
      <c r="OH659" s="268"/>
      <c r="OI659" s="268"/>
      <c r="OJ659" s="268"/>
      <c r="OK659" s="268"/>
      <c r="OL659" s="268"/>
      <c r="OM659" s="268"/>
      <c r="ON659" s="268"/>
      <c r="OO659" s="268"/>
      <c r="OP659" s="268"/>
      <c r="OQ659" s="268"/>
      <c r="OR659" s="268"/>
      <c r="OS659" s="268"/>
      <c r="OT659" s="268"/>
      <c r="OU659" s="268"/>
      <c r="OV659" s="268"/>
      <c r="OW659" s="268"/>
      <c r="OX659" s="268"/>
      <c r="OY659" s="268"/>
      <c r="OZ659" s="268"/>
      <c r="PA659" s="268"/>
      <c r="PB659" s="268"/>
      <c r="PC659" s="268"/>
      <c r="PD659" s="268"/>
      <c r="PE659" s="268"/>
      <c r="PF659" s="268"/>
      <c r="PG659" s="268"/>
      <c r="PH659" s="268"/>
      <c r="PI659" s="268"/>
      <c r="PJ659" s="268"/>
      <c r="PK659" s="268"/>
      <c r="PL659" s="268"/>
      <c r="PM659" s="268"/>
      <c r="PN659" s="268"/>
      <c r="PO659" s="268"/>
      <c r="PP659" s="268"/>
      <c r="PQ659" s="268"/>
      <c r="PR659" s="268"/>
      <c r="PS659" s="268"/>
      <c r="PT659" s="268"/>
      <c r="PU659" s="268"/>
      <c r="PV659" s="268"/>
      <c r="PW659" s="268"/>
      <c r="PX659" s="268"/>
      <c r="PY659" s="268"/>
      <c r="PZ659" s="268"/>
      <c r="QA659" s="268"/>
      <c r="QB659" s="268"/>
      <c r="QC659" s="268"/>
      <c r="QD659" s="268"/>
      <c r="QE659" s="268"/>
      <c r="QF659" s="268"/>
      <c r="QG659" s="268"/>
      <c r="QH659" s="268"/>
      <c r="QI659" s="268"/>
      <c r="QJ659" s="268"/>
      <c r="QK659" s="268"/>
      <c r="QL659" s="268"/>
      <c r="QM659" s="268"/>
      <c r="QN659" s="268"/>
      <c r="QO659" s="268"/>
      <c r="QP659" s="268"/>
      <c r="QQ659" s="268"/>
      <c r="QR659" s="268"/>
      <c r="QS659" s="268"/>
      <c r="QT659" s="268"/>
      <c r="QU659" s="268"/>
      <c r="QV659" s="268"/>
      <c r="QW659" s="268"/>
      <c r="QX659" s="268"/>
      <c r="QY659" s="268"/>
      <c r="QZ659" s="268"/>
      <c r="RA659" s="268"/>
      <c r="RB659" s="268"/>
      <c r="RC659" s="268"/>
      <c r="RD659" s="268"/>
      <c r="RE659" s="268"/>
      <c r="RF659" s="268"/>
      <c r="RG659" s="268"/>
      <c r="RH659" s="268"/>
      <c r="RI659" s="268"/>
      <c r="RJ659" s="268"/>
      <c r="RK659" s="268"/>
      <c r="RL659" s="268"/>
      <c r="RM659" s="268"/>
      <c r="RN659" s="268"/>
      <c r="RO659" s="268"/>
      <c r="RP659" s="268"/>
      <c r="RQ659" s="268"/>
      <c r="RR659" s="268"/>
      <c r="RS659" s="268"/>
      <c r="RT659" s="268"/>
      <c r="RU659" s="268"/>
      <c r="RV659" s="268"/>
      <c r="RW659" s="268"/>
      <c r="RX659" s="268"/>
      <c r="RY659" s="268"/>
      <c r="RZ659" s="268"/>
      <c r="SA659" s="268"/>
      <c r="SB659" s="268"/>
      <c r="SC659" s="268"/>
      <c r="SD659" s="268"/>
      <c r="SE659" s="268"/>
      <c r="SF659" s="268"/>
      <c r="SG659" s="268"/>
      <c r="SH659" s="268"/>
      <c r="SI659" s="268"/>
      <c r="SW659" s="268"/>
      <c r="SX659" s="268"/>
      <c r="SY659" s="268"/>
      <c r="TM659" s="268"/>
      <c r="TO659" s="268"/>
      <c r="TP659" s="268"/>
      <c r="TQ659" s="268"/>
      <c r="TR659" s="268"/>
      <c r="TS659" s="268"/>
      <c r="TT659" s="268"/>
      <c r="TU659" s="268"/>
      <c r="TV659" s="268"/>
      <c r="TW659" s="268"/>
      <c r="TX659" s="268"/>
      <c r="TY659" s="268"/>
      <c r="TZ659" s="268"/>
      <c r="UA659" s="268"/>
      <c r="UB659" s="268"/>
      <c r="UC659" s="268"/>
      <c r="UD659" s="268"/>
      <c r="UE659" s="268"/>
      <c r="UF659" s="268"/>
      <c r="UG659" s="268"/>
      <c r="UH659" s="268"/>
      <c r="UI659" s="268"/>
      <c r="UJ659" s="268"/>
      <c r="UK659" s="268"/>
      <c r="UL659" s="268"/>
      <c r="UM659" s="268"/>
      <c r="UN659" s="268"/>
      <c r="UO659" s="268"/>
      <c r="UP659" s="268"/>
      <c r="UQ659" s="268"/>
      <c r="UR659" s="268"/>
      <c r="US659" s="268"/>
      <c r="UT659" s="268"/>
      <c r="UU659" s="268"/>
      <c r="UV659" s="268"/>
      <c r="UW659" s="268"/>
      <c r="UX659" s="268"/>
      <c r="UY659" s="268"/>
      <c r="UZ659" s="268"/>
      <c r="VA659" s="268"/>
      <c r="VB659" s="268"/>
      <c r="VC659" s="268"/>
      <c r="VD659" s="268"/>
      <c r="VE659" s="268"/>
      <c r="VF659" s="268"/>
      <c r="VG659" s="268"/>
      <c r="VH659" s="268"/>
      <c r="VI659" s="268"/>
      <c r="VJ659" s="268"/>
      <c r="VK659" s="268"/>
      <c r="VL659" s="268"/>
      <c r="VM659" s="268"/>
      <c r="VN659" s="268"/>
      <c r="VO659" s="268"/>
      <c r="VP659" s="268"/>
      <c r="VQ659" s="268"/>
      <c r="VR659" s="268"/>
      <c r="VS659" s="268"/>
      <c r="VT659" s="268"/>
      <c r="VU659" s="268"/>
      <c r="VV659" s="268"/>
      <c r="VW659" s="268"/>
      <c r="VX659" s="268"/>
      <c r="VY659" s="268"/>
      <c r="VZ659" s="268"/>
      <c r="WA659" s="268"/>
      <c r="WB659" s="268"/>
      <c r="WC659" s="268"/>
      <c r="WD659" s="268"/>
      <c r="WE659" s="268"/>
      <c r="WF659" s="268"/>
      <c r="WG659" s="268"/>
      <c r="WH659" s="268"/>
      <c r="WI659" s="268"/>
      <c r="WJ659" s="268"/>
      <c r="WK659" s="268"/>
      <c r="WL659" s="268"/>
      <c r="WM659" s="268"/>
      <c r="WN659" s="268"/>
      <c r="WO659" s="268"/>
      <c r="WP659" s="268"/>
      <c r="WQ659" s="268"/>
      <c r="WR659" s="268"/>
      <c r="WS659" s="268"/>
      <c r="WT659" s="268"/>
      <c r="WU659" s="268"/>
      <c r="WV659" s="268"/>
      <c r="WW659" s="268"/>
      <c r="WX659" s="268"/>
      <c r="WY659" s="268"/>
      <c r="WZ659" s="268"/>
      <c r="XA659" s="268"/>
      <c r="XB659" s="268"/>
      <c r="XC659" s="268"/>
      <c r="XD659" s="268"/>
      <c r="XE659" s="268"/>
      <c r="XF659" s="268"/>
      <c r="XG659" s="268"/>
      <c r="XH659" s="268"/>
      <c r="XI659" s="268"/>
      <c r="XJ659" s="268"/>
      <c r="XK659" s="268"/>
      <c r="XL659" s="268"/>
      <c r="XM659" s="268"/>
      <c r="XN659" s="268"/>
      <c r="XO659" s="268"/>
      <c r="XP659" s="268"/>
      <c r="XQ659" s="268"/>
      <c r="XR659" s="268"/>
      <c r="XS659" s="268"/>
      <c r="XT659" s="268"/>
      <c r="XU659" s="268"/>
      <c r="XV659" s="268"/>
      <c r="XW659" s="268"/>
      <c r="XX659" s="268"/>
      <c r="XY659" s="268"/>
      <c r="XZ659" s="268"/>
      <c r="YA659" s="268"/>
      <c r="YB659" s="268"/>
      <c r="YC659" s="268"/>
      <c r="YD659" s="268"/>
      <c r="YE659" s="268"/>
      <c r="YF659" s="268"/>
      <c r="YG659" s="268"/>
      <c r="YH659" s="268"/>
      <c r="YI659" s="268"/>
      <c r="YJ659" s="268"/>
      <c r="YK659" s="268"/>
      <c r="YL659" s="268"/>
      <c r="YM659" s="268"/>
      <c r="YN659" s="268"/>
      <c r="YO659" s="268"/>
      <c r="YP659" s="268"/>
      <c r="YQ659" s="268"/>
      <c r="YR659" s="268"/>
      <c r="YS659" s="268"/>
      <c r="YT659" s="268"/>
      <c r="YU659" s="268"/>
      <c r="YV659" s="268"/>
      <c r="YW659" s="268"/>
      <c r="YX659" s="268"/>
      <c r="YY659" s="268"/>
      <c r="YZ659" s="268"/>
      <c r="ZA659" s="268"/>
      <c r="ZB659" s="268"/>
      <c r="ZC659" s="268"/>
      <c r="ZD659" s="268"/>
      <c r="ZE659" s="268"/>
      <c r="ZF659" s="268"/>
      <c r="ZG659" s="268"/>
      <c r="ZH659" s="268"/>
      <c r="ZI659" s="268"/>
      <c r="ZJ659" s="268"/>
      <c r="ZK659" s="268"/>
      <c r="ZL659" s="268"/>
      <c r="ZM659" s="268"/>
      <c r="ZN659" s="268"/>
      <c r="ZO659" s="268"/>
      <c r="ZP659" s="268"/>
      <c r="ZQ659" s="268"/>
      <c r="ZR659" s="268"/>
      <c r="ZS659" s="268"/>
      <c r="ZT659" s="268"/>
      <c r="ZU659" s="268"/>
      <c r="ZV659" s="268"/>
      <c r="ZW659" s="268"/>
      <c r="ZX659" s="268"/>
      <c r="ZY659" s="268"/>
      <c r="ZZ659" s="268"/>
      <c r="AAA659" s="268"/>
      <c r="AAB659" s="268"/>
      <c r="AAC659" s="268"/>
      <c r="AAD659" s="268"/>
      <c r="AAE659" s="268"/>
      <c r="AAF659" s="268"/>
      <c r="AAG659" s="268"/>
      <c r="AAH659" s="268"/>
      <c r="AAI659" s="268"/>
      <c r="AAJ659" s="268"/>
      <c r="AAK659" s="268"/>
      <c r="AAL659" s="268"/>
      <c r="AAM659" s="268"/>
      <c r="AAN659" s="268"/>
      <c r="AAO659" s="268"/>
      <c r="AAP659" s="268"/>
      <c r="AAQ659" s="268"/>
      <c r="AAR659" s="268"/>
      <c r="AAS659" s="268"/>
      <c r="AAT659" s="268"/>
      <c r="AAU659" s="268"/>
      <c r="AAV659" s="268"/>
      <c r="AAW659" s="268"/>
      <c r="AAX659" s="268"/>
      <c r="AAY659" s="268"/>
      <c r="AAZ659" s="268"/>
      <c r="ABA659" s="268"/>
      <c r="ABB659" s="268"/>
      <c r="ABC659" s="268"/>
      <c r="ABD659" s="268"/>
      <c r="ABE659" s="268"/>
      <c r="ABF659" s="268"/>
      <c r="ABG659" s="268"/>
      <c r="ABH659" s="268"/>
      <c r="ABI659" s="268"/>
      <c r="ABJ659" s="268"/>
      <c r="ABK659" s="268"/>
      <c r="ABL659" s="268"/>
      <c r="ABM659" s="268"/>
      <c r="ABN659" s="268"/>
      <c r="ABO659" s="268"/>
      <c r="ABP659" s="268"/>
      <c r="ABQ659" s="268"/>
      <c r="ABR659" s="268"/>
      <c r="ABS659" s="268"/>
      <c r="ABT659" s="268"/>
      <c r="ABU659" s="268"/>
      <c r="ABV659" s="268"/>
      <c r="ABW659" s="268"/>
      <c r="ABX659" s="268"/>
      <c r="ABY659" s="268"/>
      <c r="ABZ659" s="268"/>
      <c r="ACA659" s="268"/>
      <c r="ACB659" s="268"/>
      <c r="ACC659" s="268"/>
      <c r="ACD659" s="268"/>
      <c r="ACE659" s="268"/>
      <c r="ACS659" s="268"/>
      <c r="ACT659" s="268"/>
      <c r="ACU659" s="268"/>
      <c r="ADI659" s="268"/>
      <c r="ADK659" s="268"/>
      <c r="ADL659" s="268"/>
      <c r="ADM659" s="268"/>
      <c r="ADN659" s="268"/>
      <c r="ADO659" s="268"/>
      <c r="ADP659" s="268"/>
      <c r="ADQ659" s="268"/>
      <c r="ADR659" s="268"/>
      <c r="ADS659" s="268"/>
      <c r="ADT659" s="268"/>
      <c r="ADU659" s="268"/>
      <c r="ADV659" s="268"/>
      <c r="ADW659" s="268"/>
      <c r="ADX659" s="268"/>
      <c r="ADY659" s="268"/>
      <c r="ADZ659" s="268"/>
      <c r="AEA659" s="268"/>
      <c r="AEB659" s="268"/>
      <c r="AEC659" s="268"/>
      <c r="AED659" s="268"/>
      <c r="AEE659" s="268"/>
      <c r="AEF659" s="268"/>
      <c r="AEG659" s="268"/>
      <c r="AEH659" s="268"/>
      <c r="AEI659" s="268"/>
      <c r="AEJ659" s="268"/>
      <c r="AEK659" s="268"/>
      <c r="AEL659" s="268"/>
      <c r="AEM659" s="268"/>
      <c r="AEN659" s="268"/>
      <c r="AEO659" s="268"/>
      <c r="AEP659" s="268"/>
      <c r="AEQ659" s="268"/>
      <c r="AER659" s="268"/>
      <c r="AES659" s="268"/>
      <c r="AET659" s="268"/>
      <c r="AEU659" s="268"/>
      <c r="AEV659" s="268"/>
      <c r="AEW659" s="268"/>
      <c r="AEX659" s="268"/>
      <c r="AEY659" s="268"/>
      <c r="AEZ659" s="268"/>
      <c r="AFA659" s="268"/>
      <c r="AFB659" s="268"/>
      <c r="AFC659" s="268"/>
      <c r="AFD659" s="268"/>
      <c r="AFE659" s="268"/>
      <c r="AFF659" s="268"/>
      <c r="AFG659" s="268"/>
      <c r="AFH659" s="268"/>
      <c r="AFI659" s="268"/>
      <c r="AFJ659" s="268"/>
      <c r="AFK659" s="268"/>
      <c r="AFL659" s="268"/>
      <c r="AFM659" s="268"/>
      <c r="AFN659" s="268"/>
      <c r="AFO659" s="268"/>
      <c r="AFP659" s="268"/>
      <c r="AFQ659" s="268"/>
      <c r="AFR659" s="268"/>
      <c r="AFS659" s="268"/>
      <c r="AFT659" s="268"/>
      <c r="AFU659" s="268"/>
      <c r="AFV659" s="268"/>
      <c r="AFW659" s="268"/>
      <c r="AFX659" s="268"/>
      <c r="AFY659" s="268"/>
      <c r="AFZ659" s="268"/>
      <c r="AGA659" s="268"/>
      <c r="AGB659" s="268"/>
      <c r="AGC659" s="268"/>
      <c r="AGD659" s="268"/>
      <c r="AGE659" s="268"/>
      <c r="AGF659" s="268"/>
      <c r="AGG659" s="268"/>
      <c r="AGH659" s="268"/>
      <c r="AGI659" s="268"/>
      <c r="AGJ659" s="268"/>
      <c r="AGK659" s="268"/>
      <c r="AGL659" s="268"/>
      <c r="AGM659" s="268"/>
      <c r="AGN659" s="268"/>
      <c r="AGO659" s="268"/>
      <c r="AGP659" s="268"/>
      <c r="AGQ659" s="268"/>
      <c r="AGR659" s="268"/>
      <c r="AGS659" s="268"/>
      <c r="AGT659" s="268"/>
      <c r="AGU659" s="268"/>
      <c r="AGV659" s="268"/>
      <c r="AGW659" s="268"/>
      <c r="AGX659" s="268"/>
      <c r="AGY659" s="268"/>
      <c r="AGZ659" s="268"/>
      <c r="AHA659" s="268"/>
      <c r="AHB659" s="268"/>
      <c r="AHC659" s="268"/>
      <c r="AHD659" s="268"/>
      <c r="AHE659" s="268"/>
      <c r="AHF659" s="268"/>
      <c r="AHG659" s="268"/>
      <c r="AHH659" s="268"/>
      <c r="AHI659" s="268"/>
      <c r="AHJ659" s="268"/>
      <c r="AHK659" s="268"/>
      <c r="AHL659" s="268"/>
      <c r="AHM659" s="268"/>
      <c r="AHN659" s="268"/>
      <c r="AHO659" s="268"/>
      <c r="AHP659" s="268"/>
      <c r="AHQ659" s="268"/>
      <c r="AHR659" s="268"/>
      <c r="AHS659" s="268"/>
      <c r="AHT659" s="268"/>
      <c r="AHU659" s="268"/>
      <c r="AHV659" s="268"/>
      <c r="AHW659" s="268"/>
      <c r="AHX659" s="268"/>
      <c r="AHY659" s="268"/>
      <c r="AHZ659" s="268"/>
      <c r="AIA659" s="268"/>
      <c r="AIB659" s="268"/>
      <c r="AIC659" s="268"/>
      <c r="AID659" s="268"/>
      <c r="AIE659" s="268"/>
      <c r="AIF659" s="268"/>
      <c r="AIG659" s="268"/>
      <c r="AIH659" s="268"/>
      <c r="AII659" s="268"/>
      <c r="AIJ659" s="268"/>
      <c r="AIK659" s="268"/>
      <c r="AIL659" s="268"/>
      <c r="AIM659" s="268"/>
      <c r="AIN659" s="268"/>
      <c r="AIO659" s="268"/>
      <c r="AIP659" s="268"/>
      <c r="AIQ659" s="268"/>
      <c r="AIR659" s="268"/>
      <c r="AIS659" s="268"/>
      <c r="AIT659" s="268"/>
      <c r="AIU659" s="268"/>
      <c r="AIV659" s="268"/>
      <c r="AIW659" s="268"/>
      <c r="AIX659" s="268"/>
      <c r="AIY659" s="268"/>
      <c r="AIZ659" s="268"/>
      <c r="AJA659" s="268"/>
      <c r="AJB659" s="268"/>
      <c r="AJC659" s="268"/>
      <c r="AJD659" s="268"/>
      <c r="AJE659" s="268"/>
      <c r="AJF659" s="268"/>
      <c r="AJG659" s="268"/>
      <c r="AJH659" s="268"/>
      <c r="AJI659" s="268"/>
      <c r="AJJ659" s="268"/>
      <c r="AJK659" s="268"/>
      <c r="AJL659" s="268"/>
      <c r="AJM659" s="268"/>
      <c r="AJN659" s="268"/>
      <c r="AJO659" s="268"/>
      <c r="AJP659" s="268"/>
      <c r="AJQ659" s="268"/>
      <c r="AJR659" s="268"/>
      <c r="AJS659" s="268"/>
      <c r="AJT659" s="268"/>
      <c r="AJU659" s="268"/>
      <c r="AJV659" s="268"/>
      <c r="AJW659" s="268"/>
      <c r="AJX659" s="268"/>
      <c r="AJY659" s="268"/>
      <c r="AJZ659" s="268"/>
      <c r="AKA659" s="268"/>
      <c r="AKB659" s="268"/>
      <c r="AKC659" s="268"/>
      <c r="AKD659" s="268"/>
      <c r="AKE659" s="268"/>
      <c r="AKF659" s="268"/>
      <c r="AKG659" s="268"/>
      <c r="AKH659" s="268"/>
      <c r="AKI659" s="268"/>
      <c r="AKJ659" s="268"/>
      <c r="AKK659" s="268"/>
      <c r="AKL659" s="268"/>
      <c r="AKM659" s="268"/>
      <c r="AKN659" s="268"/>
      <c r="AKO659" s="268"/>
      <c r="AKP659" s="268"/>
      <c r="AKQ659" s="268"/>
      <c r="AKR659" s="268"/>
      <c r="AKS659" s="268"/>
      <c r="AKT659" s="268"/>
      <c r="AKU659" s="268"/>
      <c r="AKV659" s="268"/>
      <c r="AKW659" s="268"/>
      <c r="AKX659" s="268"/>
      <c r="AKY659" s="268"/>
      <c r="AKZ659" s="268"/>
      <c r="ALA659" s="268"/>
      <c r="ALB659" s="268"/>
      <c r="ALC659" s="268"/>
      <c r="ALD659" s="268"/>
      <c r="ALE659" s="268"/>
      <c r="ALF659" s="268"/>
      <c r="ALG659" s="268"/>
      <c r="ALH659" s="268"/>
      <c r="ALI659" s="268"/>
      <c r="ALJ659" s="268"/>
      <c r="ALK659" s="268"/>
      <c r="ALL659" s="268"/>
      <c r="ALM659" s="268"/>
      <c r="ALN659" s="268"/>
      <c r="ALO659" s="268"/>
      <c r="ALP659" s="268"/>
      <c r="ALQ659" s="268"/>
      <c r="ALR659" s="268"/>
      <c r="ALS659" s="268"/>
      <c r="ALT659" s="268"/>
      <c r="ALU659" s="268"/>
      <c r="ALV659" s="268"/>
      <c r="ALW659" s="268"/>
      <c r="ALX659" s="268"/>
      <c r="ALY659" s="268"/>
      <c r="ALZ659" s="268"/>
      <c r="AMA659" s="268"/>
      <c r="AMO659" s="268"/>
      <c r="AMP659" s="268"/>
      <c r="AMQ659" s="268"/>
      <c r="ANE659" s="268"/>
      <c r="ANG659" s="268"/>
      <c r="ANH659" s="268"/>
      <c r="ANI659" s="268"/>
      <c r="ANJ659" s="268"/>
      <c r="ANK659" s="268"/>
      <c r="ANL659" s="268"/>
      <c r="ANM659" s="268"/>
      <c r="ANN659" s="268"/>
      <c r="ANO659" s="268"/>
      <c r="ANP659" s="268"/>
      <c r="ANQ659" s="268"/>
      <c r="ANR659" s="268"/>
      <c r="ANS659" s="268"/>
      <c r="ANT659" s="268"/>
      <c r="ANU659" s="268"/>
      <c r="ANV659" s="268"/>
      <c r="ANW659" s="268"/>
      <c r="ANX659" s="268"/>
      <c r="ANY659" s="268"/>
      <c r="ANZ659" s="268"/>
      <c r="AOA659" s="268"/>
      <c r="AOB659" s="268"/>
      <c r="AOC659" s="268"/>
      <c r="AOD659" s="268"/>
      <c r="AOE659" s="268"/>
      <c r="AOF659" s="268"/>
      <c r="AOG659" s="268"/>
      <c r="AOH659" s="268"/>
      <c r="AOI659" s="268"/>
      <c r="AOJ659" s="268"/>
      <c r="AOK659" s="268"/>
      <c r="AOL659" s="268"/>
      <c r="AOM659" s="268"/>
      <c r="AON659" s="268"/>
      <c r="AOO659" s="268"/>
      <c r="AOP659" s="268"/>
      <c r="AOQ659" s="268"/>
      <c r="AOR659" s="268"/>
      <c r="AOS659" s="268"/>
      <c r="AOT659" s="268"/>
      <c r="AOU659" s="268"/>
      <c r="AOV659" s="268"/>
      <c r="AOW659" s="268"/>
      <c r="AOX659" s="268"/>
      <c r="AOY659" s="268"/>
      <c r="AOZ659" s="268"/>
      <c r="APA659" s="268"/>
      <c r="APB659" s="268"/>
      <c r="APC659" s="268"/>
      <c r="APD659" s="268"/>
      <c r="APE659" s="268"/>
      <c r="APF659" s="268"/>
      <c r="APG659" s="268"/>
      <c r="APH659" s="268"/>
      <c r="API659" s="268"/>
      <c r="APJ659" s="268"/>
      <c r="APK659" s="268"/>
      <c r="APL659" s="268"/>
      <c r="APM659" s="268"/>
      <c r="APN659" s="268"/>
      <c r="APO659" s="268"/>
      <c r="APP659" s="268"/>
      <c r="APQ659" s="268"/>
      <c r="APR659" s="268"/>
      <c r="APS659" s="268"/>
      <c r="APT659" s="268"/>
      <c r="APU659" s="268"/>
      <c r="APV659" s="268"/>
      <c r="APW659" s="268"/>
      <c r="APX659" s="268"/>
      <c r="APY659" s="268"/>
      <c r="APZ659" s="268"/>
      <c r="AQA659" s="268"/>
      <c r="AQB659" s="268"/>
      <c r="AQC659" s="268"/>
      <c r="AQD659" s="268"/>
      <c r="AQE659" s="268"/>
      <c r="AQF659" s="268"/>
      <c r="AQG659" s="268"/>
      <c r="AQH659" s="268"/>
      <c r="AQI659" s="268"/>
      <c r="AQJ659" s="268"/>
      <c r="AQK659" s="268"/>
      <c r="AQL659" s="268"/>
      <c r="AQM659" s="268"/>
      <c r="AQN659" s="268"/>
      <c r="AQO659" s="268"/>
      <c r="AQP659" s="268"/>
      <c r="AQQ659" s="268"/>
      <c r="AQR659" s="268"/>
      <c r="AQS659" s="268"/>
      <c r="AQT659" s="268"/>
      <c r="AQU659" s="268"/>
      <c r="AQV659" s="268"/>
      <c r="AQW659" s="268"/>
      <c r="AQX659" s="268"/>
      <c r="AQY659" s="268"/>
      <c r="AQZ659" s="268"/>
      <c r="ARA659" s="268"/>
      <c r="ARB659" s="268"/>
      <c r="ARC659" s="268"/>
      <c r="ARD659" s="268"/>
      <c r="ARE659" s="268"/>
      <c r="ARF659" s="268"/>
      <c r="ARG659" s="268"/>
      <c r="ARH659" s="268"/>
      <c r="ARI659" s="268"/>
      <c r="ARJ659" s="268"/>
      <c r="ARK659" s="268"/>
      <c r="ARL659" s="268"/>
      <c r="ARM659" s="268"/>
      <c r="ARN659" s="268"/>
      <c r="ARO659" s="268"/>
      <c r="ARP659" s="268"/>
      <c r="ARQ659" s="268"/>
      <c r="ARR659" s="268"/>
      <c r="ARS659" s="268"/>
      <c r="ART659" s="268"/>
      <c r="ARU659" s="268"/>
      <c r="ARV659" s="268"/>
      <c r="ARW659" s="268"/>
      <c r="ARX659" s="268"/>
      <c r="ARY659" s="268"/>
      <c r="ARZ659" s="268"/>
      <c r="ASA659" s="268"/>
      <c r="ASB659" s="268"/>
      <c r="ASC659" s="268"/>
      <c r="ASD659" s="268"/>
      <c r="ASE659" s="268"/>
      <c r="ASF659" s="268"/>
      <c r="ASG659" s="268"/>
      <c r="ASH659" s="268"/>
      <c r="ASI659" s="268"/>
      <c r="ASJ659" s="268"/>
      <c r="ASK659" s="268"/>
      <c r="ASL659" s="268"/>
      <c r="ASM659" s="268"/>
      <c r="ASN659" s="268"/>
      <c r="ASO659" s="268"/>
      <c r="ASP659" s="268"/>
      <c r="ASQ659" s="268"/>
      <c r="ASR659" s="268"/>
      <c r="ASS659" s="268"/>
      <c r="AST659" s="268"/>
      <c r="ASU659" s="268"/>
      <c r="ASV659" s="268"/>
      <c r="ASW659" s="268"/>
      <c r="ASX659" s="268"/>
      <c r="ASY659" s="268"/>
      <c r="ASZ659" s="268"/>
      <c r="ATA659" s="268"/>
      <c r="ATB659" s="268"/>
      <c r="ATC659" s="268"/>
      <c r="ATD659" s="268"/>
      <c r="ATE659" s="268"/>
      <c r="ATF659" s="268"/>
      <c r="ATG659" s="268"/>
      <c r="ATH659" s="268"/>
      <c r="ATI659" s="268"/>
      <c r="ATJ659" s="268"/>
      <c r="ATK659" s="268"/>
      <c r="ATL659" s="268"/>
      <c r="ATM659" s="268"/>
      <c r="ATN659" s="268"/>
      <c r="ATO659" s="268"/>
      <c r="ATP659" s="268"/>
      <c r="ATQ659" s="268"/>
      <c r="ATR659" s="268"/>
      <c r="ATS659" s="268"/>
      <c r="ATT659" s="268"/>
      <c r="ATU659" s="268"/>
      <c r="ATV659" s="268"/>
      <c r="ATW659" s="268"/>
      <c r="ATX659" s="268"/>
      <c r="ATY659" s="268"/>
      <c r="ATZ659" s="268"/>
      <c r="AUA659" s="268"/>
      <c r="AUB659" s="268"/>
      <c r="AUC659" s="268"/>
      <c r="AUD659" s="268"/>
      <c r="AUE659" s="268"/>
      <c r="AUF659" s="268"/>
      <c r="AUG659" s="268"/>
      <c r="AUH659" s="268"/>
      <c r="AUI659" s="268"/>
      <c r="AUJ659" s="268"/>
      <c r="AUK659" s="268"/>
      <c r="AUL659" s="268"/>
      <c r="AUM659" s="268"/>
      <c r="AUN659" s="268"/>
      <c r="AUO659" s="268"/>
      <c r="AUP659" s="268"/>
      <c r="AUQ659" s="268"/>
      <c r="AUR659" s="268"/>
      <c r="AUS659" s="268"/>
      <c r="AUT659" s="268"/>
      <c r="AUU659" s="268"/>
      <c r="AUV659" s="268"/>
      <c r="AUW659" s="268"/>
      <c r="AUX659" s="268"/>
      <c r="AUY659" s="268"/>
      <c r="AUZ659" s="268"/>
      <c r="AVA659" s="268"/>
      <c r="AVB659" s="268"/>
      <c r="AVC659" s="268"/>
      <c r="AVD659" s="268"/>
      <c r="AVE659" s="268"/>
      <c r="AVF659" s="268"/>
      <c r="AVG659" s="268"/>
      <c r="AVH659" s="268"/>
      <c r="AVI659" s="268"/>
      <c r="AVJ659" s="268"/>
      <c r="AVK659" s="268"/>
      <c r="AVL659" s="268"/>
      <c r="AVM659" s="268"/>
      <c r="AVN659" s="268"/>
      <c r="AVO659" s="268"/>
      <c r="AVP659" s="268"/>
      <c r="AVQ659" s="268"/>
      <c r="AVR659" s="268"/>
      <c r="AVS659" s="268"/>
      <c r="AVT659" s="268"/>
      <c r="AVU659" s="268"/>
      <c r="AVV659" s="268"/>
      <c r="AVW659" s="268"/>
      <c r="AWK659" s="268"/>
      <c r="AWL659" s="268"/>
      <c r="AWM659" s="268"/>
      <c r="AXA659" s="268"/>
      <c r="AXC659" s="268"/>
      <c r="AXD659" s="268"/>
      <c r="AXE659" s="268"/>
      <c r="AXF659" s="268"/>
      <c r="AXG659" s="268"/>
      <c r="AXH659" s="268"/>
      <c r="AXI659" s="268"/>
      <c r="AXJ659" s="268"/>
      <c r="AXK659" s="268"/>
      <c r="AXL659" s="268"/>
      <c r="AXM659" s="268"/>
      <c r="AXN659" s="268"/>
      <c r="AXO659" s="268"/>
      <c r="AXP659" s="268"/>
      <c r="AXQ659" s="268"/>
      <c r="AXR659" s="268"/>
      <c r="AXS659" s="268"/>
      <c r="AXT659" s="268"/>
      <c r="AXU659" s="268"/>
      <c r="AXV659" s="268"/>
      <c r="AXW659" s="268"/>
      <c r="AXX659" s="268"/>
      <c r="AXY659" s="268"/>
      <c r="AXZ659" s="268"/>
      <c r="AYA659" s="268"/>
      <c r="AYB659" s="268"/>
      <c r="AYC659" s="268"/>
      <c r="AYD659" s="268"/>
      <c r="AYE659" s="268"/>
      <c r="AYF659" s="268"/>
      <c r="AYG659" s="268"/>
      <c r="AYH659" s="268"/>
      <c r="AYI659" s="268"/>
      <c r="AYJ659" s="268"/>
      <c r="AYK659" s="268"/>
      <c r="AYL659" s="268"/>
      <c r="AYM659" s="268"/>
      <c r="AYN659" s="268"/>
      <c r="AYO659" s="268"/>
      <c r="AYP659" s="268"/>
      <c r="AYQ659" s="268"/>
      <c r="AYR659" s="268"/>
      <c r="AYS659" s="268"/>
      <c r="AYT659" s="268"/>
      <c r="AYU659" s="268"/>
      <c r="AYV659" s="268"/>
      <c r="AYW659" s="268"/>
      <c r="AYX659" s="268"/>
      <c r="AYY659" s="268"/>
      <c r="AYZ659" s="268"/>
      <c r="AZA659" s="268"/>
      <c r="AZB659" s="268"/>
      <c r="AZC659" s="268"/>
      <c r="AZD659" s="268"/>
      <c r="AZE659" s="268"/>
      <c r="AZF659" s="268"/>
      <c r="AZG659" s="268"/>
      <c r="AZH659" s="268"/>
      <c r="AZI659" s="268"/>
      <c r="AZJ659" s="268"/>
      <c r="AZK659" s="268"/>
      <c r="AZL659" s="268"/>
      <c r="AZM659" s="268"/>
      <c r="AZN659" s="268"/>
      <c r="AZO659" s="268"/>
      <c r="AZP659" s="268"/>
      <c r="AZQ659" s="268"/>
      <c r="AZR659" s="268"/>
      <c r="AZS659" s="268"/>
      <c r="AZT659" s="268"/>
      <c r="AZU659" s="268"/>
      <c r="AZV659" s="268"/>
      <c r="AZW659" s="268"/>
      <c r="AZX659" s="268"/>
      <c r="AZY659" s="268"/>
      <c r="AZZ659" s="268"/>
      <c r="BAA659" s="268"/>
      <c r="BAB659" s="268"/>
      <c r="BAC659" s="268"/>
      <c r="BAD659" s="268"/>
      <c r="BAE659" s="268"/>
      <c r="BAF659" s="268"/>
      <c r="BAG659" s="268"/>
      <c r="BAH659" s="268"/>
      <c r="BAI659" s="268"/>
      <c r="BAJ659" s="268"/>
      <c r="BAK659" s="268"/>
      <c r="BAL659" s="268"/>
      <c r="BAM659" s="268"/>
      <c r="BAN659" s="268"/>
      <c r="BAO659" s="268"/>
      <c r="BAP659" s="268"/>
      <c r="BAQ659" s="268"/>
      <c r="BAR659" s="268"/>
      <c r="BAS659" s="268"/>
      <c r="BAT659" s="268"/>
      <c r="BAU659" s="268"/>
      <c r="BAV659" s="268"/>
      <c r="BAW659" s="268"/>
      <c r="BAX659" s="268"/>
      <c r="BAY659" s="268"/>
      <c r="BAZ659" s="268"/>
      <c r="BBA659" s="268"/>
      <c r="BBB659" s="268"/>
      <c r="BBC659" s="268"/>
      <c r="BBD659" s="268"/>
      <c r="BBE659" s="268"/>
      <c r="BBF659" s="268"/>
      <c r="BBG659" s="268"/>
      <c r="BBH659" s="268"/>
      <c r="BBI659" s="268"/>
      <c r="BBJ659" s="268"/>
      <c r="BBK659" s="268"/>
      <c r="BBL659" s="268"/>
      <c r="BBM659" s="268"/>
      <c r="BBN659" s="268"/>
      <c r="BBO659" s="268"/>
      <c r="BBP659" s="268"/>
      <c r="BBQ659" s="268"/>
      <c r="BBR659" s="268"/>
      <c r="BBS659" s="268"/>
      <c r="BBT659" s="268"/>
      <c r="BBU659" s="268"/>
      <c r="BBV659" s="268"/>
      <c r="BBW659" s="268"/>
      <c r="BBX659" s="268"/>
      <c r="BBY659" s="268"/>
      <c r="BBZ659" s="268"/>
      <c r="BCA659" s="268"/>
      <c r="BCB659" s="268"/>
      <c r="BCC659" s="268"/>
      <c r="BCD659" s="268"/>
      <c r="BCE659" s="268"/>
      <c r="BCF659" s="268"/>
      <c r="BCG659" s="268"/>
      <c r="BCH659" s="268"/>
      <c r="BCI659" s="268"/>
      <c r="BCJ659" s="268"/>
      <c r="BCK659" s="268"/>
      <c r="BCL659" s="268"/>
      <c r="BCM659" s="268"/>
      <c r="BCN659" s="268"/>
      <c r="BCO659" s="268"/>
      <c r="BCP659" s="268"/>
      <c r="BCQ659" s="268"/>
      <c r="BCR659" s="268"/>
      <c r="BCS659" s="268"/>
      <c r="BCT659" s="268"/>
      <c r="BCU659" s="268"/>
      <c r="BCV659" s="268"/>
      <c r="BCW659" s="268"/>
      <c r="BCX659" s="268"/>
      <c r="BCY659" s="268"/>
      <c r="BCZ659" s="268"/>
      <c r="BDA659" s="268"/>
      <c r="BDB659" s="268"/>
      <c r="BDC659" s="268"/>
      <c r="BDD659" s="268"/>
      <c r="BDE659" s="268"/>
      <c r="BDF659" s="268"/>
      <c r="BDG659" s="268"/>
      <c r="BDH659" s="268"/>
      <c r="BDI659" s="268"/>
      <c r="BDJ659" s="268"/>
      <c r="BDK659" s="268"/>
      <c r="BDL659" s="268"/>
      <c r="BDM659" s="268"/>
      <c r="BDN659" s="268"/>
      <c r="BDO659" s="268"/>
      <c r="BDP659" s="268"/>
      <c r="BDQ659" s="268"/>
      <c r="BDR659" s="268"/>
      <c r="BDS659" s="268"/>
      <c r="BDT659" s="268"/>
      <c r="BDU659" s="268"/>
      <c r="BDV659" s="268"/>
      <c r="BDW659" s="268"/>
      <c r="BDX659" s="268"/>
      <c r="BDY659" s="268"/>
      <c r="BDZ659" s="268"/>
      <c r="BEA659" s="268"/>
      <c r="BEB659" s="268"/>
      <c r="BEC659" s="268"/>
      <c r="BED659" s="268"/>
      <c r="BEE659" s="268"/>
      <c r="BEF659" s="268"/>
      <c r="BEG659" s="268"/>
      <c r="BEH659" s="268"/>
      <c r="BEI659" s="268"/>
      <c r="BEJ659" s="268"/>
      <c r="BEK659" s="268"/>
      <c r="BEL659" s="268"/>
      <c r="BEM659" s="268"/>
      <c r="BEN659" s="268"/>
      <c r="BEO659" s="268"/>
      <c r="BEP659" s="268"/>
      <c r="BEQ659" s="268"/>
      <c r="BER659" s="268"/>
      <c r="BES659" s="268"/>
      <c r="BET659" s="268"/>
      <c r="BEU659" s="268"/>
      <c r="BEV659" s="268"/>
      <c r="BEW659" s="268"/>
      <c r="BEX659" s="268"/>
      <c r="BEY659" s="268"/>
      <c r="BEZ659" s="268"/>
      <c r="BFA659" s="268"/>
      <c r="BFB659" s="268"/>
      <c r="BFC659" s="268"/>
      <c r="BFD659" s="268"/>
      <c r="BFE659" s="268"/>
      <c r="BFF659" s="268"/>
      <c r="BFG659" s="268"/>
      <c r="BFH659" s="268"/>
      <c r="BFI659" s="268"/>
      <c r="BFJ659" s="268"/>
      <c r="BFK659" s="268"/>
      <c r="BFL659" s="268"/>
      <c r="BFM659" s="268"/>
      <c r="BFN659" s="268"/>
      <c r="BFO659" s="268"/>
      <c r="BFP659" s="268"/>
      <c r="BFQ659" s="268"/>
      <c r="BFR659" s="268"/>
      <c r="BFS659" s="268"/>
      <c r="BGG659" s="268"/>
      <c r="BGH659" s="268"/>
      <c r="BGI659" s="268"/>
      <c r="BGW659" s="268"/>
      <c r="BGY659" s="268"/>
      <c r="BGZ659" s="268"/>
      <c r="BHA659" s="268"/>
      <c r="BHB659" s="268"/>
      <c r="BHC659" s="268"/>
      <c r="BHD659" s="268"/>
      <c r="BHE659" s="268"/>
      <c r="BHF659" s="268"/>
      <c r="BHG659" s="268"/>
      <c r="BHH659" s="268"/>
      <c r="BHI659" s="268"/>
      <c r="BHJ659" s="268"/>
      <c r="BHK659" s="268"/>
      <c r="BHL659" s="268"/>
      <c r="BHM659" s="268"/>
      <c r="BHN659" s="268"/>
      <c r="BHO659" s="268"/>
      <c r="BHP659" s="268"/>
      <c r="BHQ659" s="268"/>
      <c r="BHR659" s="268"/>
      <c r="BHS659" s="268"/>
      <c r="BHT659" s="268"/>
      <c r="BHU659" s="268"/>
      <c r="BHV659" s="268"/>
      <c r="BHW659" s="268"/>
      <c r="BHX659" s="268"/>
      <c r="BHY659" s="268"/>
      <c r="BHZ659" s="268"/>
      <c r="BIA659" s="268"/>
      <c r="BIB659" s="268"/>
      <c r="BIC659" s="268"/>
      <c r="BID659" s="268"/>
      <c r="BIE659" s="268"/>
      <c r="BIF659" s="268"/>
      <c r="BIG659" s="268"/>
      <c r="BIH659" s="268"/>
      <c r="BII659" s="268"/>
      <c r="BIJ659" s="268"/>
      <c r="BIK659" s="268"/>
      <c r="BIL659" s="268"/>
      <c r="BIM659" s="268"/>
      <c r="BIN659" s="268"/>
      <c r="BIO659" s="268"/>
      <c r="BIP659" s="268"/>
      <c r="BIQ659" s="268"/>
      <c r="BIR659" s="268"/>
      <c r="BIS659" s="268"/>
      <c r="BIT659" s="268"/>
      <c r="BIU659" s="268"/>
      <c r="BIV659" s="268"/>
      <c r="BIW659" s="268"/>
      <c r="BIX659" s="268"/>
      <c r="BIY659" s="268"/>
      <c r="BIZ659" s="268"/>
      <c r="BJA659" s="268"/>
      <c r="BJB659" s="268"/>
      <c r="BJC659" s="268"/>
      <c r="BJD659" s="268"/>
      <c r="BJE659" s="268"/>
      <c r="BJF659" s="268"/>
      <c r="BJG659" s="268"/>
      <c r="BJH659" s="268"/>
      <c r="BJI659" s="268"/>
      <c r="BJJ659" s="268"/>
      <c r="BJK659" s="268"/>
      <c r="BJL659" s="268"/>
      <c r="BJM659" s="268"/>
      <c r="BJN659" s="268"/>
      <c r="BJO659" s="268"/>
      <c r="BJP659" s="268"/>
      <c r="BJQ659" s="268"/>
      <c r="BJR659" s="268"/>
      <c r="BJS659" s="268"/>
      <c r="BJT659" s="268"/>
      <c r="BJU659" s="268"/>
      <c r="BJV659" s="268"/>
      <c r="BJW659" s="268"/>
      <c r="BJX659" s="268"/>
      <c r="BJY659" s="268"/>
      <c r="BJZ659" s="268"/>
      <c r="BKA659" s="268"/>
      <c r="BKB659" s="268"/>
      <c r="BKC659" s="268"/>
      <c r="BKD659" s="268"/>
      <c r="BKE659" s="268"/>
      <c r="BKF659" s="268"/>
      <c r="BKG659" s="268"/>
      <c r="BKH659" s="268"/>
      <c r="BKI659" s="268"/>
      <c r="BKJ659" s="268"/>
      <c r="BKK659" s="268"/>
      <c r="BKL659" s="268"/>
      <c r="BKM659" s="268"/>
      <c r="BKN659" s="268"/>
      <c r="BKO659" s="268"/>
      <c r="BKP659" s="268"/>
      <c r="BKQ659" s="268"/>
      <c r="BKR659" s="268"/>
      <c r="BKS659" s="268"/>
      <c r="BKT659" s="268"/>
      <c r="BKU659" s="268"/>
      <c r="BKV659" s="268"/>
      <c r="BKW659" s="268"/>
      <c r="BKX659" s="268"/>
      <c r="BKY659" s="268"/>
      <c r="BKZ659" s="268"/>
      <c r="BLA659" s="268"/>
      <c r="BLB659" s="268"/>
      <c r="BLC659" s="268"/>
      <c r="BLD659" s="268"/>
      <c r="BLE659" s="268"/>
      <c r="BLF659" s="268"/>
      <c r="BLG659" s="268"/>
      <c r="BLH659" s="268"/>
      <c r="BLI659" s="268"/>
      <c r="BLJ659" s="268"/>
      <c r="BLK659" s="268"/>
      <c r="BLL659" s="268"/>
      <c r="BLM659" s="268"/>
      <c r="BLN659" s="268"/>
      <c r="BLO659" s="268"/>
      <c r="BLP659" s="268"/>
      <c r="BLQ659" s="268"/>
      <c r="BLR659" s="268"/>
      <c r="BLS659" s="268"/>
      <c r="BLT659" s="268"/>
      <c r="BLU659" s="268"/>
      <c r="BLV659" s="268"/>
      <c r="BLW659" s="268"/>
      <c r="BLX659" s="268"/>
      <c r="BLY659" s="268"/>
      <c r="BLZ659" s="268"/>
      <c r="BMA659" s="268"/>
      <c r="BMB659" s="268"/>
      <c r="BMC659" s="268"/>
      <c r="BMD659" s="268"/>
      <c r="BME659" s="268"/>
      <c r="BMF659" s="268"/>
      <c r="BMG659" s="268"/>
      <c r="BMH659" s="268"/>
      <c r="BMI659" s="268"/>
      <c r="BMJ659" s="268"/>
      <c r="BMK659" s="268"/>
      <c r="BML659" s="268"/>
      <c r="BMM659" s="268"/>
      <c r="BMN659" s="268"/>
      <c r="BMO659" s="268"/>
      <c r="BMP659" s="268"/>
      <c r="BMQ659" s="268"/>
      <c r="BMR659" s="268"/>
      <c r="BMS659" s="268"/>
      <c r="BMT659" s="268"/>
      <c r="BMU659" s="268"/>
      <c r="BMV659" s="268"/>
      <c r="BMW659" s="268"/>
      <c r="BMX659" s="268"/>
      <c r="BMY659" s="268"/>
      <c r="BMZ659" s="268"/>
      <c r="BNA659" s="268"/>
      <c r="BNB659" s="268"/>
      <c r="BNC659" s="268"/>
      <c r="BND659" s="268"/>
      <c r="BNE659" s="268"/>
      <c r="BNF659" s="268"/>
      <c r="BNG659" s="268"/>
      <c r="BNH659" s="268"/>
      <c r="BNI659" s="268"/>
      <c r="BNJ659" s="268"/>
      <c r="BNK659" s="268"/>
      <c r="BNL659" s="268"/>
      <c r="BNM659" s="268"/>
      <c r="BNN659" s="268"/>
      <c r="BNO659" s="268"/>
      <c r="BNP659" s="268"/>
      <c r="BNQ659" s="268"/>
      <c r="BNR659" s="268"/>
      <c r="BNS659" s="268"/>
      <c r="BNT659" s="268"/>
      <c r="BNU659" s="268"/>
      <c r="BNV659" s="268"/>
      <c r="BNW659" s="268"/>
      <c r="BNX659" s="268"/>
      <c r="BNY659" s="268"/>
      <c r="BNZ659" s="268"/>
      <c r="BOA659" s="268"/>
      <c r="BOB659" s="268"/>
      <c r="BOC659" s="268"/>
      <c r="BOD659" s="268"/>
      <c r="BOE659" s="268"/>
      <c r="BOF659" s="268"/>
      <c r="BOG659" s="268"/>
      <c r="BOH659" s="268"/>
      <c r="BOI659" s="268"/>
      <c r="BOJ659" s="268"/>
      <c r="BOK659" s="268"/>
      <c r="BOL659" s="268"/>
      <c r="BOM659" s="268"/>
      <c r="BON659" s="268"/>
      <c r="BOO659" s="268"/>
      <c r="BOP659" s="268"/>
      <c r="BOQ659" s="268"/>
      <c r="BOR659" s="268"/>
      <c r="BOS659" s="268"/>
      <c r="BOT659" s="268"/>
      <c r="BOU659" s="268"/>
      <c r="BOV659" s="268"/>
      <c r="BOW659" s="268"/>
      <c r="BOX659" s="268"/>
      <c r="BOY659" s="268"/>
      <c r="BOZ659" s="268"/>
      <c r="BPA659" s="268"/>
      <c r="BPB659" s="268"/>
      <c r="BPC659" s="268"/>
      <c r="BPD659" s="268"/>
      <c r="BPE659" s="268"/>
      <c r="BPF659" s="268"/>
      <c r="BPG659" s="268"/>
      <c r="BPH659" s="268"/>
      <c r="BPI659" s="268"/>
      <c r="BPJ659" s="268"/>
      <c r="BPK659" s="268"/>
      <c r="BPL659" s="268"/>
      <c r="BPM659" s="268"/>
      <c r="BPN659" s="268"/>
      <c r="BPO659" s="268"/>
      <c r="BQC659" s="268"/>
      <c r="BQD659" s="268"/>
      <c r="BQE659" s="268"/>
      <c r="BQS659" s="268"/>
      <c r="BQU659" s="268"/>
      <c r="BQV659" s="268"/>
      <c r="BQW659" s="268"/>
      <c r="BQX659" s="268"/>
      <c r="BQY659" s="268"/>
      <c r="BQZ659" s="268"/>
      <c r="BRA659" s="268"/>
      <c r="BRB659" s="268"/>
      <c r="BRC659" s="268"/>
      <c r="BRD659" s="268"/>
      <c r="BRE659" s="268"/>
      <c r="BRF659" s="268"/>
      <c r="BRG659" s="268"/>
      <c r="BRH659" s="268"/>
      <c r="BRI659" s="268"/>
      <c r="BRJ659" s="268"/>
      <c r="BRK659" s="268"/>
      <c r="BRL659" s="268"/>
      <c r="BRM659" s="268"/>
      <c r="BRN659" s="268"/>
      <c r="BRO659" s="268"/>
      <c r="BRP659" s="268"/>
      <c r="BRQ659" s="268"/>
      <c r="BRR659" s="268"/>
      <c r="BRS659" s="268"/>
      <c r="BRT659" s="268"/>
      <c r="BRU659" s="268"/>
      <c r="BRV659" s="268"/>
      <c r="BRW659" s="268"/>
      <c r="BRX659" s="268"/>
      <c r="BRY659" s="268"/>
      <c r="BRZ659" s="268"/>
      <c r="BSA659" s="268"/>
      <c r="BSB659" s="268"/>
      <c r="BSC659" s="268"/>
      <c r="BSD659" s="268"/>
      <c r="BSE659" s="268"/>
      <c r="BSF659" s="268"/>
      <c r="BSG659" s="268"/>
      <c r="BSH659" s="268"/>
      <c r="BSI659" s="268"/>
      <c r="BSJ659" s="268"/>
      <c r="BSK659" s="268"/>
      <c r="BSL659" s="268"/>
      <c r="BSM659" s="268"/>
      <c r="BSN659" s="268"/>
      <c r="BSO659" s="268"/>
      <c r="BSP659" s="268"/>
      <c r="BSQ659" s="268"/>
      <c r="BSR659" s="268"/>
      <c r="BSS659" s="268"/>
      <c r="BST659" s="268"/>
      <c r="BSU659" s="268"/>
      <c r="BSV659" s="268"/>
      <c r="BSW659" s="268"/>
      <c r="BSX659" s="268"/>
      <c r="BSY659" s="268"/>
      <c r="BSZ659" s="268"/>
      <c r="BTA659" s="268"/>
      <c r="BTB659" s="268"/>
      <c r="BTC659" s="268"/>
      <c r="BTD659" s="268"/>
      <c r="BTE659" s="268"/>
      <c r="BTF659" s="268"/>
      <c r="BTG659" s="268"/>
      <c r="BTH659" s="268"/>
      <c r="BTI659" s="268"/>
      <c r="BTJ659" s="268"/>
      <c r="BTK659" s="268"/>
      <c r="BTL659" s="268"/>
      <c r="BTM659" s="268"/>
      <c r="BTN659" s="268"/>
      <c r="BTO659" s="268"/>
      <c r="BTP659" s="268"/>
      <c r="BTQ659" s="268"/>
      <c r="BTR659" s="268"/>
      <c r="BTS659" s="268"/>
      <c r="BTT659" s="268"/>
      <c r="BTU659" s="268"/>
      <c r="BTV659" s="268"/>
      <c r="BTW659" s="268"/>
      <c r="BTX659" s="268"/>
      <c r="BTY659" s="268"/>
      <c r="BTZ659" s="268"/>
      <c r="BUA659" s="268"/>
      <c r="BUB659" s="268"/>
      <c r="BUC659" s="268"/>
      <c r="BUD659" s="268"/>
      <c r="BUE659" s="268"/>
      <c r="BUF659" s="268"/>
      <c r="BUG659" s="268"/>
      <c r="BUH659" s="268"/>
      <c r="BUI659" s="268"/>
      <c r="BUJ659" s="268"/>
      <c r="BUK659" s="268"/>
      <c r="BUL659" s="268"/>
      <c r="BUM659" s="268"/>
      <c r="BUN659" s="268"/>
      <c r="BUO659" s="268"/>
      <c r="BUP659" s="268"/>
      <c r="BUQ659" s="268"/>
      <c r="BUR659" s="268"/>
      <c r="BUS659" s="268"/>
      <c r="BUT659" s="268"/>
      <c r="BUU659" s="268"/>
      <c r="BUV659" s="268"/>
      <c r="BUW659" s="268"/>
      <c r="BUX659" s="268"/>
      <c r="BUY659" s="268"/>
      <c r="BUZ659" s="268"/>
      <c r="BVA659" s="268"/>
      <c r="BVB659" s="268"/>
      <c r="BVC659" s="268"/>
      <c r="BVD659" s="268"/>
      <c r="BVE659" s="268"/>
      <c r="BVF659" s="268"/>
      <c r="BVG659" s="268"/>
      <c r="BVH659" s="268"/>
      <c r="BVI659" s="268"/>
      <c r="BVJ659" s="268"/>
      <c r="BVK659" s="268"/>
      <c r="BVL659" s="268"/>
      <c r="BVM659" s="268"/>
      <c r="BVN659" s="268"/>
      <c r="BVO659" s="268"/>
      <c r="BVP659" s="268"/>
      <c r="BVQ659" s="268"/>
      <c r="BVR659" s="268"/>
      <c r="BVS659" s="268"/>
      <c r="BVT659" s="268"/>
      <c r="BVU659" s="268"/>
      <c r="BVV659" s="268"/>
      <c r="BVW659" s="268"/>
      <c r="BVX659" s="268"/>
      <c r="BVY659" s="268"/>
      <c r="BVZ659" s="268"/>
      <c r="BWA659" s="268"/>
      <c r="BWB659" s="268"/>
      <c r="BWC659" s="268"/>
      <c r="BWD659" s="268"/>
      <c r="BWE659" s="268"/>
      <c r="BWF659" s="268"/>
      <c r="BWG659" s="268"/>
      <c r="BWH659" s="268"/>
      <c r="BWI659" s="268"/>
      <c r="BWJ659" s="268"/>
      <c r="BWK659" s="268"/>
      <c r="BWL659" s="268"/>
      <c r="BWM659" s="268"/>
      <c r="BWN659" s="268"/>
      <c r="BWO659" s="268"/>
      <c r="BWP659" s="268"/>
      <c r="BWQ659" s="268"/>
      <c r="BWR659" s="268"/>
      <c r="BWS659" s="268"/>
      <c r="BWT659" s="268"/>
      <c r="BWU659" s="268"/>
      <c r="BWV659" s="268"/>
      <c r="BWW659" s="268"/>
      <c r="BWX659" s="268"/>
      <c r="BWY659" s="268"/>
      <c r="BWZ659" s="268"/>
      <c r="BXA659" s="268"/>
      <c r="BXB659" s="268"/>
      <c r="BXC659" s="268"/>
      <c r="BXD659" s="268"/>
      <c r="BXE659" s="268"/>
      <c r="BXF659" s="268"/>
      <c r="BXG659" s="268"/>
      <c r="BXH659" s="268"/>
      <c r="BXI659" s="268"/>
      <c r="BXJ659" s="268"/>
      <c r="BXK659" s="268"/>
      <c r="BXL659" s="268"/>
      <c r="BXM659" s="268"/>
      <c r="BXN659" s="268"/>
      <c r="BXO659" s="268"/>
      <c r="BXP659" s="268"/>
      <c r="BXQ659" s="268"/>
      <c r="BXR659" s="268"/>
      <c r="BXS659" s="268"/>
      <c r="BXT659" s="268"/>
      <c r="BXU659" s="268"/>
      <c r="BXV659" s="268"/>
      <c r="BXW659" s="268"/>
      <c r="BXX659" s="268"/>
      <c r="BXY659" s="268"/>
      <c r="BXZ659" s="268"/>
      <c r="BYA659" s="268"/>
      <c r="BYB659" s="268"/>
      <c r="BYC659" s="268"/>
      <c r="BYD659" s="268"/>
      <c r="BYE659" s="268"/>
      <c r="BYF659" s="268"/>
      <c r="BYG659" s="268"/>
      <c r="BYH659" s="268"/>
      <c r="BYI659" s="268"/>
      <c r="BYJ659" s="268"/>
      <c r="BYK659" s="268"/>
      <c r="BYL659" s="268"/>
      <c r="BYM659" s="268"/>
      <c r="BYN659" s="268"/>
      <c r="BYO659" s="268"/>
      <c r="BYP659" s="268"/>
      <c r="BYQ659" s="268"/>
      <c r="BYR659" s="268"/>
      <c r="BYS659" s="268"/>
      <c r="BYT659" s="268"/>
      <c r="BYU659" s="268"/>
      <c r="BYV659" s="268"/>
      <c r="BYW659" s="268"/>
      <c r="BYX659" s="268"/>
      <c r="BYY659" s="268"/>
      <c r="BYZ659" s="268"/>
      <c r="BZA659" s="268"/>
      <c r="BZB659" s="268"/>
      <c r="BZC659" s="268"/>
      <c r="BZD659" s="268"/>
      <c r="BZE659" s="268"/>
      <c r="BZF659" s="268"/>
      <c r="BZG659" s="268"/>
      <c r="BZH659" s="268"/>
      <c r="BZI659" s="268"/>
      <c r="BZJ659" s="268"/>
      <c r="BZK659" s="268"/>
      <c r="BZY659" s="268"/>
      <c r="BZZ659" s="268"/>
      <c r="CAA659" s="268"/>
      <c r="CAO659" s="268"/>
      <c r="CAQ659" s="268"/>
      <c r="CAR659" s="268"/>
      <c r="CAS659" s="268"/>
      <c r="CAT659" s="268"/>
      <c r="CAU659" s="268"/>
      <c r="CAV659" s="268"/>
      <c r="CAW659" s="268"/>
      <c r="CAX659" s="268"/>
      <c r="CAY659" s="268"/>
      <c r="CAZ659" s="268"/>
      <c r="CBA659" s="268"/>
      <c r="CBB659" s="268"/>
      <c r="CBC659" s="268"/>
      <c r="CBD659" s="268"/>
      <c r="CBE659" s="268"/>
      <c r="CBF659" s="268"/>
      <c r="CBG659" s="268"/>
      <c r="CBH659" s="268"/>
      <c r="CBI659" s="268"/>
      <c r="CBJ659" s="268"/>
      <c r="CBK659" s="268"/>
      <c r="CBL659" s="268"/>
      <c r="CBM659" s="268"/>
      <c r="CBN659" s="268"/>
      <c r="CBO659" s="268"/>
      <c r="CBP659" s="268"/>
      <c r="CBQ659" s="268"/>
      <c r="CBR659" s="268"/>
      <c r="CBS659" s="268"/>
      <c r="CBT659" s="268"/>
      <c r="CBU659" s="268"/>
      <c r="CBV659" s="268"/>
      <c r="CBW659" s="268"/>
      <c r="CBX659" s="268"/>
      <c r="CBY659" s="268"/>
      <c r="CBZ659" s="268"/>
      <c r="CCA659" s="268"/>
      <c r="CCB659" s="268"/>
      <c r="CCC659" s="268"/>
      <c r="CCD659" s="268"/>
      <c r="CCE659" s="268"/>
      <c r="CCF659" s="268"/>
      <c r="CCG659" s="268"/>
      <c r="CCH659" s="268"/>
      <c r="CCI659" s="268"/>
      <c r="CCJ659" s="268"/>
      <c r="CCK659" s="268"/>
      <c r="CCL659" s="268"/>
      <c r="CCM659" s="268"/>
      <c r="CCN659" s="268"/>
      <c r="CCO659" s="268"/>
      <c r="CCP659" s="268"/>
      <c r="CCQ659" s="268"/>
      <c r="CCR659" s="268"/>
      <c r="CCS659" s="268"/>
      <c r="CCT659" s="268"/>
      <c r="CCU659" s="268"/>
      <c r="CCV659" s="268"/>
      <c r="CCW659" s="268"/>
      <c r="CCX659" s="268"/>
      <c r="CCY659" s="268"/>
      <c r="CCZ659" s="268"/>
      <c r="CDA659" s="268"/>
      <c r="CDB659" s="268"/>
      <c r="CDC659" s="268"/>
      <c r="CDD659" s="268"/>
      <c r="CDE659" s="268"/>
      <c r="CDF659" s="268"/>
      <c r="CDG659" s="268"/>
      <c r="CDH659" s="268"/>
      <c r="CDI659" s="268"/>
      <c r="CDJ659" s="268"/>
      <c r="CDK659" s="268"/>
      <c r="CDL659" s="268"/>
      <c r="CDM659" s="268"/>
      <c r="CDN659" s="268"/>
      <c r="CDO659" s="268"/>
      <c r="CDP659" s="268"/>
      <c r="CDQ659" s="268"/>
      <c r="CDR659" s="268"/>
      <c r="CDS659" s="268"/>
      <c r="CDT659" s="268"/>
      <c r="CDU659" s="268"/>
      <c r="CDV659" s="268"/>
      <c r="CDW659" s="268"/>
      <c r="CDX659" s="268"/>
      <c r="CDY659" s="268"/>
      <c r="CDZ659" s="268"/>
      <c r="CEA659" s="268"/>
      <c r="CEB659" s="268"/>
      <c r="CEC659" s="268"/>
      <c r="CED659" s="268"/>
      <c r="CEE659" s="268"/>
      <c r="CEF659" s="268"/>
      <c r="CEG659" s="268"/>
      <c r="CEH659" s="268"/>
      <c r="CEI659" s="268"/>
      <c r="CEJ659" s="268"/>
      <c r="CEK659" s="268"/>
      <c r="CEL659" s="268"/>
      <c r="CEM659" s="268"/>
      <c r="CEN659" s="268"/>
      <c r="CEO659" s="268"/>
      <c r="CEP659" s="268"/>
      <c r="CEQ659" s="268"/>
      <c r="CER659" s="268"/>
      <c r="CES659" s="268"/>
      <c r="CET659" s="268"/>
      <c r="CEU659" s="268"/>
      <c r="CEV659" s="268"/>
      <c r="CEW659" s="268"/>
      <c r="CEX659" s="268"/>
      <c r="CEY659" s="268"/>
      <c r="CEZ659" s="268"/>
      <c r="CFA659" s="268"/>
      <c r="CFB659" s="268"/>
      <c r="CFC659" s="268"/>
      <c r="CFD659" s="268"/>
      <c r="CFE659" s="268"/>
      <c r="CFF659" s="268"/>
      <c r="CFG659" s="268"/>
      <c r="CFH659" s="268"/>
      <c r="CFI659" s="268"/>
      <c r="CFJ659" s="268"/>
      <c r="CFK659" s="268"/>
      <c r="CFL659" s="268"/>
      <c r="CFM659" s="268"/>
      <c r="CFN659" s="268"/>
      <c r="CFO659" s="268"/>
      <c r="CFP659" s="268"/>
      <c r="CFQ659" s="268"/>
      <c r="CFR659" s="268"/>
      <c r="CFS659" s="268"/>
      <c r="CFT659" s="268"/>
      <c r="CFU659" s="268"/>
      <c r="CFV659" s="268"/>
      <c r="CFW659" s="268"/>
      <c r="CFX659" s="268"/>
      <c r="CFY659" s="268"/>
      <c r="CFZ659" s="268"/>
      <c r="CGA659" s="268"/>
      <c r="CGB659" s="268"/>
      <c r="CGC659" s="268"/>
      <c r="CGD659" s="268"/>
      <c r="CGE659" s="268"/>
      <c r="CGF659" s="268"/>
      <c r="CGG659" s="268"/>
      <c r="CGH659" s="268"/>
      <c r="CGI659" s="268"/>
      <c r="CGJ659" s="268"/>
      <c r="CGK659" s="268"/>
      <c r="CGL659" s="268"/>
      <c r="CGM659" s="268"/>
      <c r="CGN659" s="268"/>
      <c r="CGO659" s="268"/>
      <c r="CGP659" s="268"/>
      <c r="CGQ659" s="268"/>
      <c r="CGR659" s="268"/>
      <c r="CGS659" s="268"/>
      <c r="CGT659" s="268"/>
      <c r="CGU659" s="268"/>
      <c r="CGV659" s="268"/>
      <c r="CGW659" s="268"/>
      <c r="CGX659" s="268"/>
      <c r="CGY659" s="268"/>
      <c r="CGZ659" s="268"/>
      <c r="CHA659" s="268"/>
      <c r="CHB659" s="268"/>
      <c r="CHC659" s="268"/>
      <c r="CHD659" s="268"/>
      <c r="CHE659" s="268"/>
      <c r="CHF659" s="268"/>
      <c r="CHG659" s="268"/>
      <c r="CHH659" s="268"/>
      <c r="CHI659" s="268"/>
      <c r="CHJ659" s="268"/>
      <c r="CHK659" s="268"/>
      <c r="CHL659" s="268"/>
      <c r="CHM659" s="268"/>
      <c r="CHN659" s="268"/>
      <c r="CHO659" s="268"/>
      <c r="CHP659" s="268"/>
      <c r="CHQ659" s="268"/>
      <c r="CHR659" s="268"/>
      <c r="CHS659" s="268"/>
      <c r="CHT659" s="268"/>
      <c r="CHU659" s="268"/>
      <c r="CHV659" s="268"/>
      <c r="CHW659" s="268"/>
      <c r="CHX659" s="268"/>
      <c r="CHY659" s="268"/>
      <c r="CHZ659" s="268"/>
      <c r="CIA659" s="268"/>
      <c r="CIB659" s="268"/>
      <c r="CIC659" s="268"/>
      <c r="CID659" s="268"/>
      <c r="CIE659" s="268"/>
      <c r="CIF659" s="268"/>
      <c r="CIG659" s="268"/>
      <c r="CIH659" s="268"/>
      <c r="CII659" s="268"/>
      <c r="CIJ659" s="268"/>
      <c r="CIK659" s="268"/>
      <c r="CIL659" s="268"/>
      <c r="CIM659" s="268"/>
      <c r="CIN659" s="268"/>
      <c r="CIO659" s="268"/>
      <c r="CIP659" s="268"/>
      <c r="CIQ659" s="268"/>
      <c r="CIR659" s="268"/>
      <c r="CIS659" s="268"/>
      <c r="CIT659" s="268"/>
      <c r="CIU659" s="268"/>
      <c r="CIV659" s="268"/>
      <c r="CIW659" s="268"/>
      <c r="CIX659" s="268"/>
      <c r="CIY659" s="268"/>
      <c r="CIZ659" s="268"/>
      <c r="CJA659" s="268"/>
      <c r="CJB659" s="268"/>
      <c r="CJC659" s="268"/>
      <c r="CJD659" s="268"/>
      <c r="CJE659" s="268"/>
      <c r="CJF659" s="268"/>
      <c r="CJG659" s="268"/>
      <c r="CJU659" s="268"/>
      <c r="CJV659" s="268"/>
      <c r="CJW659" s="268"/>
      <c r="CKK659" s="268"/>
      <c r="CKM659" s="268"/>
      <c r="CKN659" s="268"/>
      <c r="CKO659" s="268"/>
      <c r="CKP659" s="268"/>
      <c r="CKQ659" s="268"/>
      <c r="CKR659" s="268"/>
      <c r="CKS659" s="268"/>
      <c r="CKT659" s="268"/>
      <c r="CKU659" s="268"/>
      <c r="CKV659" s="268"/>
      <c r="CKW659" s="268"/>
      <c r="CKX659" s="268"/>
      <c r="CKY659" s="268"/>
      <c r="CKZ659" s="268"/>
      <c r="CLA659" s="268"/>
      <c r="CLB659" s="268"/>
      <c r="CLC659" s="268"/>
      <c r="CLD659" s="268"/>
      <c r="CLE659" s="268"/>
      <c r="CLF659" s="268"/>
      <c r="CLG659" s="268"/>
      <c r="CLH659" s="268"/>
      <c r="CLI659" s="268"/>
      <c r="CLJ659" s="268"/>
      <c r="CLK659" s="268"/>
      <c r="CLL659" s="268"/>
      <c r="CLM659" s="268"/>
      <c r="CLN659" s="268"/>
      <c r="CLO659" s="268"/>
      <c r="CLP659" s="268"/>
      <c r="CLQ659" s="268"/>
      <c r="CLR659" s="268"/>
      <c r="CLS659" s="268"/>
      <c r="CLT659" s="268"/>
      <c r="CLU659" s="268"/>
      <c r="CLV659" s="268"/>
      <c r="CLW659" s="268"/>
      <c r="CLX659" s="268"/>
      <c r="CLY659" s="268"/>
      <c r="CLZ659" s="268"/>
      <c r="CMA659" s="268"/>
      <c r="CMB659" s="268"/>
      <c r="CMC659" s="268"/>
      <c r="CMD659" s="268"/>
      <c r="CME659" s="268"/>
      <c r="CMF659" s="268"/>
      <c r="CMG659" s="268"/>
      <c r="CMH659" s="268"/>
      <c r="CMI659" s="268"/>
      <c r="CMJ659" s="268"/>
      <c r="CMK659" s="268"/>
      <c r="CML659" s="268"/>
      <c r="CMM659" s="268"/>
      <c r="CMN659" s="268"/>
      <c r="CMO659" s="268"/>
      <c r="CMP659" s="268"/>
      <c r="CMQ659" s="268"/>
      <c r="CMR659" s="268"/>
      <c r="CMS659" s="268"/>
      <c r="CMT659" s="268"/>
      <c r="CMU659" s="268"/>
      <c r="CMV659" s="268"/>
      <c r="CMW659" s="268"/>
      <c r="CMX659" s="268"/>
      <c r="CMY659" s="268"/>
      <c r="CMZ659" s="268"/>
      <c r="CNA659" s="268"/>
      <c r="CNB659" s="268"/>
      <c r="CNC659" s="268"/>
      <c r="CND659" s="268"/>
      <c r="CNE659" s="268"/>
      <c r="CNF659" s="268"/>
      <c r="CNG659" s="268"/>
      <c r="CNH659" s="268"/>
      <c r="CNI659" s="268"/>
      <c r="CNJ659" s="268"/>
      <c r="CNK659" s="268"/>
      <c r="CNL659" s="268"/>
      <c r="CNM659" s="268"/>
      <c r="CNN659" s="268"/>
      <c r="CNO659" s="268"/>
      <c r="CNP659" s="268"/>
      <c r="CNQ659" s="268"/>
      <c r="CNR659" s="268"/>
      <c r="CNS659" s="268"/>
      <c r="CNT659" s="268"/>
      <c r="CNU659" s="268"/>
      <c r="CNV659" s="268"/>
      <c r="CNW659" s="268"/>
      <c r="CNX659" s="268"/>
      <c r="CNY659" s="268"/>
      <c r="CNZ659" s="268"/>
      <c r="COA659" s="268"/>
      <c r="COB659" s="268"/>
      <c r="COC659" s="268"/>
      <c r="COD659" s="268"/>
      <c r="COE659" s="268"/>
      <c r="COF659" s="268"/>
      <c r="COG659" s="268"/>
      <c r="COH659" s="268"/>
      <c r="COI659" s="268"/>
      <c r="COJ659" s="268"/>
      <c r="COK659" s="268"/>
      <c r="COL659" s="268"/>
      <c r="COM659" s="268"/>
      <c r="CON659" s="268"/>
      <c r="COO659" s="268"/>
      <c r="COP659" s="268"/>
      <c r="COQ659" s="268"/>
      <c r="COR659" s="268"/>
      <c r="COS659" s="268"/>
      <c r="COT659" s="268"/>
      <c r="COU659" s="268"/>
      <c r="COV659" s="268"/>
      <c r="COW659" s="268"/>
      <c r="COX659" s="268"/>
      <c r="COY659" s="268"/>
      <c r="COZ659" s="268"/>
      <c r="CPA659" s="268"/>
      <c r="CPB659" s="268"/>
      <c r="CPC659" s="268"/>
      <c r="CPD659" s="268"/>
      <c r="CPE659" s="268"/>
      <c r="CPF659" s="268"/>
      <c r="CPG659" s="268"/>
      <c r="CPH659" s="268"/>
      <c r="CPI659" s="268"/>
      <c r="CPJ659" s="268"/>
      <c r="CPK659" s="268"/>
      <c r="CPL659" s="268"/>
      <c r="CPM659" s="268"/>
      <c r="CPN659" s="268"/>
      <c r="CPO659" s="268"/>
      <c r="CPP659" s="268"/>
      <c r="CPQ659" s="268"/>
      <c r="CPR659" s="268"/>
      <c r="CPS659" s="268"/>
      <c r="CPT659" s="268"/>
      <c r="CPU659" s="268"/>
      <c r="CPV659" s="268"/>
      <c r="CPW659" s="268"/>
      <c r="CPX659" s="268"/>
      <c r="CPY659" s="268"/>
      <c r="CPZ659" s="268"/>
      <c r="CQA659" s="268"/>
      <c r="CQB659" s="268"/>
      <c r="CQC659" s="268"/>
      <c r="CQD659" s="268"/>
      <c r="CQE659" s="268"/>
      <c r="CQF659" s="268"/>
      <c r="CQG659" s="268"/>
      <c r="CQH659" s="268"/>
      <c r="CQI659" s="268"/>
      <c r="CQJ659" s="268"/>
      <c r="CQK659" s="268"/>
      <c r="CQL659" s="268"/>
      <c r="CQM659" s="268"/>
      <c r="CQN659" s="268"/>
      <c r="CQO659" s="268"/>
      <c r="CQP659" s="268"/>
      <c r="CQQ659" s="268"/>
      <c r="CQR659" s="268"/>
      <c r="CQS659" s="268"/>
      <c r="CQT659" s="268"/>
      <c r="CQU659" s="268"/>
      <c r="CQV659" s="268"/>
      <c r="CQW659" s="268"/>
      <c r="CQX659" s="268"/>
      <c r="CQY659" s="268"/>
      <c r="CQZ659" s="268"/>
      <c r="CRA659" s="268"/>
      <c r="CRB659" s="268"/>
      <c r="CRC659" s="268"/>
      <c r="CRD659" s="268"/>
      <c r="CRE659" s="268"/>
      <c r="CRF659" s="268"/>
      <c r="CRG659" s="268"/>
      <c r="CRH659" s="268"/>
      <c r="CRI659" s="268"/>
      <c r="CRJ659" s="268"/>
      <c r="CRK659" s="268"/>
      <c r="CRL659" s="268"/>
      <c r="CRM659" s="268"/>
      <c r="CRN659" s="268"/>
      <c r="CRO659" s="268"/>
      <c r="CRP659" s="268"/>
      <c r="CRQ659" s="268"/>
      <c r="CRR659" s="268"/>
      <c r="CRS659" s="268"/>
      <c r="CRT659" s="268"/>
      <c r="CRU659" s="268"/>
      <c r="CRV659" s="268"/>
      <c r="CRW659" s="268"/>
      <c r="CRX659" s="268"/>
      <c r="CRY659" s="268"/>
      <c r="CRZ659" s="268"/>
      <c r="CSA659" s="268"/>
      <c r="CSB659" s="268"/>
      <c r="CSC659" s="268"/>
      <c r="CSD659" s="268"/>
      <c r="CSE659" s="268"/>
      <c r="CSF659" s="268"/>
      <c r="CSG659" s="268"/>
      <c r="CSH659" s="268"/>
      <c r="CSI659" s="268"/>
      <c r="CSJ659" s="268"/>
      <c r="CSK659" s="268"/>
      <c r="CSL659" s="268"/>
      <c r="CSM659" s="268"/>
      <c r="CSN659" s="268"/>
      <c r="CSO659" s="268"/>
      <c r="CSP659" s="268"/>
      <c r="CSQ659" s="268"/>
      <c r="CSR659" s="268"/>
      <c r="CSS659" s="268"/>
      <c r="CST659" s="268"/>
      <c r="CSU659" s="268"/>
      <c r="CSV659" s="268"/>
      <c r="CSW659" s="268"/>
      <c r="CSX659" s="268"/>
      <c r="CSY659" s="268"/>
      <c r="CSZ659" s="268"/>
      <c r="CTA659" s="268"/>
      <c r="CTB659" s="268"/>
      <c r="CTC659" s="268"/>
      <c r="CTQ659" s="268"/>
      <c r="CTR659" s="268"/>
      <c r="CTS659" s="268"/>
      <c r="CUG659" s="268"/>
      <c r="CUI659" s="268"/>
      <c r="CUJ659" s="268"/>
      <c r="CUK659" s="268"/>
      <c r="CUL659" s="268"/>
      <c r="CUM659" s="268"/>
      <c r="CUN659" s="268"/>
      <c r="CUO659" s="268"/>
      <c r="CUP659" s="268"/>
      <c r="CUQ659" s="268"/>
      <c r="CUR659" s="268"/>
      <c r="CUS659" s="268"/>
      <c r="CUT659" s="268"/>
      <c r="CUU659" s="268"/>
      <c r="CUV659" s="268"/>
      <c r="CUW659" s="268"/>
      <c r="CUX659" s="268"/>
      <c r="CUY659" s="268"/>
      <c r="CUZ659" s="268"/>
      <c r="CVA659" s="268"/>
      <c r="CVB659" s="268"/>
      <c r="CVC659" s="268"/>
      <c r="CVD659" s="268"/>
      <c r="CVE659" s="268"/>
      <c r="CVF659" s="268"/>
      <c r="CVG659" s="268"/>
      <c r="CVH659" s="268"/>
      <c r="CVI659" s="268"/>
      <c r="CVJ659" s="268"/>
      <c r="CVK659" s="268"/>
      <c r="CVL659" s="268"/>
      <c r="CVM659" s="268"/>
      <c r="CVN659" s="268"/>
      <c r="CVO659" s="268"/>
      <c r="CVP659" s="268"/>
      <c r="CVQ659" s="268"/>
      <c r="CVR659" s="268"/>
      <c r="CVS659" s="268"/>
      <c r="CVT659" s="268"/>
      <c r="CVU659" s="268"/>
      <c r="CVV659" s="268"/>
      <c r="CVW659" s="268"/>
      <c r="CVX659" s="268"/>
      <c r="CVY659" s="268"/>
      <c r="CVZ659" s="268"/>
      <c r="CWA659" s="268"/>
      <c r="CWB659" s="268"/>
      <c r="CWC659" s="268"/>
      <c r="CWD659" s="268"/>
      <c r="CWE659" s="268"/>
      <c r="CWF659" s="268"/>
      <c r="CWG659" s="268"/>
      <c r="CWH659" s="268"/>
      <c r="CWI659" s="268"/>
      <c r="CWJ659" s="268"/>
      <c r="CWK659" s="268"/>
      <c r="CWL659" s="268"/>
      <c r="CWM659" s="268"/>
      <c r="CWN659" s="268"/>
      <c r="CWO659" s="268"/>
      <c r="CWP659" s="268"/>
      <c r="CWQ659" s="268"/>
      <c r="CWR659" s="268"/>
      <c r="CWS659" s="268"/>
      <c r="CWT659" s="268"/>
      <c r="CWU659" s="268"/>
      <c r="CWV659" s="268"/>
      <c r="CWW659" s="268"/>
      <c r="CWX659" s="268"/>
      <c r="CWY659" s="268"/>
      <c r="CWZ659" s="268"/>
      <c r="CXA659" s="268"/>
      <c r="CXB659" s="268"/>
      <c r="CXC659" s="268"/>
      <c r="CXD659" s="268"/>
      <c r="CXE659" s="268"/>
      <c r="CXF659" s="268"/>
      <c r="CXG659" s="268"/>
      <c r="CXH659" s="268"/>
      <c r="CXI659" s="268"/>
      <c r="CXJ659" s="268"/>
      <c r="CXK659" s="268"/>
      <c r="CXL659" s="268"/>
      <c r="CXM659" s="268"/>
      <c r="CXN659" s="268"/>
      <c r="CXO659" s="268"/>
      <c r="CXP659" s="268"/>
      <c r="CXQ659" s="268"/>
      <c r="CXR659" s="268"/>
      <c r="CXS659" s="268"/>
      <c r="CXT659" s="268"/>
      <c r="CXU659" s="268"/>
      <c r="CXV659" s="268"/>
      <c r="CXW659" s="268"/>
      <c r="CXX659" s="268"/>
      <c r="CXY659" s="268"/>
      <c r="CXZ659" s="268"/>
      <c r="CYA659" s="268"/>
      <c r="CYB659" s="268"/>
      <c r="CYC659" s="268"/>
      <c r="CYD659" s="268"/>
      <c r="CYE659" s="268"/>
      <c r="CYF659" s="268"/>
      <c r="CYG659" s="268"/>
      <c r="CYH659" s="268"/>
      <c r="CYI659" s="268"/>
      <c r="CYJ659" s="268"/>
      <c r="CYK659" s="268"/>
      <c r="CYL659" s="268"/>
      <c r="CYM659" s="268"/>
      <c r="CYN659" s="268"/>
      <c r="CYO659" s="268"/>
      <c r="CYP659" s="268"/>
      <c r="CYQ659" s="268"/>
      <c r="CYR659" s="268"/>
      <c r="CYS659" s="268"/>
      <c r="CYT659" s="268"/>
      <c r="CYU659" s="268"/>
      <c r="CYV659" s="268"/>
      <c r="CYW659" s="268"/>
      <c r="CYX659" s="268"/>
      <c r="CYY659" s="268"/>
      <c r="CYZ659" s="268"/>
      <c r="CZA659" s="268"/>
      <c r="CZB659" s="268"/>
      <c r="CZC659" s="268"/>
      <c r="CZD659" s="268"/>
      <c r="CZE659" s="268"/>
      <c r="CZF659" s="268"/>
      <c r="CZG659" s="268"/>
      <c r="CZH659" s="268"/>
      <c r="CZI659" s="268"/>
      <c r="CZJ659" s="268"/>
      <c r="CZK659" s="268"/>
      <c r="CZL659" s="268"/>
      <c r="CZM659" s="268"/>
      <c r="CZN659" s="268"/>
      <c r="CZO659" s="268"/>
      <c r="CZP659" s="268"/>
      <c r="CZQ659" s="268"/>
      <c r="CZR659" s="268"/>
      <c r="CZS659" s="268"/>
      <c r="CZT659" s="268"/>
      <c r="CZU659" s="268"/>
      <c r="CZV659" s="268"/>
      <c r="CZW659" s="268"/>
      <c r="CZX659" s="268"/>
      <c r="CZY659" s="268"/>
      <c r="CZZ659" s="268"/>
      <c r="DAA659" s="268"/>
      <c r="DAB659" s="268"/>
      <c r="DAC659" s="268"/>
      <c r="DAD659" s="268"/>
      <c r="DAE659" s="268"/>
      <c r="DAF659" s="268"/>
      <c r="DAG659" s="268"/>
      <c r="DAH659" s="268"/>
      <c r="DAI659" s="268"/>
      <c r="DAJ659" s="268"/>
      <c r="DAK659" s="268"/>
      <c r="DAL659" s="268"/>
      <c r="DAM659" s="268"/>
      <c r="DAN659" s="268"/>
      <c r="DAO659" s="268"/>
      <c r="DAP659" s="268"/>
      <c r="DAQ659" s="268"/>
      <c r="DAR659" s="268"/>
      <c r="DAS659" s="268"/>
      <c r="DAT659" s="268"/>
      <c r="DAU659" s="268"/>
      <c r="DAV659" s="268"/>
      <c r="DAW659" s="268"/>
      <c r="DAX659" s="268"/>
      <c r="DAY659" s="268"/>
      <c r="DAZ659" s="268"/>
      <c r="DBA659" s="268"/>
      <c r="DBB659" s="268"/>
      <c r="DBC659" s="268"/>
      <c r="DBD659" s="268"/>
      <c r="DBE659" s="268"/>
      <c r="DBF659" s="268"/>
      <c r="DBG659" s="268"/>
      <c r="DBH659" s="268"/>
      <c r="DBI659" s="268"/>
      <c r="DBJ659" s="268"/>
      <c r="DBK659" s="268"/>
      <c r="DBL659" s="268"/>
      <c r="DBM659" s="268"/>
      <c r="DBN659" s="268"/>
      <c r="DBO659" s="268"/>
      <c r="DBP659" s="268"/>
      <c r="DBQ659" s="268"/>
      <c r="DBR659" s="268"/>
      <c r="DBS659" s="268"/>
      <c r="DBT659" s="268"/>
      <c r="DBU659" s="268"/>
      <c r="DBV659" s="268"/>
      <c r="DBW659" s="268"/>
      <c r="DBX659" s="268"/>
      <c r="DBY659" s="268"/>
      <c r="DBZ659" s="268"/>
      <c r="DCA659" s="268"/>
      <c r="DCB659" s="268"/>
      <c r="DCC659" s="268"/>
      <c r="DCD659" s="268"/>
      <c r="DCE659" s="268"/>
      <c r="DCF659" s="268"/>
      <c r="DCG659" s="268"/>
      <c r="DCH659" s="268"/>
      <c r="DCI659" s="268"/>
      <c r="DCJ659" s="268"/>
      <c r="DCK659" s="268"/>
      <c r="DCL659" s="268"/>
      <c r="DCM659" s="268"/>
      <c r="DCN659" s="268"/>
      <c r="DCO659" s="268"/>
      <c r="DCP659" s="268"/>
      <c r="DCQ659" s="268"/>
      <c r="DCR659" s="268"/>
      <c r="DCS659" s="268"/>
      <c r="DCT659" s="268"/>
      <c r="DCU659" s="268"/>
      <c r="DCV659" s="268"/>
      <c r="DCW659" s="268"/>
      <c r="DCX659" s="268"/>
      <c r="DCY659" s="268"/>
      <c r="DDM659" s="268"/>
      <c r="DDN659" s="268"/>
      <c r="DDO659" s="268"/>
      <c r="DEC659" s="268"/>
      <c r="DEE659" s="268"/>
      <c r="DEF659" s="268"/>
      <c r="DEG659" s="268"/>
      <c r="DEH659" s="268"/>
      <c r="DEI659" s="268"/>
      <c r="DEJ659" s="268"/>
      <c r="DEK659" s="268"/>
      <c r="DEL659" s="268"/>
      <c r="DEM659" s="268"/>
      <c r="DEN659" s="268"/>
      <c r="DEO659" s="268"/>
      <c r="DEP659" s="268"/>
      <c r="DEQ659" s="268"/>
      <c r="DER659" s="268"/>
      <c r="DES659" s="268"/>
      <c r="DET659" s="268"/>
      <c r="DEU659" s="268"/>
      <c r="DEV659" s="268"/>
      <c r="DEW659" s="268"/>
      <c r="DEX659" s="268"/>
      <c r="DEY659" s="268"/>
      <c r="DEZ659" s="268"/>
      <c r="DFA659" s="268"/>
      <c r="DFB659" s="268"/>
      <c r="DFC659" s="268"/>
      <c r="DFD659" s="268"/>
      <c r="DFE659" s="268"/>
      <c r="DFF659" s="268"/>
      <c r="DFG659" s="268"/>
      <c r="DFH659" s="268"/>
      <c r="DFI659" s="268"/>
      <c r="DFJ659" s="268"/>
      <c r="DFK659" s="268"/>
      <c r="DFL659" s="268"/>
      <c r="DFM659" s="268"/>
      <c r="DFN659" s="268"/>
      <c r="DFO659" s="268"/>
      <c r="DFP659" s="268"/>
      <c r="DFQ659" s="268"/>
      <c r="DFR659" s="268"/>
      <c r="DFS659" s="268"/>
      <c r="DFT659" s="268"/>
      <c r="DFU659" s="268"/>
      <c r="DFV659" s="268"/>
      <c r="DFW659" s="268"/>
      <c r="DFX659" s="268"/>
      <c r="DFY659" s="268"/>
      <c r="DFZ659" s="268"/>
      <c r="DGA659" s="268"/>
      <c r="DGB659" s="268"/>
      <c r="DGC659" s="268"/>
      <c r="DGD659" s="268"/>
      <c r="DGE659" s="268"/>
      <c r="DGF659" s="268"/>
      <c r="DGG659" s="268"/>
      <c r="DGH659" s="268"/>
      <c r="DGI659" s="268"/>
      <c r="DGJ659" s="268"/>
      <c r="DGK659" s="268"/>
      <c r="DGL659" s="268"/>
      <c r="DGM659" s="268"/>
      <c r="DGN659" s="268"/>
      <c r="DGO659" s="268"/>
      <c r="DGP659" s="268"/>
      <c r="DGQ659" s="268"/>
      <c r="DGR659" s="268"/>
      <c r="DGS659" s="268"/>
      <c r="DGT659" s="268"/>
      <c r="DGU659" s="268"/>
      <c r="DGV659" s="268"/>
      <c r="DGW659" s="268"/>
      <c r="DGX659" s="268"/>
      <c r="DGY659" s="268"/>
      <c r="DGZ659" s="268"/>
      <c r="DHA659" s="268"/>
      <c r="DHB659" s="268"/>
      <c r="DHC659" s="268"/>
      <c r="DHD659" s="268"/>
      <c r="DHE659" s="268"/>
      <c r="DHF659" s="268"/>
      <c r="DHG659" s="268"/>
      <c r="DHH659" s="268"/>
      <c r="DHI659" s="268"/>
      <c r="DHJ659" s="268"/>
      <c r="DHK659" s="268"/>
      <c r="DHL659" s="268"/>
      <c r="DHM659" s="268"/>
      <c r="DHN659" s="268"/>
      <c r="DHO659" s="268"/>
      <c r="DHP659" s="268"/>
      <c r="DHQ659" s="268"/>
      <c r="DHR659" s="268"/>
      <c r="DHS659" s="268"/>
      <c r="DHT659" s="268"/>
      <c r="DHU659" s="268"/>
      <c r="DHV659" s="268"/>
      <c r="DHW659" s="268"/>
      <c r="DHX659" s="268"/>
      <c r="DHY659" s="268"/>
      <c r="DHZ659" s="268"/>
      <c r="DIA659" s="268"/>
      <c r="DIB659" s="268"/>
      <c r="DIC659" s="268"/>
      <c r="DID659" s="268"/>
      <c r="DIE659" s="268"/>
      <c r="DIF659" s="268"/>
      <c r="DIG659" s="268"/>
      <c r="DIH659" s="268"/>
      <c r="DII659" s="268"/>
      <c r="DIJ659" s="268"/>
      <c r="DIK659" s="268"/>
      <c r="DIL659" s="268"/>
      <c r="DIM659" s="268"/>
      <c r="DIN659" s="268"/>
      <c r="DIO659" s="268"/>
      <c r="DIP659" s="268"/>
      <c r="DIQ659" s="268"/>
      <c r="DIR659" s="268"/>
      <c r="DIS659" s="268"/>
      <c r="DIT659" s="268"/>
      <c r="DIU659" s="268"/>
      <c r="DIV659" s="268"/>
      <c r="DIW659" s="268"/>
      <c r="DIX659" s="268"/>
      <c r="DIY659" s="268"/>
      <c r="DIZ659" s="268"/>
      <c r="DJA659" s="268"/>
      <c r="DJB659" s="268"/>
      <c r="DJC659" s="268"/>
      <c r="DJD659" s="268"/>
      <c r="DJE659" s="268"/>
      <c r="DJF659" s="268"/>
      <c r="DJG659" s="268"/>
      <c r="DJH659" s="268"/>
      <c r="DJI659" s="268"/>
      <c r="DJJ659" s="268"/>
      <c r="DJK659" s="268"/>
      <c r="DJL659" s="268"/>
      <c r="DJM659" s="268"/>
      <c r="DJN659" s="268"/>
      <c r="DJO659" s="268"/>
      <c r="DJP659" s="268"/>
      <c r="DJQ659" s="268"/>
      <c r="DJR659" s="268"/>
      <c r="DJS659" s="268"/>
      <c r="DJT659" s="268"/>
      <c r="DJU659" s="268"/>
      <c r="DJV659" s="268"/>
      <c r="DJW659" s="268"/>
      <c r="DJX659" s="268"/>
      <c r="DJY659" s="268"/>
      <c r="DJZ659" s="268"/>
      <c r="DKA659" s="268"/>
      <c r="DKB659" s="268"/>
      <c r="DKC659" s="268"/>
      <c r="DKD659" s="268"/>
      <c r="DKE659" s="268"/>
      <c r="DKF659" s="268"/>
      <c r="DKG659" s="268"/>
      <c r="DKH659" s="268"/>
      <c r="DKI659" s="268"/>
      <c r="DKJ659" s="268"/>
      <c r="DKK659" s="268"/>
      <c r="DKL659" s="268"/>
      <c r="DKM659" s="268"/>
      <c r="DKN659" s="268"/>
      <c r="DKO659" s="268"/>
      <c r="DKP659" s="268"/>
      <c r="DKQ659" s="268"/>
      <c r="DKR659" s="268"/>
      <c r="DKS659" s="268"/>
      <c r="DKT659" s="268"/>
      <c r="DKU659" s="268"/>
      <c r="DKV659" s="268"/>
      <c r="DKW659" s="268"/>
      <c r="DKX659" s="268"/>
      <c r="DKY659" s="268"/>
      <c r="DKZ659" s="268"/>
      <c r="DLA659" s="268"/>
      <c r="DLB659" s="268"/>
      <c r="DLC659" s="268"/>
      <c r="DLD659" s="268"/>
      <c r="DLE659" s="268"/>
      <c r="DLF659" s="268"/>
      <c r="DLG659" s="268"/>
      <c r="DLH659" s="268"/>
      <c r="DLI659" s="268"/>
      <c r="DLJ659" s="268"/>
      <c r="DLK659" s="268"/>
      <c r="DLL659" s="268"/>
      <c r="DLM659" s="268"/>
      <c r="DLN659" s="268"/>
      <c r="DLO659" s="268"/>
      <c r="DLP659" s="268"/>
      <c r="DLQ659" s="268"/>
      <c r="DLR659" s="268"/>
      <c r="DLS659" s="268"/>
      <c r="DLT659" s="268"/>
      <c r="DLU659" s="268"/>
      <c r="DLV659" s="268"/>
      <c r="DLW659" s="268"/>
      <c r="DLX659" s="268"/>
      <c r="DLY659" s="268"/>
      <c r="DLZ659" s="268"/>
      <c r="DMA659" s="268"/>
      <c r="DMB659" s="268"/>
      <c r="DMC659" s="268"/>
      <c r="DMD659" s="268"/>
      <c r="DME659" s="268"/>
      <c r="DMF659" s="268"/>
      <c r="DMG659" s="268"/>
      <c r="DMH659" s="268"/>
      <c r="DMI659" s="268"/>
      <c r="DMJ659" s="268"/>
      <c r="DMK659" s="268"/>
      <c r="DML659" s="268"/>
      <c r="DMM659" s="268"/>
      <c r="DMN659" s="268"/>
      <c r="DMO659" s="268"/>
      <c r="DMP659" s="268"/>
      <c r="DMQ659" s="268"/>
      <c r="DMR659" s="268"/>
      <c r="DMS659" s="268"/>
      <c r="DMT659" s="268"/>
      <c r="DMU659" s="268"/>
      <c r="DNI659" s="268"/>
      <c r="DNJ659" s="268"/>
      <c r="DNK659" s="268"/>
      <c r="DNY659" s="268"/>
      <c r="DOA659" s="268"/>
      <c r="DOB659" s="268"/>
      <c r="DOC659" s="268"/>
      <c r="DOD659" s="268"/>
      <c r="DOE659" s="268"/>
      <c r="DOF659" s="268"/>
      <c r="DOG659" s="268"/>
      <c r="DOH659" s="268"/>
      <c r="DOI659" s="268"/>
      <c r="DOJ659" s="268"/>
      <c r="DOK659" s="268"/>
      <c r="DOL659" s="268"/>
      <c r="DOM659" s="268"/>
      <c r="DON659" s="268"/>
      <c r="DOO659" s="268"/>
      <c r="DOP659" s="268"/>
      <c r="DOQ659" s="268"/>
      <c r="DOR659" s="268"/>
      <c r="DOS659" s="268"/>
      <c r="DOT659" s="268"/>
      <c r="DOU659" s="268"/>
      <c r="DOV659" s="268"/>
      <c r="DOW659" s="268"/>
      <c r="DOX659" s="268"/>
      <c r="DOY659" s="268"/>
      <c r="DOZ659" s="268"/>
      <c r="DPA659" s="268"/>
      <c r="DPB659" s="268"/>
      <c r="DPC659" s="268"/>
      <c r="DPD659" s="268"/>
      <c r="DPE659" s="268"/>
      <c r="DPF659" s="268"/>
      <c r="DPG659" s="268"/>
      <c r="DPH659" s="268"/>
      <c r="DPI659" s="268"/>
      <c r="DPJ659" s="268"/>
      <c r="DPK659" s="268"/>
      <c r="DPL659" s="268"/>
      <c r="DPM659" s="268"/>
      <c r="DPN659" s="268"/>
      <c r="DPO659" s="268"/>
      <c r="DPP659" s="268"/>
      <c r="DPQ659" s="268"/>
      <c r="DPR659" s="268"/>
      <c r="DPS659" s="268"/>
      <c r="DPT659" s="268"/>
      <c r="DPU659" s="268"/>
      <c r="DPV659" s="268"/>
      <c r="DPW659" s="268"/>
      <c r="DPX659" s="268"/>
      <c r="DPY659" s="268"/>
      <c r="DPZ659" s="268"/>
      <c r="DQA659" s="268"/>
      <c r="DQB659" s="268"/>
      <c r="DQC659" s="268"/>
      <c r="DQD659" s="268"/>
      <c r="DQE659" s="268"/>
      <c r="DQF659" s="268"/>
      <c r="DQG659" s="268"/>
      <c r="DQH659" s="268"/>
      <c r="DQI659" s="268"/>
      <c r="DQJ659" s="268"/>
      <c r="DQK659" s="268"/>
      <c r="DQL659" s="268"/>
      <c r="DQM659" s="268"/>
      <c r="DQN659" s="268"/>
      <c r="DQO659" s="268"/>
      <c r="DQP659" s="268"/>
      <c r="DQQ659" s="268"/>
      <c r="DQR659" s="268"/>
      <c r="DQS659" s="268"/>
      <c r="DQT659" s="268"/>
      <c r="DQU659" s="268"/>
      <c r="DQV659" s="268"/>
      <c r="DQW659" s="268"/>
      <c r="DQX659" s="268"/>
      <c r="DQY659" s="268"/>
      <c r="DQZ659" s="268"/>
      <c r="DRA659" s="268"/>
      <c r="DRB659" s="268"/>
      <c r="DRC659" s="268"/>
      <c r="DRD659" s="268"/>
      <c r="DRE659" s="268"/>
      <c r="DRF659" s="268"/>
      <c r="DRG659" s="268"/>
      <c r="DRH659" s="268"/>
      <c r="DRI659" s="268"/>
      <c r="DRJ659" s="268"/>
      <c r="DRK659" s="268"/>
      <c r="DRL659" s="268"/>
      <c r="DRM659" s="268"/>
      <c r="DRN659" s="268"/>
      <c r="DRO659" s="268"/>
      <c r="DRP659" s="268"/>
      <c r="DRQ659" s="268"/>
      <c r="DRR659" s="268"/>
      <c r="DRS659" s="268"/>
      <c r="DRT659" s="268"/>
      <c r="DRU659" s="268"/>
      <c r="DRV659" s="268"/>
      <c r="DRW659" s="268"/>
      <c r="DRX659" s="268"/>
      <c r="DRY659" s="268"/>
      <c r="DRZ659" s="268"/>
      <c r="DSA659" s="268"/>
      <c r="DSB659" s="268"/>
      <c r="DSC659" s="268"/>
      <c r="DSD659" s="268"/>
      <c r="DSE659" s="268"/>
      <c r="DSF659" s="268"/>
      <c r="DSG659" s="268"/>
      <c r="DSH659" s="268"/>
      <c r="DSI659" s="268"/>
      <c r="DSJ659" s="268"/>
      <c r="DSK659" s="268"/>
      <c r="DSL659" s="268"/>
      <c r="DSM659" s="268"/>
      <c r="DSN659" s="268"/>
      <c r="DSO659" s="268"/>
      <c r="DSP659" s="268"/>
      <c r="DSQ659" s="268"/>
      <c r="DSR659" s="268"/>
      <c r="DSS659" s="268"/>
      <c r="DST659" s="268"/>
      <c r="DSU659" s="268"/>
      <c r="DSV659" s="268"/>
      <c r="DSW659" s="268"/>
      <c r="DSX659" s="268"/>
      <c r="DSY659" s="268"/>
      <c r="DSZ659" s="268"/>
      <c r="DTA659" s="268"/>
      <c r="DTB659" s="268"/>
      <c r="DTC659" s="268"/>
      <c r="DTD659" s="268"/>
      <c r="DTE659" s="268"/>
      <c r="DTF659" s="268"/>
      <c r="DTG659" s="268"/>
      <c r="DTH659" s="268"/>
      <c r="DTI659" s="268"/>
      <c r="DTJ659" s="268"/>
      <c r="DTK659" s="268"/>
      <c r="DTL659" s="268"/>
      <c r="DTM659" s="268"/>
      <c r="DTN659" s="268"/>
      <c r="DTO659" s="268"/>
      <c r="DTP659" s="268"/>
      <c r="DTQ659" s="268"/>
      <c r="DTR659" s="268"/>
      <c r="DTS659" s="268"/>
      <c r="DTT659" s="268"/>
      <c r="DTU659" s="268"/>
      <c r="DTV659" s="268"/>
      <c r="DTW659" s="268"/>
      <c r="DTX659" s="268"/>
      <c r="DTY659" s="268"/>
      <c r="DTZ659" s="268"/>
      <c r="DUA659" s="268"/>
      <c r="DUB659" s="268"/>
      <c r="DUC659" s="268"/>
      <c r="DUD659" s="268"/>
      <c r="DUE659" s="268"/>
      <c r="DUF659" s="268"/>
      <c r="DUG659" s="268"/>
      <c r="DUH659" s="268"/>
      <c r="DUI659" s="268"/>
      <c r="DUJ659" s="268"/>
      <c r="DUK659" s="268"/>
      <c r="DUL659" s="268"/>
      <c r="DUM659" s="268"/>
      <c r="DUN659" s="268"/>
      <c r="DUO659" s="268"/>
      <c r="DUP659" s="268"/>
      <c r="DUQ659" s="268"/>
      <c r="DUR659" s="268"/>
      <c r="DUS659" s="268"/>
      <c r="DUT659" s="268"/>
      <c r="DUU659" s="268"/>
      <c r="DUV659" s="268"/>
      <c r="DUW659" s="268"/>
      <c r="DUX659" s="268"/>
      <c r="DUY659" s="268"/>
      <c r="DUZ659" s="268"/>
      <c r="DVA659" s="268"/>
      <c r="DVB659" s="268"/>
      <c r="DVC659" s="268"/>
      <c r="DVD659" s="268"/>
      <c r="DVE659" s="268"/>
      <c r="DVF659" s="268"/>
      <c r="DVG659" s="268"/>
      <c r="DVH659" s="268"/>
      <c r="DVI659" s="268"/>
      <c r="DVJ659" s="268"/>
      <c r="DVK659" s="268"/>
      <c r="DVL659" s="268"/>
      <c r="DVM659" s="268"/>
      <c r="DVN659" s="268"/>
      <c r="DVO659" s="268"/>
      <c r="DVP659" s="268"/>
      <c r="DVQ659" s="268"/>
      <c r="DVR659" s="268"/>
      <c r="DVS659" s="268"/>
      <c r="DVT659" s="268"/>
      <c r="DVU659" s="268"/>
      <c r="DVV659" s="268"/>
      <c r="DVW659" s="268"/>
      <c r="DVX659" s="268"/>
      <c r="DVY659" s="268"/>
      <c r="DVZ659" s="268"/>
      <c r="DWA659" s="268"/>
      <c r="DWB659" s="268"/>
      <c r="DWC659" s="268"/>
      <c r="DWD659" s="268"/>
      <c r="DWE659" s="268"/>
      <c r="DWF659" s="268"/>
      <c r="DWG659" s="268"/>
      <c r="DWH659" s="268"/>
      <c r="DWI659" s="268"/>
      <c r="DWJ659" s="268"/>
      <c r="DWK659" s="268"/>
      <c r="DWL659" s="268"/>
      <c r="DWM659" s="268"/>
      <c r="DWN659" s="268"/>
      <c r="DWO659" s="268"/>
      <c r="DWP659" s="268"/>
      <c r="DWQ659" s="268"/>
      <c r="DXE659" s="268"/>
      <c r="DXF659" s="268"/>
      <c r="DXG659" s="268"/>
      <c r="DXU659" s="268"/>
      <c r="DXW659" s="268"/>
      <c r="DXX659" s="268"/>
      <c r="DXY659" s="268"/>
      <c r="DXZ659" s="268"/>
      <c r="DYA659" s="268"/>
      <c r="DYB659" s="268"/>
      <c r="DYC659" s="268"/>
      <c r="DYD659" s="268"/>
      <c r="DYE659" s="268"/>
      <c r="DYF659" s="268"/>
      <c r="DYG659" s="268"/>
      <c r="DYH659" s="268"/>
      <c r="DYI659" s="268"/>
      <c r="DYJ659" s="268"/>
      <c r="DYK659" s="268"/>
      <c r="DYL659" s="268"/>
      <c r="DYM659" s="268"/>
      <c r="DYN659" s="268"/>
      <c r="DYO659" s="268"/>
      <c r="DYP659" s="268"/>
      <c r="DYQ659" s="268"/>
      <c r="DYR659" s="268"/>
      <c r="DYS659" s="268"/>
      <c r="DYT659" s="268"/>
      <c r="DYU659" s="268"/>
      <c r="DYV659" s="268"/>
      <c r="DYW659" s="268"/>
      <c r="DYX659" s="268"/>
      <c r="DYY659" s="268"/>
      <c r="DYZ659" s="268"/>
      <c r="DZA659" s="268"/>
      <c r="DZB659" s="268"/>
      <c r="DZC659" s="268"/>
      <c r="DZD659" s="268"/>
      <c r="DZE659" s="268"/>
      <c r="DZF659" s="268"/>
      <c r="DZG659" s="268"/>
      <c r="DZH659" s="268"/>
      <c r="DZI659" s="268"/>
      <c r="DZJ659" s="268"/>
      <c r="DZK659" s="268"/>
      <c r="DZL659" s="268"/>
      <c r="DZM659" s="268"/>
      <c r="DZN659" s="268"/>
      <c r="DZO659" s="268"/>
      <c r="DZP659" s="268"/>
      <c r="DZQ659" s="268"/>
      <c r="DZR659" s="268"/>
      <c r="DZS659" s="268"/>
      <c r="DZT659" s="268"/>
      <c r="DZU659" s="268"/>
      <c r="DZV659" s="268"/>
      <c r="DZW659" s="268"/>
      <c r="DZX659" s="268"/>
      <c r="DZY659" s="268"/>
      <c r="DZZ659" s="268"/>
      <c r="EAA659" s="268"/>
      <c r="EAB659" s="268"/>
      <c r="EAC659" s="268"/>
      <c r="EAD659" s="268"/>
      <c r="EAE659" s="268"/>
      <c r="EAF659" s="268"/>
      <c r="EAG659" s="268"/>
      <c r="EAH659" s="268"/>
      <c r="EAI659" s="268"/>
      <c r="EAJ659" s="268"/>
      <c r="EAK659" s="268"/>
      <c r="EAL659" s="268"/>
      <c r="EAM659" s="268"/>
      <c r="EAN659" s="268"/>
      <c r="EAO659" s="268"/>
      <c r="EAP659" s="268"/>
      <c r="EAQ659" s="268"/>
      <c r="EAR659" s="268"/>
      <c r="EAS659" s="268"/>
      <c r="EAT659" s="268"/>
      <c r="EAU659" s="268"/>
      <c r="EAV659" s="268"/>
      <c r="EAW659" s="268"/>
      <c r="EAX659" s="268"/>
      <c r="EAY659" s="268"/>
      <c r="EAZ659" s="268"/>
      <c r="EBA659" s="268"/>
      <c r="EBB659" s="268"/>
      <c r="EBC659" s="268"/>
      <c r="EBD659" s="268"/>
      <c r="EBE659" s="268"/>
      <c r="EBF659" s="268"/>
      <c r="EBG659" s="268"/>
      <c r="EBH659" s="268"/>
      <c r="EBI659" s="268"/>
      <c r="EBJ659" s="268"/>
      <c r="EBK659" s="268"/>
      <c r="EBL659" s="268"/>
      <c r="EBM659" s="268"/>
      <c r="EBN659" s="268"/>
      <c r="EBO659" s="268"/>
      <c r="EBP659" s="268"/>
      <c r="EBQ659" s="268"/>
      <c r="EBR659" s="268"/>
      <c r="EBS659" s="268"/>
      <c r="EBT659" s="268"/>
      <c r="EBU659" s="268"/>
      <c r="EBV659" s="268"/>
      <c r="EBW659" s="268"/>
      <c r="EBX659" s="268"/>
      <c r="EBY659" s="268"/>
      <c r="EBZ659" s="268"/>
      <c r="ECA659" s="268"/>
      <c r="ECB659" s="268"/>
      <c r="ECC659" s="268"/>
      <c r="ECD659" s="268"/>
      <c r="ECE659" s="268"/>
      <c r="ECF659" s="268"/>
      <c r="ECG659" s="268"/>
      <c r="ECH659" s="268"/>
      <c r="ECI659" s="268"/>
      <c r="ECJ659" s="268"/>
      <c r="ECK659" s="268"/>
      <c r="ECL659" s="268"/>
      <c r="ECM659" s="268"/>
      <c r="ECN659" s="268"/>
      <c r="ECO659" s="268"/>
      <c r="ECP659" s="268"/>
      <c r="ECQ659" s="268"/>
      <c r="ECR659" s="268"/>
      <c r="ECS659" s="268"/>
      <c r="ECT659" s="268"/>
      <c r="ECU659" s="268"/>
      <c r="ECV659" s="268"/>
      <c r="ECW659" s="268"/>
      <c r="ECX659" s="268"/>
      <c r="ECY659" s="268"/>
      <c r="ECZ659" s="268"/>
      <c r="EDA659" s="268"/>
      <c r="EDB659" s="268"/>
      <c r="EDC659" s="268"/>
      <c r="EDD659" s="268"/>
      <c r="EDE659" s="268"/>
      <c r="EDF659" s="268"/>
      <c r="EDG659" s="268"/>
      <c r="EDH659" s="268"/>
      <c r="EDI659" s="268"/>
      <c r="EDJ659" s="268"/>
      <c r="EDK659" s="268"/>
      <c r="EDL659" s="268"/>
      <c r="EDM659" s="268"/>
      <c r="EDN659" s="268"/>
      <c r="EDO659" s="268"/>
      <c r="EDP659" s="268"/>
      <c r="EDQ659" s="268"/>
      <c r="EDR659" s="268"/>
      <c r="EDS659" s="268"/>
      <c r="EDT659" s="268"/>
      <c r="EDU659" s="268"/>
      <c r="EDV659" s="268"/>
      <c r="EDW659" s="268"/>
      <c r="EDX659" s="268"/>
      <c r="EDY659" s="268"/>
      <c r="EDZ659" s="268"/>
      <c r="EEA659" s="268"/>
      <c r="EEB659" s="268"/>
      <c r="EEC659" s="268"/>
      <c r="EED659" s="268"/>
      <c r="EEE659" s="268"/>
      <c r="EEF659" s="268"/>
      <c r="EEG659" s="268"/>
      <c r="EEH659" s="268"/>
      <c r="EEI659" s="268"/>
      <c r="EEJ659" s="268"/>
      <c r="EEK659" s="268"/>
      <c r="EEL659" s="268"/>
      <c r="EEM659" s="268"/>
      <c r="EEN659" s="268"/>
      <c r="EEO659" s="268"/>
      <c r="EEP659" s="268"/>
      <c r="EEQ659" s="268"/>
      <c r="EER659" s="268"/>
      <c r="EES659" s="268"/>
      <c r="EET659" s="268"/>
      <c r="EEU659" s="268"/>
      <c r="EEV659" s="268"/>
      <c r="EEW659" s="268"/>
      <c r="EEX659" s="268"/>
      <c r="EEY659" s="268"/>
      <c r="EEZ659" s="268"/>
      <c r="EFA659" s="268"/>
      <c r="EFB659" s="268"/>
      <c r="EFC659" s="268"/>
      <c r="EFD659" s="268"/>
      <c r="EFE659" s="268"/>
      <c r="EFF659" s="268"/>
      <c r="EFG659" s="268"/>
      <c r="EFH659" s="268"/>
      <c r="EFI659" s="268"/>
      <c r="EFJ659" s="268"/>
      <c r="EFK659" s="268"/>
      <c r="EFL659" s="268"/>
      <c r="EFM659" s="268"/>
      <c r="EFN659" s="268"/>
      <c r="EFO659" s="268"/>
      <c r="EFP659" s="268"/>
      <c r="EFQ659" s="268"/>
      <c r="EFR659" s="268"/>
      <c r="EFS659" s="268"/>
      <c r="EFT659" s="268"/>
      <c r="EFU659" s="268"/>
      <c r="EFV659" s="268"/>
      <c r="EFW659" s="268"/>
      <c r="EFX659" s="268"/>
      <c r="EFY659" s="268"/>
      <c r="EFZ659" s="268"/>
      <c r="EGA659" s="268"/>
      <c r="EGB659" s="268"/>
      <c r="EGC659" s="268"/>
      <c r="EGD659" s="268"/>
      <c r="EGE659" s="268"/>
      <c r="EGF659" s="268"/>
      <c r="EGG659" s="268"/>
      <c r="EGH659" s="268"/>
      <c r="EGI659" s="268"/>
      <c r="EGJ659" s="268"/>
      <c r="EGK659" s="268"/>
      <c r="EGL659" s="268"/>
      <c r="EGM659" s="268"/>
      <c r="EHA659" s="268"/>
      <c r="EHB659" s="268"/>
      <c r="EHC659" s="268"/>
      <c r="EHQ659" s="268"/>
      <c r="EHS659" s="268"/>
      <c r="EHT659" s="268"/>
      <c r="EHU659" s="268"/>
      <c r="EHV659" s="268"/>
      <c r="EHW659" s="268"/>
      <c r="EHX659" s="268"/>
      <c r="EHY659" s="268"/>
      <c r="EHZ659" s="268"/>
      <c r="EIA659" s="268"/>
      <c r="EIB659" s="268"/>
      <c r="EIC659" s="268"/>
      <c r="EID659" s="268"/>
      <c r="EIE659" s="268"/>
      <c r="EIF659" s="268"/>
      <c r="EIG659" s="268"/>
      <c r="EIH659" s="268"/>
      <c r="EII659" s="268"/>
      <c r="EIJ659" s="268"/>
      <c r="EIK659" s="268"/>
      <c r="EIL659" s="268"/>
      <c r="EIM659" s="268"/>
      <c r="EIN659" s="268"/>
      <c r="EIO659" s="268"/>
      <c r="EIP659" s="268"/>
      <c r="EIQ659" s="268"/>
      <c r="EIR659" s="268"/>
      <c r="EIS659" s="268"/>
      <c r="EIT659" s="268"/>
      <c r="EIU659" s="268"/>
      <c r="EIV659" s="268"/>
      <c r="EIW659" s="268"/>
      <c r="EIX659" s="268"/>
      <c r="EIY659" s="268"/>
      <c r="EIZ659" s="268"/>
      <c r="EJA659" s="268"/>
      <c r="EJB659" s="268"/>
      <c r="EJC659" s="268"/>
      <c r="EJD659" s="268"/>
      <c r="EJE659" s="268"/>
      <c r="EJF659" s="268"/>
      <c r="EJG659" s="268"/>
      <c r="EJH659" s="268"/>
      <c r="EJI659" s="268"/>
      <c r="EJJ659" s="268"/>
      <c r="EJK659" s="268"/>
      <c r="EJL659" s="268"/>
      <c r="EJM659" s="268"/>
      <c r="EJN659" s="268"/>
      <c r="EJO659" s="268"/>
      <c r="EJP659" s="268"/>
      <c r="EJQ659" s="268"/>
      <c r="EJR659" s="268"/>
      <c r="EJS659" s="268"/>
      <c r="EJT659" s="268"/>
      <c r="EJU659" s="268"/>
      <c r="EJV659" s="268"/>
      <c r="EJW659" s="268"/>
      <c r="EJX659" s="268"/>
      <c r="EJY659" s="268"/>
      <c r="EJZ659" s="268"/>
      <c r="EKA659" s="268"/>
      <c r="EKB659" s="268"/>
      <c r="EKC659" s="268"/>
      <c r="EKD659" s="268"/>
      <c r="EKE659" s="268"/>
      <c r="EKF659" s="268"/>
      <c r="EKG659" s="268"/>
      <c r="EKH659" s="268"/>
      <c r="EKI659" s="268"/>
      <c r="EKJ659" s="268"/>
      <c r="EKK659" s="268"/>
      <c r="EKL659" s="268"/>
      <c r="EKM659" s="268"/>
      <c r="EKN659" s="268"/>
      <c r="EKO659" s="268"/>
      <c r="EKP659" s="268"/>
      <c r="EKQ659" s="268"/>
      <c r="EKR659" s="268"/>
      <c r="EKS659" s="268"/>
      <c r="EKT659" s="268"/>
      <c r="EKU659" s="268"/>
      <c r="EKV659" s="268"/>
      <c r="EKW659" s="268"/>
      <c r="EKX659" s="268"/>
      <c r="EKY659" s="268"/>
      <c r="EKZ659" s="268"/>
      <c r="ELA659" s="268"/>
      <c r="ELB659" s="268"/>
      <c r="ELC659" s="268"/>
      <c r="ELD659" s="268"/>
      <c r="ELE659" s="268"/>
      <c r="ELF659" s="268"/>
      <c r="ELG659" s="268"/>
      <c r="ELH659" s="268"/>
      <c r="ELI659" s="268"/>
      <c r="ELJ659" s="268"/>
      <c r="ELK659" s="268"/>
      <c r="ELL659" s="268"/>
      <c r="ELM659" s="268"/>
      <c r="ELN659" s="268"/>
      <c r="ELO659" s="268"/>
      <c r="ELP659" s="268"/>
      <c r="ELQ659" s="268"/>
      <c r="ELR659" s="268"/>
      <c r="ELS659" s="268"/>
      <c r="ELT659" s="268"/>
      <c r="ELU659" s="268"/>
      <c r="ELV659" s="268"/>
      <c r="ELW659" s="268"/>
      <c r="ELX659" s="268"/>
      <c r="ELY659" s="268"/>
      <c r="ELZ659" s="268"/>
      <c r="EMA659" s="268"/>
      <c r="EMB659" s="268"/>
      <c r="EMC659" s="268"/>
      <c r="EMD659" s="268"/>
      <c r="EME659" s="268"/>
      <c r="EMF659" s="268"/>
      <c r="EMG659" s="268"/>
      <c r="EMH659" s="268"/>
      <c r="EMI659" s="268"/>
      <c r="EMJ659" s="268"/>
      <c r="EMK659" s="268"/>
      <c r="EML659" s="268"/>
      <c r="EMM659" s="268"/>
      <c r="EMN659" s="268"/>
      <c r="EMO659" s="268"/>
      <c r="EMP659" s="268"/>
      <c r="EMQ659" s="268"/>
      <c r="EMR659" s="268"/>
      <c r="EMS659" s="268"/>
      <c r="EMT659" s="268"/>
      <c r="EMU659" s="268"/>
      <c r="EMV659" s="268"/>
      <c r="EMW659" s="268"/>
      <c r="EMX659" s="268"/>
      <c r="EMY659" s="268"/>
      <c r="EMZ659" s="268"/>
      <c r="ENA659" s="268"/>
      <c r="ENB659" s="268"/>
      <c r="ENC659" s="268"/>
      <c r="END659" s="268"/>
      <c r="ENE659" s="268"/>
      <c r="ENF659" s="268"/>
      <c r="ENG659" s="268"/>
      <c r="ENH659" s="268"/>
      <c r="ENI659" s="268"/>
      <c r="ENJ659" s="268"/>
      <c r="ENK659" s="268"/>
      <c r="ENL659" s="268"/>
      <c r="ENM659" s="268"/>
      <c r="ENN659" s="268"/>
      <c r="ENO659" s="268"/>
      <c r="ENP659" s="268"/>
      <c r="ENQ659" s="268"/>
      <c r="ENR659" s="268"/>
      <c r="ENS659" s="268"/>
      <c r="ENT659" s="268"/>
      <c r="ENU659" s="268"/>
      <c r="ENV659" s="268"/>
      <c r="ENW659" s="268"/>
      <c r="ENX659" s="268"/>
      <c r="ENY659" s="268"/>
      <c r="ENZ659" s="268"/>
      <c r="EOA659" s="268"/>
      <c r="EOB659" s="268"/>
      <c r="EOC659" s="268"/>
      <c r="EOD659" s="268"/>
      <c r="EOE659" s="268"/>
      <c r="EOF659" s="268"/>
      <c r="EOG659" s="268"/>
      <c r="EOH659" s="268"/>
      <c r="EOI659" s="268"/>
      <c r="EOJ659" s="268"/>
      <c r="EOK659" s="268"/>
      <c r="EOL659" s="268"/>
      <c r="EOM659" s="268"/>
      <c r="EON659" s="268"/>
      <c r="EOO659" s="268"/>
      <c r="EOP659" s="268"/>
      <c r="EOQ659" s="268"/>
      <c r="EOR659" s="268"/>
      <c r="EOS659" s="268"/>
      <c r="EOT659" s="268"/>
      <c r="EOU659" s="268"/>
      <c r="EOV659" s="268"/>
      <c r="EOW659" s="268"/>
      <c r="EOX659" s="268"/>
      <c r="EOY659" s="268"/>
      <c r="EOZ659" s="268"/>
      <c r="EPA659" s="268"/>
      <c r="EPB659" s="268"/>
      <c r="EPC659" s="268"/>
      <c r="EPD659" s="268"/>
      <c r="EPE659" s="268"/>
      <c r="EPF659" s="268"/>
      <c r="EPG659" s="268"/>
      <c r="EPH659" s="268"/>
      <c r="EPI659" s="268"/>
      <c r="EPJ659" s="268"/>
      <c r="EPK659" s="268"/>
      <c r="EPL659" s="268"/>
      <c r="EPM659" s="268"/>
      <c r="EPN659" s="268"/>
      <c r="EPO659" s="268"/>
      <c r="EPP659" s="268"/>
      <c r="EPQ659" s="268"/>
      <c r="EPR659" s="268"/>
      <c r="EPS659" s="268"/>
      <c r="EPT659" s="268"/>
      <c r="EPU659" s="268"/>
      <c r="EPV659" s="268"/>
      <c r="EPW659" s="268"/>
      <c r="EPX659" s="268"/>
      <c r="EPY659" s="268"/>
      <c r="EPZ659" s="268"/>
      <c r="EQA659" s="268"/>
      <c r="EQB659" s="268"/>
      <c r="EQC659" s="268"/>
      <c r="EQD659" s="268"/>
      <c r="EQE659" s="268"/>
      <c r="EQF659" s="268"/>
      <c r="EQG659" s="268"/>
      <c r="EQH659" s="268"/>
      <c r="EQI659" s="268"/>
      <c r="EQW659" s="268"/>
      <c r="EQX659" s="268"/>
      <c r="EQY659" s="268"/>
      <c r="ERM659" s="268"/>
      <c r="ERO659" s="268"/>
      <c r="ERP659" s="268"/>
      <c r="ERQ659" s="268"/>
      <c r="ERR659" s="268"/>
      <c r="ERS659" s="268"/>
      <c r="ERT659" s="268"/>
      <c r="ERU659" s="268"/>
      <c r="ERV659" s="268"/>
      <c r="ERW659" s="268"/>
      <c r="ERX659" s="268"/>
      <c r="ERY659" s="268"/>
      <c r="ERZ659" s="268"/>
      <c r="ESA659" s="268"/>
      <c r="ESB659" s="268"/>
      <c r="ESC659" s="268"/>
      <c r="ESD659" s="268"/>
      <c r="ESE659" s="268"/>
      <c r="ESF659" s="268"/>
      <c r="ESG659" s="268"/>
      <c r="ESH659" s="268"/>
      <c r="ESI659" s="268"/>
      <c r="ESJ659" s="268"/>
      <c r="ESK659" s="268"/>
      <c r="ESL659" s="268"/>
      <c r="ESM659" s="268"/>
      <c r="ESN659" s="268"/>
      <c r="ESO659" s="268"/>
      <c r="ESP659" s="268"/>
      <c r="ESQ659" s="268"/>
      <c r="ESR659" s="268"/>
      <c r="ESS659" s="268"/>
      <c r="EST659" s="268"/>
      <c r="ESU659" s="268"/>
      <c r="ESV659" s="268"/>
      <c r="ESW659" s="268"/>
      <c r="ESX659" s="268"/>
      <c r="ESY659" s="268"/>
      <c r="ESZ659" s="268"/>
      <c r="ETA659" s="268"/>
      <c r="ETB659" s="268"/>
      <c r="ETC659" s="268"/>
      <c r="ETD659" s="268"/>
      <c r="ETE659" s="268"/>
      <c r="ETF659" s="268"/>
      <c r="ETG659" s="268"/>
      <c r="ETH659" s="268"/>
      <c r="ETI659" s="268"/>
      <c r="ETJ659" s="268"/>
      <c r="ETK659" s="268"/>
      <c r="ETL659" s="268"/>
      <c r="ETM659" s="268"/>
      <c r="ETN659" s="268"/>
      <c r="ETO659" s="268"/>
      <c r="ETP659" s="268"/>
      <c r="ETQ659" s="268"/>
      <c r="ETR659" s="268"/>
      <c r="ETS659" s="268"/>
      <c r="ETT659" s="268"/>
      <c r="ETU659" s="268"/>
      <c r="ETV659" s="268"/>
      <c r="ETW659" s="268"/>
      <c r="ETX659" s="268"/>
      <c r="ETY659" s="268"/>
      <c r="ETZ659" s="268"/>
      <c r="EUA659" s="268"/>
      <c r="EUB659" s="268"/>
      <c r="EUC659" s="268"/>
      <c r="EUD659" s="268"/>
      <c r="EUE659" s="268"/>
      <c r="EUF659" s="268"/>
      <c r="EUG659" s="268"/>
      <c r="EUH659" s="268"/>
      <c r="EUI659" s="268"/>
      <c r="EUJ659" s="268"/>
      <c r="EUK659" s="268"/>
      <c r="EUL659" s="268"/>
      <c r="EUM659" s="268"/>
      <c r="EUN659" s="268"/>
      <c r="EUO659" s="268"/>
      <c r="EUP659" s="268"/>
      <c r="EUQ659" s="268"/>
      <c r="EUR659" s="268"/>
      <c r="EUS659" s="268"/>
      <c r="EUT659" s="268"/>
      <c r="EUU659" s="268"/>
      <c r="EUV659" s="268"/>
      <c r="EUW659" s="268"/>
      <c r="EUX659" s="268"/>
      <c r="EUY659" s="268"/>
      <c r="EUZ659" s="268"/>
      <c r="EVA659" s="268"/>
      <c r="EVB659" s="268"/>
      <c r="EVC659" s="268"/>
      <c r="EVD659" s="268"/>
      <c r="EVE659" s="268"/>
      <c r="EVF659" s="268"/>
      <c r="EVG659" s="268"/>
      <c r="EVH659" s="268"/>
      <c r="EVI659" s="268"/>
      <c r="EVJ659" s="268"/>
      <c r="EVK659" s="268"/>
      <c r="EVL659" s="268"/>
      <c r="EVM659" s="268"/>
      <c r="EVN659" s="268"/>
      <c r="EVO659" s="268"/>
      <c r="EVP659" s="268"/>
      <c r="EVQ659" s="268"/>
      <c r="EVR659" s="268"/>
      <c r="EVS659" s="268"/>
      <c r="EVT659" s="268"/>
      <c r="EVU659" s="268"/>
      <c r="EVV659" s="268"/>
      <c r="EVW659" s="268"/>
      <c r="EVX659" s="268"/>
      <c r="EVY659" s="268"/>
      <c r="EVZ659" s="268"/>
      <c r="EWA659" s="268"/>
      <c r="EWB659" s="268"/>
      <c r="EWC659" s="268"/>
      <c r="EWD659" s="268"/>
      <c r="EWE659" s="268"/>
      <c r="EWF659" s="268"/>
      <c r="EWG659" s="268"/>
      <c r="EWH659" s="268"/>
      <c r="EWI659" s="268"/>
      <c r="EWJ659" s="268"/>
      <c r="EWK659" s="268"/>
      <c r="EWL659" s="268"/>
      <c r="EWM659" s="268"/>
      <c r="EWN659" s="268"/>
      <c r="EWO659" s="268"/>
      <c r="EWP659" s="268"/>
      <c r="EWQ659" s="268"/>
      <c r="EWR659" s="268"/>
      <c r="EWS659" s="268"/>
      <c r="EWT659" s="268"/>
      <c r="EWU659" s="268"/>
      <c r="EWV659" s="268"/>
      <c r="EWW659" s="268"/>
      <c r="EWX659" s="268"/>
      <c r="EWY659" s="268"/>
      <c r="EWZ659" s="268"/>
      <c r="EXA659" s="268"/>
      <c r="EXB659" s="268"/>
      <c r="EXC659" s="268"/>
      <c r="EXD659" s="268"/>
      <c r="EXE659" s="268"/>
      <c r="EXF659" s="268"/>
      <c r="EXG659" s="268"/>
      <c r="EXH659" s="268"/>
      <c r="EXI659" s="268"/>
      <c r="EXJ659" s="268"/>
      <c r="EXK659" s="268"/>
      <c r="EXL659" s="268"/>
      <c r="EXM659" s="268"/>
      <c r="EXN659" s="268"/>
      <c r="EXO659" s="268"/>
      <c r="EXP659" s="268"/>
      <c r="EXQ659" s="268"/>
      <c r="EXR659" s="268"/>
      <c r="EXS659" s="268"/>
      <c r="EXT659" s="268"/>
      <c r="EXU659" s="268"/>
      <c r="EXV659" s="268"/>
      <c r="EXW659" s="268"/>
      <c r="EXX659" s="268"/>
      <c r="EXY659" s="268"/>
      <c r="EXZ659" s="268"/>
      <c r="EYA659" s="268"/>
      <c r="EYB659" s="268"/>
      <c r="EYC659" s="268"/>
      <c r="EYD659" s="268"/>
      <c r="EYE659" s="268"/>
      <c r="EYF659" s="268"/>
      <c r="EYG659" s="268"/>
      <c r="EYH659" s="268"/>
      <c r="EYI659" s="268"/>
      <c r="EYJ659" s="268"/>
      <c r="EYK659" s="268"/>
      <c r="EYL659" s="268"/>
      <c r="EYM659" s="268"/>
      <c r="EYN659" s="268"/>
      <c r="EYO659" s="268"/>
      <c r="EYP659" s="268"/>
      <c r="EYQ659" s="268"/>
      <c r="EYR659" s="268"/>
      <c r="EYS659" s="268"/>
      <c r="EYT659" s="268"/>
      <c r="EYU659" s="268"/>
      <c r="EYV659" s="268"/>
      <c r="EYW659" s="268"/>
      <c r="EYX659" s="268"/>
      <c r="EYY659" s="268"/>
      <c r="EYZ659" s="268"/>
      <c r="EZA659" s="268"/>
      <c r="EZB659" s="268"/>
      <c r="EZC659" s="268"/>
      <c r="EZD659" s="268"/>
      <c r="EZE659" s="268"/>
      <c r="EZF659" s="268"/>
      <c r="EZG659" s="268"/>
      <c r="EZH659" s="268"/>
      <c r="EZI659" s="268"/>
      <c r="EZJ659" s="268"/>
      <c r="EZK659" s="268"/>
      <c r="EZL659" s="268"/>
      <c r="EZM659" s="268"/>
      <c r="EZN659" s="268"/>
      <c r="EZO659" s="268"/>
      <c r="EZP659" s="268"/>
      <c r="EZQ659" s="268"/>
      <c r="EZR659" s="268"/>
      <c r="EZS659" s="268"/>
      <c r="EZT659" s="268"/>
      <c r="EZU659" s="268"/>
      <c r="EZV659" s="268"/>
      <c r="EZW659" s="268"/>
      <c r="EZX659" s="268"/>
      <c r="EZY659" s="268"/>
      <c r="EZZ659" s="268"/>
      <c r="FAA659" s="268"/>
      <c r="FAB659" s="268"/>
      <c r="FAC659" s="268"/>
      <c r="FAD659" s="268"/>
      <c r="FAE659" s="268"/>
      <c r="FAS659" s="268"/>
      <c r="FAT659" s="268"/>
      <c r="FAU659" s="268"/>
      <c r="FBI659" s="268"/>
      <c r="FBK659" s="268"/>
      <c r="FBL659" s="268"/>
      <c r="FBM659" s="268"/>
      <c r="FBN659" s="268"/>
      <c r="FBO659" s="268"/>
      <c r="FBP659" s="268"/>
      <c r="FBQ659" s="268"/>
      <c r="FBR659" s="268"/>
      <c r="FBS659" s="268"/>
      <c r="FBT659" s="268"/>
      <c r="FBU659" s="268"/>
      <c r="FBV659" s="268"/>
      <c r="FBW659" s="268"/>
      <c r="FBX659" s="268"/>
      <c r="FBY659" s="268"/>
      <c r="FBZ659" s="268"/>
      <c r="FCA659" s="268"/>
      <c r="FCB659" s="268"/>
      <c r="FCC659" s="268"/>
      <c r="FCD659" s="268"/>
      <c r="FCE659" s="268"/>
      <c r="FCF659" s="268"/>
      <c r="FCG659" s="268"/>
      <c r="FCH659" s="268"/>
      <c r="FCI659" s="268"/>
      <c r="FCJ659" s="268"/>
      <c r="FCK659" s="268"/>
      <c r="FCL659" s="268"/>
      <c r="FCM659" s="268"/>
      <c r="FCN659" s="268"/>
      <c r="FCO659" s="268"/>
      <c r="FCP659" s="268"/>
      <c r="FCQ659" s="268"/>
      <c r="FCR659" s="268"/>
      <c r="FCS659" s="268"/>
      <c r="FCT659" s="268"/>
      <c r="FCU659" s="268"/>
      <c r="FCV659" s="268"/>
      <c r="FCW659" s="268"/>
      <c r="FCX659" s="268"/>
      <c r="FCY659" s="268"/>
      <c r="FCZ659" s="268"/>
      <c r="FDA659" s="268"/>
      <c r="FDB659" s="268"/>
      <c r="FDC659" s="268"/>
      <c r="FDD659" s="268"/>
      <c r="FDE659" s="268"/>
      <c r="FDF659" s="268"/>
      <c r="FDG659" s="268"/>
      <c r="FDH659" s="268"/>
      <c r="FDI659" s="268"/>
      <c r="FDJ659" s="268"/>
      <c r="FDK659" s="268"/>
      <c r="FDL659" s="268"/>
      <c r="FDM659" s="268"/>
      <c r="FDN659" s="268"/>
      <c r="FDO659" s="268"/>
      <c r="FDP659" s="268"/>
      <c r="FDQ659" s="268"/>
      <c r="FDR659" s="268"/>
      <c r="FDS659" s="268"/>
      <c r="FDT659" s="268"/>
      <c r="FDU659" s="268"/>
      <c r="FDV659" s="268"/>
      <c r="FDW659" s="268"/>
      <c r="FDX659" s="268"/>
      <c r="FDY659" s="268"/>
      <c r="FDZ659" s="268"/>
      <c r="FEA659" s="268"/>
      <c r="FEB659" s="268"/>
      <c r="FEC659" s="268"/>
      <c r="FED659" s="268"/>
      <c r="FEE659" s="268"/>
      <c r="FEF659" s="268"/>
      <c r="FEG659" s="268"/>
      <c r="FEH659" s="268"/>
      <c r="FEI659" s="268"/>
      <c r="FEJ659" s="268"/>
      <c r="FEK659" s="268"/>
      <c r="FEL659" s="268"/>
      <c r="FEM659" s="268"/>
      <c r="FEN659" s="268"/>
      <c r="FEO659" s="268"/>
      <c r="FEP659" s="268"/>
      <c r="FEQ659" s="268"/>
      <c r="FER659" s="268"/>
      <c r="FES659" s="268"/>
      <c r="FET659" s="268"/>
      <c r="FEU659" s="268"/>
      <c r="FEV659" s="268"/>
      <c r="FEW659" s="268"/>
      <c r="FEX659" s="268"/>
      <c r="FEY659" s="268"/>
      <c r="FEZ659" s="268"/>
      <c r="FFA659" s="268"/>
      <c r="FFB659" s="268"/>
      <c r="FFC659" s="268"/>
      <c r="FFD659" s="268"/>
      <c r="FFE659" s="268"/>
      <c r="FFF659" s="268"/>
      <c r="FFG659" s="268"/>
      <c r="FFH659" s="268"/>
      <c r="FFI659" s="268"/>
      <c r="FFJ659" s="268"/>
      <c r="FFK659" s="268"/>
      <c r="FFL659" s="268"/>
      <c r="FFM659" s="268"/>
      <c r="FFN659" s="268"/>
      <c r="FFO659" s="268"/>
      <c r="FFP659" s="268"/>
      <c r="FFQ659" s="268"/>
      <c r="FFR659" s="268"/>
      <c r="FFS659" s="268"/>
      <c r="FFT659" s="268"/>
      <c r="FFU659" s="268"/>
      <c r="FFV659" s="268"/>
      <c r="FFW659" s="268"/>
      <c r="FFX659" s="268"/>
      <c r="FFY659" s="268"/>
      <c r="FFZ659" s="268"/>
      <c r="FGA659" s="268"/>
      <c r="FGB659" s="268"/>
      <c r="FGC659" s="268"/>
      <c r="FGD659" s="268"/>
      <c r="FGE659" s="268"/>
      <c r="FGF659" s="268"/>
      <c r="FGG659" s="268"/>
      <c r="FGH659" s="268"/>
      <c r="FGI659" s="268"/>
      <c r="FGJ659" s="268"/>
      <c r="FGK659" s="268"/>
      <c r="FGL659" s="268"/>
      <c r="FGM659" s="268"/>
      <c r="FGN659" s="268"/>
      <c r="FGO659" s="268"/>
      <c r="FGP659" s="268"/>
      <c r="FGQ659" s="268"/>
      <c r="FGR659" s="268"/>
      <c r="FGS659" s="268"/>
      <c r="FGT659" s="268"/>
      <c r="FGU659" s="268"/>
      <c r="FGV659" s="268"/>
      <c r="FGW659" s="268"/>
      <c r="FGX659" s="268"/>
      <c r="FGY659" s="268"/>
      <c r="FGZ659" s="268"/>
      <c r="FHA659" s="268"/>
      <c r="FHB659" s="268"/>
      <c r="FHC659" s="268"/>
      <c r="FHD659" s="268"/>
      <c r="FHE659" s="268"/>
      <c r="FHF659" s="268"/>
      <c r="FHG659" s="268"/>
      <c r="FHH659" s="268"/>
      <c r="FHI659" s="268"/>
      <c r="FHJ659" s="268"/>
      <c r="FHK659" s="268"/>
      <c r="FHL659" s="268"/>
      <c r="FHM659" s="268"/>
      <c r="FHN659" s="268"/>
      <c r="FHO659" s="268"/>
      <c r="FHP659" s="268"/>
      <c r="FHQ659" s="268"/>
      <c r="FHR659" s="268"/>
      <c r="FHS659" s="268"/>
      <c r="FHT659" s="268"/>
      <c r="FHU659" s="268"/>
      <c r="FHV659" s="268"/>
      <c r="FHW659" s="268"/>
      <c r="FHX659" s="268"/>
      <c r="FHY659" s="268"/>
      <c r="FHZ659" s="268"/>
      <c r="FIA659" s="268"/>
      <c r="FIB659" s="268"/>
      <c r="FIC659" s="268"/>
      <c r="FID659" s="268"/>
      <c r="FIE659" s="268"/>
      <c r="FIF659" s="268"/>
      <c r="FIG659" s="268"/>
      <c r="FIH659" s="268"/>
      <c r="FII659" s="268"/>
      <c r="FIJ659" s="268"/>
      <c r="FIK659" s="268"/>
      <c r="FIL659" s="268"/>
      <c r="FIM659" s="268"/>
      <c r="FIN659" s="268"/>
      <c r="FIO659" s="268"/>
      <c r="FIP659" s="268"/>
      <c r="FIQ659" s="268"/>
      <c r="FIR659" s="268"/>
      <c r="FIS659" s="268"/>
      <c r="FIT659" s="268"/>
      <c r="FIU659" s="268"/>
      <c r="FIV659" s="268"/>
      <c r="FIW659" s="268"/>
      <c r="FIX659" s="268"/>
      <c r="FIY659" s="268"/>
      <c r="FIZ659" s="268"/>
      <c r="FJA659" s="268"/>
      <c r="FJB659" s="268"/>
      <c r="FJC659" s="268"/>
      <c r="FJD659" s="268"/>
      <c r="FJE659" s="268"/>
      <c r="FJF659" s="268"/>
      <c r="FJG659" s="268"/>
      <c r="FJH659" s="268"/>
      <c r="FJI659" s="268"/>
      <c r="FJJ659" s="268"/>
      <c r="FJK659" s="268"/>
      <c r="FJL659" s="268"/>
      <c r="FJM659" s="268"/>
      <c r="FJN659" s="268"/>
      <c r="FJO659" s="268"/>
      <c r="FJP659" s="268"/>
      <c r="FJQ659" s="268"/>
      <c r="FJR659" s="268"/>
      <c r="FJS659" s="268"/>
      <c r="FJT659" s="268"/>
      <c r="FJU659" s="268"/>
      <c r="FJV659" s="268"/>
      <c r="FJW659" s="268"/>
      <c r="FJX659" s="268"/>
      <c r="FJY659" s="268"/>
      <c r="FJZ659" s="268"/>
      <c r="FKA659" s="268"/>
      <c r="FKO659" s="268"/>
      <c r="FKP659" s="268"/>
      <c r="FKQ659" s="268"/>
      <c r="FLE659" s="268"/>
      <c r="FLG659" s="268"/>
      <c r="FLH659" s="268"/>
      <c r="FLI659" s="268"/>
      <c r="FLJ659" s="268"/>
      <c r="FLK659" s="268"/>
      <c r="FLL659" s="268"/>
      <c r="FLM659" s="268"/>
      <c r="FLN659" s="268"/>
      <c r="FLO659" s="268"/>
      <c r="FLP659" s="268"/>
      <c r="FLQ659" s="268"/>
      <c r="FLR659" s="268"/>
      <c r="FLS659" s="268"/>
      <c r="FLT659" s="268"/>
      <c r="FLU659" s="268"/>
      <c r="FLV659" s="268"/>
      <c r="FLW659" s="268"/>
      <c r="FLX659" s="268"/>
      <c r="FLY659" s="268"/>
      <c r="FLZ659" s="268"/>
      <c r="FMA659" s="268"/>
      <c r="FMB659" s="268"/>
      <c r="FMC659" s="268"/>
      <c r="FMD659" s="268"/>
      <c r="FME659" s="268"/>
      <c r="FMF659" s="268"/>
      <c r="FMG659" s="268"/>
      <c r="FMH659" s="268"/>
      <c r="FMI659" s="268"/>
      <c r="FMJ659" s="268"/>
      <c r="FMK659" s="268"/>
      <c r="FML659" s="268"/>
      <c r="FMM659" s="268"/>
      <c r="FMN659" s="268"/>
      <c r="FMO659" s="268"/>
      <c r="FMP659" s="268"/>
      <c r="FMQ659" s="268"/>
      <c r="FMR659" s="268"/>
      <c r="FMS659" s="268"/>
      <c r="FMT659" s="268"/>
      <c r="FMU659" s="268"/>
      <c r="FMV659" s="268"/>
      <c r="FMW659" s="268"/>
      <c r="FMX659" s="268"/>
      <c r="FMY659" s="268"/>
      <c r="FMZ659" s="268"/>
      <c r="FNA659" s="268"/>
      <c r="FNB659" s="268"/>
      <c r="FNC659" s="268"/>
      <c r="FND659" s="268"/>
      <c r="FNE659" s="268"/>
      <c r="FNF659" s="268"/>
      <c r="FNG659" s="268"/>
      <c r="FNH659" s="268"/>
      <c r="FNI659" s="268"/>
      <c r="FNJ659" s="268"/>
      <c r="FNK659" s="268"/>
      <c r="FNL659" s="268"/>
      <c r="FNM659" s="268"/>
      <c r="FNN659" s="268"/>
      <c r="FNO659" s="268"/>
      <c r="FNP659" s="268"/>
      <c r="FNQ659" s="268"/>
      <c r="FNR659" s="268"/>
      <c r="FNS659" s="268"/>
      <c r="FNT659" s="268"/>
      <c r="FNU659" s="268"/>
      <c r="FNV659" s="268"/>
      <c r="FNW659" s="268"/>
      <c r="FNX659" s="268"/>
      <c r="FNY659" s="268"/>
      <c r="FNZ659" s="268"/>
      <c r="FOA659" s="268"/>
      <c r="FOB659" s="268"/>
      <c r="FOC659" s="268"/>
      <c r="FOD659" s="268"/>
      <c r="FOE659" s="268"/>
      <c r="FOF659" s="268"/>
      <c r="FOG659" s="268"/>
      <c r="FOH659" s="268"/>
      <c r="FOI659" s="268"/>
      <c r="FOJ659" s="268"/>
      <c r="FOK659" s="268"/>
      <c r="FOL659" s="268"/>
      <c r="FOM659" s="268"/>
      <c r="FON659" s="268"/>
      <c r="FOO659" s="268"/>
      <c r="FOP659" s="268"/>
      <c r="FOQ659" s="268"/>
      <c r="FOR659" s="268"/>
      <c r="FOS659" s="268"/>
      <c r="FOT659" s="268"/>
      <c r="FOU659" s="268"/>
      <c r="FOV659" s="268"/>
      <c r="FOW659" s="268"/>
      <c r="FOX659" s="268"/>
      <c r="FOY659" s="268"/>
      <c r="FOZ659" s="268"/>
      <c r="FPA659" s="268"/>
      <c r="FPB659" s="268"/>
      <c r="FPC659" s="268"/>
      <c r="FPD659" s="268"/>
      <c r="FPE659" s="268"/>
      <c r="FPF659" s="268"/>
      <c r="FPG659" s="268"/>
      <c r="FPH659" s="268"/>
      <c r="FPI659" s="268"/>
      <c r="FPJ659" s="268"/>
      <c r="FPK659" s="268"/>
      <c r="FPL659" s="268"/>
      <c r="FPM659" s="268"/>
      <c r="FPN659" s="268"/>
      <c r="FPO659" s="268"/>
      <c r="FPP659" s="268"/>
      <c r="FPQ659" s="268"/>
      <c r="FPR659" s="268"/>
      <c r="FPS659" s="268"/>
      <c r="FPT659" s="268"/>
      <c r="FPU659" s="268"/>
      <c r="FPV659" s="268"/>
      <c r="FPW659" s="268"/>
      <c r="FPX659" s="268"/>
      <c r="FPY659" s="268"/>
      <c r="FPZ659" s="268"/>
      <c r="FQA659" s="268"/>
      <c r="FQB659" s="268"/>
      <c r="FQC659" s="268"/>
      <c r="FQD659" s="268"/>
      <c r="FQE659" s="268"/>
      <c r="FQF659" s="268"/>
      <c r="FQG659" s="268"/>
      <c r="FQH659" s="268"/>
      <c r="FQI659" s="268"/>
      <c r="FQJ659" s="268"/>
      <c r="FQK659" s="268"/>
      <c r="FQL659" s="268"/>
      <c r="FQM659" s="268"/>
      <c r="FQN659" s="268"/>
      <c r="FQO659" s="268"/>
      <c r="FQP659" s="268"/>
      <c r="FQQ659" s="268"/>
      <c r="FQR659" s="268"/>
      <c r="FQS659" s="268"/>
      <c r="FQT659" s="268"/>
      <c r="FQU659" s="268"/>
      <c r="FQV659" s="268"/>
      <c r="FQW659" s="268"/>
      <c r="FQX659" s="268"/>
      <c r="FQY659" s="268"/>
      <c r="FQZ659" s="268"/>
      <c r="FRA659" s="268"/>
      <c r="FRB659" s="268"/>
      <c r="FRC659" s="268"/>
      <c r="FRD659" s="268"/>
      <c r="FRE659" s="268"/>
      <c r="FRF659" s="268"/>
      <c r="FRG659" s="268"/>
      <c r="FRH659" s="268"/>
      <c r="FRI659" s="268"/>
      <c r="FRJ659" s="268"/>
      <c r="FRK659" s="268"/>
      <c r="FRL659" s="268"/>
      <c r="FRM659" s="268"/>
      <c r="FRN659" s="268"/>
      <c r="FRO659" s="268"/>
      <c r="FRP659" s="268"/>
      <c r="FRQ659" s="268"/>
      <c r="FRR659" s="268"/>
      <c r="FRS659" s="268"/>
      <c r="FRT659" s="268"/>
      <c r="FRU659" s="268"/>
      <c r="FRV659" s="268"/>
      <c r="FRW659" s="268"/>
      <c r="FRX659" s="268"/>
      <c r="FRY659" s="268"/>
      <c r="FRZ659" s="268"/>
      <c r="FSA659" s="268"/>
      <c r="FSB659" s="268"/>
      <c r="FSC659" s="268"/>
      <c r="FSD659" s="268"/>
      <c r="FSE659" s="268"/>
      <c r="FSF659" s="268"/>
      <c r="FSG659" s="268"/>
      <c r="FSH659" s="268"/>
      <c r="FSI659" s="268"/>
      <c r="FSJ659" s="268"/>
      <c r="FSK659" s="268"/>
      <c r="FSL659" s="268"/>
      <c r="FSM659" s="268"/>
      <c r="FSN659" s="268"/>
      <c r="FSO659" s="268"/>
      <c r="FSP659" s="268"/>
      <c r="FSQ659" s="268"/>
      <c r="FSR659" s="268"/>
      <c r="FSS659" s="268"/>
      <c r="FST659" s="268"/>
      <c r="FSU659" s="268"/>
      <c r="FSV659" s="268"/>
      <c r="FSW659" s="268"/>
      <c r="FSX659" s="268"/>
      <c r="FSY659" s="268"/>
      <c r="FSZ659" s="268"/>
      <c r="FTA659" s="268"/>
      <c r="FTB659" s="268"/>
      <c r="FTC659" s="268"/>
      <c r="FTD659" s="268"/>
      <c r="FTE659" s="268"/>
      <c r="FTF659" s="268"/>
      <c r="FTG659" s="268"/>
      <c r="FTH659" s="268"/>
      <c r="FTI659" s="268"/>
      <c r="FTJ659" s="268"/>
      <c r="FTK659" s="268"/>
      <c r="FTL659" s="268"/>
      <c r="FTM659" s="268"/>
      <c r="FTN659" s="268"/>
      <c r="FTO659" s="268"/>
      <c r="FTP659" s="268"/>
      <c r="FTQ659" s="268"/>
      <c r="FTR659" s="268"/>
      <c r="FTS659" s="268"/>
      <c r="FTT659" s="268"/>
      <c r="FTU659" s="268"/>
      <c r="FTV659" s="268"/>
      <c r="FTW659" s="268"/>
      <c r="FUK659" s="268"/>
      <c r="FUL659" s="268"/>
      <c r="FUM659" s="268"/>
      <c r="FVA659" s="268"/>
      <c r="FVC659" s="268"/>
      <c r="FVD659" s="268"/>
      <c r="FVE659" s="268"/>
      <c r="FVF659" s="268"/>
      <c r="FVG659" s="268"/>
      <c r="FVH659" s="268"/>
      <c r="FVI659" s="268"/>
      <c r="FVJ659" s="268"/>
      <c r="FVK659" s="268"/>
      <c r="FVL659" s="268"/>
      <c r="FVM659" s="268"/>
      <c r="FVN659" s="268"/>
      <c r="FVO659" s="268"/>
      <c r="FVP659" s="268"/>
      <c r="FVQ659" s="268"/>
      <c r="FVR659" s="268"/>
      <c r="FVS659" s="268"/>
      <c r="FVT659" s="268"/>
      <c r="FVU659" s="268"/>
      <c r="FVV659" s="268"/>
      <c r="FVW659" s="268"/>
      <c r="FVX659" s="268"/>
      <c r="FVY659" s="268"/>
      <c r="FVZ659" s="268"/>
      <c r="FWA659" s="268"/>
      <c r="FWB659" s="268"/>
      <c r="FWC659" s="268"/>
      <c r="FWD659" s="268"/>
      <c r="FWE659" s="268"/>
      <c r="FWF659" s="268"/>
      <c r="FWG659" s="268"/>
      <c r="FWH659" s="268"/>
      <c r="FWI659" s="268"/>
      <c r="FWJ659" s="268"/>
      <c r="FWK659" s="268"/>
      <c r="FWL659" s="268"/>
      <c r="FWM659" s="268"/>
      <c r="FWN659" s="268"/>
      <c r="FWO659" s="268"/>
      <c r="FWP659" s="268"/>
      <c r="FWQ659" s="268"/>
      <c r="FWR659" s="268"/>
      <c r="FWS659" s="268"/>
      <c r="FWT659" s="268"/>
      <c r="FWU659" s="268"/>
      <c r="FWV659" s="268"/>
      <c r="FWW659" s="268"/>
      <c r="FWX659" s="268"/>
      <c r="FWY659" s="268"/>
      <c r="FWZ659" s="268"/>
      <c r="FXA659" s="268"/>
      <c r="FXB659" s="268"/>
      <c r="FXC659" s="268"/>
      <c r="FXD659" s="268"/>
      <c r="FXE659" s="268"/>
      <c r="FXF659" s="268"/>
      <c r="FXG659" s="268"/>
      <c r="FXH659" s="268"/>
      <c r="FXI659" s="268"/>
      <c r="FXJ659" s="268"/>
      <c r="FXK659" s="268"/>
      <c r="FXL659" s="268"/>
      <c r="FXM659" s="268"/>
      <c r="FXN659" s="268"/>
      <c r="FXO659" s="268"/>
      <c r="FXP659" s="268"/>
      <c r="FXQ659" s="268"/>
      <c r="FXR659" s="268"/>
      <c r="FXS659" s="268"/>
      <c r="FXT659" s="268"/>
      <c r="FXU659" s="268"/>
      <c r="FXV659" s="268"/>
      <c r="FXW659" s="268"/>
      <c r="FXX659" s="268"/>
      <c r="FXY659" s="268"/>
      <c r="FXZ659" s="268"/>
      <c r="FYA659" s="268"/>
      <c r="FYB659" s="268"/>
      <c r="FYC659" s="268"/>
      <c r="FYD659" s="268"/>
      <c r="FYE659" s="268"/>
      <c r="FYF659" s="268"/>
      <c r="FYG659" s="268"/>
      <c r="FYH659" s="268"/>
      <c r="FYI659" s="268"/>
      <c r="FYJ659" s="268"/>
      <c r="FYK659" s="268"/>
      <c r="FYL659" s="268"/>
      <c r="FYM659" s="268"/>
      <c r="FYN659" s="268"/>
      <c r="FYO659" s="268"/>
      <c r="FYP659" s="268"/>
      <c r="FYQ659" s="268"/>
      <c r="FYR659" s="268"/>
      <c r="FYS659" s="268"/>
      <c r="FYT659" s="268"/>
      <c r="FYU659" s="268"/>
      <c r="FYV659" s="268"/>
      <c r="FYW659" s="268"/>
      <c r="FYX659" s="268"/>
      <c r="FYY659" s="268"/>
      <c r="FYZ659" s="268"/>
      <c r="FZA659" s="268"/>
      <c r="FZB659" s="268"/>
      <c r="FZC659" s="268"/>
      <c r="FZD659" s="268"/>
      <c r="FZE659" s="268"/>
      <c r="FZF659" s="268"/>
      <c r="FZG659" s="268"/>
      <c r="FZH659" s="268"/>
      <c r="FZI659" s="268"/>
      <c r="FZJ659" s="268"/>
      <c r="FZK659" s="268"/>
      <c r="FZL659" s="268"/>
      <c r="FZM659" s="268"/>
      <c r="FZN659" s="268"/>
      <c r="FZO659" s="268"/>
      <c r="FZP659" s="268"/>
      <c r="FZQ659" s="268"/>
      <c r="FZR659" s="268"/>
      <c r="FZS659" s="268"/>
      <c r="FZT659" s="268"/>
      <c r="FZU659" s="268"/>
      <c r="FZV659" s="268"/>
      <c r="FZW659" s="268"/>
      <c r="FZX659" s="268"/>
      <c r="FZY659" s="268"/>
      <c r="FZZ659" s="268"/>
      <c r="GAA659" s="268"/>
      <c r="GAB659" s="268"/>
      <c r="GAC659" s="268"/>
      <c r="GAD659" s="268"/>
      <c r="GAE659" s="268"/>
      <c r="GAF659" s="268"/>
      <c r="GAG659" s="268"/>
      <c r="GAH659" s="268"/>
      <c r="GAI659" s="268"/>
      <c r="GAJ659" s="268"/>
      <c r="GAK659" s="268"/>
      <c r="GAL659" s="268"/>
      <c r="GAM659" s="268"/>
      <c r="GAN659" s="268"/>
      <c r="GAO659" s="268"/>
      <c r="GAP659" s="268"/>
      <c r="GAQ659" s="268"/>
      <c r="GAR659" s="268"/>
      <c r="GAS659" s="268"/>
      <c r="GAT659" s="268"/>
      <c r="GAU659" s="268"/>
      <c r="GAV659" s="268"/>
      <c r="GAW659" s="268"/>
      <c r="GAX659" s="268"/>
      <c r="GAY659" s="268"/>
      <c r="GAZ659" s="268"/>
      <c r="GBA659" s="268"/>
      <c r="GBB659" s="268"/>
      <c r="GBC659" s="268"/>
      <c r="GBD659" s="268"/>
      <c r="GBE659" s="268"/>
      <c r="GBF659" s="268"/>
      <c r="GBG659" s="268"/>
      <c r="GBH659" s="268"/>
      <c r="GBI659" s="268"/>
      <c r="GBJ659" s="268"/>
      <c r="GBK659" s="268"/>
      <c r="GBL659" s="268"/>
      <c r="GBM659" s="268"/>
      <c r="GBN659" s="268"/>
      <c r="GBO659" s="268"/>
      <c r="GBP659" s="268"/>
      <c r="GBQ659" s="268"/>
      <c r="GBR659" s="268"/>
      <c r="GBS659" s="268"/>
      <c r="GBT659" s="268"/>
      <c r="GBU659" s="268"/>
      <c r="GBV659" s="268"/>
      <c r="GBW659" s="268"/>
      <c r="GBX659" s="268"/>
      <c r="GBY659" s="268"/>
      <c r="GBZ659" s="268"/>
      <c r="GCA659" s="268"/>
      <c r="GCB659" s="268"/>
      <c r="GCC659" s="268"/>
      <c r="GCD659" s="268"/>
      <c r="GCE659" s="268"/>
      <c r="GCF659" s="268"/>
      <c r="GCG659" s="268"/>
      <c r="GCH659" s="268"/>
      <c r="GCI659" s="268"/>
      <c r="GCJ659" s="268"/>
      <c r="GCK659" s="268"/>
      <c r="GCL659" s="268"/>
      <c r="GCM659" s="268"/>
      <c r="GCN659" s="268"/>
      <c r="GCO659" s="268"/>
      <c r="GCP659" s="268"/>
      <c r="GCQ659" s="268"/>
      <c r="GCR659" s="268"/>
      <c r="GCS659" s="268"/>
      <c r="GCT659" s="268"/>
      <c r="GCU659" s="268"/>
      <c r="GCV659" s="268"/>
      <c r="GCW659" s="268"/>
      <c r="GCX659" s="268"/>
      <c r="GCY659" s="268"/>
      <c r="GCZ659" s="268"/>
      <c r="GDA659" s="268"/>
      <c r="GDB659" s="268"/>
      <c r="GDC659" s="268"/>
      <c r="GDD659" s="268"/>
      <c r="GDE659" s="268"/>
      <c r="GDF659" s="268"/>
      <c r="GDG659" s="268"/>
      <c r="GDH659" s="268"/>
      <c r="GDI659" s="268"/>
      <c r="GDJ659" s="268"/>
      <c r="GDK659" s="268"/>
      <c r="GDL659" s="268"/>
      <c r="GDM659" s="268"/>
      <c r="GDN659" s="268"/>
      <c r="GDO659" s="268"/>
      <c r="GDP659" s="268"/>
      <c r="GDQ659" s="268"/>
      <c r="GDR659" s="268"/>
      <c r="GDS659" s="268"/>
      <c r="GEG659" s="268"/>
      <c r="GEH659" s="268"/>
      <c r="GEI659" s="268"/>
      <c r="GEW659" s="268"/>
      <c r="GEY659" s="268"/>
      <c r="GEZ659" s="268"/>
      <c r="GFA659" s="268"/>
      <c r="GFB659" s="268"/>
      <c r="GFC659" s="268"/>
      <c r="GFD659" s="268"/>
      <c r="GFE659" s="268"/>
      <c r="GFF659" s="268"/>
      <c r="GFG659" s="268"/>
      <c r="GFH659" s="268"/>
      <c r="GFI659" s="268"/>
      <c r="GFJ659" s="268"/>
      <c r="GFK659" s="268"/>
      <c r="GFL659" s="268"/>
      <c r="GFM659" s="268"/>
      <c r="GFN659" s="268"/>
      <c r="GFO659" s="268"/>
      <c r="GFP659" s="268"/>
      <c r="GFQ659" s="268"/>
      <c r="GFR659" s="268"/>
      <c r="GFS659" s="268"/>
      <c r="GFT659" s="268"/>
      <c r="GFU659" s="268"/>
      <c r="GFV659" s="268"/>
      <c r="GFW659" s="268"/>
      <c r="GFX659" s="268"/>
      <c r="GFY659" s="268"/>
      <c r="GFZ659" s="268"/>
      <c r="GGA659" s="268"/>
      <c r="GGB659" s="268"/>
      <c r="GGC659" s="268"/>
      <c r="GGD659" s="268"/>
      <c r="GGE659" s="268"/>
      <c r="GGF659" s="268"/>
      <c r="GGG659" s="268"/>
      <c r="GGH659" s="268"/>
      <c r="GGI659" s="268"/>
      <c r="GGJ659" s="268"/>
      <c r="GGK659" s="268"/>
      <c r="GGL659" s="268"/>
      <c r="GGM659" s="268"/>
      <c r="GGN659" s="268"/>
      <c r="GGO659" s="268"/>
      <c r="GGP659" s="268"/>
      <c r="GGQ659" s="268"/>
      <c r="GGR659" s="268"/>
      <c r="GGS659" s="268"/>
      <c r="GGT659" s="268"/>
      <c r="GGU659" s="268"/>
      <c r="GGV659" s="268"/>
      <c r="GGW659" s="268"/>
      <c r="GGX659" s="268"/>
      <c r="GGY659" s="268"/>
      <c r="GGZ659" s="268"/>
      <c r="GHA659" s="268"/>
      <c r="GHB659" s="268"/>
      <c r="GHC659" s="268"/>
      <c r="GHD659" s="268"/>
      <c r="GHE659" s="268"/>
      <c r="GHF659" s="268"/>
      <c r="GHG659" s="268"/>
      <c r="GHH659" s="268"/>
      <c r="GHI659" s="268"/>
      <c r="GHJ659" s="268"/>
      <c r="GHK659" s="268"/>
      <c r="GHL659" s="268"/>
      <c r="GHM659" s="268"/>
      <c r="GHN659" s="268"/>
      <c r="GHO659" s="268"/>
      <c r="GHP659" s="268"/>
      <c r="GHQ659" s="268"/>
      <c r="GHR659" s="268"/>
      <c r="GHS659" s="268"/>
      <c r="GHT659" s="268"/>
      <c r="GHU659" s="268"/>
      <c r="GHV659" s="268"/>
      <c r="GHW659" s="268"/>
      <c r="GHX659" s="268"/>
      <c r="GHY659" s="268"/>
      <c r="GHZ659" s="268"/>
      <c r="GIA659" s="268"/>
      <c r="GIB659" s="268"/>
      <c r="GIC659" s="268"/>
      <c r="GID659" s="268"/>
      <c r="GIE659" s="268"/>
      <c r="GIF659" s="268"/>
      <c r="GIG659" s="268"/>
      <c r="GIH659" s="268"/>
      <c r="GII659" s="268"/>
      <c r="GIJ659" s="268"/>
      <c r="GIK659" s="268"/>
      <c r="GIL659" s="268"/>
      <c r="GIM659" s="268"/>
      <c r="GIN659" s="268"/>
      <c r="GIO659" s="268"/>
      <c r="GIP659" s="268"/>
      <c r="GIQ659" s="268"/>
      <c r="GIR659" s="268"/>
      <c r="GIS659" s="268"/>
      <c r="GIT659" s="268"/>
      <c r="GIU659" s="268"/>
      <c r="GIV659" s="268"/>
      <c r="GIW659" s="268"/>
      <c r="GIX659" s="268"/>
      <c r="GIY659" s="268"/>
      <c r="GIZ659" s="268"/>
      <c r="GJA659" s="268"/>
      <c r="GJB659" s="268"/>
      <c r="GJC659" s="268"/>
      <c r="GJD659" s="268"/>
      <c r="GJE659" s="268"/>
      <c r="GJF659" s="268"/>
      <c r="GJG659" s="268"/>
      <c r="GJH659" s="268"/>
      <c r="GJI659" s="268"/>
      <c r="GJJ659" s="268"/>
      <c r="GJK659" s="268"/>
      <c r="GJL659" s="268"/>
      <c r="GJM659" s="268"/>
      <c r="GJN659" s="268"/>
      <c r="GJO659" s="268"/>
      <c r="GJP659" s="268"/>
      <c r="GJQ659" s="268"/>
      <c r="GJR659" s="268"/>
      <c r="GJS659" s="268"/>
      <c r="GJT659" s="268"/>
      <c r="GJU659" s="268"/>
      <c r="GJV659" s="268"/>
      <c r="GJW659" s="268"/>
      <c r="GJX659" s="268"/>
      <c r="GJY659" s="268"/>
      <c r="GJZ659" s="268"/>
      <c r="GKA659" s="268"/>
      <c r="GKB659" s="268"/>
      <c r="GKC659" s="268"/>
      <c r="GKD659" s="268"/>
      <c r="GKE659" s="268"/>
      <c r="GKF659" s="268"/>
      <c r="GKG659" s="268"/>
      <c r="GKH659" s="268"/>
      <c r="GKI659" s="268"/>
      <c r="GKJ659" s="268"/>
      <c r="GKK659" s="268"/>
      <c r="GKL659" s="268"/>
      <c r="GKM659" s="268"/>
      <c r="GKN659" s="268"/>
      <c r="GKO659" s="268"/>
      <c r="GKP659" s="268"/>
      <c r="GKQ659" s="268"/>
      <c r="GKR659" s="268"/>
      <c r="GKS659" s="268"/>
      <c r="GKT659" s="268"/>
      <c r="GKU659" s="268"/>
      <c r="GKV659" s="268"/>
      <c r="GKW659" s="268"/>
      <c r="GKX659" s="268"/>
      <c r="GKY659" s="268"/>
      <c r="GKZ659" s="268"/>
      <c r="GLA659" s="268"/>
      <c r="GLB659" s="268"/>
      <c r="GLC659" s="268"/>
      <c r="GLD659" s="268"/>
      <c r="GLE659" s="268"/>
      <c r="GLF659" s="268"/>
      <c r="GLG659" s="268"/>
      <c r="GLH659" s="268"/>
      <c r="GLI659" s="268"/>
      <c r="GLJ659" s="268"/>
      <c r="GLK659" s="268"/>
      <c r="GLL659" s="268"/>
      <c r="GLM659" s="268"/>
      <c r="GLN659" s="268"/>
      <c r="GLO659" s="268"/>
      <c r="GLP659" s="268"/>
      <c r="GLQ659" s="268"/>
      <c r="GLR659" s="268"/>
      <c r="GLS659" s="268"/>
      <c r="GLT659" s="268"/>
      <c r="GLU659" s="268"/>
      <c r="GLV659" s="268"/>
      <c r="GLW659" s="268"/>
      <c r="GLX659" s="268"/>
      <c r="GLY659" s="268"/>
      <c r="GLZ659" s="268"/>
      <c r="GMA659" s="268"/>
      <c r="GMB659" s="268"/>
      <c r="GMC659" s="268"/>
      <c r="GMD659" s="268"/>
      <c r="GME659" s="268"/>
      <c r="GMF659" s="268"/>
      <c r="GMG659" s="268"/>
      <c r="GMH659" s="268"/>
      <c r="GMI659" s="268"/>
      <c r="GMJ659" s="268"/>
      <c r="GMK659" s="268"/>
      <c r="GML659" s="268"/>
      <c r="GMM659" s="268"/>
      <c r="GMN659" s="268"/>
      <c r="GMO659" s="268"/>
      <c r="GMP659" s="268"/>
      <c r="GMQ659" s="268"/>
      <c r="GMR659" s="268"/>
      <c r="GMS659" s="268"/>
      <c r="GMT659" s="268"/>
      <c r="GMU659" s="268"/>
      <c r="GMV659" s="268"/>
      <c r="GMW659" s="268"/>
      <c r="GMX659" s="268"/>
      <c r="GMY659" s="268"/>
      <c r="GMZ659" s="268"/>
      <c r="GNA659" s="268"/>
      <c r="GNB659" s="268"/>
      <c r="GNC659" s="268"/>
      <c r="GND659" s="268"/>
      <c r="GNE659" s="268"/>
      <c r="GNF659" s="268"/>
      <c r="GNG659" s="268"/>
      <c r="GNH659" s="268"/>
      <c r="GNI659" s="268"/>
      <c r="GNJ659" s="268"/>
      <c r="GNK659" s="268"/>
      <c r="GNL659" s="268"/>
      <c r="GNM659" s="268"/>
      <c r="GNN659" s="268"/>
      <c r="GNO659" s="268"/>
      <c r="GOC659" s="268"/>
      <c r="GOD659" s="268"/>
      <c r="GOE659" s="268"/>
      <c r="GOS659" s="268"/>
      <c r="GOU659" s="268"/>
      <c r="GOV659" s="268"/>
      <c r="GOW659" s="268"/>
      <c r="GOX659" s="268"/>
      <c r="GOY659" s="268"/>
      <c r="GOZ659" s="268"/>
      <c r="GPA659" s="268"/>
      <c r="GPB659" s="268"/>
      <c r="GPC659" s="268"/>
      <c r="GPD659" s="268"/>
      <c r="GPE659" s="268"/>
      <c r="GPF659" s="268"/>
      <c r="GPG659" s="268"/>
      <c r="GPH659" s="268"/>
      <c r="GPI659" s="268"/>
      <c r="GPJ659" s="268"/>
      <c r="GPK659" s="268"/>
      <c r="GPL659" s="268"/>
      <c r="GPM659" s="268"/>
      <c r="GPN659" s="268"/>
      <c r="GPO659" s="268"/>
      <c r="GPP659" s="268"/>
      <c r="GPQ659" s="268"/>
      <c r="GPR659" s="268"/>
      <c r="GPS659" s="268"/>
      <c r="GPT659" s="268"/>
      <c r="GPU659" s="268"/>
      <c r="GPV659" s="268"/>
      <c r="GPW659" s="268"/>
      <c r="GPX659" s="268"/>
      <c r="GPY659" s="268"/>
      <c r="GPZ659" s="268"/>
      <c r="GQA659" s="268"/>
      <c r="GQB659" s="268"/>
      <c r="GQC659" s="268"/>
      <c r="GQD659" s="268"/>
      <c r="GQE659" s="268"/>
      <c r="GQF659" s="268"/>
      <c r="GQG659" s="268"/>
      <c r="GQH659" s="268"/>
      <c r="GQI659" s="268"/>
      <c r="GQJ659" s="268"/>
      <c r="GQK659" s="268"/>
      <c r="GQL659" s="268"/>
      <c r="GQM659" s="268"/>
      <c r="GQN659" s="268"/>
      <c r="GQO659" s="268"/>
      <c r="GQP659" s="268"/>
      <c r="GQQ659" s="268"/>
      <c r="GQR659" s="268"/>
      <c r="GQS659" s="268"/>
      <c r="GQT659" s="268"/>
      <c r="GQU659" s="268"/>
      <c r="GQV659" s="268"/>
      <c r="GQW659" s="268"/>
      <c r="GQX659" s="268"/>
      <c r="GQY659" s="268"/>
      <c r="GQZ659" s="268"/>
      <c r="GRA659" s="268"/>
      <c r="GRB659" s="268"/>
      <c r="GRC659" s="268"/>
      <c r="GRD659" s="268"/>
      <c r="GRE659" s="268"/>
      <c r="GRF659" s="268"/>
      <c r="GRG659" s="268"/>
      <c r="GRH659" s="268"/>
      <c r="GRI659" s="268"/>
      <c r="GRJ659" s="268"/>
      <c r="GRK659" s="268"/>
      <c r="GRL659" s="268"/>
      <c r="GRM659" s="268"/>
      <c r="GRN659" s="268"/>
      <c r="GRO659" s="268"/>
      <c r="GRP659" s="268"/>
      <c r="GRQ659" s="268"/>
      <c r="GRR659" s="268"/>
      <c r="GRS659" s="268"/>
      <c r="GRT659" s="268"/>
      <c r="GRU659" s="268"/>
      <c r="GRV659" s="268"/>
      <c r="GRW659" s="268"/>
      <c r="GRX659" s="268"/>
      <c r="GRY659" s="268"/>
      <c r="GRZ659" s="268"/>
      <c r="GSA659" s="268"/>
      <c r="GSB659" s="268"/>
      <c r="GSC659" s="268"/>
      <c r="GSD659" s="268"/>
      <c r="GSE659" s="268"/>
      <c r="GSF659" s="268"/>
      <c r="GSG659" s="268"/>
      <c r="GSH659" s="268"/>
      <c r="GSI659" s="268"/>
      <c r="GSJ659" s="268"/>
      <c r="GSK659" s="268"/>
      <c r="GSL659" s="268"/>
      <c r="GSM659" s="268"/>
      <c r="GSN659" s="268"/>
      <c r="GSO659" s="268"/>
      <c r="GSP659" s="268"/>
      <c r="GSQ659" s="268"/>
      <c r="GSR659" s="268"/>
      <c r="GSS659" s="268"/>
      <c r="GST659" s="268"/>
      <c r="GSU659" s="268"/>
      <c r="GSV659" s="268"/>
      <c r="GSW659" s="268"/>
      <c r="GSX659" s="268"/>
      <c r="GSY659" s="268"/>
      <c r="GSZ659" s="268"/>
      <c r="GTA659" s="268"/>
      <c r="GTB659" s="268"/>
      <c r="GTC659" s="268"/>
      <c r="GTD659" s="268"/>
      <c r="GTE659" s="268"/>
      <c r="GTF659" s="268"/>
      <c r="GTG659" s="268"/>
      <c r="GTH659" s="268"/>
      <c r="GTI659" s="268"/>
      <c r="GTJ659" s="268"/>
      <c r="GTK659" s="268"/>
      <c r="GTL659" s="268"/>
      <c r="GTM659" s="268"/>
      <c r="GTN659" s="268"/>
      <c r="GTO659" s="268"/>
      <c r="GTP659" s="268"/>
      <c r="GTQ659" s="268"/>
      <c r="GTR659" s="268"/>
      <c r="GTS659" s="268"/>
      <c r="GTT659" s="268"/>
      <c r="GTU659" s="268"/>
      <c r="GTV659" s="268"/>
      <c r="GTW659" s="268"/>
      <c r="GTX659" s="268"/>
      <c r="GTY659" s="268"/>
      <c r="GTZ659" s="268"/>
      <c r="GUA659" s="268"/>
      <c r="GUB659" s="268"/>
      <c r="GUC659" s="268"/>
      <c r="GUD659" s="268"/>
      <c r="GUE659" s="268"/>
      <c r="GUF659" s="268"/>
      <c r="GUG659" s="268"/>
      <c r="GUH659" s="268"/>
      <c r="GUI659" s="268"/>
      <c r="GUJ659" s="268"/>
      <c r="GUK659" s="268"/>
      <c r="GUL659" s="268"/>
      <c r="GUM659" s="268"/>
      <c r="GUN659" s="268"/>
      <c r="GUO659" s="268"/>
      <c r="GUP659" s="268"/>
      <c r="GUQ659" s="268"/>
      <c r="GUR659" s="268"/>
      <c r="GUS659" s="268"/>
      <c r="GUT659" s="268"/>
      <c r="GUU659" s="268"/>
      <c r="GUV659" s="268"/>
      <c r="GUW659" s="268"/>
      <c r="GUX659" s="268"/>
      <c r="GUY659" s="268"/>
      <c r="GUZ659" s="268"/>
      <c r="GVA659" s="268"/>
      <c r="GVB659" s="268"/>
      <c r="GVC659" s="268"/>
      <c r="GVD659" s="268"/>
      <c r="GVE659" s="268"/>
      <c r="GVF659" s="268"/>
      <c r="GVG659" s="268"/>
      <c r="GVH659" s="268"/>
      <c r="GVI659" s="268"/>
      <c r="GVJ659" s="268"/>
      <c r="GVK659" s="268"/>
      <c r="GVL659" s="268"/>
      <c r="GVM659" s="268"/>
      <c r="GVN659" s="268"/>
      <c r="GVO659" s="268"/>
      <c r="GVP659" s="268"/>
      <c r="GVQ659" s="268"/>
      <c r="GVR659" s="268"/>
      <c r="GVS659" s="268"/>
      <c r="GVT659" s="268"/>
      <c r="GVU659" s="268"/>
      <c r="GVV659" s="268"/>
      <c r="GVW659" s="268"/>
      <c r="GVX659" s="268"/>
      <c r="GVY659" s="268"/>
      <c r="GVZ659" s="268"/>
      <c r="GWA659" s="268"/>
      <c r="GWB659" s="268"/>
      <c r="GWC659" s="268"/>
      <c r="GWD659" s="268"/>
      <c r="GWE659" s="268"/>
      <c r="GWF659" s="268"/>
      <c r="GWG659" s="268"/>
      <c r="GWH659" s="268"/>
      <c r="GWI659" s="268"/>
      <c r="GWJ659" s="268"/>
      <c r="GWK659" s="268"/>
      <c r="GWL659" s="268"/>
      <c r="GWM659" s="268"/>
      <c r="GWN659" s="268"/>
      <c r="GWO659" s="268"/>
      <c r="GWP659" s="268"/>
      <c r="GWQ659" s="268"/>
      <c r="GWR659" s="268"/>
      <c r="GWS659" s="268"/>
      <c r="GWT659" s="268"/>
      <c r="GWU659" s="268"/>
      <c r="GWV659" s="268"/>
      <c r="GWW659" s="268"/>
      <c r="GWX659" s="268"/>
      <c r="GWY659" s="268"/>
      <c r="GWZ659" s="268"/>
      <c r="GXA659" s="268"/>
      <c r="GXB659" s="268"/>
      <c r="GXC659" s="268"/>
      <c r="GXD659" s="268"/>
      <c r="GXE659" s="268"/>
      <c r="GXF659" s="268"/>
      <c r="GXG659" s="268"/>
      <c r="GXH659" s="268"/>
      <c r="GXI659" s="268"/>
      <c r="GXJ659" s="268"/>
      <c r="GXK659" s="268"/>
      <c r="GXY659" s="268"/>
      <c r="GXZ659" s="268"/>
      <c r="GYA659" s="268"/>
      <c r="GYO659" s="268"/>
      <c r="GYQ659" s="268"/>
      <c r="GYR659" s="268"/>
      <c r="GYS659" s="268"/>
      <c r="GYT659" s="268"/>
      <c r="GYU659" s="268"/>
      <c r="GYV659" s="268"/>
      <c r="GYW659" s="268"/>
      <c r="GYX659" s="268"/>
      <c r="GYY659" s="268"/>
      <c r="GYZ659" s="268"/>
      <c r="GZA659" s="268"/>
      <c r="GZB659" s="268"/>
      <c r="GZC659" s="268"/>
      <c r="GZD659" s="268"/>
      <c r="GZE659" s="268"/>
      <c r="GZF659" s="268"/>
      <c r="GZG659" s="268"/>
      <c r="GZH659" s="268"/>
      <c r="GZI659" s="268"/>
      <c r="GZJ659" s="268"/>
      <c r="GZK659" s="268"/>
      <c r="GZL659" s="268"/>
      <c r="GZM659" s="268"/>
      <c r="GZN659" s="268"/>
      <c r="GZO659" s="268"/>
      <c r="GZP659" s="268"/>
      <c r="GZQ659" s="268"/>
      <c r="GZR659" s="268"/>
      <c r="GZS659" s="268"/>
      <c r="GZT659" s="268"/>
      <c r="GZU659" s="268"/>
      <c r="GZV659" s="268"/>
      <c r="GZW659" s="268"/>
      <c r="GZX659" s="268"/>
      <c r="GZY659" s="268"/>
      <c r="GZZ659" s="268"/>
      <c r="HAA659" s="268"/>
      <c r="HAB659" s="268"/>
      <c r="HAC659" s="268"/>
      <c r="HAD659" s="268"/>
      <c r="HAE659" s="268"/>
      <c r="HAF659" s="268"/>
      <c r="HAG659" s="268"/>
      <c r="HAH659" s="268"/>
      <c r="HAI659" s="268"/>
      <c r="HAJ659" s="268"/>
      <c r="HAK659" s="268"/>
      <c r="HAL659" s="268"/>
      <c r="HAM659" s="268"/>
      <c r="HAN659" s="268"/>
      <c r="HAO659" s="268"/>
      <c r="HAP659" s="268"/>
      <c r="HAQ659" s="268"/>
      <c r="HAR659" s="268"/>
      <c r="HAS659" s="268"/>
      <c r="HAT659" s="268"/>
      <c r="HAU659" s="268"/>
      <c r="HAV659" s="268"/>
      <c r="HAW659" s="268"/>
      <c r="HAX659" s="268"/>
      <c r="HAY659" s="268"/>
      <c r="HAZ659" s="268"/>
      <c r="HBA659" s="268"/>
      <c r="HBB659" s="268"/>
      <c r="HBC659" s="268"/>
      <c r="HBD659" s="268"/>
      <c r="HBE659" s="268"/>
      <c r="HBF659" s="268"/>
      <c r="HBG659" s="268"/>
      <c r="HBH659" s="268"/>
      <c r="HBI659" s="268"/>
      <c r="HBJ659" s="268"/>
      <c r="HBK659" s="268"/>
      <c r="HBL659" s="268"/>
      <c r="HBM659" s="268"/>
      <c r="HBN659" s="268"/>
      <c r="HBO659" s="268"/>
      <c r="HBP659" s="268"/>
      <c r="HBQ659" s="268"/>
      <c r="HBR659" s="268"/>
      <c r="HBS659" s="268"/>
      <c r="HBT659" s="268"/>
      <c r="HBU659" s="268"/>
      <c r="HBV659" s="268"/>
      <c r="HBW659" s="268"/>
      <c r="HBX659" s="268"/>
      <c r="HBY659" s="268"/>
      <c r="HBZ659" s="268"/>
      <c r="HCA659" s="268"/>
      <c r="HCB659" s="268"/>
      <c r="HCC659" s="268"/>
      <c r="HCD659" s="268"/>
      <c r="HCE659" s="268"/>
      <c r="HCF659" s="268"/>
      <c r="HCG659" s="268"/>
      <c r="HCH659" s="268"/>
      <c r="HCI659" s="268"/>
      <c r="HCJ659" s="268"/>
      <c r="HCK659" s="268"/>
      <c r="HCL659" s="268"/>
      <c r="HCM659" s="268"/>
      <c r="HCN659" s="268"/>
      <c r="HCO659" s="268"/>
      <c r="HCP659" s="268"/>
      <c r="HCQ659" s="268"/>
      <c r="HCR659" s="268"/>
      <c r="HCS659" s="268"/>
      <c r="HCT659" s="268"/>
      <c r="HCU659" s="268"/>
      <c r="HCV659" s="268"/>
      <c r="HCW659" s="268"/>
      <c r="HCX659" s="268"/>
      <c r="HCY659" s="268"/>
      <c r="HCZ659" s="268"/>
      <c r="HDA659" s="268"/>
      <c r="HDB659" s="268"/>
      <c r="HDC659" s="268"/>
      <c r="HDD659" s="268"/>
      <c r="HDE659" s="268"/>
      <c r="HDF659" s="268"/>
      <c r="HDG659" s="268"/>
      <c r="HDH659" s="268"/>
      <c r="HDI659" s="268"/>
      <c r="HDJ659" s="268"/>
      <c r="HDK659" s="268"/>
      <c r="HDL659" s="268"/>
      <c r="HDM659" s="268"/>
      <c r="HDN659" s="268"/>
      <c r="HDO659" s="268"/>
      <c r="HDP659" s="268"/>
      <c r="HDQ659" s="268"/>
      <c r="HDR659" s="268"/>
      <c r="HDS659" s="268"/>
      <c r="HDT659" s="268"/>
      <c r="HDU659" s="268"/>
      <c r="HDV659" s="268"/>
      <c r="HDW659" s="268"/>
      <c r="HDX659" s="268"/>
      <c r="HDY659" s="268"/>
      <c r="HDZ659" s="268"/>
      <c r="HEA659" s="268"/>
      <c r="HEB659" s="268"/>
      <c r="HEC659" s="268"/>
      <c r="HED659" s="268"/>
      <c r="HEE659" s="268"/>
      <c r="HEF659" s="268"/>
      <c r="HEG659" s="268"/>
      <c r="HEH659" s="268"/>
      <c r="HEI659" s="268"/>
      <c r="HEJ659" s="268"/>
      <c r="HEK659" s="268"/>
      <c r="HEL659" s="268"/>
      <c r="HEM659" s="268"/>
      <c r="HEN659" s="268"/>
      <c r="HEO659" s="268"/>
      <c r="HEP659" s="268"/>
      <c r="HEQ659" s="268"/>
      <c r="HER659" s="268"/>
      <c r="HES659" s="268"/>
      <c r="HET659" s="268"/>
      <c r="HEU659" s="268"/>
      <c r="HEV659" s="268"/>
      <c r="HEW659" s="268"/>
      <c r="HEX659" s="268"/>
      <c r="HEY659" s="268"/>
      <c r="HEZ659" s="268"/>
      <c r="HFA659" s="268"/>
      <c r="HFB659" s="268"/>
      <c r="HFC659" s="268"/>
      <c r="HFD659" s="268"/>
      <c r="HFE659" s="268"/>
      <c r="HFF659" s="268"/>
      <c r="HFG659" s="268"/>
      <c r="HFH659" s="268"/>
      <c r="HFI659" s="268"/>
      <c r="HFJ659" s="268"/>
      <c r="HFK659" s="268"/>
      <c r="HFL659" s="268"/>
      <c r="HFM659" s="268"/>
      <c r="HFN659" s="268"/>
      <c r="HFO659" s="268"/>
      <c r="HFP659" s="268"/>
      <c r="HFQ659" s="268"/>
      <c r="HFR659" s="268"/>
      <c r="HFS659" s="268"/>
      <c r="HFT659" s="268"/>
      <c r="HFU659" s="268"/>
      <c r="HFV659" s="268"/>
      <c r="HFW659" s="268"/>
      <c r="HFX659" s="268"/>
      <c r="HFY659" s="268"/>
      <c r="HFZ659" s="268"/>
      <c r="HGA659" s="268"/>
      <c r="HGB659" s="268"/>
      <c r="HGC659" s="268"/>
      <c r="HGD659" s="268"/>
      <c r="HGE659" s="268"/>
      <c r="HGF659" s="268"/>
      <c r="HGG659" s="268"/>
      <c r="HGH659" s="268"/>
      <c r="HGI659" s="268"/>
      <c r="HGJ659" s="268"/>
      <c r="HGK659" s="268"/>
      <c r="HGL659" s="268"/>
      <c r="HGM659" s="268"/>
      <c r="HGN659" s="268"/>
      <c r="HGO659" s="268"/>
      <c r="HGP659" s="268"/>
      <c r="HGQ659" s="268"/>
      <c r="HGR659" s="268"/>
      <c r="HGS659" s="268"/>
      <c r="HGT659" s="268"/>
      <c r="HGU659" s="268"/>
      <c r="HGV659" s="268"/>
      <c r="HGW659" s="268"/>
      <c r="HGX659" s="268"/>
      <c r="HGY659" s="268"/>
      <c r="HGZ659" s="268"/>
      <c r="HHA659" s="268"/>
      <c r="HHB659" s="268"/>
      <c r="HHC659" s="268"/>
      <c r="HHD659" s="268"/>
      <c r="HHE659" s="268"/>
      <c r="HHF659" s="268"/>
      <c r="HHG659" s="268"/>
      <c r="HHU659" s="268"/>
      <c r="HHV659" s="268"/>
      <c r="HHW659" s="268"/>
      <c r="HIK659" s="268"/>
      <c r="HIM659" s="268"/>
      <c r="HIN659" s="268"/>
      <c r="HIO659" s="268"/>
      <c r="HIP659" s="268"/>
      <c r="HIQ659" s="268"/>
      <c r="HIR659" s="268"/>
      <c r="HIS659" s="268"/>
      <c r="HIT659" s="268"/>
      <c r="HIU659" s="268"/>
      <c r="HIV659" s="268"/>
      <c r="HIW659" s="268"/>
      <c r="HIX659" s="268"/>
      <c r="HIY659" s="268"/>
      <c r="HIZ659" s="268"/>
      <c r="HJA659" s="268"/>
      <c r="HJB659" s="268"/>
      <c r="HJC659" s="268"/>
      <c r="HJD659" s="268"/>
      <c r="HJE659" s="268"/>
      <c r="HJF659" s="268"/>
      <c r="HJG659" s="268"/>
      <c r="HJH659" s="268"/>
      <c r="HJI659" s="268"/>
      <c r="HJJ659" s="268"/>
      <c r="HJK659" s="268"/>
      <c r="HJL659" s="268"/>
      <c r="HJM659" s="268"/>
      <c r="HJN659" s="268"/>
      <c r="HJO659" s="268"/>
      <c r="HJP659" s="268"/>
      <c r="HJQ659" s="268"/>
      <c r="HJR659" s="268"/>
      <c r="HJS659" s="268"/>
      <c r="HJT659" s="268"/>
      <c r="HJU659" s="268"/>
      <c r="HJV659" s="268"/>
      <c r="HJW659" s="268"/>
      <c r="HJX659" s="268"/>
      <c r="HJY659" s="268"/>
      <c r="HJZ659" s="268"/>
      <c r="HKA659" s="268"/>
      <c r="HKB659" s="268"/>
      <c r="HKC659" s="268"/>
      <c r="HKD659" s="268"/>
      <c r="HKE659" s="268"/>
      <c r="HKF659" s="268"/>
      <c r="HKG659" s="268"/>
      <c r="HKH659" s="268"/>
      <c r="HKI659" s="268"/>
      <c r="HKJ659" s="268"/>
      <c r="HKK659" s="268"/>
      <c r="HKL659" s="268"/>
      <c r="HKM659" s="268"/>
      <c r="HKN659" s="268"/>
      <c r="HKO659" s="268"/>
      <c r="HKP659" s="268"/>
      <c r="HKQ659" s="268"/>
      <c r="HKR659" s="268"/>
      <c r="HKS659" s="268"/>
      <c r="HKT659" s="268"/>
      <c r="HKU659" s="268"/>
      <c r="HKV659" s="268"/>
      <c r="HKW659" s="268"/>
      <c r="HKX659" s="268"/>
      <c r="HKY659" s="268"/>
      <c r="HKZ659" s="268"/>
      <c r="HLA659" s="268"/>
      <c r="HLB659" s="268"/>
      <c r="HLC659" s="268"/>
      <c r="HLD659" s="268"/>
      <c r="HLE659" s="268"/>
      <c r="HLF659" s="268"/>
      <c r="HLG659" s="268"/>
      <c r="HLH659" s="268"/>
      <c r="HLI659" s="268"/>
      <c r="HLJ659" s="268"/>
      <c r="HLK659" s="268"/>
      <c r="HLL659" s="268"/>
      <c r="HLM659" s="268"/>
      <c r="HLN659" s="268"/>
      <c r="HLO659" s="268"/>
      <c r="HLP659" s="268"/>
      <c r="HLQ659" s="268"/>
      <c r="HLR659" s="268"/>
      <c r="HLS659" s="268"/>
      <c r="HLT659" s="268"/>
      <c r="HLU659" s="268"/>
      <c r="HLV659" s="268"/>
      <c r="HLW659" s="268"/>
      <c r="HLX659" s="268"/>
      <c r="HLY659" s="268"/>
      <c r="HLZ659" s="268"/>
      <c r="HMA659" s="268"/>
      <c r="HMB659" s="268"/>
      <c r="HMC659" s="268"/>
      <c r="HMD659" s="268"/>
      <c r="HME659" s="268"/>
      <c r="HMF659" s="268"/>
      <c r="HMG659" s="268"/>
      <c r="HMH659" s="268"/>
      <c r="HMI659" s="268"/>
      <c r="HMJ659" s="268"/>
      <c r="HMK659" s="268"/>
      <c r="HML659" s="268"/>
      <c r="HMM659" s="268"/>
      <c r="HMN659" s="268"/>
      <c r="HMO659" s="268"/>
      <c r="HMP659" s="268"/>
      <c r="HMQ659" s="268"/>
      <c r="HMR659" s="268"/>
      <c r="HMS659" s="268"/>
      <c r="HMT659" s="268"/>
      <c r="HMU659" s="268"/>
      <c r="HMV659" s="268"/>
      <c r="HMW659" s="268"/>
      <c r="HMX659" s="268"/>
      <c r="HMY659" s="268"/>
      <c r="HMZ659" s="268"/>
      <c r="HNA659" s="268"/>
      <c r="HNB659" s="268"/>
      <c r="HNC659" s="268"/>
      <c r="HND659" s="268"/>
      <c r="HNE659" s="268"/>
      <c r="HNF659" s="268"/>
      <c r="HNG659" s="268"/>
      <c r="HNH659" s="268"/>
      <c r="HNI659" s="268"/>
      <c r="HNJ659" s="268"/>
      <c r="HNK659" s="268"/>
      <c r="HNL659" s="268"/>
      <c r="HNM659" s="268"/>
      <c r="HNN659" s="268"/>
      <c r="HNO659" s="268"/>
      <c r="HNP659" s="268"/>
      <c r="HNQ659" s="268"/>
      <c r="HNR659" s="268"/>
      <c r="HNS659" s="268"/>
      <c r="HNT659" s="268"/>
      <c r="HNU659" s="268"/>
      <c r="HNV659" s="268"/>
      <c r="HNW659" s="268"/>
      <c r="HNX659" s="268"/>
      <c r="HNY659" s="268"/>
      <c r="HNZ659" s="268"/>
      <c r="HOA659" s="268"/>
      <c r="HOB659" s="268"/>
      <c r="HOC659" s="268"/>
      <c r="HOD659" s="268"/>
      <c r="HOE659" s="268"/>
      <c r="HOF659" s="268"/>
      <c r="HOG659" s="268"/>
      <c r="HOH659" s="268"/>
      <c r="HOI659" s="268"/>
      <c r="HOJ659" s="268"/>
      <c r="HOK659" s="268"/>
      <c r="HOL659" s="268"/>
      <c r="HOM659" s="268"/>
      <c r="HON659" s="268"/>
      <c r="HOO659" s="268"/>
      <c r="HOP659" s="268"/>
      <c r="HOQ659" s="268"/>
      <c r="HOR659" s="268"/>
      <c r="HOS659" s="268"/>
      <c r="HOT659" s="268"/>
      <c r="HOU659" s="268"/>
      <c r="HOV659" s="268"/>
      <c r="HOW659" s="268"/>
      <c r="HOX659" s="268"/>
      <c r="HOY659" s="268"/>
      <c r="HOZ659" s="268"/>
      <c r="HPA659" s="268"/>
      <c r="HPB659" s="268"/>
      <c r="HPC659" s="268"/>
      <c r="HPD659" s="268"/>
      <c r="HPE659" s="268"/>
      <c r="HPF659" s="268"/>
      <c r="HPG659" s="268"/>
      <c r="HPH659" s="268"/>
      <c r="HPI659" s="268"/>
      <c r="HPJ659" s="268"/>
      <c r="HPK659" s="268"/>
      <c r="HPL659" s="268"/>
      <c r="HPM659" s="268"/>
      <c r="HPN659" s="268"/>
      <c r="HPO659" s="268"/>
      <c r="HPP659" s="268"/>
      <c r="HPQ659" s="268"/>
      <c r="HPR659" s="268"/>
      <c r="HPS659" s="268"/>
      <c r="HPT659" s="268"/>
      <c r="HPU659" s="268"/>
      <c r="HPV659" s="268"/>
      <c r="HPW659" s="268"/>
      <c r="HPX659" s="268"/>
      <c r="HPY659" s="268"/>
      <c r="HPZ659" s="268"/>
      <c r="HQA659" s="268"/>
      <c r="HQB659" s="268"/>
      <c r="HQC659" s="268"/>
      <c r="HQD659" s="268"/>
      <c r="HQE659" s="268"/>
      <c r="HQF659" s="268"/>
      <c r="HQG659" s="268"/>
      <c r="HQH659" s="268"/>
      <c r="HQI659" s="268"/>
      <c r="HQJ659" s="268"/>
      <c r="HQK659" s="268"/>
      <c r="HQL659" s="268"/>
      <c r="HQM659" s="268"/>
      <c r="HQN659" s="268"/>
      <c r="HQO659" s="268"/>
      <c r="HQP659" s="268"/>
      <c r="HQQ659" s="268"/>
      <c r="HQR659" s="268"/>
      <c r="HQS659" s="268"/>
      <c r="HQT659" s="268"/>
      <c r="HQU659" s="268"/>
      <c r="HQV659" s="268"/>
      <c r="HQW659" s="268"/>
      <c r="HQX659" s="268"/>
      <c r="HQY659" s="268"/>
      <c r="HQZ659" s="268"/>
      <c r="HRA659" s="268"/>
      <c r="HRB659" s="268"/>
      <c r="HRC659" s="268"/>
      <c r="HRQ659" s="268"/>
      <c r="HRR659" s="268"/>
      <c r="HRS659" s="268"/>
      <c r="HSG659" s="268"/>
      <c r="HSI659" s="268"/>
      <c r="HSJ659" s="268"/>
      <c r="HSK659" s="268"/>
      <c r="HSL659" s="268"/>
      <c r="HSM659" s="268"/>
      <c r="HSN659" s="268"/>
      <c r="HSO659" s="268"/>
      <c r="HSP659" s="268"/>
      <c r="HSQ659" s="268"/>
      <c r="HSR659" s="268"/>
      <c r="HSS659" s="268"/>
      <c r="HST659" s="268"/>
      <c r="HSU659" s="268"/>
      <c r="HSV659" s="268"/>
      <c r="HSW659" s="268"/>
      <c r="HSX659" s="268"/>
      <c r="HSY659" s="268"/>
      <c r="HSZ659" s="268"/>
      <c r="HTA659" s="268"/>
      <c r="HTB659" s="268"/>
      <c r="HTC659" s="268"/>
      <c r="HTD659" s="268"/>
      <c r="HTE659" s="268"/>
      <c r="HTF659" s="268"/>
      <c r="HTG659" s="268"/>
      <c r="HTH659" s="268"/>
      <c r="HTI659" s="268"/>
      <c r="HTJ659" s="268"/>
      <c r="HTK659" s="268"/>
      <c r="HTL659" s="268"/>
      <c r="HTM659" s="268"/>
      <c r="HTN659" s="268"/>
      <c r="HTO659" s="268"/>
      <c r="HTP659" s="268"/>
      <c r="HTQ659" s="268"/>
      <c r="HTR659" s="268"/>
      <c r="HTS659" s="268"/>
      <c r="HTT659" s="268"/>
      <c r="HTU659" s="268"/>
      <c r="HTV659" s="268"/>
      <c r="HTW659" s="268"/>
      <c r="HTX659" s="268"/>
      <c r="HTY659" s="268"/>
      <c r="HTZ659" s="268"/>
      <c r="HUA659" s="268"/>
      <c r="HUB659" s="268"/>
      <c r="HUC659" s="268"/>
      <c r="HUD659" s="268"/>
      <c r="HUE659" s="268"/>
      <c r="HUF659" s="268"/>
      <c r="HUG659" s="268"/>
      <c r="HUH659" s="268"/>
      <c r="HUI659" s="268"/>
      <c r="HUJ659" s="268"/>
      <c r="HUK659" s="268"/>
      <c r="HUL659" s="268"/>
      <c r="HUM659" s="268"/>
      <c r="HUN659" s="268"/>
      <c r="HUO659" s="268"/>
      <c r="HUP659" s="268"/>
      <c r="HUQ659" s="268"/>
      <c r="HUR659" s="268"/>
      <c r="HUS659" s="268"/>
      <c r="HUT659" s="268"/>
      <c r="HUU659" s="268"/>
      <c r="HUV659" s="268"/>
      <c r="HUW659" s="268"/>
      <c r="HUX659" s="268"/>
      <c r="HUY659" s="268"/>
      <c r="HUZ659" s="268"/>
      <c r="HVA659" s="268"/>
      <c r="HVB659" s="268"/>
      <c r="HVC659" s="268"/>
      <c r="HVD659" s="268"/>
      <c r="HVE659" s="268"/>
      <c r="HVF659" s="268"/>
      <c r="HVG659" s="268"/>
      <c r="HVH659" s="268"/>
      <c r="HVI659" s="268"/>
      <c r="HVJ659" s="268"/>
      <c r="HVK659" s="268"/>
      <c r="HVL659" s="268"/>
      <c r="HVM659" s="268"/>
      <c r="HVN659" s="268"/>
      <c r="HVO659" s="268"/>
      <c r="HVP659" s="268"/>
      <c r="HVQ659" s="268"/>
      <c r="HVR659" s="268"/>
      <c r="HVS659" s="268"/>
      <c r="HVT659" s="268"/>
      <c r="HVU659" s="268"/>
      <c r="HVV659" s="268"/>
      <c r="HVW659" s="268"/>
      <c r="HVX659" s="268"/>
      <c r="HVY659" s="268"/>
      <c r="HVZ659" s="268"/>
      <c r="HWA659" s="268"/>
      <c r="HWB659" s="268"/>
      <c r="HWC659" s="268"/>
      <c r="HWD659" s="268"/>
      <c r="HWE659" s="268"/>
      <c r="HWF659" s="268"/>
      <c r="HWG659" s="268"/>
      <c r="HWH659" s="268"/>
      <c r="HWI659" s="268"/>
      <c r="HWJ659" s="268"/>
      <c r="HWK659" s="268"/>
      <c r="HWL659" s="268"/>
      <c r="HWM659" s="268"/>
      <c r="HWN659" s="268"/>
      <c r="HWO659" s="268"/>
      <c r="HWP659" s="268"/>
      <c r="HWQ659" s="268"/>
      <c r="HWR659" s="268"/>
      <c r="HWS659" s="268"/>
      <c r="HWT659" s="268"/>
      <c r="HWU659" s="268"/>
      <c r="HWV659" s="268"/>
      <c r="HWW659" s="268"/>
      <c r="HWX659" s="268"/>
      <c r="HWY659" s="268"/>
      <c r="HWZ659" s="268"/>
      <c r="HXA659" s="268"/>
      <c r="HXB659" s="268"/>
      <c r="HXC659" s="268"/>
      <c r="HXD659" s="268"/>
      <c r="HXE659" s="268"/>
      <c r="HXF659" s="268"/>
      <c r="HXG659" s="268"/>
      <c r="HXH659" s="268"/>
      <c r="HXI659" s="268"/>
      <c r="HXJ659" s="268"/>
      <c r="HXK659" s="268"/>
      <c r="HXL659" s="268"/>
      <c r="HXM659" s="268"/>
      <c r="HXN659" s="268"/>
      <c r="HXO659" s="268"/>
      <c r="HXP659" s="268"/>
      <c r="HXQ659" s="268"/>
      <c r="HXR659" s="268"/>
      <c r="HXS659" s="268"/>
      <c r="HXT659" s="268"/>
      <c r="HXU659" s="268"/>
      <c r="HXV659" s="268"/>
      <c r="HXW659" s="268"/>
      <c r="HXX659" s="268"/>
      <c r="HXY659" s="268"/>
      <c r="HXZ659" s="268"/>
      <c r="HYA659" s="268"/>
      <c r="HYB659" s="268"/>
      <c r="HYC659" s="268"/>
      <c r="HYD659" s="268"/>
      <c r="HYE659" s="268"/>
      <c r="HYF659" s="268"/>
      <c r="HYG659" s="268"/>
      <c r="HYH659" s="268"/>
      <c r="HYI659" s="268"/>
      <c r="HYJ659" s="268"/>
      <c r="HYK659" s="268"/>
      <c r="HYL659" s="268"/>
      <c r="HYM659" s="268"/>
      <c r="HYN659" s="268"/>
      <c r="HYO659" s="268"/>
      <c r="HYP659" s="268"/>
      <c r="HYQ659" s="268"/>
      <c r="HYR659" s="268"/>
      <c r="HYS659" s="268"/>
      <c r="HYT659" s="268"/>
      <c r="HYU659" s="268"/>
      <c r="HYV659" s="268"/>
      <c r="HYW659" s="268"/>
      <c r="HYX659" s="268"/>
      <c r="HYY659" s="268"/>
      <c r="HYZ659" s="268"/>
      <c r="HZA659" s="268"/>
      <c r="HZB659" s="268"/>
      <c r="HZC659" s="268"/>
      <c r="HZD659" s="268"/>
      <c r="HZE659" s="268"/>
      <c r="HZF659" s="268"/>
      <c r="HZG659" s="268"/>
      <c r="HZH659" s="268"/>
      <c r="HZI659" s="268"/>
      <c r="HZJ659" s="268"/>
      <c r="HZK659" s="268"/>
      <c r="HZL659" s="268"/>
      <c r="HZM659" s="268"/>
      <c r="HZN659" s="268"/>
      <c r="HZO659" s="268"/>
      <c r="HZP659" s="268"/>
      <c r="HZQ659" s="268"/>
      <c r="HZR659" s="268"/>
      <c r="HZS659" s="268"/>
      <c r="HZT659" s="268"/>
      <c r="HZU659" s="268"/>
      <c r="HZV659" s="268"/>
      <c r="HZW659" s="268"/>
      <c r="HZX659" s="268"/>
      <c r="HZY659" s="268"/>
      <c r="HZZ659" s="268"/>
      <c r="IAA659" s="268"/>
      <c r="IAB659" s="268"/>
      <c r="IAC659" s="268"/>
      <c r="IAD659" s="268"/>
      <c r="IAE659" s="268"/>
      <c r="IAF659" s="268"/>
      <c r="IAG659" s="268"/>
      <c r="IAH659" s="268"/>
      <c r="IAI659" s="268"/>
      <c r="IAJ659" s="268"/>
      <c r="IAK659" s="268"/>
      <c r="IAL659" s="268"/>
      <c r="IAM659" s="268"/>
      <c r="IAN659" s="268"/>
      <c r="IAO659" s="268"/>
      <c r="IAP659" s="268"/>
      <c r="IAQ659" s="268"/>
      <c r="IAR659" s="268"/>
      <c r="IAS659" s="268"/>
      <c r="IAT659" s="268"/>
      <c r="IAU659" s="268"/>
      <c r="IAV659" s="268"/>
      <c r="IAW659" s="268"/>
      <c r="IAX659" s="268"/>
      <c r="IAY659" s="268"/>
      <c r="IBM659" s="268"/>
      <c r="IBN659" s="268"/>
      <c r="IBO659" s="268"/>
      <c r="ICC659" s="268"/>
      <c r="ICE659" s="268"/>
      <c r="ICF659" s="268"/>
      <c r="ICG659" s="268"/>
      <c r="ICH659" s="268"/>
      <c r="ICI659" s="268"/>
      <c r="ICJ659" s="268"/>
      <c r="ICK659" s="268"/>
      <c r="ICL659" s="268"/>
      <c r="ICM659" s="268"/>
      <c r="ICN659" s="268"/>
      <c r="ICO659" s="268"/>
      <c r="ICP659" s="268"/>
      <c r="ICQ659" s="268"/>
      <c r="ICR659" s="268"/>
      <c r="ICS659" s="268"/>
      <c r="ICT659" s="268"/>
      <c r="ICU659" s="268"/>
      <c r="ICV659" s="268"/>
      <c r="ICW659" s="268"/>
      <c r="ICX659" s="268"/>
      <c r="ICY659" s="268"/>
      <c r="ICZ659" s="268"/>
      <c r="IDA659" s="268"/>
      <c r="IDB659" s="268"/>
      <c r="IDC659" s="268"/>
      <c r="IDD659" s="268"/>
      <c r="IDE659" s="268"/>
      <c r="IDF659" s="268"/>
      <c r="IDG659" s="268"/>
      <c r="IDH659" s="268"/>
      <c r="IDI659" s="268"/>
      <c r="IDJ659" s="268"/>
      <c r="IDK659" s="268"/>
      <c r="IDL659" s="268"/>
      <c r="IDM659" s="268"/>
      <c r="IDN659" s="268"/>
      <c r="IDO659" s="268"/>
      <c r="IDP659" s="268"/>
      <c r="IDQ659" s="268"/>
      <c r="IDR659" s="268"/>
      <c r="IDS659" s="268"/>
      <c r="IDT659" s="268"/>
      <c r="IDU659" s="268"/>
      <c r="IDV659" s="268"/>
      <c r="IDW659" s="268"/>
      <c r="IDX659" s="268"/>
      <c r="IDY659" s="268"/>
      <c r="IDZ659" s="268"/>
      <c r="IEA659" s="268"/>
      <c r="IEB659" s="268"/>
      <c r="IEC659" s="268"/>
      <c r="IED659" s="268"/>
      <c r="IEE659" s="268"/>
      <c r="IEF659" s="268"/>
      <c r="IEG659" s="268"/>
      <c r="IEH659" s="268"/>
      <c r="IEI659" s="268"/>
      <c r="IEJ659" s="268"/>
      <c r="IEK659" s="268"/>
      <c r="IEL659" s="268"/>
      <c r="IEM659" s="268"/>
      <c r="IEN659" s="268"/>
      <c r="IEO659" s="268"/>
      <c r="IEP659" s="268"/>
      <c r="IEQ659" s="268"/>
      <c r="IER659" s="268"/>
      <c r="IES659" s="268"/>
      <c r="IET659" s="268"/>
      <c r="IEU659" s="268"/>
      <c r="IEV659" s="268"/>
      <c r="IEW659" s="268"/>
      <c r="IEX659" s="268"/>
      <c r="IEY659" s="268"/>
      <c r="IEZ659" s="268"/>
      <c r="IFA659" s="268"/>
      <c r="IFB659" s="268"/>
      <c r="IFC659" s="268"/>
      <c r="IFD659" s="268"/>
      <c r="IFE659" s="268"/>
      <c r="IFF659" s="268"/>
      <c r="IFG659" s="268"/>
      <c r="IFH659" s="268"/>
      <c r="IFI659" s="268"/>
      <c r="IFJ659" s="268"/>
      <c r="IFK659" s="268"/>
      <c r="IFL659" s="268"/>
      <c r="IFM659" s="268"/>
      <c r="IFN659" s="268"/>
      <c r="IFO659" s="268"/>
      <c r="IFP659" s="268"/>
      <c r="IFQ659" s="268"/>
      <c r="IFR659" s="268"/>
      <c r="IFS659" s="268"/>
      <c r="IFT659" s="268"/>
      <c r="IFU659" s="268"/>
      <c r="IFV659" s="268"/>
      <c r="IFW659" s="268"/>
      <c r="IFX659" s="268"/>
      <c r="IFY659" s="268"/>
      <c r="IFZ659" s="268"/>
      <c r="IGA659" s="268"/>
      <c r="IGB659" s="268"/>
      <c r="IGC659" s="268"/>
      <c r="IGD659" s="268"/>
      <c r="IGE659" s="268"/>
      <c r="IGF659" s="268"/>
      <c r="IGG659" s="268"/>
      <c r="IGH659" s="268"/>
      <c r="IGI659" s="268"/>
      <c r="IGJ659" s="268"/>
      <c r="IGK659" s="268"/>
      <c r="IGL659" s="268"/>
      <c r="IGM659" s="268"/>
      <c r="IGN659" s="268"/>
      <c r="IGO659" s="268"/>
      <c r="IGP659" s="268"/>
      <c r="IGQ659" s="268"/>
      <c r="IGR659" s="268"/>
      <c r="IGS659" s="268"/>
      <c r="IGT659" s="268"/>
      <c r="IGU659" s="268"/>
      <c r="IGV659" s="268"/>
      <c r="IGW659" s="268"/>
      <c r="IGX659" s="268"/>
      <c r="IGY659" s="268"/>
      <c r="IGZ659" s="268"/>
      <c r="IHA659" s="268"/>
      <c r="IHB659" s="268"/>
      <c r="IHC659" s="268"/>
      <c r="IHD659" s="268"/>
      <c r="IHE659" s="268"/>
      <c r="IHF659" s="268"/>
      <c r="IHG659" s="268"/>
      <c r="IHH659" s="268"/>
      <c r="IHI659" s="268"/>
      <c r="IHJ659" s="268"/>
      <c r="IHK659" s="268"/>
      <c r="IHL659" s="268"/>
      <c r="IHM659" s="268"/>
      <c r="IHN659" s="268"/>
      <c r="IHO659" s="268"/>
      <c r="IHP659" s="268"/>
      <c r="IHQ659" s="268"/>
      <c r="IHR659" s="268"/>
      <c r="IHS659" s="268"/>
      <c r="IHT659" s="268"/>
      <c r="IHU659" s="268"/>
      <c r="IHV659" s="268"/>
      <c r="IHW659" s="268"/>
      <c r="IHX659" s="268"/>
      <c r="IHY659" s="268"/>
      <c r="IHZ659" s="268"/>
      <c r="IIA659" s="268"/>
      <c r="IIB659" s="268"/>
      <c r="IIC659" s="268"/>
      <c r="IID659" s="268"/>
      <c r="IIE659" s="268"/>
      <c r="IIF659" s="268"/>
      <c r="IIG659" s="268"/>
      <c r="IIH659" s="268"/>
      <c r="III659" s="268"/>
      <c r="IIJ659" s="268"/>
      <c r="IIK659" s="268"/>
      <c r="IIL659" s="268"/>
      <c r="IIM659" s="268"/>
      <c r="IIN659" s="268"/>
      <c r="IIO659" s="268"/>
      <c r="IIP659" s="268"/>
      <c r="IIQ659" s="268"/>
      <c r="IIR659" s="268"/>
      <c r="IIS659" s="268"/>
      <c r="IIT659" s="268"/>
      <c r="IIU659" s="268"/>
      <c r="IIV659" s="268"/>
      <c r="IIW659" s="268"/>
      <c r="IIX659" s="268"/>
      <c r="IIY659" s="268"/>
      <c r="IIZ659" s="268"/>
      <c r="IJA659" s="268"/>
      <c r="IJB659" s="268"/>
      <c r="IJC659" s="268"/>
      <c r="IJD659" s="268"/>
      <c r="IJE659" s="268"/>
      <c r="IJF659" s="268"/>
      <c r="IJG659" s="268"/>
      <c r="IJH659" s="268"/>
      <c r="IJI659" s="268"/>
      <c r="IJJ659" s="268"/>
      <c r="IJK659" s="268"/>
      <c r="IJL659" s="268"/>
      <c r="IJM659" s="268"/>
      <c r="IJN659" s="268"/>
      <c r="IJO659" s="268"/>
      <c r="IJP659" s="268"/>
      <c r="IJQ659" s="268"/>
      <c r="IJR659" s="268"/>
      <c r="IJS659" s="268"/>
      <c r="IJT659" s="268"/>
      <c r="IJU659" s="268"/>
      <c r="IJV659" s="268"/>
      <c r="IJW659" s="268"/>
      <c r="IJX659" s="268"/>
      <c r="IJY659" s="268"/>
      <c r="IJZ659" s="268"/>
      <c r="IKA659" s="268"/>
      <c r="IKB659" s="268"/>
      <c r="IKC659" s="268"/>
      <c r="IKD659" s="268"/>
      <c r="IKE659" s="268"/>
      <c r="IKF659" s="268"/>
      <c r="IKG659" s="268"/>
      <c r="IKH659" s="268"/>
      <c r="IKI659" s="268"/>
      <c r="IKJ659" s="268"/>
      <c r="IKK659" s="268"/>
      <c r="IKL659" s="268"/>
      <c r="IKM659" s="268"/>
      <c r="IKN659" s="268"/>
      <c r="IKO659" s="268"/>
      <c r="IKP659" s="268"/>
      <c r="IKQ659" s="268"/>
      <c r="IKR659" s="268"/>
      <c r="IKS659" s="268"/>
      <c r="IKT659" s="268"/>
      <c r="IKU659" s="268"/>
      <c r="ILI659" s="268"/>
      <c r="ILJ659" s="268"/>
      <c r="ILK659" s="268"/>
      <c r="ILY659" s="268"/>
      <c r="IMA659" s="268"/>
      <c r="IMB659" s="268"/>
      <c r="IMC659" s="268"/>
      <c r="IMD659" s="268"/>
      <c r="IME659" s="268"/>
      <c r="IMF659" s="268"/>
      <c r="IMG659" s="268"/>
      <c r="IMH659" s="268"/>
      <c r="IMI659" s="268"/>
      <c r="IMJ659" s="268"/>
      <c r="IMK659" s="268"/>
      <c r="IML659" s="268"/>
      <c r="IMM659" s="268"/>
      <c r="IMN659" s="268"/>
      <c r="IMO659" s="268"/>
      <c r="IMP659" s="268"/>
      <c r="IMQ659" s="268"/>
      <c r="IMR659" s="268"/>
      <c r="IMS659" s="268"/>
      <c r="IMT659" s="268"/>
      <c r="IMU659" s="268"/>
      <c r="IMV659" s="268"/>
      <c r="IMW659" s="268"/>
      <c r="IMX659" s="268"/>
      <c r="IMY659" s="268"/>
      <c r="IMZ659" s="268"/>
      <c r="INA659" s="268"/>
      <c r="INB659" s="268"/>
      <c r="INC659" s="268"/>
      <c r="IND659" s="268"/>
      <c r="INE659" s="268"/>
      <c r="INF659" s="268"/>
      <c r="ING659" s="268"/>
      <c r="INH659" s="268"/>
      <c r="INI659" s="268"/>
      <c r="INJ659" s="268"/>
      <c r="INK659" s="268"/>
      <c r="INL659" s="268"/>
      <c r="INM659" s="268"/>
      <c r="INN659" s="268"/>
      <c r="INO659" s="268"/>
      <c r="INP659" s="268"/>
      <c r="INQ659" s="268"/>
      <c r="INR659" s="268"/>
      <c r="INS659" s="268"/>
      <c r="INT659" s="268"/>
      <c r="INU659" s="268"/>
      <c r="INV659" s="268"/>
      <c r="INW659" s="268"/>
      <c r="INX659" s="268"/>
      <c r="INY659" s="268"/>
      <c r="INZ659" s="268"/>
      <c r="IOA659" s="268"/>
      <c r="IOB659" s="268"/>
      <c r="IOC659" s="268"/>
      <c r="IOD659" s="268"/>
      <c r="IOE659" s="268"/>
      <c r="IOF659" s="268"/>
      <c r="IOG659" s="268"/>
      <c r="IOH659" s="268"/>
      <c r="IOI659" s="268"/>
      <c r="IOJ659" s="268"/>
      <c r="IOK659" s="268"/>
      <c r="IOL659" s="268"/>
      <c r="IOM659" s="268"/>
      <c r="ION659" s="268"/>
      <c r="IOO659" s="268"/>
      <c r="IOP659" s="268"/>
      <c r="IOQ659" s="268"/>
      <c r="IOR659" s="268"/>
      <c r="IOS659" s="268"/>
      <c r="IOT659" s="268"/>
      <c r="IOU659" s="268"/>
      <c r="IOV659" s="268"/>
      <c r="IOW659" s="268"/>
      <c r="IOX659" s="268"/>
      <c r="IOY659" s="268"/>
      <c r="IOZ659" s="268"/>
      <c r="IPA659" s="268"/>
      <c r="IPB659" s="268"/>
      <c r="IPC659" s="268"/>
      <c r="IPD659" s="268"/>
      <c r="IPE659" s="268"/>
      <c r="IPF659" s="268"/>
      <c r="IPG659" s="268"/>
      <c r="IPH659" s="268"/>
      <c r="IPI659" s="268"/>
      <c r="IPJ659" s="268"/>
      <c r="IPK659" s="268"/>
      <c r="IPL659" s="268"/>
      <c r="IPM659" s="268"/>
      <c r="IPN659" s="268"/>
      <c r="IPO659" s="268"/>
      <c r="IPP659" s="268"/>
      <c r="IPQ659" s="268"/>
      <c r="IPR659" s="268"/>
      <c r="IPS659" s="268"/>
      <c r="IPT659" s="268"/>
      <c r="IPU659" s="268"/>
      <c r="IPV659" s="268"/>
      <c r="IPW659" s="268"/>
      <c r="IPX659" s="268"/>
      <c r="IPY659" s="268"/>
      <c r="IPZ659" s="268"/>
      <c r="IQA659" s="268"/>
      <c r="IQB659" s="268"/>
      <c r="IQC659" s="268"/>
      <c r="IQD659" s="268"/>
      <c r="IQE659" s="268"/>
      <c r="IQF659" s="268"/>
      <c r="IQG659" s="268"/>
      <c r="IQH659" s="268"/>
      <c r="IQI659" s="268"/>
      <c r="IQJ659" s="268"/>
      <c r="IQK659" s="268"/>
      <c r="IQL659" s="268"/>
      <c r="IQM659" s="268"/>
      <c r="IQN659" s="268"/>
      <c r="IQO659" s="268"/>
      <c r="IQP659" s="268"/>
      <c r="IQQ659" s="268"/>
      <c r="IQR659" s="268"/>
      <c r="IQS659" s="268"/>
      <c r="IQT659" s="268"/>
      <c r="IQU659" s="268"/>
      <c r="IQV659" s="268"/>
      <c r="IQW659" s="268"/>
      <c r="IQX659" s="268"/>
      <c r="IQY659" s="268"/>
      <c r="IQZ659" s="268"/>
      <c r="IRA659" s="268"/>
      <c r="IRB659" s="268"/>
      <c r="IRC659" s="268"/>
      <c r="IRD659" s="268"/>
      <c r="IRE659" s="268"/>
      <c r="IRF659" s="268"/>
      <c r="IRG659" s="268"/>
      <c r="IRH659" s="268"/>
      <c r="IRI659" s="268"/>
      <c r="IRJ659" s="268"/>
      <c r="IRK659" s="268"/>
      <c r="IRL659" s="268"/>
      <c r="IRM659" s="268"/>
      <c r="IRN659" s="268"/>
      <c r="IRO659" s="268"/>
      <c r="IRP659" s="268"/>
      <c r="IRQ659" s="268"/>
      <c r="IRR659" s="268"/>
      <c r="IRS659" s="268"/>
      <c r="IRT659" s="268"/>
      <c r="IRU659" s="268"/>
      <c r="IRV659" s="268"/>
      <c r="IRW659" s="268"/>
      <c r="IRX659" s="268"/>
      <c r="IRY659" s="268"/>
      <c r="IRZ659" s="268"/>
      <c r="ISA659" s="268"/>
      <c r="ISB659" s="268"/>
      <c r="ISC659" s="268"/>
      <c r="ISD659" s="268"/>
      <c r="ISE659" s="268"/>
      <c r="ISF659" s="268"/>
      <c r="ISG659" s="268"/>
      <c r="ISH659" s="268"/>
      <c r="ISI659" s="268"/>
      <c r="ISJ659" s="268"/>
      <c r="ISK659" s="268"/>
      <c r="ISL659" s="268"/>
      <c r="ISM659" s="268"/>
      <c r="ISN659" s="268"/>
      <c r="ISO659" s="268"/>
      <c r="ISP659" s="268"/>
      <c r="ISQ659" s="268"/>
      <c r="ISR659" s="268"/>
      <c r="ISS659" s="268"/>
      <c r="IST659" s="268"/>
      <c r="ISU659" s="268"/>
      <c r="ISV659" s="268"/>
      <c r="ISW659" s="268"/>
      <c r="ISX659" s="268"/>
      <c r="ISY659" s="268"/>
      <c r="ISZ659" s="268"/>
      <c r="ITA659" s="268"/>
      <c r="ITB659" s="268"/>
      <c r="ITC659" s="268"/>
      <c r="ITD659" s="268"/>
      <c r="ITE659" s="268"/>
      <c r="ITF659" s="268"/>
      <c r="ITG659" s="268"/>
      <c r="ITH659" s="268"/>
      <c r="ITI659" s="268"/>
      <c r="ITJ659" s="268"/>
      <c r="ITK659" s="268"/>
      <c r="ITL659" s="268"/>
      <c r="ITM659" s="268"/>
      <c r="ITN659" s="268"/>
      <c r="ITO659" s="268"/>
      <c r="ITP659" s="268"/>
      <c r="ITQ659" s="268"/>
      <c r="ITR659" s="268"/>
      <c r="ITS659" s="268"/>
      <c r="ITT659" s="268"/>
      <c r="ITU659" s="268"/>
      <c r="ITV659" s="268"/>
      <c r="ITW659" s="268"/>
      <c r="ITX659" s="268"/>
      <c r="ITY659" s="268"/>
      <c r="ITZ659" s="268"/>
      <c r="IUA659" s="268"/>
      <c r="IUB659" s="268"/>
      <c r="IUC659" s="268"/>
      <c r="IUD659" s="268"/>
      <c r="IUE659" s="268"/>
      <c r="IUF659" s="268"/>
      <c r="IUG659" s="268"/>
      <c r="IUH659" s="268"/>
      <c r="IUI659" s="268"/>
      <c r="IUJ659" s="268"/>
      <c r="IUK659" s="268"/>
      <c r="IUL659" s="268"/>
      <c r="IUM659" s="268"/>
      <c r="IUN659" s="268"/>
      <c r="IUO659" s="268"/>
      <c r="IUP659" s="268"/>
      <c r="IUQ659" s="268"/>
      <c r="IVE659" s="268"/>
      <c r="IVF659" s="268"/>
      <c r="IVG659" s="268"/>
      <c r="IVU659" s="268"/>
      <c r="IVW659" s="268"/>
      <c r="IVX659" s="268"/>
      <c r="IVY659" s="268"/>
      <c r="IVZ659" s="268"/>
      <c r="IWA659" s="268"/>
      <c r="IWB659" s="268"/>
      <c r="IWC659" s="268"/>
      <c r="IWD659" s="268"/>
      <c r="IWE659" s="268"/>
      <c r="IWF659" s="268"/>
      <c r="IWG659" s="268"/>
      <c r="IWH659" s="268"/>
      <c r="IWI659" s="268"/>
      <c r="IWJ659" s="268"/>
      <c r="IWK659" s="268"/>
      <c r="IWL659" s="268"/>
      <c r="IWM659" s="268"/>
      <c r="IWN659" s="268"/>
      <c r="IWO659" s="268"/>
      <c r="IWP659" s="268"/>
      <c r="IWQ659" s="268"/>
      <c r="IWR659" s="268"/>
      <c r="IWS659" s="268"/>
      <c r="IWT659" s="268"/>
      <c r="IWU659" s="268"/>
      <c r="IWV659" s="268"/>
      <c r="IWW659" s="268"/>
      <c r="IWX659" s="268"/>
      <c r="IWY659" s="268"/>
      <c r="IWZ659" s="268"/>
      <c r="IXA659" s="268"/>
      <c r="IXB659" s="268"/>
      <c r="IXC659" s="268"/>
      <c r="IXD659" s="268"/>
      <c r="IXE659" s="268"/>
      <c r="IXF659" s="268"/>
      <c r="IXG659" s="268"/>
      <c r="IXH659" s="268"/>
      <c r="IXI659" s="268"/>
      <c r="IXJ659" s="268"/>
      <c r="IXK659" s="268"/>
      <c r="IXL659" s="268"/>
      <c r="IXM659" s="268"/>
      <c r="IXN659" s="268"/>
      <c r="IXO659" s="268"/>
      <c r="IXP659" s="268"/>
      <c r="IXQ659" s="268"/>
      <c r="IXR659" s="268"/>
      <c r="IXS659" s="268"/>
      <c r="IXT659" s="268"/>
      <c r="IXU659" s="268"/>
      <c r="IXV659" s="268"/>
      <c r="IXW659" s="268"/>
      <c r="IXX659" s="268"/>
      <c r="IXY659" s="268"/>
      <c r="IXZ659" s="268"/>
      <c r="IYA659" s="268"/>
      <c r="IYB659" s="268"/>
      <c r="IYC659" s="268"/>
      <c r="IYD659" s="268"/>
      <c r="IYE659" s="268"/>
      <c r="IYF659" s="268"/>
      <c r="IYG659" s="268"/>
      <c r="IYH659" s="268"/>
      <c r="IYI659" s="268"/>
      <c r="IYJ659" s="268"/>
      <c r="IYK659" s="268"/>
      <c r="IYL659" s="268"/>
      <c r="IYM659" s="268"/>
      <c r="IYN659" s="268"/>
      <c r="IYO659" s="268"/>
      <c r="IYP659" s="268"/>
      <c r="IYQ659" s="268"/>
      <c r="IYR659" s="268"/>
      <c r="IYS659" s="268"/>
      <c r="IYT659" s="268"/>
      <c r="IYU659" s="268"/>
      <c r="IYV659" s="268"/>
      <c r="IYW659" s="268"/>
      <c r="IYX659" s="268"/>
      <c r="IYY659" s="268"/>
      <c r="IYZ659" s="268"/>
      <c r="IZA659" s="268"/>
      <c r="IZB659" s="268"/>
      <c r="IZC659" s="268"/>
      <c r="IZD659" s="268"/>
      <c r="IZE659" s="268"/>
      <c r="IZF659" s="268"/>
      <c r="IZG659" s="268"/>
      <c r="IZH659" s="268"/>
      <c r="IZI659" s="268"/>
      <c r="IZJ659" s="268"/>
      <c r="IZK659" s="268"/>
      <c r="IZL659" s="268"/>
      <c r="IZM659" s="268"/>
      <c r="IZN659" s="268"/>
      <c r="IZO659" s="268"/>
      <c r="IZP659" s="268"/>
      <c r="IZQ659" s="268"/>
      <c r="IZR659" s="268"/>
      <c r="IZS659" s="268"/>
      <c r="IZT659" s="268"/>
      <c r="IZU659" s="268"/>
      <c r="IZV659" s="268"/>
      <c r="IZW659" s="268"/>
      <c r="IZX659" s="268"/>
      <c r="IZY659" s="268"/>
      <c r="IZZ659" s="268"/>
      <c r="JAA659" s="268"/>
      <c r="JAB659" s="268"/>
      <c r="JAC659" s="268"/>
      <c r="JAD659" s="268"/>
      <c r="JAE659" s="268"/>
      <c r="JAF659" s="268"/>
      <c r="JAG659" s="268"/>
      <c r="JAH659" s="268"/>
      <c r="JAI659" s="268"/>
      <c r="JAJ659" s="268"/>
      <c r="JAK659" s="268"/>
      <c r="JAL659" s="268"/>
      <c r="JAM659" s="268"/>
      <c r="JAN659" s="268"/>
      <c r="JAO659" s="268"/>
      <c r="JAP659" s="268"/>
      <c r="JAQ659" s="268"/>
      <c r="JAR659" s="268"/>
      <c r="JAS659" s="268"/>
      <c r="JAT659" s="268"/>
      <c r="JAU659" s="268"/>
      <c r="JAV659" s="268"/>
      <c r="JAW659" s="268"/>
      <c r="JAX659" s="268"/>
      <c r="JAY659" s="268"/>
      <c r="JAZ659" s="268"/>
      <c r="JBA659" s="268"/>
      <c r="JBB659" s="268"/>
      <c r="JBC659" s="268"/>
      <c r="JBD659" s="268"/>
      <c r="JBE659" s="268"/>
      <c r="JBF659" s="268"/>
      <c r="JBG659" s="268"/>
      <c r="JBH659" s="268"/>
      <c r="JBI659" s="268"/>
      <c r="JBJ659" s="268"/>
      <c r="JBK659" s="268"/>
      <c r="JBL659" s="268"/>
      <c r="JBM659" s="268"/>
      <c r="JBN659" s="268"/>
      <c r="JBO659" s="268"/>
      <c r="JBP659" s="268"/>
      <c r="JBQ659" s="268"/>
      <c r="JBR659" s="268"/>
      <c r="JBS659" s="268"/>
      <c r="JBT659" s="268"/>
      <c r="JBU659" s="268"/>
      <c r="JBV659" s="268"/>
      <c r="JBW659" s="268"/>
      <c r="JBX659" s="268"/>
      <c r="JBY659" s="268"/>
      <c r="JBZ659" s="268"/>
      <c r="JCA659" s="268"/>
      <c r="JCB659" s="268"/>
      <c r="JCC659" s="268"/>
      <c r="JCD659" s="268"/>
      <c r="JCE659" s="268"/>
      <c r="JCF659" s="268"/>
      <c r="JCG659" s="268"/>
      <c r="JCH659" s="268"/>
      <c r="JCI659" s="268"/>
      <c r="JCJ659" s="268"/>
      <c r="JCK659" s="268"/>
      <c r="JCL659" s="268"/>
      <c r="JCM659" s="268"/>
      <c r="JCN659" s="268"/>
      <c r="JCO659" s="268"/>
      <c r="JCP659" s="268"/>
      <c r="JCQ659" s="268"/>
      <c r="JCR659" s="268"/>
      <c r="JCS659" s="268"/>
      <c r="JCT659" s="268"/>
      <c r="JCU659" s="268"/>
      <c r="JCV659" s="268"/>
      <c r="JCW659" s="268"/>
      <c r="JCX659" s="268"/>
      <c r="JCY659" s="268"/>
      <c r="JCZ659" s="268"/>
      <c r="JDA659" s="268"/>
      <c r="JDB659" s="268"/>
      <c r="JDC659" s="268"/>
      <c r="JDD659" s="268"/>
      <c r="JDE659" s="268"/>
      <c r="JDF659" s="268"/>
      <c r="JDG659" s="268"/>
      <c r="JDH659" s="268"/>
      <c r="JDI659" s="268"/>
      <c r="JDJ659" s="268"/>
      <c r="JDK659" s="268"/>
      <c r="JDL659" s="268"/>
      <c r="JDM659" s="268"/>
      <c r="JDN659" s="268"/>
      <c r="JDO659" s="268"/>
      <c r="JDP659" s="268"/>
      <c r="JDQ659" s="268"/>
      <c r="JDR659" s="268"/>
      <c r="JDS659" s="268"/>
      <c r="JDT659" s="268"/>
      <c r="JDU659" s="268"/>
      <c r="JDV659" s="268"/>
      <c r="JDW659" s="268"/>
      <c r="JDX659" s="268"/>
      <c r="JDY659" s="268"/>
      <c r="JDZ659" s="268"/>
      <c r="JEA659" s="268"/>
      <c r="JEB659" s="268"/>
      <c r="JEC659" s="268"/>
      <c r="JED659" s="268"/>
      <c r="JEE659" s="268"/>
      <c r="JEF659" s="268"/>
      <c r="JEG659" s="268"/>
      <c r="JEH659" s="268"/>
      <c r="JEI659" s="268"/>
      <c r="JEJ659" s="268"/>
      <c r="JEK659" s="268"/>
      <c r="JEL659" s="268"/>
      <c r="JEM659" s="268"/>
      <c r="JFA659" s="268"/>
      <c r="JFB659" s="268"/>
      <c r="JFC659" s="268"/>
      <c r="JFQ659" s="268"/>
      <c r="JFS659" s="268"/>
      <c r="JFT659" s="268"/>
      <c r="JFU659" s="268"/>
      <c r="JFV659" s="268"/>
      <c r="JFW659" s="268"/>
      <c r="JFX659" s="268"/>
      <c r="JFY659" s="268"/>
      <c r="JFZ659" s="268"/>
      <c r="JGA659" s="268"/>
      <c r="JGB659" s="268"/>
      <c r="JGC659" s="268"/>
      <c r="JGD659" s="268"/>
      <c r="JGE659" s="268"/>
      <c r="JGF659" s="268"/>
      <c r="JGG659" s="268"/>
      <c r="JGH659" s="268"/>
      <c r="JGI659" s="268"/>
      <c r="JGJ659" s="268"/>
      <c r="JGK659" s="268"/>
      <c r="JGL659" s="268"/>
      <c r="JGM659" s="268"/>
      <c r="JGN659" s="268"/>
      <c r="JGO659" s="268"/>
      <c r="JGP659" s="268"/>
      <c r="JGQ659" s="268"/>
      <c r="JGR659" s="268"/>
      <c r="JGS659" s="268"/>
      <c r="JGT659" s="268"/>
      <c r="JGU659" s="268"/>
      <c r="JGV659" s="268"/>
      <c r="JGW659" s="268"/>
      <c r="JGX659" s="268"/>
      <c r="JGY659" s="268"/>
      <c r="JGZ659" s="268"/>
      <c r="JHA659" s="268"/>
      <c r="JHB659" s="268"/>
      <c r="JHC659" s="268"/>
      <c r="JHD659" s="268"/>
      <c r="JHE659" s="268"/>
      <c r="JHF659" s="268"/>
      <c r="JHG659" s="268"/>
      <c r="JHH659" s="268"/>
      <c r="JHI659" s="268"/>
      <c r="JHJ659" s="268"/>
      <c r="JHK659" s="268"/>
      <c r="JHL659" s="268"/>
      <c r="JHM659" s="268"/>
      <c r="JHN659" s="268"/>
      <c r="JHO659" s="268"/>
      <c r="JHP659" s="268"/>
      <c r="JHQ659" s="268"/>
      <c r="JHR659" s="268"/>
      <c r="JHS659" s="268"/>
      <c r="JHT659" s="268"/>
      <c r="JHU659" s="268"/>
      <c r="JHV659" s="268"/>
      <c r="JHW659" s="268"/>
      <c r="JHX659" s="268"/>
      <c r="JHY659" s="268"/>
      <c r="JHZ659" s="268"/>
      <c r="JIA659" s="268"/>
      <c r="JIB659" s="268"/>
      <c r="JIC659" s="268"/>
      <c r="JID659" s="268"/>
      <c r="JIE659" s="268"/>
      <c r="JIF659" s="268"/>
      <c r="JIG659" s="268"/>
      <c r="JIH659" s="268"/>
      <c r="JII659" s="268"/>
      <c r="JIJ659" s="268"/>
      <c r="JIK659" s="268"/>
      <c r="JIL659" s="268"/>
      <c r="JIM659" s="268"/>
      <c r="JIN659" s="268"/>
      <c r="JIO659" s="268"/>
      <c r="JIP659" s="268"/>
      <c r="JIQ659" s="268"/>
      <c r="JIR659" s="268"/>
      <c r="JIS659" s="268"/>
      <c r="JIT659" s="268"/>
      <c r="JIU659" s="268"/>
      <c r="JIV659" s="268"/>
      <c r="JIW659" s="268"/>
      <c r="JIX659" s="268"/>
      <c r="JIY659" s="268"/>
      <c r="JIZ659" s="268"/>
      <c r="JJA659" s="268"/>
      <c r="JJB659" s="268"/>
      <c r="JJC659" s="268"/>
      <c r="JJD659" s="268"/>
      <c r="JJE659" s="268"/>
      <c r="JJF659" s="268"/>
      <c r="JJG659" s="268"/>
      <c r="JJH659" s="268"/>
      <c r="JJI659" s="268"/>
      <c r="JJJ659" s="268"/>
      <c r="JJK659" s="268"/>
      <c r="JJL659" s="268"/>
      <c r="JJM659" s="268"/>
      <c r="JJN659" s="268"/>
      <c r="JJO659" s="268"/>
      <c r="JJP659" s="268"/>
      <c r="JJQ659" s="268"/>
      <c r="JJR659" s="268"/>
      <c r="JJS659" s="268"/>
      <c r="JJT659" s="268"/>
      <c r="JJU659" s="268"/>
      <c r="JJV659" s="268"/>
      <c r="JJW659" s="268"/>
      <c r="JJX659" s="268"/>
      <c r="JJY659" s="268"/>
      <c r="JJZ659" s="268"/>
      <c r="JKA659" s="268"/>
      <c r="JKB659" s="268"/>
      <c r="JKC659" s="268"/>
      <c r="JKD659" s="268"/>
      <c r="JKE659" s="268"/>
      <c r="JKF659" s="268"/>
      <c r="JKG659" s="268"/>
      <c r="JKH659" s="268"/>
      <c r="JKI659" s="268"/>
      <c r="JKJ659" s="268"/>
      <c r="JKK659" s="268"/>
      <c r="JKL659" s="268"/>
      <c r="JKM659" s="268"/>
      <c r="JKN659" s="268"/>
      <c r="JKO659" s="268"/>
      <c r="JKP659" s="268"/>
      <c r="JKQ659" s="268"/>
      <c r="JKR659" s="268"/>
      <c r="JKS659" s="268"/>
      <c r="JKT659" s="268"/>
      <c r="JKU659" s="268"/>
      <c r="JKV659" s="268"/>
      <c r="JKW659" s="268"/>
      <c r="JKX659" s="268"/>
      <c r="JKY659" s="268"/>
      <c r="JKZ659" s="268"/>
      <c r="JLA659" s="268"/>
      <c r="JLB659" s="268"/>
      <c r="JLC659" s="268"/>
      <c r="JLD659" s="268"/>
      <c r="JLE659" s="268"/>
      <c r="JLF659" s="268"/>
      <c r="JLG659" s="268"/>
      <c r="JLH659" s="268"/>
      <c r="JLI659" s="268"/>
      <c r="JLJ659" s="268"/>
      <c r="JLK659" s="268"/>
      <c r="JLL659" s="268"/>
      <c r="JLM659" s="268"/>
      <c r="JLN659" s="268"/>
      <c r="JLO659" s="268"/>
      <c r="JLP659" s="268"/>
      <c r="JLQ659" s="268"/>
      <c r="JLR659" s="268"/>
      <c r="JLS659" s="268"/>
      <c r="JLT659" s="268"/>
      <c r="JLU659" s="268"/>
      <c r="JLV659" s="268"/>
      <c r="JLW659" s="268"/>
      <c r="JLX659" s="268"/>
      <c r="JLY659" s="268"/>
      <c r="JLZ659" s="268"/>
      <c r="JMA659" s="268"/>
      <c r="JMB659" s="268"/>
      <c r="JMC659" s="268"/>
      <c r="JMD659" s="268"/>
      <c r="JME659" s="268"/>
      <c r="JMF659" s="268"/>
      <c r="JMG659" s="268"/>
      <c r="JMH659" s="268"/>
      <c r="JMI659" s="268"/>
      <c r="JMJ659" s="268"/>
      <c r="JMK659" s="268"/>
      <c r="JML659" s="268"/>
      <c r="JMM659" s="268"/>
      <c r="JMN659" s="268"/>
      <c r="JMO659" s="268"/>
      <c r="JMP659" s="268"/>
      <c r="JMQ659" s="268"/>
      <c r="JMR659" s="268"/>
      <c r="JMS659" s="268"/>
      <c r="JMT659" s="268"/>
      <c r="JMU659" s="268"/>
      <c r="JMV659" s="268"/>
      <c r="JMW659" s="268"/>
      <c r="JMX659" s="268"/>
      <c r="JMY659" s="268"/>
      <c r="JMZ659" s="268"/>
      <c r="JNA659" s="268"/>
      <c r="JNB659" s="268"/>
      <c r="JNC659" s="268"/>
      <c r="JND659" s="268"/>
      <c r="JNE659" s="268"/>
      <c r="JNF659" s="268"/>
      <c r="JNG659" s="268"/>
      <c r="JNH659" s="268"/>
      <c r="JNI659" s="268"/>
      <c r="JNJ659" s="268"/>
      <c r="JNK659" s="268"/>
      <c r="JNL659" s="268"/>
      <c r="JNM659" s="268"/>
      <c r="JNN659" s="268"/>
      <c r="JNO659" s="268"/>
      <c r="JNP659" s="268"/>
      <c r="JNQ659" s="268"/>
      <c r="JNR659" s="268"/>
      <c r="JNS659" s="268"/>
      <c r="JNT659" s="268"/>
      <c r="JNU659" s="268"/>
      <c r="JNV659" s="268"/>
      <c r="JNW659" s="268"/>
      <c r="JNX659" s="268"/>
      <c r="JNY659" s="268"/>
      <c r="JNZ659" s="268"/>
      <c r="JOA659" s="268"/>
      <c r="JOB659" s="268"/>
      <c r="JOC659" s="268"/>
      <c r="JOD659" s="268"/>
      <c r="JOE659" s="268"/>
      <c r="JOF659" s="268"/>
      <c r="JOG659" s="268"/>
      <c r="JOH659" s="268"/>
      <c r="JOI659" s="268"/>
      <c r="JOW659" s="268"/>
      <c r="JOX659" s="268"/>
      <c r="JOY659" s="268"/>
      <c r="JPM659" s="268"/>
      <c r="JPO659" s="268"/>
      <c r="JPP659" s="268"/>
      <c r="JPQ659" s="268"/>
      <c r="JPR659" s="268"/>
      <c r="JPS659" s="268"/>
      <c r="JPT659" s="268"/>
      <c r="JPU659" s="268"/>
      <c r="JPV659" s="268"/>
      <c r="JPW659" s="268"/>
      <c r="JPX659" s="268"/>
      <c r="JPY659" s="268"/>
      <c r="JPZ659" s="268"/>
      <c r="JQA659" s="268"/>
      <c r="JQB659" s="268"/>
      <c r="JQC659" s="268"/>
      <c r="JQD659" s="268"/>
      <c r="JQE659" s="268"/>
      <c r="JQF659" s="268"/>
      <c r="JQG659" s="268"/>
      <c r="JQH659" s="268"/>
      <c r="JQI659" s="268"/>
      <c r="JQJ659" s="268"/>
      <c r="JQK659" s="268"/>
      <c r="JQL659" s="268"/>
      <c r="JQM659" s="268"/>
      <c r="JQN659" s="268"/>
      <c r="JQO659" s="268"/>
      <c r="JQP659" s="268"/>
      <c r="JQQ659" s="268"/>
      <c r="JQR659" s="268"/>
      <c r="JQS659" s="268"/>
      <c r="JQT659" s="268"/>
      <c r="JQU659" s="268"/>
      <c r="JQV659" s="268"/>
      <c r="JQW659" s="268"/>
      <c r="JQX659" s="268"/>
      <c r="JQY659" s="268"/>
      <c r="JQZ659" s="268"/>
      <c r="JRA659" s="268"/>
      <c r="JRB659" s="268"/>
      <c r="JRC659" s="268"/>
      <c r="JRD659" s="268"/>
      <c r="JRE659" s="268"/>
      <c r="JRF659" s="268"/>
      <c r="JRG659" s="268"/>
      <c r="JRH659" s="268"/>
      <c r="JRI659" s="268"/>
      <c r="JRJ659" s="268"/>
      <c r="JRK659" s="268"/>
      <c r="JRL659" s="268"/>
      <c r="JRM659" s="268"/>
      <c r="JRN659" s="268"/>
      <c r="JRO659" s="268"/>
      <c r="JRP659" s="268"/>
      <c r="JRQ659" s="268"/>
      <c r="JRR659" s="268"/>
      <c r="JRS659" s="268"/>
      <c r="JRT659" s="268"/>
      <c r="JRU659" s="268"/>
      <c r="JRV659" s="268"/>
      <c r="JRW659" s="268"/>
      <c r="JRX659" s="268"/>
      <c r="JRY659" s="268"/>
      <c r="JRZ659" s="268"/>
      <c r="JSA659" s="268"/>
      <c r="JSB659" s="268"/>
      <c r="JSC659" s="268"/>
      <c r="JSD659" s="268"/>
      <c r="JSE659" s="268"/>
      <c r="JSF659" s="268"/>
      <c r="JSG659" s="268"/>
      <c r="JSH659" s="268"/>
      <c r="JSI659" s="268"/>
      <c r="JSJ659" s="268"/>
      <c r="JSK659" s="268"/>
      <c r="JSL659" s="268"/>
      <c r="JSM659" s="268"/>
      <c r="JSN659" s="268"/>
      <c r="JSO659" s="268"/>
      <c r="JSP659" s="268"/>
      <c r="JSQ659" s="268"/>
      <c r="JSR659" s="268"/>
      <c r="JSS659" s="268"/>
      <c r="JST659" s="268"/>
      <c r="JSU659" s="268"/>
      <c r="JSV659" s="268"/>
      <c r="JSW659" s="268"/>
      <c r="JSX659" s="268"/>
      <c r="JSY659" s="268"/>
      <c r="JSZ659" s="268"/>
      <c r="JTA659" s="268"/>
      <c r="JTB659" s="268"/>
      <c r="JTC659" s="268"/>
      <c r="JTD659" s="268"/>
      <c r="JTE659" s="268"/>
      <c r="JTF659" s="268"/>
      <c r="JTG659" s="268"/>
      <c r="JTH659" s="268"/>
      <c r="JTI659" s="268"/>
      <c r="JTJ659" s="268"/>
      <c r="JTK659" s="268"/>
      <c r="JTL659" s="268"/>
      <c r="JTM659" s="268"/>
      <c r="JTN659" s="268"/>
      <c r="JTO659" s="268"/>
      <c r="JTP659" s="268"/>
      <c r="JTQ659" s="268"/>
      <c r="JTR659" s="268"/>
      <c r="JTS659" s="268"/>
      <c r="JTT659" s="268"/>
      <c r="JTU659" s="268"/>
      <c r="JTV659" s="268"/>
      <c r="JTW659" s="268"/>
      <c r="JTX659" s="268"/>
      <c r="JTY659" s="268"/>
      <c r="JTZ659" s="268"/>
      <c r="JUA659" s="268"/>
      <c r="JUB659" s="268"/>
      <c r="JUC659" s="268"/>
      <c r="JUD659" s="268"/>
      <c r="JUE659" s="268"/>
      <c r="JUF659" s="268"/>
      <c r="JUG659" s="268"/>
      <c r="JUH659" s="268"/>
      <c r="JUI659" s="268"/>
      <c r="JUJ659" s="268"/>
      <c r="JUK659" s="268"/>
      <c r="JUL659" s="268"/>
      <c r="JUM659" s="268"/>
      <c r="JUN659" s="268"/>
      <c r="JUO659" s="268"/>
      <c r="JUP659" s="268"/>
      <c r="JUQ659" s="268"/>
      <c r="JUR659" s="268"/>
      <c r="JUS659" s="268"/>
      <c r="JUT659" s="268"/>
      <c r="JUU659" s="268"/>
      <c r="JUV659" s="268"/>
      <c r="JUW659" s="268"/>
      <c r="JUX659" s="268"/>
      <c r="JUY659" s="268"/>
      <c r="JUZ659" s="268"/>
      <c r="JVA659" s="268"/>
      <c r="JVB659" s="268"/>
      <c r="JVC659" s="268"/>
      <c r="JVD659" s="268"/>
      <c r="JVE659" s="268"/>
      <c r="JVF659" s="268"/>
      <c r="JVG659" s="268"/>
      <c r="JVH659" s="268"/>
      <c r="JVI659" s="268"/>
      <c r="JVJ659" s="268"/>
      <c r="JVK659" s="268"/>
      <c r="JVL659" s="268"/>
      <c r="JVM659" s="268"/>
      <c r="JVN659" s="268"/>
      <c r="JVO659" s="268"/>
      <c r="JVP659" s="268"/>
      <c r="JVQ659" s="268"/>
      <c r="JVR659" s="268"/>
      <c r="JVS659" s="268"/>
      <c r="JVT659" s="268"/>
      <c r="JVU659" s="268"/>
      <c r="JVV659" s="268"/>
      <c r="JVW659" s="268"/>
      <c r="JVX659" s="268"/>
      <c r="JVY659" s="268"/>
      <c r="JVZ659" s="268"/>
      <c r="JWA659" s="268"/>
      <c r="JWB659" s="268"/>
      <c r="JWC659" s="268"/>
      <c r="JWD659" s="268"/>
      <c r="JWE659" s="268"/>
      <c r="JWF659" s="268"/>
      <c r="JWG659" s="268"/>
      <c r="JWH659" s="268"/>
      <c r="JWI659" s="268"/>
      <c r="JWJ659" s="268"/>
      <c r="JWK659" s="268"/>
      <c r="JWL659" s="268"/>
      <c r="JWM659" s="268"/>
      <c r="JWN659" s="268"/>
      <c r="JWO659" s="268"/>
      <c r="JWP659" s="268"/>
      <c r="JWQ659" s="268"/>
      <c r="JWR659" s="268"/>
      <c r="JWS659" s="268"/>
      <c r="JWT659" s="268"/>
      <c r="JWU659" s="268"/>
      <c r="JWV659" s="268"/>
      <c r="JWW659" s="268"/>
      <c r="JWX659" s="268"/>
      <c r="JWY659" s="268"/>
      <c r="JWZ659" s="268"/>
      <c r="JXA659" s="268"/>
      <c r="JXB659" s="268"/>
      <c r="JXC659" s="268"/>
      <c r="JXD659" s="268"/>
      <c r="JXE659" s="268"/>
      <c r="JXF659" s="268"/>
      <c r="JXG659" s="268"/>
      <c r="JXH659" s="268"/>
      <c r="JXI659" s="268"/>
      <c r="JXJ659" s="268"/>
      <c r="JXK659" s="268"/>
      <c r="JXL659" s="268"/>
      <c r="JXM659" s="268"/>
      <c r="JXN659" s="268"/>
      <c r="JXO659" s="268"/>
      <c r="JXP659" s="268"/>
      <c r="JXQ659" s="268"/>
      <c r="JXR659" s="268"/>
      <c r="JXS659" s="268"/>
      <c r="JXT659" s="268"/>
      <c r="JXU659" s="268"/>
      <c r="JXV659" s="268"/>
      <c r="JXW659" s="268"/>
      <c r="JXX659" s="268"/>
      <c r="JXY659" s="268"/>
      <c r="JXZ659" s="268"/>
      <c r="JYA659" s="268"/>
      <c r="JYB659" s="268"/>
      <c r="JYC659" s="268"/>
      <c r="JYD659" s="268"/>
      <c r="JYE659" s="268"/>
      <c r="JYS659" s="268"/>
      <c r="JYT659" s="268"/>
      <c r="JYU659" s="268"/>
      <c r="JZI659" s="268"/>
      <c r="JZK659" s="268"/>
      <c r="JZL659" s="268"/>
      <c r="JZM659" s="268"/>
      <c r="JZN659" s="268"/>
      <c r="JZO659" s="268"/>
      <c r="JZP659" s="268"/>
      <c r="JZQ659" s="268"/>
      <c r="JZR659" s="268"/>
      <c r="JZS659" s="268"/>
      <c r="JZT659" s="268"/>
      <c r="JZU659" s="268"/>
      <c r="JZV659" s="268"/>
      <c r="JZW659" s="268"/>
      <c r="JZX659" s="268"/>
      <c r="JZY659" s="268"/>
      <c r="JZZ659" s="268"/>
      <c r="KAA659" s="268"/>
      <c r="KAB659" s="268"/>
      <c r="KAC659" s="268"/>
      <c r="KAD659" s="268"/>
      <c r="KAE659" s="268"/>
      <c r="KAF659" s="268"/>
      <c r="KAG659" s="268"/>
      <c r="KAH659" s="268"/>
      <c r="KAI659" s="268"/>
      <c r="KAJ659" s="268"/>
      <c r="KAK659" s="268"/>
      <c r="KAL659" s="268"/>
      <c r="KAM659" s="268"/>
      <c r="KAN659" s="268"/>
      <c r="KAO659" s="268"/>
      <c r="KAP659" s="268"/>
      <c r="KAQ659" s="268"/>
      <c r="KAR659" s="268"/>
      <c r="KAS659" s="268"/>
      <c r="KAT659" s="268"/>
      <c r="KAU659" s="268"/>
      <c r="KAV659" s="268"/>
      <c r="KAW659" s="268"/>
      <c r="KAX659" s="268"/>
      <c r="KAY659" s="268"/>
      <c r="KAZ659" s="268"/>
      <c r="KBA659" s="268"/>
      <c r="KBB659" s="268"/>
      <c r="KBC659" s="268"/>
      <c r="KBD659" s="268"/>
      <c r="KBE659" s="268"/>
      <c r="KBF659" s="268"/>
      <c r="KBG659" s="268"/>
      <c r="KBH659" s="268"/>
      <c r="KBI659" s="268"/>
      <c r="KBJ659" s="268"/>
      <c r="KBK659" s="268"/>
      <c r="KBL659" s="268"/>
      <c r="KBM659" s="268"/>
      <c r="KBN659" s="268"/>
      <c r="KBO659" s="268"/>
      <c r="KBP659" s="268"/>
      <c r="KBQ659" s="268"/>
      <c r="KBR659" s="268"/>
      <c r="KBS659" s="268"/>
      <c r="KBT659" s="268"/>
      <c r="KBU659" s="268"/>
      <c r="KBV659" s="268"/>
      <c r="KBW659" s="268"/>
      <c r="KBX659" s="268"/>
      <c r="KBY659" s="268"/>
      <c r="KBZ659" s="268"/>
      <c r="KCA659" s="268"/>
      <c r="KCB659" s="268"/>
      <c r="KCC659" s="268"/>
      <c r="KCD659" s="268"/>
      <c r="KCE659" s="268"/>
      <c r="KCF659" s="268"/>
      <c r="KCG659" s="268"/>
      <c r="KCH659" s="268"/>
      <c r="KCI659" s="268"/>
      <c r="KCJ659" s="268"/>
      <c r="KCK659" s="268"/>
      <c r="KCL659" s="268"/>
      <c r="KCM659" s="268"/>
      <c r="KCN659" s="268"/>
      <c r="KCO659" s="268"/>
      <c r="KCP659" s="268"/>
      <c r="KCQ659" s="268"/>
      <c r="KCR659" s="268"/>
      <c r="KCS659" s="268"/>
      <c r="KCT659" s="268"/>
      <c r="KCU659" s="268"/>
      <c r="KCV659" s="268"/>
      <c r="KCW659" s="268"/>
      <c r="KCX659" s="268"/>
      <c r="KCY659" s="268"/>
      <c r="KCZ659" s="268"/>
      <c r="KDA659" s="268"/>
      <c r="KDB659" s="268"/>
      <c r="KDC659" s="268"/>
      <c r="KDD659" s="268"/>
      <c r="KDE659" s="268"/>
      <c r="KDF659" s="268"/>
      <c r="KDG659" s="268"/>
      <c r="KDH659" s="268"/>
      <c r="KDI659" s="268"/>
      <c r="KDJ659" s="268"/>
      <c r="KDK659" s="268"/>
      <c r="KDL659" s="268"/>
      <c r="KDM659" s="268"/>
      <c r="KDN659" s="268"/>
      <c r="KDO659" s="268"/>
      <c r="KDP659" s="268"/>
      <c r="KDQ659" s="268"/>
      <c r="KDR659" s="268"/>
      <c r="KDS659" s="268"/>
      <c r="KDT659" s="268"/>
      <c r="KDU659" s="268"/>
      <c r="KDV659" s="268"/>
      <c r="KDW659" s="268"/>
      <c r="KDX659" s="268"/>
      <c r="KDY659" s="268"/>
      <c r="KDZ659" s="268"/>
      <c r="KEA659" s="268"/>
      <c r="KEB659" s="268"/>
      <c r="KEC659" s="268"/>
      <c r="KED659" s="268"/>
      <c r="KEE659" s="268"/>
      <c r="KEF659" s="268"/>
      <c r="KEG659" s="268"/>
      <c r="KEH659" s="268"/>
      <c r="KEI659" s="268"/>
      <c r="KEJ659" s="268"/>
      <c r="KEK659" s="268"/>
      <c r="KEL659" s="268"/>
      <c r="KEM659" s="268"/>
      <c r="KEN659" s="268"/>
      <c r="KEO659" s="268"/>
      <c r="KEP659" s="268"/>
      <c r="KEQ659" s="268"/>
      <c r="KER659" s="268"/>
      <c r="KES659" s="268"/>
      <c r="KET659" s="268"/>
      <c r="KEU659" s="268"/>
      <c r="KEV659" s="268"/>
      <c r="KEW659" s="268"/>
      <c r="KEX659" s="268"/>
      <c r="KEY659" s="268"/>
      <c r="KEZ659" s="268"/>
      <c r="KFA659" s="268"/>
      <c r="KFB659" s="268"/>
      <c r="KFC659" s="268"/>
      <c r="KFD659" s="268"/>
      <c r="KFE659" s="268"/>
      <c r="KFF659" s="268"/>
      <c r="KFG659" s="268"/>
      <c r="KFH659" s="268"/>
      <c r="KFI659" s="268"/>
      <c r="KFJ659" s="268"/>
      <c r="KFK659" s="268"/>
      <c r="KFL659" s="268"/>
      <c r="KFM659" s="268"/>
      <c r="KFN659" s="268"/>
      <c r="KFO659" s="268"/>
      <c r="KFP659" s="268"/>
      <c r="KFQ659" s="268"/>
      <c r="KFR659" s="268"/>
      <c r="KFS659" s="268"/>
      <c r="KFT659" s="268"/>
      <c r="KFU659" s="268"/>
      <c r="KFV659" s="268"/>
      <c r="KFW659" s="268"/>
      <c r="KFX659" s="268"/>
      <c r="KFY659" s="268"/>
      <c r="KFZ659" s="268"/>
      <c r="KGA659" s="268"/>
      <c r="KGB659" s="268"/>
      <c r="KGC659" s="268"/>
      <c r="KGD659" s="268"/>
      <c r="KGE659" s="268"/>
      <c r="KGF659" s="268"/>
      <c r="KGG659" s="268"/>
      <c r="KGH659" s="268"/>
      <c r="KGI659" s="268"/>
      <c r="KGJ659" s="268"/>
      <c r="KGK659" s="268"/>
      <c r="KGL659" s="268"/>
      <c r="KGM659" s="268"/>
      <c r="KGN659" s="268"/>
      <c r="KGO659" s="268"/>
      <c r="KGP659" s="268"/>
      <c r="KGQ659" s="268"/>
      <c r="KGR659" s="268"/>
      <c r="KGS659" s="268"/>
      <c r="KGT659" s="268"/>
      <c r="KGU659" s="268"/>
      <c r="KGV659" s="268"/>
      <c r="KGW659" s="268"/>
      <c r="KGX659" s="268"/>
      <c r="KGY659" s="268"/>
      <c r="KGZ659" s="268"/>
      <c r="KHA659" s="268"/>
      <c r="KHB659" s="268"/>
      <c r="KHC659" s="268"/>
      <c r="KHD659" s="268"/>
      <c r="KHE659" s="268"/>
      <c r="KHF659" s="268"/>
      <c r="KHG659" s="268"/>
      <c r="KHH659" s="268"/>
      <c r="KHI659" s="268"/>
      <c r="KHJ659" s="268"/>
      <c r="KHK659" s="268"/>
      <c r="KHL659" s="268"/>
      <c r="KHM659" s="268"/>
      <c r="KHN659" s="268"/>
      <c r="KHO659" s="268"/>
      <c r="KHP659" s="268"/>
      <c r="KHQ659" s="268"/>
      <c r="KHR659" s="268"/>
      <c r="KHS659" s="268"/>
      <c r="KHT659" s="268"/>
      <c r="KHU659" s="268"/>
      <c r="KHV659" s="268"/>
      <c r="KHW659" s="268"/>
      <c r="KHX659" s="268"/>
      <c r="KHY659" s="268"/>
      <c r="KHZ659" s="268"/>
      <c r="KIA659" s="268"/>
      <c r="KIO659" s="268"/>
      <c r="KIP659" s="268"/>
      <c r="KIQ659" s="268"/>
      <c r="KJE659" s="268"/>
      <c r="KJG659" s="268"/>
      <c r="KJH659" s="268"/>
      <c r="KJI659" s="268"/>
      <c r="KJJ659" s="268"/>
      <c r="KJK659" s="268"/>
      <c r="KJL659" s="268"/>
      <c r="KJM659" s="268"/>
      <c r="KJN659" s="268"/>
      <c r="KJO659" s="268"/>
      <c r="KJP659" s="268"/>
      <c r="KJQ659" s="268"/>
      <c r="KJR659" s="268"/>
      <c r="KJS659" s="268"/>
      <c r="KJT659" s="268"/>
      <c r="KJU659" s="268"/>
      <c r="KJV659" s="268"/>
      <c r="KJW659" s="268"/>
      <c r="KJX659" s="268"/>
      <c r="KJY659" s="268"/>
      <c r="KJZ659" s="268"/>
      <c r="KKA659" s="268"/>
      <c r="KKB659" s="268"/>
      <c r="KKC659" s="268"/>
      <c r="KKD659" s="268"/>
      <c r="KKE659" s="268"/>
      <c r="KKF659" s="268"/>
      <c r="KKG659" s="268"/>
      <c r="KKH659" s="268"/>
      <c r="KKI659" s="268"/>
      <c r="KKJ659" s="268"/>
      <c r="KKK659" s="268"/>
      <c r="KKL659" s="268"/>
      <c r="KKM659" s="268"/>
      <c r="KKN659" s="268"/>
      <c r="KKO659" s="268"/>
      <c r="KKP659" s="268"/>
      <c r="KKQ659" s="268"/>
      <c r="KKR659" s="268"/>
      <c r="KKS659" s="268"/>
      <c r="KKT659" s="268"/>
      <c r="KKU659" s="268"/>
      <c r="KKV659" s="268"/>
      <c r="KKW659" s="268"/>
      <c r="KKX659" s="268"/>
      <c r="KKY659" s="268"/>
      <c r="KKZ659" s="268"/>
      <c r="KLA659" s="268"/>
      <c r="KLB659" s="268"/>
      <c r="KLC659" s="268"/>
      <c r="KLD659" s="268"/>
      <c r="KLE659" s="268"/>
      <c r="KLF659" s="268"/>
      <c r="KLG659" s="268"/>
      <c r="KLH659" s="268"/>
      <c r="KLI659" s="268"/>
      <c r="KLJ659" s="268"/>
      <c r="KLK659" s="268"/>
      <c r="KLL659" s="268"/>
      <c r="KLM659" s="268"/>
      <c r="KLN659" s="268"/>
      <c r="KLO659" s="268"/>
      <c r="KLP659" s="268"/>
      <c r="KLQ659" s="268"/>
      <c r="KLR659" s="268"/>
      <c r="KLS659" s="268"/>
      <c r="KLT659" s="268"/>
      <c r="KLU659" s="268"/>
      <c r="KLV659" s="268"/>
      <c r="KLW659" s="268"/>
      <c r="KLX659" s="268"/>
      <c r="KLY659" s="268"/>
      <c r="KLZ659" s="268"/>
      <c r="KMA659" s="268"/>
      <c r="KMB659" s="268"/>
      <c r="KMC659" s="268"/>
      <c r="KMD659" s="268"/>
      <c r="KME659" s="268"/>
      <c r="KMF659" s="268"/>
      <c r="KMG659" s="268"/>
      <c r="KMH659" s="268"/>
      <c r="KMI659" s="268"/>
      <c r="KMJ659" s="268"/>
      <c r="KMK659" s="268"/>
      <c r="KML659" s="268"/>
      <c r="KMM659" s="268"/>
      <c r="KMN659" s="268"/>
      <c r="KMO659" s="268"/>
      <c r="KMP659" s="268"/>
      <c r="KMQ659" s="268"/>
      <c r="KMR659" s="268"/>
      <c r="KMS659" s="268"/>
      <c r="KMT659" s="268"/>
      <c r="KMU659" s="268"/>
      <c r="KMV659" s="268"/>
      <c r="KMW659" s="268"/>
      <c r="KMX659" s="268"/>
      <c r="KMY659" s="268"/>
      <c r="KMZ659" s="268"/>
      <c r="KNA659" s="268"/>
      <c r="KNB659" s="268"/>
      <c r="KNC659" s="268"/>
      <c r="KND659" s="268"/>
      <c r="KNE659" s="268"/>
      <c r="KNF659" s="268"/>
      <c r="KNG659" s="268"/>
      <c r="KNH659" s="268"/>
      <c r="KNI659" s="268"/>
      <c r="KNJ659" s="268"/>
      <c r="KNK659" s="268"/>
      <c r="KNL659" s="268"/>
      <c r="KNM659" s="268"/>
      <c r="KNN659" s="268"/>
      <c r="KNO659" s="268"/>
      <c r="KNP659" s="268"/>
      <c r="KNQ659" s="268"/>
      <c r="KNR659" s="268"/>
      <c r="KNS659" s="268"/>
      <c r="KNT659" s="268"/>
      <c r="KNU659" s="268"/>
      <c r="KNV659" s="268"/>
      <c r="KNW659" s="268"/>
      <c r="KNX659" s="268"/>
      <c r="KNY659" s="268"/>
      <c r="KNZ659" s="268"/>
      <c r="KOA659" s="268"/>
      <c r="KOB659" s="268"/>
      <c r="KOC659" s="268"/>
      <c r="KOD659" s="268"/>
      <c r="KOE659" s="268"/>
      <c r="KOF659" s="268"/>
      <c r="KOG659" s="268"/>
      <c r="KOH659" s="268"/>
      <c r="KOI659" s="268"/>
      <c r="KOJ659" s="268"/>
      <c r="KOK659" s="268"/>
      <c r="KOL659" s="268"/>
      <c r="KOM659" s="268"/>
      <c r="KON659" s="268"/>
      <c r="KOO659" s="268"/>
      <c r="KOP659" s="268"/>
      <c r="KOQ659" s="268"/>
      <c r="KOR659" s="268"/>
      <c r="KOS659" s="268"/>
      <c r="KOT659" s="268"/>
      <c r="KOU659" s="268"/>
      <c r="KOV659" s="268"/>
      <c r="KOW659" s="268"/>
      <c r="KOX659" s="268"/>
      <c r="KOY659" s="268"/>
      <c r="KOZ659" s="268"/>
      <c r="KPA659" s="268"/>
      <c r="KPB659" s="268"/>
      <c r="KPC659" s="268"/>
      <c r="KPD659" s="268"/>
      <c r="KPE659" s="268"/>
      <c r="KPF659" s="268"/>
      <c r="KPG659" s="268"/>
      <c r="KPH659" s="268"/>
      <c r="KPI659" s="268"/>
      <c r="KPJ659" s="268"/>
      <c r="KPK659" s="268"/>
      <c r="KPL659" s="268"/>
      <c r="KPM659" s="268"/>
      <c r="KPN659" s="268"/>
      <c r="KPO659" s="268"/>
      <c r="KPP659" s="268"/>
      <c r="KPQ659" s="268"/>
      <c r="KPR659" s="268"/>
      <c r="KPS659" s="268"/>
      <c r="KPT659" s="268"/>
      <c r="KPU659" s="268"/>
      <c r="KPV659" s="268"/>
      <c r="KPW659" s="268"/>
      <c r="KPX659" s="268"/>
      <c r="KPY659" s="268"/>
      <c r="KPZ659" s="268"/>
      <c r="KQA659" s="268"/>
      <c r="KQB659" s="268"/>
      <c r="KQC659" s="268"/>
      <c r="KQD659" s="268"/>
      <c r="KQE659" s="268"/>
      <c r="KQF659" s="268"/>
      <c r="KQG659" s="268"/>
      <c r="KQH659" s="268"/>
      <c r="KQI659" s="268"/>
      <c r="KQJ659" s="268"/>
      <c r="KQK659" s="268"/>
      <c r="KQL659" s="268"/>
      <c r="KQM659" s="268"/>
      <c r="KQN659" s="268"/>
      <c r="KQO659" s="268"/>
      <c r="KQP659" s="268"/>
      <c r="KQQ659" s="268"/>
      <c r="KQR659" s="268"/>
      <c r="KQS659" s="268"/>
      <c r="KQT659" s="268"/>
      <c r="KQU659" s="268"/>
      <c r="KQV659" s="268"/>
      <c r="KQW659" s="268"/>
      <c r="KQX659" s="268"/>
      <c r="KQY659" s="268"/>
      <c r="KQZ659" s="268"/>
      <c r="KRA659" s="268"/>
      <c r="KRB659" s="268"/>
      <c r="KRC659" s="268"/>
      <c r="KRD659" s="268"/>
      <c r="KRE659" s="268"/>
      <c r="KRF659" s="268"/>
      <c r="KRG659" s="268"/>
      <c r="KRH659" s="268"/>
      <c r="KRI659" s="268"/>
      <c r="KRJ659" s="268"/>
      <c r="KRK659" s="268"/>
      <c r="KRL659" s="268"/>
      <c r="KRM659" s="268"/>
      <c r="KRN659" s="268"/>
      <c r="KRO659" s="268"/>
      <c r="KRP659" s="268"/>
      <c r="KRQ659" s="268"/>
      <c r="KRR659" s="268"/>
      <c r="KRS659" s="268"/>
      <c r="KRT659" s="268"/>
      <c r="KRU659" s="268"/>
      <c r="KRV659" s="268"/>
      <c r="KRW659" s="268"/>
      <c r="KSK659" s="268"/>
      <c r="KSL659" s="268"/>
      <c r="KSM659" s="268"/>
      <c r="KTA659" s="268"/>
      <c r="KTC659" s="268"/>
      <c r="KTD659" s="268"/>
      <c r="KTE659" s="268"/>
      <c r="KTF659" s="268"/>
      <c r="KTG659" s="268"/>
      <c r="KTH659" s="268"/>
      <c r="KTI659" s="268"/>
      <c r="KTJ659" s="268"/>
      <c r="KTK659" s="268"/>
      <c r="KTL659" s="268"/>
      <c r="KTM659" s="268"/>
      <c r="KTN659" s="268"/>
      <c r="KTO659" s="268"/>
      <c r="KTP659" s="268"/>
      <c r="KTQ659" s="268"/>
      <c r="KTR659" s="268"/>
      <c r="KTS659" s="268"/>
      <c r="KTT659" s="268"/>
      <c r="KTU659" s="268"/>
      <c r="KTV659" s="268"/>
      <c r="KTW659" s="268"/>
      <c r="KTX659" s="268"/>
      <c r="KTY659" s="268"/>
      <c r="KTZ659" s="268"/>
      <c r="KUA659" s="268"/>
      <c r="KUB659" s="268"/>
      <c r="KUC659" s="268"/>
      <c r="KUD659" s="268"/>
      <c r="KUE659" s="268"/>
      <c r="KUF659" s="268"/>
      <c r="KUG659" s="268"/>
      <c r="KUH659" s="268"/>
      <c r="KUI659" s="268"/>
      <c r="KUJ659" s="268"/>
      <c r="KUK659" s="268"/>
      <c r="KUL659" s="268"/>
      <c r="KUM659" s="268"/>
      <c r="KUN659" s="268"/>
      <c r="KUO659" s="268"/>
      <c r="KUP659" s="268"/>
      <c r="KUQ659" s="268"/>
      <c r="KUR659" s="268"/>
      <c r="KUS659" s="268"/>
      <c r="KUT659" s="268"/>
      <c r="KUU659" s="268"/>
      <c r="KUV659" s="268"/>
      <c r="KUW659" s="268"/>
      <c r="KUX659" s="268"/>
      <c r="KUY659" s="268"/>
      <c r="KUZ659" s="268"/>
      <c r="KVA659" s="268"/>
      <c r="KVB659" s="268"/>
      <c r="KVC659" s="268"/>
      <c r="KVD659" s="268"/>
      <c r="KVE659" s="268"/>
      <c r="KVF659" s="268"/>
      <c r="KVG659" s="268"/>
      <c r="KVH659" s="268"/>
      <c r="KVI659" s="268"/>
      <c r="KVJ659" s="268"/>
      <c r="KVK659" s="268"/>
      <c r="KVL659" s="268"/>
      <c r="KVM659" s="268"/>
      <c r="KVN659" s="268"/>
      <c r="KVO659" s="268"/>
      <c r="KVP659" s="268"/>
      <c r="KVQ659" s="268"/>
      <c r="KVR659" s="268"/>
      <c r="KVS659" s="268"/>
      <c r="KVT659" s="268"/>
      <c r="KVU659" s="268"/>
      <c r="KVV659" s="268"/>
      <c r="KVW659" s="268"/>
      <c r="KVX659" s="268"/>
      <c r="KVY659" s="268"/>
      <c r="KVZ659" s="268"/>
      <c r="KWA659" s="268"/>
      <c r="KWB659" s="268"/>
      <c r="KWC659" s="268"/>
      <c r="KWD659" s="268"/>
      <c r="KWE659" s="268"/>
      <c r="KWF659" s="268"/>
      <c r="KWG659" s="268"/>
      <c r="KWH659" s="268"/>
      <c r="KWI659" s="268"/>
      <c r="KWJ659" s="268"/>
      <c r="KWK659" s="268"/>
      <c r="KWL659" s="268"/>
      <c r="KWM659" s="268"/>
      <c r="KWN659" s="268"/>
      <c r="KWO659" s="268"/>
      <c r="KWP659" s="268"/>
      <c r="KWQ659" s="268"/>
      <c r="KWR659" s="268"/>
      <c r="KWS659" s="268"/>
      <c r="KWT659" s="268"/>
      <c r="KWU659" s="268"/>
      <c r="KWV659" s="268"/>
      <c r="KWW659" s="268"/>
      <c r="KWX659" s="268"/>
      <c r="KWY659" s="268"/>
      <c r="KWZ659" s="268"/>
      <c r="KXA659" s="268"/>
      <c r="KXB659" s="268"/>
      <c r="KXC659" s="268"/>
      <c r="KXD659" s="268"/>
      <c r="KXE659" s="268"/>
      <c r="KXF659" s="268"/>
      <c r="KXG659" s="268"/>
      <c r="KXH659" s="268"/>
      <c r="KXI659" s="268"/>
      <c r="KXJ659" s="268"/>
      <c r="KXK659" s="268"/>
      <c r="KXL659" s="268"/>
      <c r="KXM659" s="268"/>
      <c r="KXN659" s="268"/>
      <c r="KXO659" s="268"/>
      <c r="KXP659" s="268"/>
      <c r="KXQ659" s="268"/>
      <c r="KXR659" s="268"/>
      <c r="KXS659" s="268"/>
      <c r="KXT659" s="268"/>
      <c r="KXU659" s="268"/>
      <c r="KXV659" s="268"/>
      <c r="KXW659" s="268"/>
      <c r="KXX659" s="268"/>
      <c r="KXY659" s="268"/>
      <c r="KXZ659" s="268"/>
      <c r="KYA659" s="268"/>
      <c r="KYB659" s="268"/>
      <c r="KYC659" s="268"/>
      <c r="KYD659" s="268"/>
      <c r="KYE659" s="268"/>
      <c r="KYF659" s="268"/>
      <c r="KYG659" s="268"/>
      <c r="KYH659" s="268"/>
      <c r="KYI659" s="268"/>
      <c r="KYJ659" s="268"/>
      <c r="KYK659" s="268"/>
      <c r="KYL659" s="268"/>
      <c r="KYM659" s="268"/>
      <c r="KYN659" s="268"/>
      <c r="KYO659" s="268"/>
      <c r="KYP659" s="268"/>
      <c r="KYQ659" s="268"/>
      <c r="KYR659" s="268"/>
      <c r="KYS659" s="268"/>
      <c r="KYT659" s="268"/>
      <c r="KYU659" s="268"/>
      <c r="KYV659" s="268"/>
      <c r="KYW659" s="268"/>
      <c r="KYX659" s="268"/>
      <c r="KYY659" s="268"/>
      <c r="KYZ659" s="268"/>
      <c r="KZA659" s="268"/>
      <c r="KZB659" s="268"/>
      <c r="KZC659" s="268"/>
      <c r="KZD659" s="268"/>
      <c r="KZE659" s="268"/>
      <c r="KZF659" s="268"/>
      <c r="KZG659" s="268"/>
      <c r="KZH659" s="268"/>
      <c r="KZI659" s="268"/>
      <c r="KZJ659" s="268"/>
      <c r="KZK659" s="268"/>
      <c r="KZL659" s="268"/>
      <c r="KZM659" s="268"/>
      <c r="KZN659" s="268"/>
      <c r="KZO659" s="268"/>
      <c r="KZP659" s="268"/>
      <c r="KZQ659" s="268"/>
      <c r="KZR659" s="268"/>
      <c r="KZS659" s="268"/>
      <c r="KZT659" s="268"/>
      <c r="KZU659" s="268"/>
      <c r="KZV659" s="268"/>
      <c r="KZW659" s="268"/>
      <c r="KZX659" s="268"/>
      <c r="KZY659" s="268"/>
      <c r="KZZ659" s="268"/>
      <c r="LAA659" s="268"/>
      <c r="LAB659" s="268"/>
      <c r="LAC659" s="268"/>
      <c r="LAD659" s="268"/>
      <c r="LAE659" s="268"/>
      <c r="LAF659" s="268"/>
      <c r="LAG659" s="268"/>
      <c r="LAH659" s="268"/>
      <c r="LAI659" s="268"/>
      <c r="LAJ659" s="268"/>
      <c r="LAK659" s="268"/>
      <c r="LAL659" s="268"/>
      <c r="LAM659" s="268"/>
      <c r="LAN659" s="268"/>
      <c r="LAO659" s="268"/>
      <c r="LAP659" s="268"/>
      <c r="LAQ659" s="268"/>
      <c r="LAR659" s="268"/>
      <c r="LAS659" s="268"/>
      <c r="LAT659" s="268"/>
      <c r="LAU659" s="268"/>
      <c r="LAV659" s="268"/>
      <c r="LAW659" s="268"/>
      <c r="LAX659" s="268"/>
      <c r="LAY659" s="268"/>
      <c r="LAZ659" s="268"/>
      <c r="LBA659" s="268"/>
      <c r="LBB659" s="268"/>
      <c r="LBC659" s="268"/>
      <c r="LBD659" s="268"/>
      <c r="LBE659" s="268"/>
      <c r="LBF659" s="268"/>
      <c r="LBG659" s="268"/>
      <c r="LBH659" s="268"/>
      <c r="LBI659" s="268"/>
      <c r="LBJ659" s="268"/>
      <c r="LBK659" s="268"/>
      <c r="LBL659" s="268"/>
      <c r="LBM659" s="268"/>
      <c r="LBN659" s="268"/>
      <c r="LBO659" s="268"/>
      <c r="LBP659" s="268"/>
      <c r="LBQ659" s="268"/>
      <c r="LBR659" s="268"/>
      <c r="LBS659" s="268"/>
      <c r="LCG659" s="268"/>
      <c r="LCH659" s="268"/>
      <c r="LCI659" s="268"/>
      <c r="LCW659" s="268"/>
      <c r="LCY659" s="268"/>
      <c r="LCZ659" s="268"/>
      <c r="LDA659" s="268"/>
      <c r="LDB659" s="268"/>
      <c r="LDC659" s="268"/>
      <c r="LDD659" s="268"/>
      <c r="LDE659" s="268"/>
      <c r="LDF659" s="268"/>
      <c r="LDG659" s="268"/>
      <c r="LDH659" s="268"/>
      <c r="LDI659" s="268"/>
      <c r="LDJ659" s="268"/>
      <c r="LDK659" s="268"/>
      <c r="LDL659" s="268"/>
      <c r="LDM659" s="268"/>
      <c r="LDN659" s="268"/>
      <c r="LDO659" s="268"/>
      <c r="LDP659" s="268"/>
      <c r="LDQ659" s="268"/>
      <c r="LDR659" s="268"/>
      <c r="LDS659" s="268"/>
      <c r="LDT659" s="268"/>
      <c r="LDU659" s="268"/>
      <c r="LDV659" s="268"/>
      <c r="LDW659" s="268"/>
      <c r="LDX659" s="268"/>
      <c r="LDY659" s="268"/>
      <c r="LDZ659" s="268"/>
      <c r="LEA659" s="268"/>
      <c r="LEB659" s="268"/>
      <c r="LEC659" s="268"/>
      <c r="LED659" s="268"/>
      <c r="LEE659" s="268"/>
      <c r="LEF659" s="268"/>
      <c r="LEG659" s="268"/>
      <c r="LEH659" s="268"/>
      <c r="LEI659" s="268"/>
      <c r="LEJ659" s="268"/>
      <c r="LEK659" s="268"/>
      <c r="LEL659" s="268"/>
      <c r="LEM659" s="268"/>
      <c r="LEN659" s="268"/>
      <c r="LEO659" s="268"/>
      <c r="LEP659" s="268"/>
      <c r="LEQ659" s="268"/>
      <c r="LER659" s="268"/>
      <c r="LES659" s="268"/>
      <c r="LET659" s="268"/>
      <c r="LEU659" s="268"/>
      <c r="LEV659" s="268"/>
      <c r="LEW659" s="268"/>
      <c r="LEX659" s="268"/>
      <c r="LEY659" s="268"/>
      <c r="LEZ659" s="268"/>
      <c r="LFA659" s="268"/>
      <c r="LFB659" s="268"/>
      <c r="LFC659" s="268"/>
      <c r="LFD659" s="268"/>
      <c r="LFE659" s="268"/>
      <c r="LFF659" s="268"/>
      <c r="LFG659" s="268"/>
      <c r="LFH659" s="268"/>
      <c r="LFI659" s="268"/>
      <c r="LFJ659" s="268"/>
      <c r="LFK659" s="268"/>
      <c r="LFL659" s="268"/>
      <c r="LFM659" s="268"/>
      <c r="LFN659" s="268"/>
      <c r="LFO659" s="268"/>
      <c r="LFP659" s="268"/>
      <c r="LFQ659" s="268"/>
      <c r="LFR659" s="268"/>
      <c r="LFS659" s="268"/>
      <c r="LFT659" s="268"/>
      <c r="LFU659" s="268"/>
      <c r="LFV659" s="268"/>
      <c r="LFW659" s="268"/>
      <c r="LFX659" s="268"/>
      <c r="LFY659" s="268"/>
      <c r="LFZ659" s="268"/>
      <c r="LGA659" s="268"/>
      <c r="LGB659" s="268"/>
      <c r="LGC659" s="268"/>
      <c r="LGD659" s="268"/>
      <c r="LGE659" s="268"/>
      <c r="LGF659" s="268"/>
      <c r="LGG659" s="268"/>
      <c r="LGH659" s="268"/>
      <c r="LGI659" s="268"/>
      <c r="LGJ659" s="268"/>
      <c r="LGK659" s="268"/>
      <c r="LGL659" s="268"/>
      <c r="LGM659" s="268"/>
      <c r="LGN659" s="268"/>
      <c r="LGO659" s="268"/>
      <c r="LGP659" s="268"/>
      <c r="LGQ659" s="268"/>
      <c r="LGR659" s="268"/>
      <c r="LGS659" s="268"/>
      <c r="LGT659" s="268"/>
      <c r="LGU659" s="268"/>
      <c r="LGV659" s="268"/>
      <c r="LGW659" s="268"/>
      <c r="LGX659" s="268"/>
      <c r="LGY659" s="268"/>
      <c r="LGZ659" s="268"/>
      <c r="LHA659" s="268"/>
      <c r="LHB659" s="268"/>
      <c r="LHC659" s="268"/>
      <c r="LHD659" s="268"/>
      <c r="LHE659" s="268"/>
      <c r="LHF659" s="268"/>
      <c r="LHG659" s="268"/>
      <c r="LHH659" s="268"/>
      <c r="LHI659" s="268"/>
      <c r="LHJ659" s="268"/>
      <c r="LHK659" s="268"/>
      <c r="LHL659" s="268"/>
      <c r="LHM659" s="268"/>
      <c r="LHN659" s="268"/>
      <c r="LHO659" s="268"/>
      <c r="LHP659" s="268"/>
      <c r="LHQ659" s="268"/>
      <c r="LHR659" s="268"/>
      <c r="LHS659" s="268"/>
      <c r="LHT659" s="268"/>
      <c r="LHU659" s="268"/>
      <c r="LHV659" s="268"/>
      <c r="LHW659" s="268"/>
      <c r="LHX659" s="268"/>
      <c r="LHY659" s="268"/>
      <c r="LHZ659" s="268"/>
      <c r="LIA659" s="268"/>
      <c r="LIB659" s="268"/>
      <c r="LIC659" s="268"/>
      <c r="LID659" s="268"/>
      <c r="LIE659" s="268"/>
      <c r="LIF659" s="268"/>
      <c r="LIG659" s="268"/>
      <c r="LIH659" s="268"/>
      <c r="LII659" s="268"/>
      <c r="LIJ659" s="268"/>
      <c r="LIK659" s="268"/>
      <c r="LIL659" s="268"/>
      <c r="LIM659" s="268"/>
      <c r="LIN659" s="268"/>
      <c r="LIO659" s="268"/>
      <c r="LIP659" s="268"/>
      <c r="LIQ659" s="268"/>
      <c r="LIR659" s="268"/>
      <c r="LIS659" s="268"/>
      <c r="LIT659" s="268"/>
      <c r="LIU659" s="268"/>
      <c r="LIV659" s="268"/>
      <c r="LIW659" s="268"/>
      <c r="LIX659" s="268"/>
      <c r="LIY659" s="268"/>
      <c r="LIZ659" s="268"/>
      <c r="LJA659" s="268"/>
      <c r="LJB659" s="268"/>
      <c r="LJC659" s="268"/>
      <c r="LJD659" s="268"/>
      <c r="LJE659" s="268"/>
      <c r="LJF659" s="268"/>
      <c r="LJG659" s="268"/>
      <c r="LJH659" s="268"/>
      <c r="LJI659" s="268"/>
      <c r="LJJ659" s="268"/>
      <c r="LJK659" s="268"/>
      <c r="LJL659" s="268"/>
      <c r="LJM659" s="268"/>
      <c r="LJN659" s="268"/>
      <c r="LJO659" s="268"/>
      <c r="LJP659" s="268"/>
      <c r="LJQ659" s="268"/>
      <c r="LJR659" s="268"/>
      <c r="LJS659" s="268"/>
      <c r="LJT659" s="268"/>
      <c r="LJU659" s="268"/>
      <c r="LJV659" s="268"/>
      <c r="LJW659" s="268"/>
      <c r="LJX659" s="268"/>
      <c r="LJY659" s="268"/>
      <c r="LJZ659" s="268"/>
      <c r="LKA659" s="268"/>
      <c r="LKB659" s="268"/>
      <c r="LKC659" s="268"/>
      <c r="LKD659" s="268"/>
      <c r="LKE659" s="268"/>
      <c r="LKF659" s="268"/>
      <c r="LKG659" s="268"/>
      <c r="LKH659" s="268"/>
      <c r="LKI659" s="268"/>
      <c r="LKJ659" s="268"/>
      <c r="LKK659" s="268"/>
      <c r="LKL659" s="268"/>
      <c r="LKM659" s="268"/>
      <c r="LKN659" s="268"/>
      <c r="LKO659" s="268"/>
      <c r="LKP659" s="268"/>
      <c r="LKQ659" s="268"/>
      <c r="LKR659" s="268"/>
      <c r="LKS659" s="268"/>
      <c r="LKT659" s="268"/>
      <c r="LKU659" s="268"/>
      <c r="LKV659" s="268"/>
      <c r="LKW659" s="268"/>
      <c r="LKX659" s="268"/>
      <c r="LKY659" s="268"/>
      <c r="LKZ659" s="268"/>
      <c r="LLA659" s="268"/>
      <c r="LLB659" s="268"/>
      <c r="LLC659" s="268"/>
      <c r="LLD659" s="268"/>
      <c r="LLE659" s="268"/>
      <c r="LLF659" s="268"/>
      <c r="LLG659" s="268"/>
      <c r="LLH659" s="268"/>
      <c r="LLI659" s="268"/>
      <c r="LLJ659" s="268"/>
      <c r="LLK659" s="268"/>
      <c r="LLL659" s="268"/>
      <c r="LLM659" s="268"/>
      <c r="LLN659" s="268"/>
      <c r="LLO659" s="268"/>
      <c r="LMC659" s="268"/>
      <c r="LMD659" s="268"/>
      <c r="LME659" s="268"/>
      <c r="LMS659" s="268"/>
      <c r="LMU659" s="268"/>
      <c r="LMV659" s="268"/>
      <c r="LMW659" s="268"/>
      <c r="LMX659" s="268"/>
      <c r="LMY659" s="268"/>
      <c r="LMZ659" s="268"/>
      <c r="LNA659" s="268"/>
      <c r="LNB659" s="268"/>
      <c r="LNC659" s="268"/>
      <c r="LND659" s="268"/>
      <c r="LNE659" s="268"/>
      <c r="LNF659" s="268"/>
      <c r="LNG659" s="268"/>
      <c r="LNH659" s="268"/>
      <c r="LNI659" s="268"/>
      <c r="LNJ659" s="268"/>
      <c r="LNK659" s="268"/>
      <c r="LNL659" s="268"/>
      <c r="LNM659" s="268"/>
      <c r="LNN659" s="268"/>
      <c r="LNO659" s="268"/>
      <c r="LNP659" s="268"/>
      <c r="LNQ659" s="268"/>
      <c r="LNR659" s="268"/>
      <c r="LNS659" s="268"/>
      <c r="LNT659" s="268"/>
      <c r="LNU659" s="268"/>
      <c r="LNV659" s="268"/>
      <c r="LNW659" s="268"/>
      <c r="LNX659" s="268"/>
      <c r="LNY659" s="268"/>
      <c r="LNZ659" s="268"/>
      <c r="LOA659" s="268"/>
      <c r="LOB659" s="268"/>
      <c r="LOC659" s="268"/>
      <c r="LOD659" s="268"/>
      <c r="LOE659" s="268"/>
      <c r="LOF659" s="268"/>
      <c r="LOG659" s="268"/>
      <c r="LOH659" s="268"/>
      <c r="LOI659" s="268"/>
      <c r="LOJ659" s="268"/>
      <c r="LOK659" s="268"/>
      <c r="LOL659" s="268"/>
      <c r="LOM659" s="268"/>
      <c r="LON659" s="268"/>
      <c r="LOO659" s="268"/>
      <c r="LOP659" s="268"/>
      <c r="LOQ659" s="268"/>
      <c r="LOR659" s="268"/>
      <c r="LOS659" s="268"/>
      <c r="LOT659" s="268"/>
      <c r="LOU659" s="268"/>
      <c r="LOV659" s="268"/>
      <c r="LOW659" s="268"/>
      <c r="LOX659" s="268"/>
      <c r="LOY659" s="268"/>
      <c r="LOZ659" s="268"/>
      <c r="LPA659" s="268"/>
      <c r="LPB659" s="268"/>
      <c r="LPC659" s="268"/>
      <c r="LPD659" s="268"/>
      <c r="LPE659" s="268"/>
      <c r="LPF659" s="268"/>
      <c r="LPG659" s="268"/>
      <c r="LPH659" s="268"/>
      <c r="LPI659" s="268"/>
      <c r="LPJ659" s="268"/>
      <c r="LPK659" s="268"/>
      <c r="LPL659" s="268"/>
      <c r="LPM659" s="268"/>
      <c r="LPN659" s="268"/>
      <c r="LPO659" s="268"/>
      <c r="LPP659" s="268"/>
      <c r="LPQ659" s="268"/>
      <c r="LPR659" s="268"/>
      <c r="LPS659" s="268"/>
      <c r="LPT659" s="268"/>
      <c r="LPU659" s="268"/>
      <c r="LPV659" s="268"/>
      <c r="LPW659" s="268"/>
      <c r="LPX659" s="268"/>
      <c r="LPY659" s="268"/>
      <c r="LPZ659" s="268"/>
      <c r="LQA659" s="268"/>
      <c r="LQB659" s="268"/>
      <c r="LQC659" s="268"/>
      <c r="LQD659" s="268"/>
      <c r="LQE659" s="268"/>
      <c r="LQF659" s="268"/>
      <c r="LQG659" s="268"/>
      <c r="LQH659" s="268"/>
      <c r="LQI659" s="268"/>
      <c r="LQJ659" s="268"/>
      <c r="LQK659" s="268"/>
      <c r="LQL659" s="268"/>
      <c r="LQM659" s="268"/>
      <c r="LQN659" s="268"/>
      <c r="LQO659" s="268"/>
      <c r="LQP659" s="268"/>
      <c r="LQQ659" s="268"/>
      <c r="LQR659" s="268"/>
      <c r="LQS659" s="268"/>
      <c r="LQT659" s="268"/>
      <c r="LQU659" s="268"/>
      <c r="LQV659" s="268"/>
      <c r="LQW659" s="268"/>
      <c r="LQX659" s="268"/>
      <c r="LQY659" s="268"/>
      <c r="LQZ659" s="268"/>
      <c r="LRA659" s="268"/>
      <c r="LRB659" s="268"/>
      <c r="LRC659" s="268"/>
      <c r="LRD659" s="268"/>
      <c r="LRE659" s="268"/>
      <c r="LRF659" s="268"/>
      <c r="LRG659" s="268"/>
      <c r="LRH659" s="268"/>
      <c r="LRI659" s="268"/>
      <c r="LRJ659" s="268"/>
      <c r="LRK659" s="268"/>
      <c r="LRL659" s="268"/>
      <c r="LRM659" s="268"/>
      <c r="LRN659" s="268"/>
      <c r="LRO659" s="268"/>
      <c r="LRP659" s="268"/>
      <c r="LRQ659" s="268"/>
      <c r="LRR659" s="268"/>
      <c r="LRS659" s="268"/>
      <c r="LRT659" s="268"/>
      <c r="LRU659" s="268"/>
      <c r="LRV659" s="268"/>
      <c r="LRW659" s="268"/>
      <c r="LRX659" s="268"/>
      <c r="LRY659" s="268"/>
      <c r="LRZ659" s="268"/>
      <c r="LSA659" s="268"/>
      <c r="LSB659" s="268"/>
      <c r="LSC659" s="268"/>
      <c r="LSD659" s="268"/>
      <c r="LSE659" s="268"/>
      <c r="LSF659" s="268"/>
      <c r="LSG659" s="268"/>
      <c r="LSH659" s="268"/>
      <c r="LSI659" s="268"/>
      <c r="LSJ659" s="268"/>
      <c r="LSK659" s="268"/>
      <c r="LSL659" s="268"/>
      <c r="LSM659" s="268"/>
      <c r="LSN659" s="268"/>
      <c r="LSO659" s="268"/>
      <c r="LSP659" s="268"/>
      <c r="LSQ659" s="268"/>
      <c r="LSR659" s="268"/>
      <c r="LSS659" s="268"/>
      <c r="LST659" s="268"/>
      <c r="LSU659" s="268"/>
      <c r="LSV659" s="268"/>
      <c r="LSW659" s="268"/>
      <c r="LSX659" s="268"/>
      <c r="LSY659" s="268"/>
      <c r="LSZ659" s="268"/>
      <c r="LTA659" s="268"/>
      <c r="LTB659" s="268"/>
      <c r="LTC659" s="268"/>
      <c r="LTD659" s="268"/>
      <c r="LTE659" s="268"/>
      <c r="LTF659" s="268"/>
      <c r="LTG659" s="268"/>
      <c r="LTH659" s="268"/>
      <c r="LTI659" s="268"/>
      <c r="LTJ659" s="268"/>
      <c r="LTK659" s="268"/>
      <c r="LTL659" s="268"/>
      <c r="LTM659" s="268"/>
      <c r="LTN659" s="268"/>
      <c r="LTO659" s="268"/>
      <c r="LTP659" s="268"/>
      <c r="LTQ659" s="268"/>
      <c r="LTR659" s="268"/>
      <c r="LTS659" s="268"/>
      <c r="LTT659" s="268"/>
      <c r="LTU659" s="268"/>
      <c r="LTV659" s="268"/>
      <c r="LTW659" s="268"/>
      <c r="LTX659" s="268"/>
      <c r="LTY659" s="268"/>
      <c r="LTZ659" s="268"/>
      <c r="LUA659" s="268"/>
      <c r="LUB659" s="268"/>
      <c r="LUC659" s="268"/>
      <c r="LUD659" s="268"/>
      <c r="LUE659" s="268"/>
      <c r="LUF659" s="268"/>
      <c r="LUG659" s="268"/>
      <c r="LUH659" s="268"/>
      <c r="LUI659" s="268"/>
      <c r="LUJ659" s="268"/>
      <c r="LUK659" s="268"/>
      <c r="LUL659" s="268"/>
      <c r="LUM659" s="268"/>
      <c r="LUN659" s="268"/>
      <c r="LUO659" s="268"/>
      <c r="LUP659" s="268"/>
      <c r="LUQ659" s="268"/>
      <c r="LUR659" s="268"/>
      <c r="LUS659" s="268"/>
      <c r="LUT659" s="268"/>
      <c r="LUU659" s="268"/>
      <c r="LUV659" s="268"/>
      <c r="LUW659" s="268"/>
      <c r="LUX659" s="268"/>
      <c r="LUY659" s="268"/>
      <c r="LUZ659" s="268"/>
      <c r="LVA659" s="268"/>
      <c r="LVB659" s="268"/>
      <c r="LVC659" s="268"/>
      <c r="LVD659" s="268"/>
      <c r="LVE659" s="268"/>
      <c r="LVF659" s="268"/>
      <c r="LVG659" s="268"/>
      <c r="LVH659" s="268"/>
      <c r="LVI659" s="268"/>
      <c r="LVJ659" s="268"/>
      <c r="LVK659" s="268"/>
      <c r="LVY659" s="268"/>
      <c r="LVZ659" s="268"/>
      <c r="LWA659" s="268"/>
      <c r="LWO659" s="268"/>
      <c r="LWQ659" s="268"/>
      <c r="LWR659" s="268"/>
      <c r="LWS659" s="268"/>
      <c r="LWT659" s="268"/>
      <c r="LWU659" s="268"/>
      <c r="LWV659" s="268"/>
      <c r="LWW659" s="268"/>
      <c r="LWX659" s="268"/>
      <c r="LWY659" s="268"/>
      <c r="LWZ659" s="268"/>
      <c r="LXA659" s="268"/>
      <c r="LXB659" s="268"/>
      <c r="LXC659" s="268"/>
      <c r="LXD659" s="268"/>
      <c r="LXE659" s="268"/>
      <c r="LXF659" s="268"/>
      <c r="LXG659" s="268"/>
      <c r="LXH659" s="268"/>
      <c r="LXI659" s="268"/>
      <c r="LXJ659" s="268"/>
      <c r="LXK659" s="268"/>
      <c r="LXL659" s="268"/>
      <c r="LXM659" s="268"/>
      <c r="LXN659" s="268"/>
      <c r="LXO659" s="268"/>
      <c r="LXP659" s="268"/>
      <c r="LXQ659" s="268"/>
      <c r="LXR659" s="268"/>
      <c r="LXS659" s="268"/>
      <c r="LXT659" s="268"/>
      <c r="LXU659" s="268"/>
      <c r="LXV659" s="268"/>
      <c r="LXW659" s="268"/>
      <c r="LXX659" s="268"/>
      <c r="LXY659" s="268"/>
      <c r="LXZ659" s="268"/>
      <c r="LYA659" s="268"/>
      <c r="LYB659" s="268"/>
      <c r="LYC659" s="268"/>
      <c r="LYD659" s="268"/>
      <c r="LYE659" s="268"/>
      <c r="LYF659" s="268"/>
      <c r="LYG659" s="268"/>
      <c r="LYH659" s="268"/>
      <c r="LYI659" s="268"/>
      <c r="LYJ659" s="268"/>
      <c r="LYK659" s="268"/>
      <c r="LYL659" s="268"/>
      <c r="LYM659" s="268"/>
      <c r="LYN659" s="268"/>
      <c r="LYO659" s="268"/>
      <c r="LYP659" s="268"/>
      <c r="LYQ659" s="268"/>
      <c r="LYR659" s="268"/>
      <c r="LYS659" s="268"/>
      <c r="LYT659" s="268"/>
      <c r="LYU659" s="268"/>
      <c r="LYV659" s="268"/>
      <c r="LYW659" s="268"/>
      <c r="LYX659" s="268"/>
      <c r="LYY659" s="268"/>
      <c r="LYZ659" s="268"/>
      <c r="LZA659" s="268"/>
      <c r="LZB659" s="268"/>
      <c r="LZC659" s="268"/>
      <c r="LZD659" s="268"/>
      <c r="LZE659" s="268"/>
      <c r="LZF659" s="268"/>
      <c r="LZG659" s="268"/>
      <c r="LZH659" s="268"/>
      <c r="LZI659" s="268"/>
      <c r="LZJ659" s="268"/>
      <c r="LZK659" s="268"/>
      <c r="LZL659" s="268"/>
      <c r="LZM659" s="268"/>
      <c r="LZN659" s="268"/>
      <c r="LZO659" s="268"/>
      <c r="LZP659" s="268"/>
      <c r="LZQ659" s="268"/>
      <c r="LZR659" s="268"/>
      <c r="LZS659" s="268"/>
      <c r="LZT659" s="268"/>
      <c r="LZU659" s="268"/>
      <c r="LZV659" s="268"/>
      <c r="LZW659" s="268"/>
      <c r="LZX659" s="268"/>
      <c r="LZY659" s="268"/>
      <c r="LZZ659" s="268"/>
      <c r="MAA659" s="268"/>
      <c r="MAB659" s="268"/>
      <c r="MAC659" s="268"/>
      <c r="MAD659" s="268"/>
      <c r="MAE659" s="268"/>
      <c r="MAF659" s="268"/>
      <c r="MAG659" s="268"/>
      <c r="MAH659" s="268"/>
      <c r="MAI659" s="268"/>
      <c r="MAJ659" s="268"/>
      <c r="MAK659" s="268"/>
      <c r="MAL659" s="268"/>
      <c r="MAM659" s="268"/>
      <c r="MAN659" s="268"/>
      <c r="MAO659" s="268"/>
      <c r="MAP659" s="268"/>
      <c r="MAQ659" s="268"/>
      <c r="MAR659" s="268"/>
      <c r="MAS659" s="268"/>
      <c r="MAT659" s="268"/>
      <c r="MAU659" s="268"/>
      <c r="MAV659" s="268"/>
      <c r="MAW659" s="268"/>
      <c r="MAX659" s="268"/>
      <c r="MAY659" s="268"/>
      <c r="MAZ659" s="268"/>
      <c r="MBA659" s="268"/>
      <c r="MBB659" s="268"/>
      <c r="MBC659" s="268"/>
      <c r="MBD659" s="268"/>
      <c r="MBE659" s="268"/>
      <c r="MBF659" s="268"/>
      <c r="MBG659" s="268"/>
      <c r="MBH659" s="268"/>
      <c r="MBI659" s="268"/>
      <c r="MBJ659" s="268"/>
      <c r="MBK659" s="268"/>
      <c r="MBL659" s="268"/>
      <c r="MBM659" s="268"/>
      <c r="MBN659" s="268"/>
      <c r="MBO659" s="268"/>
      <c r="MBP659" s="268"/>
      <c r="MBQ659" s="268"/>
      <c r="MBR659" s="268"/>
      <c r="MBS659" s="268"/>
      <c r="MBT659" s="268"/>
      <c r="MBU659" s="268"/>
      <c r="MBV659" s="268"/>
      <c r="MBW659" s="268"/>
      <c r="MBX659" s="268"/>
      <c r="MBY659" s="268"/>
      <c r="MBZ659" s="268"/>
      <c r="MCA659" s="268"/>
      <c r="MCB659" s="268"/>
      <c r="MCC659" s="268"/>
      <c r="MCD659" s="268"/>
      <c r="MCE659" s="268"/>
      <c r="MCF659" s="268"/>
      <c r="MCG659" s="268"/>
      <c r="MCH659" s="268"/>
      <c r="MCI659" s="268"/>
      <c r="MCJ659" s="268"/>
      <c r="MCK659" s="268"/>
      <c r="MCL659" s="268"/>
      <c r="MCM659" s="268"/>
      <c r="MCN659" s="268"/>
      <c r="MCO659" s="268"/>
      <c r="MCP659" s="268"/>
      <c r="MCQ659" s="268"/>
      <c r="MCR659" s="268"/>
      <c r="MCS659" s="268"/>
      <c r="MCT659" s="268"/>
      <c r="MCU659" s="268"/>
      <c r="MCV659" s="268"/>
      <c r="MCW659" s="268"/>
      <c r="MCX659" s="268"/>
      <c r="MCY659" s="268"/>
      <c r="MCZ659" s="268"/>
      <c r="MDA659" s="268"/>
      <c r="MDB659" s="268"/>
      <c r="MDC659" s="268"/>
      <c r="MDD659" s="268"/>
      <c r="MDE659" s="268"/>
      <c r="MDF659" s="268"/>
      <c r="MDG659" s="268"/>
      <c r="MDH659" s="268"/>
      <c r="MDI659" s="268"/>
      <c r="MDJ659" s="268"/>
      <c r="MDK659" s="268"/>
      <c r="MDL659" s="268"/>
      <c r="MDM659" s="268"/>
      <c r="MDN659" s="268"/>
      <c r="MDO659" s="268"/>
      <c r="MDP659" s="268"/>
      <c r="MDQ659" s="268"/>
      <c r="MDR659" s="268"/>
      <c r="MDS659" s="268"/>
      <c r="MDT659" s="268"/>
      <c r="MDU659" s="268"/>
      <c r="MDV659" s="268"/>
      <c r="MDW659" s="268"/>
      <c r="MDX659" s="268"/>
      <c r="MDY659" s="268"/>
      <c r="MDZ659" s="268"/>
      <c r="MEA659" s="268"/>
      <c r="MEB659" s="268"/>
      <c r="MEC659" s="268"/>
      <c r="MED659" s="268"/>
      <c r="MEE659" s="268"/>
      <c r="MEF659" s="268"/>
      <c r="MEG659" s="268"/>
      <c r="MEH659" s="268"/>
      <c r="MEI659" s="268"/>
      <c r="MEJ659" s="268"/>
      <c r="MEK659" s="268"/>
      <c r="MEL659" s="268"/>
      <c r="MEM659" s="268"/>
      <c r="MEN659" s="268"/>
      <c r="MEO659" s="268"/>
      <c r="MEP659" s="268"/>
      <c r="MEQ659" s="268"/>
      <c r="MER659" s="268"/>
      <c r="MES659" s="268"/>
      <c r="MET659" s="268"/>
      <c r="MEU659" s="268"/>
      <c r="MEV659" s="268"/>
      <c r="MEW659" s="268"/>
      <c r="MEX659" s="268"/>
      <c r="MEY659" s="268"/>
      <c r="MEZ659" s="268"/>
      <c r="MFA659" s="268"/>
      <c r="MFB659" s="268"/>
      <c r="MFC659" s="268"/>
      <c r="MFD659" s="268"/>
      <c r="MFE659" s="268"/>
      <c r="MFF659" s="268"/>
      <c r="MFG659" s="268"/>
      <c r="MFU659" s="268"/>
      <c r="MFV659" s="268"/>
      <c r="MFW659" s="268"/>
      <c r="MGK659" s="268"/>
      <c r="MGM659" s="268"/>
      <c r="MGN659" s="268"/>
      <c r="MGO659" s="268"/>
      <c r="MGP659" s="268"/>
      <c r="MGQ659" s="268"/>
      <c r="MGR659" s="268"/>
      <c r="MGS659" s="268"/>
      <c r="MGT659" s="268"/>
      <c r="MGU659" s="268"/>
      <c r="MGV659" s="268"/>
      <c r="MGW659" s="268"/>
      <c r="MGX659" s="268"/>
      <c r="MGY659" s="268"/>
      <c r="MGZ659" s="268"/>
      <c r="MHA659" s="268"/>
      <c r="MHB659" s="268"/>
      <c r="MHC659" s="268"/>
      <c r="MHD659" s="268"/>
      <c r="MHE659" s="268"/>
      <c r="MHF659" s="268"/>
      <c r="MHG659" s="268"/>
      <c r="MHH659" s="268"/>
      <c r="MHI659" s="268"/>
      <c r="MHJ659" s="268"/>
      <c r="MHK659" s="268"/>
      <c r="MHL659" s="268"/>
      <c r="MHM659" s="268"/>
      <c r="MHN659" s="268"/>
      <c r="MHO659" s="268"/>
      <c r="MHP659" s="268"/>
      <c r="MHQ659" s="268"/>
      <c r="MHR659" s="268"/>
      <c r="MHS659" s="268"/>
      <c r="MHT659" s="268"/>
      <c r="MHU659" s="268"/>
      <c r="MHV659" s="268"/>
      <c r="MHW659" s="268"/>
      <c r="MHX659" s="268"/>
      <c r="MHY659" s="268"/>
      <c r="MHZ659" s="268"/>
      <c r="MIA659" s="268"/>
      <c r="MIB659" s="268"/>
      <c r="MIC659" s="268"/>
      <c r="MID659" s="268"/>
      <c r="MIE659" s="268"/>
      <c r="MIF659" s="268"/>
      <c r="MIG659" s="268"/>
      <c r="MIH659" s="268"/>
      <c r="MII659" s="268"/>
      <c r="MIJ659" s="268"/>
      <c r="MIK659" s="268"/>
      <c r="MIL659" s="268"/>
      <c r="MIM659" s="268"/>
      <c r="MIN659" s="268"/>
      <c r="MIO659" s="268"/>
      <c r="MIP659" s="268"/>
      <c r="MIQ659" s="268"/>
      <c r="MIR659" s="268"/>
      <c r="MIS659" s="268"/>
      <c r="MIT659" s="268"/>
      <c r="MIU659" s="268"/>
      <c r="MIV659" s="268"/>
      <c r="MIW659" s="268"/>
      <c r="MIX659" s="268"/>
      <c r="MIY659" s="268"/>
      <c r="MIZ659" s="268"/>
      <c r="MJA659" s="268"/>
      <c r="MJB659" s="268"/>
      <c r="MJC659" s="268"/>
      <c r="MJD659" s="268"/>
      <c r="MJE659" s="268"/>
      <c r="MJF659" s="268"/>
      <c r="MJG659" s="268"/>
      <c r="MJH659" s="268"/>
      <c r="MJI659" s="268"/>
      <c r="MJJ659" s="268"/>
      <c r="MJK659" s="268"/>
      <c r="MJL659" s="268"/>
      <c r="MJM659" s="268"/>
      <c r="MJN659" s="268"/>
      <c r="MJO659" s="268"/>
      <c r="MJP659" s="268"/>
      <c r="MJQ659" s="268"/>
      <c r="MJR659" s="268"/>
      <c r="MJS659" s="268"/>
      <c r="MJT659" s="268"/>
      <c r="MJU659" s="268"/>
      <c r="MJV659" s="268"/>
      <c r="MJW659" s="268"/>
      <c r="MJX659" s="268"/>
      <c r="MJY659" s="268"/>
      <c r="MJZ659" s="268"/>
      <c r="MKA659" s="268"/>
      <c r="MKB659" s="268"/>
      <c r="MKC659" s="268"/>
      <c r="MKD659" s="268"/>
      <c r="MKE659" s="268"/>
      <c r="MKF659" s="268"/>
      <c r="MKG659" s="268"/>
      <c r="MKH659" s="268"/>
      <c r="MKI659" s="268"/>
      <c r="MKJ659" s="268"/>
      <c r="MKK659" s="268"/>
      <c r="MKL659" s="268"/>
      <c r="MKM659" s="268"/>
      <c r="MKN659" s="268"/>
      <c r="MKO659" s="268"/>
      <c r="MKP659" s="268"/>
      <c r="MKQ659" s="268"/>
      <c r="MKR659" s="268"/>
      <c r="MKS659" s="268"/>
      <c r="MKT659" s="268"/>
      <c r="MKU659" s="268"/>
      <c r="MKV659" s="268"/>
      <c r="MKW659" s="268"/>
      <c r="MKX659" s="268"/>
      <c r="MKY659" s="268"/>
      <c r="MKZ659" s="268"/>
      <c r="MLA659" s="268"/>
      <c r="MLB659" s="268"/>
      <c r="MLC659" s="268"/>
      <c r="MLD659" s="268"/>
      <c r="MLE659" s="268"/>
      <c r="MLF659" s="268"/>
      <c r="MLG659" s="268"/>
      <c r="MLH659" s="268"/>
      <c r="MLI659" s="268"/>
      <c r="MLJ659" s="268"/>
      <c r="MLK659" s="268"/>
      <c r="MLL659" s="268"/>
      <c r="MLM659" s="268"/>
      <c r="MLN659" s="268"/>
      <c r="MLO659" s="268"/>
      <c r="MLP659" s="268"/>
      <c r="MLQ659" s="268"/>
      <c r="MLR659" s="268"/>
      <c r="MLS659" s="268"/>
      <c r="MLT659" s="268"/>
      <c r="MLU659" s="268"/>
      <c r="MLV659" s="268"/>
      <c r="MLW659" s="268"/>
      <c r="MLX659" s="268"/>
      <c r="MLY659" s="268"/>
      <c r="MLZ659" s="268"/>
      <c r="MMA659" s="268"/>
      <c r="MMB659" s="268"/>
      <c r="MMC659" s="268"/>
      <c r="MMD659" s="268"/>
      <c r="MME659" s="268"/>
      <c r="MMF659" s="268"/>
      <c r="MMG659" s="268"/>
      <c r="MMH659" s="268"/>
      <c r="MMI659" s="268"/>
      <c r="MMJ659" s="268"/>
      <c r="MMK659" s="268"/>
      <c r="MML659" s="268"/>
      <c r="MMM659" s="268"/>
      <c r="MMN659" s="268"/>
      <c r="MMO659" s="268"/>
      <c r="MMP659" s="268"/>
      <c r="MMQ659" s="268"/>
      <c r="MMR659" s="268"/>
      <c r="MMS659" s="268"/>
      <c r="MMT659" s="268"/>
      <c r="MMU659" s="268"/>
      <c r="MMV659" s="268"/>
      <c r="MMW659" s="268"/>
      <c r="MMX659" s="268"/>
      <c r="MMY659" s="268"/>
      <c r="MMZ659" s="268"/>
      <c r="MNA659" s="268"/>
      <c r="MNB659" s="268"/>
      <c r="MNC659" s="268"/>
      <c r="MND659" s="268"/>
      <c r="MNE659" s="268"/>
      <c r="MNF659" s="268"/>
      <c r="MNG659" s="268"/>
      <c r="MNH659" s="268"/>
      <c r="MNI659" s="268"/>
      <c r="MNJ659" s="268"/>
      <c r="MNK659" s="268"/>
      <c r="MNL659" s="268"/>
      <c r="MNM659" s="268"/>
      <c r="MNN659" s="268"/>
      <c r="MNO659" s="268"/>
      <c r="MNP659" s="268"/>
      <c r="MNQ659" s="268"/>
      <c r="MNR659" s="268"/>
      <c r="MNS659" s="268"/>
      <c r="MNT659" s="268"/>
      <c r="MNU659" s="268"/>
      <c r="MNV659" s="268"/>
      <c r="MNW659" s="268"/>
      <c r="MNX659" s="268"/>
      <c r="MNY659" s="268"/>
      <c r="MNZ659" s="268"/>
      <c r="MOA659" s="268"/>
      <c r="MOB659" s="268"/>
      <c r="MOC659" s="268"/>
      <c r="MOD659" s="268"/>
      <c r="MOE659" s="268"/>
      <c r="MOF659" s="268"/>
      <c r="MOG659" s="268"/>
      <c r="MOH659" s="268"/>
      <c r="MOI659" s="268"/>
      <c r="MOJ659" s="268"/>
      <c r="MOK659" s="268"/>
      <c r="MOL659" s="268"/>
      <c r="MOM659" s="268"/>
      <c r="MON659" s="268"/>
      <c r="MOO659" s="268"/>
      <c r="MOP659" s="268"/>
      <c r="MOQ659" s="268"/>
      <c r="MOR659" s="268"/>
      <c r="MOS659" s="268"/>
      <c r="MOT659" s="268"/>
      <c r="MOU659" s="268"/>
      <c r="MOV659" s="268"/>
      <c r="MOW659" s="268"/>
      <c r="MOX659" s="268"/>
      <c r="MOY659" s="268"/>
      <c r="MOZ659" s="268"/>
      <c r="MPA659" s="268"/>
      <c r="MPB659" s="268"/>
      <c r="MPC659" s="268"/>
      <c r="MPQ659" s="268"/>
      <c r="MPR659" s="268"/>
      <c r="MPS659" s="268"/>
      <c r="MQG659" s="268"/>
      <c r="MQI659" s="268"/>
      <c r="MQJ659" s="268"/>
      <c r="MQK659" s="268"/>
      <c r="MQL659" s="268"/>
      <c r="MQM659" s="268"/>
      <c r="MQN659" s="268"/>
      <c r="MQO659" s="268"/>
      <c r="MQP659" s="268"/>
      <c r="MQQ659" s="268"/>
      <c r="MQR659" s="268"/>
      <c r="MQS659" s="268"/>
      <c r="MQT659" s="268"/>
      <c r="MQU659" s="268"/>
      <c r="MQV659" s="268"/>
      <c r="MQW659" s="268"/>
      <c r="MQX659" s="268"/>
      <c r="MQY659" s="268"/>
      <c r="MQZ659" s="268"/>
      <c r="MRA659" s="268"/>
      <c r="MRB659" s="268"/>
      <c r="MRC659" s="268"/>
      <c r="MRD659" s="268"/>
      <c r="MRE659" s="268"/>
      <c r="MRF659" s="268"/>
      <c r="MRG659" s="268"/>
      <c r="MRH659" s="268"/>
      <c r="MRI659" s="268"/>
      <c r="MRJ659" s="268"/>
      <c r="MRK659" s="268"/>
      <c r="MRL659" s="268"/>
      <c r="MRM659" s="268"/>
      <c r="MRN659" s="268"/>
      <c r="MRO659" s="268"/>
      <c r="MRP659" s="268"/>
      <c r="MRQ659" s="268"/>
      <c r="MRR659" s="268"/>
      <c r="MRS659" s="268"/>
      <c r="MRT659" s="268"/>
      <c r="MRU659" s="268"/>
      <c r="MRV659" s="268"/>
      <c r="MRW659" s="268"/>
      <c r="MRX659" s="268"/>
      <c r="MRY659" s="268"/>
      <c r="MRZ659" s="268"/>
      <c r="MSA659" s="268"/>
      <c r="MSB659" s="268"/>
      <c r="MSC659" s="268"/>
      <c r="MSD659" s="268"/>
      <c r="MSE659" s="268"/>
      <c r="MSF659" s="268"/>
      <c r="MSG659" s="268"/>
      <c r="MSH659" s="268"/>
      <c r="MSI659" s="268"/>
      <c r="MSJ659" s="268"/>
      <c r="MSK659" s="268"/>
      <c r="MSL659" s="268"/>
      <c r="MSM659" s="268"/>
      <c r="MSN659" s="268"/>
      <c r="MSO659" s="268"/>
      <c r="MSP659" s="268"/>
      <c r="MSQ659" s="268"/>
      <c r="MSR659" s="268"/>
      <c r="MSS659" s="268"/>
      <c r="MST659" s="268"/>
      <c r="MSU659" s="268"/>
      <c r="MSV659" s="268"/>
      <c r="MSW659" s="268"/>
      <c r="MSX659" s="268"/>
      <c r="MSY659" s="268"/>
      <c r="MSZ659" s="268"/>
      <c r="MTA659" s="268"/>
      <c r="MTB659" s="268"/>
      <c r="MTC659" s="268"/>
      <c r="MTD659" s="268"/>
      <c r="MTE659" s="268"/>
      <c r="MTF659" s="268"/>
      <c r="MTG659" s="268"/>
      <c r="MTH659" s="268"/>
      <c r="MTI659" s="268"/>
      <c r="MTJ659" s="268"/>
      <c r="MTK659" s="268"/>
      <c r="MTL659" s="268"/>
      <c r="MTM659" s="268"/>
      <c r="MTN659" s="268"/>
      <c r="MTO659" s="268"/>
      <c r="MTP659" s="268"/>
      <c r="MTQ659" s="268"/>
      <c r="MTR659" s="268"/>
      <c r="MTS659" s="268"/>
      <c r="MTT659" s="268"/>
      <c r="MTU659" s="268"/>
      <c r="MTV659" s="268"/>
      <c r="MTW659" s="268"/>
      <c r="MTX659" s="268"/>
      <c r="MTY659" s="268"/>
      <c r="MTZ659" s="268"/>
      <c r="MUA659" s="268"/>
      <c r="MUB659" s="268"/>
      <c r="MUC659" s="268"/>
      <c r="MUD659" s="268"/>
      <c r="MUE659" s="268"/>
      <c r="MUF659" s="268"/>
      <c r="MUG659" s="268"/>
      <c r="MUH659" s="268"/>
      <c r="MUI659" s="268"/>
      <c r="MUJ659" s="268"/>
      <c r="MUK659" s="268"/>
      <c r="MUL659" s="268"/>
      <c r="MUM659" s="268"/>
      <c r="MUN659" s="268"/>
      <c r="MUO659" s="268"/>
      <c r="MUP659" s="268"/>
      <c r="MUQ659" s="268"/>
      <c r="MUR659" s="268"/>
      <c r="MUS659" s="268"/>
      <c r="MUT659" s="268"/>
      <c r="MUU659" s="268"/>
      <c r="MUV659" s="268"/>
      <c r="MUW659" s="268"/>
      <c r="MUX659" s="268"/>
      <c r="MUY659" s="268"/>
      <c r="MUZ659" s="268"/>
      <c r="MVA659" s="268"/>
      <c r="MVB659" s="268"/>
      <c r="MVC659" s="268"/>
      <c r="MVD659" s="268"/>
      <c r="MVE659" s="268"/>
      <c r="MVF659" s="268"/>
      <c r="MVG659" s="268"/>
      <c r="MVH659" s="268"/>
      <c r="MVI659" s="268"/>
      <c r="MVJ659" s="268"/>
      <c r="MVK659" s="268"/>
      <c r="MVL659" s="268"/>
      <c r="MVM659" s="268"/>
      <c r="MVN659" s="268"/>
      <c r="MVO659" s="268"/>
      <c r="MVP659" s="268"/>
      <c r="MVQ659" s="268"/>
      <c r="MVR659" s="268"/>
      <c r="MVS659" s="268"/>
      <c r="MVT659" s="268"/>
      <c r="MVU659" s="268"/>
      <c r="MVV659" s="268"/>
      <c r="MVW659" s="268"/>
      <c r="MVX659" s="268"/>
      <c r="MVY659" s="268"/>
      <c r="MVZ659" s="268"/>
      <c r="MWA659" s="268"/>
      <c r="MWB659" s="268"/>
      <c r="MWC659" s="268"/>
      <c r="MWD659" s="268"/>
      <c r="MWE659" s="268"/>
      <c r="MWF659" s="268"/>
      <c r="MWG659" s="268"/>
      <c r="MWH659" s="268"/>
      <c r="MWI659" s="268"/>
      <c r="MWJ659" s="268"/>
      <c r="MWK659" s="268"/>
      <c r="MWL659" s="268"/>
      <c r="MWM659" s="268"/>
      <c r="MWN659" s="268"/>
      <c r="MWO659" s="268"/>
      <c r="MWP659" s="268"/>
      <c r="MWQ659" s="268"/>
      <c r="MWR659" s="268"/>
      <c r="MWS659" s="268"/>
      <c r="MWT659" s="268"/>
      <c r="MWU659" s="268"/>
      <c r="MWV659" s="268"/>
      <c r="MWW659" s="268"/>
      <c r="MWX659" s="268"/>
      <c r="MWY659" s="268"/>
      <c r="MWZ659" s="268"/>
      <c r="MXA659" s="268"/>
      <c r="MXB659" s="268"/>
      <c r="MXC659" s="268"/>
      <c r="MXD659" s="268"/>
      <c r="MXE659" s="268"/>
      <c r="MXF659" s="268"/>
      <c r="MXG659" s="268"/>
      <c r="MXH659" s="268"/>
      <c r="MXI659" s="268"/>
      <c r="MXJ659" s="268"/>
      <c r="MXK659" s="268"/>
      <c r="MXL659" s="268"/>
      <c r="MXM659" s="268"/>
      <c r="MXN659" s="268"/>
      <c r="MXO659" s="268"/>
      <c r="MXP659" s="268"/>
      <c r="MXQ659" s="268"/>
      <c r="MXR659" s="268"/>
      <c r="MXS659" s="268"/>
      <c r="MXT659" s="268"/>
      <c r="MXU659" s="268"/>
      <c r="MXV659" s="268"/>
      <c r="MXW659" s="268"/>
      <c r="MXX659" s="268"/>
      <c r="MXY659" s="268"/>
      <c r="MXZ659" s="268"/>
      <c r="MYA659" s="268"/>
      <c r="MYB659" s="268"/>
      <c r="MYC659" s="268"/>
      <c r="MYD659" s="268"/>
      <c r="MYE659" s="268"/>
      <c r="MYF659" s="268"/>
      <c r="MYG659" s="268"/>
      <c r="MYH659" s="268"/>
      <c r="MYI659" s="268"/>
      <c r="MYJ659" s="268"/>
      <c r="MYK659" s="268"/>
      <c r="MYL659" s="268"/>
      <c r="MYM659" s="268"/>
      <c r="MYN659" s="268"/>
      <c r="MYO659" s="268"/>
      <c r="MYP659" s="268"/>
      <c r="MYQ659" s="268"/>
      <c r="MYR659" s="268"/>
      <c r="MYS659" s="268"/>
      <c r="MYT659" s="268"/>
      <c r="MYU659" s="268"/>
      <c r="MYV659" s="268"/>
      <c r="MYW659" s="268"/>
      <c r="MYX659" s="268"/>
      <c r="MYY659" s="268"/>
      <c r="MZM659" s="268"/>
      <c r="MZN659" s="268"/>
      <c r="MZO659" s="268"/>
      <c r="NAC659" s="268"/>
      <c r="NAE659" s="268"/>
      <c r="NAF659" s="268"/>
      <c r="NAG659" s="268"/>
      <c r="NAH659" s="268"/>
      <c r="NAI659" s="268"/>
      <c r="NAJ659" s="268"/>
      <c r="NAK659" s="268"/>
      <c r="NAL659" s="268"/>
      <c r="NAM659" s="268"/>
      <c r="NAN659" s="268"/>
      <c r="NAO659" s="268"/>
      <c r="NAP659" s="268"/>
      <c r="NAQ659" s="268"/>
      <c r="NAR659" s="268"/>
      <c r="NAS659" s="268"/>
      <c r="NAT659" s="268"/>
      <c r="NAU659" s="268"/>
      <c r="NAV659" s="268"/>
      <c r="NAW659" s="268"/>
      <c r="NAX659" s="268"/>
      <c r="NAY659" s="268"/>
      <c r="NAZ659" s="268"/>
      <c r="NBA659" s="268"/>
      <c r="NBB659" s="268"/>
      <c r="NBC659" s="268"/>
      <c r="NBD659" s="268"/>
      <c r="NBE659" s="268"/>
      <c r="NBF659" s="268"/>
      <c r="NBG659" s="268"/>
      <c r="NBH659" s="268"/>
      <c r="NBI659" s="268"/>
      <c r="NBJ659" s="268"/>
      <c r="NBK659" s="268"/>
      <c r="NBL659" s="268"/>
      <c r="NBM659" s="268"/>
      <c r="NBN659" s="268"/>
      <c r="NBO659" s="268"/>
      <c r="NBP659" s="268"/>
      <c r="NBQ659" s="268"/>
      <c r="NBR659" s="268"/>
      <c r="NBS659" s="268"/>
      <c r="NBT659" s="268"/>
      <c r="NBU659" s="268"/>
      <c r="NBV659" s="268"/>
      <c r="NBW659" s="268"/>
      <c r="NBX659" s="268"/>
      <c r="NBY659" s="268"/>
      <c r="NBZ659" s="268"/>
      <c r="NCA659" s="268"/>
      <c r="NCB659" s="268"/>
      <c r="NCC659" s="268"/>
      <c r="NCD659" s="268"/>
      <c r="NCE659" s="268"/>
      <c r="NCF659" s="268"/>
      <c r="NCG659" s="268"/>
      <c r="NCH659" s="268"/>
      <c r="NCI659" s="268"/>
      <c r="NCJ659" s="268"/>
      <c r="NCK659" s="268"/>
      <c r="NCL659" s="268"/>
      <c r="NCM659" s="268"/>
      <c r="NCN659" s="268"/>
      <c r="NCO659" s="268"/>
      <c r="NCP659" s="268"/>
      <c r="NCQ659" s="268"/>
      <c r="NCR659" s="268"/>
      <c r="NCS659" s="268"/>
      <c r="NCT659" s="268"/>
      <c r="NCU659" s="268"/>
      <c r="NCV659" s="268"/>
      <c r="NCW659" s="268"/>
      <c r="NCX659" s="268"/>
      <c r="NCY659" s="268"/>
      <c r="NCZ659" s="268"/>
      <c r="NDA659" s="268"/>
      <c r="NDB659" s="268"/>
      <c r="NDC659" s="268"/>
      <c r="NDD659" s="268"/>
      <c r="NDE659" s="268"/>
      <c r="NDF659" s="268"/>
      <c r="NDG659" s="268"/>
      <c r="NDH659" s="268"/>
      <c r="NDI659" s="268"/>
      <c r="NDJ659" s="268"/>
      <c r="NDK659" s="268"/>
      <c r="NDL659" s="268"/>
      <c r="NDM659" s="268"/>
      <c r="NDN659" s="268"/>
      <c r="NDO659" s="268"/>
      <c r="NDP659" s="268"/>
      <c r="NDQ659" s="268"/>
      <c r="NDR659" s="268"/>
      <c r="NDS659" s="268"/>
      <c r="NDT659" s="268"/>
      <c r="NDU659" s="268"/>
      <c r="NDV659" s="268"/>
      <c r="NDW659" s="268"/>
      <c r="NDX659" s="268"/>
      <c r="NDY659" s="268"/>
      <c r="NDZ659" s="268"/>
      <c r="NEA659" s="268"/>
      <c r="NEB659" s="268"/>
      <c r="NEC659" s="268"/>
      <c r="NED659" s="268"/>
      <c r="NEE659" s="268"/>
      <c r="NEF659" s="268"/>
      <c r="NEG659" s="268"/>
      <c r="NEH659" s="268"/>
      <c r="NEI659" s="268"/>
      <c r="NEJ659" s="268"/>
      <c r="NEK659" s="268"/>
      <c r="NEL659" s="268"/>
      <c r="NEM659" s="268"/>
      <c r="NEN659" s="268"/>
      <c r="NEO659" s="268"/>
      <c r="NEP659" s="268"/>
      <c r="NEQ659" s="268"/>
      <c r="NER659" s="268"/>
      <c r="NES659" s="268"/>
      <c r="NET659" s="268"/>
      <c r="NEU659" s="268"/>
      <c r="NEV659" s="268"/>
      <c r="NEW659" s="268"/>
      <c r="NEX659" s="268"/>
      <c r="NEY659" s="268"/>
      <c r="NEZ659" s="268"/>
      <c r="NFA659" s="268"/>
      <c r="NFB659" s="268"/>
      <c r="NFC659" s="268"/>
      <c r="NFD659" s="268"/>
      <c r="NFE659" s="268"/>
      <c r="NFF659" s="268"/>
      <c r="NFG659" s="268"/>
      <c r="NFH659" s="268"/>
      <c r="NFI659" s="268"/>
      <c r="NFJ659" s="268"/>
      <c r="NFK659" s="268"/>
      <c r="NFL659" s="268"/>
      <c r="NFM659" s="268"/>
      <c r="NFN659" s="268"/>
      <c r="NFO659" s="268"/>
      <c r="NFP659" s="268"/>
      <c r="NFQ659" s="268"/>
      <c r="NFR659" s="268"/>
      <c r="NFS659" s="268"/>
      <c r="NFT659" s="268"/>
      <c r="NFU659" s="268"/>
      <c r="NFV659" s="268"/>
      <c r="NFW659" s="268"/>
      <c r="NFX659" s="268"/>
      <c r="NFY659" s="268"/>
      <c r="NFZ659" s="268"/>
      <c r="NGA659" s="268"/>
      <c r="NGB659" s="268"/>
      <c r="NGC659" s="268"/>
      <c r="NGD659" s="268"/>
      <c r="NGE659" s="268"/>
      <c r="NGF659" s="268"/>
      <c r="NGG659" s="268"/>
      <c r="NGH659" s="268"/>
      <c r="NGI659" s="268"/>
      <c r="NGJ659" s="268"/>
      <c r="NGK659" s="268"/>
      <c r="NGL659" s="268"/>
      <c r="NGM659" s="268"/>
      <c r="NGN659" s="268"/>
      <c r="NGO659" s="268"/>
      <c r="NGP659" s="268"/>
      <c r="NGQ659" s="268"/>
      <c r="NGR659" s="268"/>
      <c r="NGS659" s="268"/>
      <c r="NGT659" s="268"/>
      <c r="NGU659" s="268"/>
      <c r="NGV659" s="268"/>
      <c r="NGW659" s="268"/>
      <c r="NGX659" s="268"/>
      <c r="NGY659" s="268"/>
      <c r="NGZ659" s="268"/>
      <c r="NHA659" s="268"/>
      <c r="NHB659" s="268"/>
      <c r="NHC659" s="268"/>
      <c r="NHD659" s="268"/>
      <c r="NHE659" s="268"/>
      <c r="NHF659" s="268"/>
      <c r="NHG659" s="268"/>
      <c r="NHH659" s="268"/>
      <c r="NHI659" s="268"/>
      <c r="NHJ659" s="268"/>
      <c r="NHK659" s="268"/>
      <c r="NHL659" s="268"/>
      <c r="NHM659" s="268"/>
      <c r="NHN659" s="268"/>
      <c r="NHO659" s="268"/>
      <c r="NHP659" s="268"/>
      <c r="NHQ659" s="268"/>
      <c r="NHR659" s="268"/>
      <c r="NHS659" s="268"/>
      <c r="NHT659" s="268"/>
      <c r="NHU659" s="268"/>
      <c r="NHV659" s="268"/>
      <c r="NHW659" s="268"/>
      <c r="NHX659" s="268"/>
      <c r="NHY659" s="268"/>
      <c r="NHZ659" s="268"/>
      <c r="NIA659" s="268"/>
      <c r="NIB659" s="268"/>
      <c r="NIC659" s="268"/>
      <c r="NID659" s="268"/>
      <c r="NIE659" s="268"/>
      <c r="NIF659" s="268"/>
      <c r="NIG659" s="268"/>
      <c r="NIH659" s="268"/>
      <c r="NII659" s="268"/>
      <c r="NIJ659" s="268"/>
      <c r="NIK659" s="268"/>
      <c r="NIL659" s="268"/>
      <c r="NIM659" s="268"/>
      <c r="NIN659" s="268"/>
      <c r="NIO659" s="268"/>
      <c r="NIP659" s="268"/>
      <c r="NIQ659" s="268"/>
      <c r="NIR659" s="268"/>
      <c r="NIS659" s="268"/>
      <c r="NIT659" s="268"/>
      <c r="NIU659" s="268"/>
      <c r="NJI659" s="268"/>
      <c r="NJJ659" s="268"/>
      <c r="NJK659" s="268"/>
      <c r="NJY659" s="268"/>
      <c r="NKA659" s="268"/>
      <c r="NKB659" s="268"/>
      <c r="NKC659" s="268"/>
      <c r="NKD659" s="268"/>
      <c r="NKE659" s="268"/>
      <c r="NKF659" s="268"/>
      <c r="NKG659" s="268"/>
      <c r="NKH659" s="268"/>
      <c r="NKI659" s="268"/>
      <c r="NKJ659" s="268"/>
      <c r="NKK659" s="268"/>
      <c r="NKL659" s="268"/>
      <c r="NKM659" s="268"/>
      <c r="NKN659" s="268"/>
      <c r="NKO659" s="268"/>
      <c r="NKP659" s="268"/>
      <c r="NKQ659" s="268"/>
      <c r="NKR659" s="268"/>
      <c r="NKS659" s="268"/>
      <c r="NKT659" s="268"/>
      <c r="NKU659" s="268"/>
      <c r="NKV659" s="268"/>
      <c r="NKW659" s="268"/>
      <c r="NKX659" s="268"/>
      <c r="NKY659" s="268"/>
      <c r="NKZ659" s="268"/>
      <c r="NLA659" s="268"/>
      <c r="NLB659" s="268"/>
      <c r="NLC659" s="268"/>
      <c r="NLD659" s="268"/>
      <c r="NLE659" s="268"/>
      <c r="NLF659" s="268"/>
      <c r="NLG659" s="268"/>
      <c r="NLH659" s="268"/>
      <c r="NLI659" s="268"/>
      <c r="NLJ659" s="268"/>
      <c r="NLK659" s="268"/>
      <c r="NLL659" s="268"/>
      <c r="NLM659" s="268"/>
      <c r="NLN659" s="268"/>
      <c r="NLO659" s="268"/>
      <c r="NLP659" s="268"/>
      <c r="NLQ659" s="268"/>
      <c r="NLR659" s="268"/>
      <c r="NLS659" s="268"/>
      <c r="NLT659" s="268"/>
      <c r="NLU659" s="268"/>
      <c r="NLV659" s="268"/>
      <c r="NLW659" s="268"/>
      <c r="NLX659" s="268"/>
      <c r="NLY659" s="268"/>
      <c r="NLZ659" s="268"/>
      <c r="NMA659" s="268"/>
      <c r="NMB659" s="268"/>
      <c r="NMC659" s="268"/>
      <c r="NMD659" s="268"/>
      <c r="NME659" s="268"/>
      <c r="NMF659" s="268"/>
      <c r="NMG659" s="268"/>
      <c r="NMH659" s="268"/>
      <c r="NMI659" s="268"/>
      <c r="NMJ659" s="268"/>
      <c r="NMK659" s="268"/>
      <c r="NML659" s="268"/>
      <c r="NMM659" s="268"/>
      <c r="NMN659" s="268"/>
      <c r="NMO659" s="268"/>
      <c r="NMP659" s="268"/>
      <c r="NMQ659" s="268"/>
      <c r="NMR659" s="268"/>
      <c r="NMS659" s="268"/>
      <c r="NMT659" s="268"/>
      <c r="NMU659" s="268"/>
      <c r="NMV659" s="268"/>
      <c r="NMW659" s="268"/>
      <c r="NMX659" s="268"/>
      <c r="NMY659" s="268"/>
      <c r="NMZ659" s="268"/>
      <c r="NNA659" s="268"/>
      <c r="NNB659" s="268"/>
      <c r="NNC659" s="268"/>
      <c r="NND659" s="268"/>
      <c r="NNE659" s="268"/>
      <c r="NNF659" s="268"/>
      <c r="NNG659" s="268"/>
      <c r="NNH659" s="268"/>
      <c r="NNI659" s="268"/>
      <c r="NNJ659" s="268"/>
      <c r="NNK659" s="268"/>
      <c r="NNL659" s="268"/>
      <c r="NNM659" s="268"/>
      <c r="NNN659" s="268"/>
      <c r="NNO659" s="268"/>
      <c r="NNP659" s="268"/>
      <c r="NNQ659" s="268"/>
      <c r="NNR659" s="268"/>
      <c r="NNS659" s="268"/>
      <c r="NNT659" s="268"/>
      <c r="NNU659" s="268"/>
      <c r="NNV659" s="268"/>
      <c r="NNW659" s="268"/>
      <c r="NNX659" s="268"/>
      <c r="NNY659" s="268"/>
      <c r="NNZ659" s="268"/>
      <c r="NOA659" s="268"/>
      <c r="NOB659" s="268"/>
      <c r="NOC659" s="268"/>
      <c r="NOD659" s="268"/>
      <c r="NOE659" s="268"/>
      <c r="NOF659" s="268"/>
      <c r="NOG659" s="268"/>
      <c r="NOH659" s="268"/>
      <c r="NOI659" s="268"/>
      <c r="NOJ659" s="268"/>
      <c r="NOK659" s="268"/>
      <c r="NOL659" s="268"/>
      <c r="NOM659" s="268"/>
      <c r="NON659" s="268"/>
      <c r="NOO659" s="268"/>
      <c r="NOP659" s="268"/>
      <c r="NOQ659" s="268"/>
      <c r="NOR659" s="268"/>
      <c r="NOS659" s="268"/>
      <c r="NOT659" s="268"/>
      <c r="NOU659" s="268"/>
      <c r="NOV659" s="268"/>
      <c r="NOW659" s="268"/>
      <c r="NOX659" s="268"/>
      <c r="NOY659" s="268"/>
      <c r="NOZ659" s="268"/>
      <c r="NPA659" s="268"/>
      <c r="NPB659" s="268"/>
      <c r="NPC659" s="268"/>
      <c r="NPD659" s="268"/>
      <c r="NPE659" s="268"/>
      <c r="NPF659" s="268"/>
      <c r="NPG659" s="268"/>
      <c r="NPH659" s="268"/>
      <c r="NPI659" s="268"/>
      <c r="NPJ659" s="268"/>
      <c r="NPK659" s="268"/>
      <c r="NPL659" s="268"/>
      <c r="NPM659" s="268"/>
      <c r="NPN659" s="268"/>
      <c r="NPO659" s="268"/>
      <c r="NPP659" s="268"/>
      <c r="NPQ659" s="268"/>
      <c r="NPR659" s="268"/>
      <c r="NPS659" s="268"/>
      <c r="NPT659" s="268"/>
      <c r="NPU659" s="268"/>
      <c r="NPV659" s="268"/>
      <c r="NPW659" s="268"/>
      <c r="NPX659" s="268"/>
      <c r="NPY659" s="268"/>
      <c r="NPZ659" s="268"/>
      <c r="NQA659" s="268"/>
      <c r="NQB659" s="268"/>
      <c r="NQC659" s="268"/>
      <c r="NQD659" s="268"/>
      <c r="NQE659" s="268"/>
      <c r="NQF659" s="268"/>
      <c r="NQG659" s="268"/>
      <c r="NQH659" s="268"/>
      <c r="NQI659" s="268"/>
      <c r="NQJ659" s="268"/>
      <c r="NQK659" s="268"/>
      <c r="NQL659" s="268"/>
      <c r="NQM659" s="268"/>
      <c r="NQN659" s="268"/>
      <c r="NQO659" s="268"/>
      <c r="NQP659" s="268"/>
      <c r="NQQ659" s="268"/>
      <c r="NQR659" s="268"/>
      <c r="NQS659" s="268"/>
      <c r="NQT659" s="268"/>
      <c r="NQU659" s="268"/>
      <c r="NQV659" s="268"/>
      <c r="NQW659" s="268"/>
      <c r="NQX659" s="268"/>
      <c r="NQY659" s="268"/>
      <c r="NQZ659" s="268"/>
      <c r="NRA659" s="268"/>
      <c r="NRB659" s="268"/>
      <c r="NRC659" s="268"/>
      <c r="NRD659" s="268"/>
      <c r="NRE659" s="268"/>
      <c r="NRF659" s="268"/>
      <c r="NRG659" s="268"/>
      <c r="NRH659" s="268"/>
      <c r="NRI659" s="268"/>
      <c r="NRJ659" s="268"/>
      <c r="NRK659" s="268"/>
      <c r="NRL659" s="268"/>
      <c r="NRM659" s="268"/>
      <c r="NRN659" s="268"/>
      <c r="NRO659" s="268"/>
      <c r="NRP659" s="268"/>
      <c r="NRQ659" s="268"/>
      <c r="NRR659" s="268"/>
      <c r="NRS659" s="268"/>
      <c r="NRT659" s="268"/>
      <c r="NRU659" s="268"/>
      <c r="NRV659" s="268"/>
      <c r="NRW659" s="268"/>
      <c r="NRX659" s="268"/>
      <c r="NRY659" s="268"/>
      <c r="NRZ659" s="268"/>
      <c r="NSA659" s="268"/>
      <c r="NSB659" s="268"/>
      <c r="NSC659" s="268"/>
      <c r="NSD659" s="268"/>
      <c r="NSE659" s="268"/>
      <c r="NSF659" s="268"/>
      <c r="NSG659" s="268"/>
      <c r="NSH659" s="268"/>
      <c r="NSI659" s="268"/>
      <c r="NSJ659" s="268"/>
      <c r="NSK659" s="268"/>
      <c r="NSL659" s="268"/>
      <c r="NSM659" s="268"/>
      <c r="NSN659" s="268"/>
      <c r="NSO659" s="268"/>
      <c r="NSP659" s="268"/>
      <c r="NSQ659" s="268"/>
      <c r="NTE659" s="268"/>
      <c r="NTF659" s="268"/>
      <c r="NTG659" s="268"/>
      <c r="NTU659" s="268"/>
      <c r="NTW659" s="268"/>
      <c r="NTX659" s="268"/>
      <c r="NTY659" s="268"/>
      <c r="NTZ659" s="268"/>
      <c r="NUA659" s="268"/>
      <c r="NUB659" s="268"/>
      <c r="NUC659" s="268"/>
      <c r="NUD659" s="268"/>
      <c r="NUE659" s="268"/>
      <c r="NUF659" s="268"/>
      <c r="NUG659" s="268"/>
      <c r="NUH659" s="268"/>
      <c r="NUI659" s="268"/>
      <c r="NUJ659" s="268"/>
      <c r="NUK659" s="268"/>
      <c r="NUL659" s="268"/>
      <c r="NUM659" s="268"/>
      <c r="NUN659" s="268"/>
      <c r="NUO659" s="268"/>
      <c r="NUP659" s="268"/>
      <c r="NUQ659" s="268"/>
      <c r="NUR659" s="268"/>
      <c r="NUS659" s="268"/>
      <c r="NUT659" s="268"/>
      <c r="NUU659" s="268"/>
      <c r="NUV659" s="268"/>
      <c r="NUW659" s="268"/>
      <c r="NUX659" s="268"/>
      <c r="NUY659" s="268"/>
      <c r="NUZ659" s="268"/>
      <c r="NVA659" s="268"/>
      <c r="NVB659" s="268"/>
      <c r="NVC659" s="268"/>
      <c r="NVD659" s="268"/>
      <c r="NVE659" s="268"/>
      <c r="NVF659" s="268"/>
      <c r="NVG659" s="268"/>
      <c r="NVH659" s="268"/>
      <c r="NVI659" s="268"/>
      <c r="NVJ659" s="268"/>
      <c r="NVK659" s="268"/>
      <c r="NVL659" s="268"/>
      <c r="NVM659" s="268"/>
      <c r="NVN659" s="268"/>
      <c r="NVO659" s="268"/>
      <c r="NVP659" s="268"/>
      <c r="NVQ659" s="268"/>
      <c r="NVR659" s="268"/>
      <c r="NVS659" s="268"/>
      <c r="NVT659" s="268"/>
      <c r="NVU659" s="268"/>
      <c r="NVV659" s="268"/>
      <c r="NVW659" s="268"/>
      <c r="NVX659" s="268"/>
      <c r="NVY659" s="268"/>
      <c r="NVZ659" s="268"/>
      <c r="NWA659" s="268"/>
      <c r="NWB659" s="268"/>
      <c r="NWC659" s="268"/>
      <c r="NWD659" s="268"/>
      <c r="NWE659" s="268"/>
      <c r="NWF659" s="268"/>
      <c r="NWG659" s="268"/>
      <c r="NWH659" s="268"/>
      <c r="NWI659" s="268"/>
      <c r="NWJ659" s="268"/>
      <c r="NWK659" s="268"/>
      <c r="NWL659" s="268"/>
      <c r="NWM659" s="268"/>
      <c r="NWN659" s="268"/>
      <c r="NWO659" s="268"/>
      <c r="NWP659" s="268"/>
      <c r="NWQ659" s="268"/>
      <c r="NWR659" s="268"/>
      <c r="NWS659" s="268"/>
      <c r="NWT659" s="268"/>
      <c r="NWU659" s="268"/>
      <c r="NWV659" s="268"/>
      <c r="NWW659" s="268"/>
      <c r="NWX659" s="268"/>
      <c r="NWY659" s="268"/>
      <c r="NWZ659" s="268"/>
      <c r="NXA659" s="268"/>
      <c r="NXB659" s="268"/>
      <c r="NXC659" s="268"/>
      <c r="NXD659" s="268"/>
      <c r="NXE659" s="268"/>
      <c r="NXF659" s="268"/>
      <c r="NXG659" s="268"/>
      <c r="NXH659" s="268"/>
      <c r="NXI659" s="268"/>
      <c r="NXJ659" s="268"/>
      <c r="NXK659" s="268"/>
      <c r="NXL659" s="268"/>
      <c r="NXM659" s="268"/>
      <c r="NXN659" s="268"/>
      <c r="NXO659" s="268"/>
      <c r="NXP659" s="268"/>
      <c r="NXQ659" s="268"/>
      <c r="NXR659" s="268"/>
      <c r="NXS659" s="268"/>
      <c r="NXT659" s="268"/>
      <c r="NXU659" s="268"/>
      <c r="NXV659" s="268"/>
      <c r="NXW659" s="268"/>
      <c r="NXX659" s="268"/>
      <c r="NXY659" s="268"/>
      <c r="NXZ659" s="268"/>
      <c r="NYA659" s="268"/>
      <c r="NYB659" s="268"/>
      <c r="NYC659" s="268"/>
      <c r="NYD659" s="268"/>
      <c r="NYE659" s="268"/>
      <c r="NYF659" s="268"/>
      <c r="NYG659" s="268"/>
      <c r="NYH659" s="268"/>
      <c r="NYI659" s="268"/>
      <c r="NYJ659" s="268"/>
      <c r="NYK659" s="268"/>
      <c r="NYL659" s="268"/>
      <c r="NYM659" s="268"/>
      <c r="NYN659" s="268"/>
      <c r="NYO659" s="268"/>
      <c r="NYP659" s="268"/>
      <c r="NYQ659" s="268"/>
      <c r="NYR659" s="268"/>
      <c r="NYS659" s="268"/>
      <c r="NYT659" s="268"/>
      <c r="NYU659" s="268"/>
      <c r="NYV659" s="268"/>
      <c r="NYW659" s="268"/>
      <c r="NYX659" s="268"/>
      <c r="NYY659" s="268"/>
      <c r="NYZ659" s="268"/>
      <c r="NZA659" s="268"/>
      <c r="NZB659" s="268"/>
      <c r="NZC659" s="268"/>
      <c r="NZD659" s="268"/>
      <c r="NZE659" s="268"/>
      <c r="NZF659" s="268"/>
      <c r="NZG659" s="268"/>
      <c r="NZH659" s="268"/>
      <c r="NZI659" s="268"/>
      <c r="NZJ659" s="268"/>
      <c r="NZK659" s="268"/>
      <c r="NZL659" s="268"/>
      <c r="NZM659" s="268"/>
      <c r="NZN659" s="268"/>
      <c r="NZO659" s="268"/>
      <c r="NZP659" s="268"/>
      <c r="NZQ659" s="268"/>
      <c r="NZR659" s="268"/>
      <c r="NZS659" s="268"/>
      <c r="NZT659" s="268"/>
      <c r="NZU659" s="268"/>
      <c r="NZV659" s="268"/>
      <c r="NZW659" s="268"/>
      <c r="NZX659" s="268"/>
      <c r="NZY659" s="268"/>
      <c r="NZZ659" s="268"/>
      <c r="OAA659" s="268"/>
      <c r="OAB659" s="268"/>
      <c r="OAC659" s="268"/>
      <c r="OAD659" s="268"/>
      <c r="OAE659" s="268"/>
      <c r="OAF659" s="268"/>
      <c r="OAG659" s="268"/>
      <c r="OAH659" s="268"/>
      <c r="OAI659" s="268"/>
      <c r="OAJ659" s="268"/>
      <c r="OAK659" s="268"/>
      <c r="OAL659" s="268"/>
      <c r="OAM659" s="268"/>
      <c r="OAN659" s="268"/>
      <c r="OAO659" s="268"/>
      <c r="OAP659" s="268"/>
      <c r="OAQ659" s="268"/>
      <c r="OAR659" s="268"/>
      <c r="OAS659" s="268"/>
      <c r="OAT659" s="268"/>
      <c r="OAU659" s="268"/>
      <c r="OAV659" s="268"/>
      <c r="OAW659" s="268"/>
      <c r="OAX659" s="268"/>
      <c r="OAY659" s="268"/>
      <c r="OAZ659" s="268"/>
      <c r="OBA659" s="268"/>
      <c r="OBB659" s="268"/>
      <c r="OBC659" s="268"/>
      <c r="OBD659" s="268"/>
      <c r="OBE659" s="268"/>
      <c r="OBF659" s="268"/>
      <c r="OBG659" s="268"/>
      <c r="OBH659" s="268"/>
      <c r="OBI659" s="268"/>
      <c r="OBJ659" s="268"/>
      <c r="OBK659" s="268"/>
      <c r="OBL659" s="268"/>
      <c r="OBM659" s="268"/>
      <c r="OBN659" s="268"/>
      <c r="OBO659" s="268"/>
      <c r="OBP659" s="268"/>
      <c r="OBQ659" s="268"/>
      <c r="OBR659" s="268"/>
      <c r="OBS659" s="268"/>
      <c r="OBT659" s="268"/>
      <c r="OBU659" s="268"/>
      <c r="OBV659" s="268"/>
      <c r="OBW659" s="268"/>
      <c r="OBX659" s="268"/>
      <c r="OBY659" s="268"/>
      <c r="OBZ659" s="268"/>
      <c r="OCA659" s="268"/>
      <c r="OCB659" s="268"/>
      <c r="OCC659" s="268"/>
      <c r="OCD659" s="268"/>
      <c r="OCE659" s="268"/>
      <c r="OCF659" s="268"/>
      <c r="OCG659" s="268"/>
      <c r="OCH659" s="268"/>
      <c r="OCI659" s="268"/>
      <c r="OCJ659" s="268"/>
      <c r="OCK659" s="268"/>
      <c r="OCL659" s="268"/>
      <c r="OCM659" s="268"/>
      <c r="ODA659" s="268"/>
      <c r="ODB659" s="268"/>
      <c r="ODC659" s="268"/>
      <c r="ODQ659" s="268"/>
      <c r="ODS659" s="268"/>
      <c r="ODT659" s="268"/>
      <c r="ODU659" s="268"/>
      <c r="ODV659" s="268"/>
      <c r="ODW659" s="268"/>
      <c r="ODX659" s="268"/>
      <c r="ODY659" s="268"/>
      <c r="ODZ659" s="268"/>
      <c r="OEA659" s="268"/>
      <c r="OEB659" s="268"/>
      <c r="OEC659" s="268"/>
      <c r="OED659" s="268"/>
      <c r="OEE659" s="268"/>
      <c r="OEF659" s="268"/>
      <c r="OEG659" s="268"/>
      <c r="OEH659" s="268"/>
      <c r="OEI659" s="268"/>
      <c r="OEJ659" s="268"/>
      <c r="OEK659" s="268"/>
      <c r="OEL659" s="268"/>
      <c r="OEM659" s="268"/>
      <c r="OEN659" s="268"/>
      <c r="OEO659" s="268"/>
      <c r="OEP659" s="268"/>
      <c r="OEQ659" s="268"/>
      <c r="OER659" s="268"/>
      <c r="OES659" s="268"/>
      <c r="OET659" s="268"/>
      <c r="OEU659" s="268"/>
      <c r="OEV659" s="268"/>
      <c r="OEW659" s="268"/>
      <c r="OEX659" s="268"/>
      <c r="OEY659" s="268"/>
      <c r="OEZ659" s="268"/>
      <c r="OFA659" s="268"/>
      <c r="OFB659" s="268"/>
      <c r="OFC659" s="268"/>
      <c r="OFD659" s="268"/>
      <c r="OFE659" s="268"/>
      <c r="OFF659" s="268"/>
      <c r="OFG659" s="268"/>
      <c r="OFH659" s="268"/>
      <c r="OFI659" s="268"/>
      <c r="OFJ659" s="268"/>
      <c r="OFK659" s="268"/>
      <c r="OFL659" s="268"/>
      <c r="OFM659" s="268"/>
      <c r="OFN659" s="268"/>
      <c r="OFO659" s="268"/>
      <c r="OFP659" s="268"/>
      <c r="OFQ659" s="268"/>
      <c r="OFR659" s="268"/>
      <c r="OFS659" s="268"/>
      <c r="OFT659" s="268"/>
      <c r="OFU659" s="268"/>
      <c r="OFV659" s="268"/>
      <c r="OFW659" s="268"/>
      <c r="OFX659" s="268"/>
      <c r="OFY659" s="268"/>
      <c r="OFZ659" s="268"/>
      <c r="OGA659" s="268"/>
      <c r="OGB659" s="268"/>
      <c r="OGC659" s="268"/>
      <c r="OGD659" s="268"/>
      <c r="OGE659" s="268"/>
      <c r="OGF659" s="268"/>
      <c r="OGG659" s="268"/>
      <c r="OGH659" s="268"/>
      <c r="OGI659" s="268"/>
      <c r="OGJ659" s="268"/>
      <c r="OGK659" s="268"/>
      <c r="OGL659" s="268"/>
      <c r="OGM659" s="268"/>
      <c r="OGN659" s="268"/>
      <c r="OGO659" s="268"/>
      <c r="OGP659" s="268"/>
      <c r="OGQ659" s="268"/>
      <c r="OGR659" s="268"/>
      <c r="OGS659" s="268"/>
      <c r="OGT659" s="268"/>
      <c r="OGU659" s="268"/>
      <c r="OGV659" s="268"/>
      <c r="OGW659" s="268"/>
      <c r="OGX659" s="268"/>
      <c r="OGY659" s="268"/>
      <c r="OGZ659" s="268"/>
      <c r="OHA659" s="268"/>
      <c r="OHB659" s="268"/>
      <c r="OHC659" s="268"/>
      <c r="OHD659" s="268"/>
      <c r="OHE659" s="268"/>
      <c r="OHF659" s="268"/>
      <c r="OHG659" s="268"/>
      <c r="OHH659" s="268"/>
      <c r="OHI659" s="268"/>
      <c r="OHJ659" s="268"/>
      <c r="OHK659" s="268"/>
      <c r="OHL659" s="268"/>
      <c r="OHM659" s="268"/>
      <c r="OHN659" s="268"/>
      <c r="OHO659" s="268"/>
      <c r="OHP659" s="268"/>
      <c r="OHQ659" s="268"/>
      <c r="OHR659" s="268"/>
      <c r="OHS659" s="268"/>
      <c r="OHT659" s="268"/>
      <c r="OHU659" s="268"/>
      <c r="OHV659" s="268"/>
      <c r="OHW659" s="268"/>
      <c r="OHX659" s="268"/>
      <c r="OHY659" s="268"/>
      <c r="OHZ659" s="268"/>
      <c r="OIA659" s="268"/>
      <c r="OIB659" s="268"/>
      <c r="OIC659" s="268"/>
      <c r="OID659" s="268"/>
      <c r="OIE659" s="268"/>
      <c r="OIF659" s="268"/>
      <c r="OIG659" s="268"/>
      <c r="OIH659" s="268"/>
      <c r="OII659" s="268"/>
      <c r="OIJ659" s="268"/>
      <c r="OIK659" s="268"/>
      <c r="OIL659" s="268"/>
      <c r="OIM659" s="268"/>
      <c r="OIN659" s="268"/>
      <c r="OIO659" s="268"/>
      <c r="OIP659" s="268"/>
      <c r="OIQ659" s="268"/>
      <c r="OIR659" s="268"/>
      <c r="OIS659" s="268"/>
      <c r="OIT659" s="268"/>
      <c r="OIU659" s="268"/>
      <c r="OIV659" s="268"/>
      <c r="OIW659" s="268"/>
      <c r="OIX659" s="268"/>
      <c r="OIY659" s="268"/>
      <c r="OIZ659" s="268"/>
      <c r="OJA659" s="268"/>
      <c r="OJB659" s="268"/>
      <c r="OJC659" s="268"/>
      <c r="OJD659" s="268"/>
      <c r="OJE659" s="268"/>
      <c r="OJF659" s="268"/>
      <c r="OJG659" s="268"/>
      <c r="OJH659" s="268"/>
      <c r="OJI659" s="268"/>
      <c r="OJJ659" s="268"/>
      <c r="OJK659" s="268"/>
      <c r="OJL659" s="268"/>
      <c r="OJM659" s="268"/>
      <c r="OJN659" s="268"/>
      <c r="OJO659" s="268"/>
      <c r="OJP659" s="268"/>
      <c r="OJQ659" s="268"/>
      <c r="OJR659" s="268"/>
      <c r="OJS659" s="268"/>
      <c r="OJT659" s="268"/>
      <c r="OJU659" s="268"/>
      <c r="OJV659" s="268"/>
      <c r="OJW659" s="268"/>
      <c r="OJX659" s="268"/>
      <c r="OJY659" s="268"/>
      <c r="OJZ659" s="268"/>
      <c r="OKA659" s="268"/>
      <c r="OKB659" s="268"/>
      <c r="OKC659" s="268"/>
      <c r="OKD659" s="268"/>
      <c r="OKE659" s="268"/>
      <c r="OKF659" s="268"/>
      <c r="OKG659" s="268"/>
      <c r="OKH659" s="268"/>
      <c r="OKI659" s="268"/>
      <c r="OKJ659" s="268"/>
      <c r="OKK659" s="268"/>
      <c r="OKL659" s="268"/>
      <c r="OKM659" s="268"/>
      <c r="OKN659" s="268"/>
      <c r="OKO659" s="268"/>
      <c r="OKP659" s="268"/>
      <c r="OKQ659" s="268"/>
      <c r="OKR659" s="268"/>
      <c r="OKS659" s="268"/>
      <c r="OKT659" s="268"/>
      <c r="OKU659" s="268"/>
      <c r="OKV659" s="268"/>
      <c r="OKW659" s="268"/>
      <c r="OKX659" s="268"/>
      <c r="OKY659" s="268"/>
      <c r="OKZ659" s="268"/>
      <c r="OLA659" s="268"/>
      <c r="OLB659" s="268"/>
      <c r="OLC659" s="268"/>
      <c r="OLD659" s="268"/>
      <c r="OLE659" s="268"/>
      <c r="OLF659" s="268"/>
      <c r="OLG659" s="268"/>
      <c r="OLH659" s="268"/>
      <c r="OLI659" s="268"/>
      <c r="OLJ659" s="268"/>
      <c r="OLK659" s="268"/>
      <c r="OLL659" s="268"/>
      <c r="OLM659" s="268"/>
      <c r="OLN659" s="268"/>
      <c r="OLO659" s="268"/>
      <c r="OLP659" s="268"/>
      <c r="OLQ659" s="268"/>
      <c r="OLR659" s="268"/>
      <c r="OLS659" s="268"/>
      <c r="OLT659" s="268"/>
      <c r="OLU659" s="268"/>
      <c r="OLV659" s="268"/>
      <c r="OLW659" s="268"/>
      <c r="OLX659" s="268"/>
      <c r="OLY659" s="268"/>
      <c r="OLZ659" s="268"/>
      <c r="OMA659" s="268"/>
      <c r="OMB659" s="268"/>
      <c r="OMC659" s="268"/>
      <c r="OMD659" s="268"/>
      <c r="OME659" s="268"/>
      <c r="OMF659" s="268"/>
      <c r="OMG659" s="268"/>
      <c r="OMH659" s="268"/>
      <c r="OMI659" s="268"/>
      <c r="OMW659" s="268"/>
      <c r="OMX659" s="268"/>
      <c r="OMY659" s="268"/>
      <c r="ONM659" s="268"/>
      <c r="ONO659" s="268"/>
      <c r="ONP659" s="268"/>
      <c r="ONQ659" s="268"/>
      <c r="ONR659" s="268"/>
      <c r="ONS659" s="268"/>
      <c r="ONT659" s="268"/>
      <c r="ONU659" s="268"/>
      <c r="ONV659" s="268"/>
      <c r="ONW659" s="268"/>
      <c r="ONX659" s="268"/>
      <c r="ONY659" s="268"/>
      <c r="ONZ659" s="268"/>
      <c r="OOA659" s="268"/>
      <c r="OOB659" s="268"/>
      <c r="OOC659" s="268"/>
      <c r="OOD659" s="268"/>
      <c r="OOE659" s="268"/>
      <c r="OOF659" s="268"/>
      <c r="OOG659" s="268"/>
      <c r="OOH659" s="268"/>
      <c r="OOI659" s="268"/>
      <c r="OOJ659" s="268"/>
      <c r="OOK659" s="268"/>
      <c r="OOL659" s="268"/>
      <c r="OOM659" s="268"/>
      <c r="OON659" s="268"/>
      <c r="OOO659" s="268"/>
      <c r="OOP659" s="268"/>
      <c r="OOQ659" s="268"/>
      <c r="OOR659" s="268"/>
      <c r="OOS659" s="268"/>
      <c r="OOT659" s="268"/>
      <c r="OOU659" s="268"/>
      <c r="OOV659" s="268"/>
      <c r="OOW659" s="268"/>
      <c r="OOX659" s="268"/>
      <c r="OOY659" s="268"/>
      <c r="OOZ659" s="268"/>
      <c r="OPA659" s="268"/>
      <c r="OPB659" s="268"/>
      <c r="OPC659" s="268"/>
      <c r="OPD659" s="268"/>
      <c r="OPE659" s="268"/>
      <c r="OPF659" s="268"/>
      <c r="OPG659" s="268"/>
      <c r="OPH659" s="268"/>
      <c r="OPI659" s="268"/>
      <c r="OPJ659" s="268"/>
      <c r="OPK659" s="268"/>
      <c r="OPL659" s="268"/>
      <c r="OPM659" s="268"/>
      <c r="OPN659" s="268"/>
      <c r="OPO659" s="268"/>
      <c r="OPP659" s="268"/>
      <c r="OPQ659" s="268"/>
      <c r="OPR659" s="268"/>
      <c r="OPS659" s="268"/>
      <c r="OPT659" s="268"/>
      <c r="OPU659" s="268"/>
      <c r="OPV659" s="268"/>
      <c r="OPW659" s="268"/>
      <c r="OPX659" s="268"/>
      <c r="OPY659" s="268"/>
      <c r="OPZ659" s="268"/>
      <c r="OQA659" s="268"/>
      <c r="OQB659" s="268"/>
      <c r="OQC659" s="268"/>
      <c r="OQD659" s="268"/>
      <c r="OQE659" s="268"/>
      <c r="OQF659" s="268"/>
      <c r="OQG659" s="268"/>
      <c r="OQH659" s="268"/>
      <c r="OQI659" s="268"/>
      <c r="OQJ659" s="268"/>
      <c r="OQK659" s="268"/>
      <c r="OQL659" s="268"/>
      <c r="OQM659" s="268"/>
      <c r="OQN659" s="268"/>
      <c r="OQO659" s="268"/>
      <c r="OQP659" s="268"/>
      <c r="OQQ659" s="268"/>
      <c r="OQR659" s="268"/>
      <c r="OQS659" s="268"/>
      <c r="OQT659" s="268"/>
      <c r="OQU659" s="268"/>
      <c r="OQV659" s="268"/>
      <c r="OQW659" s="268"/>
      <c r="OQX659" s="268"/>
      <c r="OQY659" s="268"/>
      <c r="OQZ659" s="268"/>
      <c r="ORA659" s="268"/>
      <c r="ORB659" s="268"/>
      <c r="ORC659" s="268"/>
      <c r="ORD659" s="268"/>
      <c r="ORE659" s="268"/>
      <c r="ORF659" s="268"/>
      <c r="ORG659" s="268"/>
      <c r="ORH659" s="268"/>
      <c r="ORI659" s="268"/>
      <c r="ORJ659" s="268"/>
      <c r="ORK659" s="268"/>
      <c r="ORL659" s="268"/>
      <c r="ORM659" s="268"/>
      <c r="ORN659" s="268"/>
      <c r="ORO659" s="268"/>
      <c r="ORP659" s="268"/>
      <c r="ORQ659" s="268"/>
      <c r="ORR659" s="268"/>
      <c r="ORS659" s="268"/>
      <c r="ORT659" s="268"/>
      <c r="ORU659" s="268"/>
      <c r="ORV659" s="268"/>
      <c r="ORW659" s="268"/>
      <c r="ORX659" s="268"/>
      <c r="ORY659" s="268"/>
      <c r="ORZ659" s="268"/>
      <c r="OSA659" s="268"/>
      <c r="OSB659" s="268"/>
      <c r="OSC659" s="268"/>
      <c r="OSD659" s="268"/>
      <c r="OSE659" s="268"/>
      <c r="OSF659" s="268"/>
      <c r="OSG659" s="268"/>
      <c r="OSH659" s="268"/>
      <c r="OSI659" s="268"/>
      <c r="OSJ659" s="268"/>
      <c r="OSK659" s="268"/>
      <c r="OSL659" s="268"/>
      <c r="OSM659" s="268"/>
      <c r="OSN659" s="268"/>
      <c r="OSO659" s="268"/>
      <c r="OSP659" s="268"/>
      <c r="OSQ659" s="268"/>
      <c r="OSR659" s="268"/>
      <c r="OSS659" s="268"/>
      <c r="OST659" s="268"/>
      <c r="OSU659" s="268"/>
      <c r="OSV659" s="268"/>
      <c r="OSW659" s="268"/>
      <c r="OSX659" s="268"/>
      <c r="OSY659" s="268"/>
      <c r="OSZ659" s="268"/>
      <c r="OTA659" s="268"/>
      <c r="OTB659" s="268"/>
      <c r="OTC659" s="268"/>
      <c r="OTD659" s="268"/>
      <c r="OTE659" s="268"/>
      <c r="OTF659" s="268"/>
      <c r="OTG659" s="268"/>
      <c r="OTH659" s="268"/>
      <c r="OTI659" s="268"/>
      <c r="OTJ659" s="268"/>
      <c r="OTK659" s="268"/>
      <c r="OTL659" s="268"/>
      <c r="OTM659" s="268"/>
      <c r="OTN659" s="268"/>
      <c r="OTO659" s="268"/>
      <c r="OTP659" s="268"/>
      <c r="OTQ659" s="268"/>
      <c r="OTR659" s="268"/>
      <c r="OTS659" s="268"/>
      <c r="OTT659" s="268"/>
      <c r="OTU659" s="268"/>
      <c r="OTV659" s="268"/>
      <c r="OTW659" s="268"/>
      <c r="OTX659" s="268"/>
      <c r="OTY659" s="268"/>
      <c r="OTZ659" s="268"/>
      <c r="OUA659" s="268"/>
      <c r="OUB659" s="268"/>
      <c r="OUC659" s="268"/>
      <c r="OUD659" s="268"/>
      <c r="OUE659" s="268"/>
      <c r="OUF659" s="268"/>
      <c r="OUG659" s="268"/>
      <c r="OUH659" s="268"/>
      <c r="OUI659" s="268"/>
      <c r="OUJ659" s="268"/>
      <c r="OUK659" s="268"/>
      <c r="OUL659" s="268"/>
      <c r="OUM659" s="268"/>
      <c r="OUN659" s="268"/>
      <c r="OUO659" s="268"/>
      <c r="OUP659" s="268"/>
      <c r="OUQ659" s="268"/>
      <c r="OUR659" s="268"/>
      <c r="OUS659" s="268"/>
      <c r="OUT659" s="268"/>
      <c r="OUU659" s="268"/>
      <c r="OUV659" s="268"/>
      <c r="OUW659" s="268"/>
      <c r="OUX659" s="268"/>
      <c r="OUY659" s="268"/>
      <c r="OUZ659" s="268"/>
      <c r="OVA659" s="268"/>
      <c r="OVB659" s="268"/>
      <c r="OVC659" s="268"/>
      <c r="OVD659" s="268"/>
      <c r="OVE659" s="268"/>
      <c r="OVF659" s="268"/>
      <c r="OVG659" s="268"/>
      <c r="OVH659" s="268"/>
      <c r="OVI659" s="268"/>
      <c r="OVJ659" s="268"/>
      <c r="OVK659" s="268"/>
      <c r="OVL659" s="268"/>
      <c r="OVM659" s="268"/>
      <c r="OVN659" s="268"/>
      <c r="OVO659" s="268"/>
      <c r="OVP659" s="268"/>
      <c r="OVQ659" s="268"/>
      <c r="OVR659" s="268"/>
      <c r="OVS659" s="268"/>
      <c r="OVT659" s="268"/>
      <c r="OVU659" s="268"/>
      <c r="OVV659" s="268"/>
      <c r="OVW659" s="268"/>
      <c r="OVX659" s="268"/>
      <c r="OVY659" s="268"/>
      <c r="OVZ659" s="268"/>
      <c r="OWA659" s="268"/>
      <c r="OWB659" s="268"/>
      <c r="OWC659" s="268"/>
      <c r="OWD659" s="268"/>
      <c r="OWE659" s="268"/>
      <c r="OWS659" s="268"/>
      <c r="OWT659" s="268"/>
      <c r="OWU659" s="268"/>
      <c r="OXI659" s="268"/>
      <c r="OXK659" s="268"/>
      <c r="OXL659" s="268"/>
      <c r="OXM659" s="268"/>
      <c r="OXN659" s="268"/>
      <c r="OXO659" s="268"/>
      <c r="OXP659" s="268"/>
      <c r="OXQ659" s="268"/>
      <c r="OXR659" s="268"/>
      <c r="OXS659" s="268"/>
      <c r="OXT659" s="268"/>
      <c r="OXU659" s="268"/>
      <c r="OXV659" s="268"/>
      <c r="OXW659" s="268"/>
      <c r="OXX659" s="268"/>
      <c r="OXY659" s="268"/>
      <c r="OXZ659" s="268"/>
      <c r="OYA659" s="268"/>
      <c r="OYB659" s="268"/>
      <c r="OYC659" s="268"/>
      <c r="OYD659" s="268"/>
      <c r="OYE659" s="268"/>
      <c r="OYF659" s="268"/>
      <c r="OYG659" s="268"/>
      <c r="OYH659" s="268"/>
      <c r="OYI659" s="268"/>
      <c r="OYJ659" s="268"/>
      <c r="OYK659" s="268"/>
      <c r="OYL659" s="268"/>
      <c r="OYM659" s="268"/>
      <c r="OYN659" s="268"/>
      <c r="OYO659" s="268"/>
      <c r="OYP659" s="268"/>
      <c r="OYQ659" s="268"/>
      <c r="OYR659" s="268"/>
      <c r="OYS659" s="268"/>
      <c r="OYT659" s="268"/>
      <c r="OYU659" s="268"/>
      <c r="OYV659" s="268"/>
      <c r="OYW659" s="268"/>
      <c r="OYX659" s="268"/>
      <c r="OYY659" s="268"/>
      <c r="OYZ659" s="268"/>
      <c r="OZA659" s="268"/>
      <c r="OZB659" s="268"/>
      <c r="OZC659" s="268"/>
      <c r="OZD659" s="268"/>
      <c r="OZE659" s="268"/>
      <c r="OZF659" s="268"/>
      <c r="OZG659" s="268"/>
      <c r="OZH659" s="268"/>
      <c r="OZI659" s="268"/>
      <c r="OZJ659" s="268"/>
      <c r="OZK659" s="268"/>
      <c r="OZL659" s="268"/>
      <c r="OZM659" s="268"/>
      <c r="OZN659" s="268"/>
      <c r="OZO659" s="268"/>
      <c r="OZP659" s="268"/>
      <c r="OZQ659" s="268"/>
      <c r="OZR659" s="268"/>
      <c r="OZS659" s="268"/>
      <c r="OZT659" s="268"/>
      <c r="OZU659" s="268"/>
      <c r="OZV659" s="268"/>
      <c r="OZW659" s="268"/>
      <c r="OZX659" s="268"/>
      <c r="OZY659" s="268"/>
      <c r="OZZ659" s="268"/>
      <c r="PAA659" s="268"/>
      <c r="PAB659" s="268"/>
      <c r="PAC659" s="268"/>
      <c r="PAD659" s="268"/>
      <c r="PAE659" s="268"/>
      <c r="PAF659" s="268"/>
      <c r="PAG659" s="268"/>
      <c r="PAH659" s="268"/>
      <c r="PAI659" s="268"/>
      <c r="PAJ659" s="268"/>
      <c r="PAK659" s="268"/>
      <c r="PAL659" s="268"/>
      <c r="PAM659" s="268"/>
      <c r="PAN659" s="268"/>
      <c r="PAO659" s="268"/>
      <c r="PAP659" s="268"/>
      <c r="PAQ659" s="268"/>
      <c r="PAR659" s="268"/>
      <c r="PAS659" s="268"/>
      <c r="PAT659" s="268"/>
      <c r="PAU659" s="268"/>
      <c r="PAV659" s="268"/>
      <c r="PAW659" s="268"/>
      <c r="PAX659" s="268"/>
      <c r="PAY659" s="268"/>
      <c r="PAZ659" s="268"/>
      <c r="PBA659" s="268"/>
      <c r="PBB659" s="268"/>
      <c r="PBC659" s="268"/>
      <c r="PBD659" s="268"/>
      <c r="PBE659" s="268"/>
      <c r="PBF659" s="268"/>
      <c r="PBG659" s="268"/>
      <c r="PBH659" s="268"/>
      <c r="PBI659" s="268"/>
      <c r="PBJ659" s="268"/>
      <c r="PBK659" s="268"/>
      <c r="PBL659" s="268"/>
      <c r="PBM659" s="268"/>
      <c r="PBN659" s="268"/>
      <c r="PBO659" s="268"/>
      <c r="PBP659" s="268"/>
      <c r="PBQ659" s="268"/>
      <c r="PBR659" s="268"/>
      <c r="PBS659" s="268"/>
      <c r="PBT659" s="268"/>
      <c r="PBU659" s="268"/>
      <c r="PBV659" s="268"/>
      <c r="PBW659" s="268"/>
      <c r="PBX659" s="268"/>
      <c r="PBY659" s="268"/>
      <c r="PBZ659" s="268"/>
      <c r="PCA659" s="268"/>
      <c r="PCB659" s="268"/>
      <c r="PCC659" s="268"/>
      <c r="PCD659" s="268"/>
      <c r="PCE659" s="268"/>
      <c r="PCF659" s="268"/>
      <c r="PCG659" s="268"/>
      <c r="PCH659" s="268"/>
      <c r="PCI659" s="268"/>
      <c r="PCJ659" s="268"/>
      <c r="PCK659" s="268"/>
      <c r="PCL659" s="268"/>
      <c r="PCM659" s="268"/>
      <c r="PCN659" s="268"/>
      <c r="PCO659" s="268"/>
      <c r="PCP659" s="268"/>
      <c r="PCQ659" s="268"/>
      <c r="PCR659" s="268"/>
      <c r="PCS659" s="268"/>
      <c r="PCT659" s="268"/>
      <c r="PCU659" s="268"/>
      <c r="PCV659" s="268"/>
      <c r="PCW659" s="268"/>
      <c r="PCX659" s="268"/>
      <c r="PCY659" s="268"/>
      <c r="PCZ659" s="268"/>
      <c r="PDA659" s="268"/>
      <c r="PDB659" s="268"/>
      <c r="PDC659" s="268"/>
      <c r="PDD659" s="268"/>
      <c r="PDE659" s="268"/>
      <c r="PDF659" s="268"/>
      <c r="PDG659" s="268"/>
      <c r="PDH659" s="268"/>
      <c r="PDI659" s="268"/>
      <c r="PDJ659" s="268"/>
      <c r="PDK659" s="268"/>
      <c r="PDL659" s="268"/>
      <c r="PDM659" s="268"/>
      <c r="PDN659" s="268"/>
      <c r="PDO659" s="268"/>
      <c r="PDP659" s="268"/>
      <c r="PDQ659" s="268"/>
      <c r="PDR659" s="268"/>
      <c r="PDS659" s="268"/>
      <c r="PDT659" s="268"/>
      <c r="PDU659" s="268"/>
      <c r="PDV659" s="268"/>
      <c r="PDW659" s="268"/>
      <c r="PDX659" s="268"/>
      <c r="PDY659" s="268"/>
      <c r="PDZ659" s="268"/>
      <c r="PEA659" s="268"/>
      <c r="PEB659" s="268"/>
      <c r="PEC659" s="268"/>
      <c r="PED659" s="268"/>
      <c r="PEE659" s="268"/>
      <c r="PEF659" s="268"/>
      <c r="PEG659" s="268"/>
      <c r="PEH659" s="268"/>
      <c r="PEI659" s="268"/>
      <c r="PEJ659" s="268"/>
      <c r="PEK659" s="268"/>
      <c r="PEL659" s="268"/>
      <c r="PEM659" s="268"/>
      <c r="PEN659" s="268"/>
      <c r="PEO659" s="268"/>
      <c r="PEP659" s="268"/>
      <c r="PEQ659" s="268"/>
      <c r="PER659" s="268"/>
      <c r="PES659" s="268"/>
      <c r="PET659" s="268"/>
      <c r="PEU659" s="268"/>
      <c r="PEV659" s="268"/>
      <c r="PEW659" s="268"/>
      <c r="PEX659" s="268"/>
      <c r="PEY659" s="268"/>
      <c r="PEZ659" s="268"/>
      <c r="PFA659" s="268"/>
      <c r="PFB659" s="268"/>
      <c r="PFC659" s="268"/>
      <c r="PFD659" s="268"/>
      <c r="PFE659" s="268"/>
      <c r="PFF659" s="268"/>
      <c r="PFG659" s="268"/>
      <c r="PFH659" s="268"/>
      <c r="PFI659" s="268"/>
      <c r="PFJ659" s="268"/>
      <c r="PFK659" s="268"/>
      <c r="PFL659" s="268"/>
      <c r="PFM659" s="268"/>
      <c r="PFN659" s="268"/>
      <c r="PFO659" s="268"/>
      <c r="PFP659" s="268"/>
      <c r="PFQ659" s="268"/>
      <c r="PFR659" s="268"/>
      <c r="PFS659" s="268"/>
      <c r="PFT659" s="268"/>
      <c r="PFU659" s="268"/>
      <c r="PFV659" s="268"/>
      <c r="PFW659" s="268"/>
      <c r="PFX659" s="268"/>
      <c r="PFY659" s="268"/>
      <c r="PFZ659" s="268"/>
      <c r="PGA659" s="268"/>
      <c r="PGO659" s="268"/>
      <c r="PGP659" s="268"/>
      <c r="PGQ659" s="268"/>
      <c r="PHE659" s="268"/>
      <c r="PHG659" s="268"/>
      <c r="PHH659" s="268"/>
      <c r="PHI659" s="268"/>
      <c r="PHJ659" s="268"/>
      <c r="PHK659" s="268"/>
      <c r="PHL659" s="268"/>
      <c r="PHM659" s="268"/>
      <c r="PHN659" s="268"/>
      <c r="PHO659" s="268"/>
      <c r="PHP659" s="268"/>
      <c r="PHQ659" s="268"/>
      <c r="PHR659" s="268"/>
      <c r="PHS659" s="268"/>
      <c r="PHT659" s="268"/>
      <c r="PHU659" s="268"/>
      <c r="PHV659" s="268"/>
      <c r="PHW659" s="268"/>
      <c r="PHX659" s="268"/>
      <c r="PHY659" s="268"/>
      <c r="PHZ659" s="268"/>
      <c r="PIA659" s="268"/>
      <c r="PIB659" s="268"/>
      <c r="PIC659" s="268"/>
      <c r="PID659" s="268"/>
      <c r="PIE659" s="268"/>
      <c r="PIF659" s="268"/>
      <c r="PIG659" s="268"/>
      <c r="PIH659" s="268"/>
      <c r="PII659" s="268"/>
      <c r="PIJ659" s="268"/>
      <c r="PIK659" s="268"/>
      <c r="PIL659" s="268"/>
      <c r="PIM659" s="268"/>
      <c r="PIN659" s="268"/>
      <c r="PIO659" s="268"/>
      <c r="PIP659" s="268"/>
      <c r="PIQ659" s="268"/>
      <c r="PIR659" s="268"/>
      <c r="PIS659" s="268"/>
      <c r="PIT659" s="268"/>
      <c r="PIU659" s="268"/>
      <c r="PIV659" s="268"/>
      <c r="PIW659" s="268"/>
      <c r="PIX659" s="268"/>
      <c r="PIY659" s="268"/>
      <c r="PIZ659" s="268"/>
      <c r="PJA659" s="268"/>
      <c r="PJB659" s="268"/>
      <c r="PJC659" s="268"/>
      <c r="PJD659" s="268"/>
      <c r="PJE659" s="268"/>
      <c r="PJF659" s="268"/>
      <c r="PJG659" s="268"/>
      <c r="PJH659" s="268"/>
      <c r="PJI659" s="268"/>
      <c r="PJJ659" s="268"/>
      <c r="PJK659" s="268"/>
      <c r="PJL659" s="268"/>
      <c r="PJM659" s="268"/>
      <c r="PJN659" s="268"/>
      <c r="PJO659" s="268"/>
      <c r="PJP659" s="268"/>
      <c r="PJQ659" s="268"/>
      <c r="PJR659" s="268"/>
      <c r="PJS659" s="268"/>
      <c r="PJT659" s="268"/>
      <c r="PJU659" s="268"/>
      <c r="PJV659" s="268"/>
      <c r="PJW659" s="268"/>
      <c r="PJX659" s="268"/>
      <c r="PJY659" s="268"/>
      <c r="PJZ659" s="268"/>
      <c r="PKA659" s="268"/>
      <c r="PKB659" s="268"/>
      <c r="PKC659" s="268"/>
      <c r="PKD659" s="268"/>
      <c r="PKE659" s="268"/>
      <c r="PKF659" s="268"/>
      <c r="PKG659" s="268"/>
      <c r="PKH659" s="268"/>
      <c r="PKI659" s="268"/>
      <c r="PKJ659" s="268"/>
      <c r="PKK659" s="268"/>
      <c r="PKL659" s="268"/>
      <c r="PKM659" s="268"/>
      <c r="PKN659" s="268"/>
      <c r="PKO659" s="268"/>
      <c r="PKP659" s="268"/>
      <c r="PKQ659" s="268"/>
      <c r="PKR659" s="268"/>
      <c r="PKS659" s="268"/>
      <c r="PKT659" s="268"/>
      <c r="PKU659" s="268"/>
      <c r="PKV659" s="268"/>
      <c r="PKW659" s="268"/>
      <c r="PKX659" s="268"/>
      <c r="PKY659" s="268"/>
      <c r="PKZ659" s="268"/>
      <c r="PLA659" s="268"/>
      <c r="PLB659" s="268"/>
      <c r="PLC659" s="268"/>
      <c r="PLD659" s="268"/>
      <c r="PLE659" s="268"/>
      <c r="PLF659" s="268"/>
      <c r="PLG659" s="268"/>
      <c r="PLH659" s="268"/>
      <c r="PLI659" s="268"/>
      <c r="PLJ659" s="268"/>
      <c r="PLK659" s="268"/>
      <c r="PLL659" s="268"/>
      <c r="PLM659" s="268"/>
      <c r="PLN659" s="268"/>
      <c r="PLO659" s="268"/>
      <c r="PLP659" s="268"/>
      <c r="PLQ659" s="268"/>
      <c r="PLR659" s="268"/>
      <c r="PLS659" s="268"/>
      <c r="PLT659" s="268"/>
      <c r="PLU659" s="268"/>
      <c r="PLV659" s="268"/>
      <c r="PLW659" s="268"/>
      <c r="PLX659" s="268"/>
      <c r="PLY659" s="268"/>
      <c r="PLZ659" s="268"/>
      <c r="PMA659" s="268"/>
      <c r="PMB659" s="268"/>
      <c r="PMC659" s="268"/>
      <c r="PMD659" s="268"/>
      <c r="PME659" s="268"/>
      <c r="PMF659" s="268"/>
      <c r="PMG659" s="268"/>
      <c r="PMH659" s="268"/>
      <c r="PMI659" s="268"/>
      <c r="PMJ659" s="268"/>
      <c r="PMK659" s="268"/>
      <c r="PML659" s="268"/>
      <c r="PMM659" s="268"/>
      <c r="PMN659" s="268"/>
      <c r="PMO659" s="268"/>
      <c r="PMP659" s="268"/>
      <c r="PMQ659" s="268"/>
      <c r="PMR659" s="268"/>
      <c r="PMS659" s="268"/>
      <c r="PMT659" s="268"/>
      <c r="PMU659" s="268"/>
      <c r="PMV659" s="268"/>
      <c r="PMW659" s="268"/>
      <c r="PMX659" s="268"/>
      <c r="PMY659" s="268"/>
      <c r="PMZ659" s="268"/>
      <c r="PNA659" s="268"/>
      <c r="PNB659" s="268"/>
      <c r="PNC659" s="268"/>
      <c r="PND659" s="268"/>
      <c r="PNE659" s="268"/>
      <c r="PNF659" s="268"/>
      <c r="PNG659" s="268"/>
      <c r="PNH659" s="268"/>
      <c r="PNI659" s="268"/>
      <c r="PNJ659" s="268"/>
      <c r="PNK659" s="268"/>
      <c r="PNL659" s="268"/>
      <c r="PNM659" s="268"/>
      <c r="PNN659" s="268"/>
      <c r="PNO659" s="268"/>
      <c r="PNP659" s="268"/>
      <c r="PNQ659" s="268"/>
      <c r="PNR659" s="268"/>
      <c r="PNS659" s="268"/>
      <c r="PNT659" s="268"/>
      <c r="PNU659" s="268"/>
      <c r="PNV659" s="268"/>
      <c r="PNW659" s="268"/>
      <c r="PNX659" s="268"/>
      <c r="PNY659" s="268"/>
      <c r="PNZ659" s="268"/>
      <c r="POA659" s="268"/>
      <c r="POB659" s="268"/>
      <c r="POC659" s="268"/>
      <c r="POD659" s="268"/>
      <c r="POE659" s="268"/>
      <c r="POF659" s="268"/>
      <c r="POG659" s="268"/>
      <c r="POH659" s="268"/>
      <c r="POI659" s="268"/>
      <c r="POJ659" s="268"/>
      <c r="POK659" s="268"/>
      <c r="POL659" s="268"/>
      <c r="POM659" s="268"/>
      <c r="PON659" s="268"/>
      <c r="POO659" s="268"/>
      <c r="POP659" s="268"/>
      <c r="POQ659" s="268"/>
      <c r="POR659" s="268"/>
      <c r="POS659" s="268"/>
      <c r="POT659" s="268"/>
      <c r="POU659" s="268"/>
      <c r="POV659" s="268"/>
      <c r="POW659" s="268"/>
      <c r="POX659" s="268"/>
      <c r="POY659" s="268"/>
      <c r="POZ659" s="268"/>
      <c r="PPA659" s="268"/>
      <c r="PPB659" s="268"/>
      <c r="PPC659" s="268"/>
      <c r="PPD659" s="268"/>
      <c r="PPE659" s="268"/>
      <c r="PPF659" s="268"/>
      <c r="PPG659" s="268"/>
      <c r="PPH659" s="268"/>
      <c r="PPI659" s="268"/>
      <c r="PPJ659" s="268"/>
      <c r="PPK659" s="268"/>
      <c r="PPL659" s="268"/>
      <c r="PPM659" s="268"/>
      <c r="PPN659" s="268"/>
      <c r="PPO659" s="268"/>
      <c r="PPP659" s="268"/>
      <c r="PPQ659" s="268"/>
      <c r="PPR659" s="268"/>
      <c r="PPS659" s="268"/>
      <c r="PPT659" s="268"/>
      <c r="PPU659" s="268"/>
      <c r="PPV659" s="268"/>
      <c r="PPW659" s="268"/>
      <c r="PQK659" s="268"/>
      <c r="PQL659" s="268"/>
      <c r="PQM659" s="268"/>
      <c r="PRA659" s="268"/>
      <c r="PRC659" s="268"/>
      <c r="PRD659" s="268"/>
      <c r="PRE659" s="268"/>
      <c r="PRF659" s="268"/>
      <c r="PRG659" s="268"/>
      <c r="PRH659" s="268"/>
      <c r="PRI659" s="268"/>
      <c r="PRJ659" s="268"/>
      <c r="PRK659" s="268"/>
      <c r="PRL659" s="268"/>
      <c r="PRM659" s="268"/>
      <c r="PRN659" s="268"/>
      <c r="PRO659" s="268"/>
      <c r="PRP659" s="268"/>
      <c r="PRQ659" s="268"/>
      <c r="PRR659" s="268"/>
      <c r="PRS659" s="268"/>
      <c r="PRT659" s="268"/>
      <c r="PRU659" s="268"/>
      <c r="PRV659" s="268"/>
      <c r="PRW659" s="268"/>
      <c r="PRX659" s="268"/>
      <c r="PRY659" s="268"/>
      <c r="PRZ659" s="268"/>
      <c r="PSA659" s="268"/>
      <c r="PSB659" s="268"/>
      <c r="PSC659" s="268"/>
      <c r="PSD659" s="268"/>
      <c r="PSE659" s="268"/>
      <c r="PSF659" s="268"/>
      <c r="PSG659" s="268"/>
      <c r="PSH659" s="268"/>
      <c r="PSI659" s="268"/>
      <c r="PSJ659" s="268"/>
      <c r="PSK659" s="268"/>
      <c r="PSL659" s="268"/>
      <c r="PSM659" s="268"/>
      <c r="PSN659" s="268"/>
      <c r="PSO659" s="268"/>
      <c r="PSP659" s="268"/>
      <c r="PSQ659" s="268"/>
      <c r="PSR659" s="268"/>
      <c r="PSS659" s="268"/>
      <c r="PST659" s="268"/>
      <c r="PSU659" s="268"/>
      <c r="PSV659" s="268"/>
      <c r="PSW659" s="268"/>
      <c r="PSX659" s="268"/>
      <c r="PSY659" s="268"/>
      <c r="PSZ659" s="268"/>
      <c r="PTA659" s="268"/>
      <c r="PTB659" s="268"/>
      <c r="PTC659" s="268"/>
      <c r="PTD659" s="268"/>
      <c r="PTE659" s="268"/>
      <c r="PTF659" s="268"/>
      <c r="PTG659" s="268"/>
      <c r="PTH659" s="268"/>
      <c r="PTI659" s="268"/>
      <c r="PTJ659" s="268"/>
      <c r="PTK659" s="268"/>
      <c r="PTL659" s="268"/>
      <c r="PTM659" s="268"/>
      <c r="PTN659" s="268"/>
      <c r="PTO659" s="268"/>
      <c r="PTP659" s="268"/>
      <c r="PTQ659" s="268"/>
      <c r="PTR659" s="268"/>
      <c r="PTS659" s="268"/>
      <c r="PTT659" s="268"/>
      <c r="PTU659" s="268"/>
      <c r="PTV659" s="268"/>
      <c r="PTW659" s="268"/>
      <c r="PTX659" s="268"/>
      <c r="PTY659" s="268"/>
      <c r="PTZ659" s="268"/>
      <c r="PUA659" s="268"/>
      <c r="PUB659" s="268"/>
      <c r="PUC659" s="268"/>
      <c r="PUD659" s="268"/>
      <c r="PUE659" s="268"/>
      <c r="PUF659" s="268"/>
      <c r="PUG659" s="268"/>
      <c r="PUH659" s="268"/>
      <c r="PUI659" s="268"/>
      <c r="PUJ659" s="268"/>
      <c r="PUK659" s="268"/>
      <c r="PUL659" s="268"/>
      <c r="PUM659" s="268"/>
      <c r="PUN659" s="268"/>
      <c r="PUO659" s="268"/>
      <c r="PUP659" s="268"/>
      <c r="PUQ659" s="268"/>
      <c r="PUR659" s="268"/>
      <c r="PUS659" s="268"/>
      <c r="PUT659" s="268"/>
      <c r="PUU659" s="268"/>
      <c r="PUV659" s="268"/>
      <c r="PUW659" s="268"/>
      <c r="PUX659" s="268"/>
      <c r="PUY659" s="268"/>
      <c r="PUZ659" s="268"/>
      <c r="PVA659" s="268"/>
      <c r="PVB659" s="268"/>
      <c r="PVC659" s="268"/>
      <c r="PVD659" s="268"/>
      <c r="PVE659" s="268"/>
      <c r="PVF659" s="268"/>
      <c r="PVG659" s="268"/>
      <c r="PVH659" s="268"/>
      <c r="PVI659" s="268"/>
      <c r="PVJ659" s="268"/>
      <c r="PVK659" s="268"/>
      <c r="PVL659" s="268"/>
      <c r="PVM659" s="268"/>
      <c r="PVN659" s="268"/>
      <c r="PVO659" s="268"/>
      <c r="PVP659" s="268"/>
      <c r="PVQ659" s="268"/>
      <c r="PVR659" s="268"/>
      <c r="PVS659" s="268"/>
      <c r="PVT659" s="268"/>
      <c r="PVU659" s="268"/>
      <c r="PVV659" s="268"/>
      <c r="PVW659" s="268"/>
      <c r="PVX659" s="268"/>
      <c r="PVY659" s="268"/>
      <c r="PVZ659" s="268"/>
      <c r="PWA659" s="268"/>
      <c r="PWB659" s="268"/>
      <c r="PWC659" s="268"/>
      <c r="PWD659" s="268"/>
      <c r="PWE659" s="268"/>
      <c r="PWF659" s="268"/>
      <c r="PWG659" s="268"/>
      <c r="PWH659" s="268"/>
      <c r="PWI659" s="268"/>
      <c r="PWJ659" s="268"/>
      <c r="PWK659" s="268"/>
      <c r="PWL659" s="268"/>
      <c r="PWM659" s="268"/>
      <c r="PWN659" s="268"/>
      <c r="PWO659" s="268"/>
      <c r="PWP659" s="268"/>
      <c r="PWQ659" s="268"/>
      <c r="PWR659" s="268"/>
      <c r="PWS659" s="268"/>
      <c r="PWT659" s="268"/>
      <c r="PWU659" s="268"/>
      <c r="PWV659" s="268"/>
      <c r="PWW659" s="268"/>
      <c r="PWX659" s="268"/>
      <c r="PWY659" s="268"/>
      <c r="PWZ659" s="268"/>
      <c r="PXA659" s="268"/>
      <c r="PXB659" s="268"/>
      <c r="PXC659" s="268"/>
      <c r="PXD659" s="268"/>
      <c r="PXE659" s="268"/>
      <c r="PXF659" s="268"/>
      <c r="PXG659" s="268"/>
      <c r="PXH659" s="268"/>
      <c r="PXI659" s="268"/>
      <c r="PXJ659" s="268"/>
      <c r="PXK659" s="268"/>
      <c r="PXL659" s="268"/>
      <c r="PXM659" s="268"/>
      <c r="PXN659" s="268"/>
      <c r="PXO659" s="268"/>
      <c r="PXP659" s="268"/>
      <c r="PXQ659" s="268"/>
      <c r="PXR659" s="268"/>
      <c r="PXS659" s="268"/>
      <c r="PXT659" s="268"/>
      <c r="PXU659" s="268"/>
      <c r="PXV659" s="268"/>
      <c r="PXW659" s="268"/>
      <c r="PXX659" s="268"/>
      <c r="PXY659" s="268"/>
      <c r="PXZ659" s="268"/>
      <c r="PYA659" s="268"/>
      <c r="PYB659" s="268"/>
      <c r="PYC659" s="268"/>
      <c r="PYD659" s="268"/>
      <c r="PYE659" s="268"/>
      <c r="PYF659" s="268"/>
      <c r="PYG659" s="268"/>
      <c r="PYH659" s="268"/>
      <c r="PYI659" s="268"/>
      <c r="PYJ659" s="268"/>
      <c r="PYK659" s="268"/>
      <c r="PYL659" s="268"/>
      <c r="PYM659" s="268"/>
      <c r="PYN659" s="268"/>
      <c r="PYO659" s="268"/>
      <c r="PYP659" s="268"/>
      <c r="PYQ659" s="268"/>
      <c r="PYR659" s="268"/>
      <c r="PYS659" s="268"/>
      <c r="PYT659" s="268"/>
      <c r="PYU659" s="268"/>
      <c r="PYV659" s="268"/>
      <c r="PYW659" s="268"/>
      <c r="PYX659" s="268"/>
      <c r="PYY659" s="268"/>
      <c r="PYZ659" s="268"/>
      <c r="PZA659" s="268"/>
      <c r="PZB659" s="268"/>
      <c r="PZC659" s="268"/>
      <c r="PZD659" s="268"/>
      <c r="PZE659" s="268"/>
      <c r="PZF659" s="268"/>
      <c r="PZG659" s="268"/>
      <c r="PZH659" s="268"/>
      <c r="PZI659" s="268"/>
      <c r="PZJ659" s="268"/>
      <c r="PZK659" s="268"/>
      <c r="PZL659" s="268"/>
      <c r="PZM659" s="268"/>
      <c r="PZN659" s="268"/>
      <c r="PZO659" s="268"/>
      <c r="PZP659" s="268"/>
      <c r="PZQ659" s="268"/>
      <c r="PZR659" s="268"/>
      <c r="PZS659" s="268"/>
      <c r="QAG659" s="268"/>
      <c r="QAH659" s="268"/>
      <c r="QAI659" s="268"/>
      <c r="QAW659" s="268"/>
      <c r="QAY659" s="268"/>
      <c r="QAZ659" s="268"/>
      <c r="QBA659" s="268"/>
      <c r="QBB659" s="268"/>
      <c r="QBC659" s="268"/>
      <c r="QBD659" s="268"/>
      <c r="QBE659" s="268"/>
      <c r="QBF659" s="268"/>
      <c r="QBG659" s="268"/>
      <c r="QBH659" s="268"/>
      <c r="QBI659" s="268"/>
      <c r="QBJ659" s="268"/>
      <c r="QBK659" s="268"/>
      <c r="QBL659" s="268"/>
      <c r="QBM659" s="268"/>
      <c r="QBN659" s="268"/>
      <c r="QBO659" s="268"/>
      <c r="QBP659" s="268"/>
      <c r="QBQ659" s="268"/>
      <c r="QBR659" s="268"/>
      <c r="QBS659" s="268"/>
      <c r="QBT659" s="268"/>
      <c r="QBU659" s="268"/>
      <c r="QBV659" s="268"/>
      <c r="QBW659" s="268"/>
      <c r="QBX659" s="268"/>
      <c r="QBY659" s="268"/>
      <c r="QBZ659" s="268"/>
      <c r="QCA659" s="268"/>
      <c r="QCB659" s="268"/>
      <c r="QCC659" s="268"/>
      <c r="QCD659" s="268"/>
      <c r="QCE659" s="268"/>
      <c r="QCF659" s="268"/>
      <c r="QCG659" s="268"/>
      <c r="QCH659" s="268"/>
      <c r="QCI659" s="268"/>
      <c r="QCJ659" s="268"/>
      <c r="QCK659" s="268"/>
      <c r="QCL659" s="268"/>
      <c r="QCM659" s="268"/>
      <c r="QCN659" s="268"/>
      <c r="QCO659" s="268"/>
      <c r="QCP659" s="268"/>
      <c r="QCQ659" s="268"/>
      <c r="QCR659" s="268"/>
      <c r="QCS659" s="268"/>
      <c r="QCT659" s="268"/>
      <c r="QCU659" s="268"/>
      <c r="QCV659" s="268"/>
      <c r="QCW659" s="268"/>
      <c r="QCX659" s="268"/>
      <c r="QCY659" s="268"/>
      <c r="QCZ659" s="268"/>
      <c r="QDA659" s="268"/>
      <c r="QDB659" s="268"/>
      <c r="QDC659" s="268"/>
      <c r="QDD659" s="268"/>
      <c r="QDE659" s="268"/>
      <c r="QDF659" s="268"/>
      <c r="QDG659" s="268"/>
      <c r="QDH659" s="268"/>
      <c r="QDI659" s="268"/>
      <c r="QDJ659" s="268"/>
      <c r="QDK659" s="268"/>
      <c r="QDL659" s="268"/>
      <c r="QDM659" s="268"/>
      <c r="QDN659" s="268"/>
      <c r="QDO659" s="268"/>
      <c r="QDP659" s="268"/>
      <c r="QDQ659" s="268"/>
      <c r="QDR659" s="268"/>
      <c r="QDS659" s="268"/>
      <c r="QDT659" s="268"/>
      <c r="QDU659" s="268"/>
      <c r="QDV659" s="268"/>
      <c r="QDW659" s="268"/>
      <c r="QDX659" s="268"/>
      <c r="QDY659" s="268"/>
      <c r="QDZ659" s="268"/>
      <c r="QEA659" s="268"/>
      <c r="QEB659" s="268"/>
      <c r="QEC659" s="268"/>
      <c r="QED659" s="268"/>
      <c r="QEE659" s="268"/>
      <c r="QEF659" s="268"/>
      <c r="QEG659" s="268"/>
      <c r="QEH659" s="268"/>
      <c r="QEI659" s="268"/>
      <c r="QEJ659" s="268"/>
      <c r="QEK659" s="268"/>
      <c r="QEL659" s="268"/>
      <c r="QEM659" s="268"/>
      <c r="QEN659" s="268"/>
      <c r="QEO659" s="268"/>
      <c r="QEP659" s="268"/>
      <c r="QEQ659" s="268"/>
      <c r="QER659" s="268"/>
      <c r="QES659" s="268"/>
      <c r="QET659" s="268"/>
      <c r="QEU659" s="268"/>
      <c r="QEV659" s="268"/>
      <c r="QEW659" s="268"/>
      <c r="QEX659" s="268"/>
      <c r="QEY659" s="268"/>
      <c r="QEZ659" s="268"/>
      <c r="QFA659" s="268"/>
      <c r="QFB659" s="268"/>
      <c r="QFC659" s="268"/>
      <c r="QFD659" s="268"/>
      <c r="QFE659" s="268"/>
      <c r="QFF659" s="268"/>
      <c r="QFG659" s="268"/>
      <c r="QFH659" s="268"/>
      <c r="QFI659" s="268"/>
      <c r="QFJ659" s="268"/>
      <c r="QFK659" s="268"/>
      <c r="QFL659" s="268"/>
      <c r="QFM659" s="268"/>
      <c r="QFN659" s="268"/>
      <c r="QFO659" s="268"/>
      <c r="QFP659" s="268"/>
      <c r="QFQ659" s="268"/>
      <c r="QFR659" s="268"/>
      <c r="QFS659" s="268"/>
      <c r="QFT659" s="268"/>
      <c r="QFU659" s="268"/>
      <c r="QFV659" s="268"/>
      <c r="QFW659" s="268"/>
      <c r="QFX659" s="268"/>
      <c r="QFY659" s="268"/>
      <c r="QFZ659" s="268"/>
      <c r="QGA659" s="268"/>
      <c r="QGB659" s="268"/>
      <c r="QGC659" s="268"/>
      <c r="QGD659" s="268"/>
      <c r="QGE659" s="268"/>
      <c r="QGF659" s="268"/>
      <c r="QGG659" s="268"/>
      <c r="QGH659" s="268"/>
      <c r="QGI659" s="268"/>
      <c r="QGJ659" s="268"/>
      <c r="QGK659" s="268"/>
      <c r="QGL659" s="268"/>
      <c r="QGM659" s="268"/>
      <c r="QGN659" s="268"/>
      <c r="QGO659" s="268"/>
      <c r="QGP659" s="268"/>
      <c r="QGQ659" s="268"/>
      <c r="QGR659" s="268"/>
      <c r="QGS659" s="268"/>
      <c r="QGT659" s="268"/>
      <c r="QGU659" s="268"/>
      <c r="QGV659" s="268"/>
      <c r="QGW659" s="268"/>
      <c r="QGX659" s="268"/>
      <c r="QGY659" s="268"/>
      <c r="QGZ659" s="268"/>
      <c r="QHA659" s="268"/>
      <c r="QHB659" s="268"/>
      <c r="QHC659" s="268"/>
      <c r="QHD659" s="268"/>
      <c r="QHE659" s="268"/>
      <c r="QHF659" s="268"/>
      <c r="QHG659" s="268"/>
      <c r="QHH659" s="268"/>
      <c r="QHI659" s="268"/>
      <c r="QHJ659" s="268"/>
      <c r="QHK659" s="268"/>
      <c r="QHL659" s="268"/>
      <c r="QHM659" s="268"/>
      <c r="QHN659" s="268"/>
      <c r="QHO659" s="268"/>
      <c r="QHP659" s="268"/>
      <c r="QHQ659" s="268"/>
      <c r="QHR659" s="268"/>
      <c r="QHS659" s="268"/>
      <c r="QHT659" s="268"/>
      <c r="QHU659" s="268"/>
      <c r="QHV659" s="268"/>
      <c r="QHW659" s="268"/>
      <c r="QHX659" s="268"/>
      <c r="QHY659" s="268"/>
      <c r="QHZ659" s="268"/>
      <c r="QIA659" s="268"/>
      <c r="QIB659" s="268"/>
      <c r="QIC659" s="268"/>
      <c r="QID659" s="268"/>
      <c r="QIE659" s="268"/>
      <c r="QIF659" s="268"/>
      <c r="QIG659" s="268"/>
      <c r="QIH659" s="268"/>
      <c r="QII659" s="268"/>
      <c r="QIJ659" s="268"/>
      <c r="QIK659" s="268"/>
      <c r="QIL659" s="268"/>
      <c r="QIM659" s="268"/>
      <c r="QIN659" s="268"/>
      <c r="QIO659" s="268"/>
      <c r="QIP659" s="268"/>
      <c r="QIQ659" s="268"/>
      <c r="QIR659" s="268"/>
      <c r="QIS659" s="268"/>
      <c r="QIT659" s="268"/>
      <c r="QIU659" s="268"/>
      <c r="QIV659" s="268"/>
      <c r="QIW659" s="268"/>
      <c r="QIX659" s="268"/>
      <c r="QIY659" s="268"/>
      <c r="QIZ659" s="268"/>
      <c r="QJA659" s="268"/>
      <c r="QJB659" s="268"/>
      <c r="QJC659" s="268"/>
      <c r="QJD659" s="268"/>
      <c r="QJE659" s="268"/>
      <c r="QJF659" s="268"/>
      <c r="QJG659" s="268"/>
      <c r="QJH659" s="268"/>
      <c r="QJI659" s="268"/>
      <c r="QJJ659" s="268"/>
      <c r="QJK659" s="268"/>
      <c r="QJL659" s="268"/>
      <c r="QJM659" s="268"/>
      <c r="QJN659" s="268"/>
      <c r="QJO659" s="268"/>
      <c r="QKC659" s="268"/>
      <c r="QKD659" s="268"/>
      <c r="QKE659" s="268"/>
      <c r="QKS659" s="268"/>
      <c r="QKU659" s="268"/>
      <c r="QKV659" s="268"/>
      <c r="QKW659" s="268"/>
      <c r="QKX659" s="268"/>
      <c r="QKY659" s="268"/>
      <c r="QKZ659" s="268"/>
      <c r="QLA659" s="268"/>
      <c r="QLB659" s="268"/>
      <c r="QLC659" s="268"/>
      <c r="QLD659" s="268"/>
      <c r="QLE659" s="268"/>
      <c r="QLF659" s="268"/>
      <c r="QLG659" s="268"/>
      <c r="QLH659" s="268"/>
      <c r="QLI659" s="268"/>
      <c r="QLJ659" s="268"/>
      <c r="QLK659" s="268"/>
      <c r="QLL659" s="268"/>
      <c r="QLM659" s="268"/>
      <c r="QLN659" s="268"/>
      <c r="QLO659" s="268"/>
      <c r="QLP659" s="268"/>
      <c r="QLQ659" s="268"/>
      <c r="QLR659" s="268"/>
      <c r="QLS659" s="268"/>
      <c r="QLT659" s="268"/>
      <c r="QLU659" s="268"/>
      <c r="QLV659" s="268"/>
      <c r="QLW659" s="268"/>
      <c r="QLX659" s="268"/>
      <c r="QLY659" s="268"/>
      <c r="QLZ659" s="268"/>
      <c r="QMA659" s="268"/>
      <c r="QMB659" s="268"/>
      <c r="QMC659" s="268"/>
      <c r="QMD659" s="268"/>
      <c r="QME659" s="268"/>
      <c r="QMF659" s="268"/>
      <c r="QMG659" s="268"/>
      <c r="QMH659" s="268"/>
      <c r="QMI659" s="268"/>
      <c r="QMJ659" s="268"/>
      <c r="QMK659" s="268"/>
      <c r="QML659" s="268"/>
      <c r="QMM659" s="268"/>
      <c r="QMN659" s="268"/>
      <c r="QMO659" s="268"/>
      <c r="QMP659" s="268"/>
      <c r="QMQ659" s="268"/>
      <c r="QMR659" s="268"/>
      <c r="QMS659" s="268"/>
      <c r="QMT659" s="268"/>
      <c r="QMU659" s="268"/>
      <c r="QMV659" s="268"/>
      <c r="QMW659" s="268"/>
      <c r="QMX659" s="268"/>
      <c r="QMY659" s="268"/>
      <c r="QMZ659" s="268"/>
      <c r="QNA659" s="268"/>
      <c r="QNB659" s="268"/>
      <c r="QNC659" s="268"/>
      <c r="QND659" s="268"/>
      <c r="QNE659" s="268"/>
      <c r="QNF659" s="268"/>
      <c r="QNG659" s="268"/>
      <c r="QNH659" s="268"/>
      <c r="QNI659" s="268"/>
      <c r="QNJ659" s="268"/>
      <c r="QNK659" s="268"/>
      <c r="QNL659" s="268"/>
      <c r="QNM659" s="268"/>
      <c r="QNN659" s="268"/>
      <c r="QNO659" s="268"/>
      <c r="QNP659" s="268"/>
      <c r="QNQ659" s="268"/>
      <c r="QNR659" s="268"/>
      <c r="QNS659" s="268"/>
      <c r="QNT659" s="268"/>
      <c r="QNU659" s="268"/>
      <c r="QNV659" s="268"/>
      <c r="QNW659" s="268"/>
      <c r="QNX659" s="268"/>
      <c r="QNY659" s="268"/>
      <c r="QNZ659" s="268"/>
      <c r="QOA659" s="268"/>
      <c r="QOB659" s="268"/>
      <c r="QOC659" s="268"/>
      <c r="QOD659" s="268"/>
      <c r="QOE659" s="268"/>
      <c r="QOF659" s="268"/>
      <c r="QOG659" s="268"/>
      <c r="QOH659" s="268"/>
      <c r="QOI659" s="268"/>
      <c r="QOJ659" s="268"/>
      <c r="QOK659" s="268"/>
      <c r="QOL659" s="268"/>
      <c r="QOM659" s="268"/>
      <c r="QON659" s="268"/>
      <c r="QOO659" s="268"/>
      <c r="QOP659" s="268"/>
      <c r="QOQ659" s="268"/>
      <c r="QOR659" s="268"/>
      <c r="QOS659" s="268"/>
      <c r="QOT659" s="268"/>
      <c r="QOU659" s="268"/>
      <c r="QOV659" s="268"/>
      <c r="QOW659" s="268"/>
      <c r="QOX659" s="268"/>
      <c r="QOY659" s="268"/>
      <c r="QOZ659" s="268"/>
      <c r="QPA659" s="268"/>
      <c r="QPB659" s="268"/>
      <c r="QPC659" s="268"/>
      <c r="QPD659" s="268"/>
      <c r="QPE659" s="268"/>
      <c r="QPF659" s="268"/>
      <c r="QPG659" s="268"/>
      <c r="QPH659" s="268"/>
      <c r="QPI659" s="268"/>
      <c r="QPJ659" s="268"/>
      <c r="QPK659" s="268"/>
      <c r="QPL659" s="268"/>
      <c r="QPM659" s="268"/>
      <c r="QPN659" s="268"/>
      <c r="QPO659" s="268"/>
      <c r="QPP659" s="268"/>
      <c r="QPQ659" s="268"/>
      <c r="QPR659" s="268"/>
      <c r="QPS659" s="268"/>
      <c r="QPT659" s="268"/>
      <c r="QPU659" s="268"/>
      <c r="QPV659" s="268"/>
      <c r="QPW659" s="268"/>
      <c r="QPX659" s="268"/>
      <c r="QPY659" s="268"/>
      <c r="QPZ659" s="268"/>
      <c r="QQA659" s="268"/>
      <c r="QQB659" s="268"/>
      <c r="QQC659" s="268"/>
      <c r="QQD659" s="268"/>
      <c r="QQE659" s="268"/>
      <c r="QQF659" s="268"/>
      <c r="QQG659" s="268"/>
      <c r="QQH659" s="268"/>
      <c r="QQI659" s="268"/>
      <c r="QQJ659" s="268"/>
      <c r="QQK659" s="268"/>
      <c r="QQL659" s="268"/>
      <c r="QQM659" s="268"/>
      <c r="QQN659" s="268"/>
      <c r="QQO659" s="268"/>
      <c r="QQP659" s="268"/>
      <c r="QQQ659" s="268"/>
      <c r="QQR659" s="268"/>
      <c r="QQS659" s="268"/>
      <c r="QQT659" s="268"/>
      <c r="QQU659" s="268"/>
      <c r="QQV659" s="268"/>
      <c r="QQW659" s="268"/>
      <c r="QQX659" s="268"/>
      <c r="QQY659" s="268"/>
      <c r="QQZ659" s="268"/>
      <c r="QRA659" s="268"/>
      <c r="QRB659" s="268"/>
      <c r="QRC659" s="268"/>
      <c r="QRD659" s="268"/>
      <c r="QRE659" s="268"/>
      <c r="QRF659" s="268"/>
      <c r="QRG659" s="268"/>
      <c r="QRH659" s="268"/>
      <c r="QRI659" s="268"/>
      <c r="QRJ659" s="268"/>
      <c r="QRK659" s="268"/>
      <c r="QRL659" s="268"/>
      <c r="QRM659" s="268"/>
      <c r="QRN659" s="268"/>
      <c r="QRO659" s="268"/>
      <c r="QRP659" s="268"/>
      <c r="QRQ659" s="268"/>
      <c r="QRR659" s="268"/>
      <c r="QRS659" s="268"/>
      <c r="QRT659" s="268"/>
      <c r="QRU659" s="268"/>
      <c r="QRV659" s="268"/>
      <c r="QRW659" s="268"/>
      <c r="QRX659" s="268"/>
      <c r="QRY659" s="268"/>
      <c r="QRZ659" s="268"/>
      <c r="QSA659" s="268"/>
      <c r="QSB659" s="268"/>
      <c r="QSC659" s="268"/>
      <c r="QSD659" s="268"/>
      <c r="QSE659" s="268"/>
      <c r="QSF659" s="268"/>
      <c r="QSG659" s="268"/>
      <c r="QSH659" s="268"/>
      <c r="QSI659" s="268"/>
      <c r="QSJ659" s="268"/>
      <c r="QSK659" s="268"/>
      <c r="QSL659" s="268"/>
      <c r="QSM659" s="268"/>
      <c r="QSN659" s="268"/>
      <c r="QSO659" s="268"/>
      <c r="QSP659" s="268"/>
      <c r="QSQ659" s="268"/>
      <c r="QSR659" s="268"/>
      <c r="QSS659" s="268"/>
      <c r="QST659" s="268"/>
      <c r="QSU659" s="268"/>
      <c r="QSV659" s="268"/>
      <c r="QSW659" s="268"/>
      <c r="QSX659" s="268"/>
      <c r="QSY659" s="268"/>
      <c r="QSZ659" s="268"/>
      <c r="QTA659" s="268"/>
      <c r="QTB659" s="268"/>
      <c r="QTC659" s="268"/>
      <c r="QTD659" s="268"/>
      <c r="QTE659" s="268"/>
      <c r="QTF659" s="268"/>
      <c r="QTG659" s="268"/>
      <c r="QTH659" s="268"/>
      <c r="QTI659" s="268"/>
      <c r="QTJ659" s="268"/>
      <c r="QTK659" s="268"/>
      <c r="QTY659" s="268"/>
      <c r="QTZ659" s="268"/>
      <c r="QUA659" s="268"/>
      <c r="QUO659" s="268"/>
      <c r="QUQ659" s="268"/>
      <c r="QUR659" s="268"/>
      <c r="QUS659" s="268"/>
      <c r="QUT659" s="268"/>
      <c r="QUU659" s="268"/>
      <c r="QUV659" s="268"/>
      <c r="QUW659" s="268"/>
      <c r="QUX659" s="268"/>
      <c r="QUY659" s="268"/>
      <c r="QUZ659" s="268"/>
      <c r="QVA659" s="268"/>
      <c r="QVB659" s="268"/>
      <c r="QVC659" s="268"/>
      <c r="QVD659" s="268"/>
      <c r="QVE659" s="268"/>
      <c r="QVF659" s="268"/>
      <c r="QVG659" s="268"/>
      <c r="QVH659" s="268"/>
      <c r="QVI659" s="268"/>
      <c r="QVJ659" s="268"/>
      <c r="QVK659" s="268"/>
      <c r="QVL659" s="268"/>
      <c r="QVM659" s="268"/>
      <c r="QVN659" s="268"/>
      <c r="QVO659" s="268"/>
      <c r="QVP659" s="268"/>
      <c r="QVQ659" s="268"/>
      <c r="QVR659" s="268"/>
      <c r="QVS659" s="268"/>
      <c r="QVT659" s="268"/>
      <c r="QVU659" s="268"/>
      <c r="QVV659" s="268"/>
      <c r="QVW659" s="268"/>
      <c r="QVX659" s="268"/>
      <c r="QVY659" s="268"/>
      <c r="QVZ659" s="268"/>
      <c r="QWA659" s="268"/>
      <c r="QWB659" s="268"/>
      <c r="QWC659" s="268"/>
      <c r="QWD659" s="268"/>
      <c r="QWE659" s="268"/>
      <c r="QWF659" s="268"/>
      <c r="QWG659" s="268"/>
      <c r="QWH659" s="268"/>
      <c r="QWI659" s="268"/>
      <c r="QWJ659" s="268"/>
      <c r="QWK659" s="268"/>
      <c r="QWL659" s="268"/>
      <c r="QWM659" s="268"/>
      <c r="QWN659" s="268"/>
      <c r="QWO659" s="268"/>
      <c r="QWP659" s="268"/>
      <c r="QWQ659" s="268"/>
      <c r="QWR659" s="268"/>
      <c r="QWS659" s="268"/>
      <c r="QWT659" s="268"/>
      <c r="QWU659" s="268"/>
      <c r="QWV659" s="268"/>
      <c r="QWW659" s="268"/>
      <c r="QWX659" s="268"/>
      <c r="QWY659" s="268"/>
      <c r="QWZ659" s="268"/>
      <c r="QXA659" s="268"/>
      <c r="QXB659" s="268"/>
      <c r="QXC659" s="268"/>
      <c r="QXD659" s="268"/>
      <c r="QXE659" s="268"/>
      <c r="QXF659" s="268"/>
      <c r="QXG659" s="268"/>
      <c r="QXH659" s="268"/>
      <c r="QXI659" s="268"/>
      <c r="QXJ659" s="268"/>
      <c r="QXK659" s="268"/>
      <c r="QXL659" s="268"/>
      <c r="QXM659" s="268"/>
      <c r="QXN659" s="268"/>
      <c r="QXO659" s="268"/>
      <c r="QXP659" s="268"/>
      <c r="QXQ659" s="268"/>
      <c r="QXR659" s="268"/>
      <c r="QXS659" s="268"/>
      <c r="QXT659" s="268"/>
      <c r="QXU659" s="268"/>
      <c r="QXV659" s="268"/>
      <c r="QXW659" s="268"/>
      <c r="QXX659" s="268"/>
      <c r="QXY659" s="268"/>
      <c r="QXZ659" s="268"/>
      <c r="QYA659" s="268"/>
      <c r="QYB659" s="268"/>
      <c r="QYC659" s="268"/>
      <c r="QYD659" s="268"/>
      <c r="QYE659" s="268"/>
      <c r="QYF659" s="268"/>
      <c r="QYG659" s="268"/>
      <c r="QYH659" s="268"/>
      <c r="QYI659" s="268"/>
      <c r="QYJ659" s="268"/>
      <c r="QYK659" s="268"/>
      <c r="QYL659" s="268"/>
      <c r="QYM659" s="268"/>
      <c r="QYN659" s="268"/>
      <c r="QYO659" s="268"/>
      <c r="QYP659" s="268"/>
      <c r="QYQ659" s="268"/>
      <c r="QYR659" s="268"/>
      <c r="QYS659" s="268"/>
      <c r="QYT659" s="268"/>
      <c r="QYU659" s="268"/>
      <c r="QYV659" s="268"/>
      <c r="QYW659" s="268"/>
      <c r="QYX659" s="268"/>
      <c r="QYY659" s="268"/>
      <c r="QYZ659" s="268"/>
      <c r="QZA659" s="268"/>
      <c r="QZB659" s="268"/>
      <c r="QZC659" s="268"/>
      <c r="QZD659" s="268"/>
      <c r="QZE659" s="268"/>
      <c r="QZF659" s="268"/>
      <c r="QZG659" s="268"/>
      <c r="QZH659" s="268"/>
      <c r="QZI659" s="268"/>
      <c r="QZJ659" s="268"/>
      <c r="QZK659" s="268"/>
      <c r="QZL659" s="268"/>
      <c r="QZM659" s="268"/>
      <c r="QZN659" s="268"/>
      <c r="QZO659" s="268"/>
      <c r="QZP659" s="268"/>
      <c r="QZQ659" s="268"/>
      <c r="QZR659" s="268"/>
      <c r="QZS659" s="268"/>
      <c r="QZT659" s="268"/>
      <c r="QZU659" s="268"/>
      <c r="QZV659" s="268"/>
      <c r="QZW659" s="268"/>
      <c r="QZX659" s="268"/>
      <c r="QZY659" s="268"/>
      <c r="QZZ659" s="268"/>
      <c r="RAA659" s="268"/>
      <c r="RAB659" s="268"/>
      <c r="RAC659" s="268"/>
      <c r="RAD659" s="268"/>
      <c r="RAE659" s="268"/>
      <c r="RAF659" s="268"/>
      <c r="RAG659" s="268"/>
      <c r="RAH659" s="268"/>
      <c r="RAI659" s="268"/>
      <c r="RAJ659" s="268"/>
      <c r="RAK659" s="268"/>
      <c r="RAL659" s="268"/>
      <c r="RAM659" s="268"/>
      <c r="RAN659" s="268"/>
      <c r="RAO659" s="268"/>
      <c r="RAP659" s="268"/>
      <c r="RAQ659" s="268"/>
      <c r="RAR659" s="268"/>
      <c r="RAS659" s="268"/>
      <c r="RAT659" s="268"/>
      <c r="RAU659" s="268"/>
      <c r="RAV659" s="268"/>
      <c r="RAW659" s="268"/>
      <c r="RAX659" s="268"/>
      <c r="RAY659" s="268"/>
      <c r="RAZ659" s="268"/>
      <c r="RBA659" s="268"/>
      <c r="RBB659" s="268"/>
      <c r="RBC659" s="268"/>
      <c r="RBD659" s="268"/>
      <c r="RBE659" s="268"/>
      <c r="RBF659" s="268"/>
      <c r="RBG659" s="268"/>
      <c r="RBH659" s="268"/>
      <c r="RBI659" s="268"/>
      <c r="RBJ659" s="268"/>
      <c r="RBK659" s="268"/>
      <c r="RBL659" s="268"/>
      <c r="RBM659" s="268"/>
      <c r="RBN659" s="268"/>
      <c r="RBO659" s="268"/>
      <c r="RBP659" s="268"/>
      <c r="RBQ659" s="268"/>
      <c r="RBR659" s="268"/>
      <c r="RBS659" s="268"/>
      <c r="RBT659" s="268"/>
      <c r="RBU659" s="268"/>
      <c r="RBV659" s="268"/>
      <c r="RBW659" s="268"/>
      <c r="RBX659" s="268"/>
      <c r="RBY659" s="268"/>
      <c r="RBZ659" s="268"/>
      <c r="RCA659" s="268"/>
      <c r="RCB659" s="268"/>
      <c r="RCC659" s="268"/>
      <c r="RCD659" s="268"/>
      <c r="RCE659" s="268"/>
      <c r="RCF659" s="268"/>
      <c r="RCG659" s="268"/>
      <c r="RCH659" s="268"/>
      <c r="RCI659" s="268"/>
      <c r="RCJ659" s="268"/>
      <c r="RCK659" s="268"/>
      <c r="RCL659" s="268"/>
      <c r="RCM659" s="268"/>
      <c r="RCN659" s="268"/>
      <c r="RCO659" s="268"/>
      <c r="RCP659" s="268"/>
      <c r="RCQ659" s="268"/>
      <c r="RCR659" s="268"/>
      <c r="RCS659" s="268"/>
      <c r="RCT659" s="268"/>
      <c r="RCU659" s="268"/>
      <c r="RCV659" s="268"/>
      <c r="RCW659" s="268"/>
      <c r="RCX659" s="268"/>
      <c r="RCY659" s="268"/>
      <c r="RCZ659" s="268"/>
      <c r="RDA659" s="268"/>
      <c r="RDB659" s="268"/>
      <c r="RDC659" s="268"/>
      <c r="RDD659" s="268"/>
      <c r="RDE659" s="268"/>
      <c r="RDF659" s="268"/>
      <c r="RDG659" s="268"/>
      <c r="RDU659" s="268"/>
      <c r="RDV659" s="268"/>
      <c r="RDW659" s="268"/>
      <c r="REK659" s="268"/>
      <c r="REM659" s="268"/>
      <c r="REN659" s="268"/>
      <c r="REO659" s="268"/>
      <c r="REP659" s="268"/>
      <c r="REQ659" s="268"/>
      <c r="RER659" s="268"/>
      <c r="RES659" s="268"/>
      <c r="RET659" s="268"/>
      <c r="REU659" s="268"/>
      <c r="REV659" s="268"/>
      <c r="REW659" s="268"/>
      <c r="REX659" s="268"/>
      <c r="REY659" s="268"/>
      <c r="REZ659" s="268"/>
      <c r="RFA659" s="268"/>
      <c r="RFB659" s="268"/>
      <c r="RFC659" s="268"/>
      <c r="RFD659" s="268"/>
      <c r="RFE659" s="268"/>
      <c r="RFF659" s="268"/>
      <c r="RFG659" s="268"/>
      <c r="RFH659" s="268"/>
      <c r="RFI659" s="268"/>
      <c r="RFJ659" s="268"/>
      <c r="RFK659" s="268"/>
      <c r="RFL659" s="268"/>
      <c r="RFM659" s="268"/>
      <c r="RFN659" s="268"/>
      <c r="RFO659" s="268"/>
      <c r="RFP659" s="268"/>
      <c r="RFQ659" s="268"/>
      <c r="RFR659" s="268"/>
      <c r="RFS659" s="268"/>
      <c r="RFT659" s="268"/>
      <c r="RFU659" s="268"/>
      <c r="RFV659" s="268"/>
      <c r="RFW659" s="268"/>
      <c r="RFX659" s="268"/>
      <c r="RFY659" s="268"/>
      <c r="RFZ659" s="268"/>
      <c r="RGA659" s="268"/>
      <c r="RGB659" s="268"/>
      <c r="RGC659" s="268"/>
      <c r="RGD659" s="268"/>
      <c r="RGE659" s="268"/>
      <c r="RGF659" s="268"/>
      <c r="RGG659" s="268"/>
      <c r="RGH659" s="268"/>
      <c r="RGI659" s="268"/>
      <c r="RGJ659" s="268"/>
      <c r="RGK659" s="268"/>
      <c r="RGL659" s="268"/>
      <c r="RGM659" s="268"/>
      <c r="RGN659" s="268"/>
      <c r="RGO659" s="268"/>
      <c r="RGP659" s="268"/>
      <c r="RGQ659" s="268"/>
      <c r="RGR659" s="268"/>
      <c r="RGS659" s="268"/>
      <c r="RGT659" s="268"/>
      <c r="RGU659" s="268"/>
      <c r="RGV659" s="268"/>
      <c r="RGW659" s="268"/>
      <c r="RGX659" s="268"/>
      <c r="RGY659" s="268"/>
      <c r="RGZ659" s="268"/>
      <c r="RHA659" s="268"/>
      <c r="RHB659" s="268"/>
      <c r="RHC659" s="268"/>
      <c r="RHD659" s="268"/>
      <c r="RHE659" s="268"/>
      <c r="RHF659" s="268"/>
      <c r="RHG659" s="268"/>
      <c r="RHH659" s="268"/>
      <c r="RHI659" s="268"/>
      <c r="RHJ659" s="268"/>
      <c r="RHK659" s="268"/>
      <c r="RHL659" s="268"/>
      <c r="RHM659" s="268"/>
      <c r="RHN659" s="268"/>
      <c r="RHO659" s="268"/>
      <c r="RHP659" s="268"/>
      <c r="RHQ659" s="268"/>
      <c r="RHR659" s="268"/>
      <c r="RHS659" s="268"/>
      <c r="RHT659" s="268"/>
      <c r="RHU659" s="268"/>
      <c r="RHV659" s="268"/>
      <c r="RHW659" s="268"/>
      <c r="RHX659" s="268"/>
      <c r="RHY659" s="268"/>
      <c r="RHZ659" s="268"/>
      <c r="RIA659" s="268"/>
      <c r="RIB659" s="268"/>
      <c r="RIC659" s="268"/>
      <c r="RID659" s="268"/>
      <c r="RIE659" s="268"/>
      <c r="RIF659" s="268"/>
      <c r="RIG659" s="268"/>
      <c r="RIH659" s="268"/>
      <c r="RII659" s="268"/>
      <c r="RIJ659" s="268"/>
      <c r="RIK659" s="268"/>
      <c r="RIL659" s="268"/>
      <c r="RIM659" s="268"/>
      <c r="RIN659" s="268"/>
      <c r="RIO659" s="268"/>
      <c r="RIP659" s="268"/>
      <c r="RIQ659" s="268"/>
      <c r="RIR659" s="268"/>
      <c r="RIS659" s="268"/>
      <c r="RIT659" s="268"/>
      <c r="RIU659" s="268"/>
      <c r="RIV659" s="268"/>
      <c r="RIW659" s="268"/>
      <c r="RIX659" s="268"/>
      <c r="RIY659" s="268"/>
      <c r="RIZ659" s="268"/>
      <c r="RJA659" s="268"/>
      <c r="RJB659" s="268"/>
      <c r="RJC659" s="268"/>
      <c r="RJD659" s="268"/>
      <c r="RJE659" s="268"/>
      <c r="RJF659" s="268"/>
      <c r="RJG659" s="268"/>
      <c r="RJH659" s="268"/>
      <c r="RJI659" s="268"/>
      <c r="RJJ659" s="268"/>
      <c r="RJK659" s="268"/>
      <c r="RJL659" s="268"/>
      <c r="RJM659" s="268"/>
      <c r="RJN659" s="268"/>
      <c r="RJO659" s="268"/>
      <c r="RJP659" s="268"/>
      <c r="RJQ659" s="268"/>
      <c r="RJR659" s="268"/>
      <c r="RJS659" s="268"/>
      <c r="RJT659" s="268"/>
      <c r="RJU659" s="268"/>
      <c r="RJV659" s="268"/>
      <c r="RJW659" s="268"/>
      <c r="RJX659" s="268"/>
      <c r="RJY659" s="268"/>
      <c r="RJZ659" s="268"/>
      <c r="RKA659" s="268"/>
      <c r="RKB659" s="268"/>
      <c r="RKC659" s="268"/>
      <c r="RKD659" s="268"/>
      <c r="RKE659" s="268"/>
      <c r="RKF659" s="268"/>
      <c r="RKG659" s="268"/>
      <c r="RKH659" s="268"/>
      <c r="RKI659" s="268"/>
      <c r="RKJ659" s="268"/>
      <c r="RKK659" s="268"/>
      <c r="RKL659" s="268"/>
      <c r="RKM659" s="268"/>
      <c r="RKN659" s="268"/>
      <c r="RKO659" s="268"/>
      <c r="RKP659" s="268"/>
      <c r="RKQ659" s="268"/>
      <c r="RKR659" s="268"/>
      <c r="RKS659" s="268"/>
      <c r="RKT659" s="268"/>
      <c r="RKU659" s="268"/>
      <c r="RKV659" s="268"/>
      <c r="RKW659" s="268"/>
      <c r="RKX659" s="268"/>
      <c r="RKY659" s="268"/>
      <c r="RKZ659" s="268"/>
      <c r="RLA659" s="268"/>
      <c r="RLB659" s="268"/>
      <c r="RLC659" s="268"/>
      <c r="RLD659" s="268"/>
      <c r="RLE659" s="268"/>
      <c r="RLF659" s="268"/>
      <c r="RLG659" s="268"/>
      <c r="RLH659" s="268"/>
      <c r="RLI659" s="268"/>
      <c r="RLJ659" s="268"/>
      <c r="RLK659" s="268"/>
      <c r="RLL659" s="268"/>
      <c r="RLM659" s="268"/>
      <c r="RLN659" s="268"/>
      <c r="RLO659" s="268"/>
      <c r="RLP659" s="268"/>
      <c r="RLQ659" s="268"/>
      <c r="RLR659" s="268"/>
      <c r="RLS659" s="268"/>
      <c r="RLT659" s="268"/>
      <c r="RLU659" s="268"/>
      <c r="RLV659" s="268"/>
      <c r="RLW659" s="268"/>
      <c r="RLX659" s="268"/>
      <c r="RLY659" s="268"/>
      <c r="RLZ659" s="268"/>
      <c r="RMA659" s="268"/>
      <c r="RMB659" s="268"/>
      <c r="RMC659" s="268"/>
      <c r="RMD659" s="268"/>
      <c r="RME659" s="268"/>
      <c r="RMF659" s="268"/>
      <c r="RMG659" s="268"/>
      <c r="RMH659" s="268"/>
      <c r="RMI659" s="268"/>
      <c r="RMJ659" s="268"/>
      <c r="RMK659" s="268"/>
      <c r="RML659" s="268"/>
      <c r="RMM659" s="268"/>
      <c r="RMN659" s="268"/>
      <c r="RMO659" s="268"/>
      <c r="RMP659" s="268"/>
      <c r="RMQ659" s="268"/>
      <c r="RMR659" s="268"/>
      <c r="RMS659" s="268"/>
      <c r="RMT659" s="268"/>
      <c r="RMU659" s="268"/>
      <c r="RMV659" s="268"/>
      <c r="RMW659" s="268"/>
      <c r="RMX659" s="268"/>
      <c r="RMY659" s="268"/>
      <c r="RMZ659" s="268"/>
      <c r="RNA659" s="268"/>
      <c r="RNB659" s="268"/>
      <c r="RNC659" s="268"/>
      <c r="RNQ659" s="268"/>
      <c r="RNR659" s="268"/>
      <c r="RNS659" s="268"/>
      <c r="ROG659" s="268"/>
      <c r="ROI659" s="268"/>
      <c r="ROJ659" s="268"/>
      <c r="ROK659" s="268"/>
      <c r="ROL659" s="268"/>
      <c r="ROM659" s="268"/>
      <c r="RON659" s="268"/>
      <c r="ROO659" s="268"/>
      <c r="ROP659" s="268"/>
      <c r="ROQ659" s="268"/>
      <c r="ROR659" s="268"/>
      <c r="ROS659" s="268"/>
      <c r="ROT659" s="268"/>
      <c r="ROU659" s="268"/>
      <c r="ROV659" s="268"/>
      <c r="ROW659" s="268"/>
      <c r="ROX659" s="268"/>
      <c r="ROY659" s="268"/>
      <c r="ROZ659" s="268"/>
      <c r="RPA659" s="268"/>
      <c r="RPB659" s="268"/>
      <c r="RPC659" s="268"/>
      <c r="RPD659" s="268"/>
      <c r="RPE659" s="268"/>
      <c r="RPF659" s="268"/>
      <c r="RPG659" s="268"/>
      <c r="RPH659" s="268"/>
      <c r="RPI659" s="268"/>
      <c r="RPJ659" s="268"/>
      <c r="RPK659" s="268"/>
      <c r="RPL659" s="268"/>
      <c r="RPM659" s="268"/>
      <c r="RPN659" s="268"/>
      <c r="RPO659" s="268"/>
      <c r="RPP659" s="268"/>
      <c r="RPQ659" s="268"/>
      <c r="RPR659" s="268"/>
      <c r="RPS659" s="268"/>
      <c r="RPT659" s="268"/>
      <c r="RPU659" s="268"/>
      <c r="RPV659" s="268"/>
      <c r="RPW659" s="268"/>
      <c r="RPX659" s="268"/>
      <c r="RPY659" s="268"/>
      <c r="RPZ659" s="268"/>
      <c r="RQA659" s="268"/>
      <c r="RQB659" s="268"/>
      <c r="RQC659" s="268"/>
      <c r="RQD659" s="268"/>
      <c r="RQE659" s="268"/>
      <c r="RQF659" s="268"/>
      <c r="RQG659" s="268"/>
      <c r="RQH659" s="268"/>
      <c r="RQI659" s="268"/>
      <c r="RQJ659" s="268"/>
      <c r="RQK659" s="268"/>
      <c r="RQL659" s="268"/>
      <c r="RQM659" s="268"/>
      <c r="RQN659" s="268"/>
      <c r="RQO659" s="268"/>
      <c r="RQP659" s="268"/>
      <c r="RQQ659" s="268"/>
      <c r="RQR659" s="268"/>
      <c r="RQS659" s="268"/>
      <c r="RQT659" s="268"/>
      <c r="RQU659" s="268"/>
      <c r="RQV659" s="268"/>
      <c r="RQW659" s="268"/>
      <c r="RQX659" s="268"/>
      <c r="RQY659" s="268"/>
      <c r="RQZ659" s="268"/>
      <c r="RRA659" s="268"/>
      <c r="RRB659" s="268"/>
      <c r="RRC659" s="268"/>
      <c r="RRD659" s="268"/>
      <c r="RRE659" s="268"/>
      <c r="RRF659" s="268"/>
      <c r="RRG659" s="268"/>
      <c r="RRH659" s="268"/>
      <c r="RRI659" s="268"/>
      <c r="RRJ659" s="268"/>
      <c r="RRK659" s="268"/>
      <c r="RRL659" s="268"/>
      <c r="RRM659" s="268"/>
      <c r="RRN659" s="268"/>
      <c r="RRO659" s="268"/>
      <c r="RRP659" s="268"/>
      <c r="RRQ659" s="268"/>
      <c r="RRR659" s="268"/>
      <c r="RRS659" s="268"/>
      <c r="RRT659" s="268"/>
      <c r="RRU659" s="268"/>
      <c r="RRV659" s="268"/>
      <c r="RRW659" s="268"/>
      <c r="RRX659" s="268"/>
      <c r="RRY659" s="268"/>
      <c r="RRZ659" s="268"/>
      <c r="RSA659" s="268"/>
      <c r="RSB659" s="268"/>
      <c r="RSC659" s="268"/>
      <c r="RSD659" s="268"/>
      <c r="RSE659" s="268"/>
      <c r="RSF659" s="268"/>
      <c r="RSG659" s="268"/>
      <c r="RSH659" s="268"/>
      <c r="RSI659" s="268"/>
      <c r="RSJ659" s="268"/>
      <c r="RSK659" s="268"/>
      <c r="RSL659" s="268"/>
      <c r="RSM659" s="268"/>
      <c r="RSN659" s="268"/>
      <c r="RSO659" s="268"/>
      <c r="RSP659" s="268"/>
      <c r="RSQ659" s="268"/>
      <c r="RSR659" s="268"/>
      <c r="RSS659" s="268"/>
      <c r="RST659" s="268"/>
      <c r="RSU659" s="268"/>
      <c r="RSV659" s="268"/>
      <c r="RSW659" s="268"/>
      <c r="RSX659" s="268"/>
      <c r="RSY659" s="268"/>
      <c r="RSZ659" s="268"/>
      <c r="RTA659" s="268"/>
      <c r="RTB659" s="268"/>
      <c r="RTC659" s="268"/>
      <c r="RTD659" s="268"/>
      <c r="RTE659" s="268"/>
      <c r="RTF659" s="268"/>
      <c r="RTG659" s="268"/>
      <c r="RTH659" s="268"/>
      <c r="RTI659" s="268"/>
      <c r="RTJ659" s="268"/>
      <c r="RTK659" s="268"/>
      <c r="RTL659" s="268"/>
      <c r="RTM659" s="268"/>
      <c r="RTN659" s="268"/>
      <c r="RTO659" s="268"/>
      <c r="RTP659" s="268"/>
      <c r="RTQ659" s="268"/>
      <c r="RTR659" s="268"/>
      <c r="RTS659" s="268"/>
      <c r="RTT659" s="268"/>
      <c r="RTU659" s="268"/>
      <c r="RTV659" s="268"/>
      <c r="RTW659" s="268"/>
      <c r="RTX659" s="268"/>
      <c r="RTY659" s="268"/>
      <c r="RTZ659" s="268"/>
      <c r="RUA659" s="268"/>
      <c r="RUB659" s="268"/>
      <c r="RUC659" s="268"/>
      <c r="RUD659" s="268"/>
      <c r="RUE659" s="268"/>
      <c r="RUF659" s="268"/>
      <c r="RUG659" s="268"/>
      <c r="RUH659" s="268"/>
      <c r="RUI659" s="268"/>
      <c r="RUJ659" s="268"/>
      <c r="RUK659" s="268"/>
      <c r="RUL659" s="268"/>
      <c r="RUM659" s="268"/>
      <c r="RUN659" s="268"/>
      <c r="RUO659" s="268"/>
      <c r="RUP659" s="268"/>
      <c r="RUQ659" s="268"/>
      <c r="RUR659" s="268"/>
      <c r="RUS659" s="268"/>
      <c r="RUT659" s="268"/>
      <c r="RUU659" s="268"/>
      <c r="RUV659" s="268"/>
      <c r="RUW659" s="268"/>
      <c r="RUX659" s="268"/>
      <c r="RUY659" s="268"/>
      <c r="RUZ659" s="268"/>
      <c r="RVA659" s="268"/>
      <c r="RVB659" s="268"/>
      <c r="RVC659" s="268"/>
      <c r="RVD659" s="268"/>
      <c r="RVE659" s="268"/>
      <c r="RVF659" s="268"/>
      <c r="RVG659" s="268"/>
      <c r="RVH659" s="268"/>
      <c r="RVI659" s="268"/>
      <c r="RVJ659" s="268"/>
      <c r="RVK659" s="268"/>
      <c r="RVL659" s="268"/>
      <c r="RVM659" s="268"/>
      <c r="RVN659" s="268"/>
      <c r="RVO659" s="268"/>
      <c r="RVP659" s="268"/>
      <c r="RVQ659" s="268"/>
      <c r="RVR659" s="268"/>
      <c r="RVS659" s="268"/>
      <c r="RVT659" s="268"/>
      <c r="RVU659" s="268"/>
      <c r="RVV659" s="268"/>
      <c r="RVW659" s="268"/>
      <c r="RVX659" s="268"/>
      <c r="RVY659" s="268"/>
      <c r="RVZ659" s="268"/>
      <c r="RWA659" s="268"/>
      <c r="RWB659" s="268"/>
      <c r="RWC659" s="268"/>
      <c r="RWD659" s="268"/>
      <c r="RWE659" s="268"/>
      <c r="RWF659" s="268"/>
      <c r="RWG659" s="268"/>
      <c r="RWH659" s="268"/>
      <c r="RWI659" s="268"/>
      <c r="RWJ659" s="268"/>
      <c r="RWK659" s="268"/>
      <c r="RWL659" s="268"/>
      <c r="RWM659" s="268"/>
      <c r="RWN659" s="268"/>
      <c r="RWO659" s="268"/>
      <c r="RWP659" s="268"/>
      <c r="RWQ659" s="268"/>
      <c r="RWR659" s="268"/>
      <c r="RWS659" s="268"/>
      <c r="RWT659" s="268"/>
      <c r="RWU659" s="268"/>
      <c r="RWV659" s="268"/>
      <c r="RWW659" s="268"/>
      <c r="RWX659" s="268"/>
      <c r="RWY659" s="268"/>
      <c r="RXM659" s="268"/>
      <c r="RXN659" s="268"/>
      <c r="RXO659" s="268"/>
      <c r="RYC659" s="268"/>
      <c r="RYE659" s="268"/>
      <c r="RYF659" s="268"/>
      <c r="RYG659" s="268"/>
      <c r="RYH659" s="268"/>
      <c r="RYI659" s="268"/>
      <c r="RYJ659" s="268"/>
      <c r="RYK659" s="268"/>
      <c r="RYL659" s="268"/>
      <c r="RYM659" s="268"/>
      <c r="RYN659" s="268"/>
      <c r="RYO659" s="268"/>
      <c r="RYP659" s="268"/>
      <c r="RYQ659" s="268"/>
      <c r="RYR659" s="268"/>
      <c r="RYS659" s="268"/>
      <c r="RYT659" s="268"/>
      <c r="RYU659" s="268"/>
      <c r="RYV659" s="268"/>
      <c r="RYW659" s="268"/>
      <c r="RYX659" s="268"/>
      <c r="RYY659" s="268"/>
      <c r="RYZ659" s="268"/>
      <c r="RZA659" s="268"/>
      <c r="RZB659" s="268"/>
      <c r="RZC659" s="268"/>
      <c r="RZD659" s="268"/>
      <c r="RZE659" s="268"/>
      <c r="RZF659" s="268"/>
      <c r="RZG659" s="268"/>
      <c r="RZH659" s="268"/>
      <c r="RZI659" s="268"/>
      <c r="RZJ659" s="268"/>
      <c r="RZK659" s="268"/>
      <c r="RZL659" s="268"/>
      <c r="RZM659" s="268"/>
      <c r="RZN659" s="268"/>
      <c r="RZO659" s="268"/>
      <c r="RZP659" s="268"/>
      <c r="RZQ659" s="268"/>
      <c r="RZR659" s="268"/>
      <c r="RZS659" s="268"/>
      <c r="RZT659" s="268"/>
      <c r="RZU659" s="268"/>
      <c r="RZV659" s="268"/>
      <c r="RZW659" s="268"/>
      <c r="RZX659" s="268"/>
      <c r="RZY659" s="268"/>
      <c r="RZZ659" s="268"/>
      <c r="SAA659" s="268"/>
      <c r="SAB659" s="268"/>
      <c r="SAC659" s="268"/>
      <c r="SAD659" s="268"/>
      <c r="SAE659" s="268"/>
      <c r="SAF659" s="268"/>
      <c r="SAG659" s="268"/>
      <c r="SAH659" s="268"/>
      <c r="SAI659" s="268"/>
      <c r="SAJ659" s="268"/>
      <c r="SAK659" s="268"/>
      <c r="SAL659" s="268"/>
      <c r="SAM659" s="268"/>
      <c r="SAN659" s="268"/>
      <c r="SAO659" s="268"/>
      <c r="SAP659" s="268"/>
      <c r="SAQ659" s="268"/>
      <c r="SAR659" s="268"/>
      <c r="SAS659" s="268"/>
      <c r="SAT659" s="268"/>
      <c r="SAU659" s="268"/>
      <c r="SAV659" s="268"/>
      <c r="SAW659" s="268"/>
      <c r="SAX659" s="268"/>
      <c r="SAY659" s="268"/>
      <c r="SAZ659" s="268"/>
      <c r="SBA659" s="268"/>
      <c r="SBB659" s="268"/>
      <c r="SBC659" s="268"/>
      <c r="SBD659" s="268"/>
      <c r="SBE659" s="268"/>
      <c r="SBF659" s="268"/>
      <c r="SBG659" s="268"/>
      <c r="SBH659" s="268"/>
      <c r="SBI659" s="268"/>
      <c r="SBJ659" s="268"/>
      <c r="SBK659" s="268"/>
      <c r="SBL659" s="268"/>
      <c r="SBM659" s="268"/>
      <c r="SBN659" s="268"/>
      <c r="SBO659" s="268"/>
      <c r="SBP659" s="268"/>
      <c r="SBQ659" s="268"/>
      <c r="SBR659" s="268"/>
      <c r="SBS659" s="268"/>
      <c r="SBT659" s="268"/>
      <c r="SBU659" s="268"/>
      <c r="SBV659" s="268"/>
      <c r="SBW659" s="268"/>
      <c r="SBX659" s="268"/>
      <c r="SBY659" s="268"/>
      <c r="SBZ659" s="268"/>
      <c r="SCA659" s="268"/>
      <c r="SCB659" s="268"/>
      <c r="SCC659" s="268"/>
      <c r="SCD659" s="268"/>
      <c r="SCE659" s="268"/>
      <c r="SCF659" s="268"/>
      <c r="SCG659" s="268"/>
      <c r="SCH659" s="268"/>
      <c r="SCI659" s="268"/>
      <c r="SCJ659" s="268"/>
      <c r="SCK659" s="268"/>
      <c r="SCL659" s="268"/>
      <c r="SCM659" s="268"/>
      <c r="SCN659" s="268"/>
      <c r="SCO659" s="268"/>
      <c r="SCP659" s="268"/>
      <c r="SCQ659" s="268"/>
      <c r="SCR659" s="268"/>
      <c r="SCS659" s="268"/>
      <c r="SCT659" s="268"/>
      <c r="SCU659" s="268"/>
      <c r="SCV659" s="268"/>
      <c r="SCW659" s="268"/>
      <c r="SCX659" s="268"/>
      <c r="SCY659" s="268"/>
      <c r="SCZ659" s="268"/>
      <c r="SDA659" s="268"/>
      <c r="SDB659" s="268"/>
      <c r="SDC659" s="268"/>
      <c r="SDD659" s="268"/>
      <c r="SDE659" s="268"/>
      <c r="SDF659" s="268"/>
      <c r="SDG659" s="268"/>
      <c r="SDH659" s="268"/>
      <c r="SDI659" s="268"/>
      <c r="SDJ659" s="268"/>
      <c r="SDK659" s="268"/>
      <c r="SDL659" s="268"/>
      <c r="SDM659" s="268"/>
      <c r="SDN659" s="268"/>
      <c r="SDO659" s="268"/>
      <c r="SDP659" s="268"/>
      <c r="SDQ659" s="268"/>
      <c r="SDR659" s="268"/>
      <c r="SDS659" s="268"/>
      <c r="SDT659" s="268"/>
      <c r="SDU659" s="268"/>
      <c r="SDV659" s="268"/>
      <c r="SDW659" s="268"/>
      <c r="SDX659" s="268"/>
      <c r="SDY659" s="268"/>
      <c r="SDZ659" s="268"/>
      <c r="SEA659" s="268"/>
      <c r="SEB659" s="268"/>
      <c r="SEC659" s="268"/>
      <c r="SED659" s="268"/>
      <c r="SEE659" s="268"/>
      <c r="SEF659" s="268"/>
      <c r="SEG659" s="268"/>
      <c r="SEH659" s="268"/>
      <c r="SEI659" s="268"/>
      <c r="SEJ659" s="268"/>
      <c r="SEK659" s="268"/>
      <c r="SEL659" s="268"/>
      <c r="SEM659" s="268"/>
      <c r="SEN659" s="268"/>
      <c r="SEO659" s="268"/>
      <c r="SEP659" s="268"/>
      <c r="SEQ659" s="268"/>
      <c r="SER659" s="268"/>
      <c r="SES659" s="268"/>
      <c r="SET659" s="268"/>
      <c r="SEU659" s="268"/>
      <c r="SEV659" s="268"/>
      <c r="SEW659" s="268"/>
      <c r="SEX659" s="268"/>
      <c r="SEY659" s="268"/>
      <c r="SEZ659" s="268"/>
      <c r="SFA659" s="268"/>
      <c r="SFB659" s="268"/>
      <c r="SFC659" s="268"/>
      <c r="SFD659" s="268"/>
      <c r="SFE659" s="268"/>
      <c r="SFF659" s="268"/>
      <c r="SFG659" s="268"/>
      <c r="SFH659" s="268"/>
      <c r="SFI659" s="268"/>
      <c r="SFJ659" s="268"/>
      <c r="SFK659" s="268"/>
      <c r="SFL659" s="268"/>
      <c r="SFM659" s="268"/>
      <c r="SFN659" s="268"/>
      <c r="SFO659" s="268"/>
      <c r="SFP659" s="268"/>
      <c r="SFQ659" s="268"/>
      <c r="SFR659" s="268"/>
      <c r="SFS659" s="268"/>
      <c r="SFT659" s="268"/>
      <c r="SFU659" s="268"/>
      <c r="SFV659" s="268"/>
      <c r="SFW659" s="268"/>
      <c r="SFX659" s="268"/>
      <c r="SFY659" s="268"/>
      <c r="SFZ659" s="268"/>
      <c r="SGA659" s="268"/>
      <c r="SGB659" s="268"/>
      <c r="SGC659" s="268"/>
      <c r="SGD659" s="268"/>
      <c r="SGE659" s="268"/>
      <c r="SGF659" s="268"/>
      <c r="SGG659" s="268"/>
      <c r="SGH659" s="268"/>
      <c r="SGI659" s="268"/>
      <c r="SGJ659" s="268"/>
      <c r="SGK659" s="268"/>
      <c r="SGL659" s="268"/>
      <c r="SGM659" s="268"/>
      <c r="SGN659" s="268"/>
      <c r="SGO659" s="268"/>
      <c r="SGP659" s="268"/>
      <c r="SGQ659" s="268"/>
      <c r="SGR659" s="268"/>
      <c r="SGS659" s="268"/>
      <c r="SGT659" s="268"/>
      <c r="SGU659" s="268"/>
      <c r="SHI659" s="268"/>
      <c r="SHJ659" s="268"/>
      <c r="SHK659" s="268"/>
      <c r="SHY659" s="268"/>
      <c r="SIA659" s="268"/>
      <c r="SIB659" s="268"/>
      <c r="SIC659" s="268"/>
      <c r="SID659" s="268"/>
      <c r="SIE659" s="268"/>
      <c r="SIF659" s="268"/>
      <c r="SIG659" s="268"/>
      <c r="SIH659" s="268"/>
      <c r="SII659" s="268"/>
      <c r="SIJ659" s="268"/>
      <c r="SIK659" s="268"/>
      <c r="SIL659" s="268"/>
      <c r="SIM659" s="268"/>
      <c r="SIN659" s="268"/>
      <c r="SIO659" s="268"/>
      <c r="SIP659" s="268"/>
      <c r="SIQ659" s="268"/>
      <c r="SIR659" s="268"/>
      <c r="SIS659" s="268"/>
      <c r="SIT659" s="268"/>
      <c r="SIU659" s="268"/>
      <c r="SIV659" s="268"/>
      <c r="SIW659" s="268"/>
      <c r="SIX659" s="268"/>
      <c r="SIY659" s="268"/>
      <c r="SIZ659" s="268"/>
      <c r="SJA659" s="268"/>
      <c r="SJB659" s="268"/>
      <c r="SJC659" s="268"/>
      <c r="SJD659" s="268"/>
      <c r="SJE659" s="268"/>
      <c r="SJF659" s="268"/>
      <c r="SJG659" s="268"/>
      <c r="SJH659" s="268"/>
      <c r="SJI659" s="268"/>
      <c r="SJJ659" s="268"/>
      <c r="SJK659" s="268"/>
      <c r="SJL659" s="268"/>
      <c r="SJM659" s="268"/>
      <c r="SJN659" s="268"/>
      <c r="SJO659" s="268"/>
      <c r="SJP659" s="268"/>
      <c r="SJQ659" s="268"/>
      <c r="SJR659" s="268"/>
      <c r="SJS659" s="268"/>
      <c r="SJT659" s="268"/>
      <c r="SJU659" s="268"/>
      <c r="SJV659" s="268"/>
      <c r="SJW659" s="268"/>
      <c r="SJX659" s="268"/>
      <c r="SJY659" s="268"/>
      <c r="SJZ659" s="268"/>
      <c r="SKA659" s="268"/>
      <c r="SKB659" s="268"/>
      <c r="SKC659" s="268"/>
      <c r="SKD659" s="268"/>
      <c r="SKE659" s="268"/>
      <c r="SKF659" s="268"/>
      <c r="SKG659" s="268"/>
      <c r="SKH659" s="268"/>
      <c r="SKI659" s="268"/>
      <c r="SKJ659" s="268"/>
      <c r="SKK659" s="268"/>
      <c r="SKL659" s="268"/>
      <c r="SKM659" s="268"/>
      <c r="SKN659" s="268"/>
      <c r="SKO659" s="268"/>
      <c r="SKP659" s="268"/>
      <c r="SKQ659" s="268"/>
      <c r="SKR659" s="268"/>
      <c r="SKS659" s="268"/>
      <c r="SKT659" s="268"/>
      <c r="SKU659" s="268"/>
      <c r="SKV659" s="268"/>
      <c r="SKW659" s="268"/>
      <c r="SKX659" s="268"/>
      <c r="SKY659" s="268"/>
      <c r="SKZ659" s="268"/>
      <c r="SLA659" s="268"/>
      <c r="SLB659" s="268"/>
      <c r="SLC659" s="268"/>
      <c r="SLD659" s="268"/>
      <c r="SLE659" s="268"/>
      <c r="SLF659" s="268"/>
      <c r="SLG659" s="268"/>
      <c r="SLH659" s="268"/>
      <c r="SLI659" s="268"/>
      <c r="SLJ659" s="268"/>
      <c r="SLK659" s="268"/>
      <c r="SLL659" s="268"/>
      <c r="SLM659" s="268"/>
      <c r="SLN659" s="268"/>
      <c r="SLO659" s="268"/>
      <c r="SLP659" s="268"/>
      <c r="SLQ659" s="268"/>
      <c r="SLR659" s="268"/>
      <c r="SLS659" s="268"/>
      <c r="SLT659" s="268"/>
      <c r="SLU659" s="268"/>
      <c r="SLV659" s="268"/>
      <c r="SLW659" s="268"/>
      <c r="SLX659" s="268"/>
      <c r="SLY659" s="268"/>
      <c r="SLZ659" s="268"/>
      <c r="SMA659" s="268"/>
      <c r="SMB659" s="268"/>
      <c r="SMC659" s="268"/>
      <c r="SMD659" s="268"/>
      <c r="SME659" s="268"/>
      <c r="SMF659" s="268"/>
      <c r="SMG659" s="268"/>
      <c r="SMH659" s="268"/>
      <c r="SMI659" s="268"/>
      <c r="SMJ659" s="268"/>
      <c r="SMK659" s="268"/>
      <c r="SML659" s="268"/>
      <c r="SMM659" s="268"/>
      <c r="SMN659" s="268"/>
      <c r="SMO659" s="268"/>
      <c r="SMP659" s="268"/>
      <c r="SMQ659" s="268"/>
      <c r="SMR659" s="268"/>
      <c r="SMS659" s="268"/>
      <c r="SMT659" s="268"/>
      <c r="SMU659" s="268"/>
      <c r="SMV659" s="268"/>
      <c r="SMW659" s="268"/>
      <c r="SMX659" s="268"/>
      <c r="SMY659" s="268"/>
      <c r="SMZ659" s="268"/>
      <c r="SNA659" s="268"/>
      <c r="SNB659" s="268"/>
      <c r="SNC659" s="268"/>
      <c r="SND659" s="268"/>
      <c r="SNE659" s="268"/>
      <c r="SNF659" s="268"/>
      <c r="SNG659" s="268"/>
      <c r="SNH659" s="268"/>
      <c r="SNI659" s="268"/>
      <c r="SNJ659" s="268"/>
      <c r="SNK659" s="268"/>
      <c r="SNL659" s="268"/>
      <c r="SNM659" s="268"/>
      <c r="SNN659" s="268"/>
      <c r="SNO659" s="268"/>
      <c r="SNP659" s="268"/>
      <c r="SNQ659" s="268"/>
      <c r="SNR659" s="268"/>
      <c r="SNS659" s="268"/>
      <c r="SNT659" s="268"/>
      <c r="SNU659" s="268"/>
      <c r="SNV659" s="268"/>
      <c r="SNW659" s="268"/>
      <c r="SNX659" s="268"/>
      <c r="SNY659" s="268"/>
      <c r="SNZ659" s="268"/>
      <c r="SOA659" s="268"/>
      <c r="SOB659" s="268"/>
      <c r="SOC659" s="268"/>
      <c r="SOD659" s="268"/>
      <c r="SOE659" s="268"/>
      <c r="SOF659" s="268"/>
      <c r="SOG659" s="268"/>
      <c r="SOH659" s="268"/>
      <c r="SOI659" s="268"/>
      <c r="SOJ659" s="268"/>
      <c r="SOK659" s="268"/>
      <c r="SOL659" s="268"/>
      <c r="SOM659" s="268"/>
      <c r="SON659" s="268"/>
      <c r="SOO659" s="268"/>
      <c r="SOP659" s="268"/>
      <c r="SOQ659" s="268"/>
      <c r="SOR659" s="268"/>
      <c r="SOS659" s="268"/>
      <c r="SOT659" s="268"/>
      <c r="SOU659" s="268"/>
      <c r="SOV659" s="268"/>
      <c r="SOW659" s="268"/>
      <c r="SOX659" s="268"/>
      <c r="SOY659" s="268"/>
      <c r="SOZ659" s="268"/>
      <c r="SPA659" s="268"/>
      <c r="SPB659" s="268"/>
      <c r="SPC659" s="268"/>
      <c r="SPD659" s="268"/>
      <c r="SPE659" s="268"/>
      <c r="SPF659" s="268"/>
      <c r="SPG659" s="268"/>
      <c r="SPH659" s="268"/>
      <c r="SPI659" s="268"/>
      <c r="SPJ659" s="268"/>
      <c r="SPK659" s="268"/>
      <c r="SPL659" s="268"/>
      <c r="SPM659" s="268"/>
      <c r="SPN659" s="268"/>
      <c r="SPO659" s="268"/>
      <c r="SPP659" s="268"/>
      <c r="SPQ659" s="268"/>
      <c r="SPR659" s="268"/>
      <c r="SPS659" s="268"/>
      <c r="SPT659" s="268"/>
      <c r="SPU659" s="268"/>
      <c r="SPV659" s="268"/>
      <c r="SPW659" s="268"/>
      <c r="SPX659" s="268"/>
      <c r="SPY659" s="268"/>
      <c r="SPZ659" s="268"/>
      <c r="SQA659" s="268"/>
      <c r="SQB659" s="268"/>
      <c r="SQC659" s="268"/>
      <c r="SQD659" s="268"/>
      <c r="SQE659" s="268"/>
      <c r="SQF659" s="268"/>
      <c r="SQG659" s="268"/>
      <c r="SQH659" s="268"/>
      <c r="SQI659" s="268"/>
      <c r="SQJ659" s="268"/>
      <c r="SQK659" s="268"/>
      <c r="SQL659" s="268"/>
      <c r="SQM659" s="268"/>
      <c r="SQN659" s="268"/>
      <c r="SQO659" s="268"/>
      <c r="SQP659" s="268"/>
      <c r="SQQ659" s="268"/>
      <c r="SRE659" s="268"/>
      <c r="SRF659" s="268"/>
      <c r="SRG659" s="268"/>
      <c r="SRU659" s="268"/>
      <c r="SRW659" s="268"/>
      <c r="SRX659" s="268"/>
      <c r="SRY659" s="268"/>
      <c r="SRZ659" s="268"/>
      <c r="SSA659" s="268"/>
      <c r="SSB659" s="268"/>
      <c r="SSC659" s="268"/>
      <c r="SSD659" s="268"/>
      <c r="SSE659" s="268"/>
      <c r="SSF659" s="268"/>
      <c r="SSG659" s="268"/>
      <c r="SSH659" s="268"/>
      <c r="SSI659" s="268"/>
      <c r="SSJ659" s="268"/>
      <c r="SSK659" s="268"/>
      <c r="SSL659" s="268"/>
      <c r="SSM659" s="268"/>
      <c r="SSN659" s="268"/>
      <c r="SSO659" s="268"/>
      <c r="SSP659" s="268"/>
      <c r="SSQ659" s="268"/>
      <c r="SSR659" s="268"/>
      <c r="SSS659" s="268"/>
      <c r="SST659" s="268"/>
      <c r="SSU659" s="268"/>
      <c r="SSV659" s="268"/>
      <c r="SSW659" s="268"/>
      <c r="SSX659" s="268"/>
      <c r="SSY659" s="268"/>
      <c r="SSZ659" s="268"/>
      <c r="STA659" s="268"/>
      <c r="STB659" s="268"/>
      <c r="STC659" s="268"/>
      <c r="STD659" s="268"/>
      <c r="STE659" s="268"/>
      <c r="STF659" s="268"/>
      <c r="STG659" s="268"/>
      <c r="STH659" s="268"/>
      <c r="STI659" s="268"/>
      <c r="STJ659" s="268"/>
      <c r="STK659" s="268"/>
      <c r="STL659" s="268"/>
      <c r="STM659" s="268"/>
      <c r="STN659" s="268"/>
      <c r="STO659" s="268"/>
      <c r="STP659" s="268"/>
      <c r="STQ659" s="268"/>
      <c r="STR659" s="268"/>
      <c r="STS659" s="268"/>
      <c r="STT659" s="268"/>
      <c r="STU659" s="268"/>
      <c r="STV659" s="268"/>
      <c r="STW659" s="268"/>
      <c r="STX659" s="268"/>
      <c r="STY659" s="268"/>
      <c r="STZ659" s="268"/>
      <c r="SUA659" s="268"/>
      <c r="SUB659" s="268"/>
      <c r="SUC659" s="268"/>
      <c r="SUD659" s="268"/>
      <c r="SUE659" s="268"/>
      <c r="SUF659" s="268"/>
      <c r="SUG659" s="268"/>
      <c r="SUH659" s="268"/>
      <c r="SUI659" s="268"/>
      <c r="SUJ659" s="268"/>
      <c r="SUK659" s="268"/>
      <c r="SUL659" s="268"/>
      <c r="SUM659" s="268"/>
      <c r="SUN659" s="268"/>
      <c r="SUO659" s="268"/>
      <c r="SUP659" s="268"/>
      <c r="SUQ659" s="268"/>
      <c r="SUR659" s="268"/>
      <c r="SUS659" s="268"/>
      <c r="SUT659" s="268"/>
      <c r="SUU659" s="268"/>
      <c r="SUV659" s="268"/>
      <c r="SUW659" s="268"/>
      <c r="SUX659" s="268"/>
      <c r="SUY659" s="268"/>
      <c r="SUZ659" s="268"/>
      <c r="SVA659" s="268"/>
      <c r="SVB659" s="268"/>
      <c r="SVC659" s="268"/>
      <c r="SVD659" s="268"/>
      <c r="SVE659" s="268"/>
      <c r="SVF659" s="268"/>
      <c r="SVG659" s="268"/>
      <c r="SVH659" s="268"/>
      <c r="SVI659" s="268"/>
      <c r="SVJ659" s="268"/>
      <c r="SVK659" s="268"/>
      <c r="SVL659" s="268"/>
      <c r="SVM659" s="268"/>
      <c r="SVN659" s="268"/>
      <c r="SVO659" s="268"/>
      <c r="SVP659" s="268"/>
      <c r="SVQ659" s="268"/>
      <c r="SVR659" s="268"/>
      <c r="SVS659" s="268"/>
      <c r="SVT659" s="268"/>
      <c r="SVU659" s="268"/>
      <c r="SVV659" s="268"/>
      <c r="SVW659" s="268"/>
      <c r="SVX659" s="268"/>
      <c r="SVY659" s="268"/>
      <c r="SVZ659" s="268"/>
      <c r="SWA659" s="268"/>
      <c r="SWB659" s="268"/>
      <c r="SWC659" s="268"/>
      <c r="SWD659" s="268"/>
      <c r="SWE659" s="268"/>
      <c r="SWF659" s="268"/>
      <c r="SWG659" s="268"/>
      <c r="SWH659" s="268"/>
      <c r="SWI659" s="268"/>
      <c r="SWJ659" s="268"/>
      <c r="SWK659" s="268"/>
      <c r="SWL659" s="268"/>
      <c r="SWM659" s="268"/>
      <c r="SWN659" s="268"/>
      <c r="SWO659" s="268"/>
      <c r="SWP659" s="268"/>
      <c r="SWQ659" s="268"/>
      <c r="SWR659" s="268"/>
      <c r="SWS659" s="268"/>
      <c r="SWT659" s="268"/>
      <c r="SWU659" s="268"/>
      <c r="SWV659" s="268"/>
      <c r="SWW659" s="268"/>
      <c r="SWX659" s="268"/>
      <c r="SWY659" s="268"/>
      <c r="SWZ659" s="268"/>
      <c r="SXA659" s="268"/>
      <c r="SXB659" s="268"/>
      <c r="SXC659" s="268"/>
      <c r="SXD659" s="268"/>
      <c r="SXE659" s="268"/>
      <c r="SXF659" s="268"/>
      <c r="SXG659" s="268"/>
      <c r="SXH659" s="268"/>
      <c r="SXI659" s="268"/>
      <c r="SXJ659" s="268"/>
      <c r="SXK659" s="268"/>
      <c r="SXL659" s="268"/>
      <c r="SXM659" s="268"/>
      <c r="SXN659" s="268"/>
      <c r="SXO659" s="268"/>
      <c r="SXP659" s="268"/>
      <c r="SXQ659" s="268"/>
      <c r="SXR659" s="268"/>
      <c r="SXS659" s="268"/>
      <c r="SXT659" s="268"/>
      <c r="SXU659" s="268"/>
      <c r="SXV659" s="268"/>
      <c r="SXW659" s="268"/>
      <c r="SXX659" s="268"/>
      <c r="SXY659" s="268"/>
      <c r="SXZ659" s="268"/>
      <c r="SYA659" s="268"/>
      <c r="SYB659" s="268"/>
      <c r="SYC659" s="268"/>
      <c r="SYD659" s="268"/>
      <c r="SYE659" s="268"/>
      <c r="SYF659" s="268"/>
      <c r="SYG659" s="268"/>
      <c r="SYH659" s="268"/>
      <c r="SYI659" s="268"/>
      <c r="SYJ659" s="268"/>
      <c r="SYK659" s="268"/>
      <c r="SYL659" s="268"/>
      <c r="SYM659" s="268"/>
      <c r="SYN659" s="268"/>
      <c r="SYO659" s="268"/>
      <c r="SYP659" s="268"/>
      <c r="SYQ659" s="268"/>
      <c r="SYR659" s="268"/>
      <c r="SYS659" s="268"/>
      <c r="SYT659" s="268"/>
      <c r="SYU659" s="268"/>
      <c r="SYV659" s="268"/>
      <c r="SYW659" s="268"/>
      <c r="SYX659" s="268"/>
      <c r="SYY659" s="268"/>
      <c r="SYZ659" s="268"/>
      <c r="SZA659" s="268"/>
      <c r="SZB659" s="268"/>
      <c r="SZC659" s="268"/>
      <c r="SZD659" s="268"/>
      <c r="SZE659" s="268"/>
      <c r="SZF659" s="268"/>
      <c r="SZG659" s="268"/>
      <c r="SZH659" s="268"/>
      <c r="SZI659" s="268"/>
      <c r="SZJ659" s="268"/>
      <c r="SZK659" s="268"/>
      <c r="SZL659" s="268"/>
      <c r="SZM659" s="268"/>
      <c r="SZN659" s="268"/>
      <c r="SZO659" s="268"/>
      <c r="SZP659" s="268"/>
      <c r="SZQ659" s="268"/>
      <c r="SZR659" s="268"/>
      <c r="SZS659" s="268"/>
      <c r="SZT659" s="268"/>
      <c r="SZU659" s="268"/>
      <c r="SZV659" s="268"/>
      <c r="SZW659" s="268"/>
      <c r="SZX659" s="268"/>
      <c r="SZY659" s="268"/>
      <c r="SZZ659" s="268"/>
      <c r="TAA659" s="268"/>
      <c r="TAB659" s="268"/>
      <c r="TAC659" s="268"/>
      <c r="TAD659" s="268"/>
      <c r="TAE659" s="268"/>
      <c r="TAF659" s="268"/>
      <c r="TAG659" s="268"/>
      <c r="TAH659" s="268"/>
      <c r="TAI659" s="268"/>
      <c r="TAJ659" s="268"/>
      <c r="TAK659" s="268"/>
      <c r="TAL659" s="268"/>
      <c r="TAM659" s="268"/>
      <c r="TBA659" s="268"/>
      <c r="TBB659" s="268"/>
      <c r="TBC659" s="268"/>
      <c r="TBQ659" s="268"/>
      <c r="TBS659" s="268"/>
      <c r="TBT659" s="268"/>
      <c r="TBU659" s="268"/>
      <c r="TBV659" s="268"/>
      <c r="TBW659" s="268"/>
      <c r="TBX659" s="268"/>
      <c r="TBY659" s="268"/>
      <c r="TBZ659" s="268"/>
      <c r="TCA659" s="268"/>
      <c r="TCB659" s="268"/>
      <c r="TCC659" s="268"/>
      <c r="TCD659" s="268"/>
      <c r="TCE659" s="268"/>
      <c r="TCF659" s="268"/>
      <c r="TCG659" s="268"/>
      <c r="TCH659" s="268"/>
      <c r="TCI659" s="268"/>
      <c r="TCJ659" s="268"/>
      <c r="TCK659" s="268"/>
      <c r="TCL659" s="268"/>
      <c r="TCM659" s="268"/>
      <c r="TCN659" s="268"/>
      <c r="TCO659" s="268"/>
      <c r="TCP659" s="268"/>
      <c r="TCQ659" s="268"/>
      <c r="TCR659" s="268"/>
      <c r="TCS659" s="268"/>
      <c r="TCT659" s="268"/>
      <c r="TCU659" s="268"/>
      <c r="TCV659" s="268"/>
      <c r="TCW659" s="268"/>
      <c r="TCX659" s="268"/>
      <c r="TCY659" s="268"/>
      <c r="TCZ659" s="268"/>
      <c r="TDA659" s="268"/>
      <c r="TDB659" s="268"/>
      <c r="TDC659" s="268"/>
      <c r="TDD659" s="268"/>
      <c r="TDE659" s="268"/>
      <c r="TDF659" s="268"/>
      <c r="TDG659" s="268"/>
      <c r="TDH659" s="268"/>
      <c r="TDI659" s="268"/>
      <c r="TDJ659" s="268"/>
      <c r="TDK659" s="268"/>
      <c r="TDL659" s="268"/>
      <c r="TDM659" s="268"/>
      <c r="TDN659" s="268"/>
      <c r="TDO659" s="268"/>
      <c r="TDP659" s="268"/>
      <c r="TDQ659" s="268"/>
      <c r="TDR659" s="268"/>
      <c r="TDS659" s="268"/>
      <c r="TDT659" s="268"/>
      <c r="TDU659" s="268"/>
      <c r="TDV659" s="268"/>
      <c r="TDW659" s="268"/>
      <c r="TDX659" s="268"/>
      <c r="TDY659" s="268"/>
      <c r="TDZ659" s="268"/>
      <c r="TEA659" s="268"/>
      <c r="TEB659" s="268"/>
      <c r="TEC659" s="268"/>
      <c r="TED659" s="268"/>
      <c r="TEE659" s="268"/>
      <c r="TEF659" s="268"/>
      <c r="TEG659" s="268"/>
      <c r="TEH659" s="268"/>
      <c r="TEI659" s="268"/>
      <c r="TEJ659" s="268"/>
      <c r="TEK659" s="268"/>
      <c r="TEL659" s="268"/>
      <c r="TEM659" s="268"/>
      <c r="TEN659" s="268"/>
      <c r="TEO659" s="268"/>
      <c r="TEP659" s="268"/>
      <c r="TEQ659" s="268"/>
      <c r="TER659" s="268"/>
      <c r="TES659" s="268"/>
      <c r="TET659" s="268"/>
      <c r="TEU659" s="268"/>
      <c r="TEV659" s="268"/>
      <c r="TEW659" s="268"/>
      <c r="TEX659" s="268"/>
      <c r="TEY659" s="268"/>
      <c r="TEZ659" s="268"/>
      <c r="TFA659" s="268"/>
      <c r="TFB659" s="268"/>
      <c r="TFC659" s="268"/>
      <c r="TFD659" s="268"/>
      <c r="TFE659" s="268"/>
      <c r="TFF659" s="268"/>
      <c r="TFG659" s="268"/>
      <c r="TFH659" s="268"/>
      <c r="TFI659" s="268"/>
      <c r="TFJ659" s="268"/>
      <c r="TFK659" s="268"/>
      <c r="TFL659" s="268"/>
      <c r="TFM659" s="268"/>
      <c r="TFN659" s="268"/>
      <c r="TFO659" s="268"/>
      <c r="TFP659" s="268"/>
      <c r="TFQ659" s="268"/>
      <c r="TFR659" s="268"/>
      <c r="TFS659" s="268"/>
      <c r="TFT659" s="268"/>
      <c r="TFU659" s="268"/>
      <c r="TFV659" s="268"/>
      <c r="TFW659" s="268"/>
      <c r="TFX659" s="268"/>
      <c r="TFY659" s="268"/>
      <c r="TFZ659" s="268"/>
      <c r="TGA659" s="268"/>
      <c r="TGB659" s="268"/>
      <c r="TGC659" s="268"/>
      <c r="TGD659" s="268"/>
      <c r="TGE659" s="268"/>
      <c r="TGF659" s="268"/>
      <c r="TGG659" s="268"/>
      <c r="TGH659" s="268"/>
      <c r="TGI659" s="268"/>
      <c r="TGJ659" s="268"/>
      <c r="TGK659" s="268"/>
      <c r="TGL659" s="268"/>
      <c r="TGM659" s="268"/>
      <c r="TGN659" s="268"/>
      <c r="TGO659" s="268"/>
      <c r="TGP659" s="268"/>
      <c r="TGQ659" s="268"/>
      <c r="TGR659" s="268"/>
      <c r="TGS659" s="268"/>
      <c r="TGT659" s="268"/>
      <c r="TGU659" s="268"/>
      <c r="TGV659" s="268"/>
      <c r="TGW659" s="268"/>
      <c r="TGX659" s="268"/>
      <c r="TGY659" s="268"/>
      <c r="TGZ659" s="268"/>
      <c r="THA659" s="268"/>
      <c r="THB659" s="268"/>
      <c r="THC659" s="268"/>
      <c r="THD659" s="268"/>
      <c r="THE659" s="268"/>
      <c r="THF659" s="268"/>
      <c r="THG659" s="268"/>
      <c r="THH659" s="268"/>
      <c r="THI659" s="268"/>
      <c r="THJ659" s="268"/>
      <c r="THK659" s="268"/>
      <c r="THL659" s="268"/>
      <c r="THM659" s="268"/>
      <c r="THN659" s="268"/>
      <c r="THO659" s="268"/>
      <c r="THP659" s="268"/>
      <c r="THQ659" s="268"/>
      <c r="THR659" s="268"/>
      <c r="THS659" s="268"/>
      <c r="THT659" s="268"/>
      <c r="THU659" s="268"/>
      <c r="THV659" s="268"/>
      <c r="THW659" s="268"/>
      <c r="THX659" s="268"/>
      <c r="THY659" s="268"/>
      <c r="THZ659" s="268"/>
      <c r="TIA659" s="268"/>
      <c r="TIB659" s="268"/>
      <c r="TIC659" s="268"/>
      <c r="TID659" s="268"/>
      <c r="TIE659" s="268"/>
      <c r="TIF659" s="268"/>
      <c r="TIG659" s="268"/>
      <c r="TIH659" s="268"/>
      <c r="TII659" s="268"/>
      <c r="TIJ659" s="268"/>
      <c r="TIK659" s="268"/>
      <c r="TIL659" s="268"/>
      <c r="TIM659" s="268"/>
      <c r="TIN659" s="268"/>
      <c r="TIO659" s="268"/>
      <c r="TIP659" s="268"/>
      <c r="TIQ659" s="268"/>
      <c r="TIR659" s="268"/>
      <c r="TIS659" s="268"/>
      <c r="TIT659" s="268"/>
      <c r="TIU659" s="268"/>
      <c r="TIV659" s="268"/>
      <c r="TIW659" s="268"/>
      <c r="TIX659" s="268"/>
      <c r="TIY659" s="268"/>
      <c r="TIZ659" s="268"/>
      <c r="TJA659" s="268"/>
      <c r="TJB659" s="268"/>
      <c r="TJC659" s="268"/>
      <c r="TJD659" s="268"/>
      <c r="TJE659" s="268"/>
      <c r="TJF659" s="268"/>
      <c r="TJG659" s="268"/>
      <c r="TJH659" s="268"/>
      <c r="TJI659" s="268"/>
      <c r="TJJ659" s="268"/>
      <c r="TJK659" s="268"/>
      <c r="TJL659" s="268"/>
      <c r="TJM659" s="268"/>
      <c r="TJN659" s="268"/>
      <c r="TJO659" s="268"/>
      <c r="TJP659" s="268"/>
      <c r="TJQ659" s="268"/>
      <c r="TJR659" s="268"/>
      <c r="TJS659" s="268"/>
      <c r="TJT659" s="268"/>
      <c r="TJU659" s="268"/>
      <c r="TJV659" s="268"/>
      <c r="TJW659" s="268"/>
      <c r="TJX659" s="268"/>
      <c r="TJY659" s="268"/>
      <c r="TJZ659" s="268"/>
      <c r="TKA659" s="268"/>
      <c r="TKB659" s="268"/>
      <c r="TKC659" s="268"/>
      <c r="TKD659" s="268"/>
      <c r="TKE659" s="268"/>
      <c r="TKF659" s="268"/>
      <c r="TKG659" s="268"/>
      <c r="TKH659" s="268"/>
      <c r="TKI659" s="268"/>
      <c r="TKW659" s="268"/>
      <c r="TKX659" s="268"/>
      <c r="TKY659" s="268"/>
      <c r="TLM659" s="268"/>
      <c r="TLO659" s="268"/>
      <c r="TLP659" s="268"/>
      <c r="TLQ659" s="268"/>
      <c r="TLR659" s="268"/>
      <c r="TLS659" s="268"/>
      <c r="TLT659" s="268"/>
      <c r="TLU659" s="268"/>
      <c r="TLV659" s="268"/>
      <c r="TLW659" s="268"/>
      <c r="TLX659" s="268"/>
      <c r="TLY659" s="268"/>
      <c r="TLZ659" s="268"/>
      <c r="TMA659" s="268"/>
      <c r="TMB659" s="268"/>
      <c r="TMC659" s="268"/>
      <c r="TMD659" s="268"/>
      <c r="TME659" s="268"/>
      <c r="TMF659" s="268"/>
      <c r="TMG659" s="268"/>
      <c r="TMH659" s="268"/>
      <c r="TMI659" s="268"/>
      <c r="TMJ659" s="268"/>
      <c r="TMK659" s="268"/>
      <c r="TML659" s="268"/>
      <c r="TMM659" s="268"/>
      <c r="TMN659" s="268"/>
      <c r="TMO659" s="268"/>
      <c r="TMP659" s="268"/>
      <c r="TMQ659" s="268"/>
      <c r="TMR659" s="268"/>
      <c r="TMS659" s="268"/>
      <c r="TMT659" s="268"/>
      <c r="TMU659" s="268"/>
      <c r="TMV659" s="268"/>
      <c r="TMW659" s="268"/>
      <c r="TMX659" s="268"/>
      <c r="TMY659" s="268"/>
      <c r="TMZ659" s="268"/>
      <c r="TNA659" s="268"/>
      <c r="TNB659" s="268"/>
      <c r="TNC659" s="268"/>
      <c r="TND659" s="268"/>
      <c r="TNE659" s="268"/>
      <c r="TNF659" s="268"/>
      <c r="TNG659" s="268"/>
      <c r="TNH659" s="268"/>
      <c r="TNI659" s="268"/>
      <c r="TNJ659" s="268"/>
      <c r="TNK659" s="268"/>
      <c r="TNL659" s="268"/>
      <c r="TNM659" s="268"/>
      <c r="TNN659" s="268"/>
      <c r="TNO659" s="268"/>
      <c r="TNP659" s="268"/>
      <c r="TNQ659" s="268"/>
      <c r="TNR659" s="268"/>
      <c r="TNS659" s="268"/>
      <c r="TNT659" s="268"/>
      <c r="TNU659" s="268"/>
      <c r="TNV659" s="268"/>
      <c r="TNW659" s="268"/>
      <c r="TNX659" s="268"/>
      <c r="TNY659" s="268"/>
      <c r="TNZ659" s="268"/>
      <c r="TOA659" s="268"/>
      <c r="TOB659" s="268"/>
      <c r="TOC659" s="268"/>
      <c r="TOD659" s="268"/>
      <c r="TOE659" s="268"/>
      <c r="TOF659" s="268"/>
      <c r="TOG659" s="268"/>
      <c r="TOH659" s="268"/>
      <c r="TOI659" s="268"/>
      <c r="TOJ659" s="268"/>
      <c r="TOK659" s="268"/>
      <c r="TOL659" s="268"/>
      <c r="TOM659" s="268"/>
      <c r="TON659" s="268"/>
      <c r="TOO659" s="268"/>
      <c r="TOP659" s="268"/>
      <c r="TOQ659" s="268"/>
      <c r="TOR659" s="268"/>
      <c r="TOS659" s="268"/>
      <c r="TOT659" s="268"/>
      <c r="TOU659" s="268"/>
      <c r="TOV659" s="268"/>
      <c r="TOW659" s="268"/>
      <c r="TOX659" s="268"/>
      <c r="TOY659" s="268"/>
      <c r="TOZ659" s="268"/>
      <c r="TPA659" s="268"/>
      <c r="TPB659" s="268"/>
      <c r="TPC659" s="268"/>
      <c r="TPD659" s="268"/>
      <c r="TPE659" s="268"/>
      <c r="TPF659" s="268"/>
      <c r="TPG659" s="268"/>
      <c r="TPH659" s="268"/>
      <c r="TPI659" s="268"/>
      <c r="TPJ659" s="268"/>
      <c r="TPK659" s="268"/>
      <c r="TPL659" s="268"/>
      <c r="TPM659" s="268"/>
      <c r="TPN659" s="268"/>
      <c r="TPO659" s="268"/>
      <c r="TPP659" s="268"/>
      <c r="TPQ659" s="268"/>
      <c r="TPR659" s="268"/>
      <c r="TPS659" s="268"/>
      <c r="TPT659" s="268"/>
      <c r="TPU659" s="268"/>
      <c r="TPV659" s="268"/>
      <c r="TPW659" s="268"/>
      <c r="TPX659" s="268"/>
      <c r="TPY659" s="268"/>
      <c r="TPZ659" s="268"/>
      <c r="TQA659" s="268"/>
      <c r="TQB659" s="268"/>
      <c r="TQC659" s="268"/>
      <c r="TQD659" s="268"/>
      <c r="TQE659" s="268"/>
      <c r="TQF659" s="268"/>
      <c r="TQG659" s="268"/>
      <c r="TQH659" s="268"/>
      <c r="TQI659" s="268"/>
      <c r="TQJ659" s="268"/>
      <c r="TQK659" s="268"/>
      <c r="TQL659" s="268"/>
      <c r="TQM659" s="268"/>
      <c r="TQN659" s="268"/>
      <c r="TQO659" s="268"/>
      <c r="TQP659" s="268"/>
      <c r="TQQ659" s="268"/>
      <c r="TQR659" s="268"/>
      <c r="TQS659" s="268"/>
      <c r="TQT659" s="268"/>
      <c r="TQU659" s="268"/>
      <c r="TQV659" s="268"/>
      <c r="TQW659" s="268"/>
      <c r="TQX659" s="268"/>
      <c r="TQY659" s="268"/>
      <c r="TQZ659" s="268"/>
      <c r="TRA659" s="268"/>
      <c r="TRB659" s="268"/>
      <c r="TRC659" s="268"/>
      <c r="TRD659" s="268"/>
      <c r="TRE659" s="268"/>
      <c r="TRF659" s="268"/>
      <c r="TRG659" s="268"/>
      <c r="TRH659" s="268"/>
      <c r="TRI659" s="268"/>
      <c r="TRJ659" s="268"/>
      <c r="TRK659" s="268"/>
      <c r="TRL659" s="268"/>
      <c r="TRM659" s="268"/>
      <c r="TRN659" s="268"/>
      <c r="TRO659" s="268"/>
      <c r="TRP659" s="268"/>
      <c r="TRQ659" s="268"/>
      <c r="TRR659" s="268"/>
      <c r="TRS659" s="268"/>
      <c r="TRT659" s="268"/>
      <c r="TRU659" s="268"/>
      <c r="TRV659" s="268"/>
      <c r="TRW659" s="268"/>
      <c r="TRX659" s="268"/>
      <c r="TRY659" s="268"/>
      <c r="TRZ659" s="268"/>
      <c r="TSA659" s="268"/>
      <c r="TSB659" s="268"/>
      <c r="TSC659" s="268"/>
      <c r="TSD659" s="268"/>
      <c r="TSE659" s="268"/>
      <c r="TSF659" s="268"/>
      <c r="TSG659" s="268"/>
      <c r="TSH659" s="268"/>
      <c r="TSI659" s="268"/>
      <c r="TSJ659" s="268"/>
      <c r="TSK659" s="268"/>
      <c r="TSL659" s="268"/>
      <c r="TSM659" s="268"/>
      <c r="TSN659" s="268"/>
      <c r="TSO659" s="268"/>
      <c r="TSP659" s="268"/>
      <c r="TSQ659" s="268"/>
      <c r="TSR659" s="268"/>
      <c r="TSS659" s="268"/>
      <c r="TST659" s="268"/>
      <c r="TSU659" s="268"/>
      <c r="TSV659" s="268"/>
      <c r="TSW659" s="268"/>
      <c r="TSX659" s="268"/>
      <c r="TSY659" s="268"/>
      <c r="TSZ659" s="268"/>
      <c r="TTA659" s="268"/>
      <c r="TTB659" s="268"/>
      <c r="TTC659" s="268"/>
      <c r="TTD659" s="268"/>
      <c r="TTE659" s="268"/>
      <c r="TTF659" s="268"/>
      <c r="TTG659" s="268"/>
      <c r="TTH659" s="268"/>
      <c r="TTI659" s="268"/>
      <c r="TTJ659" s="268"/>
      <c r="TTK659" s="268"/>
      <c r="TTL659" s="268"/>
      <c r="TTM659" s="268"/>
      <c r="TTN659" s="268"/>
      <c r="TTO659" s="268"/>
      <c r="TTP659" s="268"/>
      <c r="TTQ659" s="268"/>
      <c r="TTR659" s="268"/>
      <c r="TTS659" s="268"/>
      <c r="TTT659" s="268"/>
      <c r="TTU659" s="268"/>
      <c r="TTV659" s="268"/>
      <c r="TTW659" s="268"/>
      <c r="TTX659" s="268"/>
      <c r="TTY659" s="268"/>
      <c r="TTZ659" s="268"/>
      <c r="TUA659" s="268"/>
      <c r="TUB659" s="268"/>
      <c r="TUC659" s="268"/>
      <c r="TUD659" s="268"/>
      <c r="TUE659" s="268"/>
      <c r="TUS659" s="268"/>
      <c r="TUT659" s="268"/>
      <c r="TUU659" s="268"/>
      <c r="TVI659" s="268"/>
      <c r="TVK659" s="268"/>
      <c r="TVL659" s="268"/>
      <c r="TVM659" s="268"/>
      <c r="TVN659" s="268"/>
      <c r="TVO659" s="268"/>
      <c r="TVP659" s="268"/>
      <c r="TVQ659" s="268"/>
      <c r="TVR659" s="268"/>
      <c r="TVS659" s="268"/>
      <c r="TVT659" s="268"/>
      <c r="TVU659" s="268"/>
      <c r="TVV659" s="268"/>
      <c r="TVW659" s="268"/>
      <c r="TVX659" s="268"/>
      <c r="TVY659" s="268"/>
      <c r="TVZ659" s="268"/>
      <c r="TWA659" s="268"/>
      <c r="TWB659" s="268"/>
      <c r="TWC659" s="268"/>
      <c r="TWD659" s="268"/>
      <c r="TWE659" s="268"/>
      <c r="TWF659" s="268"/>
      <c r="TWG659" s="268"/>
      <c r="TWH659" s="268"/>
      <c r="TWI659" s="268"/>
      <c r="TWJ659" s="268"/>
      <c r="TWK659" s="268"/>
      <c r="TWL659" s="268"/>
      <c r="TWM659" s="268"/>
      <c r="TWN659" s="268"/>
      <c r="TWO659" s="268"/>
      <c r="TWP659" s="268"/>
      <c r="TWQ659" s="268"/>
      <c r="TWR659" s="268"/>
      <c r="TWS659" s="268"/>
      <c r="TWT659" s="268"/>
      <c r="TWU659" s="268"/>
      <c r="TWV659" s="268"/>
      <c r="TWW659" s="268"/>
      <c r="TWX659" s="268"/>
      <c r="TWY659" s="268"/>
      <c r="TWZ659" s="268"/>
      <c r="TXA659" s="268"/>
      <c r="TXB659" s="268"/>
      <c r="TXC659" s="268"/>
      <c r="TXD659" s="268"/>
      <c r="TXE659" s="268"/>
      <c r="TXF659" s="268"/>
      <c r="TXG659" s="268"/>
      <c r="TXH659" s="268"/>
      <c r="TXI659" s="268"/>
      <c r="TXJ659" s="268"/>
      <c r="TXK659" s="268"/>
      <c r="TXL659" s="268"/>
      <c r="TXM659" s="268"/>
      <c r="TXN659" s="268"/>
      <c r="TXO659" s="268"/>
      <c r="TXP659" s="268"/>
      <c r="TXQ659" s="268"/>
      <c r="TXR659" s="268"/>
      <c r="TXS659" s="268"/>
      <c r="TXT659" s="268"/>
      <c r="TXU659" s="268"/>
      <c r="TXV659" s="268"/>
      <c r="TXW659" s="268"/>
      <c r="TXX659" s="268"/>
      <c r="TXY659" s="268"/>
      <c r="TXZ659" s="268"/>
      <c r="TYA659" s="268"/>
      <c r="TYB659" s="268"/>
      <c r="TYC659" s="268"/>
      <c r="TYD659" s="268"/>
      <c r="TYE659" s="268"/>
      <c r="TYF659" s="268"/>
      <c r="TYG659" s="268"/>
      <c r="TYH659" s="268"/>
      <c r="TYI659" s="268"/>
      <c r="TYJ659" s="268"/>
      <c r="TYK659" s="268"/>
      <c r="TYL659" s="268"/>
      <c r="TYM659" s="268"/>
      <c r="TYN659" s="268"/>
      <c r="TYO659" s="268"/>
      <c r="TYP659" s="268"/>
      <c r="TYQ659" s="268"/>
      <c r="TYR659" s="268"/>
      <c r="TYS659" s="268"/>
      <c r="TYT659" s="268"/>
      <c r="TYU659" s="268"/>
      <c r="TYV659" s="268"/>
      <c r="TYW659" s="268"/>
      <c r="TYX659" s="268"/>
      <c r="TYY659" s="268"/>
      <c r="TYZ659" s="268"/>
      <c r="TZA659" s="268"/>
      <c r="TZB659" s="268"/>
      <c r="TZC659" s="268"/>
      <c r="TZD659" s="268"/>
      <c r="TZE659" s="268"/>
      <c r="TZF659" s="268"/>
      <c r="TZG659" s="268"/>
      <c r="TZH659" s="268"/>
      <c r="TZI659" s="268"/>
      <c r="TZJ659" s="268"/>
      <c r="TZK659" s="268"/>
      <c r="TZL659" s="268"/>
      <c r="TZM659" s="268"/>
      <c r="TZN659" s="268"/>
      <c r="TZO659" s="268"/>
      <c r="TZP659" s="268"/>
      <c r="TZQ659" s="268"/>
      <c r="TZR659" s="268"/>
      <c r="TZS659" s="268"/>
      <c r="TZT659" s="268"/>
      <c r="TZU659" s="268"/>
      <c r="TZV659" s="268"/>
      <c r="TZW659" s="268"/>
      <c r="TZX659" s="268"/>
      <c r="TZY659" s="268"/>
      <c r="TZZ659" s="268"/>
      <c r="UAA659" s="268"/>
      <c r="UAB659" s="268"/>
      <c r="UAC659" s="268"/>
      <c r="UAD659" s="268"/>
      <c r="UAE659" s="268"/>
      <c r="UAF659" s="268"/>
      <c r="UAG659" s="268"/>
      <c r="UAH659" s="268"/>
      <c r="UAI659" s="268"/>
      <c r="UAJ659" s="268"/>
      <c r="UAK659" s="268"/>
      <c r="UAL659" s="268"/>
      <c r="UAM659" s="268"/>
      <c r="UAN659" s="268"/>
      <c r="UAO659" s="268"/>
      <c r="UAP659" s="268"/>
      <c r="UAQ659" s="268"/>
      <c r="UAR659" s="268"/>
      <c r="UAS659" s="268"/>
      <c r="UAT659" s="268"/>
      <c r="UAU659" s="268"/>
      <c r="UAV659" s="268"/>
      <c r="UAW659" s="268"/>
      <c r="UAX659" s="268"/>
      <c r="UAY659" s="268"/>
      <c r="UAZ659" s="268"/>
      <c r="UBA659" s="268"/>
      <c r="UBB659" s="268"/>
      <c r="UBC659" s="268"/>
      <c r="UBD659" s="268"/>
      <c r="UBE659" s="268"/>
      <c r="UBF659" s="268"/>
      <c r="UBG659" s="268"/>
      <c r="UBH659" s="268"/>
      <c r="UBI659" s="268"/>
      <c r="UBJ659" s="268"/>
      <c r="UBK659" s="268"/>
      <c r="UBL659" s="268"/>
      <c r="UBM659" s="268"/>
      <c r="UBN659" s="268"/>
      <c r="UBO659" s="268"/>
      <c r="UBP659" s="268"/>
      <c r="UBQ659" s="268"/>
      <c r="UBR659" s="268"/>
      <c r="UBS659" s="268"/>
      <c r="UBT659" s="268"/>
      <c r="UBU659" s="268"/>
      <c r="UBV659" s="268"/>
      <c r="UBW659" s="268"/>
      <c r="UBX659" s="268"/>
      <c r="UBY659" s="268"/>
      <c r="UBZ659" s="268"/>
      <c r="UCA659" s="268"/>
      <c r="UCB659" s="268"/>
      <c r="UCC659" s="268"/>
      <c r="UCD659" s="268"/>
      <c r="UCE659" s="268"/>
      <c r="UCF659" s="268"/>
      <c r="UCG659" s="268"/>
      <c r="UCH659" s="268"/>
      <c r="UCI659" s="268"/>
      <c r="UCJ659" s="268"/>
      <c r="UCK659" s="268"/>
      <c r="UCL659" s="268"/>
      <c r="UCM659" s="268"/>
      <c r="UCN659" s="268"/>
      <c r="UCO659" s="268"/>
      <c r="UCP659" s="268"/>
      <c r="UCQ659" s="268"/>
      <c r="UCR659" s="268"/>
      <c r="UCS659" s="268"/>
      <c r="UCT659" s="268"/>
      <c r="UCU659" s="268"/>
      <c r="UCV659" s="268"/>
      <c r="UCW659" s="268"/>
      <c r="UCX659" s="268"/>
      <c r="UCY659" s="268"/>
      <c r="UCZ659" s="268"/>
      <c r="UDA659" s="268"/>
      <c r="UDB659" s="268"/>
      <c r="UDC659" s="268"/>
      <c r="UDD659" s="268"/>
      <c r="UDE659" s="268"/>
      <c r="UDF659" s="268"/>
      <c r="UDG659" s="268"/>
      <c r="UDH659" s="268"/>
      <c r="UDI659" s="268"/>
      <c r="UDJ659" s="268"/>
      <c r="UDK659" s="268"/>
      <c r="UDL659" s="268"/>
      <c r="UDM659" s="268"/>
      <c r="UDN659" s="268"/>
      <c r="UDO659" s="268"/>
      <c r="UDP659" s="268"/>
      <c r="UDQ659" s="268"/>
      <c r="UDR659" s="268"/>
      <c r="UDS659" s="268"/>
      <c r="UDT659" s="268"/>
      <c r="UDU659" s="268"/>
      <c r="UDV659" s="268"/>
      <c r="UDW659" s="268"/>
      <c r="UDX659" s="268"/>
      <c r="UDY659" s="268"/>
      <c r="UDZ659" s="268"/>
      <c r="UEA659" s="268"/>
      <c r="UEO659" s="268"/>
      <c r="UEP659" s="268"/>
      <c r="UEQ659" s="268"/>
      <c r="UFE659" s="268"/>
      <c r="UFG659" s="268"/>
      <c r="UFH659" s="268"/>
      <c r="UFI659" s="268"/>
      <c r="UFJ659" s="268"/>
      <c r="UFK659" s="268"/>
      <c r="UFL659" s="268"/>
      <c r="UFM659" s="268"/>
      <c r="UFN659" s="268"/>
      <c r="UFO659" s="268"/>
      <c r="UFP659" s="268"/>
      <c r="UFQ659" s="268"/>
      <c r="UFR659" s="268"/>
      <c r="UFS659" s="268"/>
      <c r="UFT659" s="268"/>
      <c r="UFU659" s="268"/>
      <c r="UFV659" s="268"/>
      <c r="UFW659" s="268"/>
      <c r="UFX659" s="268"/>
      <c r="UFY659" s="268"/>
      <c r="UFZ659" s="268"/>
      <c r="UGA659" s="268"/>
      <c r="UGB659" s="268"/>
      <c r="UGC659" s="268"/>
      <c r="UGD659" s="268"/>
      <c r="UGE659" s="268"/>
      <c r="UGF659" s="268"/>
      <c r="UGG659" s="268"/>
      <c r="UGH659" s="268"/>
      <c r="UGI659" s="268"/>
      <c r="UGJ659" s="268"/>
      <c r="UGK659" s="268"/>
      <c r="UGL659" s="268"/>
      <c r="UGM659" s="268"/>
      <c r="UGN659" s="268"/>
      <c r="UGO659" s="268"/>
      <c r="UGP659" s="268"/>
      <c r="UGQ659" s="268"/>
      <c r="UGR659" s="268"/>
      <c r="UGS659" s="268"/>
      <c r="UGT659" s="268"/>
      <c r="UGU659" s="268"/>
      <c r="UGV659" s="268"/>
      <c r="UGW659" s="268"/>
      <c r="UGX659" s="268"/>
      <c r="UGY659" s="268"/>
      <c r="UGZ659" s="268"/>
      <c r="UHA659" s="268"/>
      <c r="UHB659" s="268"/>
      <c r="UHC659" s="268"/>
      <c r="UHD659" s="268"/>
      <c r="UHE659" s="268"/>
      <c r="UHF659" s="268"/>
      <c r="UHG659" s="268"/>
      <c r="UHH659" s="268"/>
      <c r="UHI659" s="268"/>
      <c r="UHJ659" s="268"/>
      <c r="UHK659" s="268"/>
      <c r="UHL659" s="268"/>
      <c r="UHM659" s="268"/>
      <c r="UHN659" s="268"/>
      <c r="UHO659" s="268"/>
      <c r="UHP659" s="268"/>
      <c r="UHQ659" s="268"/>
      <c r="UHR659" s="268"/>
      <c r="UHS659" s="268"/>
      <c r="UHT659" s="268"/>
      <c r="UHU659" s="268"/>
      <c r="UHV659" s="268"/>
      <c r="UHW659" s="268"/>
      <c r="UHX659" s="268"/>
      <c r="UHY659" s="268"/>
      <c r="UHZ659" s="268"/>
      <c r="UIA659" s="268"/>
      <c r="UIB659" s="268"/>
      <c r="UIC659" s="268"/>
      <c r="UID659" s="268"/>
      <c r="UIE659" s="268"/>
      <c r="UIF659" s="268"/>
      <c r="UIG659" s="268"/>
      <c r="UIH659" s="268"/>
      <c r="UII659" s="268"/>
      <c r="UIJ659" s="268"/>
      <c r="UIK659" s="268"/>
      <c r="UIL659" s="268"/>
      <c r="UIM659" s="268"/>
      <c r="UIN659" s="268"/>
      <c r="UIO659" s="268"/>
      <c r="UIP659" s="268"/>
      <c r="UIQ659" s="268"/>
      <c r="UIR659" s="268"/>
      <c r="UIS659" s="268"/>
      <c r="UIT659" s="268"/>
      <c r="UIU659" s="268"/>
      <c r="UIV659" s="268"/>
      <c r="UIW659" s="268"/>
      <c r="UIX659" s="268"/>
      <c r="UIY659" s="268"/>
      <c r="UIZ659" s="268"/>
      <c r="UJA659" s="268"/>
      <c r="UJB659" s="268"/>
      <c r="UJC659" s="268"/>
      <c r="UJD659" s="268"/>
      <c r="UJE659" s="268"/>
      <c r="UJF659" s="268"/>
      <c r="UJG659" s="268"/>
      <c r="UJH659" s="268"/>
      <c r="UJI659" s="268"/>
      <c r="UJJ659" s="268"/>
      <c r="UJK659" s="268"/>
      <c r="UJL659" s="268"/>
      <c r="UJM659" s="268"/>
      <c r="UJN659" s="268"/>
      <c r="UJO659" s="268"/>
      <c r="UJP659" s="268"/>
      <c r="UJQ659" s="268"/>
      <c r="UJR659" s="268"/>
      <c r="UJS659" s="268"/>
      <c r="UJT659" s="268"/>
      <c r="UJU659" s="268"/>
      <c r="UJV659" s="268"/>
      <c r="UJW659" s="268"/>
      <c r="UJX659" s="268"/>
      <c r="UJY659" s="268"/>
      <c r="UJZ659" s="268"/>
      <c r="UKA659" s="268"/>
      <c r="UKB659" s="268"/>
      <c r="UKC659" s="268"/>
      <c r="UKD659" s="268"/>
      <c r="UKE659" s="268"/>
      <c r="UKF659" s="268"/>
      <c r="UKG659" s="268"/>
      <c r="UKH659" s="268"/>
      <c r="UKI659" s="268"/>
      <c r="UKJ659" s="268"/>
      <c r="UKK659" s="268"/>
      <c r="UKL659" s="268"/>
      <c r="UKM659" s="268"/>
      <c r="UKN659" s="268"/>
      <c r="UKO659" s="268"/>
      <c r="UKP659" s="268"/>
      <c r="UKQ659" s="268"/>
      <c r="UKR659" s="268"/>
      <c r="UKS659" s="268"/>
      <c r="UKT659" s="268"/>
      <c r="UKU659" s="268"/>
      <c r="UKV659" s="268"/>
      <c r="UKW659" s="268"/>
      <c r="UKX659" s="268"/>
      <c r="UKY659" s="268"/>
      <c r="UKZ659" s="268"/>
      <c r="ULA659" s="268"/>
      <c r="ULB659" s="268"/>
      <c r="ULC659" s="268"/>
      <c r="ULD659" s="268"/>
      <c r="ULE659" s="268"/>
      <c r="ULF659" s="268"/>
      <c r="ULG659" s="268"/>
      <c r="ULH659" s="268"/>
      <c r="ULI659" s="268"/>
      <c r="ULJ659" s="268"/>
      <c r="ULK659" s="268"/>
      <c r="ULL659" s="268"/>
      <c r="ULM659" s="268"/>
      <c r="ULN659" s="268"/>
      <c r="ULO659" s="268"/>
      <c r="ULP659" s="268"/>
      <c r="ULQ659" s="268"/>
      <c r="ULR659" s="268"/>
      <c r="ULS659" s="268"/>
      <c r="ULT659" s="268"/>
      <c r="ULU659" s="268"/>
      <c r="ULV659" s="268"/>
      <c r="ULW659" s="268"/>
      <c r="ULX659" s="268"/>
      <c r="ULY659" s="268"/>
      <c r="ULZ659" s="268"/>
      <c r="UMA659" s="268"/>
      <c r="UMB659" s="268"/>
      <c r="UMC659" s="268"/>
      <c r="UMD659" s="268"/>
      <c r="UME659" s="268"/>
      <c r="UMF659" s="268"/>
      <c r="UMG659" s="268"/>
      <c r="UMH659" s="268"/>
      <c r="UMI659" s="268"/>
      <c r="UMJ659" s="268"/>
      <c r="UMK659" s="268"/>
      <c r="UML659" s="268"/>
      <c r="UMM659" s="268"/>
      <c r="UMN659" s="268"/>
      <c r="UMO659" s="268"/>
      <c r="UMP659" s="268"/>
      <c r="UMQ659" s="268"/>
      <c r="UMR659" s="268"/>
      <c r="UMS659" s="268"/>
      <c r="UMT659" s="268"/>
      <c r="UMU659" s="268"/>
      <c r="UMV659" s="268"/>
      <c r="UMW659" s="268"/>
      <c r="UMX659" s="268"/>
      <c r="UMY659" s="268"/>
      <c r="UMZ659" s="268"/>
      <c r="UNA659" s="268"/>
      <c r="UNB659" s="268"/>
      <c r="UNC659" s="268"/>
      <c r="UND659" s="268"/>
      <c r="UNE659" s="268"/>
      <c r="UNF659" s="268"/>
      <c r="UNG659" s="268"/>
      <c r="UNH659" s="268"/>
      <c r="UNI659" s="268"/>
      <c r="UNJ659" s="268"/>
      <c r="UNK659" s="268"/>
      <c r="UNL659" s="268"/>
      <c r="UNM659" s="268"/>
      <c r="UNN659" s="268"/>
      <c r="UNO659" s="268"/>
      <c r="UNP659" s="268"/>
      <c r="UNQ659" s="268"/>
      <c r="UNR659" s="268"/>
      <c r="UNS659" s="268"/>
      <c r="UNT659" s="268"/>
      <c r="UNU659" s="268"/>
      <c r="UNV659" s="268"/>
      <c r="UNW659" s="268"/>
      <c r="UOK659" s="268"/>
      <c r="UOL659" s="268"/>
      <c r="UOM659" s="268"/>
      <c r="UPA659" s="268"/>
      <c r="UPC659" s="268"/>
      <c r="UPD659" s="268"/>
      <c r="UPE659" s="268"/>
      <c r="UPF659" s="268"/>
      <c r="UPG659" s="268"/>
      <c r="UPH659" s="268"/>
      <c r="UPI659" s="268"/>
      <c r="UPJ659" s="268"/>
      <c r="UPK659" s="268"/>
      <c r="UPL659" s="268"/>
      <c r="UPM659" s="268"/>
      <c r="UPN659" s="268"/>
      <c r="UPO659" s="268"/>
      <c r="UPP659" s="268"/>
      <c r="UPQ659" s="268"/>
      <c r="UPR659" s="268"/>
      <c r="UPS659" s="268"/>
      <c r="UPT659" s="268"/>
      <c r="UPU659" s="268"/>
      <c r="UPV659" s="268"/>
      <c r="UPW659" s="268"/>
      <c r="UPX659" s="268"/>
      <c r="UPY659" s="268"/>
      <c r="UPZ659" s="268"/>
      <c r="UQA659" s="268"/>
      <c r="UQB659" s="268"/>
      <c r="UQC659" s="268"/>
      <c r="UQD659" s="268"/>
      <c r="UQE659" s="268"/>
      <c r="UQF659" s="268"/>
      <c r="UQG659" s="268"/>
      <c r="UQH659" s="268"/>
      <c r="UQI659" s="268"/>
      <c r="UQJ659" s="268"/>
      <c r="UQK659" s="268"/>
      <c r="UQL659" s="268"/>
      <c r="UQM659" s="268"/>
      <c r="UQN659" s="268"/>
      <c r="UQO659" s="268"/>
      <c r="UQP659" s="268"/>
      <c r="UQQ659" s="268"/>
      <c r="UQR659" s="268"/>
      <c r="UQS659" s="268"/>
      <c r="UQT659" s="268"/>
      <c r="UQU659" s="268"/>
      <c r="UQV659" s="268"/>
      <c r="UQW659" s="268"/>
      <c r="UQX659" s="268"/>
      <c r="UQY659" s="268"/>
      <c r="UQZ659" s="268"/>
      <c r="URA659" s="268"/>
      <c r="URB659" s="268"/>
      <c r="URC659" s="268"/>
      <c r="URD659" s="268"/>
      <c r="URE659" s="268"/>
      <c r="URF659" s="268"/>
      <c r="URG659" s="268"/>
      <c r="URH659" s="268"/>
      <c r="URI659" s="268"/>
      <c r="URJ659" s="268"/>
      <c r="URK659" s="268"/>
      <c r="URL659" s="268"/>
      <c r="URM659" s="268"/>
      <c r="URN659" s="268"/>
      <c r="URO659" s="268"/>
      <c r="URP659" s="268"/>
      <c r="URQ659" s="268"/>
      <c r="URR659" s="268"/>
      <c r="URS659" s="268"/>
      <c r="URT659" s="268"/>
      <c r="URU659" s="268"/>
      <c r="URV659" s="268"/>
      <c r="URW659" s="268"/>
      <c r="URX659" s="268"/>
      <c r="URY659" s="268"/>
      <c r="URZ659" s="268"/>
      <c r="USA659" s="268"/>
      <c r="USB659" s="268"/>
      <c r="USC659" s="268"/>
      <c r="USD659" s="268"/>
      <c r="USE659" s="268"/>
      <c r="USF659" s="268"/>
      <c r="USG659" s="268"/>
      <c r="USH659" s="268"/>
      <c r="USI659" s="268"/>
      <c r="USJ659" s="268"/>
      <c r="USK659" s="268"/>
      <c r="USL659" s="268"/>
      <c r="USM659" s="268"/>
      <c r="USN659" s="268"/>
      <c r="USO659" s="268"/>
      <c r="USP659" s="268"/>
      <c r="USQ659" s="268"/>
      <c r="USR659" s="268"/>
      <c r="USS659" s="268"/>
      <c r="UST659" s="268"/>
      <c r="USU659" s="268"/>
      <c r="USV659" s="268"/>
      <c r="USW659" s="268"/>
      <c r="USX659" s="268"/>
      <c r="USY659" s="268"/>
      <c r="USZ659" s="268"/>
      <c r="UTA659" s="268"/>
      <c r="UTB659" s="268"/>
      <c r="UTC659" s="268"/>
      <c r="UTD659" s="268"/>
      <c r="UTE659" s="268"/>
      <c r="UTF659" s="268"/>
      <c r="UTG659" s="268"/>
      <c r="UTH659" s="268"/>
      <c r="UTI659" s="268"/>
      <c r="UTJ659" s="268"/>
      <c r="UTK659" s="268"/>
      <c r="UTL659" s="268"/>
      <c r="UTM659" s="268"/>
      <c r="UTN659" s="268"/>
      <c r="UTO659" s="268"/>
      <c r="UTP659" s="268"/>
      <c r="UTQ659" s="268"/>
      <c r="UTR659" s="268"/>
      <c r="UTS659" s="268"/>
      <c r="UTT659" s="268"/>
      <c r="UTU659" s="268"/>
      <c r="UTV659" s="268"/>
      <c r="UTW659" s="268"/>
      <c r="UTX659" s="268"/>
      <c r="UTY659" s="268"/>
      <c r="UTZ659" s="268"/>
      <c r="UUA659" s="268"/>
      <c r="UUB659" s="268"/>
      <c r="UUC659" s="268"/>
      <c r="UUD659" s="268"/>
      <c r="UUE659" s="268"/>
      <c r="UUF659" s="268"/>
      <c r="UUG659" s="268"/>
      <c r="UUH659" s="268"/>
      <c r="UUI659" s="268"/>
      <c r="UUJ659" s="268"/>
      <c r="UUK659" s="268"/>
      <c r="UUL659" s="268"/>
      <c r="UUM659" s="268"/>
      <c r="UUN659" s="268"/>
      <c r="UUO659" s="268"/>
      <c r="UUP659" s="268"/>
      <c r="UUQ659" s="268"/>
      <c r="UUR659" s="268"/>
      <c r="UUS659" s="268"/>
      <c r="UUT659" s="268"/>
      <c r="UUU659" s="268"/>
      <c r="UUV659" s="268"/>
      <c r="UUW659" s="268"/>
      <c r="UUX659" s="268"/>
      <c r="UUY659" s="268"/>
      <c r="UUZ659" s="268"/>
      <c r="UVA659" s="268"/>
      <c r="UVB659" s="268"/>
      <c r="UVC659" s="268"/>
      <c r="UVD659" s="268"/>
      <c r="UVE659" s="268"/>
      <c r="UVF659" s="268"/>
      <c r="UVG659" s="268"/>
      <c r="UVH659" s="268"/>
      <c r="UVI659" s="268"/>
      <c r="UVJ659" s="268"/>
      <c r="UVK659" s="268"/>
      <c r="UVL659" s="268"/>
      <c r="UVM659" s="268"/>
      <c r="UVN659" s="268"/>
      <c r="UVO659" s="268"/>
      <c r="UVP659" s="268"/>
      <c r="UVQ659" s="268"/>
      <c r="UVR659" s="268"/>
      <c r="UVS659" s="268"/>
      <c r="UVT659" s="268"/>
      <c r="UVU659" s="268"/>
      <c r="UVV659" s="268"/>
      <c r="UVW659" s="268"/>
      <c r="UVX659" s="268"/>
      <c r="UVY659" s="268"/>
      <c r="UVZ659" s="268"/>
      <c r="UWA659" s="268"/>
      <c r="UWB659" s="268"/>
      <c r="UWC659" s="268"/>
      <c r="UWD659" s="268"/>
      <c r="UWE659" s="268"/>
      <c r="UWF659" s="268"/>
      <c r="UWG659" s="268"/>
      <c r="UWH659" s="268"/>
      <c r="UWI659" s="268"/>
      <c r="UWJ659" s="268"/>
      <c r="UWK659" s="268"/>
      <c r="UWL659" s="268"/>
      <c r="UWM659" s="268"/>
      <c r="UWN659" s="268"/>
      <c r="UWO659" s="268"/>
      <c r="UWP659" s="268"/>
      <c r="UWQ659" s="268"/>
      <c r="UWR659" s="268"/>
      <c r="UWS659" s="268"/>
      <c r="UWT659" s="268"/>
      <c r="UWU659" s="268"/>
      <c r="UWV659" s="268"/>
      <c r="UWW659" s="268"/>
      <c r="UWX659" s="268"/>
      <c r="UWY659" s="268"/>
      <c r="UWZ659" s="268"/>
      <c r="UXA659" s="268"/>
      <c r="UXB659" s="268"/>
      <c r="UXC659" s="268"/>
      <c r="UXD659" s="268"/>
      <c r="UXE659" s="268"/>
      <c r="UXF659" s="268"/>
      <c r="UXG659" s="268"/>
      <c r="UXH659" s="268"/>
      <c r="UXI659" s="268"/>
      <c r="UXJ659" s="268"/>
      <c r="UXK659" s="268"/>
      <c r="UXL659" s="268"/>
      <c r="UXM659" s="268"/>
      <c r="UXN659" s="268"/>
      <c r="UXO659" s="268"/>
      <c r="UXP659" s="268"/>
      <c r="UXQ659" s="268"/>
      <c r="UXR659" s="268"/>
      <c r="UXS659" s="268"/>
      <c r="UYG659" s="268"/>
      <c r="UYH659" s="268"/>
      <c r="UYI659" s="268"/>
      <c r="UYW659" s="268"/>
      <c r="UYY659" s="268"/>
      <c r="UYZ659" s="268"/>
      <c r="UZA659" s="268"/>
      <c r="UZB659" s="268"/>
      <c r="UZC659" s="268"/>
      <c r="UZD659" s="268"/>
      <c r="UZE659" s="268"/>
      <c r="UZF659" s="268"/>
      <c r="UZG659" s="268"/>
      <c r="UZH659" s="268"/>
      <c r="UZI659" s="268"/>
      <c r="UZJ659" s="268"/>
      <c r="UZK659" s="268"/>
      <c r="UZL659" s="268"/>
      <c r="UZM659" s="268"/>
      <c r="UZN659" s="268"/>
      <c r="UZO659" s="268"/>
      <c r="UZP659" s="268"/>
      <c r="UZQ659" s="268"/>
      <c r="UZR659" s="268"/>
      <c r="UZS659" s="268"/>
      <c r="UZT659" s="268"/>
      <c r="UZU659" s="268"/>
      <c r="UZV659" s="268"/>
      <c r="UZW659" s="268"/>
      <c r="UZX659" s="268"/>
      <c r="UZY659" s="268"/>
      <c r="UZZ659" s="268"/>
      <c r="VAA659" s="268"/>
      <c r="VAB659" s="268"/>
      <c r="VAC659" s="268"/>
      <c r="VAD659" s="268"/>
      <c r="VAE659" s="268"/>
      <c r="VAF659" s="268"/>
      <c r="VAG659" s="268"/>
      <c r="VAH659" s="268"/>
      <c r="VAI659" s="268"/>
      <c r="VAJ659" s="268"/>
      <c r="VAK659" s="268"/>
      <c r="VAL659" s="268"/>
      <c r="VAM659" s="268"/>
      <c r="VAN659" s="268"/>
      <c r="VAO659" s="268"/>
      <c r="VAP659" s="268"/>
      <c r="VAQ659" s="268"/>
      <c r="VAR659" s="268"/>
      <c r="VAS659" s="268"/>
      <c r="VAT659" s="268"/>
      <c r="VAU659" s="268"/>
      <c r="VAV659" s="268"/>
      <c r="VAW659" s="268"/>
      <c r="VAX659" s="268"/>
      <c r="VAY659" s="268"/>
      <c r="VAZ659" s="268"/>
      <c r="VBA659" s="268"/>
      <c r="VBB659" s="268"/>
      <c r="VBC659" s="268"/>
      <c r="VBD659" s="268"/>
      <c r="VBE659" s="268"/>
      <c r="VBF659" s="268"/>
      <c r="VBG659" s="268"/>
      <c r="VBH659" s="268"/>
      <c r="VBI659" s="268"/>
      <c r="VBJ659" s="268"/>
      <c r="VBK659" s="268"/>
      <c r="VBL659" s="268"/>
      <c r="VBM659" s="268"/>
      <c r="VBN659" s="268"/>
      <c r="VBO659" s="268"/>
      <c r="VBP659" s="268"/>
      <c r="VBQ659" s="268"/>
      <c r="VBR659" s="268"/>
      <c r="VBS659" s="268"/>
      <c r="VBT659" s="268"/>
      <c r="VBU659" s="268"/>
      <c r="VBV659" s="268"/>
      <c r="VBW659" s="268"/>
      <c r="VBX659" s="268"/>
      <c r="VBY659" s="268"/>
      <c r="VBZ659" s="268"/>
      <c r="VCA659" s="268"/>
      <c r="VCB659" s="268"/>
      <c r="VCC659" s="268"/>
      <c r="VCD659" s="268"/>
      <c r="VCE659" s="268"/>
      <c r="VCF659" s="268"/>
      <c r="VCG659" s="268"/>
      <c r="VCH659" s="268"/>
      <c r="VCI659" s="268"/>
      <c r="VCJ659" s="268"/>
      <c r="VCK659" s="268"/>
      <c r="VCL659" s="268"/>
      <c r="VCM659" s="268"/>
      <c r="VCN659" s="268"/>
      <c r="VCO659" s="268"/>
      <c r="VCP659" s="268"/>
      <c r="VCQ659" s="268"/>
      <c r="VCR659" s="268"/>
      <c r="VCS659" s="268"/>
      <c r="VCT659" s="268"/>
      <c r="VCU659" s="268"/>
      <c r="VCV659" s="268"/>
      <c r="VCW659" s="268"/>
      <c r="VCX659" s="268"/>
      <c r="VCY659" s="268"/>
      <c r="VCZ659" s="268"/>
      <c r="VDA659" s="268"/>
      <c r="VDB659" s="268"/>
      <c r="VDC659" s="268"/>
      <c r="VDD659" s="268"/>
      <c r="VDE659" s="268"/>
      <c r="VDF659" s="268"/>
      <c r="VDG659" s="268"/>
      <c r="VDH659" s="268"/>
      <c r="VDI659" s="268"/>
      <c r="VDJ659" s="268"/>
      <c r="VDK659" s="268"/>
      <c r="VDL659" s="268"/>
      <c r="VDM659" s="268"/>
      <c r="VDN659" s="268"/>
      <c r="VDO659" s="268"/>
      <c r="VDP659" s="268"/>
      <c r="VDQ659" s="268"/>
      <c r="VDR659" s="268"/>
      <c r="VDS659" s="268"/>
      <c r="VDT659" s="268"/>
      <c r="VDU659" s="268"/>
      <c r="VDV659" s="268"/>
      <c r="VDW659" s="268"/>
      <c r="VDX659" s="268"/>
      <c r="VDY659" s="268"/>
      <c r="VDZ659" s="268"/>
      <c r="VEA659" s="268"/>
      <c r="VEB659" s="268"/>
      <c r="VEC659" s="268"/>
      <c r="VED659" s="268"/>
      <c r="VEE659" s="268"/>
      <c r="VEF659" s="268"/>
      <c r="VEG659" s="268"/>
      <c r="VEH659" s="268"/>
      <c r="VEI659" s="268"/>
      <c r="VEJ659" s="268"/>
      <c r="VEK659" s="268"/>
      <c r="VEL659" s="268"/>
      <c r="VEM659" s="268"/>
      <c r="VEN659" s="268"/>
      <c r="VEO659" s="268"/>
      <c r="VEP659" s="268"/>
      <c r="VEQ659" s="268"/>
      <c r="VER659" s="268"/>
      <c r="VES659" s="268"/>
      <c r="VET659" s="268"/>
      <c r="VEU659" s="268"/>
      <c r="VEV659" s="268"/>
      <c r="VEW659" s="268"/>
      <c r="VEX659" s="268"/>
      <c r="VEY659" s="268"/>
      <c r="VEZ659" s="268"/>
      <c r="VFA659" s="268"/>
      <c r="VFB659" s="268"/>
      <c r="VFC659" s="268"/>
      <c r="VFD659" s="268"/>
      <c r="VFE659" s="268"/>
      <c r="VFF659" s="268"/>
      <c r="VFG659" s="268"/>
      <c r="VFH659" s="268"/>
      <c r="VFI659" s="268"/>
      <c r="VFJ659" s="268"/>
      <c r="VFK659" s="268"/>
      <c r="VFL659" s="268"/>
      <c r="VFM659" s="268"/>
      <c r="VFN659" s="268"/>
      <c r="VFO659" s="268"/>
      <c r="VFP659" s="268"/>
      <c r="VFQ659" s="268"/>
      <c r="VFR659" s="268"/>
      <c r="VFS659" s="268"/>
      <c r="VFT659" s="268"/>
      <c r="VFU659" s="268"/>
      <c r="VFV659" s="268"/>
      <c r="VFW659" s="268"/>
      <c r="VFX659" s="268"/>
      <c r="VFY659" s="268"/>
      <c r="VFZ659" s="268"/>
      <c r="VGA659" s="268"/>
      <c r="VGB659" s="268"/>
      <c r="VGC659" s="268"/>
      <c r="VGD659" s="268"/>
      <c r="VGE659" s="268"/>
      <c r="VGF659" s="268"/>
      <c r="VGG659" s="268"/>
      <c r="VGH659" s="268"/>
      <c r="VGI659" s="268"/>
      <c r="VGJ659" s="268"/>
      <c r="VGK659" s="268"/>
      <c r="VGL659" s="268"/>
      <c r="VGM659" s="268"/>
      <c r="VGN659" s="268"/>
      <c r="VGO659" s="268"/>
      <c r="VGP659" s="268"/>
      <c r="VGQ659" s="268"/>
      <c r="VGR659" s="268"/>
      <c r="VGS659" s="268"/>
      <c r="VGT659" s="268"/>
      <c r="VGU659" s="268"/>
      <c r="VGV659" s="268"/>
      <c r="VGW659" s="268"/>
      <c r="VGX659" s="268"/>
      <c r="VGY659" s="268"/>
      <c r="VGZ659" s="268"/>
      <c r="VHA659" s="268"/>
      <c r="VHB659" s="268"/>
      <c r="VHC659" s="268"/>
      <c r="VHD659" s="268"/>
      <c r="VHE659" s="268"/>
      <c r="VHF659" s="268"/>
      <c r="VHG659" s="268"/>
      <c r="VHH659" s="268"/>
      <c r="VHI659" s="268"/>
      <c r="VHJ659" s="268"/>
      <c r="VHK659" s="268"/>
      <c r="VHL659" s="268"/>
      <c r="VHM659" s="268"/>
      <c r="VHN659" s="268"/>
      <c r="VHO659" s="268"/>
      <c r="VIC659" s="268"/>
      <c r="VID659" s="268"/>
      <c r="VIE659" s="268"/>
      <c r="VIS659" s="268"/>
      <c r="VIU659" s="268"/>
      <c r="VIV659" s="268"/>
      <c r="VIW659" s="268"/>
      <c r="VIX659" s="268"/>
      <c r="VIY659" s="268"/>
      <c r="VIZ659" s="268"/>
      <c r="VJA659" s="268"/>
      <c r="VJB659" s="268"/>
      <c r="VJC659" s="268"/>
      <c r="VJD659" s="268"/>
      <c r="VJE659" s="268"/>
      <c r="VJF659" s="268"/>
      <c r="VJG659" s="268"/>
      <c r="VJH659" s="268"/>
      <c r="VJI659" s="268"/>
      <c r="VJJ659" s="268"/>
      <c r="VJK659" s="268"/>
      <c r="VJL659" s="268"/>
      <c r="VJM659" s="268"/>
      <c r="VJN659" s="268"/>
      <c r="VJO659" s="268"/>
      <c r="VJP659" s="268"/>
      <c r="VJQ659" s="268"/>
      <c r="VJR659" s="268"/>
      <c r="VJS659" s="268"/>
      <c r="VJT659" s="268"/>
      <c r="VJU659" s="268"/>
      <c r="VJV659" s="268"/>
      <c r="VJW659" s="268"/>
      <c r="VJX659" s="268"/>
      <c r="VJY659" s="268"/>
      <c r="VJZ659" s="268"/>
      <c r="VKA659" s="268"/>
      <c r="VKB659" s="268"/>
      <c r="VKC659" s="268"/>
      <c r="VKD659" s="268"/>
      <c r="VKE659" s="268"/>
      <c r="VKF659" s="268"/>
      <c r="VKG659" s="268"/>
      <c r="VKH659" s="268"/>
      <c r="VKI659" s="268"/>
      <c r="VKJ659" s="268"/>
      <c r="VKK659" s="268"/>
      <c r="VKL659" s="268"/>
      <c r="VKM659" s="268"/>
      <c r="VKN659" s="268"/>
      <c r="VKO659" s="268"/>
      <c r="VKP659" s="268"/>
      <c r="VKQ659" s="268"/>
      <c r="VKR659" s="268"/>
      <c r="VKS659" s="268"/>
      <c r="VKT659" s="268"/>
      <c r="VKU659" s="268"/>
      <c r="VKV659" s="268"/>
      <c r="VKW659" s="268"/>
      <c r="VKX659" s="268"/>
      <c r="VKY659" s="268"/>
      <c r="VKZ659" s="268"/>
      <c r="VLA659" s="268"/>
      <c r="VLB659" s="268"/>
      <c r="VLC659" s="268"/>
      <c r="VLD659" s="268"/>
      <c r="VLE659" s="268"/>
      <c r="VLF659" s="268"/>
      <c r="VLG659" s="268"/>
      <c r="VLH659" s="268"/>
      <c r="VLI659" s="268"/>
      <c r="VLJ659" s="268"/>
      <c r="VLK659" s="268"/>
      <c r="VLL659" s="268"/>
      <c r="VLM659" s="268"/>
      <c r="VLN659" s="268"/>
      <c r="VLO659" s="268"/>
      <c r="VLP659" s="268"/>
      <c r="VLQ659" s="268"/>
      <c r="VLR659" s="268"/>
      <c r="VLS659" s="268"/>
      <c r="VLT659" s="268"/>
      <c r="VLU659" s="268"/>
      <c r="VLV659" s="268"/>
      <c r="VLW659" s="268"/>
      <c r="VLX659" s="268"/>
      <c r="VLY659" s="268"/>
      <c r="VLZ659" s="268"/>
      <c r="VMA659" s="268"/>
      <c r="VMB659" s="268"/>
      <c r="VMC659" s="268"/>
      <c r="VMD659" s="268"/>
      <c r="VME659" s="268"/>
      <c r="VMF659" s="268"/>
      <c r="VMG659" s="268"/>
      <c r="VMH659" s="268"/>
      <c r="VMI659" s="268"/>
      <c r="VMJ659" s="268"/>
      <c r="VMK659" s="268"/>
      <c r="VML659" s="268"/>
      <c r="VMM659" s="268"/>
      <c r="VMN659" s="268"/>
      <c r="VMO659" s="268"/>
      <c r="VMP659" s="268"/>
      <c r="VMQ659" s="268"/>
      <c r="VMR659" s="268"/>
      <c r="VMS659" s="268"/>
      <c r="VMT659" s="268"/>
      <c r="VMU659" s="268"/>
      <c r="VMV659" s="268"/>
      <c r="VMW659" s="268"/>
      <c r="VMX659" s="268"/>
      <c r="VMY659" s="268"/>
      <c r="VMZ659" s="268"/>
      <c r="VNA659" s="268"/>
      <c r="VNB659" s="268"/>
      <c r="VNC659" s="268"/>
      <c r="VND659" s="268"/>
      <c r="VNE659" s="268"/>
      <c r="VNF659" s="268"/>
      <c r="VNG659" s="268"/>
      <c r="VNH659" s="268"/>
      <c r="VNI659" s="268"/>
      <c r="VNJ659" s="268"/>
      <c r="VNK659" s="268"/>
      <c r="VNL659" s="268"/>
      <c r="VNM659" s="268"/>
      <c r="VNN659" s="268"/>
      <c r="VNO659" s="268"/>
      <c r="VNP659" s="268"/>
      <c r="VNQ659" s="268"/>
      <c r="VNR659" s="268"/>
      <c r="VNS659" s="268"/>
      <c r="VNT659" s="268"/>
      <c r="VNU659" s="268"/>
      <c r="VNV659" s="268"/>
      <c r="VNW659" s="268"/>
      <c r="VNX659" s="268"/>
      <c r="VNY659" s="268"/>
      <c r="VNZ659" s="268"/>
      <c r="VOA659" s="268"/>
      <c r="VOB659" s="268"/>
      <c r="VOC659" s="268"/>
      <c r="VOD659" s="268"/>
      <c r="VOE659" s="268"/>
      <c r="VOF659" s="268"/>
      <c r="VOG659" s="268"/>
      <c r="VOH659" s="268"/>
      <c r="VOI659" s="268"/>
      <c r="VOJ659" s="268"/>
      <c r="VOK659" s="268"/>
      <c r="VOL659" s="268"/>
      <c r="VOM659" s="268"/>
      <c r="VON659" s="268"/>
      <c r="VOO659" s="268"/>
      <c r="VOP659" s="268"/>
      <c r="VOQ659" s="268"/>
      <c r="VOR659" s="268"/>
      <c r="VOS659" s="268"/>
      <c r="VOT659" s="268"/>
      <c r="VOU659" s="268"/>
      <c r="VOV659" s="268"/>
      <c r="VOW659" s="268"/>
      <c r="VOX659" s="268"/>
      <c r="VOY659" s="268"/>
      <c r="VOZ659" s="268"/>
      <c r="VPA659" s="268"/>
      <c r="VPB659" s="268"/>
      <c r="VPC659" s="268"/>
      <c r="VPD659" s="268"/>
      <c r="VPE659" s="268"/>
      <c r="VPF659" s="268"/>
      <c r="VPG659" s="268"/>
      <c r="VPH659" s="268"/>
      <c r="VPI659" s="268"/>
      <c r="VPJ659" s="268"/>
      <c r="VPK659" s="268"/>
      <c r="VPL659" s="268"/>
      <c r="VPM659" s="268"/>
      <c r="VPN659" s="268"/>
      <c r="VPO659" s="268"/>
      <c r="VPP659" s="268"/>
      <c r="VPQ659" s="268"/>
      <c r="VPR659" s="268"/>
      <c r="VPS659" s="268"/>
      <c r="VPT659" s="268"/>
      <c r="VPU659" s="268"/>
      <c r="VPV659" s="268"/>
      <c r="VPW659" s="268"/>
      <c r="VPX659" s="268"/>
      <c r="VPY659" s="268"/>
      <c r="VPZ659" s="268"/>
      <c r="VQA659" s="268"/>
      <c r="VQB659" s="268"/>
      <c r="VQC659" s="268"/>
      <c r="VQD659" s="268"/>
      <c r="VQE659" s="268"/>
      <c r="VQF659" s="268"/>
      <c r="VQG659" s="268"/>
      <c r="VQH659" s="268"/>
      <c r="VQI659" s="268"/>
      <c r="VQJ659" s="268"/>
      <c r="VQK659" s="268"/>
      <c r="VQL659" s="268"/>
      <c r="VQM659" s="268"/>
      <c r="VQN659" s="268"/>
      <c r="VQO659" s="268"/>
      <c r="VQP659" s="268"/>
      <c r="VQQ659" s="268"/>
      <c r="VQR659" s="268"/>
      <c r="VQS659" s="268"/>
      <c r="VQT659" s="268"/>
      <c r="VQU659" s="268"/>
      <c r="VQV659" s="268"/>
      <c r="VQW659" s="268"/>
      <c r="VQX659" s="268"/>
      <c r="VQY659" s="268"/>
      <c r="VQZ659" s="268"/>
      <c r="VRA659" s="268"/>
      <c r="VRB659" s="268"/>
      <c r="VRC659" s="268"/>
      <c r="VRD659" s="268"/>
      <c r="VRE659" s="268"/>
      <c r="VRF659" s="268"/>
      <c r="VRG659" s="268"/>
      <c r="VRH659" s="268"/>
      <c r="VRI659" s="268"/>
      <c r="VRJ659" s="268"/>
      <c r="VRK659" s="268"/>
      <c r="VRY659" s="268"/>
      <c r="VRZ659" s="268"/>
      <c r="VSA659" s="268"/>
      <c r="VSO659" s="268"/>
      <c r="VSQ659" s="268"/>
      <c r="VSR659" s="268"/>
      <c r="VSS659" s="268"/>
      <c r="VST659" s="268"/>
      <c r="VSU659" s="268"/>
      <c r="VSV659" s="268"/>
      <c r="VSW659" s="268"/>
      <c r="VSX659" s="268"/>
      <c r="VSY659" s="268"/>
      <c r="VSZ659" s="268"/>
      <c r="VTA659" s="268"/>
      <c r="VTB659" s="268"/>
      <c r="VTC659" s="268"/>
      <c r="VTD659" s="268"/>
      <c r="VTE659" s="268"/>
      <c r="VTF659" s="268"/>
      <c r="VTG659" s="268"/>
      <c r="VTH659" s="268"/>
      <c r="VTI659" s="268"/>
      <c r="VTJ659" s="268"/>
      <c r="VTK659" s="268"/>
      <c r="VTL659" s="268"/>
      <c r="VTM659" s="268"/>
      <c r="VTN659" s="268"/>
      <c r="VTO659" s="268"/>
      <c r="VTP659" s="268"/>
      <c r="VTQ659" s="268"/>
      <c r="VTR659" s="268"/>
      <c r="VTS659" s="268"/>
      <c r="VTT659" s="268"/>
      <c r="VTU659" s="268"/>
      <c r="VTV659" s="268"/>
      <c r="VTW659" s="268"/>
      <c r="VTX659" s="268"/>
      <c r="VTY659" s="268"/>
      <c r="VTZ659" s="268"/>
      <c r="VUA659" s="268"/>
      <c r="VUB659" s="268"/>
      <c r="VUC659" s="268"/>
      <c r="VUD659" s="268"/>
      <c r="VUE659" s="268"/>
      <c r="VUF659" s="268"/>
      <c r="VUG659" s="268"/>
      <c r="VUH659" s="268"/>
      <c r="VUI659" s="268"/>
      <c r="VUJ659" s="268"/>
      <c r="VUK659" s="268"/>
      <c r="VUL659" s="268"/>
      <c r="VUM659" s="268"/>
      <c r="VUN659" s="268"/>
      <c r="VUO659" s="268"/>
      <c r="VUP659" s="268"/>
      <c r="VUQ659" s="268"/>
      <c r="VUR659" s="268"/>
      <c r="VUS659" s="268"/>
      <c r="VUT659" s="268"/>
      <c r="VUU659" s="268"/>
      <c r="VUV659" s="268"/>
      <c r="VUW659" s="268"/>
      <c r="VUX659" s="268"/>
      <c r="VUY659" s="268"/>
      <c r="VUZ659" s="268"/>
      <c r="VVA659" s="268"/>
      <c r="VVB659" s="268"/>
      <c r="VVC659" s="268"/>
      <c r="VVD659" s="268"/>
      <c r="VVE659" s="268"/>
      <c r="VVF659" s="268"/>
      <c r="VVG659" s="268"/>
      <c r="VVH659" s="268"/>
      <c r="VVI659" s="268"/>
      <c r="VVJ659" s="268"/>
      <c r="VVK659" s="268"/>
      <c r="VVL659" s="268"/>
      <c r="VVM659" s="268"/>
      <c r="VVN659" s="268"/>
      <c r="VVO659" s="268"/>
      <c r="VVP659" s="268"/>
      <c r="VVQ659" s="268"/>
      <c r="VVR659" s="268"/>
      <c r="VVS659" s="268"/>
      <c r="VVT659" s="268"/>
      <c r="VVU659" s="268"/>
      <c r="VVV659" s="268"/>
      <c r="VVW659" s="268"/>
      <c r="VVX659" s="268"/>
      <c r="VVY659" s="268"/>
      <c r="VVZ659" s="268"/>
      <c r="VWA659" s="268"/>
      <c r="VWB659" s="268"/>
      <c r="VWC659" s="268"/>
      <c r="VWD659" s="268"/>
      <c r="VWE659" s="268"/>
      <c r="VWF659" s="268"/>
      <c r="VWG659" s="268"/>
      <c r="VWH659" s="268"/>
      <c r="VWI659" s="268"/>
      <c r="VWJ659" s="268"/>
      <c r="VWK659" s="268"/>
      <c r="VWL659" s="268"/>
      <c r="VWM659" s="268"/>
      <c r="VWN659" s="268"/>
      <c r="VWO659" s="268"/>
      <c r="VWP659" s="268"/>
      <c r="VWQ659" s="268"/>
      <c r="VWR659" s="268"/>
      <c r="VWS659" s="268"/>
      <c r="VWT659" s="268"/>
      <c r="VWU659" s="268"/>
      <c r="VWV659" s="268"/>
      <c r="VWW659" s="268"/>
      <c r="VWX659" s="268"/>
      <c r="VWY659" s="268"/>
      <c r="VWZ659" s="268"/>
      <c r="VXA659" s="268"/>
      <c r="VXB659" s="268"/>
      <c r="VXC659" s="268"/>
      <c r="VXD659" s="268"/>
      <c r="VXE659" s="268"/>
      <c r="VXF659" s="268"/>
      <c r="VXG659" s="268"/>
      <c r="VXH659" s="268"/>
      <c r="VXI659" s="268"/>
      <c r="VXJ659" s="268"/>
      <c r="VXK659" s="268"/>
      <c r="VXL659" s="268"/>
      <c r="VXM659" s="268"/>
      <c r="VXN659" s="268"/>
      <c r="VXO659" s="268"/>
      <c r="VXP659" s="268"/>
      <c r="VXQ659" s="268"/>
      <c r="VXR659" s="268"/>
      <c r="VXS659" s="268"/>
      <c r="VXT659" s="268"/>
      <c r="VXU659" s="268"/>
      <c r="VXV659" s="268"/>
      <c r="VXW659" s="268"/>
      <c r="VXX659" s="268"/>
      <c r="VXY659" s="268"/>
      <c r="VXZ659" s="268"/>
      <c r="VYA659" s="268"/>
      <c r="VYB659" s="268"/>
      <c r="VYC659" s="268"/>
      <c r="VYD659" s="268"/>
      <c r="VYE659" s="268"/>
      <c r="VYF659" s="268"/>
      <c r="VYG659" s="268"/>
      <c r="VYH659" s="268"/>
      <c r="VYI659" s="268"/>
      <c r="VYJ659" s="268"/>
      <c r="VYK659" s="268"/>
      <c r="VYL659" s="268"/>
      <c r="VYM659" s="268"/>
      <c r="VYN659" s="268"/>
      <c r="VYO659" s="268"/>
      <c r="VYP659" s="268"/>
      <c r="VYQ659" s="268"/>
      <c r="VYR659" s="268"/>
      <c r="VYS659" s="268"/>
      <c r="VYT659" s="268"/>
      <c r="VYU659" s="268"/>
      <c r="VYV659" s="268"/>
      <c r="VYW659" s="268"/>
      <c r="VYX659" s="268"/>
      <c r="VYY659" s="268"/>
      <c r="VYZ659" s="268"/>
      <c r="VZA659" s="268"/>
      <c r="VZB659" s="268"/>
      <c r="VZC659" s="268"/>
      <c r="VZD659" s="268"/>
      <c r="VZE659" s="268"/>
      <c r="VZF659" s="268"/>
      <c r="VZG659" s="268"/>
      <c r="VZH659" s="268"/>
      <c r="VZI659" s="268"/>
      <c r="VZJ659" s="268"/>
      <c r="VZK659" s="268"/>
      <c r="VZL659" s="268"/>
      <c r="VZM659" s="268"/>
      <c r="VZN659" s="268"/>
      <c r="VZO659" s="268"/>
      <c r="VZP659" s="268"/>
      <c r="VZQ659" s="268"/>
      <c r="VZR659" s="268"/>
      <c r="VZS659" s="268"/>
      <c r="VZT659" s="268"/>
      <c r="VZU659" s="268"/>
      <c r="VZV659" s="268"/>
      <c r="VZW659" s="268"/>
      <c r="VZX659" s="268"/>
      <c r="VZY659" s="268"/>
      <c r="VZZ659" s="268"/>
      <c r="WAA659" s="268"/>
      <c r="WAB659" s="268"/>
      <c r="WAC659" s="268"/>
      <c r="WAD659" s="268"/>
      <c r="WAE659" s="268"/>
      <c r="WAF659" s="268"/>
      <c r="WAG659" s="268"/>
      <c r="WAH659" s="268"/>
      <c r="WAI659" s="268"/>
      <c r="WAJ659" s="268"/>
      <c r="WAK659" s="268"/>
      <c r="WAL659" s="268"/>
      <c r="WAM659" s="268"/>
      <c r="WAN659" s="268"/>
      <c r="WAO659" s="268"/>
      <c r="WAP659" s="268"/>
      <c r="WAQ659" s="268"/>
      <c r="WAR659" s="268"/>
      <c r="WAS659" s="268"/>
      <c r="WAT659" s="268"/>
      <c r="WAU659" s="268"/>
      <c r="WAV659" s="268"/>
      <c r="WAW659" s="268"/>
      <c r="WAX659" s="268"/>
      <c r="WAY659" s="268"/>
      <c r="WAZ659" s="268"/>
      <c r="WBA659" s="268"/>
      <c r="WBB659" s="268"/>
      <c r="WBC659" s="268"/>
      <c r="WBD659" s="268"/>
      <c r="WBE659" s="268"/>
      <c r="WBF659" s="268"/>
      <c r="WBG659" s="268"/>
      <c r="WBU659" s="268"/>
      <c r="WBV659" s="268"/>
      <c r="WBW659" s="268"/>
      <c r="WCK659" s="268"/>
      <c r="WCM659" s="268"/>
      <c r="WCN659" s="268"/>
      <c r="WCO659" s="268"/>
      <c r="WCP659" s="268"/>
      <c r="WCQ659" s="268"/>
      <c r="WCR659" s="268"/>
      <c r="WCS659" s="268"/>
      <c r="WCT659" s="268"/>
      <c r="WCU659" s="268"/>
      <c r="WCV659" s="268"/>
      <c r="WCW659" s="268"/>
      <c r="WCX659" s="268"/>
      <c r="WCY659" s="268"/>
      <c r="WCZ659" s="268"/>
      <c r="WDA659" s="268"/>
      <c r="WDB659" s="268"/>
      <c r="WDC659" s="268"/>
      <c r="WDD659" s="268"/>
      <c r="WDE659" s="268"/>
      <c r="WDF659" s="268"/>
      <c r="WDG659" s="268"/>
      <c r="WDH659" s="268"/>
      <c r="WDI659" s="268"/>
      <c r="WDJ659" s="268"/>
      <c r="WDK659" s="268"/>
      <c r="WDL659" s="268"/>
      <c r="WDM659" s="268"/>
      <c r="WDN659" s="268"/>
      <c r="WDO659" s="268"/>
      <c r="WDP659" s="268"/>
      <c r="WDQ659" s="268"/>
      <c r="WDR659" s="268"/>
      <c r="WDS659" s="268"/>
      <c r="WDT659" s="268"/>
      <c r="WDU659" s="268"/>
      <c r="WDV659" s="268"/>
      <c r="WDW659" s="268"/>
      <c r="WDX659" s="268"/>
      <c r="WDY659" s="268"/>
      <c r="WDZ659" s="268"/>
      <c r="WEA659" s="268"/>
      <c r="WEB659" s="268"/>
      <c r="WEC659" s="268"/>
      <c r="WED659" s="268"/>
      <c r="WEE659" s="268"/>
      <c r="WEF659" s="268"/>
      <c r="WEG659" s="268"/>
      <c r="WEH659" s="268"/>
      <c r="WEI659" s="268"/>
      <c r="WEJ659" s="268"/>
      <c r="WEK659" s="268"/>
      <c r="WEL659" s="268"/>
      <c r="WEM659" s="268"/>
      <c r="WEN659" s="268"/>
      <c r="WEO659" s="268"/>
      <c r="WEP659" s="268"/>
      <c r="WEQ659" s="268"/>
      <c r="WER659" s="268"/>
      <c r="WES659" s="268"/>
      <c r="WET659" s="268"/>
      <c r="WEU659" s="268"/>
      <c r="WEV659" s="268"/>
      <c r="WEW659" s="268"/>
      <c r="WEX659" s="268"/>
      <c r="WEY659" s="268"/>
      <c r="WEZ659" s="268"/>
      <c r="WFA659" s="268"/>
      <c r="WFB659" s="268"/>
      <c r="WFC659" s="268"/>
      <c r="WFD659" s="268"/>
      <c r="WFE659" s="268"/>
      <c r="WFF659" s="268"/>
      <c r="WFG659" s="268"/>
      <c r="WFH659" s="268"/>
      <c r="WFI659" s="268"/>
      <c r="WFJ659" s="268"/>
      <c r="WFK659" s="268"/>
      <c r="WFL659" s="268"/>
      <c r="WFM659" s="268"/>
      <c r="WFN659" s="268"/>
      <c r="WFO659" s="268"/>
      <c r="WFP659" s="268"/>
      <c r="WFQ659" s="268"/>
      <c r="WFR659" s="268"/>
      <c r="WFS659" s="268"/>
      <c r="WFT659" s="268"/>
      <c r="WFU659" s="268"/>
      <c r="WFV659" s="268"/>
      <c r="WFW659" s="268"/>
      <c r="WFX659" s="268"/>
      <c r="WFY659" s="268"/>
      <c r="WFZ659" s="268"/>
      <c r="WGA659" s="268"/>
      <c r="WGB659" s="268"/>
      <c r="WGC659" s="268"/>
      <c r="WGD659" s="268"/>
      <c r="WGE659" s="268"/>
      <c r="WGF659" s="268"/>
      <c r="WGG659" s="268"/>
      <c r="WGH659" s="268"/>
      <c r="WGI659" s="268"/>
      <c r="WGJ659" s="268"/>
      <c r="WGK659" s="268"/>
      <c r="WGL659" s="268"/>
      <c r="WGM659" s="268"/>
      <c r="WGN659" s="268"/>
      <c r="WGO659" s="268"/>
      <c r="WGP659" s="268"/>
      <c r="WGQ659" s="268"/>
      <c r="WGR659" s="268"/>
      <c r="WGS659" s="268"/>
      <c r="WGT659" s="268"/>
      <c r="WGU659" s="268"/>
      <c r="WGV659" s="268"/>
      <c r="WGW659" s="268"/>
      <c r="WGX659" s="268"/>
      <c r="WGY659" s="268"/>
      <c r="WGZ659" s="268"/>
      <c r="WHA659" s="268"/>
      <c r="WHB659" s="268"/>
      <c r="WHC659" s="268"/>
      <c r="WHD659" s="268"/>
      <c r="WHE659" s="268"/>
      <c r="WHF659" s="268"/>
      <c r="WHG659" s="268"/>
      <c r="WHH659" s="268"/>
      <c r="WHI659" s="268"/>
      <c r="WHJ659" s="268"/>
      <c r="WHK659" s="268"/>
      <c r="WHL659" s="268"/>
      <c r="WHM659" s="268"/>
      <c r="WHN659" s="268"/>
      <c r="WHO659" s="268"/>
      <c r="WHP659" s="268"/>
      <c r="WHQ659" s="268"/>
      <c r="WHR659" s="268"/>
      <c r="WHS659" s="268"/>
      <c r="WHT659" s="268"/>
      <c r="WHU659" s="268"/>
      <c r="WHV659" s="268"/>
      <c r="WHW659" s="268"/>
      <c r="WHX659" s="268"/>
      <c r="WHY659" s="268"/>
      <c r="WHZ659" s="268"/>
      <c r="WIA659" s="268"/>
      <c r="WIB659" s="268"/>
      <c r="WIC659" s="268"/>
      <c r="WID659" s="268"/>
      <c r="WIE659" s="268"/>
      <c r="WIF659" s="268"/>
      <c r="WIG659" s="268"/>
      <c r="WIH659" s="268"/>
      <c r="WII659" s="268"/>
      <c r="WIJ659" s="268"/>
      <c r="WIK659" s="268"/>
      <c r="WIL659" s="268"/>
      <c r="WIM659" s="268"/>
      <c r="WIN659" s="268"/>
      <c r="WIO659" s="268"/>
      <c r="WIP659" s="268"/>
      <c r="WIQ659" s="268"/>
      <c r="WIR659" s="268"/>
      <c r="WIS659" s="268"/>
      <c r="WIT659" s="268"/>
      <c r="WIU659" s="268"/>
      <c r="WIV659" s="268"/>
      <c r="WIW659" s="268"/>
      <c r="WIX659" s="268"/>
      <c r="WIY659" s="268"/>
      <c r="WIZ659" s="268"/>
      <c r="WJA659" s="268"/>
      <c r="WJB659" s="268"/>
      <c r="WJC659" s="268"/>
      <c r="WJD659" s="268"/>
      <c r="WJE659" s="268"/>
      <c r="WJF659" s="268"/>
      <c r="WJG659" s="268"/>
      <c r="WJH659" s="268"/>
      <c r="WJI659" s="268"/>
      <c r="WJJ659" s="268"/>
      <c r="WJK659" s="268"/>
      <c r="WJL659" s="268"/>
      <c r="WJM659" s="268"/>
      <c r="WJN659" s="268"/>
      <c r="WJO659" s="268"/>
      <c r="WJP659" s="268"/>
      <c r="WJQ659" s="268"/>
      <c r="WJR659" s="268"/>
      <c r="WJS659" s="268"/>
      <c r="WJT659" s="268"/>
      <c r="WJU659" s="268"/>
      <c r="WJV659" s="268"/>
      <c r="WJW659" s="268"/>
      <c r="WJX659" s="268"/>
      <c r="WJY659" s="268"/>
      <c r="WJZ659" s="268"/>
      <c r="WKA659" s="268"/>
      <c r="WKB659" s="268"/>
      <c r="WKC659" s="268"/>
      <c r="WKD659" s="268"/>
      <c r="WKE659" s="268"/>
      <c r="WKF659" s="268"/>
      <c r="WKG659" s="268"/>
      <c r="WKH659" s="268"/>
      <c r="WKI659" s="268"/>
      <c r="WKJ659" s="268"/>
      <c r="WKK659" s="268"/>
      <c r="WKL659" s="268"/>
      <c r="WKM659" s="268"/>
      <c r="WKN659" s="268"/>
      <c r="WKO659" s="268"/>
      <c r="WKP659" s="268"/>
      <c r="WKQ659" s="268"/>
      <c r="WKR659" s="268"/>
      <c r="WKS659" s="268"/>
      <c r="WKT659" s="268"/>
      <c r="WKU659" s="268"/>
      <c r="WKV659" s="268"/>
      <c r="WKW659" s="268"/>
      <c r="WKX659" s="268"/>
      <c r="WKY659" s="268"/>
      <c r="WKZ659" s="268"/>
      <c r="WLA659" s="268"/>
      <c r="WLB659" s="268"/>
      <c r="WLC659" s="268"/>
      <c r="WLQ659" s="268"/>
      <c r="WLR659" s="268"/>
      <c r="WLS659" s="268"/>
      <c r="WMG659" s="268"/>
      <c r="WMI659" s="268"/>
      <c r="WMJ659" s="268"/>
      <c r="WMK659" s="268"/>
      <c r="WML659" s="268"/>
      <c r="WMM659" s="268"/>
      <c r="WMN659" s="268"/>
      <c r="WMO659" s="268"/>
      <c r="WMP659" s="268"/>
      <c r="WMQ659" s="268"/>
      <c r="WMR659" s="268"/>
      <c r="WMS659" s="268"/>
      <c r="WMT659" s="268"/>
      <c r="WMU659" s="268"/>
      <c r="WMV659" s="268"/>
      <c r="WMW659" s="268"/>
      <c r="WMX659" s="268"/>
      <c r="WMY659" s="268"/>
      <c r="WMZ659" s="268"/>
      <c r="WNA659" s="268"/>
      <c r="WNB659" s="268"/>
      <c r="WNC659" s="268"/>
      <c r="WND659" s="268"/>
      <c r="WNE659" s="268"/>
      <c r="WNF659" s="268"/>
      <c r="WNG659" s="268"/>
      <c r="WNH659" s="268"/>
      <c r="WNI659" s="268"/>
      <c r="WNJ659" s="268"/>
      <c r="WNK659" s="268"/>
      <c r="WNL659" s="268"/>
      <c r="WNM659" s="268"/>
      <c r="WNN659" s="268"/>
      <c r="WNO659" s="268"/>
      <c r="WNP659" s="268"/>
      <c r="WNQ659" s="268"/>
      <c r="WNR659" s="268"/>
      <c r="WNS659" s="268"/>
      <c r="WNT659" s="268"/>
      <c r="WNU659" s="268"/>
      <c r="WNV659" s="268"/>
      <c r="WNW659" s="268"/>
      <c r="WNX659" s="268"/>
      <c r="WNY659" s="268"/>
      <c r="WNZ659" s="268"/>
      <c r="WOA659" s="268"/>
      <c r="WOB659" s="268"/>
      <c r="WOC659" s="268"/>
      <c r="WOD659" s="268"/>
      <c r="WOE659" s="268"/>
      <c r="WOF659" s="268"/>
      <c r="WOG659" s="268"/>
      <c r="WOH659" s="268"/>
      <c r="WOI659" s="268"/>
      <c r="WOJ659" s="268"/>
      <c r="WOK659" s="268"/>
      <c r="WOL659" s="268"/>
      <c r="WOM659" s="268"/>
      <c r="WON659" s="268"/>
      <c r="WOO659" s="268"/>
      <c r="WOP659" s="268"/>
      <c r="WOQ659" s="268"/>
      <c r="WOR659" s="268"/>
      <c r="WOS659" s="268"/>
      <c r="WOT659" s="268"/>
      <c r="WOU659" s="268"/>
      <c r="WOV659" s="268"/>
      <c r="WOW659" s="268"/>
      <c r="WOX659" s="268"/>
      <c r="WOY659" s="268"/>
      <c r="WOZ659" s="268"/>
      <c r="WPA659" s="268"/>
      <c r="WPB659" s="268"/>
      <c r="WPC659" s="268"/>
      <c r="WPD659" s="268"/>
      <c r="WPE659" s="268"/>
      <c r="WPF659" s="268"/>
      <c r="WPG659" s="268"/>
      <c r="WPH659" s="268"/>
      <c r="WPI659" s="268"/>
      <c r="WPJ659" s="268"/>
      <c r="WPK659" s="268"/>
      <c r="WPL659" s="268"/>
      <c r="WPM659" s="268"/>
      <c r="WPN659" s="268"/>
      <c r="WPO659" s="268"/>
      <c r="WPP659" s="268"/>
      <c r="WPQ659" s="268"/>
      <c r="WPR659" s="268"/>
      <c r="WPS659" s="268"/>
      <c r="WPT659" s="268"/>
      <c r="WPU659" s="268"/>
      <c r="WPV659" s="268"/>
      <c r="WPW659" s="268"/>
      <c r="WPX659" s="268"/>
      <c r="WPY659" s="268"/>
      <c r="WPZ659" s="268"/>
      <c r="WQA659" s="268"/>
      <c r="WQB659" s="268"/>
      <c r="WQC659" s="268"/>
      <c r="WQD659" s="268"/>
      <c r="WQE659" s="268"/>
      <c r="WQF659" s="268"/>
      <c r="WQG659" s="268"/>
      <c r="WQH659" s="268"/>
      <c r="WQI659" s="268"/>
      <c r="WQJ659" s="268"/>
      <c r="WQK659" s="268"/>
      <c r="WQL659" s="268"/>
      <c r="WQM659" s="268"/>
      <c r="WQN659" s="268"/>
      <c r="WQO659" s="268"/>
      <c r="WQP659" s="268"/>
      <c r="WQQ659" s="268"/>
      <c r="WQR659" s="268"/>
      <c r="WQS659" s="268"/>
      <c r="WQT659" s="268"/>
      <c r="WQU659" s="268"/>
      <c r="WQV659" s="268"/>
      <c r="WQW659" s="268"/>
      <c r="WQX659" s="268"/>
      <c r="WQY659" s="268"/>
      <c r="WQZ659" s="268"/>
      <c r="WRA659" s="268"/>
      <c r="WRB659" s="268"/>
      <c r="WRC659" s="268"/>
      <c r="WRD659" s="268"/>
      <c r="WRE659" s="268"/>
      <c r="WRF659" s="268"/>
      <c r="WRG659" s="268"/>
      <c r="WRH659" s="268"/>
      <c r="WRI659" s="268"/>
      <c r="WRJ659" s="268"/>
      <c r="WRK659" s="268"/>
      <c r="WRL659" s="268"/>
      <c r="WRM659" s="268"/>
      <c r="WRN659" s="268"/>
      <c r="WRO659" s="268"/>
      <c r="WRP659" s="268"/>
      <c r="WRQ659" s="268"/>
      <c r="WRR659" s="268"/>
      <c r="WRS659" s="268"/>
      <c r="WRT659" s="268"/>
      <c r="WRU659" s="268"/>
      <c r="WRV659" s="268"/>
      <c r="WRW659" s="268"/>
      <c r="WRX659" s="268"/>
      <c r="WRY659" s="268"/>
      <c r="WRZ659" s="268"/>
      <c r="WSA659" s="268"/>
      <c r="WSB659" s="268"/>
      <c r="WSC659" s="268"/>
      <c r="WSD659" s="268"/>
      <c r="WSE659" s="268"/>
      <c r="WSF659" s="268"/>
      <c r="WSG659" s="268"/>
      <c r="WSH659" s="268"/>
      <c r="WSI659" s="268"/>
      <c r="WSJ659" s="268"/>
      <c r="WSK659" s="268"/>
      <c r="WSL659" s="268"/>
      <c r="WSM659" s="268"/>
      <c r="WSN659" s="268"/>
      <c r="WSO659" s="268"/>
      <c r="WSP659" s="268"/>
      <c r="WSQ659" s="268"/>
      <c r="WSR659" s="268"/>
      <c r="WSS659" s="268"/>
      <c r="WST659" s="268"/>
      <c r="WSU659" s="268"/>
      <c r="WSV659" s="268"/>
      <c r="WSW659" s="268"/>
      <c r="WSX659" s="268"/>
      <c r="WSY659" s="268"/>
      <c r="WSZ659" s="268"/>
      <c r="WTA659" s="268"/>
      <c r="WTB659" s="268"/>
      <c r="WTC659" s="268"/>
      <c r="WTD659" s="268"/>
      <c r="WTE659" s="268"/>
      <c r="WTF659" s="268"/>
      <c r="WTG659" s="268"/>
      <c r="WTH659" s="268"/>
      <c r="WTI659" s="268"/>
      <c r="WTJ659" s="268"/>
      <c r="WTK659" s="268"/>
      <c r="WTL659" s="268"/>
      <c r="WTM659" s="268"/>
      <c r="WTN659" s="268"/>
      <c r="WTO659" s="268"/>
      <c r="WTP659" s="268"/>
      <c r="WTQ659" s="268"/>
      <c r="WTR659" s="268"/>
      <c r="WTS659" s="268"/>
      <c r="WTT659" s="268"/>
      <c r="WTU659" s="268"/>
      <c r="WTV659" s="268"/>
      <c r="WTW659" s="268"/>
      <c r="WTX659" s="268"/>
      <c r="WTY659" s="268"/>
      <c r="WTZ659" s="268"/>
      <c r="WUA659" s="268"/>
      <c r="WUB659" s="268"/>
      <c r="WUC659" s="268"/>
      <c r="WUD659" s="268"/>
      <c r="WUE659" s="268"/>
      <c r="WUF659" s="268"/>
      <c r="WUG659" s="268"/>
      <c r="WUH659" s="268"/>
      <c r="WUI659" s="268"/>
      <c r="WUJ659" s="268"/>
      <c r="WUK659" s="268"/>
      <c r="WUL659" s="268"/>
      <c r="WUM659" s="268"/>
      <c r="WUN659" s="268"/>
      <c r="WUO659" s="268"/>
      <c r="WUP659" s="268"/>
      <c r="WUQ659" s="268"/>
      <c r="WUR659" s="268"/>
      <c r="WUS659" s="268"/>
      <c r="WUT659" s="268"/>
      <c r="WUU659" s="268"/>
      <c r="WUV659" s="268"/>
      <c r="WUW659" s="268"/>
      <c r="WUX659" s="268"/>
      <c r="WUY659" s="268"/>
      <c r="WVM659" s="268"/>
      <c r="WVN659" s="268"/>
      <c r="WVO659" s="268"/>
      <c r="WWC659" s="268"/>
      <c r="WWE659" s="268"/>
      <c r="WWF659" s="268"/>
      <c r="WWG659" s="268"/>
      <c r="WWH659" s="268"/>
      <c r="WWI659" s="268"/>
      <c r="WWJ659" s="268"/>
      <c r="WWK659" s="268"/>
      <c r="WWL659" s="268"/>
      <c r="WWM659" s="268"/>
      <c r="WWN659" s="268"/>
      <c r="WWO659" s="268"/>
      <c r="WWP659" s="268"/>
      <c r="WWQ659" s="268"/>
      <c r="WWR659" s="268"/>
      <c r="WWS659" s="268"/>
      <c r="WWT659" s="268"/>
      <c r="WWU659" s="268"/>
      <c r="WWV659" s="268"/>
      <c r="WWW659" s="268"/>
      <c r="WWX659" s="268"/>
      <c r="WWY659" s="268"/>
      <c r="WWZ659" s="268"/>
      <c r="WXA659" s="268"/>
      <c r="WXB659" s="268"/>
      <c r="WXC659" s="268"/>
      <c r="WXD659" s="268"/>
      <c r="WXE659" s="268"/>
      <c r="WXF659" s="268"/>
      <c r="WXG659" s="268"/>
      <c r="WXH659" s="268"/>
      <c r="WXI659" s="268"/>
      <c r="WXJ659" s="268"/>
      <c r="WXK659" s="268"/>
      <c r="WXL659" s="268"/>
      <c r="WXM659" s="268"/>
      <c r="WXN659" s="268"/>
      <c r="WXO659" s="268"/>
      <c r="WXP659" s="268"/>
      <c r="WXQ659" s="268"/>
      <c r="WXR659" s="268"/>
      <c r="WXS659" s="268"/>
      <c r="WXT659" s="268"/>
      <c r="WXU659" s="268"/>
      <c r="WXV659" s="268"/>
      <c r="WXW659" s="268"/>
      <c r="WXX659" s="268"/>
      <c r="WXY659" s="268"/>
      <c r="WXZ659" s="268"/>
      <c r="WYA659" s="268"/>
      <c r="WYB659" s="268"/>
      <c r="WYC659" s="268"/>
      <c r="WYD659" s="268"/>
      <c r="WYE659" s="268"/>
      <c r="WYF659" s="268"/>
      <c r="WYG659" s="268"/>
      <c r="WYH659" s="268"/>
      <c r="WYI659" s="268"/>
      <c r="WYJ659" s="268"/>
      <c r="WYK659" s="268"/>
      <c r="WYL659" s="268"/>
      <c r="WYM659" s="268"/>
      <c r="WYN659" s="268"/>
      <c r="WYO659" s="268"/>
      <c r="WYP659" s="268"/>
      <c r="WYQ659" s="268"/>
      <c r="WYR659" s="268"/>
      <c r="WYS659" s="268"/>
      <c r="WYT659" s="268"/>
      <c r="WYU659" s="268"/>
      <c r="WYV659" s="268"/>
      <c r="WYW659" s="268"/>
      <c r="WYX659" s="268"/>
      <c r="WYY659" s="268"/>
      <c r="WYZ659" s="268"/>
      <c r="WZA659" s="268"/>
      <c r="WZB659" s="268"/>
      <c r="WZC659" s="268"/>
      <c r="WZD659" s="268"/>
      <c r="WZE659" s="268"/>
      <c r="WZF659" s="268"/>
      <c r="WZG659" s="268"/>
      <c r="WZH659" s="268"/>
      <c r="WZI659" s="268"/>
      <c r="WZJ659" s="268"/>
      <c r="WZK659" s="268"/>
      <c r="WZL659" s="268"/>
      <c r="WZM659" s="268"/>
      <c r="WZN659" s="268"/>
      <c r="WZO659" s="268"/>
      <c r="WZP659" s="268"/>
      <c r="WZQ659" s="268"/>
      <c r="WZR659" s="268"/>
      <c r="WZS659" s="268"/>
      <c r="WZT659" s="268"/>
      <c r="WZU659" s="268"/>
      <c r="WZV659" s="268"/>
      <c r="WZW659" s="268"/>
      <c r="WZX659" s="268"/>
      <c r="WZY659" s="268"/>
      <c r="WZZ659" s="268"/>
      <c r="XAA659" s="268"/>
      <c r="XAB659" s="268"/>
      <c r="XAC659" s="268"/>
      <c r="XAD659" s="268"/>
      <c r="XAE659" s="268"/>
      <c r="XAF659" s="268"/>
      <c r="XAG659" s="268"/>
      <c r="XAH659" s="268"/>
      <c r="XAI659" s="268"/>
      <c r="XAJ659" s="268"/>
      <c r="XAK659" s="268"/>
      <c r="XAL659" s="268"/>
      <c r="XAM659" s="268"/>
      <c r="XAN659" s="268"/>
      <c r="XAO659" s="268"/>
      <c r="XAP659" s="268"/>
      <c r="XAQ659" s="268"/>
      <c r="XAR659" s="268"/>
      <c r="XAS659" s="268"/>
      <c r="XAT659" s="268"/>
      <c r="XAU659" s="268"/>
      <c r="XAV659" s="268"/>
      <c r="XAW659" s="268"/>
      <c r="XAX659" s="268"/>
      <c r="XAY659" s="268"/>
      <c r="XAZ659" s="268"/>
      <c r="XBA659" s="268"/>
      <c r="XBB659" s="268"/>
      <c r="XBC659" s="268"/>
      <c r="XBD659" s="268"/>
      <c r="XBE659" s="268"/>
      <c r="XBF659" s="268"/>
      <c r="XBG659" s="268"/>
      <c r="XBH659" s="268"/>
      <c r="XBI659" s="268"/>
      <c r="XBJ659" s="268"/>
      <c r="XBK659" s="268"/>
      <c r="XBL659" s="268"/>
      <c r="XBM659" s="268"/>
      <c r="XBN659" s="268"/>
      <c r="XBO659" s="268"/>
      <c r="XBP659" s="268"/>
      <c r="XBQ659" s="268"/>
      <c r="XBR659" s="268"/>
      <c r="XBS659" s="268"/>
      <c r="XBT659" s="268"/>
      <c r="XBU659" s="268"/>
      <c r="XBV659" s="268"/>
      <c r="XBW659" s="268"/>
      <c r="XBX659" s="268"/>
      <c r="XBY659" s="268"/>
      <c r="XBZ659" s="268"/>
      <c r="XCA659" s="268"/>
      <c r="XCB659" s="268"/>
      <c r="XCC659" s="268"/>
      <c r="XCD659" s="268"/>
      <c r="XCE659" s="268"/>
      <c r="XCF659" s="268"/>
      <c r="XCG659" s="268"/>
      <c r="XCH659" s="268"/>
      <c r="XCI659" s="268"/>
      <c r="XCJ659" s="268"/>
      <c r="XCK659" s="268"/>
      <c r="XCL659" s="268"/>
      <c r="XCM659" s="268"/>
      <c r="XCN659" s="268"/>
      <c r="XCO659" s="268"/>
      <c r="XCP659" s="268"/>
      <c r="XCQ659" s="268"/>
      <c r="XCR659" s="268"/>
      <c r="XCS659" s="268"/>
      <c r="XCT659" s="268"/>
      <c r="XCU659" s="268"/>
      <c r="XCV659" s="268"/>
      <c r="XCW659" s="268"/>
      <c r="XCX659" s="268"/>
      <c r="XCY659" s="268"/>
      <c r="XCZ659" s="268"/>
      <c r="XDA659" s="268"/>
      <c r="XDB659" s="268"/>
      <c r="XDC659" s="268"/>
      <c r="XDD659" s="268"/>
      <c r="XDE659" s="268"/>
      <c r="XDF659" s="268"/>
      <c r="XDG659" s="268"/>
      <c r="XDH659" s="268"/>
      <c r="XDI659" s="268"/>
      <c r="XDJ659" s="268"/>
      <c r="XDK659" s="268"/>
      <c r="XDL659" s="268"/>
      <c r="XDM659" s="268"/>
      <c r="XDN659" s="268"/>
      <c r="XDO659" s="268"/>
      <c r="XDP659" s="268"/>
      <c r="XDQ659" s="268"/>
      <c r="XDR659" s="268"/>
      <c r="XDS659" s="268"/>
      <c r="XDT659" s="268"/>
      <c r="XDU659" s="268"/>
      <c r="XDV659" s="268"/>
      <c r="XDW659" s="268"/>
      <c r="XDX659" s="268"/>
      <c r="XDY659" s="268"/>
      <c r="XDZ659" s="268"/>
      <c r="XEA659" s="268"/>
      <c r="XEB659" s="268"/>
      <c r="XEC659" s="268"/>
      <c r="XED659" s="268"/>
      <c r="XEE659" s="268"/>
      <c r="XEF659" s="268"/>
      <c r="XEG659" s="268"/>
      <c r="XEH659" s="268"/>
      <c r="XEI659" s="268"/>
      <c r="XEJ659" s="268"/>
      <c r="XEK659" s="268"/>
      <c r="XEL659" s="268"/>
      <c r="XEM659" s="268"/>
      <c r="XEN659" s="268"/>
      <c r="XEO659" s="268"/>
      <c r="XEP659" s="268"/>
      <c r="XEQ659" s="268"/>
      <c r="XER659" s="268"/>
      <c r="XES659" s="268"/>
    </row>
    <row r="660" spans="1:1015 1029:2039 2053:3063 3077:4087 4101:5111 5125:6135 6149:7159 7173:8183 8197:9207 9221:10231 10245:11255 11269:12279 12293:13303 13317:14327 14341:15351 15365:16373" hidden="1" outlineLevel="1" x14ac:dyDescent="0.25">
      <c r="A660" s="3"/>
      <c r="B660" s="62">
        <f>SUM(B651:B659)</f>
        <v>218000</v>
      </c>
      <c r="C660" s="32"/>
      <c r="D660" s="62">
        <f>SUM(D651:D659)</f>
        <v>42341</v>
      </c>
      <c r="E660" s="62">
        <f>SUM(E651:E659)</f>
        <v>197559</v>
      </c>
      <c r="F660" s="62">
        <f>SUM(F651:F659)</f>
        <v>239900</v>
      </c>
      <c r="G660" s="32"/>
      <c r="H660" s="62">
        <f>SUM(H651:H659)</f>
        <v>21900</v>
      </c>
      <c r="I660" s="32"/>
      <c r="J660" s="62">
        <f>SUM(J651:J659)</f>
        <v>91139</v>
      </c>
      <c r="K660" s="62">
        <f>SUM(K651:K659)</f>
        <v>132581</v>
      </c>
      <c r="L660" s="62">
        <f>SUM(L651:L659)</f>
        <v>223720</v>
      </c>
      <c r="M660" s="32"/>
      <c r="N660" s="62">
        <f>SUM(N651:N659)</f>
        <v>-16180</v>
      </c>
      <c r="P660" s="62">
        <f>SUM(P651:P659)</f>
        <v>250000.2</v>
      </c>
      <c r="R660" s="62">
        <f t="shared" ref="R660:Z660" si="414">SUM(R651:R659)</f>
        <v>48119</v>
      </c>
      <c r="S660" s="62">
        <f t="shared" si="414"/>
        <v>223381</v>
      </c>
      <c r="T660" s="62">
        <f t="shared" si="414"/>
        <v>271500</v>
      </c>
      <c r="U660" s="62">
        <f t="shared" si="414"/>
        <v>21499.799999999988</v>
      </c>
      <c r="V660" s="62">
        <f t="shared" si="414"/>
        <v>90556</v>
      </c>
      <c r="W660" s="62">
        <f t="shared" si="414"/>
        <v>187449</v>
      </c>
      <c r="X660" s="62"/>
      <c r="Y660" s="62">
        <f t="shared" si="414"/>
        <v>278005</v>
      </c>
      <c r="Z660" s="62">
        <f t="shared" si="414"/>
        <v>6505</v>
      </c>
      <c r="AC660" s="62">
        <f>SUM(AC651:AC659)</f>
        <v>157839</v>
      </c>
      <c r="AD660" s="62">
        <f>SUM(AD651:AD659)</f>
        <v>111166</v>
      </c>
      <c r="AE660" s="62">
        <f>SUM(AE651:AE659)</f>
        <v>269005</v>
      </c>
      <c r="AF660" s="62">
        <f>SUM(AF651:AF659)</f>
        <v>-9000</v>
      </c>
      <c r="AG660" s="32"/>
      <c r="AI660" s="62">
        <f>SUM(AI651:AI659)</f>
        <v>240000</v>
      </c>
      <c r="AK660" s="62">
        <f>SUM(AK651:AK659)</f>
        <v>236120</v>
      </c>
      <c r="AM660" s="62">
        <f>SUM(AM651:AM659)</f>
        <v>242423.6</v>
      </c>
      <c r="AO660" s="62">
        <f>SUM(AO651:AO659)</f>
        <v>248916.30800000002</v>
      </c>
      <c r="AP660" s="32"/>
      <c r="AQ660" s="62">
        <f>SUM(AQ651:AQ659)</f>
        <v>255603.79724000001</v>
      </c>
      <c r="AS660" s="62">
        <f>SUM(AS651:AS659)</f>
        <v>262491.9111572</v>
      </c>
      <c r="AU660" s="62">
        <f>SUM(AU651:AU659)</f>
        <v>269586.66849191603</v>
      </c>
      <c r="AW660" s="62">
        <f>SUM(AW651:AW659)</f>
        <v>276894.26854667353</v>
      </c>
      <c r="AY660" s="62">
        <f>SUM(AY651:AY659)</f>
        <v>284421.09660307376</v>
      </c>
      <c r="BA660" s="62">
        <f>SUM(BA651:BA659)</f>
        <v>292173.72950116597</v>
      </c>
      <c r="BC660" s="62">
        <f>SUM(BC651:BC659)</f>
        <v>300158.94138620095</v>
      </c>
      <c r="BE660" s="62">
        <f>SUM(BE651:BE659)</f>
        <v>308383.709627787</v>
      </c>
    </row>
    <row r="661" spans="1:1015 1029:2039 2053:3063 3077:4087 4101:5111 5125:6135 6149:7159 7173:8183 8197:9207 9221:10231 10245:11255 11269:12279 12293:13303 13317:14327 14341:15351 15365:16373" hidden="1" outlineLevel="1" x14ac:dyDescent="0.25">
      <c r="A661" s="7" t="s">
        <v>57</v>
      </c>
      <c r="BC661" s="3"/>
      <c r="BE661" s="3"/>
    </row>
    <row r="662" spans="1:1015 1029:2039 2053:3063 3077:4087 4101:5111 5125:6135 6149:7159 7173:8183 8197:9207 9221:10231 10245:11255 11269:12279 12293:13303 13317:14327 14341:15351 15365:16373" hidden="1" outlineLevel="1" x14ac:dyDescent="0.25">
      <c r="A662" s="3" t="s">
        <v>90</v>
      </c>
      <c r="K662" s="4">
        <f>L662-J662</f>
        <v>0</v>
      </c>
      <c r="L662" s="4"/>
      <c r="N662" s="4">
        <f>L662-F662</f>
        <v>0</v>
      </c>
      <c r="BC662" s="3"/>
      <c r="BE662" s="3"/>
    </row>
    <row r="663" spans="1:1015 1029:2039 2053:3063 3077:4087 4101:5111 5125:6135 6149:7159 7173:8183 8197:9207 9221:10231 10245:11255 11269:12279 12293:13303 13317:14327 14341:15351 15365:16373" ht="15.75" collapsed="1" thickBot="1" x14ac:dyDescent="0.3">
      <c r="A663" s="7" t="s">
        <v>1166</v>
      </c>
      <c r="B663" s="44">
        <f>B662+B660+B648+B643+B633+B627+B620+B615</f>
        <v>551870</v>
      </c>
      <c r="C663" s="32"/>
      <c r="D663" s="44">
        <f>D662+D660+D648+D643+D633+D627+D620+D615</f>
        <v>97044</v>
      </c>
      <c r="E663" s="44">
        <f>E662+E660+E648+E643+E633+E627+E620+E615</f>
        <v>483324</v>
      </c>
      <c r="F663" s="44">
        <f>F662+F660+F648+F643+F633+F627+F620+F615</f>
        <v>580369</v>
      </c>
      <c r="G663" s="32"/>
      <c r="H663" s="44">
        <f>H662+H660+H648+H643+H633+H627+H620+H615</f>
        <v>28499</v>
      </c>
      <c r="I663" s="32"/>
      <c r="J663" s="44">
        <f>J662+J660+J648+J643+J633+J627+J620+J615</f>
        <v>207832</v>
      </c>
      <c r="K663" s="44">
        <f>K662+K660+K648+K643+K633+K627+K620+K615</f>
        <v>359756</v>
      </c>
      <c r="L663" s="44">
        <f>L662+L660+L648+L643+L633+L627+L620+L615</f>
        <v>567589</v>
      </c>
      <c r="M663" s="32"/>
      <c r="N663" s="44">
        <f>N662+N660+N648+N643+N633+N627+N620+N615</f>
        <v>-12781</v>
      </c>
      <c r="P663" s="44">
        <f>P662+P660+P648+P643+P633+P627+P620+P615</f>
        <v>608349.53500000003</v>
      </c>
      <c r="R663" s="44">
        <f t="shared" ref="R663:W663" si="415">R662+R660+R648+R643+R633+R627+R620+R615</f>
        <v>144196</v>
      </c>
      <c r="S663" s="44">
        <f t="shared" si="415"/>
        <v>497504</v>
      </c>
      <c r="T663" s="44">
        <f t="shared" si="415"/>
        <v>641700</v>
      </c>
      <c r="U663" s="44">
        <f t="shared" si="415"/>
        <v>33350.464999999975</v>
      </c>
      <c r="V663" s="44">
        <f t="shared" si="415"/>
        <v>234846</v>
      </c>
      <c r="W663" s="44">
        <f t="shared" si="415"/>
        <v>417359</v>
      </c>
      <c r="X663" s="44"/>
      <c r="Y663" s="44">
        <f>Y662+Y660+Y648+Y643+Y633+Y627+Y620+Y615</f>
        <v>652205</v>
      </c>
      <c r="Z663" s="44">
        <f>Z662+Z660+Z648+Z643+Z633+Z627+Z620+Z615</f>
        <v>10505</v>
      </c>
      <c r="AC663" s="44">
        <f>AC662+AC660+AC648+AC643+AC633+AC627+AC620+AC615</f>
        <v>368831</v>
      </c>
      <c r="AD663" s="44">
        <f>AD662+AD660+AD648+AD643+AD633+AD627+AD620+AD615</f>
        <v>271914</v>
      </c>
      <c r="AE663" s="44">
        <f>AE662+AE660+AE648+AE643+AE633+AE627+AE620+AE615</f>
        <v>640745</v>
      </c>
      <c r="AF663" s="44">
        <f>AF662+AF660+AF648+AF643+AF633+AF627+AF620+AF615</f>
        <v>-11460</v>
      </c>
      <c r="AG663" s="32"/>
      <c r="AI663" s="44">
        <f>AI662+AI660+AI648+AI643+AI633+AI627+AI620+AI615</f>
        <v>607580.25</v>
      </c>
      <c r="AK663" s="44">
        <f>AK662+AK660+AK648+AK643+AK633+AK627+AK620+AK615</f>
        <v>612189.16249999998</v>
      </c>
      <c r="AM663" s="44">
        <f>AM662+AM660+AM648+AM643+AM633+AM627+AM620+AM615</f>
        <v>627195.3473749999</v>
      </c>
      <c r="AO663" s="44">
        <f>AO662+AO660+AO648+AO643+AO633+AO627+AO620+AO615</f>
        <v>642658.09549625008</v>
      </c>
      <c r="AP663" s="32"/>
      <c r="AQ663" s="44">
        <f>AQ662+AQ660+AQ648+AQ643+AQ633+AQ627+AQ620+AQ615</f>
        <v>658591.49455013743</v>
      </c>
      <c r="AS663" s="44">
        <f>AS662+AS660+AS648+AS643+AS633+AS627+AS620+AS615</f>
        <v>675010.07942637161</v>
      </c>
      <c r="AU663" s="44">
        <f>AU662+AU660+AU648+AU643+AU633+AU627+AU620+AU615</f>
        <v>691928.84721504897</v>
      </c>
      <c r="AW663" s="44">
        <f>AW662+AW660+AW648+AW643+AW633+AW627+AW620+AW615</f>
        <v>709363.27275734232</v>
      </c>
      <c r="AY663" s="44">
        <f>AY662+AY660+AY648+AY643+AY633+AY627+AY620+AY615</f>
        <v>727329.32477333443</v>
      </c>
      <c r="BA663" s="44">
        <f>BA662+BA660+BA648+BA643+BA633+BA627+BA620+BA615</f>
        <v>745843.48259168712</v>
      </c>
      <c r="BC663" s="44">
        <f>BC662+BC660+BC648+BC643+BC633+BC627+BC620+BC615</f>
        <v>764922.75350708072</v>
      </c>
      <c r="BE663" s="44">
        <f>BE662+BE660+BE648+BE643+BE633+BE627+BE620+BE615</f>
        <v>784584.69079266232</v>
      </c>
    </row>
    <row r="664" spans="1:1015 1029:2039 2053:3063 3077:4087 4101:5111 5125:6135 6149:7159 7173:8183 8197:9207 9221:10231 10245:11255 11269:12279 12293:13303 13317:14327 14341:15351 15365:16373" ht="15.75" thickTop="1" x14ac:dyDescent="0.25">
      <c r="A664" s="7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P664" s="32"/>
      <c r="R664" s="32"/>
      <c r="S664" s="32"/>
      <c r="T664" s="32"/>
      <c r="U664" s="32"/>
      <c r="V664" s="32"/>
      <c r="W664" s="32"/>
      <c r="X664" s="32"/>
      <c r="Y664" s="32"/>
      <c r="Z664" s="32"/>
      <c r="AC664" s="32"/>
      <c r="AD664" s="32"/>
      <c r="AE664" s="32"/>
      <c r="AF664" s="32"/>
      <c r="AG664" s="32"/>
      <c r="AI664" s="32"/>
      <c r="AK664" s="32"/>
      <c r="AM664" s="32"/>
      <c r="AO664" s="32"/>
      <c r="AP664" s="32"/>
      <c r="AQ664" s="32"/>
      <c r="AS664" s="32"/>
      <c r="AU664" s="32"/>
      <c r="AW664" s="32"/>
      <c r="AY664" s="32"/>
      <c r="BA664" s="32"/>
      <c r="BC664" s="32"/>
      <c r="BE664" s="32"/>
    </row>
    <row r="665" spans="1:1015 1029:2039 2053:3063 3077:4087 4101:5111 5125:6135 6149:7159 7173:8183 8197:9207 9221:10231 10245:11255 11269:12279 12293:13303 13317:14327 14341:15351 15365:16373" x14ac:dyDescent="0.25">
      <c r="A665" s="7" t="s">
        <v>184</v>
      </c>
      <c r="BC665" s="3"/>
      <c r="BE665" s="3"/>
    </row>
    <row r="666" spans="1:1015 1029:2039 2053:3063 3077:4087 4101:5111 5125:6135 6149:7159 7173:8183 8197:9207 9221:10231 10245:11255 11269:12279 12293:13303 13317:14327 14341:15351 15365:16373" x14ac:dyDescent="0.25">
      <c r="A666" s="7" t="s">
        <v>185</v>
      </c>
      <c r="BC666" s="3"/>
      <c r="BE666" s="3"/>
    </row>
    <row r="667" spans="1:1015 1029:2039 2053:3063 3077:4087 4101:5111 5125:6135 6149:7159 7173:8183 8197:9207 9221:10231 10245:11255 11269:12279 12293:13303 13317:14327 14341:15351 15365:16373" ht="15.75" collapsed="1" thickBot="1" x14ac:dyDescent="0.3">
      <c r="A667" s="7" t="s">
        <v>493</v>
      </c>
      <c r="B667" s="44">
        <v>33100</v>
      </c>
      <c r="C667" s="32"/>
      <c r="D667" s="44">
        <v>216</v>
      </c>
      <c r="E667" s="44">
        <f>F667-D667</f>
        <v>32884</v>
      </c>
      <c r="F667" s="44">
        <v>33100</v>
      </c>
      <c r="G667" s="32"/>
      <c r="H667" s="44">
        <f>F667-B667</f>
        <v>0</v>
      </c>
      <c r="I667" s="32"/>
      <c r="J667" s="44">
        <v>298</v>
      </c>
      <c r="K667" s="44">
        <f>L667-J667</f>
        <v>32802</v>
      </c>
      <c r="L667" s="44">
        <v>33100</v>
      </c>
      <c r="M667" s="32"/>
      <c r="N667" s="44">
        <f>L667-F667</f>
        <v>0</v>
      </c>
      <c r="P667" s="44">
        <v>34500</v>
      </c>
      <c r="R667" s="44">
        <v>303</v>
      </c>
      <c r="S667" s="44">
        <f>T667-R667</f>
        <v>33697</v>
      </c>
      <c r="T667" s="44">
        <v>34000</v>
      </c>
      <c r="U667" s="44">
        <f>T667-P667</f>
        <v>-500</v>
      </c>
      <c r="V667" s="44">
        <v>7649</v>
      </c>
      <c r="W667" s="44">
        <f>Y667-V667</f>
        <v>26351</v>
      </c>
      <c r="X667" s="44"/>
      <c r="Y667" s="44">
        <v>34000</v>
      </c>
      <c r="Z667" s="44">
        <f>Y667-T667</f>
        <v>0</v>
      </c>
      <c r="AC667" s="44">
        <v>20792</v>
      </c>
      <c r="AD667" s="44">
        <f>AE667-AC667</f>
        <v>14208</v>
      </c>
      <c r="AE667" s="44">
        <v>35000</v>
      </c>
      <c r="AF667" s="44">
        <f>AE667-Y667</f>
        <v>1000</v>
      </c>
      <c r="AG667" s="32"/>
      <c r="AI667" s="44">
        <f>AE667*1.03</f>
        <v>36050</v>
      </c>
      <c r="AK667" s="44">
        <f>AI667*1.03</f>
        <v>37131.5</v>
      </c>
      <c r="AM667" s="44">
        <f>AK667*1.03</f>
        <v>38245.445</v>
      </c>
      <c r="AO667" s="44">
        <f>AM667*1.03</f>
        <v>39392.808349999999</v>
      </c>
      <c r="AP667" s="32"/>
      <c r="AQ667" s="44">
        <f>AO667*1.03</f>
        <v>40574.5926005</v>
      </c>
      <c r="AS667" s="44">
        <f>AQ667*1.03</f>
        <v>41791.830378514998</v>
      </c>
      <c r="AU667" s="44">
        <f>AS667*1.03</f>
        <v>43045.585289870447</v>
      </c>
      <c r="AW667" s="44">
        <f>AU667*1.03</f>
        <v>44336.952848566565</v>
      </c>
      <c r="AY667" s="44">
        <f>AW667*1.03</f>
        <v>45667.061434023562</v>
      </c>
      <c r="BA667" s="44">
        <f>AY667*1.03</f>
        <v>47037.07327704427</v>
      </c>
      <c r="BC667" s="44">
        <f>BA667*1.03</f>
        <v>48448.185475355596</v>
      </c>
      <c r="BE667" s="44">
        <f>BC667*1.03</f>
        <v>49901.631039616266</v>
      </c>
    </row>
    <row r="668" spans="1:1015 1029:2039 2053:3063 3077:4087 4101:5111 5125:6135 6149:7159 7173:8183 8197:9207 9221:10231 10245:11255 11269:12279 12293:13303 13317:14327 14341:15351 15365:16373" ht="15.75" thickTop="1" x14ac:dyDescent="0.25">
      <c r="A668" s="7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P668" s="32"/>
      <c r="R668" s="32"/>
      <c r="S668" s="32"/>
      <c r="T668" s="32"/>
      <c r="U668" s="32"/>
      <c r="V668" s="32"/>
      <c r="W668" s="32"/>
      <c r="X668" s="32"/>
      <c r="Y668" s="32"/>
      <c r="Z668" s="32"/>
      <c r="AC668" s="32"/>
      <c r="AD668" s="32"/>
      <c r="AE668" s="32"/>
      <c r="AF668" s="32"/>
      <c r="AG668" s="32"/>
      <c r="AI668" s="32"/>
      <c r="AK668" s="32"/>
      <c r="AM668" s="32"/>
      <c r="AO668" s="32"/>
      <c r="AP668" s="32"/>
      <c r="AQ668" s="32"/>
      <c r="AS668" s="32"/>
      <c r="AU668" s="32"/>
      <c r="AW668" s="32"/>
      <c r="AY668" s="32"/>
      <c r="BA668" s="32"/>
      <c r="BC668" s="32"/>
      <c r="BE668" s="32"/>
    </row>
    <row r="669" spans="1:1015 1029:2039 2053:3063 3077:4087 4101:5111 5125:6135 6149:7159 7173:8183 8197:9207 9221:10231 10245:11255 11269:12279 12293:13303 13317:14327 14341:15351 15365:16373" x14ac:dyDescent="0.25">
      <c r="A669" s="7" t="s">
        <v>190</v>
      </c>
      <c r="BC669" s="3"/>
      <c r="BE669" s="3"/>
    </row>
    <row r="670" spans="1:1015 1029:2039 2053:3063 3077:4087 4101:5111 5125:6135 6149:7159 7173:8183 8197:9207 9221:10231 10245:11255 11269:12279 12293:13303 13317:14327 14341:15351 15365:16373" s="42" customFormat="1" hidden="1" outlineLevel="1" x14ac:dyDescent="0.25">
      <c r="A670" s="7" t="s">
        <v>494</v>
      </c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4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4"/>
      <c r="AH670" s="4"/>
      <c r="AI670" s="3"/>
      <c r="AJ670" s="3"/>
      <c r="AK670" s="3"/>
      <c r="AL670" s="3"/>
      <c r="AM670" s="3"/>
      <c r="AN670" s="3"/>
      <c r="AO670" s="3"/>
      <c r="AP670" s="4"/>
      <c r="AQ670" s="3"/>
      <c r="AS670" s="3"/>
      <c r="AU670" s="3"/>
      <c r="AW670" s="3"/>
      <c r="AY670" s="3"/>
      <c r="BA670" s="3"/>
      <c r="BC670" s="3"/>
      <c r="BE670" s="3"/>
    </row>
    <row r="671" spans="1:1015 1029:2039 2053:3063 3077:4087 4101:5111 5125:6135 6149:7159 7173:8183 8197:9207 9221:10231 10245:11255 11269:12279 12293:13303 13317:14327 14341:15351 15365:16373" hidden="1" outlineLevel="1" x14ac:dyDescent="0.25">
      <c r="A671" s="7" t="s">
        <v>495</v>
      </c>
      <c r="AD671" s="3">
        <f>AE671-AC671</f>
        <v>0</v>
      </c>
      <c r="AF671" s="3">
        <f>AE671-Y671</f>
        <v>0</v>
      </c>
      <c r="BC671" s="3"/>
      <c r="BE671" s="3"/>
    </row>
    <row r="672" spans="1:1015 1029:2039 2053:3063 3077:4087 4101:5111 5125:6135 6149:7159 7173:8183 8197:9207 9221:10231 10245:11255 11269:12279 12293:13303 13317:14327 14341:15351 15365:16373" hidden="1" outlineLevel="1" x14ac:dyDescent="0.25">
      <c r="A672" s="3" t="s">
        <v>496</v>
      </c>
      <c r="B672" s="3">
        <f>87000-12500</f>
        <v>74500</v>
      </c>
      <c r="D672" s="3">
        <v>19210</v>
      </c>
      <c r="E672" s="3">
        <f>F672-D672</f>
        <v>53790</v>
      </c>
      <c r="F672" s="3">
        <v>73000</v>
      </c>
      <c r="H672" s="3">
        <f>F672-B672</f>
        <v>-1500</v>
      </c>
      <c r="J672" s="3">
        <v>31558</v>
      </c>
      <c r="K672" s="4">
        <f>L672-J672</f>
        <v>41442</v>
      </c>
      <c r="L672" s="4">
        <v>73000</v>
      </c>
      <c r="N672" s="4">
        <f>L672-F672</f>
        <v>0</v>
      </c>
      <c r="P672" s="3">
        <f>B672*1.03+65+4000-2000</f>
        <v>78800</v>
      </c>
      <c r="R672" s="3">
        <v>20634</v>
      </c>
      <c r="S672" s="3">
        <f>T672-R672</f>
        <v>58166</v>
      </c>
      <c r="T672" s="3">
        <v>78800</v>
      </c>
      <c r="U672" s="3">
        <f>T672-P672</f>
        <v>0</v>
      </c>
      <c r="V672" s="3">
        <v>47750</v>
      </c>
      <c r="W672" s="3">
        <f>Y672-V672</f>
        <v>31050</v>
      </c>
      <c r="Y672" s="3">
        <v>78800</v>
      </c>
      <c r="Z672" s="3">
        <f>Y672-T672</f>
        <v>0</v>
      </c>
      <c r="AC672" s="3">
        <v>68985</v>
      </c>
      <c r="AD672" s="3">
        <f>AE672-AC672</f>
        <v>14815</v>
      </c>
      <c r="AE672" s="3">
        <v>83800</v>
      </c>
      <c r="AF672" s="3">
        <f>AE672-Y672</f>
        <v>5000</v>
      </c>
      <c r="AI672" s="3">
        <f>P672*1.03-14</f>
        <v>81150</v>
      </c>
      <c r="AK672" s="3">
        <f>AI672*1.03</f>
        <v>83584.5</v>
      </c>
      <c r="AM672" s="3">
        <f>AK672*1.03</f>
        <v>86092.035000000003</v>
      </c>
      <c r="AO672" s="3">
        <f>AM672*1.03</f>
        <v>88674.796050000004</v>
      </c>
      <c r="AQ672" s="3">
        <f>AO672*1.03</f>
        <v>91335.03993150001</v>
      </c>
      <c r="AS672" s="3">
        <f>AQ672*1.03</f>
        <v>94075.09112944502</v>
      </c>
      <c r="AU672" s="3">
        <f>AS672*1.035</f>
        <v>97367.719318975593</v>
      </c>
      <c r="AW672" s="3">
        <f>AU672*1.035</f>
        <v>100775.58949513973</v>
      </c>
      <c r="AY672" s="3">
        <f>AW672*1.035</f>
        <v>104302.73512746961</v>
      </c>
      <c r="BA672" s="3">
        <f>AY672*1.035</f>
        <v>107953.33085693105</v>
      </c>
      <c r="BC672" s="3">
        <f>BA672*1.035</f>
        <v>111731.69743692363</v>
      </c>
      <c r="BE672" s="3">
        <f>BC672*1.035</f>
        <v>115642.30684721595</v>
      </c>
    </row>
    <row r="673" spans="1:57" hidden="1" outlineLevel="1" x14ac:dyDescent="0.25">
      <c r="A673" s="3" t="s">
        <v>497</v>
      </c>
      <c r="K673" s="4">
        <f>L673-J673</f>
        <v>16000</v>
      </c>
      <c r="L673" s="4">
        <v>16000</v>
      </c>
      <c r="N673" s="4">
        <f>L673-F673</f>
        <v>16000</v>
      </c>
      <c r="S673" s="3">
        <f>T673-R673</f>
        <v>0</v>
      </c>
      <c r="U673" s="3">
        <f>T673-P673</f>
        <v>0</v>
      </c>
      <c r="W673" s="3">
        <f>Y673-V673</f>
        <v>0</v>
      </c>
      <c r="Z673" s="3">
        <f>Y673-T673</f>
        <v>0</v>
      </c>
      <c r="AD673" s="3">
        <f>AE673-AC673</f>
        <v>0</v>
      </c>
      <c r="AF673" s="3">
        <f>AE673-Y673</f>
        <v>0</v>
      </c>
      <c r="BC673" s="3"/>
      <c r="BE673" s="3"/>
    </row>
    <row r="674" spans="1:57" hidden="1" outlineLevel="1" x14ac:dyDescent="0.25">
      <c r="A674" s="3" t="s">
        <v>498</v>
      </c>
      <c r="B674" s="3">
        <v>51550</v>
      </c>
      <c r="D674" s="3">
        <v>7881</v>
      </c>
      <c r="E674" s="3">
        <f>F674-D674</f>
        <v>43669</v>
      </c>
      <c r="F674" s="3">
        <v>51550</v>
      </c>
      <c r="H674" s="3">
        <f>F674-B674</f>
        <v>0</v>
      </c>
      <c r="J674" s="3">
        <v>68002</v>
      </c>
      <c r="K674" s="4">
        <f>L674-J674</f>
        <v>-16452</v>
      </c>
      <c r="L674" s="4">
        <v>51550</v>
      </c>
      <c r="N674" s="4">
        <f>L674-F674</f>
        <v>0</v>
      </c>
      <c r="P674" s="3">
        <v>60840</v>
      </c>
      <c r="S674" s="3">
        <f>T674-R674</f>
        <v>60840</v>
      </c>
      <c r="T674" s="3">
        <v>60840</v>
      </c>
      <c r="U674" s="3">
        <f>T674-P674</f>
        <v>0</v>
      </c>
      <c r="V674" s="3">
        <v>37446</v>
      </c>
      <c r="W674" s="3">
        <f>Y674-V674</f>
        <v>13394</v>
      </c>
      <c r="Y674" s="3">
        <v>50840</v>
      </c>
      <c r="Z674" s="3">
        <f>Y674-T674</f>
        <v>-10000</v>
      </c>
      <c r="AC674" s="3">
        <v>37447</v>
      </c>
      <c r="AD674" s="3">
        <f>AE674-AC674</f>
        <v>2553</v>
      </c>
      <c r="AE674" s="3">
        <v>40000</v>
      </c>
      <c r="AF674" s="3">
        <f>AE674-Y674</f>
        <v>-10840</v>
      </c>
      <c r="AI674" s="3">
        <v>62520</v>
      </c>
      <c r="AK674" s="3">
        <v>60370</v>
      </c>
      <c r="AM674" s="3">
        <v>65000</v>
      </c>
      <c r="AO674" s="3">
        <v>65000</v>
      </c>
      <c r="AQ674" s="3">
        <v>65000</v>
      </c>
      <c r="AS674" s="3">
        <v>65000</v>
      </c>
      <c r="AU674" s="3">
        <v>70000</v>
      </c>
      <c r="AW674" s="3">
        <v>70000</v>
      </c>
      <c r="AY674" s="3">
        <v>70000</v>
      </c>
      <c r="BA674" s="3">
        <v>70000</v>
      </c>
      <c r="BC674" s="3">
        <v>70000</v>
      </c>
      <c r="BE674" s="3">
        <v>70000</v>
      </c>
    </row>
    <row r="675" spans="1:57" hidden="1" outlineLevel="1" x14ac:dyDescent="0.25">
      <c r="A675" s="3"/>
      <c r="B675" s="62">
        <f>SUM(B672:B674)</f>
        <v>126050</v>
      </c>
      <c r="C675" s="32"/>
      <c r="D675" s="62">
        <f>SUM(D672:D674)</f>
        <v>27091</v>
      </c>
      <c r="E675" s="62">
        <f>SUM(E672:E674)</f>
        <v>97459</v>
      </c>
      <c r="F675" s="62">
        <f>SUM(F672:F674)</f>
        <v>124550</v>
      </c>
      <c r="G675" s="32"/>
      <c r="H675" s="62">
        <f>SUM(H672:H674)</f>
        <v>-1500</v>
      </c>
      <c r="I675" s="32"/>
      <c r="J675" s="62">
        <f>SUM(J672:J674)</f>
        <v>99560</v>
      </c>
      <c r="K675" s="62">
        <f>SUM(K672:K674)</f>
        <v>40990</v>
      </c>
      <c r="L675" s="62">
        <f>SUM(L672:L674)</f>
        <v>140550</v>
      </c>
      <c r="M675" s="32"/>
      <c r="N675" s="62">
        <f>SUM(N672:N674)</f>
        <v>16000</v>
      </c>
      <c r="P675" s="62">
        <f>SUM(P672:P674)</f>
        <v>139640</v>
      </c>
      <c r="R675" s="62">
        <f t="shared" ref="R675:Z675" si="416">SUM(R672:R674)</f>
        <v>20634</v>
      </c>
      <c r="S675" s="62">
        <f t="shared" si="416"/>
        <v>119006</v>
      </c>
      <c r="T675" s="62">
        <f t="shared" si="416"/>
        <v>139640</v>
      </c>
      <c r="U675" s="62">
        <f t="shared" si="416"/>
        <v>0</v>
      </c>
      <c r="V675" s="62">
        <f t="shared" si="416"/>
        <v>85196</v>
      </c>
      <c r="W675" s="62">
        <f t="shared" si="416"/>
        <v>44444</v>
      </c>
      <c r="X675" s="62"/>
      <c r="Y675" s="62">
        <f t="shared" si="416"/>
        <v>129640</v>
      </c>
      <c r="Z675" s="62">
        <f t="shared" si="416"/>
        <v>-10000</v>
      </c>
      <c r="AC675" s="62">
        <f>SUM(AC672:AC674)</f>
        <v>106432</v>
      </c>
      <c r="AD675" s="62">
        <f>SUM(AD672:AD674)</f>
        <v>17368</v>
      </c>
      <c r="AE675" s="62">
        <f>SUM(AE672:AE674)</f>
        <v>123800</v>
      </c>
      <c r="AF675" s="62">
        <f>SUM(AF672:AF674)</f>
        <v>-5840</v>
      </c>
      <c r="AG675" s="32"/>
      <c r="AI675" s="62">
        <f>SUM(AI672:AI674)</f>
        <v>143670</v>
      </c>
      <c r="AK675" s="62">
        <f>SUM(AK672:AK674)</f>
        <v>143954.5</v>
      </c>
      <c r="AM675" s="62">
        <f>SUM(AM672:AM674)</f>
        <v>151092.035</v>
      </c>
      <c r="AO675" s="62">
        <f>SUM(AO672:AO674)</f>
        <v>153674.79605</v>
      </c>
      <c r="AP675" s="32"/>
      <c r="AQ675" s="62">
        <f>SUM(AQ672:AQ674)</f>
        <v>156335.03993150001</v>
      </c>
      <c r="AS675" s="62">
        <f>SUM(AS672:AS674)</f>
        <v>159075.09112944501</v>
      </c>
      <c r="AU675" s="62">
        <f>SUM(AU672:AU674)</f>
        <v>167367.71931897558</v>
      </c>
      <c r="AW675" s="62">
        <f>SUM(AW672:AW674)</f>
        <v>170775.58949513972</v>
      </c>
      <c r="AY675" s="62">
        <f>SUM(AY672:AY674)</f>
        <v>174302.73512746961</v>
      </c>
      <c r="BA675" s="62">
        <f>SUM(BA672:BA674)</f>
        <v>177953.33085693105</v>
      </c>
      <c r="BC675" s="62">
        <f>SUM(BC672:BC674)</f>
        <v>181731.69743692363</v>
      </c>
      <c r="BE675" s="62">
        <f>SUM(BE672:BE674)</f>
        <v>185642.30684721595</v>
      </c>
    </row>
    <row r="676" spans="1:57" hidden="1" outlineLevel="1" x14ac:dyDescent="0.25">
      <c r="A676" s="7" t="s">
        <v>499</v>
      </c>
      <c r="BC676" s="3"/>
      <c r="BE676" s="3"/>
    </row>
    <row r="677" spans="1:57" hidden="1" outlineLevel="1" x14ac:dyDescent="0.25">
      <c r="A677" s="3" t="s">
        <v>500</v>
      </c>
      <c r="B677" s="3">
        <f>210000-20000</f>
        <v>190000</v>
      </c>
      <c r="D677" s="3">
        <v>95159</v>
      </c>
      <c r="E677" s="3">
        <f>F677-D677</f>
        <v>94841</v>
      </c>
      <c r="F677" s="3">
        <v>190000</v>
      </c>
      <c r="H677" s="3">
        <f>F677-B677</f>
        <v>0</v>
      </c>
      <c r="J677" s="3">
        <v>250326</v>
      </c>
      <c r="K677" s="4">
        <f>L677-J677</f>
        <v>19674</v>
      </c>
      <c r="L677" s="4">
        <v>270000</v>
      </c>
      <c r="N677" s="4">
        <f>L677-F677</f>
        <v>80000</v>
      </c>
      <c r="P677" s="3">
        <f>B677*1.03+1000+16700-13400</f>
        <v>200000</v>
      </c>
      <c r="R677" s="3">
        <v>98137</v>
      </c>
      <c r="S677" s="3">
        <f>T677-R677</f>
        <v>101863</v>
      </c>
      <c r="T677" s="3">
        <v>200000</v>
      </c>
      <c r="U677" s="3">
        <f>T677-P677</f>
        <v>0</v>
      </c>
      <c r="V677" s="3">
        <v>201037</v>
      </c>
      <c r="W677" s="3">
        <f>Y677-V677</f>
        <v>48963</v>
      </c>
      <c r="Y677" s="3">
        <v>250000</v>
      </c>
      <c r="Z677" s="3">
        <f>Y677-T677</f>
        <v>50000</v>
      </c>
      <c r="AC677" s="3">
        <v>249589</v>
      </c>
      <c r="AD677" s="3">
        <f>AE677-AC677</f>
        <v>45411</v>
      </c>
      <c r="AE677" s="3">
        <v>295000</v>
      </c>
      <c r="AF677" s="3">
        <f>AE677-Y677</f>
        <v>45000</v>
      </c>
      <c r="AI677" s="3">
        <f>P677*1.03</f>
        <v>206000</v>
      </c>
      <c r="AK677" s="3">
        <f>AI677*1.03</f>
        <v>212180</v>
      </c>
      <c r="AM677" s="3">
        <f>AK677*1.03</f>
        <v>218545.4</v>
      </c>
      <c r="AO677" s="3">
        <f>AM677*1.03</f>
        <v>225101.76199999999</v>
      </c>
      <c r="AQ677" s="3">
        <f>AO677*1.03</f>
        <v>231854.81485999998</v>
      </c>
      <c r="AS677" s="3">
        <f>AQ677*1.03</f>
        <v>238810.4593058</v>
      </c>
      <c r="AU677" s="3">
        <f>AS677*1.03</f>
        <v>245974.773084974</v>
      </c>
      <c r="AW677" s="3">
        <f>AU677*1.03</f>
        <v>253354.01627752322</v>
      </c>
      <c r="AY677" s="3">
        <f>AW677*1.03</f>
        <v>260954.63676584893</v>
      </c>
      <c r="BA677" s="3">
        <f>AY677*1.03</f>
        <v>268783.27586882439</v>
      </c>
      <c r="BC677" s="3">
        <f>BA677*1.03</f>
        <v>276846.77414488915</v>
      </c>
      <c r="BE677" s="3">
        <f>BC677*1.03</f>
        <v>285152.17736923584</v>
      </c>
    </row>
    <row r="678" spans="1:57" hidden="1" outlineLevel="1" x14ac:dyDescent="0.25">
      <c r="A678" s="3" t="s">
        <v>195</v>
      </c>
      <c r="B678" s="3">
        <v>20000</v>
      </c>
      <c r="E678" s="3">
        <f>F678-D678</f>
        <v>20000</v>
      </c>
      <c r="F678" s="3">
        <v>20000</v>
      </c>
      <c r="H678" s="3">
        <f>F678-B678</f>
        <v>0</v>
      </c>
      <c r="K678" s="4">
        <f>L678-J678</f>
        <v>20000</v>
      </c>
      <c r="L678" s="4">
        <v>20000</v>
      </c>
      <c r="N678" s="4">
        <f>L678-F678</f>
        <v>0</v>
      </c>
      <c r="P678" s="3">
        <v>25000</v>
      </c>
      <c r="S678" s="3">
        <f>T678-R678</f>
        <v>25000</v>
      </c>
      <c r="T678" s="3">
        <v>25000</v>
      </c>
      <c r="U678" s="3">
        <f>T678-P678</f>
        <v>0</v>
      </c>
      <c r="W678" s="3">
        <f>Y678-V678</f>
        <v>25000</v>
      </c>
      <c r="Y678" s="3">
        <v>25000</v>
      </c>
      <c r="Z678" s="3">
        <f>Y678-T678</f>
        <v>0</v>
      </c>
      <c r="AC678" s="3">
        <v>0</v>
      </c>
      <c r="AD678" s="3">
        <f>AE678-AC678</f>
        <v>25000</v>
      </c>
      <c r="AE678" s="3">
        <v>25000</v>
      </c>
      <c r="AF678" s="3">
        <f>AE678-Y678</f>
        <v>0</v>
      </c>
      <c r="AI678" s="3">
        <v>25000</v>
      </c>
      <c r="AK678" s="3">
        <v>25000</v>
      </c>
      <c r="AM678" s="3">
        <v>25000</v>
      </c>
      <c r="AO678" s="3">
        <v>25000</v>
      </c>
      <c r="AQ678" s="3">
        <v>25000</v>
      </c>
      <c r="AS678" s="3">
        <v>25000</v>
      </c>
      <c r="AU678" s="3">
        <v>21790</v>
      </c>
      <c r="BC678" s="3"/>
      <c r="BE678" s="3"/>
    </row>
    <row r="679" spans="1:57" hidden="1" outlineLevel="1" x14ac:dyDescent="0.25">
      <c r="A679" s="3" t="s">
        <v>497</v>
      </c>
      <c r="K679" s="4">
        <f>L679-J679</f>
        <v>97450</v>
      </c>
      <c r="L679" s="4">
        <v>97450</v>
      </c>
      <c r="N679" s="4">
        <f>L679-F679</f>
        <v>97450</v>
      </c>
      <c r="S679" s="3">
        <f>T679-R679</f>
        <v>0</v>
      </c>
      <c r="U679" s="3">
        <f>T679-P679</f>
        <v>0</v>
      </c>
      <c r="W679" s="3">
        <f>Y679-V679</f>
        <v>0</v>
      </c>
      <c r="Z679" s="3">
        <f>Y679-T679</f>
        <v>0</v>
      </c>
      <c r="AD679" s="3">
        <f>AE679-AC679</f>
        <v>0</v>
      </c>
      <c r="AF679" s="3">
        <f>AE679-Y679</f>
        <v>0</v>
      </c>
      <c r="BC679" s="3"/>
      <c r="BE679" s="3"/>
    </row>
    <row r="680" spans="1:57" hidden="1" outlineLevel="1" x14ac:dyDescent="0.25">
      <c r="A680" s="3" t="s">
        <v>498</v>
      </c>
      <c r="B680" s="3">
        <v>234150</v>
      </c>
      <c r="D680" s="3">
        <v>3803</v>
      </c>
      <c r="E680" s="3">
        <f>F680-D680</f>
        <v>230347</v>
      </c>
      <c r="F680" s="3">
        <v>234150</v>
      </c>
      <c r="H680" s="3">
        <f>F680-B680</f>
        <v>0</v>
      </c>
      <c r="J680" s="3">
        <v>331601</v>
      </c>
      <c r="K680" s="4">
        <f>L680-J680</f>
        <v>-97451</v>
      </c>
      <c r="L680" s="4">
        <v>234150</v>
      </c>
      <c r="N680" s="4">
        <f>L680-F680</f>
        <v>0</v>
      </c>
      <c r="P680" s="3">
        <v>279900</v>
      </c>
      <c r="S680" s="3">
        <f>T680-R680</f>
        <v>279900</v>
      </c>
      <c r="T680" s="3">
        <v>279900</v>
      </c>
      <c r="U680" s="3">
        <f>T680-P680</f>
        <v>0</v>
      </c>
      <c r="V680" s="3">
        <v>341934</v>
      </c>
      <c r="W680" s="3">
        <f>Y680-V680</f>
        <v>7966</v>
      </c>
      <c r="Y680" s="3">
        <v>349900</v>
      </c>
      <c r="Z680" s="3">
        <f>Y680-T680</f>
        <v>70000</v>
      </c>
      <c r="AC680" s="3">
        <v>341934</v>
      </c>
      <c r="AD680" s="3">
        <f>AE680-AC680</f>
        <v>10066</v>
      </c>
      <c r="AE680" s="3">
        <v>352000</v>
      </c>
      <c r="AF680" s="3">
        <f>AE680-Y680</f>
        <v>2100</v>
      </c>
      <c r="AI680" s="3">
        <v>314100</v>
      </c>
      <c r="AK680" s="3">
        <v>342000</v>
      </c>
      <c r="AM680" s="3">
        <v>320000</v>
      </c>
      <c r="AO680" s="3">
        <v>320000</v>
      </c>
      <c r="AQ680" s="3">
        <v>320000</v>
      </c>
      <c r="AS680" s="3">
        <v>320000</v>
      </c>
      <c r="AU680" s="3">
        <v>340000</v>
      </c>
      <c r="AW680" s="3">
        <v>340000</v>
      </c>
      <c r="AY680" s="3">
        <v>340000</v>
      </c>
      <c r="BA680" s="3">
        <v>340000</v>
      </c>
      <c r="BC680" s="3">
        <v>340000</v>
      </c>
      <c r="BE680" s="3">
        <v>340000</v>
      </c>
    </row>
    <row r="681" spans="1:57" hidden="1" outlineLevel="1" x14ac:dyDescent="0.25">
      <c r="A681" s="3"/>
      <c r="B681" s="62">
        <f>SUM(B677:B680)</f>
        <v>444150</v>
      </c>
      <c r="C681" s="32"/>
      <c r="D681" s="62">
        <f>SUM(D677:D680)</f>
        <v>98962</v>
      </c>
      <c r="E681" s="62">
        <f>SUM(E677:E680)</f>
        <v>345188</v>
      </c>
      <c r="F681" s="62">
        <f>SUM(F677:F680)</f>
        <v>444150</v>
      </c>
      <c r="G681" s="32"/>
      <c r="H681" s="62">
        <f>SUM(H677:H680)</f>
        <v>0</v>
      </c>
      <c r="I681" s="32"/>
      <c r="J681" s="62">
        <f>SUM(J677:J680)</f>
        <v>581927</v>
      </c>
      <c r="K681" s="62">
        <f>SUM(K677:K680)</f>
        <v>39673</v>
      </c>
      <c r="L681" s="62">
        <f>SUM(L677:L680)</f>
        <v>621600</v>
      </c>
      <c r="M681" s="32"/>
      <c r="N681" s="62">
        <f>SUM(N677:N680)</f>
        <v>177450</v>
      </c>
      <c r="P681" s="62">
        <f>SUM(P677:P680)</f>
        <v>504900</v>
      </c>
      <c r="R681" s="62">
        <f t="shared" ref="R681:Z681" si="417">SUM(R677:R680)</f>
        <v>98137</v>
      </c>
      <c r="S681" s="62">
        <f t="shared" si="417"/>
        <v>406763</v>
      </c>
      <c r="T681" s="62">
        <f t="shared" si="417"/>
        <v>504900</v>
      </c>
      <c r="U681" s="62">
        <f t="shared" si="417"/>
        <v>0</v>
      </c>
      <c r="V681" s="62">
        <f t="shared" si="417"/>
        <v>542971</v>
      </c>
      <c r="W681" s="62">
        <f t="shared" si="417"/>
        <v>81929</v>
      </c>
      <c r="X681" s="62"/>
      <c r="Y681" s="62">
        <f t="shared" si="417"/>
        <v>624900</v>
      </c>
      <c r="Z681" s="62">
        <f t="shared" si="417"/>
        <v>120000</v>
      </c>
      <c r="AC681" s="62">
        <f>SUM(AC677:AC680)</f>
        <v>591523</v>
      </c>
      <c r="AD681" s="62">
        <f>SUM(AD677:AD680)</f>
        <v>80477</v>
      </c>
      <c r="AE681" s="62">
        <f>SUM(AE677:AE680)</f>
        <v>672000</v>
      </c>
      <c r="AF681" s="62">
        <f>SUM(AF677:AF680)</f>
        <v>47100</v>
      </c>
      <c r="AG681" s="32"/>
      <c r="AI681" s="62">
        <f>SUM(AI677:AI680)</f>
        <v>545100</v>
      </c>
      <c r="AK681" s="62">
        <f>SUM(AK677:AK680)</f>
        <v>579180</v>
      </c>
      <c r="AM681" s="62">
        <f>SUM(AM677:AM680)</f>
        <v>563545.4</v>
      </c>
      <c r="AO681" s="62">
        <f>SUM(AO677:AO680)</f>
        <v>570101.76199999999</v>
      </c>
      <c r="AP681" s="32"/>
      <c r="AQ681" s="62">
        <f>SUM(AQ677:AQ680)</f>
        <v>576854.81486000004</v>
      </c>
      <c r="AS681" s="62">
        <f>SUM(AS677:AS680)</f>
        <v>583810.45930580003</v>
      </c>
      <c r="AU681" s="62">
        <f>SUM(AU677:AU680)</f>
        <v>607764.77308497403</v>
      </c>
      <c r="AW681" s="62">
        <f>SUM(AW677:AW680)</f>
        <v>593354.01627752325</v>
      </c>
      <c r="AY681" s="62">
        <f>SUM(AY677:AY680)</f>
        <v>600954.63676584896</v>
      </c>
      <c r="BA681" s="62">
        <f>SUM(BA677:BA680)</f>
        <v>608783.27586882445</v>
      </c>
      <c r="BC681" s="62">
        <f>SUM(BC677:BC680)</f>
        <v>616846.77414488909</v>
      </c>
      <c r="BE681" s="62">
        <f>SUM(BE677:BE680)</f>
        <v>625152.17736923578</v>
      </c>
    </row>
    <row r="682" spans="1:57" hidden="1" outlineLevel="1" x14ac:dyDescent="0.25">
      <c r="A682" s="7" t="s">
        <v>501</v>
      </c>
      <c r="BC682" s="3"/>
      <c r="BE682" s="3"/>
    </row>
    <row r="683" spans="1:57" hidden="1" outlineLevel="1" x14ac:dyDescent="0.25">
      <c r="A683" s="3" t="s">
        <v>502</v>
      </c>
      <c r="B683" s="3">
        <f>192500-15000</f>
        <v>177500</v>
      </c>
      <c r="D683" s="3">
        <v>18040</v>
      </c>
      <c r="E683" s="3">
        <f>F683-D683</f>
        <v>154460</v>
      </c>
      <c r="F683" s="3">
        <v>172500</v>
      </c>
      <c r="H683" s="3">
        <f>F683-B683</f>
        <v>-5000</v>
      </c>
      <c r="J683" s="3">
        <v>87399</v>
      </c>
      <c r="K683" s="4">
        <f>L683-J683</f>
        <v>85101</v>
      </c>
      <c r="L683" s="4">
        <v>172500</v>
      </c>
      <c r="N683" s="4">
        <f>L683-F683</f>
        <v>0</v>
      </c>
      <c r="P683" s="3">
        <f>B683*1.03+1125+17000-10950</f>
        <v>190000</v>
      </c>
      <c r="R683" s="3">
        <v>97351</v>
      </c>
      <c r="S683" s="3">
        <f>T683-R683</f>
        <v>92649</v>
      </c>
      <c r="T683" s="3">
        <v>190000</v>
      </c>
      <c r="U683" s="3">
        <f>T683-P683</f>
        <v>0</v>
      </c>
      <c r="V683" s="3">
        <v>119275</v>
      </c>
      <c r="W683" s="3">
        <f>Y683-V683</f>
        <v>70725</v>
      </c>
      <c r="Y683" s="3">
        <v>190000</v>
      </c>
      <c r="Z683" s="3">
        <f>Y683-T683</f>
        <v>0</v>
      </c>
      <c r="AC683" s="3">
        <v>136766</v>
      </c>
      <c r="AD683" s="3">
        <f>AE683-AC683</f>
        <v>53234</v>
      </c>
      <c r="AE683" s="3">
        <v>190000</v>
      </c>
      <c r="AF683" s="3">
        <f>AE683-Y683</f>
        <v>0</v>
      </c>
      <c r="AI683" s="3">
        <f>P683*1.03-30000</f>
        <v>165700</v>
      </c>
      <c r="AK683" s="3">
        <f>AI683*1.03</f>
        <v>170671</v>
      </c>
      <c r="AM683" s="3">
        <f>AK683*1.03</f>
        <v>175791.13</v>
      </c>
      <c r="AO683" s="3">
        <f>AM683*1.03</f>
        <v>181064.8639</v>
      </c>
      <c r="AQ683" s="3">
        <f>AO683*1.03</f>
        <v>186496.809817</v>
      </c>
      <c r="AS683" s="3">
        <f>AQ683*1.03</f>
        <v>192091.71411150999</v>
      </c>
      <c r="AU683" s="3">
        <f>AS683*1.03</f>
        <v>197854.46553485529</v>
      </c>
      <c r="AW683" s="3">
        <f>AU683*1.03</f>
        <v>203790.09950090095</v>
      </c>
      <c r="AY683" s="3">
        <f>AW683*1.03</f>
        <v>209903.802485928</v>
      </c>
      <c r="BA683" s="3">
        <f>AY683*1.03</f>
        <v>216200.91656050584</v>
      </c>
      <c r="BC683" s="3">
        <f>BA683*1.03</f>
        <v>222686.94405732103</v>
      </c>
      <c r="BE683" s="3">
        <f>BC683*1.03</f>
        <v>229367.55237904066</v>
      </c>
    </row>
    <row r="684" spans="1:57" hidden="1" outlineLevel="1" x14ac:dyDescent="0.25">
      <c r="A684" s="3" t="s">
        <v>503</v>
      </c>
      <c r="E684" s="3">
        <f>F684-D684</f>
        <v>0</v>
      </c>
      <c r="H684" s="3">
        <f>F684-B684</f>
        <v>0</v>
      </c>
      <c r="K684" s="4">
        <f>L684-J684</f>
        <v>0</v>
      </c>
      <c r="L684" s="4"/>
      <c r="N684" s="4">
        <f>L684-F684</f>
        <v>0</v>
      </c>
      <c r="S684" s="3">
        <f>T684-R684</f>
        <v>0</v>
      </c>
      <c r="U684" s="3">
        <f>T684-P684</f>
        <v>0</v>
      </c>
      <c r="W684" s="3">
        <f>Y684-V684</f>
        <v>0</v>
      </c>
      <c r="Z684" s="3">
        <f>Y684-T684</f>
        <v>0</v>
      </c>
      <c r="AD684" s="3">
        <f>AE684-AC684</f>
        <v>0</v>
      </c>
      <c r="AF684" s="3">
        <f>AE684-Y684</f>
        <v>0</v>
      </c>
      <c r="BC684" s="3"/>
      <c r="BE684" s="3"/>
    </row>
    <row r="685" spans="1:57" hidden="1" outlineLevel="1" x14ac:dyDescent="0.25">
      <c r="A685" s="3" t="s">
        <v>504</v>
      </c>
      <c r="B685" s="3">
        <v>60000</v>
      </c>
      <c r="D685" s="3">
        <v>5120</v>
      </c>
      <c r="E685" s="3">
        <f>F685-D685</f>
        <v>54880</v>
      </c>
      <c r="F685" s="3">
        <v>60000</v>
      </c>
      <c r="H685" s="3">
        <f>F685-B685</f>
        <v>0</v>
      </c>
      <c r="J685" s="3">
        <v>31193</v>
      </c>
      <c r="K685" s="4">
        <f>L685-J685</f>
        <v>28807</v>
      </c>
      <c r="L685" s="4">
        <v>60000</v>
      </c>
      <c r="N685" s="4">
        <f>L685-F685</f>
        <v>0</v>
      </c>
      <c r="P685" s="3">
        <v>120000</v>
      </c>
      <c r="S685" s="3">
        <f>T685-R685</f>
        <v>120000</v>
      </c>
      <c r="T685" s="3">
        <v>120000</v>
      </c>
      <c r="U685" s="3">
        <f>T685-P685</f>
        <v>0</v>
      </c>
      <c r="V685" s="3">
        <v>0</v>
      </c>
      <c r="W685" s="3">
        <f>Y685-V685</f>
        <v>120000</v>
      </c>
      <c r="Y685" s="3">
        <v>120000</v>
      </c>
      <c r="Z685" s="3">
        <f>Y685-T685</f>
        <v>0</v>
      </c>
      <c r="AD685" s="3">
        <f>AE685-AC685</f>
        <v>50000</v>
      </c>
      <c r="AE685" s="3">
        <v>50000</v>
      </c>
      <c r="AF685" s="3">
        <f>AE685-Y685</f>
        <v>-70000</v>
      </c>
      <c r="AI685" s="3">
        <v>70000</v>
      </c>
      <c r="AK685" s="3">
        <v>40000</v>
      </c>
      <c r="AM685" s="3">
        <v>40000</v>
      </c>
      <c r="AO685" s="3">
        <v>40000</v>
      </c>
      <c r="AQ685" s="3">
        <v>40000</v>
      </c>
      <c r="AS685" s="3">
        <v>60000</v>
      </c>
      <c r="AU685" s="3">
        <v>80000</v>
      </c>
      <c r="AW685" s="3">
        <v>80000</v>
      </c>
      <c r="AY685" s="3">
        <v>80000</v>
      </c>
      <c r="BA685" s="3">
        <v>80000</v>
      </c>
      <c r="BC685" s="3">
        <v>80000</v>
      </c>
      <c r="BE685" s="3">
        <v>80000</v>
      </c>
    </row>
    <row r="686" spans="1:57" hidden="1" outlineLevel="1" x14ac:dyDescent="0.25">
      <c r="A686" s="3"/>
      <c r="B686" s="62">
        <f>SUM(B683:B685)</f>
        <v>237500</v>
      </c>
      <c r="C686" s="32"/>
      <c r="D686" s="62">
        <f>SUM(D683:D685)</f>
        <v>23160</v>
      </c>
      <c r="E686" s="62">
        <f>SUM(E683:E685)</f>
        <v>209340</v>
      </c>
      <c r="F686" s="62">
        <f>SUM(F683:F685)</f>
        <v>232500</v>
      </c>
      <c r="G686" s="32"/>
      <c r="H686" s="62">
        <f>SUM(H683:H685)</f>
        <v>-5000</v>
      </c>
      <c r="I686" s="32"/>
      <c r="J686" s="62">
        <f>SUM(J684:J685)</f>
        <v>31193</v>
      </c>
      <c r="K686" s="62">
        <f>SUM(K683:K685)</f>
        <v>113908</v>
      </c>
      <c r="L686" s="62">
        <f>SUM(L683:L685)</f>
        <v>232500</v>
      </c>
      <c r="M686" s="32"/>
      <c r="N686" s="62">
        <f>SUM(N683:N685)</f>
        <v>0</v>
      </c>
      <c r="P686" s="62">
        <f>SUM(P683:P685)</f>
        <v>310000</v>
      </c>
      <c r="R686" s="62">
        <f t="shared" ref="R686:Z686" si="418">SUM(R683:R685)</f>
        <v>97351</v>
      </c>
      <c r="S686" s="62">
        <f t="shared" si="418"/>
        <v>212649</v>
      </c>
      <c r="T686" s="62">
        <f t="shared" si="418"/>
        <v>310000</v>
      </c>
      <c r="U686" s="62">
        <f t="shared" si="418"/>
        <v>0</v>
      </c>
      <c r="V686" s="62">
        <f t="shared" si="418"/>
        <v>119275</v>
      </c>
      <c r="W686" s="62">
        <f t="shared" si="418"/>
        <v>190725</v>
      </c>
      <c r="X686" s="62"/>
      <c r="Y686" s="62">
        <f t="shared" si="418"/>
        <v>310000</v>
      </c>
      <c r="Z686" s="62">
        <f t="shared" si="418"/>
        <v>0</v>
      </c>
      <c r="AC686" s="62">
        <f>SUM(AC683:AC685)</f>
        <v>136766</v>
      </c>
      <c r="AD686" s="62">
        <f>SUM(AD683:AD685)</f>
        <v>103234</v>
      </c>
      <c r="AE686" s="62">
        <f>SUM(AE683:AE685)</f>
        <v>240000</v>
      </c>
      <c r="AF686" s="62">
        <f>SUM(AF683:AF685)</f>
        <v>-70000</v>
      </c>
      <c r="AG686" s="32"/>
      <c r="AI686" s="62">
        <f>SUM(AI683:AI685)</f>
        <v>235700</v>
      </c>
      <c r="AK686" s="62">
        <f>SUM(AK683:AK685)</f>
        <v>210671</v>
      </c>
      <c r="AL686" s="32"/>
      <c r="AM686" s="62">
        <f>SUM(AM683:AM685)</f>
        <v>215791.13</v>
      </c>
      <c r="AO686" s="62">
        <f>SUM(AO683:AO685)</f>
        <v>221064.8639</v>
      </c>
      <c r="AP686" s="32"/>
      <c r="AQ686" s="62">
        <f>SUM(AQ683:AQ685)</f>
        <v>226496.809817</v>
      </c>
      <c r="AS686" s="62">
        <f>SUM(AS683:AS685)</f>
        <v>252091.71411150999</v>
      </c>
      <c r="AU686" s="62">
        <f>SUM(AU683:AU685)</f>
        <v>277854.46553485526</v>
      </c>
      <c r="AW686" s="62">
        <f>SUM(AW683:AW685)</f>
        <v>283790.09950090095</v>
      </c>
      <c r="AY686" s="62">
        <f>SUM(AY683:AY685)</f>
        <v>289903.802485928</v>
      </c>
      <c r="BA686" s="62">
        <f>SUM(BA683:BA685)</f>
        <v>296200.91656050587</v>
      </c>
      <c r="BC686" s="62">
        <f>SUM(BC683:BC685)</f>
        <v>302686.94405732106</v>
      </c>
      <c r="BE686" s="62">
        <f>SUM(BE683:BE685)</f>
        <v>309367.55237904063</v>
      </c>
    </row>
    <row r="687" spans="1:57" hidden="1" outlineLevel="1" x14ac:dyDescent="0.25">
      <c r="A687" s="7" t="s">
        <v>201</v>
      </c>
      <c r="BC687" s="3"/>
      <c r="BE687" s="3"/>
    </row>
    <row r="688" spans="1:57" hidden="1" outlineLevel="1" x14ac:dyDescent="0.25">
      <c r="A688" s="3" t="s">
        <v>202</v>
      </c>
      <c r="Z688" s="3">
        <f>Y688-T688</f>
        <v>0</v>
      </c>
      <c r="BC688" s="3"/>
      <c r="BE688" s="3"/>
    </row>
    <row r="689" spans="1:57" hidden="1" outlineLevel="1" x14ac:dyDescent="0.25">
      <c r="A689" s="3" t="s">
        <v>201</v>
      </c>
      <c r="B689" s="3">
        <v>45000</v>
      </c>
      <c r="D689" s="3">
        <f>431+2320</f>
        <v>2751</v>
      </c>
      <c r="E689" s="3">
        <f>F689-D689</f>
        <v>37249</v>
      </c>
      <c r="F689" s="3">
        <v>40000</v>
      </c>
      <c r="H689" s="3">
        <f>F689-B689</f>
        <v>-5000</v>
      </c>
      <c r="J689" s="3">
        <v>6738</v>
      </c>
      <c r="K689" s="4">
        <f>L689-J689</f>
        <v>23262</v>
      </c>
      <c r="L689" s="4">
        <v>30000</v>
      </c>
      <c r="N689" s="4">
        <f>L689-F689</f>
        <v>-10000</v>
      </c>
      <c r="P689" s="3">
        <f>B689*1.03+2500+6000-3650</f>
        <v>51200</v>
      </c>
      <c r="R689" s="3">
        <v>26518</v>
      </c>
      <c r="S689" s="3">
        <f>T689-R689</f>
        <v>24682</v>
      </c>
      <c r="T689" s="3">
        <v>51200</v>
      </c>
      <c r="U689" s="3">
        <f>T689-P689</f>
        <v>0</v>
      </c>
      <c r="V689" s="3">
        <f>19578+7124</f>
        <v>26702</v>
      </c>
      <c r="W689" s="3">
        <f>Y689-V689</f>
        <v>24498</v>
      </c>
      <c r="Y689" s="3">
        <v>51200</v>
      </c>
      <c r="Z689" s="3">
        <f>Y689-T689</f>
        <v>0</v>
      </c>
      <c r="AC689" s="3">
        <v>27351</v>
      </c>
      <c r="AD689" s="3">
        <f>AE689-AC689</f>
        <v>23849</v>
      </c>
      <c r="AE689" s="3">
        <v>51200</v>
      </c>
      <c r="AF689" s="3">
        <f>AE689-Y689</f>
        <v>0</v>
      </c>
      <c r="AI689" s="3">
        <f>P689*1.03-36</f>
        <v>52700</v>
      </c>
      <c r="AK689" s="3">
        <f>AI689*1.03</f>
        <v>54281</v>
      </c>
      <c r="AM689" s="3">
        <f>AK689*1.03</f>
        <v>55909.43</v>
      </c>
      <c r="AO689" s="3">
        <f>AM689*1.03</f>
        <v>57586.712899999999</v>
      </c>
      <c r="AQ689" s="3">
        <f>AO689*1.03</f>
        <v>59314.314287000001</v>
      </c>
      <c r="AS689" s="3">
        <f>AQ689*1.03</f>
        <v>61093.743715610006</v>
      </c>
      <c r="AU689" s="3">
        <f>AS689*1.03</f>
        <v>62926.55602707831</v>
      </c>
      <c r="AW689" s="3">
        <f>AU689*1.03</f>
        <v>64814.352707890663</v>
      </c>
      <c r="AY689" s="3">
        <f>AW689*1.03</f>
        <v>66758.783289127387</v>
      </c>
      <c r="BA689" s="3">
        <f>AY689*1.03</f>
        <v>68761.546787801213</v>
      </c>
      <c r="BC689" s="3">
        <f>BA689*1.03</f>
        <v>70824.393191435258</v>
      </c>
      <c r="BE689" s="3">
        <f>BC689*1.03</f>
        <v>72949.124987178322</v>
      </c>
    </row>
    <row r="690" spans="1:57" hidden="1" outlineLevel="1" x14ac:dyDescent="0.25">
      <c r="A690" s="3"/>
      <c r="B690" s="62">
        <f>SUM(B688:B689)</f>
        <v>45000</v>
      </c>
      <c r="C690" s="32"/>
      <c r="D690" s="62">
        <f>SUM(D688:D689)</f>
        <v>2751</v>
      </c>
      <c r="E690" s="62">
        <f>SUM(E688:E689)</f>
        <v>37249</v>
      </c>
      <c r="F690" s="62">
        <f>SUM(F688:F689)</f>
        <v>40000</v>
      </c>
      <c r="G690" s="32"/>
      <c r="H690" s="62">
        <f>SUM(H688:H689)</f>
        <v>-5000</v>
      </c>
      <c r="I690" s="32"/>
      <c r="J690" s="62">
        <f>SUM(J688:J689)</f>
        <v>6738</v>
      </c>
      <c r="K690" s="62">
        <f>SUM(K688:K689)</f>
        <v>23262</v>
      </c>
      <c r="L690" s="62">
        <f>SUM(L688:L689)</f>
        <v>30000</v>
      </c>
      <c r="M690" s="32"/>
      <c r="N690" s="62">
        <f>SUM(N688:N689)</f>
        <v>-10000</v>
      </c>
      <c r="P690" s="62">
        <f>SUM(P688:P689)</f>
        <v>51200</v>
      </c>
      <c r="R690" s="62">
        <f t="shared" ref="R690:Z690" si="419">SUM(R688:R689)</f>
        <v>26518</v>
      </c>
      <c r="S690" s="62">
        <f t="shared" si="419"/>
        <v>24682</v>
      </c>
      <c r="T690" s="62">
        <f t="shared" si="419"/>
        <v>51200</v>
      </c>
      <c r="U690" s="62">
        <f t="shared" si="419"/>
        <v>0</v>
      </c>
      <c r="V690" s="62">
        <f t="shared" si="419"/>
        <v>26702</v>
      </c>
      <c r="W690" s="62">
        <f t="shared" si="419"/>
        <v>24498</v>
      </c>
      <c r="X690" s="62"/>
      <c r="Y690" s="62">
        <f t="shared" si="419"/>
        <v>51200</v>
      </c>
      <c r="Z690" s="62">
        <f t="shared" si="419"/>
        <v>0</v>
      </c>
      <c r="AC690" s="62">
        <f>SUM(AC688:AC689)</f>
        <v>27351</v>
      </c>
      <c r="AD690" s="62">
        <f>SUM(AD688:AD689)</f>
        <v>23849</v>
      </c>
      <c r="AE690" s="62">
        <f>SUM(AE688:AE689)</f>
        <v>51200</v>
      </c>
      <c r="AF690" s="62">
        <f>SUM(AF688:AF689)</f>
        <v>0</v>
      </c>
      <c r="AG690" s="32"/>
      <c r="AI690" s="62">
        <f>SUM(AI688:AI689)</f>
        <v>52700</v>
      </c>
      <c r="AK690" s="62">
        <f>SUM(AK688:AK689)</f>
        <v>54281</v>
      </c>
      <c r="AM690" s="62">
        <f>SUM(AM688:AM689)</f>
        <v>55909.43</v>
      </c>
      <c r="AO690" s="62">
        <f>SUM(AO688:AO689)</f>
        <v>57586.712899999999</v>
      </c>
      <c r="AP690" s="32"/>
      <c r="AQ690" s="62">
        <f>SUM(AQ688:AQ689)</f>
        <v>59314.314287000001</v>
      </c>
      <c r="AS690" s="62">
        <f>SUM(AS688:AS689)</f>
        <v>61093.743715610006</v>
      </c>
      <c r="AU690" s="62">
        <f>SUM(AU688:AU689)</f>
        <v>62926.55602707831</v>
      </c>
      <c r="AW690" s="62">
        <f>SUM(AW688:AW689)</f>
        <v>64814.352707890663</v>
      </c>
      <c r="AY690" s="62">
        <f>SUM(AY688:AY689)</f>
        <v>66758.783289127387</v>
      </c>
      <c r="BA690" s="62">
        <f>SUM(BA688:BA689)</f>
        <v>68761.546787801213</v>
      </c>
      <c r="BC690" s="62">
        <f>SUM(BC688:BC689)</f>
        <v>70824.393191435258</v>
      </c>
      <c r="BE690" s="62">
        <f>SUM(BE688:BE689)</f>
        <v>72949.124987178322</v>
      </c>
    </row>
    <row r="691" spans="1:57" hidden="1" outlineLevel="1" x14ac:dyDescent="0.25">
      <c r="A691" s="7" t="s">
        <v>505</v>
      </c>
      <c r="BC691" s="3"/>
      <c r="BE691" s="3"/>
    </row>
    <row r="692" spans="1:57" s="42" customFormat="1" hidden="1" outlineLevel="1" x14ac:dyDescent="0.25">
      <c r="A692" s="3" t="s">
        <v>90</v>
      </c>
      <c r="B692" s="37">
        <v>350</v>
      </c>
      <c r="C692" s="32"/>
      <c r="D692" s="37">
        <v>1281</v>
      </c>
      <c r="E692" s="37">
        <f>F692-D692</f>
        <v>219</v>
      </c>
      <c r="F692" s="37">
        <v>1500</v>
      </c>
      <c r="G692" s="32"/>
      <c r="H692" s="37">
        <f>F692-B692</f>
        <v>1150</v>
      </c>
      <c r="I692" s="32"/>
      <c r="J692" s="37">
        <v>1281</v>
      </c>
      <c r="K692" s="37">
        <f>L692-J692</f>
        <v>219</v>
      </c>
      <c r="L692" s="37">
        <v>1500</v>
      </c>
      <c r="M692" s="32"/>
      <c r="N692" s="37">
        <f>L692-F692</f>
        <v>0</v>
      </c>
      <c r="O692" s="3"/>
      <c r="P692" s="37">
        <v>380</v>
      </c>
      <c r="Q692" s="3"/>
      <c r="R692" s="37">
        <v>141</v>
      </c>
      <c r="S692" s="37">
        <f>T692-R692</f>
        <v>239</v>
      </c>
      <c r="T692" s="37">
        <v>380</v>
      </c>
      <c r="U692" s="37">
        <f>T692-P692</f>
        <v>0</v>
      </c>
      <c r="V692" s="37">
        <v>141</v>
      </c>
      <c r="W692" s="37">
        <f>Y692-V692</f>
        <v>239</v>
      </c>
      <c r="X692" s="37"/>
      <c r="Y692" s="37">
        <v>380</v>
      </c>
      <c r="Z692" s="37">
        <f>Y692-T692</f>
        <v>0</v>
      </c>
      <c r="AA692" s="3"/>
      <c r="AB692" s="3"/>
      <c r="AC692" s="37">
        <v>141</v>
      </c>
      <c r="AD692" s="37">
        <f>AE692-AC692</f>
        <v>239</v>
      </c>
      <c r="AE692" s="37">
        <v>380</v>
      </c>
      <c r="AF692" s="37">
        <f>AE692-Y692</f>
        <v>0</v>
      </c>
      <c r="AG692" s="32"/>
      <c r="AH692" s="4"/>
      <c r="AI692" s="37">
        <v>400</v>
      </c>
      <c r="AJ692" s="3"/>
      <c r="AK692" s="37">
        <v>420</v>
      </c>
      <c r="AL692" s="3"/>
      <c r="AM692" s="37">
        <v>440</v>
      </c>
      <c r="AN692" s="3"/>
      <c r="AO692" s="37">
        <v>460</v>
      </c>
      <c r="AP692" s="32"/>
      <c r="AQ692" s="37">
        <v>480</v>
      </c>
      <c r="AS692" s="37">
        <v>500</v>
      </c>
      <c r="AU692" s="37">
        <v>550</v>
      </c>
      <c r="AW692" s="37">
        <v>550</v>
      </c>
      <c r="AY692" s="37">
        <v>550</v>
      </c>
      <c r="BA692" s="37">
        <v>550</v>
      </c>
      <c r="BC692" s="37">
        <v>550</v>
      </c>
      <c r="BE692" s="37">
        <v>550</v>
      </c>
    </row>
    <row r="693" spans="1:57" hidden="1" outlineLevel="1" x14ac:dyDescent="0.25">
      <c r="A693" s="7" t="s">
        <v>204</v>
      </c>
      <c r="BC693" s="3"/>
      <c r="BE693" s="3"/>
    </row>
    <row r="694" spans="1:57" hidden="1" outlineLevel="1" x14ac:dyDescent="0.25">
      <c r="A694" s="3" t="s">
        <v>207</v>
      </c>
      <c r="BC694" s="3"/>
      <c r="BE694" s="3"/>
    </row>
    <row r="695" spans="1:57" hidden="1" outlineLevel="1" x14ac:dyDescent="0.25">
      <c r="A695" s="3" t="s">
        <v>506</v>
      </c>
      <c r="AD695" s="3">
        <f t="shared" ref="AD695:AD710" si="420">AE695-AC695</f>
        <v>0</v>
      </c>
      <c r="AF695" s="3">
        <f t="shared" ref="AF695:AF710" si="421">AE695-Y695</f>
        <v>0</v>
      </c>
      <c r="BC695" s="3"/>
      <c r="BE695" s="3"/>
    </row>
    <row r="696" spans="1:57" hidden="1" outlineLevel="1" x14ac:dyDescent="0.25">
      <c r="A696" s="3" t="s">
        <v>507</v>
      </c>
      <c r="Z696" s="3">
        <f t="shared" ref="Z696:Z710" si="422">Y696-T696</f>
        <v>0</v>
      </c>
      <c r="AD696" s="3">
        <f t="shared" si="420"/>
        <v>0</v>
      </c>
      <c r="AF696" s="3">
        <f t="shared" si="421"/>
        <v>0</v>
      </c>
      <c r="BC696" s="3"/>
      <c r="BE696" s="3"/>
    </row>
    <row r="697" spans="1:57" hidden="1" outlineLevel="1" x14ac:dyDescent="0.25">
      <c r="A697" s="3" t="s">
        <v>508</v>
      </c>
      <c r="B697" s="3">
        <v>303000</v>
      </c>
      <c r="D697" s="3">
        <v>45765</v>
      </c>
      <c r="E697" s="3">
        <f t="shared" ref="E697:E710" si="423">F697-D697</f>
        <v>224605</v>
      </c>
      <c r="F697" s="3">
        <v>270370</v>
      </c>
      <c r="H697" s="3">
        <f t="shared" ref="H697:H710" si="424">F697-B697</f>
        <v>-32630</v>
      </c>
      <c r="J697" s="3">
        <v>216544</v>
      </c>
      <c r="K697" s="4">
        <f t="shared" ref="K697:K710" si="425">L697-J697</f>
        <v>28736</v>
      </c>
      <c r="L697" s="4">
        <v>245280</v>
      </c>
      <c r="N697" s="4">
        <f t="shared" ref="N697:N710" si="426">L697-F697</f>
        <v>-25090</v>
      </c>
      <c r="P697" s="3">
        <f>P250-P257</f>
        <v>317000</v>
      </c>
      <c r="R697" s="3">
        <v>85885</v>
      </c>
      <c r="S697" s="3">
        <f t="shared" ref="S697:S710" si="427">T697-R697</f>
        <v>231115</v>
      </c>
      <c r="T697" s="3">
        <v>317000</v>
      </c>
      <c r="U697" s="3">
        <f t="shared" ref="U697:U710" si="428">T697-P697</f>
        <v>0</v>
      </c>
      <c r="V697" s="3">
        <v>166898</v>
      </c>
      <c r="W697" s="3">
        <f t="shared" ref="W697:W710" si="429">Y697-V697</f>
        <v>160752</v>
      </c>
      <c r="Y697" s="3">
        <v>327650</v>
      </c>
      <c r="Z697" s="3">
        <f t="shared" si="422"/>
        <v>10650</v>
      </c>
      <c r="AC697" s="3">
        <v>190026</v>
      </c>
      <c r="AD697" s="3">
        <f t="shared" si="420"/>
        <v>115734</v>
      </c>
      <c r="AE697" s="3">
        <f>327650-21890</f>
        <v>305760</v>
      </c>
      <c r="AF697" s="3">
        <f t="shared" si="421"/>
        <v>-21890</v>
      </c>
      <c r="AI697" s="3">
        <f>AI250-AI257</f>
        <v>324950</v>
      </c>
      <c r="AK697" s="3">
        <f>AK250-AK257</f>
        <v>333049.99999999994</v>
      </c>
      <c r="AL697" s="3">
        <f>AL250-AL257</f>
        <v>0</v>
      </c>
      <c r="AM697" s="3">
        <f>AM250-AM257</f>
        <v>341400</v>
      </c>
      <c r="AN697" s="3">
        <f>AN250-AN257</f>
        <v>0</v>
      </c>
      <c r="AO697" s="3">
        <f>AO250-AO257</f>
        <v>349950</v>
      </c>
      <c r="AQ697" s="3">
        <f>AQ250-AQ257</f>
        <v>358700</v>
      </c>
      <c r="AR697" s="3"/>
      <c r="AS697" s="3">
        <f>AS250-AS257</f>
        <v>367650</v>
      </c>
      <c r="AT697" s="3">
        <f>AT250-AT257</f>
        <v>0</v>
      </c>
      <c r="AU697" s="3">
        <f>AU250-AU257</f>
        <v>376800</v>
      </c>
      <c r="AV697" s="3">
        <f>AV250-AV257</f>
        <v>0</v>
      </c>
      <c r="AW697" s="3">
        <f>AW250-AW257</f>
        <v>386200</v>
      </c>
      <c r="AX697" s="3"/>
      <c r="AY697" s="3">
        <f>AY250-AY257</f>
        <v>395950</v>
      </c>
      <c r="BA697" s="3">
        <f>BA250-BA257</f>
        <v>395950</v>
      </c>
      <c r="BC697" s="3">
        <f>BC250-BC257</f>
        <v>395950</v>
      </c>
      <c r="BE697" s="3">
        <f>BE250-BE257</f>
        <v>395950</v>
      </c>
    </row>
    <row r="698" spans="1:57" hidden="1" outlineLevel="1" x14ac:dyDescent="0.25">
      <c r="A698" s="3" t="s">
        <v>509</v>
      </c>
      <c r="E698" s="3">
        <f t="shared" si="423"/>
        <v>0</v>
      </c>
      <c r="K698" s="4">
        <f>L698-J698</f>
        <v>16800</v>
      </c>
      <c r="L698" s="4">
        <v>16800</v>
      </c>
      <c r="N698" s="4">
        <f>L698-F698</f>
        <v>16800</v>
      </c>
      <c r="S698" s="3">
        <f t="shared" si="427"/>
        <v>0</v>
      </c>
      <c r="U698" s="3">
        <f t="shared" si="428"/>
        <v>0</v>
      </c>
      <c r="W698" s="3">
        <f t="shared" si="429"/>
        <v>31990</v>
      </c>
      <c r="Y698" s="3">
        <v>31990</v>
      </c>
      <c r="Z698" s="3">
        <f t="shared" si="422"/>
        <v>31990</v>
      </c>
      <c r="AD698" s="3">
        <f t="shared" si="420"/>
        <v>31990</v>
      </c>
      <c r="AE698" s="3">
        <f>31990</f>
        <v>31990</v>
      </c>
      <c r="AF698" s="3">
        <f t="shared" si="421"/>
        <v>0</v>
      </c>
      <c r="BC698" s="3"/>
      <c r="BE698" s="3"/>
    </row>
    <row r="699" spans="1:57" hidden="1" outlineLevel="1" x14ac:dyDescent="0.25">
      <c r="A699" s="3" t="s">
        <v>508</v>
      </c>
      <c r="E699" s="3">
        <f t="shared" si="423"/>
        <v>0</v>
      </c>
      <c r="H699" s="3">
        <f t="shared" si="424"/>
        <v>0</v>
      </c>
      <c r="K699" s="4">
        <f t="shared" si="425"/>
        <v>0</v>
      </c>
      <c r="L699" s="4"/>
      <c r="N699" s="4">
        <f t="shared" si="426"/>
        <v>0</v>
      </c>
      <c r="S699" s="3">
        <f t="shared" si="427"/>
        <v>0</v>
      </c>
      <c r="U699" s="3">
        <f t="shared" si="428"/>
        <v>0</v>
      </c>
      <c r="W699" s="3">
        <f t="shared" si="429"/>
        <v>0</v>
      </c>
      <c r="Z699" s="3">
        <f t="shared" si="422"/>
        <v>0</v>
      </c>
      <c r="AD699" s="3">
        <f t="shared" si="420"/>
        <v>0</v>
      </c>
      <c r="AF699" s="3">
        <f t="shared" si="421"/>
        <v>0</v>
      </c>
      <c r="BC699" s="3"/>
      <c r="BE699" s="3"/>
    </row>
    <row r="700" spans="1:57" hidden="1" outlineLevel="1" x14ac:dyDescent="0.25">
      <c r="A700" s="3" t="s">
        <v>510</v>
      </c>
      <c r="E700" s="3">
        <f t="shared" si="423"/>
        <v>0</v>
      </c>
      <c r="H700" s="3">
        <f t="shared" si="424"/>
        <v>0</v>
      </c>
      <c r="K700" s="4">
        <f t="shared" si="425"/>
        <v>0</v>
      </c>
      <c r="L700" s="4"/>
      <c r="N700" s="4">
        <f t="shared" si="426"/>
        <v>0</v>
      </c>
      <c r="S700" s="3">
        <f t="shared" si="427"/>
        <v>0</v>
      </c>
      <c r="U700" s="3">
        <f t="shared" si="428"/>
        <v>0</v>
      </c>
      <c r="W700" s="3">
        <f t="shared" si="429"/>
        <v>0</v>
      </c>
      <c r="Z700" s="3">
        <f t="shared" si="422"/>
        <v>0</v>
      </c>
      <c r="AD700" s="3">
        <f t="shared" si="420"/>
        <v>0</v>
      </c>
      <c r="AF700" s="3">
        <f t="shared" si="421"/>
        <v>0</v>
      </c>
      <c r="BC700" s="3"/>
      <c r="BE700" s="3"/>
    </row>
    <row r="701" spans="1:57" hidden="1" outlineLevel="1" x14ac:dyDescent="0.25">
      <c r="A701" s="3" t="s">
        <v>511</v>
      </c>
      <c r="B701" s="3">
        <v>80000</v>
      </c>
      <c r="E701" s="3">
        <f t="shared" si="423"/>
        <v>66440</v>
      </c>
      <c r="F701" s="3">
        <v>66440</v>
      </c>
      <c r="H701" s="3">
        <f t="shared" si="424"/>
        <v>-13560</v>
      </c>
      <c r="J701" s="3">
        <v>105477</v>
      </c>
      <c r="K701" s="4">
        <f t="shared" si="425"/>
        <v>24243</v>
      </c>
      <c r="L701" s="4">
        <v>129720</v>
      </c>
      <c r="N701" s="4">
        <f t="shared" si="426"/>
        <v>63280</v>
      </c>
      <c r="P701" s="3">
        <f>P704</f>
        <v>67350</v>
      </c>
      <c r="S701" s="3">
        <f t="shared" si="427"/>
        <v>67350</v>
      </c>
      <c r="T701" s="3">
        <v>67350</v>
      </c>
      <c r="U701" s="3">
        <f t="shared" si="428"/>
        <v>0</v>
      </c>
      <c r="V701" s="3">
        <v>7600</v>
      </c>
      <c r="W701" s="3">
        <f t="shared" si="429"/>
        <v>59750</v>
      </c>
      <c r="Y701" s="3">
        <v>67350</v>
      </c>
      <c r="Z701" s="3">
        <f t="shared" si="422"/>
        <v>0</v>
      </c>
      <c r="AC701" s="3">
        <v>53585</v>
      </c>
      <c r="AD701" s="3">
        <f t="shared" si="420"/>
        <v>35655</v>
      </c>
      <c r="AE701" s="3">
        <v>89240</v>
      </c>
      <c r="AF701" s="3">
        <f t="shared" si="421"/>
        <v>21890</v>
      </c>
      <c r="AI701" s="3">
        <f t="shared" ref="AI701:AY701" si="430">AI704</f>
        <v>69050</v>
      </c>
      <c r="AK701" s="3">
        <f t="shared" si="430"/>
        <v>70800</v>
      </c>
      <c r="AL701" s="3">
        <f t="shared" si="430"/>
        <v>0</v>
      </c>
      <c r="AM701" s="3">
        <f t="shared" si="430"/>
        <v>72550</v>
      </c>
      <c r="AN701" s="3">
        <f t="shared" si="430"/>
        <v>0</v>
      </c>
      <c r="AO701" s="3">
        <f t="shared" si="430"/>
        <v>74350</v>
      </c>
      <c r="AQ701" s="3">
        <f t="shared" si="430"/>
        <v>76200</v>
      </c>
      <c r="AR701" s="3"/>
      <c r="AS701" s="3">
        <f t="shared" si="430"/>
        <v>78100</v>
      </c>
      <c r="AU701" s="3">
        <f t="shared" si="430"/>
        <v>80100</v>
      </c>
      <c r="AV701" s="3">
        <f t="shared" si="430"/>
        <v>0</v>
      </c>
      <c r="AW701" s="3">
        <f t="shared" si="430"/>
        <v>82100</v>
      </c>
      <c r="AX701" s="3"/>
      <c r="AY701" s="3">
        <f t="shared" si="430"/>
        <v>84100</v>
      </c>
      <c r="BA701" s="3">
        <f>BA704</f>
        <v>84100</v>
      </c>
      <c r="BC701" s="3">
        <f>BC704</f>
        <v>84100</v>
      </c>
      <c r="BE701" s="3">
        <f>BE704</f>
        <v>84100</v>
      </c>
    </row>
    <row r="702" spans="1:57" hidden="1" outlineLevel="1" x14ac:dyDescent="0.25">
      <c r="A702" s="3" t="s">
        <v>512</v>
      </c>
      <c r="D702" s="3">
        <v>38190</v>
      </c>
      <c r="E702" s="3">
        <f t="shared" si="423"/>
        <v>0</v>
      </c>
      <c r="F702" s="3">
        <v>38190</v>
      </c>
      <c r="H702" s="3">
        <f t="shared" si="424"/>
        <v>38190</v>
      </c>
      <c r="K702" s="4">
        <f t="shared" si="425"/>
        <v>0</v>
      </c>
      <c r="L702" s="4"/>
      <c r="N702" s="4">
        <f t="shared" si="426"/>
        <v>-38190</v>
      </c>
      <c r="S702" s="3">
        <f t="shared" si="427"/>
        <v>0</v>
      </c>
      <c r="U702" s="3">
        <f t="shared" si="428"/>
        <v>0</v>
      </c>
      <c r="W702" s="3">
        <f t="shared" si="429"/>
        <v>0</v>
      </c>
      <c r="Z702" s="3">
        <f t="shared" si="422"/>
        <v>0</v>
      </c>
      <c r="AD702" s="3">
        <f t="shared" si="420"/>
        <v>0</v>
      </c>
      <c r="AF702" s="3">
        <f t="shared" si="421"/>
        <v>0</v>
      </c>
      <c r="BC702" s="3"/>
      <c r="BE702" s="3"/>
    </row>
    <row r="703" spans="1:57" hidden="1" outlineLevel="1" x14ac:dyDescent="0.25">
      <c r="A703" s="3" t="s">
        <v>513</v>
      </c>
      <c r="E703" s="3">
        <f t="shared" si="423"/>
        <v>0</v>
      </c>
      <c r="H703" s="3">
        <f t="shared" si="424"/>
        <v>0</v>
      </c>
      <c r="K703" s="4">
        <f t="shared" si="425"/>
        <v>0</v>
      </c>
      <c r="L703" s="4"/>
      <c r="N703" s="4">
        <f t="shared" si="426"/>
        <v>0</v>
      </c>
      <c r="S703" s="3">
        <f t="shared" si="427"/>
        <v>0</v>
      </c>
      <c r="U703" s="3">
        <f t="shared" si="428"/>
        <v>0</v>
      </c>
      <c r="W703" s="3">
        <f t="shared" si="429"/>
        <v>0</v>
      </c>
      <c r="Z703" s="3">
        <f t="shared" si="422"/>
        <v>0</v>
      </c>
      <c r="AD703" s="3">
        <f t="shared" si="420"/>
        <v>0</v>
      </c>
      <c r="AF703" s="3">
        <f t="shared" si="421"/>
        <v>0</v>
      </c>
      <c r="BC703" s="3"/>
      <c r="BE703" s="3"/>
    </row>
    <row r="704" spans="1:57" hidden="1" outlineLevel="1" x14ac:dyDescent="0.25">
      <c r="A704" s="3" t="s">
        <v>514</v>
      </c>
      <c r="B704" s="3">
        <v>80000</v>
      </c>
      <c r="D704" s="3">
        <v>43324</v>
      </c>
      <c r="E704" s="3">
        <f t="shared" si="423"/>
        <v>21676</v>
      </c>
      <c r="F704" s="3">
        <v>65000</v>
      </c>
      <c r="H704" s="3">
        <f t="shared" si="424"/>
        <v>-15000</v>
      </c>
      <c r="K704" s="4">
        <f t="shared" si="425"/>
        <v>65000</v>
      </c>
      <c r="L704" s="4">
        <v>65000</v>
      </c>
      <c r="N704" s="4">
        <f t="shared" si="426"/>
        <v>0</v>
      </c>
      <c r="P704" s="3">
        <f>P257</f>
        <v>67350</v>
      </c>
      <c r="S704" s="3">
        <f t="shared" si="427"/>
        <v>67350</v>
      </c>
      <c r="T704" s="3">
        <v>67350</v>
      </c>
      <c r="U704" s="3">
        <f t="shared" si="428"/>
        <v>0</v>
      </c>
      <c r="V704" s="3">
        <v>7600</v>
      </c>
      <c r="W704" s="3">
        <f t="shared" si="429"/>
        <v>59750</v>
      </c>
      <c r="Y704" s="3">
        <v>67350</v>
      </c>
      <c r="Z704" s="3">
        <f t="shared" si="422"/>
        <v>0</v>
      </c>
      <c r="AC704" s="3">
        <v>53585</v>
      </c>
      <c r="AD704" s="3">
        <f t="shared" si="420"/>
        <v>13765</v>
      </c>
      <c r="AE704" s="3">
        <v>67350</v>
      </c>
      <c r="AF704" s="3">
        <f t="shared" si="421"/>
        <v>0</v>
      </c>
      <c r="AI704" s="3">
        <f>AI257</f>
        <v>69050</v>
      </c>
      <c r="AK704" s="3">
        <f>AK257</f>
        <v>70800</v>
      </c>
      <c r="AM704" s="3">
        <f>AM257</f>
        <v>72550</v>
      </c>
      <c r="AO704" s="3">
        <f>AO257</f>
        <v>74350</v>
      </c>
      <c r="AQ704" s="3">
        <f>AQ257</f>
        <v>76200</v>
      </c>
      <c r="AS704" s="3">
        <f>AS257</f>
        <v>78100</v>
      </c>
      <c r="AU704" s="3">
        <f>AU257</f>
        <v>80100</v>
      </c>
      <c r="AW704" s="3">
        <f>AW257</f>
        <v>82100</v>
      </c>
      <c r="AY704" s="3">
        <f>AY257</f>
        <v>84100</v>
      </c>
      <c r="BA704" s="3">
        <f>BA257</f>
        <v>84100</v>
      </c>
      <c r="BC704" s="3">
        <f>BC257</f>
        <v>84100</v>
      </c>
      <c r="BE704" s="3">
        <f>BE257</f>
        <v>84100</v>
      </c>
    </row>
    <row r="705" spans="1:57" hidden="1" outlineLevel="1" x14ac:dyDescent="0.25">
      <c r="A705" s="3" t="s">
        <v>515</v>
      </c>
      <c r="E705" s="3">
        <f t="shared" si="423"/>
        <v>0</v>
      </c>
      <c r="H705" s="3">
        <f t="shared" si="424"/>
        <v>0</v>
      </c>
      <c r="K705" s="4">
        <f t="shared" si="425"/>
        <v>0</v>
      </c>
      <c r="L705" s="4"/>
      <c r="N705" s="4">
        <f t="shared" si="426"/>
        <v>0</v>
      </c>
      <c r="S705" s="3">
        <f t="shared" si="427"/>
        <v>0</v>
      </c>
      <c r="U705" s="3">
        <f t="shared" si="428"/>
        <v>0</v>
      </c>
      <c r="W705" s="3">
        <f t="shared" si="429"/>
        <v>0</v>
      </c>
      <c r="Z705" s="3">
        <f t="shared" si="422"/>
        <v>0</v>
      </c>
      <c r="AD705" s="3">
        <f t="shared" si="420"/>
        <v>0</v>
      </c>
      <c r="AF705" s="3">
        <f t="shared" si="421"/>
        <v>0</v>
      </c>
      <c r="BC705" s="3"/>
      <c r="BE705" s="3"/>
    </row>
    <row r="706" spans="1:57" hidden="1" outlineLevel="1" x14ac:dyDescent="0.25">
      <c r="A706" s="3" t="s">
        <v>516</v>
      </c>
      <c r="E706" s="3">
        <f t="shared" si="423"/>
        <v>0</v>
      </c>
      <c r="H706" s="3">
        <f t="shared" si="424"/>
        <v>0</v>
      </c>
      <c r="K706" s="4">
        <f t="shared" si="425"/>
        <v>0</v>
      </c>
      <c r="L706" s="4"/>
      <c r="N706" s="4">
        <f t="shared" si="426"/>
        <v>0</v>
      </c>
      <c r="S706" s="3">
        <f t="shared" si="427"/>
        <v>0</v>
      </c>
      <c r="U706" s="3">
        <f t="shared" si="428"/>
        <v>0</v>
      </c>
      <c r="W706" s="3">
        <f t="shared" si="429"/>
        <v>0</v>
      </c>
      <c r="Z706" s="3">
        <f t="shared" si="422"/>
        <v>0</v>
      </c>
      <c r="AD706" s="3">
        <f t="shared" si="420"/>
        <v>0</v>
      </c>
      <c r="AF706" s="3">
        <f t="shared" si="421"/>
        <v>0</v>
      </c>
      <c r="BC706" s="3"/>
      <c r="BE706" s="3"/>
    </row>
    <row r="707" spans="1:57" hidden="1" outlineLevel="1" x14ac:dyDescent="0.25">
      <c r="A707" s="3" t="s">
        <v>517</v>
      </c>
      <c r="B707" s="3">
        <v>141000</v>
      </c>
      <c r="E707" s="3">
        <f t="shared" si="423"/>
        <v>141000</v>
      </c>
      <c r="F707" s="3">
        <v>141000</v>
      </c>
      <c r="H707" s="3">
        <f t="shared" si="424"/>
        <v>0</v>
      </c>
      <c r="J707" s="75">
        <v>0</v>
      </c>
      <c r="K707" s="4">
        <f t="shared" si="425"/>
        <v>10000</v>
      </c>
      <c r="L707" s="4">
        <v>10000</v>
      </c>
      <c r="N707" s="4">
        <f t="shared" si="426"/>
        <v>-131000</v>
      </c>
      <c r="S707" s="3">
        <f t="shared" si="427"/>
        <v>0</v>
      </c>
      <c r="U707" s="3">
        <f t="shared" si="428"/>
        <v>0</v>
      </c>
      <c r="W707" s="3">
        <f t="shared" si="429"/>
        <v>0</v>
      </c>
      <c r="Z707" s="3">
        <f t="shared" si="422"/>
        <v>0</v>
      </c>
      <c r="AD707" s="3">
        <f t="shared" si="420"/>
        <v>0</v>
      </c>
      <c r="AF707" s="3">
        <f t="shared" si="421"/>
        <v>0</v>
      </c>
      <c r="BC707" s="3"/>
      <c r="BE707" s="3"/>
    </row>
    <row r="708" spans="1:57" hidden="1" outlineLevel="1" x14ac:dyDescent="0.25">
      <c r="A708" s="3" t="s">
        <v>518</v>
      </c>
      <c r="E708" s="3">
        <f t="shared" si="423"/>
        <v>0</v>
      </c>
      <c r="H708" s="3">
        <f t="shared" si="424"/>
        <v>0</v>
      </c>
      <c r="K708" s="4">
        <f t="shared" si="425"/>
        <v>0</v>
      </c>
      <c r="L708" s="4"/>
      <c r="N708" s="4">
        <f t="shared" si="426"/>
        <v>0</v>
      </c>
      <c r="S708" s="3">
        <f t="shared" si="427"/>
        <v>0</v>
      </c>
      <c r="U708" s="3">
        <f t="shared" si="428"/>
        <v>0</v>
      </c>
      <c r="W708" s="3">
        <f t="shared" si="429"/>
        <v>0</v>
      </c>
      <c r="Z708" s="3">
        <f t="shared" si="422"/>
        <v>0</v>
      </c>
      <c r="AD708" s="3">
        <f t="shared" si="420"/>
        <v>0</v>
      </c>
      <c r="AF708" s="3">
        <f t="shared" si="421"/>
        <v>0</v>
      </c>
      <c r="BC708" s="3"/>
      <c r="BE708" s="3"/>
    </row>
    <row r="709" spans="1:57" hidden="1" outlineLevel="1" x14ac:dyDescent="0.25">
      <c r="A709" s="3" t="s">
        <v>518</v>
      </c>
      <c r="E709" s="3">
        <f t="shared" si="423"/>
        <v>0</v>
      </c>
      <c r="H709" s="3">
        <f t="shared" si="424"/>
        <v>0</v>
      </c>
      <c r="K709" s="4">
        <f t="shared" si="425"/>
        <v>0</v>
      </c>
      <c r="L709" s="4"/>
      <c r="N709" s="4">
        <f t="shared" si="426"/>
        <v>0</v>
      </c>
      <c r="S709" s="3">
        <f t="shared" si="427"/>
        <v>0</v>
      </c>
      <c r="U709" s="3">
        <f t="shared" si="428"/>
        <v>0</v>
      </c>
      <c r="W709" s="3">
        <f t="shared" si="429"/>
        <v>0</v>
      </c>
      <c r="Z709" s="3">
        <f t="shared" si="422"/>
        <v>0</v>
      </c>
      <c r="AD709" s="3">
        <f t="shared" si="420"/>
        <v>0</v>
      </c>
      <c r="AF709" s="3">
        <f t="shared" si="421"/>
        <v>0</v>
      </c>
      <c r="BC709" s="3"/>
      <c r="BE709" s="3"/>
    </row>
    <row r="710" spans="1:57" hidden="1" outlineLevel="1" x14ac:dyDescent="0.25">
      <c r="A710" s="3" t="s">
        <v>195</v>
      </c>
      <c r="E710" s="3">
        <f t="shared" si="423"/>
        <v>0</v>
      </c>
      <c r="H710" s="3">
        <f t="shared" si="424"/>
        <v>0</v>
      </c>
      <c r="K710" s="4">
        <f t="shared" si="425"/>
        <v>0</v>
      </c>
      <c r="L710" s="4"/>
      <c r="N710" s="4">
        <f t="shared" si="426"/>
        <v>0</v>
      </c>
      <c r="S710" s="3">
        <f t="shared" si="427"/>
        <v>0</v>
      </c>
      <c r="U710" s="3">
        <f t="shared" si="428"/>
        <v>0</v>
      </c>
      <c r="W710" s="3">
        <f t="shared" si="429"/>
        <v>0</v>
      </c>
      <c r="Z710" s="3">
        <f t="shared" si="422"/>
        <v>0</v>
      </c>
      <c r="AD710" s="3">
        <f t="shared" si="420"/>
        <v>0</v>
      </c>
      <c r="AF710" s="3">
        <f t="shared" si="421"/>
        <v>0</v>
      </c>
      <c r="BC710" s="3"/>
      <c r="BE710" s="3"/>
    </row>
    <row r="711" spans="1:57" hidden="1" outlineLevel="1" x14ac:dyDescent="0.25">
      <c r="A711" s="3" t="s">
        <v>519</v>
      </c>
      <c r="BC711" s="3"/>
      <c r="BE711" s="3"/>
    </row>
    <row r="712" spans="1:57" hidden="1" outlineLevel="1" x14ac:dyDescent="0.25">
      <c r="A712" s="3" t="s">
        <v>520</v>
      </c>
      <c r="BC712" s="3"/>
      <c r="BE712" s="3"/>
    </row>
    <row r="713" spans="1:57" hidden="1" outlineLevel="1" x14ac:dyDescent="0.25">
      <c r="A713" s="3"/>
      <c r="B713" s="62">
        <f>SUM(B694:B712)</f>
        <v>604000</v>
      </c>
      <c r="C713" s="32"/>
      <c r="D713" s="62">
        <f>SUM(D694:D712)</f>
        <v>127279</v>
      </c>
      <c r="E713" s="62">
        <f>SUM(E694:E712)</f>
        <v>453721</v>
      </c>
      <c r="F713" s="62">
        <f>SUM(F694:F712)</f>
        <v>581000</v>
      </c>
      <c r="G713" s="32"/>
      <c r="H713" s="62">
        <f>SUM(H694:H712)</f>
        <v>-23000</v>
      </c>
      <c r="I713" s="32"/>
      <c r="J713" s="62">
        <f>SUM(J694:J712)</f>
        <v>322021</v>
      </c>
      <c r="K713" s="62">
        <f>SUM(K694:K712)</f>
        <v>144779</v>
      </c>
      <c r="L713" s="62">
        <f>SUM(L694:L712)</f>
        <v>466800</v>
      </c>
      <c r="M713" s="32"/>
      <c r="N713" s="62">
        <f>SUM(N694:N712)</f>
        <v>-114200</v>
      </c>
      <c r="P713" s="62">
        <f>SUM(P694:P712)</f>
        <v>451700</v>
      </c>
      <c r="R713" s="62">
        <f t="shared" ref="R713:Z713" si="431">SUM(R694:R712)</f>
        <v>85885</v>
      </c>
      <c r="S713" s="62">
        <f t="shared" si="431"/>
        <v>365815</v>
      </c>
      <c r="T713" s="62">
        <f t="shared" si="431"/>
        <v>451700</v>
      </c>
      <c r="U713" s="62">
        <f t="shared" si="431"/>
        <v>0</v>
      </c>
      <c r="V713" s="62">
        <f t="shared" si="431"/>
        <v>182098</v>
      </c>
      <c r="W713" s="62">
        <f t="shared" si="431"/>
        <v>312242</v>
      </c>
      <c r="X713" s="62"/>
      <c r="Y713" s="62">
        <f t="shared" si="431"/>
        <v>494340</v>
      </c>
      <c r="Z713" s="62">
        <f t="shared" si="431"/>
        <v>42640</v>
      </c>
      <c r="AC713" s="62">
        <f>SUM(AC694:AC712)</f>
        <v>297196</v>
      </c>
      <c r="AD713" s="62">
        <f>SUM(AD694:AD712)</f>
        <v>197144</v>
      </c>
      <c r="AE713" s="62">
        <f>SUM(AE694:AE712)</f>
        <v>494340</v>
      </c>
      <c r="AF713" s="62">
        <f>SUM(AF694:AF712)</f>
        <v>0</v>
      </c>
      <c r="AG713" s="32"/>
      <c r="AI713" s="62">
        <f>SUM(AI694:AI712)</f>
        <v>463050</v>
      </c>
      <c r="AK713" s="62">
        <f>SUM(AK694:AK712)</f>
        <v>474649.99999999994</v>
      </c>
      <c r="AM713" s="62">
        <f>SUM(AM694:AM712)</f>
        <v>486500</v>
      </c>
      <c r="AO713" s="62">
        <f>SUM(AO694:AO712)</f>
        <v>498650</v>
      </c>
      <c r="AP713" s="32"/>
      <c r="AQ713" s="62">
        <f>SUM(AQ694:AQ712)</f>
        <v>511100</v>
      </c>
      <c r="AS713" s="62">
        <f>SUM(AS694:AS712)</f>
        <v>523850</v>
      </c>
      <c r="AU713" s="62">
        <f>SUM(AU694:AU712)</f>
        <v>537000</v>
      </c>
      <c r="AW713" s="62">
        <f>SUM(AW694:AW712)</f>
        <v>550400</v>
      </c>
      <c r="AY713" s="62">
        <f>SUM(AY694:AY712)</f>
        <v>564150</v>
      </c>
      <c r="BA713" s="62">
        <f>SUM(BA694:BA712)</f>
        <v>564150</v>
      </c>
      <c r="BC713" s="62">
        <f>SUM(BC694:BC712)</f>
        <v>564150</v>
      </c>
      <c r="BE713" s="62">
        <f>SUM(BE694:BE712)</f>
        <v>564150</v>
      </c>
    </row>
    <row r="714" spans="1:57" hidden="1" outlineLevel="1" x14ac:dyDescent="0.25">
      <c r="A714" s="7" t="s">
        <v>57</v>
      </c>
      <c r="BC714" s="3"/>
      <c r="BE714" s="3"/>
    </row>
    <row r="715" spans="1:57" hidden="1" outlineLevel="1" x14ac:dyDescent="0.25">
      <c r="A715" s="3" t="s">
        <v>521</v>
      </c>
      <c r="B715" s="3">
        <v>29000</v>
      </c>
      <c r="E715" s="3">
        <f t="shared" ref="E715:E732" si="432">F715-D715</f>
        <v>29000</v>
      </c>
      <c r="F715" s="3">
        <v>29000</v>
      </c>
      <c r="H715" s="3">
        <f t="shared" ref="H715:H732" si="433">F715-B715</f>
        <v>0</v>
      </c>
      <c r="K715" s="4">
        <f t="shared" ref="K715:K744" si="434">L715-J715</f>
        <v>29000</v>
      </c>
      <c r="L715" s="4">
        <v>29000</v>
      </c>
      <c r="N715" s="4">
        <f t="shared" ref="N715:N744" si="435">L715-F715</f>
        <v>0</v>
      </c>
      <c r="P715" s="3">
        <v>29000</v>
      </c>
      <c r="S715" s="3">
        <f t="shared" ref="S715:S744" si="436">T715-R715</f>
        <v>29000</v>
      </c>
      <c r="T715" s="3">
        <v>29000</v>
      </c>
      <c r="U715" s="3">
        <f t="shared" ref="U715:U744" si="437">T715-P715</f>
        <v>0</v>
      </c>
      <c r="W715" s="3">
        <f t="shared" ref="W715:W744" si="438">Y715-V715</f>
        <v>29000</v>
      </c>
      <c r="Y715" s="3">
        <v>29000</v>
      </c>
      <c r="Z715" s="3">
        <f t="shared" ref="Z715:Z744" si="439">Y715-T715</f>
        <v>0</v>
      </c>
      <c r="AC715" s="3">
        <v>0</v>
      </c>
      <c r="AD715" s="3">
        <f t="shared" ref="AD715:AD744" si="440">AE715-AC715</f>
        <v>29000</v>
      </c>
      <c r="AE715" s="3">
        <v>29000</v>
      </c>
      <c r="AF715" s="3">
        <f t="shared" ref="AF715:AF744" si="441">AE715-Y715</f>
        <v>0</v>
      </c>
      <c r="AI715" s="3">
        <v>29000</v>
      </c>
      <c r="AK715" s="3">
        <v>29000</v>
      </c>
      <c r="AM715" s="3">
        <v>29000</v>
      </c>
      <c r="AO715" s="3">
        <v>29000</v>
      </c>
      <c r="AQ715" s="3">
        <v>29000</v>
      </c>
      <c r="AS715" s="3">
        <v>29000</v>
      </c>
      <c r="AU715" s="3">
        <v>29000</v>
      </c>
      <c r="AW715" s="3">
        <v>29000</v>
      </c>
      <c r="AY715" s="3">
        <v>29000</v>
      </c>
      <c r="BA715" s="3">
        <v>29000</v>
      </c>
      <c r="BC715" s="3">
        <v>29000</v>
      </c>
      <c r="BE715" s="3">
        <v>29000</v>
      </c>
    </row>
    <row r="716" spans="1:57" hidden="1" outlineLevel="1" x14ac:dyDescent="0.25">
      <c r="A716" s="3" t="s">
        <v>522</v>
      </c>
      <c r="E716" s="3">
        <f t="shared" si="432"/>
        <v>0</v>
      </c>
      <c r="H716" s="3">
        <f t="shared" si="433"/>
        <v>0</v>
      </c>
      <c r="K716" s="4">
        <f t="shared" si="434"/>
        <v>0</v>
      </c>
      <c r="L716" s="4"/>
      <c r="N716" s="4">
        <f t="shared" si="435"/>
        <v>0</v>
      </c>
      <c r="S716" s="3">
        <f t="shared" si="436"/>
        <v>0</v>
      </c>
      <c r="U716" s="3">
        <f t="shared" si="437"/>
        <v>0</v>
      </c>
      <c r="W716" s="3">
        <f t="shared" si="438"/>
        <v>0</v>
      </c>
      <c r="Z716" s="3">
        <f t="shared" si="439"/>
        <v>0</v>
      </c>
      <c r="AD716" s="3">
        <f t="shared" si="440"/>
        <v>0</v>
      </c>
      <c r="AF716" s="3">
        <f t="shared" si="441"/>
        <v>0</v>
      </c>
      <c r="BC716" s="3"/>
      <c r="BE716" s="3"/>
    </row>
    <row r="717" spans="1:57" hidden="1" outlineLevel="1" x14ac:dyDescent="0.25">
      <c r="A717" s="3" t="s">
        <v>523</v>
      </c>
      <c r="E717" s="3">
        <f t="shared" si="432"/>
        <v>0</v>
      </c>
      <c r="H717" s="3">
        <f t="shared" si="433"/>
        <v>0</v>
      </c>
      <c r="K717" s="4">
        <f t="shared" si="434"/>
        <v>0</v>
      </c>
      <c r="L717" s="4"/>
      <c r="N717" s="4">
        <f t="shared" si="435"/>
        <v>0</v>
      </c>
      <c r="S717" s="3">
        <f t="shared" si="436"/>
        <v>0</v>
      </c>
      <c r="U717" s="3">
        <f t="shared" si="437"/>
        <v>0</v>
      </c>
      <c r="W717" s="3">
        <f t="shared" si="438"/>
        <v>0</v>
      </c>
      <c r="Z717" s="3">
        <f t="shared" si="439"/>
        <v>0</v>
      </c>
      <c r="AD717" s="3">
        <f t="shared" si="440"/>
        <v>0</v>
      </c>
      <c r="AF717" s="3">
        <f t="shared" si="441"/>
        <v>0</v>
      </c>
      <c r="BC717" s="3"/>
      <c r="BE717" s="3"/>
    </row>
    <row r="718" spans="1:57" hidden="1" outlineLevel="1" x14ac:dyDescent="0.25">
      <c r="A718" s="3" t="s">
        <v>524</v>
      </c>
      <c r="D718" s="3">
        <v>154542</v>
      </c>
      <c r="E718" s="3">
        <f t="shared" si="432"/>
        <v>562960</v>
      </c>
      <c r="F718" s="3">
        <v>717502</v>
      </c>
      <c r="H718" s="3">
        <f t="shared" si="433"/>
        <v>717502</v>
      </c>
      <c r="J718" s="3">
        <f>552924+26428</f>
        <v>579352</v>
      </c>
      <c r="K718" s="4">
        <f t="shared" si="434"/>
        <v>138148</v>
      </c>
      <c r="L718" s="4">
        <v>717500</v>
      </c>
      <c r="N718" s="4">
        <f t="shared" si="435"/>
        <v>-2</v>
      </c>
      <c r="S718" s="3">
        <f t="shared" si="436"/>
        <v>0</v>
      </c>
      <c r="U718" s="3">
        <f t="shared" si="437"/>
        <v>0</v>
      </c>
      <c r="W718" s="3">
        <f t="shared" si="438"/>
        <v>0</v>
      </c>
      <c r="Z718" s="3">
        <f t="shared" si="439"/>
        <v>0</v>
      </c>
      <c r="AD718" s="3">
        <f t="shared" si="440"/>
        <v>0</v>
      </c>
      <c r="AF718" s="3">
        <f t="shared" si="441"/>
        <v>0</v>
      </c>
      <c r="BC718" s="3"/>
      <c r="BE718" s="3"/>
    </row>
    <row r="719" spans="1:57" hidden="1" outlineLevel="1" x14ac:dyDescent="0.25">
      <c r="A719" s="3" t="s">
        <v>525</v>
      </c>
      <c r="B719" s="3">
        <v>2750000</v>
      </c>
      <c r="D719" s="3">
        <f>10803+2606+409776</f>
        <v>423185</v>
      </c>
      <c r="E719" s="3">
        <f t="shared" si="432"/>
        <v>1394868</v>
      </c>
      <c r="F719" s="3">
        <v>1818053</v>
      </c>
      <c r="H719" s="3">
        <f t="shared" si="433"/>
        <v>-931947</v>
      </c>
      <c r="J719" s="3">
        <v>936548</v>
      </c>
      <c r="K719" s="4">
        <f t="shared" si="434"/>
        <v>881502</v>
      </c>
      <c r="L719" s="4">
        <v>1818050</v>
      </c>
      <c r="N719" s="4">
        <f t="shared" si="435"/>
        <v>-3</v>
      </c>
      <c r="S719" s="3">
        <f t="shared" si="436"/>
        <v>0</v>
      </c>
      <c r="U719" s="3">
        <f t="shared" si="437"/>
        <v>0</v>
      </c>
      <c r="W719" s="3">
        <f t="shared" si="438"/>
        <v>0</v>
      </c>
      <c r="Z719" s="3">
        <f t="shared" si="439"/>
        <v>0</v>
      </c>
      <c r="AD719" s="3">
        <f t="shared" si="440"/>
        <v>0</v>
      </c>
      <c r="AF719" s="3">
        <f t="shared" si="441"/>
        <v>0</v>
      </c>
      <c r="BC719" s="3"/>
      <c r="BE719" s="3"/>
    </row>
    <row r="720" spans="1:57" hidden="1" outlineLevel="1" x14ac:dyDescent="0.25">
      <c r="A720" s="3" t="s">
        <v>227</v>
      </c>
      <c r="E720" s="3">
        <f t="shared" si="432"/>
        <v>0</v>
      </c>
      <c r="H720" s="3">
        <f t="shared" si="433"/>
        <v>0</v>
      </c>
      <c r="K720" s="4">
        <f t="shared" si="434"/>
        <v>0</v>
      </c>
      <c r="L720" s="4"/>
      <c r="N720" s="4">
        <f t="shared" si="435"/>
        <v>0</v>
      </c>
      <c r="S720" s="3">
        <f t="shared" si="436"/>
        <v>0</v>
      </c>
      <c r="U720" s="3">
        <f t="shared" si="437"/>
        <v>0</v>
      </c>
      <c r="W720" s="3">
        <f t="shared" si="438"/>
        <v>0</v>
      </c>
      <c r="Z720" s="3">
        <f t="shared" si="439"/>
        <v>0</v>
      </c>
      <c r="AD720" s="3">
        <f t="shared" si="440"/>
        <v>0</v>
      </c>
      <c r="AF720" s="3">
        <f t="shared" si="441"/>
        <v>0</v>
      </c>
      <c r="BC720" s="3"/>
      <c r="BE720" s="3"/>
    </row>
    <row r="721" spans="1:57" hidden="1" outlineLevel="1" x14ac:dyDescent="0.25">
      <c r="A721" s="3" t="s">
        <v>228</v>
      </c>
      <c r="D721" s="3">
        <v>164719</v>
      </c>
      <c r="E721" s="3">
        <f t="shared" si="432"/>
        <v>849388</v>
      </c>
      <c r="F721" s="3">
        <v>1014107</v>
      </c>
      <c r="H721" s="3">
        <f t="shared" si="433"/>
        <v>1014107</v>
      </c>
      <c r="J721" s="3">
        <v>185697</v>
      </c>
      <c r="K721" s="4">
        <f t="shared" si="434"/>
        <v>828408</v>
      </c>
      <c r="L721" s="4">
        <v>1014105</v>
      </c>
      <c r="N721" s="4">
        <f t="shared" si="435"/>
        <v>-2</v>
      </c>
      <c r="S721" s="3">
        <f t="shared" si="436"/>
        <v>0</v>
      </c>
      <c r="U721" s="3">
        <f t="shared" si="437"/>
        <v>0</v>
      </c>
      <c r="W721" s="3">
        <f t="shared" si="438"/>
        <v>0</v>
      </c>
      <c r="Z721" s="3">
        <f t="shared" si="439"/>
        <v>0</v>
      </c>
      <c r="AD721" s="3">
        <f t="shared" si="440"/>
        <v>0</v>
      </c>
      <c r="AF721" s="3">
        <f t="shared" si="441"/>
        <v>0</v>
      </c>
      <c r="BC721" s="3"/>
      <c r="BE721" s="3"/>
    </row>
    <row r="722" spans="1:57" hidden="1" outlineLevel="1" x14ac:dyDescent="0.25">
      <c r="A722" s="3" t="s">
        <v>218</v>
      </c>
      <c r="K722" s="4"/>
      <c r="L722" s="4"/>
      <c r="N722" s="4"/>
      <c r="AI722" s="3">
        <v>2500000</v>
      </c>
      <c r="BC722" s="3"/>
      <c r="BE722" s="3"/>
    </row>
    <row r="723" spans="1:57" hidden="1" outlineLevel="1" x14ac:dyDescent="0.25">
      <c r="A723" s="3" t="s">
        <v>229</v>
      </c>
      <c r="E723" s="3">
        <f>F723-D723</f>
        <v>157220</v>
      </c>
      <c r="F723" s="3">
        <v>157220</v>
      </c>
      <c r="H723" s="3">
        <f>F723-B723</f>
        <v>157220</v>
      </c>
      <c r="K723" s="4">
        <f t="shared" si="434"/>
        <v>157220</v>
      </c>
      <c r="L723" s="4">
        <v>157220</v>
      </c>
      <c r="N723" s="4">
        <f t="shared" si="435"/>
        <v>0</v>
      </c>
      <c r="S723" s="3">
        <f t="shared" si="436"/>
        <v>0</v>
      </c>
      <c r="U723" s="3">
        <f t="shared" si="437"/>
        <v>0</v>
      </c>
      <c r="W723" s="3">
        <f t="shared" si="438"/>
        <v>0</v>
      </c>
      <c r="Z723" s="3">
        <f t="shared" si="439"/>
        <v>0</v>
      </c>
      <c r="AD723" s="3">
        <f t="shared" si="440"/>
        <v>0</v>
      </c>
      <c r="AF723" s="3">
        <f t="shared" si="441"/>
        <v>0</v>
      </c>
      <c r="BC723" s="3"/>
      <c r="BE723" s="3"/>
    </row>
    <row r="724" spans="1:57" hidden="1" outlineLevel="1" x14ac:dyDescent="0.25">
      <c r="A724" s="3" t="s">
        <v>526</v>
      </c>
      <c r="K724" s="4"/>
      <c r="L724" s="4"/>
      <c r="N724" s="4"/>
      <c r="P724" s="3">
        <v>2500000</v>
      </c>
      <c r="R724" s="3">
        <f>32722+11140+350897+117156</f>
        <v>511915</v>
      </c>
      <c r="S724" s="3">
        <f t="shared" si="436"/>
        <v>1988085</v>
      </c>
      <c r="T724" s="3">
        <v>2500000</v>
      </c>
      <c r="U724" s="3">
        <f t="shared" si="437"/>
        <v>0</v>
      </c>
      <c r="V724" s="3">
        <v>1014503</v>
      </c>
      <c r="W724" s="3">
        <f t="shared" si="438"/>
        <v>1485497</v>
      </c>
      <c r="Y724" s="3">
        <v>2500000</v>
      </c>
      <c r="Z724" s="3">
        <f t="shared" si="439"/>
        <v>0</v>
      </c>
      <c r="AC724" s="3">
        <v>1391117</v>
      </c>
      <c r="AD724" s="3">
        <f t="shared" si="440"/>
        <v>1108883</v>
      </c>
      <c r="AE724" s="3">
        <v>2500000</v>
      </c>
      <c r="AF724" s="3">
        <f t="shared" si="441"/>
        <v>0</v>
      </c>
      <c r="AI724" s="3">
        <v>1500000</v>
      </c>
      <c r="BC724" s="3"/>
      <c r="BE724" s="3"/>
    </row>
    <row r="725" spans="1:57" hidden="1" outlineLevel="1" x14ac:dyDescent="0.25">
      <c r="A725" s="3" t="s">
        <v>527</v>
      </c>
      <c r="B725" s="3">
        <v>4800</v>
      </c>
      <c r="D725" s="3">
        <v>348</v>
      </c>
      <c r="E725" s="3">
        <f t="shared" si="432"/>
        <v>4452</v>
      </c>
      <c r="F725" s="3">
        <v>4800</v>
      </c>
      <c r="H725" s="3">
        <f t="shared" si="433"/>
        <v>0</v>
      </c>
      <c r="J725" s="3">
        <v>349</v>
      </c>
      <c r="K725" s="4">
        <f t="shared" si="434"/>
        <v>4451</v>
      </c>
      <c r="L725" s="4">
        <v>4800</v>
      </c>
      <c r="N725" s="4">
        <f t="shared" si="435"/>
        <v>0</v>
      </c>
      <c r="R725" s="3">
        <v>3713</v>
      </c>
      <c r="S725" s="3">
        <f t="shared" si="436"/>
        <v>1087</v>
      </c>
      <c r="T725" s="3">
        <v>4800</v>
      </c>
      <c r="U725" s="3">
        <f t="shared" si="437"/>
        <v>4800</v>
      </c>
      <c r="V725" s="3">
        <v>8321</v>
      </c>
      <c r="W725" s="3">
        <f t="shared" si="438"/>
        <v>11679</v>
      </c>
      <c r="Y725" s="3">
        <v>20000</v>
      </c>
      <c r="Z725" s="3">
        <f t="shared" si="439"/>
        <v>15200</v>
      </c>
      <c r="AC725" s="3">
        <v>21330</v>
      </c>
      <c r="AD725" s="3">
        <f t="shared" si="440"/>
        <v>3670</v>
      </c>
      <c r="AE725" s="3">
        <v>25000</v>
      </c>
      <c r="AF725" s="3">
        <f t="shared" si="441"/>
        <v>5000</v>
      </c>
      <c r="AI725" s="3">
        <v>3000</v>
      </c>
      <c r="AK725" s="3">
        <f>AI725*1.03</f>
        <v>3090</v>
      </c>
      <c r="AM725" s="3">
        <f>AK725*1.03</f>
        <v>3182.7000000000003</v>
      </c>
      <c r="AO725" s="3">
        <f>AM725*1.03</f>
        <v>3278.1810000000005</v>
      </c>
      <c r="AQ725" s="3">
        <f>AO725*1.03</f>
        <v>3376.5264300000008</v>
      </c>
      <c r="AS725" s="3">
        <f>AQ725*1.03</f>
        <v>3477.8222229000007</v>
      </c>
      <c r="AU725" s="3">
        <f>AS725*1.03</f>
        <v>3582.1568895870009</v>
      </c>
      <c r="AW725" s="3">
        <f>AU725*1.03</f>
        <v>3689.621596274611</v>
      </c>
      <c r="AY725" s="3">
        <f>AW725*1.03</f>
        <v>3800.3102441628494</v>
      </c>
      <c r="BA725" s="3">
        <f>AY725*1.03</f>
        <v>3914.3195514877348</v>
      </c>
      <c r="BC725" s="3">
        <f>BA725*1.03</f>
        <v>4031.7491380323668</v>
      </c>
      <c r="BE725" s="3">
        <f>BC725*1.03</f>
        <v>4152.7016121733377</v>
      </c>
    </row>
    <row r="726" spans="1:57" hidden="1" outlineLevel="1" x14ac:dyDescent="0.25">
      <c r="A726" s="3" t="s">
        <v>90</v>
      </c>
      <c r="E726" s="3">
        <f t="shared" si="432"/>
        <v>0</v>
      </c>
      <c r="H726" s="3">
        <f t="shared" si="433"/>
        <v>0</v>
      </c>
      <c r="K726" s="4">
        <f t="shared" si="434"/>
        <v>0</v>
      </c>
      <c r="L726" s="4"/>
      <c r="N726" s="4">
        <f t="shared" si="435"/>
        <v>0</v>
      </c>
      <c r="S726" s="3">
        <f t="shared" si="436"/>
        <v>0</v>
      </c>
      <c r="U726" s="3">
        <f t="shared" si="437"/>
        <v>0</v>
      </c>
      <c r="W726" s="3">
        <f t="shared" si="438"/>
        <v>0</v>
      </c>
      <c r="Z726" s="3">
        <f t="shared" si="439"/>
        <v>0</v>
      </c>
      <c r="AD726" s="3">
        <f t="shared" si="440"/>
        <v>0</v>
      </c>
      <c r="AF726" s="3">
        <f t="shared" si="441"/>
        <v>0</v>
      </c>
      <c r="BC726" s="3"/>
      <c r="BE726" s="3"/>
    </row>
    <row r="727" spans="1:57" hidden="1" outlineLevel="1" x14ac:dyDescent="0.25">
      <c r="A727" s="3" t="s">
        <v>248</v>
      </c>
      <c r="B727" s="3">
        <v>20000</v>
      </c>
      <c r="D727" s="3">
        <v>6166</v>
      </c>
      <c r="E727" s="3">
        <f t="shared" si="432"/>
        <v>23834</v>
      </c>
      <c r="F727" s="3">
        <v>30000</v>
      </c>
      <c r="H727" s="3">
        <f t="shared" si="433"/>
        <v>10000</v>
      </c>
      <c r="J727" s="3">
        <v>11236</v>
      </c>
      <c r="K727" s="4">
        <f t="shared" si="434"/>
        <v>18764</v>
      </c>
      <c r="L727" s="4">
        <v>30000</v>
      </c>
      <c r="N727" s="4">
        <f t="shared" si="435"/>
        <v>0</v>
      </c>
      <c r="P727" s="3">
        <v>30000</v>
      </c>
      <c r="R727" s="3">
        <v>1305</v>
      </c>
      <c r="S727" s="3">
        <f t="shared" si="436"/>
        <v>28695</v>
      </c>
      <c r="T727" s="3">
        <v>30000</v>
      </c>
      <c r="U727" s="3">
        <f t="shared" si="437"/>
        <v>0</v>
      </c>
      <c r="V727" s="3">
        <v>5971</v>
      </c>
      <c r="W727" s="3">
        <f t="shared" si="438"/>
        <v>24029</v>
      </c>
      <c r="Y727" s="3">
        <v>30000</v>
      </c>
      <c r="Z727" s="3">
        <f t="shared" si="439"/>
        <v>0</v>
      </c>
      <c r="AC727" s="3">
        <v>6572</v>
      </c>
      <c r="AD727" s="3">
        <f t="shared" si="440"/>
        <v>23428</v>
      </c>
      <c r="AE727" s="3">
        <v>30000</v>
      </c>
      <c r="AF727" s="3">
        <f t="shared" si="441"/>
        <v>0</v>
      </c>
      <c r="AI727" s="3">
        <v>30000</v>
      </c>
      <c r="AK727" s="3">
        <v>30000</v>
      </c>
      <c r="AM727" s="3">
        <v>30000</v>
      </c>
      <c r="AO727" s="3">
        <v>30000</v>
      </c>
      <c r="AQ727" s="3">
        <v>30000</v>
      </c>
      <c r="AS727" s="3">
        <v>30000</v>
      </c>
      <c r="AU727" s="3">
        <v>30000</v>
      </c>
      <c r="AW727" s="3">
        <v>30000</v>
      </c>
      <c r="AY727" s="3">
        <v>30000</v>
      </c>
      <c r="BA727" s="3">
        <v>30000</v>
      </c>
      <c r="BC727" s="3">
        <v>30000</v>
      </c>
      <c r="BE727" s="3">
        <v>30000</v>
      </c>
    </row>
    <row r="728" spans="1:57" s="42" customFormat="1" hidden="1" outlineLevel="1" x14ac:dyDescent="0.25">
      <c r="A728" s="3" t="s">
        <v>528</v>
      </c>
      <c r="B728" s="3"/>
      <c r="C728" s="3"/>
      <c r="D728" s="3"/>
      <c r="E728" s="3">
        <f t="shared" si="432"/>
        <v>0</v>
      </c>
      <c r="F728" s="3"/>
      <c r="G728" s="3"/>
      <c r="H728" s="3">
        <f t="shared" si="433"/>
        <v>0</v>
      </c>
      <c r="I728" s="3"/>
      <c r="J728" s="3"/>
      <c r="K728" s="4">
        <f t="shared" si="434"/>
        <v>0</v>
      </c>
      <c r="L728" s="4"/>
      <c r="M728" s="4"/>
      <c r="N728" s="4">
        <f t="shared" si="435"/>
        <v>0</v>
      </c>
      <c r="O728" s="3"/>
      <c r="P728" s="3"/>
      <c r="Q728" s="3"/>
      <c r="R728" s="3"/>
      <c r="S728" s="3">
        <f t="shared" si="436"/>
        <v>0</v>
      </c>
      <c r="T728" s="3"/>
      <c r="U728" s="3">
        <f t="shared" si="437"/>
        <v>0</v>
      </c>
      <c r="V728" s="3"/>
      <c r="W728" s="3">
        <f t="shared" si="438"/>
        <v>0</v>
      </c>
      <c r="X728" s="3"/>
      <c r="Y728" s="3"/>
      <c r="Z728" s="3">
        <f t="shared" si="439"/>
        <v>0</v>
      </c>
      <c r="AA728" s="3"/>
      <c r="AB728" s="3"/>
      <c r="AC728" s="3"/>
      <c r="AD728" s="3">
        <f t="shared" si="440"/>
        <v>0</v>
      </c>
      <c r="AE728" s="3"/>
      <c r="AF728" s="3">
        <f t="shared" si="441"/>
        <v>0</v>
      </c>
      <c r="AG728" s="4"/>
      <c r="AH728" s="4"/>
      <c r="AI728" s="3"/>
      <c r="AJ728" s="3"/>
      <c r="AK728" s="3"/>
      <c r="AL728" s="3"/>
      <c r="AM728" s="3"/>
      <c r="AN728" s="3"/>
      <c r="AO728" s="3"/>
      <c r="AP728" s="4"/>
      <c r="AQ728" s="3"/>
      <c r="AS728" s="3"/>
      <c r="AU728" s="3"/>
      <c r="AW728" s="3"/>
      <c r="AY728" s="3"/>
      <c r="BA728" s="3"/>
      <c r="BC728" s="3"/>
      <c r="BE728" s="3"/>
    </row>
    <row r="729" spans="1:57" hidden="1" outlineLevel="1" x14ac:dyDescent="0.25">
      <c r="A729" s="3" t="s">
        <v>529</v>
      </c>
      <c r="E729" s="3">
        <f t="shared" si="432"/>
        <v>0</v>
      </c>
      <c r="H729" s="3">
        <f t="shared" si="433"/>
        <v>0</v>
      </c>
      <c r="K729" s="4">
        <f t="shared" si="434"/>
        <v>0</v>
      </c>
      <c r="L729" s="4"/>
      <c r="N729" s="4">
        <f t="shared" si="435"/>
        <v>0</v>
      </c>
      <c r="S729" s="3">
        <f t="shared" si="436"/>
        <v>0</v>
      </c>
      <c r="U729" s="3">
        <f t="shared" si="437"/>
        <v>0</v>
      </c>
      <c r="W729" s="3">
        <f t="shared" si="438"/>
        <v>0</v>
      </c>
      <c r="Z729" s="3">
        <f t="shared" si="439"/>
        <v>0</v>
      </c>
      <c r="AD729" s="3">
        <f t="shared" si="440"/>
        <v>0</v>
      </c>
      <c r="AF729" s="3">
        <f t="shared" si="441"/>
        <v>0</v>
      </c>
      <c r="BC729" s="3"/>
      <c r="BE729" s="3"/>
    </row>
    <row r="730" spans="1:57" hidden="1" outlineLevel="1" x14ac:dyDescent="0.25">
      <c r="A730" s="3" t="s">
        <v>530</v>
      </c>
      <c r="E730" s="3">
        <f t="shared" si="432"/>
        <v>0</v>
      </c>
      <c r="H730" s="3">
        <f t="shared" si="433"/>
        <v>0</v>
      </c>
      <c r="K730" s="4">
        <f t="shared" si="434"/>
        <v>0</v>
      </c>
      <c r="L730" s="4"/>
      <c r="N730" s="4">
        <f t="shared" si="435"/>
        <v>0</v>
      </c>
      <c r="S730" s="3">
        <f t="shared" si="436"/>
        <v>0</v>
      </c>
      <c r="U730" s="3">
        <f t="shared" si="437"/>
        <v>0</v>
      </c>
      <c r="W730" s="3">
        <f t="shared" si="438"/>
        <v>0</v>
      </c>
      <c r="Z730" s="3">
        <f t="shared" si="439"/>
        <v>0</v>
      </c>
      <c r="AD730" s="3">
        <f t="shared" si="440"/>
        <v>0</v>
      </c>
      <c r="AF730" s="3">
        <f t="shared" si="441"/>
        <v>0</v>
      </c>
      <c r="BC730" s="3"/>
      <c r="BE730" s="3"/>
    </row>
    <row r="731" spans="1:57" hidden="1" outlineLevel="1" x14ac:dyDescent="0.25">
      <c r="A731" s="3" t="s">
        <v>531</v>
      </c>
      <c r="E731" s="3">
        <f t="shared" si="432"/>
        <v>0</v>
      </c>
      <c r="H731" s="3">
        <f t="shared" si="433"/>
        <v>0</v>
      </c>
      <c r="K731" s="4">
        <f t="shared" si="434"/>
        <v>0</v>
      </c>
      <c r="L731" s="4"/>
      <c r="N731" s="4">
        <f t="shared" si="435"/>
        <v>0</v>
      </c>
      <c r="S731" s="3">
        <f t="shared" si="436"/>
        <v>0</v>
      </c>
      <c r="U731" s="3">
        <f t="shared" si="437"/>
        <v>0</v>
      </c>
      <c r="W731" s="3">
        <f t="shared" si="438"/>
        <v>0</v>
      </c>
      <c r="Z731" s="3">
        <f t="shared" si="439"/>
        <v>0</v>
      </c>
      <c r="AD731" s="3">
        <f t="shared" si="440"/>
        <v>0</v>
      </c>
      <c r="AF731" s="3">
        <f t="shared" si="441"/>
        <v>0</v>
      </c>
      <c r="BC731" s="3"/>
      <c r="BE731" s="3"/>
    </row>
    <row r="732" spans="1:57" hidden="1" outlineLevel="1" x14ac:dyDescent="0.25">
      <c r="A732" s="3" t="s">
        <v>234</v>
      </c>
      <c r="E732" s="3">
        <f t="shared" si="432"/>
        <v>0</v>
      </c>
      <c r="H732" s="3">
        <f t="shared" si="433"/>
        <v>0</v>
      </c>
      <c r="K732" s="4">
        <f t="shared" si="434"/>
        <v>0</v>
      </c>
      <c r="L732" s="4"/>
      <c r="N732" s="4">
        <f t="shared" si="435"/>
        <v>0</v>
      </c>
      <c r="S732" s="3">
        <f t="shared" si="436"/>
        <v>0</v>
      </c>
      <c r="U732" s="3">
        <f t="shared" si="437"/>
        <v>0</v>
      </c>
      <c r="W732" s="3">
        <f t="shared" si="438"/>
        <v>0</v>
      </c>
      <c r="Z732" s="3">
        <f t="shared" si="439"/>
        <v>0</v>
      </c>
      <c r="AD732" s="3">
        <f t="shared" si="440"/>
        <v>0</v>
      </c>
      <c r="AF732" s="3">
        <f t="shared" si="441"/>
        <v>0</v>
      </c>
      <c r="BC732" s="3"/>
      <c r="BE732" s="3"/>
    </row>
    <row r="733" spans="1:57" hidden="1" outlineLevel="1" x14ac:dyDescent="0.25">
      <c r="A733" s="3" t="s">
        <v>532</v>
      </c>
      <c r="K733" s="4">
        <f t="shared" si="434"/>
        <v>0</v>
      </c>
      <c r="L733" s="4"/>
      <c r="N733" s="4">
        <f t="shared" si="435"/>
        <v>0</v>
      </c>
      <c r="S733" s="3">
        <f t="shared" si="436"/>
        <v>0</v>
      </c>
      <c r="U733" s="3">
        <f t="shared" si="437"/>
        <v>0</v>
      </c>
      <c r="W733" s="3">
        <f t="shared" si="438"/>
        <v>0</v>
      </c>
      <c r="Z733" s="3">
        <f t="shared" si="439"/>
        <v>0</v>
      </c>
      <c r="AD733" s="3">
        <f t="shared" si="440"/>
        <v>0</v>
      </c>
      <c r="AF733" s="3">
        <f t="shared" si="441"/>
        <v>0</v>
      </c>
      <c r="BC733" s="3"/>
      <c r="BE733" s="3"/>
    </row>
    <row r="734" spans="1:57" hidden="1" outlineLevel="1" x14ac:dyDescent="0.25">
      <c r="A734" s="3" t="s">
        <v>533</v>
      </c>
      <c r="K734" s="4">
        <f t="shared" si="434"/>
        <v>0</v>
      </c>
      <c r="L734" s="4"/>
      <c r="N734" s="4">
        <f t="shared" si="435"/>
        <v>0</v>
      </c>
      <c r="S734" s="3">
        <f t="shared" si="436"/>
        <v>0</v>
      </c>
      <c r="U734" s="3">
        <f t="shared" si="437"/>
        <v>0</v>
      </c>
      <c r="W734" s="3">
        <f t="shared" si="438"/>
        <v>0</v>
      </c>
      <c r="Z734" s="3">
        <f t="shared" si="439"/>
        <v>0</v>
      </c>
      <c r="AD734" s="3">
        <f t="shared" si="440"/>
        <v>0</v>
      </c>
      <c r="AF734" s="3">
        <f t="shared" si="441"/>
        <v>0</v>
      </c>
      <c r="BC734" s="3"/>
      <c r="BE734" s="3"/>
    </row>
    <row r="735" spans="1:57" hidden="1" outlineLevel="1" x14ac:dyDescent="0.25">
      <c r="A735" s="3" t="s">
        <v>534</v>
      </c>
      <c r="K735" s="4">
        <f t="shared" si="434"/>
        <v>0</v>
      </c>
      <c r="L735" s="4"/>
      <c r="N735" s="4">
        <f t="shared" si="435"/>
        <v>0</v>
      </c>
      <c r="S735" s="3">
        <f t="shared" si="436"/>
        <v>0</v>
      </c>
      <c r="U735" s="3">
        <f t="shared" si="437"/>
        <v>0</v>
      </c>
      <c r="W735" s="3">
        <f t="shared" si="438"/>
        <v>0</v>
      </c>
      <c r="Z735" s="3">
        <f t="shared" si="439"/>
        <v>0</v>
      </c>
      <c r="AD735" s="3">
        <f t="shared" si="440"/>
        <v>0</v>
      </c>
      <c r="AF735" s="3">
        <f t="shared" si="441"/>
        <v>0</v>
      </c>
      <c r="BC735" s="3"/>
      <c r="BE735" s="3"/>
    </row>
    <row r="736" spans="1:57" hidden="1" outlineLevel="1" x14ac:dyDescent="0.25">
      <c r="A736" s="3" t="s">
        <v>234</v>
      </c>
      <c r="K736" s="4">
        <f t="shared" si="434"/>
        <v>0</v>
      </c>
      <c r="L736" s="4"/>
      <c r="N736" s="4">
        <f t="shared" si="435"/>
        <v>0</v>
      </c>
      <c r="S736" s="3">
        <f t="shared" si="436"/>
        <v>0</v>
      </c>
      <c r="U736" s="3">
        <f t="shared" si="437"/>
        <v>0</v>
      </c>
      <c r="W736" s="3">
        <f t="shared" si="438"/>
        <v>0</v>
      </c>
      <c r="Z736" s="3">
        <f t="shared" si="439"/>
        <v>0</v>
      </c>
      <c r="AD736" s="3">
        <f t="shared" si="440"/>
        <v>0</v>
      </c>
      <c r="AF736" s="3">
        <f t="shared" si="441"/>
        <v>0</v>
      </c>
      <c r="BC736" s="3"/>
      <c r="BE736" s="3"/>
    </row>
    <row r="737" spans="1:57" hidden="1" outlineLevel="1" x14ac:dyDescent="0.25">
      <c r="A737" s="3" t="s">
        <v>535</v>
      </c>
      <c r="K737" s="4">
        <f t="shared" si="434"/>
        <v>0</v>
      </c>
      <c r="L737" s="4"/>
      <c r="N737" s="4">
        <f t="shared" si="435"/>
        <v>0</v>
      </c>
      <c r="S737" s="3">
        <f t="shared" si="436"/>
        <v>0</v>
      </c>
      <c r="U737" s="3">
        <f t="shared" si="437"/>
        <v>0</v>
      </c>
      <c r="W737" s="3">
        <f t="shared" si="438"/>
        <v>0</v>
      </c>
      <c r="Z737" s="3">
        <f t="shared" si="439"/>
        <v>0</v>
      </c>
      <c r="AD737" s="3">
        <f t="shared" si="440"/>
        <v>0</v>
      </c>
      <c r="AF737" s="3">
        <f t="shared" si="441"/>
        <v>0</v>
      </c>
      <c r="BC737" s="3"/>
      <c r="BE737" s="3"/>
    </row>
    <row r="738" spans="1:57" hidden="1" outlineLevel="1" x14ac:dyDescent="0.25">
      <c r="A738" s="3" t="s">
        <v>536</v>
      </c>
      <c r="K738" s="4">
        <f t="shared" si="434"/>
        <v>0</v>
      </c>
      <c r="L738" s="4"/>
      <c r="N738" s="4">
        <f t="shared" si="435"/>
        <v>0</v>
      </c>
      <c r="S738" s="3">
        <f t="shared" si="436"/>
        <v>0</v>
      </c>
      <c r="U738" s="3">
        <f t="shared" si="437"/>
        <v>0</v>
      </c>
      <c r="W738" s="3">
        <f t="shared" si="438"/>
        <v>0</v>
      </c>
      <c r="Z738" s="3">
        <f t="shared" si="439"/>
        <v>0</v>
      </c>
      <c r="AD738" s="3">
        <f t="shared" si="440"/>
        <v>0</v>
      </c>
      <c r="AF738" s="3">
        <f t="shared" si="441"/>
        <v>0</v>
      </c>
      <c r="BC738" s="3"/>
      <c r="BE738" s="3"/>
    </row>
    <row r="739" spans="1:57" hidden="1" outlineLevel="1" x14ac:dyDescent="0.25">
      <c r="A739" s="3" t="s">
        <v>537</v>
      </c>
      <c r="K739" s="4">
        <f t="shared" si="434"/>
        <v>0</v>
      </c>
      <c r="L739" s="4"/>
      <c r="N739" s="4">
        <f t="shared" si="435"/>
        <v>0</v>
      </c>
      <c r="S739" s="3">
        <f t="shared" si="436"/>
        <v>0</v>
      </c>
      <c r="U739" s="3">
        <f t="shared" si="437"/>
        <v>0</v>
      </c>
      <c r="W739" s="3">
        <f t="shared" si="438"/>
        <v>0</v>
      </c>
      <c r="Z739" s="3">
        <f t="shared" si="439"/>
        <v>0</v>
      </c>
      <c r="AD739" s="3">
        <f t="shared" si="440"/>
        <v>0</v>
      </c>
      <c r="AF739" s="3">
        <f t="shared" si="441"/>
        <v>0</v>
      </c>
      <c r="BC739" s="3"/>
      <c r="BE739" s="3"/>
    </row>
    <row r="740" spans="1:57" hidden="1" outlineLevel="1" x14ac:dyDescent="0.25">
      <c r="A740" s="3" t="s">
        <v>538</v>
      </c>
      <c r="K740" s="4">
        <f t="shared" si="434"/>
        <v>0</v>
      </c>
      <c r="L740" s="4"/>
      <c r="N740" s="4">
        <f t="shared" si="435"/>
        <v>0</v>
      </c>
      <c r="P740" s="3">
        <f>B740*1.03</f>
        <v>0</v>
      </c>
      <c r="S740" s="3">
        <f t="shared" si="436"/>
        <v>0</v>
      </c>
      <c r="U740" s="3">
        <f t="shared" si="437"/>
        <v>0</v>
      </c>
      <c r="W740" s="3">
        <f t="shared" si="438"/>
        <v>0</v>
      </c>
      <c r="Z740" s="3">
        <f t="shared" si="439"/>
        <v>0</v>
      </c>
      <c r="AD740" s="3">
        <f t="shared" si="440"/>
        <v>0</v>
      </c>
      <c r="AF740" s="3">
        <f t="shared" si="441"/>
        <v>0</v>
      </c>
      <c r="AI740" s="3">
        <f>P740*1.03</f>
        <v>0</v>
      </c>
      <c r="AK740" s="3">
        <f>AI740*1.03</f>
        <v>0</v>
      </c>
      <c r="AM740" s="3">
        <f>AK740*1.03</f>
        <v>0</v>
      </c>
      <c r="AO740" s="3">
        <f>AM740*1.03</f>
        <v>0</v>
      </c>
      <c r="AQ740" s="3">
        <f>AO740*1.03</f>
        <v>0</v>
      </c>
      <c r="AS740" s="3">
        <f>AQ740*1.03</f>
        <v>0</v>
      </c>
      <c r="AU740" s="3">
        <f>AS740*1.03</f>
        <v>0</v>
      </c>
      <c r="AW740" s="3">
        <f>AU740*1.03</f>
        <v>0</v>
      </c>
      <c r="AY740" s="3">
        <f>AW740*1.03</f>
        <v>0</v>
      </c>
      <c r="BA740" s="3">
        <f>AY740*1.03</f>
        <v>0</v>
      </c>
      <c r="BC740" s="3">
        <f>BA740*1.03</f>
        <v>0</v>
      </c>
      <c r="BE740" s="3">
        <f>BC740*1.03</f>
        <v>0</v>
      </c>
    </row>
    <row r="741" spans="1:57" hidden="1" outlineLevel="1" x14ac:dyDescent="0.25">
      <c r="A741" s="3" t="s">
        <v>539</v>
      </c>
      <c r="E741" s="3">
        <f>F741-D741</f>
        <v>0</v>
      </c>
      <c r="H741" s="3">
        <f>F741-B741</f>
        <v>0</v>
      </c>
      <c r="K741" s="4">
        <f t="shared" si="434"/>
        <v>0</v>
      </c>
      <c r="L741" s="4"/>
      <c r="N741" s="4">
        <f t="shared" si="435"/>
        <v>0</v>
      </c>
      <c r="S741" s="3">
        <f t="shared" si="436"/>
        <v>0</v>
      </c>
      <c r="U741" s="3">
        <f t="shared" si="437"/>
        <v>0</v>
      </c>
      <c r="W741" s="3">
        <f t="shared" si="438"/>
        <v>0</v>
      </c>
      <c r="Z741" s="3">
        <f t="shared" si="439"/>
        <v>0</v>
      </c>
      <c r="AD741" s="3">
        <f t="shared" si="440"/>
        <v>0</v>
      </c>
      <c r="AF741" s="3">
        <f t="shared" si="441"/>
        <v>0</v>
      </c>
      <c r="BC741" s="3"/>
      <c r="BE741" s="3"/>
    </row>
    <row r="742" spans="1:57" hidden="1" outlineLevel="1" x14ac:dyDescent="0.25">
      <c r="A742" s="3" t="s">
        <v>540</v>
      </c>
      <c r="B742" s="3">
        <v>12600</v>
      </c>
      <c r="E742" s="3">
        <f>F742-D742</f>
        <v>12600</v>
      </c>
      <c r="F742" s="3">
        <v>12600</v>
      </c>
      <c r="H742" s="3">
        <f>F742-B742</f>
        <v>0</v>
      </c>
      <c r="J742" s="3">
        <v>3344</v>
      </c>
      <c r="K742" s="4">
        <f t="shared" si="434"/>
        <v>9256</v>
      </c>
      <c r="L742" s="4">
        <v>12600</v>
      </c>
      <c r="N742" s="4">
        <f t="shared" si="435"/>
        <v>0</v>
      </c>
      <c r="P742" s="3">
        <f>L742*1.03+22</f>
        <v>13000</v>
      </c>
      <c r="R742" s="3">
        <v>143</v>
      </c>
      <c r="S742" s="3">
        <f t="shared" si="436"/>
        <v>12857</v>
      </c>
      <c r="T742" s="3">
        <v>13000</v>
      </c>
      <c r="U742" s="3">
        <f t="shared" si="437"/>
        <v>0</v>
      </c>
      <c r="V742" s="3">
        <v>3939</v>
      </c>
      <c r="W742" s="3">
        <f t="shared" si="438"/>
        <v>9061</v>
      </c>
      <c r="Y742" s="3">
        <v>13000</v>
      </c>
      <c r="Z742" s="3">
        <f t="shared" si="439"/>
        <v>0</v>
      </c>
      <c r="AC742" s="3">
        <v>7650</v>
      </c>
      <c r="AD742" s="3">
        <f t="shared" si="440"/>
        <v>5350</v>
      </c>
      <c r="AE742" s="3">
        <v>13000</v>
      </c>
      <c r="AF742" s="3">
        <f t="shared" si="441"/>
        <v>0</v>
      </c>
      <c r="AI742" s="3">
        <f>P742*1.03+10</f>
        <v>13400</v>
      </c>
      <c r="AK742" s="3">
        <f>AI742*1.03</f>
        <v>13802</v>
      </c>
      <c r="AM742" s="3">
        <f>AK742*1.03</f>
        <v>14216.06</v>
      </c>
      <c r="AO742" s="3">
        <f>AM742*1.03</f>
        <v>14642.541799999999</v>
      </c>
      <c r="AQ742" s="3">
        <f>AO742*1.03</f>
        <v>15081.818053999999</v>
      </c>
      <c r="AS742" s="3">
        <f>AQ742*1.03</f>
        <v>15534.272595619999</v>
      </c>
      <c r="AU742" s="3">
        <f>AS742*1.03</f>
        <v>16000.3007734886</v>
      </c>
      <c r="AW742" s="3">
        <f>AU742*1.03</f>
        <v>16480.309796693258</v>
      </c>
      <c r="AY742" s="3">
        <f>AW742*1.03</f>
        <v>16974.719090594055</v>
      </c>
      <c r="BA742" s="3">
        <f>AY742*1.03</f>
        <v>17483.960663311878</v>
      </c>
      <c r="BC742" s="3">
        <f>BA742*1.03</f>
        <v>18008.479483211235</v>
      </c>
      <c r="BE742" s="3">
        <f>BC742*1.03</f>
        <v>18548.733867707571</v>
      </c>
    </row>
    <row r="743" spans="1:57" hidden="1" outlineLevel="1" x14ac:dyDescent="0.25">
      <c r="A743" s="3" t="s">
        <v>541</v>
      </c>
      <c r="B743" s="248">
        <v>2000</v>
      </c>
      <c r="K743" s="4"/>
      <c r="L743" s="4"/>
      <c r="N743" s="4"/>
      <c r="AI743" s="3">
        <v>8000</v>
      </c>
      <c r="BC743" s="3"/>
      <c r="BE743" s="3"/>
    </row>
    <row r="744" spans="1:57" hidden="1" outlineLevel="1" x14ac:dyDescent="0.25">
      <c r="A744" s="3" t="s">
        <v>537</v>
      </c>
      <c r="B744" s="3">
        <v>6250</v>
      </c>
      <c r="D744" s="3">
        <v>0</v>
      </c>
      <c r="E744" s="3">
        <f>F744-D744</f>
        <v>6250</v>
      </c>
      <c r="F744" s="3">
        <v>6250</v>
      </c>
      <c r="H744" s="3">
        <f>F744-B744</f>
        <v>0</v>
      </c>
      <c r="K744" s="4">
        <f t="shared" si="434"/>
        <v>6250</v>
      </c>
      <c r="L744" s="4">
        <v>6250</v>
      </c>
      <c r="N744" s="4">
        <f t="shared" si="435"/>
        <v>0</v>
      </c>
      <c r="P744" s="3">
        <f>L744+200</f>
        <v>6450</v>
      </c>
      <c r="R744" s="3">
        <v>0</v>
      </c>
      <c r="S744" s="3">
        <f t="shared" si="436"/>
        <v>6450</v>
      </c>
      <c r="T744" s="3">
        <v>6450</v>
      </c>
      <c r="U744" s="3">
        <f t="shared" si="437"/>
        <v>0</v>
      </c>
      <c r="W744" s="3">
        <f t="shared" si="438"/>
        <v>6450</v>
      </c>
      <c r="Y744" s="3">
        <v>6450</v>
      </c>
      <c r="Z744" s="3">
        <f t="shared" si="439"/>
        <v>0</v>
      </c>
      <c r="AC744" s="3">
        <v>0</v>
      </c>
      <c r="AD744" s="3">
        <f t="shared" si="440"/>
        <v>6450</v>
      </c>
      <c r="AE744" s="3">
        <v>6450</v>
      </c>
      <c r="AF744" s="3">
        <f t="shared" si="441"/>
        <v>0</v>
      </c>
      <c r="AI744" s="3">
        <f>P744+200</f>
        <v>6650</v>
      </c>
      <c r="AK744" s="3">
        <f>AI744+200</f>
        <v>6850</v>
      </c>
      <c r="AM744" s="3">
        <f>AK744+200</f>
        <v>7050</v>
      </c>
      <c r="AO744" s="3">
        <f>AM744+200</f>
        <v>7250</v>
      </c>
      <c r="AQ744" s="3">
        <f>AO744+200</f>
        <v>7450</v>
      </c>
      <c r="AS744" s="3">
        <f>AQ744+200</f>
        <v>7650</v>
      </c>
      <c r="AU744" s="3">
        <f>AS744+200</f>
        <v>7850</v>
      </c>
      <c r="AW744" s="3">
        <f>AU744+200</f>
        <v>8050</v>
      </c>
      <c r="AY744" s="3">
        <f>AW744+200</f>
        <v>8250</v>
      </c>
      <c r="BA744" s="3">
        <f>AY744+200</f>
        <v>8450</v>
      </c>
      <c r="BC744" s="3">
        <f>BA744+200</f>
        <v>8650</v>
      </c>
      <c r="BE744" s="3">
        <f>BC744+200</f>
        <v>8850</v>
      </c>
    </row>
    <row r="745" spans="1:57" hidden="1" outlineLevel="1" x14ac:dyDescent="0.25">
      <c r="A745" s="3"/>
      <c r="B745" s="62">
        <f>SUM(B715:B744)</f>
        <v>2824650</v>
      </c>
      <c r="C745" s="32"/>
      <c r="D745" s="62">
        <f>SUM(D715:D744)</f>
        <v>748960</v>
      </c>
      <c r="E745" s="62">
        <f>SUM(E715:E744)</f>
        <v>3040572</v>
      </c>
      <c r="F745" s="62">
        <f>SUM(F715:F744)</f>
        <v>3789532</v>
      </c>
      <c r="G745" s="32"/>
      <c r="H745" s="62">
        <f>SUM(H715:H744)</f>
        <v>966882</v>
      </c>
      <c r="I745" s="32"/>
      <c r="J745" s="62">
        <f>SUM(J715:J744)</f>
        <v>1716526</v>
      </c>
      <c r="K745" s="62">
        <f>SUM(K715:K744)</f>
        <v>2072999</v>
      </c>
      <c r="L745" s="62">
        <f>SUM(L715:L744)</f>
        <v>3789525</v>
      </c>
      <c r="M745" s="32"/>
      <c r="N745" s="62">
        <f>SUM(N715:N744)</f>
        <v>-7</v>
      </c>
      <c r="P745" s="62">
        <f>SUM(P715:P744)</f>
        <v>2578450</v>
      </c>
      <c r="R745" s="62">
        <f t="shared" ref="R745:W745" si="442">SUM(R715:R744)</f>
        <v>517076</v>
      </c>
      <c r="S745" s="62">
        <f t="shared" si="442"/>
        <v>2066174</v>
      </c>
      <c r="T745" s="62">
        <f t="shared" si="442"/>
        <v>2583250</v>
      </c>
      <c r="U745" s="62">
        <f t="shared" si="442"/>
        <v>4800</v>
      </c>
      <c r="V745" s="62">
        <f t="shared" si="442"/>
        <v>1032734</v>
      </c>
      <c r="W745" s="62">
        <f t="shared" si="442"/>
        <v>1565716</v>
      </c>
      <c r="X745" s="62"/>
      <c r="Y745" s="62">
        <f>SUM(Y715:Y744)</f>
        <v>2598450</v>
      </c>
      <c r="Z745" s="62">
        <f>SUM(Z715:Z744)</f>
        <v>15200</v>
      </c>
      <c r="AC745" s="62">
        <f>SUM(AC715:AC744)</f>
        <v>1426669</v>
      </c>
      <c r="AD745" s="62">
        <f>SUM(AD715:AD744)</f>
        <v>1176781</v>
      </c>
      <c r="AE745" s="62">
        <f>SUM(AE715:AE744)</f>
        <v>2603450</v>
      </c>
      <c r="AF745" s="62">
        <f>SUM(AF715:AF744)</f>
        <v>5000</v>
      </c>
      <c r="AG745" s="32"/>
      <c r="AI745" s="62">
        <f>SUM(AI715:AI744)</f>
        <v>4090050</v>
      </c>
      <c r="AK745" s="62">
        <f>SUM(AK715:AK744)</f>
        <v>82742</v>
      </c>
      <c r="AM745" s="62">
        <f>SUM(AM715:AM744)</f>
        <v>83448.759999999995</v>
      </c>
      <c r="AO745" s="62">
        <f>SUM(AO715:AO744)</f>
        <v>84170.722799999989</v>
      </c>
      <c r="AP745" s="32"/>
      <c r="AQ745" s="62">
        <f>SUM(AQ715:AQ744)</f>
        <v>84908.344484000001</v>
      </c>
      <c r="AS745" s="62">
        <f>SUM(AS715:AS744)</f>
        <v>85662.094818519996</v>
      </c>
      <c r="AU745" s="62">
        <f>SUM(AU715:AU744)</f>
        <v>86432.457663075606</v>
      </c>
      <c r="AW745" s="62">
        <f>SUM(AW715:AW744)</f>
        <v>87219.931392967861</v>
      </c>
      <c r="AY745" s="62">
        <f>SUM(AY715:AY744)</f>
        <v>88025.02933475691</v>
      </c>
      <c r="BA745" s="62">
        <f>SUM(BA715:BA744)</f>
        <v>88848.280214799612</v>
      </c>
      <c r="BC745" s="62">
        <f>SUM(BC715:BC744)</f>
        <v>89690.228621243601</v>
      </c>
      <c r="BE745" s="62">
        <f>SUM(BE715:BE744)</f>
        <v>90551.435479880907</v>
      </c>
    </row>
    <row r="746" spans="1:57" hidden="1" outlineLevel="1" x14ac:dyDescent="0.25">
      <c r="A746" s="7" t="s">
        <v>542</v>
      </c>
      <c r="BC746" s="3"/>
      <c r="BE746" s="3"/>
    </row>
    <row r="747" spans="1:57" hidden="1" outlineLevel="1" x14ac:dyDescent="0.25">
      <c r="A747" s="3" t="s">
        <v>543</v>
      </c>
      <c r="B747" s="3">
        <v>260000</v>
      </c>
      <c r="D747" s="3">
        <f>4824</f>
        <v>4824</v>
      </c>
      <c r="E747" s="3">
        <f t="shared" ref="E747:E775" si="443">F747-D747</f>
        <v>255176</v>
      </c>
      <c r="F747" s="3">
        <v>260000</v>
      </c>
      <c r="H747" s="3">
        <f t="shared" ref="H747:H775" si="444">F747-B747</f>
        <v>0</v>
      </c>
      <c r="K747" s="4">
        <f t="shared" ref="K747:K775" si="445">L747-J747</f>
        <v>66550</v>
      </c>
      <c r="L747" s="4">
        <v>66550</v>
      </c>
      <c r="N747" s="4">
        <f t="shared" ref="N747:N775" si="446">L747-F747</f>
        <v>-193450</v>
      </c>
      <c r="P747" s="3">
        <v>190000</v>
      </c>
      <c r="S747" s="3">
        <f t="shared" ref="S747:S775" si="447">T747-R747</f>
        <v>190000</v>
      </c>
      <c r="T747" s="3">
        <v>190000</v>
      </c>
      <c r="U747" s="3">
        <f t="shared" ref="U747:U775" si="448">T747-P747</f>
        <v>0</v>
      </c>
      <c r="W747" s="3">
        <f t="shared" ref="W747:W775" si="449">Y747-V747</f>
        <v>190000</v>
      </c>
      <c r="Y747" s="3">
        <v>190000</v>
      </c>
      <c r="Z747" s="3">
        <f t="shared" ref="Z747:Z775" si="450">Y747-T747</f>
        <v>0</v>
      </c>
      <c r="AC747" s="3">
        <f>230+5740</f>
        <v>5970</v>
      </c>
      <c r="AD747" s="3">
        <f t="shared" ref="AD747:AD774" si="451">AE747-AC747</f>
        <v>64030</v>
      </c>
      <c r="AE747" s="3">
        <v>70000</v>
      </c>
      <c r="AF747" s="3">
        <f t="shared" ref="AF747:AF774" si="452">AE747-Y747</f>
        <v>-120000</v>
      </c>
      <c r="AI747" s="3">
        <v>230000</v>
      </c>
      <c r="AK747" s="3">
        <v>240000</v>
      </c>
      <c r="AM747" s="3">
        <v>240000</v>
      </c>
      <c r="AO747" s="3">
        <v>270000</v>
      </c>
      <c r="AQ747" s="3">
        <v>280000</v>
      </c>
      <c r="AR747" s="3"/>
      <c r="AS747" s="3">
        <v>280000</v>
      </c>
      <c r="AT747" s="3"/>
      <c r="AU747" s="3">
        <v>310000</v>
      </c>
      <c r="AV747" s="3"/>
      <c r="AW747" s="3">
        <v>320000</v>
      </c>
      <c r="AY747" s="3">
        <v>320000</v>
      </c>
      <c r="BA747" s="3">
        <v>320000</v>
      </c>
      <c r="BC747" s="3">
        <v>320000</v>
      </c>
      <c r="BE747" s="3">
        <v>320000</v>
      </c>
    </row>
    <row r="748" spans="1:57" hidden="1" outlineLevel="1" x14ac:dyDescent="0.25">
      <c r="A748" s="3" t="s">
        <v>544</v>
      </c>
      <c r="E748" s="3">
        <f t="shared" si="443"/>
        <v>0</v>
      </c>
      <c r="H748" s="3">
        <f t="shared" si="444"/>
        <v>0</v>
      </c>
      <c r="K748" s="4">
        <f t="shared" si="445"/>
        <v>0</v>
      </c>
      <c r="L748" s="4"/>
      <c r="N748" s="4">
        <f t="shared" si="446"/>
        <v>0</v>
      </c>
      <c r="S748" s="3">
        <f t="shared" si="447"/>
        <v>0</v>
      </c>
      <c r="U748" s="3">
        <f t="shared" si="448"/>
        <v>0</v>
      </c>
      <c r="W748" s="3">
        <f t="shared" si="449"/>
        <v>0</v>
      </c>
      <c r="Z748" s="3">
        <f t="shared" si="450"/>
        <v>0</v>
      </c>
      <c r="AD748" s="3">
        <f t="shared" si="451"/>
        <v>0</v>
      </c>
      <c r="AF748" s="3">
        <f t="shared" si="452"/>
        <v>0</v>
      </c>
      <c r="BC748" s="3"/>
      <c r="BE748" s="3"/>
    </row>
    <row r="749" spans="1:57" hidden="1" outlineLevel="1" x14ac:dyDescent="0.25">
      <c r="A749" s="3" t="s">
        <v>545</v>
      </c>
      <c r="B749" s="3">
        <v>18000</v>
      </c>
      <c r="E749" s="3">
        <f t="shared" si="443"/>
        <v>18000</v>
      </c>
      <c r="F749" s="3">
        <v>18000</v>
      </c>
      <c r="H749" s="3">
        <f t="shared" si="444"/>
        <v>0</v>
      </c>
      <c r="J749" s="3">
        <v>17</v>
      </c>
      <c r="K749" s="4">
        <f t="shared" si="445"/>
        <v>17983</v>
      </c>
      <c r="L749" s="4">
        <v>18000</v>
      </c>
      <c r="N749" s="4">
        <f t="shared" si="446"/>
        <v>0</v>
      </c>
      <c r="P749" s="3">
        <v>39000</v>
      </c>
      <c r="S749" s="3">
        <f t="shared" si="447"/>
        <v>39000</v>
      </c>
      <c r="T749" s="3">
        <v>39000</v>
      </c>
      <c r="U749" s="3">
        <f t="shared" si="448"/>
        <v>0</v>
      </c>
      <c r="V749" s="3">
        <v>978</v>
      </c>
      <c r="W749" s="3">
        <f t="shared" si="449"/>
        <v>38022</v>
      </c>
      <c r="Y749" s="3">
        <v>39000</v>
      </c>
      <c r="Z749" s="3">
        <f t="shared" si="450"/>
        <v>0</v>
      </c>
      <c r="AC749" s="3">
        <v>1161</v>
      </c>
      <c r="AD749" s="3">
        <f t="shared" si="451"/>
        <v>37839</v>
      </c>
      <c r="AE749" s="3">
        <v>39000</v>
      </c>
      <c r="AF749" s="3">
        <f t="shared" si="452"/>
        <v>0</v>
      </c>
      <c r="AI749" s="3">
        <v>29000</v>
      </c>
      <c r="AK749" s="3">
        <v>23000</v>
      </c>
      <c r="AM749" s="3">
        <v>66000</v>
      </c>
      <c r="AO749" s="3">
        <v>22500</v>
      </c>
      <c r="AQ749" s="3">
        <v>36000</v>
      </c>
      <c r="AS749" s="3">
        <v>65500</v>
      </c>
      <c r="AU749" s="3">
        <v>18000</v>
      </c>
      <c r="AW749" s="3">
        <v>29500</v>
      </c>
      <c r="AY749" s="3">
        <v>12500</v>
      </c>
      <c r="BA749" s="3">
        <v>12500</v>
      </c>
      <c r="BC749" s="3">
        <v>12500</v>
      </c>
      <c r="BE749" s="3">
        <v>12500</v>
      </c>
    </row>
    <row r="750" spans="1:57" hidden="1" outlineLevel="1" x14ac:dyDescent="0.25">
      <c r="A750" s="3" t="s">
        <v>546</v>
      </c>
      <c r="E750" s="3">
        <f t="shared" si="443"/>
        <v>0</v>
      </c>
      <c r="H750" s="3">
        <f t="shared" si="444"/>
        <v>0</v>
      </c>
      <c r="K750" s="4">
        <f t="shared" si="445"/>
        <v>0</v>
      </c>
      <c r="L750" s="4"/>
      <c r="N750" s="4">
        <f t="shared" si="446"/>
        <v>0</v>
      </c>
      <c r="S750" s="3">
        <f t="shared" si="447"/>
        <v>0</v>
      </c>
      <c r="U750" s="3">
        <f t="shared" si="448"/>
        <v>0</v>
      </c>
      <c r="V750" s="3">
        <v>31150</v>
      </c>
      <c r="W750" s="3">
        <f t="shared" si="449"/>
        <v>0</v>
      </c>
      <c r="Y750" s="3">
        <v>31150</v>
      </c>
      <c r="Z750" s="3">
        <f t="shared" si="450"/>
        <v>31150</v>
      </c>
      <c r="AC750" s="3">
        <v>42444</v>
      </c>
      <c r="AD750" s="3">
        <f t="shared" si="451"/>
        <v>6</v>
      </c>
      <c r="AE750" s="3">
        <v>42450</v>
      </c>
      <c r="AF750" s="3">
        <f t="shared" si="452"/>
        <v>11300</v>
      </c>
      <c r="BC750" s="3"/>
      <c r="BE750" s="3"/>
    </row>
    <row r="751" spans="1:57" hidden="1" outlineLevel="1" x14ac:dyDescent="0.25">
      <c r="A751" s="3" t="s">
        <v>547</v>
      </c>
      <c r="B751" s="3">
        <v>5000</v>
      </c>
      <c r="E751" s="3">
        <f t="shared" si="443"/>
        <v>5000</v>
      </c>
      <c r="F751" s="3">
        <v>5000</v>
      </c>
      <c r="H751" s="3">
        <f t="shared" si="444"/>
        <v>0</v>
      </c>
      <c r="K751" s="4">
        <f t="shared" si="445"/>
        <v>5000</v>
      </c>
      <c r="L751" s="4">
        <v>5000</v>
      </c>
      <c r="N751" s="4">
        <f t="shared" si="446"/>
        <v>0</v>
      </c>
      <c r="P751" s="3">
        <v>7000</v>
      </c>
      <c r="S751" s="3">
        <f t="shared" si="447"/>
        <v>7000</v>
      </c>
      <c r="T751" s="3">
        <v>7000</v>
      </c>
      <c r="U751" s="3">
        <f t="shared" si="448"/>
        <v>0</v>
      </c>
      <c r="W751" s="3">
        <f t="shared" si="449"/>
        <v>7000</v>
      </c>
      <c r="Y751" s="3">
        <v>7000</v>
      </c>
      <c r="Z751" s="3">
        <f t="shared" si="450"/>
        <v>0</v>
      </c>
      <c r="AD751" s="3">
        <f t="shared" si="451"/>
        <v>7000</v>
      </c>
      <c r="AE751" s="3">
        <v>7000</v>
      </c>
      <c r="AF751" s="3">
        <f t="shared" si="452"/>
        <v>0</v>
      </c>
      <c r="AI751" s="3">
        <v>7000</v>
      </c>
      <c r="AK751" s="3">
        <v>7000</v>
      </c>
      <c r="AM751" s="3">
        <v>7000</v>
      </c>
      <c r="AO751" s="3">
        <v>8000</v>
      </c>
      <c r="AQ751" s="3">
        <v>8000</v>
      </c>
      <c r="AS751" s="3">
        <v>8000</v>
      </c>
      <c r="AU751" s="3">
        <v>8000</v>
      </c>
      <c r="AW751" s="3">
        <v>8000</v>
      </c>
      <c r="AY751" s="3">
        <v>10000</v>
      </c>
      <c r="BA751" s="3">
        <v>10000</v>
      </c>
      <c r="BC751" s="3">
        <v>10000</v>
      </c>
      <c r="BE751" s="3">
        <v>10000</v>
      </c>
    </row>
    <row r="752" spans="1:57" hidden="1" outlineLevel="1" x14ac:dyDescent="0.25">
      <c r="A752" s="3" t="s">
        <v>548</v>
      </c>
      <c r="E752" s="3">
        <f t="shared" si="443"/>
        <v>0</v>
      </c>
      <c r="H752" s="3">
        <f t="shared" si="444"/>
        <v>0</v>
      </c>
      <c r="K752" s="4">
        <f t="shared" si="445"/>
        <v>0</v>
      </c>
      <c r="L752" s="4"/>
      <c r="N752" s="4">
        <f t="shared" si="446"/>
        <v>0</v>
      </c>
      <c r="S752" s="3">
        <f t="shared" si="447"/>
        <v>0</v>
      </c>
      <c r="U752" s="3">
        <f t="shared" si="448"/>
        <v>0</v>
      </c>
      <c r="W752" s="3">
        <f t="shared" si="449"/>
        <v>0</v>
      </c>
      <c r="Z752" s="3">
        <f t="shared" si="450"/>
        <v>0</v>
      </c>
      <c r="AD752" s="3">
        <f t="shared" si="451"/>
        <v>0</v>
      </c>
      <c r="AF752" s="3">
        <f t="shared" si="452"/>
        <v>0</v>
      </c>
      <c r="BC752" s="3"/>
      <c r="BE752" s="3"/>
    </row>
    <row r="753" spans="1:57" hidden="1" outlineLevel="1" x14ac:dyDescent="0.25">
      <c r="A753" s="3" t="s">
        <v>549</v>
      </c>
      <c r="B753" s="3">
        <v>46000</v>
      </c>
      <c r="E753" s="3">
        <f t="shared" si="443"/>
        <v>46000</v>
      </c>
      <c r="F753" s="3">
        <v>46000</v>
      </c>
      <c r="H753" s="3">
        <f t="shared" si="444"/>
        <v>0</v>
      </c>
      <c r="J753" s="3">
        <f>5455+26399</f>
        <v>31854</v>
      </c>
      <c r="K753" s="4">
        <f t="shared" si="445"/>
        <v>14146</v>
      </c>
      <c r="L753" s="4">
        <v>46000</v>
      </c>
      <c r="N753" s="4">
        <f t="shared" si="446"/>
        <v>0</v>
      </c>
      <c r="P753" s="3">
        <v>41000</v>
      </c>
      <c r="S753" s="3">
        <f t="shared" si="447"/>
        <v>41000</v>
      </c>
      <c r="T753" s="3">
        <v>41000</v>
      </c>
      <c r="U753" s="3">
        <f t="shared" si="448"/>
        <v>0</v>
      </c>
      <c r="V753" s="3">
        <v>25338</v>
      </c>
      <c r="W753" s="3">
        <f t="shared" si="449"/>
        <v>15662</v>
      </c>
      <c r="Y753" s="3">
        <v>41000</v>
      </c>
      <c r="Z753" s="3">
        <f t="shared" si="450"/>
        <v>0</v>
      </c>
      <c r="AC753" s="3">
        <v>49519</v>
      </c>
      <c r="AD753" s="3">
        <f t="shared" si="451"/>
        <v>10481</v>
      </c>
      <c r="AE753" s="3">
        <v>60000</v>
      </c>
      <c r="AF753" s="3">
        <f t="shared" si="452"/>
        <v>19000</v>
      </c>
      <c r="AI753" s="3">
        <v>45000</v>
      </c>
      <c r="AK753" s="3">
        <v>66000</v>
      </c>
      <c r="AM753" s="3">
        <v>50000</v>
      </c>
      <c r="AO753" s="3">
        <v>50000</v>
      </c>
      <c r="AQ753" s="3">
        <v>50000</v>
      </c>
      <c r="AS753" s="3">
        <v>50000</v>
      </c>
      <c r="AU753" s="3">
        <v>60000</v>
      </c>
      <c r="AW753" s="3">
        <v>60000</v>
      </c>
      <c r="AY753" s="3">
        <v>60000</v>
      </c>
      <c r="BA753" s="3">
        <v>60000</v>
      </c>
      <c r="BC753" s="3">
        <v>60000</v>
      </c>
      <c r="BE753" s="3">
        <v>60000</v>
      </c>
    </row>
    <row r="754" spans="1:57" hidden="1" outlineLevel="1" x14ac:dyDescent="0.25">
      <c r="A754" s="3" t="s">
        <v>550</v>
      </c>
      <c r="E754" s="3">
        <f t="shared" si="443"/>
        <v>0</v>
      </c>
      <c r="H754" s="3">
        <f t="shared" si="444"/>
        <v>0</v>
      </c>
      <c r="K754" s="4">
        <f t="shared" si="445"/>
        <v>0</v>
      </c>
      <c r="L754" s="4"/>
      <c r="N754" s="4">
        <f t="shared" si="446"/>
        <v>0</v>
      </c>
      <c r="S754" s="3">
        <f t="shared" si="447"/>
        <v>0</v>
      </c>
      <c r="U754" s="3">
        <f t="shared" si="448"/>
        <v>0</v>
      </c>
      <c r="W754" s="3">
        <f t="shared" si="449"/>
        <v>0</v>
      </c>
      <c r="Z754" s="3">
        <f t="shared" si="450"/>
        <v>0</v>
      </c>
      <c r="AD754" s="3">
        <f t="shared" si="451"/>
        <v>0</v>
      </c>
      <c r="AF754" s="3">
        <f t="shared" si="452"/>
        <v>0</v>
      </c>
      <c r="AR754" s="3"/>
      <c r="AT754" s="3"/>
      <c r="AV754" s="3"/>
      <c r="BC754" s="3"/>
      <c r="BE754" s="3"/>
    </row>
    <row r="755" spans="1:57" hidden="1" outlineLevel="1" x14ac:dyDescent="0.25">
      <c r="A755" s="3" t="s">
        <v>551</v>
      </c>
      <c r="H755" s="3">
        <f>F755-B755</f>
        <v>0</v>
      </c>
      <c r="J755" s="3">
        <v>422</v>
      </c>
      <c r="K755" s="4">
        <f>L755-J755</f>
        <v>2078</v>
      </c>
      <c r="L755" s="4">
        <v>2500</v>
      </c>
      <c r="N755" s="4">
        <f>L755-F755</f>
        <v>2500</v>
      </c>
      <c r="S755" s="3">
        <f t="shared" si="447"/>
        <v>0</v>
      </c>
      <c r="U755" s="3">
        <f t="shared" si="448"/>
        <v>0</v>
      </c>
      <c r="V755" s="3">
        <v>623</v>
      </c>
      <c r="W755" s="3">
        <f t="shared" si="449"/>
        <v>27</v>
      </c>
      <c r="Y755" s="3">
        <v>650</v>
      </c>
      <c r="Z755" s="3">
        <f t="shared" si="450"/>
        <v>650</v>
      </c>
      <c r="AC755" s="3">
        <v>623</v>
      </c>
      <c r="AD755" s="3">
        <f t="shared" si="451"/>
        <v>27</v>
      </c>
      <c r="AE755" s="3">
        <v>650</v>
      </c>
      <c r="AF755" s="3">
        <f t="shared" si="452"/>
        <v>0</v>
      </c>
      <c r="AR755" s="3"/>
      <c r="AT755" s="3"/>
      <c r="AV755" s="3"/>
      <c r="BC755" s="3"/>
      <c r="BE755" s="3"/>
    </row>
    <row r="756" spans="1:57" hidden="1" outlineLevel="1" x14ac:dyDescent="0.25">
      <c r="A756" s="3" t="s">
        <v>552</v>
      </c>
      <c r="K756" s="4">
        <f>L756-J756</f>
        <v>2500</v>
      </c>
      <c r="L756" s="4">
        <v>2500</v>
      </c>
      <c r="N756" s="4">
        <f>L756-F756</f>
        <v>2500</v>
      </c>
      <c r="S756" s="3">
        <f t="shared" si="447"/>
        <v>0</v>
      </c>
      <c r="U756" s="3">
        <f t="shared" si="448"/>
        <v>0</v>
      </c>
      <c r="W756" s="3">
        <f t="shared" si="449"/>
        <v>0</v>
      </c>
      <c r="Z756" s="3">
        <f t="shared" si="450"/>
        <v>0</v>
      </c>
      <c r="AD756" s="3">
        <f t="shared" si="451"/>
        <v>0</v>
      </c>
      <c r="AF756" s="3">
        <f t="shared" si="452"/>
        <v>0</v>
      </c>
      <c r="AR756" s="3"/>
      <c r="AT756" s="3"/>
      <c r="AV756" s="3"/>
      <c r="BC756" s="3"/>
      <c r="BE756" s="3"/>
    </row>
    <row r="757" spans="1:57" hidden="1" outlineLevel="1" x14ac:dyDescent="0.25">
      <c r="A757" s="3" t="s">
        <v>553</v>
      </c>
      <c r="B757" s="3">
        <v>18000</v>
      </c>
      <c r="E757" s="3">
        <f t="shared" si="443"/>
        <v>18000</v>
      </c>
      <c r="F757" s="3">
        <v>18000</v>
      </c>
      <c r="J757" s="3">
        <v>17</v>
      </c>
      <c r="K757" s="4">
        <f t="shared" si="445"/>
        <v>17983</v>
      </c>
      <c r="L757" s="4">
        <v>18000</v>
      </c>
      <c r="N757" s="4">
        <f t="shared" si="446"/>
        <v>0</v>
      </c>
      <c r="P757" s="3">
        <v>39000</v>
      </c>
      <c r="S757" s="3">
        <f t="shared" si="447"/>
        <v>39000</v>
      </c>
      <c r="T757" s="3">
        <v>39000</v>
      </c>
      <c r="U757" s="3">
        <f t="shared" si="448"/>
        <v>0</v>
      </c>
      <c r="V757" s="3">
        <v>978</v>
      </c>
      <c r="W757" s="3">
        <f t="shared" si="449"/>
        <v>38022</v>
      </c>
      <c r="Y757" s="3">
        <v>39000</v>
      </c>
      <c r="Z757" s="3">
        <f t="shared" si="450"/>
        <v>0</v>
      </c>
      <c r="AC757" s="3">
        <v>1058</v>
      </c>
      <c r="AD757" s="3">
        <f t="shared" si="451"/>
        <v>37942</v>
      </c>
      <c r="AE757" s="3">
        <v>39000</v>
      </c>
      <c r="AF757" s="3">
        <f t="shared" si="452"/>
        <v>0</v>
      </c>
      <c r="AI757" s="3">
        <v>29000</v>
      </c>
      <c r="AK757" s="3">
        <v>23000</v>
      </c>
      <c r="AM757" s="3">
        <v>66000</v>
      </c>
      <c r="AO757" s="3">
        <v>22500</v>
      </c>
      <c r="AQ757" s="3">
        <v>36000</v>
      </c>
      <c r="AS757" s="3">
        <v>65500</v>
      </c>
      <c r="AU757" s="3">
        <v>18000</v>
      </c>
      <c r="AW757" s="3">
        <v>29500</v>
      </c>
      <c r="AY757" s="3">
        <v>12500</v>
      </c>
      <c r="BA757" s="3">
        <v>12500</v>
      </c>
      <c r="BC757" s="3">
        <v>12500</v>
      </c>
      <c r="BE757" s="3">
        <v>12500</v>
      </c>
    </row>
    <row r="758" spans="1:57" hidden="1" outlineLevel="1" x14ac:dyDescent="0.25">
      <c r="A758" s="3" t="s">
        <v>554</v>
      </c>
      <c r="J758" s="3">
        <v>422</v>
      </c>
      <c r="K758" s="4">
        <f t="shared" si="445"/>
        <v>2078</v>
      </c>
      <c r="L758" s="4">
        <v>2500</v>
      </c>
      <c r="N758" s="4">
        <f t="shared" si="446"/>
        <v>2500</v>
      </c>
      <c r="S758" s="3">
        <f t="shared" si="447"/>
        <v>0</v>
      </c>
      <c r="U758" s="3">
        <f t="shared" si="448"/>
        <v>0</v>
      </c>
      <c r="V758" s="3">
        <v>623</v>
      </c>
      <c r="W758" s="3">
        <f t="shared" si="449"/>
        <v>27</v>
      </c>
      <c r="Y758" s="3">
        <v>650</v>
      </c>
      <c r="Z758" s="3">
        <f t="shared" si="450"/>
        <v>650</v>
      </c>
      <c r="AC758" s="3">
        <v>623</v>
      </c>
      <c r="AD758" s="3">
        <f t="shared" si="451"/>
        <v>27</v>
      </c>
      <c r="AE758" s="3">
        <v>650</v>
      </c>
      <c r="AF758" s="3">
        <f t="shared" si="452"/>
        <v>0</v>
      </c>
      <c r="BC758" s="3"/>
      <c r="BE758" s="3"/>
    </row>
    <row r="759" spans="1:57" hidden="1" outlineLevel="1" x14ac:dyDescent="0.25">
      <c r="A759" s="3" t="s">
        <v>555</v>
      </c>
      <c r="K759" s="4">
        <f>L759-J759</f>
        <v>2500</v>
      </c>
      <c r="L759" s="4">
        <v>2500</v>
      </c>
      <c r="N759" s="4">
        <f>L759-F759</f>
        <v>2500</v>
      </c>
      <c r="S759" s="3">
        <f t="shared" si="447"/>
        <v>0</v>
      </c>
      <c r="U759" s="3">
        <f t="shared" si="448"/>
        <v>0</v>
      </c>
      <c r="W759" s="3">
        <f t="shared" si="449"/>
        <v>0</v>
      </c>
      <c r="Z759" s="3">
        <f t="shared" si="450"/>
        <v>0</v>
      </c>
      <c r="AD759" s="3">
        <f t="shared" si="451"/>
        <v>0</v>
      </c>
      <c r="AF759" s="3">
        <f t="shared" si="452"/>
        <v>0</v>
      </c>
      <c r="BC759" s="3"/>
      <c r="BE759" s="3"/>
    </row>
    <row r="760" spans="1:57" hidden="1" outlineLevel="1" x14ac:dyDescent="0.25">
      <c r="A760" s="3" t="s">
        <v>556</v>
      </c>
      <c r="E760" s="3">
        <f>F760-D760</f>
        <v>0</v>
      </c>
      <c r="H760" s="3">
        <f>F760-B760</f>
        <v>0</v>
      </c>
      <c r="K760" s="4">
        <f>L760-J760</f>
        <v>0</v>
      </c>
      <c r="L760" s="4"/>
      <c r="N760" s="4">
        <f>L760-F760</f>
        <v>0</v>
      </c>
      <c r="P760" s="3">
        <v>7000</v>
      </c>
      <c r="S760" s="3">
        <f t="shared" si="447"/>
        <v>7000</v>
      </c>
      <c r="T760" s="3">
        <v>7000</v>
      </c>
      <c r="U760" s="3">
        <f t="shared" si="448"/>
        <v>0</v>
      </c>
      <c r="W760" s="3">
        <f t="shared" si="449"/>
        <v>7000</v>
      </c>
      <c r="Y760" s="3">
        <v>7000</v>
      </c>
      <c r="Z760" s="3">
        <f t="shared" si="450"/>
        <v>0</v>
      </c>
      <c r="AD760" s="3">
        <f t="shared" si="451"/>
        <v>7000</v>
      </c>
      <c r="AE760" s="3">
        <v>7000</v>
      </c>
      <c r="AF760" s="3">
        <f t="shared" si="452"/>
        <v>0</v>
      </c>
      <c r="AI760" s="3">
        <v>7000</v>
      </c>
      <c r="AK760" s="3">
        <v>7000</v>
      </c>
      <c r="AM760" s="3">
        <v>7000</v>
      </c>
      <c r="AO760" s="3">
        <v>8000</v>
      </c>
      <c r="AQ760" s="3">
        <v>8000</v>
      </c>
      <c r="AS760" s="3">
        <v>8000</v>
      </c>
      <c r="AU760" s="3">
        <v>8000</v>
      </c>
      <c r="AW760" s="3">
        <v>8000</v>
      </c>
      <c r="AY760" s="3">
        <v>10000</v>
      </c>
      <c r="BA760" s="3">
        <v>10000</v>
      </c>
      <c r="BC760" s="3">
        <v>10000</v>
      </c>
      <c r="BE760" s="3">
        <v>10000</v>
      </c>
    </row>
    <row r="761" spans="1:57" hidden="1" outlineLevel="1" x14ac:dyDescent="0.25">
      <c r="A761" s="3" t="s">
        <v>557</v>
      </c>
      <c r="E761" s="3">
        <f t="shared" si="443"/>
        <v>0</v>
      </c>
      <c r="H761" s="3">
        <f t="shared" si="444"/>
        <v>0</v>
      </c>
      <c r="K761" s="4">
        <f t="shared" si="445"/>
        <v>0</v>
      </c>
      <c r="L761" s="4"/>
      <c r="N761" s="4">
        <f t="shared" si="446"/>
        <v>0</v>
      </c>
      <c r="S761" s="3">
        <f t="shared" si="447"/>
        <v>0</v>
      </c>
      <c r="U761" s="3">
        <f t="shared" si="448"/>
        <v>0</v>
      </c>
      <c r="V761" s="3">
        <v>31150</v>
      </c>
      <c r="W761" s="3">
        <f t="shared" si="449"/>
        <v>0</v>
      </c>
      <c r="Y761" s="3">
        <v>31150</v>
      </c>
      <c r="Z761" s="3">
        <f t="shared" si="450"/>
        <v>31150</v>
      </c>
      <c r="AC761" s="3">
        <v>1161</v>
      </c>
      <c r="AD761" s="3">
        <f t="shared" si="451"/>
        <v>27359</v>
      </c>
      <c r="AE761" s="3">
        <v>28520</v>
      </c>
      <c r="AF761" s="3">
        <f t="shared" si="452"/>
        <v>-2630</v>
      </c>
      <c r="BC761" s="3"/>
      <c r="BE761" s="3"/>
    </row>
    <row r="762" spans="1:57" hidden="1" outlineLevel="1" x14ac:dyDescent="0.25">
      <c r="A762" s="3" t="s">
        <v>558</v>
      </c>
      <c r="E762" s="3">
        <f t="shared" si="443"/>
        <v>0</v>
      </c>
      <c r="H762" s="3">
        <f t="shared" si="444"/>
        <v>0</v>
      </c>
      <c r="K762" s="4">
        <f t="shared" si="445"/>
        <v>0</v>
      </c>
      <c r="L762" s="4"/>
      <c r="N762" s="4">
        <f t="shared" si="446"/>
        <v>0</v>
      </c>
      <c r="S762" s="3">
        <f t="shared" si="447"/>
        <v>0</v>
      </c>
      <c r="U762" s="3">
        <f t="shared" si="448"/>
        <v>0</v>
      </c>
      <c r="W762" s="3">
        <f t="shared" si="449"/>
        <v>0</v>
      </c>
      <c r="Z762" s="3">
        <f t="shared" si="450"/>
        <v>0</v>
      </c>
      <c r="AD762" s="3">
        <f t="shared" si="451"/>
        <v>0</v>
      </c>
      <c r="AF762" s="3">
        <f t="shared" si="452"/>
        <v>0</v>
      </c>
      <c r="BC762" s="3"/>
      <c r="BE762" s="3"/>
    </row>
    <row r="763" spans="1:57" hidden="1" outlineLevel="1" x14ac:dyDescent="0.25">
      <c r="A763" s="3" t="s">
        <v>559</v>
      </c>
      <c r="E763" s="3">
        <f t="shared" si="443"/>
        <v>0</v>
      </c>
      <c r="H763" s="3">
        <f t="shared" si="444"/>
        <v>0</v>
      </c>
      <c r="K763" s="4">
        <f t="shared" si="445"/>
        <v>0</v>
      </c>
      <c r="L763" s="4"/>
      <c r="N763" s="4">
        <f t="shared" si="446"/>
        <v>0</v>
      </c>
      <c r="P763" s="3">
        <v>300000</v>
      </c>
      <c r="S763" s="3">
        <f t="shared" si="447"/>
        <v>300000</v>
      </c>
      <c r="T763" s="3">
        <v>300000</v>
      </c>
      <c r="U763" s="3">
        <f t="shared" si="448"/>
        <v>0</v>
      </c>
      <c r="V763" s="3">
        <v>1469</v>
      </c>
      <c r="W763" s="3">
        <f t="shared" si="449"/>
        <v>273531</v>
      </c>
      <c r="Y763" s="3">
        <v>275000</v>
      </c>
      <c r="Z763" s="3">
        <f t="shared" si="450"/>
        <v>-25000</v>
      </c>
      <c r="AC763" s="3">
        <v>1469</v>
      </c>
      <c r="AD763" s="3">
        <f t="shared" si="451"/>
        <v>273531</v>
      </c>
      <c r="AE763" s="3">
        <v>275000</v>
      </c>
      <c r="AF763" s="3">
        <f t="shared" si="452"/>
        <v>0</v>
      </c>
      <c r="BC763" s="3"/>
      <c r="BE763" s="3"/>
    </row>
    <row r="764" spans="1:57" hidden="1" outlineLevel="1" x14ac:dyDescent="0.25">
      <c r="A764" s="3" t="s">
        <v>560</v>
      </c>
      <c r="E764" s="3">
        <f t="shared" si="443"/>
        <v>0</v>
      </c>
      <c r="H764" s="3">
        <f t="shared" si="444"/>
        <v>0</v>
      </c>
      <c r="K764" s="4">
        <f t="shared" si="445"/>
        <v>0</v>
      </c>
      <c r="L764" s="4"/>
      <c r="N764" s="4">
        <f t="shared" si="446"/>
        <v>0</v>
      </c>
      <c r="S764" s="3">
        <f t="shared" si="447"/>
        <v>0</v>
      </c>
      <c r="U764" s="3">
        <f t="shared" si="448"/>
        <v>0</v>
      </c>
      <c r="W764" s="3">
        <f t="shared" si="449"/>
        <v>0</v>
      </c>
      <c r="Z764" s="3">
        <f t="shared" si="450"/>
        <v>0</v>
      </c>
      <c r="AD764" s="3">
        <f t="shared" si="451"/>
        <v>0</v>
      </c>
      <c r="AF764" s="3">
        <f t="shared" si="452"/>
        <v>0</v>
      </c>
      <c r="BC764" s="3"/>
      <c r="BE764" s="3"/>
    </row>
    <row r="765" spans="1:57" hidden="1" outlineLevel="1" x14ac:dyDescent="0.25">
      <c r="A765" s="3" t="s">
        <v>241</v>
      </c>
      <c r="B765" s="4">
        <v>49000</v>
      </c>
      <c r="C765" s="4"/>
      <c r="D765" s="4"/>
      <c r="E765" s="3">
        <f t="shared" si="443"/>
        <v>49000</v>
      </c>
      <c r="F765" s="3">
        <v>49000</v>
      </c>
      <c r="H765" s="3">
        <f t="shared" si="444"/>
        <v>0</v>
      </c>
      <c r="K765" s="4">
        <f t="shared" si="445"/>
        <v>49000</v>
      </c>
      <c r="L765" s="4">
        <v>49000</v>
      </c>
      <c r="N765" s="4">
        <f t="shared" si="446"/>
        <v>0</v>
      </c>
      <c r="S765" s="3">
        <f t="shared" si="447"/>
        <v>49000</v>
      </c>
      <c r="T765" s="3">
        <v>49000</v>
      </c>
      <c r="U765" s="3">
        <f t="shared" si="448"/>
        <v>49000</v>
      </c>
      <c r="V765" s="3">
        <v>0</v>
      </c>
      <c r="W765" s="3">
        <f t="shared" si="449"/>
        <v>49000</v>
      </c>
      <c r="Y765" s="3">
        <v>49000</v>
      </c>
      <c r="Z765" s="3">
        <f t="shared" si="450"/>
        <v>0</v>
      </c>
      <c r="AC765" s="3">
        <v>0</v>
      </c>
      <c r="AD765" s="3">
        <f t="shared" si="451"/>
        <v>49000</v>
      </c>
      <c r="AE765" s="3">
        <v>49000</v>
      </c>
      <c r="AF765" s="3">
        <f t="shared" si="452"/>
        <v>0</v>
      </c>
      <c r="BC765" s="3"/>
      <c r="BE765" s="3"/>
    </row>
    <row r="766" spans="1:57" hidden="1" outlineLevel="1" x14ac:dyDescent="0.25">
      <c r="A766" s="3" t="s">
        <v>561</v>
      </c>
      <c r="E766" s="3">
        <f t="shared" si="443"/>
        <v>0</v>
      </c>
      <c r="H766" s="3">
        <f t="shared" si="444"/>
        <v>0</v>
      </c>
      <c r="K766" s="4">
        <f t="shared" si="445"/>
        <v>0</v>
      </c>
      <c r="L766" s="4"/>
      <c r="N766" s="4">
        <f t="shared" si="446"/>
        <v>0</v>
      </c>
      <c r="S766" s="3">
        <f t="shared" si="447"/>
        <v>0</v>
      </c>
      <c r="U766" s="3">
        <f t="shared" si="448"/>
        <v>0</v>
      </c>
      <c r="W766" s="3">
        <f t="shared" si="449"/>
        <v>0</v>
      </c>
      <c r="Z766" s="3">
        <f t="shared" si="450"/>
        <v>0</v>
      </c>
      <c r="AD766" s="3">
        <f t="shared" si="451"/>
        <v>0</v>
      </c>
      <c r="AF766" s="3">
        <f t="shared" si="452"/>
        <v>0</v>
      </c>
      <c r="BC766" s="3"/>
      <c r="BE766" s="3"/>
    </row>
    <row r="767" spans="1:57" hidden="1" outlineLevel="1" x14ac:dyDescent="0.25">
      <c r="A767" s="3" t="s">
        <v>562</v>
      </c>
      <c r="E767" s="3">
        <f t="shared" si="443"/>
        <v>0</v>
      </c>
      <c r="H767" s="3">
        <f t="shared" si="444"/>
        <v>0</v>
      </c>
      <c r="K767" s="4">
        <f t="shared" si="445"/>
        <v>0</v>
      </c>
      <c r="L767" s="4"/>
      <c r="N767" s="4">
        <f t="shared" si="446"/>
        <v>0</v>
      </c>
      <c r="S767" s="3">
        <f t="shared" si="447"/>
        <v>0</v>
      </c>
      <c r="U767" s="3">
        <f t="shared" si="448"/>
        <v>0</v>
      </c>
      <c r="W767" s="3">
        <f t="shared" si="449"/>
        <v>0</v>
      </c>
      <c r="Z767" s="3">
        <f t="shared" si="450"/>
        <v>0</v>
      </c>
      <c r="AD767" s="3">
        <f t="shared" si="451"/>
        <v>0</v>
      </c>
      <c r="AF767" s="3">
        <f t="shared" si="452"/>
        <v>0</v>
      </c>
      <c r="BC767" s="3"/>
      <c r="BE767" s="3"/>
    </row>
    <row r="768" spans="1:57" hidden="1" outlineLevel="1" x14ac:dyDescent="0.25">
      <c r="A768" s="3" t="s">
        <v>563</v>
      </c>
      <c r="E768" s="3">
        <f t="shared" si="443"/>
        <v>0</v>
      </c>
      <c r="H768" s="3">
        <f t="shared" si="444"/>
        <v>0</v>
      </c>
      <c r="K768" s="4">
        <f t="shared" si="445"/>
        <v>0</v>
      </c>
      <c r="L768" s="4"/>
      <c r="N768" s="4">
        <f t="shared" si="446"/>
        <v>0</v>
      </c>
      <c r="S768" s="3">
        <f t="shared" si="447"/>
        <v>0</v>
      </c>
      <c r="U768" s="3">
        <f t="shared" si="448"/>
        <v>0</v>
      </c>
      <c r="W768" s="3">
        <f t="shared" si="449"/>
        <v>0</v>
      </c>
      <c r="Z768" s="3">
        <f t="shared" si="450"/>
        <v>0</v>
      </c>
      <c r="AD768" s="3">
        <f t="shared" si="451"/>
        <v>0</v>
      </c>
      <c r="AF768" s="3">
        <f t="shared" si="452"/>
        <v>0</v>
      </c>
      <c r="BC768" s="3"/>
      <c r="BE768" s="3"/>
    </row>
    <row r="769" spans="1:1015 1029:2039 2053:3063 3077:4087 4101:5111 5125:6135 6149:7159 7173:8183 8197:9207 9221:10231 10245:11255 11269:12279 12293:13303 13317:14327 14341:15351 15365:16373" hidden="1" outlineLevel="1" x14ac:dyDescent="0.25">
      <c r="A769" s="3" t="s">
        <v>564</v>
      </c>
      <c r="E769" s="3">
        <f t="shared" si="443"/>
        <v>0</v>
      </c>
      <c r="H769" s="3">
        <f t="shared" si="444"/>
        <v>0</v>
      </c>
      <c r="K769" s="4">
        <f t="shared" si="445"/>
        <v>0</v>
      </c>
      <c r="L769" s="4"/>
      <c r="N769" s="4">
        <f t="shared" si="446"/>
        <v>0</v>
      </c>
      <c r="S769" s="3">
        <f t="shared" si="447"/>
        <v>0</v>
      </c>
      <c r="U769" s="3">
        <f t="shared" si="448"/>
        <v>0</v>
      </c>
      <c r="W769" s="3">
        <f t="shared" si="449"/>
        <v>0</v>
      </c>
      <c r="Z769" s="3">
        <f t="shared" si="450"/>
        <v>0</v>
      </c>
      <c r="AD769" s="3">
        <f t="shared" si="451"/>
        <v>0</v>
      </c>
      <c r="AF769" s="3">
        <f t="shared" si="452"/>
        <v>0</v>
      </c>
      <c r="BC769" s="3"/>
      <c r="BE769" s="3"/>
    </row>
    <row r="770" spans="1:1015 1029:2039 2053:3063 3077:4087 4101:5111 5125:6135 6149:7159 7173:8183 8197:9207 9221:10231 10245:11255 11269:12279 12293:13303 13317:14327 14341:15351 15365:16373" hidden="1" outlineLevel="1" x14ac:dyDescent="0.25">
      <c r="A770" s="3" t="s">
        <v>565</v>
      </c>
      <c r="B770" s="3">
        <v>366000</v>
      </c>
      <c r="E770" s="3">
        <f t="shared" si="443"/>
        <v>366000</v>
      </c>
      <c r="F770" s="3">
        <v>366000</v>
      </c>
      <c r="H770" s="3">
        <f t="shared" si="444"/>
        <v>0</v>
      </c>
      <c r="J770" s="3">
        <v>79157</v>
      </c>
      <c r="K770" s="4">
        <f t="shared" si="445"/>
        <v>286843</v>
      </c>
      <c r="L770" s="4">
        <v>366000</v>
      </c>
      <c r="N770" s="4">
        <f t="shared" si="446"/>
        <v>0</v>
      </c>
      <c r="P770" s="3">
        <v>372000</v>
      </c>
      <c r="R770" s="3">
        <v>50297</v>
      </c>
      <c r="S770" s="3">
        <f t="shared" si="447"/>
        <v>321703</v>
      </c>
      <c r="T770" s="3">
        <v>372000</v>
      </c>
      <c r="U770" s="3">
        <f t="shared" si="448"/>
        <v>0</v>
      </c>
      <c r="V770" s="3">
        <v>222035</v>
      </c>
      <c r="W770" s="3">
        <f t="shared" si="449"/>
        <v>208485</v>
      </c>
      <c r="Y770" s="3">
        <v>430520</v>
      </c>
      <c r="Z770" s="3">
        <f t="shared" si="450"/>
        <v>58520</v>
      </c>
      <c r="AC770" s="3">
        <v>487391</v>
      </c>
      <c r="AD770" s="3">
        <f t="shared" si="451"/>
        <v>2609</v>
      </c>
      <c r="AE770" s="3">
        <v>490000</v>
      </c>
      <c r="AF770" s="3">
        <f t="shared" si="452"/>
        <v>59480</v>
      </c>
      <c r="AI770" s="3">
        <v>319000</v>
      </c>
      <c r="AK770" s="3">
        <v>370000</v>
      </c>
      <c r="AM770" s="3">
        <v>476000</v>
      </c>
      <c r="AO770" s="3">
        <v>476000</v>
      </c>
      <c r="AQ770" s="3">
        <v>476000</v>
      </c>
      <c r="AS770" s="3">
        <v>450000</v>
      </c>
      <c r="AU770" s="3">
        <v>450000</v>
      </c>
      <c r="AW770" s="3">
        <v>450000</v>
      </c>
      <c r="AY770" s="3">
        <v>450000</v>
      </c>
      <c r="BA770" s="3">
        <v>450000</v>
      </c>
      <c r="BC770" s="3">
        <v>450000</v>
      </c>
      <c r="BE770" s="3">
        <v>450000</v>
      </c>
    </row>
    <row r="771" spans="1:1015 1029:2039 2053:3063 3077:4087 4101:5111 5125:6135 6149:7159 7173:8183 8197:9207 9221:10231 10245:11255 11269:12279 12293:13303 13317:14327 14341:15351 15365:16373" hidden="1" outlineLevel="1" x14ac:dyDescent="0.25">
      <c r="A771" s="3" t="s">
        <v>566</v>
      </c>
      <c r="E771" s="3">
        <f t="shared" si="443"/>
        <v>0</v>
      </c>
      <c r="H771" s="3">
        <f t="shared" si="444"/>
        <v>0</v>
      </c>
      <c r="K771" s="4">
        <f t="shared" si="445"/>
        <v>0</v>
      </c>
      <c r="L771" s="4"/>
      <c r="N771" s="4">
        <f t="shared" si="446"/>
        <v>0</v>
      </c>
      <c r="S771" s="3">
        <f t="shared" si="447"/>
        <v>0</v>
      </c>
      <c r="U771" s="3">
        <f t="shared" si="448"/>
        <v>0</v>
      </c>
      <c r="W771" s="3">
        <f t="shared" si="449"/>
        <v>0</v>
      </c>
      <c r="Z771" s="3">
        <f t="shared" si="450"/>
        <v>0</v>
      </c>
      <c r="AD771" s="3">
        <f t="shared" si="451"/>
        <v>0</v>
      </c>
      <c r="AF771" s="3">
        <f t="shared" si="452"/>
        <v>0</v>
      </c>
      <c r="BC771" s="3"/>
      <c r="BE771" s="3"/>
    </row>
    <row r="772" spans="1:1015 1029:2039 2053:3063 3077:4087 4101:5111 5125:6135 6149:7159 7173:8183 8197:9207 9221:10231 10245:11255 11269:12279 12293:13303 13317:14327 14341:15351 15365:16373" hidden="1" outlineLevel="1" x14ac:dyDescent="0.25">
      <c r="A772" s="3" t="s">
        <v>567</v>
      </c>
      <c r="E772" s="3">
        <f t="shared" si="443"/>
        <v>0</v>
      </c>
      <c r="H772" s="3">
        <f t="shared" si="444"/>
        <v>0</v>
      </c>
      <c r="K772" s="4">
        <f t="shared" si="445"/>
        <v>0</v>
      </c>
      <c r="L772" s="4"/>
      <c r="N772" s="4">
        <f t="shared" si="446"/>
        <v>0</v>
      </c>
      <c r="S772" s="3">
        <f t="shared" si="447"/>
        <v>0</v>
      </c>
      <c r="U772" s="3">
        <f t="shared" si="448"/>
        <v>0</v>
      </c>
      <c r="W772" s="3">
        <f t="shared" si="449"/>
        <v>0</v>
      </c>
      <c r="Z772" s="3">
        <f t="shared" si="450"/>
        <v>0</v>
      </c>
      <c r="AD772" s="3">
        <f t="shared" si="451"/>
        <v>0</v>
      </c>
      <c r="AF772" s="3">
        <f t="shared" si="452"/>
        <v>0</v>
      </c>
      <c r="BC772" s="3"/>
      <c r="BE772" s="3"/>
    </row>
    <row r="773" spans="1:1015 1029:2039 2053:3063 3077:4087 4101:5111 5125:6135 6149:7159 7173:8183 8197:9207 9221:10231 10245:11255 11269:12279 12293:13303 13317:14327 14341:15351 15365:16373" hidden="1" outlineLevel="1" x14ac:dyDescent="0.25">
      <c r="A773" s="3" t="s">
        <v>568</v>
      </c>
      <c r="E773" s="3">
        <f t="shared" si="443"/>
        <v>0</v>
      </c>
      <c r="H773" s="3">
        <f t="shared" si="444"/>
        <v>0</v>
      </c>
      <c r="K773" s="4">
        <f t="shared" si="445"/>
        <v>0</v>
      </c>
      <c r="L773" s="4"/>
      <c r="N773" s="4">
        <f t="shared" si="446"/>
        <v>0</v>
      </c>
      <c r="S773" s="3">
        <f t="shared" si="447"/>
        <v>0</v>
      </c>
      <c r="U773" s="3">
        <f t="shared" si="448"/>
        <v>0</v>
      </c>
      <c r="W773" s="3">
        <f t="shared" si="449"/>
        <v>0</v>
      </c>
      <c r="Z773" s="3">
        <f t="shared" si="450"/>
        <v>0</v>
      </c>
      <c r="AD773" s="3">
        <f t="shared" si="451"/>
        <v>0</v>
      </c>
      <c r="AF773" s="3">
        <f t="shared" si="452"/>
        <v>0</v>
      </c>
      <c r="BC773" s="3"/>
      <c r="BE773" s="3"/>
    </row>
    <row r="774" spans="1:1015 1029:2039 2053:3063 3077:4087 4101:5111 5125:6135 6149:7159 7173:8183 8197:9207 9221:10231 10245:11255 11269:12279 12293:13303 13317:14327 14341:15351 15365:16373" hidden="1" outlineLevel="1" x14ac:dyDescent="0.25">
      <c r="A774" s="3"/>
      <c r="K774" s="4">
        <f t="shared" si="445"/>
        <v>0</v>
      </c>
      <c r="L774" s="4"/>
      <c r="N774" s="4">
        <f t="shared" si="446"/>
        <v>0</v>
      </c>
      <c r="S774" s="3">
        <f t="shared" si="447"/>
        <v>0</v>
      </c>
      <c r="U774" s="3">
        <f t="shared" si="448"/>
        <v>0</v>
      </c>
      <c r="W774" s="3">
        <f t="shared" si="449"/>
        <v>0</v>
      </c>
      <c r="Z774" s="3">
        <f t="shared" si="450"/>
        <v>0</v>
      </c>
      <c r="AD774" s="3">
        <f t="shared" si="451"/>
        <v>0</v>
      </c>
      <c r="AF774" s="3">
        <f t="shared" si="452"/>
        <v>0</v>
      </c>
      <c r="BC774" s="3"/>
      <c r="BE774" s="3"/>
    </row>
    <row r="775" spans="1:1015 1029:2039 2053:3063 3077:4087 4101:5111 5125:6135 6149:7159 7173:8183 8197:9207 9221:10231 10245:11255 11269:12279 12293:13303 13317:14327 14341:15351 15365:16373" hidden="1" outlineLevel="1" x14ac:dyDescent="0.25">
      <c r="A775" s="3" t="s">
        <v>569</v>
      </c>
      <c r="E775" s="3">
        <f t="shared" si="443"/>
        <v>0</v>
      </c>
      <c r="H775" s="3">
        <f t="shared" si="444"/>
        <v>0</v>
      </c>
      <c r="K775" s="4">
        <f t="shared" si="445"/>
        <v>0</v>
      </c>
      <c r="L775" s="4"/>
      <c r="N775" s="4">
        <f t="shared" si="446"/>
        <v>0</v>
      </c>
      <c r="S775" s="3">
        <f t="shared" si="447"/>
        <v>0</v>
      </c>
      <c r="U775" s="3">
        <f t="shared" si="448"/>
        <v>0</v>
      </c>
      <c r="W775" s="3">
        <f t="shared" si="449"/>
        <v>0</v>
      </c>
      <c r="Z775" s="3">
        <f t="shared" si="450"/>
        <v>0</v>
      </c>
      <c r="AD775" s="3">
        <f>AE775-AC775</f>
        <v>0</v>
      </c>
      <c r="AF775" s="3">
        <f>AE775-Y775</f>
        <v>0</v>
      </c>
      <c r="BC775" s="3"/>
      <c r="BE775" s="3"/>
    </row>
    <row r="776" spans="1:1015 1029:2039 2053:3063 3077:4087 4101:5111 5125:6135 6149:7159 7173:8183 8197:9207 9221:10231 10245:11255 11269:12279 12293:13303 13317:14327 14341:15351 15365:16373" hidden="1" outlineLevel="1" x14ac:dyDescent="0.25">
      <c r="A776" s="3"/>
      <c r="B776" s="62">
        <f>SUM(B747:B775)</f>
        <v>762000</v>
      </c>
      <c r="C776" s="32"/>
      <c r="D776" s="62">
        <f>SUM(D747:D775)</f>
        <v>4824</v>
      </c>
      <c r="E776" s="62">
        <f>SUM(E747:E775)</f>
        <v>757176</v>
      </c>
      <c r="F776" s="62">
        <f>SUM(F747:F775)</f>
        <v>762000</v>
      </c>
      <c r="G776" s="32"/>
      <c r="H776" s="62">
        <f>SUM(H747:H775)</f>
        <v>0</v>
      </c>
      <c r="I776" s="32"/>
      <c r="J776" s="62">
        <f>SUM(J757:J775)</f>
        <v>79596</v>
      </c>
      <c r="K776" s="62">
        <f>SUM(K757:K775)</f>
        <v>358404</v>
      </c>
      <c r="L776" s="62">
        <f>SUM(L757:L775)</f>
        <v>438000</v>
      </c>
      <c r="M776" s="32"/>
      <c r="N776" s="62">
        <f>SUM(N747:N775)</f>
        <v>-183450</v>
      </c>
      <c r="P776" s="62">
        <f>SUM(P747:P775)</f>
        <v>995000</v>
      </c>
      <c r="R776" s="62">
        <f t="shared" ref="R776:W776" si="453">SUM(R747:R775)</f>
        <v>50297</v>
      </c>
      <c r="S776" s="62">
        <f t="shared" si="453"/>
        <v>993703</v>
      </c>
      <c r="T776" s="62">
        <f t="shared" si="453"/>
        <v>1044000</v>
      </c>
      <c r="U776" s="62">
        <f t="shared" si="453"/>
        <v>49000</v>
      </c>
      <c r="V776" s="62">
        <f t="shared" si="453"/>
        <v>314344</v>
      </c>
      <c r="W776" s="62">
        <f t="shared" si="453"/>
        <v>826776</v>
      </c>
      <c r="X776" s="62"/>
      <c r="Y776" s="62">
        <f>SUM(Y747:Y775)</f>
        <v>1141120</v>
      </c>
      <c r="Z776" s="62">
        <f>SUM(Z747:Z775)</f>
        <v>97120</v>
      </c>
      <c r="AC776" s="62">
        <f>SUM(AC747:AC775)</f>
        <v>591419</v>
      </c>
      <c r="AD776" s="62">
        <f>SUM(AD747:AD775)</f>
        <v>516851</v>
      </c>
      <c r="AE776" s="62">
        <f>SUM(AE747:AE775)</f>
        <v>1108270</v>
      </c>
      <c r="AF776" s="62">
        <f>SUM(AF747:AF775)</f>
        <v>-32850</v>
      </c>
      <c r="AG776" s="32"/>
      <c r="AI776" s="62">
        <f>SUM(AI747:AI775)</f>
        <v>666000</v>
      </c>
      <c r="AK776" s="62">
        <f>SUM(AK747:AK775)</f>
        <v>736000</v>
      </c>
      <c r="AM776" s="62">
        <f>SUM(AM747:AM775)</f>
        <v>912000</v>
      </c>
      <c r="AO776" s="62">
        <f>SUM(AO747:AO775)</f>
        <v>857000</v>
      </c>
      <c r="AP776" s="32"/>
      <c r="AQ776" s="62">
        <f>SUM(AQ747:AQ775)</f>
        <v>894000</v>
      </c>
      <c r="AS776" s="62">
        <f>SUM(AS747:AS775)</f>
        <v>927000</v>
      </c>
      <c r="AU776" s="62">
        <f>SUM(AU747:AU775)</f>
        <v>872000</v>
      </c>
      <c r="AW776" s="62">
        <f>SUM(AW747:AW775)</f>
        <v>905000</v>
      </c>
      <c r="AY776" s="62">
        <f>SUM(AY747:AY775)</f>
        <v>875000</v>
      </c>
      <c r="BA776" s="62">
        <f>SUM(BA747:BA775)</f>
        <v>875000</v>
      </c>
      <c r="BC776" s="62">
        <f>SUM(BC747:BC775)</f>
        <v>875000</v>
      </c>
      <c r="BE776" s="62">
        <f>SUM(BE747:BE775)</f>
        <v>875000</v>
      </c>
    </row>
    <row r="777" spans="1:1015 1029:2039 2053:3063 3077:4087 4101:5111 5125:6135 6149:7159 7173:8183 8197:9207 9221:10231 10245:11255 11269:12279 12293:13303 13317:14327 14341:15351 15365:16373" ht="15.75" collapsed="1" thickBot="1" x14ac:dyDescent="0.3">
      <c r="A777" s="7" t="s">
        <v>1167</v>
      </c>
      <c r="B777" s="44">
        <f xml:space="preserve"> B776+B745+B713+B692+B690+B686+B681+B675</f>
        <v>5043700</v>
      </c>
      <c r="C777" s="32"/>
      <c r="D777" s="44">
        <f xml:space="preserve"> D776+D745+D713+D692+D690+D686+D681+D675</f>
        <v>1034308</v>
      </c>
      <c r="E777" s="44">
        <f xml:space="preserve"> E776+E745+E713+E692+E690+E686+E681+E675</f>
        <v>4940924</v>
      </c>
      <c r="F777" s="44">
        <f xml:space="preserve"> F776+F745+F713+F692+F690+F686+F681+F675</f>
        <v>5975232</v>
      </c>
      <c r="G777" s="32"/>
      <c r="H777" s="44">
        <f xml:space="preserve"> H776+H745+H713+H692+H690+H686+H681+H675</f>
        <v>933532</v>
      </c>
      <c r="I777" s="32"/>
      <c r="J777" s="44">
        <f xml:space="preserve"> J776+J745+J713+J692+J690+J686+J681+J675</f>
        <v>2838842</v>
      </c>
      <c r="K777" s="44">
        <f xml:space="preserve"> K776+K745+K713+K692+K690+K686+K681+K675</f>
        <v>2794234</v>
      </c>
      <c r="L777" s="44">
        <f xml:space="preserve"> L776+L745+L713+L692+L690+L686+L681+L675</f>
        <v>5720475</v>
      </c>
      <c r="M777" s="32"/>
      <c r="N777" s="44">
        <f xml:space="preserve"> N776+N745+N713+N692+N690+N686+N681+N675</f>
        <v>-114207</v>
      </c>
      <c r="P777" s="44">
        <f xml:space="preserve"> P776+P745+P713+P692+P690+P686+P681+P675</f>
        <v>5031270</v>
      </c>
      <c r="R777" s="44">
        <f t="shared" ref="R777:W777" si="454" xml:space="preserve"> R776+R745+R713+R692+R690+R686+R681+R675</f>
        <v>896039</v>
      </c>
      <c r="S777" s="44">
        <f t="shared" si="454"/>
        <v>4189031</v>
      </c>
      <c r="T777" s="44">
        <f t="shared" si="454"/>
        <v>5085070</v>
      </c>
      <c r="U777" s="44">
        <f t="shared" si="454"/>
        <v>53800</v>
      </c>
      <c r="V777" s="44">
        <f t="shared" si="454"/>
        <v>2303461</v>
      </c>
      <c r="W777" s="44">
        <f t="shared" si="454"/>
        <v>3046569</v>
      </c>
      <c r="X777" s="44"/>
      <c r="Y777" s="44">
        <f xml:space="preserve"> Y776+Y745+Y713+Y692+Y690+Y686+Y681+Y675</f>
        <v>5350030</v>
      </c>
      <c r="Z777" s="44">
        <f xml:space="preserve"> Z776+Z745+Z713+Z692+Z690+Z686+Z681+Z675</f>
        <v>264960</v>
      </c>
      <c r="AC777" s="44">
        <f xml:space="preserve"> AC776+AC745+AC713+AC692+AC690+AC686+AC681+AC675</f>
        <v>3177497</v>
      </c>
      <c r="AD777" s="44">
        <f xml:space="preserve"> AD776+AD745+AD713+AD692+AD690+AD686+AD681+AD675</f>
        <v>2115943</v>
      </c>
      <c r="AE777" s="44">
        <f xml:space="preserve"> AE776+AE745+AE713+AE692+AE690+AE686+AE681+AE675</f>
        <v>5293440</v>
      </c>
      <c r="AF777" s="44">
        <f xml:space="preserve"> AF776+AF745+AF713+AF692+AF690+AF686+AF681+AF675</f>
        <v>-56590</v>
      </c>
      <c r="AG777" s="32"/>
      <c r="AI777" s="44">
        <f xml:space="preserve"> AI776+AI745+AI713+AI692+AI690+AI686+AI681+AI675</f>
        <v>6196670</v>
      </c>
      <c r="AK777" s="44">
        <f xml:space="preserve"> AK776+AK745+AK713+AK692+AK690+AK686+AK681+AK675</f>
        <v>2281898.5</v>
      </c>
      <c r="AM777" s="44">
        <f xml:space="preserve"> AM776+AM745+AM713+AM692+AM690+AM686+AM681+AM675</f>
        <v>2468726.7549999999</v>
      </c>
      <c r="AO777" s="44">
        <f xml:space="preserve"> AO776+AO745+AO713+AO692+AO690+AO686+AO681+AO675</f>
        <v>2442708.8576500001</v>
      </c>
      <c r="AP777" s="32"/>
      <c r="AQ777" s="44">
        <f xml:space="preserve"> AQ776+AQ745+AQ713+AQ692+AQ690+AQ686+AQ681+AQ675</f>
        <v>2509489.3233795003</v>
      </c>
      <c r="AS777" s="44">
        <f xml:space="preserve"> AS776+AS745+AS713+AS692+AS690+AS686+AS681+AS675</f>
        <v>2593083.103080885</v>
      </c>
      <c r="AU777" s="44">
        <f xml:space="preserve"> AU776+AU745+AU713+AU692+AU690+AU686+AU681+AU675</f>
        <v>2611895.9716289588</v>
      </c>
      <c r="AW777" s="44">
        <f xml:space="preserve"> AW776+AW745+AW713+AW692+AW690+AW686+AW681+AW675</f>
        <v>2655903.989374422</v>
      </c>
      <c r="AY777" s="44">
        <f xml:space="preserve"> AY776+AY745+AY713+AY692+AY690+AY686+AY681+AY675</f>
        <v>2659644.9870031308</v>
      </c>
      <c r="BA777" s="44">
        <f xml:space="preserve"> BA776+BA745+BA713+BA692+BA690+BA686+BA681+BA675</f>
        <v>2680247.3502888619</v>
      </c>
      <c r="BC777" s="44">
        <f xml:space="preserve"> BC776+BC745+BC713+BC692+BC690+BC686+BC681+BC675</f>
        <v>2701480.0374518125</v>
      </c>
      <c r="BE777" s="44">
        <f xml:space="preserve"> BE776+BE745+BE713+BE692+BE690+BE686+BE681+BE675</f>
        <v>2723362.5970625519</v>
      </c>
    </row>
    <row r="778" spans="1:1015 1029:2039 2053:3063 3077:4087 4101:5111 5125:6135 6149:7159 7173:8183 8197:9207 9221:10231 10245:11255 11269:12279 12293:13303 13317:14327 14341:15351 15365:16373" ht="15.75" thickTop="1" x14ac:dyDescent="0.25">
      <c r="A778" s="7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P778" s="32"/>
      <c r="R778" s="32"/>
      <c r="S778" s="32"/>
      <c r="T778" s="32"/>
      <c r="U778" s="32"/>
      <c r="V778" s="32"/>
      <c r="W778" s="32"/>
      <c r="X778" s="32"/>
      <c r="Y778" s="32"/>
      <c r="Z778" s="32"/>
      <c r="AC778" s="32"/>
      <c r="AD778" s="32"/>
      <c r="AE778" s="32"/>
      <c r="AF778" s="32"/>
      <c r="AG778" s="32"/>
      <c r="AI778" s="32"/>
      <c r="AK778" s="32"/>
      <c r="AM778" s="32"/>
      <c r="AO778" s="32"/>
      <c r="AP778" s="32"/>
      <c r="AQ778" s="32"/>
      <c r="AS778" s="32"/>
      <c r="AU778" s="32"/>
      <c r="AW778" s="32"/>
      <c r="AY778" s="32"/>
      <c r="BA778" s="32"/>
      <c r="BC778" s="32"/>
      <c r="BE778" s="32"/>
    </row>
    <row r="779" spans="1:1015 1029:2039 2053:3063 3077:4087 4101:5111 5125:6135 6149:7159 7173:8183 8197:9207 9221:10231 10245:11255 11269:12279 12293:13303 13317:14327 14341:15351 15365:16373" x14ac:dyDescent="0.25">
      <c r="A779" s="7" t="s">
        <v>570</v>
      </c>
      <c r="BC779" s="3"/>
      <c r="BE779" s="3"/>
    </row>
    <row r="780" spans="1:1015 1029:2039 2053:3063 3077:4087 4101:5111 5125:6135 6149:7159 7173:8183 8197:9207 9221:10231 10245:11255 11269:12279 12293:13303 13317:14327 14341:15351 15365:16373" hidden="1" outlineLevel="1" x14ac:dyDescent="0.25">
      <c r="A780" s="7" t="s">
        <v>251</v>
      </c>
      <c r="Z780" s="3">
        <f>Y780-T780</f>
        <v>0</v>
      </c>
      <c r="BC780" s="3"/>
      <c r="BE780" s="3"/>
    </row>
    <row r="781" spans="1:1015 1029:2039 2053:3063 3077:4087 4101:5111 5125:6135 6149:7159 7173:8183 8197:9207 9221:10231 10245:11255 11269:12279 12293:13303 13317:14327 14341:15351 15365:16373" hidden="1" outlineLevel="1" x14ac:dyDescent="0.25">
      <c r="A781" s="3" t="s">
        <v>493</v>
      </c>
      <c r="B781" s="3">
        <v>7000</v>
      </c>
      <c r="D781" s="3">
        <v>2910</v>
      </c>
      <c r="E781" s="3">
        <f>F781-D781</f>
        <v>4090</v>
      </c>
      <c r="F781" s="3">
        <v>7000</v>
      </c>
      <c r="H781" s="3">
        <f>F781-B781</f>
        <v>0</v>
      </c>
      <c r="J781" s="3">
        <v>5218</v>
      </c>
      <c r="K781" s="4">
        <f>L781-J781</f>
        <v>1782</v>
      </c>
      <c r="L781" s="4">
        <v>7000</v>
      </c>
      <c r="N781" s="4">
        <f>L781-F781</f>
        <v>0</v>
      </c>
      <c r="P781" s="3">
        <v>9000</v>
      </c>
      <c r="R781" s="3">
        <v>3341</v>
      </c>
      <c r="S781" s="3">
        <f>T781-R781</f>
        <v>5659</v>
      </c>
      <c r="T781" s="3">
        <v>9000</v>
      </c>
      <c r="U781" s="3">
        <f>T781-P781</f>
        <v>0</v>
      </c>
      <c r="V781" s="3">
        <v>3741</v>
      </c>
      <c r="W781" s="3">
        <f>Y781-V781</f>
        <v>5259</v>
      </c>
      <c r="Y781" s="3">
        <v>9000</v>
      </c>
      <c r="Z781" s="3">
        <f>Y781-T781</f>
        <v>0</v>
      </c>
      <c r="AC781" s="3">
        <v>4042</v>
      </c>
      <c r="AD781" s="3">
        <f>AE781-AC781</f>
        <v>4958</v>
      </c>
      <c r="AE781" s="3">
        <v>9000</v>
      </c>
      <c r="AF781" s="3">
        <f>AE781-Y781</f>
        <v>0</v>
      </c>
      <c r="AI781" s="3">
        <f>AE781*1.03+10000+730</f>
        <v>20000</v>
      </c>
      <c r="AK781" s="3">
        <f>AI781*1.03+10000+21-10321</f>
        <v>20300</v>
      </c>
      <c r="AM781" s="3">
        <v>15610</v>
      </c>
      <c r="AO781" s="3">
        <v>10150</v>
      </c>
      <c r="AQ781" s="3">
        <f>AO781*1.03</f>
        <v>10454.5</v>
      </c>
      <c r="AS781" s="3">
        <f>AQ781*1.03</f>
        <v>10768.135</v>
      </c>
      <c r="AU781" s="3">
        <f>AS781*1.03</f>
        <v>11091.179050000001</v>
      </c>
      <c r="AW781" s="3">
        <f>AU781*1.03</f>
        <v>11423.914421500001</v>
      </c>
      <c r="AY781" s="3">
        <f>AW781*1.03</f>
        <v>11766.631854145002</v>
      </c>
      <c r="BA781" s="3">
        <f>AY781*1.03</f>
        <v>12119.630809769353</v>
      </c>
      <c r="BC781" s="3">
        <f>BA781*1.03</f>
        <v>12483.219734062433</v>
      </c>
      <c r="BE781" s="3">
        <f>BC781*1.03</f>
        <v>12857.716326084306</v>
      </c>
    </row>
    <row r="782" spans="1:1015 1029:2039 2053:3063 3077:4087 4101:5111 5125:6135 6149:7159 7173:8183 8197:9207 9221:10231 10245:11255 11269:12279 12293:13303 13317:14327 14341:15351 15365:16373" hidden="1" outlineLevel="1" x14ac:dyDescent="0.25">
      <c r="A782" s="267" t="s">
        <v>289</v>
      </c>
      <c r="B782" s="3">
        <v>15500</v>
      </c>
      <c r="D782" s="3">
        <v>0</v>
      </c>
      <c r="E782" s="3">
        <f>F782-D782</f>
        <v>15500</v>
      </c>
      <c r="F782" s="3">
        <v>15500</v>
      </c>
      <c r="H782" s="3">
        <f>F782-B782</f>
        <v>0</v>
      </c>
      <c r="K782" s="4">
        <f>L782-J782</f>
        <v>15500</v>
      </c>
      <c r="L782" s="4">
        <v>15500</v>
      </c>
      <c r="N782" s="4">
        <f>L782-F782</f>
        <v>0</v>
      </c>
      <c r="P782" s="3">
        <v>15500</v>
      </c>
      <c r="R782" s="3">
        <v>0</v>
      </c>
      <c r="S782" s="3">
        <f>T782-R782</f>
        <v>15500</v>
      </c>
      <c r="T782" s="3">
        <v>15500</v>
      </c>
      <c r="U782" s="3">
        <f>T782-P782</f>
        <v>0</v>
      </c>
      <c r="V782" s="3">
        <v>0</v>
      </c>
      <c r="W782" s="3">
        <f>Y782-V782</f>
        <v>15500</v>
      </c>
      <c r="Y782" s="3">
        <v>15500</v>
      </c>
      <c r="Z782" s="3">
        <f>Y782-T782</f>
        <v>0</v>
      </c>
      <c r="AC782" s="3">
        <v>0</v>
      </c>
      <c r="AD782" s="3">
        <f>AE782-AC782</f>
        <v>15500</v>
      </c>
      <c r="AE782" s="3">
        <v>15500</v>
      </c>
      <c r="AF782" s="3">
        <f>AE782-Y782</f>
        <v>0</v>
      </c>
      <c r="AI782" s="3">
        <v>15500</v>
      </c>
      <c r="AK782" s="3">
        <v>15500</v>
      </c>
      <c r="AM782" s="3">
        <v>15500</v>
      </c>
      <c r="AO782" s="3">
        <v>15500</v>
      </c>
      <c r="AQ782" s="3">
        <v>15500</v>
      </c>
      <c r="AS782" s="3">
        <v>15500</v>
      </c>
      <c r="AU782" s="3">
        <v>15500</v>
      </c>
      <c r="AW782" s="3">
        <v>15500</v>
      </c>
      <c r="AY782" s="3">
        <v>15500</v>
      </c>
      <c r="BA782" s="3">
        <v>15500</v>
      </c>
      <c r="BC782" s="3">
        <v>15500</v>
      </c>
      <c r="BE782" s="3">
        <v>15500</v>
      </c>
      <c r="BI782" s="268"/>
      <c r="BJ782" s="268"/>
      <c r="BK782" s="268"/>
      <c r="BL782" s="268"/>
      <c r="BM782" s="268"/>
      <c r="BN782" s="268"/>
      <c r="BO782" s="268"/>
      <c r="BP782" s="268"/>
      <c r="BQ782" s="268"/>
      <c r="BR782" s="268"/>
      <c r="BS782" s="268"/>
      <c r="BT782" s="268"/>
      <c r="BU782" s="268"/>
      <c r="BV782" s="268"/>
      <c r="BW782" s="268"/>
      <c r="BX782" s="268"/>
      <c r="BY782" s="268"/>
      <c r="BZ782" s="268"/>
      <c r="CA782" s="268"/>
      <c r="CB782" s="268"/>
      <c r="CC782" s="268"/>
      <c r="CD782" s="268"/>
      <c r="CE782" s="268"/>
      <c r="CF782" s="268"/>
      <c r="CG782" s="268"/>
      <c r="CH782" s="268"/>
      <c r="CI782" s="268"/>
      <c r="CJ782" s="268"/>
      <c r="CK782" s="268"/>
      <c r="CL782" s="268"/>
      <c r="CM782" s="268"/>
      <c r="CN782" s="268"/>
      <c r="CO782" s="268"/>
      <c r="CP782" s="268"/>
      <c r="CQ782" s="268"/>
      <c r="CR782" s="268"/>
      <c r="CS782" s="268"/>
      <c r="CT782" s="268"/>
      <c r="CU782" s="268"/>
      <c r="CV782" s="268"/>
      <c r="CW782" s="268"/>
      <c r="CX782" s="268"/>
      <c r="CY782" s="268"/>
      <c r="CZ782" s="268"/>
      <c r="DA782" s="268"/>
      <c r="DB782" s="268"/>
      <c r="DC782" s="268"/>
      <c r="DD782" s="268"/>
      <c r="DE782" s="268"/>
      <c r="DF782" s="268"/>
      <c r="DG782" s="268"/>
      <c r="DH782" s="268"/>
      <c r="DI782" s="268"/>
      <c r="DJ782" s="268"/>
      <c r="DK782" s="268"/>
      <c r="DL782" s="268"/>
      <c r="DM782" s="268"/>
      <c r="DN782" s="268"/>
      <c r="DO782" s="268"/>
      <c r="DP782" s="268"/>
      <c r="DQ782" s="268"/>
      <c r="DR782" s="268"/>
      <c r="DS782" s="268"/>
      <c r="DT782" s="268"/>
      <c r="DU782" s="268"/>
      <c r="DV782" s="268"/>
      <c r="DW782" s="268"/>
      <c r="DX782" s="268"/>
      <c r="DY782" s="268"/>
      <c r="DZ782" s="268"/>
      <c r="EA782" s="268"/>
      <c r="EB782" s="268"/>
      <c r="EC782" s="268"/>
      <c r="ED782" s="268"/>
      <c r="EE782" s="268"/>
      <c r="EF782" s="268"/>
      <c r="EG782" s="268"/>
      <c r="EH782" s="268"/>
      <c r="EI782" s="268"/>
      <c r="EJ782" s="268"/>
      <c r="EK782" s="268"/>
      <c r="EL782" s="268"/>
      <c r="EM782" s="268"/>
      <c r="EN782" s="268"/>
      <c r="EO782" s="268"/>
      <c r="EP782" s="268"/>
      <c r="EQ782" s="268"/>
      <c r="ER782" s="268"/>
      <c r="ES782" s="268"/>
      <c r="ET782" s="268"/>
      <c r="EU782" s="268"/>
      <c r="EV782" s="268"/>
      <c r="EW782" s="268"/>
      <c r="EX782" s="268"/>
      <c r="EY782" s="268"/>
      <c r="EZ782" s="268"/>
      <c r="FA782" s="268"/>
      <c r="FB782" s="268"/>
      <c r="FC782" s="268"/>
      <c r="FD782" s="268"/>
      <c r="FE782" s="268"/>
      <c r="FF782" s="268"/>
      <c r="FG782" s="268"/>
      <c r="FH782" s="268"/>
      <c r="FI782" s="268"/>
      <c r="FJ782" s="268"/>
      <c r="FK782" s="268"/>
      <c r="FL782" s="268"/>
      <c r="FM782" s="268"/>
      <c r="FN782" s="268"/>
      <c r="FO782" s="268"/>
      <c r="FP782" s="268"/>
      <c r="FQ782" s="268"/>
      <c r="FR782" s="268"/>
      <c r="FS782" s="268"/>
      <c r="FT782" s="268"/>
      <c r="FU782" s="268"/>
      <c r="FV782" s="268"/>
      <c r="FW782" s="268"/>
      <c r="FX782" s="268"/>
      <c r="FY782" s="268"/>
      <c r="FZ782" s="268"/>
      <c r="GA782" s="268"/>
      <c r="GB782" s="268"/>
      <c r="GC782" s="268"/>
      <c r="GD782" s="268"/>
      <c r="GE782" s="268"/>
      <c r="GF782" s="268"/>
      <c r="GG782" s="268"/>
      <c r="GH782" s="268"/>
      <c r="GI782" s="268"/>
      <c r="GJ782" s="268"/>
      <c r="GK782" s="268"/>
      <c r="GL782" s="268"/>
      <c r="GM782" s="268"/>
      <c r="GN782" s="268"/>
      <c r="GO782" s="268"/>
      <c r="GP782" s="268"/>
      <c r="GQ782" s="268"/>
      <c r="GR782" s="268"/>
      <c r="GS782" s="268"/>
      <c r="GT782" s="268"/>
      <c r="GU782" s="268"/>
      <c r="GV782" s="268"/>
      <c r="GW782" s="268"/>
      <c r="GX782" s="268"/>
      <c r="GY782" s="268"/>
      <c r="GZ782" s="268"/>
      <c r="HA782" s="268"/>
      <c r="HB782" s="268"/>
      <c r="HC782" s="268"/>
      <c r="HD782" s="268"/>
      <c r="HE782" s="268"/>
      <c r="HF782" s="268"/>
      <c r="HG782" s="268"/>
      <c r="HH782" s="268"/>
      <c r="HI782" s="268"/>
      <c r="HJ782" s="268"/>
      <c r="HK782" s="268"/>
      <c r="HL782" s="268"/>
      <c r="HM782" s="268"/>
      <c r="HN782" s="268"/>
      <c r="HO782" s="268"/>
      <c r="HP782" s="268"/>
      <c r="HQ782" s="268"/>
      <c r="HR782" s="268"/>
      <c r="HS782" s="268"/>
      <c r="HT782" s="268"/>
      <c r="HU782" s="268"/>
      <c r="HV782" s="268"/>
      <c r="HW782" s="268"/>
      <c r="HX782" s="268"/>
      <c r="HY782" s="268"/>
      <c r="HZ782" s="268"/>
      <c r="IA782" s="268"/>
      <c r="IB782" s="268"/>
      <c r="IC782" s="268"/>
      <c r="ID782" s="268"/>
      <c r="IE782" s="268"/>
      <c r="IF782" s="268"/>
      <c r="IG782" s="268"/>
      <c r="IH782" s="268"/>
      <c r="II782" s="268"/>
      <c r="IJ782" s="268"/>
      <c r="IK782" s="268"/>
      <c r="IL782" s="268"/>
      <c r="IM782" s="268"/>
      <c r="JA782" s="268"/>
      <c r="JB782" s="268"/>
      <c r="JC782" s="268"/>
      <c r="JQ782" s="268"/>
      <c r="JS782" s="268"/>
      <c r="JT782" s="268"/>
      <c r="JU782" s="268"/>
      <c r="JV782" s="268"/>
      <c r="JW782" s="268"/>
      <c r="JX782" s="268"/>
      <c r="JY782" s="268"/>
      <c r="JZ782" s="268"/>
      <c r="KA782" s="268"/>
      <c r="KB782" s="268"/>
      <c r="KC782" s="268"/>
      <c r="KD782" s="268"/>
      <c r="KE782" s="268"/>
      <c r="KF782" s="268"/>
      <c r="KG782" s="268"/>
      <c r="KH782" s="268"/>
      <c r="KI782" s="268"/>
      <c r="KJ782" s="268"/>
      <c r="KK782" s="268"/>
      <c r="KL782" s="268"/>
      <c r="KM782" s="268"/>
      <c r="KN782" s="268"/>
      <c r="KO782" s="268"/>
      <c r="KP782" s="268"/>
      <c r="KQ782" s="268"/>
      <c r="KR782" s="268"/>
      <c r="KS782" s="268"/>
      <c r="KT782" s="268"/>
      <c r="KU782" s="268"/>
      <c r="KV782" s="268"/>
      <c r="KW782" s="268"/>
      <c r="KX782" s="268"/>
      <c r="KY782" s="268"/>
      <c r="KZ782" s="268"/>
      <c r="LA782" s="268"/>
      <c r="LB782" s="268"/>
      <c r="LC782" s="268"/>
      <c r="LD782" s="268"/>
      <c r="LE782" s="268"/>
      <c r="LF782" s="268"/>
      <c r="LG782" s="268"/>
      <c r="LH782" s="268"/>
      <c r="LI782" s="268"/>
      <c r="LJ782" s="268"/>
      <c r="LK782" s="268"/>
      <c r="LL782" s="268"/>
      <c r="LM782" s="268"/>
      <c r="LN782" s="268"/>
      <c r="LO782" s="268"/>
      <c r="LP782" s="268"/>
      <c r="LQ782" s="268"/>
      <c r="LR782" s="268"/>
      <c r="LS782" s="268"/>
      <c r="LT782" s="268"/>
      <c r="LU782" s="268"/>
      <c r="LV782" s="268"/>
      <c r="LW782" s="268"/>
      <c r="LX782" s="268"/>
      <c r="LY782" s="268"/>
      <c r="LZ782" s="268"/>
      <c r="MA782" s="268"/>
      <c r="MB782" s="268"/>
      <c r="MC782" s="268"/>
      <c r="MD782" s="268"/>
      <c r="ME782" s="268"/>
      <c r="MF782" s="268"/>
      <c r="MG782" s="268"/>
      <c r="MH782" s="268"/>
      <c r="MI782" s="268"/>
      <c r="MJ782" s="268"/>
      <c r="MK782" s="268"/>
      <c r="ML782" s="268"/>
      <c r="MM782" s="268"/>
      <c r="MN782" s="268"/>
      <c r="MO782" s="268"/>
      <c r="MP782" s="268"/>
      <c r="MQ782" s="268"/>
      <c r="MR782" s="268"/>
      <c r="MS782" s="268"/>
      <c r="MT782" s="268"/>
      <c r="MU782" s="268"/>
      <c r="MV782" s="268"/>
      <c r="MW782" s="268"/>
      <c r="MX782" s="268"/>
      <c r="MY782" s="268"/>
      <c r="MZ782" s="268"/>
      <c r="NA782" s="268"/>
      <c r="NB782" s="268"/>
      <c r="NC782" s="268"/>
      <c r="ND782" s="268"/>
      <c r="NE782" s="268"/>
      <c r="NF782" s="268"/>
      <c r="NG782" s="268"/>
      <c r="NH782" s="268"/>
      <c r="NI782" s="268"/>
      <c r="NJ782" s="268"/>
      <c r="NK782" s="268"/>
      <c r="NL782" s="268"/>
      <c r="NM782" s="268"/>
      <c r="NN782" s="268"/>
      <c r="NO782" s="268"/>
      <c r="NP782" s="268"/>
      <c r="NQ782" s="268"/>
      <c r="NR782" s="268"/>
      <c r="NS782" s="268"/>
      <c r="NT782" s="268"/>
      <c r="NU782" s="268"/>
      <c r="NV782" s="268"/>
      <c r="NW782" s="268"/>
      <c r="NX782" s="268"/>
      <c r="NY782" s="268"/>
      <c r="NZ782" s="268"/>
      <c r="OA782" s="268"/>
      <c r="OB782" s="268"/>
      <c r="OC782" s="268"/>
      <c r="OD782" s="268"/>
      <c r="OE782" s="268"/>
      <c r="OF782" s="268"/>
      <c r="OG782" s="268"/>
      <c r="OH782" s="268"/>
      <c r="OI782" s="268"/>
      <c r="OJ782" s="268"/>
      <c r="OK782" s="268"/>
      <c r="OL782" s="268"/>
      <c r="OM782" s="268"/>
      <c r="ON782" s="268"/>
      <c r="OO782" s="268"/>
      <c r="OP782" s="268"/>
      <c r="OQ782" s="268"/>
      <c r="OR782" s="268"/>
      <c r="OS782" s="268"/>
      <c r="OT782" s="268"/>
      <c r="OU782" s="268"/>
      <c r="OV782" s="268"/>
      <c r="OW782" s="268"/>
      <c r="OX782" s="268"/>
      <c r="OY782" s="268"/>
      <c r="OZ782" s="268"/>
      <c r="PA782" s="268"/>
      <c r="PB782" s="268"/>
      <c r="PC782" s="268"/>
      <c r="PD782" s="268"/>
      <c r="PE782" s="268"/>
      <c r="PF782" s="268"/>
      <c r="PG782" s="268"/>
      <c r="PH782" s="268"/>
      <c r="PI782" s="268"/>
      <c r="PJ782" s="268"/>
      <c r="PK782" s="268"/>
      <c r="PL782" s="268"/>
      <c r="PM782" s="268"/>
      <c r="PN782" s="268"/>
      <c r="PO782" s="268"/>
      <c r="PP782" s="268"/>
      <c r="PQ782" s="268"/>
      <c r="PR782" s="268"/>
      <c r="PS782" s="268"/>
      <c r="PT782" s="268"/>
      <c r="PU782" s="268"/>
      <c r="PV782" s="268"/>
      <c r="PW782" s="268"/>
      <c r="PX782" s="268"/>
      <c r="PY782" s="268"/>
      <c r="PZ782" s="268"/>
      <c r="QA782" s="268"/>
      <c r="QB782" s="268"/>
      <c r="QC782" s="268"/>
      <c r="QD782" s="268"/>
      <c r="QE782" s="268"/>
      <c r="QF782" s="268"/>
      <c r="QG782" s="268"/>
      <c r="QH782" s="268"/>
      <c r="QI782" s="268"/>
      <c r="QJ782" s="268"/>
      <c r="QK782" s="268"/>
      <c r="QL782" s="268"/>
      <c r="QM782" s="268"/>
      <c r="QN782" s="268"/>
      <c r="QO782" s="268"/>
      <c r="QP782" s="268"/>
      <c r="QQ782" s="268"/>
      <c r="QR782" s="268"/>
      <c r="QS782" s="268"/>
      <c r="QT782" s="268"/>
      <c r="QU782" s="268"/>
      <c r="QV782" s="268"/>
      <c r="QW782" s="268"/>
      <c r="QX782" s="268"/>
      <c r="QY782" s="268"/>
      <c r="QZ782" s="268"/>
      <c r="RA782" s="268"/>
      <c r="RB782" s="268"/>
      <c r="RC782" s="268"/>
      <c r="RD782" s="268"/>
      <c r="RE782" s="268"/>
      <c r="RF782" s="268"/>
      <c r="RG782" s="268"/>
      <c r="RH782" s="268"/>
      <c r="RI782" s="268"/>
      <c r="RJ782" s="268"/>
      <c r="RK782" s="268"/>
      <c r="RL782" s="268"/>
      <c r="RM782" s="268"/>
      <c r="RN782" s="268"/>
      <c r="RO782" s="268"/>
      <c r="RP782" s="268"/>
      <c r="RQ782" s="268"/>
      <c r="RR782" s="268"/>
      <c r="RS782" s="268"/>
      <c r="RT782" s="268"/>
      <c r="RU782" s="268"/>
      <c r="RV782" s="268"/>
      <c r="RW782" s="268"/>
      <c r="RX782" s="268"/>
      <c r="RY782" s="268"/>
      <c r="RZ782" s="268"/>
      <c r="SA782" s="268"/>
      <c r="SB782" s="268"/>
      <c r="SC782" s="268"/>
      <c r="SD782" s="268"/>
      <c r="SE782" s="268"/>
      <c r="SF782" s="268"/>
      <c r="SG782" s="268"/>
      <c r="SH782" s="268"/>
      <c r="SI782" s="268"/>
      <c r="SW782" s="268"/>
      <c r="SX782" s="268"/>
      <c r="SY782" s="268"/>
      <c r="TM782" s="268"/>
      <c r="TO782" s="268"/>
      <c r="TP782" s="268"/>
      <c r="TQ782" s="268"/>
      <c r="TR782" s="268"/>
      <c r="TS782" s="268"/>
      <c r="TT782" s="268"/>
      <c r="TU782" s="268"/>
      <c r="TV782" s="268"/>
      <c r="TW782" s="268"/>
      <c r="TX782" s="268"/>
      <c r="TY782" s="268"/>
      <c r="TZ782" s="268"/>
      <c r="UA782" s="268"/>
      <c r="UB782" s="268"/>
      <c r="UC782" s="268"/>
      <c r="UD782" s="268"/>
      <c r="UE782" s="268"/>
      <c r="UF782" s="268"/>
      <c r="UG782" s="268"/>
      <c r="UH782" s="268"/>
      <c r="UI782" s="268"/>
      <c r="UJ782" s="268"/>
      <c r="UK782" s="268"/>
      <c r="UL782" s="268"/>
      <c r="UM782" s="268"/>
      <c r="UN782" s="268"/>
      <c r="UO782" s="268"/>
      <c r="UP782" s="268"/>
      <c r="UQ782" s="268"/>
      <c r="UR782" s="268"/>
      <c r="US782" s="268"/>
      <c r="UT782" s="268"/>
      <c r="UU782" s="268"/>
      <c r="UV782" s="268"/>
      <c r="UW782" s="268"/>
      <c r="UX782" s="268"/>
      <c r="UY782" s="268"/>
      <c r="UZ782" s="268"/>
      <c r="VA782" s="268"/>
      <c r="VB782" s="268"/>
      <c r="VC782" s="268"/>
      <c r="VD782" s="268"/>
      <c r="VE782" s="268"/>
      <c r="VF782" s="268"/>
      <c r="VG782" s="268"/>
      <c r="VH782" s="268"/>
      <c r="VI782" s="268"/>
      <c r="VJ782" s="268"/>
      <c r="VK782" s="268"/>
      <c r="VL782" s="268"/>
      <c r="VM782" s="268"/>
      <c r="VN782" s="268"/>
      <c r="VO782" s="268"/>
      <c r="VP782" s="268"/>
      <c r="VQ782" s="268"/>
      <c r="VR782" s="268"/>
      <c r="VS782" s="268"/>
      <c r="VT782" s="268"/>
      <c r="VU782" s="268"/>
      <c r="VV782" s="268"/>
      <c r="VW782" s="268"/>
      <c r="VX782" s="268"/>
      <c r="VY782" s="268"/>
      <c r="VZ782" s="268"/>
      <c r="WA782" s="268"/>
      <c r="WB782" s="268"/>
      <c r="WC782" s="268"/>
      <c r="WD782" s="268"/>
      <c r="WE782" s="268"/>
      <c r="WF782" s="268"/>
      <c r="WG782" s="268"/>
      <c r="WH782" s="268"/>
      <c r="WI782" s="268"/>
      <c r="WJ782" s="268"/>
      <c r="WK782" s="268"/>
      <c r="WL782" s="268"/>
      <c r="WM782" s="268"/>
      <c r="WN782" s="268"/>
      <c r="WO782" s="268"/>
      <c r="WP782" s="268"/>
      <c r="WQ782" s="268"/>
      <c r="WR782" s="268"/>
      <c r="WS782" s="268"/>
      <c r="WT782" s="268"/>
      <c r="WU782" s="268"/>
      <c r="WV782" s="268"/>
      <c r="WW782" s="268"/>
      <c r="WX782" s="268"/>
      <c r="WY782" s="268"/>
      <c r="WZ782" s="268"/>
      <c r="XA782" s="268"/>
      <c r="XB782" s="268"/>
      <c r="XC782" s="268"/>
      <c r="XD782" s="268"/>
      <c r="XE782" s="268"/>
      <c r="XF782" s="268"/>
      <c r="XG782" s="268"/>
      <c r="XH782" s="268"/>
      <c r="XI782" s="268"/>
      <c r="XJ782" s="268"/>
      <c r="XK782" s="268"/>
      <c r="XL782" s="268"/>
      <c r="XM782" s="268"/>
      <c r="XN782" s="268"/>
      <c r="XO782" s="268"/>
      <c r="XP782" s="268"/>
      <c r="XQ782" s="268"/>
      <c r="XR782" s="268"/>
      <c r="XS782" s="268"/>
      <c r="XT782" s="268"/>
      <c r="XU782" s="268"/>
      <c r="XV782" s="268"/>
      <c r="XW782" s="268"/>
      <c r="XX782" s="268"/>
      <c r="XY782" s="268"/>
      <c r="XZ782" s="268"/>
      <c r="YA782" s="268"/>
      <c r="YB782" s="268"/>
      <c r="YC782" s="268"/>
      <c r="YD782" s="268"/>
      <c r="YE782" s="268"/>
      <c r="YF782" s="268"/>
      <c r="YG782" s="268"/>
      <c r="YH782" s="268"/>
      <c r="YI782" s="268"/>
      <c r="YJ782" s="268"/>
      <c r="YK782" s="268"/>
      <c r="YL782" s="268"/>
      <c r="YM782" s="268"/>
      <c r="YN782" s="268"/>
      <c r="YO782" s="268"/>
      <c r="YP782" s="268"/>
      <c r="YQ782" s="268"/>
      <c r="YR782" s="268"/>
      <c r="YS782" s="268"/>
      <c r="YT782" s="268"/>
      <c r="YU782" s="268"/>
      <c r="YV782" s="268"/>
      <c r="YW782" s="268"/>
      <c r="YX782" s="268"/>
      <c r="YY782" s="268"/>
      <c r="YZ782" s="268"/>
      <c r="ZA782" s="268"/>
      <c r="ZB782" s="268"/>
      <c r="ZC782" s="268"/>
      <c r="ZD782" s="268"/>
      <c r="ZE782" s="268"/>
      <c r="ZF782" s="268"/>
      <c r="ZG782" s="268"/>
      <c r="ZH782" s="268"/>
      <c r="ZI782" s="268"/>
      <c r="ZJ782" s="268"/>
      <c r="ZK782" s="268"/>
      <c r="ZL782" s="268"/>
      <c r="ZM782" s="268"/>
      <c r="ZN782" s="268"/>
      <c r="ZO782" s="268"/>
      <c r="ZP782" s="268"/>
      <c r="ZQ782" s="268"/>
      <c r="ZR782" s="268"/>
      <c r="ZS782" s="268"/>
      <c r="ZT782" s="268"/>
      <c r="ZU782" s="268"/>
      <c r="ZV782" s="268"/>
      <c r="ZW782" s="268"/>
      <c r="ZX782" s="268"/>
      <c r="ZY782" s="268"/>
      <c r="ZZ782" s="268"/>
      <c r="AAA782" s="268"/>
      <c r="AAB782" s="268"/>
      <c r="AAC782" s="268"/>
      <c r="AAD782" s="268"/>
      <c r="AAE782" s="268"/>
      <c r="AAF782" s="268"/>
      <c r="AAG782" s="268"/>
      <c r="AAH782" s="268"/>
      <c r="AAI782" s="268"/>
      <c r="AAJ782" s="268"/>
      <c r="AAK782" s="268"/>
      <c r="AAL782" s="268"/>
      <c r="AAM782" s="268"/>
      <c r="AAN782" s="268"/>
      <c r="AAO782" s="268"/>
      <c r="AAP782" s="268"/>
      <c r="AAQ782" s="268"/>
      <c r="AAR782" s="268"/>
      <c r="AAS782" s="268"/>
      <c r="AAT782" s="268"/>
      <c r="AAU782" s="268"/>
      <c r="AAV782" s="268"/>
      <c r="AAW782" s="268"/>
      <c r="AAX782" s="268"/>
      <c r="AAY782" s="268"/>
      <c r="AAZ782" s="268"/>
      <c r="ABA782" s="268"/>
      <c r="ABB782" s="268"/>
      <c r="ABC782" s="268"/>
      <c r="ABD782" s="268"/>
      <c r="ABE782" s="268"/>
      <c r="ABF782" s="268"/>
      <c r="ABG782" s="268"/>
      <c r="ABH782" s="268"/>
      <c r="ABI782" s="268"/>
      <c r="ABJ782" s="268"/>
      <c r="ABK782" s="268"/>
      <c r="ABL782" s="268"/>
      <c r="ABM782" s="268"/>
      <c r="ABN782" s="268"/>
      <c r="ABO782" s="268"/>
      <c r="ABP782" s="268"/>
      <c r="ABQ782" s="268"/>
      <c r="ABR782" s="268"/>
      <c r="ABS782" s="268"/>
      <c r="ABT782" s="268"/>
      <c r="ABU782" s="268"/>
      <c r="ABV782" s="268"/>
      <c r="ABW782" s="268"/>
      <c r="ABX782" s="268"/>
      <c r="ABY782" s="268"/>
      <c r="ABZ782" s="268"/>
      <c r="ACA782" s="268"/>
      <c r="ACB782" s="268"/>
      <c r="ACC782" s="268"/>
      <c r="ACD782" s="268"/>
      <c r="ACE782" s="268"/>
      <c r="ACS782" s="268"/>
      <c r="ACT782" s="268"/>
      <c r="ACU782" s="268"/>
      <c r="ADI782" s="268"/>
      <c r="ADK782" s="268"/>
      <c r="ADL782" s="268"/>
      <c r="ADM782" s="268"/>
      <c r="ADN782" s="268"/>
      <c r="ADO782" s="268"/>
      <c r="ADP782" s="268"/>
      <c r="ADQ782" s="268"/>
      <c r="ADR782" s="268"/>
      <c r="ADS782" s="268"/>
      <c r="ADT782" s="268"/>
      <c r="ADU782" s="268"/>
      <c r="ADV782" s="268"/>
      <c r="ADW782" s="268"/>
      <c r="ADX782" s="268"/>
      <c r="ADY782" s="268"/>
      <c r="ADZ782" s="268"/>
      <c r="AEA782" s="268"/>
      <c r="AEB782" s="268"/>
      <c r="AEC782" s="268"/>
      <c r="AED782" s="268"/>
      <c r="AEE782" s="268"/>
      <c r="AEF782" s="268"/>
      <c r="AEG782" s="268"/>
      <c r="AEH782" s="268"/>
      <c r="AEI782" s="268"/>
      <c r="AEJ782" s="268"/>
      <c r="AEK782" s="268"/>
      <c r="AEL782" s="268"/>
      <c r="AEM782" s="268"/>
      <c r="AEN782" s="268"/>
      <c r="AEO782" s="268"/>
      <c r="AEP782" s="268"/>
      <c r="AEQ782" s="268"/>
      <c r="AER782" s="268"/>
      <c r="AES782" s="268"/>
      <c r="AET782" s="268"/>
      <c r="AEU782" s="268"/>
      <c r="AEV782" s="268"/>
      <c r="AEW782" s="268"/>
      <c r="AEX782" s="268"/>
      <c r="AEY782" s="268"/>
      <c r="AEZ782" s="268"/>
      <c r="AFA782" s="268"/>
      <c r="AFB782" s="268"/>
      <c r="AFC782" s="268"/>
      <c r="AFD782" s="268"/>
      <c r="AFE782" s="268"/>
      <c r="AFF782" s="268"/>
      <c r="AFG782" s="268"/>
      <c r="AFH782" s="268"/>
      <c r="AFI782" s="268"/>
      <c r="AFJ782" s="268"/>
      <c r="AFK782" s="268"/>
      <c r="AFL782" s="268"/>
      <c r="AFM782" s="268"/>
      <c r="AFN782" s="268"/>
      <c r="AFO782" s="268"/>
      <c r="AFP782" s="268"/>
      <c r="AFQ782" s="268"/>
      <c r="AFR782" s="268"/>
      <c r="AFS782" s="268"/>
      <c r="AFT782" s="268"/>
      <c r="AFU782" s="268"/>
      <c r="AFV782" s="268"/>
      <c r="AFW782" s="268"/>
      <c r="AFX782" s="268"/>
      <c r="AFY782" s="268"/>
      <c r="AFZ782" s="268"/>
      <c r="AGA782" s="268"/>
      <c r="AGB782" s="268"/>
      <c r="AGC782" s="268"/>
      <c r="AGD782" s="268"/>
      <c r="AGE782" s="268"/>
      <c r="AGF782" s="268"/>
      <c r="AGG782" s="268"/>
      <c r="AGH782" s="268"/>
      <c r="AGI782" s="268"/>
      <c r="AGJ782" s="268"/>
      <c r="AGK782" s="268"/>
      <c r="AGL782" s="268"/>
      <c r="AGM782" s="268"/>
      <c r="AGN782" s="268"/>
      <c r="AGO782" s="268"/>
      <c r="AGP782" s="268"/>
      <c r="AGQ782" s="268"/>
      <c r="AGR782" s="268"/>
      <c r="AGS782" s="268"/>
      <c r="AGT782" s="268"/>
      <c r="AGU782" s="268"/>
      <c r="AGV782" s="268"/>
      <c r="AGW782" s="268"/>
      <c r="AGX782" s="268"/>
      <c r="AGY782" s="268"/>
      <c r="AGZ782" s="268"/>
      <c r="AHA782" s="268"/>
      <c r="AHB782" s="268"/>
      <c r="AHC782" s="268"/>
      <c r="AHD782" s="268"/>
      <c r="AHE782" s="268"/>
      <c r="AHF782" s="268"/>
      <c r="AHG782" s="268"/>
      <c r="AHH782" s="268"/>
      <c r="AHI782" s="268"/>
      <c r="AHJ782" s="268"/>
      <c r="AHK782" s="268"/>
      <c r="AHL782" s="268"/>
      <c r="AHM782" s="268"/>
      <c r="AHN782" s="268"/>
      <c r="AHO782" s="268"/>
      <c r="AHP782" s="268"/>
      <c r="AHQ782" s="268"/>
      <c r="AHR782" s="268"/>
      <c r="AHS782" s="268"/>
      <c r="AHT782" s="268"/>
      <c r="AHU782" s="268"/>
      <c r="AHV782" s="268"/>
      <c r="AHW782" s="268"/>
      <c r="AHX782" s="268"/>
      <c r="AHY782" s="268"/>
      <c r="AHZ782" s="268"/>
      <c r="AIA782" s="268"/>
      <c r="AIB782" s="268"/>
      <c r="AIC782" s="268"/>
      <c r="AID782" s="268"/>
      <c r="AIE782" s="268"/>
      <c r="AIF782" s="268"/>
      <c r="AIG782" s="268"/>
      <c r="AIH782" s="268"/>
      <c r="AII782" s="268"/>
      <c r="AIJ782" s="268"/>
      <c r="AIK782" s="268"/>
      <c r="AIL782" s="268"/>
      <c r="AIM782" s="268"/>
      <c r="AIN782" s="268"/>
      <c r="AIO782" s="268"/>
      <c r="AIP782" s="268"/>
      <c r="AIQ782" s="268"/>
      <c r="AIR782" s="268"/>
      <c r="AIS782" s="268"/>
      <c r="AIT782" s="268"/>
      <c r="AIU782" s="268"/>
      <c r="AIV782" s="268"/>
      <c r="AIW782" s="268"/>
      <c r="AIX782" s="268"/>
      <c r="AIY782" s="268"/>
      <c r="AIZ782" s="268"/>
      <c r="AJA782" s="268"/>
      <c r="AJB782" s="268"/>
      <c r="AJC782" s="268"/>
      <c r="AJD782" s="268"/>
      <c r="AJE782" s="268"/>
      <c r="AJF782" s="268"/>
      <c r="AJG782" s="268"/>
      <c r="AJH782" s="268"/>
      <c r="AJI782" s="268"/>
      <c r="AJJ782" s="268"/>
      <c r="AJK782" s="268"/>
      <c r="AJL782" s="268"/>
      <c r="AJM782" s="268"/>
      <c r="AJN782" s="268"/>
      <c r="AJO782" s="268"/>
      <c r="AJP782" s="268"/>
      <c r="AJQ782" s="268"/>
      <c r="AJR782" s="268"/>
      <c r="AJS782" s="268"/>
      <c r="AJT782" s="268"/>
      <c r="AJU782" s="268"/>
      <c r="AJV782" s="268"/>
      <c r="AJW782" s="268"/>
      <c r="AJX782" s="268"/>
      <c r="AJY782" s="268"/>
      <c r="AJZ782" s="268"/>
      <c r="AKA782" s="268"/>
      <c r="AKB782" s="268"/>
      <c r="AKC782" s="268"/>
      <c r="AKD782" s="268"/>
      <c r="AKE782" s="268"/>
      <c r="AKF782" s="268"/>
      <c r="AKG782" s="268"/>
      <c r="AKH782" s="268"/>
      <c r="AKI782" s="268"/>
      <c r="AKJ782" s="268"/>
      <c r="AKK782" s="268"/>
      <c r="AKL782" s="268"/>
      <c r="AKM782" s="268"/>
      <c r="AKN782" s="268"/>
      <c r="AKO782" s="268"/>
      <c r="AKP782" s="268"/>
      <c r="AKQ782" s="268"/>
      <c r="AKR782" s="268"/>
      <c r="AKS782" s="268"/>
      <c r="AKT782" s="268"/>
      <c r="AKU782" s="268"/>
      <c r="AKV782" s="268"/>
      <c r="AKW782" s="268"/>
      <c r="AKX782" s="268"/>
      <c r="AKY782" s="268"/>
      <c r="AKZ782" s="268"/>
      <c r="ALA782" s="268"/>
      <c r="ALB782" s="268"/>
      <c r="ALC782" s="268"/>
      <c r="ALD782" s="268"/>
      <c r="ALE782" s="268"/>
      <c r="ALF782" s="268"/>
      <c r="ALG782" s="268"/>
      <c r="ALH782" s="268"/>
      <c r="ALI782" s="268"/>
      <c r="ALJ782" s="268"/>
      <c r="ALK782" s="268"/>
      <c r="ALL782" s="268"/>
      <c r="ALM782" s="268"/>
      <c r="ALN782" s="268"/>
      <c r="ALO782" s="268"/>
      <c r="ALP782" s="268"/>
      <c r="ALQ782" s="268"/>
      <c r="ALR782" s="268"/>
      <c r="ALS782" s="268"/>
      <c r="ALT782" s="268"/>
      <c r="ALU782" s="268"/>
      <c r="ALV782" s="268"/>
      <c r="ALW782" s="268"/>
      <c r="ALX782" s="268"/>
      <c r="ALY782" s="268"/>
      <c r="ALZ782" s="268"/>
      <c r="AMA782" s="268"/>
      <c r="AMO782" s="268"/>
      <c r="AMP782" s="268"/>
      <c r="AMQ782" s="268"/>
      <c r="ANE782" s="268"/>
      <c r="ANG782" s="268"/>
      <c r="ANH782" s="268"/>
      <c r="ANI782" s="268"/>
      <c r="ANJ782" s="268"/>
      <c r="ANK782" s="268"/>
      <c r="ANL782" s="268"/>
      <c r="ANM782" s="268"/>
      <c r="ANN782" s="268"/>
      <c r="ANO782" s="268"/>
      <c r="ANP782" s="268"/>
      <c r="ANQ782" s="268"/>
      <c r="ANR782" s="268"/>
      <c r="ANS782" s="268"/>
      <c r="ANT782" s="268"/>
      <c r="ANU782" s="268"/>
      <c r="ANV782" s="268"/>
      <c r="ANW782" s="268"/>
      <c r="ANX782" s="268"/>
      <c r="ANY782" s="268"/>
      <c r="ANZ782" s="268"/>
      <c r="AOA782" s="268"/>
      <c r="AOB782" s="268"/>
      <c r="AOC782" s="268"/>
      <c r="AOD782" s="268"/>
      <c r="AOE782" s="268"/>
      <c r="AOF782" s="268"/>
      <c r="AOG782" s="268"/>
      <c r="AOH782" s="268"/>
      <c r="AOI782" s="268"/>
      <c r="AOJ782" s="268"/>
      <c r="AOK782" s="268"/>
      <c r="AOL782" s="268"/>
      <c r="AOM782" s="268"/>
      <c r="AON782" s="268"/>
      <c r="AOO782" s="268"/>
      <c r="AOP782" s="268"/>
      <c r="AOQ782" s="268"/>
      <c r="AOR782" s="268"/>
      <c r="AOS782" s="268"/>
      <c r="AOT782" s="268"/>
      <c r="AOU782" s="268"/>
      <c r="AOV782" s="268"/>
      <c r="AOW782" s="268"/>
      <c r="AOX782" s="268"/>
      <c r="AOY782" s="268"/>
      <c r="AOZ782" s="268"/>
      <c r="APA782" s="268"/>
      <c r="APB782" s="268"/>
      <c r="APC782" s="268"/>
      <c r="APD782" s="268"/>
      <c r="APE782" s="268"/>
      <c r="APF782" s="268"/>
      <c r="APG782" s="268"/>
      <c r="APH782" s="268"/>
      <c r="API782" s="268"/>
      <c r="APJ782" s="268"/>
      <c r="APK782" s="268"/>
      <c r="APL782" s="268"/>
      <c r="APM782" s="268"/>
      <c r="APN782" s="268"/>
      <c r="APO782" s="268"/>
      <c r="APP782" s="268"/>
      <c r="APQ782" s="268"/>
      <c r="APR782" s="268"/>
      <c r="APS782" s="268"/>
      <c r="APT782" s="268"/>
      <c r="APU782" s="268"/>
      <c r="APV782" s="268"/>
      <c r="APW782" s="268"/>
      <c r="APX782" s="268"/>
      <c r="APY782" s="268"/>
      <c r="APZ782" s="268"/>
      <c r="AQA782" s="268"/>
      <c r="AQB782" s="268"/>
      <c r="AQC782" s="268"/>
      <c r="AQD782" s="268"/>
      <c r="AQE782" s="268"/>
      <c r="AQF782" s="268"/>
      <c r="AQG782" s="268"/>
      <c r="AQH782" s="268"/>
      <c r="AQI782" s="268"/>
      <c r="AQJ782" s="268"/>
      <c r="AQK782" s="268"/>
      <c r="AQL782" s="268"/>
      <c r="AQM782" s="268"/>
      <c r="AQN782" s="268"/>
      <c r="AQO782" s="268"/>
      <c r="AQP782" s="268"/>
      <c r="AQQ782" s="268"/>
      <c r="AQR782" s="268"/>
      <c r="AQS782" s="268"/>
      <c r="AQT782" s="268"/>
      <c r="AQU782" s="268"/>
      <c r="AQV782" s="268"/>
      <c r="AQW782" s="268"/>
      <c r="AQX782" s="268"/>
      <c r="AQY782" s="268"/>
      <c r="AQZ782" s="268"/>
      <c r="ARA782" s="268"/>
      <c r="ARB782" s="268"/>
      <c r="ARC782" s="268"/>
      <c r="ARD782" s="268"/>
      <c r="ARE782" s="268"/>
      <c r="ARF782" s="268"/>
      <c r="ARG782" s="268"/>
      <c r="ARH782" s="268"/>
      <c r="ARI782" s="268"/>
      <c r="ARJ782" s="268"/>
      <c r="ARK782" s="268"/>
      <c r="ARL782" s="268"/>
      <c r="ARM782" s="268"/>
      <c r="ARN782" s="268"/>
      <c r="ARO782" s="268"/>
      <c r="ARP782" s="268"/>
      <c r="ARQ782" s="268"/>
      <c r="ARR782" s="268"/>
      <c r="ARS782" s="268"/>
      <c r="ART782" s="268"/>
      <c r="ARU782" s="268"/>
      <c r="ARV782" s="268"/>
      <c r="ARW782" s="268"/>
      <c r="ARX782" s="268"/>
      <c r="ARY782" s="268"/>
      <c r="ARZ782" s="268"/>
      <c r="ASA782" s="268"/>
      <c r="ASB782" s="268"/>
      <c r="ASC782" s="268"/>
      <c r="ASD782" s="268"/>
      <c r="ASE782" s="268"/>
      <c r="ASF782" s="268"/>
      <c r="ASG782" s="268"/>
      <c r="ASH782" s="268"/>
      <c r="ASI782" s="268"/>
      <c r="ASJ782" s="268"/>
      <c r="ASK782" s="268"/>
      <c r="ASL782" s="268"/>
      <c r="ASM782" s="268"/>
      <c r="ASN782" s="268"/>
      <c r="ASO782" s="268"/>
      <c r="ASP782" s="268"/>
      <c r="ASQ782" s="268"/>
      <c r="ASR782" s="268"/>
      <c r="ASS782" s="268"/>
      <c r="AST782" s="268"/>
      <c r="ASU782" s="268"/>
      <c r="ASV782" s="268"/>
      <c r="ASW782" s="268"/>
      <c r="ASX782" s="268"/>
      <c r="ASY782" s="268"/>
      <c r="ASZ782" s="268"/>
      <c r="ATA782" s="268"/>
      <c r="ATB782" s="268"/>
      <c r="ATC782" s="268"/>
      <c r="ATD782" s="268"/>
      <c r="ATE782" s="268"/>
      <c r="ATF782" s="268"/>
      <c r="ATG782" s="268"/>
      <c r="ATH782" s="268"/>
      <c r="ATI782" s="268"/>
      <c r="ATJ782" s="268"/>
      <c r="ATK782" s="268"/>
      <c r="ATL782" s="268"/>
      <c r="ATM782" s="268"/>
      <c r="ATN782" s="268"/>
      <c r="ATO782" s="268"/>
      <c r="ATP782" s="268"/>
      <c r="ATQ782" s="268"/>
      <c r="ATR782" s="268"/>
      <c r="ATS782" s="268"/>
      <c r="ATT782" s="268"/>
      <c r="ATU782" s="268"/>
      <c r="ATV782" s="268"/>
      <c r="ATW782" s="268"/>
      <c r="ATX782" s="268"/>
      <c r="ATY782" s="268"/>
      <c r="ATZ782" s="268"/>
      <c r="AUA782" s="268"/>
      <c r="AUB782" s="268"/>
      <c r="AUC782" s="268"/>
      <c r="AUD782" s="268"/>
      <c r="AUE782" s="268"/>
      <c r="AUF782" s="268"/>
      <c r="AUG782" s="268"/>
      <c r="AUH782" s="268"/>
      <c r="AUI782" s="268"/>
      <c r="AUJ782" s="268"/>
      <c r="AUK782" s="268"/>
      <c r="AUL782" s="268"/>
      <c r="AUM782" s="268"/>
      <c r="AUN782" s="268"/>
      <c r="AUO782" s="268"/>
      <c r="AUP782" s="268"/>
      <c r="AUQ782" s="268"/>
      <c r="AUR782" s="268"/>
      <c r="AUS782" s="268"/>
      <c r="AUT782" s="268"/>
      <c r="AUU782" s="268"/>
      <c r="AUV782" s="268"/>
      <c r="AUW782" s="268"/>
      <c r="AUX782" s="268"/>
      <c r="AUY782" s="268"/>
      <c r="AUZ782" s="268"/>
      <c r="AVA782" s="268"/>
      <c r="AVB782" s="268"/>
      <c r="AVC782" s="268"/>
      <c r="AVD782" s="268"/>
      <c r="AVE782" s="268"/>
      <c r="AVF782" s="268"/>
      <c r="AVG782" s="268"/>
      <c r="AVH782" s="268"/>
      <c r="AVI782" s="268"/>
      <c r="AVJ782" s="268"/>
      <c r="AVK782" s="268"/>
      <c r="AVL782" s="268"/>
      <c r="AVM782" s="268"/>
      <c r="AVN782" s="268"/>
      <c r="AVO782" s="268"/>
      <c r="AVP782" s="268"/>
      <c r="AVQ782" s="268"/>
      <c r="AVR782" s="268"/>
      <c r="AVS782" s="268"/>
      <c r="AVT782" s="268"/>
      <c r="AVU782" s="268"/>
      <c r="AVV782" s="268"/>
      <c r="AVW782" s="268"/>
      <c r="AWK782" s="268"/>
      <c r="AWL782" s="268"/>
      <c r="AWM782" s="268"/>
      <c r="AXA782" s="268"/>
      <c r="AXC782" s="268"/>
      <c r="AXD782" s="268"/>
      <c r="AXE782" s="268"/>
      <c r="AXF782" s="268"/>
      <c r="AXG782" s="268"/>
      <c r="AXH782" s="268"/>
      <c r="AXI782" s="268"/>
      <c r="AXJ782" s="268"/>
      <c r="AXK782" s="268"/>
      <c r="AXL782" s="268"/>
      <c r="AXM782" s="268"/>
      <c r="AXN782" s="268"/>
      <c r="AXO782" s="268"/>
      <c r="AXP782" s="268"/>
      <c r="AXQ782" s="268"/>
      <c r="AXR782" s="268"/>
      <c r="AXS782" s="268"/>
      <c r="AXT782" s="268"/>
      <c r="AXU782" s="268"/>
      <c r="AXV782" s="268"/>
      <c r="AXW782" s="268"/>
      <c r="AXX782" s="268"/>
      <c r="AXY782" s="268"/>
      <c r="AXZ782" s="268"/>
      <c r="AYA782" s="268"/>
      <c r="AYB782" s="268"/>
      <c r="AYC782" s="268"/>
      <c r="AYD782" s="268"/>
      <c r="AYE782" s="268"/>
      <c r="AYF782" s="268"/>
      <c r="AYG782" s="268"/>
      <c r="AYH782" s="268"/>
      <c r="AYI782" s="268"/>
      <c r="AYJ782" s="268"/>
      <c r="AYK782" s="268"/>
      <c r="AYL782" s="268"/>
      <c r="AYM782" s="268"/>
      <c r="AYN782" s="268"/>
      <c r="AYO782" s="268"/>
      <c r="AYP782" s="268"/>
      <c r="AYQ782" s="268"/>
      <c r="AYR782" s="268"/>
      <c r="AYS782" s="268"/>
      <c r="AYT782" s="268"/>
      <c r="AYU782" s="268"/>
      <c r="AYV782" s="268"/>
      <c r="AYW782" s="268"/>
      <c r="AYX782" s="268"/>
      <c r="AYY782" s="268"/>
      <c r="AYZ782" s="268"/>
      <c r="AZA782" s="268"/>
      <c r="AZB782" s="268"/>
      <c r="AZC782" s="268"/>
      <c r="AZD782" s="268"/>
      <c r="AZE782" s="268"/>
      <c r="AZF782" s="268"/>
      <c r="AZG782" s="268"/>
      <c r="AZH782" s="268"/>
      <c r="AZI782" s="268"/>
      <c r="AZJ782" s="268"/>
      <c r="AZK782" s="268"/>
      <c r="AZL782" s="268"/>
      <c r="AZM782" s="268"/>
      <c r="AZN782" s="268"/>
      <c r="AZO782" s="268"/>
      <c r="AZP782" s="268"/>
      <c r="AZQ782" s="268"/>
      <c r="AZR782" s="268"/>
      <c r="AZS782" s="268"/>
      <c r="AZT782" s="268"/>
      <c r="AZU782" s="268"/>
      <c r="AZV782" s="268"/>
      <c r="AZW782" s="268"/>
      <c r="AZX782" s="268"/>
      <c r="AZY782" s="268"/>
      <c r="AZZ782" s="268"/>
      <c r="BAA782" s="268"/>
      <c r="BAB782" s="268"/>
      <c r="BAC782" s="268"/>
      <c r="BAD782" s="268"/>
      <c r="BAE782" s="268"/>
      <c r="BAF782" s="268"/>
      <c r="BAG782" s="268"/>
      <c r="BAH782" s="268"/>
      <c r="BAI782" s="268"/>
      <c r="BAJ782" s="268"/>
      <c r="BAK782" s="268"/>
      <c r="BAL782" s="268"/>
      <c r="BAM782" s="268"/>
      <c r="BAN782" s="268"/>
      <c r="BAO782" s="268"/>
      <c r="BAP782" s="268"/>
      <c r="BAQ782" s="268"/>
      <c r="BAR782" s="268"/>
      <c r="BAS782" s="268"/>
      <c r="BAT782" s="268"/>
      <c r="BAU782" s="268"/>
      <c r="BAV782" s="268"/>
      <c r="BAW782" s="268"/>
      <c r="BAX782" s="268"/>
      <c r="BAY782" s="268"/>
      <c r="BAZ782" s="268"/>
      <c r="BBA782" s="268"/>
      <c r="BBB782" s="268"/>
      <c r="BBC782" s="268"/>
      <c r="BBD782" s="268"/>
      <c r="BBE782" s="268"/>
      <c r="BBF782" s="268"/>
      <c r="BBG782" s="268"/>
      <c r="BBH782" s="268"/>
      <c r="BBI782" s="268"/>
      <c r="BBJ782" s="268"/>
      <c r="BBK782" s="268"/>
      <c r="BBL782" s="268"/>
      <c r="BBM782" s="268"/>
      <c r="BBN782" s="268"/>
      <c r="BBO782" s="268"/>
      <c r="BBP782" s="268"/>
      <c r="BBQ782" s="268"/>
      <c r="BBR782" s="268"/>
      <c r="BBS782" s="268"/>
      <c r="BBT782" s="268"/>
      <c r="BBU782" s="268"/>
      <c r="BBV782" s="268"/>
      <c r="BBW782" s="268"/>
      <c r="BBX782" s="268"/>
      <c r="BBY782" s="268"/>
      <c r="BBZ782" s="268"/>
      <c r="BCA782" s="268"/>
      <c r="BCB782" s="268"/>
      <c r="BCC782" s="268"/>
      <c r="BCD782" s="268"/>
      <c r="BCE782" s="268"/>
      <c r="BCF782" s="268"/>
      <c r="BCG782" s="268"/>
      <c r="BCH782" s="268"/>
      <c r="BCI782" s="268"/>
      <c r="BCJ782" s="268"/>
      <c r="BCK782" s="268"/>
      <c r="BCL782" s="268"/>
      <c r="BCM782" s="268"/>
      <c r="BCN782" s="268"/>
      <c r="BCO782" s="268"/>
      <c r="BCP782" s="268"/>
      <c r="BCQ782" s="268"/>
      <c r="BCR782" s="268"/>
      <c r="BCS782" s="268"/>
      <c r="BCT782" s="268"/>
      <c r="BCU782" s="268"/>
      <c r="BCV782" s="268"/>
      <c r="BCW782" s="268"/>
      <c r="BCX782" s="268"/>
      <c r="BCY782" s="268"/>
      <c r="BCZ782" s="268"/>
      <c r="BDA782" s="268"/>
      <c r="BDB782" s="268"/>
      <c r="BDC782" s="268"/>
      <c r="BDD782" s="268"/>
      <c r="BDE782" s="268"/>
      <c r="BDF782" s="268"/>
      <c r="BDG782" s="268"/>
      <c r="BDH782" s="268"/>
      <c r="BDI782" s="268"/>
      <c r="BDJ782" s="268"/>
      <c r="BDK782" s="268"/>
      <c r="BDL782" s="268"/>
      <c r="BDM782" s="268"/>
      <c r="BDN782" s="268"/>
      <c r="BDO782" s="268"/>
      <c r="BDP782" s="268"/>
      <c r="BDQ782" s="268"/>
      <c r="BDR782" s="268"/>
      <c r="BDS782" s="268"/>
      <c r="BDT782" s="268"/>
      <c r="BDU782" s="268"/>
      <c r="BDV782" s="268"/>
      <c r="BDW782" s="268"/>
      <c r="BDX782" s="268"/>
      <c r="BDY782" s="268"/>
      <c r="BDZ782" s="268"/>
      <c r="BEA782" s="268"/>
      <c r="BEB782" s="268"/>
      <c r="BEC782" s="268"/>
      <c r="BED782" s="268"/>
      <c r="BEE782" s="268"/>
      <c r="BEF782" s="268"/>
      <c r="BEG782" s="268"/>
      <c r="BEH782" s="268"/>
      <c r="BEI782" s="268"/>
      <c r="BEJ782" s="268"/>
      <c r="BEK782" s="268"/>
      <c r="BEL782" s="268"/>
      <c r="BEM782" s="268"/>
      <c r="BEN782" s="268"/>
      <c r="BEO782" s="268"/>
      <c r="BEP782" s="268"/>
      <c r="BEQ782" s="268"/>
      <c r="BER782" s="268"/>
      <c r="BES782" s="268"/>
      <c r="BET782" s="268"/>
      <c r="BEU782" s="268"/>
      <c r="BEV782" s="268"/>
      <c r="BEW782" s="268"/>
      <c r="BEX782" s="268"/>
      <c r="BEY782" s="268"/>
      <c r="BEZ782" s="268"/>
      <c r="BFA782" s="268"/>
      <c r="BFB782" s="268"/>
      <c r="BFC782" s="268"/>
      <c r="BFD782" s="268"/>
      <c r="BFE782" s="268"/>
      <c r="BFF782" s="268"/>
      <c r="BFG782" s="268"/>
      <c r="BFH782" s="268"/>
      <c r="BFI782" s="268"/>
      <c r="BFJ782" s="268"/>
      <c r="BFK782" s="268"/>
      <c r="BFL782" s="268"/>
      <c r="BFM782" s="268"/>
      <c r="BFN782" s="268"/>
      <c r="BFO782" s="268"/>
      <c r="BFP782" s="268"/>
      <c r="BFQ782" s="268"/>
      <c r="BFR782" s="268"/>
      <c r="BFS782" s="268"/>
      <c r="BGG782" s="268"/>
      <c r="BGH782" s="268"/>
      <c r="BGI782" s="268"/>
      <c r="BGW782" s="268"/>
      <c r="BGY782" s="268"/>
      <c r="BGZ782" s="268"/>
      <c r="BHA782" s="268"/>
      <c r="BHB782" s="268"/>
      <c r="BHC782" s="268"/>
      <c r="BHD782" s="268"/>
      <c r="BHE782" s="268"/>
      <c r="BHF782" s="268"/>
      <c r="BHG782" s="268"/>
      <c r="BHH782" s="268"/>
      <c r="BHI782" s="268"/>
      <c r="BHJ782" s="268"/>
      <c r="BHK782" s="268"/>
      <c r="BHL782" s="268"/>
      <c r="BHM782" s="268"/>
      <c r="BHN782" s="268"/>
      <c r="BHO782" s="268"/>
      <c r="BHP782" s="268"/>
      <c r="BHQ782" s="268"/>
      <c r="BHR782" s="268"/>
      <c r="BHS782" s="268"/>
      <c r="BHT782" s="268"/>
      <c r="BHU782" s="268"/>
      <c r="BHV782" s="268"/>
      <c r="BHW782" s="268"/>
      <c r="BHX782" s="268"/>
      <c r="BHY782" s="268"/>
      <c r="BHZ782" s="268"/>
      <c r="BIA782" s="268"/>
      <c r="BIB782" s="268"/>
      <c r="BIC782" s="268"/>
      <c r="BID782" s="268"/>
      <c r="BIE782" s="268"/>
      <c r="BIF782" s="268"/>
      <c r="BIG782" s="268"/>
      <c r="BIH782" s="268"/>
      <c r="BII782" s="268"/>
      <c r="BIJ782" s="268"/>
      <c r="BIK782" s="268"/>
      <c r="BIL782" s="268"/>
      <c r="BIM782" s="268"/>
      <c r="BIN782" s="268"/>
      <c r="BIO782" s="268"/>
      <c r="BIP782" s="268"/>
      <c r="BIQ782" s="268"/>
      <c r="BIR782" s="268"/>
      <c r="BIS782" s="268"/>
      <c r="BIT782" s="268"/>
      <c r="BIU782" s="268"/>
      <c r="BIV782" s="268"/>
      <c r="BIW782" s="268"/>
      <c r="BIX782" s="268"/>
      <c r="BIY782" s="268"/>
      <c r="BIZ782" s="268"/>
      <c r="BJA782" s="268"/>
      <c r="BJB782" s="268"/>
      <c r="BJC782" s="268"/>
      <c r="BJD782" s="268"/>
      <c r="BJE782" s="268"/>
      <c r="BJF782" s="268"/>
      <c r="BJG782" s="268"/>
      <c r="BJH782" s="268"/>
      <c r="BJI782" s="268"/>
      <c r="BJJ782" s="268"/>
      <c r="BJK782" s="268"/>
      <c r="BJL782" s="268"/>
      <c r="BJM782" s="268"/>
      <c r="BJN782" s="268"/>
      <c r="BJO782" s="268"/>
      <c r="BJP782" s="268"/>
      <c r="BJQ782" s="268"/>
      <c r="BJR782" s="268"/>
      <c r="BJS782" s="268"/>
      <c r="BJT782" s="268"/>
      <c r="BJU782" s="268"/>
      <c r="BJV782" s="268"/>
      <c r="BJW782" s="268"/>
      <c r="BJX782" s="268"/>
      <c r="BJY782" s="268"/>
      <c r="BJZ782" s="268"/>
      <c r="BKA782" s="268"/>
      <c r="BKB782" s="268"/>
      <c r="BKC782" s="268"/>
      <c r="BKD782" s="268"/>
      <c r="BKE782" s="268"/>
      <c r="BKF782" s="268"/>
      <c r="BKG782" s="268"/>
      <c r="BKH782" s="268"/>
      <c r="BKI782" s="268"/>
      <c r="BKJ782" s="268"/>
      <c r="BKK782" s="268"/>
      <c r="BKL782" s="268"/>
      <c r="BKM782" s="268"/>
      <c r="BKN782" s="268"/>
      <c r="BKO782" s="268"/>
      <c r="BKP782" s="268"/>
      <c r="BKQ782" s="268"/>
      <c r="BKR782" s="268"/>
      <c r="BKS782" s="268"/>
      <c r="BKT782" s="268"/>
      <c r="BKU782" s="268"/>
      <c r="BKV782" s="268"/>
      <c r="BKW782" s="268"/>
      <c r="BKX782" s="268"/>
      <c r="BKY782" s="268"/>
      <c r="BKZ782" s="268"/>
      <c r="BLA782" s="268"/>
      <c r="BLB782" s="268"/>
      <c r="BLC782" s="268"/>
      <c r="BLD782" s="268"/>
      <c r="BLE782" s="268"/>
      <c r="BLF782" s="268"/>
      <c r="BLG782" s="268"/>
      <c r="BLH782" s="268"/>
      <c r="BLI782" s="268"/>
      <c r="BLJ782" s="268"/>
      <c r="BLK782" s="268"/>
      <c r="BLL782" s="268"/>
      <c r="BLM782" s="268"/>
      <c r="BLN782" s="268"/>
      <c r="BLO782" s="268"/>
      <c r="BLP782" s="268"/>
      <c r="BLQ782" s="268"/>
      <c r="BLR782" s="268"/>
      <c r="BLS782" s="268"/>
      <c r="BLT782" s="268"/>
      <c r="BLU782" s="268"/>
      <c r="BLV782" s="268"/>
      <c r="BLW782" s="268"/>
      <c r="BLX782" s="268"/>
      <c r="BLY782" s="268"/>
      <c r="BLZ782" s="268"/>
      <c r="BMA782" s="268"/>
      <c r="BMB782" s="268"/>
      <c r="BMC782" s="268"/>
      <c r="BMD782" s="268"/>
      <c r="BME782" s="268"/>
      <c r="BMF782" s="268"/>
      <c r="BMG782" s="268"/>
      <c r="BMH782" s="268"/>
      <c r="BMI782" s="268"/>
      <c r="BMJ782" s="268"/>
      <c r="BMK782" s="268"/>
      <c r="BML782" s="268"/>
      <c r="BMM782" s="268"/>
      <c r="BMN782" s="268"/>
      <c r="BMO782" s="268"/>
      <c r="BMP782" s="268"/>
      <c r="BMQ782" s="268"/>
      <c r="BMR782" s="268"/>
      <c r="BMS782" s="268"/>
      <c r="BMT782" s="268"/>
      <c r="BMU782" s="268"/>
      <c r="BMV782" s="268"/>
      <c r="BMW782" s="268"/>
      <c r="BMX782" s="268"/>
      <c r="BMY782" s="268"/>
      <c r="BMZ782" s="268"/>
      <c r="BNA782" s="268"/>
      <c r="BNB782" s="268"/>
      <c r="BNC782" s="268"/>
      <c r="BND782" s="268"/>
      <c r="BNE782" s="268"/>
      <c r="BNF782" s="268"/>
      <c r="BNG782" s="268"/>
      <c r="BNH782" s="268"/>
      <c r="BNI782" s="268"/>
      <c r="BNJ782" s="268"/>
      <c r="BNK782" s="268"/>
      <c r="BNL782" s="268"/>
      <c r="BNM782" s="268"/>
      <c r="BNN782" s="268"/>
      <c r="BNO782" s="268"/>
      <c r="BNP782" s="268"/>
      <c r="BNQ782" s="268"/>
      <c r="BNR782" s="268"/>
      <c r="BNS782" s="268"/>
      <c r="BNT782" s="268"/>
      <c r="BNU782" s="268"/>
      <c r="BNV782" s="268"/>
      <c r="BNW782" s="268"/>
      <c r="BNX782" s="268"/>
      <c r="BNY782" s="268"/>
      <c r="BNZ782" s="268"/>
      <c r="BOA782" s="268"/>
      <c r="BOB782" s="268"/>
      <c r="BOC782" s="268"/>
      <c r="BOD782" s="268"/>
      <c r="BOE782" s="268"/>
      <c r="BOF782" s="268"/>
      <c r="BOG782" s="268"/>
      <c r="BOH782" s="268"/>
      <c r="BOI782" s="268"/>
      <c r="BOJ782" s="268"/>
      <c r="BOK782" s="268"/>
      <c r="BOL782" s="268"/>
      <c r="BOM782" s="268"/>
      <c r="BON782" s="268"/>
      <c r="BOO782" s="268"/>
      <c r="BOP782" s="268"/>
      <c r="BOQ782" s="268"/>
      <c r="BOR782" s="268"/>
      <c r="BOS782" s="268"/>
      <c r="BOT782" s="268"/>
      <c r="BOU782" s="268"/>
      <c r="BOV782" s="268"/>
      <c r="BOW782" s="268"/>
      <c r="BOX782" s="268"/>
      <c r="BOY782" s="268"/>
      <c r="BOZ782" s="268"/>
      <c r="BPA782" s="268"/>
      <c r="BPB782" s="268"/>
      <c r="BPC782" s="268"/>
      <c r="BPD782" s="268"/>
      <c r="BPE782" s="268"/>
      <c r="BPF782" s="268"/>
      <c r="BPG782" s="268"/>
      <c r="BPH782" s="268"/>
      <c r="BPI782" s="268"/>
      <c r="BPJ782" s="268"/>
      <c r="BPK782" s="268"/>
      <c r="BPL782" s="268"/>
      <c r="BPM782" s="268"/>
      <c r="BPN782" s="268"/>
      <c r="BPO782" s="268"/>
      <c r="BQC782" s="268"/>
      <c r="BQD782" s="268"/>
      <c r="BQE782" s="268"/>
      <c r="BQS782" s="268"/>
      <c r="BQU782" s="268"/>
      <c r="BQV782" s="268"/>
      <c r="BQW782" s="268"/>
      <c r="BQX782" s="268"/>
      <c r="BQY782" s="268"/>
      <c r="BQZ782" s="268"/>
      <c r="BRA782" s="268"/>
      <c r="BRB782" s="268"/>
      <c r="BRC782" s="268"/>
      <c r="BRD782" s="268"/>
      <c r="BRE782" s="268"/>
      <c r="BRF782" s="268"/>
      <c r="BRG782" s="268"/>
      <c r="BRH782" s="268"/>
      <c r="BRI782" s="268"/>
      <c r="BRJ782" s="268"/>
      <c r="BRK782" s="268"/>
      <c r="BRL782" s="268"/>
      <c r="BRM782" s="268"/>
      <c r="BRN782" s="268"/>
      <c r="BRO782" s="268"/>
      <c r="BRP782" s="268"/>
      <c r="BRQ782" s="268"/>
      <c r="BRR782" s="268"/>
      <c r="BRS782" s="268"/>
      <c r="BRT782" s="268"/>
      <c r="BRU782" s="268"/>
      <c r="BRV782" s="268"/>
      <c r="BRW782" s="268"/>
      <c r="BRX782" s="268"/>
      <c r="BRY782" s="268"/>
      <c r="BRZ782" s="268"/>
      <c r="BSA782" s="268"/>
      <c r="BSB782" s="268"/>
      <c r="BSC782" s="268"/>
      <c r="BSD782" s="268"/>
      <c r="BSE782" s="268"/>
      <c r="BSF782" s="268"/>
      <c r="BSG782" s="268"/>
      <c r="BSH782" s="268"/>
      <c r="BSI782" s="268"/>
      <c r="BSJ782" s="268"/>
      <c r="BSK782" s="268"/>
      <c r="BSL782" s="268"/>
      <c r="BSM782" s="268"/>
      <c r="BSN782" s="268"/>
      <c r="BSO782" s="268"/>
      <c r="BSP782" s="268"/>
      <c r="BSQ782" s="268"/>
      <c r="BSR782" s="268"/>
      <c r="BSS782" s="268"/>
      <c r="BST782" s="268"/>
      <c r="BSU782" s="268"/>
      <c r="BSV782" s="268"/>
      <c r="BSW782" s="268"/>
      <c r="BSX782" s="268"/>
      <c r="BSY782" s="268"/>
      <c r="BSZ782" s="268"/>
      <c r="BTA782" s="268"/>
      <c r="BTB782" s="268"/>
      <c r="BTC782" s="268"/>
      <c r="BTD782" s="268"/>
      <c r="BTE782" s="268"/>
      <c r="BTF782" s="268"/>
      <c r="BTG782" s="268"/>
      <c r="BTH782" s="268"/>
      <c r="BTI782" s="268"/>
      <c r="BTJ782" s="268"/>
      <c r="BTK782" s="268"/>
      <c r="BTL782" s="268"/>
      <c r="BTM782" s="268"/>
      <c r="BTN782" s="268"/>
      <c r="BTO782" s="268"/>
      <c r="BTP782" s="268"/>
      <c r="BTQ782" s="268"/>
      <c r="BTR782" s="268"/>
      <c r="BTS782" s="268"/>
      <c r="BTT782" s="268"/>
      <c r="BTU782" s="268"/>
      <c r="BTV782" s="268"/>
      <c r="BTW782" s="268"/>
      <c r="BTX782" s="268"/>
      <c r="BTY782" s="268"/>
      <c r="BTZ782" s="268"/>
      <c r="BUA782" s="268"/>
      <c r="BUB782" s="268"/>
      <c r="BUC782" s="268"/>
      <c r="BUD782" s="268"/>
      <c r="BUE782" s="268"/>
      <c r="BUF782" s="268"/>
      <c r="BUG782" s="268"/>
      <c r="BUH782" s="268"/>
      <c r="BUI782" s="268"/>
      <c r="BUJ782" s="268"/>
      <c r="BUK782" s="268"/>
      <c r="BUL782" s="268"/>
      <c r="BUM782" s="268"/>
      <c r="BUN782" s="268"/>
      <c r="BUO782" s="268"/>
      <c r="BUP782" s="268"/>
      <c r="BUQ782" s="268"/>
      <c r="BUR782" s="268"/>
      <c r="BUS782" s="268"/>
      <c r="BUT782" s="268"/>
      <c r="BUU782" s="268"/>
      <c r="BUV782" s="268"/>
      <c r="BUW782" s="268"/>
      <c r="BUX782" s="268"/>
      <c r="BUY782" s="268"/>
      <c r="BUZ782" s="268"/>
      <c r="BVA782" s="268"/>
      <c r="BVB782" s="268"/>
      <c r="BVC782" s="268"/>
      <c r="BVD782" s="268"/>
      <c r="BVE782" s="268"/>
      <c r="BVF782" s="268"/>
      <c r="BVG782" s="268"/>
      <c r="BVH782" s="268"/>
      <c r="BVI782" s="268"/>
      <c r="BVJ782" s="268"/>
      <c r="BVK782" s="268"/>
      <c r="BVL782" s="268"/>
      <c r="BVM782" s="268"/>
      <c r="BVN782" s="268"/>
      <c r="BVO782" s="268"/>
      <c r="BVP782" s="268"/>
      <c r="BVQ782" s="268"/>
      <c r="BVR782" s="268"/>
      <c r="BVS782" s="268"/>
      <c r="BVT782" s="268"/>
      <c r="BVU782" s="268"/>
      <c r="BVV782" s="268"/>
      <c r="BVW782" s="268"/>
      <c r="BVX782" s="268"/>
      <c r="BVY782" s="268"/>
      <c r="BVZ782" s="268"/>
      <c r="BWA782" s="268"/>
      <c r="BWB782" s="268"/>
      <c r="BWC782" s="268"/>
      <c r="BWD782" s="268"/>
      <c r="BWE782" s="268"/>
      <c r="BWF782" s="268"/>
      <c r="BWG782" s="268"/>
      <c r="BWH782" s="268"/>
      <c r="BWI782" s="268"/>
      <c r="BWJ782" s="268"/>
      <c r="BWK782" s="268"/>
      <c r="BWL782" s="268"/>
      <c r="BWM782" s="268"/>
      <c r="BWN782" s="268"/>
      <c r="BWO782" s="268"/>
      <c r="BWP782" s="268"/>
      <c r="BWQ782" s="268"/>
      <c r="BWR782" s="268"/>
      <c r="BWS782" s="268"/>
      <c r="BWT782" s="268"/>
      <c r="BWU782" s="268"/>
      <c r="BWV782" s="268"/>
      <c r="BWW782" s="268"/>
      <c r="BWX782" s="268"/>
      <c r="BWY782" s="268"/>
      <c r="BWZ782" s="268"/>
      <c r="BXA782" s="268"/>
      <c r="BXB782" s="268"/>
      <c r="BXC782" s="268"/>
      <c r="BXD782" s="268"/>
      <c r="BXE782" s="268"/>
      <c r="BXF782" s="268"/>
      <c r="BXG782" s="268"/>
      <c r="BXH782" s="268"/>
      <c r="BXI782" s="268"/>
      <c r="BXJ782" s="268"/>
      <c r="BXK782" s="268"/>
      <c r="BXL782" s="268"/>
      <c r="BXM782" s="268"/>
      <c r="BXN782" s="268"/>
      <c r="BXO782" s="268"/>
      <c r="BXP782" s="268"/>
      <c r="BXQ782" s="268"/>
      <c r="BXR782" s="268"/>
      <c r="BXS782" s="268"/>
      <c r="BXT782" s="268"/>
      <c r="BXU782" s="268"/>
      <c r="BXV782" s="268"/>
      <c r="BXW782" s="268"/>
      <c r="BXX782" s="268"/>
      <c r="BXY782" s="268"/>
      <c r="BXZ782" s="268"/>
      <c r="BYA782" s="268"/>
      <c r="BYB782" s="268"/>
      <c r="BYC782" s="268"/>
      <c r="BYD782" s="268"/>
      <c r="BYE782" s="268"/>
      <c r="BYF782" s="268"/>
      <c r="BYG782" s="268"/>
      <c r="BYH782" s="268"/>
      <c r="BYI782" s="268"/>
      <c r="BYJ782" s="268"/>
      <c r="BYK782" s="268"/>
      <c r="BYL782" s="268"/>
      <c r="BYM782" s="268"/>
      <c r="BYN782" s="268"/>
      <c r="BYO782" s="268"/>
      <c r="BYP782" s="268"/>
      <c r="BYQ782" s="268"/>
      <c r="BYR782" s="268"/>
      <c r="BYS782" s="268"/>
      <c r="BYT782" s="268"/>
      <c r="BYU782" s="268"/>
      <c r="BYV782" s="268"/>
      <c r="BYW782" s="268"/>
      <c r="BYX782" s="268"/>
      <c r="BYY782" s="268"/>
      <c r="BYZ782" s="268"/>
      <c r="BZA782" s="268"/>
      <c r="BZB782" s="268"/>
      <c r="BZC782" s="268"/>
      <c r="BZD782" s="268"/>
      <c r="BZE782" s="268"/>
      <c r="BZF782" s="268"/>
      <c r="BZG782" s="268"/>
      <c r="BZH782" s="268"/>
      <c r="BZI782" s="268"/>
      <c r="BZJ782" s="268"/>
      <c r="BZK782" s="268"/>
      <c r="BZY782" s="268"/>
      <c r="BZZ782" s="268"/>
      <c r="CAA782" s="268"/>
      <c r="CAO782" s="268"/>
      <c r="CAQ782" s="268"/>
      <c r="CAR782" s="268"/>
      <c r="CAS782" s="268"/>
      <c r="CAT782" s="268"/>
      <c r="CAU782" s="268"/>
      <c r="CAV782" s="268"/>
      <c r="CAW782" s="268"/>
      <c r="CAX782" s="268"/>
      <c r="CAY782" s="268"/>
      <c r="CAZ782" s="268"/>
      <c r="CBA782" s="268"/>
      <c r="CBB782" s="268"/>
      <c r="CBC782" s="268"/>
      <c r="CBD782" s="268"/>
      <c r="CBE782" s="268"/>
      <c r="CBF782" s="268"/>
      <c r="CBG782" s="268"/>
      <c r="CBH782" s="268"/>
      <c r="CBI782" s="268"/>
      <c r="CBJ782" s="268"/>
      <c r="CBK782" s="268"/>
      <c r="CBL782" s="268"/>
      <c r="CBM782" s="268"/>
      <c r="CBN782" s="268"/>
      <c r="CBO782" s="268"/>
      <c r="CBP782" s="268"/>
      <c r="CBQ782" s="268"/>
      <c r="CBR782" s="268"/>
      <c r="CBS782" s="268"/>
      <c r="CBT782" s="268"/>
      <c r="CBU782" s="268"/>
      <c r="CBV782" s="268"/>
      <c r="CBW782" s="268"/>
      <c r="CBX782" s="268"/>
      <c r="CBY782" s="268"/>
      <c r="CBZ782" s="268"/>
      <c r="CCA782" s="268"/>
      <c r="CCB782" s="268"/>
      <c r="CCC782" s="268"/>
      <c r="CCD782" s="268"/>
      <c r="CCE782" s="268"/>
      <c r="CCF782" s="268"/>
      <c r="CCG782" s="268"/>
      <c r="CCH782" s="268"/>
      <c r="CCI782" s="268"/>
      <c r="CCJ782" s="268"/>
      <c r="CCK782" s="268"/>
      <c r="CCL782" s="268"/>
      <c r="CCM782" s="268"/>
      <c r="CCN782" s="268"/>
      <c r="CCO782" s="268"/>
      <c r="CCP782" s="268"/>
      <c r="CCQ782" s="268"/>
      <c r="CCR782" s="268"/>
      <c r="CCS782" s="268"/>
      <c r="CCT782" s="268"/>
      <c r="CCU782" s="268"/>
      <c r="CCV782" s="268"/>
      <c r="CCW782" s="268"/>
      <c r="CCX782" s="268"/>
      <c r="CCY782" s="268"/>
      <c r="CCZ782" s="268"/>
      <c r="CDA782" s="268"/>
      <c r="CDB782" s="268"/>
      <c r="CDC782" s="268"/>
      <c r="CDD782" s="268"/>
      <c r="CDE782" s="268"/>
      <c r="CDF782" s="268"/>
      <c r="CDG782" s="268"/>
      <c r="CDH782" s="268"/>
      <c r="CDI782" s="268"/>
      <c r="CDJ782" s="268"/>
      <c r="CDK782" s="268"/>
      <c r="CDL782" s="268"/>
      <c r="CDM782" s="268"/>
      <c r="CDN782" s="268"/>
      <c r="CDO782" s="268"/>
      <c r="CDP782" s="268"/>
      <c r="CDQ782" s="268"/>
      <c r="CDR782" s="268"/>
      <c r="CDS782" s="268"/>
      <c r="CDT782" s="268"/>
      <c r="CDU782" s="268"/>
      <c r="CDV782" s="268"/>
      <c r="CDW782" s="268"/>
      <c r="CDX782" s="268"/>
      <c r="CDY782" s="268"/>
      <c r="CDZ782" s="268"/>
      <c r="CEA782" s="268"/>
      <c r="CEB782" s="268"/>
      <c r="CEC782" s="268"/>
      <c r="CED782" s="268"/>
      <c r="CEE782" s="268"/>
      <c r="CEF782" s="268"/>
      <c r="CEG782" s="268"/>
      <c r="CEH782" s="268"/>
      <c r="CEI782" s="268"/>
      <c r="CEJ782" s="268"/>
      <c r="CEK782" s="268"/>
      <c r="CEL782" s="268"/>
      <c r="CEM782" s="268"/>
      <c r="CEN782" s="268"/>
      <c r="CEO782" s="268"/>
      <c r="CEP782" s="268"/>
      <c r="CEQ782" s="268"/>
      <c r="CER782" s="268"/>
      <c r="CES782" s="268"/>
      <c r="CET782" s="268"/>
      <c r="CEU782" s="268"/>
      <c r="CEV782" s="268"/>
      <c r="CEW782" s="268"/>
      <c r="CEX782" s="268"/>
      <c r="CEY782" s="268"/>
      <c r="CEZ782" s="268"/>
      <c r="CFA782" s="268"/>
      <c r="CFB782" s="268"/>
      <c r="CFC782" s="268"/>
      <c r="CFD782" s="268"/>
      <c r="CFE782" s="268"/>
      <c r="CFF782" s="268"/>
      <c r="CFG782" s="268"/>
      <c r="CFH782" s="268"/>
      <c r="CFI782" s="268"/>
      <c r="CFJ782" s="268"/>
      <c r="CFK782" s="268"/>
      <c r="CFL782" s="268"/>
      <c r="CFM782" s="268"/>
      <c r="CFN782" s="268"/>
      <c r="CFO782" s="268"/>
      <c r="CFP782" s="268"/>
      <c r="CFQ782" s="268"/>
      <c r="CFR782" s="268"/>
      <c r="CFS782" s="268"/>
      <c r="CFT782" s="268"/>
      <c r="CFU782" s="268"/>
      <c r="CFV782" s="268"/>
      <c r="CFW782" s="268"/>
      <c r="CFX782" s="268"/>
      <c r="CFY782" s="268"/>
      <c r="CFZ782" s="268"/>
      <c r="CGA782" s="268"/>
      <c r="CGB782" s="268"/>
      <c r="CGC782" s="268"/>
      <c r="CGD782" s="268"/>
      <c r="CGE782" s="268"/>
      <c r="CGF782" s="268"/>
      <c r="CGG782" s="268"/>
      <c r="CGH782" s="268"/>
      <c r="CGI782" s="268"/>
      <c r="CGJ782" s="268"/>
      <c r="CGK782" s="268"/>
      <c r="CGL782" s="268"/>
      <c r="CGM782" s="268"/>
      <c r="CGN782" s="268"/>
      <c r="CGO782" s="268"/>
      <c r="CGP782" s="268"/>
      <c r="CGQ782" s="268"/>
      <c r="CGR782" s="268"/>
      <c r="CGS782" s="268"/>
      <c r="CGT782" s="268"/>
      <c r="CGU782" s="268"/>
      <c r="CGV782" s="268"/>
      <c r="CGW782" s="268"/>
      <c r="CGX782" s="268"/>
      <c r="CGY782" s="268"/>
      <c r="CGZ782" s="268"/>
      <c r="CHA782" s="268"/>
      <c r="CHB782" s="268"/>
      <c r="CHC782" s="268"/>
      <c r="CHD782" s="268"/>
      <c r="CHE782" s="268"/>
      <c r="CHF782" s="268"/>
      <c r="CHG782" s="268"/>
      <c r="CHH782" s="268"/>
      <c r="CHI782" s="268"/>
      <c r="CHJ782" s="268"/>
      <c r="CHK782" s="268"/>
      <c r="CHL782" s="268"/>
      <c r="CHM782" s="268"/>
      <c r="CHN782" s="268"/>
      <c r="CHO782" s="268"/>
      <c r="CHP782" s="268"/>
      <c r="CHQ782" s="268"/>
      <c r="CHR782" s="268"/>
      <c r="CHS782" s="268"/>
      <c r="CHT782" s="268"/>
      <c r="CHU782" s="268"/>
      <c r="CHV782" s="268"/>
      <c r="CHW782" s="268"/>
      <c r="CHX782" s="268"/>
      <c r="CHY782" s="268"/>
      <c r="CHZ782" s="268"/>
      <c r="CIA782" s="268"/>
      <c r="CIB782" s="268"/>
      <c r="CIC782" s="268"/>
      <c r="CID782" s="268"/>
      <c r="CIE782" s="268"/>
      <c r="CIF782" s="268"/>
      <c r="CIG782" s="268"/>
      <c r="CIH782" s="268"/>
      <c r="CII782" s="268"/>
      <c r="CIJ782" s="268"/>
      <c r="CIK782" s="268"/>
      <c r="CIL782" s="268"/>
      <c r="CIM782" s="268"/>
      <c r="CIN782" s="268"/>
      <c r="CIO782" s="268"/>
      <c r="CIP782" s="268"/>
      <c r="CIQ782" s="268"/>
      <c r="CIR782" s="268"/>
      <c r="CIS782" s="268"/>
      <c r="CIT782" s="268"/>
      <c r="CIU782" s="268"/>
      <c r="CIV782" s="268"/>
      <c r="CIW782" s="268"/>
      <c r="CIX782" s="268"/>
      <c r="CIY782" s="268"/>
      <c r="CIZ782" s="268"/>
      <c r="CJA782" s="268"/>
      <c r="CJB782" s="268"/>
      <c r="CJC782" s="268"/>
      <c r="CJD782" s="268"/>
      <c r="CJE782" s="268"/>
      <c r="CJF782" s="268"/>
      <c r="CJG782" s="268"/>
      <c r="CJU782" s="268"/>
      <c r="CJV782" s="268"/>
      <c r="CJW782" s="268"/>
      <c r="CKK782" s="268"/>
      <c r="CKM782" s="268"/>
      <c r="CKN782" s="268"/>
      <c r="CKO782" s="268"/>
      <c r="CKP782" s="268"/>
      <c r="CKQ782" s="268"/>
      <c r="CKR782" s="268"/>
      <c r="CKS782" s="268"/>
      <c r="CKT782" s="268"/>
      <c r="CKU782" s="268"/>
      <c r="CKV782" s="268"/>
      <c r="CKW782" s="268"/>
      <c r="CKX782" s="268"/>
      <c r="CKY782" s="268"/>
      <c r="CKZ782" s="268"/>
      <c r="CLA782" s="268"/>
      <c r="CLB782" s="268"/>
      <c r="CLC782" s="268"/>
      <c r="CLD782" s="268"/>
      <c r="CLE782" s="268"/>
      <c r="CLF782" s="268"/>
      <c r="CLG782" s="268"/>
      <c r="CLH782" s="268"/>
      <c r="CLI782" s="268"/>
      <c r="CLJ782" s="268"/>
      <c r="CLK782" s="268"/>
      <c r="CLL782" s="268"/>
      <c r="CLM782" s="268"/>
      <c r="CLN782" s="268"/>
      <c r="CLO782" s="268"/>
      <c r="CLP782" s="268"/>
      <c r="CLQ782" s="268"/>
      <c r="CLR782" s="268"/>
      <c r="CLS782" s="268"/>
      <c r="CLT782" s="268"/>
      <c r="CLU782" s="268"/>
      <c r="CLV782" s="268"/>
      <c r="CLW782" s="268"/>
      <c r="CLX782" s="268"/>
      <c r="CLY782" s="268"/>
      <c r="CLZ782" s="268"/>
      <c r="CMA782" s="268"/>
      <c r="CMB782" s="268"/>
      <c r="CMC782" s="268"/>
      <c r="CMD782" s="268"/>
      <c r="CME782" s="268"/>
      <c r="CMF782" s="268"/>
      <c r="CMG782" s="268"/>
      <c r="CMH782" s="268"/>
      <c r="CMI782" s="268"/>
      <c r="CMJ782" s="268"/>
      <c r="CMK782" s="268"/>
      <c r="CML782" s="268"/>
      <c r="CMM782" s="268"/>
      <c r="CMN782" s="268"/>
      <c r="CMO782" s="268"/>
      <c r="CMP782" s="268"/>
      <c r="CMQ782" s="268"/>
      <c r="CMR782" s="268"/>
      <c r="CMS782" s="268"/>
      <c r="CMT782" s="268"/>
      <c r="CMU782" s="268"/>
      <c r="CMV782" s="268"/>
      <c r="CMW782" s="268"/>
      <c r="CMX782" s="268"/>
      <c r="CMY782" s="268"/>
      <c r="CMZ782" s="268"/>
      <c r="CNA782" s="268"/>
      <c r="CNB782" s="268"/>
      <c r="CNC782" s="268"/>
      <c r="CND782" s="268"/>
      <c r="CNE782" s="268"/>
      <c r="CNF782" s="268"/>
      <c r="CNG782" s="268"/>
      <c r="CNH782" s="268"/>
      <c r="CNI782" s="268"/>
      <c r="CNJ782" s="268"/>
      <c r="CNK782" s="268"/>
      <c r="CNL782" s="268"/>
      <c r="CNM782" s="268"/>
      <c r="CNN782" s="268"/>
      <c r="CNO782" s="268"/>
      <c r="CNP782" s="268"/>
      <c r="CNQ782" s="268"/>
      <c r="CNR782" s="268"/>
      <c r="CNS782" s="268"/>
      <c r="CNT782" s="268"/>
      <c r="CNU782" s="268"/>
      <c r="CNV782" s="268"/>
      <c r="CNW782" s="268"/>
      <c r="CNX782" s="268"/>
      <c r="CNY782" s="268"/>
      <c r="CNZ782" s="268"/>
      <c r="COA782" s="268"/>
      <c r="COB782" s="268"/>
      <c r="COC782" s="268"/>
      <c r="COD782" s="268"/>
      <c r="COE782" s="268"/>
      <c r="COF782" s="268"/>
      <c r="COG782" s="268"/>
      <c r="COH782" s="268"/>
      <c r="COI782" s="268"/>
      <c r="COJ782" s="268"/>
      <c r="COK782" s="268"/>
      <c r="COL782" s="268"/>
      <c r="COM782" s="268"/>
      <c r="CON782" s="268"/>
      <c r="COO782" s="268"/>
      <c r="COP782" s="268"/>
      <c r="COQ782" s="268"/>
      <c r="COR782" s="268"/>
      <c r="COS782" s="268"/>
      <c r="COT782" s="268"/>
      <c r="COU782" s="268"/>
      <c r="COV782" s="268"/>
      <c r="COW782" s="268"/>
      <c r="COX782" s="268"/>
      <c r="COY782" s="268"/>
      <c r="COZ782" s="268"/>
      <c r="CPA782" s="268"/>
      <c r="CPB782" s="268"/>
      <c r="CPC782" s="268"/>
      <c r="CPD782" s="268"/>
      <c r="CPE782" s="268"/>
      <c r="CPF782" s="268"/>
      <c r="CPG782" s="268"/>
      <c r="CPH782" s="268"/>
      <c r="CPI782" s="268"/>
      <c r="CPJ782" s="268"/>
      <c r="CPK782" s="268"/>
      <c r="CPL782" s="268"/>
      <c r="CPM782" s="268"/>
      <c r="CPN782" s="268"/>
      <c r="CPO782" s="268"/>
      <c r="CPP782" s="268"/>
      <c r="CPQ782" s="268"/>
      <c r="CPR782" s="268"/>
      <c r="CPS782" s="268"/>
      <c r="CPT782" s="268"/>
      <c r="CPU782" s="268"/>
      <c r="CPV782" s="268"/>
      <c r="CPW782" s="268"/>
      <c r="CPX782" s="268"/>
      <c r="CPY782" s="268"/>
      <c r="CPZ782" s="268"/>
      <c r="CQA782" s="268"/>
      <c r="CQB782" s="268"/>
      <c r="CQC782" s="268"/>
      <c r="CQD782" s="268"/>
      <c r="CQE782" s="268"/>
      <c r="CQF782" s="268"/>
      <c r="CQG782" s="268"/>
      <c r="CQH782" s="268"/>
      <c r="CQI782" s="268"/>
      <c r="CQJ782" s="268"/>
      <c r="CQK782" s="268"/>
      <c r="CQL782" s="268"/>
      <c r="CQM782" s="268"/>
      <c r="CQN782" s="268"/>
      <c r="CQO782" s="268"/>
      <c r="CQP782" s="268"/>
      <c r="CQQ782" s="268"/>
      <c r="CQR782" s="268"/>
      <c r="CQS782" s="268"/>
      <c r="CQT782" s="268"/>
      <c r="CQU782" s="268"/>
      <c r="CQV782" s="268"/>
      <c r="CQW782" s="268"/>
      <c r="CQX782" s="268"/>
      <c r="CQY782" s="268"/>
      <c r="CQZ782" s="268"/>
      <c r="CRA782" s="268"/>
      <c r="CRB782" s="268"/>
      <c r="CRC782" s="268"/>
      <c r="CRD782" s="268"/>
      <c r="CRE782" s="268"/>
      <c r="CRF782" s="268"/>
      <c r="CRG782" s="268"/>
      <c r="CRH782" s="268"/>
      <c r="CRI782" s="268"/>
      <c r="CRJ782" s="268"/>
      <c r="CRK782" s="268"/>
      <c r="CRL782" s="268"/>
      <c r="CRM782" s="268"/>
      <c r="CRN782" s="268"/>
      <c r="CRO782" s="268"/>
      <c r="CRP782" s="268"/>
      <c r="CRQ782" s="268"/>
      <c r="CRR782" s="268"/>
      <c r="CRS782" s="268"/>
      <c r="CRT782" s="268"/>
      <c r="CRU782" s="268"/>
      <c r="CRV782" s="268"/>
      <c r="CRW782" s="268"/>
      <c r="CRX782" s="268"/>
      <c r="CRY782" s="268"/>
      <c r="CRZ782" s="268"/>
      <c r="CSA782" s="268"/>
      <c r="CSB782" s="268"/>
      <c r="CSC782" s="268"/>
      <c r="CSD782" s="268"/>
      <c r="CSE782" s="268"/>
      <c r="CSF782" s="268"/>
      <c r="CSG782" s="268"/>
      <c r="CSH782" s="268"/>
      <c r="CSI782" s="268"/>
      <c r="CSJ782" s="268"/>
      <c r="CSK782" s="268"/>
      <c r="CSL782" s="268"/>
      <c r="CSM782" s="268"/>
      <c r="CSN782" s="268"/>
      <c r="CSO782" s="268"/>
      <c r="CSP782" s="268"/>
      <c r="CSQ782" s="268"/>
      <c r="CSR782" s="268"/>
      <c r="CSS782" s="268"/>
      <c r="CST782" s="268"/>
      <c r="CSU782" s="268"/>
      <c r="CSV782" s="268"/>
      <c r="CSW782" s="268"/>
      <c r="CSX782" s="268"/>
      <c r="CSY782" s="268"/>
      <c r="CSZ782" s="268"/>
      <c r="CTA782" s="268"/>
      <c r="CTB782" s="268"/>
      <c r="CTC782" s="268"/>
      <c r="CTQ782" s="268"/>
      <c r="CTR782" s="268"/>
      <c r="CTS782" s="268"/>
      <c r="CUG782" s="268"/>
      <c r="CUI782" s="268"/>
      <c r="CUJ782" s="268"/>
      <c r="CUK782" s="268"/>
      <c r="CUL782" s="268"/>
      <c r="CUM782" s="268"/>
      <c r="CUN782" s="268"/>
      <c r="CUO782" s="268"/>
      <c r="CUP782" s="268"/>
      <c r="CUQ782" s="268"/>
      <c r="CUR782" s="268"/>
      <c r="CUS782" s="268"/>
      <c r="CUT782" s="268"/>
      <c r="CUU782" s="268"/>
      <c r="CUV782" s="268"/>
      <c r="CUW782" s="268"/>
      <c r="CUX782" s="268"/>
      <c r="CUY782" s="268"/>
      <c r="CUZ782" s="268"/>
      <c r="CVA782" s="268"/>
      <c r="CVB782" s="268"/>
      <c r="CVC782" s="268"/>
      <c r="CVD782" s="268"/>
      <c r="CVE782" s="268"/>
      <c r="CVF782" s="268"/>
      <c r="CVG782" s="268"/>
      <c r="CVH782" s="268"/>
      <c r="CVI782" s="268"/>
      <c r="CVJ782" s="268"/>
      <c r="CVK782" s="268"/>
      <c r="CVL782" s="268"/>
      <c r="CVM782" s="268"/>
      <c r="CVN782" s="268"/>
      <c r="CVO782" s="268"/>
      <c r="CVP782" s="268"/>
      <c r="CVQ782" s="268"/>
      <c r="CVR782" s="268"/>
      <c r="CVS782" s="268"/>
      <c r="CVT782" s="268"/>
      <c r="CVU782" s="268"/>
      <c r="CVV782" s="268"/>
      <c r="CVW782" s="268"/>
      <c r="CVX782" s="268"/>
      <c r="CVY782" s="268"/>
      <c r="CVZ782" s="268"/>
      <c r="CWA782" s="268"/>
      <c r="CWB782" s="268"/>
      <c r="CWC782" s="268"/>
      <c r="CWD782" s="268"/>
      <c r="CWE782" s="268"/>
      <c r="CWF782" s="268"/>
      <c r="CWG782" s="268"/>
      <c r="CWH782" s="268"/>
      <c r="CWI782" s="268"/>
      <c r="CWJ782" s="268"/>
      <c r="CWK782" s="268"/>
      <c r="CWL782" s="268"/>
      <c r="CWM782" s="268"/>
      <c r="CWN782" s="268"/>
      <c r="CWO782" s="268"/>
      <c r="CWP782" s="268"/>
      <c r="CWQ782" s="268"/>
      <c r="CWR782" s="268"/>
      <c r="CWS782" s="268"/>
      <c r="CWT782" s="268"/>
      <c r="CWU782" s="268"/>
      <c r="CWV782" s="268"/>
      <c r="CWW782" s="268"/>
      <c r="CWX782" s="268"/>
      <c r="CWY782" s="268"/>
      <c r="CWZ782" s="268"/>
      <c r="CXA782" s="268"/>
      <c r="CXB782" s="268"/>
      <c r="CXC782" s="268"/>
      <c r="CXD782" s="268"/>
      <c r="CXE782" s="268"/>
      <c r="CXF782" s="268"/>
      <c r="CXG782" s="268"/>
      <c r="CXH782" s="268"/>
      <c r="CXI782" s="268"/>
      <c r="CXJ782" s="268"/>
      <c r="CXK782" s="268"/>
      <c r="CXL782" s="268"/>
      <c r="CXM782" s="268"/>
      <c r="CXN782" s="268"/>
      <c r="CXO782" s="268"/>
      <c r="CXP782" s="268"/>
      <c r="CXQ782" s="268"/>
      <c r="CXR782" s="268"/>
      <c r="CXS782" s="268"/>
      <c r="CXT782" s="268"/>
      <c r="CXU782" s="268"/>
      <c r="CXV782" s="268"/>
      <c r="CXW782" s="268"/>
      <c r="CXX782" s="268"/>
      <c r="CXY782" s="268"/>
      <c r="CXZ782" s="268"/>
      <c r="CYA782" s="268"/>
      <c r="CYB782" s="268"/>
      <c r="CYC782" s="268"/>
      <c r="CYD782" s="268"/>
      <c r="CYE782" s="268"/>
      <c r="CYF782" s="268"/>
      <c r="CYG782" s="268"/>
      <c r="CYH782" s="268"/>
      <c r="CYI782" s="268"/>
      <c r="CYJ782" s="268"/>
      <c r="CYK782" s="268"/>
      <c r="CYL782" s="268"/>
      <c r="CYM782" s="268"/>
      <c r="CYN782" s="268"/>
      <c r="CYO782" s="268"/>
      <c r="CYP782" s="268"/>
      <c r="CYQ782" s="268"/>
      <c r="CYR782" s="268"/>
      <c r="CYS782" s="268"/>
      <c r="CYT782" s="268"/>
      <c r="CYU782" s="268"/>
      <c r="CYV782" s="268"/>
      <c r="CYW782" s="268"/>
      <c r="CYX782" s="268"/>
      <c r="CYY782" s="268"/>
      <c r="CYZ782" s="268"/>
      <c r="CZA782" s="268"/>
      <c r="CZB782" s="268"/>
      <c r="CZC782" s="268"/>
      <c r="CZD782" s="268"/>
      <c r="CZE782" s="268"/>
      <c r="CZF782" s="268"/>
      <c r="CZG782" s="268"/>
      <c r="CZH782" s="268"/>
      <c r="CZI782" s="268"/>
      <c r="CZJ782" s="268"/>
      <c r="CZK782" s="268"/>
      <c r="CZL782" s="268"/>
      <c r="CZM782" s="268"/>
      <c r="CZN782" s="268"/>
      <c r="CZO782" s="268"/>
      <c r="CZP782" s="268"/>
      <c r="CZQ782" s="268"/>
      <c r="CZR782" s="268"/>
      <c r="CZS782" s="268"/>
      <c r="CZT782" s="268"/>
      <c r="CZU782" s="268"/>
      <c r="CZV782" s="268"/>
      <c r="CZW782" s="268"/>
      <c r="CZX782" s="268"/>
      <c r="CZY782" s="268"/>
      <c r="CZZ782" s="268"/>
      <c r="DAA782" s="268"/>
      <c r="DAB782" s="268"/>
      <c r="DAC782" s="268"/>
      <c r="DAD782" s="268"/>
      <c r="DAE782" s="268"/>
      <c r="DAF782" s="268"/>
      <c r="DAG782" s="268"/>
      <c r="DAH782" s="268"/>
      <c r="DAI782" s="268"/>
      <c r="DAJ782" s="268"/>
      <c r="DAK782" s="268"/>
      <c r="DAL782" s="268"/>
      <c r="DAM782" s="268"/>
      <c r="DAN782" s="268"/>
      <c r="DAO782" s="268"/>
      <c r="DAP782" s="268"/>
      <c r="DAQ782" s="268"/>
      <c r="DAR782" s="268"/>
      <c r="DAS782" s="268"/>
      <c r="DAT782" s="268"/>
      <c r="DAU782" s="268"/>
      <c r="DAV782" s="268"/>
      <c r="DAW782" s="268"/>
      <c r="DAX782" s="268"/>
      <c r="DAY782" s="268"/>
      <c r="DAZ782" s="268"/>
      <c r="DBA782" s="268"/>
      <c r="DBB782" s="268"/>
      <c r="DBC782" s="268"/>
      <c r="DBD782" s="268"/>
      <c r="DBE782" s="268"/>
      <c r="DBF782" s="268"/>
      <c r="DBG782" s="268"/>
      <c r="DBH782" s="268"/>
      <c r="DBI782" s="268"/>
      <c r="DBJ782" s="268"/>
      <c r="DBK782" s="268"/>
      <c r="DBL782" s="268"/>
      <c r="DBM782" s="268"/>
      <c r="DBN782" s="268"/>
      <c r="DBO782" s="268"/>
      <c r="DBP782" s="268"/>
      <c r="DBQ782" s="268"/>
      <c r="DBR782" s="268"/>
      <c r="DBS782" s="268"/>
      <c r="DBT782" s="268"/>
      <c r="DBU782" s="268"/>
      <c r="DBV782" s="268"/>
      <c r="DBW782" s="268"/>
      <c r="DBX782" s="268"/>
      <c r="DBY782" s="268"/>
      <c r="DBZ782" s="268"/>
      <c r="DCA782" s="268"/>
      <c r="DCB782" s="268"/>
      <c r="DCC782" s="268"/>
      <c r="DCD782" s="268"/>
      <c r="DCE782" s="268"/>
      <c r="DCF782" s="268"/>
      <c r="DCG782" s="268"/>
      <c r="DCH782" s="268"/>
      <c r="DCI782" s="268"/>
      <c r="DCJ782" s="268"/>
      <c r="DCK782" s="268"/>
      <c r="DCL782" s="268"/>
      <c r="DCM782" s="268"/>
      <c r="DCN782" s="268"/>
      <c r="DCO782" s="268"/>
      <c r="DCP782" s="268"/>
      <c r="DCQ782" s="268"/>
      <c r="DCR782" s="268"/>
      <c r="DCS782" s="268"/>
      <c r="DCT782" s="268"/>
      <c r="DCU782" s="268"/>
      <c r="DCV782" s="268"/>
      <c r="DCW782" s="268"/>
      <c r="DCX782" s="268"/>
      <c r="DCY782" s="268"/>
      <c r="DDM782" s="268"/>
      <c r="DDN782" s="268"/>
      <c r="DDO782" s="268"/>
      <c r="DEC782" s="268"/>
      <c r="DEE782" s="268"/>
      <c r="DEF782" s="268"/>
      <c r="DEG782" s="268"/>
      <c r="DEH782" s="268"/>
      <c r="DEI782" s="268"/>
      <c r="DEJ782" s="268"/>
      <c r="DEK782" s="268"/>
      <c r="DEL782" s="268"/>
      <c r="DEM782" s="268"/>
      <c r="DEN782" s="268"/>
      <c r="DEO782" s="268"/>
      <c r="DEP782" s="268"/>
      <c r="DEQ782" s="268"/>
      <c r="DER782" s="268"/>
      <c r="DES782" s="268"/>
      <c r="DET782" s="268"/>
      <c r="DEU782" s="268"/>
      <c r="DEV782" s="268"/>
      <c r="DEW782" s="268"/>
      <c r="DEX782" s="268"/>
      <c r="DEY782" s="268"/>
      <c r="DEZ782" s="268"/>
      <c r="DFA782" s="268"/>
      <c r="DFB782" s="268"/>
      <c r="DFC782" s="268"/>
      <c r="DFD782" s="268"/>
      <c r="DFE782" s="268"/>
      <c r="DFF782" s="268"/>
      <c r="DFG782" s="268"/>
      <c r="DFH782" s="268"/>
      <c r="DFI782" s="268"/>
      <c r="DFJ782" s="268"/>
      <c r="DFK782" s="268"/>
      <c r="DFL782" s="268"/>
      <c r="DFM782" s="268"/>
      <c r="DFN782" s="268"/>
      <c r="DFO782" s="268"/>
      <c r="DFP782" s="268"/>
      <c r="DFQ782" s="268"/>
      <c r="DFR782" s="268"/>
      <c r="DFS782" s="268"/>
      <c r="DFT782" s="268"/>
      <c r="DFU782" s="268"/>
      <c r="DFV782" s="268"/>
      <c r="DFW782" s="268"/>
      <c r="DFX782" s="268"/>
      <c r="DFY782" s="268"/>
      <c r="DFZ782" s="268"/>
      <c r="DGA782" s="268"/>
      <c r="DGB782" s="268"/>
      <c r="DGC782" s="268"/>
      <c r="DGD782" s="268"/>
      <c r="DGE782" s="268"/>
      <c r="DGF782" s="268"/>
      <c r="DGG782" s="268"/>
      <c r="DGH782" s="268"/>
      <c r="DGI782" s="268"/>
      <c r="DGJ782" s="268"/>
      <c r="DGK782" s="268"/>
      <c r="DGL782" s="268"/>
      <c r="DGM782" s="268"/>
      <c r="DGN782" s="268"/>
      <c r="DGO782" s="268"/>
      <c r="DGP782" s="268"/>
      <c r="DGQ782" s="268"/>
      <c r="DGR782" s="268"/>
      <c r="DGS782" s="268"/>
      <c r="DGT782" s="268"/>
      <c r="DGU782" s="268"/>
      <c r="DGV782" s="268"/>
      <c r="DGW782" s="268"/>
      <c r="DGX782" s="268"/>
      <c r="DGY782" s="268"/>
      <c r="DGZ782" s="268"/>
      <c r="DHA782" s="268"/>
      <c r="DHB782" s="268"/>
      <c r="DHC782" s="268"/>
      <c r="DHD782" s="268"/>
      <c r="DHE782" s="268"/>
      <c r="DHF782" s="268"/>
      <c r="DHG782" s="268"/>
      <c r="DHH782" s="268"/>
      <c r="DHI782" s="268"/>
      <c r="DHJ782" s="268"/>
      <c r="DHK782" s="268"/>
      <c r="DHL782" s="268"/>
      <c r="DHM782" s="268"/>
      <c r="DHN782" s="268"/>
      <c r="DHO782" s="268"/>
      <c r="DHP782" s="268"/>
      <c r="DHQ782" s="268"/>
      <c r="DHR782" s="268"/>
      <c r="DHS782" s="268"/>
      <c r="DHT782" s="268"/>
      <c r="DHU782" s="268"/>
      <c r="DHV782" s="268"/>
      <c r="DHW782" s="268"/>
      <c r="DHX782" s="268"/>
      <c r="DHY782" s="268"/>
      <c r="DHZ782" s="268"/>
      <c r="DIA782" s="268"/>
      <c r="DIB782" s="268"/>
      <c r="DIC782" s="268"/>
      <c r="DID782" s="268"/>
      <c r="DIE782" s="268"/>
      <c r="DIF782" s="268"/>
      <c r="DIG782" s="268"/>
      <c r="DIH782" s="268"/>
      <c r="DII782" s="268"/>
      <c r="DIJ782" s="268"/>
      <c r="DIK782" s="268"/>
      <c r="DIL782" s="268"/>
      <c r="DIM782" s="268"/>
      <c r="DIN782" s="268"/>
      <c r="DIO782" s="268"/>
      <c r="DIP782" s="268"/>
      <c r="DIQ782" s="268"/>
      <c r="DIR782" s="268"/>
      <c r="DIS782" s="268"/>
      <c r="DIT782" s="268"/>
      <c r="DIU782" s="268"/>
      <c r="DIV782" s="268"/>
      <c r="DIW782" s="268"/>
      <c r="DIX782" s="268"/>
      <c r="DIY782" s="268"/>
      <c r="DIZ782" s="268"/>
      <c r="DJA782" s="268"/>
      <c r="DJB782" s="268"/>
      <c r="DJC782" s="268"/>
      <c r="DJD782" s="268"/>
      <c r="DJE782" s="268"/>
      <c r="DJF782" s="268"/>
      <c r="DJG782" s="268"/>
      <c r="DJH782" s="268"/>
      <c r="DJI782" s="268"/>
      <c r="DJJ782" s="268"/>
      <c r="DJK782" s="268"/>
      <c r="DJL782" s="268"/>
      <c r="DJM782" s="268"/>
      <c r="DJN782" s="268"/>
      <c r="DJO782" s="268"/>
      <c r="DJP782" s="268"/>
      <c r="DJQ782" s="268"/>
      <c r="DJR782" s="268"/>
      <c r="DJS782" s="268"/>
      <c r="DJT782" s="268"/>
      <c r="DJU782" s="268"/>
      <c r="DJV782" s="268"/>
      <c r="DJW782" s="268"/>
      <c r="DJX782" s="268"/>
      <c r="DJY782" s="268"/>
      <c r="DJZ782" s="268"/>
      <c r="DKA782" s="268"/>
      <c r="DKB782" s="268"/>
      <c r="DKC782" s="268"/>
      <c r="DKD782" s="268"/>
      <c r="DKE782" s="268"/>
      <c r="DKF782" s="268"/>
      <c r="DKG782" s="268"/>
      <c r="DKH782" s="268"/>
      <c r="DKI782" s="268"/>
      <c r="DKJ782" s="268"/>
      <c r="DKK782" s="268"/>
      <c r="DKL782" s="268"/>
      <c r="DKM782" s="268"/>
      <c r="DKN782" s="268"/>
      <c r="DKO782" s="268"/>
      <c r="DKP782" s="268"/>
      <c r="DKQ782" s="268"/>
      <c r="DKR782" s="268"/>
      <c r="DKS782" s="268"/>
      <c r="DKT782" s="268"/>
      <c r="DKU782" s="268"/>
      <c r="DKV782" s="268"/>
      <c r="DKW782" s="268"/>
      <c r="DKX782" s="268"/>
      <c r="DKY782" s="268"/>
      <c r="DKZ782" s="268"/>
      <c r="DLA782" s="268"/>
      <c r="DLB782" s="268"/>
      <c r="DLC782" s="268"/>
      <c r="DLD782" s="268"/>
      <c r="DLE782" s="268"/>
      <c r="DLF782" s="268"/>
      <c r="DLG782" s="268"/>
      <c r="DLH782" s="268"/>
      <c r="DLI782" s="268"/>
      <c r="DLJ782" s="268"/>
      <c r="DLK782" s="268"/>
      <c r="DLL782" s="268"/>
      <c r="DLM782" s="268"/>
      <c r="DLN782" s="268"/>
      <c r="DLO782" s="268"/>
      <c r="DLP782" s="268"/>
      <c r="DLQ782" s="268"/>
      <c r="DLR782" s="268"/>
      <c r="DLS782" s="268"/>
      <c r="DLT782" s="268"/>
      <c r="DLU782" s="268"/>
      <c r="DLV782" s="268"/>
      <c r="DLW782" s="268"/>
      <c r="DLX782" s="268"/>
      <c r="DLY782" s="268"/>
      <c r="DLZ782" s="268"/>
      <c r="DMA782" s="268"/>
      <c r="DMB782" s="268"/>
      <c r="DMC782" s="268"/>
      <c r="DMD782" s="268"/>
      <c r="DME782" s="268"/>
      <c r="DMF782" s="268"/>
      <c r="DMG782" s="268"/>
      <c r="DMH782" s="268"/>
      <c r="DMI782" s="268"/>
      <c r="DMJ782" s="268"/>
      <c r="DMK782" s="268"/>
      <c r="DML782" s="268"/>
      <c r="DMM782" s="268"/>
      <c r="DMN782" s="268"/>
      <c r="DMO782" s="268"/>
      <c r="DMP782" s="268"/>
      <c r="DMQ782" s="268"/>
      <c r="DMR782" s="268"/>
      <c r="DMS782" s="268"/>
      <c r="DMT782" s="268"/>
      <c r="DMU782" s="268"/>
      <c r="DNI782" s="268"/>
      <c r="DNJ782" s="268"/>
      <c r="DNK782" s="268"/>
      <c r="DNY782" s="268"/>
      <c r="DOA782" s="268"/>
      <c r="DOB782" s="268"/>
      <c r="DOC782" s="268"/>
      <c r="DOD782" s="268"/>
      <c r="DOE782" s="268"/>
      <c r="DOF782" s="268"/>
      <c r="DOG782" s="268"/>
      <c r="DOH782" s="268"/>
      <c r="DOI782" s="268"/>
      <c r="DOJ782" s="268"/>
      <c r="DOK782" s="268"/>
      <c r="DOL782" s="268"/>
      <c r="DOM782" s="268"/>
      <c r="DON782" s="268"/>
      <c r="DOO782" s="268"/>
      <c r="DOP782" s="268"/>
      <c r="DOQ782" s="268"/>
      <c r="DOR782" s="268"/>
      <c r="DOS782" s="268"/>
      <c r="DOT782" s="268"/>
      <c r="DOU782" s="268"/>
      <c r="DOV782" s="268"/>
      <c r="DOW782" s="268"/>
      <c r="DOX782" s="268"/>
      <c r="DOY782" s="268"/>
      <c r="DOZ782" s="268"/>
      <c r="DPA782" s="268"/>
      <c r="DPB782" s="268"/>
      <c r="DPC782" s="268"/>
      <c r="DPD782" s="268"/>
      <c r="DPE782" s="268"/>
      <c r="DPF782" s="268"/>
      <c r="DPG782" s="268"/>
      <c r="DPH782" s="268"/>
      <c r="DPI782" s="268"/>
      <c r="DPJ782" s="268"/>
      <c r="DPK782" s="268"/>
      <c r="DPL782" s="268"/>
      <c r="DPM782" s="268"/>
      <c r="DPN782" s="268"/>
      <c r="DPO782" s="268"/>
      <c r="DPP782" s="268"/>
      <c r="DPQ782" s="268"/>
      <c r="DPR782" s="268"/>
      <c r="DPS782" s="268"/>
      <c r="DPT782" s="268"/>
      <c r="DPU782" s="268"/>
      <c r="DPV782" s="268"/>
      <c r="DPW782" s="268"/>
      <c r="DPX782" s="268"/>
      <c r="DPY782" s="268"/>
      <c r="DPZ782" s="268"/>
      <c r="DQA782" s="268"/>
      <c r="DQB782" s="268"/>
      <c r="DQC782" s="268"/>
      <c r="DQD782" s="268"/>
      <c r="DQE782" s="268"/>
      <c r="DQF782" s="268"/>
      <c r="DQG782" s="268"/>
      <c r="DQH782" s="268"/>
      <c r="DQI782" s="268"/>
      <c r="DQJ782" s="268"/>
      <c r="DQK782" s="268"/>
      <c r="DQL782" s="268"/>
      <c r="DQM782" s="268"/>
      <c r="DQN782" s="268"/>
      <c r="DQO782" s="268"/>
      <c r="DQP782" s="268"/>
      <c r="DQQ782" s="268"/>
      <c r="DQR782" s="268"/>
      <c r="DQS782" s="268"/>
      <c r="DQT782" s="268"/>
      <c r="DQU782" s="268"/>
      <c r="DQV782" s="268"/>
      <c r="DQW782" s="268"/>
      <c r="DQX782" s="268"/>
      <c r="DQY782" s="268"/>
      <c r="DQZ782" s="268"/>
      <c r="DRA782" s="268"/>
      <c r="DRB782" s="268"/>
      <c r="DRC782" s="268"/>
      <c r="DRD782" s="268"/>
      <c r="DRE782" s="268"/>
      <c r="DRF782" s="268"/>
      <c r="DRG782" s="268"/>
      <c r="DRH782" s="268"/>
      <c r="DRI782" s="268"/>
      <c r="DRJ782" s="268"/>
      <c r="DRK782" s="268"/>
      <c r="DRL782" s="268"/>
      <c r="DRM782" s="268"/>
      <c r="DRN782" s="268"/>
      <c r="DRO782" s="268"/>
      <c r="DRP782" s="268"/>
      <c r="DRQ782" s="268"/>
      <c r="DRR782" s="268"/>
      <c r="DRS782" s="268"/>
      <c r="DRT782" s="268"/>
      <c r="DRU782" s="268"/>
      <c r="DRV782" s="268"/>
      <c r="DRW782" s="268"/>
      <c r="DRX782" s="268"/>
      <c r="DRY782" s="268"/>
      <c r="DRZ782" s="268"/>
      <c r="DSA782" s="268"/>
      <c r="DSB782" s="268"/>
      <c r="DSC782" s="268"/>
      <c r="DSD782" s="268"/>
      <c r="DSE782" s="268"/>
      <c r="DSF782" s="268"/>
      <c r="DSG782" s="268"/>
      <c r="DSH782" s="268"/>
      <c r="DSI782" s="268"/>
      <c r="DSJ782" s="268"/>
      <c r="DSK782" s="268"/>
      <c r="DSL782" s="268"/>
      <c r="DSM782" s="268"/>
      <c r="DSN782" s="268"/>
      <c r="DSO782" s="268"/>
      <c r="DSP782" s="268"/>
      <c r="DSQ782" s="268"/>
      <c r="DSR782" s="268"/>
      <c r="DSS782" s="268"/>
      <c r="DST782" s="268"/>
      <c r="DSU782" s="268"/>
      <c r="DSV782" s="268"/>
      <c r="DSW782" s="268"/>
      <c r="DSX782" s="268"/>
      <c r="DSY782" s="268"/>
      <c r="DSZ782" s="268"/>
      <c r="DTA782" s="268"/>
      <c r="DTB782" s="268"/>
      <c r="DTC782" s="268"/>
      <c r="DTD782" s="268"/>
      <c r="DTE782" s="268"/>
      <c r="DTF782" s="268"/>
      <c r="DTG782" s="268"/>
      <c r="DTH782" s="268"/>
      <c r="DTI782" s="268"/>
      <c r="DTJ782" s="268"/>
      <c r="DTK782" s="268"/>
      <c r="DTL782" s="268"/>
      <c r="DTM782" s="268"/>
      <c r="DTN782" s="268"/>
      <c r="DTO782" s="268"/>
      <c r="DTP782" s="268"/>
      <c r="DTQ782" s="268"/>
      <c r="DTR782" s="268"/>
      <c r="DTS782" s="268"/>
      <c r="DTT782" s="268"/>
      <c r="DTU782" s="268"/>
      <c r="DTV782" s="268"/>
      <c r="DTW782" s="268"/>
      <c r="DTX782" s="268"/>
      <c r="DTY782" s="268"/>
      <c r="DTZ782" s="268"/>
      <c r="DUA782" s="268"/>
      <c r="DUB782" s="268"/>
      <c r="DUC782" s="268"/>
      <c r="DUD782" s="268"/>
      <c r="DUE782" s="268"/>
      <c r="DUF782" s="268"/>
      <c r="DUG782" s="268"/>
      <c r="DUH782" s="268"/>
      <c r="DUI782" s="268"/>
      <c r="DUJ782" s="268"/>
      <c r="DUK782" s="268"/>
      <c r="DUL782" s="268"/>
      <c r="DUM782" s="268"/>
      <c r="DUN782" s="268"/>
      <c r="DUO782" s="268"/>
      <c r="DUP782" s="268"/>
      <c r="DUQ782" s="268"/>
      <c r="DUR782" s="268"/>
      <c r="DUS782" s="268"/>
      <c r="DUT782" s="268"/>
      <c r="DUU782" s="268"/>
      <c r="DUV782" s="268"/>
      <c r="DUW782" s="268"/>
      <c r="DUX782" s="268"/>
      <c r="DUY782" s="268"/>
      <c r="DUZ782" s="268"/>
      <c r="DVA782" s="268"/>
      <c r="DVB782" s="268"/>
      <c r="DVC782" s="268"/>
      <c r="DVD782" s="268"/>
      <c r="DVE782" s="268"/>
      <c r="DVF782" s="268"/>
      <c r="DVG782" s="268"/>
      <c r="DVH782" s="268"/>
      <c r="DVI782" s="268"/>
      <c r="DVJ782" s="268"/>
      <c r="DVK782" s="268"/>
      <c r="DVL782" s="268"/>
      <c r="DVM782" s="268"/>
      <c r="DVN782" s="268"/>
      <c r="DVO782" s="268"/>
      <c r="DVP782" s="268"/>
      <c r="DVQ782" s="268"/>
      <c r="DVR782" s="268"/>
      <c r="DVS782" s="268"/>
      <c r="DVT782" s="268"/>
      <c r="DVU782" s="268"/>
      <c r="DVV782" s="268"/>
      <c r="DVW782" s="268"/>
      <c r="DVX782" s="268"/>
      <c r="DVY782" s="268"/>
      <c r="DVZ782" s="268"/>
      <c r="DWA782" s="268"/>
      <c r="DWB782" s="268"/>
      <c r="DWC782" s="268"/>
      <c r="DWD782" s="268"/>
      <c r="DWE782" s="268"/>
      <c r="DWF782" s="268"/>
      <c r="DWG782" s="268"/>
      <c r="DWH782" s="268"/>
      <c r="DWI782" s="268"/>
      <c r="DWJ782" s="268"/>
      <c r="DWK782" s="268"/>
      <c r="DWL782" s="268"/>
      <c r="DWM782" s="268"/>
      <c r="DWN782" s="268"/>
      <c r="DWO782" s="268"/>
      <c r="DWP782" s="268"/>
      <c r="DWQ782" s="268"/>
      <c r="DXE782" s="268"/>
      <c r="DXF782" s="268"/>
      <c r="DXG782" s="268"/>
      <c r="DXU782" s="268"/>
      <c r="DXW782" s="268"/>
      <c r="DXX782" s="268"/>
      <c r="DXY782" s="268"/>
      <c r="DXZ782" s="268"/>
      <c r="DYA782" s="268"/>
      <c r="DYB782" s="268"/>
      <c r="DYC782" s="268"/>
      <c r="DYD782" s="268"/>
      <c r="DYE782" s="268"/>
      <c r="DYF782" s="268"/>
      <c r="DYG782" s="268"/>
      <c r="DYH782" s="268"/>
      <c r="DYI782" s="268"/>
      <c r="DYJ782" s="268"/>
      <c r="DYK782" s="268"/>
      <c r="DYL782" s="268"/>
      <c r="DYM782" s="268"/>
      <c r="DYN782" s="268"/>
      <c r="DYO782" s="268"/>
      <c r="DYP782" s="268"/>
      <c r="DYQ782" s="268"/>
      <c r="DYR782" s="268"/>
      <c r="DYS782" s="268"/>
      <c r="DYT782" s="268"/>
      <c r="DYU782" s="268"/>
      <c r="DYV782" s="268"/>
      <c r="DYW782" s="268"/>
      <c r="DYX782" s="268"/>
      <c r="DYY782" s="268"/>
      <c r="DYZ782" s="268"/>
      <c r="DZA782" s="268"/>
      <c r="DZB782" s="268"/>
      <c r="DZC782" s="268"/>
      <c r="DZD782" s="268"/>
      <c r="DZE782" s="268"/>
      <c r="DZF782" s="268"/>
      <c r="DZG782" s="268"/>
      <c r="DZH782" s="268"/>
      <c r="DZI782" s="268"/>
      <c r="DZJ782" s="268"/>
      <c r="DZK782" s="268"/>
      <c r="DZL782" s="268"/>
      <c r="DZM782" s="268"/>
      <c r="DZN782" s="268"/>
      <c r="DZO782" s="268"/>
      <c r="DZP782" s="268"/>
      <c r="DZQ782" s="268"/>
      <c r="DZR782" s="268"/>
      <c r="DZS782" s="268"/>
      <c r="DZT782" s="268"/>
      <c r="DZU782" s="268"/>
      <c r="DZV782" s="268"/>
      <c r="DZW782" s="268"/>
      <c r="DZX782" s="268"/>
      <c r="DZY782" s="268"/>
      <c r="DZZ782" s="268"/>
      <c r="EAA782" s="268"/>
      <c r="EAB782" s="268"/>
      <c r="EAC782" s="268"/>
      <c r="EAD782" s="268"/>
      <c r="EAE782" s="268"/>
      <c r="EAF782" s="268"/>
      <c r="EAG782" s="268"/>
      <c r="EAH782" s="268"/>
      <c r="EAI782" s="268"/>
      <c r="EAJ782" s="268"/>
      <c r="EAK782" s="268"/>
      <c r="EAL782" s="268"/>
      <c r="EAM782" s="268"/>
      <c r="EAN782" s="268"/>
      <c r="EAO782" s="268"/>
      <c r="EAP782" s="268"/>
      <c r="EAQ782" s="268"/>
      <c r="EAR782" s="268"/>
      <c r="EAS782" s="268"/>
      <c r="EAT782" s="268"/>
      <c r="EAU782" s="268"/>
      <c r="EAV782" s="268"/>
      <c r="EAW782" s="268"/>
      <c r="EAX782" s="268"/>
      <c r="EAY782" s="268"/>
      <c r="EAZ782" s="268"/>
      <c r="EBA782" s="268"/>
      <c r="EBB782" s="268"/>
      <c r="EBC782" s="268"/>
      <c r="EBD782" s="268"/>
      <c r="EBE782" s="268"/>
      <c r="EBF782" s="268"/>
      <c r="EBG782" s="268"/>
      <c r="EBH782" s="268"/>
      <c r="EBI782" s="268"/>
      <c r="EBJ782" s="268"/>
      <c r="EBK782" s="268"/>
      <c r="EBL782" s="268"/>
      <c r="EBM782" s="268"/>
      <c r="EBN782" s="268"/>
      <c r="EBO782" s="268"/>
      <c r="EBP782" s="268"/>
      <c r="EBQ782" s="268"/>
      <c r="EBR782" s="268"/>
      <c r="EBS782" s="268"/>
      <c r="EBT782" s="268"/>
      <c r="EBU782" s="268"/>
      <c r="EBV782" s="268"/>
      <c r="EBW782" s="268"/>
      <c r="EBX782" s="268"/>
      <c r="EBY782" s="268"/>
      <c r="EBZ782" s="268"/>
      <c r="ECA782" s="268"/>
      <c r="ECB782" s="268"/>
      <c r="ECC782" s="268"/>
      <c r="ECD782" s="268"/>
      <c r="ECE782" s="268"/>
      <c r="ECF782" s="268"/>
      <c r="ECG782" s="268"/>
      <c r="ECH782" s="268"/>
      <c r="ECI782" s="268"/>
      <c r="ECJ782" s="268"/>
      <c r="ECK782" s="268"/>
      <c r="ECL782" s="268"/>
      <c r="ECM782" s="268"/>
      <c r="ECN782" s="268"/>
      <c r="ECO782" s="268"/>
      <c r="ECP782" s="268"/>
      <c r="ECQ782" s="268"/>
      <c r="ECR782" s="268"/>
      <c r="ECS782" s="268"/>
      <c r="ECT782" s="268"/>
      <c r="ECU782" s="268"/>
      <c r="ECV782" s="268"/>
      <c r="ECW782" s="268"/>
      <c r="ECX782" s="268"/>
      <c r="ECY782" s="268"/>
      <c r="ECZ782" s="268"/>
      <c r="EDA782" s="268"/>
      <c r="EDB782" s="268"/>
      <c r="EDC782" s="268"/>
      <c r="EDD782" s="268"/>
      <c r="EDE782" s="268"/>
      <c r="EDF782" s="268"/>
      <c r="EDG782" s="268"/>
      <c r="EDH782" s="268"/>
      <c r="EDI782" s="268"/>
      <c r="EDJ782" s="268"/>
      <c r="EDK782" s="268"/>
      <c r="EDL782" s="268"/>
      <c r="EDM782" s="268"/>
      <c r="EDN782" s="268"/>
      <c r="EDO782" s="268"/>
      <c r="EDP782" s="268"/>
      <c r="EDQ782" s="268"/>
      <c r="EDR782" s="268"/>
      <c r="EDS782" s="268"/>
      <c r="EDT782" s="268"/>
      <c r="EDU782" s="268"/>
      <c r="EDV782" s="268"/>
      <c r="EDW782" s="268"/>
      <c r="EDX782" s="268"/>
      <c r="EDY782" s="268"/>
      <c r="EDZ782" s="268"/>
      <c r="EEA782" s="268"/>
      <c r="EEB782" s="268"/>
      <c r="EEC782" s="268"/>
      <c r="EED782" s="268"/>
      <c r="EEE782" s="268"/>
      <c r="EEF782" s="268"/>
      <c r="EEG782" s="268"/>
      <c r="EEH782" s="268"/>
      <c r="EEI782" s="268"/>
      <c r="EEJ782" s="268"/>
      <c r="EEK782" s="268"/>
      <c r="EEL782" s="268"/>
      <c r="EEM782" s="268"/>
      <c r="EEN782" s="268"/>
      <c r="EEO782" s="268"/>
      <c r="EEP782" s="268"/>
      <c r="EEQ782" s="268"/>
      <c r="EER782" s="268"/>
      <c r="EES782" s="268"/>
      <c r="EET782" s="268"/>
      <c r="EEU782" s="268"/>
      <c r="EEV782" s="268"/>
      <c r="EEW782" s="268"/>
      <c r="EEX782" s="268"/>
      <c r="EEY782" s="268"/>
      <c r="EEZ782" s="268"/>
      <c r="EFA782" s="268"/>
      <c r="EFB782" s="268"/>
      <c r="EFC782" s="268"/>
      <c r="EFD782" s="268"/>
      <c r="EFE782" s="268"/>
      <c r="EFF782" s="268"/>
      <c r="EFG782" s="268"/>
      <c r="EFH782" s="268"/>
      <c r="EFI782" s="268"/>
      <c r="EFJ782" s="268"/>
      <c r="EFK782" s="268"/>
      <c r="EFL782" s="268"/>
      <c r="EFM782" s="268"/>
      <c r="EFN782" s="268"/>
      <c r="EFO782" s="268"/>
      <c r="EFP782" s="268"/>
      <c r="EFQ782" s="268"/>
      <c r="EFR782" s="268"/>
      <c r="EFS782" s="268"/>
      <c r="EFT782" s="268"/>
      <c r="EFU782" s="268"/>
      <c r="EFV782" s="268"/>
      <c r="EFW782" s="268"/>
      <c r="EFX782" s="268"/>
      <c r="EFY782" s="268"/>
      <c r="EFZ782" s="268"/>
      <c r="EGA782" s="268"/>
      <c r="EGB782" s="268"/>
      <c r="EGC782" s="268"/>
      <c r="EGD782" s="268"/>
      <c r="EGE782" s="268"/>
      <c r="EGF782" s="268"/>
      <c r="EGG782" s="268"/>
      <c r="EGH782" s="268"/>
      <c r="EGI782" s="268"/>
      <c r="EGJ782" s="268"/>
      <c r="EGK782" s="268"/>
      <c r="EGL782" s="268"/>
      <c r="EGM782" s="268"/>
      <c r="EHA782" s="268"/>
      <c r="EHB782" s="268"/>
      <c r="EHC782" s="268"/>
      <c r="EHQ782" s="268"/>
      <c r="EHS782" s="268"/>
      <c r="EHT782" s="268"/>
      <c r="EHU782" s="268"/>
      <c r="EHV782" s="268"/>
      <c r="EHW782" s="268"/>
      <c r="EHX782" s="268"/>
      <c r="EHY782" s="268"/>
      <c r="EHZ782" s="268"/>
      <c r="EIA782" s="268"/>
      <c r="EIB782" s="268"/>
      <c r="EIC782" s="268"/>
      <c r="EID782" s="268"/>
      <c r="EIE782" s="268"/>
      <c r="EIF782" s="268"/>
      <c r="EIG782" s="268"/>
      <c r="EIH782" s="268"/>
      <c r="EII782" s="268"/>
      <c r="EIJ782" s="268"/>
      <c r="EIK782" s="268"/>
      <c r="EIL782" s="268"/>
      <c r="EIM782" s="268"/>
      <c r="EIN782" s="268"/>
      <c r="EIO782" s="268"/>
      <c r="EIP782" s="268"/>
      <c r="EIQ782" s="268"/>
      <c r="EIR782" s="268"/>
      <c r="EIS782" s="268"/>
      <c r="EIT782" s="268"/>
      <c r="EIU782" s="268"/>
      <c r="EIV782" s="268"/>
      <c r="EIW782" s="268"/>
      <c r="EIX782" s="268"/>
      <c r="EIY782" s="268"/>
      <c r="EIZ782" s="268"/>
      <c r="EJA782" s="268"/>
      <c r="EJB782" s="268"/>
      <c r="EJC782" s="268"/>
      <c r="EJD782" s="268"/>
      <c r="EJE782" s="268"/>
      <c r="EJF782" s="268"/>
      <c r="EJG782" s="268"/>
      <c r="EJH782" s="268"/>
      <c r="EJI782" s="268"/>
      <c r="EJJ782" s="268"/>
      <c r="EJK782" s="268"/>
      <c r="EJL782" s="268"/>
      <c r="EJM782" s="268"/>
      <c r="EJN782" s="268"/>
      <c r="EJO782" s="268"/>
      <c r="EJP782" s="268"/>
      <c r="EJQ782" s="268"/>
      <c r="EJR782" s="268"/>
      <c r="EJS782" s="268"/>
      <c r="EJT782" s="268"/>
      <c r="EJU782" s="268"/>
      <c r="EJV782" s="268"/>
      <c r="EJW782" s="268"/>
      <c r="EJX782" s="268"/>
      <c r="EJY782" s="268"/>
      <c r="EJZ782" s="268"/>
      <c r="EKA782" s="268"/>
      <c r="EKB782" s="268"/>
      <c r="EKC782" s="268"/>
      <c r="EKD782" s="268"/>
      <c r="EKE782" s="268"/>
      <c r="EKF782" s="268"/>
      <c r="EKG782" s="268"/>
      <c r="EKH782" s="268"/>
      <c r="EKI782" s="268"/>
      <c r="EKJ782" s="268"/>
      <c r="EKK782" s="268"/>
      <c r="EKL782" s="268"/>
      <c r="EKM782" s="268"/>
      <c r="EKN782" s="268"/>
      <c r="EKO782" s="268"/>
      <c r="EKP782" s="268"/>
      <c r="EKQ782" s="268"/>
      <c r="EKR782" s="268"/>
      <c r="EKS782" s="268"/>
      <c r="EKT782" s="268"/>
      <c r="EKU782" s="268"/>
      <c r="EKV782" s="268"/>
      <c r="EKW782" s="268"/>
      <c r="EKX782" s="268"/>
      <c r="EKY782" s="268"/>
      <c r="EKZ782" s="268"/>
      <c r="ELA782" s="268"/>
      <c r="ELB782" s="268"/>
      <c r="ELC782" s="268"/>
      <c r="ELD782" s="268"/>
      <c r="ELE782" s="268"/>
      <c r="ELF782" s="268"/>
      <c r="ELG782" s="268"/>
      <c r="ELH782" s="268"/>
      <c r="ELI782" s="268"/>
      <c r="ELJ782" s="268"/>
      <c r="ELK782" s="268"/>
      <c r="ELL782" s="268"/>
      <c r="ELM782" s="268"/>
      <c r="ELN782" s="268"/>
      <c r="ELO782" s="268"/>
      <c r="ELP782" s="268"/>
      <c r="ELQ782" s="268"/>
      <c r="ELR782" s="268"/>
      <c r="ELS782" s="268"/>
      <c r="ELT782" s="268"/>
      <c r="ELU782" s="268"/>
      <c r="ELV782" s="268"/>
      <c r="ELW782" s="268"/>
      <c r="ELX782" s="268"/>
      <c r="ELY782" s="268"/>
      <c r="ELZ782" s="268"/>
      <c r="EMA782" s="268"/>
      <c r="EMB782" s="268"/>
      <c r="EMC782" s="268"/>
      <c r="EMD782" s="268"/>
      <c r="EME782" s="268"/>
      <c r="EMF782" s="268"/>
      <c r="EMG782" s="268"/>
      <c r="EMH782" s="268"/>
      <c r="EMI782" s="268"/>
      <c r="EMJ782" s="268"/>
      <c r="EMK782" s="268"/>
      <c r="EML782" s="268"/>
      <c r="EMM782" s="268"/>
      <c r="EMN782" s="268"/>
      <c r="EMO782" s="268"/>
      <c r="EMP782" s="268"/>
      <c r="EMQ782" s="268"/>
      <c r="EMR782" s="268"/>
      <c r="EMS782" s="268"/>
      <c r="EMT782" s="268"/>
      <c r="EMU782" s="268"/>
      <c r="EMV782" s="268"/>
      <c r="EMW782" s="268"/>
      <c r="EMX782" s="268"/>
      <c r="EMY782" s="268"/>
      <c r="EMZ782" s="268"/>
      <c r="ENA782" s="268"/>
      <c r="ENB782" s="268"/>
      <c r="ENC782" s="268"/>
      <c r="END782" s="268"/>
      <c r="ENE782" s="268"/>
      <c r="ENF782" s="268"/>
      <c r="ENG782" s="268"/>
      <c r="ENH782" s="268"/>
      <c r="ENI782" s="268"/>
      <c r="ENJ782" s="268"/>
      <c r="ENK782" s="268"/>
      <c r="ENL782" s="268"/>
      <c r="ENM782" s="268"/>
      <c r="ENN782" s="268"/>
      <c r="ENO782" s="268"/>
      <c r="ENP782" s="268"/>
      <c r="ENQ782" s="268"/>
      <c r="ENR782" s="268"/>
      <c r="ENS782" s="268"/>
      <c r="ENT782" s="268"/>
      <c r="ENU782" s="268"/>
      <c r="ENV782" s="268"/>
      <c r="ENW782" s="268"/>
      <c r="ENX782" s="268"/>
      <c r="ENY782" s="268"/>
      <c r="ENZ782" s="268"/>
      <c r="EOA782" s="268"/>
      <c r="EOB782" s="268"/>
      <c r="EOC782" s="268"/>
      <c r="EOD782" s="268"/>
      <c r="EOE782" s="268"/>
      <c r="EOF782" s="268"/>
      <c r="EOG782" s="268"/>
      <c r="EOH782" s="268"/>
      <c r="EOI782" s="268"/>
      <c r="EOJ782" s="268"/>
      <c r="EOK782" s="268"/>
      <c r="EOL782" s="268"/>
      <c r="EOM782" s="268"/>
      <c r="EON782" s="268"/>
      <c r="EOO782" s="268"/>
      <c r="EOP782" s="268"/>
      <c r="EOQ782" s="268"/>
      <c r="EOR782" s="268"/>
      <c r="EOS782" s="268"/>
      <c r="EOT782" s="268"/>
      <c r="EOU782" s="268"/>
      <c r="EOV782" s="268"/>
      <c r="EOW782" s="268"/>
      <c r="EOX782" s="268"/>
      <c r="EOY782" s="268"/>
      <c r="EOZ782" s="268"/>
      <c r="EPA782" s="268"/>
      <c r="EPB782" s="268"/>
      <c r="EPC782" s="268"/>
      <c r="EPD782" s="268"/>
      <c r="EPE782" s="268"/>
      <c r="EPF782" s="268"/>
      <c r="EPG782" s="268"/>
      <c r="EPH782" s="268"/>
      <c r="EPI782" s="268"/>
      <c r="EPJ782" s="268"/>
      <c r="EPK782" s="268"/>
      <c r="EPL782" s="268"/>
      <c r="EPM782" s="268"/>
      <c r="EPN782" s="268"/>
      <c r="EPO782" s="268"/>
      <c r="EPP782" s="268"/>
      <c r="EPQ782" s="268"/>
      <c r="EPR782" s="268"/>
      <c r="EPS782" s="268"/>
      <c r="EPT782" s="268"/>
      <c r="EPU782" s="268"/>
      <c r="EPV782" s="268"/>
      <c r="EPW782" s="268"/>
      <c r="EPX782" s="268"/>
      <c r="EPY782" s="268"/>
      <c r="EPZ782" s="268"/>
      <c r="EQA782" s="268"/>
      <c r="EQB782" s="268"/>
      <c r="EQC782" s="268"/>
      <c r="EQD782" s="268"/>
      <c r="EQE782" s="268"/>
      <c r="EQF782" s="268"/>
      <c r="EQG782" s="268"/>
      <c r="EQH782" s="268"/>
      <c r="EQI782" s="268"/>
      <c r="EQW782" s="268"/>
      <c r="EQX782" s="268"/>
      <c r="EQY782" s="268"/>
      <c r="ERM782" s="268"/>
      <c r="ERO782" s="268"/>
      <c r="ERP782" s="268"/>
      <c r="ERQ782" s="268"/>
      <c r="ERR782" s="268"/>
      <c r="ERS782" s="268"/>
      <c r="ERT782" s="268"/>
      <c r="ERU782" s="268"/>
      <c r="ERV782" s="268"/>
      <c r="ERW782" s="268"/>
      <c r="ERX782" s="268"/>
      <c r="ERY782" s="268"/>
      <c r="ERZ782" s="268"/>
      <c r="ESA782" s="268"/>
      <c r="ESB782" s="268"/>
      <c r="ESC782" s="268"/>
      <c r="ESD782" s="268"/>
      <c r="ESE782" s="268"/>
      <c r="ESF782" s="268"/>
      <c r="ESG782" s="268"/>
      <c r="ESH782" s="268"/>
      <c r="ESI782" s="268"/>
      <c r="ESJ782" s="268"/>
      <c r="ESK782" s="268"/>
      <c r="ESL782" s="268"/>
      <c r="ESM782" s="268"/>
      <c r="ESN782" s="268"/>
      <c r="ESO782" s="268"/>
      <c r="ESP782" s="268"/>
      <c r="ESQ782" s="268"/>
      <c r="ESR782" s="268"/>
      <c r="ESS782" s="268"/>
      <c r="EST782" s="268"/>
      <c r="ESU782" s="268"/>
      <c r="ESV782" s="268"/>
      <c r="ESW782" s="268"/>
      <c r="ESX782" s="268"/>
      <c r="ESY782" s="268"/>
      <c r="ESZ782" s="268"/>
      <c r="ETA782" s="268"/>
      <c r="ETB782" s="268"/>
      <c r="ETC782" s="268"/>
      <c r="ETD782" s="268"/>
      <c r="ETE782" s="268"/>
      <c r="ETF782" s="268"/>
      <c r="ETG782" s="268"/>
      <c r="ETH782" s="268"/>
      <c r="ETI782" s="268"/>
      <c r="ETJ782" s="268"/>
      <c r="ETK782" s="268"/>
      <c r="ETL782" s="268"/>
      <c r="ETM782" s="268"/>
      <c r="ETN782" s="268"/>
      <c r="ETO782" s="268"/>
      <c r="ETP782" s="268"/>
      <c r="ETQ782" s="268"/>
      <c r="ETR782" s="268"/>
      <c r="ETS782" s="268"/>
      <c r="ETT782" s="268"/>
      <c r="ETU782" s="268"/>
      <c r="ETV782" s="268"/>
      <c r="ETW782" s="268"/>
      <c r="ETX782" s="268"/>
      <c r="ETY782" s="268"/>
      <c r="ETZ782" s="268"/>
      <c r="EUA782" s="268"/>
      <c r="EUB782" s="268"/>
      <c r="EUC782" s="268"/>
      <c r="EUD782" s="268"/>
      <c r="EUE782" s="268"/>
      <c r="EUF782" s="268"/>
      <c r="EUG782" s="268"/>
      <c r="EUH782" s="268"/>
      <c r="EUI782" s="268"/>
      <c r="EUJ782" s="268"/>
      <c r="EUK782" s="268"/>
      <c r="EUL782" s="268"/>
      <c r="EUM782" s="268"/>
      <c r="EUN782" s="268"/>
      <c r="EUO782" s="268"/>
      <c r="EUP782" s="268"/>
      <c r="EUQ782" s="268"/>
      <c r="EUR782" s="268"/>
      <c r="EUS782" s="268"/>
      <c r="EUT782" s="268"/>
      <c r="EUU782" s="268"/>
      <c r="EUV782" s="268"/>
      <c r="EUW782" s="268"/>
      <c r="EUX782" s="268"/>
      <c r="EUY782" s="268"/>
      <c r="EUZ782" s="268"/>
      <c r="EVA782" s="268"/>
      <c r="EVB782" s="268"/>
      <c r="EVC782" s="268"/>
      <c r="EVD782" s="268"/>
      <c r="EVE782" s="268"/>
      <c r="EVF782" s="268"/>
      <c r="EVG782" s="268"/>
      <c r="EVH782" s="268"/>
      <c r="EVI782" s="268"/>
      <c r="EVJ782" s="268"/>
      <c r="EVK782" s="268"/>
      <c r="EVL782" s="268"/>
      <c r="EVM782" s="268"/>
      <c r="EVN782" s="268"/>
      <c r="EVO782" s="268"/>
      <c r="EVP782" s="268"/>
      <c r="EVQ782" s="268"/>
      <c r="EVR782" s="268"/>
      <c r="EVS782" s="268"/>
      <c r="EVT782" s="268"/>
      <c r="EVU782" s="268"/>
      <c r="EVV782" s="268"/>
      <c r="EVW782" s="268"/>
      <c r="EVX782" s="268"/>
      <c r="EVY782" s="268"/>
      <c r="EVZ782" s="268"/>
      <c r="EWA782" s="268"/>
      <c r="EWB782" s="268"/>
      <c r="EWC782" s="268"/>
      <c r="EWD782" s="268"/>
      <c r="EWE782" s="268"/>
      <c r="EWF782" s="268"/>
      <c r="EWG782" s="268"/>
      <c r="EWH782" s="268"/>
      <c r="EWI782" s="268"/>
      <c r="EWJ782" s="268"/>
      <c r="EWK782" s="268"/>
      <c r="EWL782" s="268"/>
      <c r="EWM782" s="268"/>
      <c r="EWN782" s="268"/>
      <c r="EWO782" s="268"/>
      <c r="EWP782" s="268"/>
      <c r="EWQ782" s="268"/>
      <c r="EWR782" s="268"/>
      <c r="EWS782" s="268"/>
      <c r="EWT782" s="268"/>
      <c r="EWU782" s="268"/>
      <c r="EWV782" s="268"/>
      <c r="EWW782" s="268"/>
      <c r="EWX782" s="268"/>
      <c r="EWY782" s="268"/>
      <c r="EWZ782" s="268"/>
      <c r="EXA782" s="268"/>
      <c r="EXB782" s="268"/>
      <c r="EXC782" s="268"/>
      <c r="EXD782" s="268"/>
      <c r="EXE782" s="268"/>
      <c r="EXF782" s="268"/>
      <c r="EXG782" s="268"/>
      <c r="EXH782" s="268"/>
      <c r="EXI782" s="268"/>
      <c r="EXJ782" s="268"/>
      <c r="EXK782" s="268"/>
      <c r="EXL782" s="268"/>
      <c r="EXM782" s="268"/>
      <c r="EXN782" s="268"/>
      <c r="EXO782" s="268"/>
      <c r="EXP782" s="268"/>
      <c r="EXQ782" s="268"/>
      <c r="EXR782" s="268"/>
      <c r="EXS782" s="268"/>
      <c r="EXT782" s="268"/>
      <c r="EXU782" s="268"/>
      <c r="EXV782" s="268"/>
      <c r="EXW782" s="268"/>
      <c r="EXX782" s="268"/>
      <c r="EXY782" s="268"/>
      <c r="EXZ782" s="268"/>
      <c r="EYA782" s="268"/>
      <c r="EYB782" s="268"/>
      <c r="EYC782" s="268"/>
      <c r="EYD782" s="268"/>
      <c r="EYE782" s="268"/>
      <c r="EYF782" s="268"/>
      <c r="EYG782" s="268"/>
      <c r="EYH782" s="268"/>
      <c r="EYI782" s="268"/>
      <c r="EYJ782" s="268"/>
      <c r="EYK782" s="268"/>
      <c r="EYL782" s="268"/>
      <c r="EYM782" s="268"/>
      <c r="EYN782" s="268"/>
      <c r="EYO782" s="268"/>
      <c r="EYP782" s="268"/>
      <c r="EYQ782" s="268"/>
      <c r="EYR782" s="268"/>
      <c r="EYS782" s="268"/>
      <c r="EYT782" s="268"/>
      <c r="EYU782" s="268"/>
      <c r="EYV782" s="268"/>
      <c r="EYW782" s="268"/>
      <c r="EYX782" s="268"/>
      <c r="EYY782" s="268"/>
      <c r="EYZ782" s="268"/>
      <c r="EZA782" s="268"/>
      <c r="EZB782" s="268"/>
      <c r="EZC782" s="268"/>
      <c r="EZD782" s="268"/>
      <c r="EZE782" s="268"/>
      <c r="EZF782" s="268"/>
      <c r="EZG782" s="268"/>
      <c r="EZH782" s="268"/>
      <c r="EZI782" s="268"/>
      <c r="EZJ782" s="268"/>
      <c r="EZK782" s="268"/>
      <c r="EZL782" s="268"/>
      <c r="EZM782" s="268"/>
      <c r="EZN782" s="268"/>
      <c r="EZO782" s="268"/>
      <c r="EZP782" s="268"/>
      <c r="EZQ782" s="268"/>
      <c r="EZR782" s="268"/>
      <c r="EZS782" s="268"/>
      <c r="EZT782" s="268"/>
      <c r="EZU782" s="268"/>
      <c r="EZV782" s="268"/>
      <c r="EZW782" s="268"/>
      <c r="EZX782" s="268"/>
      <c r="EZY782" s="268"/>
      <c r="EZZ782" s="268"/>
      <c r="FAA782" s="268"/>
      <c r="FAB782" s="268"/>
      <c r="FAC782" s="268"/>
      <c r="FAD782" s="268"/>
      <c r="FAE782" s="268"/>
      <c r="FAS782" s="268"/>
      <c r="FAT782" s="268"/>
      <c r="FAU782" s="268"/>
      <c r="FBI782" s="268"/>
      <c r="FBK782" s="268"/>
      <c r="FBL782" s="268"/>
      <c r="FBM782" s="268"/>
      <c r="FBN782" s="268"/>
      <c r="FBO782" s="268"/>
      <c r="FBP782" s="268"/>
      <c r="FBQ782" s="268"/>
      <c r="FBR782" s="268"/>
      <c r="FBS782" s="268"/>
      <c r="FBT782" s="268"/>
      <c r="FBU782" s="268"/>
      <c r="FBV782" s="268"/>
      <c r="FBW782" s="268"/>
      <c r="FBX782" s="268"/>
      <c r="FBY782" s="268"/>
      <c r="FBZ782" s="268"/>
      <c r="FCA782" s="268"/>
      <c r="FCB782" s="268"/>
      <c r="FCC782" s="268"/>
      <c r="FCD782" s="268"/>
      <c r="FCE782" s="268"/>
      <c r="FCF782" s="268"/>
      <c r="FCG782" s="268"/>
      <c r="FCH782" s="268"/>
      <c r="FCI782" s="268"/>
      <c r="FCJ782" s="268"/>
      <c r="FCK782" s="268"/>
      <c r="FCL782" s="268"/>
      <c r="FCM782" s="268"/>
      <c r="FCN782" s="268"/>
      <c r="FCO782" s="268"/>
      <c r="FCP782" s="268"/>
      <c r="FCQ782" s="268"/>
      <c r="FCR782" s="268"/>
      <c r="FCS782" s="268"/>
      <c r="FCT782" s="268"/>
      <c r="FCU782" s="268"/>
      <c r="FCV782" s="268"/>
      <c r="FCW782" s="268"/>
      <c r="FCX782" s="268"/>
      <c r="FCY782" s="268"/>
      <c r="FCZ782" s="268"/>
      <c r="FDA782" s="268"/>
      <c r="FDB782" s="268"/>
      <c r="FDC782" s="268"/>
      <c r="FDD782" s="268"/>
      <c r="FDE782" s="268"/>
      <c r="FDF782" s="268"/>
      <c r="FDG782" s="268"/>
      <c r="FDH782" s="268"/>
      <c r="FDI782" s="268"/>
      <c r="FDJ782" s="268"/>
      <c r="FDK782" s="268"/>
      <c r="FDL782" s="268"/>
      <c r="FDM782" s="268"/>
      <c r="FDN782" s="268"/>
      <c r="FDO782" s="268"/>
      <c r="FDP782" s="268"/>
      <c r="FDQ782" s="268"/>
      <c r="FDR782" s="268"/>
      <c r="FDS782" s="268"/>
      <c r="FDT782" s="268"/>
      <c r="FDU782" s="268"/>
      <c r="FDV782" s="268"/>
      <c r="FDW782" s="268"/>
      <c r="FDX782" s="268"/>
      <c r="FDY782" s="268"/>
      <c r="FDZ782" s="268"/>
      <c r="FEA782" s="268"/>
      <c r="FEB782" s="268"/>
      <c r="FEC782" s="268"/>
      <c r="FED782" s="268"/>
      <c r="FEE782" s="268"/>
      <c r="FEF782" s="268"/>
      <c r="FEG782" s="268"/>
      <c r="FEH782" s="268"/>
      <c r="FEI782" s="268"/>
      <c r="FEJ782" s="268"/>
      <c r="FEK782" s="268"/>
      <c r="FEL782" s="268"/>
      <c r="FEM782" s="268"/>
      <c r="FEN782" s="268"/>
      <c r="FEO782" s="268"/>
      <c r="FEP782" s="268"/>
      <c r="FEQ782" s="268"/>
      <c r="FER782" s="268"/>
      <c r="FES782" s="268"/>
      <c r="FET782" s="268"/>
      <c r="FEU782" s="268"/>
      <c r="FEV782" s="268"/>
      <c r="FEW782" s="268"/>
      <c r="FEX782" s="268"/>
      <c r="FEY782" s="268"/>
      <c r="FEZ782" s="268"/>
      <c r="FFA782" s="268"/>
      <c r="FFB782" s="268"/>
      <c r="FFC782" s="268"/>
      <c r="FFD782" s="268"/>
      <c r="FFE782" s="268"/>
      <c r="FFF782" s="268"/>
      <c r="FFG782" s="268"/>
      <c r="FFH782" s="268"/>
      <c r="FFI782" s="268"/>
      <c r="FFJ782" s="268"/>
      <c r="FFK782" s="268"/>
      <c r="FFL782" s="268"/>
      <c r="FFM782" s="268"/>
      <c r="FFN782" s="268"/>
      <c r="FFO782" s="268"/>
      <c r="FFP782" s="268"/>
      <c r="FFQ782" s="268"/>
      <c r="FFR782" s="268"/>
      <c r="FFS782" s="268"/>
      <c r="FFT782" s="268"/>
      <c r="FFU782" s="268"/>
      <c r="FFV782" s="268"/>
      <c r="FFW782" s="268"/>
      <c r="FFX782" s="268"/>
      <c r="FFY782" s="268"/>
      <c r="FFZ782" s="268"/>
      <c r="FGA782" s="268"/>
      <c r="FGB782" s="268"/>
      <c r="FGC782" s="268"/>
      <c r="FGD782" s="268"/>
      <c r="FGE782" s="268"/>
      <c r="FGF782" s="268"/>
      <c r="FGG782" s="268"/>
      <c r="FGH782" s="268"/>
      <c r="FGI782" s="268"/>
      <c r="FGJ782" s="268"/>
      <c r="FGK782" s="268"/>
      <c r="FGL782" s="268"/>
      <c r="FGM782" s="268"/>
      <c r="FGN782" s="268"/>
      <c r="FGO782" s="268"/>
      <c r="FGP782" s="268"/>
      <c r="FGQ782" s="268"/>
      <c r="FGR782" s="268"/>
      <c r="FGS782" s="268"/>
      <c r="FGT782" s="268"/>
      <c r="FGU782" s="268"/>
      <c r="FGV782" s="268"/>
      <c r="FGW782" s="268"/>
      <c r="FGX782" s="268"/>
      <c r="FGY782" s="268"/>
      <c r="FGZ782" s="268"/>
      <c r="FHA782" s="268"/>
      <c r="FHB782" s="268"/>
      <c r="FHC782" s="268"/>
      <c r="FHD782" s="268"/>
      <c r="FHE782" s="268"/>
      <c r="FHF782" s="268"/>
      <c r="FHG782" s="268"/>
      <c r="FHH782" s="268"/>
      <c r="FHI782" s="268"/>
      <c r="FHJ782" s="268"/>
      <c r="FHK782" s="268"/>
      <c r="FHL782" s="268"/>
      <c r="FHM782" s="268"/>
      <c r="FHN782" s="268"/>
      <c r="FHO782" s="268"/>
      <c r="FHP782" s="268"/>
      <c r="FHQ782" s="268"/>
      <c r="FHR782" s="268"/>
      <c r="FHS782" s="268"/>
      <c r="FHT782" s="268"/>
      <c r="FHU782" s="268"/>
      <c r="FHV782" s="268"/>
      <c r="FHW782" s="268"/>
      <c r="FHX782" s="268"/>
      <c r="FHY782" s="268"/>
      <c r="FHZ782" s="268"/>
      <c r="FIA782" s="268"/>
      <c r="FIB782" s="268"/>
      <c r="FIC782" s="268"/>
      <c r="FID782" s="268"/>
      <c r="FIE782" s="268"/>
      <c r="FIF782" s="268"/>
      <c r="FIG782" s="268"/>
      <c r="FIH782" s="268"/>
      <c r="FII782" s="268"/>
      <c r="FIJ782" s="268"/>
      <c r="FIK782" s="268"/>
      <c r="FIL782" s="268"/>
      <c r="FIM782" s="268"/>
      <c r="FIN782" s="268"/>
      <c r="FIO782" s="268"/>
      <c r="FIP782" s="268"/>
      <c r="FIQ782" s="268"/>
      <c r="FIR782" s="268"/>
      <c r="FIS782" s="268"/>
      <c r="FIT782" s="268"/>
      <c r="FIU782" s="268"/>
      <c r="FIV782" s="268"/>
      <c r="FIW782" s="268"/>
      <c r="FIX782" s="268"/>
      <c r="FIY782" s="268"/>
      <c r="FIZ782" s="268"/>
      <c r="FJA782" s="268"/>
      <c r="FJB782" s="268"/>
      <c r="FJC782" s="268"/>
      <c r="FJD782" s="268"/>
      <c r="FJE782" s="268"/>
      <c r="FJF782" s="268"/>
      <c r="FJG782" s="268"/>
      <c r="FJH782" s="268"/>
      <c r="FJI782" s="268"/>
      <c r="FJJ782" s="268"/>
      <c r="FJK782" s="268"/>
      <c r="FJL782" s="268"/>
      <c r="FJM782" s="268"/>
      <c r="FJN782" s="268"/>
      <c r="FJO782" s="268"/>
      <c r="FJP782" s="268"/>
      <c r="FJQ782" s="268"/>
      <c r="FJR782" s="268"/>
      <c r="FJS782" s="268"/>
      <c r="FJT782" s="268"/>
      <c r="FJU782" s="268"/>
      <c r="FJV782" s="268"/>
      <c r="FJW782" s="268"/>
      <c r="FJX782" s="268"/>
      <c r="FJY782" s="268"/>
      <c r="FJZ782" s="268"/>
      <c r="FKA782" s="268"/>
      <c r="FKO782" s="268"/>
      <c r="FKP782" s="268"/>
      <c r="FKQ782" s="268"/>
      <c r="FLE782" s="268"/>
      <c r="FLG782" s="268"/>
      <c r="FLH782" s="268"/>
      <c r="FLI782" s="268"/>
      <c r="FLJ782" s="268"/>
      <c r="FLK782" s="268"/>
      <c r="FLL782" s="268"/>
      <c r="FLM782" s="268"/>
      <c r="FLN782" s="268"/>
      <c r="FLO782" s="268"/>
      <c r="FLP782" s="268"/>
      <c r="FLQ782" s="268"/>
      <c r="FLR782" s="268"/>
      <c r="FLS782" s="268"/>
      <c r="FLT782" s="268"/>
      <c r="FLU782" s="268"/>
      <c r="FLV782" s="268"/>
      <c r="FLW782" s="268"/>
      <c r="FLX782" s="268"/>
      <c r="FLY782" s="268"/>
      <c r="FLZ782" s="268"/>
      <c r="FMA782" s="268"/>
      <c r="FMB782" s="268"/>
      <c r="FMC782" s="268"/>
      <c r="FMD782" s="268"/>
      <c r="FME782" s="268"/>
      <c r="FMF782" s="268"/>
      <c r="FMG782" s="268"/>
      <c r="FMH782" s="268"/>
      <c r="FMI782" s="268"/>
      <c r="FMJ782" s="268"/>
      <c r="FMK782" s="268"/>
      <c r="FML782" s="268"/>
      <c r="FMM782" s="268"/>
      <c r="FMN782" s="268"/>
      <c r="FMO782" s="268"/>
      <c r="FMP782" s="268"/>
      <c r="FMQ782" s="268"/>
      <c r="FMR782" s="268"/>
      <c r="FMS782" s="268"/>
      <c r="FMT782" s="268"/>
      <c r="FMU782" s="268"/>
      <c r="FMV782" s="268"/>
      <c r="FMW782" s="268"/>
      <c r="FMX782" s="268"/>
      <c r="FMY782" s="268"/>
      <c r="FMZ782" s="268"/>
      <c r="FNA782" s="268"/>
      <c r="FNB782" s="268"/>
      <c r="FNC782" s="268"/>
      <c r="FND782" s="268"/>
      <c r="FNE782" s="268"/>
      <c r="FNF782" s="268"/>
      <c r="FNG782" s="268"/>
      <c r="FNH782" s="268"/>
      <c r="FNI782" s="268"/>
      <c r="FNJ782" s="268"/>
      <c r="FNK782" s="268"/>
      <c r="FNL782" s="268"/>
      <c r="FNM782" s="268"/>
      <c r="FNN782" s="268"/>
      <c r="FNO782" s="268"/>
      <c r="FNP782" s="268"/>
      <c r="FNQ782" s="268"/>
      <c r="FNR782" s="268"/>
      <c r="FNS782" s="268"/>
      <c r="FNT782" s="268"/>
      <c r="FNU782" s="268"/>
      <c r="FNV782" s="268"/>
      <c r="FNW782" s="268"/>
      <c r="FNX782" s="268"/>
      <c r="FNY782" s="268"/>
      <c r="FNZ782" s="268"/>
      <c r="FOA782" s="268"/>
      <c r="FOB782" s="268"/>
      <c r="FOC782" s="268"/>
      <c r="FOD782" s="268"/>
      <c r="FOE782" s="268"/>
      <c r="FOF782" s="268"/>
      <c r="FOG782" s="268"/>
      <c r="FOH782" s="268"/>
      <c r="FOI782" s="268"/>
      <c r="FOJ782" s="268"/>
      <c r="FOK782" s="268"/>
      <c r="FOL782" s="268"/>
      <c r="FOM782" s="268"/>
      <c r="FON782" s="268"/>
      <c r="FOO782" s="268"/>
      <c r="FOP782" s="268"/>
      <c r="FOQ782" s="268"/>
      <c r="FOR782" s="268"/>
      <c r="FOS782" s="268"/>
      <c r="FOT782" s="268"/>
      <c r="FOU782" s="268"/>
      <c r="FOV782" s="268"/>
      <c r="FOW782" s="268"/>
      <c r="FOX782" s="268"/>
      <c r="FOY782" s="268"/>
      <c r="FOZ782" s="268"/>
      <c r="FPA782" s="268"/>
      <c r="FPB782" s="268"/>
      <c r="FPC782" s="268"/>
      <c r="FPD782" s="268"/>
      <c r="FPE782" s="268"/>
      <c r="FPF782" s="268"/>
      <c r="FPG782" s="268"/>
      <c r="FPH782" s="268"/>
      <c r="FPI782" s="268"/>
      <c r="FPJ782" s="268"/>
      <c r="FPK782" s="268"/>
      <c r="FPL782" s="268"/>
      <c r="FPM782" s="268"/>
      <c r="FPN782" s="268"/>
      <c r="FPO782" s="268"/>
      <c r="FPP782" s="268"/>
      <c r="FPQ782" s="268"/>
      <c r="FPR782" s="268"/>
      <c r="FPS782" s="268"/>
      <c r="FPT782" s="268"/>
      <c r="FPU782" s="268"/>
      <c r="FPV782" s="268"/>
      <c r="FPW782" s="268"/>
      <c r="FPX782" s="268"/>
      <c r="FPY782" s="268"/>
      <c r="FPZ782" s="268"/>
      <c r="FQA782" s="268"/>
      <c r="FQB782" s="268"/>
      <c r="FQC782" s="268"/>
      <c r="FQD782" s="268"/>
      <c r="FQE782" s="268"/>
      <c r="FQF782" s="268"/>
      <c r="FQG782" s="268"/>
      <c r="FQH782" s="268"/>
      <c r="FQI782" s="268"/>
      <c r="FQJ782" s="268"/>
      <c r="FQK782" s="268"/>
      <c r="FQL782" s="268"/>
      <c r="FQM782" s="268"/>
      <c r="FQN782" s="268"/>
      <c r="FQO782" s="268"/>
      <c r="FQP782" s="268"/>
      <c r="FQQ782" s="268"/>
      <c r="FQR782" s="268"/>
      <c r="FQS782" s="268"/>
      <c r="FQT782" s="268"/>
      <c r="FQU782" s="268"/>
      <c r="FQV782" s="268"/>
      <c r="FQW782" s="268"/>
      <c r="FQX782" s="268"/>
      <c r="FQY782" s="268"/>
      <c r="FQZ782" s="268"/>
      <c r="FRA782" s="268"/>
      <c r="FRB782" s="268"/>
      <c r="FRC782" s="268"/>
      <c r="FRD782" s="268"/>
      <c r="FRE782" s="268"/>
      <c r="FRF782" s="268"/>
      <c r="FRG782" s="268"/>
      <c r="FRH782" s="268"/>
      <c r="FRI782" s="268"/>
      <c r="FRJ782" s="268"/>
      <c r="FRK782" s="268"/>
      <c r="FRL782" s="268"/>
      <c r="FRM782" s="268"/>
      <c r="FRN782" s="268"/>
      <c r="FRO782" s="268"/>
      <c r="FRP782" s="268"/>
      <c r="FRQ782" s="268"/>
      <c r="FRR782" s="268"/>
      <c r="FRS782" s="268"/>
      <c r="FRT782" s="268"/>
      <c r="FRU782" s="268"/>
      <c r="FRV782" s="268"/>
      <c r="FRW782" s="268"/>
      <c r="FRX782" s="268"/>
      <c r="FRY782" s="268"/>
      <c r="FRZ782" s="268"/>
      <c r="FSA782" s="268"/>
      <c r="FSB782" s="268"/>
      <c r="FSC782" s="268"/>
      <c r="FSD782" s="268"/>
      <c r="FSE782" s="268"/>
      <c r="FSF782" s="268"/>
      <c r="FSG782" s="268"/>
      <c r="FSH782" s="268"/>
      <c r="FSI782" s="268"/>
      <c r="FSJ782" s="268"/>
      <c r="FSK782" s="268"/>
      <c r="FSL782" s="268"/>
      <c r="FSM782" s="268"/>
      <c r="FSN782" s="268"/>
      <c r="FSO782" s="268"/>
      <c r="FSP782" s="268"/>
      <c r="FSQ782" s="268"/>
      <c r="FSR782" s="268"/>
      <c r="FSS782" s="268"/>
      <c r="FST782" s="268"/>
      <c r="FSU782" s="268"/>
      <c r="FSV782" s="268"/>
      <c r="FSW782" s="268"/>
      <c r="FSX782" s="268"/>
      <c r="FSY782" s="268"/>
      <c r="FSZ782" s="268"/>
      <c r="FTA782" s="268"/>
      <c r="FTB782" s="268"/>
      <c r="FTC782" s="268"/>
      <c r="FTD782" s="268"/>
      <c r="FTE782" s="268"/>
      <c r="FTF782" s="268"/>
      <c r="FTG782" s="268"/>
      <c r="FTH782" s="268"/>
      <c r="FTI782" s="268"/>
      <c r="FTJ782" s="268"/>
      <c r="FTK782" s="268"/>
      <c r="FTL782" s="268"/>
      <c r="FTM782" s="268"/>
      <c r="FTN782" s="268"/>
      <c r="FTO782" s="268"/>
      <c r="FTP782" s="268"/>
      <c r="FTQ782" s="268"/>
      <c r="FTR782" s="268"/>
      <c r="FTS782" s="268"/>
      <c r="FTT782" s="268"/>
      <c r="FTU782" s="268"/>
      <c r="FTV782" s="268"/>
      <c r="FTW782" s="268"/>
      <c r="FUK782" s="268"/>
      <c r="FUL782" s="268"/>
      <c r="FUM782" s="268"/>
      <c r="FVA782" s="268"/>
      <c r="FVC782" s="268"/>
      <c r="FVD782" s="268"/>
      <c r="FVE782" s="268"/>
      <c r="FVF782" s="268"/>
      <c r="FVG782" s="268"/>
      <c r="FVH782" s="268"/>
      <c r="FVI782" s="268"/>
      <c r="FVJ782" s="268"/>
      <c r="FVK782" s="268"/>
      <c r="FVL782" s="268"/>
      <c r="FVM782" s="268"/>
      <c r="FVN782" s="268"/>
      <c r="FVO782" s="268"/>
      <c r="FVP782" s="268"/>
      <c r="FVQ782" s="268"/>
      <c r="FVR782" s="268"/>
      <c r="FVS782" s="268"/>
      <c r="FVT782" s="268"/>
      <c r="FVU782" s="268"/>
      <c r="FVV782" s="268"/>
      <c r="FVW782" s="268"/>
      <c r="FVX782" s="268"/>
      <c r="FVY782" s="268"/>
      <c r="FVZ782" s="268"/>
      <c r="FWA782" s="268"/>
      <c r="FWB782" s="268"/>
      <c r="FWC782" s="268"/>
      <c r="FWD782" s="268"/>
      <c r="FWE782" s="268"/>
      <c r="FWF782" s="268"/>
      <c r="FWG782" s="268"/>
      <c r="FWH782" s="268"/>
      <c r="FWI782" s="268"/>
      <c r="FWJ782" s="268"/>
      <c r="FWK782" s="268"/>
      <c r="FWL782" s="268"/>
      <c r="FWM782" s="268"/>
      <c r="FWN782" s="268"/>
      <c r="FWO782" s="268"/>
      <c r="FWP782" s="268"/>
      <c r="FWQ782" s="268"/>
      <c r="FWR782" s="268"/>
      <c r="FWS782" s="268"/>
      <c r="FWT782" s="268"/>
      <c r="FWU782" s="268"/>
      <c r="FWV782" s="268"/>
      <c r="FWW782" s="268"/>
      <c r="FWX782" s="268"/>
      <c r="FWY782" s="268"/>
      <c r="FWZ782" s="268"/>
      <c r="FXA782" s="268"/>
      <c r="FXB782" s="268"/>
      <c r="FXC782" s="268"/>
      <c r="FXD782" s="268"/>
      <c r="FXE782" s="268"/>
      <c r="FXF782" s="268"/>
      <c r="FXG782" s="268"/>
      <c r="FXH782" s="268"/>
      <c r="FXI782" s="268"/>
      <c r="FXJ782" s="268"/>
      <c r="FXK782" s="268"/>
      <c r="FXL782" s="268"/>
      <c r="FXM782" s="268"/>
      <c r="FXN782" s="268"/>
      <c r="FXO782" s="268"/>
      <c r="FXP782" s="268"/>
      <c r="FXQ782" s="268"/>
      <c r="FXR782" s="268"/>
      <c r="FXS782" s="268"/>
      <c r="FXT782" s="268"/>
      <c r="FXU782" s="268"/>
      <c r="FXV782" s="268"/>
      <c r="FXW782" s="268"/>
      <c r="FXX782" s="268"/>
      <c r="FXY782" s="268"/>
      <c r="FXZ782" s="268"/>
      <c r="FYA782" s="268"/>
      <c r="FYB782" s="268"/>
      <c r="FYC782" s="268"/>
      <c r="FYD782" s="268"/>
      <c r="FYE782" s="268"/>
      <c r="FYF782" s="268"/>
      <c r="FYG782" s="268"/>
      <c r="FYH782" s="268"/>
      <c r="FYI782" s="268"/>
      <c r="FYJ782" s="268"/>
      <c r="FYK782" s="268"/>
      <c r="FYL782" s="268"/>
      <c r="FYM782" s="268"/>
      <c r="FYN782" s="268"/>
      <c r="FYO782" s="268"/>
      <c r="FYP782" s="268"/>
      <c r="FYQ782" s="268"/>
      <c r="FYR782" s="268"/>
      <c r="FYS782" s="268"/>
      <c r="FYT782" s="268"/>
      <c r="FYU782" s="268"/>
      <c r="FYV782" s="268"/>
      <c r="FYW782" s="268"/>
      <c r="FYX782" s="268"/>
      <c r="FYY782" s="268"/>
      <c r="FYZ782" s="268"/>
      <c r="FZA782" s="268"/>
      <c r="FZB782" s="268"/>
      <c r="FZC782" s="268"/>
      <c r="FZD782" s="268"/>
      <c r="FZE782" s="268"/>
      <c r="FZF782" s="268"/>
      <c r="FZG782" s="268"/>
      <c r="FZH782" s="268"/>
      <c r="FZI782" s="268"/>
      <c r="FZJ782" s="268"/>
      <c r="FZK782" s="268"/>
      <c r="FZL782" s="268"/>
      <c r="FZM782" s="268"/>
      <c r="FZN782" s="268"/>
      <c r="FZO782" s="268"/>
      <c r="FZP782" s="268"/>
      <c r="FZQ782" s="268"/>
      <c r="FZR782" s="268"/>
      <c r="FZS782" s="268"/>
      <c r="FZT782" s="268"/>
      <c r="FZU782" s="268"/>
      <c r="FZV782" s="268"/>
      <c r="FZW782" s="268"/>
      <c r="FZX782" s="268"/>
      <c r="FZY782" s="268"/>
      <c r="FZZ782" s="268"/>
      <c r="GAA782" s="268"/>
      <c r="GAB782" s="268"/>
      <c r="GAC782" s="268"/>
      <c r="GAD782" s="268"/>
      <c r="GAE782" s="268"/>
      <c r="GAF782" s="268"/>
      <c r="GAG782" s="268"/>
      <c r="GAH782" s="268"/>
      <c r="GAI782" s="268"/>
      <c r="GAJ782" s="268"/>
      <c r="GAK782" s="268"/>
      <c r="GAL782" s="268"/>
      <c r="GAM782" s="268"/>
      <c r="GAN782" s="268"/>
      <c r="GAO782" s="268"/>
      <c r="GAP782" s="268"/>
      <c r="GAQ782" s="268"/>
      <c r="GAR782" s="268"/>
      <c r="GAS782" s="268"/>
      <c r="GAT782" s="268"/>
      <c r="GAU782" s="268"/>
      <c r="GAV782" s="268"/>
      <c r="GAW782" s="268"/>
      <c r="GAX782" s="268"/>
      <c r="GAY782" s="268"/>
      <c r="GAZ782" s="268"/>
      <c r="GBA782" s="268"/>
      <c r="GBB782" s="268"/>
      <c r="GBC782" s="268"/>
      <c r="GBD782" s="268"/>
      <c r="GBE782" s="268"/>
      <c r="GBF782" s="268"/>
      <c r="GBG782" s="268"/>
      <c r="GBH782" s="268"/>
      <c r="GBI782" s="268"/>
      <c r="GBJ782" s="268"/>
      <c r="GBK782" s="268"/>
      <c r="GBL782" s="268"/>
      <c r="GBM782" s="268"/>
      <c r="GBN782" s="268"/>
      <c r="GBO782" s="268"/>
      <c r="GBP782" s="268"/>
      <c r="GBQ782" s="268"/>
      <c r="GBR782" s="268"/>
      <c r="GBS782" s="268"/>
      <c r="GBT782" s="268"/>
      <c r="GBU782" s="268"/>
      <c r="GBV782" s="268"/>
      <c r="GBW782" s="268"/>
      <c r="GBX782" s="268"/>
      <c r="GBY782" s="268"/>
      <c r="GBZ782" s="268"/>
      <c r="GCA782" s="268"/>
      <c r="GCB782" s="268"/>
      <c r="GCC782" s="268"/>
      <c r="GCD782" s="268"/>
      <c r="GCE782" s="268"/>
      <c r="GCF782" s="268"/>
      <c r="GCG782" s="268"/>
      <c r="GCH782" s="268"/>
      <c r="GCI782" s="268"/>
      <c r="GCJ782" s="268"/>
      <c r="GCK782" s="268"/>
      <c r="GCL782" s="268"/>
      <c r="GCM782" s="268"/>
      <c r="GCN782" s="268"/>
      <c r="GCO782" s="268"/>
      <c r="GCP782" s="268"/>
      <c r="GCQ782" s="268"/>
      <c r="GCR782" s="268"/>
      <c r="GCS782" s="268"/>
      <c r="GCT782" s="268"/>
      <c r="GCU782" s="268"/>
      <c r="GCV782" s="268"/>
      <c r="GCW782" s="268"/>
      <c r="GCX782" s="268"/>
      <c r="GCY782" s="268"/>
      <c r="GCZ782" s="268"/>
      <c r="GDA782" s="268"/>
      <c r="GDB782" s="268"/>
      <c r="GDC782" s="268"/>
      <c r="GDD782" s="268"/>
      <c r="GDE782" s="268"/>
      <c r="GDF782" s="268"/>
      <c r="GDG782" s="268"/>
      <c r="GDH782" s="268"/>
      <c r="GDI782" s="268"/>
      <c r="GDJ782" s="268"/>
      <c r="GDK782" s="268"/>
      <c r="GDL782" s="268"/>
      <c r="GDM782" s="268"/>
      <c r="GDN782" s="268"/>
      <c r="GDO782" s="268"/>
      <c r="GDP782" s="268"/>
      <c r="GDQ782" s="268"/>
      <c r="GDR782" s="268"/>
      <c r="GDS782" s="268"/>
      <c r="GEG782" s="268"/>
      <c r="GEH782" s="268"/>
      <c r="GEI782" s="268"/>
      <c r="GEW782" s="268"/>
      <c r="GEY782" s="268"/>
      <c r="GEZ782" s="268"/>
      <c r="GFA782" s="268"/>
      <c r="GFB782" s="268"/>
      <c r="GFC782" s="268"/>
      <c r="GFD782" s="268"/>
      <c r="GFE782" s="268"/>
      <c r="GFF782" s="268"/>
      <c r="GFG782" s="268"/>
      <c r="GFH782" s="268"/>
      <c r="GFI782" s="268"/>
      <c r="GFJ782" s="268"/>
      <c r="GFK782" s="268"/>
      <c r="GFL782" s="268"/>
      <c r="GFM782" s="268"/>
      <c r="GFN782" s="268"/>
      <c r="GFO782" s="268"/>
      <c r="GFP782" s="268"/>
      <c r="GFQ782" s="268"/>
      <c r="GFR782" s="268"/>
      <c r="GFS782" s="268"/>
      <c r="GFT782" s="268"/>
      <c r="GFU782" s="268"/>
      <c r="GFV782" s="268"/>
      <c r="GFW782" s="268"/>
      <c r="GFX782" s="268"/>
      <c r="GFY782" s="268"/>
      <c r="GFZ782" s="268"/>
      <c r="GGA782" s="268"/>
      <c r="GGB782" s="268"/>
      <c r="GGC782" s="268"/>
      <c r="GGD782" s="268"/>
      <c r="GGE782" s="268"/>
      <c r="GGF782" s="268"/>
      <c r="GGG782" s="268"/>
      <c r="GGH782" s="268"/>
      <c r="GGI782" s="268"/>
      <c r="GGJ782" s="268"/>
      <c r="GGK782" s="268"/>
      <c r="GGL782" s="268"/>
      <c r="GGM782" s="268"/>
      <c r="GGN782" s="268"/>
      <c r="GGO782" s="268"/>
      <c r="GGP782" s="268"/>
      <c r="GGQ782" s="268"/>
      <c r="GGR782" s="268"/>
      <c r="GGS782" s="268"/>
      <c r="GGT782" s="268"/>
      <c r="GGU782" s="268"/>
      <c r="GGV782" s="268"/>
      <c r="GGW782" s="268"/>
      <c r="GGX782" s="268"/>
      <c r="GGY782" s="268"/>
      <c r="GGZ782" s="268"/>
      <c r="GHA782" s="268"/>
      <c r="GHB782" s="268"/>
      <c r="GHC782" s="268"/>
      <c r="GHD782" s="268"/>
      <c r="GHE782" s="268"/>
      <c r="GHF782" s="268"/>
      <c r="GHG782" s="268"/>
      <c r="GHH782" s="268"/>
      <c r="GHI782" s="268"/>
      <c r="GHJ782" s="268"/>
      <c r="GHK782" s="268"/>
      <c r="GHL782" s="268"/>
      <c r="GHM782" s="268"/>
      <c r="GHN782" s="268"/>
      <c r="GHO782" s="268"/>
      <c r="GHP782" s="268"/>
      <c r="GHQ782" s="268"/>
      <c r="GHR782" s="268"/>
      <c r="GHS782" s="268"/>
      <c r="GHT782" s="268"/>
      <c r="GHU782" s="268"/>
      <c r="GHV782" s="268"/>
      <c r="GHW782" s="268"/>
      <c r="GHX782" s="268"/>
      <c r="GHY782" s="268"/>
      <c r="GHZ782" s="268"/>
      <c r="GIA782" s="268"/>
      <c r="GIB782" s="268"/>
      <c r="GIC782" s="268"/>
      <c r="GID782" s="268"/>
      <c r="GIE782" s="268"/>
      <c r="GIF782" s="268"/>
      <c r="GIG782" s="268"/>
      <c r="GIH782" s="268"/>
      <c r="GII782" s="268"/>
      <c r="GIJ782" s="268"/>
      <c r="GIK782" s="268"/>
      <c r="GIL782" s="268"/>
      <c r="GIM782" s="268"/>
      <c r="GIN782" s="268"/>
      <c r="GIO782" s="268"/>
      <c r="GIP782" s="268"/>
      <c r="GIQ782" s="268"/>
      <c r="GIR782" s="268"/>
      <c r="GIS782" s="268"/>
      <c r="GIT782" s="268"/>
      <c r="GIU782" s="268"/>
      <c r="GIV782" s="268"/>
      <c r="GIW782" s="268"/>
      <c r="GIX782" s="268"/>
      <c r="GIY782" s="268"/>
      <c r="GIZ782" s="268"/>
      <c r="GJA782" s="268"/>
      <c r="GJB782" s="268"/>
      <c r="GJC782" s="268"/>
      <c r="GJD782" s="268"/>
      <c r="GJE782" s="268"/>
      <c r="GJF782" s="268"/>
      <c r="GJG782" s="268"/>
      <c r="GJH782" s="268"/>
      <c r="GJI782" s="268"/>
      <c r="GJJ782" s="268"/>
      <c r="GJK782" s="268"/>
      <c r="GJL782" s="268"/>
      <c r="GJM782" s="268"/>
      <c r="GJN782" s="268"/>
      <c r="GJO782" s="268"/>
      <c r="GJP782" s="268"/>
      <c r="GJQ782" s="268"/>
      <c r="GJR782" s="268"/>
      <c r="GJS782" s="268"/>
      <c r="GJT782" s="268"/>
      <c r="GJU782" s="268"/>
      <c r="GJV782" s="268"/>
      <c r="GJW782" s="268"/>
      <c r="GJX782" s="268"/>
      <c r="GJY782" s="268"/>
      <c r="GJZ782" s="268"/>
      <c r="GKA782" s="268"/>
      <c r="GKB782" s="268"/>
      <c r="GKC782" s="268"/>
      <c r="GKD782" s="268"/>
      <c r="GKE782" s="268"/>
      <c r="GKF782" s="268"/>
      <c r="GKG782" s="268"/>
      <c r="GKH782" s="268"/>
      <c r="GKI782" s="268"/>
      <c r="GKJ782" s="268"/>
      <c r="GKK782" s="268"/>
      <c r="GKL782" s="268"/>
      <c r="GKM782" s="268"/>
      <c r="GKN782" s="268"/>
      <c r="GKO782" s="268"/>
      <c r="GKP782" s="268"/>
      <c r="GKQ782" s="268"/>
      <c r="GKR782" s="268"/>
      <c r="GKS782" s="268"/>
      <c r="GKT782" s="268"/>
      <c r="GKU782" s="268"/>
      <c r="GKV782" s="268"/>
      <c r="GKW782" s="268"/>
      <c r="GKX782" s="268"/>
      <c r="GKY782" s="268"/>
      <c r="GKZ782" s="268"/>
      <c r="GLA782" s="268"/>
      <c r="GLB782" s="268"/>
      <c r="GLC782" s="268"/>
      <c r="GLD782" s="268"/>
      <c r="GLE782" s="268"/>
      <c r="GLF782" s="268"/>
      <c r="GLG782" s="268"/>
      <c r="GLH782" s="268"/>
      <c r="GLI782" s="268"/>
      <c r="GLJ782" s="268"/>
      <c r="GLK782" s="268"/>
      <c r="GLL782" s="268"/>
      <c r="GLM782" s="268"/>
      <c r="GLN782" s="268"/>
      <c r="GLO782" s="268"/>
      <c r="GLP782" s="268"/>
      <c r="GLQ782" s="268"/>
      <c r="GLR782" s="268"/>
      <c r="GLS782" s="268"/>
      <c r="GLT782" s="268"/>
      <c r="GLU782" s="268"/>
      <c r="GLV782" s="268"/>
      <c r="GLW782" s="268"/>
      <c r="GLX782" s="268"/>
      <c r="GLY782" s="268"/>
      <c r="GLZ782" s="268"/>
      <c r="GMA782" s="268"/>
      <c r="GMB782" s="268"/>
      <c r="GMC782" s="268"/>
      <c r="GMD782" s="268"/>
      <c r="GME782" s="268"/>
      <c r="GMF782" s="268"/>
      <c r="GMG782" s="268"/>
      <c r="GMH782" s="268"/>
      <c r="GMI782" s="268"/>
      <c r="GMJ782" s="268"/>
      <c r="GMK782" s="268"/>
      <c r="GML782" s="268"/>
      <c r="GMM782" s="268"/>
      <c r="GMN782" s="268"/>
      <c r="GMO782" s="268"/>
      <c r="GMP782" s="268"/>
      <c r="GMQ782" s="268"/>
      <c r="GMR782" s="268"/>
      <c r="GMS782" s="268"/>
      <c r="GMT782" s="268"/>
      <c r="GMU782" s="268"/>
      <c r="GMV782" s="268"/>
      <c r="GMW782" s="268"/>
      <c r="GMX782" s="268"/>
      <c r="GMY782" s="268"/>
      <c r="GMZ782" s="268"/>
      <c r="GNA782" s="268"/>
      <c r="GNB782" s="268"/>
      <c r="GNC782" s="268"/>
      <c r="GND782" s="268"/>
      <c r="GNE782" s="268"/>
      <c r="GNF782" s="268"/>
      <c r="GNG782" s="268"/>
      <c r="GNH782" s="268"/>
      <c r="GNI782" s="268"/>
      <c r="GNJ782" s="268"/>
      <c r="GNK782" s="268"/>
      <c r="GNL782" s="268"/>
      <c r="GNM782" s="268"/>
      <c r="GNN782" s="268"/>
      <c r="GNO782" s="268"/>
      <c r="GOC782" s="268"/>
      <c r="GOD782" s="268"/>
      <c r="GOE782" s="268"/>
      <c r="GOS782" s="268"/>
      <c r="GOU782" s="268"/>
      <c r="GOV782" s="268"/>
      <c r="GOW782" s="268"/>
      <c r="GOX782" s="268"/>
      <c r="GOY782" s="268"/>
      <c r="GOZ782" s="268"/>
      <c r="GPA782" s="268"/>
      <c r="GPB782" s="268"/>
      <c r="GPC782" s="268"/>
      <c r="GPD782" s="268"/>
      <c r="GPE782" s="268"/>
      <c r="GPF782" s="268"/>
      <c r="GPG782" s="268"/>
      <c r="GPH782" s="268"/>
      <c r="GPI782" s="268"/>
      <c r="GPJ782" s="268"/>
      <c r="GPK782" s="268"/>
      <c r="GPL782" s="268"/>
      <c r="GPM782" s="268"/>
      <c r="GPN782" s="268"/>
      <c r="GPO782" s="268"/>
      <c r="GPP782" s="268"/>
      <c r="GPQ782" s="268"/>
      <c r="GPR782" s="268"/>
      <c r="GPS782" s="268"/>
      <c r="GPT782" s="268"/>
      <c r="GPU782" s="268"/>
      <c r="GPV782" s="268"/>
      <c r="GPW782" s="268"/>
      <c r="GPX782" s="268"/>
      <c r="GPY782" s="268"/>
      <c r="GPZ782" s="268"/>
      <c r="GQA782" s="268"/>
      <c r="GQB782" s="268"/>
      <c r="GQC782" s="268"/>
      <c r="GQD782" s="268"/>
      <c r="GQE782" s="268"/>
      <c r="GQF782" s="268"/>
      <c r="GQG782" s="268"/>
      <c r="GQH782" s="268"/>
      <c r="GQI782" s="268"/>
      <c r="GQJ782" s="268"/>
      <c r="GQK782" s="268"/>
      <c r="GQL782" s="268"/>
      <c r="GQM782" s="268"/>
      <c r="GQN782" s="268"/>
      <c r="GQO782" s="268"/>
      <c r="GQP782" s="268"/>
      <c r="GQQ782" s="268"/>
      <c r="GQR782" s="268"/>
      <c r="GQS782" s="268"/>
      <c r="GQT782" s="268"/>
      <c r="GQU782" s="268"/>
      <c r="GQV782" s="268"/>
      <c r="GQW782" s="268"/>
      <c r="GQX782" s="268"/>
      <c r="GQY782" s="268"/>
      <c r="GQZ782" s="268"/>
      <c r="GRA782" s="268"/>
      <c r="GRB782" s="268"/>
      <c r="GRC782" s="268"/>
      <c r="GRD782" s="268"/>
      <c r="GRE782" s="268"/>
      <c r="GRF782" s="268"/>
      <c r="GRG782" s="268"/>
      <c r="GRH782" s="268"/>
      <c r="GRI782" s="268"/>
      <c r="GRJ782" s="268"/>
      <c r="GRK782" s="268"/>
      <c r="GRL782" s="268"/>
      <c r="GRM782" s="268"/>
      <c r="GRN782" s="268"/>
      <c r="GRO782" s="268"/>
      <c r="GRP782" s="268"/>
      <c r="GRQ782" s="268"/>
      <c r="GRR782" s="268"/>
      <c r="GRS782" s="268"/>
      <c r="GRT782" s="268"/>
      <c r="GRU782" s="268"/>
      <c r="GRV782" s="268"/>
      <c r="GRW782" s="268"/>
      <c r="GRX782" s="268"/>
      <c r="GRY782" s="268"/>
      <c r="GRZ782" s="268"/>
      <c r="GSA782" s="268"/>
      <c r="GSB782" s="268"/>
      <c r="GSC782" s="268"/>
      <c r="GSD782" s="268"/>
      <c r="GSE782" s="268"/>
      <c r="GSF782" s="268"/>
      <c r="GSG782" s="268"/>
      <c r="GSH782" s="268"/>
      <c r="GSI782" s="268"/>
      <c r="GSJ782" s="268"/>
      <c r="GSK782" s="268"/>
      <c r="GSL782" s="268"/>
      <c r="GSM782" s="268"/>
      <c r="GSN782" s="268"/>
      <c r="GSO782" s="268"/>
      <c r="GSP782" s="268"/>
      <c r="GSQ782" s="268"/>
      <c r="GSR782" s="268"/>
      <c r="GSS782" s="268"/>
      <c r="GST782" s="268"/>
      <c r="GSU782" s="268"/>
      <c r="GSV782" s="268"/>
      <c r="GSW782" s="268"/>
      <c r="GSX782" s="268"/>
      <c r="GSY782" s="268"/>
      <c r="GSZ782" s="268"/>
      <c r="GTA782" s="268"/>
      <c r="GTB782" s="268"/>
      <c r="GTC782" s="268"/>
      <c r="GTD782" s="268"/>
      <c r="GTE782" s="268"/>
      <c r="GTF782" s="268"/>
      <c r="GTG782" s="268"/>
      <c r="GTH782" s="268"/>
      <c r="GTI782" s="268"/>
      <c r="GTJ782" s="268"/>
      <c r="GTK782" s="268"/>
      <c r="GTL782" s="268"/>
      <c r="GTM782" s="268"/>
      <c r="GTN782" s="268"/>
      <c r="GTO782" s="268"/>
      <c r="GTP782" s="268"/>
      <c r="GTQ782" s="268"/>
      <c r="GTR782" s="268"/>
      <c r="GTS782" s="268"/>
      <c r="GTT782" s="268"/>
      <c r="GTU782" s="268"/>
      <c r="GTV782" s="268"/>
      <c r="GTW782" s="268"/>
      <c r="GTX782" s="268"/>
      <c r="GTY782" s="268"/>
      <c r="GTZ782" s="268"/>
      <c r="GUA782" s="268"/>
      <c r="GUB782" s="268"/>
      <c r="GUC782" s="268"/>
      <c r="GUD782" s="268"/>
      <c r="GUE782" s="268"/>
      <c r="GUF782" s="268"/>
      <c r="GUG782" s="268"/>
      <c r="GUH782" s="268"/>
      <c r="GUI782" s="268"/>
      <c r="GUJ782" s="268"/>
      <c r="GUK782" s="268"/>
      <c r="GUL782" s="268"/>
      <c r="GUM782" s="268"/>
      <c r="GUN782" s="268"/>
      <c r="GUO782" s="268"/>
      <c r="GUP782" s="268"/>
      <c r="GUQ782" s="268"/>
      <c r="GUR782" s="268"/>
      <c r="GUS782" s="268"/>
      <c r="GUT782" s="268"/>
      <c r="GUU782" s="268"/>
      <c r="GUV782" s="268"/>
      <c r="GUW782" s="268"/>
      <c r="GUX782" s="268"/>
      <c r="GUY782" s="268"/>
      <c r="GUZ782" s="268"/>
      <c r="GVA782" s="268"/>
      <c r="GVB782" s="268"/>
      <c r="GVC782" s="268"/>
      <c r="GVD782" s="268"/>
      <c r="GVE782" s="268"/>
      <c r="GVF782" s="268"/>
      <c r="GVG782" s="268"/>
      <c r="GVH782" s="268"/>
      <c r="GVI782" s="268"/>
      <c r="GVJ782" s="268"/>
      <c r="GVK782" s="268"/>
      <c r="GVL782" s="268"/>
      <c r="GVM782" s="268"/>
      <c r="GVN782" s="268"/>
      <c r="GVO782" s="268"/>
      <c r="GVP782" s="268"/>
      <c r="GVQ782" s="268"/>
      <c r="GVR782" s="268"/>
      <c r="GVS782" s="268"/>
      <c r="GVT782" s="268"/>
      <c r="GVU782" s="268"/>
      <c r="GVV782" s="268"/>
      <c r="GVW782" s="268"/>
      <c r="GVX782" s="268"/>
      <c r="GVY782" s="268"/>
      <c r="GVZ782" s="268"/>
      <c r="GWA782" s="268"/>
      <c r="GWB782" s="268"/>
      <c r="GWC782" s="268"/>
      <c r="GWD782" s="268"/>
      <c r="GWE782" s="268"/>
      <c r="GWF782" s="268"/>
      <c r="GWG782" s="268"/>
      <c r="GWH782" s="268"/>
      <c r="GWI782" s="268"/>
      <c r="GWJ782" s="268"/>
      <c r="GWK782" s="268"/>
      <c r="GWL782" s="268"/>
      <c r="GWM782" s="268"/>
      <c r="GWN782" s="268"/>
      <c r="GWO782" s="268"/>
      <c r="GWP782" s="268"/>
      <c r="GWQ782" s="268"/>
      <c r="GWR782" s="268"/>
      <c r="GWS782" s="268"/>
      <c r="GWT782" s="268"/>
      <c r="GWU782" s="268"/>
      <c r="GWV782" s="268"/>
      <c r="GWW782" s="268"/>
      <c r="GWX782" s="268"/>
      <c r="GWY782" s="268"/>
      <c r="GWZ782" s="268"/>
      <c r="GXA782" s="268"/>
      <c r="GXB782" s="268"/>
      <c r="GXC782" s="268"/>
      <c r="GXD782" s="268"/>
      <c r="GXE782" s="268"/>
      <c r="GXF782" s="268"/>
      <c r="GXG782" s="268"/>
      <c r="GXH782" s="268"/>
      <c r="GXI782" s="268"/>
      <c r="GXJ782" s="268"/>
      <c r="GXK782" s="268"/>
      <c r="GXY782" s="268"/>
      <c r="GXZ782" s="268"/>
      <c r="GYA782" s="268"/>
      <c r="GYO782" s="268"/>
      <c r="GYQ782" s="268"/>
      <c r="GYR782" s="268"/>
      <c r="GYS782" s="268"/>
      <c r="GYT782" s="268"/>
      <c r="GYU782" s="268"/>
      <c r="GYV782" s="268"/>
      <c r="GYW782" s="268"/>
      <c r="GYX782" s="268"/>
      <c r="GYY782" s="268"/>
      <c r="GYZ782" s="268"/>
      <c r="GZA782" s="268"/>
      <c r="GZB782" s="268"/>
      <c r="GZC782" s="268"/>
      <c r="GZD782" s="268"/>
      <c r="GZE782" s="268"/>
      <c r="GZF782" s="268"/>
      <c r="GZG782" s="268"/>
      <c r="GZH782" s="268"/>
      <c r="GZI782" s="268"/>
      <c r="GZJ782" s="268"/>
      <c r="GZK782" s="268"/>
      <c r="GZL782" s="268"/>
      <c r="GZM782" s="268"/>
      <c r="GZN782" s="268"/>
      <c r="GZO782" s="268"/>
      <c r="GZP782" s="268"/>
      <c r="GZQ782" s="268"/>
      <c r="GZR782" s="268"/>
      <c r="GZS782" s="268"/>
      <c r="GZT782" s="268"/>
      <c r="GZU782" s="268"/>
      <c r="GZV782" s="268"/>
      <c r="GZW782" s="268"/>
      <c r="GZX782" s="268"/>
      <c r="GZY782" s="268"/>
      <c r="GZZ782" s="268"/>
      <c r="HAA782" s="268"/>
      <c r="HAB782" s="268"/>
      <c r="HAC782" s="268"/>
      <c r="HAD782" s="268"/>
      <c r="HAE782" s="268"/>
      <c r="HAF782" s="268"/>
      <c r="HAG782" s="268"/>
      <c r="HAH782" s="268"/>
      <c r="HAI782" s="268"/>
      <c r="HAJ782" s="268"/>
      <c r="HAK782" s="268"/>
      <c r="HAL782" s="268"/>
      <c r="HAM782" s="268"/>
      <c r="HAN782" s="268"/>
      <c r="HAO782" s="268"/>
      <c r="HAP782" s="268"/>
      <c r="HAQ782" s="268"/>
      <c r="HAR782" s="268"/>
      <c r="HAS782" s="268"/>
      <c r="HAT782" s="268"/>
      <c r="HAU782" s="268"/>
      <c r="HAV782" s="268"/>
      <c r="HAW782" s="268"/>
      <c r="HAX782" s="268"/>
      <c r="HAY782" s="268"/>
      <c r="HAZ782" s="268"/>
      <c r="HBA782" s="268"/>
      <c r="HBB782" s="268"/>
      <c r="HBC782" s="268"/>
      <c r="HBD782" s="268"/>
      <c r="HBE782" s="268"/>
      <c r="HBF782" s="268"/>
      <c r="HBG782" s="268"/>
      <c r="HBH782" s="268"/>
      <c r="HBI782" s="268"/>
      <c r="HBJ782" s="268"/>
      <c r="HBK782" s="268"/>
      <c r="HBL782" s="268"/>
      <c r="HBM782" s="268"/>
      <c r="HBN782" s="268"/>
      <c r="HBO782" s="268"/>
      <c r="HBP782" s="268"/>
      <c r="HBQ782" s="268"/>
      <c r="HBR782" s="268"/>
      <c r="HBS782" s="268"/>
      <c r="HBT782" s="268"/>
      <c r="HBU782" s="268"/>
      <c r="HBV782" s="268"/>
      <c r="HBW782" s="268"/>
      <c r="HBX782" s="268"/>
      <c r="HBY782" s="268"/>
      <c r="HBZ782" s="268"/>
      <c r="HCA782" s="268"/>
      <c r="HCB782" s="268"/>
      <c r="HCC782" s="268"/>
      <c r="HCD782" s="268"/>
      <c r="HCE782" s="268"/>
      <c r="HCF782" s="268"/>
      <c r="HCG782" s="268"/>
      <c r="HCH782" s="268"/>
      <c r="HCI782" s="268"/>
      <c r="HCJ782" s="268"/>
      <c r="HCK782" s="268"/>
      <c r="HCL782" s="268"/>
      <c r="HCM782" s="268"/>
      <c r="HCN782" s="268"/>
      <c r="HCO782" s="268"/>
      <c r="HCP782" s="268"/>
      <c r="HCQ782" s="268"/>
      <c r="HCR782" s="268"/>
      <c r="HCS782" s="268"/>
      <c r="HCT782" s="268"/>
      <c r="HCU782" s="268"/>
      <c r="HCV782" s="268"/>
      <c r="HCW782" s="268"/>
      <c r="HCX782" s="268"/>
      <c r="HCY782" s="268"/>
      <c r="HCZ782" s="268"/>
      <c r="HDA782" s="268"/>
      <c r="HDB782" s="268"/>
      <c r="HDC782" s="268"/>
      <c r="HDD782" s="268"/>
      <c r="HDE782" s="268"/>
      <c r="HDF782" s="268"/>
      <c r="HDG782" s="268"/>
      <c r="HDH782" s="268"/>
      <c r="HDI782" s="268"/>
      <c r="HDJ782" s="268"/>
      <c r="HDK782" s="268"/>
      <c r="HDL782" s="268"/>
      <c r="HDM782" s="268"/>
      <c r="HDN782" s="268"/>
      <c r="HDO782" s="268"/>
      <c r="HDP782" s="268"/>
      <c r="HDQ782" s="268"/>
      <c r="HDR782" s="268"/>
      <c r="HDS782" s="268"/>
      <c r="HDT782" s="268"/>
      <c r="HDU782" s="268"/>
      <c r="HDV782" s="268"/>
      <c r="HDW782" s="268"/>
      <c r="HDX782" s="268"/>
      <c r="HDY782" s="268"/>
      <c r="HDZ782" s="268"/>
      <c r="HEA782" s="268"/>
      <c r="HEB782" s="268"/>
      <c r="HEC782" s="268"/>
      <c r="HED782" s="268"/>
      <c r="HEE782" s="268"/>
      <c r="HEF782" s="268"/>
      <c r="HEG782" s="268"/>
      <c r="HEH782" s="268"/>
      <c r="HEI782" s="268"/>
      <c r="HEJ782" s="268"/>
      <c r="HEK782" s="268"/>
      <c r="HEL782" s="268"/>
      <c r="HEM782" s="268"/>
      <c r="HEN782" s="268"/>
      <c r="HEO782" s="268"/>
      <c r="HEP782" s="268"/>
      <c r="HEQ782" s="268"/>
      <c r="HER782" s="268"/>
      <c r="HES782" s="268"/>
      <c r="HET782" s="268"/>
      <c r="HEU782" s="268"/>
      <c r="HEV782" s="268"/>
      <c r="HEW782" s="268"/>
      <c r="HEX782" s="268"/>
      <c r="HEY782" s="268"/>
      <c r="HEZ782" s="268"/>
      <c r="HFA782" s="268"/>
      <c r="HFB782" s="268"/>
      <c r="HFC782" s="268"/>
      <c r="HFD782" s="268"/>
      <c r="HFE782" s="268"/>
      <c r="HFF782" s="268"/>
      <c r="HFG782" s="268"/>
      <c r="HFH782" s="268"/>
      <c r="HFI782" s="268"/>
      <c r="HFJ782" s="268"/>
      <c r="HFK782" s="268"/>
      <c r="HFL782" s="268"/>
      <c r="HFM782" s="268"/>
      <c r="HFN782" s="268"/>
      <c r="HFO782" s="268"/>
      <c r="HFP782" s="268"/>
      <c r="HFQ782" s="268"/>
      <c r="HFR782" s="268"/>
      <c r="HFS782" s="268"/>
      <c r="HFT782" s="268"/>
      <c r="HFU782" s="268"/>
      <c r="HFV782" s="268"/>
      <c r="HFW782" s="268"/>
      <c r="HFX782" s="268"/>
      <c r="HFY782" s="268"/>
      <c r="HFZ782" s="268"/>
      <c r="HGA782" s="268"/>
      <c r="HGB782" s="268"/>
      <c r="HGC782" s="268"/>
      <c r="HGD782" s="268"/>
      <c r="HGE782" s="268"/>
      <c r="HGF782" s="268"/>
      <c r="HGG782" s="268"/>
      <c r="HGH782" s="268"/>
      <c r="HGI782" s="268"/>
      <c r="HGJ782" s="268"/>
      <c r="HGK782" s="268"/>
      <c r="HGL782" s="268"/>
      <c r="HGM782" s="268"/>
      <c r="HGN782" s="268"/>
      <c r="HGO782" s="268"/>
      <c r="HGP782" s="268"/>
      <c r="HGQ782" s="268"/>
      <c r="HGR782" s="268"/>
      <c r="HGS782" s="268"/>
      <c r="HGT782" s="268"/>
      <c r="HGU782" s="268"/>
      <c r="HGV782" s="268"/>
      <c r="HGW782" s="268"/>
      <c r="HGX782" s="268"/>
      <c r="HGY782" s="268"/>
      <c r="HGZ782" s="268"/>
      <c r="HHA782" s="268"/>
      <c r="HHB782" s="268"/>
      <c r="HHC782" s="268"/>
      <c r="HHD782" s="268"/>
      <c r="HHE782" s="268"/>
      <c r="HHF782" s="268"/>
      <c r="HHG782" s="268"/>
      <c r="HHU782" s="268"/>
      <c r="HHV782" s="268"/>
      <c r="HHW782" s="268"/>
      <c r="HIK782" s="268"/>
      <c r="HIM782" s="268"/>
      <c r="HIN782" s="268"/>
      <c r="HIO782" s="268"/>
      <c r="HIP782" s="268"/>
      <c r="HIQ782" s="268"/>
      <c r="HIR782" s="268"/>
      <c r="HIS782" s="268"/>
      <c r="HIT782" s="268"/>
      <c r="HIU782" s="268"/>
      <c r="HIV782" s="268"/>
      <c r="HIW782" s="268"/>
      <c r="HIX782" s="268"/>
      <c r="HIY782" s="268"/>
      <c r="HIZ782" s="268"/>
      <c r="HJA782" s="268"/>
      <c r="HJB782" s="268"/>
      <c r="HJC782" s="268"/>
      <c r="HJD782" s="268"/>
      <c r="HJE782" s="268"/>
      <c r="HJF782" s="268"/>
      <c r="HJG782" s="268"/>
      <c r="HJH782" s="268"/>
      <c r="HJI782" s="268"/>
      <c r="HJJ782" s="268"/>
      <c r="HJK782" s="268"/>
      <c r="HJL782" s="268"/>
      <c r="HJM782" s="268"/>
      <c r="HJN782" s="268"/>
      <c r="HJO782" s="268"/>
      <c r="HJP782" s="268"/>
      <c r="HJQ782" s="268"/>
      <c r="HJR782" s="268"/>
      <c r="HJS782" s="268"/>
      <c r="HJT782" s="268"/>
      <c r="HJU782" s="268"/>
      <c r="HJV782" s="268"/>
      <c r="HJW782" s="268"/>
      <c r="HJX782" s="268"/>
      <c r="HJY782" s="268"/>
      <c r="HJZ782" s="268"/>
      <c r="HKA782" s="268"/>
      <c r="HKB782" s="268"/>
      <c r="HKC782" s="268"/>
      <c r="HKD782" s="268"/>
      <c r="HKE782" s="268"/>
      <c r="HKF782" s="268"/>
      <c r="HKG782" s="268"/>
      <c r="HKH782" s="268"/>
      <c r="HKI782" s="268"/>
      <c r="HKJ782" s="268"/>
      <c r="HKK782" s="268"/>
      <c r="HKL782" s="268"/>
      <c r="HKM782" s="268"/>
      <c r="HKN782" s="268"/>
      <c r="HKO782" s="268"/>
      <c r="HKP782" s="268"/>
      <c r="HKQ782" s="268"/>
      <c r="HKR782" s="268"/>
      <c r="HKS782" s="268"/>
      <c r="HKT782" s="268"/>
      <c r="HKU782" s="268"/>
      <c r="HKV782" s="268"/>
      <c r="HKW782" s="268"/>
      <c r="HKX782" s="268"/>
      <c r="HKY782" s="268"/>
      <c r="HKZ782" s="268"/>
      <c r="HLA782" s="268"/>
      <c r="HLB782" s="268"/>
      <c r="HLC782" s="268"/>
      <c r="HLD782" s="268"/>
      <c r="HLE782" s="268"/>
      <c r="HLF782" s="268"/>
      <c r="HLG782" s="268"/>
      <c r="HLH782" s="268"/>
      <c r="HLI782" s="268"/>
      <c r="HLJ782" s="268"/>
      <c r="HLK782" s="268"/>
      <c r="HLL782" s="268"/>
      <c r="HLM782" s="268"/>
      <c r="HLN782" s="268"/>
      <c r="HLO782" s="268"/>
      <c r="HLP782" s="268"/>
      <c r="HLQ782" s="268"/>
      <c r="HLR782" s="268"/>
      <c r="HLS782" s="268"/>
      <c r="HLT782" s="268"/>
      <c r="HLU782" s="268"/>
      <c r="HLV782" s="268"/>
      <c r="HLW782" s="268"/>
      <c r="HLX782" s="268"/>
      <c r="HLY782" s="268"/>
      <c r="HLZ782" s="268"/>
      <c r="HMA782" s="268"/>
      <c r="HMB782" s="268"/>
      <c r="HMC782" s="268"/>
      <c r="HMD782" s="268"/>
      <c r="HME782" s="268"/>
      <c r="HMF782" s="268"/>
      <c r="HMG782" s="268"/>
      <c r="HMH782" s="268"/>
      <c r="HMI782" s="268"/>
      <c r="HMJ782" s="268"/>
      <c r="HMK782" s="268"/>
      <c r="HML782" s="268"/>
      <c r="HMM782" s="268"/>
      <c r="HMN782" s="268"/>
      <c r="HMO782" s="268"/>
      <c r="HMP782" s="268"/>
      <c r="HMQ782" s="268"/>
      <c r="HMR782" s="268"/>
      <c r="HMS782" s="268"/>
      <c r="HMT782" s="268"/>
      <c r="HMU782" s="268"/>
      <c r="HMV782" s="268"/>
      <c r="HMW782" s="268"/>
      <c r="HMX782" s="268"/>
      <c r="HMY782" s="268"/>
      <c r="HMZ782" s="268"/>
      <c r="HNA782" s="268"/>
      <c r="HNB782" s="268"/>
      <c r="HNC782" s="268"/>
      <c r="HND782" s="268"/>
      <c r="HNE782" s="268"/>
      <c r="HNF782" s="268"/>
      <c r="HNG782" s="268"/>
      <c r="HNH782" s="268"/>
      <c r="HNI782" s="268"/>
      <c r="HNJ782" s="268"/>
      <c r="HNK782" s="268"/>
      <c r="HNL782" s="268"/>
      <c r="HNM782" s="268"/>
      <c r="HNN782" s="268"/>
      <c r="HNO782" s="268"/>
      <c r="HNP782" s="268"/>
      <c r="HNQ782" s="268"/>
      <c r="HNR782" s="268"/>
      <c r="HNS782" s="268"/>
      <c r="HNT782" s="268"/>
      <c r="HNU782" s="268"/>
      <c r="HNV782" s="268"/>
      <c r="HNW782" s="268"/>
      <c r="HNX782" s="268"/>
      <c r="HNY782" s="268"/>
      <c r="HNZ782" s="268"/>
      <c r="HOA782" s="268"/>
      <c r="HOB782" s="268"/>
      <c r="HOC782" s="268"/>
      <c r="HOD782" s="268"/>
      <c r="HOE782" s="268"/>
      <c r="HOF782" s="268"/>
      <c r="HOG782" s="268"/>
      <c r="HOH782" s="268"/>
      <c r="HOI782" s="268"/>
      <c r="HOJ782" s="268"/>
      <c r="HOK782" s="268"/>
      <c r="HOL782" s="268"/>
      <c r="HOM782" s="268"/>
      <c r="HON782" s="268"/>
      <c r="HOO782" s="268"/>
      <c r="HOP782" s="268"/>
      <c r="HOQ782" s="268"/>
      <c r="HOR782" s="268"/>
      <c r="HOS782" s="268"/>
      <c r="HOT782" s="268"/>
      <c r="HOU782" s="268"/>
      <c r="HOV782" s="268"/>
      <c r="HOW782" s="268"/>
      <c r="HOX782" s="268"/>
      <c r="HOY782" s="268"/>
      <c r="HOZ782" s="268"/>
      <c r="HPA782" s="268"/>
      <c r="HPB782" s="268"/>
      <c r="HPC782" s="268"/>
      <c r="HPD782" s="268"/>
      <c r="HPE782" s="268"/>
      <c r="HPF782" s="268"/>
      <c r="HPG782" s="268"/>
      <c r="HPH782" s="268"/>
      <c r="HPI782" s="268"/>
      <c r="HPJ782" s="268"/>
      <c r="HPK782" s="268"/>
      <c r="HPL782" s="268"/>
      <c r="HPM782" s="268"/>
      <c r="HPN782" s="268"/>
      <c r="HPO782" s="268"/>
      <c r="HPP782" s="268"/>
      <c r="HPQ782" s="268"/>
      <c r="HPR782" s="268"/>
      <c r="HPS782" s="268"/>
      <c r="HPT782" s="268"/>
      <c r="HPU782" s="268"/>
      <c r="HPV782" s="268"/>
      <c r="HPW782" s="268"/>
      <c r="HPX782" s="268"/>
      <c r="HPY782" s="268"/>
      <c r="HPZ782" s="268"/>
      <c r="HQA782" s="268"/>
      <c r="HQB782" s="268"/>
      <c r="HQC782" s="268"/>
      <c r="HQD782" s="268"/>
      <c r="HQE782" s="268"/>
      <c r="HQF782" s="268"/>
      <c r="HQG782" s="268"/>
      <c r="HQH782" s="268"/>
      <c r="HQI782" s="268"/>
      <c r="HQJ782" s="268"/>
      <c r="HQK782" s="268"/>
      <c r="HQL782" s="268"/>
      <c r="HQM782" s="268"/>
      <c r="HQN782" s="268"/>
      <c r="HQO782" s="268"/>
      <c r="HQP782" s="268"/>
      <c r="HQQ782" s="268"/>
      <c r="HQR782" s="268"/>
      <c r="HQS782" s="268"/>
      <c r="HQT782" s="268"/>
      <c r="HQU782" s="268"/>
      <c r="HQV782" s="268"/>
      <c r="HQW782" s="268"/>
      <c r="HQX782" s="268"/>
      <c r="HQY782" s="268"/>
      <c r="HQZ782" s="268"/>
      <c r="HRA782" s="268"/>
      <c r="HRB782" s="268"/>
      <c r="HRC782" s="268"/>
      <c r="HRQ782" s="268"/>
      <c r="HRR782" s="268"/>
      <c r="HRS782" s="268"/>
      <c r="HSG782" s="268"/>
      <c r="HSI782" s="268"/>
      <c r="HSJ782" s="268"/>
      <c r="HSK782" s="268"/>
      <c r="HSL782" s="268"/>
      <c r="HSM782" s="268"/>
      <c r="HSN782" s="268"/>
      <c r="HSO782" s="268"/>
      <c r="HSP782" s="268"/>
      <c r="HSQ782" s="268"/>
      <c r="HSR782" s="268"/>
      <c r="HSS782" s="268"/>
      <c r="HST782" s="268"/>
      <c r="HSU782" s="268"/>
      <c r="HSV782" s="268"/>
      <c r="HSW782" s="268"/>
      <c r="HSX782" s="268"/>
      <c r="HSY782" s="268"/>
      <c r="HSZ782" s="268"/>
      <c r="HTA782" s="268"/>
      <c r="HTB782" s="268"/>
      <c r="HTC782" s="268"/>
      <c r="HTD782" s="268"/>
      <c r="HTE782" s="268"/>
      <c r="HTF782" s="268"/>
      <c r="HTG782" s="268"/>
      <c r="HTH782" s="268"/>
      <c r="HTI782" s="268"/>
      <c r="HTJ782" s="268"/>
      <c r="HTK782" s="268"/>
      <c r="HTL782" s="268"/>
      <c r="HTM782" s="268"/>
      <c r="HTN782" s="268"/>
      <c r="HTO782" s="268"/>
      <c r="HTP782" s="268"/>
      <c r="HTQ782" s="268"/>
      <c r="HTR782" s="268"/>
      <c r="HTS782" s="268"/>
      <c r="HTT782" s="268"/>
      <c r="HTU782" s="268"/>
      <c r="HTV782" s="268"/>
      <c r="HTW782" s="268"/>
      <c r="HTX782" s="268"/>
      <c r="HTY782" s="268"/>
      <c r="HTZ782" s="268"/>
      <c r="HUA782" s="268"/>
      <c r="HUB782" s="268"/>
      <c r="HUC782" s="268"/>
      <c r="HUD782" s="268"/>
      <c r="HUE782" s="268"/>
      <c r="HUF782" s="268"/>
      <c r="HUG782" s="268"/>
      <c r="HUH782" s="268"/>
      <c r="HUI782" s="268"/>
      <c r="HUJ782" s="268"/>
      <c r="HUK782" s="268"/>
      <c r="HUL782" s="268"/>
      <c r="HUM782" s="268"/>
      <c r="HUN782" s="268"/>
      <c r="HUO782" s="268"/>
      <c r="HUP782" s="268"/>
      <c r="HUQ782" s="268"/>
      <c r="HUR782" s="268"/>
      <c r="HUS782" s="268"/>
      <c r="HUT782" s="268"/>
      <c r="HUU782" s="268"/>
      <c r="HUV782" s="268"/>
      <c r="HUW782" s="268"/>
      <c r="HUX782" s="268"/>
      <c r="HUY782" s="268"/>
      <c r="HUZ782" s="268"/>
      <c r="HVA782" s="268"/>
      <c r="HVB782" s="268"/>
      <c r="HVC782" s="268"/>
      <c r="HVD782" s="268"/>
      <c r="HVE782" s="268"/>
      <c r="HVF782" s="268"/>
      <c r="HVG782" s="268"/>
      <c r="HVH782" s="268"/>
      <c r="HVI782" s="268"/>
      <c r="HVJ782" s="268"/>
      <c r="HVK782" s="268"/>
      <c r="HVL782" s="268"/>
      <c r="HVM782" s="268"/>
      <c r="HVN782" s="268"/>
      <c r="HVO782" s="268"/>
      <c r="HVP782" s="268"/>
      <c r="HVQ782" s="268"/>
      <c r="HVR782" s="268"/>
      <c r="HVS782" s="268"/>
      <c r="HVT782" s="268"/>
      <c r="HVU782" s="268"/>
      <c r="HVV782" s="268"/>
      <c r="HVW782" s="268"/>
      <c r="HVX782" s="268"/>
      <c r="HVY782" s="268"/>
      <c r="HVZ782" s="268"/>
      <c r="HWA782" s="268"/>
      <c r="HWB782" s="268"/>
      <c r="HWC782" s="268"/>
      <c r="HWD782" s="268"/>
      <c r="HWE782" s="268"/>
      <c r="HWF782" s="268"/>
      <c r="HWG782" s="268"/>
      <c r="HWH782" s="268"/>
      <c r="HWI782" s="268"/>
      <c r="HWJ782" s="268"/>
      <c r="HWK782" s="268"/>
      <c r="HWL782" s="268"/>
      <c r="HWM782" s="268"/>
      <c r="HWN782" s="268"/>
      <c r="HWO782" s="268"/>
      <c r="HWP782" s="268"/>
      <c r="HWQ782" s="268"/>
      <c r="HWR782" s="268"/>
      <c r="HWS782" s="268"/>
      <c r="HWT782" s="268"/>
      <c r="HWU782" s="268"/>
      <c r="HWV782" s="268"/>
      <c r="HWW782" s="268"/>
      <c r="HWX782" s="268"/>
      <c r="HWY782" s="268"/>
      <c r="HWZ782" s="268"/>
      <c r="HXA782" s="268"/>
      <c r="HXB782" s="268"/>
      <c r="HXC782" s="268"/>
      <c r="HXD782" s="268"/>
      <c r="HXE782" s="268"/>
      <c r="HXF782" s="268"/>
      <c r="HXG782" s="268"/>
      <c r="HXH782" s="268"/>
      <c r="HXI782" s="268"/>
      <c r="HXJ782" s="268"/>
      <c r="HXK782" s="268"/>
      <c r="HXL782" s="268"/>
      <c r="HXM782" s="268"/>
      <c r="HXN782" s="268"/>
      <c r="HXO782" s="268"/>
      <c r="HXP782" s="268"/>
      <c r="HXQ782" s="268"/>
      <c r="HXR782" s="268"/>
      <c r="HXS782" s="268"/>
      <c r="HXT782" s="268"/>
      <c r="HXU782" s="268"/>
      <c r="HXV782" s="268"/>
      <c r="HXW782" s="268"/>
      <c r="HXX782" s="268"/>
      <c r="HXY782" s="268"/>
      <c r="HXZ782" s="268"/>
      <c r="HYA782" s="268"/>
      <c r="HYB782" s="268"/>
      <c r="HYC782" s="268"/>
      <c r="HYD782" s="268"/>
      <c r="HYE782" s="268"/>
      <c r="HYF782" s="268"/>
      <c r="HYG782" s="268"/>
      <c r="HYH782" s="268"/>
      <c r="HYI782" s="268"/>
      <c r="HYJ782" s="268"/>
      <c r="HYK782" s="268"/>
      <c r="HYL782" s="268"/>
      <c r="HYM782" s="268"/>
      <c r="HYN782" s="268"/>
      <c r="HYO782" s="268"/>
      <c r="HYP782" s="268"/>
      <c r="HYQ782" s="268"/>
      <c r="HYR782" s="268"/>
      <c r="HYS782" s="268"/>
      <c r="HYT782" s="268"/>
      <c r="HYU782" s="268"/>
      <c r="HYV782" s="268"/>
      <c r="HYW782" s="268"/>
      <c r="HYX782" s="268"/>
      <c r="HYY782" s="268"/>
      <c r="HYZ782" s="268"/>
      <c r="HZA782" s="268"/>
      <c r="HZB782" s="268"/>
      <c r="HZC782" s="268"/>
      <c r="HZD782" s="268"/>
      <c r="HZE782" s="268"/>
      <c r="HZF782" s="268"/>
      <c r="HZG782" s="268"/>
      <c r="HZH782" s="268"/>
      <c r="HZI782" s="268"/>
      <c r="HZJ782" s="268"/>
      <c r="HZK782" s="268"/>
      <c r="HZL782" s="268"/>
      <c r="HZM782" s="268"/>
      <c r="HZN782" s="268"/>
      <c r="HZO782" s="268"/>
      <c r="HZP782" s="268"/>
      <c r="HZQ782" s="268"/>
      <c r="HZR782" s="268"/>
      <c r="HZS782" s="268"/>
      <c r="HZT782" s="268"/>
      <c r="HZU782" s="268"/>
      <c r="HZV782" s="268"/>
      <c r="HZW782" s="268"/>
      <c r="HZX782" s="268"/>
      <c r="HZY782" s="268"/>
      <c r="HZZ782" s="268"/>
      <c r="IAA782" s="268"/>
      <c r="IAB782" s="268"/>
      <c r="IAC782" s="268"/>
      <c r="IAD782" s="268"/>
      <c r="IAE782" s="268"/>
      <c r="IAF782" s="268"/>
      <c r="IAG782" s="268"/>
      <c r="IAH782" s="268"/>
      <c r="IAI782" s="268"/>
      <c r="IAJ782" s="268"/>
      <c r="IAK782" s="268"/>
      <c r="IAL782" s="268"/>
      <c r="IAM782" s="268"/>
      <c r="IAN782" s="268"/>
      <c r="IAO782" s="268"/>
      <c r="IAP782" s="268"/>
      <c r="IAQ782" s="268"/>
      <c r="IAR782" s="268"/>
      <c r="IAS782" s="268"/>
      <c r="IAT782" s="268"/>
      <c r="IAU782" s="268"/>
      <c r="IAV782" s="268"/>
      <c r="IAW782" s="268"/>
      <c r="IAX782" s="268"/>
      <c r="IAY782" s="268"/>
      <c r="IBM782" s="268"/>
      <c r="IBN782" s="268"/>
      <c r="IBO782" s="268"/>
      <c r="ICC782" s="268"/>
      <c r="ICE782" s="268"/>
      <c r="ICF782" s="268"/>
      <c r="ICG782" s="268"/>
      <c r="ICH782" s="268"/>
      <c r="ICI782" s="268"/>
      <c r="ICJ782" s="268"/>
      <c r="ICK782" s="268"/>
      <c r="ICL782" s="268"/>
      <c r="ICM782" s="268"/>
      <c r="ICN782" s="268"/>
      <c r="ICO782" s="268"/>
      <c r="ICP782" s="268"/>
      <c r="ICQ782" s="268"/>
      <c r="ICR782" s="268"/>
      <c r="ICS782" s="268"/>
      <c r="ICT782" s="268"/>
      <c r="ICU782" s="268"/>
      <c r="ICV782" s="268"/>
      <c r="ICW782" s="268"/>
      <c r="ICX782" s="268"/>
      <c r="ICY782" s="268"/>
      <c r="ICZ782" s="268"/>
      <c r="IDA782" s="268"/>
      <c r="IDB782" s="268"/>
      <c r="IDC782" s="268"/>
      <c r="IDD782" s="268"/>
      <c r="IDE782" s="268"/>
      <c r="IDF782" s="268"/>
      <c r="IDG782" s="268"/>
      <c r="IDH782" s="268"/>
      <c r="IDI782" s="268"/>
      <c r="IDJ782" s="268"/>
      <c r="IDK782" s="268"/>
      <c r="IDL782" s="268"/>
      <c r="IDM782" s="268"/>
      <c r="IDN782" s="268"/>
      <c r="IDO782" s="268"/>
      <c r="IDP782" s="268"/>
      <c r="IDQ782" s="268"/>
      <c r="IDR782" s="268"/>
      <c r="IDS782" s="268"/>
      <c r="IDT782" s="268"/>
      <c r="IDU782" s="268"/>
      <c r="IDV782" s="268"/>
      <c r="IDW782" s="268"/>
      <c r="IDX782" s="268"/>
      <c r="IDY782" s="268"/>
      <c r="IDZ782" s="268"/>
      <c r="IEA782" s="268"/>
      <c r="IEB782" s="268"/>
      <c r="IEC782" s="268"/>
      <c r="IED782" s="268"/>
      <c r="IEE782" s="268"/>
      <c r="IEF782" s="268"/>
      <c r="IEG782" s="268"/>
      <c r="IEH782" s="268"/>
      <c r="IEI782" s="268"/>
      <c r="IEJ782" s="268"/>
      <c r="IEK782" s="268"/>
      <c r="IEL782" s="268"/>
      <c r="IEM782" s="268"/>
      <c r="IEN782" s="268"/>
      <c r="IEO782" s="268"/>
      <c r="IEP782" s="268"/>
      <c r="IEQ782" s="268"/>
      <c r="IER782" s="268"/>
      <c r="IES782" s="268"/>
      <c r="IET782" s="268"/>
      <c r="IEU782" s="268"/>
      <c r="IEV782" s="268"/>
      <c r="IEW782" s="268"/>
      <c r="IEX782" s="268"/>
      <c r="IEY782" s="268"/>
      <c r="IEZ782" s="268"/>
      <c r="IFA782" s="268"/>
      <c r="IFB782" s="268"/>
      <c r="IFC782" s="268"/>
      <c r="IFD782" s="268"/>
      <c r="IFE782" s="268"/>
      <c r="IFF782" s="268"/>
      <c r="IFG782" s="268"/>
      <c r="IFH782" s="268"/>
      <c r="IFI782" s="268"/>
      <c r="IFJ782" s="268"/>
      <c r="IFK782" s="268"/>
      <c r="IFL782" s="268"/>
      <c r="IFM782" s="268"/>
      <c r="IFN782" s="268"/>
      <c r="IFO782" s="268"/>
      <c r="IFP782" s="268"/>
      <c r="IFQ782" s="268"/>
      <c r="IFR782" s="268"/>
      <c r="IFS782" s="268"/>
      <c r="IFT782" s="268"/>
      <c r="IFU782" s="268"/>
      <c r="IFV782" s="268"/>
      <c r="IFW782" s="268"/>
      <c r="IFX782" s="268"/>
      <c r="IFY782" s="268"/>
      <c r="IFZ782" s="268"/>
      <c r="IGA782" s="268"/>
      <c r="IGB782" s="268"/>
      <c r="IGC782" s="268"/>
      <c r="IGD782" s="268"/>
      <c r="IGE782" s="268"/>
      <c r="IGF782" s="268"/>
      <c r="IGG782" s="268"/>
      <c r="IGH782" s="268"/>
      <c r="IGI782" s="268"/>
      <c r="IGJ782" s="268"/>
      <c r="IGK782" s="268"/>
      <c r="IGL782" s="268"/>
      <c r="IGM782" s="268"/>
      <c r="IGN782" s="268"/>
      <c r="IGO782" s="268"/>
      <c r="IGP782" s="268"/>
      <c r="IGQ782" s="268"/>
      <c r="IGR782" s="268"/>
      <c r="IGS782" s="268"/>
      <c r="IGT782" s="268"/>
      <c r="IGU782" s="268"/>
      <c r="IGV782" s="268"/>
      <c r="IGW782" s="268"/>
      <c r="IGX782" s="268"/>
      <c r="IGY782" s="268"/>
      <c r="IGZ782" s="268"/>
      <c r="IHA782" s="268"/>
      <c r="IHB782" s="268"/>
      <c r="IHC782" s="268"/>
      <c r="IHD782" s="268"/>
      <c r="IHE782" s="268"/>
      <c r="IHF782" s="268"/>
      <c r="IHG782" s="268"/>
      <c r="IHH782" s="268"/>
      <c r="IHI782" s="268"/>
      <c r="IHJ782" s="268"/>
      <c r="IHK782" s="268"/>
      <c r="IHL782" s="268"/>
      <c r="IHM782" s="268"/>
      <c r="IHN782" s="268"/>
      <c r="IHO782" s="268"/>
      <c r="IHP782" s="268"/>
      <c r="IHQ782" s="268"/>
      <c r="IHR782" s="268"/>
      <c r="IHS782" s="268"/>
      <c r="IHT782" s="268"/>
      <c r="IHU782" s="268"/>
      <c r="IHV782" s="268"/>
      <c r="IHW782" s="268"/>
      <c r="IHX782" s="268"/>
      <c r="IHY782" s="268"/>
      <c r="IHZ782" s="268"/>
      <c r="IIA782" s="268"/>
      <c r="IIB782" s="268"/>
      <c r="IIC782" s="268"/>
      <c r="IID782" s="268"/>
      <c r="IIE782" s="268"/>
      <c r="IIF782" s="268"/>
      <c r="IIG782" s="268"/>
      <c r="IIH782" s="268"/>
      <c r="III782" s="268"/>
      <c r="IIJ782" s="268"/>
      <c r="IIK782" s="268"/>
      <c r="IIL782" s="268"/>
      <c r="IIM782" s="268"/>
      <c r="IIN782" s="268"/>
      <c r="IIO782" s="268"/>
      <c r="IIP782" s="268"/>
      <c r="IIQ782" s="268"/>
      <c r="IIR782" s="268"/>
      <c r="IIS782" s="268"/>
      <c r="IIT782" s="268"/>
      <c r="IIU782" s="268"/>
      <c r="IIV782" s="268"/>
      <c r="IIW782" s="268"/>
      <c r="IIX782" s="268"/>
      <c r="IIY782" s="268"/>
      <c r="IIZ782" s="268"/>
      <c r="IJA782" s="268"/>
      <c r="IJB782" s="268"/>
      <c r="IJC782" s="268"/>
      <c r="IJD782" s="268"/>
      <c r="IJE782" s="268"/>
      <c r="IJF782" s="268"/>
      <c r="IJG782" s="268"/>
      <c r="IJH782" s="268"/>
      <c r="IJI782" s="268"/>
      <c r="IJJ782" s="268"/>
      <c r="IJK782" s="268"/>
      <c r="IJL782" s="268"/>
      <c r="IJM782" s="268"/>
      <c r="IJN782" s="268"/>
      <c r="IJO782" s="268"/>
      <c r="IJP782" s="268"/>
      <c r="IJQ782" s="268"/>
      <c r="IJR782" s="268"/>
      <c r="IJS782" s="268"/>
      <c r="IJT782" s="268"/>
      <c r="IJU782" s="268"/>
      <c r="IJV782" s="268"/>
      <c r="IJW782" s="268"/>
      <c r="IJX782" s="268"/>
      <c r="IJY782" s="268"/>
      <c r="IJZ782" s="268"/>
      <c r="IKA782" s="268"/>
      <c r="IKB782" s="268"/>
      <c r="IKC782" s="268"/>
      <c r="IKD782" s="268"/>
      <c r="IKE782" s="268"/>
      <c r="IKF782" s="268"/>
      <c r="IKG782" s="268"/>
      <c r="IKH782" s="268"/>
      <c r="IKI782" s="268"/>
      <c r="IKJ782" s="268"/>
      <c r="IKK782" s="268"/>
      <c r="IKL782" s="268"/>
      <c r="IKM782" s="268"/>
      <c r="IKN782" s="268"/>
      <c r="IKO782" s="268"/>
      <c r="IKP782" s="268"/>
      <c r="IKQ782" s="268"/>
      <c r="IKR782" s="268"/>
      <c r="IKS782" s="268"/>
      <c r="IKT782" s="268"/>
      <c r="IKU782" s="268"/>
      <c r="ILI782" s="268"/>
      <c r="ILJ782" s="268"/>
      <c r="ILK782" s="268"/>
      <c r="ILY782" s="268"/>
      <c r="IMA782" s="268"/>
      <c r="IMB782" s="268"/>
      <c r="IMC782" s="268"/>
      <c r="IMD782" s="268"/>
      <c r="IME782" s="268"/>
      <c r="IMF782" s="268"/>
      <c r="IMG782" s="268"/>
      <c r="IMH782" s="268"/>
      <c r="IMI782" s="268"/>
      <c r="IMJ782" s="268"/>
      <c r="IMK782" s="268"/>
      <c r="IML782" s="268"/>
      <c r="IMM782" s="268"/>
      <c r="IMN782" s="268"/>
      <c r="IMO782" s="268"/>
      <c r="IMP782" s="268"/>
      <c r="IMQ782" s="268"/>
      <c r="IMR782" s="268"/>
      <c r="IMS782" s="268"/>
      <c r="IMT782" s="268"/>
      <c r="IMU782" s="268"/>
      <c r="IMV782" s="268"/>
      <c r="IMW782" s="268"/>
      <c r="IMX782" s="268"/>
      <c r="IMY782" s="268"/>
      <c r="IMZ782" s="268"/>
      <c r="INA782" s="268"/>
      <c r="INB782" s="268"/>
      <c r="INC782" s="268"/>
      <c r="IND782" s="268"/>
      <c r="INE782" s="268"/>
      <c r="INF782" s="268"/>
      <c r="ING782" s="268"/>
      <c r="INH782" s="268"/>
      <c r="INI782" s="268"/>
      <c r="INJ782" s="268"/>
      <c r="INK782" s="268"/>
      <c r="INL782" s="268"/>
      <c r="INM782" s="268"/>
      <c r="INN782" s="268"/>
      <c r="INO782" s="268"/>
      <c r="INP782" s="268"/>
      <c r="INQ782" s="268"/>
      <c r="INR782" s="268"/>
      <c r="INS782" s="268"/>
      <c r="INT782" s="268"/>
      <c r="INU782" s="268"/>
      <c r="INV782" s="268"/>
      <c r="INW782" s="268"/>
      <c r="INX782" s="268"/>
      <c r="INY782" s="268"/>
      <c r="INZ782" s="268"/>
      <c r="IOA782" s="268"/>
      <c r="IOB782" s="268"/>
      <c r="IOC782" s="268"/>
      <c r="IOD782" s="268"/>
      <c r="IOE782" s="268"/>
      <c r="IOF782" s="268"/>
      <c r="IOG782" s="268"/>
      <c r="IOH782" s="268"/>
      <c r="IOI782" s="268"/>
      <c r="IOJ782" s="268"/>
      <c r="IOK782" s="268"/>
      <c r="IOL782" s="268"/>
      <c r="IOM782" s="268"/>
      <c r="ION782" s="268"/>
      <c r="IOO782" s="268"/>
      <c r="IOP782" s="268"/>
      <c r="IOQ782" s="268"/>
      <c r="IOR782" s="268"/>
      <c r="IOS782" s="268"/>
      <c r="IOT782" s="268"/>
      <c r="IOU782" s="268"/>
      <c r="IOV782" s="268"/>
      <c r="IOW782" s="268"/>
      <c r="IOX782" s="268"/>
      <c r="IOY782" s="268"/>
      <c r="IOZ782" s="268"/>
      <c r="IPA782" s="268"/>
      <c r="IPB782" s="268"/>
      <c r="IPC782" s="268"/>
      <c r="IPD782" s="268"/>
      <c r="IPE782" s="268"/>
      <c r="IPF782" s="268"/>
      <c r="IPG782" s="268"/>
      <c r="IPH782" s="268"/>
      <c r="IPI782" s="268"/>
      <c r="IPJ782" s="268"/>
      <c r="IPK782" s="268"/>
      <c r="IPL782" s="268"/>
      <c r="IPM782" s="268"/>
      <c r="IPN782" s="268"/>
      <c r="IPO782" s="268"/>
      <c r="IPP782" s="268"/>
      <c r="IPQ782" s="268"/>
      <c r="IPR782" s="268"/>
      <c r="IPS782" s="268"/>
      <c r="IPT782" s="268"/>
      <c r="IPU782" s="268"/>
      <c r="IPV782" s="268"/>
      <c r="IPW782" s="268"/>
      <c r="IPX782" s="268"/>
      <c r="IPY782" s="268"/>
      <c r="IPZ782" s="268"/>
      <c r="IQA782" s="268"/>
      <c r="IQB782" s="268"/>
      <c r="IQC782" s="268"/>
      <c r="IQD782" s="268"/>
      <c r="IQE782" s="268"/>
      <c r="IQF782" s="268"/>
      <c r="IQG782" s="268"/>
      <c r="IQH782" s="268"/>
      <c r="IQI782" s="268"/>
      <c r="IQJ782" s="268"/>
      <c r="IQK782" s="268"/>
      <c r="IQL782" s="268"/>
      <c r="IQM782" s="268"/>
      <c r="IQN782" s="268"/>
      <c r="IQO782" s="268"/>
      <c r="IQP782" s="268"/>
      <c r="IQQ782" s="268"/>
      <c r="IQR782" s="268"/>
      <c r="IQS782" s="268"/>
      <c r="IQT782" s="268"/>
      <c r="IQU782" s="268"/>
      <c r="IQV782" s="268"/>
      <c r="IQW782" s="268"/>
      <c r="IQX782" s="268"/>
      <c r="IQY782" s="268"/>
      <c r="IQZ782" s="268"/>
      <c r="IRA782" s="268"/>
      <c r="IRB782" s="268"/>
      <c r="IRC782" s="268"/>
      <c r="IRD782" s="268"/>
      <c r="IRE782" s="268"/>
      <c r="IRF782" s="268"/>
      <c r="IRG782" s="268"/>
      <c r="IRH782" s="268"/>
      <c r="IRI782" s="268"/>
      <c r="IRJ782" s="268"/>
      <c r="IRK782" s="268"/>
      <c r="IRL782" s="268"/>
      <c r="IRM782" s="268"/>
      <c r="IRN782" s="268"/>
      <c r="IRO782" s="268"/>
      <c r="IRP782" s="268"/>
      <c r="IRQ782" s="268"/>
      <c r="IRR782" s="268"/>
      <c r="IRS782" s="268"/>
      <c r="IRT782" s="268"/>
      <c r="IRU782" s="268"/>
      <c r="IRV782" s="268"/>
      <c r="IRW782" s="268"/>
      <c r="IRX782" s="268"/>
      <c r="IRY782" s="268"/>
      <c r="IRZ782" s="268"/>
      <c r="ISA782" s="268"/>
      <c r="ISB782" s="268"/>
      <c r="ISC782" s="268"/>
      <c r="ISD782" s="268"/>
      <c r="ISE782" s="268"/>
      <c r="ISF782" s="268"/>
      <c r="ISG782" s="268"/>
      <c r="ISH782" s="268"/>
      <c r="ISI782" s="268"/>
      <c r="ISJ782" s="268"/>
      <c r="ISK782" s="268"/>
      <c r="ISL782" s="268"/>
      <c r="ISM782" s="268"/>
      <c r="ISN782" s="268"/>
      <c r="ISO782" s="268"/>
      <c r="ISP782" s="268"/>
      <c r="ISQ782" s="268"/>
      <c r="ISR782" s="268"/>
      <c r="ISS782" s="268"/>
      <c r="IST782" s="268"/>
      <c r="ISU782" s="268"/>
      <c r="ISV782" s="268"/>
      <c r="ISW782" s="268"/>
      <c r="ISX782" s="268"/>
      <c r="ISY782" s="268"/>
      <c r="ISZ782" s="268"/>
      <c r="ITA782" s="268"/>
      <c r="ITB782" s="268"/>
      <c r="ITC782" s="268"/>
      <c r="ITD782" s="268"/>
      <c r="ITE782" s="268"/>
      <c r="ITF782" s="268"/>
      <c r="ITG782" s="268"/>
      <c r="ITH782" s="268"/>
      <c r="ITI782" s="268"/>
      <c r="ITJ782" s="268"/>
      <c r="ITK782" s="268"/>
      <c r="ITL782" s="268"/>
      <c r="ITM782" s="268"/>
      <c r="ITN782" s="268"/>
      <c r="ITO782" s="268"/>
      <c r="ITP782" s="268"/>
      <c r="ITQ782" s="268"/>
      <c r="ITR782" s="268"/>
      <c r="ITS782" s="268"/>
      <c r="ITT782" s="268"/>
      <c r="ITU782" s="268"/>
      <c r="ITV782" s="268"/>
      <c r="ITW782" s="268"/>
      <c r="ITX782" s="268"/>
      <c r="ITY782" s="268"/>
      <c r="ITZ782" s="268"/>
      <c r="IUA782" s="268"/>
      <c r="IUB782" s="268"/>
      <c r="IUC782" s="268"/>
      <c r="IUD782" s="268"/>
      <c r="IUE782" s="268"/>
      <c r="IUF782" s="268"/>
      <c r="IUG782" s="268"/>
      <c r="IUH782" s="268"/>
      <c r="IUI782" s="268"/>
      <c r="IUJ782" s="268"/>
      <c r="IUK782" s="268"/>
      <c r="IUL782" s="268"/>
      <c r="IUM782" s="268"/>
      <c r="IUN782" s="268"/>
      <c r="IUO782" s="268"/>
      <c r="IUP782" s="268"/>
      <c r="IUQ782" s="268"/>
      <c r="IVE782" s="268"/>
      <c r="IVF782" s="268"/>
      <c r="IVG782" s="268"/>
      <c r="IVU782" s="268"/>
      <c r="IVW782" s="268"/>
      <c r="IVX782" s="268"/>
      <c r="IVY782" s="268"/>
      <c r="IVZ782" s="268"/>
      <c r="IWA782" s="268"/>
      <c r="IWB782" s="268"/>
      <c r="IWC782" s="268"/>
      <c r="IWD782" s="268"/>
      <c r="IWE782" s="268"/>
      <c r="IWF782" s="268"/>
      <c r="IWG782" s="268"/>
      <c r="IWH782" s="268"/>
      <c r="IWI782" s="268"/>
      <c r="IWJ782" s="268"/>
      <c r="IWK782" s="268"/>
      <c r="IWL782" s="268"/>
      <c r="IWM782" s="268"/>
      <c r="IWN782" s="268"/>
      <c r="IWO782" s="268"/>
      <c r="IWP782" s="268"/>
      <c r="IWQ782" s="268"/>
      <c r="IWR782" s="268"/>
      <c r="IWS782" s="268"/>
      <c r="IWT782" s="268"/>
      <c r="IWU782" s="268"/>
      <c r="IWV782" s="268"/>
      <c r="IWW782" s="268"/>
      <c r="IWX782" s="268"/>
      <c r="IWY782" s="268"/>
      <c r="IWZ782" s="268"/>
      <c r="IXA782" s="268"/>
      <c r="IXB782" s="268"/>
      <c r="IXC782" s="268"/>
      <c r="IXD782" s="268"/>
      <c r="IXE782" s="268"/>
      <c r="IXF782" s="268"/>
      <c r="IXG782" s="268"/>
      <c r="IXH782" s="268"/>
      <c r="IXI782" s="268"/>
      <c r="IXJ782" s="268"/>
      <c r="IXK782" s="268"/>
      <c r="IXL782" s="268"/>
      <c r="IXM782" s="268"/>
      <c r="IXN782" s="268"/>
      <c r="IXO782" s="268"/>
      <c r="IXP782" s="268"/>
      <c r="IXQ782" s="268"/>
      <c r="IXR782" s="268"/>
      <c r="IXS782" s="268"/>
      <c r="IXT782" s="268"/>
      <c r="IXU782" s="268"/>
      <c r="IXV782" s="268"/>
      <c r="IXW782" s="268"/>
      <c r="IXX782" s="268"/>
      <c r="IXY782" s="268"/>
      <c r="IXZ782" s="268"/>
      <c r="IYA782" s="268"/>
      <c r="IYB782" s="268"/>
      <c r="IYC782" s="268"/>
      <c r="IYD782" s="268"/>
      <c r="IYE782" s="268"/>
      <c r="IYF782" s="268"/>
      <c r="IYG782" s="268"/>
      <c r="IYH782" s="268"/>
      <c r="IYI782" s="268"/>
      <c r="IYJ782" s="268"/>
      <c r="IYK782" s="268"/>
      <c r="IYL782" s="268"/>
      <c r="IYM782" s="268"/>
      <c r="IYN782" s="268"/>
      <c r="IYO782" s="268"/>
      <c r="IYP782" s="268"/>
      <c r="IYQ782" s="268"/>
      <c r="IYR782" s="268"/>
      <c r="IYS782" s="268"/>
      <c r="IYT782" s="268"/>
      <c r="IYU782" s="268"/>
      <c r="IYV782" s="268"/>
      <c r="IYW782" s="268"/>
      <c r="IYX782" s="268"/>
      <c r="IYY782" s="268"/>
      <c r="IYZ782" s="268"/>
      <c r="IZA782" s="268"/>
      <c r="IZB782" s="268"/>
      <c r="IZC782" s="268"/>
      <c r="IZD782" s="268"/>
      <c r="IZE782" s="268"/>
      <c r="IZF782" s="268"/>
      <c r="IZG782" s="268"/>
      <c r="IZH782" s="268"/>
      <c r="IZI782" s="268"/>
      <c r="IZJ782" s="268"/>
      <c r="IZK782" s="268"/>
      <c r="IZL782" s="268"/>
      <c r="IZM782" s="268"/>
      <c r="IZN782" s="268"/>
      <c r="IZO782" s="268"/>
      <c r="IZP782" s="268"/>
      <c r="IZQ782" s="268"/>
      <c r="IZR782" s="268"/>
      <c r="IZS782" s="268"/>
      <c r="IZT782" s="268"/>
      <c r="IZU782" s="268"/>
      <c r="IZV782" s="268"/>
      <c r="IZW782" s="268"/>
      <c r="IZX782" s="268"/>
      <c r="IZY782" s="268"/>
      <c r="IZZ782" s="268"/>
      <c r="JAA782" s="268"/>
      <c r="JAB782" s="268"/>
      <c r="JAC782" s="268"/>
      <c r="JAD782" s="268"/>
      <c r="JAE782" s="268"/>
      <c r="JAF782" s="268"/>
      <c r="JAG782" s="268"/>
      <c r="JAH782" s="268"/>
      <c r="JAI782" s="268"/>
      <c r="JAJ782" s="268"/>
      <c r="JAK782" s="268"/>
      <c r="JAL782" s="268"/>
      <c r="JAM782" s="268"/>
      <c r="JAN782" s="268"/>
      <c r="JAO782" s="268"/>
      <c r="JAP782" s="268"/>
      <c r="JAQ782" s="268"/>
      <c r="JAR782" s="268"/>
      <c r="JAS782" s="268"/>
      <c r="JAT782" s="268"/>
      <c r="JAU782" s="268"/>
      <c r="JAV782" s="268"/>
      <c r="JAW782" s="268"/>
      <c r="JAX782" s="268"/>
      <c r="JAY782" s="268"/>
      <c r="JAZ782" s="268"/>
      <c r="JBA782" s="268"/>
      <c r="JBB782" s="268"/>
      <c r="JBC782" s="268"/>
      <c r="JBD782" s="268"/>
      <c r="JBE782" s="268"/>
      <c r="JBF782" s="268"/>
      <c r="JBG782" s="268"/>
      <c r="JBH782" s="268"/>
      <c r="JBI782" s="268"/>
      <c r="JBJ782" s="268"/>
      <c r="JBK782" s="268"/>
      <c r="JBL782" s="268"/>
      <c r="JBM782" s="268"/>
      <c r="JBN782" s="268"/>
      <c r="JBO782" s="268"/>
      <c r="JBP782" s="268"/>
      <c r="JBQ782" s="268"/>
      <c r="JBR782" s="268"/>
      <c r="JBS782" s="268"/>
      <c r="JBT782" s="268"/>
      <c r="JBU782" s="268"/>
      <c r="JBV782" s="268"/>
      <c r="JBW782" s="268"/>
      <c r="JBX782" s="268"/>
      <c r="JBY782" s="268"/>
      <c r="JBZ782" s="268"/>
      <c r="JCA782" s="268"/>
      <c r="JCB782" s="268"/>
      <c r="JCC782" s="268"/>
      <c r="JCD782" s="268"/>
      <c r="JCE782" s="268"/>
      <c r="JCF782" s="268"/>
      <c r="JCG782" s="268"/>
      <c r="JCH782" s="268"/>
      <c r="JCI782" s="268"/>
      <c r="JCJ782" s="268"/>
      <c r="JCK782" s="268"/>
      <c r="JCL782" s="268"/>
      <c r="JCM782" s="268"/>
      <c r="JCN782" s="268"/>
      <c r="JCO782" s="268"/>
      <c r="JCP782" s="268"/>
      <c r="JCQ782" s="268"/>
      <c r="JCR782" s="268"/>
      <c r="JCS782" s="268"/>
      <c r="JCT782" s="268"/>
      <c r="JCU782" s="268"/>
      <c r="JCV782" s="268"/>
      <c r="JCW782" s="268"/>
      <c r="JCX782" s="268"/>
      <c r="JCY782" s="268"/>
      <c r="JCZ782" s="268"/>
      <c r="JDA782" s="268"/>
      <c r="JDB782" s="268"/>
      <c r="JDC782" s="268"/>
      <c r="JDD782" s="268"/>
      <c r="JDE782" s="268"/>
      <c r="JDF782" s="268"/>
      <c r="JDG782" s="268"/>
      <c r="JDH782" s="268"/>
      <c r="JDI782" s="268"/>
      <c r="JDJ782" s="268"/>
      <c r="JDK782" s="268"/>
      <c r="JDL782" s="268"/>
      <c r="JDM782" s="268"/>
      <c r="JDN782" s="268"/>
      <c r="JDO782" s="268"/>
      <c r="JDP782" s="268"/>
      <c r="JDQ782" s="268"/>
      <c r="JDR782" s="268"/>
      <c r="JDS782" s="268"/>
      <c r="JDT782" s="268"/>
      <c r="JDU782" s="268"/>
      <c r="JDV782" s="268"/>
      <c r="JDW782" s="268"/>
      <c r="JDX782" s="268"/>
      <c r="JDY782" s="268"/>
      <c r="JDZ782" s="268"/>
      <c r="JEA782" s="268"/>
      <c r="JEB782" s="268"/>
      <c r="JEC782" s="268"/>
      <c r="JED782" s="268"/>
      <c r="JEE782" s="268"/>
      <c r="JEF782" s="268"/>
      <c r="JEG782" s="268"/>
      <c r="JEH782" s="268"/>
      <c r="JEI782" s="268"/>
      <c r="JEJ782" s="268"/>
      <c r="JEK782" s="268"/>
      <c r="JEL782" s="268"/>
      <c r="JEM782" s="268"/>
      <c r="JFA782" s="268"/>
      <c r="JFB782" s="268"/>
      <c r="JFC782" s="268"/>
      <c r="JFQ782" s="268"/>
      <c r="JFS782" s="268"/>
      <c r="JFT782" s="268"/>
      <c r="JFU782" s="268"/>
      <c r="JFV782" s="268"/>
      <c r="JFW782" s="268"/>
      <c r="JFX782" s="268"/>
      <c r="JFY782" s="268"/>
      <c r="JFZ782" s="268"/>
      <c r="JGA782" s="268"/>
      <c r="JGB782" s="268"/>
      <c r="JGC782" s="268"/>
      <c r="JGD782" s="268"/>
      <c r="JGE782" s="268"/>
      <c r="JGF782" s="268"/>
      <c r="JGG782" s="268"/>
      <c r="JGH782" s="268"/>
      <c r="JGI782" s="268"/>
      <c r="JGJ782" s="268"/>
      <c r="JGK782" s="268"/>
      <c r="JGL782" s="268"/>
      <c r="JGM782" s="268"/>
      <c r="JGN782" s="268"/>
      <c r="JGO782" s="268"/>
      <c r="JGP782" s="268"/>
      <c r="JGQ782" s="268"/>
      <c r="JGR782" s="268"/>
      <c r="JGS782" s="268"/>
      <c r="JGT782" s="268"/>
      <c r="JGU782" s="268"/>
      <c r="JGV782" s="268"/>
      <c r="JGW782" s="268"/>
      <c r="JGX782" s="268"/>
      <c r="JGY782" s="268"/>
      <c r="JGZ782" s="268"/>
      <c r="JHA782" s="268"/>
      <c r="JHB782" s="268"/>
      <c r="JHC782" s="268"/>
      <c r="JHD782" s="268"/>
      <c r="JHE782" s="268"/>
      <c r="JHF782" s="268"/>
      <c r="JHG782" s="268"/>
      <c r="JHH782" s="268"/>
      <c r="JHI782" s="268"/>
      <c r="JHJ782" s="268"/>
      <c r="JHK782" s="268"/>
      <c r="JHL782" s="268"/>
      <c r="JHM782" s="268"/>
      <c r="JHN782" s="268"/>
      <c r="JHO782" s="268"/>
      <c r="JHP782" s="268"/>
      <c r="JHQ782" s="268"/>
      <c r="JHR782" s="268"/>
      <c r="JHS782" s="268"/>
      <c r="JHT782" s="268"/>
      <c r="JHU782" s="268"/>
      <c r="JHV782" s="268"/>
      <c r="JHW782" s="268"/>
      <c r="JHX782" s="268"/>
      <c r="JHY782" s="268"/>
      <c r="JHZ782" s="268"/>
      <c r="JIA782" s="268"/>
      <c r="JIB782" s="268"/>
      <c r="JIC782" s="268"/>
      <c r="JID782" s="268"/>
      <c r="JIE782" s="268"/>
      <c r="JIF782" s="268"/>
      <c r="JIG782" s="268"/>
      <c r="JIH782" s="268"/>
      <c r="JII782" s="268"/>
      <c r="JIJ782" s="268"/>
      <c r="JIK782" s="268"/>
      <c r="JIL782" s="268"/>
      <c r="JIM782" s="268"/>
      <c r="JIN782" s="268"/>
      <c r="JIO782" s="268"/>
      <c r="JIP782" s="268"/>
      <c r="JIQ782" s="268"/>
      <c r="JIR782" s="268"/>
      <c r="JIS782" s="268"/>
      <c r="JIT782" s="268"/>
      <c r="JIU782" s="268"/>
      <c r="JIV782" s="268"/>
      <c r="JIW782" s="268"/>
      <c r="JIX782" s="268"/>
      <c r="JIY782" s="268"/>
      <c r="JIZ782" s="268"/>
      <c r="JJA782" s="268"/>
      <c r="JJB782" s="268"/>
      <c r="JJC782" s="268"/>
      <c r="JJD782" s="268"/>
      <c r="JJE782" s="268"/>
      <c r="JJF782" s="268"/>
      <c r="JJG782" s="268"/>
      <c r="JJH782" s="268"/>
      <c r="JJI782" s="268"/>
      <c r="JJJ782" s="268"/>
      <c r="JJK782" s="268"/>
      <c r="JJL782" s="268"/>
      <c r="JJM782" s="268"/>
      <c r="JJN782" s="268"/>
      <c r="JJO782" s="268"/>
      <c r="JJP782" s="268"/>
      <c r="JJQ782" s="268"/>
      <c r="JJR782" s="268"/>
      <c r="JJS782" s="268"/>
      <c r="JJT782" s="268"/>
      <c r="JJU782" s="268"/>
      <c r="JJV782" s="268"/>
      <c r="JJW782" s="268"/>
      <c r="JJX782" s="268"/>
      <c r="JJY782" s="268"/>
      <c r="JJZ782" s="268"/>
      <c r="JKA782" s="268"/>
      <c r="JKB782" s="268"/>
      <c r="JKC782" s="268"/>
      <c r="JKD782" s="268"/>
      <c r="JKE782" s="268"/>
      <c r="JKF782" s="268"/>
      <c r="JKG782" s="268"/>
      <c r="JKH782" s="268"/>
      <c r="JKI782" s="268"/>
      <c r="JKJ782" s="268"/>
      <c r="JKK782" s="268"/>
      <c r="JKL782" s="268"/>
      <c r="JKM782" s="268"/>
      <c r="JKN782" s="268"/>
      <c r="JKO782" s="268"/>
      <c r="JKP782" s="268"/>
      <c r="JKQ782" s="268"/>
      <c r="JKR782" s="268"/>
      <c r="JKS782" s="268"/>
      <c r="JKT782" s="268"/>
      <c r="JKU782" s="268"/>
      <c r="JKV782" s="268"/>
      <c r="JKW782" s="268"/>
      <c r="JKX782" s="268"/>
      <c r="JKY782" s="268"/>
      <c r="JKZ782" s="268"/>
      <c r="JLA782" s="268"/>
      <c r="JLB782" s="268"/>
      <c r="JLC782" s="268"/>
      <c r="JLD782" s="268"/>
      <c r="JLE782" s="268"/>
      <c r="JLF782" s="268"/>
      <c r="JLG782" s="268"/>
      <c r="JLH782" s="268"/>
      <c r="JLI782" s="268"/>
      <c r="JLJ782" s="268"/>
      <c r="JLK782" s="268"/>
      <c r="JLL782" s="268"/>
      <c r="JLM782" s="268"/>
      <c r="JLN782" s="268"/>
      <c r="JLO782" s="268"/>
      <c r="JLP782" s="268"/>
      <c r="JLQ782" s="268"/>
      <c r="JLR782" s="268"/>
      <c r="JLS782" s="268"/>
      <c r="JLT782" s="268"/>
      <c r="JLU782" s="268"/>
      <c r="JLV782" s="268"/>
      <c r="JLW782" s="268"/>
      <c r="JLX782" s="268"/>
      <c r="JLY782" s="268"/>
      <c r="JLZ782" s="268"/>
      <c r="JMA782" s="268"/>
      <c r="JMB782" s="268"/>
      <c r="JMC782" s="268"/>
      <c r="JMD782" s="268"/>
      <c r="JME782" s="268"/>
      <c r="JMF782" s="268"/>
      <c r="JMG782" s="268"/>
      <c r="JMH782" s="268"/>
      <c r="JMI782" s="268"/>
      <c r="JMJ782" s="268"/>
      <c r="JMK782" s="268"/>
      <c r="JML782" s="268"/>
      <c r="JMM782" s="268"/>
      <c r="JMN782" s="268"/>
      <c r="JMO782" s="268"/>
      <c r="JMP782" s="268"/>
      <c r="JMQ782" s="268"/>
      <c r="JMR782" s="268"/>
      <c r="JMS782" s="268"/>
      <c r="JMT782" s="268"/>
      <c r="JMU782" s="268"/>
      <c r="JMV782" s="268"/>
      <c r="JMW782" s="268"/>
      <c r="JMX782" s="268"/>
      <c r="JMY782" s="268"/>
      <c r="JMZ782" s="268"/>
      <c r="JNA782" s="268"/>
      <c r="JNB782" s="268"/>
      <c r="JNC782" s="268"/>
      <c r="JND782" s="268"/>
      <c r="JNE782" s="268"/>
      <c r="JNF782" s="268"/>
      <c r="JNG782" s="268"/>
      <c r="JNH782" s="268"/>
      <c r="JNI782" s="268"/>
      <c r="JNJ782" s="268"/>
      <c r="JNK782" s="268"/>
      <c r="JNL782" s="268"/>
      <c r="JNM782" s="268"/>
      <c r="JNN782" s="268"/>
      <c r="JNO782" s="268"/>
      <c r="JNP782" s="268"/>
      <c r="JNQ782" s="268"/>
      <c r="JNR782" s="268"/>
      <c r="JNS782" s="268"/>
      <c r="JNT782" s="268"/>
      <c r="JNU782" s="268"/>
      <c r="JNV782" s="268"/>
      <c r="JNW782" s="268"/>
      <c r="JNX782" s="268"/>
      <c r="JNY782" s="268"/>
      <c r="JNZ782" s="268"/>
      <c r="JOA782" s="268"/>
      <c r="JOB782" s="268"/>
      <c r="JOC782" s="268"/>
      <c r="JOD782" s="268"/>
      <c r="JOE782" s="268"/>
      <c r="JOF782" s="268"/>
      <c r="JOG782" s="268"/>
      <c r="JOH782" s="268"/>
      <c r="JOI782" s="268"/>
      <c r="JOW782" s="268"/>
      <c r="JOX782" s="268"/>
      <c r="JOY782" s="268"/>
      <c r="JPM782" s="268"/>
      <c r="JPO782" s="268"/>
      <c r="JPP782" s="268"/>
      <c r="JPQ782" s="268"/>
      <c r="JPR782" s="268"/>
      <c r="JPS782" s="268"/>
      <c r="JPT782" s="268"/>
      <c r="JPU782" s="268"/>
      <c r="JPV782" s="268"/>
      <c r="JPW782" s="268"/>
      <c r="JPX782" s="268"/>
      <c r="JPY782" s="268"/>
      <c r="JPZ782" s="268"/>
      <c r="JQA782" s="268"/>
      <c r="JQB782" s="268"/>
      <c r="JQC782" s="268"/>
      <c r="JQD782" s="268"/>
      <c r="JQE782" s="268"/>
      <c r="JQF782" s="268"/>
      <c r="JQG782" s="268"/>
      <c r="JQH782" s="268"/>
      <c r="JQI782" s="268"/>
      <c r="JQJ782" s="268"/>
      <c r="JQK782" s="268"/>
      <c r="JQL782" s="268"/>
      <c r="JQM782" s="268"/>
      <c r="JQN782" s="268"/>
      <c r="JQO782" s="268"/>
      <c r="JQP782" s="268"/>
      <c r="JQQ782" s="268"/>
      <c r="JQR782" s="268"/>
      <c r="JQS782" s="268"/>
      <c r="JQT782" s="268"/>
      <c r="JQU782" s="268"/>
      <c r="JQV782" s="268"/>
      <c r="JQW782" s="268"/>
      <c r="JQX782" s="268"/>
      <c r="JQY782" s="268"/>
      <c r="JQZ782" s="268"/>
      <c r="JRA782" s="268"/>
      <c r="JRB782" s="268"/>
      <c r="JRC782" s="268"/>
      <c r="JRD782" s="268"/>
      <c r="JRE782" s="268"/>
      <c r="JRF782" s="268"/>
      <c r="JRG782" s="268"/>
      <c r="JRH782" s="268"/>
      <c r="JRI782" s="268"/>
      <c r="JRJ782" s="268"/>
      <c r="JRK782" s="268"/>
      <c r="JRL782" s="268"/>
      <c r="JRM782" s="268"/>
      <c r="JRN782" s="268"/>
      <c r="JRO782" s="268"/>
      <c r="JRP782" s="268"/>
      <c r="JRQ782" s="268"/>
      <c r="JRR782" s="268"/>
      <c r="JRS782" s="268"/>
      <c r="JRT782" s="268"/>
      <c r="JRU782" s="268"/>
      <c r="JRV782" s="268"/>
      <c r="JRW782" s="268"/>
      <c r="JRX782" s="268"/>
      <c r="JRY782" s="268"/>
      <c r="JRZ782" s="268"/>
      <c r="JSA782" s="268"/>
      <c r="JSB782" s="268"/>
      <c r="JSC782" s="268"/>
      <c r="JSD782" s="268"/>
      <c r="JSE782" s="268"/>
      <c r="JSF782" s="268"/>
      <c r="JSG782" s="268"/>
      <c r="JSH782" s="268"/>
      <c r="JSI782" s="268"/>
      <c r="JSJ782" s="268"/>
      <c r="JSK782" s="268"/>
      <c r="JSL782" s="268"/>
      <c r="JSM782" s="268"/>
      <c r="JSN782" s="268"/>
      <c r="JSO782" s="268"/>
      <c r="JSP782" s="268"/>
      <c r="JSQ782" s="268"/>
      <c r="JSR782" s="268"/>
      <c r="JSS782" s="268"/>
      <c r="JST782" s="268"/>
      <c r="JSU782" s="268"/>
      <c r="JSV782" s="268"/>
      <c r="JSW782" s="268"/>
      <c r="JSX782" s="268"/>
      <c r="JSY782" s="268"/>
      <c r="JSZ782" s="268"/>
      <c r="JTA782" s="268"/>
      <c r="JTB782" s="268"/>
      <c r="JTC782" s="268"/>
      <c r="JTD782" s="268"/>
      <c r="JTE782" s="268"/>
      <c r="JTF782" s="268"/>
      <c r="JTG782" s="268"/>
      <c r="JTH782" s="268"/>
      <c r="JTI782" s="268"/>
      <c r="JTJ782" s="268"/>
      <c r="JTK782" s="268"/>
      <c r="JTL782" s="268"/>
      <c r="JTM782" s="268"/>
      <c r="JTN782" s="268"/>
      <c r="JTO782" s="268"/>
      <c r="JTP782" s="268"/>
      <c r="JTQ782" s="268"/>
      <c r="JTR782" s="268"/>
      <c r="JTS782" s="268"/>
      <c r="JTT782" s="268"/>
      <c r="JTU782" s="268"/>
      <c r="JTV782" s="268"/>
      <c r="JTW782" s="268"/>
      <c r="JTX782" s="268"/>
      <c r="JTY782" s="268"/>
      <c r="JTZ782" s="268"/>
      <c r="JUA782" s="268"/>
      <c r="JUB782" s="268"/>
      <c r="JUC782" s="268"/>
      <c r="JUD782" s="268"/>
      <c r="JUE782" s="268"/>
      <c r="JUF782" s="268"/>
      <c r="JUG782" s="268"/>
      <c r="JUH782" s="268"/>
      <c r="JUI782" s="268"/>
      <c r="JUJ782" s="268"/>
      <c r="JUK782" s="268"/>
      <c r="JUL782" s="268"/>
      <c r="JUM782" s="268"/>
      <c r="JUN782" s="268"/>
      <c r="JUO782" s="268"/>
      <c r="JUP782" s="268"/>
      <c r="JUQ782" s="268"/>
      <c r="JUR782" s="268"/>
      <c r="JUS782" s="268"/>
      <c r="JUT782" s="268"/>
      <c r="JUU782" s="268"/>
      <c r="JUV782" s="268"/>
      <c r="JUW782" s="268"/>
      <c r="JUX782" s="268"/>
      <c r="JUY782" s="268"/>
      <c r="JUZ782" s="268"/>
      <c r="JVA782" s="268"/>
      <c r="JVB782" s="268"/>
      <c r="JVC782" s="268"/>
      <c r="JVD782" s="268"/>
      <c r="JVE782" s="268"/>
      <c r="JVF782" s="268"/>
      <c r="JVG782" s="268"/>
      <c r="JVH782" s="268"/>
      <c r="JVI782" s="268"/>
      <c r="JVJ782" s="268"/>
      <c r="JVK782" s="268"/>
      <c r="JVL782" s="268"/>
      <c r="JVM782" s="268"/>
      <c r="JVN782" s="268"/>
      <c r="JVO782" s="268"/>
      <c r="JVP782" s="268"/>
      <c r="JVQ782" s="268"/>
      <c r="JVR782" s="268"/>
      <c r="JVS782" s="268"/>
      <c r="JVT782" s="268"/>
      <c r="JVU782" s="268"/>
      <c r="JVV782" s="268"/>
      <c r="JVW782" s="268"/>
      <c r="JVX782" s="268"/>
      <c r="JVY782" s="268"/>
      <c r="JVZ782" s="268"/>
      <c r="JWA782" s="268"/>
      <c r="JWB782" s="268"/>
      <c r="JWC782" s="268"/>
      <c r="JWD782" s="268"/>
      <c r="JWE782" s="268"/>
      <c r="JWF782" s="268"/>
      <c r="JWG782" s="268"/>
      <c r="JWH782" s="268"/>
      <c r="JWI782" s="268"/>
      <c r="JWJ782" s="268"/>
      <c r="JWK782" s="268"/>
      <c r="JWL782" s="268"/>
      <c r="JWM782" s="268"/>
      <c r="JWN782" s="268"/>
      <c r="JWO782" s="268"/>
      <c r="JWP782" s="268"/>
      <c r="JWQ782" s="268"/>
      <c r="JWR782" s="268"/>
      <c r="JWS782" s="268"/>
      <c r="JWT782" s="268"/>
      <c r="JWU782" s="268"/>
      <c r="JWV782" s="268"/>
      <c r="JWW782" s="268"/>
      <c r="JWX782" s="268"/>
      <c r="JWY782" s="268"/>
      <c r="JWZ782" s="268"/>
      <c r="JXA782" s="268"/>
      <c r="JXB782" s="268"/>
      <c r="JXC782" s="268"/>
      <c r="JXD782" s="268"/>
      <c r="JXE782" s="268"/>
      <c r="JXF782" s="268"/>
      <c r="JXG782" s="268"/>
      <c r="JXH782" s="268"/>
      <c r="JXI782" s="268"/>
      <c r="JXJ782" s="268"/>
      <c r="JXK782" s="268"/>
      <c r="JXL782" s="268"/>
      <c r="JXM782" s="268"/>
      <c r="JXN782" s="268"/>
      <c r="JXO782" s="268"/>
      <c r="JXP782" s="268"/>
      <c r="JXQ782" s="268"/>
      <c r="JXR782" s="268"/>
      <c r="JXS782" s="268"/>
      <c r="JXT782" s="268"/>
      <c r="JXU782" s="268"/>
      <c r="JXV782" s="268"/>
      <c r="JXW782" s="268"/>
      <c r="JXX782" s="268"/>
      <c r="JXY782" s="268"/>
      <c r="JXZ782" s="268"/>
      <c r="JYA782" s="268"/>
      <c r="JYB782" s="268"/>
      <c r="JYC782" s="268"/>
      <c r="JYD782" s="268"/>
      <c r="JYE782" s="268"/>
      <c r="JYS782" s="268"/>
      <c r="JYT782" s="268"/>
      <c r="JYU782" s="268"/>
      <c r="JZI782" s="268"/>
      <c r="JZK782" s="268"/>
      <c r="JZL782" s="268"/>
      <c r="JZM782" s="268"/>
      <c r="JZN782" s="268"/>
      <c r="JZO782" s="268"/>
      <c r="JZP782" s="268"/>
      <c r="JZQ782" s="268"/>
      <c r="JZR782" s="268"/>
      <c r="JZS782" s="268"/>
      <c r="JZT782" s="268"/>
      <c r="JZU782" s="268"/>
      <c r="JZV782" s="268"/>
      <c r="JZW782" s="268"/>
      <c r="JZX782" s="268"/>
      <c r="JZY782" s="268"/>
      <c r="JZZ782" s="268"/>
      <c r="KAA782" s="268"/>
      <c r="KAB782" s="268"/>
      <c r="KAC782" s="268"/>
      <c r="KAD782" s="268"/>
      <c r="KAE782" s="268"/>
      <c r="KAF782" s="268"/>
      <c r="KAG782" s="268"/>
      <c r="KAH782" s="268"/>
      <c r="KAI782" s="268"/>
      <c r="KAJ782" s="268"/>
      <c r="KAK782" s="268"/>
      <c r="KAL782" s="268"/>
      <c r="KAM782" s="268"/>
      <c r="KAN782" s="268"/>
      <c r="KAO782" s="268"/>
      <c r="KAP782" s="268"/>
      <c r="KAQ782" s="268"/>
      <c r="KAR782" s="268"/>
      <c r="KAS782" s="268"/>
      <c r="KAT782" s="268"/>
      <c r="KAU782" s="268"/>
      <c r="KAV782" s="268"/>
      <c r="KAW782" s="268"/>
      <c r="KAX782" s="268"/>
      <c r="KAY782" s="268"/>
      <c r="KAZ782" s="268"/>
      <c r="KBA782" s="268"/>
      <c r="KBB782" s="268"/>
      <c r="KBC782" s="268"/>
      <c r="KBD782" s="268"/>
      <c r="KBE782" s="268"/>
      <c r="KBF782" s="268"/>
      <c r="KBG782" s="268"/>
      <c r="KBH782" s="268"/>
      <c r="KBI782" s="268"/>
      <c r="KBJ782" s="268"/>
      <c r="KBK782" s="268"/>
      <c r="KBL782" s="268"/>
      <c r="KBM782" s="268"/>
      <c r="KBN782" s="268"/>
      <c r="KBO782" s="268"/>
      <c r="KBP782" s="268"/>
      <c r="KBQ782" s="268"/>
      <c r="KBR782" s="268"/>
      <c r="KBS782" s="268"/>
      <c r="KBT782" s="268"/>
      <c r="KBU782" s="268"/>
      <c r="KBV782" s="268"/>
      <c r="KBW782" s="268"/>
      <c r="KBX782" s="268"/>
      <c r="KBY782" s="268"/>
      <c r="KBZ782" s="268"/>
      <c r="KCA782" s="268"/>
      <c r="KCB782" s="268"/>
      <c r="KCC782" s="268"/>
      <c r="KCD782" s="268"/>
      <c r="KCE782" s="268"/>
      <c r="KCF782" s="268"/>
      <c r="KCG782" s="268"/>
      <c r="KCH782" s="268"/>
      <c r="KCI782" s="268"/>
      <c r="KCJ782" s="268"/>
      <c r="KCK782" s="268"/>
      <c r="KCL782" s="268"/>
      <c r="KCM782" s="268"/>
      <c r="KCN782" s="268"/>
      <c r="KCO782" s="268"/>
      <c r="KCP782" s="268"/>
      <c r="KCQ782" s="268"/>
      <c r="KCR782" s="268"/>
      <c r="KCS782" s="268"/>
      <c r="KCT782" s="268"/>
      <c r="KCU782" s="268"/>
      <c r="KCV782" s="268"/>
      <c r="KCW782" s="268"/>
      <c r="KCX782" s="268"/>
      <c r="KCY782" s="268"/>
      <c r="KCZ782" s="268"/>
      <c r="KDA782" s="268"/>
      <c r="KDB782" s="268"/>
      <c r="KDC782" s="268"/>
      <c r="KDD782" s="268"/>
      <c r="KDE782" s="268"/>
      <c r="KDF782" s="268"/>
      <c r="KDG782" s="268"/>
      <c r="KDH782" s="268"/>
      <c r="KDI782" s="268"/>
      <c r="KDJ782" s="268"/>
      <c r="KDK782" s="268"/>
      <c r="KDL782" s="268"/>
      <c r="KDM782" s="268"/>
      <c r="KDN782" s="268"/>
      <c r="KDO782" s="268"/>
      <c r="KDP782" s="268"/>
      <c r="KDQ782" s="268"/>
      <c r="KDR782" s="268"/>
      <c r="KDS782" s="268"/>
      <c r="KDT782" s="268"/>
      <c r="KDU782" s="268"/>
      <c r="KDV782" s="268"/>
      <c r="KDW782" s="268"/>
      <c r="KDX782" s="268"/>
      <c r="KDY782" s="268"/>
      <c r="KDZ782" s="268"/>
      <c r="KEA782" s="268"/>
      <c r="KEB782" s="268"/>
      <c r="KEC782" s="268"/>
      <c r="KED782" s="268"/>
      <c r="KEE782" s="268"/>
      <c r="KEF782" s="268"/>
      <c r="KEG782" s="268"/>
      <c r="KEH782" s="268"/>
      <c r="KEI782" s="268"/>
      <c r="KEJ782" s="268"/>
      <c r="KEK782" s="268"/>
      <c r="KEL782" s="268"/>
      <c r="KEM782" s="268"/>
      <c r="KEN782" s="268"/>
      <c r="KEO782" s="268"/>
      <c r="KEP782" s="268"/>
      <c r="KEQ782" s="268"/>
      <c r="KER782" s="268"/>
      <c r="KES782" s="268"/>
      <c r="KET782" s="268"/>
      <c r="KEU782" s="268"/>
      <c r="KEV782" s="268"/>
      <c r="KEW782" s="268"/>
      <c r="KEX782" s="268"/>
      <c r="KEY782" s="268"/>
      <c r="KEZ782" s="268"/>
      <c r="KFA782" s="268"/>
      <c r="KFB782" s="268"/>
      <c r="KFC782" s="268"/>
      <c r="KFD782" s="268"/>
      <c r="KFE782" s="268"/>
      <c r="KFF782" s="268"/>
      <c r="KFG782" s="268"/>
      <c r="KFH782" s="268"/>
      <c r="KFI782" s="268"/>
      <c r="KFJ782" s="268"/>
      <c r="KFK782" s="268"/>
      <c r="KFL782" s="268"/>
      <c r="KFM782" s="268"/>
      <c r="KFN782" s="268"/>
      <c r="KFO782" s="268"/>
      <c r="KFP782" s="268"/>
      <c r="KFQ782" s="268"/>
      <c r="KFR782" s="268"/>
      <c r="KFS782" s="268"/>
      <c r="KFT782" s="268"/>
      <c r="KFU782" s="268"/>
      <c r="KFV782" s="268"/>
      <c r="KFW782" s="268"/>
      <c r="KFX782" s="268"/>
      <c r="KFY782" s="268"/>
      <c r="KFZ782" s="268"/>
      <c r="KGA782" s="268"/>
      <c r="KGB782" s="268"/>
      <c r="KGC782" s="268"/>
      <c r="KGD782" s="268"/>
      <c r="KGE782" s="268"/>
      <c r="KGF782" s="268"/>
      <c r="KGG782" s="268"/>
      <c r="KGH782" s="268"/>
      <c r="KGI782" s="268"/>
      <c r="KGJ782" s="268"/>
      <c r="KGK782" s="268"/>
      <c r="KGL782" s="268"/>
      <c r="KGM782" s="268"/>
      <c r="KGN782" s="268"/>
      <c r="KGO782" s="268"/>
      <c r="KGP782" s="268"/>
      <c r="KGQ782" s="268"/>
      <c r="KGR782" s="268"/>
      <c r="KGS782" s="268"/>
      <c r="KGT782" s="268"/>
      <c r="KGU782" s="268"/>
      <c r="KGV782" s="268"/>
      <c r="KGW782" s="268"/>
      <c r="KGX782" s="268"/>
      <c r="KGY782" s="268"/>
      <c r="KGZ782" s="268"/>
      <c r="KHA782" s="268"/>
      <c r="KHB782" s="268"/>
      <c r="KHC782" s="268"/>
      <c r="KHD782" s="268"/>
      <c r="KHE782" s="268"/>
      <c r="KHF782" s="268"/>
      <c r="KHG782" s="268"/>
      <c r="KHH782" s="268"/>
      <c r="KHI782" s="268"/>
      <c r="KHJ782" s="268"/>
      <c r="KHK782" s="268"/>
      <c r="KHL782" s="268"/>
      <c r="KHM782" s="268"/>
      <c r="KHN782" s="268"/>
      <c r="KHO782" s="268"/>
      <c r="KHP782" s="268"/>
      <c r="KHQ782" s="268"/>
      <c r="KHR782" s="268"/>
      <c r="KHS782" s="268"/>
      <c r="KHT782" s="268"/>
      <c r="KHU782" s="268"/>
      <c r="KHV782" s="268"/>
      <c r="KHW782" s="268"/>
      <c r="KHX782" s="268"/>
      <c r="KHY782" s="268"/>
      <c r="KHZ782" s="268"/>
      <c r="KIA782" s="268"/>
      <c r="KIO782" s="268"/>
      <c r="KIP782" s="268"/>
      <c r="KIQ782" s="268"/>
      <c r="KJE782" s="268"/>
      <c r="KJG782" s="268"/>
      <c r="KJH782" s="268"/>
      <c r="KJI782" s="268"/>
      <c r="KJJ782" s="268"/>
      <c r="KJK782" s="268"/>
      <c r="KJL782" s="268"/>
      <c r="KJM782" s="268"/>
      <c r="KJN782" s="268"/>
      <c r="KJO782" s="268"/>
      <c r="KJP782" s="268"/>
      <c r="KJQ782" s="268"/>
      <c r="KJR782" s="268"/>
      <c r="KJS782" s="268"/>
      <c r="KJT782" s="268"/>
      <c r="KJU782" s="268"/>
      <c r="KJV782" s="268"/>
      <c r="KJW782" s="268"/>
      <c r="KJX782" s="268"/>
      <c r="KJY782" s="268"/>
      <c r="KJZ782" s="268"/>
      <c r="KKA782" s="268"/>
      <c r="KKB782" s="268"/>
      <c r="KKC782" s="268"/>
      <c r="KKD782" s="268"/>
      <c r="KKE782" s="268"/>
      <c r="KKF782" s="268"/>
      <c r="KKG782" s="268"/>
      <c r="KKH782" s="268"/>
      <c r="KKI782" s="268"/>
      <c r="KKJ782" s="268"/>
      <c r="KKK782" s="268"/>
      <c r="KKL782" s="268"/>
      <c r="KKM782" s="268"/>
      <c r="KKN782" s="268"/>
      <c r="KKO782" s="268"/>
      <c r="KKP782" s="268"/>
      <c r="KKQ782" s="268"/>
      <c r="KKR782" s="268"/>
      <c r="KKS782" s="268"/>
      <c r="KKT782" s="268"/>
      <c r="KKU782" s="268"/>
      <c r="KKV782" s="268"/>
      <c r="KKW782" s="268"/>
      <c r="KKX782" s="268"/>
      <c r="KKY782" s="268"/>
      <c r="KKZ782" s="268"/>
      <c r="KLA782" s="268"/>
      <c r="KLB782" s="268"/>
      <c r="KLC782" s="268"/>
      <c r="KLD782" s="268"/>
      <c r="KLE782" s="268"/>
      <c r="KLF782" s="268"/>
      <c r="KLG782" s="268"/>
      <c r="KLH782" s="268"/>
      <c r="KLI782" s="268"/>
      <c r="KLJ782" s="268"/>
      <c r="KLK782" s="268"/>
      <c r="KLL782" s="268"/>
      <c r="KLM782" s="268"/>
      <c r="KLN782" s="268"/>
      <c r="KLO782" s="268"/>
      <c r="KLP782" s="268"/>
      <c r="KLQ782" s="268"/>
      <c r="KLR782" s="268"/>
      <c r="KLS782" s="268"/>
      <c r="KLT782" s="268"/>
      <c r="KLU782" s="268"/>
      <c r="KLV782" s="268"/>
      <c r="KLW782" s="268"/>
      <c r="KLX782" s="268"/>
      <c r="KLY782" s="268"/>
      <c r="KLZ782" s="268"/>
      <c r="KMA782" s="268"/>
      <c r="KMB782" s="268"/>
      <c r="KMC782" s="268"/>
      <c r="KMD782" s="268"/>
      <c r="KME782" s="268"/>
      <c r="KMF782" s="268"/>
      <c r="KMG782" s="268"/>
      <c r="KMH782" s="268"/>
      <c r="KMI782" s="268"/>
      <c r="KMJ782" s="268"/>
      <c r="KMK782" s="268"/>
      <c r="KML782" s="268"/>
      <c r="KMM782" s="268"/>
      <c r="KMN782" s="268"/>
      <c r="KMO782" s="268"/>
      <c r="KMP782" s="268"/>
      <c r="KMQ782" s="268"/>
      <c r="KMR782" s="268"/>
      <c r="KMS782" s="268"/>
      <c r="KMT782" s="268"/>
      <c r="KMU782" s="268"/>
      <c r="KMV782" s="268"/>
      <c r="KMW782" s="268"/>
      <c r="KMX782" s="268"/>
      <c r="KMY782" s="268"/>
      <c r="KMZ782" s="268"/>
      <c r="KNA782" s="268"/>
      <c r="KNB782" s="268"/>
      <c r="KNC782" s="268"/>
      <c r="KND782" s="268"/>
      <c r="KNE782" s="268"/>
      <c r="KNF782" s="268"/>
      <c r="KNG782" s="268"/>
      <c r="KNH782" s="268"/>
      <c r="KNI782" s="268"/>
      <c r="KNJ782" s="268"/>
      <c r="KNK782" s="268"/>
      <c r="KNL782" s="268"/>
      <c r="KNM782" s="268"/>
      <c r="KNN782" s="268"/>
      <c r="KNO782" s="268"/>
      <c r="KNP782" s="268"/>
      <c r="KNQ782" s="268"/>
      <c r="KNR782" s="268"/>
      <c r="KNS782" s="268"/>
      <c r="KNT782" s="268"/>
      <c r="KNU782" s="268"/>
      <c r="KNV782" s="268"/>
      <c r="KNW782" s="268"/>
      <c r="KNX782" s="268"/>
      <c r="KNY782" s="268"/>
      <c r="KNZ782" s="268"/>
      <c r="KOA782" s="268"/>
      <c r="KOB782" s="268"/>
      <c r="KOC782" s="268"/>
      <c r="KOD782" s="268"/>
      <c r="KOE782" s="268"/>
      <c r="KOF782" s="268"/>
      <c r="KOG782" s="268"/>
      <c r="KOH782" s="268"/>
      <c r="KOI782" s="268"/>
      <c r="KOJ782" s="268"/>
      <c r="KOK782" s="268"/>
      <c r="KOL782" s="268"/>
      <c r="KOM782" s="268"/>
      <c r="KON782" s="268"/>
      <c r="KOO782" s="268"/>
      <c r="KOP782" s="268"/>
      <c r="KOQ782" s="268"/>
      <c r="KOR782" s="268"/>
      <c r="KOS782" s="268"/>
      <c r="KOT782" s="268"/>
      <c r="KOU782" s="268"/>
      <c r="KOV782" s="268"/>
      <c r="KOW782" s="268"/>
      <c r="KOX782" s="268"/>
      <c r="KOY782" s="268"/>
      <c r="KOZ782" s="268"/>
      <c r="KPA782" s="268"/>
      <c r="KPB782" s="268"/>
      <c r="KPC782" s="268"/>
      <c r="KPD782" s="268"/>
      <c r="KPE782" s="268"/>
      <c r="KPF782" s="268"/>
      <c r="KPG782" s="268"/>
      <c r="KPH782" s="268"/>
      <c r="KPI782" s="268"/>
      <c r="KPJ782" s="268"/>
      <c r="KPK782" s="268"/>
      <c r="KPL782" s="268"/>
      <c r="KPM782" s="268"/>
      <c r="KPN782" s="268"/>
      <c r="KPO782" s="268"/>
      <c r="KPP782" s="268"/>
      <c r="KPQ782" s="268"/>
      <c r="KPR782" s="268"/>
      <c r="KPS782" s="268"/>
      <c r="KPT782" s="268"/>
      <c r="KPU782" s="268"/>
      <c r="KPV782" s="268"/>
      <c r="KPW782" s="268"/>
      <c r="KPX782" s="268"/>
      <c r="KPY782" s="268"/>
      <c r="KPZ782" s="268"/>
      <c r="KQA782" s="268"/>
      <c r="KQB782" s="268"/>
      <c r="KQC782" s="268"/>
      <c r="KQD782" s="268"/>
      <c r="KQE782" s="268"/>
      <c r="KQF782" s="268"/>
      <c r="KQG782" s="268"/>
      <c r="KQH782" s="268"/>
      <c r="KQI782" s="268"/>
      <c r="KQJ782" s="268"/>
      <c r="KQK782" s="268"/>
      <c r="KQL782" s="268"/>
      <c r="KQM782" s="268"/>
      <c r="KQN782" s="268"/>
      <c r="KQO782" s="268"/>
      <c r="KQP782" s="268"/>
      <c r="KQQ782" s="268"/>
      <c r="KQR782" s="268"/>
      <c r="KQS782" s="268"/>
      <c r="KQT782" s="268"/>
      <c r="KQU782" s="268"/>
      <c r="KQV782" s="268"/>
      <c r="KQW782" s="268"/>
      <c r="KQX782" s="268"/>
      <c r="KQY782" s="268"/>
      <c r="KQZ782" s="268"/>
      <c r="KRA782" s="268"/>
      <c r="KRB782" s="268"/>
      <c r="KRC782" s="268"/>
      <c r="KRD782" s="268"/>
      <c r="KRE782" s="268"/>
      <c r="KRF782" s="268"/>
      <c r="KRG782" s="268"/>
      <c r="KRH782" s="268"/>
      <c r="KRI782" s="268"/>
      <c r="KRJ782" s="268"/>
      <c r="KRK782" s="268"/>
      <c r="KRL782" s="268"/>
      <c r="KRM782" s="268"/>
      <c r="KRN782" s="268"/>
      <c r="KRO782" s="268"/>
      <c r="KRP782" s="268"/>
      <c r="KRQ782" s="268"/>
      <c r="KRR782" s="268"/>
      <c r="KRS782" s="268"/>
      <c r="KRT782" s="268"/>
      <c r="KRU782" s="268"/>
      <c r="KRV782" s="268"/>
      <c r="KRW782" s="268"/>
      <c r="KSK782" s="268"/>
      <c r="KSL782" s="268"/>
      <c r="KSM782" s="268"/>
      <c r="KTA782" s="268"/>
      <c r="KTC782" s="268"/>
      <c r="KTD782" s="268"/>
      <c r="KTE782" s="268"/>
      <c r="KTF782" s="268"/>
      <c r="KTG782" s="268"/>
      <c r="KTH782" s="268"/>
      <c r="KTI782" s="268"/>
      <c r="KTJ782" s="268"/>
      <c r="KTK782" s="268"/>
      <c r="KTL782" s="268"/>
      <c r="KTM782" s="268"/>
      <c r="KTN782" s="268"/>
      <c r="KTO782" s="268"/>
      <c r="KTP782" s="268"/>
      <c r="KTQ782" s="268"/>
      <c r="KTR782" s="268"/>
      <c r="KTS782" s="268"/>
      <c r="KTT782" s="268"/>
      <c r="KTU782" s="268"/>
      <c r="KTV782" s="268"/>
      <c r="KTW782" s="268"/>
      <c r="KTX782" s="268"/>
      <c r="KTY782" s="268"/>
      <c r="KTZ782" s="268"/>
      <c r="KUA782" s="268"/>
      <c r="KUB782" s="268"/>
      <c r="KUC782" s="268"/>
      <c r="KUD782" s="268"/>
      <c r="KUE782" s="268"/>
      <c r="KUF782" s="268"/>
      <c r="KUG782" s="268"/>
      <c r="KUH782" s="268"/>
      <c r="KUI782" s="268"/>
      <c r="KUJ782" s="268"/>
      <c r="KUK782" s="268"/>
      <c r="KUL782" s="268"/>
      <c r="KUM782" s="268"/>
      <c r="KUN782" s="268"/>
      <c r="KUO782" s="268"/>
      <c r="KUP782" s="268"/>
      <c r="KUQ782" s="268"/>
      <c r="KUR782" s="268"/>
      <c r="KUS782" s="268"/>
      <c r="KUT782" s="268"/>
      <c r="KUU782" s="268"/>
      <c r="KUV782" s="268"/>
      <c r="KUW782" s="268"/>
      <c r="KUX782" s="268"/>
      <c r="KUY782" s="268"/>
      <c r="KUZ782" s="268"/>
      <c r="KVA782" s="268"/>
      <c r="KVB782" s="268"/>
      <c r="KVC782" s="268"/>
      <c r="KVD782" s="268"/>
      <c r="KVE782" s="268"/>
      <c r="KVF782" s="268"/>
      <c r="KVG782" s="268"/>
      <c r="KVH782" s="268"/>
      <c r="KVI782" s="268"/>
      <c r="KVJ782" s="268"/>
      <c r="KVK782" s="268"/>
      <c r="KVL782" s="268"/>
      <c r="KVM782" s="268"/>
      <c r="KVN782" s="268"/>
      <c r="KVO782" s="268"/>
      <c r="KVP782" s="268"/>
      <c r="KVQ782" s="268"/>
      <c r="KVR782" s="268"/>
      <c r="KVS782" s="268"/>
      <c r="KVT782" s="268"/>
      <c r="KVU782" s="268"/>
      <c r="KVV782" s="268"/>
      <c r="KVW782" s="268"/>
      <c r="KVX782" s="268"/>
      <c r="KVY782" s="268"/>
      <c r="KVZ782" s="268"/>
      <c r="KWA782" s="268"/>
      <c r="KWB782" s="268"/>
      <c r="KWC782" s="268"/>
      <c r="KWD782" s="268"/>
      <c r="KWE782" s="268"/>
      <c r="KWF782" s="268"/>
      <c r="KWG782" s="268"/>
      <c r="KWH782" s="268"/>
      <c r="KWI782" s="268"/>
      <c r="KWJ782" s="268"/>
      <c r="KWK782" s="268"/>
      <c r="KWL782" s="268"/>
      <c r="KWM782" s="268"/>
      <c r="KWN782" s="268"/>
      <c r="KWO782" s="268"/>
      <c r="KWP782" s="268"/>
      <c r="KWQ782" s="268"/>
      <c r="KWR782" s="268"/>
      <c r="KWS782" s="268"/>
      <c r="KWT782" s="268"/>
      <c r="KWU782" s="268"/>
      <c r="KWV782" s="268"/>
      <c r="KWW782" s="268"/>
      <c r="KWX782" s="268"/>
      <c r="KWY782" s="268"/>
      <c r="KWZ782" s="268"/>
      <c r="KXA782" s="268"/>
      <c r="KXB782" s="268"/>
      <c r="KXC782" s="268"/>
      <c r="KXD782" s="268"/>
      <c r="KXE782" s="268"/>
      <c r="KXF782" s="268"/>
      <c r="KXG782" s="268"/>
      <c r="KXH782" s="268"/>
      <c r="KXI782" s="268"/>
      <c r="KXJ782" s="268"/>
      <c r="KXK782" s="268"/>
      <c r="KXL782" s="268"/>
      <c r="KXM782" s="268"/>
      <c r="KXN782" s="268"/>
      <c r="KXO782" s="268"/>
      <c r="KXP782" s="268"/>
      <c r="KXQ782" s="268"/>
      <c r="KXR782" s="268"/>
      <c r="KXS782" s="268"/>
      <c r="KXT782" s="268"/>
      <c r="KXU782" s="268"/>
      <c r="KXV782" s="268"/>
      <c r="KXW782" s="268"/>
      <c r="KXX782" s="268"/>
      <c r="KXY782" s="268"/>
      <c r="KXZ782" s="268"/>
      <c r="KYA782" s="268"/>
      <c r="KYB782" s="268"/>
      <c r="KYC782" s="268"/>
      <c r="KYD782" s="268"/>
      <c r="KYE782" s="268"/>
      <c r="KYF782" s="268"/>
      <c r="KYG782" s="268"/>
      <c r="KYH782" s="268"/>
      <c r="KYI782" s="268"/>
      <c r="KYJ782" s="268"/>
      <c r="KYK782" s="268"/>
      <c r="KYL782" s="268"/>
      <c r="KYM782" s="268"/>
      <c r="KYN782" s="268"/>
      <c r="KYO782" s="268"/>
      <c r="KYP782" s="268"/>
      <c r="KYQ782" s="268"/>
      <c r="KYR782" s="268"/>
      <c r="KYS782" s="268"/>
      <c r="KYT782" s="268"/>
      <c r="KYU782" s="268"/>
      <c r="KYV782" s="268"/>
      <c r="KYW782" s="268"/>
      <c r="KYX782" s="268"/>
      <c r="KYY782" s="268"/>
      <c r="KYZ782" s="268"/>
      <c r="KZA782" s="268"/>
      <c r="KZB782" s="268"/>
      <c r="KZC782" s="268"/>
      <c r="KZD782" s="268"/>
      <c r="KZE782" s="268"/>
      <c r="KZF782" s="268"/>
      <c r="KZG782" s="268"/>
      <c r="KZH782" s="268"/>
      <c r="KZI782" s="268"/>
      <c r="KZJ782" s="268"/>
      <c r="KZK782" s="268"/>
      <c r="KZL782" s="268"/>
      <c r="KZM782" s="268"/>
      <c r="KZN782" s="268"/>
      <c r="KZO782" s="268"/>
      <c r="KZP782" s="268"/>
      <c r="KZQ782" s="268"/>
      <c r="KZR782" s="268"/>
      <c r="KZS782" s="268"/>
      <c r="KZT782" s="268"/>
      <c r="KZU782" s="268"/>
      <c r="KZV782" s="268"/>
      <c r="KZW782" s="268"/>
      <c r="KZX782" s="268"/>
      <c r="KZY782" s="268"/>
      <c r="KZZ782" s="268"/>
      <c r="LAA782" s="268"/>
      <c r="LAB782" s="268"/>
      <c r="LAC782" s="268"/>
      <c r="LAD782" s="268"/>
      <c r="LAE782" s="268"/>
      <c r="LAF782" s="268"/>
      <c r="LAG782" s="268"/>
      <c r="LAH782" s="268"/>
      <c r="LAI782" s="268"/>
      <c r="LAJ782" s="268"/>
      <c r="LAK782" s="268"/>
      <c r="LAL782" s="268"/>
      <c r="LAM782" s="268"/>
      <c r="LAN782" s="268"/>
      <c r="LAO782" s="268"/>
      <c r="LAP782" s="268"/>
      <c r="LAQ782" s="268"/>
      <c r="LAR782" s="268"/>
      <c r="LAS782" s="268"/>
      <c r="LAT782" s="268"/>
      <c r="LAU782" s="268"/>
      <c r="LAV782" s="268"/>
      <c r="LAW782" s="268"/>
      <c r="LAX782" s="268"/>
      <c r="LAY782" s="268"/>
      <c r="LAZ782" s="268"/>
      <c r="LBA782" s="268"/>
      <c r="LBB782" s="268"/>
      <c r="LBC782" s="268"/>
      <c r="LBD782" s="268"/>
      <c r="LBE782" s="268"/>
      <c r="LBF782" s="268"/>
      <c r="LBG782" s="268"/>
      <c r="LBH782" s="268"/>
      <c r="LBI782" s="268"/>
      <c r="LBJ782" s="268"/>
      <c r="LBK782" s="268"/>
      <c r="LBL782" s="268"/>
      <c r="LBM782" s="268"/>
      <c r="LBN782" s="268"/>
      <c r="LBO782" s="268"/>
      <c r="LBP782" s="268"/>
      <c r="LBQ782" s="268"/>
      <c r="LBR782" s="268"/>
      <c r="LBS782" s="268"/>
      <c r="LCG782" s="268"/>
      <c r="LCH782" s="268"/>
      <c r="LCI782" s="268"/>
      <c r="LCW782" s="268"/>
      <c r="LCY782" s="268"/>
      <c r="LCZ782" s="268"/>
      <c r="LDA782" s="268"/>
      <c r="LDB782" s="268"/>
      <c r="LDC782" s="268"/>
      <c r="LDD782" s="268"/>
      <c r="LDE782" s="268"/>
      <c r="LDF782" s="268"/>
      <c r="LDG782" s="268"/>
      <c r="LDH782" s="268"/>
      <c r="LDI782" s="268"/>
      <c r="LDJ782" s="268"/>
      <c r="LDK782" s="268"/>
      <c r="LDL782" s="268"/>
      <c r="LDM782" s="268"/>
      <c r="LDN782" s="268"/>
      <c r="LDO782" s="268"/>
      <c r="LDP782" s="268"/>
      <c r="LDQ782" s="268"/>
      <c r="LDR782" s="268"/>
      <c r="LDS782" s="268"/>
      <c r="LDT782" s="268"/>
      <c r="LDU782" s="268"/>
      <c r="LDV782" s="268"/>
      <c r="LDW782" s="268"/>
      <c r="LDX782" s="268"/>
      <c r="LDY782" s="268"/>
      <c r="LDZ782" s="268"/>
      <c r="LEA782" s="268"/>
      <c r="LEB782" s="268"/>
      <c r="LEC782" s="268"/>
      <c r="LED782" s="268"/>
      <c r="LEE782" s="268"/>
      <c r="LEF782" s="268"/>
      <c r="LEG782" s="268"/>
      <c r="LEH782" s="268"/>
      <c r="LEI782" s="268"/>
      <c r="LEJ782" s="268"/>
      <c r="LEK782" s="268"/>
      <c r="LEL782" s="268"/>
      <c r="LEM782" s="268"/>
      <c r="LEN782" s="268"/>
      <c r="LEO782" s="268"/>
      <c r="LEP782" s="268"/>
      <c r="LEQ782" s="268"/>
      <c r="LER782" s="268"/>
      <c r="LES782" s="268"/>
      <c r="LET782" s="268"/>
      <c r="LEU782" s="268"/>
      <c r="LEV782" s="268"/>
      <c r="LEW782" s="268"/>
      <c r="LEX782" s="268"/>
      <c r="LEY782" s="268"/>
      <c r="LEZ782" s="268"/>
      <c r="LFA782" s="268"/>
      <c r="LFB782" s="268"/>
      <c r="LFC782" s="268"/>
      <c r="LFD782" s="268"/>
      <c r="LFE782" s="268"/>
      <c r="LFF782" s="268"/>
      <c r="LFG782" s="268"/>
      <c r="LFH782" s="268"/>
      <c r="LFI782" s="268"/>
      <c r="LFJ782" s="268"/>
      <c r="LFK782" s="268"/>
      <c r="LFL782" s="268"/>
      <c r="LFM782" s="268"/>
      <c r="LFN782" s="268"/>
      <c r="LFO782" s="268"/>
      <c r="LFP782" s="268"/>
      <c r="LFQ782" s="268"/>
      <c r="LFR782" s="268"/>
      <c r="LFS782" s="268"/>
      <c r="LFT782" s="268"/>
      <c r="LFU782" s="268"/>
      <c r="LFV782" s="268"/>
      <c r="LFW782" s="268"/>
      <c r="LFX782" s="268"/>
      <c r="LFY782" s="268"/>
      <c r="LFZ782" s="268"/>
      <c r="LGA782" s="268"/>
      <c r="LGB782" s="268"/>
      <c r="LGC782" s="268"/>
      <c r="LGD782" s="268"/>
      <c r="LGE782" s="268"/>
      <c r="LGF782" s="268"/>
      <c r="LGG782" s="268"/>
      <c r="LGH782" s="268"/>
      <c r="LGI782" s="268"/>
      <c r="LGJ782" s="268"/>
      <c r="LGK782" s="268"/>
      <c r="LGL782" s="268"/>
      <c r="LGM782" s="268"/>
      <c r="LGN782" s="268"/>
      <c r="LGO782" s="268"/>
      <c r="LGP782" s="268"/>
      <c r="LGQ782" s="268"/>
      <c r="LGR782" s="268"/>
      <c r="LGS782" s="268"/>
      <c r="LGT782" s="268"/>
      <c r="LGU782" s="268"/>
      <c r="LGV782" s="268"/>
      <c r="LGW782" s="268"/>
      <c r="LGX782" s="268"/>
      <c r="LGY782" s="268"/>
      <c r="LGZ782" s="268"/>
      <c r="LHA782" s="268"/>
      <c r="LHB782" s="268"/>
      <c r="LHC782" s="268"/>
      <c r="LHD782" s="268"/>
      <c r="LHE782" s="268"/>
      <c r="LHF782" s="268"/>
      <c r="LHG782" s="268"/>
      <c r="LHH782" s="268"/>
      <c r="LHI782" s="268"/>
      <c r="LHJ782" s="268"/>
      <c r="LHK782" s="268"/>
      <c r="LHL782" s="268"/>
      <c r="LHM782" s="268"/>
      <c r="LHN782" s="268"/>
      <c r="LHO782" s="268"/>
      <c r="LHP782" s="268"/>
      <c r="LHQ782" s="268"/>
      <c r="LHR782" s="268"/>
      <c r="LHS782" s="268"/>
      <c r="LHT782" s="268"/>
      <c r="LHU782" s="268"/>
      <c r="LHV782" s="268"/>
      <c r="LHW782" s="268"/>
      <c r="LHX782" s="268"/>
      <c r="LHY782" s="268"/>
      <c r="LHZ782" s="268"/>
      <c r="LIA782" s="268"/>
      <c r="LIB782" s="268"/>
      <c r="LIC782" s="268"/>
      <c r="LID782" s="268"/>
      <c r="LIE782" s="268"/>
      <c r="LIF782" s="268"/>
      <c r="LIG782" s="268"/>
      <c r="LIH782" s="268"/>
      <c r="LII782" s="268"/>
      <c r="LIJ782" s="268"/>
      <c r="LIK782" s="268"/>
      <c r="LIL782" s="268"/>
      <c r="LIM782" s="268"/>
      <c r="LIN782" s="268"/>
      <c r="LIO782" s="268"/>
      <c r="LIP782" s="268"/>
      <c r="LIQ782" s="268"/>
      <c r="LIR782" s="268"/>
      <c r="LIS782" s="268"/>
      <c r="LIT782" s="268"/>
      <c r="LIU782" s="268"/>
      <c r="LIV782" s="268"/>
      <c r="LIW782" s="268"/>
      <c r="LIX782" s="268"/>
      <c r="LIY782" s="268"/>
      <c r="LIZ782" s="268"/>
      <c r="LJA782" s="268"/>
      <c r="LJB782" s="268"/>
      <c r="LJC782" s="268"/>
      <c r="LJD782" s="268"/>
      <c r="LJE782" s="268"/>
      <c r="LJF782" s="268"/>
      <c r="LJG782" s="268"/>
      <c r="LJH782" s="268"/>
      <c r="LJI782" s="268"/>
      <c r="LJJ782" s="268"/>
      <c r="LJK782" s="268"/>
      <c r="LJL782" s="268"/>
      <c r="LJM782" s="268"/>
      <c r="LJN782" s="268"/>
      <c r="LJO782" s="268"/>
      <c r="LJP782" s="268"/>
      <c r="LJQ782" s="268"/>
      <c r="LJR782" s="268"/>
      <c r="LJS782" s="268"/>
      <c r="LJT782" s="268"/>
      <c r="LJU782" s="268"/>
      <c r="LJV782" s="268"/>
      <c r="LJW782" s="268"/>
      <c r="LJX782" s="268"/>
      <c r="LJY782" s="268"/>
      <c r="LJZ782" s="268"/>
      <c r="LKA782" s="268"/>
      <c r="LKB782" s="268"/>
      <c r="LKC782" s="268"/>
      <c r="LKD782" s="268"/>
      <c r="LKE782" s="268"/>
      <c r="LKF782" s="268"/>
      <c r="LKG782" s="268"/>
      <c r="LKH782" s="268"/>
      <c r="LKI782" s="268"/>
      <c r="LKJ782" s="268"/>
      <c r="LKK782" s="268"/>
      <c r="LKL782" s="268"/>
      <c r="LKM782" s="268"/>
      <c r="LKN782" s="268"/>
      <c r="LKO782" s="268"/>
      <c r="LKP782" s="268"/>
      <c r="LKQ782" s="268"/>
      <c r="LKR782" s="268"/>
      <c r="LKS782" s="268"/>
      <c r="LKT782" s="268"/>
      <c r="LKU782" s="268"/>
      <c r="LKV782" s="268"/>
      <c r="LKW782" s="268"/>
      <c r="LKX782" s="268"/>
      <c r="LKY782" s="268"/>
      <c r="LKZ782" s="268"/>
      <c r="LLA782" s="268"/>
      <c r="LLB782" s="268"/>
      <c r="LLC782" s="268"/>
      <c r="LLD782" s="268"/>
      <c r="LLE782" s="268"/>
      <c r="LLF782" s="268"/>
      <c r="LLG782" s="268"/>
      <c r="LLH782" s="268"/>
      <c r="LLI782" s="268"/>
      <c r="LLJ782" s="268"/>
      <c r="LLK782" s="268"/>
      <c r="LLL782" s="268"/>
      <c r="LLM782" s="268"/>
      <c r="LLN782" s="268"/>
      <c r="LLO782" s="268"/>
      <c r="LMC782" s="268"/>
      <c r="LMD782" s="268"/>
      <c r="LME782" s="268"/>
      <c r="LMS782" s="268"/>
      <c r="LMU782" s="268"/>
      <c r="LMV782" s="268"/>
      <c r="LMW782" s="268"/>
      <c r="LMX782" s="268"/>
      <c r="LMY782" s="268"/>
      <c r="LMZ782" s="268"/>
      <c r="LNA782" s="268"/>
      <c r="LNB782" s="268"/>
      <c r="LNC782" s="268"/>
      <c r="LND782" s="268"/>
      <c r="LNE782" s="268"/>
      <c r="LNF782" s="268"/>
      <c r="LNG782" s="268"/>
      <c r="LNH782" s="268"/>
      <c r="LNI782" s="268"/>
      <c r="LNJ782" s="268"/>
      <c r="LNK782" s="268"/>
      <c r="LNL782" s="268"/>
      <c r="LNM782" s="268"/>
      <c r="LNN782" s="268"/>
      <c r="LNO782" s="268"/>
      <c r="LNP782" s="268"/>
      <c r="LNQ782" s="268"/>
      <c r="LNR782" s="268"/>
      <c r="LNS782" s="268"/>
      <c r="LNT782" s="268"/>
      <c r="LNU782" s="268"/>
      <c r="LNV782" s="268"/>
      <c r="LNW782" s="268"/>
      <c r="LNX782" s="268"/>
      <c r="LNY782" s="268"/>
      <c r="LNZ782" s="268"/>
      <c r="LOA782" s="268"/>
      <c r="LOB782" s="268"/>
      <c r="LOC782" s="268"/>
      <c r="LOD782" s="268"/>
      <c r="LOE782" s="268"/>
      <c r="LOF782" s="268"/>
      <c r="LOG782" s="268"/>
      <c r="LOH782" s="268"/>
      <c r="LOI782" s="268"/>
      <c r="LOJ782" s="268"/>
      <c r="LOK782" s="268"/>
      <c r="LOL782" s="268"/>
      <c r="LOM782" s="268"/>
      <c r="LON782" s="268"/>
      <c r="LOO782" s="268"/>
      <c r="LOP782" s="268"/>
      <c r="LOQ782" s="268"/>
      <c r="LOR782" s="268"/>
      <c r="LOS782" s="268"/>
      <c r="LOT782" s="268"/>
      <c r="LOU782" s="268"/>
      <c r="LOV782" s="268"/>
      <c r="LOW782" s="268"/>
      <c r="LOX782" s="268"/>
      <c r="LOY782" s="268"/>
      <c r="LOZ782" s="268"/>
      <c r="LPA782" s="268"/>
      <c r="LPB782" s="268"/>
      <c r="LPC782" s="268"/>
      <c r="LPD782" s="268"/>
      <c r="LPE782" s="268"/>
      <c r="LPF782" s="268"/>
      <c r="LPG782" s="268"/>
      <c r="LPH782" s="268"/>
      <c r="LPI782" s="268"/>
      <c r="LPJ782" s="268"/>
      <c r="LPK782" s="268"/>
      <c r="LPL782" s="268"/>
      <c r="LPM782" s="268"/>
      <c r="LPN782" s="268"/>
      <c r="LPO782" s="268"/>
      <c r="LPP782" s="268"/>
      <c r="LPQ782" s="268"/>
      <c r="LPR782" s="268"/>
      <c r="LPS782" s="268"/>
      <c r="LPT782" s="268"/>
      <c r="LPU782" s="268"/>
      <c r="LPV782" s="268"/>
      <c r="LPW782" s="268"/>
      <c r="LPX782" s="268"/>
      <c r="LPY782" s="268"/>
      <c r="LPZ782" s="268"/>
      <c r="LQA782" s="268"/>
      <c r="LQB782" s="268"/>
      <c r="LQC782" s="268"/>
      <c r="LQD782" s="268"/>
      <c r="LQE782" s="268"/>
      <c r="LQF782" s="268"/>
      <c r="LQG782" s="268"/>
      <c r="LQH782" s="268"/>
      <c r="LQI782" s="268"/>
      <c r="LQJ782" s="268"/>
      <c r="LQK782" s="268"/>
      <c r="LQL782" s="268"/>
      <c r="LQM782" s="268"/>
      <c r="LQN782" s="268"/>
      <c r="LQO782" s="268"/>
      <c r="LQP782" s="268"/>
      <c r="LQQ782" s="268"/>
      <c r="LQR782" s="268"/>
      <c r="LQS782" s="268"/>
      <c r="LQT782" s="268"/>
      <c r="LQU782" s="268"/>
      <c r="LQV782" s="268"/>
      <c r="LQW782" s="268"/>
      <c r="LQX782" s="268"/>
      <c r="LQY782" s="268"/>
      <c r="LQZ782" s="268"/>
      <c r="LRA782" s="268"/>
      <c r="LRB782" s="268"/>
      <c r="LRC782" s="268"/>
      <c r="LRD782" s="268"/>
      <c r="LRE782" s="268"/>
      <c r="LRF782" s="268"/>
      <c r="LRG782" s="268"/>
      <c r="LRH782" s="268"/>
      <c r="LRI782" s="268"/>
      <c r="LRJ782" s="268"/>
      <c r="LRK782" s="268"/>
      <c r="LRL782" s="268"/>
      <c r="LRM782" s="268"/>
      <c r="LRN782" s="268"/>
      <c r="LRO782" s="268"/>
      <c r="LRP782" s="268"/>
      <c r="LRQ782" s="268"/>
      <c r="LRR782" s="268"/>
      <c r="LRS782" s="268"/>
      <c r="LRT782" s="268"/>
      <c r="LRU782" s="268"/>
      <c r="LRV782" s="268"/>
      <c r="LRW782" s="268"/>
      <c r="LRX782" s="268"/>
      <c r="LRY782" s="268"/>
      <c r="LRZ782" s="268"/>
      <c r="LSA782" s="268"/>
      <c r="LSB782" s="268"/>
      <c r="LSC782" s="268"/>
      <c r="LSD782" s="268"/>
      <c r="LSE782" s="268"/>
      <c r="LSF782" s="268"/>
      <c r="LSG782" s="268"/>
      <c r="LSH782" s="268"/>
      <c r="LSI782" s="268"/>
      <c r="LSJ782" s="268"/>
      <c r="LSK782" s="268"/>
      <c r="LSL782" s="268"/>
      <c r="LSM782" s="268"/>
      <c r="LSN782" s="268"/>
      <c r="LSO782" s="268"/>
      <c r="LSP782" s="268"/>
      <c r="LSQ782" s="268"/>
      <c r="LSR782" s="268"/>
      <c r="LSS782" s="268"/>
      <c r="LST782" s="268"/>
      <c r="LSU782" s="268"/>
      <c r="LSV782" s="268"/>
      <c r="LSW782" s="268"/>
      <c r="LSX782" s="268"/>
      <c r="LSY782" s="268"/>
      <c r="LSZ782" s="268"/>
      <c r="LTA782" s="268"/>
      <c r="LTB782" s="268"/>
      <c r="LTC782" s="268"/>
      <c r="LTD782" s="268"/>
      <c r="LTE782" s="268"/>
      <c r="LTF782" s="268"/>
      <c r="LTG782" s="268"/>
      <c r="LTH782" s="268"/>
      <c r="LTI782" s="268"/>
      <c r="LTJ782" s="268"/>
      <c r="LTK782" s="268"/>
      <c r="LTL782" s="268"/>
      <c r="LTM782" s="268"/>
      <c r="LTN782" s="268"/>
      <c r="LTO782" s="268"/>
      <c r="LTP782" s="268"/>
      <c r="LTQ782" s="268"/>
      <c r="LTR782" s="268"/>
      <c r="LTS782" s="268"/>
      <c r="LTT782" s="268"/>
      <c r="LTU782" s="268"/>
      <c r="LTV782" s="268"/>
      <c r="LTW782" s="268"/>
      <c r="LTX782" s="268"/>
      <c r="LTY782" s="268"/>
      <c r="LTZ782" s="268"/>
      <c r="LUA782" s="268"/>
      <c r="LUB782" s="268"/>
      <c r="LUC782" s="268"/>
      <c r="LUD782" s="268"/>
      <c r="LUE782" s="268"/>
      <c r="LUF782" s="268"/>
      <c r="LUG782" s="268"/>
      <c r="LUH782" s="268"/>
      <c r="LUI782" s="268"/>
      <c r="LUJ782" s="268"/>
      <c r="LUK782" s="268"/>
      <c r="LUL782" s="268"/>
      <c r="LUM782" s="268"/>
      <c r="LUN782" s="268"/>
      <c r="LUO782" s="268"/>
      <c r="LUP782" s="268"/>
      <c r="LUQ782" s="268"/>
      <c r="LUR782" s="268"/>
      <c r="LUS782" s="268"/>
      <c r="LUT782" s="268"/>
      <c r="LUU782" s="268"/>
      <c r="LUV782" s="268"/>
      <c r="LUW782" s="268"/>
      <c r="LUX782" s="268"/>
      <c r="LUY782" s="268"/>
      <c r="LUZ782" s="268"/>
      <c r="LVA782" s="268"/>
      <c r="LVB782" s="268"/>
      <c r="LVC782" s="268"/>
      <c r="LVD782" s="268"/>
      <c r="LVE782" s="268"/>
      <c r="LVF782" s="268"/>
      <c r="LVG782" s="268"/>
      <c r="LVH782" s="268"/>
      <c r="LVI782" s="268"/>
      <c r="LVJ782" s="268"/>
      <c r="LVK782" s="268"/>
      <c r="LVY782" s="268"/>
      <c r="LVZ782" s="268"/>
      <c r="LWA782" s="268"/>
      <c r="LWO782" s="268"/>
      <c r="LWQ782" s="268"/>
      <c r="LWR782" s="268"/>
      <c r="LWS782" s="268"/>
      <c r="LWT782" s="268"/>
      <c r="LWU782" s="268"/>
      <c r="LWV782" s="268"/>
      <c r="LWW782" s="268"/>
      <c r="LWX782" s="268"/>
      <c r="LWY782" s="268"/>
      <c r="LWZ782" s="268"/>
      <c r="LXA782" s="268"/>
      <c r="LXB782" s="268"/>
      <c r="LXC782" s="268"/>
      <c r="LXD782" s="268"/>
      <c r="LXE782" s="268"/>
      <c r="LXF782" s="268"/>
      <c r="LXG782" s="268"/>
      <c r="LXH782" s="268"/>
      <c r="LXI782" s="268"/>
      <c r="LXJ782" s="268"/>
      <c r="LXK782" s="268"/>
      <c r="LXL782" s="268"/>
      <c r="LXM782" s="268"/>
      <c r="LXN782" s="268"/>
      <c r="LXO782" s="268"/>
      <c r="LXP782" s="268"/>
      <c r="LXQ782" s="268"/>
      <c r="LXR782" s="268"/>
      <c r="LXS782" s="268"/>
      <c r="LXT782" s="268"/>
      <c r="LXU782" s="268"/>
      <c r="LXV782" s="268"/>
      <c r="LXW782" s="268"/>
      <c r="LXX782" s="268"/>
      <c r="LXY782" s="268"/>
      <c r="LXZ782" s="268"/>
      <c r="LYA782" s="268"/>
      <c r="LYB782" s="268"/>
      <c r="LYC782" s="268"/>
      <c r="LYD782" s="268"/>
      <c r="LYE782" s="268"/>
      <c r="LYF782" s="268"/>
      <c r="LYG782" s="268"/>
      <c r="LYH782" s="268"/>
      <c r="LYI782" s="268"/>
      <c r="LYJ782" s="268"/>
      <c r="LYK782" s="268"/>
      <c r="LYL782" s="268"/>
      <c r="LYM782" s="268"/>
      <c r="LYN782" s="268"/>
      <c r="LYO782" s="268"/>
      <c r="LYP782" s="268"/>
      <c r="LYQ782" s="268"/>
      <c r="LYR782" s="268"/>
      <c r="LYS782" s="268"/>
      <c r="LYT782" s="268"/>
      <c r="LYU782" s="268"/>
      <c r="LYV782" s="268"/>
      <c r="LYW782" s="268"/>
      <c r="LYX782" s="268"/>
      <c r="LYY782" s="268"/>
      <c r="LYZ782" s="268"/>
      <c r="LZA782" s="268"/>
      <c r="LZB782" s="268"/>
      <c r="LZC782" s="268"/>
      <c r="LZD782" s="268"/>
      <c r="LZE782" s="268"/>
      <c r="LZF782" s="268"/>
      <c r="LZG782" s="268"/>
      <c r="LZH782" s="268"/>
      <c r="LZI782" s="268"/>
      <c r="LZJ782" s="268"/>
      <c r="LZK782" s="268"/>
      <c r="LZL782" s="268"/>
      <c r="LZM782" s="268"/>
      <c r="LZN782" s="268"/>
      <c r="LZO782" s="268"/>
      <c r="LZP782" s="268"/>
      <c r="LZQ782" s="268"/>
      <c r="LZR782" s="268"/>
      <c r="LZS782" s="268"/>
      <c r="LZT782" s="268"/>
      <c r="LZU782" s="268"/>
      <c r="LZV782" s="268"/>
      <c r="LZW782" s="268"/>
      <c r="LZX782" s="268"/>
      <c r="LZY782" s="268"/>
      <c r="LZZ782" s="268"/>
      <c r="MAA782" s="268"/>
      <c r="MAB782" s="268"/>
      <c r="MAC782" s="268"/>
      <c r="MAD782" s="268"/>
      <c r="MAE782" s="268"/>
      <c r="MAF782" s="268"/>
      <c r="MAG782" s="268"/>
      <c r="MAH782" s="268"/>
      <c r="MAI782" s="268"/>
      <c r="MAJ782" s="268"/>
      <c r="MAK782" s="268"/>
      <c r="MAL782" s="268"/>
      <c r="MAM782" s="268"/>
      <c r="MAN782" s="268"/>
      <c r="MAO782" s="268"/>
      <c r="MAP782" s="268"/>
      <c r="MAQ782" s="268"/>
      <c r="MAR782" s="268"/>
      <c r="MAS782" s="268"/>
      <c r="MAT782" s="268"/>
      <c r="MAU782" s="268"/>
      <c r="MAV782" s="268"/>
      <c r="MAW782" s="268"/>
      <c r="MAX782" s="268"/>
      <c r="MAY782" s="268"/>
      <c r="MAZ782" s="268"/>
      <c r="MBA782" s="268"/>
      <c r="MBB782" s="268"/>
      <c r="MBC782" s="268"/>
      <c r="MBD782" s="268"/>
      <c r="MBE782" s="268"/>
      <c r="MBF782" s="268"/>
      <c r="MBG782" s="268"/>
      <c r="MBH782" s="268"/>
      <c r="MBI782" s="268"/>
      <c r="MBJ782" s="268"/>
      <c r="MBK782" s="268"/>
      <c r="MBL782" s="268"/>
      <c r="MBM782" s="268"/>
      <c r="MBN782" s="268"/>
      <c r="MBO782" s="268"/>
      <c r="MBP782" s="268"/>
      <c r="MBQ782" s="268"/>
      <c r="MBR782" s="268"/>
      <c r="MBS782" s="268"/>
      <c r="MBT782" s="268"/>
      <c r="MBU782" s="268"/>
      <c r="MBV782" s="268"/>
      <c r="MBW782" s="268"/>
      <c r="MBX782" s="268"/>
      <c r="MBY782" s="268"/>
      <c r="MBZ782" s="268"/>
      <c r="MCA782" s="268"/>
      <c r="MCB782" s="268"/>
      <c r="MCC782" s="268"/>
      <c r="MCD782" s="268"/>
      <c r="MCE782" s="268"/>
      <c r="MCF782" s="268"/>
      <c r="MCG782" s="268"/>
      <c r="MCH782" s="268"/>
      <c r="MCI782" s="268"/>
      <c r="MCJ782" s="268"/>
      <c r="MCK782" s="268"/>
      <c r="MCL782" s="268"/>
      <c r="MCM782" s="268"/>
      <c r="MCN782" s="268"/>
      <c r="MCO782" s="268"/>
      <c r="MCP782" s="268"/>
      <c r="MCQ782" s="268"/>
      <c r="MCR782" s="268"/>
      <c r="MCS782" s="268"/>
      <c r="MCT782" s="268"/>
      <c r="MCU782" s="268"/>
      <c r="MCV782" s="268"/>
      <c r="MCW782" s="268"/>
      <c r="MCX782" s="268"/>
      <c r="MCY782" s="268"/>
      <c r="MCZ782" s="268"/>
      <c r="MDA782" s="268"/>
      <c r="MDB782" s="268"/>
      <c r="MDC782" s="268"/>
      <c r="MDD782" s="268"/>
      <c r="MDE782" s="268"/>
      <c r="MDF782" s="268"/>
      <c r="MDG782" s="268"/>
      <c r="MDH782" s="268"/>
      <c r="MDI782" s="268"/>
      <c r="MDJ782" s="268"/>
      <c r="MDK782" s="268"/>
      <c r="MDL782" s="268"/>
      <c r="MDM782" s="268"/>
      <c r="MDN782" s="268"/>
      <c r="MDO782" s="268"/>
      <c r="MDP782" s="268"/>
      <c r="MDQ782" s="268"/>
      <c r="MDR782" s="268"/>
      <c r="MDS782" s="268"/>
      <c r="MDT782" s="268"/>
      <c r="MDU782" s="268"/>
      <c r="MDV782" s="268"/>
      <c r="MDW782" s="268"/>
      <c r="MDX782" s="268"/>
      <c r="MDY782" s="268"/>
      <c r="MDZ782" s="268"/>
      <c r="MEA782" s="268"/>
      <c r="MEB782" s="268"/>
      <c r="MEC782" s="268"/>
      <c r="MED782" s="268"/>
      <c r="MEE782" s="268"/>
      <c r="MEF782" s="268"/>
      <c r="MEG782" s="268"/>
      <c r="MEH782" s="268"/>
      <c r="MEI782" s="268"/>
      <c r="MEJ782" s="268"/>
      <c r="MEK782" s="268"/>
      <c r="MEL782" s="268"/>
      <c r="MEM782" s="268"/>
      <c r="MEN782" s="268"/>
      <c r="MEO782" s="268"/>
      <c r="MEP782" s="268"/>
      <c r="MEQ782" s="268"/>
      <c r="MER782" s="268"/>
      <c r="MES782" s="268"/>
      <c r="MET782" s="268"/>
      <c r="MEU782" s="268"/>
      <c r="MEV782" s="268"/>
      <c r="MEW782" s="268"/>
      <c r="MEX782" s="268"/>
      <c r="MEY782" s="268"/>
      <c r="MEZ782" s="268"/>
      <c r="MFA782" s="268"/>
      <c r="MFB782" s="268"/>
      <c r="MFC782" s="268"/>
      <c r="MFD782" s="268"/>
      <c r="MFE782" s="268"/>
      <c r="MFF782" s="268"/>
      <c r="MFG782" s="268"/>
      <c r="MFU782" s="268"/>
      <c r="MFV782" s="268"/>
      <c r="MFW782" s="268"/>
      <c r="MGK782" s="268"/>
      <c r="MGM782" s="268"/>
      <c r="MGN782" s="268"/>
      <c r="MGO782" s="268"/>
      <c r="MGP782" s="268"/>
      <c r="MGQ782" s="268"/>
      <c r="MGR782" s="268"/>
      <c r="MGS782" s="268"/>
      <c r="MGT782" s="268"/>
      <c r="MGU782" s="268"/>
      <c r="MGV782" s="268"/>
      <c r="MGW782" s="268"/>
      <c r="MGX782" s="268"/>
      <c r="MGY782" s="268"/>
      <c r="MGZ782" s="268"/>
      <c r="MHA782" s="268"/>
      <c r="MHB782" s="268"/>
      <c r="MHC782" s="268"/>
      <c r="MHD782" s="268"/>
      <c r="MHE782" s="268"/>
      <c r="MHF782" s="268"/>
      <c r="MHG782" s="268"/>
      <c r="MHH782" s="268"/>
      <c r="MHI782" s="268"/>
      <c r="MHJ782" s="268"/>
      <c r="MHK782" s="268"/>
      <c r="MHL782" s="268"/>
      <c r="MHM782" s="268"/>
      <c r="MHN782" s="268"/>
      <c r="MHO782" s="268"/>
      <c r="MHP782" s="268"/>
      <c r="MHQ782" s="268"/>
      <c r="MHR782" s="268"/>
      <c r="MHS782" s="268"/>
      <c r="MHT782" s="268"/>
      <c r="MHU782" s="268"/>
      <c r="MHV782" s="268"/>
      <c r="MHW782" s="268"/>
      <c r="MHX782" s="268"/>
      <c r="MHY782" s="268"/>
      <c r="MHZ782" s="268"/>
      <c r="MIA782" s="268"/>
      <c r="MIB782" s="268"/>
      <c r="MIC782" s="268"/>
      <c r="MID782" s="268"/>
      <c r="MIE782" s="268"/>
      <c r="MIF782" s="268"/>
      <c r="MIG782" s="268"/>
      <c r="MIH782" s="268"/>
      <c r="MII782" s="268"/>
      <c r="MIJ782" s="268"/>
      <c r="MIK782" s="268"/>
      <c r="MIL782" s="268"/>
      <c r="MIM782" s="268"/>
      <c r="MIN782" s="268"/>
      <c r="MIO782" s="268"/>
      <c r="MIP782" s="268"/>
      <c r="MIQ782" s="268"/>
      <c r="MIR782" s="268"/>
      <c r="MIS782" s="268"/>
      <c r="MIT782" s="268"/>
      <c r="MIU782" s="268"/>
      <c r="MIV782" s="268"/>
      <c r="MIW782" s="268"/>
      <c r="MIX782" s="268"/>
      <c r="MIY782" s="268"/>
      <c r="MIZ782" s="268"/>
      <c r="MJA782" s="268"/>
      <c r="MJB782" s="268"/>
      <c r="MJC782" s="268"/>
      <c r="MJD782" s="268"/>
      <c r="MJE782" s="268"/>
      <c r="MJF782" s="268"/>
      <c r="MJG782" s="268"/>
      <c r="MJH782" s="268"/>
      <c r="MJI782" s="268"/>
      <c r="MJJ782" s="268"/>
      <c r="MJK782" s="268"/>
      <c r="MJL782" s="268"/>
      <c r="MJM782" s="268"/>
      <c r="MJN782" s="268"/>
      <c r="MJO782" s="268"/>
      <c r="MJP782" s="268"/>
      <c r="MJQ782" s="268"/>
      <c r="MJR782" s="268"/>
      <c r="MJS782" s="268"/>
      <c r="MJT782" s="268"/>
      <c r="MJU782" s="268"/>
      <c r="MJV782" s="268"/>
      <c r="MJW782" s="268"/>
      <c r="MJX782" s="268"/>
      <c r="MJY782" s="268"/>
      <c r="MJZ782" s="268"/>
      <c r="MKA782" s="268"/>
      <c r="MKB782" s="268"/>
      <c r="MKC782" s="268"/>
      <c r="MKD782" s="268"/>
      <c r="MKE782" s="268"/>
      <c r="MKF782" s="268"/>
      <c r="MKG782" s="268"/>
      <c r="MKH782" s="268"/>
      <c r="MKI782" s="268"/>
      <c r="MKJ782" s="268"/>
      <c r="MKK782" s="268"/>
      <c r="MKL782" s="268"/>
      <c r="MKM782" s="268"/>
      <c r="MKN782" s="268"/>
      <c r="MKO782" s="268"/>
      <c r="MKP782" s="268"/>
      <c r="MKQ782" s="268"/>
      <c r="MKR782" s="268"/>
      <c r="MKS782" s="268"/>
      <c r="MKT782" s="268"/>
      <c r="MKU782" s="268"/>
      <c r="MKV782" s="268"/>
      <c r="MKW782" s="268"/>
      <c r="MKX782" s="268"/>
      <c r="MKY782" s="268"/>
      <c r="MKZ782" s="268"/>
      <c r="MLA782" s="268"/>
      <c r="MLB782" s="268"/>
      <c r="MLC782" s="268"/>
      <c r="MLD782" s="268"/>
      <c r="MLE782" s="268"/>
      <c r="MLF782" s="268"/>
      <c r="MLG782" s="268"/>
      <c r="MLH782" s="268"/>
      <c r="MLI782" s="268"/>
      <c r="MLJ782" s="268"/>
      <c r="MLK782" s="268"/>
      <c r="MLL782" s="268"/>
      <c r="MLM782" s="268"/>
      <c r="MLN782" s="268"/>
      <c r="MLO782" s="268"/>
      <c r="MLP782" s="268"/>
      <c r="MLQ782" s="268"/>
      <c r="MLR782" s="268"/>
      <c r="MLS782" s="268"/>
      <c r="MLT782" s="268"/>
      <c r="MLU782" s="268"/>
      <c r="MLV782" s="268"/>
      <c r="MLW782" s="268"/>
      <c r="MLX782" s="268"/>
      <c r="MLY782" s="268"/>
      <c r="MLZ782" s="268"/>
      <c r="MMA782" s="268"/>
      <c r="MMB782" s="268"/>
      <c r="MMC782" s="268"/>
      <c r="MMD782" s="268"/>
      <c r="MME782" s="268"/>
      <c r="MMF782" s="268"/>
      <c r="MMG782" s="268"/>
      <c r="MMH782" s="268"/>
      <c r="MMI782" s="268"/>
      <c r="MMJ782" s="268"/>
      <c r="MMK782" s="268"/>
      <c r="MML782" s="268"/>
      <c r="MMM782" s="268"/>
      <c r="MMN782" s="268"/>
      <c r="MMO782" s="268"/>
      <c r="MMP782" s="268"/>
      <c r="MMQ782" s="268"/>
      <c r="MMR782" s="268"/>
      <c r="MMS782" s="268"/>
      <c r="MMT782" s="268"/>
      <c r="MMU782" s="268"/>
      <c r="MMV782" s="268"/>
      <c r="MMW782" s="268"/>
      <c r="MMX782" s="268"/>
      <c r="MMY782" s="268"/>
      <c r="MMZ782" s="268"/>
      <c r="MNA782" s="268"/>
      <c r="MNB782" s="268"/>
      <c r="MNC782" s="268"/>
      <c r="MND782" s="268"/>
      <c r="MNE782" s="268"/>
      <c r="MNF782" s="268"/>
      <c r="MNG782" s="268"/>
      <c r="MNH782" s="268"/>
      <c r="MNI782" s="268"/>
      <c r="MNJ782" s="268"/>
      <c r="MNK782" s="268"/>
      <c r="MNL782" s="268"/>
      <c r="MNM782" s="268"/>
      <c r="MNN782" s="268"/>
      <c r="MNO782" s="268"/>
      <c r="MNP782" s="268"/>
      <c r="MNQ782" s="268"/>
      <c r="MNR782" s="268"/>
      <c r="MNS782" s="268"/>
      <c r="MNT782" s="268"/>
      <c r="MNU782" s="268"/>
      <c r="MNV782" s="268"/>
      <c r="MNW782" s="268"/>
      <c r="MNX782" s="268"/>
      <c r="MNY782" s="268"/>
      <c r="MNZ782" s="268"/>
      <c r="MOA782" s="268"/>
      <c r="MOB782" s="268"/>
      <c r="MOC782" s="268"/>
      <c r="MOD782" s="268"/>
      <c r="MOE782" s="268"/>
      <c r="MOF782" s="268"/>
      <c r="MOG782" s="268"/>
      <c r="MOH782" s="268"/>
      <c r="MOI782" s="268"/>
      <c r="MOJ782" s="268"/>
      <c r="MOK782" s="268"/>
      <c r="MOL782" s="268"/>
      <c r="MOM782" s="268"/>
      <c r="MON782" s="268"/>
      <c r="MOO782" s="268"/>
      <c r="MOP782" s="268"/>
      <c r="MOQ782" s="268"/>
      <c r="MOR782" s="268"/>
      <c r="MOS782" s="268"/>
      <c r="MOT782" s="268"/>
      <c r="MOU782" s="268"/>
      <c r="MOV782" s="268"/>
      <c r="MOW782" s="268"/>
      <c r="MOX782" s="268"/>
      <c r="MOY782" s="268"/>
      <c r="MOZ782" s="268"/>
      <c r="MPA782" s="268"/>
      <c r="MPB782" s="268"/>
      <c r="MPC782" s="268"/>
      <c r="MPQ782" s="268"/>
      <c r="MPR782" s="268"/>
      <c r="MPS782" s="268"/>
      <c r="MQG782" s="268"/>
      <c r="MQI782" s="268"/>
      <c r="MQJ782" s="268"/>
      <c r="MQK782" s="268"/>
      <c r="MQL782" s="268"/>
      <c r="MQM782" s="268"/>
      <c r="MQN782" s="268"/>
      <c r="MQO782" s="268"/>
      <c r="MQP782" s="268"/>
      <c r="MQQ782" s="268"/>
      <c r="MQR782" s="268"/>
      <c r="MQS782" s="268"/>
      <c r="MQT782" s="268"/>
      <c r="MQU782" s="268"/>
      <c r="MQV782" s="268"/>
      <c r="MQW782" s="268"/>
      <c r="MQX782" s="268"/>
      <c r="MQY782" s="268"/>
      <c r="MQZ782" s="268"/>
      <c r="MRA782" s="268"/>
      <c r="MRB782" s="268"/>
      <c r="MRC782" s="268"/>
      <c r="MRD782" s="268"/>
      <c r="MRE782" s="268"/>
      <c r="MRF782" s="268"/>
      <c r="MRG782" s="268"/>
      <c r="MRH782" s="268"/>
      <c r="MRI782" s="268"/>
      <c r="MRJ782" s="268"/>
      <c r="MRK782" s="268"/>
      <c r="MRL782" s="268"/>
      <c r="MRM782" s="268"/>
      <c r="MRN782" s="268"/>
      <c r="MRO782" s="268"/>
      <c r="MRP782" s="268"/>
      <c r="MRQ782" s="268"/>
      <c r="MRR782" s="268"/>
      <c r="MRS782" s="268"/>
      <c r="MRT782" s="268"/>
      <c r="MRU782" s="268"/>
      <c r="MRV782" s="268"/>
      <c r="MRW782" s="268"/>
      <c r="MRX782" s="268"/>
      <c r="MRY782" s="268"/>
      <c r="MRZ782" s="268"/>
      <c r="MSA782" s="268"/>
      <c r="MSB782" s="268"/>
      <c r="MSC782" s="268"/>
      <c r="MSD782" s="268"/>
      <c r="MSE782" s="268"/>
      <c r="MSF782" s="268"/>
      <c r="MSG782" s="268"/>
      <c r="MSH782" s="268"/>
      <c r="MSI782" s="268"/>
      <c r="MSJ782" s="268"/>
      <c r="MSK782" s="268"/>
      <c r="MSL782" s="268"/>
      <c r="MSM782" s="268"/>
      <c r="MSN782" s="268"/>
      <c r="MSO782" s="268"/>
      <c r="MSP782" s="268"/>
      <c r="MSQ782" s="268"/>
      <c r="MSR782" s="268"/>
      <c r="MSS782" s="268"/>
      <c r="MST782" s="268"/>
      <c r="MSU782" s="268"/>
      <c r="MSV782" s="268"/>
      <c r="MSW782" s="268"/>
      <c r="MSX782" s="268"/>
      <c r="MSY782" s="268"/>
      <c r="MSZ782" s="268"/>
      <c r="MTA782" s="268"/>
      <c r="MTB782" s="268"/>
      <c r="MTC782" s="268"/>
      <c r="MTD782" s="268"/>
      <c r="MTE782" s="268"/>
      <c r="MTF782" s="268"/>
      <c r="MTG782" s="268"/>
      <c r="MTH782" s="268"/>
      <c r="MTI782" s="268"/>
      <c r="MTJ782" s="268"/>
      <c r="MTK782" s="268"/>
      <c r="MTL782" s="268"/>
      <c r="MTM782" s="268"/>
      <c r="MTN782" s="268"/>
      <c r="MTO782" s="268"/>
      <c r="MTP782" s="268"/>
      <c r="MTQ782" s="268"/>
      <c r="MTR782" s="268"/>
      <c r="MTS782" s="268"/>
      <c r="MTT782" s="268"/>
      <c r="MTU782" s="268"/>
      <c r="MTV782" s="268"/>
      <c r="MTW782" s="268"/>
      <c r="MTX782" s="268"/>
      <c r="MTY782" s="268"/>
      <c r="MTZ782" s="268"/>
      <c r="MUA782" s="268"/>
      <c r="MUB782" s="268"/>
      <c r="MUC782" s="268"/>
      <c r="MUD782" s="268"/>
      <c r="MUE782" s="268"/>
      <c r="MUF782" s="268"/>
      <c r="MUG782" s="268"/>
      <c r="MUH782" s="268"/>
      <c r="MUI782" s="268"/>
      <c r="MUJ782" s="268"/>
      <c r="MUK782" s="268"/>
      <c r="MUL782" s="268"/>
      <c r="MUM782" s="268"/>
      <c r="MUN782" s="268"/>
      <c r="MUO782" s="268"/>
      <c r="MUP782" s="268"/>
      <c r="MUQ782" s="268"/>
      <c r="MUR782" s="268"/>
      <c r="MUS782" s="268"/>
      <c r="MUT782" s="268"/>
      <c r="MUU782" s="268"/>
      <c r="MUV782" s="268"/>
      <c r="MUW782" s="268"/>
      <c r="MUX782" s="268"/>
      <c r="MUY782" s="268"/>
      <c r="MUZ782" s="268"/>
      <c r="MVA782" s="268"/>
      <c r="MVB782" s="268"/>
      <c r="MVC782" s="268"/>
      <c r="MVD782" s="268"/>
      <c r="MVE782" s="268"/>
      <c r="MVF782" s="268"/>
      <c r="MVG782" s="268"/>
      <c r="MVH782" s="268"/>
      <c r="MVI782" s="268"/>
      <c r="MVJ782" s="268"/>
      <c r="MVK782" s="268"/>
      <c r="MVL782" s="268"/>
      <c r="MVM782" s="268"/>
      <c r="MVN782" s="268"/>
      <c r="MVO782" s="268"/>
      <c r="MVP782" s="268"/>
      <c r="MVQ782" s="268"/>
      <c r="MVR782" s="268"/>
      <c r="MVS782" s="268"/>
      <c r="MVT782" s="268"/>
      <c r="MVU782" s="268"/>
      <c r="MVV782" s="268"/>
      <c r="MVW782" s="268"/>
      <c r="MVX782" s="268"/>
      <c r="MVY782" s="268"/>
      <c r="MVZ782" s="268"/>
      <c r="MWA782" s="268"/>
      <c r="MWB782" s="268"/>
      <c r="MWC782" s="268"/>
      <c r="MWD782" s="268"/>
      <c r="MWE782" s="268"/>
      <c r="MWF782" s="268"/>
      <c r="MWG782" s="268"/>
      <c r="MWH782" s="268"/>
      <c r="MWI782" s="268"/>
      <c r="MWJ782" s="268"/>
      <c r="MWK782" s="268"/>
      <c r="MWL782" s="268"/>
      <c r="MWM782" s="268"/>
      <c r="MWN782" s="268"/>
      <c r="MWO782" s="268"/>
      <c r="MWP782" s="268"/>
      <c r="MWQ782" s="268"/>
      <c r="MWR782" s="268"/>
      <c r="MWS782" s="268"/>
      <c r="MWT782" s="268"/>
      <c r="MWU782" s="268"/>
      <c r="MWV782" s="268"/>
      <c r="MWW782" s="268"/>
      <c r="MWX782" s="268"/>
      <c r="MWY782" s="268"/>
      <c r="MWZ782" s="268"/>
      <c r="MXA782" s="268"/>
      <c r="MXB782" s="268"/>
      <c r="MXC782" s="268"/>
      <c r="MXD782" s="268"/>
      <c r="MXE782" s="268"/>
      <c r="MXF782" s="268"/>
      <c r="MXG782" s="268"/>
      <c r="MXH782" s="268"/>
      <c r="MXI782" s="268"/>
      <c r="MXJ782" s="268"/>
      <c r="MXK782" s="268"/>
      <c r="MXL782" s="268"/>
      <c r="MXM782" s="268"/>
      <c r="MXN782" s="268"/>
      <c r="MXO782" s="268"/>
      <c r="MXP782" s="268"/>
      <c r="MXQ782" s="268"/>
      <c r="MXR782" s="268"/>
      <c r="MXS782" s="268"/>
      <c r="MXT782" s="268"/>
      <c r="MXU782" s="268"/>
      <c r="MXV782" s="268"/>
      <c r="MXW782" s="268"/>
      <c r="MXX782" s="268"/>
      <c r="MXY782" s="268"/>
      <c r="MXZ782" s="268"/>
      <c r="MYA782" s="268"/>
      <c r="MYB782" s="268"/>
      <c r="MYC782" s="268"/>
      <c r="MYD782" s="268"/>
      <c r="MYE782" s="268"/>
      <c r="MYF782" s="268"/>
      <c r="MYG782" s="268"/>
      <c r="MYH782" s="268"/>
      <c r="MYI782" s="268"/>
      <c r="MYJ782" s="268"/>
      <c r="MYK782" s="268"/>
      <c r="MYL782" s="268"/>
      <c r="MYM782" s="268"/>
      <c r="MYN782" s="268"/>
      <c r="MYO782" s="268"/>
      <c r="MYP782" s="268"/>
      <c r="MYQ782" s="268"/>
      <c r="MYR782" s="268"/>
      <c r="MYS782" s="268"/>
      <c r="MYT782" s="268"/>
      <c r="MYU782" s="268"/>
      <c r="MYV782" s="268"/>
      <c r="MYW782" s="268"/>
      <c r="MYX782" s="268"/>
      <c r="MYY782" s="268"/>
      <c r="MZM782" s="268"/>
      <c r="MZN782" s="268"/>
      <c r="MZO782" s="268"/>
      <c r="NAC782" s="268"/>
      <c r="NAE782" s="268"/>
      <c r="NAF782" s="268"/>
      <c r="NAG782" s="268"/>
      <c r="NAH782" s="268"/>
      <c r="NAI782" s="268"/>
      <c r="NAJ782" s="268"/>
      <c r="NAK782" s="268"/>
      <c r="NAL782" s="268"/>
      <c r="NAM782" s="268"/>
      <c r="NAN782" s="268"/>
      <c r="NAO782" s="268"/>
      <c r="NAP782" s="268"/>
      <c r="NAQ782" s="268"/>
      <c r="NAR782" s="268"/>
      <c r="NAS782" s="268"/>
      <c r="NAT782" s="268"/>
      <c r="NAU782" s="268"/>
      <c r="NAV782" s="268"/>
      <c r="NAW782" s="268"/>
      <c r="NAX782" s="268"/>
      <c r="NAY782" s="268"/>
      <c r="NAZ782" s="268"/>
      <c r="NBA782" s="268"/>
      <c r="NBB782" s="268"/>
      <c r="NBC782" s="268"/>
      <c r="NBD782" s="268"/>
      <c r="NBE782" s="268"/>
      <c r="NBF782" s="268"/>
      <c r="NBG782" s="268"/>
      <c r="NBH782" s="268"/>
      <c r="NBI782" s="268"/>
      <c r="NBJ782" s="268"/>
      <c r="NBK782" s="268"/>
      <c r="NBL782" s="268"/>
      <c r="NBM782" s="268"/>
      <c r="NBN782" s="268"/>
      <c r="NBO782" s="268"/>
      <c r="NBP782" s="268"/>
      <c r="NBQ782" s="268"/>
      <c r="NBR782" s="268"/>
      <c r="NBS782" s="268"/>
      <c r="NBT782" s="268"/>
      <c r="NBU782" s="268"/>
      <c r="NBV782" s="268"/>
      <c r="NBW782" s="268"/>
      <c r="NBX782" s="268"/>
      <c r="NBY782" s="268"/>
      <c r="NBZ782" s="268"/>
      <c r="NCA782" s="268"/>
      <c r="NCB782" s="268"/>
      <c r="NCC782" s="268"/>
      <c r="NCD782" s="268"/>
      <c r="NCE782" s="268"/>
      <c r="NCF782" s="268"/>
      <c r="NCG782" s="268"/>
      <c r="NCH782" s="268"/>
      <c r="NCI782" s="268"/>
      <c r="NCJ782" s="268"/>
      <c r="NCK782" s="268"/>
      <c r="NCL782" s="268"/>
      <c r="NCM782" s="268"/>
      <c r="NCN782" s="268"/>
      <c r="NCO782" s="268"/>
      <c r="NCP782" s="268"/>
      <c r="NCQ782" s="268"/>
      <c r="NCR782" s="268"/>
      <c r="NCS782" s="268"/>
      <c r="NCT782" s="268"/>
      <c r="NCU782" s="268"/>
      <c r="NCV782" s="268"/>
      <c r="NCW782" s="268"/>
      <c r="NCX782" s="268"/>
      <c r="NCY782" s="268"/>
      <c r="NCZ782" s="268"/>
      <c r="NDA782" s="268"/>
      <c r="NDB782" s="268"/>
      <c r="NDC782" s="268"/>
      <c r="NDD782" s="268"/>
      <c r="NDE782" s="268"/>
      <c r="NDF782" s="268"/>
      <c r="NDG782" s="268"/>
      <c r="NDH782" s="268"/>
      <c r="NDI782" s="268"/>
      <c r="NDJ782" s="268"/>
      <c r="NDK782" s="268"/>
      <c r="NDL782" s="268"/>
      <c r="NDM782" s="268"/>
      <c r="NDN782" s="268"/>
      <c r="NDO782" s="268"/>
      <c r="NDP782" s="268"/>
      <c r="NDQ782" s="268"/>
      <c r="NDR782" s="268"/>
      <c r="NDS782" s="268"/>
      <c r="NDT782" s="268"/>
      <c r="NDU782" s="268"/>
      <c r="NDV782" s="268"/>
      <c r="NDW782" s="268"/>
      <c r="NDX782" s="268"/>
      <c r="NDY782" s="268"/>
      <c r="NDZ782" s="268"/>
      <c r="NEA782" s="268"/>
      <c r="NEB782" s="268"/>
      <c r="NEC782" s="268"/>
      <c r="NED782" s="268"/>
      <c r="NEE782" s="268"/>
      <c r="NEF782" s="268"/>
      <c r="NEG782" s="268"/>
      <c r="NEH782" s="268"/>
      <c r="NEI782" s="268"/>
      <c r="NEJ782" s="268"/>
      <c r="NEK782" s="268"/>
      <c r="NEL782" s="268"/>
      <c r="NEM782" s="268"/>
      <c r="NEN782" s="268"/>
      <c r="NEO782" s="268"/>
      <c r="NEP782" s="268"/>
      <c r="NEQ782" s="268"/>
      <c r="NER782" s="268"/>
      <c r="NES782" s="268"/>
      <c r="NET782" s="268"/>
      <c r="NEU782" s="268"/>
      <c r="NEV782" s="268"/>
      <c r="NEW782" s="268"/>
      <c r="NEX782" s="268"/>
      <c r="NEY782" s="268"/>
      <c r="NEZ782" s="268"/>
      <c r="NFA782" s="268"/>
      <c r="NFB782" s="268"/>
      <c r="NFC782" s="268"/>
      <c r="NFD782" s="268"/>
      <c r="NFE782" s="268"/>
      <c r="NFF782" s="268"/>
      <c r="NFG782" s="268"/>
      <c r="NFH782" s="268"/>
      <c r="NFI782" s="268"/>
      <c r="NFJ782" s="268"/>
      <c r="NFK782" s="268"/>
      <c r="NFL782" s="268"/>
      <c r="NFM782" s="268"/>
      <c r="NFN782" s="268"/>
      <c r="NFO782" s="268"/>
      <c r="NFP782" s="268"/>
      <c r="NFQ782" s="268"/>
      <c r="NFR782" s="268"/>
      <c r="NFS782" s="268"/>
      <c r="NFT782" s="268"/>
      <c r="NFU782" s="268"/>
      <c r="NFV782" s="268"/>
      <c r="NFW782" s="268"/>
      <c r="NFX782" s="268"/>
      <c r="NFY782" s="268"/>
      <c r="NFZ782" s="268"/>
      <c r="NGA782" s="268"/>
      <c r="NGB782" s="268"/>
      <c r="NGC782" s="268"/>
      <c r="NGD782" s="268"/>
      <c r="NGE782" s="268"/>
      <c r="NGF782" s="268"/>
      <c r="NGG782" s="268"/>
      <c r="NGH782" s="268"/>
      <c r="NGI782" s="268"/>
      <c r="NGJ782" s="268"/>
      <c r="NGK782" s="268"/>
      <c r="NGL782" s="268"/>
      <c r="NGM782" s="268"/>
      <c r="NGN782" s="268"/>
      <c r="NGO782" s="268"/>
      <c r="NGP782" s="268"/>
      <c r="NGQ782" s="268"/>
      <c r="NGR782" s="268"/>
      <c r="NGS782" s="268"/>
      <c r="NGT782" s="268"/>
      <c r="NGU782" s="268"/>
      <c r="NGV782" s="268"/>
      <c r="NGW782" s="268"/>
      <c r="NGX782" s="268"/>
      <c r="NGY782" s="268"/>
      <c r="NGZ782" s="268"/>
      <c r="NHA782" s="268"/>
      <c r="NHB782" s="268"/>
      <c r="NHC782" s="268"/>
      <c r="NHD782" s="268"/>
      <c r="NHE782" s="268"/>
      <c r="NHF782" s="268"/>
      <c r="NHG782" s="268"/>
      <c r="NHH782" s="268"/>
      <c r="NHI782" s="268"/>
      <c r="NHJ782" s="268"/>
      <c r="NHK782" s="268"/>
      <c r="NHL782" s="268"/>
      <c r="NHM782" s="268"/>
      <c r="NHN782" s="268"/>
      <c r="NHO782" s="268"/>
      <c r="NHP782" s="268"/>
      <c r="NHQ782" s="268"/>
      <c r="NHR782" s="268"/>
      <c r="NHS782" s="268"/>
      <c r="NHT782" s="268"/>
      <c r="NHU782" s="268"/>
      <c r="NHV782" s="268"/>
      <c r="NHW782" s="268"/>
      <c r="NHX782" s="268"/>
      <c r="NHY782" s="268"/>
      <c r="NHZ782" s="268"/>
      <c r="NIA782" s="268"/>
      <c r="NIB782" s="268"/>
      <c r="NIC782" s="268"/>
      <c r="NID782" s="268"/>
      <c r="NIE782" s="268"/>
      <c r="NIF782" s="268"/>
      <c r="NIG782" s="268"/>
      <c r="NIH782" s="268"/>
      <c r="NII782" s="268"/>
      <c r="NIJ782" s="268"/>
      <c r="NIK782" s="268"/>
      <c r="NIL782" s="268"/>
      <c r="NIM782" s="268"/>
      <c r="NIN782" s="268"/>
      <c r="NIO782" s="268"/>
      <c r="NIP782" s="268"/>
      <c r="NIQ782" s="268"/>
      <c r="NIR782" s="268"/>
      <c r="NIS782" s="268"/>
      <c r="NIT782" s="268"/>
      <c r="NIU782" s="268"/>
      <c r="NJI782" s="268"/>
      <c r="NJJ782" s="268"/>
      <c r="NJK782" s="268"/>
      <c r="NJY782" s="268"/>
      <c r="NKA782" s="268"/>
      <c r="NKB782" s="268"/>
      <c r="NKC782" s="268"/>
      <c r="NKD782" s="268"/>
      <c r="NKE782" s="268"/>
      <c r="NKF782" s="268"/>
      <c r="NKG782" s="268"/>
      <c r="NKH782" s="268"/>
      <c r="NKI782" s="268"/>
      <c r="NKJ782" s="268"/>
      <c r="NKK782" s="268"/>
      <c r="NKL782" s="268"/>
      <c r="NKM782" s="268"/>
      <c r="NKN782" s="268"/>
      <c r="NKO782" s="268"/>
      <c r="NKP782" s="268"/>
      <c r="NKQ782" s="268"/>
      <c r="NKR782" s="268"/>
      <c r="NKS782" s="268"/>
      <c r="NKT782" s="268"/>
      <c r="NKU782" s="268"/>
      <c r="NKV782" s="268"/>
      <c r="NKW782" s="268"/>
      <c r="NKX782" s="268"/>
      <c r="NKY782" s="268"/>
      <c r="NKZ782" s="268"/>
      <c r="NLA782" s="268"/>
      <c r="NLB782" s="268"/>
      <c r="NLC782" s="268"/>
      <c r="NLD782" s="268"/>
      <c r="NLE782" s="268"/>
      <c r="NLF782" s="268"/>
      <c r="NLG782" s="268"/>
      <c r="NLH782" s="268"/>
      <c r="NLI782" s="268"/>
      <c r="NLJ782" s="268"/>
      <c r="NLK782" s="268"/>
      <c r="NLL782" s="268"/>
      <c r="NLM782" s="268"/>
      <c r="NLN782" s="268"/>
      <c r="NLO782" s="268"/>
      <c r="NLP782" s="268"/>
      <c r="NLQ782" s="268"/>
      <c r="NLR782" s="268"/>
      <c r="NLS782" s="268"/>
      <c r="NLT782" s="268"/>
      <c r="NLU782" s="268"/>
      <c r="NLV782" s="268"/>
      <c r="NLW782" s="268"/>
      <c r="NLX782" s="268"/>
      <c r="NLY782" s="268"/>
      <c r="NLZ782" s="268"/>
      <c r="NMA782" s="268"/>
      <c r="NMB782" s="268"/>
      <c r="NMC782" s="268"/>
      <c r="NMD782" s="268"/>
      <c r="NME782" s="268"/>
      <c r="NMF782" s="268"/>
      <c r="NMG782" s="268"/>
      <c r="NMH782" s="268"/>
      <c r="NMI782" s="268"/>
      <c r="NMJ782" s="268"/>
      <c r="NMK782" s="268"/>
      <c r="NML782" s="268"/>
      <c r="NMM782" s="268"/>
      <c r="NMN782" s="268"/>
      <c r="NMO782" s="268"/>
      <c r="NMP782" s="268"/>
      <c r="NMQ782" s="268"/>
      <c r="NMR782" s="268"/>
      <c r="NMS782" s="268"/>
      <c r="NMT782" s="268"/>
      <c r="NMU782" s="268"/>
      <c r="NMV782" s="268"/>
      <c r="NMW782" s="268"/>
      <c r="NMX782" s="268"/>
      <c r="NMY782" s="268"/>
      <c r="NMZ782" s="268"/>
      <c r="NNA782" s="268"/>
      <c r="NNB782" s="268"/>
      <c r="NNC782" s="268"/>
      <c r="NND782" s="268"/>
      <c r="NNE782" s="268"/>
      <c r="NNF782" s="268"/>
      <c r="NNG782" s="268"/>
      <c r="NNH782" s="268"/>
      <c r="NNI782" s="268"/>
      <c r="NNJ782" s="268"/>
      <c r="NNK782" s="268"/>
      <c r="NNL782" s="268"/>
      <c r="NNM782" s="268"/>
      <c r="NNN782" s="268"/>
      <c r="NNO782" s="268"/>
      <c r="NNP782" s="268"/>
      <c r="NNQ782" s="268"/>
      <c r="NNR782" s="268"/>
      <c r="NNS782" s="268"/>
      <c r="NNT782" s="268"/>
      <c r="NNU782" s="268"/>
      <c r="NNV782" s="268"/>
      <c r="NNW782" s="268"/>
      <c r="NNX782" s="268"/>
      <c r="NNY782" s="268"/>
      <c r="NNZ782" s="268"/>
      <c r="NOA782" s="268"/>
      <c r="NOB782" s="268"/>
      <c r="NOC782" s="268"/>
      <c r="NOD782" s="268"/>
      <c r="NOE782" s="268"/>
      <c r="NOF782" s="268"/>
      <c r="NOG782" s="268"/>
      <c r="NOH782" s="268"/>
      <c r="NOI782" s="268"/>
      <c r="NOJ782" s="268"/>
      <c r="NOK782" s="268"/>
      <c r="NOL782" s="268"/>
      <c r="NOM782" s="268"/>
      <c r="NON782" s="268"/>
      <c r="NOO782" s="268"/>
      <c r="NOP782" s="268"/>
      <c r="NOQ782" s="268"/>
      <c r="NOR782" s="268"/>
      <c r="NOS782" s="268"/>
      <c r="NOT782" s="268"/>
      <c r="NOU782" s="268"/>
      <c r="NOV782" s="268"/>
      <c r="NOW782" s="268"/>
      <c r="NOX782" s="268"/>
      <c r="NOY782" s="268"/>
      <c r="NOZ782" s="268"/>
      <c r="NPA782" s="268"/>
      <c r="NPB782" s="268"/>
      <c r="NPC782" s="268"/>
      <c r="NPD782" s="268"/>
      <c r="NPE782" s="268"/>
      <c r="NPF782" s="268"/>
      <c r="NPG782" s="268"/>
      <c r="NPH782" s="268"/>
      <c r="NPI782" s="268"/>
      <c r="NPJ782" s="268"/>
      <c r="NPK782" s="268"/>
      <c r="NPL782" s="268"/>
      <c r="NPM782" s="268"/>
      <c r="NPN782" s="268"/>
      <c r="NPO782" s="268"/>
      <c r="NPP782" s="268"/>
      <c r="NPQ782" s="268"/>
      <c r="NPR782" s="268"/>
      <c r="NPS782" s="268"/>
      <c r="NPT782" s="268"/>
      <c r="NPU782" s="268"/>
      <c r="NPV782" s="268"/>
      <c r="NPW782" s="268"/>
      <c r="NPX782" s="268"/>
      <c r="NPY782" s="268"/>
      <c r="NPZ782" s="268"/>
      <c r="NQA782" s="268"/>
      <c r="NQB782" s="268"/>
      <c r="NQC782" s="268"/>
      <c r="NQD782" s="268"/>
      <c r="NQE782" s="268"/>
      <c r="NQF782" s="268"/>
      <c r="NQG782" s="268"/>
      <c r="NQH782" s="268"/>
      <c r="NQI782" s="268"/>
      <c r="NQJ782" s="268"/>
      <c r="NQK782" s="268"/>
      <c r="NQL782" s="268"/>
      <c r="NQM782" s="268"/>
      <c r="NQN782" s="268"/>
      <c r="NQO782" s="268"/>
      <c r="NQP782" s="268"/>
      <c r="NQQ782" s="268"/>
      <c r="NQR782" s="268"/>
      <c r="NQS782" s="268"/>
      <c r="NQT782" s="268"/>
      <c r="NQU782" s="268"/>
      <c r="NQV782" s="268"/>
      <c r="NQW782" s="268"/>
      <c r="NQX782" s="268"/>
      <c r="NQY782" s="268"/>
      <c r="NQZ782" s="268"/>
      <c r="NRA782" s="268"/>
      <c r="NRB782" s="268"/>
      <c r="NRC782" s="268"/>
      <c r="NRD782" s="268"/>
      <c r="NRE782" s="268"/>
      <c r="NRF782" s="268"/>
      <c r="NRG782" s="268"/>
      <c r="NRH782" s="268"/>
      <c r="NRI782" s="268"/>
      <c r="NRJ782" s="268"/>
      <c r="NRK782" s="268"/>
      <c r="NRL782" s="268"/>
      <c r="NRM782" s="268"/>
      <c r="NRN782" s="268"/>
      <c r="NRO782" s="268"/>
      <c r="NRP782" s="268"/>
      <c r="NRQ782" s="268"/>
      <c r="NRR782" s="268"/>
      <c r="NRS782" s="268"/>
      <c r="NRT782" s="268"/>
      <c r="NRU782" s="268"/>
      <c r="NRV782" s="268"/>
      <c r="NRW782" s="268"/>
      <c r="NRX782" s="268"/>
      <c r="NRY782" s="268"/>
      <c r="NRZ782" s="268"/>
      <c r="NSA782" s="268"/>
      <c r="NSB782" s="268"/>
      <c r="NSC782" s="268"/>
      <c r="NSD782" s="268"/>
      <c r="NSE782" s="268"/>
      <c r="NSF782" s="268"/>
      <c r="NSG782" s="268"/>
      <c r="NSH782" s="268"/>
      <c r="NSI782" s="268"/>
      <c r="NSJ782" s="268"/>
      <c r="NSK782" s="268"/>
      <c r="NSL782" s="268"/>
      <c r="NSM782" s="268"/>
      <c r="NSN782" s="268"/>
      <c r="NSO782" s="268"/>
      <c r="NSP782" s="268"/>
      <c r="NSQ782" s="268"/>
      <c r="NTE782" s="268"/>
      <c r="NTF782" s="268"/>
      <c r="NTG782" s="268"/>
      <c r="NTU782" s="268"/>
      <c r="NTW782" s="268"/>
      <c r="NTX782" s="268"/>
      <c r="NTY782" s="268"/>
      <c r="NTZ782" s="268"/>
      <c r="NUA782" s="268"/>
      <c r="NUB782" s="268"/>
      <c r="NUC782" s="268"/>
      <c r="NUD782" s="268"/>
      <c r="NUE782" s="268"/>
      <c r="NUF782" s="268"/>
      <c r="NUG782" s="268"/>
      <c r="NUH782" s="268"/>
      <c r="NUI782" s="268"/>
      <c r="NUJ782" s="268"/>
      <c r="NUK782" s="268"/>
      <c r="NUL782" s="268"/>
      <c r="NUM782" s="268"/>
      <c r="NUN782" s="268"/>
      <c r="NUO782" s="268"/>
      <c r="NUP782" s="268"/>
      <c r="NUQ782" s="268"/>
      <c r="NUR782" s="268"/>
      <c r="NUS782" s="268"/>
      <c r="NUT782" s="268"/>
      <c r="NUU782" s="268"/>
      <c r="NUV782" s="268"/>
      <c r="NUW782" s="268"/>
      <c r="NUX782" s="268"/>
      <c r="NUY782" s="268"/>
      <c r="NUZ782" s="268"/>
      <c r="NVA782" s="268"/>
      <c r="NVB782" s="268"/>
      <c r="NVC782" s="268"/>
      <c r="NVD782" s="268"/>
      <c r="NVE782" s="268"/>
      <c r="NVF782" s="268"/>
      <c r="NVG782" s="268"/>
      <c r="NVH782" s="268"/>
      <c r="NVI782" s="268"/>
      <c r="NVJ782" s="268"/>
      <c r="NVK782" s="268"/>
      <c r="NVL782" s="268"/>
      <c r="NVM782" s="268"/>
      <c r="NVN782" s="268"/>
      <c r="NVO782" s="268"/>
      <c r="NVP782" s="268"/>
      <c r="NVQ782" s="268"/>
      <c r="NVR782" s="268"/>
      <c r="NVS782" s="268"/>
      <c r="NVT782" s="268"/>
      <c r="NVU782" s="268"/>
      <c r="NVV782" s="268"/>
      <c r="NVW782" s="268"/>
      <c r="NVX782" s="268"/>
      <c r="NVY782" s="268"/>
      <c r="NVZ782" s="268"/>
      <c r="NWA782" s="268"/>
      <c r="NWB782" s="268"/>
      <c r="NWC782" s="268"/>
      <c r="NWD782" s="268"/>
      <c r="NWE782" s="268"/>
      <c r="NWF782" s="268"/>
      <c r="NWG782" s="268"/>
      <c r="NWH782" s="268"/>
      <c r="NWI782" s="268"/>
      <c r="NWJ782" s="268"/>
      <c r="NWK782" s="268"/>
      <c r="NWL782" s="268"/>
      <c r="NWM782" s="268"/>
      <c r="NWN782" s="268"/>
      <c r="NWO782" s="268"/>
      <c r="NWP782" s="268"/>
      <c r="NWQ782" s="268"/>
      <c r="NWR782" s="268"/>
      <c r="NWS782" s="268"/>
      <c r="NWT782" s="268"/>
      <c r="NWU782" s="268"/>
      <c r="NWV782" s="268"/>
      <c r="NWW782" s="268"/>
      <c r="NWX782" s="268"/>
      <c r="NWY782" s="268"/>
      <c r="NWZ782" s="268"/>
      <c r="NXA782" s="268"/>
      <c r="NXB782" s="268"/>
      <c r="NXC782" s="268"/>
      <c r="NXD782" s="268"/>
      <c r="NXE782" s="268"/>
      <c r="NXF782" s="268"/>
      <c r="NXG782" s="268"/>
      <c r="NXH782" s="268"/>
      <c r="NXI782" s="268"/>
      <c r="NXJ782" s="268"/>
      <c r="NXK782" s="268"/>
      <c r="NXL782" s="268"/>
      <c r="NXM782" s="268"/>
      <c r="NXN782" s="268"/>
      <c r="NXO782" s="268"/>
      <c r="NXP782" s="268"/>
      <c r="NXQ782" s="268"/>
      <c r="NXR782" s="268"/>
      <c r="NXS782" s="268"/>
      <c r="NXT782" s="268"/>
      <c r="NXU782" s="268"/>
      <c r="NXV782" s="268"/>
      <c r="NXW782" s="268"/>
      <c r="NXX782" s="268"/>
      <c r="NXY782" s="268"/>
      <c r="NXZ782" s="268"/>
      <c r="NYA782" s="268"/>
      <c r="NYB782" s="268"/>
      <c r="NYC782" s="268"/>
      <c r="NYD782" s="268"/>
      <c r="NYE782" s="268"/>
      <c r="NYF782" s="268"/>
      <c r="NYG782" s="268"/>
      <c r="NYH782" s="268"/>
      <c r="NYI782" s="268"/>
      <c r="NYJ782" s="268"/>
      <c r="NYK782" s="268"/>
      <c r="NYL782" s="268"/>
      <c r="NYM782" s="268"/>
      <c r="NYN782" s="268"/>
      <c r="NYO782" s="268"/>
      <c r="NYP782" s="268"/>
      <c r="NYQ782" s="268"/>
      <c r="NYR782" s="268"/>
      <c r="NYS782" s="268"/>
      <c r="NYT782" s="268"/>
      <c r="NYU782" s="268"/>
      <c r="NYV782" s="268"/>
      <c r="NYW782" s="268"/>
      <c r="NYX782" s="268"/>
      <c r="NYY782" s="268"/>
      <c r="NYZ782" s="268"/>
      <c r="NZA782" s="268"/>
      <c r="NZB782" s="268"/>
      <c r="NZC782" s="268"/>
      <c r="NZD782" s="268"/>
      <c r="NZE782" s="268"/>
      <c r="NZF782" s="268"/>
      <c r="NZG782" s="268"/>
      <c r="NZH782" s="268"/>
      <c r="NZI782" s="268"/>
      <c r="NZJ782" s="268"/>
      <c r="NZK782" s="268"/>
      <c r="NZL782" s="268"/>
      <c r="NZM782" s="268"/>
      <c r="NZN782" s="268"/>
      <c r="NZO782" s="268"/>
      <c r="NZP782" s="268"/>
      <c r="NZQ782" s="268"/>
      <c r="NZR782" s="268"/>
      <c r="NZS782" s="268"/>
      <c r="NZT782" s="268"/>
      <c r="NZU782" s="268"/>
      <c r="NZV782" s="268"/>
      <c r="NZW782" s="268"/>
      <c r="NZX782" s="268"/>
      <c r="NZY782" s="268"/>
      <c r="NZZ782" s="268"/>
      <c r="OAA782" s="268"/>
      <c r="OAB782" s="268"/>
      <c r="OAC782" s="268"/>
      <c r="OAD782" s="268"/>
      <c r="OAE782" s="268"/>
      <c r="OAF782" s="268"/>
      <c r="OAG782" s="268"/>
      <c r="OAH782" s="268"/>
      <c r="OAI782" s="268"/>
      <c r="OAJ782" s="268"/>
      <c r="OAK782" s="268"/>
      <c r="OAL782" s="268"/>
      <c r="OAM782" s="268"/>
      <c r="OAN782" s="268"/>
      <c r="OAO782" s="268"/>
      <c r="OAP782" s="268"/>
      <c r="OAQ782" s="268"/>
      <c r="OAR782" s="268"/>
      <c r="OAS782" s="268"/>
      <c r="OAT782" s="268"/>
      <c r="OAU782" s="268"/>
      <c r="OAV782" s="268"/>
      <c r="OAW782" s="268"/>
      <c r="OAX782" s="268"/>
      <c r="OAY782" s="268"/>
      <c r="OAZ782" s="268"/>
      <c r="OBA782" s="268"/>
      <c r="OBB782" s="268"/>
      <c r="OBC782" s="268"/>
      <c r="OBD782" s="268"/>
      <c r="OBE782" s="268"/>
      <c r="OBF782" s="268"/>
      <c r="OBG782" s="268"/>
      <c r="OBH782" s="268"/>
      <c r="OBI782" s="268"/>
      <c r="OBJ782" s="268"/>
      <c r="OBK782" s="268"/>
      <c r="OBL782" s="268"/>
      <c r="OBM782" s="268"/>
      <c r="OBN782" s="268"/>
      <c r="OBO782" s="268"/>
      <c r="OBP782" s="268"/>
      <c r="OBQ782" s="268"/>
      <c r="OBR782" s="268"/>
      <c r="OBS782" s="268"/>
      <c r="OBT782" s="268"/>
      <c r="OBU782" s="268"/>
      <c r="OBV782" s="268"/>
      <c r="OBW782" s="268"/>
      <c r="OBX782" s="268"/>
      <c r="OBY782" s="268"/>
      <c r="OBZ782" s="268"/>
      <c r="OCA782" s="268"/>
      <c r="OCB782" s="268"/>
      <c r="OCC782" s="268"/>
      <c r="OCD782" s="268"/>
      <c r="OCE782" s="268"/>
      <c r="OCF782" s="268"/>
      <c r="OCG782" s="268"/>
      <c r="OCH782" s="268"/>
      <c r="OCI782" s="268"/>
      <c r="OCJ782" s="268"/>
      <c r="OCK782" s="268"/>
      <c r="OCL782" s="268"/>
      <c r="OCM782" s="268"/>
      <c r="ODA782" s="268"/>
      <c r="ODB782" s="268"/>
      <c r="ODC782" s="268"/>
      <c r="ODQ782" s="268"/>
      <c r="ODS782" s="268"/>
      <c r="ODT782" s="268"/>
      <c r="ODU782" s="268"/>
      <c r="ODV782" s="268"/>
      <c r="ODW782" s="268"/>
      <c r="ODX782" s="268"/>
      <c r="ODY782" s="268"/>
      <c r="ODZ782" s="268"/>
      <c r="OEA782" s="268"/>
      <c r="OEB782" s="268"/>
      <c r="OEC782" s="268"/>
      <c r="OED782" s="268"/>
      <c r="OEE782" s="268"/>
      <c r="OEF782" s="268"/>
      <c r="OEG782" s="268"/>
      <c r="OEH782" s="268"/>
      <c r="OEI782" s="268"/>
      <c r="OEJ782" s="268"/>
      <c r="OEK782" s="268"/>
      <c r="OEL782" s="268"/>
      <c r="OEM782" s="268"/>
      <c r="OEN782" s="268"/>
      <c r="OEO782" s="268"/>
      <c r="OEP782" s="268"/>
      <c r="OEQ782" s="268"/>
      <c r="OER782" s="268"/>
      <c r="OES782" s="268"/>
      <c r="OET782" s="268"/>
      <c r="OEU782" s="268"/>
      <c r="OEV782" s="268"/>
      <c r="OEW782" s="268"/>
      <c r="OEX782" s="268"/>
      <c r="OEY782" s="268"/>
      <c r="OEZ782" s="268"/>
      <c r="OFA782" s="268"/>
      <c r="OFB782" s="268"/>
      <c r="OFC782" s="268"/>
      <c r="OFD782" s="268"/>
      <c r="OFE782" s="268"/>
      <c r="OFF782" s="268"/>
      <c r="OFG782" s="268"/>
      <c r="OFH782" s="268"/>
      <c r="OFI782" s="268"/>
      <c r="OFJ782" s="268"/>
      <c r="OFK782" s="268"/>
      <c r="OFL782" s="268"/>
      <c r="OFM782" s="268"/>
      <c r="OFN782" s="268"/>
      <c r="OFO782" s="268"/>
      <c r="OFP782" s="268"/>
      <c r="OFQ782" s="268"/>
      <c r="OFR782" s="268"/>
      <c r="OFS782" s="268"/>
      <c r="OFT782" s="268"/>
      <c r="OFU782" s="268"/>
      <c r="OFV782" s="268"/>
      <c r="OFW782" s="268"/>
      <c r="OFX782" s="268"/>
      <c r="OFY782" s="268"/>
      <c r="OFZ782" s="268"/>
      <c r="OGA782" s="268"/>
      <c r="OGB782" s="268"/>
      <c r="OGC782" s="268"/>
      <c r="OGD782" s="268"/>
      <c r="OGE782" s="268"/>
      <c r="OGF782" s="268"/>
      <c r="OGG782" s="268"/>
      <c r="OGH782" s="268"/>
      <c r="OGI782" s="268"/>
      <c r="OGJ782" s="268"/>
      <c r="OGK782" s="268"/>
      <c r="OGL782" s="268"/>
      <c r="OGM782" s="268"/>
      <c r="OGN782" s="268"/>
      <c r="OGO782" s="268"/>
      <c r="OGP782" s="268"/>
      <c r="OGQ782" s="268"/>
      <c r="OGR782" s="268"/>
      <c r="OGS782" s="268"/>
      <c r="OGT782" s="268"/>
      <c r="OGU782" s="268"/>
      <c r="OGV782" s="268"/>
      <c r="OGW782" s="268"/>
      <c r="OGX782" s="268"/>
      <c r="OGY782" s="268"/>
      <c r="OGZ782" s="268"/>
      <c r="OHA782" s="268"/>
      <c r="OHB782" s="268"/>
      <c r="OHC782" s="268"/>
      <c r="OHD782" s="268"/>
      <c r="OHE782" s="268"/>
      <c r="OHF782" s="268"/>
      <c r="OHG782" s="268"/>
      <c r="OHH782" s="268"/>
      <c r="OHI782" s="268"/>
      <c r="OHJ782" s="268"/>
      <c r="OHK782" s="268"/>
      <c r="OHL782" s="268"/>
      <c r="OHM782" s="268"/>
      <c r="OHN782" s="268"/>
      <c r="OHO782" s="268"/>
      <c r="OHP782" s="268"/>
      <c r="OHQ782" s="268"/>
      <c r="OHR782" s="268"/>
      <c r="OHS782" s="268"/>
      <c r="OHT782" s="268"/>
      <c r="OHU782" s="268"/>
      <c r="OHV782" s="268"/>
      <c r="OHW782" s="268"/>
      <c r="OHX782" s="268"/>
      <c r="OHY782" s="268"/>
      <c r="OHZ782" s="268"/>
      <c r="OIA782" s="268"/>
      <c r="OIB782" s="268"/>
      <c r="OIC782" s="268"/>
      <c r="OID782" s="268"/>
      <c r="OIE782" s="268"/>
      <c r="OIF782" s="268"/>
      <c r="OIG782" s="268"/>
      <c r="OIH782" s="268"/>
      <c r="OII782" s="268"/>
      <c r="OIJ782" s="268"/>
      <c r="OIK782" s="268"/>
      <c r="OIL782" s="268"/>
      <c r="OIM782" s="268"/>
      <c r="OIN782" s="268"/>
      <c r="OIO782" s="268"/>
      <c r="OIP782" s="268"/>
      <c r="OIQ782" s="268"/>
      <c r="OIR782" s="268"/>
      <c r="OIS782" s="268"/>
      <c r="OIT782" s="268"/>
      <c r="OIU782" s="268"/>
      <c r="OIV782" s="268"/>
      <c r="OIW782" s="268"/>
      <c r="OIX782" s="268"/>
      <c r="OIY782" s="268"/>
      <c r="OIZ782" s="268"/>
      <c r="OJA782" s="268"/>
      <c r="OJB782" s="268"/>
      <c r="OJC782" s="268"/>
      <c r="OJD782" s="268"/>
      <c r="OJE782" s="268"/>
      <c r="OJF782" s="268"/>
      <c r="OJG782" s="268"/>
      <c r="OJH782" s="268"/>
      <c r="OJI782" s="268"/>
      <c r="OJJ782" s="268"/>
      <c r="OJK782" s="268"/>
      <c r="OJL782" s="268"/>
      <c r="OJM782" s="268"/>
      <c r="OJN782" s="268"/>
      <c r="OJO782" s="268"/>
      <c r="OJP782" s="268"/>
      <c r="OJQ782" s="268"/>
      <c r="OJR782" s="268"/>
      <c r="OJS782" s="268"/>
      <c r="OJT782" s="268"/>
      <c r="OJU782" s="268"/>
      <c r="OJV782" s="268"/>
      <c r="OJW782" s="268"/>
      <c r="OJX782" s="268"/>
      <c r="OJY782" s="268"/>
      <c r="OJZ782" s="268"/>
      <c r="OKA782" s="268"/>
      <c r="OKB782" s="268"/>
      <c r="OKC782" s="268"/>
      <c r="OKD782" s="268"/>
      <c r="OKE782" s="268"/>
      <c r="OKF782" s="268"/>
      <c r="OKG782" s="268"/>
      <c r="OKH782" s="268"/>
      <c r="OKI782" s="268"/>
      <c r="OKJ782" s="268"/>
      <c r="OKK782" s="268"/>
      <c r="OKL782" s="268"/>
      <c r="OKM782" s="268"/>
      <c r="OKN782" s="268"/>
      <c r="OKO782" s="268"/>
      <c r="OKP782" s="268"/>
      <c r="OKQ782" s="268"/>
      <c r="OKR782" s="268"/>
      <c r="OKS782" s="268"/>
      <c r="OKT782" s="268"/>
      <c r="OKU782" s="268"/>
      <c r="OKV782" s="268"/>
      <c r="OKW782" s="268"/>
      <c r="OKX782" s="268"/>
      <c r="OKY782" s="268"/>
      <c r="OKZ782" s="268"/>
      <c r="OLA782" s="268"/>
      <c r="OLB782" s="268"/>
      <c r="OLC782" s="268"/>
      <c r="OLD782" s="268"/>
      <c r="OLE782" s="268"/>
      <c r="OLF782" s="268"/>
      <c r="OLG782" s="268"/>
      <c r="OLH782" s="268"/>
      <c r="OLI782" s="268"/>
      <c r="OLJ782" s="268"/>
      <c r="OLK782" s="268"/>
      <c r="OLL782" s="268"/>
      <c r="OLM782" s="268"/>
      <c r="OLN782" s="268"/>
      <c r="OLO782" s="268"/>
      <c r="OLP782" s="268"/>
      <c r="OLQ782" s="268"/>
      <c r="OLR782" s="268"/>
      <c r="OLS782" s="268"/>
      <c r="OLT782" s="268"/>
      <c r="OLU782" s="268"/>
      <c r="OLV782" s="268"/>
      <c r="OLW782" s="268"/>
      <c r="OLX782" s="268"/>
      <c r="OLY782" s="268"/>
      <c r="OLZ782" s="268"/>
      <c r="OMA782" s="268"/>
      <c r="OMB782" s="268"/>
      <c r="OMC782" s="268"/>
      <c r="OMD782" s="268"/>
      <c r="OME782" s="268"/>
      <c r="OMF782" s="268"/>
      <c r="OMG782" s="268"/>
      <c r="OMH782" s="268"/>
      <c r="OMI782" s="268"/>
      <c r="OMW782" s="268"/>
      <c r="OMX782" s="268"/>
      <c r="OMY782" s="268"/>
      <c r="ONM782" s="268"/>
      <c r="ONO782" s="268"/>
      <c r="ONP782" s="268"/>
      <c r="ONQ782" s="268"/>
      <c r="ONR782" s="268"/>
      <c r="ONS782" s="268"/>
      <c r="ONT782" s="268"/>
      <c r="ONU782" s="268"/>
      <c r="ONV782" s="268"/>
      <c r="ONW782" s="268"/>
      <c r="ONX782" s="268"/>
      <c r="ONY782" s="268"/>
      <c r="ONZ782" s="268"/>
      <c r="OOA782" s="268"/>
      <c r="OOB782" s="268"/>
      <c r="OOC782" s="268"/>
      <c r="OOD782" s="268"/>
      <c r="OOE782" s="268"/>
      <c r="OOF782" s="268"/>
      <c r="OOG782" s="268"/>
      <c r="OOH782" s="268"/>
      <c r="OOI782" s="268"/>
      <c r="OOJ782" s="268"/>
      <c r="OOK782" s="268"/>
      <c r="OOL782" s="268"/>
      <c r="OOM782" s="268"/>
      <c r="OON782" s="268"/>
      <c r="OOO782" s="268"/>
      <c r="OOP782" s="268"/>
      <c r="OOQ782" s="268"/>
      <c r="OOR782" s="268"/>
      <c r="OOS782" s="268"/>
      <c r="OOT782" s="268"/>
      <c r="OOU782" s="268"/>
      <c r="OOV782" s="268"/>
      <c r="OOW782" s="268"/>
      <c r="OOX782" s="268"/>
      <c r="OOY782" s="268"/>
      <c r="OOZ782" s="268"/>
      <c r="OPA782" s="268"/>
      <c r="OPB782" s="268"/>
      <c r="OPC782" s="268"/>
      <c r="OPD782" s="268"/>
      <c r="OPE782" s="268"/>
      <c r="OPF782" s="268"/>
      <c r="OPG782" s="268"/>
      <c r="OPH782" s="268"/>
      <c r="OPI782" s="268"/>
      <c r="OPJ782" s="268"/>
      <c r="OPK782" s="268"/>
      <c r="OPL782" s="268"/>
      <c r="OPM782" s="268"/>
      <c r="OPN782" s="268"/>
      <c r="OPO782" s="268"/>
      <c r="OPP782" s="268"/>
      <c r="OPQ782" s="268"/>
      <c r="OPR782" s="268"/>
      <c r="OPS782" s="268"/>
      <c r="OPT782" s="268"/>
      <c r="OPU782" s="268"/>
      <c r="OPV782" s="268"/>
      <c r="OPW782" s="268"/>
      <c r="OPX782" s="268"/>
      <c r="OPY782" s="268"/>
      <c r="OPZ782" s="268"/>
      <c r="OQA782" s="268"/>
      <c r="OQB782" s="268"/>
      <c r="OQC782" s="268"/>
      <c r="OQD782" s="268"/>
      <c r="OQE782" s="268"/>
      <c r="OQF782" s="268"/>
      <c r="OQG782" s="268"/>
      <c r="OQH782" s="268"/>
      <c r="OQI782" s="268"/>
      <c r="OQJ782" s="268"/>
      <c r="OQK782" s="268"/>
      <c r="OQL782" s="268"/>
      <c r="OQM782" s="268"/>
      <c r="OQN782" s="268"/>
      <c r="OQO782" s="268"/>
      <c r="OQP782" s="268"/>
      <c r="OQQ782" s="268"/>
      <c r="OQR782" s="268"/>
      <c r="OQS782" s="268"/>
      <c r="OQT782" s="268"/>
      <c r="OQU782" s="268"/>
      <c r="OQV782" s="268"/>
      <c r="OQW782" s="268"/>
      <c r="OQX782" s="268"/>
      <c r="OQY782" s="268"/>
      <c r="OQZ782" s="268"/>
      <c r="ORA782" s="268"/>
      <c r="ORB782" s="268"/>
      <c r="ORC782" s="268"/>
      <c r="ORD782" s="268"/>
      <c r="ORE782" s="268"/>
      <c r="ORF782" s="268"/>
      <c r="ORG782" s="268"/>
      <c r="ORH782" s="268"/>
      <c r="ORI782" s="268"/>
      <c r="ORJ782" s="268"/>
      <c r="ORK782" s="268"/>
      <c r="ORL782" s="268"/>
      <c r="ORM782" s="268"/>
      <c r="ORN782" s="268"/>
      <c r="ORO782" s="268"/>
      <c r="ORP782" s="268"/>
      <c r="ORQ782" s="268"/>
      <c r="ORR782" s="268"/>
      <c r="ORS782" s="268"/>
      <c r="ORT782" s="268"/>
      <c r="ORU782" s="268"/>
      <c r="ORV782" s="268"/>
      <c r="ORW782" s="268"/>
      <c r="ORX782" s="268"/>
      <c r="ORY782" s="268"/>
      <c r="ORZ782" s="268"/>
      <c r="OSA782" s="268"/>
      <c r="OSB782" s="268"/>
      <c r="OSC782" s="268"/>
      <c r="OSD782" s="268"/>
      <c r="OSE782" s="268"/>
      <c r="OSF782" s="268"/>
      <c r="OSG782" s="268"/>
      <c r="OSH782" s="268"/>
      <c r="OSI782" s="268"/>
      <c r="OSJ782" s="268"/>
      <c r="OSK782" s="268"/>
      <c r="OSL782" s="268"/>
      <c r="OSM782" s="268"/>
      <c r="OSN782" s="268"/>
      <c r="OSO782" s="268"/>
      <c r="OSP782" s="268"/>
      <c r="OSQ782" s="268"/>
      <c r="OSR782" s="268"/>
      <c r="OSS782" s="268"/>
      <c r="OST782" s="268"/>
      <c r="OSU782" s="268"/>
      <c r="OSV782" s="268"/>
      <c r="OSW782" s="268"/>
      <c r="OSX782" s="268"/>
      <c r="OSY782" s="268"/>
      <c r="OSZ782" s="268"/>
      <c r="OTA782" s="268"/>
      <c r="OTB782" s="268"/>
      <c r="OTC782" s="268"/>
      <c r="OTD782" s="268"/>
      <c r="OTE782" s="268"/>
      <c r="OTF782" s="268"/>
      <c r="OTG782" s="268"/>
      <c r="OTH782" s="268"/>
      <c r="OTI782" s="268"/>
      <c r="OTJ782" s="268"/>
      <c r="OTK782" s="268"/>
      <c r="OTL782" s="268"/>
      <c r="OTM782" s="268"/>
      <c r="OTN782" s="268"/>
      <c r="OTO782" s="268"/>
      <c r="OTP782" s="268"/>
      <c r="OTQ782" s="268"/>
      <c r="OTR782" s="268"/>
      <c r="OTS782" s="268"/>
      <c r="OTT782" s="268"/>
      <c r="OTU782" s="268"/>
      <c r="OTV782" s="268"/>
      <c r="OTW782" s="268"/>
      <c r="OTX782" s="268"/>
      <c r="OTY782" s="268"/>
      <c r="OTZ782" s="268"/>
      <c r="OUA782" s="268"/>
      <c r="OUB782" s="268"/>
      <c r="OUC782" s="268"/>
      <c r="OUD782" s="268"/>
      <c r="OUE782" s="268"/>
      <c r="OUF782" s="268"/>
      <c r="OUG782" s="268"/>
      <c r="OUH782" s="268"/>
      <c r="OUI782" s="268"/>
      <c r="OUJ782" s="268"/>
      <c r="OUK782" s="268"/>
      <c r="OUL782" s="268"/>
      <c r="OUM782" s="268"/>
      <c r="OUN782" s="268"/>
      <c r="OUO782" s="268"/>
      <c r="OUP782" s="268"/>
      <c r="OUQ782" s="268"/>
      <c r="OUR782" s="268"/>
      <c r="OUS782" s="268"/>
      <c r="OUT782" s="268"/>
      <c r="OUU782" s="268"/>
      <c r="OUV782" s="268"/>
      <c r="OUW782" s="268"/>
      <c r="OUX782" s="268"/>
      <c r="OUY782" s="268"/>
      <c r="OUZ782" s="268"/>
      <c r="OVA782" s="268"/>
      <c r="OVB782" s="268"/>
      <c r="OVC782" s="268"/>
      <c r="OVD782" s="268"/>
      <c r="OVE782" s="268"/>
      <c r="OVF782" s="268"/>
      <c r="OVG782" s="268"/>
      <c r="OVH782" s="268"/>
      <c r="OVI782" s="268"/>
      <c r="OVJ782" s="268"/>
      <c r="OVK782" s="268"/>
      <c r="OVL782" s="268"/>
      <c r="OVM782" s="268"/>
      <c r="OVN782" s="268"/>
      <c r="OVO782" s="268"/>
      <c r="OVP782" s="268"/>
      <c r="OVQ782" s="268"/>
      <c r="OVR782" s="268"/>
      <c r="OVS782" s="268"/>
      <c r="OVT782" s="268"/>
      <c r="OVU782" s="268"/>
      <c r="OVV782" s="268"/>
      <c r="OVW782" s="268"/>
      <c r="OVX782" s="268"/>
      <c r="OVY782" s="268"/>
      <c r="OVZ782" s="268"/>
      <c r="OWA782" s="268"/>
      <c r="OWB782" s="268"/>
      <c r="OWC782" s="268"/>
      <c r="OWD782" s="268"/>
      <c r="OWE782" s="268"/>
      <c r="OWS782" s="268"/>
      <c r="OWT782" s="268"/>
      <c r="OWU782" s="268"/>
      <c r="OXI782" s="268"/>
      <c r="OXK782" s="268"/>
      <c r="OXL782" s="268"/>
      <c r="OXM782" s="268"/>
      <c r="OXN782" s="268"/>
      <c r="OXO782" s="268"/>
      <c r="OXP782" s="268"/>
      <c r="OXQ782" s="268"/>
      <c r="OXR782" s="268"/>
      <c r="OXS782" s="268"/>
      <c r="OXT782" s="268"/>
      <c r="OXU782" s="268"/>
      <c r="OXV782" s="268"/>
      <c r="OXW782" s="268"/>
      <c r="OXX782" s="268"/>
      <c r="OXY782" s="268"/>
      <c r="OXZ782" s="268"/>
      <c r="OYA782" s="268"/>
      <c r="OYB782" s="268"/>
      <c r="OYC782" s="268"/>
      <c r="OYD782" s="268"/>
      <c r="OYE782" s="268"/>
      <c r="OYF782" s="268"/>
      <c r="OYG782" s="268"/>
      <c r="OYH782" s="268"/>
      <c r="OYI782" s="268"/>
      <c r="OYJ782" s="268"/>
      <c r="OYK782" s="268"/>
      <c r="OYL782" s="268"/>
      <c r="OYM782" s="268"/>
      <c r="OYN782" s="268"/>
      <c r="OYO782" s="268"/>
      <c r="OYP782" s="268"/>
      <c r="OYQ782" s="268"/>
      <c r="OYR782" s="268"/>
      <c r="OYS782" s="268"/>
      <c r="OYT782" s="268"/>
      <c r="OYU782" s="268"/>
      <c r="OYV782" s="268"/>
      <c r="OYW782" s="268"/>
      <c r="OYX782" s="268"/>
      <c r="OYY782" s="268"/>
      <c r="OYZ782" s="268"/>
      <c r="OZA782" s="268"/>
      <c r="OZB782" s="268"/>
      <c r="OZC782" s="268"/>
      <c r="OZD782" s="268"/>
      <c r="OZE782" s="268"/>
      <c r="OZF782" s="268"/>
      <c r="OZG782" s="268"/>
      <c r="OZH782" s="268"/>
      <c r="OZI782" s="268"/>
      <c r="OZJ782" s="268"/>
      <c r="OZK782" s="268"/>
      <c r="OZL782" s="268"/>
      <c r="OZM782" s="268"/>
      <c r="OZN782" s="268"/>
      <c r="OZO782" s="268"/>
      <c r="OZP782" s="268"/>
      <c r="OZQ782" s="268"/>
      <c r="OZR782" s="268"/>
      <c r="OZS782" s="268"/>
      <c r="OZT782" s="268"/>
      <c r="OZU782" s="268"/>
      <c r="OZV782" s="268"/>
      <c r="OZW782" s="268"/>
      <c r="OZX782" s="268"/>
      <c r="OZY782" s="268"/>
      <c r="OZZ782" s="268"/>
      <c r="PAA782" s="268"/>
      <c r="PAB782" s="268"/>
      <c r="PAC782" s="268"/>
      <c r="PAD782" s="268"/>
      <c r="PAE782" s="268"/>
      <c r="PAF782" s="268"/>
      <c r="PAG782" s="268"/>
      <c r="PAH782" s="268"/>
      <c r="PAI782" s="268"/>
      <c r="PAJ782" s="268"/>
      <c r="PAK782" s="268"/>
      <c r="PAL782" s="268"/>
      <c r="PAM782" s="268"/>
      <c r="PAN782" s="268"/>
      <c r="PAO782" s="268"/>
      <c r="PAP782" s="268"/>
      <c r="PAQ782" s="268"/>
      <c r="PAR782" s="268"/>
      <c r="PAS782" s="268"/>
      <c r="PAT782" s="268"/>
      <c r="PAU782" s="268"/>
      <c r="PAV782" s="268"/>
      <c r="PAW782" s="268"/>
      <c r="PAX782" s="268"/>
      <c r="PAY782" s="268"/>
      <c r="PAZ782" s="268"/>
      <c r="PBA782" s="268"/>
      <c r="PBB782" s="268"/>
      <c r="PBC782" s="268"/>
      <c r="PBD782" s="268"/>
      <c r="PBE782" s="268"/>
      <c r="PBF782" s="268"/>
      <c r="PBG782" s="268"/>
      <c r="PBH782" s="268"/>
      <c r="PBI782" s="268"/>
      <c r="PBJ782" s="268"/>
      <c r="PBK782" s="268"/>
      <c r="PBL782" s="268"/>
      <c r="PBM782" s="268"/>
      <c r="PBN782" s="268"/>
      <c r="PBO782" s="268"/>
      <c r="PBP782" s="268"/>
      <c r="PBQ782" s="268"/>
      <c r="PBR782" s="268"/>
      <c r="PBS782" s="268"/>
      <c r="PBT782" s="268"/>
      <c r="PBU782" s="268"/>
      <c r="PBV782" s="268"/>
      <c r="PBW782" s="268"/>
      <c r="PBX782" s="268"/>
      <c r="PBY782" s="268"/>
      <c r="PBZ782" s="268"/>
      <c r="PCA782" s="268"/>
      <c r="PCB782" s="268"/>
      <c r="PCC782" s="268"/>
      <c r="PCD782" s="268"/>
      <c r="PCE782" s="268"/>
      <c r="PCF782" s="268"/>
      <c r="PCG782" s="268"/>
      <c r="PCH782" s="268"/>
      <c r="PCI782" s="268"/>
      <c r="PCJ782" s="268"/>
      <c r="PCK782" s="268"/>
      <c r="PCL782" s="268"/>
      <c r="PCM782" s="268"/>
      <c r="PCN782" s="268"/>
      <c r="PCO782" s="268"/>
      <c r="PCP782" s="268"/>
      <c r="PCQ782" s="268"/>
      <c r="PCR782" s="268"/>
      <c r="PCS782" s="268"/>
      <c r="PCT782" s="268"/>
      <c r="PCU782" s="268"/>
      <c r="PCV782" s="268"/>
      <c r="PCW782" s="268"/>
      <c r="PCX782" s="268"/>
      <c r="PCY782" s="268"/>
      <c r="PCZ782" s="268"/>
      <c r="PDA782" s="268"/>
      <c r="PDB782" s="268"/>
      <c r="PDC782" s="268"/>
      <c r="PDD782" s="268"/>
      <c r="PDE782" s="268"/>
      <c r="PDF782" s="268"/>
      <c r="PDG782" s="268"/>
      <c r="PDH782" s="268"/>
      <c r="PDI782" s="268"/>
      <c r="PDJ782" s="268"/>
      <c r="PDK782" s="268"/>
      <c r="PDL782" s="268"/>
      <c r="PDM782" s="268"/>
      <c r="PDN782" s="268"/>
      <c r="PDO782" s="268"/>
      <c r="PDP782" s="268"/>
      <c r="PDQ782" s="268"/>
      <c r="PDR782" s="268"/>
      <c r="PDS782" s="268"/>
      <c r="PDT782" s="268"/>
      <c r="PDU782" s="268"/>
      <c r="PDV782" s="268"/>
      <c r="PDW782" s="268"/>
      <c r="PDX782" s="268"/>
      <c r="PDY782" s="268"/>
      <c r="PDZ782" s="268"/>
      <c r="PEA782" s="268"/>
      <c r="PEB782" s="268"/>
      <c r="PEC782" s="268"/>
      <c r="PED782" s="268"/>
      <c r="PEE782" s="268"/>
      <c r="PEF782" s="268"/>
      <c r="PEG782" s="268"/>
      <c r="PEH782" s="268"/>
      <c r="PEI782" s="268"/>
      <c r="PEJ782" s="268"/>
      <c r="PEK782" s="268"/>
      <c r="PEL782" s="268"/>
      <c r="PEM782" s="268"/>
      <c r="PEN782" s="268"/>
      <c r="PEO782" s="268"/>
      <c r="PEP782" s="268"/>
      <c r="PEQ782" s="268"/>
      <c r="PER782" s="268"/>
      <c r="PES782" s="268"/>
      <c r="PET782" s="268"/>
      <c r="PEU782" s="268"/>
      <c r="PEV782" s="268"/>
      <c r="PEW782" s="268"/>
      <c r="PEX782" s="268"/>
      <c r="PEY782" s="268"/>
      <c r="PEZ782" s="268"/>
      <c r="PFA782" s="268"/>
      <c r="PFB782" s="268"/>
      <c r="PFC782" s="268"/>
      <c r="PFD782" s="268"/>
      <c r="PFE782" s="268"/>
      <c r="PFF782" s="268"/>
      <c r="PFG782" s="268"/>
      <c r="PFH782" s="268"/>
      <c r="PFI782" s="268"/>
      <c r="PFJ782" s="268"/>
      <c r="PFK782" s="268"/>
      <c r="PFL782" s="268"/>
      <c r="PFM782" s="268"/>
      <c r="PFN782" s="268"/>
      <c r="PFO782" s="268"/>
      <c r="PFP782" s="268"/>
      <c r="PFQ782" s="268"/>
      <c r="PFR782" s="268"/>
      <c r="PFS782" s="268"/>
      <c r="PFT782" s="268"/>
      <c r="PFU782" s="268"/>
      <c r="PFV782" s="268"/>
      <c r="PFW782" s="268"/>
      <c r="PFX782" s="268"/>
      <c r="PFY782" s="268"/>
      <c r="PFZ782" s="268"/>
      <c r="PGA782" s="268"/>
      <c r="PGO782" s="268"/>
      <c r="PGP782" s="268"/>
      <c r="PGQ782" s="268"/>
      <c r="PHE782" s="268"/>
      <c r="PHG782" s="268"/>
      <c r="PHH782" s="268"/>
      <c r="PHI782" s="268"/>
      <c r="PHJ782" s="268"/>
      <c r="PHK782" s="268"/>
      <c r="PHL782" s="268"/>
      <c r="PHM782" s="268"/>
      <c r="PHN782" s="268"/>
      <c r="PHO782" s="268"/>
      <c r="PHP782" s="268"/>
      <c r="PHQ782" s="268"/>
      <c r="PHR782" s="268"/>
      <c r="PHS782" s="268"/>
      <c r="PHT782" s="268"/>
      <c r="PHU782" s="268"/>
      <c r="PHV782" s="268"/>
      <c r="PHW782" s="268"/>
      <c r="PHX782" s="268"/>
      <c r="PHY782" s="268"/>
      <c r="PHZ782" s="268"/>
      <c r="PIA782" s="268"/>
      <c r="PIB782" s="268"/>
      <c r="PIC782" s="268"/>
      <c r="PID782" s="268"/>
      <c r="PIE782" s="268"/>
      <c r="PIF782" s="268"/>
      <c r="PIG782" s="268"/>
      <c r="PIH782" s="268"/>
      <c r="PII782" s="268"/>
      <c r="PIJ782" s="268"/>
      <c r="PIK782" s="268"/>
      <c r="PIL782" s="268"/>
      <c r="PIM782" s="268"/>
      <c r="PIN782" s="268"/>
      <c r="PIO782" s="268"/>
      <c r="PIP782" s="268"/>
      <c r="PIQ782" s="268"/>
      <c r="PIR782" s="268"/>
      <c r="PIS782" s="268"/>
      <c r="PIT782" s="268"/>
      <c r="PIU782" s="268"/>
      <c r="PIV782" s="268"/>
      <c r="PIW782" s="268"/>
      <c r="PIX782" s="268"/>
      <c r="PIY782" s="268"/>
      <c r="PIZ782" s="268"/>
      <c r="PJA782" s="268"/>
      <c r="PJB782" s="268"/>
      <c r="PJC782" s="268"/>
      <c r="PJD782" s="268"/>
      <c r="PJE782" s="268"/>
      <c r="PJF782" s="268"/>
      <c r="PJG782" s="268"/>
      <c r="PJH782" s="268"/>
      <c r="PJI782" s="268"/>
      <c r="PJJ782" s="268"/>
      <c r="PJK782" s="268"/>
      <c r="PJL782" s="268"/>
      <c r="PJM782" s="268"/>
      <c r="PJN782" s="268"/>
      <c r="PJO782" s="268"/>
      <c r="PJP782" s="268"/>
      <c r="PJQ782" s="268"/>
      <c r="PJR782" s="268"/>
      <c r="PJS782" s="268"/>
      <c r="PJT782" s="268"/>
      <c r="PJU782" s="268"/>
      <c r="PJV782" s="268"/>
      <c r="PJW782" s="268"/>
      <c r="PJX782" s="268"/>
      <c r="PJY782" s="268"/>
      <c r="PJZ782" s="268"/>
      <c r="PKA782" s="268"/>
      <c r="PKB782" s="268"/>
      <c r="PKC782" s="268"/>
      <c r="PKD782" s="268"/>
      <c r="PKE782" s="268"/>
      <c r="PKF782" s="268"/>
      <c r="PKG782" s="268"/>
      <c r="PKH782" s="268"/>
      <c r="PKI782" s="268"/>
      <c r="PKJ782" s="268"/>
      <c r="PKK782" s="268"/>
      <c r="PKL782" s="268"/>
      <c r="PKM782" s="268"/>
      <c r="PKN782" s="268"/>
      <c r="PKO782" s="268"/>
      <c r="PKP782" s="268"/>
      <c r="PKQ782" s="268"/>
      <c r="PKR782" s="268"/>
      <c r="PKS782" s="268"/>
      <c r="PKT782" s="268"/>
      <c r="PKU782" s="268"/>
      <c r="PKV782" s="268"/>
      <c r="PKW782" s="268"/>
      <c r="PKX782" s="268"/>
      <c r="PKY782" s="268"/>
      <c r="PKZ782" s="268"/>
      <c r="PLA782" s="268"/>
      <c r="PLB782" s="268"/>
      <c r="PLC782" s="268"/>
      <c r="PLD782" s="268"/>
      <c r="PLE782" s="268"/>
      <c r="PLF782" s="268"/>
      <c r="PLG782" s="268"/>
      <c r="PLH782" s="268"/>
      <c r="PLI782" s="268"/>
      <c r="PLJ782" s="268"/>
      <c r="PLK782" s="268"/>
      <c r="PLL782" s="268"/>
      <c r="PLM782" s="268"/>
      <c r="PLN782" s="268"/>
      <c r="PLO782" s="268"/>
      <c r="PLP782" s="268"/>
      <c r="PLQ782" s="268"/>
      <c r="PLR782" s="268"/>
      <c r="PLS782" s="268"/>
      <c r="PLT782" s="268"/>
      <c r="PLU782" s="268"/>
      <c r="PLV782" s="268"/>
      <c r="PLW782" s="268"/>
      <c r="PLX782" s="268"/>
      <c r="PLY782" s="268"/>
      <c r="PLZ782" s="268"/>
      <c r="PMA782" s="268"/>
      <c r="PMB782" s="268"/>
      <c r="PMC782" s="268"/>
      <c r="PMD782" s="268"/>
      <c r="PME782" s="268"/>
      <c r="PMF782" s="268"/>
      <c r="PMG782" s="268"/>
      <c r="PMH782" s="268"/>
      <c r="PMI782" s="268"/>
      <c r="PMJ782" s="268"/>
      <c r="PMK782" s="268"/>
      <c r="PML782" s="268"/>
      <c r="PMM782" s="268"/>
      <c r="PMN782" s="268"/>
      <c r="PMO782" s="268"/>
      <c r="PMP782" s="268"/>
      <c r="PMQ782" s="268"/>
      <c r="PMR782" s="268"/>
      <c r="PMS782" s="268"/>
      <c r="PMT782" s="268"/>
      <c r="PMU782" s="268"/>
      <c r="PMV782" s="268"/>
      <c r="PMW782" s="268"/>
      <c r="PMX782" s="268"/>
      <c r="PMY782" s="268"/>
      <c r="PMZ782" s="268"/>
      <c r="PNA782" s="268"/>
      <c r="PNB782" s="268"/>
      <c r="PNC782" s="268"/>
      <c r="PND782" s="268"/>
      <c r="PNE782" s="268"/>
      <c r="PNF782" s="268"/>
      <c r="PNG782" s="268"/>
      <c r="PNH782" s="268"/>
      <c r="PNI782" s="268"/>
      <c r="PNJ782" s="268"/>
      <c r="PNK782" s="268"/>
      <c r="PNL782" s="268"/>
      <c r="PNM782" s="268"/>
      <c r="PNN782" s="268"/>
      <c r="PNO782" s="268"/>
      <c r="PNP782" s="268"/>
      <c r="PNQ782" s="268"/>
      <c r="PNR782" s="268"/>
      <c r="PNS782" s="268"/>
      <c r="PNT782" s="268"/>
      <c r="PNU782" s="268"/>
      <c r="PNV782" s="268"/>
      <c r="PNW782" s="268"/>
      <c r="PNX782" s="268"/>
      <c r="PNY782" s="268"/>
      <c r="PNZ782" s="268"/>
      <c r="POA782" s="268"/>
      <c r="POB782" s="268"/>
      <c r="POC782" s="268"/>
      <c r="POD782" s="268"/>
      <c r="POE782" s="268"/>
      <c r="POF782" s="268"/>
      <c r="POG782" s="268"/>
      <c r="POH782" s="268"/>
      <c r="POI782" s="268"/>
      <c r="POJ782" s="268"/>
      <c r="POK782" s="268"/>
      <c r="POL782" s="268"/>
      <c r="POM782" s="268"/>
      <c r="PON782" s="268"/>
      <c r="POO782" s="268"/>
      <c r="POP782" s="268"/>
      <c r="POQ782" s="268"/>
      <c r="POR782" s="268"/>
      <c r="POS782" s="268"/>
      <c r="POT782" s="268"/>
      <c r="POU782" s="268"/>
      <c r="POV782" s="268"/>
      <c r="POW782" s="268"/>
      <c r="POX782" s="268"/>
      <c r="POY782" s="268"/>
      <c r="POZ782" s="268"/>
      <c r="PPA782" s="268"/>
      <c r="PPB782" s="268"/>
      <c r="PPC782" s="268"/>
      <c r="PPD782" s="268"/>
      <c r="PPE782" s="268"/>
      <c r="PPF782" s="268"/>
      <c r="PPG782" s="268"/>
      <c r="PPH782" s="268"/>
      <c r="PPI782" s="268"/>
      <c r="PPJ782" s="268"/>
      <c r="PPK782" s="268"/>
      <c r="PPL782" s="268"/>
      <c r="PPM782" s="268"/>
      <c r="PPN782" s="268"/>
      <c r="PPO782" s="268"/>
      <c r="PPP782" s="268"/>
      <c r="PPQ782" s="268"/>
      <c r="PPR782" s="268"/>
      <c r="PPS782" s="268"/>
      <c r="PPT782" s="268"/>
      <c r="PPU782" s="268"/>
      <c r="PPV782" s="268"/>
      <c r="PPW782" s="268"/>
      <c r="PQK782" s="268"/>
      <c r="PQL782" s="268"/>
      <c r="PQM782" s="268"/>
      <c r="PRA782" s="268"/>
      <c r="PRC782" s="268"/>
      <c r="PRD782" s="268"/>
      <c r="PRE782" s="268"/>
      <c r="PRF782" s="268"/>
      <c r="PRG782" s="268"/>
      <c r="PRH782" s="268"/>
      <c r="PRI782" s="268"/>
      <c r="PRJ782" s="268"/>
      <c r="PRK782" s="268"/>
      <c r="PRL782" s="268"/>
      <c r="PRM782" s="268"/>
      <c r="PRN782" s="268"/>
      <c r="PRO782" s="268"/>
      <c r="PRP782" s="268"/>
      <c r="PRQ782" s="268"/>
      <c r="PRR782" s="268"/>
      <c r="PRS782" s="268"/>
      <c r="PRT782" s="268"/>
      <c r="PRU782" s="268"/>
      <c r="PRV782" s="268"/>
      <c r="PRW782" s="268"/>
      <c r="PRX782" s="268"/>
      <c r="PRY782" s="268"/>
      <c r="PRZ782" s="268"/>
      <c r="PSA782" s="268"/>
      <c r="PSB782" s="268"/>
      <c r="PSC782" s="268"/>
      <c r="PSD782" s="268"/>
      <c r="PSE782" s="268"/>
      <c r="PSF782" s="268"/>
      <c r="PSG782" s="268"/>
      <c r="PSH782" s="268"/>
      <c r="PSI782" s="268"/>
      <c r="PSJ782" s="268"/>
      <c r="PSK782" s="268"/>
      <c r="PSL782" s="268"/>
      <c r="PSM782" s="268"/>
      <c r="PSN782" s="268"/>
      <c r="PSO782" s="268"/>
      <c r="PSP782" s="268"/>
      <c r="PSQ782" s="268"/>
      <c r="PSR782" s="268"/>
      <c r="PSS782" s="268"/>
      <c r="PST782" s="268"/>
      <c r="PSU782" s="268"/>
      <c r="PSV782" s="268"/>
      <c r="PSW782" s="268"/>
      <c r="PSX782" s="268"/>
      <c r="PSY782" s="268"/>
      <c r="PSZ782" s="268"/>
      <c r="PTA782" s="268"/>
      <c r="PTB782" s="268"/>
      <c r="PTC782" s="268"/>
      <c r="PTD782" s="268"/>
      <c r="PTE782" s="268"/>
      <c r="PTF782" s="268"/>
      <c r="PTG782" s="268"/>
      <c r="PTH782" s="268"/>
      <c r="PTI782" s="268"/>
      <c r="PTJ782" s="268"/>
      <c r="PTK782" s="268"/>
      <c r="PTL782" s="268"/>
      <c r="PTM782" s="268"/>
      <c r="PTN782" s="268"/>
      <c r="PTO782" s="268"/>
      <c r="PTP782" s="268"/>
      <c r="PTQ782" s="268"/>
      <c r="PTR782" s="268"/>
      <c r="PTS782" s="268"/>
      <c r="PTT782" s="268"/>
      <c r="PTU782" s="268"/>
      <c r="PTV782" s="268"/>
      <c r="PTW782" s="268"/>
      <c r="PTX782" s="268"/>
      <c r="PTY782" s="268"/>
      <c r="PTZ782" s="268"/>
      <c r="PUA782" s="268"/>
      <c r="PUB782" s="268"/>
      <c r="PUC782" s="268"/>
      <c r="PUD782" s="268"/>
      <c r="PUE782" s="268"/>
      <c r="PUF782" s="268"/>
      <c r="PUG782" s="268"/>
      <c r="PUH782" s="268"/>
      <c r="PUI782" s="268"/>
      <c r="PUJ782" s="268"/>
      <c r="PUK782" s="268"/>
      <c r="PUL782" s="268"/>
      <c r="PUM782" s="268"/>
      <c r="PUN782" s="268"/>
      <c r="PUO782" s="268"/>
      <c r="PUP782" s="268"/>
      <c r="PUQ782" s="268"/>
      <c r="PUR782" s="268"/>
      <c r="PUS782" s="268"/>
      <c r="PUT782" s="268"/>
      <c r="PUU782" s="268"/>
      <c r="PUV782" s="268"/>
      <c r="PUW782" s="268"/>
      <c r="PUX782" s="268"/>
      <c r="PUY782" s="268"/>
      <c r="PUZ782" s="268"/>
      <c r="PVA782" s="268"/>
      <c r="PVB782" s="268"/>
      <c r="PVC782" s="268"/>
      <c r="PVD782" s="268"/>
      <c r="PVE782" s="268"/>
      <c r="PVF782" s="268"/>
      <c r="PVG782" s="268"/>
      <c r="PVH782" s="268"/>
      <c r="PVI782" s="268"/>
      <c r="PVJ782" s="268"/>
      <c r="PVK782" s="268"/>
      <c r="PVL782" s="268"/>
      <c r="PVM782" s="268"/>
      <c r="PVN782" s="268"/>
      <c r="PVO782" s="268"/>
      <c r="PVP782" s="268"/>
      <c r="PVQ782" s="268"/>
      <c r="PVR782" s="268"/>
      <c r="PVS782" s="268"/>
      <c r="PVT782" s="268"/>
      <c r="PVU782" s="268"/>
      <c r="PVV782" s="268"/>
      <c r="PVW782" s="268"/>
      <c r="PVX782" s="268"/>
      <c r="PVY782" s="268"/>
      <c r="PVZ782" s="268"/>
      <c r="PWA782" s="268"/>
      <c r="PWB782" s="268"/>
      <c r="PWC782" s="268"/>
      <c r="PWD782" s="268"/>
      <c r="PWE782" s="268"/>
      <c r="PWF782" s="268"/>
      <c r="PWG782" s="268"/>
      <c r="PWH782" s="268"/>
      <c r="PWI782" s="268"/>
      <c r="PWJ782" s="268"/>
      <c r="PWK782" s="268"/>
      <c r="PWL782" s="268"/>
      <c r="PWM782" s="268"/>
      <c r="PWN782" s="268"/>
      <c r="PWO782" s="268"/>
      <c r="PWP782" s="268"/>
      <c r="PWQ782" s="268"/>
      <c r="PWR782" s="268"/>
      <c r="PWS782" s="268"/>
      <c r="PWT782" s="268"/>
      <c r="PWU782" s="268"/>
      <c r="PWV782" s="268"/>
      <c r="PWW782" s="268"/>
      <c r="PWX782" s="268"/>
      <c r="PWY782" s="268"/>
      <c r="PWZ782" s="268"/>
      <c r="PXA782" s="268"/>
      <c r="PXB782" s="268"/>
      <c r="PXC782" s="268"/>
      <c r="PXD782" s="268"/>
      <c r="PXE782" s="268"/>
      <c r="PXF782" s="268"/>
      <c r="PXG782" s="268"/>
      <c r="PXH782" s="268"/>
      <c r="PXI782" s="268"/>
      <c r="PXJ782" s="268"/>
      <c r="PXK782" s="268"/>
      <c r="PXL782" s="268"/>
      <c r="PXM782" s="268"/>
      <c r="PXN782" s="268"/>
      <c r="PXO782" s="268"/>
      <c r="PXP782" s="268"/>
      <c r="PXQ782" s="268"/>
      <c r="PXR782" s="268"/>
      <c r="PXS782" s="268"/>
      <c r="PXT782" s="268"/>
      <c r="PXU782" s="268"/>
      <c r="PXV782" s="268"/>
      <c r="PXW782" s="268"/>
      <c r="PXX782" s="268"/>
      <c r="PXY782" s="268"/>
      <c r="PXZ782" s="268"/>
      <c r="PYA782" s="268"/>
      <c r="PYB782" s="268"/>
      <c r="PYC782" s="268"/>
      <c r="PYD782" s="268"/>
      <c r="PYE782" s="268"/>
      <c r="PYF782" s="268"/>
      <c r="PYG782" s="268"/>
      <c r="PYH782" s="268"/>
      <c r="PYI782" s="268"/>
      <c r="PYJ782" s="268"/>
      <c r="PYK782" s="268"/>
      <c r="PYL782" s="268"/>
      <c r="PYM782" s="268"/>
      <c r="PYN782" s="268"/>
      <c r="PYO782" s="268"/>
      <c r="PYP782" s="268"/>
      <c r="PYQ782" s="268"/>
      <c r="PYR782" s="268"/>
      <c r="PYS782" s="268"/>
      <c r="PYT782" s="268"/>
      <c r="PYU782" s="268"/>
      <c r="PYV782" s="268"/>
      <c r="PYW782" s="268"/>
      <c r="PYX782" s="268"/>
      <c r="PYY782" s="268"/>
      <c r="PYZ782" s="268"/>
      <c r="PZA782" s="268"/>
      <c r="PZB782" s="268"/>
      <c r="PZC782" s="268"/>
      <c r="PZD782" s="268"/>
      <c r="PZE782" s="268"/>
      <c r="PZF782" s="268"/>
      <c r="PZG782" s="268"/>
      <c r="PZH782" s="268"/>
      <c r="PZI782" s="268"/>
      <c r="PZJ782" s="268"/>
      <c r="PZK782" s="268"/>
      <c r="PZL782" s="268"/>
      <c r="PZM782" s="268"/>
      <c r="PZN782" s="268"/>
      <c r="PZO782" s="268"/>
      <c r="PZP782" s="268"/>
      <c r="PZQ782" s="268"/>
      <c r="PZR782" s="268"/>
      <c r="PZS782" s="268"/>
      <c r="QAG782" s="268"/>
      <c r="QAH782" s="268"/>
      <c r="QAI782" s="268"/>
      <c r="QAW782" s="268"/>
      <c r="QAY782" s="268"/>
      <c r="QAZ782" s="268"/>
      <c r="QBA782" s="268"/>
      <c r="QBB782" s="268"/>
      <c r="QBC782" s="268"/>
      <c r="QBD782" s="268"/>
      <c r="QBE782" s="268"/>
      <c r="QBF782" s="268"/>
      <c r="QBG782" s="268"/>
      <c r="QBH782" s="268"/>
      <c r="QBI782" s="268"/>
      <c r="QBJ782" s="268"/>
      <c r="QBK782" s="268"/>
      <c r="QBL782" s="268"/>
      <c r="QBM782" s="268"/>
      <c r="QBN782" s="268"/>
      <c r="QBO782" s="268"/>
      <c r="QBP782" s="268"/>
      <c r="QBQ782" s="268"/>
      <c r="QBR782" s="268"/>
      <c r="QBS782" s="268"/>
      <c r="QBT782" s="268"/>
      <c r="QBU782" s="268"/>
      <c r="QBV782" s="268"/>
      <c r="QBW782" s="268"/>
      <c r="QBX782" s="268"/>
      <c r="QBY782" s="268"/>
      <c r="QBZ782" s="268"/>
      <c r="QCA782" s="268"/>
      <c r="QCB782" s="268"/>
      <c r="QCC782" s="268"/>
      <c r="QCD782" s="268"/>
      <c r="QCE782" s="268"/>
      <c r="QCF782" s="268"/>
      <c r="QCG782" s="268"/>
      <c r="QCH782" s="268"/>
      <c r="QCI782" s="268"/>
      <c r="QCJ782" s="268"/>
      <c r="QCK782" s="268"/>
      <c r="QCL782" s="268"/>
      <c r="QCM782" s="268"/>
      <c r="QCN782" s="268"/>
      <c r="QCO782" s="268"/>
      <c r="QCP782" s="268"/>
      <c r="QCQ782" s="268"/>
      <c r="QCR782" s="268"/>
      <c r="QCS782" s="268"/>
      <c r="QCT782" s="268"/>
      <c r="QCU782" s="268"/>
      <c r="QCV782" s="268"/>
      <c r="QCW782" s="268"/>
      <c r="QCX782" s="268"/>
      <c r="QCY782" s="268"/>
      <c r="QCZ782" s="268"/>
      <c r="QDA782" s="268"/>
      <c r="QDB782" s="268"/>
      <c r="QDC782" s="268"/>
      <c r="QDD782" s="268"/>
      <c r="QDE782" s="268"/>
      <c r="QDF782" s="268"/>
      <c r="QDG782" s="268"/>
      <c r="QDH782" s="268"/>
      <c r="QDI782" s="268"/>
      <c r="QDJ782" s="268"/>
      <c r="QDK782" s="268"/>
      <c r="QDL782" s="268"/>
      <c r="QDM782" s="268"/>
      <c r="QDN782" s="268"/>
      <c r="QDO782" s="268"/>
      <c r="QDP782" s="268"/>
      <c r="QDQ782" s="268"/>
      <c r="QDR782" s="268"/>
      <c r="QDS782" s="268"/>
      <c r="QDT782" s="268"/>
      <c r="QDU782" s="268"/>
      <c r="QDV782" s="268"/>
      <c r="QDW782" s="268"/>
      <c r="QDX782" s="268"/>
      <c r="QDY782" s="268"/>
      <c r="QDZ782" s="268"/>
      <c r="QEA782" s="268"/>
      <c r="QEB782" s="268"/>
      <c r="QEC782" s="268"/>
      <c r="QED782" s="268"/>
      <c r="QEE782" s="268"/>
      <c r="QEF782" s="268"/>
      <c r="QEG782" s="268"/>
      <c r="QEH782" s="268"/>
      <c r="QEI782" s="268"/>
      <c r="QEJ782" s="268"/>
      <c r="QEK782" s="268"/>
      <c r="QEL782" s="268"/>
      <c r="QEM782" s="268"/>
      <c r="QEN782" s="268"/>
      <c r="QEO782" s="268"/>
      <c r="QEP782" s="268"/>
      <c r="QEQ782" s="268"/>
      <c r="QER782" s="268"/>
      <c r="QES782" s="268"/>
      <c r="QET782" s="268"/>
      <c r="QEU782" s="268"/>
      <c r="QEV782" s="268"/>
      <c r="QEW782" s="268"/>
      <c r="QEX782" s="268"/>
      <c r="QEY782" s="268"/>
      <c r="QEZ782" s="268"/>
      <c r="QFA782" s="268"/>
      <c r="QFB782" s="268"/>
      <c r="QFC782" s="268"/>
      <c r="QFD782" s="268"/>
      <c r="QFE782" s="268"/>
      <c r="QFF782" s="268"/>
      <c r="QFG782" s="268"/>
      <c r="QFH782" s="268"/>
      <c r="QFI782" s="268"/>
      <c r="QFJ782" s="268"/>
      <c r="QFK782" s="268"/>
      <c r="QFL782" s="268"/>
      <c r="QFM782" s="268"/>
      <c r="QFN782" s="268"/>
      <c r="QFO782" s="268"/>
      <c r="QFP782" s="268"/>
      <c r="QFQ782" s="268"/>
      <c r="QFR782" s="268"/>
      <c r="QFS782" s="268"/>
      <c r="QFT782" s="268"/>
      <c r="QFU782" s="268"/>
      <c r="QFV782" s="268"/>
      <c r="QFW782" s="268"/>
      <c r="QFX782" s="268"/>
      <c r="QFY782" s="268"/>
      <c r="QFZ782" s="268"/>
      <c r="QGA782" s="268"/>
      <c r="QGB782" s="268"/>
      <c r="QGC782" s="268"/>
      <c r="QGD782" s="268"/>
      <c r="QGE782" s="268"/>
      <c r="QGF782" s="268"/>
      <c r="QGG782" s="268"/>
      <c r="QGH782" s="268"/>
      <c r="QGI782" s="268"/>
      <c r="QGJ782" s="268"/>
      <c r="QGK782" s="268"/>
      <c r="QGL782" s="268"/>
      <c r="QGM782" s="268"/>
      <c r="QGN782" s="268"/>
      <c r="QGO782" s="268"/>
      <c r="QGP782" s="268"/>
      <c r="QGQ782" s="268"/>
      <c r="QGR782" s="268"/>
      <c r="QGS782" s="268"/>
      <c r="QGT782" s="268"/>
      <c r="QGU782" s="268"/>
      <c r="QGV782" s="268"/>
      <c r="QGW782" s="268"/>
      <c r="QGX782" s="268"/>
      <c r="QGY782" s="268"/>
      <c r="QGZ782" s="268"/>
      <c r="QHA782" s="268"/>
      <c r="QHB782" s="268"/>
      <c r="QHC782" s="268"/>
      <c r="QHD782" s="268"/>
      <c r="QHE782" s="268"/>
      <c r="QHF782" s="268"/>
      <c r="QHG782" s="268"/>
      <c r="QHH782" s="268"/>
      <c r="QHI782" s="268"/>
      <c r="QHJ782" s="268"/>
      <c r="QHK782" s="268"/>
      <c r="QHL782" s="268"/>
      <c r="QHM782" s="268"/>
      <c r="QHN782" s="268"/>
      <c r="QHO782" s="268"/>
      <c r="QHP782" s="268"/>
      <c r="QHQ782" s="268"/>
      <c r="QHR782" s="268"/>
      <c r="QHS782" s="268"/>
      <c r="QHT782" s="268"/>
      <c r="QHU782" s="268"/>
      <c r="QHV782" s="268"/>
      <c r="QHW782" s="268"/>
      <c r="QHX782" s="268"/>
      <c r="QHY782" s="268"/>
      <c r="QHZ782" s="268"/>
      <c r="QIA782" s="268"/>
      <c r="QIB782" s="268"/>
      <c r="QIC782" s="268"/>
      <c r="QID782" s="268"/>
      <c r="QIE782" s="268"/>
      <c r="QIF782" s="268"/>
      <c r="QIG782" s="268"/>
      <c r="QIH782" s="268"/>
      <c r="QII782" s="268"/>
      <c r="QIJ782" s="268"/>
      <c r="QIK782" s="268"/>
      <c r="QIL782" s="268"/>
      <c r="QIM782" s="268"/>
      <c r="QIN782" s="268"/>
      <c r="QIO782" s="268"/>
      <c r="QIP782" s="268"/>
      <c r="QIQ782" s="268"/>
      <c r="QIR782" s="268"/>
      <c r="QIS782" s="268"/>
      <c r="QIT782" s="268"/>
      <c r="QIU782" s="268"/>
      <c r="QIV782" s="268"/>
      <c r="QIW782" s="268"/>
      <c r="QIX782" s="268"/>
      <c r="QIY782" s="268"/>
      <c r="QIZ782" s="268"/>
      <c r="QJA782" s="268"/>
      <c r="QJB782" s="268"/>
      <c r="QJC782" s="268"/>
      <c r="QJD782" s="268"/>
      <c r="QJE782" s="268"/>
      <c r="QJF782" s="268"/>
      <c r="QJG782" s="268"/>
      <c r="QJH782" s="268"/>
      <c r="QJI782" s="268"/>
      <c r="QJJ782" s="268"/>
      <c r="QJK782" s="268"/>
      <c r="QJL782" s="268"/>
      <c r="QJM782" s="268"/>
      <c r="QJN782" s="268"/>
      <c r="QJO782" s="268"/>
      <c r="QKC782" s="268"/>
      <c r="QKD782" s="268"/>
      <c r="QKE782" s="268"/>
      <c r="QKS782" s="268"/>
      <c r="QKU782" s="268"/>
      <c r="QKV782" s="268"/>
      <c r="QKW782" s="268"/>
      <c r="QKX782" s="268"/>
      <c r="QKY782" s="268"/>
      <c r="QKZ782" s="268"/>
      <c r="QLA782" s="268"/>
      <c r="QLB782" s="268"/>
      <c r="QLC782" s="268"/>
      <c r="QLD782" s="268"/>
      <c r="QLE782" s="268"/>
      <c r="QLF782" s="268"/>
      <c r="QLG782" s="268"/>
      <c r="QLH782" s="268"/>
      <c r="QLI782" s="268"/>
      <c r="QLJ782" s="268"/>
      <c r="QLK782" s="268"/>
      <c r="QLL782" s="268"/>
      <c r="QLM782" s="268"/>
      <c r="QLN782" s="268"/>
      <c r="QLO782" s="268"/>
      <c r="QLP782" s="268"/>
      <c r="QLQ782" s="268"/>
      <c r="QLR782" s="268"/>
      <c r="QLS782" s="268"/>
      <c r="QLT782" s="268"/>
      <c r="QLU782" s="268"/>
      <c r="QLV782" s="268"/>
      <c r="QLW782" s="268"/>
      <c r="QLX782" s="268"/>
      <c r="QLY782" s="268"/>
      <c r="QLZ782" s="268"/>
      <c r="QMA782" s="268"/>
      <c r="QMB782" s="268"/>
      <c r="QMC782" s="268"/>
      <c r="QMD782" s="268"/>
      <c r="QME782" s="268"/>
      <c r="QMF782" s="268"/>
      <c r="QMG782" s="268"/>
      <c r="QMH782" s="268"/>
      <c r="QMI782" s="268"/>
      <c r="QMJ782" s="268"/>
      <c r="QMK782" s="268"/>
      <c r="QML782" s="268"/>
      <c r="QMM782" s="268"/>
      <c r="QMN782" s="268"/>
      <c r="QMO782" s="268"/>
      <c r="QMP782" s="268"/>
      <c r="QMQ782" s="268"/>
      <c r="QMR782" s="268"/>
      <c r="QMS782" s="268"/>
      <c r="QMT782" s="268"/>
      <c r="QMU782" s="268"/>
      <c r="QMV782" s="268"/>
      <c r="QMW782" s="268"/>
      <c r="QMX782" s="268"/>
      <c r="QMY782" s="268"/>
      <c r="QMZ782" s="268"/>
      <c r="QNA782" s="268"/>
      <c r="QNB782" s="268"/>
      <c r="QNC782" s="268"/>
      <c r="QND782" s="268"/>
      <c r="QNE782" s="268"/>
      <c r="QNF782" s="268"/>
      <c r="QNG782" s="268"/>
      <c r="QNH782" s="268"/>
      <c r="QNI782" s="268"/>
      <c r="QNJ782" s="268"/>
      <c r="QNK782" s="268"/>
      <c r="QNL782" s="268"/>
      <c r="QNM782" s="268"/>
      <c r="QNN782" s="268"/>
      <c r="QNO782" s="268"/>
      <c r="QNP782" s="268"/>
      <c r="QNQ782" s="268"/>
      <c r="QNR782" s="268"/>
      <c r="QNS782" s="268"/>
      <c r="QNT782" s="268"/>
      <c r="QNU782" s="268"/>
      <c r="QNV782" s="268"/>
      <c r="QNW782" s="268"/>
      <c r="QNX782" s="268"/>
      <c r="QNY782" s="268"/>
      <c r="QNZ782" s="268"/>
      <c r="QOA782" s="268"/>
      <c r="QOB782" s="268"/>
      <c r="QOC782" s="268"/>
      <c r="QOD782" s="268"/>
      <c r="QOE782" s="268"/>
      <c r="QOF782" s="268"/>
      <c r="QOG782" s="268"/>
      <c r="QOH782" s="268"/>
      <c r="QOI782" s="268"/>
      <c r="QOJ782" s="268"/>
      <c r="QOK782" s="268"/>
      <c r="QOL782" s="268"/>
      <c r="QOM782" s="268"/>
      <c r="QON782" s="268"/>
      <c r="QOO782" s="268"/>
      <c r="QOP782" s="268"/>
      <c r="QOQ782" s="268"/>
      <c r="QOR782" s="268"/>
      <c r="QOS782" s="268"/>
      <c r="QOT782" s="268"/>
      <c r="QOU782" s="268"/>
      <c r="QOV782" s="268"/>
      <c r="QOW782" s="268"/>
      <c r="QOX782" s="268"/>
      <c r="QOY782" s="268"/>
      <c r="QOZ782" s="268"/>
      <c r="QPA782" s="268"/>
      <c r="QPB782" s="268"/>
      <c r="QPC782" s="268"/>
      <c r="QPD782" s="268"/>
      <c r="QPE782" s="268"/>
      <c r="QPF782" s="268"/>
      <c r="QPG782" s="268"/>
      <c r="QPH782" s="268"/>
      <c r="QPI782" s="268"/>
      <c r="QPJ782" s="268"/>
      <c r="QPK782" s="268"/>
      <c r="QPL782" s="268"/>
      <c r="QPM782" s="268"/>
      <c r="QPN782" s="268"/>
      <c r="QPO782" s="268"/>
      <c r="QPP782" s="268"/>
      <c r="QPQ782" s="268"/>
      <c r="QPR782" s="268"/>
      <c r="QPS782" s="268"/>
      <c r="QPT782" s="268"/>
      <c r="QPU782" s="268"/>
      <c r="QPV782" s="268"/>
      <c r="QPW782" s="268"/>
      <c r="QPX782" s="268"/>
      <c r="QPY782" s="268"/>
      <c r="QPZ782" s="268"/>
      <c r="QQA782" s="268"/>
      <c r="QQB782" s="268"/>
      <c r="QQC782" s="268"/>
      <c r="QQD782" s="268"/>
      <c r="QQE782" s="268"/>
      <c r="QQF782" s="268"/>
      <c r="QQG782" s="268"/>
      <c r="QQH782" s="268"/>
      <c r="QQI782" s="268"/>
      <c r="QQJ782" s="268"/>
      <c r="QQK782" s="268"/>
      <c r="QQL782" s="268"/>
      <c r="QQM782" s="268"/>
      <c r="QQN782" s="268"/>
      <c r="QQO782" s="268"/>
      <c r="QQP782" s="268"/>
      <c r="QQQ782" s="268"/>
      <c r="QQR782" s="268"/>
      <c r="QQS782" s="268"/>
      <c r="QQT782" s="268"/>
      <c r="QQU782" s="268"/>
      <c r="QQV782" s="268"/>
      <c r="QQW782" s="268"/>
      <c r="QQX782" s="268"/>
      <c r="QQY782" s="268"/>
      <c r="QQZ782" s="268"/>
      <c r="QRA782" s="268"/>
      <c r="QRB782" s="268"/>
      <c r="QRC782" s="268"/>
      <c r="QRD782" s="268"/>
      <c r="QRE782" s="268"/>
      <c r="QRF782" s="268"/>
      <c r="QRG782" s="268"/>
      <c r="QRH782" s="268"/>
      <c r="QRI782" s="268"/>
      <c r="QRJ782" s="268"/>
      <c r="QRK782" s="268"/>
      <c r="QRL782" s="268"/>
      <c r="QRM782" s="268"/>
      <c r="QRN782" s="268"/>
      <c r="QRO782" s="268"/>
      <c r="QRP782" s="268"/>
      <c r="QRQ782" s="268"/>
      <c r="QRR782" s="268"/>
      <c r="QRS782" s="268"/>
      <c r="QRT782" s="268"/>
      <c r="QRU782" s="268"/>
      <c r="QRV782" s="268"/>
      <c r="QRW782" s="268"/>
      <c r="QRX782" s="268"/>
      <c r="QRY782" s="268"/>
      <c r="QRZ782" s="268"/>
      <c r="QSA782" s="268"/>
      <c r="QSB782" s="268"/>
      <c r="QSC782" s="268"/>
      <c r="QSD782" s="268"/>
      <c r="QSE782" s="268"/>
      <c r="QSF782" s="268"/>
      <c r="QSG782" s="268"/>
      <c r="QSH782" s="268"/>
      <c r="QSI782" s="268"/>
      <c r="QSJ782" s="268"/>
      <c r="QSK782" s="268"/>
      <c r="QSL782" s="268"/>
      <c r="QSM782" s="268"/>
      <c r="QSN782" s="268"/>
      <c r="QSO782" s="268"/>
      <c r="QSP782" s="268"/>
      <c r="QSQ782" s="268"/>
      <c r="QSR782" s="268"/>
      <c r="QSS782" s="268"/>
      <c r="QST782" s="268"/>
      <c r="QSU782" s="268"/>
      <c r="QSV782" s="268"/>
      <c r="QSW782" s="268"/>
      <c r="QSX782" s="268"/>
      <c r="QSY782" s="268"/>
      <c r="QSZ782" s="268"/>
      <c r="QTA782" s="268"/>
      <c r="QTB782" s="268"/>
      <c r="QTC782" s="268"/>
      <c r="QTD782" s="268"/>
      <c r="QTE782" s="268"/>
      <c r="QTF782" s="268"/>
      <c r="QTG782" s="268"/>
      <c r="QTH782" s="268"/>
      <c r="QTI782" s="268"/>
      <c r="QTJ782" s="268"/>
      <c r="QTK782" s="268"/>
      <c r="QTY782" s="268"/>
      <c r="QTZ782" s="268"/>
      <c r="QUA782" s="268"/>
      <c r="QUO782" s="268"/>
      <c r="QUQ782" s="268"/>
      <c r="QUR782" s="268"/>
      <c r="QUS782" s="268"/>
      <c r="QUT782" s="268"/>
      <c r="QUU782" s="268"/>
      <c r="QUV782" s="268"/>
      <c r="QUW782" s="268"/>
      <c r="QUX782" s="268"/>
      <c r="QUY782" s="268"/>
      <c r="QUZ782" s="268"/>
      <c r="QVA782" s="268"/>
      <c r="QVB782" s="268"/>
      <c r="QVC782" s="268"/>
      <c r="QVD782" s="268"/>
      <c r="QVE782" s="268"/>
      <c r="QVF782" s="268"/>
      <c r="QVG782" s="268"/>
      <c r="QVH782" s="268"/>
      <c r="QVI782" s="268"/>
      <c r="QVJ782" s="268"/>
      <c r="QVK782" s="268"/>
      <c r="QVL782" s="268"/>
      <c r="QVM782" s="268"/>
      <c r="QVN782" s="268"/>
      <c r="QVO782" s="268"/>
      <c r="QVP782" s="268"/>
      <c r="QVQ782" s="268"/>
      <c r="QVR782" s="268"/>
      <c r="QVS782" s="268"/>
      <c r="QVT782" s="268"/>
      <c r="QVU782" s="268"/>
      <c r="QVV782" s="268"/>
      <c r="QVW782" s="268"/>
      <c r="QVX782" s="268"/>
      <c r="QVY782" s="268"/>
      <c r="QVZ782" s="268"/>
      <c r="QWA782" s="268"/>
      <c r="QWB782" s="268"/>
      <c r="QWC782" s="268"/>
      <c r="QWD782" s="268"/>
      <c r="QWE782" s="268"/>
      <c r="QWF782" s="268"/>
      <c r="QWG782" s="268"/>
      <c r="QWH782" s="268"/>
      <c r="QWI782" s="268"/>
      <c r="QWJ782" s="268"/>
      <c r="QWK782" s="268"/>
      <c r="QWL782" s="268"/>
      <c r="QWM782" s="268"/>
      <c r="QWN782" s="268"/>
      <c r="QWO782" s="268"/>
      <c r="QWP782" s="268"/>
      <c r="QWQ782" s="268"/>
      <c r="QWR782" s="268"/>
      <c r="QWS782" s="268"/>
      <c r="QWT782" s="268"/>
      <c r="QWU782" s="268"/>
      <c r="QWV782" s="268"/>
      <c r="QWW782" s="268"/>
      <c r="QWX782" s="268"/>
      <c r="QWY782" s="268"/>
      <c r="QWZ782" s="268"/>
      <c r="QXA782" s="268"/>
      <c r="QXB782" s="268"/>
      <c r="QXC782" s="268"/>
      <c r="QXD782" s="268"/>
      <c r="QXE782" s="268"/>
      <c r="QXF782" s="268"/>
      <c r="QXG782" s="268"/>
      <c r="QXH782" s="268"/>
      <c r="QXI782" s="268"/>
      <c r="QXJ782" s="268"/>
      <c r="QXK782" s="268"/>
      <c r="QXL782" s="268"/>
      <c r="QXM782" s="268"/>
      <c r="QXN782" s="268"/>
      <c r="QXO782" s="268"/>
      <c r="QXP782" s="268"/>
      <c r="QXQ782" s="268"/>
      <c r="QXR782" s="268"/>
      <c r="QXS782" s="268"/>
      <c r="QXT782" s="268"/>
      <c r="QXU782" s="268"/>
      <c r="QXV782" s="268"/>
      <c r="QXW782" s="268"/>
      <c r="QXX782" s="268"/>
      <c r="QXY782" s="268"/>
      <c r="QXZ782" s="268"/>
      <c r="QYA782" s="268"/>
      <c r="QYB782" s="268"/>
      <c r="QYC782" s="268"/>
      <c r="QYD782" s="268"/>
      <c r="QYE782" s="268"/>
      <c r="QYF782" s="268"/>
      <c r="QYG782" s="268"/>
      <c r="QYH782" s="268"/>
      <c r="QYI782" s="268"/>
      <c r="QYJ782" s="268"/>
      <c r="QYK782" s="268"/>
      <c r="QYL782" s="268"/>
      <c r="QYM782" s="268"/>
      <c r="QYN782" s="268"/>
      <c r="QYO782" s="268"/>
      <c r="QYP782" s="268"/>
      <c r="QYQ782" s="268"/>
      <c r="QYR782" s="268"/>
      <c r="QYS782" s="268"/>
      <c r="QYT782" s="268"/>
      <c r="QYU782" s="268"/>
      <c r="QYV782" s="268"/>
      <c r="QYW782" s="268"/>
      <c r="QYX782" s="268"/>
      <c r="QYY782" s="268"/>
      <c r="QYZ782" s="268"/>
      <c r="QZA782" s="268"/>
      <c r="QZB782" s="268"/>
      <c r="QZC782" s="268"/>
      <c r="QZD782" s="268"/>
      <c r="QZE782" s="268"/>
      <c r="QZF782" s="268"/>
      <c r="QZG782" s="268"/>
      <c r="QZH782" s="268"/>
      <c r="QZI782" s="268"/>
      <c r="QZJ782" s="268"/>
      <c r="QZK782" s="268"/>
      <c r="QZL782" s="268"/>
      <c r="QZM782" s="268"/>
      <c r="QZN782" s="268"/>
      <c r="QZO782" s="268"/>
      <c r="QZP782" s="268"/>
      <c r="QZQ782" s="268"/>
      <c r="QZR782" s="268"/>
      <c r="QZS782" s="268"/>
      <c r="QZT782" s="268"/>
      <c r="QZU782" s="268"/>
      <c r="QZV782" s="268"/>
      <c r="QZW782" s="268"/>
      <c r="QZX782" s="268"/>
      <c r="QZY782" s="268"/>
      <c r="QZZ782" s="268"/>
      <c r="RAA782" s="268"/>
      <c r="RAB782" s="268"/>
      <c r="RAC782" s="268"/>
      <c r="RAD782" s="268"/>
      <c r="RAE782" s="268"/>
      <c r="RAF782" s="268"/>
      <c r="RAG782" s="268"/>
      <c r="RAH782" s="268"/>
      <c r="RAI782" s="268"/>
      <c r="RAJ782" s="268"/>
      <c r="RAK782" s="268"/>
      <c r="RAL782" s="268"/>
      <c r="RAM782" s="268"/>
      <c r="RAN782" s="268"/>
      <c r="RAO782" s="268"/>
      <c r="RAP782" s="268"/>
      <c r="RAQ782" s="268"/>
      <c r="RAR782" s="268"/>
      <c r="RAS782" s="268"/>
      <c r="RAT782" s="268"/>
      <c r="RAU782" s="268"/>
      <c r="RAV782" s="268"/>
      <c r="RAW782" s="268"/>
      <c r="RAX782" s="268"/>
      <c r="RAY782" s="268"/>
      <c r="RAZ782" s="268"/>
      <c r="RBA782" s="268"/>
      <c r="RBB782" s="268"/>
      <c r="RBC782" s="268"/>
      <c r="RBD782" s="268"/>
      <c r="RBE782" s="268"/>
      <c r="RBF782" s="268"/>
      <c r="RBG782" s="268"/>
      <c r="RBH782" s="268"/>
      <c r="RBI782" s="268"/>
      <c r="RBJ782" s="268"/>
      <c r="RBK782" s="268"/>
      <c r="RBL782" s="268"/>
      <c r="RBM782" s="268"/>
      <c r="RBN782" s="268"/>
      <c r="RBO782" s="268"/>
      <c r="RBP782" s="268"/>
      <c r="RBQ782" s="268"/>
      <c r="RBR782" s="268"/>
      <c r="RBS782" s="268"/>
      <c r="RBT782" s="268"/>
      <c r="RBU782" s="268"/>
      <c r="RBV782" s="268"/>
      <c r="RBW782" s="268"/>
      <c r="RBX782" s="268"/>
      <c r="RBY782" s="268"/>
      <c r="RBZ782" s="268"/>
      <c r="RCA782" s="268"/>
      <c r="RCB782" s="268"/>
      <c r="RCC782" s="268"/>
      <c r="RCD782" s="268"/>
      <c r="RCE782" s="268"/>
      <c r="RCF782" s="268"/>
      <c r="RCG782" s="268"/>
      <c r="RCH782" s="268"/>
      <c r="RCI782" s="268"/>
      <c r="RCJ782" s="268"/>
      <c r="RCK782" s="268"/>
      <c r="RCL782" s="268"/>
      <c r="RCM782" s="268"/>
      <c r="RCN782" s="268"/>
      <c r="RCO782" s="268"/>
      <c r="RCP782" s="268"/>
      <c r="RCQ782" s="268"/>
      <c r="RCR782" s="268"/>
      <c r="RCS782" s="268"/>
      <c r="RCT782" s="268"/>
      <c r="RCU782" s="268"/>
      <c r="RCV782" s="268"/>
      <c r="RCW782" s="268"/>
      <c r="RCX782" s="268"/>
      <c r="RCY782" s="268"/>
      <c r="RCZ782" s="268"/>
      <c r="RDA782" s="268"/>
      <c r="RDB782" s="268"/>
      <c r="RDC782" s="268"/>
      <c r="RDD782" s="268"/>
      <c r="RDE782" s="268"/>
      <c r="RDF782" s="268"/>
      <c r="RDG782" s="268"/>
      <c r="RDU782" s="268"/>
      <c r="RDV782" s="268"/>
      <c r="RDW782" s="268"/>
      <c r="REK782" s="268"/>
      <c r="REM782" s="268"/>
      <c r="REN782" s="268"/>
      <c r="REO782" s="268"/>
      <c r="REP782" s="268"/>
      <c r="REQ782" s="268"/>
      <c r="RER782" s="268"/>
      <c r="RES782" s="268"/>
      <c r="RET782" s="268"/>
      <c r="REU782" s="268"/>
      <c r="REV782" s="268"/>
      <c r="REW782" s="268"/>
      <c r="REX782" s="268"/>
      <c r="REY782" s="268"/>
      <c r="REZ782" s="268"/>
      <c r="RFA782" s="268"/>
      <c r="RFB782" s="268"/>
      <c r="RFC782" s="268"/>
      <c r="RFD782" s="268"/>
      <c r="RFE782" s="268"/>
      <c r="RFF782" s="268"/>
      <c r="RFG782" s="268"/>
      <c r="RFH782" s="268"/>
      <c r="RFI782" s="268"/>
      <c r="RFJ782" s="268"/>
      <c r="RFK782" s="268"/>
      <c r="RFL782" s="268"/>
      <c r="RFM782" s="268"/>
      <c r="RFN782" s="268"/>
      <c r="RFO782" s="268"/>
      <c r="RFP782" s="268"/>
      <c r="RFQ782" s="268"/>
      <c r="RFR782" s="268"/>
      <c r="RFS782" s="268"/>
      <c r="RFT782" s="268"/>
      <c r="RFU782" s="268"/>
      <c r="RFV782" s="268"/>
      <c r="RFW782" s="268"/>
      <c r="RFX782" s="268"/>
      <c r="RFY782" s="268"/>
      <c r="RFZ782" s="268"/>
      <c r="RGA782" s="268"/>
      <c r="RGB782" s="268"/>
      <c r="RGC782" s="268"/>
      <c r="RGD782" s="268"/>
      <c r="RGE782" s="268"/>
      <c r="RGF782" s="268"/>
      <c r="RGG782" s="268"/>
      <c r="RGH782" s="268"/>
      <c r="RGI782" s="268"/>
      <c r="RGJ782" s="268"/>
      <c r="RGK782" s="268"/>
      <c r="RGL782" s="268"/>
      <c r="RGM782" s="268"/>
      <c r="RGN782" s="268"/>
      <c r="RGO782" s="268"/>
      <c r="RGP782" s="268"/>
      <c r="RGQ782" s="268"/>
      <c r="RGR782" s="268"/>
      <c r="RGS782" s="268"/>
      <c r="RGT782" s="268"/>
      <c r="RGU782" s="268"/>
      <c r="RGV782" s="268"/>
      <c r="RGW782" s="268"/>
      <c r="RGX782" s="268"/>
      <c r="RGY782" s="268"/>
      <c r="RGZ782" s="268"/>
      <c r="RHA782" s="268"/>
      <c r="RHB782" s="268"/>
      <c r="RHC782" s="268"/>
      <c r="RHD782" s="268"/>
      <c r="RHE782" s="268"/>
      <c r="RHF782" s="268"/>
      <c r="RHG782" s="268"/>
      <c r="RHH782" s="268"/>
      <c r="RHI782" s="268"/>
      <c r="RHJ782" s="268"/>
      <c r="RHK782" s="268"/>
      <c r="RHL782" s="268"/>
      <c r="RHM782" s="268"/>
      <c r="RHN782" s="268"/>
      <c r="RHO782" s="268"/>
      <c r="RHP782" s="268"/>
      <c r="RHQ782" s="268"/>
      <c r="RHR782" s="268"/>
      <c r="RHS782" s="268"/>
      <c r="RHT782" s="268"/>
      <c r="RHU782" s="268"/>
      <c r="RHV782" s="268"/>
      <c r="RHW782" s="268"/>
      <c r="RHX782" s="268"/>
      <c r="RHY782" s="268"/>
      <c r="RHZ782" s="268"/>
      <c r="RIA782" s="268"/>
      <c r="RIB782" s="268"/>
      <c r="RIC782" s="268"/>
      <c r="RID782" s="268"/>
      <c r="RIE782" s="268"/>
      <c r="RIF782" s="268"/>
      <c r="RIG782" s="268"/>
      <c r="RIH782" s="268"/>
      <c r="RII782" s="268"/>
      <c r="RIJ782" s="268"/>
      <c r="RIK782" s="268"/>
      <c r="RIL782" s="268"/>
      <c r="RIM782" s="268"/>
      <c r="RIN782" s="268"/>
      <c r="RIO782" s="268"/>
      <c r="RIP782" s="268"/>
      <c r="RIQ782" s="268"/>
      <c r="RIR782" s="268"/>
      <c r="RIS782" s="268"/>
      <c r="RIT782" s="268"/>
      <c r="RIU782" s="268"/>
      <c r="RIV782" s="268"/>
      <c r="RIW782" s="268"/>
      <c r="RIX782" s="268"/>
      <c r="RIY782" s="268"/>
      <c r="RIZ782" s="268"/>
      <c r="RJA782" s="268"/>
      <c r="RJB782" s="268"/>
      <c r="RJC782" s="268"/>
      <c r="RJD782" s="268"/>
      <c r="RJE782" s="268"/>
      <c r="RJF782" s="268"/>
      <c r="RJG782" s="268"/>
      <c r="RJH782" s="268"/>
      <c r="RJI782" s="268"/>
      <c r="RJJ782" s="268"/>
      <c r="RJK782" s="268"/>
      <c r="RJL782" s="268"/>
      <c r="RJM782" s="268"/>
      <c r="RJN782" s="268"/>
      <c r="RJO782" s="268"/>
      <c r="RJP782" s="268"/>
      <c r="RJQ782" s="268"/>
      <c r="RJR782" s="268"/>
      <c r="RJS782" s="268"/>
      <c r="RJT782" s="268"/>
      <c r="RJU782" s="268"/>
      <c r="RJV782" s="268"/>
      <c r="RJW782" s="268"/>
      <c r="RJX782" s="268"/>
      <c r="RJY782" s="268"/>
      <c r="RJZ782" s="268"/>
      <c r="RKA782" s="268"/>
      <c r="RKB782" s="268"/>
      <c r="RKC782" s="268"/>
      <c r="RKD782" s="268"/>
      <c r="RKE782" s="268"/>
      <c r="RKF782" s="268"/>
      <c r="RKG782" s="268"/>
      <c r="RKH782" s="268"/>
      <c r="RKI782" s="268"/>
      <c r="RKJ782" s="268"/>
      <c r="RKK782" s="268"/>
      <c r="RKL782" s="268"/>
      <c r="RKM782" s="268"/>
      <c r="RKN782" s="268"/>
      <c r="RKO782" s="268"/>
      <c r="RKP782" s="268"/>
      <c r="RKQ782" s="268"/>
      <c r="RKR782" s="268"/>
      <c r="RKS782" s="268"/>
      <c r="RKT782" s="268"/>
      <c r="RKU782" s="268"/>
      <c r="RKV782" s="268"/>
      <c r="RKW782" s="268"/>
      <c r="RKX782" s="268"/>
      <c r="RKY782" s="268"/>
      <c r="RKZ782" s="268"/>
      <c r="RLA782" s="268"/>
      <c r="RLB782" s="268"/>
      <c r="RLC782" s="268"/>
      <c r="RLD782" s="268"/>
      <c r="RLE782" s="268"/>
      <c r="RLF782" s="268"/>
      <c r="RLG782" s="268"/>
      <c r="RLH782" s="268"/>
      <c r="RLI782" s="268"/>
      <c r="RLJ782" s="268"/>
      <c r="RLK782" s="268"/>
      <c r="RLL782" s="268"/>
      <c r="RLM782" s="268"/>
      <c r="RLN782" s="268"/>
      <c r="RLO782" s="268"/>
      <c r="RLP782" s="268"/>
      <c r="RLQ782" s="268"/>
      <c r="RLR782" s="268"/>
      <c r="RLS782" s="268"/>
      <c r="RLT782" s="268"/>
      <c r="RLU782" s="268"/>
      <c r="RLV782" s="268"/>
      <c r="RLW782" s="268"/>
      <c r="RLX782" s="268"/>
      <c r="RLY782" s="268"/>
      <c r="RLZ782" s="268"/>
      <c r="RMA782" s="268"/>
      <c r="RMB782" s="268"/>
      <c r="RMC782" s="268"/>
      <c r="RMD782" s="268"/>
      <c r="RME782" s="268"/>
      <c r="RMF782" s="268"/>
      <c r="RMG782" s="268"/>
      <c r="RMH782" s="268"/>
      <c r="RMI782" s="268"/>
      <c r="RMJ782" s="268"/>
      <c r="RMK782" s="268"/>
      <c r="RML782" s="268"/>
      <c r="RMM782" s="268"/>
      <c r="RMN782" s="268"/>
      <c r="RMO782" s="268"/>
      <c r="RMP782" s="268"/>
      <c r="RMQ782" s="268"/>
      <c r="RMR782" s="268"/>
      <c r="RMS782" s="268"/>
      <c r="RMT782" s="268"/>
      <c r="RMU782" s="268"/>
      <c r="RMV782" s="268"/>
      <c r="RMW782" s="268"/>
      <c r="RMX782" s="268"/>
      <c r="RMY782" s="268"/>
      <c r="RMZ782" s="268"/>
      <c r="RNA782" s="268"/>
      <c r="RNB782" s="268"/>
      <c r="RNC782" s="268"/>
      <c r="RNQ782" s="268"/>
      <c r="RNR782" s="268"/>
      <c r="RNS782" s="268"/>
      <c r="ROG782" s="268"/>
      <c r="ROI782" s="268"/>
      <c r="ROJ782" s="268"/>
      <c r="ROK782" s="268"/>
      <c r="ROL782" s="268"/>
      <c r="ROM782" s="268"/>
      <c r="RON782" s="268"/>
      <c r="ROO782" s="268"/>
      <c r="ROP782" s="268"/>
      <c r="ROQ782" s="268"/>
      <c r="ROR782" s="268"/>
      <c r="ROS782" s="268"/>
      <c r="ROT782" s="268"/>
      <c r="ROU782" s="268"/>
      <c r="ROV782" s="268"/>
      <c r="ROW782" s="268"/>
      <c r="ROX782" s="268"/>
      <c r="ROY782" s="268"/>
      <c r="ROZ782" s="268"/>
      <c r="RPA782" s="268"/>
      <c r="RPB782" s="268"/>
      <c r="RPC782" s="268"/>
      <c r="RPD782" s="268"/>
      <c r="RPE782" s="268"/>
      <c r="RPF782" s="268"/>
      <c r="RPG782" s="268"/>
      <c r="RPH782" s="268"/>
      <c r="RPI782" s="268"/>
      <c r="RPJ782" s="268"/>
      <c r="RPK782" s="268"/>
      <c r="RPL782" s="268"/>
      <c r="RPM782" s="268"/>
      <c r="RPN782" s="268"/>
      <c r="RPO782" s="268"/>
      <c r="RPP782" s="268"/>
      <c r="RPQ782" s="268"/>
      <c r="RPR782" s="268"/>
      <c r="RPS782" s="268"/>
      <c r="RPT782" s="268"/>
      <c r="RPU782" s="268"/>
      <c r="RPV782" s="268"/>
      <c r="RPW782" s="268"/>
      <c r="RPX782" s="268"/>
      <c r="RPY782" s="268"/>
      <c r="RPZ782" s="268"/>
      <c r="RQA782" s="268"/>
      <c r="RQB782" s="268"/>
      <c r="RQC782" s="268"/>
      <c r="RQD782" s="268"/>
      <c r="RQE782" s="268"/>
      <c r="RQF782" s="268"/>
      <c r="RQG782" s="268"/>
      <c r="RQH782" s="268"/>
      <c r="RQI782" s="268"/>
      <c r="RQJ782" s="268"/>
      <c r="RQK782" s="268"/>
      <c r="RQL782" s="268"/>
      <c r="RQM782" s="268"/>
      <c r="RQN782" s="268"/>
      <c r="RQO782" s="268"/>
      <c r="RQP782" s="268"/>
      <c r="RQQ782" s="268"/>
      <c r="RQR782" s="268"/>
      <c r="RQS782" s="268"/>
      <c r="RQT782" s="268"/>
      <c r="RQU782" s="268"/>
      <c r="RQV782" s="268"/>
      <c r="RQW782" s="268"/>
      <c r="RQX782" s="268"/>
      <c r="RQY782" s="268"/>
      <c r="RQZ782" s="268"/>
      <c r="RRA782" s="268"/>
      <c r="RRB782" s="268"/>
      <c r="RRC782" s="268"/>
      <c r="RRD782" s="268"/>
      <c r="RRE782" s="268"/>
      <c r="RRF782" s="268"/>
      <c r="RRG782" s="268"/>
      <c r="RRH782" s="268"/>
      <c r="RRI782" s="268"/>
      <c r="RRJ782" s="268"/>
      <c r="RRK782" s="268"/>
      <c r="RRL782" s="268"/>
      <c r="RRM782" s="268"/>
      <c r="RRN782" s="268"/>
      <c r="RRO782" s="268"/>
      <c r="RRP782" s="268"/>
      <c r="RRQ782" s="268"/>
      <c r="RRR782" s="268"/>
      <c r="RRS782" s="268"/>
      <c r="RRT782" s="268"/>
      <c r="RRU782" s="268"/>
      <c r="RRV782" s="268"/>
      <c r="RRW782" s="268"/>
      <c r="RRX782" s="268"/>
      <c r="RRY782" s="268"/>
      <c r="RRZ782" s="268"/>
      <c r="RSA782" s="268"/>
      <c r="RSB782" s="268"/>
      <c r="RSC782" s="268"/>
      <c r="RSD782" s="268"/>
      <c r="RSE782" s="268"/>
      <c r="RSF782" s="268"/>
      <c r="RSG782" s="268"/>
      <c r="RSH782" s="268"/>
      <c r="RSI782" s="268"/>
      <c r="RSJ782" s="268"/>
      <c r="RSK782" s="268"/>
      <c r="RSL782" s="268"/>
      <c r="RSM782" s="268"/>
      <c r="RSN782" s="268"/>
      <c r="RSO782" s="268"/>
      <c r="RSP782" s="268"/>
      <c r="RSQ782" s="268"/>
      <c r="RSR782" s="268"/>
      <c r="RSS782" s="268"/>
      <c r="RST782" s="268"/>
      <c r="RSU782" s="268"/>
      <c r="RSV782" s="268"/>
      <c r="RSW782" s="268"/>
      <c r="RSX782" s="268"/>
      <c r="RSY782" s="268"/>
      <c r="RSZ782" s="268"/>
      <c r="RTA782" s="268"/>
      <c r="RTB782" s="268"/>
      <c r="RTC782" s="268"/>
      <c r="RTD782" s="268"/>
      <c r="RTE782" s="268"/>
      <c r="RTF782" s="268"/>
      <c r="RTG782" s="268"/>
      <c r="RTH782" s="268"/>
      <c r="RTI782" s="268"/>
      <c r="RTJ782" s="268"/>
      <c r="RTK782" s="268"/>
      <c r="RTL782" s="268"/>
      <c r="RTM782" s="268"/>
      <c r="RTN782" s="268"/>
      <c r="RTO782" s="268"/>
      <c r="RTP782" s="268"/>
      <c r="RTQ782" s="268"/>
      <c r="RTR782" s="268"/>
      <c r="RTS782" s="268"/>
      <c r="RTT782" s="268"/>
      <c r="RTU782" s="268"/>
      <c r="RTV782" s="268"/>
      <c r="RTW782" s="268"/>
      <c r="RTX782" s="268"/>
      <c r="RTY782" s="268"/>
      <c r="RTZ782" s="268"/>
      <c r="RUA782" s="268"/>
      <c r="RUB782" s="268"/>
      <c r="RUC782" s="268"/>
      <c r="RUD782" s="268"/>
      <c r="RUE782" s="268"/>
      <c r="RUF782" s="268"/>
      <c r="RUG782" s="268"/>
      <c r="RUH782" s="268"/>
      <c r="RUI782" s="268"/>
      <c r="RUJ782" s="268"/>
      <c r="RUK782" s="268"/>
      <c r="RUL782" s="268"/>
      <c r="RUM782" s="268"/>
      <c r="RUN782" s="268"/>
      <c r="RUO782" s="268"/>
      <c r="RUP782" s="268"/>
      <c r="RUQ782" s="268"/>
      <c r="RUR782" s="268"/>
      <c r="RUS782" s="268"/>
      <c r="RUT782" s="268"/>
      <c r="RUU782" s="268"/>
      <c r="RUV782" s="268"/>
      <c r="RUW782" s="268"/>
      <c r="RUX782" s="268"/>
      <c r="RUY782" s="268"/>
      <c r="RUZ782" s="268"/>
      <c r="RVA782" s="268"/>
      <c r="RVB782" s="268"/>
      <c r="RVC782" s="268"/>
      <c r="RVD782" s="268"/>
      <c r="RVE782" s="268"/>
      <c r="RVF782" s="268"/>
      <c r="RVG782" s="268"/>
      <c r="RVH782" s="268"/>
      <c r="RVI782" s="268"/>
      <c r="RVJ782" s="268"/>
      <c r="RVK782" s="268"/>
      <c r="RVL782" s="268"/>
      <c r="RVM782" s="268"/>
      <c r="RVN782" s="268"/>
      <c r="RVO782" s="268"/>
      <c r="RVP782" s="268"/>
      <c r="RVQ782" s="268"/>
      <c r="RVR782" s="268"/>
      <c r="RVS782" s="268"/>
      <c r="RVT782" s="268"/>
      <c r="RVU782" s="268"/>
      <c r="RVV782" s="268"/>
      <c r="RVW782" s="268"/>
      <c r="RVX782" s="268"/>
      <c r="RVY782" s="268"/>
      <c r="RVZ782" s="268"/>
      <c r="RWA782" s="268"/>
      <c r="RWB782" s="268"/>
      <c r="RWC782" s="268"/>
      <c r="RWD782" s="268"/>
      <c r="RWE782" s="268"/>
      <c r="RWF782" s="268"/>
      <c r="RWG782" s="268"/>
      <c r="RWH782" s="268"/>
      <c r="RWI782" s="268"/>
      <c r="RWJ782" s="268"/>
      <c r="RWK782" s="268"/>
      <c r="RWL782" s="268"/>
      <c r="RWM782" s="268"/>
      <c r="RWN782" s="268"/>
      <c r="RWO782" s="268"/>
      <c r="RWP782" s="268"/>
      <c r="RWQ782" s="268"/>
      <c r="RWR782" s="268"/>
      <c r="RWS782" s="268"/>
      <c r="RWT782" s="268"/>
      <c r="RWU782" s="268"/>
      <c r="RWV782" s="268"/>
      <c r="RWW782" s="268"/>
      <c r="RWX782" s="268"/>
      <c r="RWY782" s="268"/>
      <c r="RXM782" s="268"/>
      <c r="RXN782" s="268"/>
      <c r="RXO782" s="268"/>
      <c r="RYC782" s="268"/>
      <c r="RYE782" s="268"/>
      <c r="RYF782" s="268"/>
      <c r="RYG782" s="268"/>
      <c r="RYH782" s="268"/>
      <c r="RYI782" s="268"/>
      <c r="RYJ782" s="268"/>
      <c r="RYK782" s="268"/>
      <c r="RYL782" s="268"/>
      <c r="RYM782" s="268"/>
      <c r="RYN782" s="268"/>
      <c r="RYO782" s="268"/>
      <c r="RYP782" s="268"/>
      <c r="RYQ782" s="268"/>
      <c r="RYR782" s="268"/>
      <c r="RYS782" s="268"/>
      <c r="RYT782" s="268"/>
      <c r="RYU782" s="268"/>
      <c r="RYV782" s="268"/>
      <c r="RYW782" s="268"/>
      <c r="RYX782" s="268"/>
      <c r="RYY782" s="268"/>
      <c r="RYZ782" s="268"/>
      <c r="RZA782" s="268"/>
      <c r="RZB782" s="268"/>
      <c r="RZC782" s="268"/>
      <c r="RZD782" s="268"/>
      <c r="RZE782" s="268"/>
      <c r="RZF782" s="268"/>
      <c r="RZG782" s="268"/>
      <c r="RZH782" s="268"/>
      <c r="RZI782" s="268"/>
      <c r="RZJ782" s="268"/>
      <c r="RZK782" s="268"/>
      <c r="RZL782" s="268"/>
      <c r="RZM782" s="268"/>
      <c r="RZN782" s="268"/>
      <c r="RZO782" s="268"/>
      <c r="RZP782" s="268"/>
      <c r="RZQ782" s="268"/>
      <c r="RZR782" s="268"/>
      <c r="RZS782" s="268"/>
      <c r="RZT782" s="268"/>
      <c r="RZU782" s="268"/>
      <c r="RZV782" s="268"/>
      <c r="RZW782" s="268"/>
      <c r="RZX782" s="268"/>
      <c r="RZY782" s="268"/>
      <c r="RZZ782" s="268"/>
      <c r="SAA782" s="268"/>
      <c r="SAB782" s="268"/>
      <c r="SAC782" s="268"/>
      <c r="SAD782" s="268"/>
      <c r="SAE782" s="268"/>
      <c r="SAF782" s="268"/>
      <c r="SAG782" s="268"/>
      <c r="SAH782" s="268"/>
      <c r="SAI782" s="268"/>
      <c r="SAJ782" s="268"/>
      <c r="SAK782" s="268"/>
      <c r="SAL782" s="268"/>
      <c r="SAM782" s="268"/>
      <c r="SAN782" s="268"/>
      <c r="SAO782" s="268"/>
      <c r="SAP782" s="268"/>
      <c r="SAQ782" s="268"/>
      <c r="SAR782" s="268"/>
      <c r="SAS782" s="268"/>
      <c r="SAT782" s="268"/>
      <c r="SAU782" s="268"/>
      <c r="SAV782" s="268"/>
      <c r="SAW782" s="268"/>
      <c r="SAX782" s="268"/>
      <c r="SAY782" s="268"/>
      <c r="SAZ782" s="268"/>
      <c r="SBA782" s="268"/>
      <c r="SBB782" s="268"/>
      <c r="SBC782" s="268"/>
      <c r="SBD782" s="268"/>
      <c r="SBE782" s="268"/>
      <c r="SBF782" s="268"/>
      <c r="SBG782" s="268"/>
      <c r="SBH782" s="268"/>
      <c r="SBI782" s="268"/>
      <c r="SBJ782" s="268"/>
      <c r="SBK782" s="268"/>
      <c r="SBL782" s="268"/>
      <c r="SBM782" s="268"/>
      <c r="SBN782" s="268"/>
      <c r="SBO782" s="268"/>
      <c r="SBP782" s="268"/>
      <c r="SBQ782" s="268"/>
      <c r="SBR782" s="268"/>
      <c r="SBS782" s="268"/>
      <c r="SBT782" s="268"/>
      <c r="SBU782" s="268"/>
      <c r="SBV782" s="268"/>
      <c r="SBW782" s="268"/>
      <c r="SBX782" s="268"/>
      <c r="SBY782" s="268"/>
      <c r="SBZ782" s="268"/>
      <c r="SCA782" s="268"/>
      <c r="SCB782" s="268"/>
      <c r="SCC782" s="268"/>
      <c r="SCD782" s="268"/>
      <c r="SCE782" s="268"/>
      <c r="SCF782" s="268"/>
      <c r="SCG782" s="268"/>
      <c r="SCH782" s="268"/>
      <c r="SCI782" s="268"/>
      <c r="SCJ782" s="268"/>
      <c r="SCK782" s="268"/>
      <c r="SCL782" s="268"/>
      <c r="SCM782" s="268"/>
      <c r="SCN782" s="268"/>
      <c r="SCO782" s="268"/>
      <c r="SCP782" s="268"/>
      <c r="SCQ782" s="268"/>
      <c r="SCR782" s="268"/>
      <c r="SCS782" s="268"/>
      <c r="SCT782" s="268"/>
      <c r="SCU782" s="268"/>
      <c r="SCV782" s="268"/>
      <c r="SCW782" s="268"/>
      <c r="SCX782" s="268"/>
      <c r="SCY782" s="268"/>
      <c r="SCZ782" s="268"/>
      <c r="SDA782" s="268"/>
      <c r="SDB782" s="268"/>
      <c r="SDC782" s="268"/>
      <c r="SDD782" s="268"/>
      <c r="SDE782" s="268"/>
      <c r="SDF782" s="268"/>
      <c r="SDG782" s="268"/>
      <c r="SDH782" s="268"/>
      <c r="SDI782" s="268"/>
      <c r="SDJ782" s="268"/>
      <c r="SDK782" s="268"/>
      <c r="SDL782" s="268"/>
      <c r="SDM782" s="268"/>
      <c r="SDN782" s="268"/>
      <c r="SDO782" s="268"/>
      <c r="SDP782" s="268"/>
      <c r="SDQ782" s="268"/>
      <c r="SDR782" s="268"/>
      <c r="SDS782" s="268"/>
      <c r="SDT782" s="268"/>
      <c r="SDU782" s="268"/>
      <c r="SDV782" s="268"/>
      <c r="SDW782" s="268"/>
      <c r="SDX782" s="268"/>
      <c r="SDY782" s="268"/>
      <c r="SDZ782" s="268"/>
      <c r="SEA782" s="268"/>
      <c r="SEB782" s="268"/>
      <c r="SEC782" s="268"/>
      <c r="SED782" s="268"/>
      <c r="SEE782" s="268"/>
      <c r="SEF782" s="268"/>
      <c r="SEG782" s="268"/>
      <c r="SEH782" s="268"/>
      <c r="SEI782" s="268"/>
      <c r="SEJ782" s="268"/>
      <c r="SEK782" s="268"/>
      <c r="SEL782" s="268"/>
      <c r="SEM782" s="268"/>
      <c r="SEN782" s="268"/>
      <c r="SEO782" s="268"/>
      <c r="SEP782" s="268"/>
      <c r="SEQ782" s="268"/>
      <c r="SER782" s="268"/>
      <c r="SES782" s="268"/>
      <c r="SET782" s="268"/>
      <c r="SEU782" s="268"/>
      <c r="SEV782" s="268"/>
      <c r="SEW782" s="268"/>
      <c r="SEX782" s="268"/>
      <c r="SEY782" s="268"/>
      <c r="SEZ782" s="268"/>
      <c r="SFA782" s="268"/>
      <c r="SFB782" s="268"/>
      <c r="SFC782" s="268"/>
      <c r="SFD782" s="268"/>
      <c r="SFE782" s="268"/>
      <c r="SFF782" s="268"/>
      <c r="SFG782" s="268"/>
      <c r="SFH782" s="268"/>
      <c r="SFI782" s="268"/>
      <c r="SFJ782" s="268"/>
      <c r="SFK782" s="268"/>
      <c r="SFL782" s="268"/>
      <c r="SFM782" s="268"/>
      <c r="SFN782" s="268"/>
      <c r="SFO782" s="268"/>
      <c r="SFP782" s="268"/>
      <c r="SFQ782" s="268"/>
      <c r="SFR782" s="268"/>
      <c r="SFS782" s="268"/>
      <c r="SFT782" s="268"/>
      <c r="SFU782" s="268"/>
      <c r="SFV782" s="268"/>
      <c r="SFW782" s="268"/>
      <c r="SFX782" s="268"/>
      <c r="SFY782" s="268"/>
      <c r="SFZ782" s="268"/>
      <c r="SGA782" s="268"/>
      <c r="SGB782" s="268"/>
      <c r="SGC782" s="268"/>
      <c r="SGD782" s="268"/>
      <c r="SGE782" s="268"/>
      <c r="SGF782" s="268"/>
      <c r="SGG782" s="268"/>
      <c r="SGH782" s="268"/>
      <c r="SGI782" s="268"/>
      <c r="SGJ782" s="268"/>
      <c r="SGK782" s="268"/>
      <c r="SGL782" s="268"/>
      <c r="SGM782" s="268"/>
      <c r="SGN782" s="268"/>
      <c r="SGO782" s="268"/>
      <c r="SGP782" s="268"/>
      <c r="SGQ782" s="268"/>
      <c r="SGR782" s="268"/>
      <c r="SGS782" s="268"/>
      <c r="SGT782" s="268"/>
      <c r="SGU782" s="268"/>
      <c r="SHI782" s="268"/>
      <c r="SHJ782" s="268"/>
      <c r="SHK782" s="268"/>
      <c r="SHY782" s="268"/>
      <c r="SIA782" s="268"/>
      <c r="SIB782" s="268"/>
      <c r="SIC782" s="268"/>
      <c r="SID782" s="268"/>
      <c r="SIE782" s="268"/>
      <c r="SIF782" s="268"/>
      <c r="SIG782" s="268"/>
      <c r="SIH782" s="268"/>
      <c r="SII782" s="268"/>
      <c r="SIJ782" s="268"/>
      <c r="SIK782" s="268"/>
      <c r="SIL782" s="268"/>
      <c r="SIM782" s="268"/>
      <c r="SIN782" s="268"/>
      <c r="SIO782" s="268"/>
      <c r="SIP782" s="268"/>
      <c r="SIQ782" s="268"/>
      <c r="SIR782" s="268"/>
      <c r="SIS782" s="268"/>
      <c r="SIT782" s="268"/>
      <c r="SIU782" s="268"/>
      <c r="SIV782" s="268"/>
      <c r="SIW782" s="268"/>
      <c r="SIX782" s="268"/>
      <c r="SIY782" s="268"/>
      <c r="SIZ782" s="268"/>
      <c r="SJA782" s="268"/>
      <c r="SJB782" s="268"/>
      <c r="SJC782" s="268"/>
      <c r="SJD782" s="268"/>
      <c r="SJE782" s="268"/>
      <c r="SJF782" s="268"/>
      <c r="SJG782" s="268"/>
      <c r="SJH782" s="268"/>
      <c r="SJI782" s="268"/>
      <c r="SJJ782" s="268"/>
      <c r="SJK782" s="268"/>
      <c r="SJL782" s="268"/>
      <c r="SJM782" s="268"/>
      <c r="SJN782" s="268"/>
      <c r="SJO782" s="268"/>
      <c r="SJP782" s="268"/>
      <c r="SJQ782" s="268"/>
      <c r="SJR782" s="268"/>
      <c r="SJS782" s="268"/>
      <c r="SJT782" s="268"/>
      <c r="SJU782" s="268"/>
      <c r="SJV782" s="268"/>
      <c r="SJW782" s="268"/>
      <c r="SJX782" s="268"/>
      <c r="SJY782" s="268"/>
      <c r="SJZ782" s="268"/>
      <c r="SKA782" s="268"/>
      <c r="SKB782" s="268"/>
      <c r="SKC782" s="268"/>
      <c r="SKD782" s="268"/>
      <c r="SKE782" s="268"/>
      <c r="SKF782" s="268"/>
      <c r="SKG782" s="268"/>
      <c r="SKH782" s="268"/>
      <c r="SKI782" s="268"/>
      <c r="SKJ782" s="268"/>
      <c r="SKK782" s="268"/>
      <c r="SKL782" s="268"/>
      <c r="SKM782" s="268"/>
      <c r="SKN782" s="268"/>
      <c r="SKO782" s="268"/>
      <c r="SKP782" s="268"/>
      <c r="SKQ782" s="268"/>
      <c r="SKR782" s="268"/>
      <c r="SKS782" s="268"/>
      <c r="SKT782" s="268"/>
      <c r="SKU782" s="268"/>
      <c r="SKV782" s="268"/>
      <c r="SKW782" s="268"/>
      <c r="SKX782" s="268"/>
      <c r="SKY782" s="268"/>
      <c r="SKZ782" s="268"/>
      <c r="SLA782" s="268"/>
      <c r="SLB782" s="268"/>
      <c r="SLC782" s="268"/>
      <c r="SLD782" s="268"/>
      <c r="SLE782" s="268"/>
      <c r="SLF782" s="268"/>
      <c r="SLG782" s="268"/>
      <c r="SLH782" s="268"/>
      <c r="SLI782" s="268"/>
      <c r="SLJ782" s="268"/>
      <c r="SLK782" s="268"/>
      <c r="SLL782" s="268"/>
      <c r="SLM782" s="268"/>
      <c r="SLN782" s="268"/>
      <c r="SLO782" s="268"/>
      <c r="SLP782" s="268"/>
      <c r="SLQ782" s="268"/>
      <c r="SLR782" s="268"/>
      <c r="SLS782" s="268"/>
      <c r="SLT782" s="268"/>
      <c r="SLU782" s="268"/>
      <c r="SLV782" s="268"/>
      <c r="SLW782" s="268"/>
      <c r="SLX782" s="268"/>
      <c r="SLY782" s="268"/>
      <c r="SLZ782" s="268"/>
      <c r="SMA782" s="268"/>
      <c r="SMB782" s="268"/>
      <c r="SMC782" s="268"/>
      <c r="SMD782" s="268"/>
      <c r="SME782" s="268"/>
      <c r="SMF782" s="268"/>
      <c r="SMG782" s="268"/>
      <c r="SMH782" s="268"/>
      <c r="SMI782" s="268"/>
      <c r="SMJ782" s="268"/>
      <c r="SMK782" s="268"/>
      <c r="SML782" s="268"/>
      <c r="SMM782" s="268"/>
      <c r="SMN782" s="268"/>
      <c r="SMO782" s="268"/>
      <c r="SMP782" s="268"/>
      <c r="SMQ782" s="268"/>
      <c r="SMR782" s="268"/>
      <c r="SMS782" s="268"/>
      <c r="SMT782" s="268"/>
      <c r="SMU782" s="268"/>
      <c r="SMV782" s="268"/>
      <c r="SMW782" s="268"/>
      <c r="SMX782" s="268"/>
      <c r="SMY782" s="268"/>
      <c r="SMZ782" s="268"/>
      <c r="SNA782" s="268"/>
      <c r="SNB782" s="268"/>
      <c r="SNC782" s="268"/>
      <c r="SND782" s="268"/>
      <c r="SNE782" s="268"/>
      <c r="SNF782" s="268"/>
      <c r="SNG782" s="268"/>
      <c r="SNH782" s="268"/>
      <c r="SNI782" s="268"/>
      <c r="SNJ782" s="268"/>
      <c r="SNK782" s="268"/>
      <c r="SNL782" s="268"/>
      <c r="SNM782" s="268"/>
      <c r="SNN782" s="268"/>
      <c r="SNO782" s="268"/>
      <c r="SNP782" s="268"/>
      <c r="SNQ782" s="268"/>
      <c r="SNR782" s="268"/>
      <c r="SNS782" s="268"/>
      <c r="SNT782" s="268"/>
      <c r="SNU782" s="268"/>
      <c r="SNV782" s="268"/>
      <c r="SNW782" s="268"/>
      <c r="SNX782" s="268"/>
      <c r="SNY782" s="268"/>
      <c r="SNZ782" s="268"/>
      <c r="SOA782" s="268"/>
      <c r="SOB782" s="268"/>
      <c r="SOC782" s="268"/>
      <c r="SOD782" s="268"/>
      <c r="SOE782" s="268"/>
      <c r="SOF782" s="268"/>
      <c r="SOG782" s="268"/>
      <c r="SOH782" s="268"/>
      <c r="SOI782" s="268"/>
      <c r="SOJ782" s="268"/>
      <c r="SOK782" s="268"/>
      <c r="SOL782" s="268"/>
      <c r="SOM782" s="268"/>
      <c r="SON782" s="268"/>
      <c r="SOO782" s="268"/>
      <c r="SOP782" s="268"/>
      <c r="SOQ782" s="268"/>
      <c r="SOR782" s="268"/>
      <c r="SOS782" s="268"/>
      <c r="SOT782" s="268"/>
      <c r="SOU782" s="268"/>
      <c r="SOV782" s="268"/>
      <c r="SOW782" s="268"/>
      <c r="SOX782" s="268"/>
      <c r="SOY782" s="268"/>
      <c r="SOZ782" s="268"/>
      <c r="SPA782" s="268"/>
      <c r="SPB782" s="268"/>
      <c r="SPC782" s="268"/>
      <c r="SPD782" s="268"/>
      <c r="SPE782" s="268"/>
      <c r="SPF782" s="268"/>
      <c r="SPG782" s="268"/>
      <c r="SPH782" s="268"/>
      <c r="SPI782" s="268"/>
      <c r="SPJ782" s="268"/>
      <c r="SPK782" s="268"/>
      <c r="SPL782" s="268"/>
      <c r="SPM782" s="268"/>
      <c r="SPN782" s="268"/>
      <c r="SPO782" s="268"/>
      <c r="SPP782" s="268"/>
      <c r="SPQ782" s="268"/>
      <c r="SPR782" s="268"/>
      <c r="SPS782" s="268"/>
      <c r="SPT782" s="268"/>
      <c r="SPU782" s="268"/>
      <c r="SPV782" s="268"/>
      <c r="SPW782" s="268"/>
      <c r="SPX782" s="268"/>
      <c r="SPY782" s="268"/>
      <c r="SPZ782" s="268"/>
      <c r="SQA782" s="268"/>
      <c r="SQB782" s="268"/>
      <c r="SQC782" s="268"/>
      <c r="SQD782" s="268"/>
      <c r="SQE782" s="268"/>
      <c r="SQF782" s="268"/>
      <c r="SQG782" s="268"/>
      <c r="SQH782" s="268"/>
      <c r="SQI782" s="268"/>
      <c r="SQJ782" s="268"/>
      <c r="SQK782" s="268"/>
      <c r="SQL782" s="268"/>
      <c r="SQM782" s="268"/>
      <c r="SQN782" s="268"/>
      <c r="SQO782" s="268"/>
      <c r="SQP782" s="268"/>
      <c r="SQQ782" s="268"/>
      <c r="SRE782" s="268"/>
      <c r="SRF782" s="268"/>
      <c r="SRG782" s="268"/>
      <c r="SRU782" s="268"/>
      <c r="SRW782" s="268"/>
      <c r="SRX782" s="268"/>
      <c r="SRY782" s="268"/>
      <c r="SRZ782" s="268"/>
      <c r="SSA782" s="268"/>
      <c r="SSB782" s="268"/>
      <c r="SSC782" s="268"/>
      <c r="SSD782" s="268"/>
      <c r="SSE782" s="268"/>
      <c r="SSF782" s="268"/>
      <c r="SSG782" s="268"/>
      <c r="SSH782" s="268"/>
      <c r="SSI782" s="268"/>
      <c r="SSJ782" s="268"/>
      <c r="SSK782" s="268"/>
      <c r="SSL782" s="268"/>
      <c r="SSM782" s="268"/>
      <c r="SSN782" s="268"/>
      <c r="SSO782" s="268"/>
      <c r="SSP782" s="268"/>
      <c r="SSQ782" s="268"/>
      <c r="SSR782" s="268"/>
      <c r="SSS782" s="268"/>
      <c r="SST782" s="268"/>
      <c r="SSU782" s="268"/>
      <c r="SSV782" s="268"/>
      <c r="SSW782" s="268"/>
      <c r="SSX782" s="268"/>
      <c r="SSY782" s="268"/>
      <c r="SSZ782" s="268"/>
      <c r="STA782" s="268"/>
      <c r="STB782" s="268"/>
      <c r="STC782" s="268"/>
      <c r="STD782" s="268"/>
      <c r="STE782" s="268"/>
      <c r="STF782" s="268"/>
      <c r="STG782" s="268"/>
      <c r="STH782" s="268"/>
      <c r="STI782" s="268"/>
      <c r="STJ782" s="268"/>
      <c r="STK782" s="268"/>
      <c r="STL782" s="268"/>
      <c r="STM782" s="268"/>
      <c r="STN782" s="268"/>
      <c r="STO782" s="268"/>
      <c r="STP782" s="268"/>
      <c r="STQ782" s="268"/>
      <c r="STR782" s="268"/>
      <c r="STS782" s="268"/>
      <c r="STT782" s="268"/>
      <c r="STU782" s="268"/>
      <c r="STV782" s="268"/>
      <c r="STW782" s="268"/>
      <c r="STX782" s="268"/>
      <c r="STY782" s="268"/>
      <c r="STZ782" s="268"/>
      <c r="SUA782" s="268"/>
      <c r="SUB782" s="268"/>
      <c r="SUC782" s="268"/>
      <c r="SUD782" s="268"/>
      <c r="SUE782" s="268"/>
      <c r="SUF782" s="268"/>
      <c r="SUG782" s="268"/>
      <c r="SUH782" s="268"/>
      <c r="SUI782" s="268"/>
      <c r="SUJ782" s="268"/>
      <c r="SUK782" s="268"/>
      <c r="SUL782" s="268"/>
      <c r="SUM782" s="268"/>
      <c r="SUN782" s="268"/>
      <c r="SUO782" s="268"/>
      <c r="SUP782" s="268"/>
      <c r="SUQ782" s="268"/>
      <c r="SUR782" s="268"/>
      <c r="SUS782" s="268"/>
      <c r="SUT782" s="268"/>
      <c r="SUU782" s="268"/>
      <c r="SUV782" s="268"/>
      <c r="SUW782" s="268"/>
      <c r="SUX782" s="268"/>
      <c r="SUY782" s="268"/>
      <c r="SUZ782" s="268"/>
      <c r="SVA782" s="268"/>
      <c r="SVB782" s="268"/>
      <c r="SVC782" s="268"/>
      <c r="SVD782" s="268"/>
      <c r="SVE782" s="268"/>
      <c r="SVF782" s="268"/>
      <c r="SVG782" s="268"/>
      <c r="SVH782" s="268"/>
      <c r="SVI782" s="268"/>
      <c r="SVJ782" s="268"/>
      <c r="SVK782" s="268"/>
      <c r="SVL782" s="268"/>
      <c r="SVM782" s="268"/>
      <c r="SVN782" s="268"/>
      <c r="SVO782" s="268"/>
      <c r="SVP782" s="268"/>
      <c r="SVQ782" s="268"/>
      <c r="SVR782" s="268"/>
      <c r="SVS782" s="268"/>
      <c r="SVT782" s="268"/>
      <c r="SVU782" s="268"/>
      <c r="SVV782" s="268"/>
      <c r="SVW782" s="268"/>
      <c r="SVX782" s="268"/>
      <c r="SVY782" s="268"/>
      <c r="SVZ782" s="268"/>
      <c r="SWA782" s="268"/>
      <c r="SWB782" s="268"/>
      <c r="SWC782" s="268"/>
      <c r="SWD782" s="268"/>
      <c r="SWE782" s="268"/>
      <c r="SWF782" s="268"/>
      <c r="SWG782" s="268"/>
      <c r="SWH782" s="268"/>
      <c r="SWI782" s="268"/>
      <c r="SWJ782" s="268"/>
      <c r="SWK782" s="268"/>
      <c r="SWL782" s="268"/>
      <c r="SWM782" s="268"/>
      <c r="SWN782" s="268"/>
      <c r="SWO782" s="268"/>
      <c r="SWP782" s="268"/>
      <c r="SWQ782" s="268"/>
      <c r="SWR782" s="268"/>
      <c r="SWS782" s="268"/>
      <c r="SWT782" s="268"/>
      <c r="SWU782" s="268"/>
      <c r="SWV782" s="268"/>
      <c r="SWW782" s="268"/>
      <c r="SWX782" s="268"/>
      <c r="SWY782" s="268"/>
      <c r="SWZ782" s="268"/>
      <c r="SXA782" s="268"/>
      <c r="SXB782" s="268"/>
      <c r="SXC782" s="268"/>
      <c r="SXD782" s="268"/>
      <c r="SXE782" s="268"/>
      <c r="SXF782" s="268"/>
      <c r="SXG782" s="268"/>
      <c r="SXH782" s="268"/>
      <c r="SXI782" s="268"/>
      <c r="SXJ782" s="268"/>
      <c r="SXK782" s="268"/>
      <c r="SXL782" s="268"/>
      <c r="SXM782" s="268"/>
      <c r="SXN782" s="268"/>
      <c r="SXO782" s="268"/>
      <c r="SXP782" s="268"/>
      <c r="SXQ782" s="268"/>
      <c r="SXR782" s="268"/>
      <c r="SXS782" s="268"/>
      <c r="SXT782" s="268"/>
      <c r="SXU782" s="268"/>
      <c r="SXV782" s="268"/>
      <c r="SXW782" s="268"/>
      <c r="SXX782" s="268"/>
      <c r="SXY782" s="268"/>
      <c r="SXZ782" s="268"/>
      <c r="SYA782" s="268"/>
      <c r="SYB782" s="268"/>
      <c r="SYC782" s="268"/>
      <c r="SYD782" s="268"/>
      <c r="SYE782" s="268"/>
      <c r="SYF782" s="268"/>
      <c r="SYG782" s="268"/>
      <c r="SYH782" s="268"/>
      <c r="SYI782" s="268"/>
      <c r="SYJ782" s="268"/>
      <c r="SYK782" s="268"/>
      <c r="SYL782" s="268"/>
      <c r="SYM782" s="268"/>
      <c r="SYN782" s="268"/>
      <c r="SYO782" s="268"/>
      <c r="SYP782" s="268"/>
      <c r="SYQ782" s="268"/>
      <c r="SYR782" s="268"/>
      <c r="SYS782" s="268"/>
      <c r="SYT782" s="268"/>
      <c r="SYU782" s="268"/>
      <c r="SYV782" s="268"/>
      <c r="SYW782" s="268"/>
      <c r="SYX782" s="268"/>
      <c r="SYY782" s="268"/>
      <c r="SYZ782" s="268"/>
      <c r="SZA782" s="268"/>
      <c r="SZB782" s="268"/>
      <c r="SZC782" s="268"/>
      <c r="SZD782" s="268"/>
      <c r="SZE782" s="268"/>
      <c r="SZF782" s="268"/>
      <c r="SZG782" s="268"/>
      <c r="SZH782" s="268"/>
      <c r="SZI782" s="268"/>
      <c r="SZJ782" s="268"/>
      <c r="SZK782" s="268"/>
      <c r="SZL782" s="268"/>
      <c r="SZM782" s="268"/>
      <c r="SZN782" s="268"/>
      <c r="SZO782" s="268"/>
      <c r="SZP782" s="268"/>
      <c r="SZQ782" s="268"/>
      <c r="SZR782" s="268"/>
      <c r="SZS782" s="268"/>
      <c r="SZT782" s="268"/>
      <c r="SZU782" s="268"/>
      <c r="SZV782" s="268"/>
      <c r="SZW782" s="268"/>
      <c r="SZX782" s="268"/>
      <c r="SZY782" s="268"/>
      <c r="SZZ782" s="268"/>
      <c r="TAA782" s="268"/>
      <c r="TAB782" s="268"/>
      <c r="TAC782" s="268"/>
      <c r="TAD782" s="268"/>
      <c r="TAE782" s="268"/>
      <c r="TAF782" s="268"/>
      <c r="TAG782" s="268"/>
      <c r="TAH782" s="268"/>
      <c r="TAI782" s="268"/>
      <c r="TAJ782" s="268"/>
      <c r="TAK782" s="268"/>
      <c r="TAL782" s="268"/>
      <c r="TAM782" s="268"/>
      <c r="TBA782" s="268"/>
      <c r="TBB782" s="268"/>
      <c r="TBC782" s="268"/>
      <c r="TBQ782" s="268"/>
      <c r="TBS782" s="268"/>
      <c r="TBT782" s="268"/>
      <c r="TBU782" s="268"/>
      <c r="TBV782" s="268"/>
      <c r="TBW782" s="268"/>
      <c r="TBX782" s="268"/>
      <c r="TBY782" s="268"/>
      <c r="TBZ782" s="268"/>
      <c r="TCA782" s="268"/>
      <c r="TCB782" s="268"/>
      <c r="TCC782" s="268"/>
      <c r="TCD782" s="268"/>
      <c r="TCE782" s="268"/>
      <c r="TCF782" s="268"/>
      <c r="TCG782" s="268"/>
      <c r="TCH782" s="268"/>
      <c r="TCI782" s="268"/>
      <c r="TCJ782" s="268"/>
      <c r="TCK782" s="268"/>
      <c r="TCL782" s="268"/>
      <c r="TCM782" s="268"/>
      <c r="TCN782" s="268"/>
      <c r="TCO782" s="268"/>
      <c r="TCP782" s="268"/>
      <c r="TCQ782" s="268"/>
      <c r="TCR782" s="268"/>
      <c r="TCS782" s="268"/>
      <c r="TCT782" s="268"/>
      <c r="TCU782" s="268"/>
      <c r="TCV782" s="268"/>
      <c r="TCW782" s="268"/>
      <c r="TCX782" s="268"/>
      <c r="TCY782" s="268"/>
      <c r="TCZ782" s="268"/>
      <c r="TDA782" s="268"/>
      <c r="TDB782" s="268"/>
      <c r="TDC782" s="268"/>
      <c r="TDD782" s="268"/>
      <c r="TDE782" s="268"/>
      <c r="TDF782" s="268"/>
      <c r="TDG782" s="268"/>
      <c r="TDH782" s="268"/>
      <c r="TDI782" s="268"/>
      <c r="TDJ782" s="268"/>
      <c r="TDK782" s="268"/>
      <c r="TDL782" s="268"/>
      <c r="TDM782" s="268"/>
      <c r="TDN782" s="268"/>
      <c r="TDO782" s="268"/>
      <c r="TDP782" s="268"/>
      <c r="TDQ782" s="268"/>
      <c r="TDR782" s="268"/>
      <c r="TDS782" s="268"/>
      <c r="TDT782" s="268"/>
      <c r="TDU782" s="268"/>
      <c r="TDV782" s="268"/>
      <c r="TDW782" s="268"/>
      <c r="TDX782" s="268"/>
      <c r="TDY782" s="268"/>
      <c r="TDZ782" s="268"/>
      <c r="TEA782" s="268"/>
      <c r="TEB782" s="268"/>
      <c r="TEC782" s="268"/>
      <c r="TED782" s="268"/>
      <c r="TEE782" s="268"/>
      <c r="TEF782" s="268"/>
      <c r="TEG782" s="268"/>
      <c r="TEH782" s="268"/>
      <c r="TEI782" s="268"/>
      <c r="TEJ782" s="268"/>
      <c r="TEK782" s="268"/>
      <c r="TEL782" s="268"/>
      <c r="TEM782" s="268"/>
      <c r="TEN782" s="268"/>
      <c r="TEO782" s="268"/>
      <c r="TEP782" s="268"/>
      <c r="TEQ782" s="268"/>
      <c r="TER782" s="268"/>
      <c r="TES782" s="268"/>
      <c r="TET782" s="268"/>
      <c r="TEU782" s="268"/>
      <c r="TEV782" s="268"/>
      <c r="TEW782" s="268"/>
      <c r="TEX782" s="268"/>
      <c r="TEY782" s="268"/>
      <c r="TEZ782" s="268"/>
      <c r="TFA782" s="268"/>
      <c r="TFB782" s="268"/>
      <c r="TFC782" s="268"/>
      <c r="TFD782" s="268"/>
      <c r="TFE782" s="268"/>
      <c r="TFF782" s="268"/>
      <c r="TFG782" s="268"/>
      <c r="TFH782" s="268"/>
      <c r="TFI782" s="268"/>
      <c r="TFJ782" s="268"/>
      <c r="TFK782" s="268"/>
      <c r="TFL782" s="268"/>
      <c r="TFM782" s="268"/>
      <c r="TFN782" s="268"/>
      <c r="TFO782" s="268"/>
      <c r="TFP782" s="268"/>
      <c r="TFQ782" s="268"/>
      <c r="TFR782" s="268"/>
      <c r="TFS782" s="268"/>
      <c r="TFT782" s="268"/>
      <c r="TFU782" s="268"/>
      <c r="TFV782" s="268"/>
      <c r="TFW782" s="268"/>
      <c r="TFX782" s="268"/>
      <c r="TFY782" s="268"/>
      <c r="TFZ782" s="268"/>
      <c r="TGA782" s="268"/>
      <c r="TGB782" s="268"/>
      <c r="TGC782" s="268"/>
      <c r="TGD782" s="268"/>
      <c r="TGE782" s="268"/>
      <c r="TGF782" s="268"/>
      <c r="TGG782" s="268"/>
      <c r="TGH782" s="268"/>
      <c r="TGI782" s="268"/>
      <c r="TGJ782" s="268"/>
      <c r="TGK782" s="268"/>
      <c r="TGL782" s="268"/>
      <c r="TGM782" s="268"/>
      <c r="TGN782" s="268"/>
      <c r="TGO782" s="268"/>
      <c r="TGP782" s="268"/>
      <c r="TGQ782" s="268"/>
      <c r="TGR782" s="268"/>
      <c r="TGS782" s="268"/>
      <c r="TGT782" s="268"/>
      <c r="TGU782" s="268"/>
      <c r="TGV782" s="268"/>
      <c r="TGW782" s="268"/>
      <c r="TGX782" s="268"/>
      <c r="TGY782" s="268"/>
      <c r="TGZ782" s="268"/>
      <c r="THA782" s="268"/>
      <c r="THB782" s="268"/>
      <c r="THC782" s="268"/>
      <c r="THD782" s="268"/>
      <c r="THE782" s="268"/>
      <c r="THF782" s="268"/>
      <c r="THG782" s="268"/>
      <c r="THH782" s="268"/>
      <c r="THI782" s="268"/>
      <c r="THJ782" s="268"/>
      <c r="THK782" s="268"/>
      <c r="THL782" s="268"/>
      <c r="THM782" s="268"/>
      <c r="THN782" s="268"/>
      <c r="THO782" s="268"/>
      <c r="THP782" s="268"/>
      <c r="THQ782" s="268"/>
      <c r="THR782" s="268"/>
      <c r="THS782" s="268"/>
      <c r="THT782" s="268"/>
      <c r="THU782" s="268"/>
      <c r="THV782" s="268"/>
      <c r="THW782" s="268"/>
      <c r="THX782" s="268"/>
      <c r="THY782" s="268"/>
      <c r="THZ782" s="268"/>
      <c r="TIA782" s="268"/>
      <c r="TIB782" s="268"/>
      <c r="TIC782" s="268"/>
      <c r="TID782" s="268"/>
      <c r="TIE782" s="268"/>
      <c r="TIF782" s="268"/>
      <c r="TIG782" s="268"/>
      <c r="TIH782" s="268"/>
      <c r="TII782" s="268"/>
      <c r="TIJ782" s="268"/>
      <c r="TIK782" s="268"/>
      <c r="TIL782" s="268"/>
      <c r="TIM782" s="268"/>
      <c r="TIN782" s="268"/>
      <c r="TIO782" s="268"/>
      <c r="TIP782" s="268"/>
      <c r="TIQ782" s="268"/>
      <c r="TIR782" s="268"/>
      <c r="TIS782" s="268"/>
      <c r="TIT782" s="268"/>
      <c r="TIU782" s="268"/>
      <c r="TIV782" s="268"/>
      <c r="TIW782" s="268"/>
      <c r="TIX782" s="268"/>
      <c r="TIY782" s="268"/>
      <c r="TIZ782" s="268"/>
      <c r="TJA782" s="268"/>
      <c r="TJB782" s="268"/>
      <c r="TJC782" s="268"/>
      <c r="TJD782" s="268"/>
      <c r="TJE782" s="268"/>
      <c r="TJF782" s="268"/>
      <c r="TJG782" s="268"/>
      <c r="TJH782" s="268"/>
      <c r="TJI782" s="268"/>
      <c r="TJJ782" s="268"/>
      <c r="TJK782" s="268"/>
      <c r="TJL782" s="268"/>
      <c r="TJM782" s="268"/>
      <c r="TJN782" s="268"/>
      <c r="TJO782" s="268"/>
      <c r="TJP782" s="268"/>
      <c r="TJQ782" s="268"/>
      <c r="TJR782" s="268"/>
      <c r="TJS782" s="268"/>
      <c r="TJT782" s="268"/>
      <c r="TJU782" s="268"/>
      <c r="TJV782" s="268"/>
      <c r="TJW782" s="268"/>
      <c r="TJX782" s="268"/>
      <c r="TJY782" s="268"/>
      <c r="TJZ782" s="268"/>
      <c r="TKA782" s="268"/>
      <c r="TKB782" s="268"/>
      <c r="TKC782" s="268"/>
      <c r="TKD782" s="268"/>
      <c r="TKE782" s="268"/>
      <c r="TKF782" s="268"/>
      <c r="TKG782" s="268"/>
      <c r="TKH782" s="268"/>
      <c r="TKI782" s="268"/>
      <c r="TKW782" s="268"/>
      <c r="TKX782" s="268"/>
      <c r="TKY782" s="268"/>
      <c r="TLM782" s="268"/>
      <c r="TLO782" s="268"/>
      <c r="TLP782" s="268"/>
      <c r="TLQ782" s="268"/>
      <c r="TLR782" s="268"/>
      <c r="TLS782" s="268"/>
      <c r="TLT782" s="268"/>
      <c r="TLU782" s="268"/>
      <c r="TLV782" s="268"/>
      <c r="TLW782" s="268"/>
      <c r="TLX782" s="268"/>
      <c r="TLY782" s="268"/>
      <c r="TLZ782" s="268"/>
      <c r="TMA782" s="268"/>
      <c r="TMB782" s="268"/>
      <c r="TMC782" s="268"/>
      <c r="TMD782" s="268"/>
      <c r="TME782" s="268"/>
      <c r="TMF782" s="268"/>
      <c r="TMG782" s="268"/>
      <c r="TMH782" s="268"/>
      <c r="TMI782" s="268"/>
      <c r="TMJ782" s="268"/>
      <c r="TMK782" s="268"/>
      <c r="TML782" s="268"/>
      <c r="TMM782" s="268"/>
      <c r="TMN782" s="268"/>
      <c r="TMO782" s="268"/>
      <c r="TMP782" s="268"/>
      <c r="TMQ782" s="268"/>
      <c r="TMR782" s="268"/>
      <c r="TMS782" s="268"/>
      <c r="TMT782" s="268"/>
      <c r="TMU782" s="268"/>
      <c r="TMV782" s="268"/>
      <c r="TMW782" s="268"/>
      <c r="TMX782" s="268"/>
      <c r="TMY782" s="268"/>
      <c r="TMZ782" s="268"/>
      <c r="TNA782" s="268"/>
      <c r="TNB782" s="268"/>
      <c r="TNC782" s="268"/>
      <c r="TND782" s="268"/>
      <c r="TNE782" s="268"/>
      <c r="TNF782" s="268"/>
      <c r="TNG782" s="268"/>
      <c r="TNH782" s="268"/>
      <c r="TNI782" s="268"/>
      <c r="TNJ782" s="268"/>
      <c r="TNK782" s="268"/>
      <c r="TNL782" s="268"/>
      <c r="TNM782" s="268"/>
      <c r="TNN782" s="268"/>
      <c r="TNO782" s="268"/>
      <c r="TNP782" s="268"/>
      <c r="TNQ782" s="268"/>
      <c r="TNR782" s="268"/>
      <c r="TNS782" s="268"/>
      <c r="TNT782" s="268"/>
      <c r="TNU782" s="268"/>
      <c r="TNV782" s="268"/>
      <c r="TNW782" s="268"/>
      <c r="TNX782" s="268"/>
      <c r="TNY782" s="268"/>
      <c r="TNZ782" s="268"/>
      <c r="TOA782" s="268"/>
      <c r="TOB782" s="268"/>
      <c r="TOC782" s="268"/>
      <c r="TOD782" s="268"/>
      <c r="TOE782" s="268"/>
      <c r="TOF782" s="268"/>
      <c r="TOG782" s="268"/>
      <c r="TOH782" s="268"/>
      <c r="TOI782" s="268"/>
      <c r="TOJ782" s="268"/>
      <c r="TOK782" s="268"/>
      <c r="TOL782" s="268"/>
      <c r="TOM782" s="268"/>
      <c r="TON782" s="268"/>
      <c r="TOO782" s="268"/>
      <c r="TOP782" s="268"/>
      <c r="TOQ782" s="268"/>
      <c r="TOR782" s="268"/>
      <c r="TOS782" s="268"/>
      <c r="TOT782" s="268"/>
      <c r="TOU782" s="268"/>
      <c r="TOV782" s="268"/>
      <c r="TOW782" s="268"/>
      <c r="TOX782" s="268"/>
      <c r="TOY782" s="268"/>
      <c r="TOZ782" s="268"/>
      <c r="TPA782" s="268"/>
      <c r="TPB782" s="268"/>
      <c r="TPC782" s="268"/>
      <c r="TPD782" s="268"/>
      <c r="TPE782" s="268"/>
      <c r="TPF782" s="268"/>
      <c r="TPG782" s="268"/>
      <c r="TPH782" s="268"/>
      <c r="TPI782" s="268"/>
      <c r="TPJ782" s="268"/>
      <c r="TPK782" s="268"/>
      <c r="TPL782" s="268"/>
      <c r="TPM782" s="268"/>
      <c r="TPN782" s="268"/>
      <c r="TPO782" s="268"/>
      <c r="TPP782" s="268"/>
      <c r="TPQ782" s="268"/>
      <c r="TPR782" s="268"/>
      <c r="TPS782" s="268"/>
      <c r="TPT782" s="268"/>
      <c r="TPU782" s="268"/>
      <c r="TPV782" s="268"/>
      <c r="TPW782" s="268"/>
      <c r="TPX782" s="268"/>
      <c r="TPY782" s="268"/>
      <c r="TPZ782" s="268"/>
      <c r="TQA782" s="268"/>
      <c r="TQB782" s="268"/>
      <c r="TQC782" s="268"/>
      <c r="TQD782" s="268"/>
      <c r="TQE782" s="268"/>
      <c r="TQF782" s="268"/>
      <c r="TQG782" s="268"/>
      <c r="TQH782" s="268"/>
      <c r="TQI782" s="268"/>
      <c r="TQJ782" s="268"/>
      <c r="TQK782" s="268"/>
      <c r="TQL782" s="268"/>
      <c r="TQM782" s="268"/>
      <c r="TQN782" s="268"/>
      <c r="TQO782" s="268"/>
      <c r="TQP782" s="268"/>
      <c r="TQQ782" s="268"/>
      <c r="TQR782" s="268"/>
      <c r="TQS782" s="268"/>
      <c r="TQT782" s="268"/>
      <c r="TQU782" s="268"/>
      <c r="TQV782" s="268"/>
      <c r="TQW782" s="268"/>
      <c r="TQX782" s="268"/>
      <c r="TQY782" s="268"/>
      <c r="TQZ782" s="268"/>
      <c r="TRA782" s="268"/>
      <c r="TRB782" s="268"/>
      <c r="TRC782" s="268"/>
      <c r="TRD782" s="268"/>
      <c r="TRE782" s="268"/>
      <c r="TRF782" s="268"/>
      <c r="TRG782" s="268"/>
      <c r="TRH782" s="268"/>
      <c r="TRI782" s="268"/>
      <c r="TRJ782" s="268"/>
      <c r="TRK782" s="268"/>
      <c r="TRL782" s="268"/>
      <c r="TRM782" s="268"/>
      <c r="TRN782" s="268"/>
      <c r="TRO782" s="268"/>
      <c r="TRP782" s="268"/>
      <c r="TRQ782" s="268"/>
      <c r="TRR782" s="268"/>
      <c r="TRS782" s="268"/>
      <c r="TRT782" s="268"/>
      <c r="TRU782" s="268"/>
      <c r="TRV782" s="268"/>
      <c r="TRW782" s="268"/>
      <c r="TRX782" s="268"/>
      <c r="TRY782" s="268"/>
      <c r="TRZ782" s="268"/>
      <c r="TSA782" s="268"/>
      <c r="TSB782" s="268"/>
      <c r="TSC782" s="268"/>
      <c r="TSD782" s="268"/>
      <c r="TSE782" s="268"/>
      <c r="TSF782" s="268"/>
      <c r="TSG782" s="268"/>
      <c r="TSH782" s="268"/>
      <c r="TSI782" s="268"/>
      <c r="TSJ782" s="268"/>
      <c r="TSK782" s="268"/>
      <c r="TSL782" s="268"/>
      <c r="TSM782" s="268"/>
      <c r="TSN782" s="268"/>
      <c r="TSO782" s="268"/>
      <c r="TSP782" s="268"/>
      <c r="TSQ782" s="268"/>
      <c r="TSR782" s="268"/>
      <c r="TSS782" s="268"/>
      <c r="TST782" s="268"/>
      <c r="TSU782" s="268"/>
      <c r="TSV782" s="268"/>
      <c r="TSW782" s="268"/>
      <c r="TSX782" s="268"/>
      <c r="TSY782" s="268"/>
      <c r="TSZ782" s="268"/>
      <c r="TTA782" s="268"/>
      <c r="TTB782" s="268"/>
      <c r="TTC782" s="268"/>
      <c r="TTD782" s="268"/>
      <c r="TTE782" s="268"/>
      <c r="TTF782" s="268"/>
      <c r="TTG782" s="268"/>
      <c r="TTH782" s="268"/>
      <c r="TTI782" s="268"/>
      <c r="TTJ782" s="268"/>
      <c r="TTK782" s="268"/>
      <c r="TTL782" s="268"/>
      <c r="TTM782" s="268"/>
      <c r="TTN782" s="268"/>
      <c r="TTO782" s="268"/>
      <c r="TTP782" s="268"/>
      <c r="TTQ782" s="268"/>
      <c r="TTR782" s="268"/>
      <c r="TTS782" s="268"/>
      <c r="TTT782" s="268"/>
      <c r="TTU782" s="268"/>
      <c r="TTV782" s="268"/>
      <c r="TTW782" s="268"/>
      <c r="TTX782" s="268"/>
      <c r="TTY782" s="268"/>
      <c r="TTZ782" s="268"/>
      <c r="TUA782" s="268"/>
      <c r="TUB782" s="268"/>
      <c r="TUC782" s="268"/>
      <c r="TUD782" s="268"/>
      <c r="TUE782" s="268"/>
      <c r="TUS782" s="268"/>
      <c r="TUT782" s="268"/>
      <c r="TUU782" s="268"/>
      <c r="TVI782" s="268"/>
      <c r="TVK782" s="268"/>
      <c r="TVL782" s="268"/>
      <c r="TVM782" s="268"/>
      <c r="TVN782" s="268"/>
      <c r="TVO782" s="268"/>
      <c r="TVP782" s="268"/>
      <c r="TVQ782" s="268"/>
      <c r="TVR782" s="268"/>
      <c r="TVS782" s="268"/>
      <c r="TVT782" s="268"/>
      <c r="TVU782" s="268"/>
      <c r="TVV782" s="268"/>
      <c r="TVW782" s="268"/>
      <c r="TVX782" s="268"/>
      <c r="TVY782" s="268"/>
      <c r="TVZ782" s="268"/>
      <c r="TWA782" s="268"/>
      <c r="TWB782" s="268"/>
      <c r="TWC782" s="268"/>
      <c r="TWD782" s="268"/>
      <c r="TWE782" s="268"/>
      <c r="TWF782" s="268"/>
      <c r="TWG782" s="268"/>
      <c r="TWH782" s="268"/>
      <c r="TWI782" s="268"/>
      <c r="TWJ782" s="268"/>
      <c r="TWK782" s="268"/>
      <c r="TWL782" s="268"/>
      <c r="TWM782" s="268"/>
      <c r="TWN782" s="268"/>
      <c r="TWO782" s="268"/>
      <c r="TWP782" s="268"/>
      <c r="TWQ782" s="268"/>
      <c r="TWR782" s="268"/>
      <c r="TWS782" s="268"/>
      <c r="TWT782" s="268"/>
      <c r="TWU782" s="268"/>
      <c r="TWV782" s="268"/>
      <c r="TWW782" s="268"/>
      <c r="TWX782" s="268"/>
      <c r="TWY782" s="268"/>
      <c r="TWZ782" s="268"/>
      <c r="TXA782" s="268"/>
      <c r="TXB782" s="268"/>
      <c r="TXC782" s="268"/>
      <c r="TXD782" s="268"/>
      <c r="TXE782" s="268"/>
      <c r="TXF782" s="268"/>
      <c r="TXG782" s="268"/>
      <c r="TXH782" s="268"/>
      <c r="TXI782" s="268"/>
      <c r="TXJ782" s="268"/>
      <c r="TXK782" s="268"/>
      <c r="TXL782" s="268"/>
      <c r="TXM782" s="268"/>
      <c r="TXN782" s="268"/>
      <c r="TXO782" s="268"/>
      <c r="TXP782" s="268"/>
      <c r="TXQ782" s="268"/>
      <c r="TXR782" s="268"/>
      <c r="TXS782" s="268"/>
      <c r="TXT782" s="268"/>
      <c r="TXU782" s="268"/>
      <c r="TXV782" s="268"/>
      <c r="TXW782" s="268"/>
      <c r="TXX782" s="268"/>
      <c r="TXY782" s="268"/>
      <c r="TXZ782" s="268"/>
      <c r="TYA782" s="268"/>
      <c r="TYB782" s="268"/>
      <c r="TYC782" s="268"/>
      <c r="TYD782" s="268"/>
      <c r="TYE782" s="268"/>
      <c r="TYF782" s="268"/>
      <c r="TYG782" s="268"/>
      <c r="TYH782" s="268"/>
      <c r="TYI782" s="268"/>
      <c r="TYJ782" s="268"/>
      <c r="TYK782" s="268"/>
      <c r="TYL782" s="268"/>
      <c r="TYM782" s="268"/>
      <c r="TYN782" s="268"/>
      <c r="TYO782" s="268"/>
      <c r="TYP782" s="268"/>
      <c r="TYQ782" s="268"/>
      <c r="TYR782" s="268"/>
      <c r="TYS782" s="268"/>
      <c r="TYT782" s="268"/>
      <c r="TYU782" s="268"/>
      <c r="TYV782" s="268"/>
      <c r="TYW782" s="268"/>
      <c r="TYX782" s="268"/>
      <c r="TYY782" s="268"/>
      <c r="TYZ782" s="268"/>
      <c r="TZA782" s="268"/>
      <c r="TZB782" s="268"/>
      <c r="TZC782" s="268"/>
      <c r="TZD782" s="268"/>
      <c r="TZE782" s="268"/>
      <c r="TZF782" s="268"/>
      <c r="TZG782" s="268"/>
      <c r="TZH782" s="268"/>
      <c r="TZI782" s="268"/>
      <c r="TZJ782" s="268"/>
      <c r="TZK782" s="268"/>
      <c r="TZL782" s="268"/>
      <c r="TZM782" s="268"/>
      <c r="TZN782" s="268"/>
      <c r="TZO782" s="268"/>
      <c r="TZP782" s="268"/>
      <c r="TZQ782" s="268"/>
      <c r="TZR782" s="268"/>
      <c r="TZS782" s="268"/>
      <c r="TZT782" s="268"/>
      <c r="TZU782" s="268"/>
      <c r="TZV782" s="268"/>
      <c r="TZW782" s="268"/>
      <c r="TZX782" s="268"/>
      <c r="TZY782" s="268"/>
      <c r="TZZ782" s="268"/>
      <c r="UAA782" s="268"/>
      <c r="UAB782" s="268"/>
      <c r="UAC782" s="268"/>
      <c r="UAD782" s="268"/>
      <c r="UAE782" s="268"/>
      <c r="UAF782" s="268"/>
      <c r="UAG782" s="268"/>
      <c r="UAH782" s="268"/>
      <c r="UAI782" s="268"/>
      <c r="UAJ782" s="268"/>
      <c r="UAK782" s="268"/>
      <c r="UAL782" s="268"/>
      <c r="UAM782" s="268"/>
      <c r="UAN782" s="268"/>
      <c r="UAO782" s="268"/>
      <c r="UAP782" s="268"/>
      <c r="UAQ782" s="268"/>
      <c r="UAR782" s="268"/>
      <c r="UAS782" s="268"/>
      <c r="UAT782" s="268"/>
      <c r="UAU782" s="268"/>
      <c r="UAV782" s="268"/>
      <c r="UAW782" s="268"/>
      <c r="UAX782" s="268"/>
      <c r="UAY782" s="268"/>
      <c r="UAZ782" s="268"/>
      <c r="UBA782" s="268"/>
      <c r="UBB782" s="268"/>
      <c r="UBC782" s="268"/>
      <c r="UBD782" s="268"/>
      <c r="UBE782" s="268"/>
      <c r="UBF782" s="268"/>
      <c r="UBG782" s="268"/>
      <c r="UBH782" s="268"/>
      <c r="UBI782" s="268"/>
      <c r="UBJ782" s="268"/>
      <c r="UBK782" s="268"/>
      <c r="UBL782" s="268"/>
      <c r="UBM782" s="268"/>
      <c r="UBN782" s="268"/>
      <c r="UBO782" s="268"/>
      <c r="UBP782" s="268"/>
      <c r="UBQ782" s="268"/>
      <c r="UBR782" s="268"/>
      <c r="UBS782" s="268"/>
      <c r="UBT782" s="268"/>
      <c r="UBU782" s="268"/>
      <c r="UBV782" s="268"/>
      <c r="UBW782" s="268"/>
      <c r="UBX782" s="268"/>
      <c r="UBY782" s="268"/>
      <c r="UBZ782" s="268"/>
      <c r="UCA782" s="268"/>
      <c r="UCB782" s="268"/>
      <c r="UCC782" s="268"/>
      <c r="UCD782" s="268"/>
      <c r="UCE782" s="268"/>
      <c r="UCF782" s="268"/>
      <c r="UCG782" s="268"/>
      <c r="UCH782" s="268"/>
      <c r="UCI782" s="268"/>
      <c r="UCJ782" s="268"/>
      <c r="UCK782" s="268"/>
      <c r="UCL782" s="268"/>
      <c r="UCM782" s="268"/>
      <c r="UCN782" s="268"/>
      <c r="UCO782" s="268"/>
      <c r="UCP782" s="268"/>
      <c r="UCQ782" s="268"/>
      <c r="UCR782" s="268"/>
      <c r="UCS782" s="268"/>
      <c r="UCT782" s="268"/>
      <c r="UCU782" s="268"/>
      <c r="UCV782" s="268"/>
      <c r="UCW782" s="268"/>
      <c r="UCX782" s="268"/>
      <c r="UCY782" s="268"/>
      <c r="UCZ782" s="268"/>
      <c r="UDA782" s="268"/>
      <c r="UDB782" s="268"/>
      <c r="UDC782" s="268"/>
      <c r="UDD782" s="268"/>
      <c r="UDE782" s="268"/>
      <c r="UDF782" s="268"/>
      <c r="UDG782" s="268"/>
      <c r="UDH782" s="268"/>
      <c r="UDI782" s="268"/>
      <c r="UDJ782" s="268"/>
      <c r="UDK782" s="268"/>
      <c r="UDL782" s="268"/>
      <c r="UDM782" s="268"/>
      <c r="UDN782" s="268"/>
      <c r="UDO782" s="268"/>
      <c r="UDP782" s="268"/>
      <c r="UDQ782" s="268"/>
      <c r="UDR782" s="268"/>
      <c r="UDS782" s="268"/>
      <c r="UDT782" s="268"/>
      <c r="UDU782" s="268"/>
      <c r="UDV782" s="268"/>
      <c r="UDW782" s="268"/>
      <c r="UDX782" s="268"/>
      <c r="UDY782" s="268"/>
      <c r="UDZ782" s="268"/>
      <c r="UEA782" s="268"/>
      <c r="UEO782" s="268"/>
      <c r="UEP782" s="268"/>
      <c r="UEQ782" s="268"/>
      <c r="UFE782" s="268"/>
      <c r="UFG782" s="268"/>
      <c r="UFH782" s="268"/>
      <c r="UFI782" s="268"/>
      <c r="UFJ782" s="268"/>
      <c r="UFK782" s="268"/>
      <c r="UFL782" s="268"/>
      <c r="UFM782" s="268"/>
      <c r="UFN782" s="268"/>
      <c r="UFO782" s="268"/>
      <c r="UFP782" s="268"/>
      <c r="UFQ782" s="268"/>
      <c r="UFR782" s="268"/>
      <c r="UFS782" s="268"/>
      <c r="UFT782" s="268"/>
      <c r="UFU782" s="268"/>
      <c r="UFV782" s="268"/>
      <c r="UFW782" s="268"/>
      <c r="UFX782" s="268"/>
      <c r="UFY782" s="268"/>
      <c r="UFZ782" s="268"/>
      <c r="UGA782" s="268"/>
      <c r="UGB782" s="268"/>
      <c r="UGC782" s="268"/>
      <c r="UGD782" s="268"/>
      <c r="UGE782" s="268"/>
      <c r="UGF782" s="268"/>
      <c r="UGG782" s="268"/>
      <c r="UGH782" s="268"/>
      <c r="UGI782" s="268"/>
      <c r="UGJ782" s="268"/>
      <c r="UGK782" s="268"/>
      <c r="UGL782" s="268"/>
      <c r="UGM782" s="268"/>
      <c r="UGN782" s="268"/>
      <c r="UGO782" s="268"/>
      <c r="UGP782" s="268"/>
      <c r="UGQ782" s="268"/>
      <c r="UGR782" s="268"/>
      <c r="UGS782" s="268"/>
      <c r="UGT782" s="268"/>
      <c r="UGU782" s="268"/>
      <c r="UGV782" s="268"/>
      <c r="UGW782" s="268"/>
      <c r="UGX782" s="268"/>
      <c r="UGY782" s="268"/>
      <c r="UGZ782" s="268"/>
      <c r="UHA782" s="268"/>
      <c r="UHB782" s="268"/>
      <c r="UHC782" s="268"/>
      <c r="UHD782" s="268"/>
      <c r="UHE782" s="268"/>
      <c r="UHF782" s="268"/>
      <c r="UHG782" s="268"/>
      <c r="UHH782" s="268"/>
      <c r="UHI782" s="268"/>
      <c r="UHJ782" s="268"/>
      <c r="UHK782" s="268"/>
      <c r="UHL782" s="268"/>
      <c r="UHM782" s="268"/>
      <c r="UHN782" s="268"/>
      <c r="UHO782" s="268"/>
      <c r="UHP782" s="268"/>
      <c r="UHQ782" s="268"/>
      <c r="UHR782" s="268"/>
      <c r="UHS782" s="268"/>
      <c r="UHT782" s="268"/>
      <c r="UHU782" s="268"/>
      <c r="UHV782" s="268"/>
      <c r="UHW782" s="268"/>
      <c r="UHX782" s="268"/>
      <c r="UHY782" s="268"/>
      <c r="UHZ782" s="268"/>
      <c r="UIA782" s="268"/>
      <c r="UIB782" s="268"/>
      <c r="UIC782" s="268"/>
      <c r="UID782" s="268"/>
      <c r="UIE782" s="268"/>
      <c r="UIF782" s="268"/>
      <c r="UIG782" s="268"/>
      <c r="UIH782" s="268"/>
      <c r="UII782" s="268"/>
      <c r="UIJ782" s="268"/>
      <c r="UIK782" s="268"/>
      <c r="UIL782" s="268"/>
      <c r="UIM782" s="268"/>
      <c r="UIN782" s="268"/>
      <c r="UIO782" s="268"/>
      <c r="UIP782" s="268"/>
      <c r="UIQ782" s="268"/>
      <c r="UIR782" s="268"/>
      <c r="UIS782" s="268"/>
      <c r="UIT782" s="268"/>
      <c r="UIU782" s="268"/>
      <c r="UIV782" s="268"/>
      <c r="UIW782" s="268"/>
      <c r="UIX782" s="268"/>
      <c r="UIY782" s="268"/>
      <c r="UIZ782" s="268"/>
      <c r="UJA782" s="268"/>
      <c r="UJB782" s="268"/>
      <c r="UJC782" s="268"/>
      <c r="UJD782" s="268"/>
      <c r="UJE782" s="268"/>
      <c r="UJF782" s="268"/>
      <c r="UJG782" s="268"/>
      <c r="UJH782" s="268"/>
      <c r="UJI782" s="268"/>
      <c r="UJJ782" s="268"/>
      <c r="UJK782" s="268"/>
      <c r="UJL782" s="268"/>
      <c r="UJM782" s="268"/>
      <c r="UJN782" s="268"/>
      <c r="UJO782" s="268"/>
      <c r="UJP782" s="268"/>
      <c r="UJQ782" s="268"/>
      <c r="UJR782" s="268"/>
      <c r="UJS782" s="268"/>
      <c r="UJT782" s="268"/>
      <c r="UJU782" s="268"/>
      <c r="UJV782" s="268"/>
      <c r="UJW782" s="268"/>
      <c r="UJX782" s="268"/>
      <c r="UJY782" s="268"/>
      <c r="UJZ782" s="268"/>
      <c r="UKA782" s="268"/>
      <c r="UKB782" s="268"/>
      <c r="UKC782" s="268"/>
      <c r="UKD782" s="268"/>
      <c r="UKE782" s="268"/>
      <c r="UKF782" s="268"/>
      <c r="UKG782" s="268"/>
      <c r="UKH782" s="268"/>
      <c r="UKI782" s="268"/>
      <c r="UKJ782" s="268"/>
      <c r="UKK782" s="268"/>
      <c r="UKL782" s="268"/>
      <c r="UKM782" s="268"/>
      <c r="UKN782" s="268"/>
      <c r="UKO782" s="268"/>
      <c r="UKP782" s="268"/>
      <c r="UKQ782" s="268"/>
      <c r="UKR782" s="268"/>
      <c r="UKS782" s="268"/>
      <c r="UKT782" s="268"/>
      <c r="UKU782" s="268"/>
      <c r="UKV782" s="268"/>
      <c r="UKW782" s="268"/>
      <c r="UKX782" s="268"/>
      <c r="UKY782" s="268"/>
      <c r="UKZ782" s="268"/>
      <c r="ULA782" s="268"/>
      <c r="ULB782" s="268"/>
      <c r="ULC782" s="268"/>
      <c r="ULD782" s="268"/>
      <c r="ULE782" s="268"/>
      <c r="ULF782" s="268"/>
      <c r="ULG782" s="268"/>
      <c r="ULH782" s="268"/>
      <c r="ULI782" s="268"/>
      <c r="ULJ782" s="268"/>
      <c r="ULK782" s="268"/>
      <c r="ULL782" s="268"/>
      <c r="ULM782" s="268"/>
      <c r="ULN782" s="268"/>
      <c r="ULO782" s="268"/>
      <c r="ULP782" s="268"/>
      <c r="ULQ782" s="268"/>
      <c r="ULR782" s="268"/>
      <c r="ULS782" s="268"/>
      <c r="ULT782" s="268"/>
      <c r="ULU782" s="268"/>
      <c r="ULV782" s="268"/>
      <c r="ULW782" s="268"/>
      <c r="ULX782" s="268"/>
      <c r="ULY782" s="268"/>
      <c r="ULZ782" s="268"/>
      <c r="UMA782" s="268"/>
      <c r="UMB782" s="268"/>
      <c r="UMC782" s="268"/>
      <c r="UMD782" s="268"/>
      <c r="UME782" s="268"/>
      <c r="UMF782" s="268"/>
      <c r="UMG782" s="268"/>
      <c r="UMH782" s="268"/>
      <c r="UMI782" s="268"/>
      <c r="UMJ782" s="268"/>
      <c r="UMK782" s="268"/>
      <c r="UML782" s="268"/>
      <c r="UMM782" s="268"/>
      <c r="UMN782" s="268"/>
      <c r="UMO782" s="268"/>
      <c r="UMP782" s="268"/>
      <c r="UMQ782" s="268"/>
      <c r="UMR782" s="268"/>
      <c r="UMS782" s="268"/>
      <c r="UMT782" s="268"/>
      <c r="UMU782" s="268"/>
      <c r="UMV782" s="268"/>
      <c r="UMW782" s="268"/>
      <c r="UMX782" s="268"/>
      <c r="UMY782" s="268"/>
      <c r="UMZ782" s="268"/>
      <c r="UNA782" s="268"/>
      <c r="UNB782" s="268"/>
      <c r="UNC782" s="268"/>
      <c r="UND782" s="268"/>
      <c r="UNE782" s="268"/>
      <c r="UNF782" s="268"/>
      <c r="UNG782" s="268"/>
      <c r="UNH782" s="268"/>
      <c r="UNI782" s="268"/>
      <c r="UNJ782" s="268"/>
      <c r="UNK782" s="268"/>
      <c r="UNL782" s="268"/>
      <c r="UNM782" s="268"/>
      <c r="UNN782" s="268"/>
      <c r="UNO782" s="268"/>
      <c r="UNP782" s="268"/>
      <c r="UNQ782" s="268"/>
      <c r="UNR782" s="268"/>
      <c r="UNS782" s="268"/>
      <c r="UNT782" s="268"/>
      <c r="UNU782" s="268"/>
      <c r="UNV782" s="268"/>
      <c r="UNW782" s="268"/>
      <c r="UOK782" s="268"/>
      <c r="UOL782" s="268"/>
      <c r="UOM782" s="268"/>
      <c r="UPA782" s="268"/>
      <c r="UPC782" s="268"/>
      <c r="UPD782" s="268"/>
      <c r="UPE782" s="268"/>
      <c r="UPF782" s="268"/>
      <c r="UPG782" s="268"/>
      <c r="UPH782" s="268"/>
      <c r="UPI782" s="268"/>
      <c r="UPJ782" s="268"/>
      <c r="UPK782" s="268"/>
      <c r="UPL782" s="268"/>
      <c r="UPM782" s="268"/>
      <c r="UPN782" s="268"/>
      <c r="UPO782" s="268"/>
      <c r="UPP782" s="268"/>
      <c r="UPQ782" s="268"/>
      <c r="UPR782" s="268"/>
      <c r="UPS782" s="268"/>
      <c r="UPT782" s="268"/>
      <c r="UPU782" s="268"/>
      <c r="UPV782" s="268"/>
      <c r="UPW782" s="268"/>
      <c r="UPX782" s="268"/>
      <c r="UPY782" s="268"/>
      <c r="UPZ782" s="268"/>
      <c r="UQA782" s="268"/>
      <c r="UQB782" s="268"/>
      <c r="UQC782" s="268"/>
      <c r="UQD782" s="268"/>
      <c r="UQE782" s="268"/>
      <c r="UQF782" s="268"/>
      <c r="UQG782" s="268"/>
      <c r="UQH782" s="268"/>
      <c r="UQI782" s="268"/>
      <c r="UQJ782" s="268"/>
      <c r="UQK782" s="268"/>
      <c r="UQL782" s="268"/>
      <c r="UQM782" s="268"/>
      <c r="UQN782" s="268"/>
      <c r="UQO782" s="268"/>
      <c r="UQP782" s="268"/>
      <c r="UQQ782" s="268"/>
      <c r="UQR782" s="268"/>
      <c r="UQS782" s="268"/>
      <c r="UQT782" s="268"/>
      <c r="UQU782" s="268"/>
      <c r="UQV782" s="268"/>
      <c r="UQW782" s="268"/>
      <c r="UQX782" s="268"/>
      <c r="UQY782" s="268"/>
      <c r="UQZ782" s="268"/>
      <c r="URA782" s="268"/>
      <c r="URB782" s="268"/>
      <c r="URC782" s="268"/>
      <c r="URD782" s="268"/>
      <c r="URE782" s="268"/>
      <c r="URF782" s="268"/>
      <c r="URG782" s="268"/>
      <c r="URH782" s="268"/>
      <c r="URI782" s="268"/>
      <c r="URJ782" s="268"/>
      <c r="URK782" s="268"/>
      <c r="URL782" s="268"/>
      <c r="URM782" s="268"/>
      <c r="URN782" s="268"/>
      <c r="URO782" s="268"/>
      <c r="URP782" s="268"/>
      <c r="URQ782" s="268"/>
      <c r="URR782" s="268"/>
      <c r="URS782" s="268"/>
      <c r="URT782" s="268"/>
      <c r="URU782" s="268"/>
      <c r="URV782" s="268"/>
      <c r="URW782" s="268"/>
      <c r="URX782" s="268"/>
      <c r="URY782" s="268"/>
      <c r="URZ782" s="268"/>
      <c r="USA782" s="268"/>
      <c r="USB782" s="268"/>
      <c r="USC782" s="268"/>
      <c r="USD782" s="268"/>
      <c r="USE782" s="268"/>
      <c r="USF782" s="268"/>
      <c r="USG782" s="268"/>
      <c r="USH782" s="268"/>
      <c r="USI782" s="268"/>
      <c r="USJ782" s="268"/>
      <c r="USK782" s="268"/>
      <c r="USL782" s="268"/>
      <c r="USM782" s="268"/>
      <c r="USN782" s="268"/>
      <c r="USO782" s="268"/>
      <c r="USP782" s="268"/>
      <c r="USQ782" s="268"/>
      <c r="USR782" s="268"/>
      <c r="USS782" s="268"/>
      <c r="UST782" s="268"/>
      <c r="USU782" s="268"/>
      <c r="USV782" s="268"/>
      <c r="USW782" s="268"/>
      <c r="USX782" s="268"/>
      <c r="USY782" s="268"/>
      <c r="USZ782" s="268"/>
      <c r="UTA782" s="268"/>
      <c r="UTB782" s="268"/>
      <c r="UTC782" s="268"/>
      <c r="UTD782" s="268"/>
      <c r="UTE782" s="268"/>
      <c r="UTF782" s="268"/>
      <c r="UTG782" s="268"/>
      <c r="UTH782" s="268"/>
      <c r="UTI782" s="268"/>
      <c r="UTJ782" s="268"/>
      <c r="UTK782" s="268"/>
      <c r="UTL782" s="268"/>
      <c r="UTM782" s="268"/>
      <c r="UTN782" s="268"/>
      <c r="UTO782" s="268"/>
      <c r="UTP782" s="268"/>
      <c r="UTQ782" s="268"/>
      <c r="UTR782" s="268"/>
      <c r="UTS782" s="268"/>
      <c r="UTT782" s="268"/>
      <c r="UTU782" s="268"/>
      <c r="UTV782" s="268"/>
      <c r="UTW782" s="268"/>
      <c r="UTX782" s="268"/>
      <c r="UTY782" s="268"/>
      <c r="UTZ782" s="268"/>
      <c r="UUA782" s="268"/>
      <c r="UUB782" s="268"/>
      <c r="UUC782" s="268"/>
      <c r="UUD782" s="268"/>
      <c r="UUE782" s="268"/>
      <c r="UUF782" s="268"/>
      <c r="UUG782" s="268"/>
      <c r="UUH782" s="268"/>
      <c r="UUI782" s="268"/>
      <c r="UUJ782" s="268"/>
      <c r="UUK782" s="268"/>
      <c r="UUL782" s="268"/>
      <c r="UUM782" s="268"/>
      <c r="UUN782" s="268"/>
      <c r="UUO782" s="268"/>
      <c r="UUP782" s="268"/>
      <c r="UUQ782" s="268"/>
      <c r="UUR782" s="268"/>
      <c r="UUS782" s="268"/>
      <c r="UUT782" s="268"/>
      <c r="UUU782" s="268"/>
      <c r="UUV782" s="268"/>
      <c r="UUW782" s="268"/>
      <c r="UUX782" s="268"/>
      <c r="UUY782" s="268"/>
      <c r="UUZ782" s="268"/>
      <c r="UVA782" s="268"/>
      <c r="UVB782" s="268"/>
      <c r="UVC782" s="268"/>
      <c r="UVD782" s="268"/>
      <c r="UVE782" s="268"/>
      <c r="UVF782" s="268"/>
      <c r="UVG782" s="268"/>
      <c r="UVH782" s="268"/>
      <c r="UVI782" s="268"/>
      <c r="UVJ782" s="268"/>
      <c r="UVK782" s="268"/>
      <c r="UVL782" s="268"/>
      <c r="UVM782" s="268"/>
      <c r="UVN782" s="268"/>
      <c r="UVO782" s="268"/>
      <c r="UVP782" s="268"/>
      <c r="UVQ782" s="268"/>
      <c r="UVR782" s="268"/>
      <c r="UVS782" s="268"/>
      <c r="UVT782" s="268"/>
      <c r="UVU782" s="268"/>
      <c r="UVV782" s="268"/>
      <c r="UVW782" s="268"/>
      <c r="UVX782" s="268"/>
      <c r="UVY782" s="268"/>
      <c r="UVZ782" s="268"/>
      <c r="UWA782" s="268"/>
      <c r="UWB782" s="268"/>
      <c r="UWC782" s="268"/>
      <c r="UWD782" s="268"/>
      <c r="UWE782" s="268"/>
      <c r="UWF782" s="268"/>
      <c r="UWG782" s="268"/>
      <c r="UWH782" s="268"/>
      <c r="UWI782" s="268"/>
      <c r="UWJ782" s="268"/>
      <c r="UWK782" s="268"/>
      <c r="UWL782" s="268"/>
      <c r="UWM782" s="268"/>
      <c r="UWN782" s="268"/>
      <c r="UWO782" s="268"/>
      <c r="UWP782" s="268"/>
      <c r="UWQ782" s="268"/>
      <c r="UWR782" s="268"/>
      <c r="UWS782" s="268"/>
      <c r="UWT782" s="268"/>
      <c r="UWU782" s="268"/>
      <c r="UWV782" s="268"/>
      <c r="UWW782" s="268"/>
      <c r="UWX782" s="268"/>
      <c r="UWY782" s="268"/>
      <c r="UWZ782" s="268"/>
      <c r="UXA782" s="268"/>
      <c r="UXB782" s="268"/>
      <c r="UXC782" s="268"/>
      <c r="UXD782" s="268"/>
      <c r="UXE782" s="268"/>
      <c r="UXF782" s="268"/>
      <c r="UXG782" s="268"/>
      <c r="UXH782" s="268"/>
      <c r="UXI782" s="268"/>
      <c r="UXJ782" s="268"/>
      <c r="UXK782" s="268"/>
      <c r="UXL782" s="268"/>
      <c r="UXM782" s="268"/>
      <c r="UXN782" s="268"/>
      <c r="UXO782" s="268"/>
      <c r="UXP782" s="268"/>
      <c r="UXQ782" s="268"/>
      <c r="UXR782" s="268"/>
      <c r="UXS782" s="268"/>
      <c r="UYG782" s="268"/>
      <c r="UYH782" s="268"/>
      <c r="UYI782" s="268"/>
      <c r="UYW782" s="268"/>
      <c r="UYY782" s="268"/>
      <c r="UYZ782" s="268"/>
      <c r="UZA782" s="268"/>
      <c r="UZB782" s="268"/>
      <c r="UZC782" s="268"/>
      <c r="UZD782" s="268"/>
      <c r="UZE782" s="268"/>
      <c r="UZF782" s="268"/>
      <c r="UZG782" s="268"/>
      <c r="UZH782" s="268"/>
      <c r="UZI782" s="268"/>
      <c r="UZJ782" s="268"/>
      <c r="UZK782" s="268"/>
      <c r="UZL782" s="268"/>
      <c r="UZM782" s="268"/>
      <c r="UZN782" s="268"/>
      <c r="UZO782" s="268"/>
      <c r="UZP782" s="268"/>
      <c r="UZQ782" s="268"/>
      <c r="UZR782" s="268"/>
      <c r="UZS782" s="268"/>
      <c r="UZT782" s="268"/>
      <c r="UZU782" s="268"/>
      <c r="UZV782" s="268"/>
      <c r="UZW782" s="268"/>
      <c r="UZX782" s="268"/>
      <c r="UZY782" s="268"/>
      <c r="UZZ782" s="268"/>
      <c r="VAA782" s="268"/>
      <c r="VAB782" s="268"/>
      <c r="VAC782" s="268"/>
      <c r="VAD782" s="268"/>
      <c r="VAE782" s="268"/>
      <c r="VAF782" s="268"/>
      <c r="VAG782" s="268"/>
      <c r="VAH782" s="268"/>
      <c r="VAI782" s="268"/>
      <c r="VAJ782" s="268"/>
      <c r="VAK782" s="268"/>
      <c r="VAL782" s="268"/>
      <c r="VAM782" s="268"/>
      <c r="VAN782" s="268"/>
      <c r="VAO782" s="268"/>
      <c r="VAP782" s="268"/>
      <c r="VAQ782" s="268"/>
      <c r="VAR782" s="268"/>
      <c r="VAS782" s="268"/>
      <c r="VAT782" s="268"/>
      <c r="VAU782" s="268"/>
      <c r="VAV782" s="268"/>
      <c r="VAW782" s="268"/>
      <c r="VAX782" s="268"/>
      <c r="VAY782" s="268"/>
      <c r="VAZ782" s="268"/>
      <c r="VBA782" s="268"/>
      <c r="VBB782" s="268"/>
      <c r="VBC782" s="268"/>
      <c r="VBD782" s="268"/>
      <c r="VBE782" s="268"/>
      <c r="VBF782" s="268"/>
      <c r="VBG782" s="268"/>
      <c r="VBH782" s="268"/>
      <c r="VBI782" s="268"/>
      <c r="VBJ782" s="268"/>
      <c r="VBK782" s="268"/>
      <c r="VBL782" s="268"/>
      <c r="VBM782" s="268"/>
      <c r="VBN782" s="268"/>
      <c r="VBO782" s="268"/>
      <c r="VBP782" s="268"/>
      <c r="VBQ782" s="268"/>
      <c r="VBR782" s="268"/>
      <c r="VBS782" s="268"/>
      <c r="VBT782" s="268"/>
      <c r="VBU782" s="268"/>
      <c r="VBV782" s="268"/>
      <c r="VBW782" s="268"/>
      <c r="VBX782" s="268"/>
      <c r="VBY782" s="268"/>
      <c r="VBZ782" s="268"/>
      <c r="VCA782" s="268"/>
      <c r="VCB782" s="268"/>
      <c r="VCC782" s="268"/>
      <c r="VCD782" s="268"/>
      <c r="VCE782" s="268"/>
      <c r="VCF782" s="268"/>
      <c r="VCG782" s="268"/>
      <c r="VCH782" s="268"/>
      <c r="VCI782" s="268"/>
      <c r="VCJ782" s="268"/>
      <c r="VCK782" s="268"/>
      <c r="VCL782" s="268"/>
      <c r="VCM782" s="268"/>
      <c r="VCN782" s="268"/>
      <c r="VCO782" s="268"/>
      <c r="VCP782" s="268"/>
      <c r="VCQ782" s="268"/>
      <c r="VCR782" s="268"/>
      <c r="VCS782" s="268"/>
      <c r="VCT782" s="268"/>
      <c r="VCU782" s="268"/>
      <c r="VCV782" s="268"/>
      <c r="VCW782" s="268"/>
      <c r="VCX782" s="268"/>
      <c r="VCY782" s="268"/>
      <c r="VCZ782" s="268"/>
      <c r="VDA782" s="268"/>
      <c r="VDB782" s="268"/>
      <c r="VDC782" s="268"/>
      <c r="VDD782" s="268"/>
      <c r="VDE782" s="268"/>
      <c r="VDF782" s="268"/>
      <c r="VDG782" s="268"/>
      <c r="VDH782" s="268"/>
      <c r="VDI782" s="268"/>
      <c r="VDJ782" s="268"/>
      <c r="VDK782" s="268"/>
      <c r="VDL782" s="268"/>
      <c r="VDM782" s="268"/>
      <c r="VDN782" s="268"/>
      <c r="VDO782" s="268"/>
      <c r="VDP782" s="268"/>
      <c r="VDQ782" s="268"/>
      <c r="VDR782" s="268"/>
      <c r="VDS782" s="268"/>
      <c r="VDT782" s="268"/>
      <c r="VDU782" s="268"/>
      <c r="VDV782" s="268"/>
      <c r="VDW782" s="268"/>
      <c r="VDX782" s="268"/>
      <c r="VDY782" s="268"/>
      <c r="VDZ782" s="268"/>
      <c r="VEA782" s="268"/>
      <c r="VEB782" s="268"/>
      <c r="VEC782" s="268"/>
      <c r="VED782" s="268"/>
      <c r="VEE782" s="268"/>
      <c r="VEF782" s="268"/>
      <c r="VEG782" s="268"/>
      <c r="VEH782" s="268"/>
      <c r="VEI782" s="268"/>
      <c r="VEJ782" s="268"/>
      <c r="VEK782" s="268"/>
      <c r="VEL782" s="268"/>
      <c r="VEM782" s="268"/>
      <c r="VEN782" s="268"/>
      <c r="VEO782" s="268"/>
      <c r="VEP782" s="268"/>
      <c r="VEQ782" s="268"/>
      <c r="VER782" s="268"/>
      <c r="VES782" s="268"/>
      <c r="VET782" s="268"/>
      <c r="VEU782" s="268"/>
      <c r="VEV782" s="268"/>
      <c r="VEW782" s="268"/>
      <c r="VEX782" s="268"/>
      <c r="VEY782" s="268"/>
      <c r="VEZ782" s="268"/>
      <c r="VFA782" s="268"/>
      <c r="VFB782" s="268"/>
      <c r="VFC782" s="268"/>
      <c r="VFD782" s="268"/>
      <c r="VFE782" s="268"/>
      <c r="VFF782" s="268"/>
      <c r="VFG782" s="268"/>
      <c r="VFH782" s="268"/>
      <c r="VFI782" s="268"/>
      <c r="VFJ782" s="268"/>
      <c r="VFK782" s="268"/>
      <c r="VFL782" s="268"/>
      <c r="VFM782" s="268"/>
      <c r="VFN782" s="268"/>
      <c r="VFO782" s="268"/>
      <c r="VFP782" s="268"/>
      <c r="VFQ782" s="268"/>
      <c r="VFR782" s="268"/>
      <c r="VFS782" s="268"/>
      <c r="VFT782" s="268"/>
      <c r="VFU782" s="268"/>
      <c r="VFV782" s="268"/>
      <c r="VFW782" s="268"/>
      <c r="VFX782" s="268"/>
      <c r="VFY782" s="268"/>
      <c r="VFZ782" s="268"/>
      <c r="VGA782" s="268"/>
      <c r="VGB782" s="268"/>
      <c r="VGC782" s="268"/>
      <c r="VGD782" s="268"/>
      <c r="VGE782" s="268"/>
      <c r="VGF782" s="268"/>
      <c r="VGG782" s="268"/>
      <c r="VGH782" s="268"/>
      <c r="VGI782" s="268"/>
      <c r="VGJ782" s="268"/>
      <c r="VGK782" s="268"/>
      <c r="VGL782" s="268"/>
      <c r="VGM782" s="268"/>
      <c r="VGN782" s="268"/>
      <c r="VGO782" s="268"/>
      <c r="VGP782" s="268"/>
      <c r="VGQ782" s="268"/>
      <c r="VGR782" s="268"/>
      <c r="VGS782" s="268"/>
      <c r="VGT782" s="268"/>
      <c r="VGU782" s="268"/>
      <c r="VGV782" s="268"/>
      <c r="VGW782" s="268"/>
      <c r="VGX782" s="268"/>
      <c r="VGY782" s="268"/>
      <c r="VGZ782" s="268"/>
      <c r="VHA782" s="268"/>
      <c r="VHB782" s="268"/>
      <c r="VHC782" s="268"/>
      <c r="VHD782" s="268"/>
      <c r="VHE782" s="268"/>
      <c r="VHF782" s="268"/>
      <c r="VHG782" s="268"/>
      <c r="VHH782" s="268"/>
      <c r="VHI782" s="268"/>
      <c r="VHJ782" s="268"/>
      <c r="VHK782" s="268"/>
      <c r="VHL782" s="268"/>
      <c r="VHM782" s="268"/>
      <c r="VHN782" s="268"/>
      <c r="VHO782" s="268"/>
      <c r="VIC782" s="268"/>
      <c r="VID782" s="268"/>
      <c r="VIE782" s="268"/>
      <c r="VIS782" s="268"/>
      <c r="VIU782" s="268"/>
      <c r="VIV782" s="268"/>
      <c r="VIW782" s="268"/>
      <c r="VIX782" s="268"/>
      <c r="VIY782" s="268"/>
      <c r="VIZ782" s="268"/>
      <c r="VJA782" s="268"/>
      <c r="VJB782" s="268"/>
      <c r="VJC782" s="268"/>
      <c r="VJD782" s="268"/>
      <c r="VJE782" s="268"/>
      <c r="VJF782" s="268"/>
      <c r="VJG782" s="268"/>
      <c r="VJH782" s="268"/>
      <c r="VJI782" s="268"/>
      <c r="VJJ782" s="268"/>
      <c r="VJK782" s="268"/>
      <c r="VJL782" s="268"/>
      <c r="VJM782" s="268"/>
      <c r="VJN782" s="268"/>
      <c r="VJO782" s="268"/>
      <c r="VJP782" s="268"/>
      <c r="VJQ782" s="268"/>
      <c r="VJR782" s="268"/>
      <c r="VJS782" s="268"/>
      <c r="VJT782" s="268"/>
      <c r="VJU782" s="268"/>
      <c r="VJV782" s="268"/>
      <c r="VJW782" s="268"/>
      <c r="VJX782" s="268"/>
      <c r="VJY782" s="268"/>
      <c r="VJZ782" s="268"/>
      <c r="VKA782" s="268"/>
      <c r="VKB782" s="268"/>
      <c r="VKC782" s="268"/>
      <c r="VKD782" s="268"/>
      <c r="VKE782" s="268"/>
      <c r="VKF782" s="268"/>
      <c r="VKG782" s="268"/>
      <c r="VKH782" s="268"/>
      <c r="VKI782" s="268"/>
      <c r="VKJ782" s="268"/>
      <c r="VKK782" s="268"/>
      <c r="VKL782" s="268"/>
      <c r="VKM782" s="268"/>
      <c r="VKN782" s="268"/>
      <c r="VKO782" s="268"/>
      <c r="VKP782" s="268"/>
      <c r="VKQ782" s="268"/>
      <c r="VKR782" s="268"/>
      <c r="VKS782" s="268"/>
      <c r="VKT782" s="268"/>
      <c r="VKU782" s="268"/>
      <c r="VKV782" s="268"/>
      <c r="VKW782" s="268"/>
      <c r="VKX782" s="268"/>
      <c r="VKY782" s="268"/>
      <c r="VKZ782" s="268"/>
      <c r="VLA782" s="268"/>
      <c r="VLB782" s="268"/>
      <c r="VLC782" s="268"/>
      <c r="VLD782" s="268"/>
      <c r="VLE782" s="268"/>
      <c r="VLF782" s="268"/>
      <c r="VLG782" s="268"/>
      <c r="VLH782" s="268"/>
      <c r="VLI782" s="268"/>
      <c r="VLJ782" s="268"/>
      <c r="VLK782" s="268"/>
      <c r="VLL782" s="268"/>
      <c r="VLM782" s="268"/>
      <c r="VLN782" s="268"/>
      <c r="VLO782" s="268"/>
      <c r="VLP782" s="268"/>
      <c r="VLQ782" s="268"/>
      <c r="VLR782" s="268"/>
      <c r="VLS782" s="268"/>
      <c r="VLT782" s="268"/>
      <c r="VLU782" s="268"/>
      <c r="VLV782" s="268"/>
      <c r="VLW782" s="268"/>
      <c r="VLX782" s="268"/>
      <c r="VLY782" s="268"/>
      <c r="VLZ782" s="268"/>
      <c r="VMA782" s="268"/>
      <c r="VMB782" s="268"/>
      <c r="VMC782" s="268"/>
      <c r="VMD782" s="268"/>
      <c r="VME782" s="268"/>
      <c r="VMF782" s="268"/>
      <c r="VMG782" s="268"/>
      <c r="VMH782" s="268"/>
      <c r="VMI782" s="268"/>
      <c r="VMJ782" s="268"/>
      <c r="VMK782" s="268"/>
      <c r="VML782" s="268"/>
      <c r="VMM782" s="268"/>
      <c r="VMN782" s="268"/>
      <c r="VMO782" s="268"/>
      <c r="VMP782" s="268"/>
      <c r="VMQ782" s="268"/>
      <c r="VMR782" s="268"/>
      <c r="VMS782" s="268"/>
      <c r="VMT782" s="268"/>
      <c r="VMU782" s="268"/>
      <c r="VMV782" s="268"/>
      <c r="VMW782" s="268"/>
      <c r="VMX782" s="268"/>
      <c r="VMY782" s="268"/>
      <c r="VMZ782" s="268"/>
      <c r="VNA782" s="268"/>
      <c r="VNB782" s="268"/>
      <c r="VNC782" s="268"/>
      <c r="VND782" s="268"/>
      <c r="VNE782" s="268"/>
      <c r="VNF782" s="268"/>
      <c r="VNG782" s="268"/>
      <c r="VNH782" s="268"/>
      <c r="VNI782" s="268"/>
      <c r="VNJ782" s="268"/>
      <c r="VNK782" s="268"/>
      <c r="VNL782" s="268"/>
      <c r="VNM782" s="268"/>
      <c r="VNN782" s="268"/>
      <c r="VNO782" s="268"/>
      <c r="VNP782" s="268"/>
      <c r="VNQ782" s="268"/>
      <c r="VNR782" s="268"/>
      <c r="VNS782" s="268"/>
      <c r="VNT782" s="268"/>
      <c r="VNU782" s="268"/>
      <c r="VNV782" s="268"/>
      <c r="VNW782" s="268"/>
      <c r="VNX782" s="268"/>
      <c r="VNY782" s="268"/>
      <c r="VNZ782" s="268"/>
      <c r="VOA782" s="268"/>
      <c r="VOB782" s="268"/>
      <c r="VOC782" s="268"/>
      <c r="VOD782" s="268"/>
      <c r="VOE782" s="268"/>
      <c r="VOF782" s="268"/>
      <c r="VOG782" s="268"/>
      <c r="VOH782" s="268"/>
      <c r="VOI782" s="268"/>
      <c r="VOJ782" s="268"/>
      <c r="VOK782" s="268"/>
      <c r="VOL782" s="268"/>
      <c r="VOM782" s="268"/>
      <c r="VON782" s="268"/>
      <c r="VOO782" s="268"/>
      <c r="VOP782" s="268"/>
      <c r="VOQ782" s="268"/>
      <c r="VOR782" s="268"/>
      <c r="VOS782" s="268"/>
      <c r="VOT782" s="268"/>
      <c r="VOU782" s="268"/>
      <c r="VOV782" s="268"/>
      <c r="VOW782" s="268"/>
      <c r="VOX782" s="268"/>
      <c r="VOY782" s="268"/>
      <c r="VOZ782" s="268"/>
      <c r="VPA782" s="268"/>
      <c r="VPB782" s="268"/>
      <c r="VPC782" s="268"/>
      <c r="VPD782" s="268"/>
      <c r="VPE782" s="268"/>
      <c r="VPF782" s="268"/>
      <c r="VPG782" s="268"/>
      <c r="VPH782" s="268"/>
      <c r="VPI782" s="268"/>
      <c r="VPJ782" s="268"/>
      <c r="VPK782" s="268"/>
      <c r="VPL782" s="268"/>
      <c r="VPM782" s="268"/>
      <c r="VPN782" s="268"/>
      <c r="VPO782" s="268"/>
      <c r="VPP782" s="268"/>
      <c r="VPQ782" s="268"/>
      <c r="VPR782" s="268"/>
      <c r="VPS782" s="268"/>
      <c r="VPT782" s="268"/>
      <c r="VPU782" s="268"/>
      <c r="VPV782" s="268"/>
      <c r="VPW782" s="268"/>
      <c r="VPX782" s="268"/>
      <c r="VPY782" s="268"/>
      <c r="VPZ782" s="268"/>
      <c r="VQA782" s="268"/>
      <c r="VQB782" s="268"/>
      <c r="VQC782" s="268"/>
      <c r="VQD782" s="268"/>
      <c r="VQE782" s="268"/>
      <c r="VQF782" s="268"/>
      <c r="VQG782" s="268"/>
      <c r="VQH782" s="268"/>
      <c r="VQI782" s="268"/>
      <c r="VQJ782" s="268"/>
      <c r="VQK782" s="268"/>
      <c r="VQL782" s="268"/>
      <c r="VQM782" s="268"/>
      <c r="VQN782" s="268"/>
      <c r="VQO782" s="268"/>
      <c r="VQP782" s="268"/>
      <c r="VQQ782" s="268"/>
      <c r="VQR782" s="268"/>
      <c r="VQS782" s="268"/>
      <c r="VQT782" s="268"/>
      <c r="VQU782" s="268"/>
      <c r="VQV782" s="268"/>
      <c r="VQW782" s="268"/>
      <c r="VQX782" s="268"/>
      <c r="VQY782" s="268"/>
      <c r="VQZ782" s="268"/>
      <c r="VRA782" s="268"/>
      <c r="VRB782" s="268"/>
      <c r="VRC782" s="268"/>
      <c r="VRD782" s="268"/>
      <c r="VRE782" s="268"/>
      <c r="VRF782" s="268"/>
      <c r="VRG782" s="268"/>
      <c r="VRH782" s="268"/>
      <c r="VRI782" s="268"/>
      <c r="VRJ782" s="268"/>
      <c r="VRK782" s="268"/>
      <c r="VRY782" s="268"/>
      <c r="VRZ782" s="268"/>
      <c r="VSA782" s="268"/>
      <c r="VSO782" s="268"/>
      <c r="VSQ782" s="268"/>
      <c r="VSR782" s="268"/>
      <c r="VSS782" s="268"/>
      <c r="VST782" s="268"/>
      <c r="VSU782" s="268"/>
      <c r="VSV782" s="268"/>
      <c r="VSW782" s="268"/>
      <c r="VSX782" s="268"/>
      <c r="VSY782" s="268"/>
      <c r="VSZ782" s="268"/>
      <c r="VTA782" s="268"/>
      <c r="VTB782" s="268"/>
      <c r="VTC782" s="268"/>
      <c r="VTD782" s="268"/>
      <c r="VTE782" s="268"/>
      <c r="VTF782" s="268"/>
      <c r="VTG782" s="268"/>
      <c r="VTH782" s="268"/>
      <c r="VTI782" s="268"/>
      <c r="VTJ782" s="268"/>
      <c r="VTK782" s="268"/>
      <c r="VTL782" s="268"/>
      <c r="VTM782" s="268"/>
      <c r="VTN782" s="268"/>
      <c r="VTO782" s="268"/>
      <c r="VTP782" s="268"/>
      <c r="VTQ782" s="268"/>
      <c r="VTR782" s="268"/>
      <c r="VTS782" s="268"/>
      <c r="VTT782" s="268"/>
      <c r="VTU782" s="268"/>
      <c r="VTV782" s="268"/>
      <c r="VTW782" s="268"/>
      <c r="VTX782" s="268"/>
      <c r="VTY782" s="268"/>
      <c r="VTZ782" s="268"/>
      <c r="VUA782" s="268"/>
      <c r="VUB782" s="268"/>
      <c r="VUC782" s="268"/>
      <c r="VUD782" s="268"/>
      <c r="VUE782" s="268"/>
      <c r="VUF782" s="268"/>
      <c r="VUG782" s="268"/>
      <c r="VUH782" s="268"/>
      <c r="VUI782" s="268"/>
      <c r="VUJ782" s="268"/>
      <c r="VUK782" s="268"/>
      <c r="VUL782" s="268"/>
      <c r="VUM782" s="268"/>
      <c r="VUN782" s="268"/>
      <c r="VUO782" s="268"/>
      <c r="VUP782" s="268"/>
      <c r="VUQ782" s="268"/>
      <c r="VUR782" s="268"/>
      <c r="VUS782" s="268"/>
      <c r="VUT782" s="268"/>
      <c r="VUU782" s="268"/>
      <c r="VUV782" s="268"/>
      <c r="VUW782" s="268"/>
      <c r="VUX782" s="268"/>
      <c r="VUY782" s="268"/>
      <c r="VUZ782" s="268"/>
      <c r="VVA782" s="268"/>
      <c r="VVB782" s="268"/>
      <c r="VVC782" s="268"/>
      <c r="VVD782" s="268"/>
      <c r="VVE782" s="268"/>
      <c r="VVF782" s="268"/>
      <c r="VVG782" s="268"/>
      <c r="VVH782" s="268"/>
      <c r="VVI782" s="268"/>
      <c r="VVJ782" s="268"/>
      <c r="VVK782" s="268"/>
      <c r="VVL782" s="268"/>
      <c r="VVM782" s="268"/>
      <c r="VVN782" s="268"/>
      <c r="VVO782" s="268"/>
      <c r="VVP782" s="268"/>
      <c r="VVQ782" s="268"/>
      <c r="VVR782" s="268"/>
      <c r="VVS782" s="268"/>
      <c r="VVT782" s="268"/>
      <c r="VVU782" s="268"/>
      <c r="VVV782" s="268"/>
      <c r="VVW782" s="268"/>
      <c r="VVX782" s="268"/>
      <c r="VVY782" s="268"/>
      <c r="VVZ782" s="268"/>
      <c r="VWA782" s="268"/>
      <c r="VWB782" s="268"/>
      <c r="VWC782" s="268"/>
      <c r="VWD782" s="268"/>
      <c r="VWE782" s="268"/>
      <c r="VWF782" s="268"/>
      <c r="VWG782" s="268"/>
      <c r="VWH782" s="268"/>
      <c r="VWI782" s="268"/>
      <c r="VWJ782" s="268"/>
      <c r="VWK782" s="268"/>
      <c r="VWL782" s="268"/>
      <c r="VWM782" s="268"/>
      <c r="VWN782" s="268"/>
      <c r="VWO782" s="268"/>
      <c r="VWP782" s="268"/>
      <c r="VWQ782" s="268"/>
      <c r="VWR782" s="268"/>
      <c r="VWS782" s="268"/>
      <c r="VWT782" s="268"/>
      <c r="VWU782" s="268"/>
      <c r="VWV782" s="268"/>
      <c r="VWW782" s="268"/>
      <c r="VWX782" s="268"/>
      <c r="VWY782" s="268"/>
      <c r="VWZ782" s="268"/>
      <c r="VXA782" s="268"/>
      <c r="VXB782" s="268"/>
      <c r="VXC782" s="268"/>
      <c r="VXD782" s="268"/>
      <c r="VXE782" s="268"/>
      <c r="VXF782" s="268"/>
      <c r="VXG782" s="268"/>
      <c r="VXH782" s="268"/>
      <c r="VXI782" s="268"/>
      <c r="VXJ782" s="268"/>
      <c r="VXK782" s="268"/>
      <c r="VXL782" s="268"/>
      <c r="VXM782" s="268"/>
      <c r="VXN782" s="268"/>
      <c r="VXO782" s="268"/>
      <c r="VXP782" s="268"/>
      <c r="VXQ782" s="268"/>
      <c r="VXR782" s="268"/>
      <c r="VXS782" s="268"/>
      <c r="VXT782" s="268"/>
      <c r="VXU782" s="268"/>
      <c r="VXV782" s="268"/>
      <c r="VXW782" s="268"/>
      <c r="VXX782" s="268"/>
      <c r="VXY782" s="268"/>
      <c r="VXZ782" s="268"/>
      <c r="VYA782" s="268"/>
      <c r="VYB782" s="268"/>
      <c r="VYC782" s="268"/>
      <c r="VYD782" s="268"/>
      <c r="VYE782" s="268"/>
      <c r="VYF782" s="268"/>
      <c r="VYG782" s="268"/>
      <c r="VYH782" s="268"/>
      <c r="VYI782" s="268"/>
      <c r="VYJ782" s="268"/>
      <c r="VYK782" s="268"/>
      <c r="VYL782" s="268"/>
      <c r="VYM782" s="268"/>
      <c r="VYN782" s="268"/>
      <c r="VYO782" s="268"/>
      <c r="VYP782" s="268"/>
      <c r="VYQ782" s="268"/>
      <c r="VYR782" s="268"/>
      <c r="VYS782" s="268"/>
      <c r="VYT782" s="268"/>
      <c r="VYU782" s="268"/>
      <c r="VYV782" s="268"/>
      <c r="VYW782" s="268"/>
      <c r="VYX782" s="268"/>
      <c r="VYY782" s="268"/>
      <c r="VYZ782" s="268"/>
      <c r="VZA782" s="268"/>
      <c r="VZB782" s="268"/>
      <c r="VZC782" s="268"/>
      <c r="VZD782" s="268"/>
      <c r="VZE782" s="268"/>
      <c r="VZF782" s="268"/>
      <c r="VZG782" s="268"/>
      <c r="VZH782" s="268"/>
      <c r="VZI782" s="268"/>
      <c r="VZJ782" s="268"/>
      <c r="VZK782" s="268"/>
      <c r="VZL782" s="268"/>
      <c r="VZM782" s="268"/>
      <c r="VZN782" s="268"/>
      <c r="VZO782" s="268"/>
      <c r="VZP782" s="268"/>
      <c r="VZQ782" s="268"/>
      <c r="VZR782" s="268"/>
      <c r="VZS782" s="268"/>
      <c r="VZT782" s="268"/>
      <c r="VZU782" s="268"/>
      <c r="VZV782" s="268"/>
      <c r="VZW782" s="268"/>
      <c r="VZX782" s="268"/>
      <c r="VZY782" s="268"/>
      <c r="VZZ782" s="268"/>
      <c r="WAA782" s="268"/>
      <c r="WAB782" s="268"/>
      <c r="WAC782" s="268"/>
      <c r="WAD782" s="268"/>
      <c r="WAE782" s="268"/>
      <c r="WAF782" s="268"/>
      <c r="WAG782" s="268"/>
      <c r="WAH782" s="268"/>
      <c r="WAI782" s="268"/>
      <c r="WAJ782" s="268"/>
      <c r="WAK782" s="268"/>
      <c r="WAL782" s="268"/>
      <c r="WAM782" s="268"/>
      <c r="WAN782" s="268"/>
      <c r="WAO782" s="268"/>
      <c r="WAP782" s="268"/>
      <c r="WAQ782" s="268"/>
      <c r="WAR782" s="268"/>
      <c r="WAS782" s="268"/>
      <c r="WAT782" s="268"/>
      <c r="WAU782" s="268"/>
      <c r="WAV782" s="268"/>
      <c r="WAW782" s="268"/>
      <c r="WAX782" s="268"/>
      <c r="WAY782" s="268"/>
      <c r="WAZ782" s="268"/>
      <c r="WBA782" s="268"/>
      <c r="WBB782" s="268"/>
      <c r="WBC782" s="268"/>
      <c r="WBD782" s="268"/>
      <c r="WBE782" s="268"/>
      <c r="WBF782" s="268"/>
      <c r="WBG782" s="268"/>
      <c r="WBU782" s="268"/>
      <c r="WBV782" s="268"/>
      <c r="WBW782" s="268"/>
      <c r="WCK782" s="268"/>
      <c r="WCM782" s="268"/>
      <c r="WCN782" s="268"/>
      <c r="WCO782" s="268"/>
      <c r="WCP782" s="268"/>
      <c r="WCQ782" s="268"/>
      <c r="WCR782" s="268"/>
      <c r="WCS782" s="268"/>
      <c r="WCT782" s="268"/>
      <c r="WCU782" s="268"/>
      <c r="WCV782" s="268"/>
      <c r="WCW782" s="268"/>
      <c r="WCX782" s="268"/>
      <c r="WCY782" s="268"/>
      <c r="WCZ782" s="268"/>
      <c r="WDA782" s="268"/>
      <c r="WDB782" s="268"/>
      <c r="WDC782" s="268"/>
      <c r="WDD782" s="268"/>
      <c r="WDE782" s="268"/>
      <c r="WDF782" s="268"/>
      <c r="WDG782" s="268"/>
      <c r="WDH782" s="268"/>
      <c r="WDI782" s="268"/>
      <c r="WDJ782" s="268"/>
      <c r="WDK782" s="268"/>
      <c r="WDL782" s="268"/>
      <c r="WDM782" s="268"/>
      <c r="WDN782" s="268"/>
      <c r="WDO782" s="268"/>
      <c r="WDP782" s="268"/>
      <c r="WDQ782" s="268"/>
      <c r="WDR782" s="268"/>
      <c r="WDS782" s="268"/>
      <c r="WDT782" s="268"/>
      <c r="WDU782" s="268"/>
      <c r="WDV782" s="268"/>
      <c r="WDW782" s="268"/>
      <c r="WDX782" s="268"/>
      <c r="WDY782" s="268"/>
      <c r="WDZ782" s="268"/>
      <c r="WEA782" s="268"/>
      <c r="WEB782" s="268"/>
      <c r="WEC782" s="268"/>
      <c r="WED782" s="268"/>
      <c r="WEE782" s="268"/>
      <c r="WEF782" s="268"/>
      <c r="WEG782" s="268"/>
      <c r="WEH782" s="268"/>
      <c r="WEI782" s="268"/>
      <c r="WEJ782" s="268"/>
      <c r="WEK782" s="268"/>
      <c r="WEL782" s="268"/>
      <c r="WEM782" s="268"/>
      <c r="WEN782" s="268"/>
      <c r="WEO782" s="268"/>
      <c r="WEP782" s="268"/>
      <c r="WEQ782" s="268"/>
      <c r="WER782" s="268"/>
      <c r="WES782" s="268"/>
      <c r="WET782" s="268"/>
      <c r="WEU782" s="268"/>
      <c r="WEV782" s="268"/>
      <c r="WEW782" s="268"/>
      <c r="WEX782" s="268"/>
      <c r="WEY782" s="268"/>
      <c r="WEZ782" s="268"/>
      <c r="WFA782" s="268"/>
      <c r="WFB782" s="268"/>
      <c r="WFC782" s="268"/>
      <c r="WFD782" s="268"/>
      <c r="WFE782" s="268"/>
      <c r="WFF782" s="268"/>
      <c r="WFG782" s="268"/>
      <c r="WFH782" s="268"/>
      <c r="WFI782" s="268"/>
      <c r="WFJ782" s="268"/>
      <c r="WFK782" s="268"/>
      <c r="WFL782" s="268"/>
      <c r="WFM782" s="268"/>
      <c r="WFN782" s="268"/>
      <c r="WFO782" s="268"/>
      <c r="WFP782" s="268"/>
      <c r="WFQ782" s="268"/>
      <c r="WFR782" s="268"/>
      <c r="WFS782" s="268"/>
      <c r="WFT782" s="268"/>
      <c r="WFU782" s="268"/>
      <c r="WFV782" s="268"/>
      <c r="WFW782" s="268"/>
      <c r="WFX782" s="268"/>
      <c r="WFY782" s="268"/>
      <c r="WFZ782" s="268"/>
      <c r="WGA782" s="268"/>
      <c r="WGB782" s="268"/>
      <c r="WGC782" s="268"/>
      <c r="WGD782" s="268"/>
      <c r="WGE782" s="268"/>
      <c r="WGF782" s="268"/>
      <c r="WGG782" s="268"/>
      <c r="WGH782" s="268"/>
      <c r="WGI782" s="268"/>
      <c r="WGJ782" s="268"/>
      <c r="WGK782" s="268"/>
      <c r="WGL782" s="268"/>
      <c r="WGM782" s="268"/>
      <c r="WGN782" s="268"/>
      <c r="WGO782" s="268"/>
      <c r="WGP782" s="268"/>
      <c r="WGQ782" s="268"/>
      <c r="WGR782" s="268"/>
      <c r="WGS782" s="268"/>
      <c r="WGT782" s="268"/>
      <c r="WGU782" s="268"/>
      <c r="WGV782" s="268"/>
      <c r="WGW782" s="268"/>
      <c r="WGX782" s="268"/>
      <c r="WGY782" s="268"/>
      <c r="WGZ782" s="268"/>
      <c r="WHA782" s="268"/>
      <c r="WHB782" s="268"/>
      <c r="WHC782" s="268"/>
      <c r="WHD782" s="268"/>
      <c r="WHE782" s="268"/>
      <c r="WHF782" s="268"/>
      <c r="WHG782" s="268"/>
      <c r="WHH782" s="268"/>
      <c r="WHI782" s="268"/>
      <c r="WHJ782" s="268"/>
      <c r="WHK782" s="268"/>
      <c r="WHL782" s="268"/>
      <c r="WHM782" s="268"/>
      <c r="WHN782" s="268"/>
      <c r="WHO782" s="268"/>
      <c r="WHP782" s="268"/>
      <c r="WHQ782" s="268"/>
      <c r="WHR782" s="268"/>
      <c r="WHS782" s="268"/>
      <c r="WHT782" s="268"/>
      <c r="WHU782" s="268"/>
      <c r="WHV782" s="268"/>
      <c r="WHW782" s="268"/>
      <c r="WHX782" s="268"/>
      <c r="WHY782" s="268"/>
      <c r="WHZ782" s="268"/>
      <c r="WIA782" s="268"/>
      <c r="WIB782" s="268"/>
      <c r="WIC782" s="268"/>
      <c r="WID782" s="268"/>
      <c r="WIE782" s="268"/>
      <c r="WIF782" s="268"/>
      <c r="WIG782" s="268"/>
      <c r="WIH782" s="268"/>
      <c r="WII782" s="268"/>
      <c r="WIJ782" s="268"/>
      <c r="WIK782" s="268"/>
      <c r="WIL782" s="268"/>
      <c r="WIM782" s="268"/>
      <c r="WIN782" s="268"/>
      <c r="WIO782" s="268"/>
      <c r="WIP782" s="268"/>
      <c r="WIQ782" s="268"/>
      <c r="WIR782" s="268"/>
      <c r="WIS782" s="268"/>
      <c r="WIT782" s="268"/>
      <c r="WIU782" s="268"/>
      <c r="WIV782" s="268"/>
      <c r="WIW782" s="268"/>
      <c r="WIX782" s="268"/>
      <c r="WIY782" s="268"/>
      <c r="WIZ782" s="268"/>
      <c r="WJA782" s="268"/>
      <c r="WJB782" s="268"/>
      <c r="WJC782" s="268"/>
      <c r="WJD782" s="268"/>
      <c r="WJE782" s="268"/>
      <c r="WJF782" s="268"/>
      <c r="WJG782" s="268"/>
      <c r="WJH782" s="268"/>
      <c r="WJI782" s="268"/>
      <c r="WJJ782" s="268"/>
      <c r="WJK782" s="268"/>
      <c r="WJL782" s="268"/>
      <c r="WJM782" s="268"/>
      <c r="WJN782" s="268"/>
      <c r="WJO782" s="268"/>
      <c r="WJP782" s="268"/>
      <c r="WJQ782" s="268"/>
      <c r="WJR782" s="268"/>
      <c r="WJS782" s="268"/>
      <c r="WJT782" s="268"/>
      <c r="WJU782" s="268"/>
      <c r="WJV782" s="268"/>
      <c r="WJW782" s="268"/>
      <c r="WJX782" s="268"/>
      <c r="WJY782" s="268"/>
      <c r="WJZ782" s="268"/>
      <c r="WKA782" s="268"/>
      <c r="WKB782" s="268"/>
      <c r="WKC782" s="268"/>
      <c r="WKD782" s="268"/>
      <c r="WKE782" s="268"/>
      <c r="WKF782" s="268"/>
      <c r="WKG782" s="268"/>
      <c r="WKH782" s="268"/>
      <c r="WKI782" s="268"/>
      <c r="WKJ782" s="268"/>
      <c r="WKK782" s="268"/>
      <c r="WKL782" s="268"/>
      <c r="WKM782" s="268"/>
      <c r="WKN782" s="268"/>
      <c r="WKO782" s="268"/>
      <c r="WKP782" s="268"/>
      <c r="WKQ782" s="268"/>
      <c r="WKR782" s="268"/>
      <c r="WKS782" s="268"/>
      <c r="WKT782" s="268"/>
      <c r="WKU782" s="268"/>
      <c r="WKV782" s="268"/>
      <c r="WKW782" s="268"/>
      <c r="WKX782" s="268"/>
      <c r="WKY782" s="268"/>
      <c r="WKZ782" s="268"/>
      <c r="WLA782" s="268"/>
      <c r="WLB782" s="268"/>
      <c r="WLC782" s="268"/>
      <c r="WLQ782" s="268"/>
      <c r="WLR782" s="268"/>
      <c r="WLS782" s="268"/>
      <c r="WMG782" s="268"/>
      <c r="WMI782" s="268"/>
      <c r="WMJ782" s="268"/>
      <c r="WMK782" s="268"/>
      <c r="WML782" s="268"/>
      <c r="WMM782" s="268"/>
      <c r="WMN782" s="268"/>
      <c r="WMO782" s="268"/>
      <c r="WMP782" s="268"/>
      <c r="WMQ782" s="268"/>
      <c r="WMR782" s="268"/>
      <c r="WMS782" s="268"/>
      <c r="WMT782" s="268"/>
      <c r="WMU782" s="268"/>
      <c r="WMV782" s="268"/>
      <c r="WMW782" s="268"/>
      <c r="WMX782" s="268"/>
      <c r="WMY782" s="268"/>
      <c r="WMZ782" s="268"/>
      <c r="WNA782" s="268"/>
      <c r="WNB782" s="268"/>
      <c r="WNC782" s="268"/>
      <c r="WND782" s="268"/>
      <c r="WNE782" s="268"/>
      <c r="WNF782" s="268"/>
      <c r="WNG782" s="268"/>
      <c r="WNH782" s="268"/>
      <c r="WNI782" s="268"/>
      <c r="WNJ782" s="268"/>
      <c r="WNK782" s="268"/>
      <c r="WNL782" s="268"/>
      <c r="WNM782" s="268"/>
      <c r="WNN782" s="268"/>
      <c r="WNO782" s="268"/>
      <c r="WNP782" s="268"/>
      <c r="WNQ782" s="268"/>
      <c r="WNR782" s="268"/>
      <c r="WNS782" s="268"/>
      <c r="WNT782" s="268"/>
      <c r="WNU782" s="268"/>
      <c r="WNV782" s="268"/>
      <c r="WNW782" s="268"/>
      <c r="WNX782" s="268"/>
      <c r="WNY782" s="268"/>
      <c r="WNZ782" s="268"/>
      <c r="WOA782" s="268"/>
      <c r="WOB782" s="268"/>
      <c r="WOC782" s="268"/>
      <c r="WOD782" s="268"/>
      <c r="WOE782" s="268"/>
      <c r="WOF782" s="268"/>
      <c r="WOG782" s="268"/>
      <c r="WOH782" s="268"/>
      <c r="WOI782" s="268"/>
      <c r="WOJ782" s="268"/>
      <c r="WOK782" s="268"/>
      <c r="WOL782" s="268"/>
      <c r="WOM782" s="268"/>
      <c r="WON782" s="268"/>
      <c r="WOO782" s="268"/>
      <c r="WOP782" s="268"/>
      <c r="WOQ782" s="268"/>
      <c r="WOR782" s="268"/>
      <c r="WOS782" s="268"/>
      <c r="WOT782" s="268"/>
      <c r="WOU782" s="268"/>
      <c r="WOV782" s="268"/>
      <c r="WOW782" s="268"/>
      <c r="WOX782" s="268"/>
      <c r="WOY782" s="268"/>
      <c r="WOZ782" s="268"/>
      <c r="WPA782" s="268"/>
      <c r="WPB782" s="268"/>
      <c r="WPC782" s="268"/>
      <c r="WPD782" s="268"/>
      <c r="WPE782" s="268"/>
      <c r="WPF782" s="268"/>
      <c r="WPG782" s="268"/>
      <c r="WPH782" s="268"/>
      <c r="WPI782" s="268"/>
      <c r="WPJ782" s="268"/>
      <c r="WPK782" s="268"/>
      <c r="WPL782" s="268"/>
      <c r="WPM782" s="268"/>
      <c r="WPN782" s="268"/>
      <c r="WPO782" s="268"/>
      <c r="WPP782" s="268"/>
      <c r="WPQ782" s="268"/>
      <c r="WPR782" s="268"/>
      <c r="WPS782" s="268"/>
      <c r="WPT782" s="268"/>
      <c r="WPU782" s="268"/>
      <c r="WPV782" s="268"/>
      <c r="WPW782" s="268"/>
      <c r="WPX782" s="268"/>
      <c r="WPY782" s="268"/>
      <c r="WPZ782" s="268"/>
      <c r="WQA782" s="268"/>
      <c r="WQB782" s="268"/>
      <c r="WQC782" s="268"/>
      <c r="WQD782" s="268"/>
      <c r="WQE782" s="268"/>
      <c r="WQF782" s="268"/>
      <c r="WQG782" s="268"/>
      <c r="WQH782" s="268"/>
      <c r="WQI782" s="268"/>
      <c r="WQJ782" s="268"/>
      <c r="WQK782" s="268"/>
      <c r="WQL782" s="268"/>
      <c r="WQM782" s="268"/>
      <c r="WQN782" s="268"/>
      <c r="WQO782" s="268"/>
      <c r="WQP782" s="268"/>
      <c r="WQQ782" s="268"/>
      <c r="WQR782" s="268"/>
      <c r="WQS782" s="268"/>
      <c r="WQT782" s="268"/>
      <c r="WQU782" s="268"/>
      <c r="WQV782" s="268"/>
      <c r="WQW782" s="268"/>
      <c r="WQX782" s="268"/>
      <c r="WQY782" s="268"/>
      <c r="WQZ782" s="268"/>
      <c r="WRA782" s="268"/>
      <c r="WRB782" s="268"/>
      <c r="WRC782" s="268"/>
      <c r="WRD782" s="268"/>
      <c r="WRE782" s="268"/>
      <c r="WRF782" s="268"/>
      <c r="WRG782" s="268"/>
      <c r="WRH782" s="268"/>
      <c r="WRI782" s="268"/>
      <c r="WRJ782" s="268"/>
      <c r="WRK782" s="268"/>
      <c r="WRL782" s="268"/>
      <c r="WRM782" s="268"/>
      <c r="WRN782" s="268"/>
      <c r="WRO782" s="268"/>
      <c r="WRP782" s="268"/>
      <c r="WRQ782" s="268"/>
      <c r="WRR782" s="268"/>
      <c r="WRS782" s="268"/>
      <c r="WRT782" s="268"/>
      <c r="WRU782" s="268"/>
      <c r="WRV782" s="268"/>
      <c r="WRW782" s="268"/>
      <c r="WRX782" s="268"/>
      <c r="WRY782" s="268"/>
      <c r="WRZ782" s="268"/>
      <c r="WSA782" s="268"/>
      <c r="WSB782" s="268"/>
      <c r="WSC782" s="268"/>
      <c r="WSD782" s="268"/>
      <c r="WSE782" s="268"/>
      <c r="WSF782" s="268"/>
      <c r="WSG782" s="268"/>
      <c r="WSH782" s="268"/>
      <c r="WSI782" s="268"/>
      <c r="WSJ782" s="268"/>
      <c r="WSK782" s="268"/>
      <c r="WSL782" s="268"/>
      <c r="WSM782" s="268"/>
      <c r="WSN782" s="268"/>
      <c r="WSO782" s="268"/>
      <c r="WSP782" s="268"/>
      <c r="WSQ782" s="268"/>
      <c r="WSR782" s="268"/>
      <c r="WSS782" s="268"/>
      <c r="WST782" s="268"/>
      <c r="WSU782" s="268"/>
      <c r="WSV782" s="268"/>
      <c r="WSW782" s="268"/>
      <c r="WSX782" s="268"/>
      <c r="WSY782" s="268"/>
      <c r="WSZ782" s="268"/>
      <c r="WTA782" s="268"/>
      <c r="WTB782" s="268"/>
      <c r="WTC782" s="268"/>
      <c r="WTD782" s="268"/>
      <c r="WTE782" s="268"/>
      <c r="WTF782" s="268"/>
      <c r="WTG782" s="268"/>
      <c r="WTH782" s="268"/>
      <c r="WTI782" s="268"/>
      <c r="WTJ782" s="268"/>
      <c r="WTK782" s="268"/>
      <c r="WTL782" s="268"/>
      <c r="WTM782" s="268"/>
      <c r="WTN782" s="268"/>
      <c r="WTO782" s="268"/>
      <c r="WTP782" s="268"/>
      <c r="WTQ782" s="268"/>
      <c r="WTR782" s="268"/>
      <c r="WTS782" s="268"/>
      <c r="WTT782" s="268"/>
      <c r="WTU782" s="268"/>
      <c r="WTV782" s="268"/>
      <c r="WTW782" s="268"/>
      <c r="WTX782" s="268"/>
      <c r="WTY782" s="268"/>
      <c r="WTZ782" s="268"/>
      <c r="WUA782" s="268"/>
      <c r="WUB782" s="268"/>
      <c r="WUC782" s="268"/>
      <c r="WUD782" s="268"/>
      <c r="WUE782" s="268"/>
      <c r="WUF782" s="268"/>
      <c r="WUG782" s="268"/>
      <c r="WUH782" s="268"/>
      <c r="WUI782" s="268"/>
      <c r="WUJ782" s="268"/>
      <c r="WUK782" s="268"/>
      <c r="WUL782" s="268"/>
      <c r="WUM782" s="268"/>
      <c r="WUN782" s="268"/>
      <c r="WUO782" s="268"/>
      <c r="WUP782" s="268"/>
      <c r="WUQ782" s="268"/>
      <c r="WUR782" s="268"/>
      <c r="WUS782" s="268"/>
      <c r="WUT782" s="268"/>
      <c r="WUU782" s="268"/>
      <c r="WUV782" s="268"/>
      <c r="WUW782" s="268"/>
      <c r="WUX782" s="268"/>
      <c r="WUY782" s="268"/>
      <c r="WVM782" s="268"/>
      <c r="WVN782" s="268"/>
      <c r="WVO782" s="268"/>
      <c r="WWC782" s="268"/>
      <c r="WWE782" s="268"/>
      <c r="WWF782" s="268"/>
      <c r="WWG782" s="268"/>
      <c r="WWH782" s="268"/>
      <c r="WWI782" s="268"/>
      <c r="WWJ782" s="268"/>
      <c r="WWK782" s="268"/>
      <c r="WWL782" s="268"/>
      <c r="WWM782" s="268"/>
      <c r="WWN782" s="268"/>
      <c r="WWO782" s="268"/>
      <c r="WWP782" s="268"/>
      <c r="WWQ782" s="268"/>
      <c r="WWR782" s="268"/>
      <c r="WWS782" s="268"/>
      <c r="WWT782" s="268"/>
      <c r="WWU782" s="268"/>
      <c r="WWV782" s="268"/>
      <c r="WWW782" s="268"/>
      <c r="WWX782" s="268"/>
      <c r="WWY782" s="268"/>
      <c r="WWZ782" s="268"/>
      <c r="WXA782" s="268"/>
      <c r="WXB782" s="268"/>
      <c r="WXC782" s="268"/>
      <c r="WXD782" s="268"/>
      <c r="WXE782" s="268"/>
      <c r="WXF782" s="268"/>
      <c r="WXG782" s="268"/>
      <c r="WXH782" s="268"/>
      <c r="WXI782" s="268"/>
      <c r="WXJ782" s="268"/>
      <c r="WXK782" s="268"/>
      <c r="WXL782" s="268"/>
      <c r="WXM782" s="268"/>
      <c r="WXN782" s="268"/>
      <c r="WXO782" s="268"/>
      <c r="WXP782" s="268"/>
      <c r="WXQ782" s="268"/>
      <c r="WXR782" s="268"/>
      <c r="WXS782" s="268"/>
      <c r="WXT782" s="268"/>
      <c r="WXU782" s="268"/>
      <c r="WXV782" s="268"/>
      <c r="WXW782" s="268"/>
      <c r="WXX782" s="268"/>
      <c r="WXY782" s="268"/>
      <c r="WXZ782" s="268"/>
      <c r="WYA782" s="268"/>
      <c r="WYB782" s="268"/>
      <c r="WYC782" s="268"/>
      <c r="WYD782" s="268"/>
      <c r="WYE782" s="268"/>
      <c r="WYF782" s="268"/>
      <c r="WYG782" s="268"/>
      <c r="WYH782" s="268"/>
      <c r="WYI782" s="268"/>
      <c r="WYJ782" s="268"/>
      <c r="WYK782" s="268"/>
      <c r="WYL782" s="268"/>
      <c r="WYM782" s="268"/>
      <c r="WYN782" s="268"/>
      <c r="WYO782" s="268"/>
      <c r="WYP782" s="268"/>
      <c r="WYQ782" s="268"/>
      <c r="WYR782" s="268"/>
      <c r="WYS782" s="268"/>
      <c r="WYT782" s="268"/>
      <c r="WYU782" s="268"/>
      <c r="WYV782" s="268"/>
      <c r="WYW782" s="268"/>
      <c r="WYX782" s="268"/>
      <c r="WYY782" s="268"/>
      <c r="WYZ782" s="268"/>
      <c r="WZA782" s="268"/>
      <c r="WZB782" s="268"/>
      <c r="WZC782" s="268"/>
      <c r="WZD782" s="268"/>
      <c r="WZE782" s="268"/>
      <c r="WZF782" s="268"/>
      <c r="WZG782" s="268"/>
      <c r="WZH782" s="268"/>
      <c r="WZI782" s="268"/>
      <c r="WZJ782" s="268"/>
      <c r="WZK782" s="268"/>
      <c r="WZL782" s="268"/>
      <c r="WZM782" s="268"/>
      <c r="WZN782" s="268"/>
      <c r="WZO782" s="268"/>
      <c r="WZP782" s="268"/>
      <c r="WZQ782" s="268"/>
      <c r="WZR782" s="268"/>
      <c r="WZS782" s="268"/>
      <c r="WZT782" s="268"/>
      <c r="WZU782" s="268"/>
      <c r="WZV782" s="268"/>
      <c r="WZW782" s="268"/>
      <c r="WZX782" s="268"/>
      <c r="WZY782" s="268"/>
      <c r="WZZ782" s="268"/>
      <c r="XAA782" s="268"/>
      <c r="XAB782" s="268"/>
      <c r="XAC782" s="268"/>
      <c r="XAD782" s="268"/>
      <c r="XAE782" s="268"/>
      <c r="XAF782" s="268"/>
      <c r="XAG782" s="268"/>
      <c r="XAH782" s="268"/>
      <c r="XAI782" s="268"/>
      <c r="XAJ782" s="268"/>
      <c r="XAK782" s="268"/>
      <c r="XAL782" s="268"/>
      <c r="XAM782" s="268"/>
      <c r="XAN782" s="268"/>
      <c r="XAO782" s="268"/>
      <c r="XAP782" s="268"/>
      <c r="XAQ782" s="268"/>
      <c r="XAR782" s="268"/>
      <c r="XAS782" s="268"/>
      <c r="XAT782" s="268"/>
      <c r="XAU782" s="268"/>
      <c r="XAV782" s="268"/>
      <c r="XAW782" s="268"/>
      <c r="XAX782" s="268"/>
      <c r="XAY782" s="268"/>
      <c r="XAZ782" s="268"/>
      <c r="XBA782" s="268"/>
      <c r="XBB782" s="268"/>
      <c r="XBC782" s="268"/>
      <c r="XBD782" s="268"/>
      <c r="XBE782" s="268"/>
      <c r="XBF782" s="268"/>
      <c r="XBG782" s="268"/>
      <c r="XBH782" s="268"/>
      <c r="XBI782" s="268"/>
      <c r="XBJ782" s="268"/>
      <c r="XBK782" s="268"/>
      <c r="XBL782" s="268"/>
      <c r="XBM782" s="268"/>
      <c r="XBN782" s="268"/>
      <c r="XBO782" s="268"/>
      <c r="XBP782" s="268"/>
      <c r="XBQ782" s="268"/>
      <c r="XBR782" s="268"/>
      <c r="XBS782" s="268"/>
      <c r="XBT782" s="268"/>
      <c r="XBU782" s="268"/>
      <c r="XBV782" s="268"/>
      <c r="XBW782" s="268"/>
      <c r="XBX782" s="268"/>
      <c r="XBY782" s="268"/>
      <c r="XBZ782" s="268"/>
      <c r="XCA782" s="268"/>
      <c r="XCB782" s="268"/>
      <c r="XCC782" s="268"/>
      <c r="XCD782" s="268"/>
      <c r="XCE782" s="268"/>
      <c r="XCF782" s="268"/>
      <c r="XCG782" s="268"/>
      <c r="XCH782" s="268"/>
      <c r="XCI782" s="268"/>
      <c r="XCJ782" s="268"/>
      <c r="XCK782" s="268"/>
      <c r="XCL782" s="268"/>
      <c r="XCM782" s="268"/>
      <c r="XCN782" s="268"/>
      <c r="XCO782" s="268"/>
      <c r="XCP782" s="268"/>
      <c r="XCQ782" s="268"/>
      <c r="XCR782" s="268"/>
      <c r="XCS782" s="268"/>
      <c r="XCT782" s="268"/>
      <c r="XCU782" s="268"/>
      <c r="XCV782" s="268"/>
      <c r="XCW782" s="268"/>
      <c r="XCX782" s="268"/>
      <c r="XCY782" s="268"/>
      <c r="XCZ782" s="268"/>
      <c r="XDA782" s="268"/>
      <c r="XDB782" s="268"/>
      <c r="XDC782" s="268"/>
      <c r="XDD782" s="268"/>
      <c r="XDE782" s="268"/>
      <c r="XDF782" s="268"/>
      <c r="XDG782" s="268"/>
      <c r="XDH782" s="268"/>
      <c r="XDI782" s="268"/>
      <c r="XDJ782" s="268"/>
      <c r="XDK782" s="268"/>
      <c r="XDL782" s="268"/>
      <c r="XDM782" s="268"/>
      <c r="XDN782" s="268"/>
      <c r="XDO782" s="268"/>
      <c r="XDP782" s="268"/>
      <c r="XDQ782" s="268"/>
      <c r="XDR782" s="268"/>
      <c r="XDS782" s="268"/>
      <c r="XDT782" s="268"/>
      <c r="XDU782" s="268"/>
      <c r="XDV782" s="268"/>
      <c r="XDW782" s="268"/>
      <c r="XDX782" s="268"/>
      <c r="XDY782" s="268"/>
      <c r="XDZ782" s="268"/>
      <c r="XEA782" s="268"/>
      <c r="XEB782" s="268"/>
      <c r="XEC782" s="268"/>
      <c r="XED782" s="268"/>
      <c r="XEE782" s="268"/>
      <c r="XEF782" s="268"/>
      <c r="XEG782" s="268"/>
      <c r="XEH782" s="268"/>
      <c r="XEI782" s="268"/>
      <c r="XEJ782" s="268"/>
      <c r="XEK782" s="268"/>
      <c r="XEL782" s="268"/>
      <c r="XEM782" s="268"/>
      <c r="XEN782" s="268"/>
      <c r="XEO782" s="268"/>
      <c r="XEP782" s="268"/>
      <c r="XEQ782" s="268"/>
      <c r="XER782" s="268"/>
      <c r="XES782" s="268"/>
    </row>
    <row r="783" spans="1:1015 1029:2039 2053:3063 3077:4087 4101:5111 5125:6135 6149:7159 7173:8183 8197:9207 9221:10231 10245:11255 11269:12279 12293:13303 13317:14327 14341:15351 15365:16373" hidden="1" outlineLevel="1" x14ac:dyDescent="0.25">
      <c r="A783" s="3"/>
      <c r="B783" s="62">
        <f>SUM(B781:B782)</f>
        <v>22500</v>
      </c>
      <c r="C783" s="32"/>
      <c r="D783" s="62">
        <f>SUM(D781:D782)</f>
        <v>2910</v>
      </c>
      <c r="E783" s="62">
        <f>SUM(E781:E782)</f>
        <v>19590</v>
      </c>
      <c r="F783" s="62">
        <f>SUM(F781:F782)</f>
        <v>22500</v>
      </c>
      <c r="G783" s="32"/>
      <c r="H783" s="62">
        <f>SUM(H781:H782)</f>
        <v>0</v>
      </c>
      <c r="I783" s="32"/>
      <c r="J783" s="62">
        <f>SUM(J781:J782)</f>
        <v>5218</v>
      </c>
      <c r="K783" s="62">
        <f>SUM(K781:K782)</f>
        <v>17282</v>
      </c>
      <c r="L783" s="62">
        <f>SUM(L781:L782)</f>
        <v>22500</v>
      </c>
      <c r="M783" s="32"/>
      <c r="N783" s="62">
        <f>SUM(N781:N782)</f>
        <v>0</v>
      </c>
      <c r="P783" s="62">
        <f>SUM(P781:P782)</f>
        <v>24500</v>
      </c>
      <c r="R783" s="62">
        <f t="shared" ref="R783:Z783" si="455">SUM(R781:R782)</f>
        <v>3341</v>
      </c>
      <c r="S783" s="62">
        <f t="shared" si="455"/>
        <v>21159</v>
      </c>
      <c r="T783" s="62">
        <f t="shared" si="455"/>
        <v>24500</v>
      </c>
      <c r="U783" s="62">
        <f t="shared" si="455"/>
        <v>0</v>
      </c>
      <c r="V783" s="62">
        <f t="shared" si="455"/>
        <v>3741</v>
      </c>
      <c r="W783" s="62">
        <f t="shared" si="455"/>
        <v>20759</v>
      </c>
      <c r="X783" s="62"/>
      <c r="Y783" s="62">
        <f t="shared" si="455"/>
        <v>24500</v>
      </c>
      <c r="Z783" s="62">
        <f t="shared" si="455"/>
        <v>0</v>
      </c>
      <c r="AC783" s="62">
        <f>SUM(AC781:AC782)</f>
        <v>4042</v>
      </c>
      <c r="AD783" s="62">
        <f>SUM(AD781:AD782)</f>
        <v>20458</v>
      </c>
      <c r="AE783" s="62">
        <f>SUM(AE781:AE782)</f>
        <v>24500</v>
      </c>
      <c r="AF783" s="62">
        <f>SUM(AF781:AF782)</f>
        <v>0</v>
      </c>
      <c r="AG783" s="32"/>
      <c r="AI783" s="62">
        <f>SUM(AI781:AI782)</f>
        <v>35500</v>
      </c>
      <c r="AK783" s="62">
        <f>SUM(AK781:AK782)</f>
        <v>35800</v>
      </c>
      <c r="AM783" s="62">
        <f>SUM(AM781:AM782)</f>
        <v>31110</v>
      </c>
      <c r="AO783" s="62">
        <f>SUM(AO781:AO782)</f>
        <v>25650</v>
      </c>
      <c r="AP783" s="32"/>
      <c r="AQ783" s="62">
        <f>SUM(AQ781:AQ782)</f>
        <v>25954.5</v>
      </c>
      <c r="AS783" s="62">
        <f>SUM(AS781:AS782)</f>
        <v>26268.135000000002</v>
      </c>
      <c r="AU783" s="62">
        <f>SUM(AU781:AU782)</f>
        <v>26591.179049999999</v>
      </c>
      <c r="AW783" s="62">
        <f>SUM(AW781:AW782)</f>
        <v>26923.914421500001</v>
      </c>
      <c r="AY783" s="62">
        <f>SUM(AY781:AY782)</f>
        <v>27266.631854145002</v>
      </c>
      <c r="BA783" s="62">
        <f>SUM(BA781:BA782)</f>
        <v>27619.630809769355</v>
      </c>
      <c r="BC783" s="62">
        <f>SUM(BC781:BC782)</f>
        <v>27983.219734062433</v>
      </c>
      <c r="BE783" s="62">
        <f>SUM(BE781:BE782)</f>
        <v>28357.716326084308</v>
      </c>
    </row>
    <row r="784" spans="1:1015 1029:2039 2053:3063 3077:4087 4101:5111 5125:6135 6149:7159 7173:8183 8197:9207 9221:10231 10245:11255 11269:12279 12293:13303 13317:14327 14341:15351 15365:16373" hidden="1" outlineLevel="1" x14ac:dyDescent="0.25">
      <c r="A784" s="7" t="s">
        <v>253</v>
      </c>
      <c r="BC784" s="3"/>
      <c r="BE784" s="3"/>
    </row>
    <row r="785" spans="1:57" hidden="1" outlineLevel="1" x14ac:dyDescent="0.25">
      <c r="A785" s="320" t="s">
        <v>304</v>
      </c>
      <c r="B785" s="3">
        <v>117500</v>
      </c>
      <c r="D785" s="3">
        <v>29287</v>
      </c>
      <c r="E785" s="3">
        <f t="shared" ref="E785:E808" si="456">F785-D785</f>
        <v>88213</v>
      </c>
      <c r="F785" s="3">
        <v>117500</v>
      </c>
      <c r="H785" s="3">
        <f t="shared" ref="H785:H808" si="457">F785-B785</f>
        <v>0</v>
      </c>
      <c r="J785" s="3">
        <v>57509</v>
      </c>
      <c r="K785" s="4">
        <f t="shared" ref="K785:K808" si="458">L785-J785</f>
        <v>60491</v>
      </c>
      <c r="L785" s="4">
        <v>118000</v>
      </c>
      <c r="N785" s="4">
        <f t="shared" ref="N785:N808" si="459">L785-F785</f>
        <v>500</v>
      </c>
      <c r="P785" s="3">
        <v>123000</v>
      </c>
      <c r="R785" s="3">
        <v>28311</v>
      </c>
      <c r="S785" s="3">
        <f t="shared" ref="S785:S808" si="460">T785-R785</f>
        <v>94689</v>
      </c>
      <c r="T785" s="3">
        <v>123000</v>
      </c>
      <c r="U785" s="3">
        <f t="shared" ref="U785:U808" si="461">T785-P785</f>
        <v>0</v>
      </c>
      <c r="V785" s="3">
        <v>63630</v>
      </c>
      <c r="W785" s="3">
        <f t="shared" ref="W785:W808" si="462">Y785-V785</f>
        <v>63370</v>
      </c>
      <c r="Y785" s="3">
        <v>127000</v>
      </c>
      <c r="Z785" s="3">
        <f t="shared" ref="Z785:Z808" si="463">Y785-T785</f>
        <v>4000</v>
      </c>
      <c r="AC785" s="3">
        <f>105222+2222</f>
        <v>107444</v>
      </c>
      <c r="AD785" s="3">
        <f t="shared" ref="AD785:AD808" si="464">AE785-AC785</f>
        <v>19556</v>
      </c>
      <c r="AE785" s="3">
        <v>127000</v>
      </c>
      <c r="AF785" s="3">
        <f t="shared" ref="AF785:AF808" si="465">AE785-Y785</f>
        <v>0</v>
      </c>
      <c r="AI785" s="3">
        <v>126150</v>
      </c>
      <c r="AK785" s="3">
        <f t="shared" ref="AK785:AQ786" si="466">AI785*1.03</f>
        <v>129934.5</v>
      </c>
      <c r="AL785" s="3">
        <f t="shared" si="466"/>
        <v>0</v>
      </c>
      <c r="AM785" s="3">
        <f t="shared" si="466"/>
        <v>133832.535</v>
      </c>
      <c r="AN785" s="3">
        <f t="shared" si="466"/>
        <v>0</v>
      </c>
      <c r="AO785" s="3">
        <f t="shared" si="466"/>
        <v>137847.51105</v>
      </c>
      <c r="AP785" s="4">
        <f t="shared" si="466"/>
        <v>0</v>
      </c>
      <c r="AQ785" s="3">
        <f t="shared" si="466"/>
        <v>141982.93638150001</v>
      </c>
      <c r="AR785" s="3"/>
      <c r="AS785" s="3">
        <f t="shared" ref="AS785:AW787" si="467">AQ785*1.03</f>
        <v>146242.42447294501</v>
      </c>
      <c r="AT785" s="3">
        <f t="shared" si="467"/>
        <v>0</v>
      </c>
      <c r="AU785" s="3">
        <f t="shared" si="467"/>
        <v>150629.69720713337</v>
      </c>
      <c r="AV785" s="3">
        <f t="shared" si="467"/>
        <v>0</v>
      </c>
      <c r="AW785" s="3">
        <f t="shared" si="467"/>
        <v>155148.58812334738</v>
      </c>
      <c r="AX785" s="3"/>
      <c r="AY785" s="3">
        <f>AW785*1.03</f>
        <v>159803.04576704779</v>
      </c>
      <c r="AZ785" s="3">
        <f>AX785*1.03</f>
        <v>0</v>
      </c>
      <c r="BA785" s="3">
        <f>AY785*1.03</f>
        <v>164597.13714005923</v>
      </c>
      <c r="BC785" s="3">
        <f>BA785*1.03</f>
        <v>169535.05125426102</v>
      </c>
      <c r="BE785" s="3">
        <f>BC785*1.03</f>
        <v>174621.10279188887</v>
      </c>
    </row>
    <row r="786" spans="1:57" hidden="1" outlineLevel="1" x14ac:dyDescent="0.25">
      <c r="A786" s="3" t="s">
        <v>305</v>
      </c>
      <c r="B786" s="3">
        <v>10000</v>
      </c>
      <c r="D786" s="3">
        <v>1991</v>
      </c>
      <c r="E786" s="3">
        <f t="shared" si="456"/>
        <v>8009</v>
      </c>
      <c r="F786" s="3">
        <v>10000</v>
      </c>
      <c r="H786" s="3">
        <f t="shared" si="457"/>
        <v>0</v>
      </c>
      <c r="J786" s="3">
        <v>3845</v>
      </c>
      <c r="K786" s="4">
        <f t="shared" si="458"/>
        <v>6155</v>
      </c>
      <c r="L786" s="4">
        <v>10000</v>
      </c>
      <c r="N786" s="4">
        <f t="shared" si="459"/>
        <v>0</v>
      </c>
      <c r="P786" s="3">
        <v>15000</v>
      </c>
      <c r="R786" s="3">
        <v>27332</v>
      </c>
      <c r="S786" s="3">
        <f t="shared" si="460"/>
        <v>10168</v>
      </c>
      <c r="T786" s="3">
        <v>37500</v>
      </c>
      <c r="U786" s="3">
        <f t="shared" si="461"/>
        <v>22500</v>
      </c>
      <c r="V786" s="3">
        <f>6629-831+21535</f>
        <v>27333</v>
      </c>
      <c r="W786" s="3">
        <f t="shared" si="462"/>
        <v>12667</v>
      </c>
      <c r="Y786" s="3">
        <v>40000</v>
      </c>
      <c r="Z786" s="3">
        <f t="shared" si="463"/>
        <v>2500</v>
      </c>
      <c r="AC786" s="3">
        <f>27522+1111</f>
        <v>28633</v>
      </c>
      <c r="AD786" s="3">
        <f t="shared" si="464"/>
        <v>11367</v>
      </c>
      <c r="AE786" s="3">
        <v>40000</v>
      </c>
      <c r="AF786" s="3">
        <f t="shared" si="465"/>
        <v>0</v>
      </c>
      <c r="AI786" s="3">
        <v>15500</v>
      </c>
      <c r="AK786" s="3">
        <f t="shared" si="466"/>
        <v>15965</v>
      </c>
      <c r="AL786" s="3">
        <f t="shared" si="466"/>
        <v>0</v>
      </c>
      <c r="AM786" s="3">
        <f t="shared" si="466"/>
        <v>16443.95</v>
      </c>
      <c r="AN786" s="3">
        <f t="shared" si="466"/>
        <v>0</v>
      </c>
      <c r="AO786" s="3">
        <f t="shared" si="466"/>
        <v>16937.268500000002</v>
      </c>
      <c r="AP786" s="4">
        <f t="shared" si="466"/>
        <v>0</v>
      </c>
      <c r="AQ786" s="3">
        <f t="shared" si="466"/>
        <v>17445.386555000001</v>
      </c>
      <c r="AR786" s="3"/>
      <c r="AS786" s="3">
        <f t="shared" si="467"/>
        <v>17968.748151650001</v>
      </c>
      <c r="AT786" s="3">
        <f t="shared" si="467"/>
        <v>0</v>
      </c>
      <c r="AU786" s="3">
        <f t="shared" si="467"/>
        <v>18507.810596199502</v>
      </c>
      <c r="AV786" s="3">
        <f t="shared" si="467"/>
        <v>0</v>
      </c>
      <c r="AW786" s="3">
        <f t="shared" si="467"/>
        <v>19063.044914085487</v>
      </c>
      <c r="AX786" s="3"/>
      <c r="AY786" s="3">
        <f>AW786*1.03</f>
        <v>19634.936261508054</v>
      </c>
      <c r="AZ786" s="3">
        <f>AX786*1.03</f>
        <v>0</v>
      </c>
      <c r="BA786" s="3">
        <f t="shared" ref="BA786:BE797" si="468">AY786*1.03</f>
        <v>20223.984349353297</v>
      </c>
      <c r="BC786" s="3">
        <f t="shared" si="468"/>
        <v>20830.703879833898</v>
      </c>
      <c r="BE786" s="3">
        <f t="shared" si="468"/>
        <v>21455.624996228915</v>
      </c>
    </row>
    <row r="787" spans="1:57" hidden="1" outlineLevel="1" x14ac:dyDescent="0.25">
      <c r="A787" s="3" t="s">
        <v>571</v>
      </c>
      <c r="B787" s="3">
        <v>80000</v>
      </c>
      <c r="D787" s="3">
        <v>0</v>
      </c>
      <c r="E787" s="3">
        <f t="shared" si="456"/>
        <v>45000</v>
      </c>
      <c r="F787" s="3">
        <v>45000</v>
      </c>
      <c r="H787" s="3">
        <f t="shared" si="457"/>
        <v>-35000</v>
      </c>
      <c r="J787" s="3">
        <v>0</v>
      </c>
      <c r="K787" s="4">
        <f t="shared" si="458"/>
        <v>20000</v>
      </c>
      <c r="L787" s="4">
        <v>20000</v>
      </c>
      <c r="N787" s="4">
        <f t="shared" si="459"/>
        <v>-25000</v>
      </c>
      <c r="P787" s="3">
        <v>0</v>
      </c>
      <c r="S787" s="3">
        <f t="shared" si="460"/>
        <v>0</v>
      </c>
      <c r="U787" s="3">
        <f t="shared" si="461"/>
        <v>0</v>
      </c>
      <c r="V787" s="3">
        <v>2984</v>
      </c>
      <c r="W787" s="3">
        <f t="shared" si="462"/>
        <v>-2984</v>
      </c>
      <c r="Z787" s="3">
        <f t="shared" si="463"/>
        <v>0</v>
      </c>
      <c r="AD787" s="3">
        <f t="shared" si="464"/>
        <v>40000</v>
      </c>
      <c r="AE787" s="3">
        <v>40000</v>
      </c>
      <c r="AF787" s="3">
        <f t="shared" si="465"/>
        <v>40000</v>
      </c>
      <c r="AI787" s="3">
        <v>75000</v>
      </c>
      <c r="AK787" s="3">
        <f>AI787*1.03</f>
        <v>77250</v>
      </c>
      <c r="AM787" s="3">
        <f>AK787*1.03</f>
        <v>79567.5</v>
      </c>
      <c r="AN787" s="3">
        <f>AL787*1.03</f>
        <v>0</v>
      </c>
      <c r="AO787" s="3">
        <f>AM787*1.03</f>
        <v>81954.525000000009</v>
      </c>
      <c r="AP787" s="4">
        <f>AN787*1.03</f>
        <v>0</v>
      </c>
      <c r="AQ787" s="3">
        <f>AO787*1.03</f>
        <v>84413.16075000001</v>
      </c>
      <c r="AR787" s="3"/>
      <c r="AS787" s="3">
        <f t="shared" si="467"/>
        <v>86945.555572500016</v>
      </c>
      <c r="AT787" s="3">
        <f t="shared" si="467"/>
        <v>0</v>
      </c>
      <c r="AU787" s="3">
        <f t="shared" si="467"/>
        <v>89553.922239675012</v>
      </c>
      <c r="AV787" s="3">
        <f t="shared" si="467"/>
        <v>0</v>
      </c>
      <c r="AW787" s="3">
        <f t="shared" si="467"/>
        <v>92240.539906865262</v>
      </c>
      <c r="AX787" s="3"/>
      <c r="AY787" s="3">
        <f>AW787*1.03</f>
        <v>95007.756104071217</v>
      </c>
      <c r="AZ787" s="3">
        <f>AX787*1.03</f>
        <v>0</v>
      </c>
      <c r="BA787" s="3">
        <f t="shared" si="468"/>
        <v>97857.988787193361</v>
      </c>
      <c r="BC787" s="3">
        <f t="shared" si="468"/>
        <v>100793.72845080917</v>
      </c>
      <c r="BE787" s="3">
        <f t="shared" si="468"/>
        <v>103817.54030433345</v>
      </c>
    </row>
    <row r="788" spans="1:57" hidden="1" outlineLevel="1" x14ac:dyDescent="0.25">
      <c r="A788" s="3" t="s">
        <v>299</v>
      </c>
      <c r="B788" s="3">
        <v>2200</v>
      </c>
      <c r="D788" s="3">
        <v>110</v>
      </c>
      <c r="E788" s="3">
        <f t="shared" si="456"/>
        <v>2090</v>
      </c>
      <c r="F788" s="3">
        <v>2200</v>
      </c>
      <c r="H788" s="3">
        <f t="shared" si="457"/>
        <v>0</v>
      </c>
      <c r="J788" s="3">
        <v>701</v>
      </c>
      <c r="K788" s="4">
        <f t="shared" si="458"/>
        <v>1499</v>
      </c>
      <c r="L788" s="4">
        <v>2200</v>
      </c>
      <c r="N788" s="4">
        <f t="shared" si="459"/>
        <v>0</v>
      </c>
      <c r="P788" s="3">
        <f>L788*1.0281+38</f>
        <v>2299.8200000000002</v>
      </c>
      <c r="R788" s="3">
        <v>690</v>
      </c>
      <c r="S788" s="3">
        <f t="shared" si="460"/>
        <v>1610</v>
      </c>
      <c r="T788" s="3">
        <v>2300</v>
      </c>
      <c r="U788" s="3">
        <f t="shared" si="461"/>
        <v>0.17999999999983629</v>
      </c>
      <c r="V788" s="3">
        <f>2516+614</f>
        <v>3130</v>
      </c>
      <c r="W788" s="3">
        <f t="shared" si="462"/>
        <v>-830</v>
      </c>
      <c r="Y788" s="3">
        <v>2300</v>
      </c>
      <c r="Z788" s="3">
        <f t="shared" si="463"/>
        <v>0</v>
      </c>
      <c r="AC788" s="3">
        <f>2513+906</f>
        <v>3419</v>
      </c>
      <c r="AD788" s="3">
        <f t="shared" si="464"/>
        <v>581</v>
      </c>
      <c r="AE788" s="3">
        <v>4000</v>
      </c>
      <c r="AF788" s="3">
        <f t="shared" si="465"/>
        <v>1700</v>
      </c>
      <c r="AI788" s="3">
        <v>3500</v>
      </c>
      <c r="AK788" s="3">
        <f>AI788*1.03</f>
        <v>3605</v>
      </c>
      <c r="AM788" s="3">
        <f t="shared" ref="AM788:AM797" si="469">AK788*1.03</f>
        <v>3713.15</v>
      </c>
      <c r="AO788" s="3">
        <f t="shared" ref="AO788:AO797" si="470">AM788*1.03</f>
        <v>3824.5445</v>
      </c>
      <c r="AQ788" s="3">
        <f t="shared" ref="AQ788:AQ797" si="471">AO788*1.03</f>
        <v>3939.280835</v>
      </c>
      <c r="AS788" s="3">
        <f t="shared" ref="AS788:AS797" si="472">AQ788*1.03</f>
        <v>4057.45926005</v>
      </c>
      <c r="AU788" s="3">
        <f t="shared" ref="AU788:AU797" si="473">AS788*1.03</f>
        <v>4179.1830378515006</v>
      </c>
      <c r="AW788" s="3">
        <f t="shared" ref="AW788:AW797" si="474">AU788*1.03</f>
        <v>4304.558528987046</v>
      </c>
      <c r="AY788" s="3">
        <f t="shared" ref="AY788:AY797" si="475">AW788*1.03</f>
        <v>4433.6952848566571</v>
      </c>
      <c r="BA788" s="3">
        <f t="shared" si="468"/>
        <v>4566.7061434023572</v>
      </c>
      <c r="BC788" s="3">
        <f t="shared" si="468"/>
        <v>4703.7073277044283</v>
      </c>
      <c r="BE788" s="3">
        <f t="shared" si="468"/>
        <v>4844.8185475355613</v>
      </c>
    </row>
    <row r="789" spans="1:57" hidden="1" outlineLevel="1" x14ac:dyDescent="0.25">
      <c r="A789" s="3" t="s">
        <v>572</v>
      </c>
      <c r="B789" s="3">
        <v>11000</v>
      </c>
      <c r="D789" s="3">
        <v>2418</v>
      </c>
      <c r="E789" s="3">
        <f t="shared" si="456"/>
        <v>8582</v>
      </c>
      <c r="F789" s="3">
        <v>11000</v>
      </c>
      <c r="H789" s="3">
        <f t="shared" si="457"/>
        <v>0</v>
      </c>
      <c r="J789" s="3">
        <v>6606</v>
      </c>
      <c r="K789" s="4">
        <f t="shared" si="458"/>
        <v>4394</v>
      </c>
      <c r="L789" s="4">
        <v>11000</v>
      </c>
      <c r="N789" s="4">
        <f t="shared" si="459"/>
        <v>0</v>
      </c>
      <c r="P789" s="3">
        <f>L789*1.0281-9</f>
        <v>11300.1</v>
      </c>
      <c r="R789" s="3">
        <v>5724</v>
      </c>
      <c r="S789" s="3">
        <f t="shared" si="460"/>
        <v>5576</v>
      </c>
      <c r="T789" s="3">
        <v>11300</v>
      </c>
      <c r="U789" s="3">
        <f t="shared" si="461"/>
        <v>-0.1000000000003638</v>
      </c>
      <c r="V789" s="3">
        <v>7594</v>
      </c>
      <c r="W789" s="3">
        <f t="shared" si="462"/>
        <v>3706</v>
      </c>
      <c r="Y789" s="3">
        <v>11300</v>
      </c>
      <c r="Z789" s="3">
        <f t="shared" si="463"/>
        <v>0</v>
      </c>
      <c r="AC789" s="3">
        <f>9362+600</f>
        <v>9962</v>
      </c>
      <c r="AD789" s="3">
        <f t="shared" si="464"/>
        <v>2038</v>
      </c>
      <c r="AE789" s="3">
        <v>12000</v>
      </c>
      <c r="AF789" s="3">
        <f t="shared" si="465"/>
        <v>700</v>
      </c>
      <c r="AI789" s="3">
        <f>AE789*1.03-10-1000</f>
        <v>11350</v>
      </c>
      <c r="AK789" s="3">
        <f>AI789*1.03</f>
        <v>11690.5</v>
      </c>
      <c r="AM789" s="3">
        <f t="shared" si="469"/>
        <v>12041.215</v>
      </c>
      <c r="AO789" s="3">
        <f t="shared" si="470"/>
        <v>12402.45145</v>
      </c>
      <c r="AQ789" s="3">
        <f t="shared" si="471"/>
        <v>12774.524993500001</v>
      </c>
      <c r="AS789" s="3">
        <f t="shared" si="472"/>
        <v>13157.760743305002</v>
      </c>
      <c r="AU789" s="3">
        <f t="shared" si="473"/>
        <v>13552.493565604153</v>
      </c>
      <c r="AW789" s="3">
        <f t="shared" si="474"/>
        <v>13959.068372572277</v>
      </c>
      <c r="AY789" s="3">
        <f t="shared" si="475"/>
        <v>14377.840423749447</v>
      </c>
      <c r="BA789" s="3">
        <f t="shared" si="468"/>
        <v>14809.17563646193</v>
      </c>
      <c r="BC789" s="3">
        <f t="shared" si="468"/>
        <v>15253.450905555788</v>
      </c>
      <c r="BE789" s="3">
        <f t="shared" si="468"/>
        <v>15711.054432722462</v>
      </c>
    </row>
    <row r="790" spans="1:57" hidden="1" outlineLevel="1" x14ac:dyDescent="0.25">
      <c r="A790" s="3" t="s">
        <v>324</v>
      </c>
      <c r="B790" s="3">
        <v>1500</v>
      </c>
      <c r="D790" s="3">
        <v>208</v>
      </c>
      <c r="E790" s="3">
        <f t="shared" si="456"/>
        <v>1292</v>
      </c>
      <c r="F790" s="3">
        <v>1500</v>
      </c>
      <c r="H790" s="3">
        <f t="shared" si="457"/>
        <v>0</v>
      </c>
      <c r="J790" s="3">
        <v>450</v>
      </c>
      <c r="K790" s="4">
        <f t="shared" si="458"/>
        <v>1050</v>
      </c>
      <c r="L790" s="4">
        <v>1500</v>
      </c>
      <c r="N790" s="4">
        <f t="shared" si="459"/>
        <v>0</v>
      </c>
      <c r="P790" s="3">
        <f>L790*1.0281+8</f>
        <v>1550.15</v>
      </c>
      <c r="R790" s="3">
        <v>167</v>
      </c>
      <c r="S790" s="3">
        <f t="shared" si="460"/>
        <v>1383</v>
      </c>
      <c r="T790" s="3">
        <v>1550</v>
      </c>
      <c r="U790" s="3">
        <f t="shared" si="461"/>
        <v>-0.15000000000009095</v>
      </c>
      <c r="V790" s="3">
        <v>280</v>
      </c>
      <c r="W790" s="3">
        <f t="shared" si="462"/>
        <v>1270</v>
      </c>
      <c r="Y790" s="3">
        <v>1550</v>
      </c>
      <c r="Z790" s="3">
        <f t="shared" si="463"/>
        <v>0</v>
      </c>
      <c r="AC790" s="3">
        <v>530</v>
      </c>
      <c r="AD790" s="3">
        <f t="shared" si="464"/>
        <v>1020</v>
      </c>
      <c r="AE790" s="3">
        <v>1550</v>
      </c>
      <c r="AF790" s="3">
        <f t="shared" si="465"/>
        <v>0</v>
      </c>
      <c r="AI790" s="3">
        <f>AE790*1.03+3</f>
        <v>1599.5</v>
      </c>
      <c r="AK790" s="3">
        <f>AI790*1.03</f>
        <v>1647.4850000000001</v>
      </c>
      <c r="AM790" s="3">
        <f t="shared" si="469"/>
        <v>1696.9095500000001</v>
      </c>
      <c r="AO790" s="3">
        <f t="shared" si="470"/>
        <v>1747.8168365000001</v>
      </c>
      <c r="AQ790" s="3">
        <f t="shared" si="471"/>
        <v>1800.2513415950002</v>
      </c>
      <c r="AS790" s="3">
        <f t="shared" si="472"/>
        <v>1854.2588818428503</v>
      </c>
      <c r="AU790" s="3">
        <f t="shared" si="473"/>
        <v>1909.8866482981359</v>
      </c>
      <c r="AW790" s="3">
        <f t="shared" si="474"/>
        <v>1967.18324774708</v>
      </c>
      <c r="AY790" s="3">
        <f t="shared" si="475"/>
        <v>2026.1987451794926</v>
      </c>
      <c r="BA790" s="3">
        <f t="shared" si="468"/>
        <v>2086.9847075348775</v>
      </c>
      <c r="BC790" s="3">
        <f t="shared" si="468"/>
        <v>2149.5942487609241</v>
      </c>
      <c r="BE790" s="3">
        <f t="shared" si="468"/>
        <v>2214.0820762237518</v>
      </c>
    </row>
    <row r="791" spans="1:57" hidden="1" outlineLevel="1" x14ac:dyDescent="0.25">
      <c r="A791" s="3" t="s">
        <v>327</v>
      </c>
      <c r="B791" s="3">
        <v>8000</v>
      </c>
      <c r="D791" s="3">
        <v>1921</v>
      </c>
      <c r="E791" s="3">
        <f t="shared" si="456"/>
        <v>6079</v>
      </c>
      <c r="F791" s="3">
        <v>8000</v>
      </c>
      <c r="H791" s="3">
        <f t="shared" si="457"/>
        <v>0</v>
      </c>
      <c r="J791" s="3">
        <v>3315</v>
      </c>
      <c r="K791" s="4">
        <f t="shared" si="458"/>
        <v>4685</v>
      </c>
      <c r="L791" s="4">
        <v>8000</v>
      </c>
      <c r="N791" s="4">
        <f t="shared" si="459"/>
        <v>0</v>
      </c>
      <c r="P791" s="3">
        <f>L791*1.0281+25</f>
        <v>8249.7999999999993</v>
      </c>
      <c r="R791" s="3">
        <v>1374</v>
      </c>
      <c r="S791" s="3">
        <f t="shared" si="460"/>
        <v>6876</v>
      </c>
      <c r="T791" s="3">
        <v>8250</v>
      </c>
      <c r="U791" s="3">
        <f t="shared" si="461"/>
        <v>0.2000000000007276</v>
      </c>
      <c r="V791" s="3">
        <v>3514</v>
      </c>
      <c r="W791" s="3">
        <f t="shared" si="462"/>
        <v>4736</v>
      </c>
      <c r="Y791" s="3">
        <v>8250</v>
      </c>
      <c r="Z791" s="3">
        <f t="shared" si="463"/>
        <v>0</v>
      </c>
      <c r="AC791" s="3">
        <v>4994</v>
      </c>
      <c r="AD791" s="3">
        <f t="shared" si="464"/>
        <v>3256</v>
      </c>
      <c r="AE791" s="3">
        <v>8250</v>
      </c>
      <c r="AF791" s="3">
        <f t="shared" si="465"/>
        <v>0</v>
      </c>
      <c r="AI791" s="3">
        <f>AE791*1.03+2</f>
        <v>8499.5</v>
      </c>
      <c r="AK791" s="3">
        <f>AI791*1.03</f>
        <v>8754.4850000000006</v>
      </c>
      <c r="AM791" s="3">
        <f t="shared" si="469"/>
        <v>9017.1195500000013</v>
      </c>
      <c r="AO791" s="3">
        <f t="shared" si="470"/>
        <v>9287.6331365000024</v>
      </c>
      <c r="AQ791" s="3">
        <f t="shared" si="471"/>
        <v>9566.2621305950033</v>
      </c>
      <c r="AS791" s="3">
        <f t="shared" si="472"/>
        <v>9853.2499945128529</v>
      </c>
      <c r="AU791" s="3">
        <f t="shared" si="473"/>
        <v>10148.847494348238</v>
      </c>
      <c r="AW791" s="3">
        <f t="shared" si="474"/>
        <v>10453.312919178685</v>
      </c>
      <c r="AY791" s="3">
        <f t="shared" si="475"/>
        <v>10766.912306754046</v>
      </c>
      <c r="BA791" s="3">
        <f t="shared" si="468"/>
        <v>11089.919675956668</v>
      </c>
      <c r="BC791" s="3">
        <f t="shared" si="468"/>
        <v>11422.617266235367</v>
      </c>
      <c r="BE791" s="3">
        <f t="shared" si="468"/>
        <v>11765.29578422243</v>
      </c>
    </row>
    <row r="792" spans="1:57" hidden="1" outlineLevel="1" x14ac:dyDescent="0.25">
      <c r="A792" s="3" t="s">
        <v>464</v>
      </c>
      <c r="B792" s="3">
        <v>7100</v>
      </c>
      <c r="D792" s="3">
        <v>478</v>
      </c>
      <c r="E792" s="3">
        <f t="shared" si="456"/>
        <v>6622</v>
      </c>
      <c r="F792" s="3">
        <v>7100</v>
      </c>
      <c r="H792" s="3">
        <f t="shared" si="457"/>
        <v>0</v>
      </c>
      <c r="J792" s="3">
        <v>2091</v>
      </c>
      <c r="K792" s="4">
        <f t="shared" si="458"/>
        <v>5009</v>
      </c>
      <c r="L792" s="4">
        <v>7100</v>
      </c>
      <c r="N792" s="4">
        <f t="shared" si="459"/>
        <v>0</v>
      </c>
      <c r="P792" s="3">
        <f>L792*1.17+43</f>
        <v>8350</v>
      </c>
      <c r="R792" s="3">
        <v>1456</v>
      </c>
      <c r="S792" s="3">
        <f t="shared" si="460"/>
        <v>6894</v>
      </c>
      <c r="T792" s="3">
        <v>8350</v>
      </c>
      <c r="U792" s="3">
        <f t="shared" si="461"/>
        <v>0</v>
      </c>
      <c r="V792" s="3">
        <v>1456</v>
      </c>
      <c r="W792" s="3">
        <f t="shared" si="462"/>
        <v>6894</v>
      </c>
      <c r="Y792" s="3">
        <v>8350</v>
      </c>
      <c r="Z792" s="3">
        <f t="shared" si="463"/>
        <v>0</v>
      </c>
      <c r="AC792" s="3">
        <v>1454</v>
      </c>
      <c r="AD792" s="3">
        <f t="shared" si="464"/>
        <v>6546</v>
      </c>
      <c r="AE792" s="3">
        <v>8000</v>
      </c>
      <c r="AF792" s="3">
        <f t="shared" si="465"/>
        <v>-350</v>
      </c>
      <c r="AI792" s="3">
        <f>AE792*1.075</f>
        <v>8600</v>
      </c>
      <c r="AK792" s="3">
        <f>AI792*1.05</f>
        <v>9030</v>
      </c>
      <c r="AM792" s="3">
        <f t="shared" si="469"/>
        <v>9300.9</v>
      </c>
      <c r="AO792" s="3">
        <f t="shared" si="470"/>
        <v>9579.9269999999997</v>
      </c>
      <c r="AQ792" s="3">
        <f t="shared" si="471"/>
        <v>9867.3248100000001</v>
      </c>
      <c r="AS792" s="3">
        <f t="shared" si="472"/>
        <v>10163.3445543</v>
      </c>
      <c r="AU792" s="3">
        <f t="shared" si="473"/>
        <v>10468.244890929</v>
      </c>
      <c r="AW792" s="3">
        <f t="shared" si="474"/>
        <v>10782.292237656869</v>
      </c>
      <c r="AY792" s="3">
        <f t="shared" si="475"/>
        <v>11105.761004786576</v>
      </c>
      <c r="BA792" s="3">
        <f t="shared" si="468"/>
        <v>11438.933834930174</v>
      </c>
      <c r="BC792" s="3">
        <f t="shared" si="468"/>
        <v>11782.10184997808</v>
      </c>
      <c r="BE792" s="3">
        <f t="shared" si="468"/>
        <v>12135.564905477422</v>
      </c>
    </row>
    <row r="793" spans="1:57" hidden="1" outlineLevel="1" x14ac:dyDescent="0.25">
      <c r="A793" s="3" t="s">
        <v>573</v>
      </c>
      <c r="B793" s="3">
        <v>7400</v>
      </c>
      <c r="D793" s="3">
        <f>677+114+10</f>
        <v>801</v>
      </c>
      <c r="E793" s="3">
        <f t="shared" si="456"/>
        <v>6599</v>
      </c>
      <c r="F793" s="3">
        <v>7400</v>
      </c>
      <c r="H793" s="3">
        <f t="shared" si="457"/>
        <v>0</v>
      </c>
      <c r="J793" s="3">
        <v>1343</v>
      </c>
      <c r="K793" s="4">
        <f t="shared" si="458"/>
        <v>5557</v>
      </c>
      <c r="L793" s="4">
        <v>6900</v>
      </c>
      <c r="N793" s="4">
        <f t="shared" si="459"/>
        <v>-500</v>
      </c>
      <c r="P793" s="3">
        <f>L793*1.0281+6</f>
        <v>7099.89</v>
      </c>
      <c r="R793" s="3">
        <f>4006+427</f>
        <v>4433</v>
      </c>
      <c r="S793" s="3">
        <f t="shared" si="460"/>
        <v>2667</v>
      </c>
      <c r="T793" s="3">
        <v>7100</v>
      </c>
      <c r="U793" s="3">
        <f t="shared" si="461"/>
        <v>0.10999999999967258</v>
      </c>
      <c r="V793" s="3">
        <f>210+105+1706+1063+2949</f>
        <v>6033</v>
      </c>
      <c r="W793" s="3">
        <f t="shared" si="462"/>
        <v>1067</v>
      </c>
      <c r="Y793" s="3">
        <v>7100</v>
      </c>
      <c r="Z793" s="3">
        <f t="shared" si="463"/>
        <v>0</v>
      </c>
      <c r="AC793" s="3">
        <v>5509</v>
      </c>
      <c r="AD793" s="3">
        <f t="shared" si="464"/>
        <v>1591</v>
      </c>
      <c r="AE793" s="3">
        <v>7100</v>
      </c>
      <c r="AF793" s="3">
        <f t="shared" si="465"/>
        <v>0</v>
      </c>
      <c r="AI793" s="3">
        <f>AE793*1.03-13</f>
        <v>7300</v>
      </c>
      <c r="AK793" s="3">
        <f>AI793*1.03</f>
        <v>7519</v>
      </c>
      <c r="AM793" s="3">
        <f t="shared" si="469"/>
        <v>7744.5700000000006</v>
      </c>
      <c r="AO793" s="3">
        <f t="shared" si="470"/>
        <v>7976.9071000000013</v>
      </c>
      <c r="AQ793" s="3">
        <f t="shared" si="471"/>
        <v>8216.2143130000022</v>
      </c>
      <c r="AS793" s="3">
        <f t="shared" si="472"/>
        <v>8462.7007423900031</v>
      </c>
      <c r="AU793" s="3">
        <f t="shared" si="473"/>
        <v>8716.5817646617033</v>
      </c>
      <c r="AW793" s="3">
        <f t="shared" si="474"/>
        <v>8978.0792176015548</v>
      </c>
      <c r="AY793" s="3">
        <f t="shared" si="475"/>
        <v>9247.4215941296025</v>
      </c>
      <c r="BA793" s="3">
        <f t="shared" si="468"/>
        <v>9524.8442419534913</v>
      </c>
      <c r="BC793" s="3">
        <f t="shared" si="468"/>
        <v>9810.5895692120957</v>
      </c>
      <c r="BE793" s="3">
        <f t="shared" si="468"/>
        <v>10104.907256288459</v>
      </c>
    </row>
    <row r="794" spans="1:57" hidden="1" outlineLevel="1" x14ac:dyDescent="0.25">
      <c r="A794" s="3" t="s">
        <v>574</v>
      </c>
      <c r="B794" s="3">
        <v>10300</v>
      </c>
      <c r="D794" s="3">
        <v>4529</v>
      </c>
      <c r="E794" s="3">
        <f t="shared" si="456"/>
        <v>5771</v>
      </c>
      <c r="F794" s="3">
        <v>10300</v>
      </c>
      <c r="H794" s="3">
        <f t="shared" si="457"/>
        <v>0</v>
      </c>
      <c r="J794" s="3">
        <v>6105</v>
      </c>
      <c r="K794" s="4">
        <f t="shared" si="458"/>
        <v>4195</v>
      </c>
      <c r="L794" s="4">
        <v>10300</v>
      </c>
      <c r="N794" s="4">
        <f t="shared" si="459"/>
        <v>0</v>
      </c>
      <c r="P794" s="3">
        <f>L794*1.0281+11</f>
        <v>10600.43</v>
      </c>
      <c r="R794" s="3">
        <f>64+350+1062+771+86</f>
        <v>2333</v>
      </c>
      <c r="S794" s="3">
        <f t="shared" si="460"/>
        <v>8267</v>
      </c>
      <c r="T794" s="3">
        <v>10600</v>
      </c>
      <c r="U794" s="3">
        <f t="shared" si="461"/>
        <v>-0.43000000000029104</v>
      </c>
      <c r="V794" s="3">
        <f>679+205+8+285+720+1026+177</f>
        <v>3100</v>
      </c>
      <c r="W794" s="3">
        <f t="shared" si="462"/>
        <v>7500</v>
      </c>
      <c r="Y794" s="3">
        <v>10600</v>
      </c>
      <c r="Z794" s="3">
        <f t="shared" si="463"/>
        <v>0</v>
      </c>
      <c r="AC794" s="3">
        <v>12275</v>
      </c>
      <c r="AD794" s="3">
        <f t="shared" si="464"/>
        <v>2725</v>
      </c>
      <c r="AE794" s="3">
        <v>15000</v>
      </c>
      <c r="AF794" s="3">
        <f t="shared" si="465"/>
        <v>4400</v>
      </c>
      <c r="AI794" s="3">
        <f>AE794*1.03</f>
        <v>15450</v>
      </c>
      <c r="AK794" s="3">
        <f>AI794*1.03</f>
        <v>15913.5</v>
      </c>
      <c r="AM794" s="3">
        <f t="shared" si="469"/>
        <v>16390.904999999999</v>
      </c>
      <c r="AO794" s="3">
        <f t="shared" si="470"/>
        <v>16882.632149999998</v>
      </c>
      <c r="AQ794" s="3">
        <f t="shared" si="471"/>
        <v>17389.1111145</v>
      </c>
      <c r="AS794" s="3">
        <f t="shared" si="472"/>
        <v>17910.784447934999</v>
      </c>
      <c r="AU794" s="3">
        <f t="shared" si="473"/>
        <v>18448.10798137305</v>
      </c>
      <c r="AW794" s="3">
        <f t="shared" si="474"/>
        <v>19001.551220814243</v>
      </c>
      <c r="AY794" s="3">
        <f t="shared" si="475"/>
        <v>19571.597757438671</v>
      </c>
      <c r="BA794" s="3">
        <f t="shared" si="468"/>
        <v>20158.745690161832</v>
      </c>
      <c r="BC794" s="3">
        <f t="shared" si="468"/>
        <v>20763.508060866687</v>
      </c>
      <c r="BE794" s="3">
        <f t="shared" si="468"/>
        <v>21386.413302692687</v>
      </c>
    </row>
    <row r="795" spans="1:57" hidden="1" outlineLevel="1" x14ac:dyDescent="0.25">
      <c r="A795" s="3" t="s">
        <v>575</v>
      </c>
      <c r="B795" s="3">
        <v>30300</v>
      </c>
      <c r="D795" s="3">
        <v>5524</v>
      </c>
      <c r="E795" s="3">
        <f t="shared" si="456"/>
        <v>24776</v>
      </c>
      <c r="F795" s="3">
        <v>30300</v>
      </c>
      <c r="H795" s="3">
        <f t="shared" si="457"/>
        <v>0</v>
      </c>
      <c r="J795" s="3">
        <v>13245</v>
      </c>
      <c r="K795" s="4">
        <f t="shared" si="458"/>
        <v>17055</v>
      </c>
      <c r="L795" s="4">
        <v>30300</v>
      </c>
      <c r="N795" s="4">
        <f t="shared" si="459"/>
        <v>0</v>
      </c>
      <c r="P795" s="3">
        <f>L795*1.0281-1</f>
        <v>31150.43</v>
      </c>
      <c r="R795" s="3">
        <v>7004</v>
      </c>
      <c r="S795" s="3">
        <f t="shared" si="460"/>
        <v>24146</v>
      </c>
      <c r="T795" s="3">
        <v>31150</v>
      </c>
      <c r="U795" s="3">
        <f t="shared" si="461"/>
        <v>-0.43000000000029104</v>
      </c>
      <c r="V795" s="3">
        <f>5704+11279</f>
        <v>16983</v>
      </c>
      <c r="W795" s="3">
        <f t="shared" si="462"/>
        <v>14167</v>
      </c>
      <c r="Y795" s="3">
        <v>31150</v>
      </c>
      <c r="Z795" s="3">
        <f t="shared" si="463"/>
        <v>0</v>
      </c>
      <c r="AC795" s="3">
        <v>21051</v>
      </c>
      <c r="AD795" s="3">
        <f t="shared" si="464"/>
        <v>9949</v>
      </c>
      <c r="AE795" s="3">
        <v>31000</v>
      </c>
      <c r="AF795" s="3">
        <f t="shared" si="465"/>
        <v>-150</v>
      </c>
      <c r="AI795" s="3">
        <f>AE795*1.03+20</f>
        <v>31950</v>
      </c>
      <c r="AK795" s="3">
        <f>AI795*1.03</f>
        <v>32908.5</v>
      </c>
      <c r="AM795" s="3">
        <f t="shared" si="469"/>
        <v>33895.754999999997</v>
      </c>
      <c r="AO795" s="3">
        <f t="shared" si="470"/>
        <v>34912.627649999995</v>
      </c>
      <c r="AQ795" s="3">
        <f t="shared" si="471"/>
        <v>35960.006479499993</v>
      </c>
      <c r="AS795" s="3">
        <f t="shared" si="472"/>
        <v>37038.806673884996</v>
      </c>
      <c r="AU795" s="3">
        <f t="shared" si="473"/>
        <v>38149.970874101549</v>
      </c>
      <c r="AW795" s="3">
        <f t="shared" si="474"/>
        <v>39294.470000324596</v>
      </c>
      <c r="AY795" s="3">
        <f t="shared" si="475"/>
        <v>40473.304100334339</v>
      </c>
      <c r="BA795" s="3">
        <f t="shared" si="468"/>
        <v>41687.503223344371</v>
      </c>
      <c r="BC795" s="3">
        <f t="shared" si="468"/>
        <v>42938.1283200447</v>
      </c>
      <c r="BE795" s="3">
        <f t="shared" si="468"/>
        <v>44226.272169646043</v>
      </c>
    </row>
    <row r="796" spans="1:57" hidden="1" outlineLevel="1" x14ac:dyDescent="0.25">
      <c r="A796" s="3" t="s">
        <v>467</v>
      </c>
      <c r="B796" s="3">
        <v>2600</v>
      </c>
      <c r="D796" s="3">
        <v>283</v>
      </c>
      <c r="E796" s="3">
        <f t="shared" si="456"/>
        <v>2317</v>
      </c>
      <c r="F796" s="3">
        <v>2600</v>
      </c>
      <c r="H796" s="3">
        <f t="shared" si="457"/>
        <v>0</v>
      </c>
      <c r="J796" s="3">
        <v>626</v>
      </c>
      <c r="K796" s="4">
        <f t="shared" si="458"/>
        <v>1974</v>
      </c>
      <c r="L796" s="4">
        <v>2600</v>
      </c>
      <c r="N796" s="4">
        <f t="shared" si="459"/>
        <v>0</v>
      </c>
      <c r="P796" s="3">
        <f>L796*1.0281+27</f>
        <v>2700.06</v>
      </c>
      <c r="R796" s="3">
        <v>480</v>
      </c>
      <c r="S796" s="3">
        <f t="shared" si="460"/>
        <v>2220</v>
      </c>
      <c r="T796" s="3">
        <v>2700</v>
      </c>
      <c r="U796" s="3">
        <f t="shared" si="461"/>
        <v>-5.999999999994543E-2</v>
      </c>
      <c r="V796" s="3">
        <v>923</v>
      </c>
      <c r="W796" s="3">
        <f t="shared" si="462"/>
        <v>1777</v>
      </c>
      <c r="Y796" s="3">
        <v>2700</v>
      </c>
      <c r="Z796" s="3">
        <f t="shared" si="463"/>
        <v>0</v>
      </c>
      <c r="AC796" s="3">
        <f>2378+482</f>
        <v>2860</v>
      </c>
      <c r="AD796" s="3">
        <f t="shared" si="464"/>
        <v>890</v>
      </c>
      <c r="AE796" s="3">
        <v>3750</v>
      </c>
      <c r="AF796" s="3">
        <f t="shared" si="465"/>
        <v>1050</v>
      </c>
      <c r="AI796" s="3">
        <f>P796*1.03+19</f>
        <v>2800.0617999999999</v>
      </c>
      <c r="AK796" s="3">
        <f>AI796*1.03</f>
        <v>2884.063654</v>
      </c>
      <c r="AM796" s="3">
        <f t="shared" si="469"/>
        <v>2970.5855636199999</v>
      </c>
      <c r="AO796" s="3">
        <f t="shared" si="470"/>
        <v>3059.7031305286</v>
      </c>
      <c r="AQ796" s="3">
        <f t="shared" si="471"/>
        <v>3151.4942244444583</v>
      </c>
      <c r="AS796" s="3">
        <f t="shared" si="472"/>
        <v>3246.0390511777923</v>
      </c>
      <c r="AU796" s="3">
        <f t="shared" si="473"/>
        <v>3343.4202227131263</v>
      </c>
      <c r="AW796" s="3">
        <f t="shared" si="474"/>
        <v>3443.7228293945204</v>
      </c>
      <c r="AY796" s="3">
        <f t="shared" si="475"/>
        <v>3547.0345142763563</v>
      </c>
      <c r="BA796" s="3">
        <f t="shared" si="468"/>
        <v>3653.445549704647</v>
      </c>
      <c r="BC796" s="3">
        <f t="shared" si="468"/>
        <v>3763.0489161957867</v>
      </c>
      <c r="BE796" s="3">
        <f t="shared" si="468"/>
        <v>3875.9403836816605</v>
      </c>
    </row>
    <row r="797" spans="1:57" hidden="1" outlineLevel="1" x14ac:dyDescent="0.25">
      <c r="A797" s="3" t="s">
        <v>576</v>
      </c>
      <c r="B797" s="3">
        <v>2750</v>
      </c>
      <c r="D797" s="3">
        <v>2749</v>
      </c>
      <c r="E797" s="3">
        <f t="shared" si="456"/>
        <v>1</v>
      </c>
      <c r="F797" s="3">
        <v>2750</v>
      </c>
      <c r="H797" s="3">
        <f t="shared" si="457"/>
        <v>0</v>
      </c>
      <c r="J797" s="3">
        <v>2749</v>
      </c>
      <c r="K797" s="4">
        <f t="shared" si="458"/>
        <v>1</v>
      </c>
      <c r="L797" s="4">
        <v>2750</v>
      </c>
      <c r="N797" s="4">
        <f t="shared" si="459"/>
        <v>0</v>
      </c>
      <c r="P797" s="3">
        <v>4850</v>
      </c>
      <c r="R797" s="3">
        <v>2850</v>
      </c>
      <c r="S797" s="3">
        <f t="shared" si="460"/>
        <v>0</v>
      </c>
      <c r="T797" s="3">
        <v>2850</v>
      </c>
      <c r="U797" s="3">
        <f t="shared" si="461"/>
        <v>-2000</v>
      </c>
      <c r="V797" s="3">
        <v>2850</v>
      </c>
      <c r="W797" s="3">
        <f t="shared" si="462"/>
        <v>0</v>
      </c>
      <c r="Y797" s="3">
        <v>2850</v>
      </c>
      <c r="Z797" s="3">
        <f t="shared" si="463"/>
        <v>0</v>
      </c>
      <c r="AC797" s="3">
        <v>2848</v>
      </c>
      <c r="AD797" s="3">
        <f t="shared" si="464"/>
        <v>2</v>
      </c>
      <c r="AE797" s="3">
        <v>2850</v>
      </c>
      <c r="AF797" s="3">
        <f t="shared" si="465"/>
        <v>0</v>
      </c>
      <c r="AI797" s="3">
        <f>AE797*1.03+14</f>
        <v>2949.5</v>
      </c>
      <c r="AK797" s="3">
        <f>AI797*1.03</f>
        <v>3037.9850000000001</v>
      </c>
      <c r="AM797" s="3">
        <f t="shared" si="469"/>
        <v>3129.12455</v>
      </c>
      <c r="AO797" s="3">
        <f t="shared" si="470"/>
        <v>3222.9982865000002</v>
      </c>
      <c r="AQ797" s="3">
        <f t="shared" si="471"/>
        <v>3319.6882350950004</v>
      </c>
      <c r="AS797" s="3">
        <f t="shared" si="472"/>
        <v>3419.2788821478507</v>
      </c>
      <c r="AU797" s="3">
        <f t="shared" si="473"/>
        <v>3521.8572486122862</v>
      </c>
      <c r="AW797" s="3">
        <f t="shared" si="474"/>
        <v>3627.5129660706548</v>
      </c>
      <c r="AY797" s="3">
        <f t="shared" si="475"/>
        <v>3736.3383550527747</v>
      </c>
      <c r="BA797" s="3">
        <f t="shared" si="468"/>
        <v>3848.428505704358</v>
      </c>
      <c r="BC797" s="3">
        <f t="shared" si="468"/>
        <v>3963.881360875489</v>
      </c>
      <c r="BE797" s="3">
        <f t="shared" si="468"/>
        <v>4082.797801701754</v>
      </c>
    </row>
    <row r="798" spans="1:57" hidden="1" outlineLevel="1" x14ac:dyDescent="0.25">
      <c r="A798" s="3" t="s">
        <v>577</v>
      </c>
      <c r="B798" s="3">
        <v>25950</v>
      </c>
      <c r="D798" s="3">
        <v>0</v>
      </c>
      <c r="E798" s="3">
        <f t="shared" si="456"/>
        <v>25950</v>
      </c>
      <c r="F798" s="3">
        <v>25950</v>
      </c>
      <c r="H798" s="3">
        <f t="shared" si="457"/>
        <v>0</v>
      </c>
      <c r="J798" s="3">
        <v>0</v>
      </c>
      <c r="K798" s="4">
        <f t="shared" si="458"/>
        <v>25950</v>
      </c>
      <c r="L798" s="4">
        <v>25950</v>
      </c>
      <c r="N798" s="4">
        <f t="shared" si="459"/>
        <v>0</v>
      </c>
      <c r="P798" s="3">
        <v>26750</v>
      </c>
      <c r="R798" s="3">
        <v>0</v>
      </c>
      <c r="S798" s="3">
        <f t="shared" si="460"/>
        <v>26750</v>
      </c>
      <c r="T798" s="3">
        <v>26750</v>
      </c>
      <c r="U798" s="3">
        <f t="shared" si="461"/>
        <v>0</v>
      </c>
      <c r="V798" s="3">
        <v>0</v>
      </c>
      <c r="W798" s="3">
        <f t="shared" si="462"/>
        <v>26750</v>
      </c>
      <c r="Y798" s="3">
        <v>26750</v>
      </c>
      <c r="Z798" s="3">
        <f t="shared" si="463"/>
        <v>0</v>
      </c>
      <c r="AC798" s="3">
        <v>0</v>
      </c>
      <c r="AD798" s="3">
        <f t="shared" si="464"/>
        <v>26750</v>
      </c>
      <c r="AE798" s="3">
        <v>26750</v>
      </c>
      <c r="AF798" s="3">
        <f t="shared" si="465"/>
        <v>0</v>
      </c>
      <c r="AI798" s="3">
        <f>AE798*1.05+12</f>
        <v>28099.5</v>
      </c>
      <c r="AK798" s="3">
        <f>AI798*1.05</f>
        <v>29504.475000000002</v>
      </c>
      <c r="AM798" s="3">
        <f>AK798*1.05</f>
        <v>30979.698750000003</v>
      </c>
      <c r="AO798" s="3">
        <f>AM798*1.05</f>
        <v>32528.683687500004</v>
      </c>
      <c r="AQ798" s="3">
        <f>AO798*1.05</f>
        <v>34155.117871875009</v>
      </c>
      <c r="AS798" s="3">
        <f>AQ798*1.05</f>
        <v>35862.873765468757</v>
      </c>
      <c r="AU798" s="3">
        <f>AS798*1.05</f>
        <v>37656.017453742199</v>
      </c>
      <c r="AW798" s="3">
        <f>AU798*1.05</f>
        <v>39538.818326429311</v>
      </c>
      <c r="AY798" s="3">
        <f>AW798*1.05</f>
        <v>41515.759242750777</v>
      </c>
      <c r="BA798" s="3">
        <f>AY798*1.05</f>
        <v>43591.547204888317</v>
      </c>
      <c r="BC798" s="3">
        <f>BA798*1.05</f>
        <v>45771.124565132734</v>
      </c>
      <c r="BE798" s="3">
        <f>BC798*1.05</f>
        <v>48059.680793389372</v>
      </c>
    </row>
    <row r="799" spans="1:57" hidden="1" outlineLevel="1" x14ac:dyDescent="0.25">
      <c r="A799" s="3" t="s">
        <v>578</v>
      </c>
      <c r="B799" s="3">
        <v>1000</v>
      </c>
      <c r="D799" s="3">
        <v>0</v>
      </c>
      <c r="E799" s="3">
        <f t="shared" si="456"/>
        <v>1000</v>
      </c>
      <c r="F799" s="3">
        <v>1000</v>
      </c>
      <c r="H799" s="3">
        <f t="shared" si="457"/>
        <v>0</v>
      </c>
      <c r="K799" s="4">
        <f t="shared" si="458"/>
        <v>1000</v>
      </c>
      <c r="L799" s="4">
        <v>1000</v>
      </c>
      <c r="N799" s="4">
        <f t="shared" si="459"/>
        <v>0</v>
      </c>
      <c r="P799" s="3">
        <v>1000</v>
      </c>
      <c r="R799" s="3">
        <v>0</v>
      </c>
      <c r="S799" s="3">
        <f t="shared" si="460"/>
        <v>1000</v>
      </c>
      <c r="T799" s="3">
        <v>1000</v>
      </c>
      <c r="U799" s="3">
        <f t="shared" si="461"/>
        <v>0</v>
      </c>
      <c r="V799" s="3">
        <v>0</v>
      </c>
      <c r="W799" s="3">
        <f t="shared" si="462"/>
        <v>1000</v>
      </c>
      <c r="Y799" s="3">
        <v>1000</v>
      </c>
      <c r="Z799" s="3">
        <f t="shared" si="463"/>
        <v>0</v>
      </c>
      <c r="AC799" s="3">
        <v>0</v>
      </c>
      <c r="AD799" s="3">
        <f t="shared" si="464"/>
        <v>0</v>
      </c>
      <c r="AE799" s="3">
        <v>0</v>
      </c>
      <c r="AF799" s="3">
        <f t="shared" si="465"/>
        <v>-1000</v>
      </c>
      <c r="BC799" s="3"/>
      <c r="BE799" s="3"/>
    </row>
    <row r="800" spans="1:57" hidden="1" outlineLevel="1" x14ac:dyDescent="0.25">
      <c r="A800" s="3" t="s">
        <v>579</v>
      </c>
      <c r="K800" s="4"/>
      <c r="L800" s="4"/>
      <c r="N800" s="4"/>
      <c r="S800" s="3">
        <f>T800-R800</f>
        <v>800</v>
      </c>
      <c r="T800" s="3">
        <v>800</v>
      </c>
      <c r="U800" s="3">
        <f>T800-P800</f>
        <v>800</v>
      </c>
      <c r="V800" s="3">
        <v>0</v>
      </c>
      <c r="W800" s="3">
        <f t="shared" si="462"/>
        <v>800</v>
      </c>
      <c r="Y800" s="3">
        <v>800</v>
      </c>
      <c r="Z800" s="3">
        <f t="shared" si="463"/>
        <v>0</v>
      </c>
      <c r="AC800" s="3">
        <v>0</v>
      </c>
      <c r="AD800" s="3">
        <f t="shared" si="464"/>
        <v>800</v>
      </c>
      <c r="AE800" s="3">
        <v>800</v>
      </c>
      <c r="AF800" s="3">
        <f t="shared" si="465"/>
        <v>0</v>
      </c>
      <c r="AI800" s="3">
        <f>AE800*1.03+26</f>
        <v>850</v>
      </c>
      <c r="AK800" s="3">
        <f>AI800*1.03</f>
        <v>875.5</v>
      </c>
      <c r="AM800" s="3">
        <f>AK800*1.03</f>
        <v>901.76499999999999</v>
      </c>
      <c r="AO800" s="3">
        <f>AM800*1.03</f>
        <v>928.81795</v>
      </c>
      <c r="AQ800" s="3">
        <f>AO800*1.03</f>
        <v>956.68248849999998</v>
      </c>
      <c r="AS800" s="3">
        <f>AQ800*1.03</f>
        <v>985.38296315499997</v>
      </c>
      <c r="AU800" s="3">
        <f>AS800*1.03</f>
        <v>1014.94445204965</v>
      </c>
      <c r="AW800" s="3">
        <f>AU800*1.03</f>
        <v>1045.3927856111395</v>
      </c>
      <c r="AY800" s="3">
        <f>AW800*1.03</f>
        <v>1076.7545691794737</v>
      </c>
      <c r="BA800" s="3">
        <f>AY800*1.03</f>
        <v>1109.0572062548579</v>
      </c>
      <c r="BC800" s="3">
        <f>BA800*1.03</f>
        <v>1142.3289224425037</v>
      </c>
      <c r="BE800" s="3">
        <f>BC800*1.03</f>
        <v>1176.5987901157787</v>
      </c>
    </row>
    <row r="801" spans="1:1015 1029:2039 2053:3063 3077:4087 4101:5111 5125:6135 6149:7159 7173:8183 8197:9207 9221:10231 10245:11255 11269:12279 12293:13303 13317:14327 14341:15351 15365:16373" hidden="1" outlineLevel="1" x14ac:dyDescent="0.25">
      <c r="A801" s="3" t="s">
        <v>580</v>
      </c>
      <c r="K801" s="4"/>
      <c r="L801" s="4"/>
      <c r="N801" s="4"/>
      <c r="AI801" s="3">
        <v>0</v>
      </c>
      <c r="AK801" s="3">
        <f>3760-10</f>
        <v>3750</v>
      </c>
      <c r="AM801" s="3">
        <f>3760-10</f>
        <v>3750</v>
      </c>
      <c r="AO801" s="3">
        <f>3760-10</f>
        <v>3750</v>
      </c>
      <c r="AQ801" s="3">
        <f>3760-10</f>
        <v>3750</v>
      </c>
      <c r="AS801" s="3">
        <f>3760-10</f>
        <v>3750</v>
      </c>
      <c r="AU801" s="3">
        <f>3760-10</f>
        <v>3750</v>
      </c>
      <c r="AW801" s="3">
        <f>3760-10</f>
        <v>3750</v>
      </c>
      <c r="AY801" s="3">
        <f>3760-10</f>
        <v>3750</v>
      </c>
      <c r="BA801" s="3">
        <f>3760-10</f>
        <v>3750</v>
      </c>
      <c r="BC801" s="3">
        <f>3760-10</f>
        <v>3750</v>
      </c>
      <c r="BE801" s="3">
        <f>3760-10</f>
        <v>3750</v>
      </c>
    </row>
    <row r="802" spans="1:1015 1029:2039 2053:3063 3077:4087 4101:5111 5125:6135 6149:7159 7173:8183 8197:9207 9221:10231 10245:11255 11269:12279 12293:13303 13317:14327 14341:15351 15365:16373" hidden="1" outlineLevel="1" x14ac:dyDescent="0.25">
      <c r="A802" s="3" t="s">
        <v>581</v>
      </c>
      <c r="K802" s="4"/>
      <c r="L802" s="4"/>
      <c r="N802" s="4"/>
      <c r="AI802" s="3">
        <v>600</v>
      </c>
      <c r="BC802" s="3"/>
      <c r="BE802" s="3"/>
    </row>
    <row r="803" spans="1:1015 1029:2039 2053:3063 3077:4087 4101:5111 5125:6135 6149:7159 7173:8183 8197:9207 9221:10231 10245:11255 11269:12279 12293:13303 13317:14327 14341:15351 15365:16373" hidden="1" outlineLevel="1" x14ac:dyDescent="0.25">
      <c r="A803" s="3" t="s">
        <v>260</v>
      </c>
      <c r="B803" s="3">
        <v>17500</v>
      </c>
      <c r="D803" s="3">
        <v>0</v>
      </c>
      <c r="E803" s="3">
        <f t="shared" si="456"/>
        <v>17500</v>
      </c>
      <c r="F803" s="3">
        <v>17500</v>
      </c>
      <c r="H803" s="3">
        <f t="shared" si="457"/>
        <v>0</v>
      </c>
      <c r="J803" s="3">
        <v>0</v>
      </c>
      <c r="K803" s="4">
        <f t="shared" si="458"/>
        <v>17500</v>
      </c>
      <c r="L803" s="4">
        <v>17500</v>
      </c>
      <c r="N803" s="4">
        <f t="shared" si="459"/>
        <v>0</v>
      </c>
      <c r="P803" s="3">
        <v>17500</v>
      </c>
      <c r="R803" s="3">
        <v>0</v>
      </c>
      <c r="S803" s="3">
        <f t="shared" si="460"/>
        <v>17500</v>
      </c>
      <c r="T803" s="3">
        <v>17500</v>
      </c>
      <c r="U803" s="3">
        <f t="shared" si="461"/>
        <v>0</v>
      </c>
      <c r="V803" s="3">
        <v>0</v>
      </c>
      <c r="W803" s="3">
        <f t="shared" si="462"/>
        <v>0</v>
      </c>
      <c r="Y803" s="3">
        <v>0</v>
      </c>
      <c r="Z803" s="3">
        <f t="shared" si="463"/>
        <v>-17500</v>
      </c>
      <c r="AC803" s="3">
        <v>0</v>
      </c>
      <c r="AD803" s="3">
        <f t="shared" si="464"/>
        <v>0</v>
      </c>
      <c r="AE803" s="3">
        <v>0</v>
      </c>
      <c r="AF803" s="3">
        <f t="shared" si="465"/>
        <v>0</v>
      </c>
      <c r="BC803" s="3"/>
      <c r="BE803" s="3"/>
    </row>
    <row r="804" spans="1:1015 1029:2039 2053:3063 3077:4087 4101:5111 5125:6135 6149:7159 7173:8183 8197:9207 9221:10231 10245:11255 11269:12279 12293:13303 13317:14327 14341:15351 15365:16373" hidden="1" outlineLevel="1" x14ac:dyDescent="0.25">
      <c r="A804" s="267" t="s">
        <v>289</v>
      </c>
      <c r="B804" s="3">
        <v>5750</v>
      </c>
      <c r="D804" s="3">
        <v>0</v>
      </c>
      <c r="E804" s="3">
        <f t="shared" si="456"/>
        <v>5750</v>
      </c>
      <c r="F804" s="3">
        <v>5750</v>
      </c>
      <c r="H804" s="3">
        <f t="shared" si="457"/>
        <v>0</v>
      </c>
      <c r="J804" s="3">
        <v>0</v>
      </c>
      <c r="K804" s="4">
        <f t="shared" si="458"/>
        <v>5750</v>
      </c>
      <c r="L804" s="4">
        <v>5750</v>
      </c>
      <c r="N804" s="4">
        <f t="shared" si="459"/>
        <v>0</v>
      </c>
      <c r="P804" s="3">
        <v>5750</v>
      </c>
      <c r="R804" s="3">
        <v>0</v>
      </c>
      <c r="S804" s="3">
        <f t="shared" si="460"/>
        <v>5750</v>
      </c>
      <c r="T804" s="3">
        <v>5750</v>
      </c>
      <c r="U804" s="3">
        <f t="shared" si="461"/>
        <v>0</v>
      </c>
      <c r="V804" s="3">
        <v>0</v>
      </c>
      <c r="W804" s="3">
        <f t="shared" si="462"/>
        <v>5750</v>
      </c>
      <c r="Y804" s="3">
        <v>5750</v>
      </c>
      <c r="Z804" s="3">
        <f>Y804-T804</f>
        <v>0</v>
      </c>
      <c r="AC804" s="3">
        <v>0</v>
      </c>
      <c r="AD804" s="3">
        <f t="shared" si="464"/>
        <v>5750</v>
      </c>
      <c r="AE804" s="3">
        <v>5750</v>
      </c>
      <c r="AF804" s="3">
        <f t="shared" si="465"/>
        <v>0</v>
      </c>
      <c r="AI804" s="3">
        <v>5750</v>
      </c>
      <c r="AK804" s="3">
        <v>5750</v>
      </c>
      <c r="AM804" s="3">
        <v>5750</v>
      </c>
      <c r="AO804" s="3">
        <v>5750</v>
      </c>
      <c r="AQ804" s="3">
        <v>5750</v>
      </c>
      <c r="AS804" s="3">
        <v>5750</v>
      </c>
      <c r="AU804" s="3">
        <v>5750</v>
      </c>
      <c r="AW804" s="3">
        <v>5750</v>
      </c>
      <c r="AY804" s="3">
        <v>5750</v>
      </c>
      <c r="BA804" s="3">
        <v>5750</v>
      </c>
      <c r="BC804" s="3">
        <v>5750</v>
      </c>
      <c r="BE804" s="3">
        <v>5750</v>
      </c>
      <c r="BI804" s="268"/>
      <c r="BJ804" s="268"/>
      <c r="BK804" s="268"/>
      <c r="BL804" s="268"/>
      <c r="BM804" s="268"/>
      <c r="BN804" s="268"/>
      <c r="BO804" s="268"/>
      <c r="BP804" s="268"/>
      <c r="BQ804" s="268"/>
      <c r="BR804" s="268"/>
      <c r="BS804" s="268"/>
      <c r="BT804" s="268"/>
      <c r="BU804" s="268"/>
      <c r="BV804" s="268"/>
      <c r="BW804" s="268"/>
      <c r="BX804" s="268"/>
      <c r="BY804" s="268"/>
      <c r="BZ804" s="268"/>
      <c r="CA804" s="268"/>
      <c r="CB804" s="268"/>
      <c r="CC804" s="268"/>
      <c r="CD804" s="268"/>
      <c r="CE804" s="268"/>
      <c r="CF804" s="268"/>
      <c r="CG804" s="268"/>
      <c r="CH804" s="268"/>
      <c r="CI804" s="268"/>
      <c r="CJ804" s="268"/>
      <c r="CK804" s="268"/>
      <c r="CL804" s="268"/>
      <c r="CM804" s="268"/>
      <c r="CN804" s="268"/>
      <c r="CO804" s="268"/>
      <c r="CP804" s="268"/>
      <c r="CQ804" s="268"/>
      <c r="CR804" s="268"/>
      <c r="CS804" s="268"/>
      <c r="CT804" s="268"/>
      <c r="CU804" s="268"/>
      <c r="CV804" s="268"/>
      <c r="CW804" s="268"/>
      <c r="CX804" s="268"/>
      <c r="CY804" s="268"/>
      <c r="CZ804" s="268"/>
      <c r="DA804" s="268"/>
      <c r="DB804" s="268"/>
      <c r="DC804" s="268"/>
      <c r="DD804" s="268"/>
      <c r="DE804" s="268"/>
      <c r="DF804" s="268"/>
      <c r="DG804" s="268"/>
      <c r="DH804" s="268"/>
      <c r="DI804" s="268"/>
      <c r="DJ804" s="268"/>
      <c r="DK804" s="268"/>
      <c r="DL804" s="268"/>
      <c r="DM804" s="268"/>
      <c r="DN804" s="268"/>
      <c r="DO804" s="268"/>
      <c r="DP804" s="268"/>
      <c r="DQ804" s="268"/>
      <c r="DR804" s="268"/>
      <c r="DS804" s="268"/>
      <c r="DT804" s="268"/>
      <c r="DU804" s="268"/>
      <c r="DV804" s="268"/>
      <c r="DW804" s="268"/>
      <c r="DX804" s="268"/>
      <c r="DY804" s="268"/>
      <c r="DZ804" s="268"/>
      <c r="EA804" s="268"/>
      <c r="EB804" s="268"/>
      <c r="EC804" s="268"/>
      <c r="ED804" s="268"/>
      <c r="EE804" s="268"/>
      <c r="EF804" s="268"/>
      <c r="EG804" s="268"/>
      <c r="EH804" s="268"/>
      <c r="EI804" s="268"/>
      <c r="EJ804" s="268"/>
      <c r="EK804" s="268"/>
      <c r="EL804" s="268"/>
      <c r="EM804" s="268"/>
      <c r="EN804" s="268"/>
      <c r="EO804" s="268"/>
      <c r="EP804" s="268"/>
      <c r="EQ804" s="268"/>
      <c r="ER804" s="268"/>
      <c r="ES804" s="268"/>
      <c r="ET804" s="268"/>
      <c r="EU804" s="268"/>
      <c r="EV804" s="268"/>
      <c r="EW804" s="268"/>
      <c r="EX804" s="268"/>
      <c r="EY804" s="268"/>
      <c r="EZ804" s="268"/>
      <c r="FA804" s="268"/>
      <c r="FB804" s="268"/>
      <c r="FC804" s="268"/>
      <c r="FD804" s="268"/>
      <c r="FE804" s="268"/>
      <c r="FF804" s="268"/>
      <c r="FG804" s="268"/>
      <c r="FH804" s="268"/>
      <c r="FI804" s="268"/>
      <c r="FJ804" s="268"/>
      <c r="FK804" s="268"/>
      <c r="FL804" s="268"/>
      <c r="FM804" s="268"/>
      <c r="FN804" s="268"/>
      <c r="FO804" s="268"/>
      <c r="FP804" s="268"/>
      <c r="FQ804" s="268"/>
      <c r="FR804" s="268"/>
      <c r="FS804" s="268"/>
      <c r="FT804" s="268"/>
      <c r="FU804" s="268"/>
      <c r="FV804" s="268"/>
      <c r="FW804" s="268"/>
      <c r="FX804" s="268"/>
      <c r="FY804" s="268"/>
      <c r="FZ804" s="268"/>
      <c r="GA804" s="268"/>
      <c r="GB804" s="268"/>
      <c r="GC804" s="268"/>
      <c r="GD804" s="268"/>
      <c r="GE804" s="268"/>
      <c r="GF804" s="268"/>
      <c r="GG804" s="268"/>
      <c r="GH804" s="268"/>
      <c r="GI804" s="268"/>
      <c r="GJ804" s="268"/>
      <c r="GK804" s="268"/>
      <c r="GL804" s="268"/>
      <c r="GM804" s="268"/>
      <c r="GN804" s="268"/>
      <c r="GO804" s="268"/>
      <c r="GP804" s="268"/>
      <c r="GQ804" s="268"/>
      <c r="GR804" s="268"/>
      <c r="GS804" s="268"/>
      <c r="GT804" s="268"/>
      <c r="GU804" s="268"/>
      <c r="GV804" s="268"/>
      <c r="GW804" s="268"/>
      <c r="GX804" s="268"/>
      <c r="GY804" s="268"/>
      <c r="GZ804" s="268"/>
      <c r="HA804" s="268"/>
      <c r="HB804" s="268"/>
      <c r="HC804" s="268"/>
      <c r="HD804" s="268"/>
      <c r="HE804" s="268"/>
      <c r="HF804" s="268"/>
      <c r="HG804" s="268"/>
      <c r="HH804" s="268"/>
      <c r="HI804" s="268"/>
      <c r="HJ804" s="268"/>
      <c r="HK804" s="268"/>
      <c r="HL804" s="268"/>
      <c r="HM804" s="268"/>
      <c r="HN804" s="268"/>
      <c r="HO804" s="268"/>
      <c r="HP804" s="268"/>
      <c r="HQ804" s="268"/>
      <c r="HR804" s="268"/>
      <c r="HS804" s="268"/>
      <c r="HT804" s="268"/>
      <c r="HU804" s="268"/>
      <c r="HV804" s="268"/>
      <c r="HW804" s="268"/>
      <c r="HX804" s="268"/>
      <c r="HY804" s="268"/>
      <c r="HZ804" s="268"/>
      <c r="IA804" s="268"/>
      <c r="IB804" s="268"/>
      <c r="IC804" s="268"/>
      <c r="ID804" s="268"/>
      <c r="IE804" s="268"/>
      <c r="IF804" s="268"/>
      <c r="IG804" s="268"/>
      <c r="IH804" s="268"/>
      <c r="II804" s="268"/>
      <c r="IJ804" s="268"/>
      <c r="IK804" s="268"/>
      <c r="IL804" s="268"/>
      <c r="IM804" s="268"/>
      <c r="JA804" s="268"/>
      <c r="JB804" s="268"/>
      <c r="JC804" s="268"/>
      <c r="JQ804" s="268"/>
      <c r="JS804" s="268"/>
      <c r="JT804" s="268"/>
      <c r="JU804" s="268"/>
      <c r="JV804" s="268"/>
      <c r="JW804" s="268"/>
      <c r="JX804" s="268"/>
      <c r="JY804" s="268"/>
      <c r="JZ804" s="268"/>
      <c r="KA804" s="268"/>
      <c r="KB804" s="268"/>
      <c r="KC804" s="268"/>
      <c r="KD804" s="268"/>
      <c r="KE804" s="268"/>
      <c r="KF804" s="268"/>
      <c r="KG804" s="268"/>
      <c r="KH804" s="268"/>
      <c r="KI804" s="268"/>
      <c r="KJ804" s="268"/>
      <c r="KK804" s="268"/>
      <c r="KL804" s="268"/>
      <c r="KM804" s="268"/>
      <c r="KN804" s="268"/>
      <c r="KO804" s="268"/>
      <c r="KP804" s="268"/>
      <c r="KQ804" s="268"/>
      <c r="KR804" s="268"/>
      <c r="KS804" s="268"/>
      <c r="KT804" s="268"/>
      <c r="KU804" s="268"/>
      <c r="KV804" s="268"/>
      <c r="KW804" s="268"/>
      <c r="KX804" s="268"/>
      <c r="KY804" s="268"/>
      <c r="KZ804" s="268"/>
      <c r="LA804" s="268"/>
      <c r="LB804" s="268"/>
      <c r="LC804" s="268"/>
      <c r="LD804" s="268"/>
      <c r="LE804" s="268"/>
      <c r="LF804" s="268"/>
      <c r="LG804" s="268"/>
      <c r="LH804" s="268"/>
      <c r="LI804" s="268"/>
      <c r="LJ804" s="268"/>
      <c r="LK804" s="268"/>
      <c r="LL804" s="268"/>
      <c r="LM804" s="268"/>
      <c r="LN804" s="268"/>
      <c r="LO804" s="268"/>
      <c r="LP804" s="268"/>
      <c r="LQ804" s="268"/>
      <c r="LR804" s="268"/>
      <c r="LS804" s="268"/>
      <c r="LT804" s="268"/>
      <c r="LU804" s="268"/>
      <c r="LV804" s="268"/>
      <c r="LW804" s="268"/>
      <c r="LX804" s="268"/>
      <c r="LY804" s="268"/>
      <c r="LZ804" s="268"/>
      <c r="MA804" s="268"/>
      <c r="MB804" s="268"/>
      <c r="MC804" s="268"/>
      <c r="MD804" s="268"/>
      <c r="ME804" s="268"/>
      <c r="MF804" s="268"/>
      <c r="MG804" s="268"/>
      <c r="MH804" s="268"/>
      <c r="MI804" s="268"/>
      <c r="MJ804" s="268"/>
      <c r="MK804" s="268"/>
      <c r="ML804" s="268"/>
      <c r="MM804" s="268"/>
      <c r="MN804" s="268"/>
      <c r="MO804" s="268"/>
      <c r="MP804" s="268"/>
      <c r="MQ804" s="268"/>
      <c r="MR804" s="268"/>
      <c r="MS804" s="268"/>
      <c r="MT804" s="268"/>
      <c r="MU804" s="268"/>
      <c r="MV804" s="268"/>
      <c r="MW804" s="268"/>
      <c r="MX804" s="268"/>
      <c r="MY804" s="268"/>
      <c r="MZ804" s="268"/>
      <c r="NA804" s="268"/>
      <c r="NB804" s="268"/>
      <c r="NC804" s="268"/>
      <c r="ND804" s="268"/>
      <c r="NE804" s="268"/>
      <c r="NF804" s="268"/>
      <c r="NG804" s="268"/>
      <c r="NH804" s="268"/>
      <c r="NI804" s="268"/>
      <c r="NJ804" s="268"/>
      <c r="NK804" s="268"/>
      <c r="NL804" s="268"/>
      <c r="NM804" s="268"/>
      <c r="NN804" s="268"/>
      <c r="NO804" s="268"/>
      <c r="NP804" s="268"/>
      <c r="NQ804" s="268"/>
      <c r="NR804" s="268"/>
      <c r="NS804" s="268"/>
      <c r="NT804" s="268"/>
      <c r="NU804" s="268"/>
      <c r="NV804" s="268"/>
      <c r="NW804" s="268"/>
      <c r="NX804" s="268"/>
      <c r="NY804" s="268"/>
      <c r="NZ804" s="268"/>
      <c r="OA804" s="268"/>
      <c r="OB804" s="268"/>
      <c r="OC804" s="268"/>
      <c r="OD804" s="268"/>
      <c r="OE804" s="268"/>
      <c r="OF804" s="268"/>
      <c r="OG804" s="268"/>
      <c r="OH804" s="268"/>
      <c r="OI804" s="268"/>
      <c r="OJ804" s="268"/>
      <c r="OK804" s="268"/>
      <c r="OL804" s="268"/>
      <c r="OM804" s="268"/>
      <c r="ON804" s="268"/>
      <c r="OO804" s="268"/>
      <c r="OP804" s="268"/>
      <c r="OQ804" s="268"/>
      <c r="OR804" s="268"/>
      <c r="OS804" s="268"/>
      <c r="OT804" s="268"/>
      <c r="OU804" s="268"/>
      <c r="OV804" s="268"/>
      <c r="OW804" s="268"/>
      <c r="OX804" s="268"/>
      <c r="OY804" s="268"/>
      <c r="OZ804" s="268"/>
      <c r="PA804" s="268"/>
      <c r="PB804" s="268"/>
      <c r="PC804" s="268"/>
      <c r="PD804" s="268"/>
      <c r="PE804" s="268"/>
      <c r="PF804" s="268"/>
      <c r="PG804" s="268"/>
      <c r="PH804" s="268"/>
      <c r="PI804" s="268"/>
      <c r="PJ804" s="268"/>
      <c r="PK804" s="268"/>
      <c r="PL804" s="268"/>
      <c r="PM804" s="268"/>
      <c r="PN804" s="268"/>
      <c r="PO804" s="268"/>
      <c r="PP804" s="268"/>
      <c r="PQ804" s="268"/>
      <c r="PR804" s="268"/>
      <c r="PS804" s="268"/>
      <c r="PT804" s="268"/>
      <c r="PU804" s="268"/>
      <c r="PV804" s="268"/>
      <c r="PW804" s="268"/>
      <c r="PX804" s="268"/>
      <c r="PY804" s="268"/>
      <c r="PZ804" s="268"/>
      <c r="QA804" s="268"/>
      <c r="QB804" s="268"/>
      <c r="QC804" s="268"/>
      <c r="QD804" s="268"/>
      <c r="QE804" s="268"/>
      <c r="QF804" s="268"/>
      <c r="QG804" s="268"/>
      <c r="QH804" s="268"/>
      <c r="QI804" s="268"/>
      <c r="QJ804" s="268"/>
      <c r="QK804" s="268"/>
      <c r="QL804" s="268"/>
      <c r="QM804" s="268"/>
      <c r="QN804" s="268"/>
      <c r="QO804" s="268"/>
      <c r="QP804" s="268"/>
      <c r="QQ804" s="268"/>
      <c r="QR804" s="268"/>
      <c r="QS804" s="268"/>
      <c r="QT804" s="268"/>
      <c r="QU804" s="268"/>
      <c r="QV804" s="268"/>
      <c r="QW804" s="268"/>
      <c r="QX804" s="268"/>
      <c r="QY804" s="268"/>
      <c r="QZ804" s="268"/>
      <c r="RA804" s="268"/>
      <c r="RB804" s="268"/>
      <c r="RC804" s="268"/>
      <c r="RD804" s="268"/>
      <c r="RE804" s="268"/>
      <c r="RF804" s="268"/>
      <c r="RG804" s="268"/>
      <c r="RH804" s="268"/>
      <c r="RI804" s="268"/>
      <c r="RJ804" s="268"/>
      <c r="RK804" s="268"/>
      <c r="RL804" s="268"/>
      <c r="RM804" s="268"/>
      <c r="RN804" s="268"/>
      <c r="RO804" s="268"/>
      <c r="RP804" s="268"/>
      <c r="RQ804" s="268"/>
      <c r="RR804" s="268"/>
      <c r="RS804" s="268"/>
      <c r="RT804" s="268"/>
      <c r="RU804" s="268"/>
      <c r="RV804" s="268"/>
      <c r="RW804" s="268"/>
      <c r="RX804" s="268"/>
      <c r="RY804" s="268"/>
      <c r="RZ804" s="268"/>
      <c r="SA804" s="268"/>
      <c r="SB804" s="268"/>
      <c r="SC804" s="268"/>
      <c r="SD804" s="268"/>
      <c r="SE804" s="268"/>
      <c r="SF804" s="268"/>
      <c r="SG804" s="268"/>
      <c r="SH804" s="268"/>
      <c r="SI804" s="268"/>
      <c r="SW804" s="268"/>
      <c r="SX804" s="268"/>
      <c r="SY804" s="268"/>
      <c r="TM804" s="268"/>
      <c r="TO804" s="268"/>
      <c r="TP804" s="268"/>
      <c r="TQ804" s="268"/>
      <c r="TR804" s="268"/>
      <c r="TS804" s="268"/>
      <c r="TT804" s="268"/>
      <c r="TU804" s="268"/>
      <c r="TV804" s="268"/>
      <c r="TW804" s="268"/>
      <c r="TX804" s="268"/>
      <c r="TY804" s="268"/>
      <c r="TZ804" s="268"/>
      <c r="UA804" s="268"/>
      <c r="UB804" s="268"/>
      <c r="UC804" s="268"/>
      <c r="UD804" s="268"/>
      <c r="UE804" s="268"/>
      <c r="UF804" s="268"/>
      <c r="UG804" s="268"/>
      <c r="UH804" s="268"/>
      <c r="UI804" s="268"/>
      <c r="UJ804" s="268"/>
      <c r="UK804" s="268"/>
      <c r="UL804" s="268"/>
      <c r="UM804" s="268"/>
      <c r="UN804" s="268"/>
      <c r="UO804" s="268"/>
      <c r="UP804" s="268"/>
      <c r="UQ804" s="268"/>
      <c r="UR804" s="268"/>
      <c r="US804" s="268"/>
      <c r="UT804" s="268"/>
      <c r="UU804" s="268"/>
      <c r="UV804" s="268"/>
      <c r="UW804" s="268"/>
      <c r="UX804" s="268"/>
      <c r="UY804" s="268"/>
      <c r="UZ804" s="268"/>
      <c r="VA804" s="268"/>
      <c r="VB804" s="268"/>
      <c r="VC804" s="268"/>
      <c r="VD804" s="268"/>
      <c r="VE804" s="268"/>
      <c r="VF804" s="268"/>
      <c r="VG804" s="268"/>
      <c r="VH804" s="268"/>
      <c r="VI804" s="268"/>
      <c r="VJ804" s="268"/>
      <c r="VK804" s="268"/>
      <c r="VL804" s="268"/>
      <c r="VM804" s="268"/>
      <c r="VN804" s="268"/>
      <c r="VO804" s="268"/>
      <c r="VP804" s="268"/>
      <c r="VQ804" s="268"/>
      <c r="VR804" s="268"/>
      <c r="VS804" s="268"/>
      <c r="VT804" s="268"/>
      <c r="VU804" s="268"/>
      <c r="VV804" s="268"/>
      <c r="VW804" s="268"/>
      <c r="VX804" s="268"/>
      <c r="VY804" s="268"/>
      <c r="VZ804" s="268"/>
      <c r="WA804" s="268"/>
      <c r="WB804" s="268"/>
      <c r="WC804" s="268"/>
      <c r="WD804" s="268"/>
      <c r="WE804" s="268"/>
      <c r="WF804" s="268"/>
      <c r="WG804" s="268"/>
      <c r="WH804" s="268"/>
      <c r="WI804" s="268"/>
      <c r="WJ804" s="268"/>
      <c r="WK804" s="268"/>
      <c r="WL804" s="268"/>
      <c r="WM804" s="268"/>
      <c r="WN804" s="268"/>
      <c r="WO804" s="268"/>
      <c r="WP804" s="268"/>
      <c r="WQ804" s="268"/>
      <c r="WR804" s="268"/>
      <c r="WS804" s="268"/>
      <c r="WT804" s="268"/>
      <c r="WU804" s="268"/>
      <c r="WV804" s="268"/>
      <c r="WW804" s="268"/>
      <c r="WX804" s="268"/>
      <c r="WY804" s="268"/>
      <c r="WZ804" s="268"/>
      <c r="XA804" s="268"/>
      <c r="XB804" s="268"/>
      <c r="XC804" s="268"/>
      <c r="XD804" s="268"/>
      <c r="XE804" s="268"/>
      <c r="XF804" s="268"/>
      <c r="XG804" s="268"/>
      <c r="XH804" s="268"/>
      <c r="XI804" s="268"/>
      <c r="XJ804" s="268"/>
      <c r="XK804" s="268"/>
      <c r="XL804" s="268"/>
      <c r="XM804" s="268"/>
      <c r="XN804" s="268"/>
      <c r="XO804" s="268"/>
      <c r="XP804" s="268"/>
      <c r="XQ804" s="268"/>
      <c r="XR804" s="268"/>
      <c r="XS804" s="268"/>
      <c r="XT804" s="268"/>
      <c r="XU804" s="268"/>
      <c r="XV804" s="268"/>
      <c r="XW804" s="268"/>
      <c r="XX804" s="268"/>
      <c r="XY804" s="268"/>
      <c r="XZ804" s="268"/>
      <c r="YA804" s="268"/>
      <c r="YB804" s="268"/>
      <c r="YC804" s="268"/>
      <c r="YD804" s="268"/>
      <c r="YE804" s="268"/>
      <c r="YF804" s="268"/>
      <c r="YG804" s="268"/>
      <c r="YH804" s="268"/>
      <c r="YI804" s="268"/>
      <c r="YJ804" s="268"/>
      <c r="YK804" s="268"/>
      <c r="YL804" s="268"/>
      <c r="YM804" s="268"/>
      <c r="YN804" s="268"/>
      <c r="YO804" s="268"/>
      <c r="YP804" s="268"/>
      <c r="YQ804" s="268"/>
      <c r="YR804" s="268"/>
      <c r="YS804" s="268"/>
      <c r="YT804" s="268"/>
      <c r="YU804" s="268"/>
      <c r="YV804" s="268"/>
      <c r="YW804" s="268"/>
      <c r="YX804" s="268"/>
      <c r="YY804" s="268"/>
      <c r="YZ804" s="268"/>
      <c r="ZA804" s="268"/>
      <c r="ZB804" s="268"/>
      <c r="ZC804" s="268"/>
      <c r="ZD804" s="268"/>
      <c r="ZE804" s="268"/>
      <c r="ZF804" s="268"/>
      <c r="ZG804" s="268"/>
      <c r="ZH804" s="268"/>
      <c r="ZI804" s="268"/>
      <c r="ZJ804" s="268"/>
      <c r="ZK804" s="268"/>
      <c r="ZL804" s="268"/>
      <c r="ZM804" s="268"/>
      <c r="ZN804" s="268"/>
      <c r="ZO804" s="268"/>
      <c r="ZP804" s="268"/>
      <c r="ZQ804" s="268"/>
      <c r="ZR804" s="268"/>
      <c r="ZS804" s="268"/>
      <c r="ZT804" s="268"/>
      <c r="ZU804" s="268"/>
      <c r="ZV804" s="268"/>
      <c r="ZW804" s="268"/>
      <c r="ZX804" s="268"/>
      <c r="ZY804" s="268"/>
      <c r="ZZ804" s="268"/>
      <c r="AAA804" s="268"/>
      <c r="AAB804" s="268"/>
      <c r="AAC804" s="268"/>
      <c r="AAD804" s="268"/>
      <c r="AAE804" s="268"/>
      <c r="AAF804" s="268"/>
      <c r="AAG804" s="268"/>
      <c r="AAH804" s="268"/>
      <c r="AAI804" s="268"/>
      <c r="AAJ804" s="268"/>
      <c r="AAK804" s="268"/>
      <c r="AAL804" s="268"/>
      <c r="AAM804" s="268"/>
      <c r="AAN804" s="268"/>
      <c r="AAO804" s="268"/>
      <c r="AAP804" s="268"/>
      <c r="AAQ804" s="268"/>
      <c r="AAR804" s="268"/>
      <c r="AAS804" s="268"/>
      <c r="AAT804" s="268"/>
      <c r="AAU804" s="268"/>
      <c r="AAV804" s="268"/>
      <c r="AAW804" s="268"/>
      <c r="AAX804" s="268"/>
      <c r="AAY804" s="268"/>
      <c r="AAZ804" s="268"/>
      <c r="ABA804" s="268"/>
      <c r="ABB804" s="268"/>
      <c r="ABC804" s="268"/>
      <c r="ABD804" s="268"/>
      <c r="ABE804" s="268"/>
      <c r="ABF804" s="268"/>
      <c r="ABG804" s="268"/>
      <c r="ABH804" s="268"/>
      <c r="ABI804" s="268"/>
      <c r="ABJ804" s="268"/>
      <c r="ABK804" s="268"/>
      <c r="ABL804" s="268"/>
      <c r="ABM804" s="268"/>
      <c r="ABN804" s="268"/>
      <c r="ABO804" s="268"/>
      <c r="ABP804" s="268"/>
      <c r="ABQ804" s="268"/>
      <c r="ABR804" s="268"/>
      <c r="ABS804" s="268"/>
      <c r="ABT804" s="268"/>
      <c r="ABU804" s="268"/>
      <c r="ABV804" s="268"/>
      <c r="ABW804" s="268"/>
      <c r="ABX804" s="268"/>
      <c r="ABY804" s="268"/>
      <c r="ABZ804" s="268"/>
      <c r="ACA804" s="268"/>
      <c r="ACB804" s="268"/>
      <c r="ACC804" s="268"/>
      <c r="ACD804" s="268"/>
      <c r="ACE804" s="268"/>
      <c r="ACS804" s="268"/>
      <c r="ACT804" s="268"/>
      <c r="ACU804" s="268"/>
      <c r="ADI804" s="268"/>
      <c r="ADK804" s="268"/>
      <c r="ADL804" s="268"/>
      <c r="ADM804" s="268"/>
      <c r="ADN804" s="268"/>
      <c r="ADO804" s="268"/>
      <c r="ADP804" s="268"/>
      <c r="ADQ804" s="268"/>
      <c r="ADR804" s="268"/>
      <c r="ADS804" s="268"/>
      <c r="ADT804" s="268"/>
      <c r="ADU804" s="268"/>
      <c r="ADV804" s="268"/>
      <c r="ADW804" s="268"/>
      <c r="ADX804" s="268"/>
      <c r="ADY804" s="268"/>
      <c r="ADZ804" s="268"/>
      <c r="AEA804" s="268"/>
      <c r="AEB804" s="268"/>
      <c r="AEC804" s="268"/>
      <c r="AED804" s="268"/>
      <c r="AEE804" s="268"/>
      <c r="AEF804" s="268"/>
      <c r="AEG804" s="268"/>
      <c r="AEH804" s="268"/>
      <c r="AEI804" s="268"/>
      <c r="AEJ804" s="268"/>
      <c r="AEK804" s="268"/>
      <c r="AEL804" s="268"/>
      <c r="AEM804" s="268"/>
      <c r="AEN804" s="268"/>
      <c r="AEO804" s="268"/>
      <c r="AEP804" s="268"/>
      <c r="AEQ804" s="268"/>
      <c r="AER804" s="268"/>
      <c r="AES804" s="268"/>
      <c r="AET804" s="268"/>
      <c r="AEU804" s="268"/>
      <c r="AEV804" s="268"/>
      <c r="AEW804" s="268"/>
      <c r="AEX804" s="268"/>
      <c r="AEY804" s="268"/>
      <c r="AEZ804" s="268"/>
      <c r="AFA804" s="268"/>
      <c r="AFB804" s="268"/>
      <c r="AFC804" s="268"/>
      <c r="AFD804" s="268"/>
      <c r="AFE804" s="268"/>
      <c r="AFF804" s="268"/>
      <c r="AFG804" s="268"/>
      <c r="AFH804" s="268"/>
      <c r="AFI804" s="268"/>
      <c r="AFJ804" s="268"/>
      <c r="AFK804" s="268"/>
      <c r="AFL804" s="268"/>
      <c r="AFM804" s="268"/>
      <c r="AFN804" s="268"/>
      <c r="AFO804" s="268"/>
      <c r="AFP804" s="268"/>
      <c r="AFQ804" s="268"/>
      <c r="AFR804" s="268"/>
      <c r="AFS804" s="268"/>
      <c r="AFT804" s="268"/>
      <c r="AFU804" s="268"/>
      <c r="AFV804" s="268"/>
      <c r="AFW804" s="268"/>
      <c r="AFX804" s="268"/>
      <c r="AFY804" s="268"/>
      <c r="AFZ804" s="268"/>
      <c r="AGA804" s="268"/>
      <c r="AGB804" s="268"/>
      <c r="AGC804" s="268"/>
      <c r="AGD804" s="268"/>
      <c r="AGE804" s="268"/>
      <c r="AGF804" s="268"/>
      <c r="AGG804" s="268"/>
      <c r="AGH804" s="268"/>
      <c r="AGI804" s="268"/>
      <c r="AGJ804" s="268"/>
      <c r="AGK804" s="268"/>
      <c r="AGL804" s="268"/>
      <c r="AGM804" s="268"/>
      <c r="AGN804" s="268"/>
      <c r="AGO804" s="268"/>
      <c r="AGP804" s="268"/>
      <c r="AGQ804" s="268"/>
      <c r="AGR804" s="268"/>
      <c r="AGS804" s="268"/>
      <c r="AGT804" s="268"/>
      <c r="AGU804" s="268"/>
      <c r="AGV804" s="268"/>
      <c r="AGW804" s="268"/>
      <c r="AGX804" s="268"/>
      <c r="AGY804" s="268"/>
      <c r="AGZ804" s="268"/>
      <c r="AHA804" s="268"/>
      <c r="AHB804" s="268"/>
      <c r="AHC804" s="268"/>
      <c r="AHD804" s="268"/>
      <c r="AHE804" s="268"/>
      <c r="AHF804" s="268"/>
      <c r="AHG804" s="268"/>
      <c r="AHH804" s="268"/>
      <c r="AHI804" s="268"/>
      <c r="AHJ804" s="268"/>
      <c r="AHK804" s="268"/>
      <c r="AHL804" s="268"/>
      <c r="AHM804" s="268"/>
      <c r="AHN804" s="268"/>
      <c r="AHO804" s="268"/>
      <c r="AHP804" s="268"/>
      <c r="AHQ804" s="268"/>
      <c r="AHR804" s="268"/>
      <c r="AHS804" s="268"/>
      <c r="AHT804" s="268"/>
      <c r="AHU804" s="268"/>
      <c r="AHV804" s="268"/>
      <c r="AHW804" s="268"/>
      <c r="AHX804" s="268"/>
      <c r="AHY804" s="268"/>
      <c r="AHZ804" s="268"/>
      <c r="AIA804" s="268"/>
      <c r="AIB804" s="268"/>
      <c r="AIC804" s="268"/>
      <c r="AID804" s="268"/>
      <c r="AIE804" s="268"/>
      <c r="AIF804" s="268"/>
      <c r="AIG804" s="268"/>
      <c r="AIH804" s="268"/>
      <c r="AII804" s="268"/>
      <c r="AIJ804" s="268"/>
      <c r="AIK804" s="268"/>
      <c r="AIL804" s="268"/>
      <c r="AIM804" s="268"/>
      <c r="AIN804" s="268"/>
      <c r="AIO804" s="268"/>
      <c r="AIP804" s="268"/>
      <c r="AIQ804" s="268"/>
      <c r="AIR804" s="268"/>
      <c r="AIS804" s="268"/>
      <c r="AIT804" s="268"/>
      <c r="AIU804" s="268"/>
      <c r="AIV804" s="268"/>
      <c r="AIW804" s="268"/>
      <c r="AIX804" s="268"/>
      <c r="AIY804" s="268"/>
      <c r="AIZ804" s="268"/>
      <c r="AJA804" s="268"/>
      <c r="AJB804" s="268"/>
      <c r="AJC804" s="268"/>
      <c r="AJD804" s="268"/>
      <c r="AJE804" s="268"/>
      <c r="AJF804" s="268"/>
      <c r="AJG804" s="268"/>
      <c r="AJH804" s="268"/>
      <c r="AJI804" s="268"/>
      <c r="AJJ804" s="268"/>
      <c r="AJK804" s="268"/>
      <c r="AJL804" s="268"/>
      <c r="AJM804" s="268"/>
      <c r="AJN804" s="268"/>
      <c r="AJO804" s="268"/>
      <c r="AJP804" s="268"/>
      <c r="AJQ804" s="268"/>
      <c r="AJR804" s="268"/>
      <c r="AJS804" s="268"/>
      <c r="AJT804" s="268"/>
      <c r="AJU804" s="268"/>
      <c r="AJV804" s="268"/>
      <c r="AJW804" s="268"/>
      <c r="AJX804" s="268"/>
      <c r="AJY804" s="268"/>
      <c r="AJZ804" s="268"/>
      <c r="AKA804" s="268"/>
      <c r="AKB804" s="268"/>
      <c r="AKC804" s="268"/>
      <c r="AKD804" s="268"/>
      <c r="AKE804" s="268"/>
      <c r="AKF804" s="268"/>
      <c r="AKG804" s="268"/>
      <c r="AKH804" s="268"/>
      <c r="AKI804" s="268"/>
      <c r="AKJ804" s="268"/>
      <c r="AKK804" s="268"/>
      <c r="AKL804" s="268"/>
      <c r="AKM804" s="268"/>
      <c r="AKN804" s="268"/>
      <c r="AKO804" s="268"/>
      <c r="AKP804" s="268"/>
      <c r="AKQ804" s="268"/>
      <c r="AKR804" s="268"/>
      <c r="AKS804" s="268"/>
      <c r="AKT804" s="268"/>
      <c r="AKU804" s="268"/>
      <c r="AKV804" s="268"/>
      <c r="AKW804" s="268"/>
      <c r="AKX804" s="268"/>
      <c r="AKY804" s="268"/>
      <c r="AKZ804" s="268"/>
      <c r="ALA804" s="268"/>
      <c r="ALB804" s="268"/>
      <c r="ALC804" s="268"/>
      <c r="ALD804" s="268"/>
      <c r="ALE804" s="268"/>
      <c r="ALF804" s="268"/>
      <c r="ALG804" s="268"/>
      <c r="ALH804" s="268"/>
      <c r="ALI804" s="268"/>
      <c r="ALJ804" s="268"/>
      <c r="ALK804" s="268"/>
      <c r="ALL804" s="268"/>
      <c r="ALM804" s="268"/>
      <c r="ALN804" s="268"/>
      <c r="ALO804" s="268"/>
      <c r="ALP804" s="268"/>
      <c r="ALQ804" s="268"/>
      <c r="ALR804" s="268"/>
      <c r="ALS804" s="268"/>
      <c r="ALT804" s="268"/>
      <c r="ALU804" s="268"/>
      <c r="ALV804" s="268"/>
      <c r="ALW804" s="268"/>
      <c r="ALX804" s="268"/>
      <c r="ALY804" s="268"/>
      <c r="ALZ804" s="268"/>
      <c r="AMA804" s="268"/>
      <c r="AMO804" s="268"/>
      <c r="AMP804" s="268"/>
      <c r="AMQ804" s="268"/>
      <c r="ANE804" s="268"/>
      <c r="ANG804" s="268"/>
      <c r="ANH804" s="268"/>
      <c r="ANI804" s="268"/>
      <c r="ANJ804" s="268"/>
      <c r="ANK804" s="268"/>
      <c r="ANL804" s="268"/>
      <c r="ANM804" s="268"/>
      <c r="ANN804" s="268"/>
      <c r="ANO804" s="268"/>
      <c r="ANP804" s="268"/>
      <c r="ANQ804" s="268"/>
      <c r="ANR804" s="268"/>
      <c r="ANS804" s="268"/>
      <c r="ANT804" s="268"/>
      <c r="ANU804" s="268"/>
      <c r="ANV804" s="268"/>
      <c r="ANW804" s="268"/>
      <c r="ANX804" s="268"/>
      <c r="ANY804" s="268"/>
      <c r="ANZ804" s="268"/>
      <c r="AOA804" s="268"/>
      <c r="AOB804" s="268"/>
      <c r="AOC804" s="268"/>
      <c r="AOD804" s="268"/>
      <c r="AOE804" s="268"/>
      <c r="AOF804" s="268"/>
      <c r="AOG804" s="268"/>
      <c r="AOH804" s="268"/>
      <c r="AOI804" s="268"/>
      <c r="AOJ804" s="268"/>
      <c r="AOK804" s="268"/>
      <c r="AOL804" s="268"/>
      <c r="AOM804" s="268"/>
      <c r="AON804" s="268"/>
      <c r="AOO804" s="268"/>
      <c r="AOP804" s="268"/>
      <c r="AOQ804" s="268"/>
      <c r="AOR804" s="268"/>
      <c r="AOS804" s="268"/>
      <c r="AOT804" s="268"/>
      <c r="AOU804" s="268"/>
      <c r="AOV804" s="268"/>
      <c r="AOW804" s="268"/>
      <c r="AOX804" s="268"/>
      <c r="AOY804" s="268"/>
      <c r="AOZ804" s="268"/>
      <c r="APA804" s="268"/>
      <c r="APB804" s="268"/>
      <c r="APC804" s="268"/>
      <c r="APD804" s="268"/>
      <c r="APE804" s="268"/>
      <c r="APF804" s="268"/>
      <c r="APG804" s="268"/>
      <c r="APH804" s="268"/>
      <c r="API804" s="268"/>
      <c r="APJ804" s="268"/>
      <c r="APK804" s="268"/>
      <c r="APL804" s="268"/>
      <c r="APM804" s="268"/>
      <c r="APN804" s="268"/>
      <c r="APO804" s="268"/>
      <c r="APP804" s="268"/>
      <c r="APQ804" s="268"/>
      <c r="APR804" s="268"/>
      <c r="APS804" s="268"/>
      <c r="APT804" s="268"/>
      <c r="APU804" s="268"/>
      <c r="APV804" s="268"/>
      <c r="APW804" s="268"/>
      <c r="APX804" s="268"/>
      <c r="APY804" s="268"/>
      <c r="APZ804" s="268"/>
      <c r="AQA804" s="268"/>
      <c r="AQB804" s="268"/>
      <c r="AQC804" s="268"/>
      <c r="AQD804" s="268"/>
      <c r="AQE804" s="268"/>
      <c r="AQF804" s="268"/>
      <c r="AQG804" s="268"/>
      <c r="AQH804" s="268"/>
      <c r="AQI804" s="268"/>
      <c r="AQJ804" s="268"/>
      <c r="AQK804" s="268"/>
      <c r="AQL804" s="268"/>
      <c r="AQM804" s="268"/>
      <c r="AQN804" s="268"/>
      <c r="AQO804" s="268"/>
      <c r="AQP804" s="268"/>
      <c r="AQQ804" s="268"/>
      <c r="AQR804" s="268"/>
      <c r="AQS804" s="268"/>
      <c r="AQT804" s="268"/>
      <c r="AQU804" s="268"/>
      <c r="AQV804" s="268"/>
      <c r="AQW804" s="268"/>
      <c r="AQX804" s="268"/>
      <c r="AQY804" s="268"/>
      <c r="AQZ804" s="268"/>
      <c r="ARA804" s="268"/>
      <c r="ARB804" s="268"/>
      <c r="ARC804" s="268"/>
      <c r="ARD804" s="268"/>
      <c r="ARE804" s="268"/>
      <c r="ARF804" s="268"/>
      <c r="ARG804" s="268"/>
      <c r="ARH804" s="268"/>
      <c r="ARI804" s="268"/>
      <c r="ARJ804" s="268"/>
      <c r="ARK804" s="268"/>
      <c r="ARL804" s="268"/>
      <c r="ARM804" s="268"/>
      <c r="ARN804" s="268"/>
      <c r="ARO804" s="268"/>
      <c r="ARP804" s="268"/>
      <c r="ARQ804" s="268"/>
      <c r="ARR804" s="268"/>
      <c r="ARS804" s="268"/>
      <c r="ART804" s="268"/>
      <c r="ARU804" s="268"/>
      <c r="ARV804" s="268"/>
      <c r="ARW804" s="268"/>
      <c r="ARX804" s="268"/>
      <c r="ARY804" s="268"/>
      <c r="ARZ804" s="268"/>
      <c r="ASA804" s="268"/>
      <c r="ASB804" s="268"/>
      <c r="ASC804" s="268"/>
      <c r="ASD804" s="268"/>
      <c r="ASE804" s="268"/>
      <c r="ASF804" s="268"/>
      <c r="ASG804" s="268"/>
      <c r="ASH804" s="268"/>
      <c r="ASI804" s="268"/>
      <c r="ASJ804" s="268"/>
      <c r="ASK804" s="268"/>
      <c r="ASL804" s="268"/>
      <c r="ASM804" s="268"/>
      <c r="ASN804" s="268"/>
      <c r="ASO804" s="268"/>
      <c r="ASP804" s="268"/>
      <c r="ASQ804" s="268"/>
      <c r="ASR804" s="268"/>
      <c r="ASS804" s="268"/>
      <c r="AST804" s="268"/>
      <c r="ASU804" s="268"/>
      <c r="ASV804" s="268"/>
      <c r="ASW804" s="268"/>
      <c r="ASX804" s="268"/>
      <c r="ASY804" s="268"/>
      <c r="ASZ804" s="268"/>
      <c r="ATA804" s="268"/>
      <c r="ATB804" s="268"/>
      <c r="ATC804" s="268"/>
      <c r="ATD804" s="268"/>
      <c r="ATE804" s="268"/>
      <c r="ATF804" s="268"/>
      <c r="ATG804" s="268"/>
      <c r="ATH804" s="268"/>
      <c r="ATI804" s="268"/>
      <c r="ATJ804" s="268"/>
      <c r="ATK804" s="268"/>
      <c r="ATL804" s="268"/>
      <c r="ATM804" s="268"/>
      <c r="ATN804" s="268"/>
      <c r="ATO804" s="268"/>
      <c r="ATP804" s="268"/>
      <c r="ATQ804" s="268"/>
      <c r="ATR804" s="268"/>
      <c r="ATS804" s="268"/>
      <c r="ATT804" s="268"/>
      <c r="ATU804" s="268"/>
      <c r="ATV804" s="268"/>
      <c r="ATW804" s="268"/>
      <c r="ATX804" s="268"/>
      <c r="ATY804" s="268"/>
      <c r="ATZ804" s="268"/>
      <c r="AUA804" s="268"/>
      <c r="AUB804" s="268"/>
      <c r="AUC804" s="268"/>
      <c r="AUD804" s="268"/>
      <c r="AUE804" s="268"/>
      <c r="AUF804" s="268"/>
      <c r="AUG804" s="268"/>
      <c r="AUH804" s="268"/>
      <c r="AUI804" s="268"/>
      <c r="AUJ804" s="268"/>
      <c r="AUK804" s="268"/>
      <c r="AUL804" s="268"/>
      <c r="AUM804" s="268"/>
      <c r="AUN804" s="268"/>
      <c r="AUO804" s="268"/>
      <c r="AUP804" s="268"/>
      <c r="AUQ804" s="268"/>
      <c r="AUR804" s="268"/>
      <c r="AUS804" s="268"/>
      <c r="AUT804" s="268"/>
      <c r="AUU804" s="268"/>
      <c r="AUV804" s="268"/>
      <c r="AUW804" s="268"/>
      <c r="AUX804" s="268"/>
      <c r="AUY804" s="268"/>
      <c r="AUZ804" s="268"/>
      <c r="AVA804" s="268"/>
      <c r="AVB804" s="268"/>
      <c r="AVC804" s="268"/>
      <c r="AVD804" s="268"/>
      <c r="AVE804" s="268"/>
      <c r="AVF804" s="268"/>
      <c r="AVG804" s="268"/>
      <c r="AVH804" s="268"/>
      <c r="AVI804" s="268"/>
      <c r="AVJ804" s="268"/>
      <c r="AVK804" s="268"/>
      <c r="AVL804" s="268"/>
      <c r="AVM804" s="268"/>
      <c r="AVN804" s="268"/>
      <c r="AVO804" s="268"/>
      <c r="AVP804" s="268"/>
      <c r="AVQ804" s="268"/>
      <c r="AVR804" s="268"/>
      <c r="AVS804" s="268"/>
      <c r="AVT804" s="268"/>
      <c r="AVU804" s="268"/>
      <c r="AVV804" s="268"/>
      <c r="AVW804" s="268"/>
      <c r="AWK804" s="268"/>
      <c r="AWL804" s="268"/>
      <c r="AWM804" s="268"/>
      <c r="AXA804" s="268"/>
      <c r="AXC804" s="268"/>
      <c r="AXD804" s="268"/>
      <c r="AXE804" s="268"/>
      <c r="AXF804" s="268"/>
      <c r="AXG804" s="268"/>
      <c r="AXH804" s="268"/>
      <c r="AXI804" s="268"/>
      <c r="AXJ804" s="268"/>
      <c r="AXK804" s="268"/>
      <c r="AXL804" s="268"/>
      <c r="AXM804" s="268"/>
      <c r="AXN804" s="268"/>
      <c r="AXO804" s="268"/>
      <c r="AXP804" s="268"/>
      <c r="AXQ804" s="268"/>
      <c r="AXR804" s="268"/>
      <c r="AXS804" s="268"/>
      <c r="AXT804" s="268"/>
      <c r="AXU804" s="268"/>
      <c r="AXV804" s="268"/>
      <c r="AXW804" s="268"/>
      <c r="AXX804" s="268"/>
      <c r="AXY804" s="268"/>
      <c r="AXZ804" s="268"/>
      <c r="AYA804" s="268"/>
      <c r="AYB804" s="268"/>
      <c r="AYC804" s="268"/>
      <c r="AYD804" s="268"/>
      <c r="AYE804" s="268"/>
      <c r="AYF804" s="268"/>
      <c r="AYG804" s="268"/>
      <c r="AYH804" s="268"/>
      <c r="AYI804" s="268"/>
      <c r="AYJ804" s="268"/>
      <c r="AYK804" s="268"/>
      <c r="AYL804" s="268"/>
      <c r="AYM804" s="268"/>
      <c r="AYN804" s="268"/>
      <c r="AYO804" s="268"/>
      <c r="AYP804" s="268"/>
      <c r="AYQ804" s="268"/>
      <c r="AYR804" s="268"/>
      <c r="AYS804" s="268"/>
      <c r="AYT804" s="268"/>
      <c r="AYU804" s="268"/>
      <c r="AYV804" s="268"/>
      <c r="AYW804" s="268"/>
      <c r="AYX804" s="268"/>
      <c r="AYY804" s="268"/>
      <c r="AYZ804" s="268"/>
      <c r="AZA804" s="268"/>
      <c r="AZB804" s="268"/>
      <c r="AZC804" s="268"/>
      <c r="AZD804" s="268"/>
      <c r="AZE804" s="268"/>
      <c r="AZF804" s="268"/>
      <c r="AZG804" s="268"/>
      <c r="AZH804" s="268"/>
      <c r="AZI804" s="268"/>
      <c r="AZJ804" s="268"/>
      <c r="AZK804" s="268"/>
      <c r="AZL804" s="268"/>
      <c r="AZM804" s="268"/>
      <c r="AZN804" s="268"/>
      <c r="AZO804" s="268"/>
      <c r="AZP804" s="268"/>
      <c r="AZQ804" s="268"/>
      <c r="AZR804" s="268"/>
      <c r="AZS804" s="268"/>
      <c r="AZT804" s="268"/>
      <c r="AZU804" s="268"/>
      <c r="AZV804" s="268"/>
      <c r="AZW804" s="268"/>
      <c r="AZX804" s="268"/>
      <c r="AZY804" s="268"/>
      <c r="AZZ804" s="268"/>
      <c r="BAA804" s="268"/>
      <c r="BAB804" s="268"/>
      <c r="BAC804" s="268"/>
      <c r="BAD804" s="268"/>
      <c r="BAE804" s="268"/>
      <c r="BAF804" s="268"/>
      <c r="BAG804" s="268"/>
      <c r="BAH804" s="268"/>
      <c r="BAI804" s="268"/>
      <c r="BAJ804" s="268"/>
      <c r="BAK804" s="268"/>
      <c r="BAL804" s="268"/>
      <c r="BAM804" s="268"/>
      <c r="BAN804" s="268"/>
      <c r="BAO804" s="268"/>
      <c r="BAP804" s="268"/>
      <c r="BAQ804" s="268"/>
      <c r="BAR804" s="268"/>
      <c r="BAS804" s="268"/>
      <c r="BAT804" s="268"/>
      <c r="BAU804" s="268"/>
      <c r="BAV804" s="268"/>
      <c r="BAW804" s="268"/>
      <c r="BAX804" s="268"/>
      <c r="BAY804" s="268"/>
      <c r="BAZ804" s="268"/>
      <c r="BBA804" s="268"/>
      <c r="BBB804" s="268"/>
      <c r="BBC804" s="268"/>
      <c r="BBD804" s="268"/>
      <c r="BBE804" s="268"/>
      <c r="BBF804" s="268"/>
      <c r="BBG804" s="268"/>
      <c r="BBH804" s="268"/>
      <c r="BBI804" s="268"/>
      <c r="BBJ804" s="268"/>
      <c r="BBK804" s="268"/>
      <c r="BBL804" s="268"/>
      <c r="BBM804" s="268"/>
      <c r="BBN804" s="268"/>
      <c r="BBO804" s="268"/>
      <c r="BBP804" s="268"/>
      <c r="BBQ804" s="268"/>
      <c r="BBR804" s="268"/>
      <c r="BBS804" s="268"/>
      <c r="BBT804" s="268"/>
      <c r="BBU804" s="268"/>
      <c r="BBV804" s="268"/>
      <c r="BBW804" s="268"/>
      <c r="BBX804" s="268"/>
      <c r="BBY804" s="268"/>
      <c r="BBZ804" s="268"/>
      <c r="BCA804" s="268"/>
      <c r="BCB804" s="268"/>
      <c r="BCC804" s="268"/>
      <c r="BCD804" s="268"/>
      <c r="BCE804" s="268"/>
      <c r="BCF804" s="268"/>
      <c r="BCG804" s="268"/>
      <c r="BCH804" s="268"/>
      <c r="BCI804" s="268"/>
      <c r="BCJ804" s="268"/>
      <c r="BCK804" s="268"/>
      <c r="BCL804" s="268"/>
      <c r="BCM804" s="268"/>
      <c r="BCN804" s="268"/>
      <c r="BCO804" s="268"/>
      <c r="BCP804" s="268"/>
      <c r="BCQ804" s="268"/>
      <c r="BCR804" s="268"/>
      <c r="BCS804" s="268"/>
      <c r="BCT804" s="268"/>
      <c r="BCU804" s="268"/>
      <c r="BCV804" s="268"/>
      <c r="BCW804" s="268"/>
      <c r="BCX804" s="268"/>
      <c r="BCY804" s="268"/>
      <c r="BCZ804" s="268"/>
      <c r="BDA804" s="268"/>
      <c r="BDB804" s="268"/>
      <c r="BDC804" s="268"/>
      <c r="BDD804" s="268"/>
      <c r="BDE804" s="268"/>
      <c r="BDF804" s="268"/>
      <c r="BDG804" s="268"/>
      <c r="BDH804" s="268"/>
      <c r="BDI804" s="268"/>
      <c r="BDJ804" s="268"/>
      <c r="BDK804" s="268"/>
      <c r="BDL804" s="268"/>
      <c r="BDM804" s="268"/>
      <c r="BDN804" s="268"/>
      <c r="BDO804" s="268"/>
      <c r="BDP804" s="268"/>
      <c r="BDQ804" s="268"/>
      <c r="BDR804" s="268"/>
      <c r="BDS804" s="268"/>
      <c r="BDT804" s="268"/>
      <c r="BDU804" s="268"/>
      <c r="BDV804" s="268"/>
      <c r="BDW804" s="268"/>
      <c r="BDX804" s="268"/>
      <c r="BDY804" s="268"/>
      <c r="BDZ804" s="268"/>
      <c r="BEA804" s="268"/>
      <c r="BEB804" s="268"/>
      <c r="BEC804" s="268"/>
      <c r="BED804" s="268"/>
      <c r="BEE804" s="268"/>
      <c r="BEF804" s="268"/>
      <c r="BEG804" s="268"/>
      <c r="BEH804" s="268"/>
      <c r="BEI804" s="268"/>
      <c r="BEJ804" s="268"/>
      <c r="BEK804" s="268"/>
      <c r="BEL804" s="268"/>
      <c r="BEM804" s="268"/>
      <c r="BEN804" s="268"/>
      <c r="BEO804" s="268"/>
      <c r="BEP804" s="268"/>
      <c r="BEQ804" s="268"/>
      <c r="BER804" s="268"/>
      <c r="BES804" s="268"/>
      <c r="BET804" s="268"/>
      <c r="BEU804" s="268"/>
      <c r="BEV804" s="268"/>
      <c r="BEW804" s="268"/>
      <c r="BEX804" s="268"/>
      <c r="BEY804" s="268"/>
      <c r="BEZ804" s="268"/>
      <c r="BFA804" s="268"/>
      <c r="BFB804" s="268"/>
      <c r="BFC804" s="268"/>
      <c r="BFD804" s="268"/>
      <c r="BFE804" s="268"/>
      <c r="BFF804" s="268"/>
      <c r="BFG804" s="268"/>
      <c r="BFH804" s="268"/>
      <c r="BFI804" s="268"/>
      <c r="BFJ804" s="268"/>
      <c r="BFK804" s="268"/>
      <c r="BFL804" s="268"/>
      <c r="BFM804" s="268"/>
      <c r="BFN804" s="268"/>
      <c r="BFO804" s="268"/>
      <c r="BFP804" s="268"/>
      <c r="BFQ804" s="268"/>
      <c r="BFR804" s="268"/>
      <c r="BFS804" s="268"/>
      <c r="BGG804" s="268"/>
      <c r="BGH804" s="268"/>
      <c r="BGI804" s="268"/>
      <c r="BGW804" s="268"/>
      <c r="BGY804" s="268"/>
      <c r="BGZ804" s="268"/>
      <c r="BHA804" s="268"/>
      <c r="BHB804" s="268"/>
      <c r="BHC804" s="268"/>
      <c r="BHD804" s="268"/>
      <c r="BHE804" s="268"/>
      <c r="BHF804" s="268"/>
      <c r="BHG804" s="268"/>
      <c r="BHH804" s="268"/>
      <c r="BHI804" s="268"/>
      <c r="BHJ804" s="268"/>
      <c r="BHK804" s="268"/>
      <c r="BHL804" s="268"/>
      <c r="BHM804" s="268"/>
      <c r="BHN804" s="268"/>
      <c r="BHO804" s="268"/>
      <c r="BHP804" s="268"/>
      <c r="BHQ804" s="268"/>
      <c r="BHR804" s="268"/>
      <c r="BHS804" s="268"/>
      <c r="BHT804" s="268"/>
      <c r="BHU804" s="268"/>
      <c r="BHV804" s="268"/>
      <c r="BHW804" s="268"/>
      <c r="BHX804" s="268"/>
      <c r="BHY804" s="268"/>
      <c r="BHZ804" s="268"/>
      <c r="BIA804" s="268"/>
      <c r="BIB804" s="268"/>
      <c r="BIC804" s="268"/>
      <c r="BID804" s="268"/>
      <c r="BIE804" s="268"/>
      <c r="BIF804" s="268"/>
      <c r="BIG804" s="268"/>
      <c r="BIH804" s="268"/>
      <c r="BII804" s="268"/>
      <c r="BIJ804" s="268"/>
      <c r="BIK804" s="268"/>
      <c r="BIL804" s="268"/>
      <c r="BIM804" s="268"/>
      <c r="BIN804" s="268"/>
      <c r="BIO804" s="268"/>
      <c r="BIP804" s="268"/>
      <c r="BIQ804" s="268"/>
      <c r="BIR804" s="268"/>
      <c r="BIS804" s="268"/>
      <c r="BIT804" s="268"/>
      <c r="BIU804" s="268"/>
      <c r="BIV804" s="268"/>
      <c r="BIW804" s="268"/>
      <c r="BIX804" s="268"/>
      <c r="BIY804" s="268"/>
      <c r="BIZ804" s="268"/>
      <c r="BJA804" s="268"/>
      <c r="BJB804" s="268"/>
      <c r="BJC804" s="268"/>
      <c r="BJD804" s="268"/>
      <c r="BJE804" s="268"/>
      <c r="BJF804" s="268"/>
      <c r="BJG804" s="268"/>
      <c r="BJH804" s="268"/>
      <c r="BJI804" s="268"/>
      <c r="BJJ804" s="268"/>
      <c r="BJK804" s="268"/>
      <c r="BJL804" s="268"/>
      <c r="BJM804" s="268"/>
      <c r="BJN804" s="268"/>
      <c r="BJO804" s="268"/>
      <c r="BJP804" s="268"/>
      <c r="BJQ804" s="268"/>
      <c r="BJR804" s="268"/>
      <c r="BJS804" s="268"/>
      <c r="BJT804" s="268"/>
      <c r="BJU804" s="268"/>
      <c r="BJV804" s="268"/>
      <c r="BJW804" s="268"/>
      <c r="BJX804" s="268"/>
      <c r="BJY804" s="268"/>
      <c r="BJZ804" s="268"/>
      <c r="BKA804" s="268"/>
      <c r="BKB804" s="268"/>
      <c r="BKC804" s="268"/>
      <c r="BKD804" s="268"/>
      <c r="BKE804" s="268"/>
      <c r="BKF804" s="268"/>
      <c r="BKG804" s="268"/>
      <c r="BKH804" s="268"/>
      <c r="BKI804" s="268"/>
      <c r="BKJ804" s="268"/>
      <c r="BKK804" s="268"/>
      <c r="BKL804" s="268"/>
      <c r="BKM804" s="268"/>
      <c r="BKN804" s="268"/>
      <c r="BKO804" s="268"/>
      <c r="BKP804" s="268"/>
      <c r="BKQ804" s="268"/>
      <c r="BKR804" s="268"/>
      <c r="BKS804" s="268"/>
      <c r="BKT804" s="268"/>
      <c r="BKU804" s="268"/>
      <c r="BKV804" s="268"/>
      <c r="BKW804" s="268"/>
      <c r="BKX804" s="268"/>
      <c r="BKY804" s="268"/>
      <c r="BKZ804" s="268"/>
      <c r="BLA804" s="268"/>
      <c r="BLB804" s="268"/>
      <c r="BLC804" s="268"/>
      <c r="BLD804" s="268"/>
      <c r="BLE804" s="268"/>
      <c r="BLF804" s="268"/>
      <c r="BLG804" s="268"/>
      <c r="BLH804" s="268"/>
      <c r="BLI804" s="268"/>
      <c r="BLJ804" s="268"/>
      <c r="BLK804" s="268"/>
      <c r="BLL804" s="268"/>
      <c r="BLM804" s="268"/>
      <c r="BLN804" s="268"/>
      <c r="BLO804" s="268"/>
      <c r="BLP804" s="268"/>
      <c r="BLQ804" s="268"/>
      <c r="BLR804" s="268"/>
      <c r="BLS804" s="268"/>
      <c r="BLT804" s="268"/>
      <c r="BLU804" s="268"/>
      <c r="BLV804" s="268"/>
      <c r="BLW804" s="268"/>
      <c r="BLX804" s="268"/>
      <c r="BLY804" s="268"/>
      <c r="BLZ804" s="268"/>
      <c r="BMA804" s="268"/>
      <c r="BMB804" s="268"/>
      <c r="BMC804" s="268"/>
      <c r="BMD804" s="268"/>
      <c r="BME804" s="268"/>
      <c r="BMF804" s="268"/>
      <c r="BMG804" s="268"/>
      <c r="BMH804" s="268"/>
      <c r="BMI804" s="268"/>
      <c r="BMJ804" s="268"/>
      <c r="BMK804" s="268"/>
      <c r="BML804" s="268"/>
      <c r="BMM804" s="268"/>
      <c r="BMN804" s="268"/>
      <c r="BMO804" s="268"/>
      <c r="BMP804" s="268"/>
      <c r="BMQ804" s="268"/>
      <c r="BMR804" s="268"/>
      <c r="BMS804" s="268"/>
      <c r="BMT804" s="268"/>
      <c r="BMU804" s="268"/>
      <c r="BMV804" s="268"/>
      <c r="BMW804" s="268"/>
      <c r="BMX804" s="268"/>
      <c r="BMY804" s="268"/>
      <c r="BMZ804" s="268"/>
      <c r="BNA804" s="268"/>
      <c r="BNB804" s="268"/>
      <c r="BNC804" s="268"/>
      <c r="BND804" s="268"/>
      <c r="BNE804" s="268"/>
      <c r="BNF804" s="268"/>
      <c r="BNG804" s="268"/>
      <c r="BNH804" s="268"/>
      <c r="BNI804" s="268"/>
      <c r="BNJ804" s="268"/>
      <c r="BNK804" s="268"/>
      <c r="BNL804" s="268"/>
      <c r="BNM804" s="268"/>
      <c r="BNN804" s="268"/>
      <c r="BNO804" s="268"/>
      <c r="BNP804" s="268"/>
      <c r="BNQ804" s="268"/>
      <c r="BNR804" s="268"/>
      <c r="BNS804" s="268"/>
      <c r="BNT804" s="268"/>
      <c r="BNU804" s="268"/>
      <c r="BNV804" s="268"/>
      <c r="BNW804" s="268"/>
      <c r="BNX804" s="268"/>
      <c r="BNY804" s="268"/>
      <c r="BNZ804" s="268"/>
      <c r="BOA804" s="268"/>
      <c r="BOB804" s="268"/>
      <c r="BOC804" s="268"/>
      <c r="BOD804" s="268"/>
      <c r="BOE804" s="268"/>
      <c r="BOF804" s="268"/>
      <c r="BOG804" s="268"/>
      <c r="BOH804" s="268"/>
      <c r="BOI804" s="268"/>
      <c r="BOJ804" s="268"/>
      <c r="BOK804" s="268"/>
      <c r="BOL804" s="268"/>
      <c r="BOM804" s="268"/>
      <c r="BON804" s="268"/>
      <c r="BOO804" s="268"/>
      <c r="BOP804" s="268"/>
      <c r="BOQ804" s="268"/>
      <c r="BOR804" s="268"/>
      <c r="BOS804" s="268"/>
      <c r="BOT804" s="268"/>
      <c r="BOU804" s="268"/>
      <c r="BOV804" s="268"/>
      <c r="BOW804" s="268"/>
      <c r="BOX804" s="268"/>
      <c r="BOY804" s="268"/>
      <c r="BOZ804" s="268"/>
      <c r="BPA804" s="268"/>
      <c r="BPB804" s="268"/>
      <c r="BPC804" s="268"/>
      <c r="BPD804" s="268"/>
      <c r="BPE804" s="268"/>
      <c r="BPF804" s="268"/>
      <c r="BPG804" s="268"/>
      <c r="BPH804" s="268"/>
      <c r="BPI804" s="268"/>
      <c r="BPJ804" s="268"/>
      <c r="BPK804" s="268"/>
      <c r="BPL804" s="268"/>
      <c r="BPM804" s="268"/>
      <c r="BPN804" s="268"/>
      <c r="BPO804" s="268"/>
      <c r="BQC804" s="268"/>
      <c r="BQD804" s="268"/>
      <c r="BQE804" s="268"/>
      <c r="BQS804" s="268"/>
      <c r="BQU804" s="268"/>
      <c r="BQV804" s="268"/>
      <c r="BQW804" s="268"/>
      <c r="BQX804" s="268"/>
      <c r="BQY804" s="268"/>
      <c r="BQZ804" s="268"/>
      <c r="BRA804" s="268"/>
      <c r="BRB804" s="268"/>
      <c r="BRC804" s="268"/>
      <c r="BRD804" s="268"/>
      <c r="BRE804" s="268"/>
      <c r="BRF804" s="268"/>
      <c r="BRG804" s="268"/>
      <c r="BRH804" s="268"/>
      <c r="BRI804" s="268"/>
      <c r="BRJ804" s="268"/>
      <c r="BRK804" s="268"/>
      <c r="BRL804" s="268"/>
      <c r="BRM804" s="268"/>
      <c r="BRN804" s="268"/>
      <c r="BRO804" s="268"/>
      <c r="BRP804" s="268"/>
      <c r="BRQ804" s="268"/>
      <c r="BRR804" s="268"/>
      <c r="BRS804" s="268"/>
      <c r="BRT804" s="268"/>
      <c r="BRU804" s="268"/>
      <c r="BRV804" s="268"/>
      <c r="BRW804" s="268"/>
      <c r="BRX804" s="268"/>
      <c r="BRY804" s="268"/>
      <c r="BRZ804" s="268"/>
      <c r="BSA804" s="268"/>
      <c r="BSB804" s="268"/>
      <c r="BSC804" s="268"/>
      <c r="BSD804" s="268"/>
      <c r="BSE804" s="268"/>
      <c r="BSF804" s="268"/>
      <c r="BSG804" s="268"/>
      <c r="BSH804" s="268"/>
      <c r="BSI804" s="268"/>
      <c r="BSJ804" s="268"/>
      <c r="BSK804" s="268"/>
      <c r="BSL804" s="268"/>
      <c r="BSM804" s="268"/>
      <c r="BSN804" s="268"/>
      <c r="BSO804" s="268"/>
      <c r="BSP804" s="268"/>
      <c r="BSQ804" s="268"/>
      <c r="BSR804" s="268"/>
      <c r="BSS804" s="268"/>
      <c r="BST804" s="268"/>
      <c r="BSU804" s="268"/>
      <c r="BSV804" s="268"/>
      <c r="BSW804" s="268"/>
      <c r="BSX804" s="268"/>
      <c r="BSY804" s="268"/>
      <c r="BSZ804" s="268"/>
      <c r="BTA804" s="268"/>
      <c r="BTB804" s="268"/>
      <c r="BTC804" s="268"/>
      <c r="BTD804" s="268"/>
      <c r="BTE804" s="268"/>
      <c r="BTF804" s="268"/>
      <c r="BTG804" s="268"/>
      <c r="BTH804" s="268"/>
      <c r="BTI804" s="268"/>
      <c r="BTJ804" s="268"/>
      <c r="BTK804" s="268"/>
      <c r="BTL804" s="268"/>
      <c r="BTM804" s="268"/>
      <c r="BTN804" s="268"/>
      <c r="BTO804" s="268"/>
      <c r="BTP804" s="268"/>
      <c r="BTQ804" s="268"/>
      <c r="BTR804" s="268"/>
      <c r="BTS804" s="268"/>
      <c r="BTT804" s="268"/>
      <c r="BTU804" s="268"/>
      <c r="BTV804" s="268"/>
      <c r="BTW804" s="268"/>
      <c r="BTX804" s="268"/>
      <c r="BTY804" s="268"/>
      <c r="BTZ804" s="268"/>
      <c r="BUA804" s="268"/>
      <c r="BUB804" s="268"/>
      <c r="BUC804" s="268"/>
      <c r="BUD804" s="268"/>
      <c r="BUE804" s="268"/>
      <c r="BUF804" s="268"/>
      <c r="BUG804" s="268"/>
      <c r="BUH804" s="268"/>
      <c r="BUI804" s="268"/>
      <c r="BUJ804" s="268"/>
      <c r="BUK804" s="268"/>
      <c r="BUL804" s="268"/>
      <c r="BUM804" s="268"/>
      <c r="BUN804" s="268"/>
      <c r="BUO804" s="268"/>
      <c r="BUP804" s="268"/>
      <c r="BUQ804" s="268"/>
      <c r="BUR804" s="268"/>
      <c r="BUS804" s="268"/>
      <c r="BUT804" s="268"/>
      <c r="BUU804" s="268"/>
      <c r="BUV804" s="268"/>
      <c r="BUW804" s="268"/>
      <c r="BUX804" s="268"/>
      <c r="BUY804" s="268"/>
      <c r="BUZ804" s="268"/>
      <c r="BVA804" s="268"/>
      <c r="BVB804" s="268"/>
      <c r="BVC804" s="268"/>
      <c r="BVD804" s="268"/>
      <c r="BVE804" s="268"/>
      <c r="BVF804" s="268"/>
      <c r="BVG804" s="268"/>
      <c r="BVH804" s="268"/>
      <c r="BVI804" s="268"/>
      <c r="BVJ804" s="268"/>
      <c r="BVK804" s="268"/>
      <c r="BVL804" s="268"/>
      <c r="BVM804" s="268"/>
      <c r="BVN804" s="268"/>
      <c r="BVO804" s="268"/>
      <c r="BVP804" s="268"/>
      <c r="BVQ804" s="268"/>
      <c r="BVR804" s="268"/>
      <c r="BVS804" s="268"/>
      <c r="BVT804" s="268"/>
      <c r="BVU804" s="268"/>
      <c r="BVV804" s="268"/>
      <c r="BVW804" s="268"/>
      <c r="BVX804" s="268"/>
      <c r="BVY804" s="268"/>
      <c r="BVZ804" s="268"/>
      <c r="BWA804" s="268"/>
      <c r="BWB804" s="268"/>
      <c r="BWC804" s="268"/>
      <c r="BWD804" s="268"/>
      <c r="BWE804" s="268"/>
      <c r="BWF804" s="268"/>
      <c r="BWG804" s="268"/>
      <c r="BWH804" s="268"/>
      <c r="BWI804" s="268"/>
      <c r="BWJ804" s="268"/>
      <c r="BWK804" s="268"/>
      <c r="BWL804" s="268"/>
      <c r="BWM804" s="268"/>
      <c r="BWN804" s="268"/>
      <c r="BWO804" s="268"/>
      <c r="BWP804" s="268"/>
      <c r="BWQ804" s="268"/>
      <c r="BWR804" s="268"/>
      <c r="BWS804" s="268"/>
      <c r="BWT804" s="268"/>
      <c r="BWU804" s="268"/>
      <c r="BWV804" s="268"/>
      <c r="BWW804" s="268"/>
      <c r="BWX804" s="268"/>
      <c r="BWY804" s="268"/>
      <c r="BWZ804" s="268"/>
      <c r="BXA804" s="268"/>
      <c r="BXB804" s="268"/>
      <c r="BXC804" s="268"/>
      <c r="BXD804" s="268"/>
      <c r="BXE804" s="268"/>
      <c r="BXF804" s="268"/>
      <c r="BXG804" s="268"/>
      <c r="BXH804" s="268"/>
      <c r="BXI804" s="268"/>
      <c r="BXJ804" s="268"/>
      <c r="BXK804" s="268"/>
      <c r="BXL804" s="268"/>
      <c r="BXM804" s="268"/>
      <c r="BXN804" s="268"/>
      <c r="BXO804" s="268"/>
      <c r="BXP804" s="268"/>
      <c r="BXQ804" s="268"/>
      <c r="BXR804" s="268"/>
      <c r="BXS804" s="268"/>
      <c r="BXT804" s="268"/>
      <c r="BXU804" s="268"/>
      <c r="BXV804" s="268"/>
      <c r="BXW804" s="268"/>
      <c r="BXX804" s="268"/>
      <c r="BXY804" s="268"/>
      <c r="BXZ804" s="268"/>
      <c r="BYA804" s="268"/>
      <c r="BYB804" s="268"/>
      <c r="BYC804" s="268"/>
      <c r="BYD804" s="268"/>
      <c r="BYE804" s="268"/>
      <c r="BYF804" s="268"/>
      <c r="BYG804" s="268"/>
      <c r="BYH804" s="268"/>
      <c r="BYI804" s="268"/>
      <c r="BYJ804" s="268"/>
      <c r="BYK804" s="268"/>
      <c r="BYL804" s="268"/>
      <c r="BYM804" s="268"/>
      <c r="BYN804" s="268"/>
      <c r="BYO804" s="268"/>
      <c r="BYP804" s="268"/>
      <c r="BYQ804" s="268"/>
      <c r="BYR804" s="268"/>
      <c r="BYS804" s="268"/>
      <c r="BYT804" s="268"/>
      <c r="BYU804" s="268"/>
      <c r="BYV804" s="268"/>
      <c r="BYW804" s="268"/>
      <c r="BYX804" s="268"/>
      <c r="BYY804" s="268"/>
      <c r="BYZ804" s="268"/>
      <c r="BZA804" s="268"/>
      <c r="BZB804" s="268"/>
      <c r="BZC804" s="268"/>
      <c r="BZD804" s="268"/>
      <c r="BZE804" s="268"/>
      <c r="BZF804" s="268"/>
      <c r="BZG804" s="268"/>
      <c r="BZH804" s="268"/>
      <c r="BZI804" s="268"/>
      <c r="BZJ804" s="268"/>
      <c r="BZK804" s="268"/>
      <c r="BZY804" s="268"/>
      <c r="BZZ804" s="268"/>
      <c r="CAA804" s="268"/>
      <c r="CAO804" s="268"/>
      <c r="CAQ804" s="268"/>
      <c r="CAR804" s="268"/>
      <c r="CAS804" s="268"/>
      <c r="CAT804" s="268"/>
      <c r="CAU804" s="268"/>
      <c r="CAV804" s="268"/>
      <c r="CAW804" s="268"/>
      <c r="CAX804" s="268"/>
      <c r="CAY804" s="268"/>
      <c r="CAZ804" s="268"/>
      <c r="CBA804" s="268"/>
      <c r="CBB804" s="268"/>
      <c r="CBC804" s="268"/>
      <c r="CBD804" s="268"/>
      <c r="CBE804" s="268"/>
      <c r="CBF804" s="268"/>
      <c r="CBG804" s="268"/>
      <c r="CBH804" s="268"/>
      <c r="CBI804" s="268"/>
      <c r="CBJ804" s="268"/>
      <c r="CBK804" s="268"/>
      <c r="CBL804" s="268"/>
      <c r="CBM804" s="268"/>
      <c r="CBN804" s="268"/>
      <c r="CBO804" s="268"/>
      <c r="CBP804" s="268"/>
      <c r="CBQ804" s="268"/>
      <c r="CBR804" s="268"/>
      <c r="CBS804" s="268"/>
      <c r="CBT804" s="268"/>
      <c r="CBU804" s="268"/>
      <c r="CBV804" s="268"/>
      <c r="CBW804" s="268"/>
      <c r="CBX804" s="268"/>
      <c r="CBY804" s="268"/>
      <c r="CBZ804" s="268"/>
      <c r="CCA804" s="268"/>
      <c r="CCB804" s="268"/>
      <c r="CCC804" s="268"/>
      <c r="CCD804" s="268"/>
      <c r="CCE804" s="268"/>
      <c r="CCF804" s="268"/>
      <c r="CCG804" s="268"/>
      <c r="CCH804" s="268"/>
      <c r="CCI804" s="268"/>
      <c r="CCJ804" s="268"/>
      <c r="CCK804" s="268"/>
      <c r="CCL804" s="268"/>
      <c r="CCM804" s="268"/>
      <c r="CCN804" s="268"/>
      <c r="CCO804" s="268"/>
      <c r="CCP804" s="268"/>
      <c r="CCQ804" s="268"/>
      <c r="CCR804" s="268"/>
      <c r="CCS804" s="268"/>
      <c r="CCT804" s="268"/>
      <c r="CCU804" s="268"/>
      <c r="CCV804" s="268"/>
      <c r="CCW804" s="268"/>
      <c r="CCX804" s="268"/>
      <c r="CCY804" s="268"/>
      <c r="CCZ804" s="268"/>
      <c r="CDA804" s="268"/>
      <c r="CDB804" s="268"/>
      <c r="CDC804" s="268"/>
      <c r="CDD804" s="268"/>
      <c r="CDE804" s="268"/>
      <c r="CDF804" s="268"/>
      <c r="CDG804" s="268"/>
      <c r="CDH804" s="268"/>
      <c r="CDI804" s="268"/>
      <c r="CDJ804" s="268"/>
      <c r="CDK804" s="268"/>
      <c r="CDL804" s="268"/>
      <c r="CDM804" s="268"/>
      <c r="CDN804" s="268"/>
      <c r="CDO804" s="268"/>
      <c r="CDP804" s="268"/>
      <c r="CDQ804" s="268"/>
      <c r="CDR804" s="268"/>
      <c r="CDS804" s="268"/>
      <c r="CDT804" s="268"/>
      <c r="CDU804" s="268"/>
      <c r="CDV804" s="268"/>
      <c r="CDW804" s="268"/>
      <c r="CDX804" s="268"/>
      <c r="CDY804" s="268"/>
      <c r="CDZ804" s="268"/>
      <c r="CEA804" s="268"/>
      <c r="CEB804" s="268"/>
      <c r="CEC804" s="268"/>
      <c r="CED804" s="268"/>
      <c r="CEE804" s="268"/>
      <c r="CEF804" s="268"/>
      <c r="CEG804" s="268"/>
      <c r="CEH804" s="268"/>
      <c r="CEI804" s="268"/>
      <c r="CEJ804" s="268"/>
      <c r="CEK804" s="268"/>
      <c r="CEL804" s="268"/>
      <c r="CEM804" s="268"/>
      <c r="CEN804" s="268"/>
      <c r="CEO804" s="268"/>
      <c r="CEP804" s="268"/>
      <c r="CEQ804" s="268"/>
      <c r="CER804" s="268"/>
      <c r="CES804" s="268"/>
      <c r="CET804" s="268"/>
      <c r="CEU804" s="268"/>
      <c r="CEV804" s="268"/>
      <c r="CEW804" s="268"/>
      <c r="CEX804" s="268"/>
      <c r="CEY804" s="268"/>
      <c r="CEZ804" s="268"/>
      <c r="CFA804" s="268"/>
      <c r="CFB804" s="268"/>
      <c r="CFC804" s="268"/>
      <c r="CFD804" s="268"/>
      <c r="CFE804" s="268"/>
      <c r="CFF804" s="268"/>
      <c r="CFG804" s="268"/>
      <c r="CFH804" s="268"/>
      <c r="CFI804" s="268"/>
      <c r="CFJ804" s="268"/>
      <c r="CFK804" s="268"/>
      <c r="CFL804" s="268"/>
      <c r="CFM804" s="268"/>
      <c r="CFN804" s="268"/>
      <c r="CFO804" s="268"/>
      <c r="CFP804" s="268"/>
      <c r="CFQ804" s="268"/>
      <c r="CFR804" s="268"/>
      <c r="CFS804" s="268"/>
      <c r="CFT804" s="268"/>
      <c r="CFU804" s="268"/>
      <c r="CFV804" s="268"/>
      <c r="CFW804" s="268"/>
      <c r="CFX804" s="268"/>
      <c r="CFY804" s="268"/>
      <c r="CFZ804" s="268"/>
      <c r="CGA804" s="268"/>
      <c r="CGB804" s="268"/>
      <c r="CGC804" s="268"/>
      <c r="CGD804" s="268"/>
      <c r="CGE804" s="268"/>
      <c r="CGF804" s="268"/>
      <c r="CGG804" s="268"/>
      <c r="CGH804" s="268"/>
      <c r="CGI804" s="268"/>
      <c r="CGJ804" s="268"/>
      <c r="CGK804" s="268"/>
      <c r="CGL804" s="268"/>
      <c r="CGM804" s="268"/>
      <c r="CGN804" s="268"/>
      <c r="CGO804" s="268"/>
      <c r="CGP804" s="268"/>
      <c r="CGQ804" s="268"/>
      <c r="CGR804" s="268"/>
      <c r="CGS804" s="268"/>
      <c r="CGT804" s="268"/>
      <c r="CGU804" s="268"/>
      <c r="CGV804" s="268"/>
      <c r="CGW804" s="268"/>
      <c r="CGX804" s="268"/>
      <c r="CGY804" s="268"/>
      <c r="CGZ804" s="268"/>
      <c r="CHA804" s="268"/>
      <c r="CHB804" s="268"/>
      <c r="CHC804" s="268"/>
      <c r="CHD804" s="268"/>
      <c r="CHE804" s="268"/>
      <c r="CHF804" s="268"/>
      <c r="CHG804" s="268"/>
      <c r="CHH804" s="268"/>
      <c r="CHI804" s="268"/>
      <c r="CHJ804" s="268"/>
      <c r="CHK804" s="268"/>
      <c r="CHL804" s="268"/>
      <c r="CHM804" s="268"/>
      <c r="CHN804" s="268"/>
      <c r="CHO804" s="268"/>
      <c r="CHP804" s="268"/>
      <c r="CHQ804" s="268"/>
      <c r="CHR804" s="268"/>
      <c r="CHS804" s="268"/>
      <c r="CHT804" s="268"/>
      <c r="CHU804" s="268"/>
      <c r="CHV804" s="268"/>
      <c r="CHW804" s="268"/>
      <c r="CHX804" s="268"/>
      <c r="CHY804" s="268"/>
      <c r="CHZ804" s="268"/>
      <c r="CIA804" s="268"/>
      <c r="CIB804" s="268"/>
      <c r="CIC804" s="268"/>
      <c r="CID804" s="268"/>
      <c r="CIE804" s="268"/>
      <c r="CIF804" s="268"/>
      <c r="CIG804" s="268"/>
      <c r="CIH804" s="268"/>
      <c r="CII804" s="268"/>
      <c r="CIJ804" s="268"/>
      <c r="CIK804" s="268"/>
      <c r="CIL804" s="268"/>
      <c r="CIM804" s="268"/>
      <c r="CIN804" s="268"/>
      <c r="CIO804" s="268"/>
      <c r="CIP804" s="268"/>
      <c r="CIQ804" s="268"/>
      <c r="CIR804" s="268"/>
      <c r="CIS804" s="268"/>
      <c r="CIT804" s="268"/>
      <c r="CIU804" s="268"/>
      <c r="CIV804" s="268"/>
      <c r="CIW804" s="268"/>
      <c r="CIX804" s="268"/>
      <c r="CIY804" s="268"/>
      <c r="CIZ804" s="268"/>
      <c r="CJA804" s="268"/>
      <c r="CJB804" s="268"/>
      <c r="CJC804" s="268"/>
      <c r="CJD804" s="268"/>
      <c r="CJE804" s="268"/>
      <c r="CJF804" s="268"/>
      <c r="CJG804" s="268"/>
      <c r="CJU804" s="268"/>
      <c r="CJV804" s="268"/>
      <c r="CJW804" s="268"/>
      <c r="CKK804" s="268"/>
      <c r="CKM804" s="268"/>
      <c r="CKN804" s="268"/>
      <c r="CKO804" s="268"/>
      <c r="CKP804" s="268"/>
      <c r="CKQ804" s="268"/>
      <c r="CKR804" s="268"/>
      <c r="CKS804" s="268"/>
      <c r="CKT804" s="268"/>
      <c r="CKU804" s="268"/>
      <c r="CKV804" s="268"/>
      <c r="CKW804" s="268"/>
      <c r="CKX804" s="268"/>
      <c r="CKY804" s="268"/>
      <c r="CKZ804" s="268"/>
      <c r="CLA804" s="268"/>
      <c r="CLB804" s="268"/>
      <c r="CLC804" s="268"/>
      <c r="CLD804" s="268"/>
      <c r="CLE804" s="268"/>
      <c r="CLF804" s="268"/>
      <c r="CLG804" s="268"/>
      <c r="CLH804" s="268"/>
      <c r="CLI804" s="268"/>
      <c r="CLJ804" s="268"/>
      <c r="CLK804" s="268"/>
      <c r="CLL804" s="268"/>
      <c r="CLM804" s="268"/>
      <c r="CLN804" s="268"/>
      <c r="CLO804" s="268"/>
      <c r="CLP804" s="268"/>
      <c r="CLQ804" s="268"/>
      <c r="CLR804" s="268"/>
      <c r="CLS804" s="268"/>
      <c r="CLT804" s="268"/>
      <c r="CLU804" s="268"/>
      <c r="CLV804" s="268"/>
      <c r="CLW804" s="268"/>
      <c r="CLX804" s="268"/>
      <c r="CLY804" s="268"/>
      <c r="CLZ804" s="268"/>
      <c r="CMA804" s="268"/>
      <c r="CMB804" s="268"/>
      <c r="CMC804" s="268"/>
      <c r="CMD804" s="268"/>
      <c r="CME804" s="268"/>
      <c r="CMF804" s="268"/>
      <c r="CMG804" s="268"/>
      <c r="CMH804" s="268"/>
      <c r="CMI804" s="268"/>
      <c r="CMJ804" s="268"/>
      <c r="CMK804" s="268"/>
      <c r="CML804" s="268"/>
      <c r="CMM804" s="268"/>
      <c r="CMN804" s="268"/>
      <c r="CMO804" s="268"/>
      <c r="CMP804" s="268"/>
      <c r="CMQ804" s="268"/>
      <c r="CMR804" s="268"/>
      <c r="CMS804" s="268"/>
      <c r="CMT804" s="268"/>
      <c r="CMU804" s="268"/>
      <c r="CMV804" s="268"/>
      <c r="CMW804" s="268"/>
      <c r="CMX804" s="268"/>
      <c r="CMY804" s="268"/>
      <c r="CMZ804" s="268"/>
      <c r="CNA804" s="268"/>
      <c r="CNB804" s="268"/>
      <c r="CNC804" s="268"/>
      <c r="CND804" s="268"/>
      <c r="CNE804" s="268"/>
      <c r="CNF804" s="268"/>
      <c r="CNG804" s="268"/>
      <c r="CNH804" s="268"/>
      <c r="CNI804" s="268"/>
      <c r="CNJ804" s="268"/>
      <c r="CNK804" s="268"/>
      <c r="CNL804" s="268"/>
      <c r="CNM804" s="268"/>
      <c r="CNN804" s="268"/>
      <c r="CNO804" s="268"/>
      <c r="CNP804" s="268"/>
      <c r="CNQ804" s="268"/>
      <c r="CNR804" s="268"/>
      <c r="CNS804" s="268"/>
      <c r="CNT804" s="268"/>
      <c r="CNU804" s="268"/>
      <c r="CNV804" s="268"/>
      <c r="CNW804" s="268"/>
      <c r="CNX804" s="268"/>
      <c r="CNY804" s="268"/>
      <c r="CNZ804" s="268"/>
      <c r="COA804" s="268"/>
      <c r="COB804" s="268"/>
      <c r="COC804" s="268"/>
      <c r="COD804" s="268"/>
      <c r="COE804" s="268"/>
      <c r="COF804" s="268"/>
      <c r="COG804" s="268"/>
      <c r="COH804" s="268"/>
      <c r="COI804" s="268"/>
      <c r="COJ804" s="268"/>
      <c r="COK804" s="268"/>
      <c r="COL804" s="268"/>
      <c r="COM804" s="268"/>
      <c r="CON804" s="268"/>
      <c r="COO804" s="268"/>
      <c r="COP804" s="268"/>
      <c r="COQ804" s="268"/>
      <c r="COR804" s="268"/>
      <c r="COS804" s="268"/>
      <c r="COT804" s="268"/>
      <c r="COU804" s="268"/>
      <c r="COV804" s="268"/>
      <c r="COW804" s="268"/>
      <c r="COX804" s="268"/>
      <c r="COY804" s="268"/>
      <c r="COZ804" s="268"/>
      <c r="CPA804" s="268"/>
      <c r="CPB804" s="268"/>
      <c r="CPC804" s="268"/>
      <c r="CPD804" s="268"/>
      <c r="CPE804" s="268"/>
      <c r="CPF804" s="268"/>
      <c r="CPG804" s="268"/>
      <c r="CPH804" s="268"/>
      <c r="CPI804" s="268"/>
      <c r="CPJ804" s="268"/>
      <c r="CPK804" s="268"/>
      <c r="CPL804" s="268"/>
      <c r="CPM804" s="268"/>
      <c r="CPN804" s="268"/>
      <c r="CPO804" s="268"/>
      <c r="CPP804" s="268"/>
      <c r="CPQ804" s="268"/>
      <c r="CPR804" s="268"/>
      <c r="CPS804" s="268"/>
      <c r="CPT804" s="268"/>
      <c r="CPU804" s="268"/>
      <c r="CPV804" s="268"/>
      <c r="CPW804" s="268"/>
      <c r="CPX804" s="268"/>
      <c r="CPY804" s="268"/>
      <c r="CPZ804" s="268"/>
      <c r="CQA804" s="268"/>
      <c r="CQB804" s="268"/>
      <c r="CQC804" s="268"/>
      <c r="CQD804" s="268"/>
      <c r="CQE804" s="268"/>
      <c r="CQF804" s="268"/>
      <c r="CQG804" s="268"/>
      <c r="CQH804" s="268"/>
      <c r="CQI804" s="268"/>
      <c r="CQJ804" s="268"/>
      <c r="CQK804" s="268"/>
      <c r="CQL804" s="268"/>
      <c r="CQM804" s="268"/>
      <c r="CQN804" s="268"/>
      <c r="CQO804" s="268"/>
      <c r="CQP804" s="268"/>
      <c r="CQQ804" s="268"/>
      <c r="CQR804" s="268"/>
      <c r="CQS804" s="268"/>
      <c r="CQT804" s="268"/>
      <c r="CQU804" s="268"/>
      <c r="CQV804" s="268"/>
      <c r="CQW804" s="268"/>
      <c r="CQX804" s="268"/>
      <c r="CQY804" s="268"/>
      <c r="CQZ804" s="268"/>
      <c r="CRA804" s="268"/>
      <c r="CRB804" s="268"/>
      <c r="CRC804" s="268"/>
      <c r="CRD804" s="268"/>
      <c r="CRE804" s="268"/>
      <c r="CRF804" s="268"/>
      <c r="CRG804" s="268"/>
      <c r="CRH804" s="268"/>
      <c r="CRI804" s="268"/>
      <c r="CRJ804" s="268"/>
      <c r="CRK804" s="268"/>
      <c r="CRL804" s="268"/>
      <c r="CRM804" s="268"/>
      <c r="CRN804" s="268"/>
      <c r="CRO804" s="268"/>
      <c r="CRP804" s="268"/>
      <c r="CRQ804" s="268"/>
      <c r="CRR804" s="268"/>
      <c r="CRS804" s="268"/>
      <c r="CRT804" s="268"/>
      <c r="CRU804" s="268"/>
      <c r="CRV804" s="268"/>
      <c r="CRW804" s="268"/>
      <c r="CRX804" s="268"/>
      <c r="CRY804" s="268"/>
      <c r="CRZ804" s="268"/>
      <c r="CSA804" s="268"/>
      <c r="CSB804" s="268"/>
      <c r="CSC804" s="268"/>
      <c r="CSD804" s="268"/>
      <c r="CSE804" s="268"/>
      <c r="CSF804" s="268"/>
      <c r="CSG804" s="268"/>
      <c r="CSH804" s="268"/>
      <c r="CSI804" s="268"/>
      <c r="CSJ804" s="268"/>
      <c r="CSK804" s="268"/>
      <c r="CSL804" s="268"/>
      <c r="CSM804" s="268"/>
      <c r="CSN804" s="268"/>
      <c r="CSO804" s="268"/>
      <c r="CSP804" s="268"/>
      <c r="CSQ804" s="268"/>
      <c r="CSR804" s="268"/>
      <c r="CSS804" s="268"/>
      <c r="CST804" s="268"/>
      <c r="CSU804" s="268"/>
      <c r="CSV804" s="268"/>
      <c r="CSW804" s="268"/>
      <c r="CSX804" s="268"/>
      <c r="CSY804" s="268"/>
      <c r="CSZ804" s="268"/>
      <c r="CTA804" s="268"/>
      <c r="CTB804" s="268"/>
      <c r="CTC804" s="268"/>
      <c r="CTQ804" s="268"/>
      <c r="CTR804" s="268"/>
      <c r="CTS804" s="268"/>
      <c r="CUG804" s="268"/>
      <c r="CUI804" s="268"/>
      <c r="CUJ804" s="268"/>
      <c r="CUK804" s="268"/>
      <c r="CUL804" s="268"/>
      <c r="CUM804" s="268"/>
      <c r="CUN804" s="268"/>
      <c r="CUO804" s="268"/>
      <c r="CUP804" s="268"/>
      <c r="CUQ804" s="268"/>
      <c r="CUR804" s="268"/>
      <c r="CUS804" s="268"/>
      <c r="CUT804" s="268"/>
      <c r="CUU804" s="268"/>
      <c r="CUV804" s="268"/>
      <c r="CUW804" s="268"/>
      <c r="CUX804" s="268"/>
      <c r="CUY804" s="268"/>
      <c r="CUZ804" s="268"/>
      <c r="CVA804" s="268"/>
      <c r="CVB804" s="268"/>
      <c r="CVC804" s="268"/>
      <c r="CVD804" s="268"/>
      <c r="CVE804" s="268"/>
      <c r="CVF804" s="268"/>
      <c r="CVG804" s="268"/>
      <c r="CVH804" s="268"/>
      <c r="CVI804" s="268"/>
      <c r="CVJ804" s="268"/>
      <c r="CVK804" s="268"/>
      <c r="CVL804" s="268"/>
      <c r="CVM804" s="268"/>
      <c r="CVN804" s="268"/>
      <c r="CVO804" s="268"/>
      <c r="CVP804" s="268"/>
      <c r="CVQ804" s="268"/>
      <c r="CVR804" s="268"/>
      <c r="CVS804" s="268"/>
      <c r="CVT804" s="268"/>
      <c r="CVU804" s="268"/>
      <c r="CVV804" s="268"/>
      <c r="CVW804" s="268"/>
      <c r="CVX804" s="268"/>
      <c r="CVY804" s="268"/>
      <c r="CVZ804" s="268"/>
      <c r="CWA804" s="268"/>
      <c r="CWB804" s="268"/>
      <c r="CWC804" s="268"/>
      <c r="CWD804" s="268"/>
      <c r="CWE804" s="268"/>
      <c r="CWF804" s="268"/>
      <c r="CWG804" s="268"/>
      <c r="CWH804" s="268"/>
      <c r="CWI804" s="268"/>
      <c r="CWJ804" s="268"/>
      <c r="CWK804" s="268"/>
      <c r="CWL804" s="268"/>
      <c r="CWM804" s="268"/>
      <c r="CWN804" s="268"/>
      <c r="CWO804" s="268"/>
      <c r="CWP804" s="268"/>
      <c r="CWQ804" s="268"/>
      <c r="CWR804" s="268"/>
      <c r="CWS804" s="268"/>
      <c r="CWT804" s="268"/>
      <c r="CWU804" s="268"/>
      <c r="CWV804" s="268"/>
      <c r="CWW804" s="268"/>
      <c r="CWX804" s="268"/>
      <c r="CWY804" s="268"/>
      <c r="CWZ804" s="268"/>
      <c r="CXA804" s="268"/>
      <c r="CXB804" s="268"/>
      <c r="CXC804" s="268"/>
      <c r="CXD804" s="268"/>
      <c r="CXE804" s="268"/>
      <c r="CXF804" s="268"/>
      <c r="CXG804" s="268"/>
      <c r="CXH804" s="268"/>
      <c r="CXI804" s="268"/>
      <c r="CXJ804" s="268"/>
      <c r="CXK804" s="268"/>
      <c r="CXL804" s="268"/>
      <c r="CXM804" s="268"/>
      <c r="CXN804" s="268"/>
      <c r="CXO804" s="268"/>
      <c r="CXP804" s="268"/>
      <c r="CXQ804" s="268"/>
      <c r="CXR804" s="268"/>
      <c r="CXS804" s="268"/>
      <c r="CXT804" s="268"/>
      <c r="CXU804" s="268"/>
      <c r="CXV804" s="268"/>
      <c r="CXW804" s="268"/>
      <c r="CXX804" s="268"/>
      <c r="CXY804" s="268"/>
      <c r="CXZ804" s="268"/>
      <c r="CYA804" s="268"/>
      <c r="CYB804" s="268"/>
      <c r="CYC804" s="268"/>
      <c r="CYD804" s="268"/>
      <c r="CYE804" s="268"/>
      <c r="CYF804" s="268"/>
      <c r="CYG804" s="268"/>
      <c r="CYH804" s="268"/>
      <c r="CYI804" s="268"/>
      <c r="CYJ804" s="268"/>
      <c r="CYK804" s="268"/>
      <c r="CYL804" s="268"/>
      <c r="CYM804" s="268"/>
      <c r="CYN804" s="268"/>
      <c r="CYO804" s="268"/>
      <c r="CYP804" s="268"/>
      <c r="CYQ804" s="268"/>
      <c r="CYR804" s="268"/>
      <c r="CYS804" s="268"/>
      <c r="CYT804" s="268"/>
      <c r="CYU804" s="268"/>
      <c r="CYV804" s="268"/>
      <c r="CYW804" s="268"/>
      <c r="CYX804" s="268"/>
      <c r="CYY804" s="268"/>
      <c r="CYZ804" s="268"/>
      <c r="CZA804" s="268"/>
      <c r="CZB804" s="268"/>
      <c r="CZC804" s="268"/>
      <c r="CZD804" s="268"/>
      <c r="CZE804" s="268"/>
      <c r="CZF804" s="268"/>
      <c r="CZG804" s="268"/>
      <c r="CZH804" s="268"/>
      <c r="CZI804" s="268"/>
      <c r="CZJ804" s="268"/>
      <c r="CZK804" s="268"/>
      <c r="CZL804" s="268"/>
      <c r="CZM804" s="268"/>
      <c r="CZN804" s="268"/>
      <c r="CZO804" s="268"/>
      <c r="CZP804" s="268"/>
      <c r="CZQ804" s="268"/>
      <c r="CZR804" s="268"/>
      <c r="CZS804" s="268"/>
      <c r="CZT804" s="268"/>
      <c r="CZU804" s="268"/>
      <c r="CZV804" s="268"/>
      <c r="CZW804" s="268"/>
      <c r="CZX804" s="268"/>
      <c r="CZY804" s="268"/>
      <c r="CZZ804" s="268"/>
      <c r="DAA804" s="268"/>
      <c r="DAB804" s="268"/>
      <c r="DAC804" s="268"/>
      <c r="DAD804" s="268"/>
      <c r="DAE804" s="268"/>
      <c r="DAF804" s="268"/>
      <c r="DAG804" s="268"/>
      <c r="DAH804" s="268"/>
      <c r="DAI804" s="268"/>
      <c r="DAJ804" s="268"/>
      <c r="DAK804" s="268"/>
      <c r="DAL804" s="268"/>
      <c r="DAM804" s="268"/>
      <c r="DAN804" s="268"/>
      <c r="DAO804" s="268"/>
      <c r="DAP804" s="268"/>
      <c r="DAQ804" s="268"/>
      <c r="DAR804" s="268"/>
      <c r="DAS804" s="268"/>
      <c r="DAT804" s="268"/>
      <c r="DAU804" s="268"/>
      <c r="DAV804" s="268"/>
      <c r="DAW804" s="268"/>
      <c r="DAX804" s="268"/>
      <c r="DAY804" s="268"/>
      <c r="DAZ804" s="268"/>
      <c r="DBA804" s="268"/>
      <c r="DBB804" s="268"/>
      <c r="DBC804" s="268"/>
      <c r="DBD804" s="268"/>
      <c r="DBE804" s="268"/>
      <c r="DBF804" s="268"/>
      <c r="DBG804" s="268"/>
      <c r="DBH804" s="268"/>
      <c r="DBI804" s="268"/>
      <c r="DBJ804" s="268"/>
      <c r="DBK804" s="268"/>
      <c r="DBL804" s="268"/>
      <c r="DBM804" s="268"/>
      <c r="DBN804" s="268"/>
      <c r="DBO804" s="268"/>
      <c r="DBP804" s="268"/>
      <c r="DBQ804" s="268"/>
      <c r="DBR804" s="268"/>
      <c r="DBS804" s="268"/>
      <c r="DBT804" s="268"/>
      <c r="DBU804" s="268"/>
      <c r="DBV804" s="268"/>
      <c r="DBW804" s="268"/>
      <c r="DBX804" s="268"/>
      <c r="DBY804" s="268"/>
      <c r="DBZ804" s="268"/>
      <c r="DCA804" s="268"/>
      <c r="DCB804" s="268"/>
      <c r="DCC804" s="268"/>
      <c r="DCD804" s="268"/>
      <c r="DCE804" s="268"/>
      <c r="DCF804" s="268"/>
      <c r="DCG804" s="268"/>
      <c r="DCH804" s="268"/>
      <c r="DCI804" s="268"/>
      <c r="DCJ804" s="268"/>
      <c r="DCK804" s="268"/>
      <c r="DCL804" s="268"/>
      <c r="DCM804" s="268"/>
      <c r="DCN804" s="268"/>
      <c r="DCO804" s="268"/>
      <c r="DCP804" s="268"/>
      <c r="DCQ804" s="268"/>
      <c r="DCR804" s="268"/>
      <c r="DCS804" s="268"/>
      <c r="DCT804" s="268"/>
      <c r="DCU804" s="268"/>
      <c r="DCV804" s="268"/>
      <c r="DCW804" s="268"/>
      <c r="DCX804" s="268"/>
      <c r="DCY804" s="268"/>
      <c r="DDM804" s="268"/>
      <c r="DDN804" s="268"/>
      <c r="DDO804" s="268"/>
      <c r="DEC804" s="268"/>
      <c r="DEE804" s="268"/>
      <c r="DEF804" s="268"/>
      <c r="DEG804" s="268"/>
      <c r="DEH804" s="268"/>
      <c r="DEI804" s="268"/>
      <c r="DEJ804" s="268"/>
      <c r="DEK804" s="268"/>
      <c r="DEL804" s="268"/>
      <c r="DEM804" s="268"/>
      <c r="DEN804" s="268"/>
      <c r="DEO804" s="268"/>
      <c r="DEP804" s="268"/>
      <c r="DEQ804" s="268"/>
      <c r="DER804" s="268"/>
      <c r="DES804" s="268"/>
      <c r="DET804" s="268"/>
      <c r="DEU804" s="268"/>
      <c r="DEV804" s="268"/>
      <c r="DEW804" s="268"/>
      <c r="DEX804" s="268"/>
      <c r="DEY804" s="268"/>
      <c r="DEZ804" s="268"/>
      <c r="DFA804" s="268"/>
      <c r="DFB804" s="268"/>
      <c r="DFC804" s="268"/>
      <c r="DFD804" s="268"/>
      <c r="DFE804" s="268"/>
      <c r="DFF804" s="268"/>
      <c r="DFG804" s="268"/>
      <c r="DFH804" s="268"/>
      <c r="DFI804" s="268"/>
      <c r="DFJ804" s="268"/>
      <c r="DFK804" s="268"/>
      <c r="DFL804" s="268"/>
      <c r="DFM804" s="268"/>
      <c r="DFN804" s="268"/>
      <c r="DFO804" s="268"/>
      <c r="DFP804" s="268"/>
      <c r="DFQ804" s="268"/>
      <c r="DFR804" s="268"/>
      <c r="DFS804" s="268"/>
      <c r="DFT804" s="268"/>
      <c r="DFU804" s="268"/>
      <c r="DFV804" s="268"/>
      <c r="DFW804" s="268"/>
      <c r="DFX804" s="268"/>
      <c r="DFY804" s="268"/>
      <c r="DFZ804" s="268"/>
      <c r="DGA804" s="268"/>
      <c r="DGB804" s="268"/>
      <c r="DGC804" s="268"/>
      <c r="DGD804" s="268"/>
      <c r="DGE804" s="268"/>
      <c r="DGF804" s="268"/>
      <c r="DGG804" s="268"/>
      <c r="DGH804" s="268"/>
      <c r="DGI804" s="268"/>
      <c r="DGJ804" s="268"/>
      <c r="DGK804" s="268"/>
      <c r="DGL804" s="268"/>
      <c r="DGM804" s="268"/>
      <c r="DGN804" s="268"/>
      <c r="DGO804" s="268"/>
      <c r="DGP804" s="268"/>
      <c r="DGQ804" s="268"/>
      <c r="DGR804" s="268"/>
      <c r="DGS804" s="268"/>
      <c r="DGT804" s="268"/>
      <c r="DGU804" s="268"/>
      <c r="DGV804" s="268"/>
      <c r="DGW804" s="268"/>
      <c r="DGX804" s="268"/>
      <c r="DGY804" s="268"/>
      <c r="DGZ804" s="268"/>
      <c r="DHA804" s="268"/>
      <c r="DHB804" s="268"/>
      <c r="DHC804" s="268"/>
      <c r="DHD804" s="268"/>
      <c r="DHE804" s="268"/>
      <c r="DHF804" s="268"/>
      <c r="DHG804" s="268"/>
      <c r="DHH804" s="268"/>
      <c r="DHI804" s="268"/>
      <c r="DHJ804" s="268"/>
      <c r="DHK804" s="268"/>
      <c r="DHL804" s="268"/>
      <c r="DHM804" s="268"/>
      <c r="DHN804" s="268"/>
      <c r="DHO804" s="268"/>
      <c r="DHP804" s="268"/>
      <c r="DHQ804" s="268"/>
      <c r="DHR804" s="268"/>
      <c r="DHS804" s="268"/>
      <c r="DHT804" s="268"/>
      <c r="DHU804" s="268"/>
      <c r="DHV804" s="268"/>
      <c r="DHW804" s="268"/>
      <c r="DHX804" s="268"/>
      <c r="DHY804" s="268"/>
      <c r="DHZ804" s="268"/>
      <c r="DIA804" s="268"/>
      <c r="DIB804" s="268"/>
      <c r="DIC804" s="268"/>
      <c r="DID804" s="268"/>
      <c r="DIE804" s="268"/>
      <c r="DIF804" s="268"/>
      <c r="DIG804" s="268"/>
      <c r="DIH804" s="268"/>
      <c r="DII804" s="268"/>
      <c r="DIJ804" s="268"/>
      <c r="DIK804" s="268"/>
      <c r="DIL804" s="268"/>
      <c r="DIM804" s="268"/>
      <c r="DIN804" s="268"/>
      <c r="DIO804" s="268"/>
      <c r="DIP804" s="268"/>
      <c r="DIQ804" s="268"/>
      <c r="DIR804" s="268"/>
      <c r="DIS804" s="268"/>
      <c r="DIT804" s="268"/>
      <c r="DIU804" s="268"/>
      <c r="DIV804" s="268"/>
      <c r="DIW804" s="268"/>
      <c r="DIX804" s="268"/>
      <c r="DIY804" s="268"/>
      <c r="DIZ804" s="268"/>
      <c r="DJA804" s="268"/>
      <c r="DJB804" s="268"/>
      <c r="DJC804" s="268"/>
      <c r="DJD804" s="268"/>
      <c r="DJE804" s="268"/>
      <c r="DJF804" s="268"/>
      <c r="DJG804" s="268"/>
      <c r="DJH804" s="268"/>
      <c r="DJI804" s="268"/>
      <c r="DJJ804" s="268"/>
      <c r="DJK804" s="268"/>
      <c r="DJL804" s="268"/>
      <c r="DJM804" s="268"/>
      <c r="DJN804" s="268"/>
      <c r="DJO804" s="268"/>
      <c r="DJP804" s="268"/>
      <c r="DJQ804" s="268"/>
      <c r="DJR804" s="268"/>
      <c r="DJS804" s="268"/>
      <c r="DJT804" s="268"/>
      <c r="DJU804" s="268"/>
      <c r="DJV804" s="268"/>
      <c r="DJW804" s="268"/>
      <c r="DJX804" s="268"/>
      <c r="DJY804" s="268"/>
      <c r="DJZ804" s="268"/>
      <c r="DKA804" s="268"/>
      <c r="DKB804" s="268"/>
      <c r="DKC804" s="268"/>
      <c r="DKD804" s="268"/>
      <c r="DKE804" s="268"/>
      <c r="DKF804" s="268"/>
      <c r="DKG804" s="268"/>
      <c r="DKH804" s="268"/>
      <c r="DKI804" s="268"/>
      <c r="DKJ804" s="268"/>
      <c r="DKK804" s="268"/>
      <c r="DKL804" s="268"/>
      <c r="DKM804" s="268"/>
      <c r="DKN804" s="268"/>
      <c r="DKO804" s="268"/>
      <c r="DKP804" s="268"/>
      <c r="DKQ804" s="268"/>
      <c r="DKR804" s="268"/>
      <c r="DKS804" s="268"/>
      <c r="DKT804" s="268"/>
      <c r="DKU804" s="268"/>
      <c r="DKV804" s="268"/>
      <c r="DKW804" s="268"/>
      <c r="DKX804" s="268"/>
      <c r="DKY804" s="268"/>
      <c r="DKZ804" s="268"/>
      <c r="DLA804" s="268"/>
      <c r="DLB804" s="268"/>
      <c r="DLC804" s="268"/>
      <c r="DLD804" s="268"/>
      <c r="DLE804" s="268"/>
      <c r="DLF804" s="268"/>
      <c r="DLG804" s="268"/>
      <c r="DLH804" s="268"/>
      <c r="DLI804" s="268"/>
      <c r="DLJ804" s="268"/>
      <c r="DLK804" s="268"/>
      <c r="DLL804" s="268"/>
      <c r="DLM804" s="268"/>
      <c r="DLN804" s="268"/>
      <c r="DLO804" s="268"/>
      <c r="DLP804" s="268"/>
      <c r="DLQ804" s="268"/>
      <c r="DLR804" s="268"/>
      <c r="DLS804" s="268"/>
      <c r="DLT804" s="268"/>
      <c r="DLU804" s="268"/>
      <c r="DLV804" s="268"/>
      <c r="DLW804" s="268"/>
      <c r="DLX804" s="268"/>
      <c r="DLY804" s="268"/>
      <c r="DLZ804" s="268"/>
      <c r="DMA804" s="268"/>
      <c r="DMB804" s="268"/>
      <c r="DMC804" s="268"/>
      <c r="DMD804" s="268"/>
      <c r="DME804" s="268"/>
      <c r="DMF804" s="268"/>
      <c r="DMG804" s="268"/>
      <c r="DMH804" s="268"/>
      <c r="DMI804" s="268"/>
      <c r="DMJ804" s="268"/>
      <c r="DMK804" s="268"/>
      <c r="DML804" s="268"/>
      <c r="DMM804" s="268"/>
      <c r="DMN804" s="268"/>
      <c r="DMO804" s="268"/>
      <c r="DMP804" s="268"/>
      <c r="DMQ804" s="268"/>
      <c r="DMR804" s="268"/>
      <c r="DMS804" s="268"/>
      <c r="DMT804" s="268"/>
      <c r="DMU804" s="268"/>
      <c r="DNI804" s="268"/>
      <c r="DNJ804" s="268"/>
      <c r="DNK804" s="268"/>
      <c r="DNY804" s="268"/>
      <c r="DOA804" s="268"/>
      <c r="DOB804" s="268"/>
      <c r="DOC804" s="268"/>
      <c r="DOD804" s="268"/>
      <c r="DOE804" s="268"/>
      <c r="DOF804" s="268"/>
      <c r="DOG804" s="268"/>
      <c r="DOH804" s="268"/>
      <c r="DOI804" s="268"/>
      <c r="DOJ804" s="268"/>
      <c r="DOK804" s="268"/>
      <c r="DOL804" s="268"/>
      <c r="DOM804" s="268"/>
      <c r="DON804" s="268"/>
      <c r="DOO804" s="268"/>
      <c r="DOP804" s="268"/>
      <c r="DOQ804" s="268"/>
      <c r="DOR804" s="268"/>
      <c r="DOS804" s="268"/>
      <c r="DOT804" s="268"/>
      <c r="DOU804" s="268"/>
      <c r="DOV804" s="268"/>
      <c r="DOW804" s="268"/>
      <c r="DOX804" s="268"/>
      <c r="DOY804" s="268"/>
      <c r="DOZ804" s="268"/>
      <c r="DPA804" s="268"/>
      <c r="DPB804" s="268"/>
      <c r="DPC804" s="268"/>
      <c r="DPD804" s="268"/>
      <c r="DPE804" s="268"/>
      <c r="DPF804" s="268"/>
      <c r="DPG804" s="268"/>
      <c r="DPH804" s="268"/>
      <c r="DPI804" s="268"/>
      <c r="DPJ804" s="268"/>
      <c r="DPK804" s="268"/>
      <c r="DPL804" s="268"/>
      <c r="DPM804" s="268"/>
      <c r="DPN804" s="268"/>
      <c r="DPO804" s="268"/>
      <c r="DPP804" s="268"/>
      <c r="DPQ804" s="268"/>
      <c r="DPR804" s="268"/>
      <c r="DPS804" s="268"/>
      <c r="DPT804" s="268"/>
      <c r="DPU804" s="268"/>
      <c r="DPV804" s="268"/>
      <c r="DPW804" s="268"/>
      <c r="DPX804" s="268"/>
      <c r="DPY804" s="268"/>
      <c r="DPZ804" s="268"/>
      <c r="DQA804" s="268"/>
      <c r="DQB804" s="268"/>
      <c r="DQC804" s="268"/>
      <c r="DQD804" s="268"/>
      <c r="DQE804" s="268"/>
      <c r="DQF804" s="268"/>
      <c r="DQG804" s="268"/>
      <c r="DQH804" s="268"/>
      <c r="DQI804" s="268"/>
      <c r="DQJ804" s="268"/>
      <c r="DQK804" s="268"/>
      <c r="DQL804" s="268"/>
      <c r="DQM804" s="268"/>
      <c r="DQN804" s="268"/>
      <c r="DQO804" s="268"/>
      <c r="DQP804" s="268"/>
      <c r="DQQ804" s="268"/>
      <c r="DQR804" s="268"/>
      <c r="DQS804" s="268"/>
      <c r="DQT804" s="268"/>
      <c r="DQU804" s="268"/>
      <c r="DQV804" s="268"/>
      <c r="DQW804" s="268"/>
      <c r="DQX804" s="268"/>
      <c r="DQY804" s="268"/>
      <c r="DQZ804" s="268"/>
      <c r="DRA804" s="268"/>
      <c r="DRB804" s="268"/>
      <c r="DRC804" s="268"/>
      <c r="DRD804" s="268"/>
      <c r="DRE804" s="268"/>
      <c r="DRF804" s="268"/>
      <c r="DRG804" s="268"/>
      <c r="DRH804" s="268"/>
      <c r="DRI804" s="268"/>
      <c r="DRJ804" s="268"/>
      <c r="DRK804" s="268"/>
      <c r="DRL804" s="268"/>
      <c r="DRM804" s="268"/>
      <c r="DRN804" s="268"/>
      <c r="DRO804" s="268"/>
      <c r="DRP804" s="268"/>
      <c r="DRQ804" s="268"/>
      <c r="DRR804" s="268"/>
      <c r="DRS804" s="268"/>
      <c r="DRT804" s="268"/>
      <c r="DRU804" s="268"/>
      <c r="DRV804" s="268"/>
      <c r="DRW804" s="268"/>
      <c r="DRX804" s="268"/>
      <c r="DRY804" s="268"/>
      <c r="DRZ804" s="268"/>
      <c r="DSA804" s="268"/>
      <c r="DSB804" s="268"/>
      <c r="DSC804" s="268"/>
      <c r="DSD804" s="268"/>
      <c r="DSE804" s="268"/>
      <c r="DSF804" s="268"/>
      <c r="DSG804" s="268"/>
      <c r="DSH804" s="268"/>
      <c r="DSI804" s="268"/>
      <c r="DSJ804" s="268"/>
      <c r="DSK804" s="268"/>
      <c r="DSL804" s="268"/>
      <c r="DSM804" s="268"/>
      <c r="DSN804" s="268"/>
      <c r="DSO804" s="268"/>
      <c r="DSP804" s="268"/>
      <c r="DSQ804" s="268"/>
      <c r="DSR804" s="268"/>
      <c r="DSS804" s="268"/>
      <c r="DST804" s="268"/>
      <c r="DSU804" s="268"/>
      <c r="DSV804" s="268"/>
      <c r="DSW804" s="268"/>
      <c r="DSX804" s="268"/>
      <c r="DSY804" s="268"/>
      <c r="DSZ804" s="268"/>
      <c r="DTA804" s="268"/>
      <c r="DTB804" s="268"/>
      <c r="DTC804" s="268"/>
      <c r="DTD804" s="268"/>
      <c r="DTE804" s="268"/>
      <c r="DTF804" s="268"/>
      <c r="DTG804" s="268"/>
      <c r="DTH804" s="268"/>
      <c r="DTI804" s="268"/>
      <c r="DTJ804" s="268"/>
      <c r="DTK804" s="268"/>
      <c r="DTL804" s="268"/>
      <c r="DTM804" s="268"/>
      <c r="DTN804" s="268"/>
      <c r="DTO804" s="268"/>
      <c r="DTP804" s="268"/>
      <c r="DTQ804" s="268"/>
      <c r="DTR804" s="268"/>
      <c r="DTS804" s="268"/>
      <c r="DTT804" s="268"/>
      <c r="DTU804" s="268"/>
      <c r="DTV804" s="268"/>
      <c r="DTW804" s="268"/>
      <c r="DTX804" s="268"/>
      <c r="DTY804" s="268"/>
      <c r="DTZ804" s="268"/>
      <c r="DUA804" s="268"/>
      <c r="DUB804" s="268"/>
      <c r="DUC804" s="268"/>
      <c r="DUD804" s="268"/>
      <c r="DUE804" s="268"/>
      <c r="DUF804" s="268"/>
      <c r="DUG804" s="268"/>
      <c r="DUH804" s="268"/>
      <c r="DUI804" s="268"/>
      <c r="DUJ804" s="268"/>
      <c r="DUK804" s="268"/>
      <c r="DUL804" s="268"/>
      <c r="DUM804" s="268"/>
      <c r="DUN804" s="268"/>
      <c r="DUO804" s="268"/>
      <c r="DUP804" s="268"/>
      <c r="DUQ804" s="268"/>
      <c r="DUR804" s="268"/>
      <c r="DUS804" s="268"/>
      <c r="DUT804" s="268"/>
      <c r="DUU804" s="268"/>
      <c r="DUV804" s="268"/>
      <c r="DUW804" s="268"/>
      <c r="DUX804" s="268"/>
      <c r="DUY804" s="268"/>
      <c r="DUZ804" s="268"/>
      <c r="DVA804" s="268"/>
      <c r="DVB804" s="268"/>
      <c r="DVC804" s="268"/>
      <c r="DVD804" s="268"/>
      <c r="DVE804" s="268"/>
      <c r="DVF804" s="268"/>
      <c r="DVG804" s="268"/>
      <c r="DVH804" s="268"/>
      <c r="DVI804" s="268"/>
      <c r="DVJ804" s="268"/>
      <c r="DVK804" s="268"/>
      <c r="DVL804" s="268"/>
      <c r="DVM804" s="268"/>
      <c r="DVN804" s="268"/>
      <c r="DVO804" s="268"/>
      <c r="DVP804" s="268"/>
      <c r="DVQ804" s="268"/>
      <c r="DVR804" s="268"/>
      <c r="DVS804" s="268"/>
      <c r="DVT804" s="268"/>
      <c r="DVU804" s="268"/>
      <c r="DVV804" s="268"/>
      <c r="DVW804" s="268"/>
      <c r="DVX804" s="268"/>
      <c r="DVY804" s="268"/>
      <c r="DVZ804" s="268"/>
      <c r="DWA804" s="268"/>
      <c r="DWB804" s="268"/>
      <c r="DWC804" s="268"/>
      <c r="DWD804" s="268"/>
      <c r="DWE804" s="268"/>
      <c r="DWF804" s="268"/>
      <c r="DWG804" s="268"/>
      <c r="DWH804" s="268"/>
      <c r="DWI804" s="268"/>
      <c r="DWJ804" s="268"/>
      <c r="DWK804" s="268"/>
      <c r="DWL804" s="268"/>
      <c r="DWM804" s="268"/>
      <c r="DWN804" s="268"/>
      <c r="DWO804" s="268"/>
      <c r="DWP804" s="268"/>
      <c r="DWQ804" s="268"/>
      <c r="DXE804" s="268"/>
      <c r="DXF804" s="268"/>
      <c r="DXG804" s="268"/>
      <c r="DXU804" s="268"/>
      <c r="DXW804" s="268"/>
      <c r="DXX804" s="268"/>
      <c r="DXY804" s="268"/>
      <c r="DXZ804" s="268"/>
      <c r="DYA804" s="268"/>
      <c r="DYB804" s="268"/>
      <c r="DYC804" s="268"/>
      <c r="DYD804" s="268"/>
      <c r="DYE804" s="268"/>
      <c r="DYF804" s="268"/>
      <c r="DYG804" s="268"/>
      <c r="DYH804" s="268"/>
      <c r="DYI804" s="268"/>
      <c r="DYJ804" s="268"/>
      <c r="DYK804" s="268"/>
      <c r="DYL804" s="268"/>
      <c r="DYM804" s="268"/>
      <c r="DYN804" s="268"/>
      <c r="DYO804" s="268"/>
      <c r="DYP804" s="268"/>
      <c r="DYQ804" s="268"/>
      <c r="DYR804" s="268"/>
      <c r="DYS804" s="268"/>
      <c r="DYT804" s="268"/>
      <c r="DYU804" s="268"/>
      <c r="DYV804" s="268"/>
      <c r="DYW804" s="268"/>
      <c r="DYX804" s="268"/>
      <c r="DYY804" s="268"/>
      <c r="DYZ804" s="268"/>
      <c r="DZA804" s="268"/>
      <c r="DZB804" s="268"/>
      <c r="DZC804" s="268"/>
      <c r="DZD804" s="268"/>
      <c r="DZE804" s="268"/>
      <c r="DZF804" s="268"/>
      <c r="DZG804" s="268"/>
      <c r="DZH804" s="268"/>
      <c r="DZI804" s="268"/>
      <c r="DZJ804" s="268"/>
      <c r="DZK804" s="268"/>
      <c r="DZL804" s="268"/>
      <c r="DZM804" s="268"/>
      <c r="DZN804" s="268"/>
      <c r="DZO804" s="268"/>
      <c r="DZP804" s="268"/>
      <c r="DZQ804" s="268"/>
      <c r="DZR804" s="268"/>
      <c r="DZS804" s="268"/>
      <c r="DZT804" s="268"/>
      <c r="DZU804" s="268"/>
      <c r="DZV804" s="268"/>
      <c r="DZW804" s="268"/>
      <c r="DZX804" s="268"/>
      <c r="DZY804" s="268"/>
      <c r="DZZ804" s="268"/>
      <c r="EAA804" s="268"/>
      <c r="EAB804" s="268"/>
      <c r="EAC804" s="268"/>
      <c r="EAD804" s="268"/>
      <c r="EAE804" s="268"/>
      <c r="EAF804" s="268"/>
      <c r="EAG804" s="268"/>
      <c r="EAH804" s="268"/>
      <c r="EAI804" s="268"/>
      <c r="EAJ804" s="268"/>
      <c r="EAK804" s="268"/>
      <c r="EAL804" s="268"/>
      <c r="EAM804" s="268"/>
      <c r="EAN804" s="268"/>
      <c r="EAO804" s="268"/>
      <c r="EAP804" s="268"/>
      <c r="EAQ804" s="268"/>
      <c r="EAR804" s="268"/>
      <c r="EAS804" s="268"/>
      <c r="EAT804" s="268"/>
      <c r="EAU804" s="268"/>
      <c r="EAV804" s="268"/>
      <c r="EAW804" s="268"/>
      <c r="EAX804" s="268"/>
      <c r="EAY804" s="268"/>
      <c r="EAZ804" s="268"/>
      <c r="EBA804" s="268"/>
      <c r="EBB804" s="268"/>
      <c r="EBC804" s="268"/>
      <c r="EBD804" s="268"/>
      <c r="EBE804" s="268"/>
      <c r="EBF804" s="268"/>
      <c r="EBG804" s="268"/>
      <c r="EBH804" s="268"/>
      <c r="EBI804" s="268"/>
      <c r="EBJ804" s="268"/>
      <c r="EBK804" s="268"/>
      <c r="EBL804" s="268"/>
      <c r="EBM804" s="268"/>
      <c r="EBN804" s="268"/>
      <c r="EBO804" s="268"/>
      <c r="EBP804" s="268"/>
      <c r="EBQ804" s="268"/>
      <c r="EBR804" s="268"/>
      <c r="EBS804" s="268"/>
      <c r="EBT804" s="268"/>
      <c r="EBU804" s="268"/>
      <c r="EBV804" s="268"/>
      <c r="EBW804" s="268"/>
      <c r="EBX804" s="268"/>
      <c r="EBY804" s="268"/>
      <c r="EBZ804" s="268"/>
      <c r="ECA804" s="268"/>
      <c r="ECB804" s="268"/>
      <c r="ECC804" s="268"/>
      <c r="ECD804" s="268"/>
      <c r="ECE804" s="268"/>
      <c r="ECF804" s="268"/>
      <c r="ECG804" s="268"/>
      <c r="ECH804" s="268"/>
      <c r="ECI804" s="268"/>
      <c r="ECJ804" s="268"/>
      <c r="ECK804" s="268"/>
      <c r="ECL804" s="268"/>
      <c r="ECM804" s="268"/>
      <c r="ECN804" s="268"/>
      <c r="ECO804" s="268"/>
      <c r="ECP804" s="268"/>
      <c r="ECQ804" s="268"/>
      <c r="ECR804" s="268"/>
      <c r="ECS804" s="268"/>
      <c r="ECT804" s="268"/>
      <c r="ECU804" s="268"/>
      <c r="ECV804" s="268"/>
      <c r="ECW804" s="268"/>
      <c r="ECX804" s="268"/>
      <c r="ECY804" s="268"/>
      <c r="ECZ804" s="268"/>
      <c r="EDA804" s="268"/>
      <c r="EDB804" s="268"/>
      <c r="EDC804" s="268"/>
      <c r="EDD804" s="268"/>
      <c r="EDE804" s="268"/>
      <c r="EDF804" s="268"/>
      <c r="EDG804" s="268"/>
      <c r="EDH804" s="268"/>
      <c r="EDI804" s="268"/>
      <c r="EDJ804" s="268"/>
      <c r="EDK804" s="268"/>
      <c r="EDL804" s="268"/>
      <c r="EDM804" s="268"/>
      <c r="EDN804" s="268"/>
      <c r="EDO804" s="268"/>
      <c r="EDP804" s="268"/>
      <c r="EDQ804" s="268"/>
      <c r="EDR804" s="268"/>
      <c r="EDS804" s="268"/>
      <c r="EDT804" s="268"/>
      <c r="EDU804" s="268"/>
      <c r="EDV804" s="268"/>
      <c r="EDW804" s="268"/>
      <c r="EDX804" s="268"/>
      <c r="EDY804" s="268"/>
      <c r="EDZ804" s="268"/>
      <c r="EEA804" s="268"/>
      <c r="EEB804" s="268"/>
      <c r="EEC804" s="268"/>
      <c r="EED804" s="268"/>
      <c r="EEE804" s="268"/>
      <c r="EEF804" s="268"/>
      <c r="EEG804" s="268"/>
      <c r="EEH804" s="268"/>
      <c r="EEI804" s="268"/>
      <c r="EEJ804" s="268"/>
      <c r="EEK804" s="268"/>
      <c r="EEL804" s="268"/>
      <c r="EEM804" s="268"/>
      <c r="EEN804" s="268"/>
      <c r="EEO804" s="268"/>
      <c r="EEP804" s="268"/>
      <c r="EEQ804" s="268"/>
      <c r="EER804" s="268"/>
      <c r="EES804" s="268"/>
      <c r="EET804" s="268"/>
      <c r="EEU804" s="268"/>
      <c r="EEV804" s="268"/>
      <c r="EEW804" s="268"/>
      <c r="EEX804" s="268"/>
      <c r="EEY804" s="268"/>
      <c r="EEZ804" s="268"/>
      <c r="EFA804" s="268"/>
      <c r="EFB804" s="268"/>
      <c r="EFC804" s="268"/>
      <c r="EFD804" s="268"/>
      <c r="EFE804" s="268"/>
      <c r="EFF804" s="268"/>
      <c r="EFG804" s="268"/>
      <c r="EFH804" s="268"/>
      <c r="EFI804" s="268"/>
      <c r="EFJ804" s="268"/>
      <c r="EFK804" s="268"/>
      <c r="EFL804" s="268"/>
      <c r="EFM804" s="268"/>
      <c r="EFN804" s="268"/>
      <c r="EFO804" s="268"/>
      <c r="EFP804" s="268"/>
      <c r="EFQ804" s="268"/>
      <c r="EFR804" s="268"/>
      <c r="EFS804" s="268"/>
      <c r="EFT804" s="268"/>
      <c r="EFU804" s="268"/>
      <c r="EFV804" s="268"/>
      <c r="EFW804" s="268"/>
      <c r="EFX804" s="268"/>
      <c r="EFY804" s="268"/>
      <c r="EFZ804" s="268"/>
      <c r="EGA804" s="268"/>
      <c r="EGB804" s="268"/>
      <c r="EGC804" s="268"/>
      <c r="EGD804" s="268"/>
      <c r="EGE804" s="268"/>
      <c r="EGF804" s="268"/>
      <c r="EGG804" s="268"/>
      <c r="EGH804" s="268"/>
      <c r="EGI804" s="268"/>
      <c r="EGJ804" s="268"/>
      <c r="EGK804" s="268"/>
      <c r="EGL804" s="268"/>
      <c r="EGM804" s="268"/>
      <c r="EHA804" s="268"/>
      <c r="EHB804" s="268"/>
      <c r="EHC804" s="268"/>
      <c r="EHQ804" s="268"/>
      <c r="EHS804" s="268"/>
      <c r="EHT804" s="268"/>
      <c r="EHU804" s="268"/>
      <c r="EHV804" s="268"/>
      <c r="EHW804" s="268"/>
      <c r="EHX804" s="268"/>
      <c r="EHY804" s="268"/>
      <c r="EHZ804" s="268"/>
      <c r="EIA804" s="268"/>
      <c r="EIB804" s="268"/>
      <c r="EIC804" s="268"/>
      <c r="EID804" s="268"/>
      <c r="EIE804" s="268"/>
      <c r="EIF804" s="268"/>
      <c r="EIG804" s="268"/>
      <c r="EIH804" s="268"/>
      <c r="EII804" s="268"/>
      <c r="EIJ804" s="268"/>
      <c r="EIK804" s="268"/>
      <c r="EIL804" s="268"/>
      <c r="EIM804" s="268"/>
      <c r="EIN804" s="268"/>
      <c r="EIO804" s="268"/>
      <c r="EIP804" s="268"/>
      <c r="EIQ804" s="268"/>
      <c r="EIR804" s="268"/>
      <c r="EIS804" s="268"/>
      <c r="EIT804" s="268"/>
      <c r="EIU804" s="268"/>
      <c r="EIV804" s="268"/>
      <c r="EIW804" s="268"/>
      <c r="EIX804" s="268"/>
      <c r="EIY804" s="268"/>
      <c r="EIZ804" s="268"/>
      <c r="EJA804" s="268"/>
      <c r="EJB804" s="268"/>
      <c r="EJC804" s="268"/>
      <c r="EJD804" s="268"/>
      <c r="EJE804" s="268"/>
      <c r="EJF804" s="268"/>
      <c r="EJG804" s="268"/>
      <c r="EJH804" s="268"/>
      <c r="EJI804" s="268"/>
      <c r="EJJ804" s="268"/>
      <c r="EJK804" s="268"/>
      <c r="EJL804" s="268"/>
      <c r="EJM804" s="268"/>
      <c r="EJN804" s="268"/>
      <c r="EJO804" s="268"/>
      <c r="EJP804" s="268"/>
      <c r="EJQ804" s="268"/>
      <c r="EJR804" s="268"/>
      <c r="EJS804" s="268"/>
      <c r="EJT804" s="268"/>
      <c r="EJU804" s="268"/>
      <c r="EJV804" s="268"/>
      <c r="EJW804" s="268"/>
      <c r="EJX804" s="268"/>
      <c r="EJY804" s="268"/>
      <c r="EJZ804" s="268"/>
      <c r="EKA804" s="268"/>
      <c r="EKB804" s="268"/>
      <c r="EKC804" s="268"/>
      <c r="EKD804" s="268"/>
      <c r="EKE804" s="268"/>
      <c r="EKF804" s="268"/>
      <c r="EKG804" s="268"/>
      <c r="EKH804" s="268"/>
      <c r="EKI804" s="268"/>
      <c r="EKJ804" s="268"/>
      <c r="EKK804" s="268"/>
      <c r="EKL804" s="268"/>
      <c r="EKM804" s="268"/>
      <c r="EKN804" s="268"/>
      <c r="EKO804" s="268"/>
      <c r="EKP804" s="268"/>
      <c r="EKQ804" s="268"/>
      <c r="EKR804" s="268"/>
      <c r="EKS804" s="268"/>
      <c r="EKT804" s="268"/>
      <c r="EKU804" s="268"/>
      <c r="EKV804" s="268"/>
      <c r="EKW804" s="268"/>
      <c r="EKX804" s="268"/>
      <c r="EKY804" s="268"/>
      <c r="EKZ804" s="268"/>
      <c r="ELA804" s="268"/>
      <c r="ELB804" s="268"/>
      <c r="ELC804" s="268"/>
      <c r="ELD804" s="268"/>
      <c r="ELE804" s="268"/>
      <c r="ELF804" s="268"/>
      <c r="ELG804" s="268"/>
      <c r="ELH804" s="268"/>
      <c r="ELI804" s="268"/>
      <c r="ELJ804" s="268"/>
      <c r="ELK804" s="268"/>
      <c r="ELL804" s="268"/>
      <c r="ELM804" s="268"/>
      <c r="ELN804" s="268"/>
      <c r="ELO804" s="268"/>
      <c r="ELP804" s="268"/>
      <c r="ELQ804" s="268"/>
      <c r="ELR804" s="268"/>
      <c r="ELS804" s="268"/>
      <c r="ELT804" s="268"/>
      <c r="ELU804" s="268"/>
      <c r="ELV804" s="268"/>
      <c r="ELW804" s="268"/>
      <c r="ELX804" s="268"/>
      <c r="ELY804" s="268"/>
      <c r="ELZ804" s="268"/>
      <c r="EMA804" s="268"/>
      <c r="EMB804" s="268"/>
      <c r="EMC804" s="268"/>
      <c r="EMD804" s="268"/>
      <c r="EME804" s="268"/>
      <c r="EMF804" s="268"/>
      <c r="EMG804" s="268"/>
      <c r="EMH804" s="268"/>
      <c r="EMI804" s="268"/>
      <c r="EMJ804" s="268"/>
      <c r="EMK804" s="268"/>
      <c r="EML804" s="268"/>
      <c r="EMM804" s="268"/>
      <c r="EMN804" s="268"/>
      <c r="EMO804" s="268"/>
      <c r="EMP804" s="268"/>
      <c r="EMQ804" s="268"/>
      <c r="EMR804" s="268"/>
      <c r="EMS804" s="268"/>
      <c r="EMT804" s="268"/>
      <c r="EMU804" s="268"/>
      <c r="EMV804" s="268"/>
      <c r="EMW804" s="268"/>
      <c r="EMX804" s="268"/>
      <c r="EMY804" s="268"/>
      <c r="EMZ804" s="268"/>
      <c r="ENA804" s="268"/>
      <c r="ENB804" s="268"/>
      <c r="ENC804" s="268"/>
      <c r="END804" s="268"/>
      <c r="ENE804" s="268"/>
      <c r="ENF804" s="268"/>
      <c r="ENG804" s="268"/>
      <c r="ENH804" s="268"/>
      <c r="ENI804" s="268"/>
      <c r="ENJ804" s="268"/>
      <c r="ENK804" s="268"/>
      <c r="ENL804" s="268"/>
      <c r="ENM804" s="268"/>
      <c r="ENN804" s="268"/>
      <c r="ENO804" s="268"/>
      <c r="ENP804" s="268"/>
      <c r="ENQ804" s="268"/>
      <c r="ENR804" s="268"/>
      <c r="ENS804" s="268"/>
      <c r="ENT804" s="268"/>
      <c r="ENU804" s="268"/>
      <c r="ENV804" s="268"/>
      <c r="ENW804" s="268"/>
      <c r="ENX804" s="268"/>
      <c r="ENY804" s="268"/>
      <c r="ENZ804" s="268"/>
      <c r="EOA804" s="268"/>
      <c r="EOB804" s="268"/>
      <c r="EOC804" s="268"/>
      <c r="EOD804" s="268"/>
      <c r="EOE804" s="268"/>
      <c r="EOF804" s="268"/>
      <c r="EOG804" s="268"/>
      <c r="EOH804" s="268"/>
      <c r="EOI804" s="268"/>
      <c r="EOJ804" s="268"/>
      <c r="EOK804" s="268"/>
      <c r="EOL804" s="268"/>
      <c r="EOM804" s="268"/>
      <c r="EON804" s="268"/>
      <c r="EOO804" s="268"/>
      <c r="EOP804" s="268"/>
      <c r="EOQ804" s="268"/>
      <c r="EOR804" s="268"/>
      <c r="EOS804" s="268"/>
      <c r="EOT804" s="268"/>
      <c r="EOU804" s="268"/>
      <c r="EOV804" s="268"/>
      <c r="EOW804" s="268"/>
      <c r="EOX804" s="268"/>
      <c r="EOY804" s="268"/>
      <c r="EOZ804" s="268"/>
      <c r="EPA804" s="268"/>
      <c r="EPB804" s="268"/>
      <c r="EPC804" s="268"/>
      <c r="EPD804" s="268"/>
      <c r="EPE804" s="268"/>
      <c r="EPF804" s="268"/>
      <c r="EPG804" s="268"/>
      <c r="EPH804" s="268"/>
      <c r="EPI804" s="268"/>
      <c r="EPJ804" s="268"/>
      <c r="EPK804" s="268"/>
      <c r="EPL804" s="268"/>
      <c r="EPM804" s="268"/>
      <c r="EPN804" s="268"/>
      <c r="EPO804" s="268"/>
      <c r="EPP804" s="268"/>
      <c r="EPQ804" s="268"/>
      <c r="EPR804" s="268"/>
      <c r="EPS804" s="268"/>
      <c r="EPT804" s="268"/>
      <c r="EPU804" s="268"/>
      <c r="EPV804" s="268"/>
      <c r="EPW804" s="268"/>
      <c r="EPX804" s="268"/>
      <c r="EPY804" s="268"/>
      <c r="EPZ804" s="268"/>
      <c r="EQA804" s="268"/>
      <c r="EQB804" s="268"/>
      <c r="EQC804" s="268"/>
      <c r="EQD804" s="268"/>
      <c r="EQE804" s="268"/>
      <c r="EQF804" s="268"/>
      <c r="EQG804" s="268"/>
      <c r="EQH804" s="268"/>
      <c r="EQI804" s="268"/>
      <c r="EQW804" s="268"/>
      <c r="EQX804" s="268"/>
      <c r="EQY804" s="268"/>
      <c r="ERM804" s="268"/>
      <c r="ERO804" s="268"/>
      <c r="ERP804" s="268"/>
      <c r="ERQ804" s="268"/>
      <c r="ERR804" s="268"/>
      <c r="ERS804" s="268"/>
      <c r="ERT804" s="268"/>
      <c r="ERU804" s="268"/>
      <c r="ERV804" s="268"/>
      <c r="ERW804" s="268"/>
      <c r="ERX804" s="268"/>
      <c r="ERY804" s="268"/>
      <c r="ERZ804" s="268"/>
      <c r="ESA804" s="268"/>
      <c r="ESB804" s="268"/>
      <c r="ESC804" s="268"/>
      <c r="ESD804" s="268"/>
      <c r="ESE804" s="268"/>
      <c r="ESF804" s="268"/>
      <c r="ESG804" s="268"/>
      <c r="ESH804" s="268"/>
      <c r="ESI804" s="268"/>
      <c r="ESJ804" s="268"/>
      <c r="ESK804" s="268"/>
      <c r="ESL804" s="268"/>
      <c r="ESM804" s="268"/>
      <c r="ESN804" s="268"/>
      <c r="ESO804" s="268"/>
      <c r="ESP804" s="268"/>
      <c r="ESQ804" s="268"/>
      <c r="ESR804" s="268"/>
      <c r="ESS804" s="268"/>
      <c r="EST804" s="268"/>
      <c r="ESU804" s="268"/>
      <c r="ESV804" s="268"/>
      <c r="ESW804" s="268"/>
      <c r="ESX804" s="268"/>
      <c r="ESY804" s="268"/>
      <c r="ESZ804" s="268"/>
      <c r="ETA804" s="268"/>
      <c r="ETB804" s="268"/>
      <c r="ETC804" s="268"/>
      <c r="ETD804" s="268"/>
      <c r="ETE804" s="268"/>
      <c r="ETF804" s="268"/>
      <c r="ETG804" s="268"/>
      <c r="ETH804" s="268"/>
      <c r="ETI804" s="268"/>
      <c r="ETJ804" s="268"/>
      <c r="ETK804" s="268"/>
      <c r="ETL804" s="268"/>
      <c r="ETM804" s="268"/>
      <c r="ETN804" s="268"/>
      <c r="ETO804" s="268"/>
      <c r="ETP804" s="268"/>
      <c r="ETQ804" s="268"/>
      <c r="ETR804" s="268"/>
      <c r="ETS804" s="268"/>
      <c r="ETT804" s="268"/>
      <c r="ETU804" s="268"/>
      <c r="ETV804" s="268"/>
      <c r="ETW804" s="268"/>
      <c r="ETX804" s="268"/>
      <c r="ETY804" s="268"/>
      <c r="ETZ804" s="268"/>
      <c r="EUA804" s="268"/>
      <c r="EUB804" s="268"/>
      <c r="EUC804" s="268"/>
      <c r="EUD804" s="268"/>
      <c r="EUE804" s="268"/>
      <c r="EUF804" s="268"/>
      <c r="EUG804" s="268"/>
      <c r="EUH804" s="268"/>
      <c r="EUI804" s="268"/>
      <c r="EUJ804" s="268"/>
      <c r="EUK804" s="268"/>
      <c r="EUL804" s="268"/>
      <c r="EUM804" s="268"/>
      <c r="EUN804" s="268"/>
      <c r="EUO804" s="268"/>
      <c r="EUP804" s="268"/>
      <c r="EUQ804" s="268"/>
      <c r="EUR804" s="268"/>
      <c r="EUS804" s="268"/>
      <c r="EUT804" s="268"/>
      <c r="EUU804" s="268"/>
      <c r="EUV804" s="268"/>
      <c r="EUW804" s="268"/>
      <c r="EUX804" s="268"/>
      <c r="EUY804" s="268"/>
      <c r="EUZ804" s="268"/>
      <c r="EVA804" s="268"/>
      <c r="EVB804" s="268"/>
      <c r="EVC804" s="268"/>
      <c r="EVD804" s="268"/>
      <c r="EVE804" s="268"/>
      <c r="EVF804" s="268"/>
      <c r="EVG804" s="268"/>
      <c r="EVH804" s="268"/>
      <c r="EVI804" s="268"/>
      <c r="EVJ804" s="268"/>
      <c r="EVK804" s="268"/>
      <c r="EVL804" s="268"/>
      <c r="EVM804" s="268"/>
      <c r="EVN804" s="268"/>
      <c r="EVO804" s="268"/>
      <c r="EVP804" s="268"/>
      <c r="EVQ804" s="268"/>
      <c r="EVR804" s="268"/>
      <c r="EVS804" s="268"/>
      <c r="EVT804" s="268"/>
      <c r="EVU804" s="268"/>
      <c r="EVV804" s="268"/>
      <c r="EVW804" s="268"/>
      <c r="EVX804" s="268"/>
      <c r="EVY804" s="268"/>
      <c r="EVZ804" s="268"/>
      <c r="EWA804" s="268"/>
      <c r="EWB804" s="268"/>
      <c r="EWC804" s="268"/>
      <c r="EWD804" s="268"/>
      <c r="EWE804" s="268"/>
      <c r="EWF804" s="268"/>
      <c r="EWG804" s="268"/>
      <c r="EWH804" s="268"/>
      <c r="EWI804" s="268"/>
      <c r="EWJ804" s="268"/>
      <c r="EWK804" s="268"/>
      <c r="EWL804" s="268"/>
      <c r="EWM804" s="268"/>
      <c r="EWN804" s="268"/>
      <c r="EWO804" s="268"/>
      <c r="EWP804" s="268"/>
      <c r="EWQ804" s="268"/>
      <c r="EWR804" s="268"/>
      <c r="EWS804" s="268"/>
      <c r="EWT804" s="268"/>
      <c r="EWU804" s="268"/>
      <c r="EWV804" s="268"/>
      <c r="EWW804" s="268"/>
      <c r="EWX804" s="268"/>
      <c r="EWY804" s="268"/>
      <c r="EWZ804" s="268"/>
      <c r="EXA804" s="268"/>
      <c r="EXB804" s="268"/>
      <c r="EXC804" s="268"/>
      <c r="EXD804" s="268"/>
      <c r="EXE804" s="268"/>
      <c r="EXF804" s="268"/>
      <c r="EXG804" s="268"/>
      <c r="EXH804" s="268"/>
      <c r="EXI804" s="268"/>
      <c r="EXJ804" s="268"/>
      <c r="EXK804" s="268"/>
      <c r="EXL804" s="268"/>
      <c r="EXM804" s="268"/>
      <c r="EXN804" s="268"/>
      <c r="EXO804" s="268"/>
      <c r="EXP804" s="268"/>
      <c r="EXQ804" s="268"/>
      <c r="EXR804" s="268"/>
      <c r="EXS804" s="268"/>
      <c r="EXT804" s="268"/>
      <c r="EXU804" s="268"/>
      <c r="EXV804" s="268"/>
      <c r="EXW804" s="268"/>
      <c r="EXX804" s="268"/>
      <c r="EXY804" s="268"/>
      <c r="EXZ804" s="268"/>
      <c r="EYA804" s="268"/>
      <c r="EYB804" s="268"/>
      <c r="EYC804" s="268"/>
      <c r="EYD804" s="268"/>
      <c r="EYE804" s="268"/>
      <c r="EYF804" s="268"/>
      <c r="EYG804" s="268"/>
      <c r="EYH804" s="268"/>
      <c r="EYI804" s="268"/>
      <c r="EYJ804" s="268"/>
      <c r="EYK804" s="268"/>
      <c r="EYL804" s="268"/>
      <c r="EYM804" s="268"/>
      <c r="EYN804" s="268"/>
      <c r="EYO804" s="268"/>
      <c r="EYP804" s="268"/>
      <c r="EYQ804" s="268"/>
      <c r="EYR804" s="268"/>
      <c r="EYS804" s="268"/>
      <c r="EYT804" s="268"/>
      <c r="EYU804" s="268"/>
      <c r="EYV804" s="268"/>
      <c r="EYW804" s="268"/>
      <c r="EYX804" s="268"/>
      <c r="EYY804" s="268"/>
      <c r="EYZ804" s="268"/>
      <c r="EZA804" s="268"/>
      <c r="EZB804" s="268"/>
      <c r="EZC804" s="268"/>
      <c r="EZD804" s="268"/>
      <c r="EZE804" s="268"/>
      <c r="EZF804" s="268"/>
      <c r="EZG804" s="268"/>
      <c r="EZH804" s="268"/>
      <c r="EZI804" s="268"/>
      <c r="EZJ804" s="268"/>
      <c r="EZK804" s="268"/>
      <c r="EZL804" s="268"/>
      <c r="EZM804" s="268"/>
      <c r="EZN804" s="268"/>
      <c r="EZO804" s="268"/>
      <c r="EZP804" s="268"/>
      <c r="EZQ804" s="268"/>
      <c r="EZR804" s="268"/>
      <c r="EZS804" s="268"/>
      <c r="EZT804" s="268"/>
      <c r="EZU804" s="268"/>
      <c r="EZV804" s="268"/>
      <c r="EZW804" s="268"/>
      <c r="EZX804" s="268"/>
      <c r="EZY804" s="268"/>
      <c r="EZZ804" s="268"/>
      <c r="FAA804" s="268"/>
      <c r="FAB804" s="268"/>
      <c r="FAC804" s="268"/>
      <c r="FAD804" s="268"/>
      <c r="FAE804" s="268"/>
      <c r="FAS804" s="268"/>
      <c r="FAT804" s="268"/>
      <c r="FAU804" s="268"/>
      <c r="FBI804" s="268"/>
      <c r="FBK804" s="268"/>
      <c r="FBL804" s="268"/>
      <c r="FBM804" s="268"/>
      <c r="FBN804" s="268"/>
      <c r="FBO804" s="268"/>
      <c r="FBP804" s="268"/>
      <c r="FBQ804" s="268"/>
      <c r="FBR804" s="268"/>
      <c r="FBS804" s="268"/>
      <c r="FBT804" s="268"/>
      <c r="FBU804" s="268"/>
      <c r="FBV804" s="268"/>
      <c r="FBW804" s="268"/>
      <c r="FBX804" s="268"/>
      <c r="FBY804" s="268"/>
      <c r="FBZ804" s="268"/>
      <c r="FCA804" s="268"/>
      <c r="FCB804" s="268"/>
      <c r="FCC804" s="268"/>
      <c r="FCD804" s="268"/>
      <c r="FCE804" s="268"/>
      <c r="FCF804" s="268"/>
      <c r="FCG804" s="268"/>
      <c r="FCH804" s="268"/>
      <c r="FCI804" s="268"/>
      <c r="FCJ804" s="268"/>
      <c r="FCK804" s="268"/>
      <c r="FCL804" s="268"/>
      <c r="FCM804" s="268"/>
      <c r="FCN804" s="268"/>
      <c r="FCO804" s="268"/>
      <c r="FCP804" s="268"/>
      <c r="FCQ804" s="268"/>
      <c r="FCR804" s="268"/>
      <c r="FCS804" s="268"/>
      <c r="FCT804" s="268"/>
      <c r="FCU804" s="268"/>
      <c r="FCV804" s="268"/>
      <c r="FCW804" s="268"/>
      <c r="FCX804" s="268"/>
      <c r="FCY804" s="268"/>
      <c r="FCZ804" s="268"/>
      <c r="FDA804" s="268"/>
      <c r="FDB804" s="268"/>
      <c r="FDC804" s="268"/>
      <c r="FDD804" s="268"/>
      <c r="FDE804" s="268"/>
      <c r="FDF804" s="268"/>
      <c r="FDG804" s="268"/>
      <c r="FDH804" s="268"/>
      <c r="FDI804" s="268"/>
      <c r="FDJ804" s="268"/>
      <c r="FDK804" s="268"/>
      <c r="FDL804" s="268"/>
      <c r="FDM804" s="268"/>
      <c r="FDN804" s="268"/>
      <c r="FDO804" s="268"/>
      <c r="FDP804" s="268"/>
      <c r="FDQ804" s="268"/>
      <c r="FDR804" s="268"/>
      <c r="FDS804" s="268"/>
      <c r="FDT804" s="268"/>
      <c r="FDU804" s="268"/>
      <c r="FDV804" s="268"/>
      <c r="FDW804" s="268"/>
      <c r="FDX804" s="268"/>
      <c r="FDY804" s="268"/>
      <c r="FDZ804" s="268"/>
      <c r="FEA804" s="268"/>
      <c r="FEB804" s="268"/>
      <c r="FEC804" s="268"/>
      <c r="FED804" s="268"/>
      <c r="FEE804" s="268"/>
      <c r="FEF804" s="268"/>
      <c r="FEG804" s="268"/>
      <c r="FEH804" s="268"/>
      <c r="FEI804" s="268"/>
      <c r="FEJ804" s="268"/>
      <c r="FEK804" s="268"/>
      <c r="FEL804" s="268"/>
      <c r="FEM804" s="268"/>
      <c r="FEN804" s="268"/>
      <c r="FEO804" s="268"/>
      <c r="FEP804" s="268"/>
      <c r="FEQ804" s="268"/>
      <c r="FER804" s="268"/>
      <c r="FES804" s="268"/>
      <c r="FET804" s="268"/>
      <c r="FEU804" s="268"/>
      <c r="FEV804" s="268"/>
      <c r="FEW804" s="268"/>
      <c r="FEX804" s="268"/>
      <c r="FEY804" s="268"/>
      <c r="FEZ804" s="268"/>
      <c r="FFA804" s="268"/>
      <c r="FFB804" s="268"/>
      <c r="FFC804" s="268"/>
      <c r="FFD804" s="268"/>
      <c r="FFE804" s="268"/>
      <c r="FFF804" s="268"/>
      <c r="FFG804" s="268"/>
      <c r="FFH804" s="268"/>
      <c r="FFI804" s="268"/>
      <c r="FFJ804" s="268"/>
      <c r="FFK804" s="268"/>
      <c r="FFL804" s="268"/>
      <c r="FFM804" s="268"/>
      <c r="FFN804" s="268"/>
      <c r="FFO804" s="268"/>
      <c r="FFP804" s="268"/>
      <c r="FFQ804" s="268"/>
      <c r="FFR804" s="268"/>
      <c r="FFS804" s="268"/>
      <c r="FFT804" s="268"/>
      <c r="FFU804" s="268"/>
      <c r="FFV804" s="268"/>
      <c r="FFW804" s="268"/>
      <c r="FFX804" s="268"/>
      <c r="FFY804" s="268"/>
      <c r="FFZ804" s="268"/>
      <c r="FGA804" s="268"/>
      <c r="FGB804" s="268"/>
      <c r="FGC804" s="268"/>
      <c r="FGD804" s="268"/>
      <c r="FGE804" s="268"/>
      <c r="FGF804" s="268"/>
      <c r="FGG804" s="268"/>
      <c r="FGH804" s="268"/>
      <c r="FGI804" s="268"/>
      <c r="FGJ804" s="268"/>
      <c r="FGK804" s="268"/>
      <c r="FGL804" s="268"/>
      <c r="FGM804" s="268"/>
      <c r="FGN804" s="268"/>
      <c r="FGO804" s="268"/>
      <c r="FGP804" s="268"/>
      <c r="FGQ804" s="268"/>
      <c r="FGR804" s="268"/>
      <c r="FGS804" s="268"/>
      <c r="FGT804" s="268"/>
      <c r="FGU804" s="268"/>
      <c r="FGV804" s="268"/>
      <c r="FGW804" s="268"/>
      <c r="FGX804" s="268"/>
      <c r="FGY804" s="268"/>
      <c r="FGZ804" s="268"/>
      <c r="FHA804" s="268"/>
      <c r="FHB804" s="268"/>
      <c r="FHC804" s="268"/>
      <c r="FHD804" s="268"/>
      <c r="FHE804" s="268"/>
      <c r="FHF804" s="268"/>
      <c r="FHG804" s="268"/>
      <c r="FHH804" s="268"/>
      <c r="FHI804" s="268"/>
      <c r="FHJ804" s="268"/>
      <c r="FHK804" s="268"/>
      <c r="FHL804" s="268"/>
      <c r="FHM804" s="268"/>
      <c r="FHN804" s="268"/>
      <c r="FHO804" s="268"/>
      <c r="FHP804" s="268"/>
      <c r="FHQ804" s="268"/>
      <c r="FHR804" s="268"/>
      <c r="FHS804" s="268"/>
      <c r="FHT804" s="268"/>
      <c r="FHU804" s="268"/>
      <c r="FHV804" s="268"/>
      <c r="FHW804" s="268"/>
      <c r="FHX804" s="268"/>
      <c r="FHY804" s="268"/>
      <c r="FHZ804" s="268"/>
      <c r="FIA804" s="268"/>
      <c r="FIB804" s="268"/>
      <c r="FIC804" s="268"/>
      <c r="FID804" s="268"/>
      <c r="FIE804" s="268"/>
      <c r="FIF804" s="268"/>
      <c r="FIG804" s="268"/>
      <c r="FIH804" s="268"/>
      <c r="FII804" s="268"/>
      <c r="FIJ804" s="268"/>
      <c r="FIK804" s="268"/>
      <c r="FIL804" s="268"/>
      <c r="FIM804" s="268"/>
      <c r="FIN804" s="268"/>
      <c r="FIO804" s="268"/>
      <c r="FIP804" s="268"/>
      <c r="FIQ804" s="268"/>
      <c r="FIR804" s="268"/>
      <c r="FIS804" s="268"/>
      <c r="FIT804" s="268"/>
      <c r="FIU804" s="268"/>
      <c r="FIV804" s="268"/>
      <c r="FIW804" s="268"/>
      <c r="FIX804" s="268"/>
      <c r="FIY804" s="268"/>
      <c r="FIZ804" s="268"/>
      <c r="FJA804" s="268"/>
      <c r="FJB804" s="268"/>
      <c r="FJC804" s="268"/>
      <c r="FJD804" s="268"/>
      <c r="FJE804" s="268"/>
      <c r="FJF804" s="268"/>
      <c r="FJG804" s="268"/>
      <c r="FJH804" s="268"/>
      <c r="FJI804" s="268"/>
      <c r="FJJ804" s="268"/>
      <c r="FJK804" s="268"/>
      <c r="FJL804" s="268"/>
      <c r="FJM804" s="268"/>
      <c r="FJN804" s="268"/>
      <c r="FJO804" s="268"/>
      <c r="FJP804" s="268"/>
      <c r="FJQ804" s="268"/>
      <c r="FJR804" s="268"/>
      <c r="FJS804" s="268"/>
      <c r="FJT804" s="268"/>
      <c r="FJU804" s="268"/>
      <c r="FJV804" s="268"/>
      <c r="FJW804" s="268"/>
      <c r="FJX804" s="268"/>
      <c r="FJY804" s="268"/>
      <c r="FJZ804" s="268"/>
      <c r="FKA804" s="268"/>
      <c r="FKO804" s="268"/>
      <c r="FKP804" s="268"/>
      <c r="FKQ804" s="268"/>
      <c r="FLE804" s="268"/>
      <c r="FLG804" s="268"/>
      <c r="FLH804" s="268"/>
      <c r="FLI804" s="268"/>
      <c r="FLJ804" s="268"/>
      <c r="FLK804" s="268"/>
      <c r="FLL804" s="268"/>
      <c r="FLM804" s="268"/>
      <c r="FLN804" s="268"/>
      <c r="FLO804" s="268"/>
      <c r="FLP804" s="268"/>
      <c r="FLQ804" s="268"/>
      <c r="FLR804" s="268"/>
      <c r="FLS804" s="268"/>
      <c r="FLT804" s="268"/>
      <c r="FLU804" s="268"/>
      <c r="FLV804" s="268"/>
      <c r="FLW804" s="268"/>
      <c r="FLX804" s="268"/>
      <c r="FLY804" s="268"/>
      <c r="FLZ804" s="268"/>
      <c r="FMA804" s="268"/>
      <c r="FMB804" s="268"/>
      <c r="FMC804" s="268"/>
      <c r="FMD804" s="268"/>
      <c r="FME804" s="268"/>
      <c r="FMF804" s="268"/>
      <c r="FMG804" s="268"/>
      <c r="FMH804" s="268"/>
      <c r="FMI804" s="268"/>
      <c r="FMJ804" s="268"/>
      <c r="FMK804" s="268"/>
      <c r="FML804" s="268"/>
      <c r="FMM804" s="268"/>
      <c r="FMN804" s="268"/>
      <c r="FMO804" s="268"/>
      <c r="FMP804" s="268"/>
      <c r="FMQ804" s="268"/>
      <c r="FMR804" s="268"/>
      <c r="FMS804" s="268"/>
      <c r="FMT804" s="268"/>
      <c r="FMU804" s="268"/>
      <c r="FMV804" s="268"/>
      <c r="FMW804" s="268"/>
      <c r="FMX804" s="268"/>
      <c r="FMY804" s="268"/>
      <c r="FMZ804" s="268"/>
      <c r="FNA804" s="268"/>
      <c r="FNB804" s="268"/>
      <c r="FNC804" s="268"/>
      <c r="FND804" s="268"/>
      <c r="FNE804" s="268"/>
      <c r="FNF804" s="268"/>
      <c r="FNG804" s="268"/>
      <c r="FNH804" s="268"/>
      <c r="FNI804" s="268"/>
      <c r="FNJ804" s="268"/>
      <c r="FNK804" s="268"/>
      <c r="FNL804" s="268"/>
      <c r="FNM804" s="268"/>
      <c r="FNN804" s="268"/>
      <c r="FNO804" s="268"/>
      <c r="FNP804" s="268"/>
      <c r="FNQ804" s="268"/>
      <c r="FNR804" s="268"/>
      <c r="FNS804" s="268"/>
      <c r="FNT804" s="268"/>
      <c r="FNU804" s="268"/>
      <c r="FNV804" s="268"/>
      <c r="FNW804" s="268"/>
      <c r="FNX804" s="268"/>
      <c r="FNY804" s="268"/>
      <c r="FNZ804" s="268"/>
      <c r="FOA804" s="268"/>
      <c r="FOB804" s="268"/>
      <c r="FOC804" s="268"/>
      <c r="FOD804" s="268"/>
      <c r="FOE804" s="268"/>
      <c r="FOF804" s="268"/>
      <c r="FOG804" s="268"/>
      <c r="FOH804" s="268"/>
      <c r="FOI804" s="268"/>
      <c r="FOJ804" s="268"/>
      <c r="FOK804" s="268"/>
      <c r="FOL804" s="268"/>
      <c r="FOM804" s="268"/>
      <c r="FON804" s="268"/>
      <c r="FOO804" s="268"/>
      <c r="FOP804" s="268"/>
      <c r="FOQ804" s="268"/>
      <c r="FOR804" s="268"/>
      <c r="FOS804" s="268"/>
      <c r="FOT804" s="268"/>
      <c r="FOU804" s="268"/>
      <c r="FOV804" s="268"/>
      <c r="FOW804" s="268"/>
      <c r="FOX804" s="268"/>
      <c r="FOY804" s="268"/>
      <c r="FOZ804" s="268"/>
      <c r="FPA804" s="268"/>
      <c r="FPB804" s="268"/>
      <c r="FPC804" s="268"/>
      <c r="FPD804" s="268"/>
      <c r="FPE804" s="268"/>
      <c r="FPF804" s="268"/>
      <c r="FPG804" s="268"/>
      <c r="FPH804" s="268"/>
      <c r="FPI804" s="268"/>
      <c r="FPJ804" s="268"/>
      <c r="FPK804" s="268"/>
      <c r="FPL804" s="268"/>
      <c r="FPM804" s="268"/>
      <c r="FPN804" s="268"/>
      <c r="FPO804" s="268"/>
      <c r="FPP804" s="268"/>
      <c r="FPQ804" s="268"/>
      <c r="FPR804" s="268"/>
      <c r="FPS804" s="268"/>
      <c r="FPT804" s="268"/>
      <c r="FPU804" s="268"/>
      <c r="FPV804" s="268"/>
      <c r="FPW804" s="268"/>
      <c r="FPX804" s="268"/>
      <c r="FPY804" s="268"/>
      <c r="FPZ804" s="268"/>
      <c r="FQA804" s="268"/>
      <c r="FQB804" s="268"/>
      <c r="FQC804" s="268"/>
      <c r="FQD804" s="268"/>
      <c r="FQE804" s="268"/>
      <c r="FQF804" s="268"/>
      <c r="FQG804" s="268"/>
      <c r="FQH804" s="268"/>
      <c r="FQI804" s="268"/>
      <c r="FQJ804" s="268"/>
      <c r="FQK804" s="268"/>
      <c r="FQL804" s="268"/>
      <c r="FQM804" s="268"/>
      <c r="FQN804" s="268"/>
      <c r="FQO804" s="268"/>
      <c r="FQP804" s="268"/>
      <c r="FQQ804" s="268"/>
      <c r="FQR804" s="268"/>
      <c r="FQS804" s="268"/>
      <c r="FQT804" s="268"/>
      <c r="FQU804" s="268"/>
      <c r="FQV804" s="268"/>
      <c r="FQW804" s="268"/>
      <c r="FQX804" s="268"/>
      <c r="FQY804" s="268"/>
      <c r="FQZ804" s="268"/>
      <c r="FRA804" s="268"/>
      <c r="FRB804" s="268"/>
      <c r="FRC804" s="268"/>
      <c r="FRD804" s="268"/>
      <c r="FRE804" s="268"/>
      <c r="FRF804" s="268"/>
      <c r="FRG804" s="268"/>
      <c r="FRH804" s="268"/>
      <c r="FRI804" s="268"/>
      <c r="FRJ804" s="268"/>
      <c r="FRK804" s="268"/>
      <c r="FRL804" s="268"/>
      <c r="FRM804" s="268"/>
      <c r="FRN804" s="268"/>
      <c r="FRO804" s="268"/>
      <c r="FRP804" s="268"/>
      <c r="FRQ804" s="268"/>
      <c r="FRR804" s="268"/>
      <c r="FRS804" s="268"/>
      <c r="FRT804" s="268"/>
      <c r="FRU804" s="268"/>
      <c r="FRV804" s="268"/>
      <c r="FRW804" s="268"/>
      <c r="FRX804" s="268"/>
      <c r="FRY804" s="268"/>
      <c r="FRZ804" s="268"/>
      <c r="FSA804" s="268"/>
      <c r="FSB804" s="268"/>
      <c r="FSC804" s="268"/>
      <c r="FSD804" s="268"/>
      <c r="FSE804" s="268"/>
      <c r="FSF804" s="268"/>
      <c r="FSG804" s="268"/>
      <c r="FSH804" s="268"/>
      <c r="FSI804" s="268"/>
      <c r="FSJ804" s="268"/>
      <c r="FSK804" s="268"/>
      <c r="FSL804" s="268"/>
      <c r="FSM804" s="268"/>
      <c r="FSN804" s="268"/>
      <c r="FSO804" s="268"/>
      <c r="FSP804" s="268"/>
      <c r="FSQ804" s="268"/>
      <c r="FSR804" s="268"/>
      <c r="FSS804" s="268"/>
      <c r="FST804" s="268"/>
      <c r="FSU804" s="268"/>
      <c r="FSV804" s="268"/>
      <c r="FSW804" s="268"/>
      <c r="FSX804" s="268"/>
      <c r="FSY804" s="268"/>
      <c r="FSZ804" s="268"/>
      <c r="FTA804" s="268"/>
      <c r="FTB804" s="268"/>
      <c r="FTC804" s="268"/>
      <c r="FTD804" s="268"/>
      <c r="FTE804" s="268"/>
      <c r="FTF804" s="268"/>
      <c r="FTG804" s="268"/>
      <c r="FTH804" s="268"/>
      <c r="FTI804" s="268"/>
      <c r="FTJ804" s="268"/>
      <c r="FTK804" s="268"/>
      <c r="FTL804" s="268"/>
      <c r="FTM804" s="268"/>
      <c r="FTN804" s="268"/>
      <c r="FTO804" s="268"/>
      <c r="FTP804" s="268"/>
      <c r="FTQ804" s="268"/>
      <c r="FTR804" s="268"/>
      <c r="FTS804" s="268"/>
      <c r="FTT804" s="268"/>
      <c r="FTU804" s="268"/>
      <c r="FTV804" s="268"/>
      <c r="FTW804" s="268"/>
      <c r="FUK804" s="268"/>
      <c r="FUL804" s="268"/>
      <c r="FUM804" s="268"/>
      <c r="FVA804" s="268"/>
      <c r="FVC804" s="268"/>
      <c r="FVD804" s="268"/>
      <c r="FVE804" s="268"/>
      <c r="FVF804" s="268"/>
      <c r="FVG804" s="268"/>
      <c r="FVH804" s="268"/>
      <c r="FVI804" s="268"/>
      <c r="FVJ804" s="268"/>
      <c r="FVK804" s="268"/>
      <c r="FVL804" s="268"/>
      <c r="FVM804" s="268"/>
      <c r="FVN804" s="268"/>
      <c r="FVO804" s="268"/>
      <c r="FVP804" s="268"/>
      <c r="FVQ804" s="268"/>
      <c r="FVR804" s="268"/>
      <c r="FVS804" s="268"/>
      <c r="FVT804" s="268"/>
      <c r="FVU804" s="268"/>
      <c r="FVV804" s="268"/>
      <c r="FVW804" s="268"/>
      <c r="FVX804" s="268"/>
      <c r="FVY804" s="268"/>
      <c r="FVZ804" s="268"/>
      <c r="FWA804" s="268"/>
      <c r="FWB804" s="268"/>
      <c r="FWC804" s="268"/>
      <c r="FWD804" s="268"/>
      <c r="FWE804" s="268"/>
      <c r="FWF804" s="268"/>
      <c r="FWG804" s="268"/>
      <c r="FWH804" s="268"/>
      <c r="FWI804" s="268"/>
      <c r="FWJ804" s="268"/>
      <c r="FWK804" s="268"/>
      <c r="FWL804" s="268"/>
      <c r="FWM804" s="268"/>
      <c r="FWN804" s="268"/>
      <c r="FWO804" s="268"/>
      <c r="FWP804" s="268"/>
      <c r="FWQ804" s="268"/>
      <c r="FWR804" s="268"/>
      <c r="FWS804" s="268"/>
      <c r="FWT804" s="268"/>
      <c r="FWU804" s="268"/>
      <c r="FWV804" s="268"/>
      <c r="FWW804" s="268"/>
      <c r="FWX804" s="268"/>
      <c r="FWY804" s="268"/>
      <c r="FWZ804" s="268"/>
      <c r="FXA804" s="268"/>
      <c r="FXB804" s="268"/>
      <c r="FXC804" s="268"/>
      <c r="FXD804" s="268"/>
      <c r="FXE804" s="268"/>
      <c r="FXF804" s="268"/>
      <c r="FXG804" s="268"/>
      <c r="FXH804" s="268"/>
      <c r="FXI804" s="268"/>
      <c r="FXJ804" s="268"/>
      <c r="FXK804" s="268"/>
      <c r="FXL804" s="268"/>
      <c r="FXM804" s="268"/>
      <c r="FXN804" s="268"/>
      <c r="FXO804" s="268"/>
      <c r="FXP804" s="268"/>
      <c r="FXQ804" s="268"/>
      <c r="FXR804" s="268"/>
      <c r="FXS804" s="268"/>
      <c r="FXT804" s="268"/>
      <c r="FXU804" s="268"/>
      <c r="FXV804" s="268"/>
      <c r="FXW804" s="268"/>
      <c r="FXX804" s="268"/>
      <c r="FXY804" s="268"/>
      <c r="FXZ804" s="268"/>
      <c r="FYA804" s="268"/>
      <c r="FYB804" s="268"/>
      <c r="FYC804" s="268"/>
      <c r="FYD804" s="268"/>
      <c r="FYE804" s="268"/>
      <c r="FYF804" s="268"/>
      <c r="FYG804" s="268"/>
      <c r="FYH804" s="268"/>
      <c r="FYI804" s="268"/>
      <c r="FYJ804" s="268"/>
      <c r="FYK804" s="268"/>
      <c r="FYL804" s="268"/>
      <c r="FYM804" s="268"/>
      <c r="FYN804" s="268"/>
      <c r="FYO804" s="268"/>
      <c r="FYP804" s="268"/>
      <c r="FYQ804" s="268"/>
      <c r="FYR804" s="268"/>
      <c r="FYS804" s="268"/>
      <c r="FYT804" s="268"/>
      <c r="FYU804" s="268"/>
      <c r="FYV804" s="268"/>
      <c r="FYW804" s="268"/>
      <c r="FYX804" s="268"/>
      <c r="FYY804" s="268"/>
      <c r="FYZ804" s="268"/>
      <c r="FZA804" s="268"/>
      <c r="FZB804" s="268"/>
      <c r="FZC804" s="268"/>
      <c r="FZD804" s="268"/>
      <c r="FZE804" s="268"/>
      <c r="FZF804" s="268"/>
      <c r="FZG804" s="268"/>
      <c r="FZH804" s="268"/>
      <c r="FZI804" s="268"/>
      <c r="FZJ804" s="268"/>
      <c r="FZK804" s="268"/>
      <c r="FZL804" s="268"/>
      <c r="FZM804" s="268"/>
      <c r="FZN804" s="268"/>
      <c r="FZO804" s="268"/>
      <c r="FZP804" s="268"/>
      <c r="FZQ804" s="268"/>
      <c r="FZR804" s="268"/>
      <c r="FZS804" s="268"/>
      <c r="FZT804" s="268"/>
      <c r="FZU804" s="268"/>
      <c r="FZV804" s="268"/>
      <c r="FZW804" s="268"/>
      <c r="FZX804" s="268"/>
      <c r="FZY804" s="268"/>
      <c r="FZZ804" s="268"/>
      <c r="GAA804" s="268"/>
      <c r="GAB804" s="268"/>
      <c r="GAC804" s="268"/>
      <c r="GAD804" s="268"/>
      <c r="GAE804" s="268"/>
      <c r="GAF804" s="268"/>
      <c r="GAG804" s="268"/>
      <c r="GAH804" s="268"/>
      <c r="GAI804" s="268"/>
      <c r="GAJ804" s="268"/>
      <c r="GAK804" s="268"/>
      <c r="GAL804" s="268"/>
      <c r="GAM804" s="268"/>
      <c r="GAN804" s="268"/>
      <c r="GAO804" s="268"/>
      <c r="GAP804" s="268"/>
      <c r="GAQ804" s="268"/>
      <c r="GAR804" s="268"/>
      <c r="GAS804" s="268"/>
      <c r="GAT804" s="268"/>
      <c r="GAU804" s="268"/>
      <c r="GAV804" s="268"/>
      <c r="GAW804" s="268"/>
      <c r="GAX804" s="268"/>
      <c r="GAY804" s="268"/>
      <c r="GAZ804" s="268"/>
      <c r="GBA804" s="268"/>
      <c r="GBB804" s="268"/>
      <c r="GBC804" s="268"/>
      <c r="GBD804" s="268"/>
      <c r="GBE804" s="268"/>
      <c r="GBF804" s="268"/>
      <c r="GBG804" s="268"/>
      <c r="GBH804" s="268"/>
      <c r="GBI804" s="268"/>
      <c r="GBJ804" s="268"/>
      <c r="GBK804" s="268"/>
      <c r="GBL804" s="268"/>
      <c r="GBM804" s="268"/>
      <c r="GBN804" s="268"/>
      <c r="GBO804" s="268"/>
      <c r="GBP804" s="268"/>
      <c r="GBQ804" s="268"/>
      <c r="GBR804" s="268"/>
      <c r="GBS804" s="268"/>
      <c r="GBT804" s="268"/>
      <c r="GBU804" s="268"/>
      <c r="GBV804" s="268"/>
      <c r="GBW804" s="268"/>
      <c r="GBX804" s="268"/>
      <c r="GBY804" s="268"/>
      <c r="GBZ804" s="268"/>
      <c r="GCA804" s="268"/>
      <c r="GCB804" s="268"/>
      <c r="GCC804" s="268"/>
      <c r="GCD804" s="268"/>
      <c r="GCE804" s="268"/>
      <c r="GCF804" s="268"/>
      <c r="GCG804" s="268"/>
      <c r="GCH804" s="268"/>
      <c r="GCI804" s="268"/>
      <c r="GCJ804" s="268"/>
      <c r="GCK804" s="268"/>
      <c r="GCL804" s="268"/>
      <c r="GCM804" s="268"/>
      <c r="GCN804" s="268"/>
      <c r="GCO804" s="268"/>
      <c r="GCP804" s="268"/>
      <c r="GCQ804" s="268"/>
      <c r="GCR804" s="268"/>
      <c r="GCS804" s="268"/>
      <c r="GCT804" s="268"/>
      <c r="GCU804" s="268"/>
      <c r="GCV804" s="268"/>
      <c r="GCW804" s="268"/>
      <c r="GCX804" s="268"/>
      <c r="GCY804" s="268"/>
      <c r="GCZ804" s="268"/>
      <c r="GDA804" s="268"/>
      <c r="GDB804" s="268"/>
      <c r="GDC804" s="268"/>
      <c r="GDD804" s="268"/>
      <c r="GDE804" s="268"/>
      <c r="GDF804" s="268"/>
      <c r="GDG804" s="268"/>
      <c r="GDH804" s="268"/>
      <c r="GDI804" s="268"/>
      <c r="GDJ804" s="268"/>
      <c r="GDK804" s="268"/>
      <c r="GDL804" s="268"/>
      <c r="GDM804" s="268"/>
      <c r="GDN804" s="268"/>
      <c r="GDO804" s="268"/>
      <c r="GDP804" s="268"/>
      <c r="GDQ804" s="268"/>
      <c r="GDR804" s="268"/>
      <c r="GDS804" s="268"/>
      <c r="GEG804" s="268"/>
      <c r="GEH804" s="268"/>
      <c r="GEI804" s="268"/>
      <c r="GEW804" s="268"/>
      <c r="GEY804" s="268"/>
      <c r="GEZ804" s="268"/>
      <c r="GFA804" s="268"/>
      <c r="GFB804" s="268"/>
      <c r="GFC804" s="268"/>
      <c r="GFD804" s="268"/>
      <c r="GFE804" s="268"/>
      <c r="GFF804" s="268"/>
      <c r="GFG804" s="268"/>
      <c r="GFH804" s="268"/>
      <c r="GFI804" s="268"/>
      <c r="GFJ804" s="268"/>
      <c r="GFK804" s="268"/>
      <c r="GFL804" s="268"/>
      <c r="GFM804" s="268"/>
      <c r="GFN804" s="268"/>
      <c r="GFO804" s="268"/>
      <c r="GFP804" s="268"/>
      <c r="GFQ804" s="268"/>
      <c r="GFR804" s="268"/>
      <c r="GFS804" s="268"/>
      <c r="GFT804" s="268"/>
      <c r="GFU804" s="268"/>
      <c r="GFV804" s="268"/>
      <c r="GFW804" s="268"/>
      <c r="GFX804" s="268"/>
      <c r="GFY804" s="268"/>
      <c r="GFZ804" s="268"/>
      <c r="GGA804" s="268"/>
      <c r="GGB804" s="268"/>
      <c r="GGC804" s="268"/>
      <c r="GGD804" s="268"/>
      <c r="GGE804" s="268"/>
      <c r="GGF804" s="268"/>
      <c r="GGG804" s="268"/>
      <c r="GGH804" s="268"/>
      <c r="GGI804" s="268"/>
      <c r="GGJ804" s="268"/>
      <c r="GGK804" s="268"/>
      <c r="GGL804" s="268"/>
      <c r="GGM804" s="268"/>
      <c r="GGN804" s="268"/>
      <c r="GGO804" s="268"/>
      <c r="GGP804" s="268"/>
      <c r="GGQ804" s="268"/>
      <c r="GGR804" s="268"/>
      <c r="GGS804" s="268"/>
      <c r="GGT804" s="268"/>
      <c r="GGU804" s="268"/>
      <c r="GGV804" s="268"/>
      <c r="GGW804" s="268"/>
      <c r="GGX804" s="268"/>
      <c r="GGY804" s="268"/>
      <c r="GGZ804" s="268"/>
      <c r="GHA804" s="268"/>
      <c r="GHB804" s="268"/>
      <c r="GHC804" s="268"/>
      <c r="GHD804" s="268"/>
      <c r="GHE804" s="268"/>
      <c r="GHF804" s="268"/>
      <c r="GHG804" s="268"/>
      <c r="GHH804" s="268"/>
      <c r="GHI804" s="268"/>
      <c r="GHJ804" s="268"/>
      <c r="GHK804" s="268"/>
      <c r="GHL804" s="268"/>
      <c r="GHM804" s="268"/>
      <c r="GHN804" s="268"/>
      <c r="GHO804" s="268"/>
      <c r="GHP804" s="268"/>
      <c r="GHQ804" s="268"/>
      <c r="GHR804" s="268"/>
      <c r="GHS804" s="268"/>
      <c r="GHT804" s="268"/>
      <c r="GHU804" s="268"/>
      <c r="GHV804" s="268"/>
      <c r="GHW804" s="268"/>
      <c r="GHX804" s="268"/>
      <c r="GHY804" s="268"/>
      <c r="GHZ804" s="268"/>
      <c r="GIA804" s="268"/>
      <c r="GIB804" s="268"/>
      <c r="GIC804" s="268"/>
      <c r="GID804" s="268"/>
      <c r="GIE804" s="268"/>
      <c r="GIF804" s="268"/>
      <c r="GIG804" s="268"/>
      <c r="GIH804" s="268"/>
      <c r="GII804" s="268"/>
      <c r="GIJ804" s="268"/>
      <c r="GIK804" s="268"/>
      <c r="GIL804" s="268"/>
      <c r="GIM804" s="268"/>
      <c r="GIN804" s="268"/>
      <c r="GIO804" s="268"/>
      <c r="GIP804" s="268"/>
      <c r="GIQ804" s="268"/>
      <c r="GIR804" s="268"/>
      <c r="GIS804" s="268"/>
      <c r="GIT804" s="268"/>
      <c r="GIU804" s="268"/>
      <c r="GIV804" s="268"/>
      <c r="GIW804" s="268"/>
      <c r="GIX804" s="268"/>
      <c r="GIY804" s="268"/>
      <c r="GIZ804" s="268"/>
      <c r="GJA804" s="268"/>
      <c r="GJB804" s="268"/>
      <c r="GJC804" s="268"/>
      <c r="GJD804" s="268"/>
      <c r="GJE804" s="268"/>
      <c r="GJF804" s="268"/>
      <c r="GJG804" s="268"/>
      <c r="GJH804" s="268"/>
      <c r="GJI804" s="268"/>
      <c r="GJJ804" s="268"/>
      <c r="GJK804" s="268"/>
      <c r="GJL804" s="268"/>
      <c r="GJM804" s="268"/>
      <c r="GJN804" s="268"/>
      <c r="GJO804" s="268"/>
      <c r="GJP804" s="268"/>
      <c r="GJQ804" s="268"/>
      <c r="GJR804" s="268"/>
      <c r="GJS804" s="268"/>
      <c r="GJT804" s="268"/>
      <c r="GJU804" s="268"/>
      <c r="GJV804" s="268"/>
      <c r="GJW804" s="268"/>
      <c r="GJX804" s="268"/>
      <c r="GJY804" s="268"/>
      <c r="GJZ804" s="268"/>
      <c r="GKA804" s="268"/>
      <c r="GKB804" s="268"/>
      <c r="GKC804" s="268"/>
      <c r="GKD804" s="268"/>
      <c r="GKE804" s="268"/>
      <c r="GKF804" s="268"/>
      <c r="GKG804" s="268"/>
      <c r="GKH804" s="268"/>
      <c r="GKI804" s="268"/>
      <c r="GKJ804" s="268"/>
      <c r="GKK804" s="268"/>
      <c r="GKL804" s="268"/>
      <c r="GKM804" s="268"/>
      <c r="GKN804" s="268"/>
      <c r="GKO804" s="268"/>
      <c r="GKP804" s="268"/>
      <c r="GKQ804" s="268"/>
      <c r="GKR804" s="268"/>
      <c r="GKS804" s="268"/>
      <c r="GKT804" s="268"/>
      <c r="GKU804" s="268"/>
      <c r="GKV804" s="268"/>
      <c r="GKW804" s="268"/>
      <c r="GKX804" s="268"/>
      <c r="GKY804" s="268"/>
      <c r="GKZ804" s="268"/>
      <c r="GLA804" s="268"/>
      <c r="GLB804" s="268"/>
      <c r="GLC804" s="268"/>
      <c r="GLD804" s="268"/>
      <c r="GLE804" s="268"/>
      <c r="GLF804" s="268"/>
      <c r="GLG804" s="268"/>
      <c r="GLH804" s="268"/>
      <c r="GLI804" s="268"/>
      <c r="GLJ804" s="268"/>
      <c r="GLK804" s="268"/>
      <c r="GLL804" s="268"/>
      <c r="GLM804" s="268"/>
      <c r="GLN804" s="268"/>
      <c r="GLO804" s="268"/>
      <c r="GLP804" s="268"/>
      <c r="GLQ804" s="268"/>
      <c r="GLR804" s="268"/>
      <c r="GLS804" s="268"/>
      <c r="GLT804" s="268"/>
      <c r="GLU804" s="268"/>
      <c r="GLV804" s="268"/>
      <c r="GLW804" s="268"/>
      <c r="GLX804" s="268"/>
      <c r="GLY804" s="268"/>
      <c r="GLZ804" s="268"/>
      <c r="GMA804" s="268"/>
      <c r="GMB804" s="268"/>
      <c r="GMC804" s="268"/>
      <c r="GMD804" s="268"/>
      <c r="GME804" s="268"/>
      <c r="GMF804" s="268"/>
      <c r="GMG804" s="268"/>
      <c r="GMH804" s="268"/>
      <c r="GMI804" s="268"/>
      <c r="GMJ804" s="268"/>
      <c r="GMK804" s="268"/>
      <c r="GML804" s="268"/>
      <c r="GMM804" s="268"/>
      <c r="GMN804" s="268"/>
      <c r="GMO804" s="268"/>
      <c r="GMP804" s="268"/>
      <c r="GMQ804" s="268"/>
      <c r="GMR804" s="268"/>
      <c r="GMS804" s="268"/>
      <c r="GMT804" s="268"/>
      <c r="GMU804" s="268"/>
      <c r="GMV804" s="268"/>
      <c r="GMW804" s="268"/>
      <c r="GMX804" s="268"/>
      <c r="GMY804" s="268"/>
      <c r="GMZ804" s="268"/>
      <c r="GNA804" s="268"/>
      <c r="GNB804" s="268"/>
      <c r="GNC804" s="268"/>
      <c r="GND804" s="268"/>
      <c r="GNE804" s="268"/>
      <c r="GNF804" s="268"/>
      <c r="GNG804" s="268"/>
      <c r="GNH804" s="268"/>
      <c r="GNI804" s="268"/>
      <c r="GNJ804" s="268"/>
      <c r="GNK804" s="268"/>
      <c r="GNL804" s="268"/>
      <c r="GNM804" s="268"/>
      <c r="GNN804" s="268"/>
      <c r="GNO804" s="268"/>
      <c r="GOC804" s="268"/>
      <c r="GOD804" s="268"/>
      <c r="GOE804" s="268"/>
      <c r="GOS804" s="268"/>
      <c r="GOU804" s="268"/>
      <c r="GOV804" s="268"/>
      <c r="GOW804" s="268"/>
      <c r="GOX804" s="268"/>
      <c r="GOY804" s="268"/>
      <c r="GOZ804" s="268"/>
      <c r="GPA804" s="268"/>
      <c r="GPB804" s="268"/>
      <c r="GPC804" s="268"/>
      <c r="GPD804" s="268"/>
      <c r="GPE804" s="268"/>
      <c r="GPF804" s="268"/>
      <c r="GPG804" s="268"/>
      <c r="GPH804" s="268"/>
      <c r="GPI804" s="268"/>
      <c r="GPJ804" s="268"/>
      <c r="GPK804" s="268"/>
      <c r="GPL804" s="268"/>
      <c r="GPM804" s="268"/>
      <c r="GPN804" s="268"/>
      <c r="GPO804" s="268"/>
      <c r="GPP804" s="268"/>
      <c r="GPQ804" s="268"/>
      <c r="GPR804" s="268"/>
      <c r="GPS804" s="268"/>
      <c r="GPT804" s="268"/>
      <c r="GPU804" s="268"/>
      <c r="GPV804" s="268"/>
      <c r="GPW804" s="268"/>
      <c r="GPX804" s="268"/>
      <c r="GPY804" s="268"/>
      <c r="GPZ804" s="268"/>
      <c r="GQA804" s="268"/>
      <c r="GQB804" s="268"/>
      <c r="GQC804" s="268"/>
      <c r="GQD804" s="268"/>
      <c r="GQE804" s="268"/>
      <c r="GQF804" s="268"/>
      <c r="GQG804" s="268"/>
      <c r="GQH804" s="268"/>
      <c r="GQI804" s="268"/>
      <c r="GQJ804" s="268"/>
      <c r="GQK804" s="268"/>
      <c r="GQL804" s="268"/>
      <c r="GQM804" s="268"/>
      <c r="GQN804" s="268"/>
      <c r="GQO804" s="268"/>
      <c r="GQP804" s="268"/>
      <c r="GQQ804" s="268"/>
      <c r="GQR804" s="268"/>
      <c r="GQS804" s="268"/>
      <c r="GQT804" s="268"/>
      <c r="GQU804" s="268"/>
      <c r="GQV804" s="268"/>
      <c r="GQW804" s="268"/>
      <c r="GQX804" s="268"/>
      <c r="GQY804" s="268"/>
      <c r="GQZ804" s="268"/>
      <c r="GRA804" s="268"/>
      <c r="GRB804" s="268"/>
      <c r="GRC804" s="268"/>
      <c r="GRD804" s="268"/>
      <c r="GRE804" s="268"/>
      <c r="GRF804" s="268"/>
      <c r="GRG804" s="268"/>
      <c r="GRH804" s="268"/>
      <c r="GRI804" s="268"/>
      <c r="GRJ804" s="268"/>
      <c r="GRK804" s="268"/>
      <c r="GRL804" s="268"/>
      <c r="GRM804" s="268"/>
      <c r="GRN804" s="268"/>
      <c r="GRO804" s="268"/>
      <c r="GRP804" s="268"/>
      <c r="GRQ804" s="268"/>
      <c r="GRR804" s="268"/>
      <c r="GRS804" s="268"/>
      <c r="GRT804" s="268"/>
      <c r="GRU804" s="268"/>
      <c r="GRV804" s="268"/>
      <c r="GRW804" s="268"/>
      <c r="GRX804" s="268"/>
      <c r="GRY804" s="268"/>
      <c r="GRZ804" s="268"/>
      <c r="GSA804" s="268"/>
      <c r="GSB804" s="268"/>
      <c r="GSC804" s="268"/>
      <c r="GSD804" s="268"/>
      <c r="GSE804" s="268"/>
      <c r="GSF804" s="268"/>
      <c r="GSG804" s="268"/>
      <c r="GSH804" s="268"/>
      <c r="GSI804" s="268"/>
      <c r="GSJ804" s="268"/>
      <c r="GSK804" s="268"/>
      <c r="GSL804" s="268"/>
      <c r="GSM804" s="268"/>
      <c r="GSN804" s="268"/>
      <c r="GSO804" s="268"/>
      <c r="GSP804" s="268"/>
      <c r="GSQ804" s="268"/>
      <c r="GSR804" s="268"/>
      <c r="GSS804" s="268"/>
      <c r="GST804" s="268"/>
      <c r="GSU804" s="268"/>
      <c r="GSV804" s="268"/>
      <c r="GSW804" s="268"/>
      <c r="GSX804" s="268"/>
      <c r="GSY804" s="268"/>
      <c r="GSZ804" s="268"/>
      <c r="GTA804" s="268"/>
      <c r="GTB804" s="268"/>
      <c r="GTC804" s="268"/>
      <c r="GTD804" s="268"/>
      <c r="GTE804" s="268"/>
      <c r="GTF804" s="268"/>
      <c r="GTG804" s="268"/>
      <c r="GTH804" s="268"/>
      <c r="GTI804" s="268"/>
      <c r="GTJ804" s="268"/>
      <c r="GTK804" s="268"/>
      <c r="GTL804" s="268"/>
      <c r="GTM804" s="268"/>
      <c r="GTN804" s="268"/>
      <c r="GTO804" s="268"/>
      <c r="GTP804" s="268"/>
      <c r="GTQ804" s="268"/>
      <c r="GTR804" s="268"/>
      <c r="GTS804" s="268"/>
      <c r="GTT804" s="268"/>
      <c r="GTU804" s="268"/>
      <c r="GTV804" s="268"/>
      <c r="GTW804" s="268"/>
      <c r="GTX804" s="268"/>
      <c r="GTY804" s="268"/>
      <c r="GTZ804" s="268"/>
      <c r="GUA804" s="268"/>
      <c r="GUB804" s="268"/>
      <c r="GUC804" s="268"/>
      <c r="GUD804" s="268"/>
      <c r="GUE804" s="268"/>
      <c r="GUF804" s="268"/>
      <c r="GUG804" s="268"/>
      <c r="GUH804" s="268"/>
      <c r="GUI804" s="268"/>
      <c r="GUJ804" s="268"/>
      <c r="GUK804" s="268"/>
      <c r="GUL804" s="268"/>
      <c r="GUM804" s="268"/>
      <c r="GUN804" s="268"/>
      <c r="GUO804" s="268"/>
      <c r="GUP804" s="268"/>
      <c r="GUQ804" s="268"/>
      <c r="GUR804" s="268"/>
      <c r="GUS804" s="268"/>
      <c r="GUT804" s="268"/>
      <c r="GUU804" s="268"/>
      <c r="GUV804" s="268"/>
      <c r="GUW804" s="268"/>
      <c r="GUX804" s="268"/>
      <c r="GUY804" s="268"/>
      <c r="GUZ804" s="268"/>
      <c r="GVA804" s="268"/>
      <c r="GVB804" s="268"/>
      <c r="GVC804" s="268"/>
      <c r="GVD804" s="268"/>
      <c r="GVE804" s="268"/>
      <c r="GVF804" s="268"/>
      <c r="GVG804" s="268"/>
      <c r="GVH804" s="268"/>
      <c r="GVI804" s="268"/>
      <c r="GVJ804" s="268"/>
      <c r="GVK804" s="268"/>
      <c r="GVL804" s="268"/>
      <c r="GVM804" s="268"/>
      <c r="GVN804" s="268"/>
      <c r="GVO804" s="268"/>
      <c r="GVP804" s="268"/>
      <c r="GVQ804" s="268"/>
      <c r="GVR804" s="268"/>
      <c r="GVS804" s="268"/>
      <c r="GVT804" s="268"/>
      <c r="GVU804" s="268"/>
      <c r="GVV804" s="268"/>
      <c r="GVW804" s="268"/>
      <c r="GVX804" s="268"/>
      <c r="GVY804" s="268"/>
      <c r="GVZ804" s="268"/>
      <c r="GWA804" s="268"/>
      <c r="GWB804" s="268"/>
      <c r="GWC804" s="268"/>
      <c r="GWD804" s="268"/>
      <c r="GWE804" s="268"/>
      <c r="GWF804" s="268"/>
      <c r="GWG804" s="268"/>
      <c r="GWH804" s="268"/>
      <c r="GWI804" s="268"/>
      <c r="GWJ804" s="268"/>
      <c r="GWK804" s="268"/>
      <c r="GWL804" s="268"/>
      <c r="GWM804" s="268"/>
      <c r="GWN804" s="268"/>
      <c r="GWO804" s="268"/>
      <c r="GWP804" s="268"/>
      <c r="GWQ804" s="268"/>
      <c r="GWR804" s="268"/>
      <c r="GWS804" s="268"/>
      <c r="GWT804" s="268"/>
      <c r="GWU804" s="268"/>
      <c r="GWV804" s="268"/>
      <c r="GWW804" s="268"/>
      <c r="GWX804" s="268"/>
      <c r="GWY804" s="268"/>
      <c r="GWZ804" s="268"/>
      <c r="GXA804" s="268"/>
      <c r="GXB804" s="268"/>
      <c r="GXC804" s="268"/>
      <c r="GXD804" s="268"/>
      <c r="GXE804" s="268"/>
      <c r="GXF804" s="268"/>
      <c r="GXG804" s="268"/>
      <c r="GXH804" s="268"/>
      <c r="GXI804" s="268"/>
      <c r="GXJ804" s="268"/>
      <c r="GXK804" s="268"/>
      <c r="GXY804" s="268"/>
      <c r="GXZ804" s="268"/>
      <c r="GYA804" s="268"/>
      <c r="GYO804" s="268"/>
      <c r="GYQ804" s="268"/>
      <c r="GYR804" s="268"/>
      <c r="GYS804" s="268"/>
      <c r="GYT804" s="268"/>
      <c r="GYU804" s="268"/>
      <c r="GYV804" s="268"/>
      <c r="GYW804" s="268"/>
      <c r="GYX804" s="268"/>
      <c r="GYY804" s="268"/>
      <c r="GYZ804" s="268"/>
      <c r="GZA804" s="268"/>
      <c r="GZB804" s="268"/>
      <c r="GZC804" s="268"/>
      <c r="GZD804" s="268"/>
      <c r="GZE804" s="268"/>
      <c r="GZF804" s="268"/>
      <c r="GZG804" s="268"/>
      <c r="GZH804" s="268"/>
      <c r="GZI804" s="268"/>
      <c r="GZJ804" s="268"/>
      <c r="GZK804" s="268"/>
      <c r="GZL804" s="268"/>
      <c r="GZM804" s="268"/>
      <c r="GZN804" s="268"/>
      <c r="GZO804" s="268"/>
      <c r="GZP804" s="268"/>
      <c r="GZQ804" s="268"/>
      <c r="GZR804" s="268"/>
      <c r="GZS804" s="268"/>
      <c r="GZT804" s="268"/>
      <c r="GZU804" s="268"/>
      <c r="GZV804" s="268"/>
      <c r="GZW804" s="268"/>
      <c r="GZX804" s="268"/>
      <c r="GZY804" s="268"/>
      <c r="GZZ804" s="268"/>
      <c r="HAA804" s="268"/>
      <c r="HAB804" s="268"/>
      <c r="HAC804" s="268"/>
      <c r="HAD804" s="268"/>
      <c r="HAE804" s="268"/>
      <c r="HAF804" s="268"/>
      <c r="HAG804" s="268"/>
      <c r="HAH804" s="268"/>
      <c r="HAI804" s="268"/>
      <c r="HAJ804" s="268"/>
      <c r="HAK804" s="268"/>
      <c r="HAL804" s="268"/>
      <c r="HAM804" s="268"/>
      <c r="HAN804" s="268"/>
      <c r="HAO804" s="268"/>
      <c r="HAP804" s="268"/>
      <c r="HAQ804" s="268"/>
      <c r="HAR804" s="268"/>
      <c r="HAS804" s="268"/>
      <c r="HAT804" s="268"/>
      <c r="HAU804" s="268"/>
      <c r="HAV804" s="268"/>
      <c r="HAW804" s="268"/>
      <c r="HAX804" s="268"/>
      <c r="HAY804" s="268"/>
      <c r="HAZ804" s="268"/>
      <c r="HBA804" s="268"/>
      <c r="HBB804" s="268"/>
      <c r="HBC804" s="268"/>
      <c r="HBD804" s="268"/>
      <c r="HBE804" s="268"/>
      <c r="HBF804" s="268"/>
      <c r="HBG804" s="268"/>
      <c r="HBH804" s="268"/>
      <c r="HBI804" s="268"/>
      <c r="HBJ804" s="268"/>
      <c r="HBK804" s="268"/>
      <c r="HBL804" s="268"/>
      <c r="HBM804" s="268"/>
      <c r="HBN804" s="268"/>
      <c r="HBO804" s="268"/>
      <c r="HBP804" s="268"/>
      <c r="HBQ804" s="268"/>
      <c r="HBR804" s="268"/>
      <c r="HBS804" s="268"/>
      <c r="HBT804" s="268"/>
      <c r="HBU804" s="268"/>
      <c r="HBV804" s="268"/>
      <c r="HBW804" s="268"/>
      <c r="HBX804" s="268"/>
      <c r="HBY804" s="268"/>
      <c r="HBZ804" s="268"/>
      <c r="HCA804" s="268"/>
      <c r="HCB804" s="268"/>
      <c r="HCC804" s="268"/>
      <c r="HCD804" s="268"/>
      <c r="HCE804" s="268"/>
      <c r="HCF804" s="268"/>
      <c r="HCG804" s="268"/>
      <c r="HCH804" s="268"/>
      <c r="HCI804" s="268"/>
      <c r="HCJ804" s="268"/>
      <c r="HCK804" s="268"/>
      <c r="HCL804" s="268"/>
      <c r="HCM804" s="268"/>
      <c r="HCN804" s="268"/>
      <c r="HCO804" s="268"/>
      <c r="HCP804" s="268"/>
      <c r="HCQ804" s="268"/>
      <c r="HCR804" s="268"/>
      <c r="HCS804" s="268"/>
      <c r="HCT804" s="268"/>
      <c r="HCU804" s="268"/>
      <c r="HCV804" s="268"/>
      <c r="HCW804" s="268"/>
      <c r="HCX804" s="268"/>
      <c r="HCY804" s="268"/>
      <c r="HCZ804" s="268"/>
      <c r="HDA804" s="268"/>
      <c r="HDB804" s="268"/>
      <c r="HDC804" s="268"/>
      <c r="HDD804" s="268"/>
      <c r="HDE804" s="268"/>
      <c r="HDF804" s="268"/>
      <c r="HDG804" s="268"/>
      <c r="HDH804" s="268"/>
      <c r="HDI804" s="268"/>
      <c r="HDJ804" s="268"/>
      <c r="HDK804" s="268"/>
      <c r="HDL804" s="268"/>
      <c r="HDM804" s="268"/>
      <c r="HDN804" s="268"/>
      <c r="HDO804" s="268"/>
      <c r="HDP804" s="268"/>
      <c r="HDQ804" s="268"/>
      <c r="HDR804" s="268"/>
      <c r="HDS804" s="268"/>
      <c r="HDT804" s="268"/>
      <c r="HDU804" s="268"/>
      <c r="HDV804" s="268"/>
      <c r="HDW804" s="268"/>
      <c r="HDX804" s="268"/>
      <c r="HDY804" s="268"/>
      <c r="HDZ804" s="268"/>
      <c r="HEA804" s="268"/>
      <c r="HEB804" s="268"/>
      <c r="HEC804" s="268"/>
      <c r="HED804" s="268"/>
      <c r="HEE804" s="268"/>
      <c r="HEF804" s="268"/>
      <c r="HEG804" s="268"/>
      <c r="HEH804" s="268"/>
      <c r="HEI804" s="268"/>
      <c r="HEJ804" s="268"/>
      <c r="HEK804" s="268"/>
      <c r="HEL804" s="268"/>
      <c r="HEM804" s="268"/>
      <c r="HEN804" s="268"/>
      <c r="HEO804" s="268"/>
      <c r="HEP804" s="268"/>
      <c r="HEQ804" s="268"/>
      <c r="HER804" s="268"/>
      <c r="HES804" s="268"/>
      <c r="HET804" s="268"/>
      <c r="HEU804" s="268"/>
      <c r="HEV804" s="268"/>
      <c r="HEW804" s="268"/>
      <c r="HEX804" s="268"/>
      <c r="HEY804" s="268"/>
      <c r="HEZ804" s="268"/>
      <c r="HFA804" s="268"/>
      <c r="HFB804" s="268"/>
      <c r="HFC804" s="268"/>
      <c r="HFD804" s="268"/>
      <c r="HFE804" s="268"/>
      <c r="HFF804" s="268"/>
      <c r="HFG804" s="268"/>
      <c r="HFH804" s="268"/>
      <c r="HFI804" s="268"/>
      <c r="HFJ804" s="268"/>
      <c r="HFK804" s="268"/>
      <c r="HFL804" s="268"/>
      <c r="HFM804" s="268"/>
      <c r="HFN804" s="268"/>
      <c r="HFO804" s="268"/>
      <c r="HFP804" s="268"/>
      <c r="HFQ804" s="268"/>
      <c r="HFR804" s="268"/>
      <c r="HFS804" s="268"/>
      <c r="HFT804" s="268"/>
      <c r="HFU804" s="268"/>
      <c r="HFV804" s="268"/>
      <c r="HFW804" s="268"/>
      <c r="HFX804" s="268"/>
      <c r="HFY804" s="268"/>
      <c r="HFZ804" s="268"/>
      <c r="HGA804" s="268"/>
      <c r="HGB804" s="268"/>
      <c r="HGC804" s="268"/>
      <c r="HGD804" s="268"/>
      <c r="HGE804" s="268"/>
      <c r="HGF804" s="268"/>
      <c r="HGG804" s="268"/>
      <c r="HGH804" s="268"/>
      <c r="HGI804" s="268"/>
      <c r="HGJ804" s="268"/>
      <c r="HGK804" s="268"/>
      <c r="HGL804" s="268"/>
      <c r="HGM804" s="268"/>
      <c r="HGN804" s="268"/>
      <c r="HGO804" s="268"/>
      <c r="HGP804" s="268"/>
      <c r="HGQ804" s="268"/>
      <c r="HGR804" s="268"/>
      <c r="HGS804" s="268"/>
      <c r="HGT804" s="268"/>
      <c r="HGU804" s="268"/>
      <c r="HGV804" s="268"/>
      <c r="HGW804" s="268"/>
      <c r="HGX804" s="268"/>
      <c r="HGY804" s="268"/>
      <c r="HGZ804" s="268"/>
      <c r="HHA804" s="268"/>
      <c r="HHB804" s="268"/>
      <c r="HHC804" s="268"/>
      <c r="HHD804" s="268"/>
      <c r="HHE804" s="268"/>
      <c r="HHF804" s="268"/>
      <c r="HHG804" s="268"/>
      <c r="HHU804" s="268"/>
      <c r="HHV804" s="268"/>
      <c r="HHW804" s="268"/>
      <c r="HIK804" s="268"/>
      <c r="HIM804" s="268"/>
      <c r="HIN804" s="268"/>
      <c r="HIO804" s="268"/>
      <c r="HIP804" s="268"/>
      <c r="HIQ804" s="268"/>
      <c r="HIR804" s="268"/>
      <c r="HIS804" s="268"/>
      <c r="HIT804" s="268"/>
      <c r="HIU804" s="268"/>
      <c r="HIV804" s="268"/>
      <c r="HIW804" s="268"/>
      <c r="HIX804" s="268"/>
      <c r="HIY804" s="268"/>
      <c r="HIZ804" s="268"/>
      <c r="HJA804" s="268"/>
      <c r="HJB804" s="268"/>
      <c r="HJC804" s="268"/>
      <c r="HJD804" s="268"/>
      <c r="HJE804" s="268"/>
      <c r="HJF804" s="268"/>
      <c r="HJG804" s="268"/>
      <c r="HJH804" s="268"/>
      <c r="HJI804" s="268"/>
      <c r="HJJ804" s="268"/>
      <c r="HJK804" s="268"/>
      <c r="HJL804" s="268"/>
      <c r="HJM804" s="268"/>
      <c r="HJN804" s="268"/>
      <c r="HJO804" s="268"/>
      <c r="HJP804" s="268"/>
      <c r="HJQ804" s="268"/>
      <c r="HJR804" s="268"/>
      <c r="HJS804" s="268"/>
      <c r="HJT804" s="268"/>
      <c r="HJU804" s="268"/>
      <c r="HJV804" s="268"/>
      <c r="HJW804" s="268"/>
      <c r="HJX804" s="268"/>
      <c r="HJY804" s="268"/>
      <c r="HJZ804" s="268"/>
      <c r="HKA804" s="268"/>
      <c r="HKB804" s="268"/>
      <c r="HKC804" s="268"/>
      <c r="HKD804" s="268"/>
      <c r="HKE804" s="268"/>
      <c r="HKF804" s="268"/>
      <c r="HKG804" s="268"/>
      <c r="HKH804" s="268"/>
      <c r="HKI804" s="268"/>
      <c r="HKJ804" s="268"/>
      <c r="HKK804" s="268"/>
      <c r="HKL804" s="268"/>
      <c r="HKM804" s="268"/>
      <c r="HKN804" s="268"/>
      <c r="HKO804" s="268"/>
      <c r="HKP804" s="268"/>
      <c r="HKQ804" s="268"/>
      <c r="HKR804" s="268"/>
      <c r="HKS804" s="268"/>
      <c r="HKT804" s="268"/>
      <c r="HKU804" s="268"/>
      <c r="HKV804" s="268"/>
      <c r="HKW804" s="268"/>
      <c r="HKX804" s="268"/>
      <c r="HKY804" s="268"/>
      <c r="HKZ804" s="268"/>
      <c r="HLA804" s="268"/>
      <c r="HLB804" s="268"/>
      <c r="HLC804" s="268"/>
      <c r="HLD804" s="268"/>
      <c r="HLE804" s="268"/>
      <c r="HLF804" s="268"/>
      <c r="HLG804" s="268"/>
      <c r="HLH804" s="268"/>
      <c r="HLI804" s="268"/>
      <c r="HLJ804" s="268"/>
      <c r="HLK804" s="268"/>
      <c r="HLL804" s="268"/>
      <c r="HLM804" s="268"/>
      <c r="HLN804" s="268"/>
      <c r="HLO804" s="268"/>
      <c r="HLP804" s="268"/>
      <c r="HLQ804" s="268"/>
      <c r="HLR804" s="268"/>
      <c r="HLS804" s="268"/>
      <c r="HLT804" s="268"/>
      <c r="HLU804" s="268"/>
      <c r="HLV804" s="268"/>
      <c r="HLW804" s="268"/>
      <c r="HLX804" s="268"/>
      <c r="HLY804" s="268"/>
      <c r="HLZ804" s="268"/>
      <c r="HMA804" s="268"/>
      <c r="HMB804" s="268"/>
      <c r="HMC804" s="268"/>
      <c r="HMD804" s="268"/>
      <c r="HME804" s="268"/>
      <c r="HMF804" s="268"/>
      <c r="HMG804" s="268"/>
      <c r="HMH804" s="268"/>
      <c r="HMI804" s="268"/>
      <c r="HMJ804" s="268"/>
      <c r="HMK804" s="268"/>
      <c r="HML804" s="268"/>
      <c r="HMM804" s="268"/>
      <c r="HMN804" s="268"/>
      <c r="HMO804" s="268"/>
      <c r="HMP804" s="268"/>
      <c r="HMQ804" s="268"/>
      <c r="HMR804" s="268"/>
      <c r="HMS804" s="268"/>
      <c r="HMT804" s="268"/>
      <c r="HMU804" s="268"/>
      <c r="HMV804" s="268"/>
      <c r="HMW804" s="268"/>
      <c r="HMX804" s="268"/>
      <c r="HMY804" s="268"/>
      <c r="HMZ804" s="268"/>
      <c r="HNA804" s="268"/>
      <c r="HNB804" s="268"/>
      <c r="HNC804" s="268"/>
      <c r="HND804" s="268"/>
      <c r="HNE804" s="268"/>
      <c r="HNF804" s="268"/>
      <c r="HNG804" s="268"/>
      <c r="HNH804" s="268"/>
      <c r="HNI804" s="268"/>
      <c r="HNJ804" s="268"/>
      <c r="HNK804" s="268"/>
      <c r="HNL804" s="268"/>
      <c r="HNM804" s="268"/>
      <c r="HNN804" s="268"/>
      <c r="HNO804" s="268"/>
      <c r="HNP804" s="268"/>
      <c r="HNQ804" s="268"/>
      <c r="HNR804" s="268"/>
      <c r="HNS804" s="268"/>
      <c r="HNT804" s="268"/>
      <c r="HNU804" s="268"/>
      <c r="HNV804" s="268"/>
      <c r="HNW804" s="268"/>
      <c r="HNX804" s="268"/>
      <c r="HNY804" s="268"/>
      <c r="HNZ804" s="268"/>
      <c r="HOA804" s="268"/>
      <c r="HOB804" s="268"/>
      <c r="HOC804" s="268"/>
      <c r="HOD804" s="268"/>
      <c r="HOE804" s="268"/>
      <c r="HOF804" s="268"/>
      <c r="HOG804" s="268"/>
      <c r="HOH804" s="268"/>
      <c r="HOI804" s="268"/>
      <c r="HOJ804" s="268"/>
      <c r="HOK804" s="268"/>
      <c r="HOL804" s="268"/>
      <c r="HOM804" s="268"/>
      <c r="HON804" s="268"/>
      <c r="HOO804" s="268"/>
      <c r="HOP804" s="268"/>
      <c r="HOQ804" s="268"/>
      <c r="HOR804" s="268"/>
      <c r="HOS804" s="268"/>
      <c r="HOT804" s="268"/>
      <c r="HOU804" s="268"/>
      <c r="HOV804" s="268"/>
      <c r="HOW804" s="268"/>
      <c r="HOX804" s="268"/>
      <c r="HOY804" s="268"/>
      <c r="HOZ804" s="268"/>
      <c r="HPA804" s="268"/>
      <c r="HPB804" s="268"/>
      <c r="HPC804" s="268"/>
      <c r="HPD804" s="268"/>
      <c r="HPE804" s="268"/>
      <c r="HPF804" s="268"/>
      <c r="HPG804" s="268"/>
      <c r="HPH804" s="268"/>
      <c r="HPI804" s="268"/>
      <c r="HPJ804" s="268"/>
      <c r="HPK804" s="268"/>
      <c r="HPL804" s="268"/>
      <c r="HPM804" s="268"/>
      <c r="HPN804" s="268"/>
      <c r="HPO804" s="268"/>
      <c r="HPP804" s="268"/>
      <c r="HPQ804" s="268"/>
      <c r="HPR804" s="268"/>
      <c r="HPS804" s="268"/>
      <c r="HPT804" s="268"/>
      <c r="HPU804" s="268"/>
      <c r="HPV804" s="268"/>
      <c r="HPW804" s="268"/>
      <c r="HPX804" s="268"/>
      <c r="HPY804" s="268"/>
      <c r="HPZ804" s="268"/>
      <c r="HQA804" s="268"/>
      <c r="HQB804" s="268"/>
      <c r="HQC804" s="268"/>
      <c r="HQD804" s="268"/>
      <c r="HQE804" s="268"/>
      <c r="HQF804" s="268"/>
      <c r="HQG804" s="268"/>
      <c r="HQH804" s="268"/>
      <c r="HQI804" s="268"/>
      <c r="HQJ804" s="268"/>
      <c r="HQK804" s="268"/>
      <c r="HQL804" s="268"/>
      <c r="HQM804" s="268"/>
      <c r="HQN804" s="268"/>
      <c r="HQO804" s="268"/>
      <c r="HQP804" s="268"/>
      <c r="HQQ804" s="268"/>
      <c r="HQR804" s="268"/>
      <c r="HQS804" s="268"/>
      <c r="HQT804" s="268"/>
      <c r="HQU804" s="268"/>
      <c r="HQV804" s="268"/>
      <c r="HQW804" s="268"/>
      <c r="HQX804" s="268"/>
      <c r="HQY804" s="268"/>
      <c r="HQZ804" s="268"/>
      <c r="HRA804" s="268"/>
      <c r="HRB804" s="268"/>
      <c r="HRC804" s="268"/>
      <c r="HRQ804" s="268"/>
      <c r="HRR804" s="268"/>
      <c r="HRS804" s="268"/>
      <c r="HSG804" s="268"/>
      <c r="HSI804" s="268"/>
      <c r="HSJ804" s="268"/>
      <c r="HSK804" s="268"/>
      <c r="HSL804" s="268"/>
      <c r="HSM804" s="268"/>
      <c r="HSN804" s="268"/>
      <c r="HSO804" s="268"/>
      <c r="HSP804" s="268"/>
      <c r="HSQ804" s="268"/>
      <c r="HSR804" s="268"/>
      <c r="HSS804" s="268"/>
      <c r="HST804" s="268"/>
      <c r="HSU804" s="268"/>
      <c r="HSV804" s="268"/>
      <c r="HSW804" s="268"/>
      <c r="HSX804" s="268"/>
      <c r="HSY804" s="268"/>
      <c r="HSZ804" s="268"/>
      <c r="HTA804" s="268"/>
      <c r="HTB804" s="268"/>
      <c r="HTC804" s="268"/>
      <c r="HTD804" s="268"/>
      <c r="HTE804" s="268"/>
      <c r="HTF804" s="268"/>
      <c r="HTG804" s="268"/>
      <c r="HTH804" s="268"/>
      <c r="HTI804" s="268"/>
      <c r="HTJ804" s="268"/>
      <c r="HTK804" s="268"/>
      <c r="HTL804" s="268"/>
      <c r="HTM804" s="268"/>
      <c r="HTN804" s="268"/>
      <c r="HTO804" s="268"/>
      <c r="HTP804" s="268"/>
      <c r="HTQ804" s="268"/>
      <c r="HTR804" s="268"/>
      <c r="HTS804" s="268"/>
      <c r="HTT804" s="268"/>
      <c r="HTU804" s="268"/>
      <c r="HTV804" s="268"/>
      <c r="HTW804" s="268"/>
      <c r="HTX804" s="268"/>
      <c r="HTY804" s="268"/>
      <c r="HTZ804" s="268"/>
      <c r="HUA804" s="268"/>
      <c r="HUB804" s="268"/>
      <c r="HUC804" s="268"/>
      <c r="HUD804" s="268"/>
      <c r="HUE804" s="268"/>
      <c r="HUF804" s="268"/>
      <c r="HUG804" s="268"/>
      <c r="HUH804" s="268"/>
      <c r="HUI804" s="268"/>
      <c r="HUJ804" s="268"/>
      <c r="HUK804" s="268"/>
      <c r="HUL804" s="268"/>
      <c r="HUM804" s="268"/>
      <c r="HUN804" s="268"/>
      <c r="HUO804" s="268"/>
      <c r="HUP804" s="268"/>
      <c r="HUQ804" s="268"/>
      <c r="HUR804" s="268"/>
      <c r="HUS804" s="268"/>
      <c r="HUT804" s="268"/>
      <c r="HUU804" s="268"/>
      <c r="HUV804" s="268"/>
      <c r="HUW804" s="268"/>
      <c r="HUX804" s="268"/>
      <c r="HUY804" s="268"/>
      <c r="HUZ804" s="268"/>
      <c r="HVA804" s="268"/>
      <c r="HVB804" s="268"/>
      <c r="HVC804" s="268"/>
      <c r="HVD804" s="268"/>
      <c r="HVE804" s="268"/>
      <c r="HVF804" s="268"/>
      <c r="HVG804" s="268"/>
      <c r="HVH804" s="268"/>
      <c r="HVI804" s="268"/>
      <c r="HVJ804" s="268"/>
      <c r="HVK804" s="268"/>
      <c r="HVL804" s="268"/>
      <c r="HVM804" s="268"/>
      <c r="HVN804" s="268"/>
      <c r="HVO804" s="268"/>
      <c r="HVP804" s="268"/>
      <c r="HVQ804" s="268"/>
      <c r="HVR804" s="268"/>
      <c r="HVS804" s="268"/>
      <c r="HVT804" s="268"/>
      <c r="HVU804" s="268"/>
      <c r="HVV804" s="268"/>
      <c r="HVW804" s="268"/>
      <c r="HVX804" s="268"/>
      <c r="HVY804" s="268"/>
      <c r="HVZ804" s="268"/>
      <c r="HWA804" s="268"/>
      <c r="HWB804" s="268"/>
      <c r="HWC804" s="268"/>
      <c r="HWD804" s="268"/>
      <c r="HWE804" s="268"/>
      <c r="HWF804" s="268"/>
      <c r="HWG804" s="268"/>
      <c r="HWH804" s="268"/>
      <c r="HWI804" s="268"/>
      <c r="HWJ804" s="268"/>
      <c r="HWK804" s="268"/>
      <c r="HWL804" s="268"/>
      <c r="HWM804" s="268"/>
      <c r="HWN804" s="268"/>
      <c r="HWO804" s="268"/>
      <c r="HWP804" s="268"/>
      <c r="HWQ804" s="268"/>
      <c r="HWR804" s="268"/>
      <c r="HWS804" s="268"/>
      <c r="HWT804" s="268"/>
      <c r="HWU804" s="268"/>
      <c r="HWV804" s="268"/>
      <c r="HWW804" s="268"/>
      <c r="HWX804" s="268"/>
      <c r="HWY804" s="268"/>
      <c r="HWZ804" s="268"/>
      <c r="HXA804" s="268"/>
      <c r="HXB804" s="268"/>
      <c r="HXC804" s="268"/>
      <c r="HXD804" s="268"/>
      <c r="HXE804" s="268"/>
      <c r="HXF804" s="268"/>
      <c r="HXG804" s="268"/>
      <c r="HXH804" s="268"/>
      <c r="HXI804" s="268"/>
      <c r="HXJ804" s="268"/>
      <c r="HXK804" s="268"/>
      <c r="HXL804" s="268"/>
      <c r="HXM804" s="268"/>
      <c r="HXN804" s="268"/>
      <c r="HXO804" s="268"/>
      <c r="HXP804" s="268"/>
      <c r="HXQ804" s="268"/>
      <c r="HXR804" s="268"/>
      <c r="HXS804" s="268"/>
      <c r="HXT804" s="268"/>
      <c r="HXU804" s="268"/>
      <c r="HXV804" s="268"/>
      <c r="HXW804" s="268"/>
      <c r="HXX804" s="268"/>
      <c r="HXY804" s="268"/>
      <c r="HXZ804" s="268"/>
      <c r="HYA804" s="268"/>
      <c r="HYB804" s="268"/>
      <c r="HYC804" s="268"/>
      <c r="HYD804" s="268"/>
      <c r="HYE804" s="268"/>
      <c r="HYF804" s="268"/>
      <c r="HYG804" s="268"/>
      <c r="HYH804" s="268"/>
      <c r="HYI804" s="268"/>
      <c r="HYJ804" s="268"/>
      <c r="HYK804" s="268"/>
      <c r="HYL804" s="268"/>
      <c r="HYM804" s="268"/>
      <c r="HYN804" s="268"/>
      <c r="HYO804" s="268"/>
      <c r="HYP804" s="268"/>
      <c r="HYQ804" s="268"/>
      <c r="HYR804" s="268"/>
      <c r="HYS804" s="268"/>
      <c r="HYT804" s="268"/>
      <c r="HYU804" s="268"/>
      <c r="HYV804" s="268"/>
      <c r="HYW804" s="268"/>
      <c r="HYX804" s="268"/>
      <c r="HYY804" s="268"/>
      <c r="HYZ804" s="268"/>
      <c r="HZA804" s="268"/>
      <c r="HZB804" s="268"/>
      <c r="HZC804" s="268"/>
      <c r="HZD804" s="268"/>
      <c r="HZE804" s="268"/>
      <c r="HZF804" s="268"/>
      <c r="HZG804" s="268"/>
      <c r="HZH804" s="268"/>
      <c r="HZI804" s="268"/>
      <c r="HZJ804" s="268"/>
      <c r="HZK804" s="268"/>
      <c r="HZL804" s="268"/>
      <c r="HZM804" s="268"/>
      <c r="HZN804" s="268"/>
      <c r="HZO804" s="268"/>
      <c r="HZP804" s="268"/>
      <c r="HZQ804" s="268"/>
      <c r="HZR804" s="268"/>
      <c r="HZS804" s="268"/>
      <c r="HZT804" s="268"/>
      <c r="HZU804" s="268"/>
      <c r="HZV804" s="268"/>
      <c r="HZW804" s="268"/>
      <c r="HZX804" s="268"/>
      <c r="HZY804" s="268"/>
      <c r="HZZ804" s="268"/>
      <c r="IAA804" s="268"/>
      <c r="IAB804" s="268"/>
      <c r="IAC804" s="268"/>
      <c r="IAD804" s="268"/>
      <c r="IAE804" s="268"/>
      <c r="IAF804" s="268"/>
      <c r="IAG804" s="268"/>
      <c r="IAH804" s="268"/>
      <c r="IAI804" s="268"/>
      <c r="IAJ804" s="268"/>
      <c r="IAK804" s="268"/>
      <c r="IAL804" s="268"/>
      <c r="IAM804" s="268"/>
      <c r="IAN804" s="268"/>
      <c r="IAO804" s="268"/>
      <c r="IAP804" s="268"/>
      <c r="IAQ804" s="268"/>
      <c r="IAR804" s="268"/>
      <c r="IAS804" s="268"/>
      <c r="IAT804" s="268"/>
      <c r="IAU804" s="268"/>
      <c r="IAV804" s="268"/>
      <c r="IAW804" s="268"/>
      <c r="IAX804" s="268"/>
      <c r="IAY804" s="268"/>
      <c r="IBM804" s="268"/>
      <c r="IBN804" s="268"/>
      <c r="IBO804" s="268"/>
      <c r="ICC804" s="268"/>
      <c r="ICE804" s="268"/>
      <c r="ICF804" s="268"/>
      <c r="ICG804" s="268"/>
      <c r="ICH804" s="268"/>
      <c r="ICI804" s="268"/>
      <c r="ICJ804" s="268"/>
      <c r="ICK804" s="268"/>
      <c r="ICL804" s="268"/>
      <c r="ICM804" s="268"/>
      <c r="ICN804" s="268"/>
      <c r="ICO804" s="268"/>
      <c r="ICP804" s="268"/>
      <c r="ICQ804" s="268"/>
      <c r="ICR804" s="268"/>
      <c r="ICS804" s="268"/>
      <c r="ICT804" s="268"/>
      <c r="ICU804" s="268"/>
      <c r="ICV804" s="268"/>
      <c r="ICW804" s="268"/>
      <c r="ICX804" s="268"/>
      <c r="ICY804" s="268"/>
      <c r="ICZ804" s="268"/>
      <c r="IDA804" s="268"/>
      <c r="IDB804" s="268"/>
      <c r="IDC804" s="268"/>
      <c r="IDD804" s="268"/>
      <c r="IDE804" s="268"/>
      <c r="IDF804" s="268"/>
      <c r="IDG804" s="268"/>
      <c r="IDH804" s="268"/>
      <c r="IDI804" s="268"/>
      <c r="IDJ804" s="268"/>
      <c r="IDK804" s="268"/>
      <c r="IDL804" s="268"/>
      <c r="IDM804" s="268"/>
      <c r="IDN804" s="268"/>
      <c r="IDO804" s="268"/>
      <c r="IDP804" s="268"/>
      <c r="IDQ804" s="268"/>
      <c r="IDR804" s="268"/>
      <c r="IDS804" s="268"/>
      <c r="IDT804" s="268"/>
      <c r="IDU804" s="268"/>
      <c r="IDV804" s="268"/>
      <c r="IDW804" s="268"/>
      <c r="IDX804" s="268"/>
      <c r="IDY804" s="268"/>
      <c r="IDZ804" s="268"/>
      <c r="IEA804" s="268"/>
      <c r="IEB804" s="268"/>
      <c r="IEC804" s="268"/>
      <c r="IED804" s="268"/>
      <c r="IEE804" s="268"/>
      <c r="IEF804" s="268"/>
      <c r="IEG804" s="268"/>
      <c r="IEH804" s="268"/>
      <c r="IEI804" s="268"/>
      <c r="IEJ804" s="268"/>
      <c r="IEK804" s="268"/>
      <c r="IEL804" s="268"/>
      <c r="IEM804" s="268"/>
      <c r="IEN804" s="268"/>
      <c r="IEO804" s="268"/>
      <c r="IEP804" s="268"/>
      <c r="IEQ804" s="268"/>
      <c r="IER804" s="268"/>
      <c r="IES804" s="268"/>
      <c r="IET804" s="268"/>
      <c r="IEU804" s="268"/>
      <c r="IEV804" s="268"/>
      <c r="IEW804" s="268"/>
      <c r="IEX804" s="268"/>
      <c r="IEY804" s="268"/>
      <c r="IEZ804" s="268"/>
      <c r="IFA804" s="268"/>
      <c r="IFB804" s="268"/>
      <c r="IFC804" s="268"/>
      <c r="IFD804" s="268"/>
      <c r="IFE804" s="268"/>
      <c r="IFF804" s="268"/>
      <c r="IFG804" s="268"/>
      <c r="IFH804" s="268"/>
      <c r="IFI804" s="268"/>
      <c r="IFJ804" s="268"/>
      <c r="IFK804" s="268"/>
      <c r="IFL804" s="268"/>
      <c r="IFM804" s="268"/>
      <c r="IFN804" s="268"/>
      <c r="IFO804" s="268"/>
      <c r="IFP804" s="268"/>
      <c r="IFQ804" s="268"/>
      <c r="IFR804" s="268"/>
      <c r="IFS804" s="268"/>
      <c r="IFT804" s="268"/>
      <c r="IFU804" s="268"/>
      <c r="IFV804" s="268"/>
      <c r="IFW804" s="268"/>
      <c r="IFX804" s="268"/>
      <c r="IFY804" s="268"/>
      <c r="IFZ804" s="268"/>
      <c r="IGA804" s="268"/>
      <c r="IGB804" s="268"/>
      <c r="IGC804" s="268"/>
      <c r="IGD804" s="268"/>
      <c r="IGE804" s="268"/>
      <c r="IGF804" s="268"/>
      <c r="IGG804" s="268"/>
      <c r="IGH804" s="268"/>
      <c r="IGI804" s="268"/>
      <c r="IGJ804" s="268"/>
      <c r="IGK804" s="268"/>
      <c r="IGL804" s="268"/>
      <c r="IGM804" s="268"/>
      <c r="IGN804" s="268"/>
      <c r="IGO804" s="268"/>
      <c r="IGP804" s="268"/>
      <c r="IGQ804" s="268"/>
      <c r="IGR804" s="268"/>
      <c r="IGS804" s="268"/>
      <c r="IGT804" s="268"/>
      <c r="IGU804" s="268"/>
      <c r="IGV804" s="268"/>
      <c r="IGW804" s="268"/>
      <c r="IGX804" s="268"/>
      <c r="IGY804" s="268"/>
      <c r="IGZ804" s="268"/>
      <c r="IHA804" s="268"/>
      <c r="IHB804" s="268"/>
      <c r="IHC804" s="268"/>
      <c r="IHD804" s="268"/>
      <c r="IHE804" s="268"/>
      <c r="IHF804" s="268"/>
      <c r="IHG804" s="268"/>
      <c r="IHH804" s="268"/>
      <c r="IHI804" s="268"/>
      <c r="IHJ804" s="268"/>
      <c r="IHK804" s="268"/>
      <c r="IHL804" s="268"/>
      <c r="IHM804" s="268"/>
      <c r="IHN804" s="268"/>
      <c r="IHO804" s="268"/>
      <c r="IHP804" s="268"/>
      <c r="IHQ804" s="268"/>
      <c r="IHR804" s="268"/>
      <c r="IHS804" s="268"/>
      <c r="IHT804" s="268"/>
      <c r="IHU804" s="268"/>
      <c r="IHV804" s="268"/>
      <c r="IHW804" s="268"/>
      <c r="IHX804" s="268"/>
      <c r="IHY804" s="268"/>
      <c r="IHZ804" s="268"/>
      <c r="IIA804" s="268"/>
      <c r="IIB804" s="268"/>
      <c r="IIC804" s="268"/>
      <c r="IID804" s="268"/>
      <c r="IIE804" s="268"/>
      <c r="IIF804" s="268"/>
      <c r="IIG804" s="268"/>
      <c r="IIH804" s="268"/>
      <c r="III804" s="268"/>
      <c r="IIJ804" s="268"/>
      <c r="IIK804" s="268"/>
      <c r="IIL804" s="268"/>
      <c r="IIM804" s="268"/>
      <c r="IIN804" s="268"/>
      <c r="IIO804" s="268"/>
      <c r="IIP804" s="268"/>
      <c r="IIQ804" s="268"/>
      <c r="IIR804" s="268"/>
      <c r="IIS804" s="268"/>
      <c r="IIT804" s="268"/>
      <c r="IIU804" s="268"/>
      <c r="IIV804" s="268"/>
      <c r="IIW804" s="268"/>
      <c r="IIX804" s="268"/>
      <c r="IIY804" s="268"/>
      <c r="IIZ804" s="268"/>
      <c r="IJA804" s="268"/>
      <c r="IJB804" s="268"/>
      <c r="IJC804" s="268"/>
      <c r="IJD804" s="268"/>
      <c r="IJE804" s="268"/>
      <c r="IJF804" s="268"/>
      <c r="IJG804" s="268"/>
      <c r="IJH804" s="268"/>
      <c r="IJI804" s="268"/>
      <c r="IJJ804" s="268"/>
      <c r="IJK804" s="268"/>
      <c r="IJL804" s="268"/>
      <c r="IJM804" s="268"/>
      <c r="IJN804" s="268"/>
      <c r="IJO804" s="268"/>
      <c r="IJP804" s="268"/>
      <c r="IJQ804" s="268"/>
      <c r="IJR804" s="268"/>
      <c r="IJS804" s="268"/>
      <c r="IJT804" s="268"/>
      <c r="IJU804" s="268"/>
      <c r="IJV804" s="268"/>
      <c r="IJW804" s="268"/>
      <c r="IJX804" s="268"/>
      <c r="IJY804" s="268"/>
      <c r="IJZ804" s="268"/>
      <c r="IKA804" s="268"/>
      <c r="IKB804" s="268"/>
      <c r="IKC804" s="268"/>
      <c r="IKD804" s="268"/>
      <c r="IKE804" s="268"/>
      <c r="IKF804" s="268"/>
      <c r="IKG804" s="268"/>
      <c r="IKH804" s="268"/>
      <c r="IKI804" s="268"/>
      <c r="IKJ804" s="268"/>
      <c r="IKK804" s="268"/>
      <c r="IKL804" s="268"/>
      <c r="IKM804" s="268"/>
      <c r="IKN804" s="268"/>
      <c r="IKO804" s="268"/>
      <c r="IKP804" s="268"/>
      <c r="IKQ804" s="268"/>
      <c r="IKR804" s="268"/>
      <c r="IKS804" s="268"/>
      <c r="IKT804" s="268"/>
      <c r="IKU804" s="268"/>
      <c r="ILI804" s="268"/>
      <c r="ILJ804" s="268"/>
      <c r="ILK804" s="268"/>
      <c r="ILY804" s="268"/>
      <c r="IMA804" s="268"/>
      <c r="IMB804" s="268"/>
      <c r="IMC804" s="268"/>
      <c r="IMD804" s="268"/>
      <c r="IME804" s="268"/>
      <c r="IMF804" s="268"/>
      <c r="IMG804" s="268"/>
      <c r="IMH804" s="268"/>
      <c r="IMI804" s="268"/>
      <c r="IMJ804" s="268"/>
      <c r="IMK804" s="268"/>
      <c r="IML804" s="268"/>
      <c r="IMM804" s="268"/>
      <c r="IMN804" s="268"/>
      <c r="IMO804" s="268"/>
      <c r="IMP804" s="268"/>
      <c r="IMQ804" s="268"/>
      <c r="IMR804" s="268"/>
      <c r="IMS804" s="268"/>
      <c r="IMT804" s="268"/>
      <c r="IMU804" s="268"/>
      <c r="IMV804" s="268"/>
      <c r="IMW804" s="268"/>
      <c r="IMX804" s="268"/>
      <c r="IMY804" s="268"/>
      <c r="IMZ804" s="268"/>
      <c r="INA804" s="268"/>
      <c r="INB804" s="268"/>
      <c r="INC804" s="268"/>
      <c r="IND804" s="268"/>
      <c r="INE804" s="268"/>
      <c r="INF804" s="268"/>
      <c r="ING804" s="268"/>
      <c r="INH804" s="268"/>
      <c r="INI804" s="268"/>
      <c r="INJ804" s="268"/>
      <c r="INK804" s="268"/>
      <c r="INL804" s="268"/>
      <c r="INM804" s="268"/>
      <c r="INN804" s="268"/>
      <c r="INO804" s="268"/>
      <c r="INP804" s="268"/>
      <c r="INQ804" s="268"/>
      <c r="INR804" s="268"/>
      <c r="INS804" s="268"/>
      <c r="INT804" s="268"/>
      <c r="INU804" s="268"/>
      <c r="INV804" s="268"/>
      <c r="INW804" s="268"/>
      <c r="INX804" s="268"/>
      <c r="INY804" s="268"/>
      <c r="INZ804" s="268"/>
      <c r="IOA804" s="268"/>
      <c r="IOB804" s="268"/>
      <c r="IOC804" s="268"/>
      <c r="IOD804" s="268"/>
      <c r="IOE804" s="268"/>
      <c r="IOF804" s="268"/>
      <c r="IOG804" s="268"/>
      <c r="IOH804" s="268"/>
      <c r="IOI804" s="268"/>
      <c r="IOJ804" s="268"/>
      <c r="IOK804" s="268"/>
      <c r="IOL804" s="268"/>
      <c r="IOM804" s="268"/>
      <c r="ION804" s="268"/>
      <c r="IOO804" s="268"/>
      <c r="IOP804" s="268"/>
      <c r="IOQ804" s="268"/>
      <c r="IOR804" s="268"/>
      <c r="IOS804" s="268"/>
      <c r="IOT804" s="268"/>
      <c r="IOU804" s="268"/>
      <c r="IOV804" s="268"/>
      <c r="IOW804" s="268"/>
      <c r="IOX804" s="268"/>
      <c r="IOY804" s="268"/>
      <c r="IOZ804" s="268"/>
      <c r="IPA804" s="268"/>
      <c r="IPB804" s="268"/>
      <c r="IPC804" s="268"/>
      <c r="IPD804" s="268"/>
      <c r="IPE804" s="268"/>
      <c r="IPF804" s="268"/>
      <c r="IPG804" s="268"/>
      <c r="IPH804" s="268"/>
      <c r="IPI804" s="268"/>
      <c r="IPJ804" s="268"/>
      <c r="IPK804" s="268"/>
      <c r="IPL804" s="268"/>
      <c r="IPM804" s="268"/>
      <c r="IPN804" s="268"/>
      <c r="IPO804" s="268"/>
      <c r="IPP804" s="268"/>
      <c r="IPQ804" s="268"/>
      <c r="IPR804" s="268"/>
      <c r="IPS804" s="268"/>
      <c r="IPT804" s="268"/>
      <c r="IPU804" s="268"/>
      <c r="IPV804" s="268"/>
      <c r="IPW804" s="268"/>
      <c r="IPX804" s="268"/>
      <c r="IPY804" s="268"/>
      <c r="IPZ804" s="268"/>
      <c r="IQA804" s="268"/>
      <c r="IQB804" s="268"/>
      <c r="IQC804" s="268"/>
      <c r="IQD804" s="268"/>
      <c r="IQE804" s="268"/>
      <c r="IQF804" s="268"/>
      <c r="IQG804" s="268"/>
      <c r="IQH804" s="268"/>
      <c r="IQI804" s="268"/>
      <c r="IQJ804" s="268"/>
      <c r="IQK804" s="268"/>
      <c r="IQL804" s="268"/>
      <c r="IQM804" s="268"/>
      <c r="IQN804" s="268"/>
      <c r="IQO804" s="268"/>
      <c r="IQP804" s="268"/>
      <c r="IQQ804" s="268"/>
      <c r="IQR804" s="268"/>
      <c r="IQS804" s="268"/>
      <c r="IQT804" s="268"/>
      <c r="IQU804" s="268"/>
      <c r="IQV804" s="268"/>
      <c r="IQW804" s="268"/>
      <c r="IQX804" s="268"/>
      <c r="IQY804" s="268"/>
      <c r="IQZ804" s="268"/>
      <c r="IRA804" s="268"/>
      <c r="IRB804" s="268"/>
      <c r="IRC804" s="268"/>
      <c r="IRD804" s="268"/>
      <c r="IRE804" s="268"/>
      <c r="IRF804" s="268"/>
      <c r="IRG804" s="268"/>
      <c r="IRH804" s="268"/>
      <c r="IRI804" s="268"/>
      <c r="IRJ804" s="268"/>
      <c r="IRK804" s="268"/>
      <c r="IRL804" s="268"/>
      <c r="IRM804" s="268"/>
      <c r="IRN804" s="268"/>
      <c r="IRO804" s="268"/>
      <c r="IRP804" s="268"/>
      <c r="IRQ804" s="268"/>
      <c r="IRR804" s="268"/>
      <c r="IRS804" s="268"/>
      <c r="IRT804" s="268"/>
      <c r="IRU804" s="268"/>
      <c r="IRV804" s="268"/>
      <c r="IRW804" s="268"/>
      <c r="IRX804" s="268"/>
      <c r="IRY804" s="268"/>
      <c r="IRZ804" s="268"/>
      <c r="ISA804" s="268"/>
      <c r="ISB804" s="268"/>
      <c r="ISC804" s="268"/>
      <c r="ISD804" s="268"/>
      <c r="ISE804" s="268"/>
      <c r="ISF804" s="268"/>
      <c r="ISG804" s="268"/>
      <c r="ISH804" s="268"/>
      <c r="ISI804" s="268"/>
      <c r="ISJ804" s="268"/>
      <c r="ISK804" s="268"/>
      <c r="ISL804" s="268"/>
      <c r="ISM804" s="268"/>
      <c r="ISN804" s="268"/>
      <c r="ISO804" s="268"/>
      <c r="ISP804" s="268"/>
      <c r="ISQ804" s="268"/>
      <c r="ISR804" s="268"/>
      <c r="ISS804" s="268"/>
      <c r="IST804" s="268"/>
      <c r="ISU804" s="268"/>
      <c r="ISV804" s="268"/>
      <c r="ISW804" s="268"/>
      <c r="ISX804" s="268"/>
      <c r="ISY804" s="268"/>
      <c r="ISZ804" s="268"/>
      <c r="ITA804" s="268"/>
      <c r="ITB804" s="268"/>
      <c r="ITC804" s="268"/>
      <c r="ITD804" s="268"/>
      <c r="ITE804" s="268"/>
      <c r="ITF804" s="268"/>
      <c r="ITG804" s="268"/>
      <c r="ITH804" s="268"/>
      <c r="ITI804" s="268"/>
      <c r="ITJ804" s="268"/>
      <c r="ITK804" s="268"/>
      <c r="ITL804" s="268"/>
      <c r="ITM804" s="268"/>
      <c r="ITN804" s="268"/>
      <c r="ITO804" s="268"/>
      <c r="ITP804" s="268"/>
      <c r="ITQ804" s="268"/>
      <c r="ITR804" s="268"/>
      <c r="ITS804" s="268"/>
      <c r="ITT804" s="268"/>
      <c r="ITU804" s="268"/>
      <c r="ITV804" s="268"/>
      <c r="ITW804" s="268"/>
      <c r="ITX804" s="268"/>
      <c r="ITY804" s="268"/>
      <c r="ITZ804" s="268"/>
      <c r="IUA804" s="268"/>
      <c r="IUB804" s="268"/>
      <c r="IUC804" s="268"/>
      <c r="IUD804" s="268"/>
      <c r="IUE804" s="268"/>
      <c r="IUF804" s="268"/>
      <c r="IUG804" s="268"/>
      <c r="IUH804" s="268"/>
      <c r="IUI804" s="268"/>
      <c r="IUJ804" s="268"/>
      <c r="IUK804" s="268"/>
      <c r="IUL804" s="268"/>
      <c r="IUM804" s="268"/>
      <c r="IUN804" s="268"/>
      <c r="IUO804" s="268"/>
      <c r="IUP804" s="268"/>
      <c r="IUQ804" s="268"/>
      <c r="IVE804" s="268"/>
      <c r="IVF804" s="268"/>
      <c r="IVG804" s="268"/>
      <c r="IVU804" s="268"/>
      <c r="IVW804" s="268"/>
      <c r="IVX804" s="268"/>
      <c r="IVY804" s="268"/>
      <c r="IVZ804" s="268"/>
      <c r="IWA804" s="268"/>
      <c r="IWB804" s="268"/>
      <c r="IWC804" s="268"/>
      <c r="IWD804" s="268"/>
      <c r="IWE804" s="268"/>
      <c r="IWF804" s="268"/>
      <c r="IWG804" s="268"/>
      <c r="IWH804" s="268"/>
      <c r="IWI804" s="268"/>
      <c r="IWJ804" s="268"/>
      <c r="IWK804" s="268"/>
      <c r="IWL804" s="268"/>
      <c r="IWM804" s="268"/>
      <c r="IWN804" s="268"/>
      <c r="IWO804" s="268"/>
      <c r="IWP804" s="268"/>
      <c r="IWQ804" s="268"/>
      <c r="IWR804" s="268"/>
      <c r="IWS804" s="268"/>
      <c r="IWT804" s="268"/>
      <c r="IWU804" s="268"/>
      <c r="IWV804" s="268"/>
      <c r="IWW804" s="268"/>
      <c r="IWX804" s="268"/>
      <c r="IWY804" s="268"/>
      <c r="IWZ804" s="268"/>
      <c r="IXA804" s="268"/>
      <c r="IXB804" s="268"/>
      <c r="IXC804" s="268"/>
      <c r="IXD804" s="268"/>
      <c r="IXE804" s="268"/>
      <c r="IXF804" s="268"/>
      <c r="IXG804" s="268"/>
      <c r="IXH804" s="268"/>
      <c r="IXI804" s="268"/>
      <c r="IXJ804" s="268"/>
      <c r="IXK804" s="268"/>
      <c r="IXL804" s="268"/>
      <c r="IXM804" s="268"/>
      <c r="IXN804" s="268"/>
      <c r="IXO804" s="268"/>
      <c r="IXP804" s="268"/>
      <c r="IXQ804" s="268"/>
      <c r="IXR804" s="268"/>
      <c r="IXS804" s="268"/>
      <c r="IXT804" s="268"/>
      <c r="IXU804" s="268"/>
      <c r="IXV804" s="268"/>
      <c r="IXW804" s="268"/>
      <c r="IXX804" s="268"/>
      <c r="IXY804" s="268"/>
      <c r="IXZ804" s="268"/>
      <c r="IYA804" s="268"/>
      <c r="IYB804" s="268"/>
      <c r="IYC804" s="268"/>
      <c r="IYD804" s="268"/>
      <c r="IYE804" s="268"/>
      <c r="IYF804" s="268"/>
      <c r="IYG804" s="268"/>
      <c r="IYH804" s="268"/>
      <c r="IYI804" s="268"/>
      <c r="IYJ804" s="268"/>
      <c r="IYK804" s="268"/>
      <c r="IYL804" s="268"/>
      <c r="IYM804" s="268"/>
      <c r="IYN804" s="268"/>
      <c r="IYO804" s="268"/>
      <c r="IYP804" s="268"/>
      <c r="IYQ804" s="268"/>
      <c r="IYR804" s="268"/>
      <c r="IYS804" s="268"/>
      <c r="IYT804" s="268"/>
      <c r="IYU804" s="268"/>
      <c r="IYV804" s="268"/>
      <c r="IYW804" s="268"/>
      <c r="IYX804" s="268"/>
      <c r="IYY804" s="268"/>
      <c r="IYZ804" s="268"/>
      <c r="IZA804" s="268"/>
      <c r="IZB804" s="268"/>
      <c r="IZC804" s="268"/>
      <c r="IZD804" s="268"/>
      <c r="IZE804" s="268"/>
      <c r="IZF804" s="268"/>
      <c r="IZG804" s="268"/>
      <c r="IZH804" s="268"/>
      <c r="IZI804" s="268"/>
      <c r="IZJ804" s="268"/>
      <c r="IZK804" s="268"/>
      <c r="IZL804" s="268"/>
      <c r="IZM804" s="268"/>
      <c r="IZN804" s="268"/>
      <c r="IZO804" s="268"/>
      <c r="IZP804" s="268"/>
      <c r="IZQ804" s="268"/>
      <c r="IZR804" s="268"/>
      <c r="IZS804" s="268"/>
      <c r="IZT804" s="268"/>
      <c r="IZU804" s="268"/>
      <c r="IZV804" s="268"/>
      <c r="IZW804" s="268"/>
      <c r="IZX804" s="268"/>
      <c r="IZY804" s="268"/>
      <c r="IZZ804" s="268"/>
      <c r="JAA804" s="268"/>
      <c r="JAB804" s="268"/>
      <c r="JAC804" s="268"/>
      <c r="JAD804" s="268"/>
      <c r="JAE804" s="268"/>
      <c r="JAF804" s="268"/>
      <c r="JAG804" s="268"/>
      <c r="JAH804" s="268"/>
      <c r="JAI804" s="268"/>
      <c r="JAJ804" s="268"/>
      <c r="JAK804" s="268"/>
      <c r="JAL804" s="268"/>
      <c r="JAM804" s="268"/>
      <c r="JAN804" s="268"/>
      <c r="JAO804" s="268"/>
      <c r="JAP804" s="268"/>
      <c r="JAQ804" s="268"/>
      <c r="JAR804" s="268"/>
      <c r="JAS804" s="268"/>
      <c r="JAT804" s="268"/>
      <c r="JAU804" s="268"/>
      <c r="JAV804" s="268"/>
      <c r="JAW804" s="268"/>
      <c r="JAX804" s="268"/>
      <c r="JAY804" s="268"/>
      <c r="JAZ804" s="268"/>
      <c r="JBA804" s="268"/>
      <c r="JBB804" s="268"/>
      <c r="JBC804" s="268"/>
      <c r="JBD804" s="268"/>
      <c r="JBE804" s="268"/>
      <c r="JBF804" s="268"/>
      <c r="JBG804" s="268"/>
      <c r="JBH804" s="268"/>
      <c r="JBI804" s="268"/>
      <c r="JBJ804" s="268"/>
      <c r="JBK804" s="268"/>
      <c r="JBL804" s="268"/>
      <c r="JBM804" s="268"/>
      <c r="JBN804" s="268"/>
      <c r="JBO804" s="268"/>
      <c r="JBP804" s="268"/>
      <c r="JBQ804" s="268"/>
      <c r="JBR804" s="268"/>
      <c r="JBS804" s="268"/>
      <c r="JBT804" s="268"/>
      <c r="JBU804" s="268"/>
      <c r="JBV804" s="268"/>
      <c r="JBW804" s="268"/>
      <c r="JBX804" s="268"/>
      <c r="JBY804" s="268"/>
      <c r="JBZ804" s="268"/>
      <c r="JCA804" s="268"/>
      <c r="JCB804" s="268"/>
      <c r="JCC804" s="268"/>
      <c r="JCD804" s="268"/>
      <c r="JCE804" s="268"/>
      <c r="JCF804" s="268"/>
      <c r="JCG804" s="268"/>
      <c r="JCH804" s="268"/>
      <c r="JCI804" s="268"/>
      <c r="JCJ804" s="268"/>
      <c r="JCK804" s="268"/>
      <c r="JCL804" s="268"/>
      <c r="JCM804" s="268"/>
      <c r="JCN804" s="268"/>
      <c r="JCO804" s="268"/>
      <c r="JCP804" s="268"/>
      <c r="JCQ804" s="268"/>
      <c r="JCR804" s="268"/>
      <c r="JCS804" s="268"/>
      <c r="JCT804" s="268"/>
      <c r="JCU804" s="268"/>
      <c r="JCV804" s="268"/>
      <c r="JCW804" s="268"/>
      <c r="JCX804" s="268"/>
      <c r="JCY804" s="268"/>
      <c r="JCZ804" s="268"/>
      <c r="JDA804" s="268"/>
      <c r="JDB804" s="268"/>
      <c r="JDC804" s="268"/>
      <c r="JDD804" s="268"/>
      <c r="JDE804" s="268"/>
      <c r="JDF804" s="268"/>
      <c r="JDG804" s="268"/>
      <c r="JDH804" s="268"/>
      <c r="JDI804" s="268"/>
      <c r="JDJ804" s="268"/>
      <c r="JDK804" s="268"/>
      <c r="JDL804" s="268"/>
      <c r="JDM804" s="268"/>
      <c r="JDN804" s="268"/>
      <c r="JDO804" s="268"/>
      <c r="JDP804" s="268"/>
      <c r="JDQ804" s="268"/>
      <c r="JDR804" s="268"/>
      <c r="JDS804" s="268"/>
      <c r="JDT804" s="268"/>
      <c r="JDU804" s="268"/>
      <c r="JDV804" s="268"/>
      <c r="JDW804" s="268"/>
      <c r="JDX804" s="268"/>
      <c r="JDY804" s="268"/>
      <c r="JDZ804" s="268"/>
      <c r="JEA804" s="268"/>
      <c r="JEB804" s="268"/>
      <c r="JEC804" s="268"/>
      <c r="JED804" s="268"/>
      <c r="JEE804" s="268"/>
      <c r="JEF804" s="268"/>
      <c r="JEG804" s="268"/>
      <c r="JEH804" s="268"/>
      <c r="JEI804" s="268"/>
      <c r="JEJ804" s="268"/>
      <c r="JEK804" s="268"/>
      <c r="JEL804" s="268"/>
      <c r="JEM804" s="268"/>
      <c r="JFA804" s="268"/>
      <c r="JFB804" s="268"/>
      <c r="JFC804" s="268"/>
      <c r="JFQ804" s="268"/>
      <c r="JFS804" s="268"/>
      <c r="JFT804" s="268"/>
      <c r="JFU804" s="268"/>
      <c r="JFV804" s="268"/>
      <c r="JFW804" s="268"/>
      <c r="JFX804" s="268"/>
      <c r="JFY804" s="268"/>
      <c r="JFZ804" s="268"/>
      <c r="JGA804" s="268"/>
      <c r="JGB804" s="268"/>
      <c r="JGC804" s="268"/>
      <c r="JGD804" s="268"/>
      <c r="JGE804" s="268"/>
      <c r="JGF804" s="268"/>
      <c r="JGG804" s="268"/>
      <c r="JGH804" s="268"/>
      <c r="JGI804" s="268"/>
      <c r="JGJ804" s="268"/>
      <c r="JGK804" s="268"/>
      <c r="JGL804" s="268"/>
      <c r="JGM804" s="268"/>
      <c r="JGN804" s="268"/>
      <c r="JGO804" s="268"/>
      <c r="JGP804" s="268"/>
      <c r="JGQ804" s="268"/>
      <c r="JGR804" s="268"/>
      <c r="JGS804" s="268"/>
      <c r="JGT804" s="268"/>
      <c r="JGU804" s="268"/>
      <c r="JGV804" s="268"/>
      <c r="JGW804" s="268"/>
      <c r="JGX804" s="268"/>
      <c r="JGY804" s="268"/>
      <c r="JGZ804" s="268"/>
      <c r="JHA804" s="268"/>
      <c r="JHB804" s="268"/>
      <c r="JHC804" s="268"/>
      <c r="JHD804" s="268"/>
      <c r="JHE804" s="268"/>
      <c r="JHF804" s="268"/>
      <c r="JHG804" s="268"/>
      <c r="JHH804" s="268"/>
      <c r="JHI804" s="268"/>
      <c r="JHJ804" s="268"/>
      <c r="JHK804" s="268"/>
      <c r="JHL804" s="268"/>
      <c r="JHM804" s="268"/>
      <c r="JHN804" s="268"/>
      <c r="JHO804" s="268"/>
      <c r="JHP804" s="268"/>
      <c r="JHQ804" s="268"/>
      <c r="JHR804" s="268"/>
      <c r="JHS804" s="268"/>
      <c r="JHT804" s="268"/>
      <c r="JHU804" s="268"/>
      <c r="JHV804" s="268"/>
      <c r="JHW804" s="268"/>
      <c r="JHX804" s="268"/>
      <c r="JHY804" s="268"/>
      <c r="JHZ804" s="268"/>
      <c r="JIA804" s="268"/>
      <c r="JIB804" s="268"/>
      <c r="JIC804" s="268"/>
      <c r="JID804" s="268"/>
      <c r="JIE804" s="268"/>
      <c r="JIF804" s="268"/>
      <c r="JIG804" s="268"/>
      <c r="JIH804" s="268"/>
      <c r="JII804" s="268"/>
      <c r="JIJ804" s="268"/>
      <c r="JIK804" s="268"/>
      <c r="JIL804" s="268"/>
      <c r="JIM804" s="268"/>
      <c r="JIN804" s="268"/>
      <c r="JIO804" s="268"/>
      <c r="JIP804" s="268"/>
      <c r="JIQ804" s="268"/>
      <c r="JIR804" s="268"/>
      <c r="JIS804" s="268"/>
      <c r="JIT804" s="268"/>
      <c r="JIU804" s="268"/>
      <c r="JIV804" s="268"/>
      <c r="JIW804" s="268"/>
      <c r="JIX804" s="268"/>
      <c r="JIY804" s="268"/>
      <c r="JIZ804" s="268"/>
      <c r="JJA804" s="268"/>
      <c r="JJB804" s="268"/>
      <c r="JJC804" s="268"/>
      <c r="JJD804" s="268"/>
      <c r="JJE804" s="268"/>
      <c r="JJF804" s="268"/>
      <c r="JJG804" s="268"/>
      <c r="JJH804" s="268"/>
      <c r="JJI804" s="268"/>
      <c r="JJJ804" s="268"/>
      <c r="JJK804" s="268"/>
      <c r="JJL804" s="268"/>
      <c r="JJM804" s="268"/>
      <c r="JJN804" s="268"/>
      <c r="JJO804" s="268"/>
      <c r="JJP804" s="268"/>
      <c r="JJQ804" s="268"/>
      <c r="JJR804" s="268"/>
      <c r="JJS804" s="268"/>
      <c r="JJT804" s="268"/>
      <c r="JJU804" s="268"/>
      <c r="JJV804" s="268"/>
      <c r="JJW804" s="268"/>
      <c r="JJX804" s="268"/>
      <c r="JJY804" s="268"/>
      <c r="JJZ804" s="268"/>
      <c r="JKA804" s="268"/>
      <c r="JKB804" s="268"/>
      <c r="JKC804" s="268"/>
      <c r="JKD804" s="268"/>
      <c r="JKE804" s="268"/>
      <c r="JKF804" s="268"/>
      <c r="JKG804" s="268"/>
      <c r="JKH804" s="268"/>
      <c r="JKI804" s="268"/>
      <c r="JKJ804" s="268"/>
      <c r="JKK804" s="268"/>
      <c r="JKL804" s="268"/>
      <c r="JKM804" s="268"/>
      <c r="JKN804" s="268"/>
      <c r="JKO804" s="268"/>
      <c r="JKP804" s="268"/>
      <c r="JKQ804" s="268"/>
      <c r="JKR804" s="268"/>
      <c r="JKS804" s="268"/>
      <c r="JKT804" s="268"/>
      <c r="JKU804" s="268"/>
      <c r="JKV804" s="268"/>
      <c r="JKW804" s="268"/>
      <c r="JKX804" s="268"/>
      <c r="JKY804" s="268"/>
      <c r="JKZ804" s="268"/>
      <c r="JLA804" s="268"/>
      <c r="JLB804" s="268"/>
      <c r="JLC804" s="268"/>
      <c r="JLD804" s="268"/>
      <c r="JLE804" s="268"/>
      <c r="JLF804" s="268"/>
      <c r="JLG804" s="268"/>
      <c r="JLH804" s="268"/>
      <c r="JLI804" s="268"/>
      <c r="JLJ804" s="268"/>
      <c r="JLK804" s="268"/>
      <c r="JLL804" s="268"/>
      <c r="JLM804" s="268"/>
      <c r="JLN804" s="268"/>
      <c r="JLO804" s="268"/>
      <c r="JLP804" s="268"/>
      <c r="JLQ804" s="268"/>
      <c r="JLR804" s="268"/>
      <c r="JLS804" s="268"/>
      <c r="JLT804" s="268"/>
      <c r="JLU804" s="268"/>
      <c r="JLV804" s="268"/>
      <c r="JLW804" s="268"/>
      <c r="JLX804" s="268"/>
      <c r="JLY804" s="268"/>
      <c r="JLZ804" s="268"/>
      <c r="JMA804" s="268"/>
      <c r="JMB804" s="268"/>
      <c r="JMC804" s="268"/>
      <c r="JMD804" s="268"/>
      <c r="JME804" s="268"/>
      <c r="JMF804" s="268"/>
      <c r="JMG804" s="268"/>
      <c r="JMH804" s="268"/>
      <c r="JMI804" s="268"/>
      <c r="JMJ804" s="268"/>
      <c r="JMK804" s="268"/>
      <c r="JML804" s="268"/>
      <c r="JMM804" s="268"/>
      <c r="JMN804" s="268"/>
      <c r="JMO804" s="268"/>
      <c r="JMP804" s="268"/>
      <c r="JMQ804" s="268"/>
      <c r="JMR804" s="268"/>
      <c r="JMS804" s="268"/>
      <c r="JMT804" s="268"/>
      <c r="JMU804" s="268"/>
      <c r="JMV804" s="268"/>
      <c r="JMW804" s="268"/>
      <c r="JMX804" s="268"/>
      <c r="JMY804" s="268"/>
      <c r="JMZ804" s="268"/>
      <c r="JNA804" s="268"/>
      <c r="JNB804" s="268"/>
      <c r="JNC804" s="268"/>
      <c r="JND804" s="268"/>
      <c r="JNE804" s="268"/>
      <c r="JNF804" s="268"/>
      <c r="JNG804" s="268"/>
      <c r="JNH804" s="268"/>
      <c r="JNI804" s="268"/>
      <c r="JNJ804" s="268"/>
      <c r="JNK804" s="268"/>
      <c r="JNL804" s="268"/>
      <c r="JNM804" s="268"/>
      <c r="JNN804" s="268"/>
      <c r="JNO804" s="268"/>
      <c r="JNP804" s="268"/>
      <c r="JNQ804" s="268"/>
      <c r="JNR804" s="268"/>
      <c r="JNS804" s="268"/>
      <c r="JNT804" s="268"/>
      <c r="JNU804" s="268"/>
      <c r="JNV804" s="268"/>
      <c r="JNW804" s="268"/>
      <c r="JNX804" s="268"/>
      <c r="JNY804" s="268"/>
      <c r="JNZ804" s="268"/>
      <c r="JOA804" s="268"/>
      <c r="JOB804" s="268"/>
      <c r="JOC804" s="268"/>
      <c r="JOD804" s="268"/>
      <c r="JOE804" s="268"/>
      <c r="JOF804" s="268"/>
      <c r="JOG804" s="268"/>
      <c r="JOH804" s="268"/>
      <c r="JOI804" s="268"/>
      <c r="JOW804" s="268"/>
      <c r="JOX804" s="268"/>
      <c r="JOY804" s="268"/>
      <c r="JPM804" s="268"/>
      <c r="JPO804" s="268"/>
      <c r="JPP804" s="268"/>
      <c r="JPQ804" s="268"/>
      <c r="JPR804" s="268"/>
      <c r="JPS804" s="268"/>
      <c r="JPT804" s="268"/>
      <c r="JPU804" s="268"/>
      <c r="JPV804" s="268"/>
      <c r="JPW804" s="268"/>
      <c r="JPX804" s="268"/>
      <c r="JPY804" s="268"/>
      <c r="JPZ804" s="268"/>
      <c r="JQA804" s="268"/>
      <c r="JQB804" s="268"/>
      <c r="JQC804" s="268"/>
      <c r="JQD804" s="268"/>
      <c r="JQE804" s="268"/>
      <c r="JQF804" s="268"/>
      <c r="JQG804" s="268"/>
      <c r="JQH804" s="268"/>
      <c r="JQI804" s="268"/>
      <c r="JQJ804" s="268"/>
      <c r="JQK804" s="268"/>
      <c r="JQL804" s="268"/>
      <c r="JQM804" s="268"/>
      <c r="JQN804" s="268"/>
      <c r="JQO804" s="268"/>
      <c r="JQP804" s="268"/>
      <c r="JQQ804" s="268"/>
      <c r="JQR804" s="268"/>
      <c r="JQS804" s="268"/>
      <c r="JQT804" s="268"/>
      <c r="JQU804" s="268"/>
      <c r="JQV804" s="268"/>
      <c r="JQW804" s="268"/>
      <c r="JQX804" s="268"/>
      <c r="JQY804" s="268"/>
      <c r="JQZ804" s="268"/>
      <c r="JRA804" s="268"/>
      <c r="JRB804" s="268"/>
      <c r="JRC804" s="268"/>
      <c r="JRD804" s="268"/>
      <c r="JRE804" s="268"/>
      <c r="JRF804" s="268"/>
      <c r="JRG804" s="268"/>
      <c r="JRH804" s="268"/>
      <c r="JRI804" s="268"/>
      <c r="JRJ804" s="268"/>
      <c r="JRK804" s="268"/>
      <c r="JRL804" s="268"/>
      <c r="JRM804" s="268"/>
      <c r="JRN804" s="268"/>
      <c r="JRO804" s="268"/>
      <c r="JRP804" s="268"/>
      <c r="JRQ804" s="268"/>
      <c r="JRR804" s="268"/>
      <c r="JRS804" s="268"/>
      <c r="JRT804" s="268"/>
      <c r="JRU804" s="268"/>
      <c r="JRV804" s="268"/>
      <c r="JRW804" s="268"/>
      <c r="JRX804" s="268"/>
      <c r="JRY804" s="268"/>
      <c r="JRZ804" s="268"/>
      <c r="JSA804" s="268"/>
      <c r="JSB804" s="268"/>
      <c r="JSC804" s="268"/>
      <c r="JSD804" s="268"/>
      <c r="JSE804" s="268"/>
      <c r="JSF804" s="268"/>
      <c r="JSG804" s="268"/>
      <c r="JSH804" s="268"/>
      <c r="JSI804" s="268"/>
      <c r="JSJ804" s="268"/>
      <c r="JSK804" s="268"/>
      <c r="JSL804" s="268"/>
      <c r="JSM804" s="268"/>
      <c r="JSN804" s="268"/>
      <c r="JSO804" s="268"/>
      <c r="JSP804" s="268"/>
      <c r="JSQ804" s="268"/>
      <c r="JSR804" s="268"/>
      <c r="JSS804" s="268"/>
      <c r="JST804" s="268"/>
      <c r="JSU804" s="268"/>
      <c r="JSV804" s="268"/>
      <c r="JSW804" s="268"/>
      <c r="JSX804" s="268"/>
      <c r="JSY804" s="268"/>
      <c r="JSZ804" s="268"/>
      <c r="JTA804" s="268"/>
      <c r="JTB804" s="268"/>
      <c r="JTC804" s="268"/>
      <c r="JTD804" s="268"/>
      <c r="JTE804" s="268"/>
      <c r="JTF804" s="268"/>
      <c r="JTG804" s="268"/>
      <c r="JTH804" s="268"/>
      <c r="JTI804" s="268"/>
      <c r="JTJ804" s="268"/>
      <c r="JTK804" s="268"/>
      <c r="JTL804" s="268"/>
      <c r="JTM804" s="268"/>
      <c r="JTN804" s="268"/>
      <c r="JTO804" s="268"/>
      <c r="JTP804" s="268"/>
      <c r="JTQ804" s="268"/>
      <c r="JTR804" s="268"/>
      <c r="JTS804" s="268"/>
      <c r="JTT804" s="268"/>
      <c r="JTU804" s="268"/>
      <c r="JTV804" s="268"/>
      <c r="JTW804" s="268"/>
      <c r="JTX804" s="268"/>
      <c r="JTY804" s="268"/>
      <c r="JTZ804" s="268"/>
      <c r="JUA804" s="268"/>
      <c r="JUB804" s="268"/>
      <c r="JUC804" s="268"/>
      <c r="JUD804" s="268"/>
      <c r="JUE804" s="268"/>
      <c r="JUF804" s="268"/>
      <c r="JUG804" s="268"/>
      <c r="JUH804" s="268"/>
      <c r="JUI804" s="268"/>
      <c r="JUJ804" s="268"/>
      <c r="JUK804" s="268"/>
      <c r="JUL804" s="268"/>
      <c r="JUM804" s="268"/>
      <c r="JUN804" s="268"/>
      <c r="JUO804" s="268"/>
      <c r="JUP804" s="268"/>
      <c r="JUQ804" s="268"/>
      <c r="JUR804" s="268"/>
      <c r="JUS804" s="268"/>
      <c r="JUT804" s="268"/>
      <c r="JUU804" s="268"/>
      <c r="JUV804" s="268"/>
      <c r="JUW804" s="268"/>
      <c r="JUX804" s="268"/>
      <c r="JUY804" s="268"/>
      <c r="JUZ804" s="268"/>
      <c r="JVA804" s="268"/>
      <c r="JVB804" s="268"/>
      <c r="JVC804" s="268"/>
      <c r="JVD804" s="268"/>
      <c r="JVE804" s="268"/>
      <c r="JVF804" s="268"/>
      <c r="JVG804" s="268"/>
      <c r="JVH804" s="268"/>
      <c r="JVI804" s="268"/>
      <c r="JVJ804" s="268"/>
      <c r="JVK804" s="268"/>
      <c r="JVL804" s="268"/>
      <c r="JVM804" s="268"/>
      <c r="JVN804" s="268"/>
      <c r="JVO804" s="268"/>
      <c r="JVP804" s="268"/>
      <c r="JVQ804" s="268"/>
      <c r="JVR804" s="268"/>
      <c r="JVS804" s="268"/>
      <c r="JVT804" s="268"/>
      <c r="JVU804" s="268"/>
      <c r="JVV804" s="268"/>
      <c r="JVW804" s="268"/>
      <c r="JVX804" s="268"/>
      <c r="JVY804" s="268"/>
      <c r="JVZ804" s="268"/>
      <c r="JWA804" s="268"/>
      <c r="JWB804" s="268"/>
      <c r="JWC804" s="268"/>
      <c r="JWD804" s="268"/>
      <c r="JWE804" s="268"/>
      <c r="JWF804" s="268"/>
      <c r="JWG804" s="268"/>
      <c r="JWH804" s="268"/>
      <c r="JWI804" s="268"/>
      <c r="JWJ804" s="268"/>
      <c r="JWK804" s="268"/>
      <c r="JWL804" s="268"/>
      <c r="JWM804" s="268"/>
      <c r="JWN804" s="268"/>
      <c r="JWO804" s="268"/>
      <c r="JWP804" s="268"/>
      <c r="JWQ804" s="268"/>
      <c r="JWR804" s="268"/>
      <c r="JWS804" s="268"/>
      <c r="JWT804" s="268"/>
      <c r="JWU804" s="268"/>
      <c r="JWV804" s="268"/>
      <c r="JWW804" s="268"/>
      <c r="JWX804" s="268"/>
      <c r="JWY804" s="268"/>
      <c r="JWZ804" s="268"/>
      <c r="JXA804" s="268"/>
      <c r="JXB804" s="268"/>
      <c r="JXC804" s="268"/>
      <c r="JXD804" s="268"/>
      <c r="JXE804" s="268"/>
      <c r="JXF804" s="268"/>
      <c r="JXG804" s="268"/>
      <c r="JXH804" s="268"/>
      <c r="JXI804" s="268"/>
      <c r="JXJ804" s="268"/>
      <c r="JXK804" s="268"/>
      <c r="JXL804" s="268"/>
      <c r="JXM804" s="268"/>
      <c r="JXN804" s="268"/>
      <c r="JXO804" s="268"/>
      <c r="JXP804" s="268"/>
      <c r="JXQ804" s="268"/>
      <c r="JXR804" s="268"/>
      <c r="JXS804" s="268"/>
      <c r="JXT804" s="268"/>
      <c r="JXU804" s="268"/>
      <c r="JXV804" s="268"/>
      <c r="JXW804" s="268"/>
      <c r="JXX804" s="268"/>
      <c r="JXY804" s="268"/>
      <c r="JXZ804" s="268"/>
      <c r="JYA804" s="268"/>
      <c r="JYB804" s="268"/>
      <c r="JYC804" s="268"/>
      <c r="JYD804" s="268"/>
      <c r="JYE804" s="268"/>
      <c r="JYS804" s="268"/>
      <c r="JYT804" s="268"/>
      <c r="JYU804" s="268"/>
      <c r="JZI804" s="268"/>
      <c r="JZK804" s="268"/>
      <c r="JZL804" s="268"/>
      <c r="JZM804" s="268"/>
      <c r="JZN804" s="268"/>
      <c r="JZO804" s="268"/>
      <c r="JZP804" s="268"/>
      <c r="JZQ804" s="268"/>
      <c r="JZR804" s="268"/>
      <c r="JZS804" s="268"/>
      <c r="JZT804" s="268"/>
      <c r="JZU804" s="268"/>
      <c r="JZV804" s="268"/>
      <c r="JZW804" s="268"/>
      <c r="JZX804" s="268"/>
      <c r="JZY804" s="268"/>
      <c r="JZZ804" s="268"/>
      <c r="KAA804" s="268"/>
      <c r="KAB804" s="268"/>
      <c r="KAC804" s="268"/>
      <c r="KAD804" s="268"/>
      <c r="KAE804" s="268"/>
      <c r="KAF804" s="268"/>
      <c r="KAG804" s="268"/>
      <c r="KAH804" s="268"/>
      <c r="KAI804" s="268"/>
      <c r="KAJ804" s="268"/>
      <c r="KAK804" s="268"/>
      <c r="KAL804" s="268"/>
      <c r="KAM804" s="268"/>
      <c r="KAN804" s="268"/>
      <c r="KAO804" s="268"/>
      <c r="KAP804" s="268"/>
      <c r="KAQ804" s="268"/>
      <c r="KAR804" s="268"/>
      <c r="KAS804" s="268"/>
      <c r="KAT804" s="268"/>
      <c r="KAU804" s="268"/>
      <c r="KAV804" s="268"/>
      <c r="KAW804" s="268"/>
      <c r="KAX804" s="268"/>
      <c r="KAY804" s="268"/>
      <c r="KAZ804" s="268"/>
      <c r="KBA804" s="268"/>
      <c r="KBB804" s="268"/>
      <c r="KBC804" s="268"/>
      <c r="KBD804" s="268"/>
      <c r="KBE804" s="268"/>
      <c r="KBF804" s="268"/>
      <c r="KBG804" s="268"/>
      <c r="KBH804" s="268"/>
      <c r="KBI804" s="268"/>
      <c r="KBJ804" s="268"/>
      <c r="KBK804" s="268"/>
      <c r="KBL804" s="268"/>
      <c r="KBM804" s="268"/>
      <c r="KBN804" s="268"/>
      <c r="KBO804" s="268"/>
      <c r="KBP804" s="268"/>
      <c r="KBQ804" s="268"/>
      <c r="KBR804" s="268"/>
      <c r="KBS804" s="268"/>
      <c r="KBT804" s="268"/>
      <c r="KBU804" s="268"/>
      <c r="KBV804" s="268"/>
      <c r="KBW804" s="268"/>
      <c r="KBX804" s="268"/>
      <c r="KBY804" s="268"/>
      <c r="KBZ804" s="268"/>
      <c r="KCA804" s="268"/>
      <c r="KCB804" s="268"/>
      <c r="KCC804" s="268"/>
      <c r="KCD804" s="268"/>
      <c r="KCE804" s="268"/>
      <c r="KCF804" s="268"/>
      <c r="KCG804" s="268"/>
      <c r="KCH804" s="268"/>
      <c r="KCI804" s="268"/>
      <c r="KCJ804" s="268"/>
      <c r="KCK804" s="268"/>
      <c r="KCL804" s="268"/>
      <c r="KCM804" s="268"/>
      <c r="KCN804" s="268"/>
      <c r="KCO804" s="268"/>
      <c r="KCP804" s="268"/>
      <c r="KCQ804" s="268"/>
      <c r="KCR804" s="268"/>
      <c r="KCS804" s="268"/>
      <c r="KCT804" s="268"/>
      <c r="KCU804" s="268"/>
      <c r="KCV804" s="268"/>
      <c r="KCW804" s="268"/>
      <c r="KCX804" s="268"/>
      <c r="KCY804" s="268"/>
      <c r="KCZ804" s="268"/>
      <c r="KDA804" s="268"/>
      <c r="KDB804" s="268"/>
      <c r="KDC804" s="268"/>
      <c r="KDD804" s="268"/>
      <c r="KDE804" s="268"/>
      <c r="KDF804" s="268"/>
      <c r="KDG804" s="268"/>
      <c r="KDH804" s="268"/>
      <c r="KDI804" s="268"/>
      <c r="KDJ804" s="268"/>
      <c r="KDK804" s="268"/>
      <c r="KDL804" s="268"/>
      <c r="KDM804" s="268"/>
      <c r="KDN804" s="268"/>
      <c r="KDO804" s="268"/>
      <c r="KDP804" s="268"/>
      <c r="KDQ804" s="268"/>
      <c r="KDR804" s="268"/>
      <c r="KDS804" s="268"/>
      <c r="KDT804" s="268"/>
      <c r="KDU804" s="268"/>
      <c r="KDV804" s="268"/>
      <c r="KDW804" s="268"/>
      <c r="KDX804" s="268"/>
      <c r="KDY804" s="268"/>
      <c r="KDZ804" s="268"/>
      <c r="KEA804" s="268"/>
      <c r="KEB804" s="268"/>
      <c r="KEC804" s="268"/>
      <c r="KED804" s="268"/>
      <c r="KEE804" s="268"/>
      <c r="KEF804" s="268"/>
      <c r="KEG804" s="268"/>
      <c r="KEH804" s="268"/>
      <c r="KEI804" s="268"/>
      <c r="KEJ804" s="268"/>
      <c r="KEK804" s="268"/>
      <c r="KEL804" s="268"/>
      <c r="KEM804" s="268"/>
      <c r="KEN804" s="268"/>
      <c r="KEO804" s="268"/>
      <c r="KEP804" s="268"/>
      <c r="KEQ804" s="268"/>
      <c r="KER804" s="268"/>
      <c r="KES804" s="268"/>
      <c r="KET804" s="268"/>
      <c r="KEU804" s="268"/>
      <c r="KEV804" s="268"/>
      <c r="KEW804" s="268"/>
      <c r="KEX804" s="268"/>
      <c r="KEY804" s="268"/>
      <c r="KEZ804" s="268"/>
      <c r="KFA804" s="268"/>
      <c r="KFB804" s="268"/>
      <c r="KFC804" s="268"/>
      <c r="KFD804" s="268"/>
      <c r="KFE804" s="268"/>
      <c r="KFF804" s="268"/>
      <c r="KFG804" s="268"/>
      <c r="KFH804" s="268"/>
      <c r="KFI804" s="268"/>
      <c r="KFJ804" s="268"/>
      <c r="KFK804" s="268"/>
      <c r="KFL804" s="268"/>
      <c r="KFM804" s="268"/>
      <c r="KFN804" s="268"/>
      <c r="KFO804" s="268"/>
      <c r="KFP804" s="268"/>
      <c r="KFQ804" s="268"/>
      <c r="KFR804" s="268"/>
      <c r="KFS804" s="268"/>
      <c r="KFT804" s="268"/>
      <c r="KFU804" s="268"/>
      <c r="KFV804" s="268"/>
      <c r="KFW804" s="268"/>
      <c r="KFX804" s="268"/>
      <c r="KFY804" s="268"/>
      <c r="KFZ804" s="268"/>
      <c r="KGA804" s="268"/>
      <c r="KGB804" s="268"/>
      <c r="KGC804" s="268"/>
      <c r="KGD804" s="268"/>
      <c r="KGE804" s="268"/>
      <c r="KGF804" s="268"/>
      <c r="KGG804" s="268"/>
      <c r="KGH804" s="268"/>
      <c r="KGI804" s="268"/>
      <c r="KGJ804" s="268"/>
      <c r="KGK804" s="268"/>
      <c r="KGL804" s="268"/>
      <c r="KGM804" s="268"/>
      <c r="KGN804" s="268"/>
      <c r="KGO804" s="268"/>
      <c r="KGP804" s="268"/>
      <c r="KGQ804" s="268"/>
      <c r="KGR804" s="268"/>
      <c r="KGS804" s="268"/>
      <c r="KGT804" s="268"/>
      <c r="KGU804" s="268"/>
      <c r="KGV804" s="268"/>
      <c r="KGW804" s="268"/>
      <c r="KGX804" s="268"/>
      <c r="KGY804" s="268"/>
      <c r="KGZ804" s="268"/>
      <c r="KHA804" s="268"/>
      <c r="KHB804" s="268"/>
      <c r="KHC804" s="268"/>
      <c r="KHD804" s="268"/>
      <c r="KHE804" s="268"/>
      <c r="KHF804" s="268"/>
      <c r="KHG804" s="268"/>
      <c r="KHH804" s="268"/>
      <c r="KHI804" s="268"/>
      <c r="KHJ804" s="268"/>
      <c r="KHK804" s="268"/>
      <c r="KHL804" s="268"/>
      <c r="KHM804" s="268"/>
      <c r="KHN804" s="268"/>
      <c r="KHO804" s="268"/>
      <c r="KHP804" s="268"/>
      <c r="KHQ804" s="268"/>
      <c r="KHR804" s="268"/>
      <c r="KHS804" s="268"/>
      <c r="KHT804" s="268"/>
      <c r="KHU804" s="268"/>
      <c r="KHV804" s="268"/>
      <c r="KHW804" s="268"/>
      <c r="KHX804" s="268"/>
      <c r="KHY804" s="268"/>
      <c r="KHZ804" s="268"/>
      <c r="KIA804" s="268"/>
      <c r="KIO804" s="268"/>
      <c r="KIP804" s="268"/>
      <c r="KIQ804" s="268"/>
      <c r="KJE804" s="268"/>
      <c r="KJG804" s="268"/>
      <c r="KJH804" s="268"/>
      <c r="KJI804" s="268"/>
      <c r="KJJ804" s="268"/>
      <c r="KJK804" s="268"/>
      <c r="KJL804" s="268"/>
      <c r="KJM804" s="268"/>
      <c r="KJN804" s="268"/>
      <c r="KJO804" s="268"/>
      <c r="KJP804" s="268"/>
      <c r="KJQ804" s="268"/>
      <c r="KJR804" s="268"/>
      <c r="KJS804" s="268"/>
      <c r="KJT804" s="268"/>
      <c r="KJU804" s="268"/>
      <c r="KJV804" s="268"/>
      <c r="KJW804" s="268"/>
      <c r="KJX804" s="268"/>
      <c r="KJY804" s="268"/>
      <c r="KJZ804" s="268"/>
      <c r="KKA804" s="268"/>
      <c r="KKB804" s="268"/>
      <c r="KKC804" s="268"/>
      <c r="KKD804" s="268"/>
      <c r="KKE804" s="268"/>
      <c r="KKF804" s="268"/>
      <c r="KKG804" s="268"/>
      <c r="KKH804" s="268"/>
      <c r="KKI804" s="268"/>
      <c r="KKJ804" s="268"/>
      <c r="KKK804" s="268"/>
      <c r="KKL804" s="268"/>
      <c r="KKM804" s="268"/>
      <c r="KKN804" s="268"/>
      <c r="KKO804" s="268"/>
      <c r="KKP804" s="268"/>
      <c r="KKQ804" s="268"/>
      <c r="KKR804" s="268"/>
      <c r="KKS804" s="268"/>
      <c r="KKT804" s="268"/>
      <c r="KKU804" s="268"/>
      <c r="KKV804" s="268"/>
      <c r="KKW804" s="268"/>
      <c r="KKX804" s="268"/>
      <c r="KKY804" s="268"/>
      <c r="KKZ804" s="268"/>
      <c r="KLA804" s="268"/>
      <c r="KLB804" s="268"/>
      <c r="KLC804" s="268"/>
      <c r="KLD804" s="268"/>
      <c r="KLE804" s="268"/>
      <c r="KLF804" s="268"/>
      <c r="KLG804" s="268"/>
      <c r="KLH804" s="268"/>
      <c r="KLI804" s="268"/>
      <c r="KLJ804" s="268"/>
      <c r="KLK804" s="268"/>
      <c r="KLL804" s="268"/>
      <c r="KLM804" s="268"/>
      <c r="KLN804" s="268"/>
      <c r="KLO804" s="268"/>
      <c r="KLP804" s="268"/>
      <c r="KLQ804" s="268"/>
      <c r="KLR804" s="268"/>
      <c r="KLS804" s="268"/>
      <c r="KLT804" s="268"/>
      <c r="KLU804" s="268"/>
      <c r="KLV804" s="268"/>
      <c r="KLW804" s="268"/>
      <c r="KLX804" s="268"/>
      <c r="KLY804" s="268"/>
      <c r="KLZ804" s="268"/>
      <c r="KMA804" s="268"/>
      <c r="KMB804" s="268"/>
      <c r="KMC804" s="268"/>
      <c r="KMD804" s="268"/>
      <c r="KME804" s="268"/>
      <c r="KMF804" s="268"/>
      <c r="KMG804" s="268"/>
      <c r="KMH804" s="268"/>
      <c r="KMI804" s="268"/>
      <c r="KMJ804" s="268"/>
      <c r="KMK804" s="268"/>
      <c r="KML804" s="268"/>
      <c r="KMM804" s="268"/>
      <c r="KMN804" s="268"/>
      <c r="KMO804" s="268"/>
      <c r="KMP804" s="268"/>
      <c r="KMQ804" s="268"/>
      <c r="KMR804" s="268"/>
      <c r="KMS804" s="268"/>
      <c r="KMT804" s="268"/>
      <c r="KMU804" s="268"/>
      <c r="KMV804" s="268"/>
      <c r="KMW804" s="268"/>
      <c r="KMX804" s="268"/>
      <c r="KMY804" s="268"/>
      <c r="KMZ804" s="268"/>
      <c r="KNA804" s="268"/>
      <c r="KNB804" s="268"/>
      <c r="KNC804" s="268"/>
      <c r="KND804" s="268"/>
      <c r="KNE804" s="268"/>
      <c r="KNF804" s="268"/>
      <c r="KNG804" s="268"/>
      <c r="KNH804" s="268"/>
      <c r="KNI804" s="268"/>
      <c r="KNJ804" s="268"/>
      <c r="KNK804" s="268"/>
      <c r="KNL804" s="268"/>
      <c r="KNM804" s="268"/>
      <c r="KNN804" s="268"/>
      <c r="KNO804" s="268"/>
      <c r="KNP804" s="268"/>
      <c r="KNQ804" s="268"/>
      <c r="KNR804" s="268"/>
      <c r="KNS804" s="268"/>
      <c r="KNT804" s="268"/>
      <c r="KNU804" s="268"/>
      <c r="KNV804" s="268"/>
      <c r="KNW804" s="268"/>
      <c r="KNX804" s="268"/>
      <c r="KNY804" s="268"/>
      <c r="KNZ804" s="268"/>
      <c r="KOA804" s="268"/>
      <c r="KOB804" s="268"/>
      <c r="KOC804" s="268"/>
      <c r="KOD804" s="268"/>
      <c r="KOE804" s="268"/>
      <c r="KOF804" s="268"/>
      <c r="KOG804" s="268"/>
      <c r="KOH804" s="268"/>
      <c r="KOI804" s="268"/>
      <c r="KOJ804" s="268"/>
      <c r="KOK804" s="268"/>
      <c r="KOL804" s="268"/>
      <c r="KOM804" s="268"/>
      <c r="KON804" s="268"/>
      <c r="KOO804" s="268"/>
      <c r="KOP804" s="268"/>
      <c r="KOQ804" s="268"/>
      <c r="KOR804" s="268"/>
      <c r="KOS804" s="268"/>
      <c r="KOT804" s="268"/>
      <c r="KOU804" s="268"/>
      <c r="KOV804" s="268"/>
      <c r="KOW804" s="268"/>
      <c r="KOX804" s="268"/>
      <c r="KOY804" s="268"/>
      <c r="KOZ804" s="268"/>
      <c r="KPA804" s="268"/>
      <c r="KPB804" s="268"/>
      <c r="KPC804" s="268"/>
      <c r="KPD804" s="268"/>
      <c r="KPE804" s="268"/>
      <c r="KPF804" s="268"/>
      <c r="KPG804" s="268"/>
      <c r="KPH804" s="268"/>
      <c r="KPI804" s="268"/>
      <c r="KPJ804" s="268"/>
      <c r="KPK804" s="268"/>
      <c r="KPL804" s="268"/>
      <c r="KPM804" s="268"/>
      <c r="KPN804" s="268"/>
      <c r="KPO804" s="268"/>
      <c r="KPP804" s="268"/>
      <c r="KPQ804" s="268"/>
      <c r="KPR804" s="268"/>
      <c r="KPS804" s="268"/>
      <c r="KPT804" s="268"/>
      <c r="KPU804" s="268"/>
      <c r="KPV804" s="268"/>
      <c r="KPW804" s="268"/>
      <c r="KPX804" s="268"/>
      <c r="KPY804" s="268"/>
      <c r="KPZ804" s="268"/>
      <c r="KQA804" s="268"/>
      <c r="KQB804" s="268"/>
      <c r="KQC804" s="268"/>
      <c r="KQD804" s="268"/>
      <c r="KQE804" s="268"/>
      <c r="KQF804" s="268"/>
      <c r="KQG804" s="268"/>
      <c r="KQH804" s="268"/>
      <c r="KQI804" s="268"/>
      <c r="KQJ804" s="268"/>
      <c r="KQK804" s="268"/>
      <c r="KQL804" s="268"/>
      <c r="KQM804" s="268"/>
      <c r="KQN804" s="268"/>
      <c r="KQO804" s="268"/>
      <c r="KQP804" s="268"/>
      <c r="KQQ804" s="268"/>
      <c r="KQR804" s="268"/>
      <c r="KQS804" s="268"/>
      <c r="KQT804" s="268"/>
      <c r="KQU804" s="268"/>
      <c r="KQV804" s="268"/>
      <c r="KQW804" s="268"/>
      <c r="KQX804" s="268"/>
      <c r="KQY804" s="268"/>
      <c r="KQZ804" s="268"/>
      <c r="KRA804" s="268"/>
      <c r="KRB804" s="268"/>
      <c r="KRC804" s="268"/>
      <c r="KRD804" s="268"/>
      <c r="KRE804" s="268"/>
      <c r="KRF804" s="268"/>
      <c r="KRG804" s="268"/>
      <c r="KRH804" s="268"/>
      <c r="KRI804" s="268"/>
      <c r="KRJ804" s="268"/>
      <c r="KRK804" s="268"/>
      <c r="KRL804" s="268"/>
      <c r="KRM804" s="268"/>
      <c r="KRN804" s="268"/>
      <c r="KRO804" s="268"/>
      <c r="KRP804" s="268"/>
      <c r="KRQ804" s="268"/>
      <c r="KRR804" s="268"/>
      <c r="KRS804" s="268"/>
      <c r="KRT804" s="268"/>
      <c r="KRU804" s="268"/>
      <c r="KRV804" s="268"/>
      <c r="KRW804" s="268"/>
      <c r="KSK804" s="268"/>
      <c r="KSL804" s="268"/>
      <c r="KSM804" s="268"/>
      <c r="KTA804" s="268"/>
      <c r="KTC804" s="268"/>
      <c r="KTD804" s="268"/>
      <c r="KTE804" s="268"/>
      <c r="KTF804" s="268"/>
      <c r="KTG804" s="268"/>
      <c r="KTH804" s="268"/>
      <c r="KTI804" s="268"/>
      <c r="KTJ804" s="268"/>
      <c r="KTK804" s="268"/>
      <c r="KTL804" s="268"/>
      <c r="KTM804" s="268"/>
      <c r="KTN804" s="268"/>
      <c r="KTO804" s="268"/>
      <c r="KTP804" s="268"/>
      <c r="KTQ804" s="268"/>
      <c r="KTR804" s="268"/>
      <c r="KTS804" s="268"/>
      <c r="KTT804" s="268"/>
      <c r="KTU804" s="268"/>
      <c r="KTV804" s="268"/>
      <c r="KTW804" s="268"/>
      <c r="KTX804" s="268"/>
      <c r="KTY804" s="268"/>
      <c r="KTZ804" s="268"/>
      <c r="KUA804" s="268"/>
      <c r="KUB804" s="268"/>
      <c r="KUC804" s="268"/>
      <c r="KUD804" s="268"/>
      <c r="KUE804" s="268"/>
      <c r="KUF804" s="268"/>
      <c r="KUG804" s="268"/>
      <c r="KUH804" s="268"/>
      <c r="KUI804" s="268"/>
      <c r="KUJ804" s="268"/>
      <c r="KUK804" s="268"/>
      <c r="KUL804" s="268"/>
      <c r="KUM804" s="268"/>
      <c r="KUN804" s="268"/>
      <c r="KUO804" s="268"/>
      <c r="KUP804" s="268"/>
      <c r="KUQ804" s="268"/>
      <c r="KUR804" s="268"/>
      <c r="KUS804" s="268"/>
      <c r="KUT804" s="268"/>
      <c r="KUU804" s="268"/>
      <c r="KUV804" s="268"/>
      <c r="KUW804" s="268"/>
      <c r="KUX804" s="268"/>
      <c r="KUY804" s="268"/>
      <c r="KUZ804" s="268"/>
      <c r="KVA804" s="268"/>
      <c r="KVB804" s="268"/>
      <c r="KVC804" s="268"/>
      <c r="KVD804" s="268"/>
      <c r="KVE804" s="268"/>
      <c r="KVF804" s="268"/>
      <c r="KVG804" s="268"/>
      <c r="KVH804" s="268"/>
      <c r="KVI804" s="268"/>
      <c r="KVJ804" s="268"/>
      <c r="KVK804" s="268"/>
      <c r="KVL804" s="268"/>
      <c r="KVM804" s="268"/>
      <c r="KVN804" s="268"/>
      <c r="KVO804" s="268"/>
      <c r="KVP804" s="268"/>
      <c r="KVQ804" s="268"/>
      <c r="KVR804" s="268"/>
      <c r="KVS804" s="268"/>
      <c r="KVT804" s="268"/>
      <c r="KVU804" s="268"/>
      <c r="KVV804" s="268"/>
      <c r="KVW804" s="268"/>
      <c r="KVX804" s="268"/>
      <c r="KVY804" s="268"/>
      <c r="KVZ804" s="268"/>
      <c r="KWA804" s="268"/>
      <c r="KWB804" s="268"/>
      <c r="KWC804" s="268"/>
      <c r="KWD804" s="268"/>
      <c r="KWE804" s="268"/>
      <c r="KWF804" s="268"/>
      <c r="KWG804" s="268"/>
      <c r="KWH804" s="268"/>
      <c r="KWI804" s="268"/>
      <c r="KWJ804" s="268"/>
      <c r="KWK804" s="268"/>
      <c r="KWL804" s="268"/>
      <c r="KWM804" s="268"/>
      <c r="KWN804" s="268"/>
      <c r="KWO804" s="268"/>
      <c r="KWP804" s="268"/>
      <c r="KWQ804" s="268"/>
      <c r="KWR804" s="268"/>
      <c r="KWS804" s="268"/>
      <c r="KWT804" s="268"/>
      <c r="KWU804" s="268"/>
      <c r="KWV804" s="268"/>
      <c r="KWW804" s="268"/>
      <c r="KWX804" s="268"/>
      <c r="KWY804" s="268"/>
      <c r="KWZ804" s="268"/>
      <c r="KXA804" s="268"/>
      <c r="KXB804" s="268"/>
      <c r="KXC804" s="268"/>
      <c r="KXD804" s="268"/>
      <c r="KXE804" s="268"/>
      <c r="KXF804" s="268"/>
      <c r="KXG804" s="268"/>
      <c r="KXH804" s="268"/>
      <c r="KXI804" s="268"/>
      <c r="KXJ804" s="268"/>
      <c r="KXK804" s="268"/>
      <c r="KXL804" s="268"/>
      <c r="KXM804" s="268"/>
      <c r="KXN804" s="268"/>
      <c r="KXO804" s="268"/>
      <c r="KXP804" s="268"/>
      <c r="KXQ804" s="268"/>
      <c r="KXR804" s="268"/>
      <c r="KXS804" s="268"/>
      <c r="KXT804" s="268"/>
      <c r="KXU804" s="268"/>
      <c r="KXV804" s="268"/>
      <c r="KXW804" s="268"/>
      <c r="KXX804" s="268"/>
      <c r="KXY804" s="268"/>
      <c r="KXZ804" s="268"/>
      <c r="KYA804" s="268"/>
      <c r="KYB804" s="268"/>
      <c r="KYC804" s="268"/>
      <c r="KYD804" s="268"/>
      <c r="KYE804" s="268"/>
      <c r="KYF804" s="268"/>
      <c r="KYG804" s="268"/>
      <c r="KYH804" s="268"/>
      <c r="KYI804" s="268"/>
      <c r="KYJ804" s="268"/>
      <c r="KYK804" s="268"/>
      <c r="KYL804" s="268"/>
      <c r="KYM804" s="268"/>
      <c r="KYN804" s="268"/>
      <c r="KYO804" s="268"/>
      <c r="KYP804" s="268"/>
      <c r="KYQ804" s="268"/>
      <c r="KYR804" s="268"/>
      <c r="KYS804" s="268"/>
      <c r="KYT804" s="268"/>
      <c r="KYU804" s="268"/>
      <c r="KYV804" s="268"/>
      <c r="KYW804" s="268"/>
      <c r="KYX804" s="268"/>
      <c r="KYY804" s="268"/>
      <c r="KYZ804" s="268"/>
      <c r="KZA804" s="268"/>
      <c r="KZB804" s="268"/>
      <c r="KZC804" s="268"/>
      <c r="KZD804" s="268"/>
      <c r="KZE804" s="268"/>
      <c r="KZF804" s="268"/>
      <c r="KZG804" s="268"/>
      <c r="KZH804" s="268"/>
      <c r="KZI804" s="268"/>
      <c r="KZJ804" s="268"/>
      <c r="KZK804" s="268"/>
      <c r="KZL804" s="268"/>
      <c r="KZM804" s="268"/>
      <c r="KZN804" s="268"/>
      <c r="KZO804" s="268"/>
      <c r="KZP804" s="268"/>
      <c r="KZQ804" s="268"/>
      <c r="KZR804" s="268"/>
      <c r="KZS804" s="268"/>
      <c r="KZT804" s="268"/>
      <c r="KZU804" s="268"/>
      <c r="KZV804" s="268"/>
      <c r="KZW804" s="268"/>
      <c r="KZX804" s="268"/>
      <c r="KZY804" s="268"/>
      <c r="KZZ804" s="268"/>
      <c r="LAA804" s="268"/>
      <c r="LAB804" s="268"/>
      <c r="LAC804" s="268"/>
      <c r="LAD804" s="268"/>
      <c r="LAE804" s="268"/>
      <c r="LAF804" s="268"/>
      <c r="LAG804" s="268"/>
      <c r="LAH804" s="268"/>
      <c r="LAI804" s="268"/>
      <c r="LAJ804" s="268"/>
      <c r="LAK804" s="268"/>
      <c r="LAL804" s="268"/>
      <c r="LAM804" s="268"/>
      <c r="LAN804" s="268"/>
      <c r="LAO804" s="268"/>
      <c r="LAP804" s="268"/>
      <c r="LAQ804" s="268"/>
      <c r="LAR804" s="268"/>
      <c r="LAS804" s="268"/>
      <c r="LAT804" s="268"/>
      <c r="LAU804" s="268"/>
      <c r="LAV804" s="268"/>
      <c r="LAW804" s="268"/>
      <c r="LAX804" s="268"/>
      <c r="LAY804" s="268"/>
      <c r="LAZ804" s="268"/>
      <c r="LBA804" s="268"/>
      <c r="LBB804" s="268"/>
      <c r="LBC804" s="268"/>
      <c r="LBD804" s="268"/>
      <c r="LBE804" s="268"/>
      <c r="LBF804" s="268"/>
      <c r="LBG804" s="268"/>
      <c r="LBH804" s="268"/>
      <c r="LBI804" s="268"/>
      <c r="LBJ804" s="268"/>
      <c r="LBK804" s="268"/>
      <c r="LBL804" s="268"/>
      <c r="LBM804" s="268"/>
      <c r="LBN804" s="268"/>
      <c r="LBO804" s="268"/>
      <c r="LBP804" s="268"/>
      <c r="LBQ804" s="268"/>
      <c r="LBR804" s="268"/>
      <c r="LBS804" s="268"/>
      <c r="LCG804" s="268"/>
      <c r="LCH804" s="268"/>
      <c r="LCI804" s="268"/>
      <c r="LCW804" s="268"/>
      <c r="LCY804" s="268"/>
      <c r="LCZ804" s="268"/>
      <c r="LDA804" s="268"/>
      <c r="LDB804" s="268"/>
      <c r="LDC804" s="268"/>
      <c r="LDD804" s="268"/>
      <c r="LDE804" s="268"/>
      <c r="LDF804" s="268"/>
      <c r="LDG804" s="268"/>
      <c r="LDH804" s="268"/>
      <c r="LDI804" s="268"/>
      <c r="LDJ804" s="268"/>
      <c r="LDK804" s="268"/>
      <c r="LDL804" s="268"/>
      <c r="LDM804" s="268"/>
      <c r="LDN804" s="268"/>
      <c r="LDO804" s="268"/>
      <c r="LDP804" s="268"/>
      <c r="LDQ804" s="268"/>
      <c r="LDR804" s="268"/>
      <c r="LDS804" s="268"/>
      <c r="LDT804" s="268"/>
      <c r="LDU804" s="268"/>
      <c r="LDV804" s="268"/>
      <c r="LDW804" s="268"/>
      <c r="LDX804" s="268"/>
      <c r="LDY804" s="268"/>
      <c r="LDZ804" s="268"/>
      <c r="LEA804" s="268"/>
      <c r="LEB804" s="268"/>
      <c r="LEC804" s="268"/>
      <c r="LED804" s="268"/>
      <c r="LEE804" s="268"/>
      <c r="LEF804" s="268"/>
      <c r="LEG804" s="268"/>
      <c r="LEH804" s="268"/>
      <c r="LEI804" s="268"/>
      <c r="LEJ804" s="268"/>
      <c r="LEK804" s="268"/>
      <c r="LEL804" s="268"/>
      <c r="LEM804" s="268"/>
      <c r="LEN804" s="268"/>
      <c r="LEO804" s="268"/>
      <c r="LEP804" s="268"/>
      <c r="LEQ804" s="268"/>
      <c r="LER804" s="268"/>
      <c r="LES804" s="268"/>
      <c r="LET804" s="268"/>
      <c r="LEU804" s="268"/>
      <c r="LEV804" s="268"/>
      <c r="LEW804" s="268"/>
      <c r="LEX804" s="268"/>
      <c r="LEY804" s="268"/>
      <c r="LEZ804" s="268"/>
      <c r="LFA804" s="268"/>
      <c r="LFB804" s="268"/>
      <c r="LFC804" s="268"/>
      <c r="LFD804" s="268"/>
      <c r="LFE804" s="268"/>
      <c r="LFF804" s="268"/>
      <c r="LFG804" s="268"/>
      <c r="LFH804" s="268"/>
      <c r="LFI804" s="268"/>
      <c r="LFJ804" s="268"/>
      <c r="LFK804" s="268"/>
      <c r="LFL804" s="268"/>
      <c r="LFM804" s="268"/>
      <c r="LFN804" s="268"/>
      <c r="LFO804" s="268"/>
      <c r="LFP804" s="268"/>
      <c r="LFQ804" s="268"/>
      <c r="LFR804" s="268"/>
      <c r="LFS804" s="268"/>
      <c r="LFT804" s="268"/>
      <c r="LFU804" s="268"/>
      <c r="LFV804" s="268"/>
      <c r="LFW804" s="268"/>
      <c r="LFX804" s="268"/>
      <c r="LFY804" s="268"/>
      <c r="LFZ804" s="268"/>
      <c r="LGA804" s="268"/>
      <c r="LGB804" s="268"/>
      <c r="LGC804" s="268"/>
      <c r="LGD804" s="268"/>
      <c r="LGE804" s="268"/>
      <c r="LGF804" s="268"/>
      <c r="LGG804" s="268"/>
      <c r="LGH804" s="268"/>
      <c r="LGI804" s="268"/>
      <c r="LGJ804" s="268"/>
      <c r="LGK804" s="268"/>
      <c r="LGL804" s="268"/>
      <c r="LGM804" s="268"/>
      <c r="LGN804" s="268"/>
      <c r="LGO804" s="268"/>
      <c r="LGP804" s="268"/>
      <c r="LGQ804" s="268"/>
      <c r="LGR804" s="268"/>
      <c r="LGS804" s="268"/>
      <c r="LGT804" s="268"/>
      <c r="LGU804" s="268"/>
      <c r="LGV804" s="268"/>
      <c r="LGW804" s="268"/>
      <c r="LGX804" s="268"/>
      <c r="LGY804" s="268"/>
      <c r="LGZ804" s="268"/>
      <c r="LHA804" s="268"/>
      <c r="LHB804" s="268"/>
      <c r="LHC804" s="268"/>
      <c r="LHD804" s="268"/>
      <c r="LHE804" s="268"/>
      <c r="LHF804" s="268"/>
      <c r="LHG804" s="268"/>
      <c r="LHH804" s="268"/>
      <c r="LHI804" s="268"/>
      <c r="LHJ804" s="268"/>
      <c r="LHK804" s="268"/>
      <c r="LHL804" s="268"/>
      <c r="LHM804" s="268"/>
      <c r="LHN804" s="268"/>
      <c r="LHO804" s="268"/>
      <c r="LHP804" s="268"/>
      <c r="LHQ804" s="268"/>
      <c r="LHR804" s="268"/>
      <c r="LHS804" s="268"/>
      <c r="LHT804" s="268"/>
      <c r="LHU804" s="268"/>
      <c r="LHV804" s="268"/>
      <c r="LHW804" s="268"/>
      <c r="LHX804" s="268"/>
      <c r="LHY804" s="268"/>
      <c r="LHZ804" s="268"/>
      <c r="LIA804" s="268"/>
      <c r="LIB804" s="268"/>
      <c r="LIC804" s="268"/>
      <c r="LID804" s="268"/>
      <c r="LIE804" s="268"/>
      <c r="LIF804" s="268"/>
      <c r="LIG804" s="268"/>
      <c r="LIH804" s="268"/>
      <c r="LII804" s="268"/>
      <c r="LIJ804" s="268"/>
      <c r="LIK804" s="268"/>
      <c r="LIL804" s="268"/>
      <c r="LIM804" s="268"/>
      <c r="LIN804" s="268"/>
      <c r="LIO804" s="268"/>
      <c r="LIP804" s="268"/>
      <c r="LIQ804" s="268"/>
      <c r="LIR804" s="268"/>
      <c r="LIS804" s="268"/>
      <c r="LIT804" s="268"/>
      <c r="LIU804" s="268"/>
      <c r="LIV804" s="268"/>
      <c r="LIW804" s="268"/>
      <c r="LIX804" s="268"/>
      <c r="LIY804" s="268"/>
      <c r="LIZ804" s="268"/>
      <c r="LJA804" s="268"/>
      <c r="LJB804" s="268"/>
      <c r="LJC804" s="268"/>
      <c r="LJD804" s="268"/>
      <c r="LJE804" s="268"/>
      <c r="LJF804" s="268"/>
      <c r="LJG804" s="268"/>
      <c r="LJH804" s="268"/>
      <c r="LJI804" s="268"/>
      <c r="LJJ804" s="268"/>
      <c r="LJK804" s="268"/>
      <c r="LJL804" s="268"/>
      <c r="LJM804" s="268"/>
      <c r="LJN804" s="268"/>
      <c r="LJO804" s="268"/>
      <c r="LJP804" s="268"/>
      <c r="LJQ804" s="268"/>
      <c r="LJR804" s="268"/>
      <c r="LJS804" s="268"/>
      <c r="LJT804" s="268"/>
      <c r="LJU804" s="268"/>
      <c r="LJV804" s="268"/>
      <c r="LJW804" s="268"/>
      <c r="LJX804" s="268"/>
      <c r="LJY804" s="268"/>
      <c r="LJZ804" s="268"/>
      <c r="LKA804" s="268"/>
      <c r="LKB804" s="268"/>
      <c r="LKC804" s="268"/>
      <c r="LKD804" s="268"/>
      <c r="LKE804" s="268"/>
      <c r="LKF804" s="268"/>
      <c r="LKG804" s="268"/>
      <c r="LKH804" s="268"/>
      <c r="LKI804" s="268"/>
      <c r="LKJ804" s="268"/>
      <c r="LKK804" s="268"/>
      <c r="LKL804" s="268"/>
      <c r="LKM804" s="268"/>
      <c r="LKN804" s="268"/>
      <c r="LKO804" s="268"/>
      <c r="LKP804" s="268"/>
      <c r="LKQ804" s="268"/>
      <c r="LKR804" s="268"/>
      <c r="LKS804" s="268"/>
      <c r="LKT804" s="268"/>
      <c r="LKU804" s="268"/>
      <c r="LKV804" s="268"/>
      <c r="LKW804" s="268"/>
      <c r="LKX804" s="268"/>
      <c r="LKY804" s="268"/>
      <c r="LKZ804" s="268"/>
      <c r="LLA804" s="268"/>
      <c r="LLB804" s="268"/>
      <c r="LLC804" s="268"/>
      <c r="LLD804" s="268"/>
      <c r="LLE804" s="268"/>
      <c r="LLF804" s="268"/>
      <c r="LLG804" s="268"/>
      <c r="LLH804" s="268"/>
      <c r="LLI804" s="268"/>
      <c r="LLJ804" s="268"/>
      <c r="LLK804" s="268"/>
      <c r="LLL804" s="268"/>
      <c r="LLM804" s="268"/>
      <c r="LLN804" s="268"/>
      <c r="LLO804" s="268"/>
      <c r="LMC804" s="268"/>
      <c r="LMD804" s="268"/>
      <c r="LME804" s="268"/>
      <c r="LMS804" s="268"/>
      <c r="LMU804" s="268"/>
      <c r="LMV804" s="268"/>
      <c r="LMW804" s="268"/>
      <c r="LMX804" s="268"/>
      <c r="LMY804" s="268"/>
      <c r="LMZ804" s="268"/>
      <c r="LNA804" s="268"/>
      <c r="LNB804" s="268"/>
      <c r="LNC804" s="268"/>
      <c r="LND804" s="268"/>
      <c r="LNE804" s="268"/>
      <c r="LNF804" s="268"/>
      <c r="LNG804" s="268"/>
      <c r="LNH804" s="268"/>
      <c r="LNI804" s="268"/>
      <c r="LNJ804" s="268"/>
      <c r="LNK804" s="268"/>
      <c r="LNL804" s="268"/>
      <c r="LNM804" s="268"/>
      <c r="LNN804" s="268"/>
      <c r="LNO804" s="268"/>
      <c r="LNP804" s="268"/>
      <c r="LNQ804" s="268"/>
      <c r="LNR804" s="268"/>
      <c r="LNS804" s="268"/>
      <c r="LNT804" s="268"/>
      <c r="LNU804" s="268"/>
      <c r="LNV804" s="268"/>
      <c r="LNW804" s="268"/>
      <c r="LNX804" s="268"/>
      <c r="LNY804" s="268"/>
      <c r="LNZ804" s="268"/>
      <c r="LOA804" s="268"/>
      <c r="LOB804" s="268"/>
      <c r="LOC804" s="268"/>
      <c r="LOD804" s="268"/>
      <c r="LOE804" s="268"/>
      <c r="LOF804" s="268"/>
      <c r="LOG804" s="268"/>
      <c r="LOH804" s="268"/>
      <c r="LOI804" s="268"/>
      <c r="LOJ804" s="268"/>
      <c r="LOK804" s="268"/>
      <c r="LOL804" s="268"/>
      <c r="LOM804" s="268"/>
      <c r="LON804" s="268"/>
      <c r="LOO804" s="268"/>
      <c r="LOP804" s="268"/>
      <c r="LOQ804" s="268"/>
      <c r="LOR804" s="268"/>
      <c r="LOS804" s="268"/>
      <c r="LOT804" s="268"/>
      <c r="LOU804" s="268"/>
      <c r="LOV804" s="268"/>
      <c r="LOW804" s="268"/>
      <c r="LOX804" s="268"/>
      <c r="LOY804" s="268"/>
      <c r="LOZ804" s="268"/>
      <c r="LPA804" s="268"/>
      <c r="LPB804" s="268"/>
      <c r="LPC804" s="268"/>
      <c r="LPD804" s="268"/>
      <c r="LPE804" s="268"/>
      <c r="LPF804" s="268"/>
      <c r="LPG804" s="268"/>
      <c r="LPH804" s="268"/>
      <c r="LPI804" s="268"/>
      <c r="LPJ804" s="268"/>
      <c r="LPK804" s="268"/>
      <c r="LPL804" s="268"/>
      <c r="LPM804" s="268"/>
      <c r="LPN804" s="268"/>
      <c r="LPO804" s="268"/>
      <c r="LPP804" s="268"/>
      <c r="LPQ804" s="268"/>
      <c r="LPR804" s="268"/>
      <c r="LPS804" s="268"/>
      <c r="LPT804" s="268"/>
      <c r="LPU804" s="268"/>
      <c r="LPV804" s="268"/>
      <c r="LPW804" s="268"/>
      <c r="LPX804" s="268"/>
      <c r="LPY804" s="268"/>
      <c r="LPZ804" s="268"/>
      <c r="LQA804" s="268"/>
      <c r="LQB804" s="268"/>
      <c r="LQC804" s="268"/>
      <c r="LQD804" s="268"/>
      <c r="LQE804" s="268"/>
      <c r="LQF804" s="268"/>
      <c r="LQG804" s="268"/>
      <c r="LQH804" s="268"/>
      <c r="LQI804" s="268"/>
      <c r="LQJ804" s="268"/>
      <c r="LQK804" s="268"/>
      <c r="LQL804" s="268"/>
      <c r="LQM804" s="268"/>
      <c r="LQN804" s="268"/>
      <c r="LQO804" s="268"/>
      <c r="LQP804" s="268"/>
      <c r="LQQ804" s="268"/>
      <c r="LQR804" s="268"/>
      <c r="LQS804" s="268"/>
      <c r="LQT804" s="268"/>
      <c r="LQU804" s="268"/>
      <c r="LQV804" s="268"/>
      <c r="LQW804" s="268"/>
      <c r="LQX804" s="268"/>
      <c r="LQY804" s="268"/>
      <c r="LQZ804" s="268"/>
      <c r="LRA804" s="268"/>
      <c r="LRB804" s="268"/>
      <c r="LRC804" s="268"/>
      <c r="LRD804" s="268"/>
      <c r="LRE804" s="268"/>
      <c r="LRF804" s="268"/>
      <c r="LRG804" s="268"/>
      <c r="LRH804" s="268"/>
      <c r="LRI804" s="268"/>
      <c r="LRJ804" s="268"/>
      <c r="LRK804" s="268"/>
      <c r="LRL804" s="268"/>
      <c r="LRM804" s="268"/>
      <c r="LRN804" s="268"/>
      <c r="LRO804" s="268"/>
      <c r="LRP804" s="268"/>
      <c r="LRQ804" s="268"/>
      <c r="LRR804" s="268"/>
      <c r="LRS804" s="268"/>
      <c r="LRT804" s="268"/>
      <c r="LRU804" s="268"/>
      <c r="LRV804" s="268"/>
      <c r="LRW804" s="268"/>
      <c r="LRX804" s="268"/>
      <c r="LRY804" s="268"/>
      <c r="LRZ804" s="268"/>
      <c r="LSA804" s="268"/>
      <c r="LSB804" s="268"/>
      <c r="LSC804" s="268"/>
      <c r="LSD804" s="268"/>
      <c r="LSE804" s="268"/>
      <c r="LSF804" s="268"/>
      <c r="LSG804" s="268"/>
      <c r="LSH804" s="268"/>
      <c r="LSI804" s="268"/>
      <c r="LSJ804" s="268"/>
      <c r="LSK804" s="268"/>
      <c r="LSL804" s="268"/>
      <c r="LSM804" s="268"/>
      <c r="LSN804" s="268"/>
      <c r="LSO804" s="268"/>
      <c r="LSP804" s="268"/>
      <c r="LSQ804" s="268"/>
      <c r="LSR804" s="268"/>
      <c r="LSS804" s="268"/>
      <c r="LST804" s="268"/>
      <c r="LSU804" s="268"/>
      <c r="LSV804" s="268"/>
      <c r="LSW804" s="268"/>
      <c r="LSX804" s="268"/>
      <c r="LSY804" s="268"/>
      <c r="LSZ804" s="268"/>
      <c r="LTA804" s="268"/>
      <c r="LTB804" s="268"/>
      <c r="LTC804" s="268"/>
      <c r="LTD804" s="268"/>
      <c r="LTE804" s="268"/>
      <c r="LTF804" s="268"/>
      <c r="LTG804" s="268"/>
      <c r="LTH804" s="268"/>
      <c r="LTI804" s="268"/>
      <c r="LTJ804" s="268"/>
      <c r="LTK804" s="268"/>
      <c r="LTL804" s="268"/>
      <c r="LTM804" s="268"/>
      <c r="LTN804" s="268"/>
      <c r="LTO804" s="268"/>
      <c r="LTP804" s="268"/>
      <c r="LTQ804" s="268"/>
      <c r="LTR804" s="268"/>
      <c r="LTS804" s="268"/>
      <c r="LTT804" s="268"/>
      <c r="LTU804" s="268"/>
      <c r="LTV804" s="268"/>
      <c r="LTW804" s="268"/>
      <c r="LTX804" s="268"/>
      <c r="LTY804" s="268"/>
      <c r="LTZ804" s="268"/>
      <c r="LUA804" s="268"/>
      <c r="LUB804" s="268"/>
      <c r="LUC804" s="268"/>
      <c r="LUD804" s="268"/>
      <c r="LUE804" s="268"/>
      <c r="LUF804" s="268"/>
      <c r="LUG804" s="268"/>
      <c r="LUH804" s="268"/>
      <c r="LUI804" s="268"/>
      <c r="LUJ804" s="268"/>
      <c r="LUK804" s="268"/>
      <c r="LUL804" s="268"/>
      <c r="LUM804" s="268"/>
      <c r="LUN804" s="268"/>
      <c r="LUO804" s="268"/>
      <c r="LUP804" s="268"/>
      <c r="LUQ804" s="268"/>
      <c r="LUR804" s="268"/>
      <c r="LUS804" s="268"/>
      <c r="LUT804" s="268"/>
      <c r="LUU804" s="268"/>
      <c r="LUV804" s="268"/>
      <c r="LUW804" s="268"/>
      <c r="LUX804" s="268"/>
      <c r="LUY804" s="268"/>
      <c r="LUZ804" s="268"/>
      <c r="LVA804" s="268"/>
      <c r="LVB804" s="268"/>
      <c r="LVC804" s="268"/>
      <c r="LVD804" s="268"/>
      <c r="LVE804" s="268"/>
      <c r="LVF804" s="268"/>
      <c r="LVG804" s="268"/>
      <c r="LVH804" s="268"/>
      <c r="LVI804" s="268"/>
      <c r="LVJ804" s="268"/>
      <c r="LVK804" s="268"/>
      <c r="LVY804" s="268"/>
      <c r="LVZ804" s="268"/>
      <c r="LWA804" s="268"/>
      <c r="LWO804" s="268"/>
      <c r="LWQ804" s="268"/>
      <c r="LWR804" s="268"/>
      <c r="LWS804" s="268"/>
      <c r="LWT804" s="268"/>
      <c r="LWU804" s="268"/>
      <c r="LWV804" s="268"/>
      <c r="LWW804" s="268"/>
      <c r="LWX804" s="268"/>
      <c r="LWY804" s="268"/>
      <c r="LWZ804" s="268"/>
      <c r="LXA804" s="268"/>
      <c r="LXB804" s="268"/>
      <c r="LXC804" s="268"/>
      <c r="LXD804" s="268"/>
      <c r="LXE804" s="268"/>
      <c r="LXF804" s="268"/>
      <c r="LXG804" s="268"/>
      <c r="LXH804" s="268"/>
      <c r="LXI804" s="268"/>
      <c r="LXJ804" s="268"/>
      <c r="LXK804" s="268"/>
      <c r="LXL804" s="268"/>
      <c r="LXM804" s="268"/>
      <c r="LXN804" s="268"/>
      <c r="LXO804" s="268"/>
      <c r="LXP804" s="268"/>
      <c r="LXQ804" s="268"/>
      <c r="LXR804" s="268"/>
      <c r="LXS804" s="268"/>
      <c r="LXT804" s="268"/>
      <c r="LXU804" s="268"/>
      <c r="LXV804" s="268"/>
      <c r="LXW804" s="268"/>
      <c r="LXX804" s="268"/>
      <c r="LXY804" s="268"/>
      <c r="LXZ804" s="268"/>
      <c r="LYA804" s="268"/>
      <c r="LYB804" s="268"/>
      <c r="LYC804" s="268"/>
      <c r="LYD804" s="268"/>
      <c r="LYE804" s="268"/>
      <c r="LYF804" s="268"/>
      <c r="LYG804" s="268"/>
      <c r="LYH804" s="268"/>
      <c r="LYI804" s="268"/>
      <c r="LYJ804" s="268"/>
      <c r="LYK804" s="268"/>
      <c r="LYL804" s="268"/>
      <c r="LYM804" s="268"/>
      <c r="LYN804" s="268"/>
      <c r="LYO804" s="268"/>
      <c r="LYP804" s="268"/>
      <c r="LYQ804" s="268"/>
      <c r="LYR804" s="268"/>
      <c r="LYS804" s="268"/>
      <c r="LYT804" s="268"/>
      <c r="LYU804" s="268"/>
      <c r="LYV804" s="268"/>
      <c r="LYW804" s="268"/>
      <c r="LYX804" s="268"/>
      <c r="LYY804" s="268"/>
      <c r="LYZ804" s="268"/>
      <c r="LZA804" s="268"/>
      <c r="LZB804" s="268"/>
      <c r="LZC804" s="268"/>
      <c r="LZD804" s="268"/>
      <c r="LZE804" s="268"/>
      <c r="LZF804" s="268"/>
      <c r="LZG804" s="268"/>
      <c r="LZH804" s="268"/>
      <c r="LZI804" s="268"/>
      <c r="LZJ804" s="268"/>
      <c r="LZK804" s="268"/>
      <c r="LZL804" s="268"/>
      <c r="LZM804" s="268"/>
      <c r="LZN804" s="268"/>
      <c r="LZO804" s="268"/>
      <c r="LZP804" s="268"/>
      <c r="LZQ804" s="268"/>
      <c r="LZR804" s="268"/>
      <c r="LZS804" s="268"/>
      <c r="LZT804" s="268"/>
      <c r="LZU804" s="268"/>
      <c r="LZV804" s="268"/>
      <c r="LZW804" s="268"/>
      <c r="LZX804" s="268"/>
      <c r="LZY804" s="268"/>
      <c r="LZZ804" s="268"/>
      <c r="MAA804" s="268"/>
      <c r="MAB804" s="268"/>
      <c r="MAC804" s="268"/>
      <c r="MAD804" s="268"/>
      <c r="MAE804" s="268"/>
      <c r="MAF804" s="268"/>
      <c r="MAG804" s="268"/>
      <c r="MAH804" s="268"/>
      <c r="MAI804" s="268"/>
      <c r="MAJ804" s="268"/>
      <c r="MAK804" s="268"/>
      <c r="MAL804" s="268"/>
      <c r="MAM804" s="268"/>
      <c r="MAN804" s="268"/>
      <c r="MAO804" s="268"/>
      <c r="MAP804" s="268"/>
      <c r="MAQ804" s="268"/>
      <c r="MAR804" s="268"/>
      <c r="MAS804" s="268"/>
      <c r="MAT804" s="268"/>
      <c r="MAU804" s="268"/>
      <c r="MAV804" s="268"/>
      <c r="MAW804" s="268"/>
      <c r="MAX804" s="268"/>
      <c r="MAY804" s="268"/>
      <c r="MAZ804" s="268"/>
      <c r="MBA804" s="268"/>
      <c r="MBB804" s="268"/>
      <c r="MBC804" s="268"/>
      <c r="MBD804" s="268"/>
      <c r="MBE804" s="268"/>
      <c r="MBF804" s="268"/>
      <c r="MBG804" s="268"/>
      <c r="MBH804" s="268"/>
      <c r="MBI804" s="268"/>
      <c r="MBJ804" s="268"/>
      <c r="MBK804" s="268"/>
      <c r="MBL804" s="268"/>
      <c r="MBM804" s="268"/>
      <c r="MBN804" s="268"/>
      <c r="MBO804" s="268"/>
      <c r="MBP804" s="268"/>
      <c r="MBQ804" s="268"/>
      <c r="MBR804" s="268"/>
      <c r="MBS804" s="268"/>
      <c r="MBT804" s="268"/>
      <c r="MBU804" s="268"/>
      <c r="MBV804" s="268"/>
      <c r="MBW804" s="268"/>
      <c r="MBX804" s="268"/>
      <c r="MBY804" s="268"/>
      <c r="MBZ804" s="268"/>
      <c r="MCA804" s="268"/>
      <c r="MCB804" s="268"/>
      <c r="MCC804" s="268"/>
      <c r="MCD804" s="268"/>
      <c r="MCE804" s="268"/>
      <c r="MCF804" s="268"/>
      <c r="MCG804" s="268"/>
      <c r="MCH804" s="268"/>
      <c r="MCI804" s="268"/>
      <c r="MCJ804" s="268"/>
      <c r="MCK804" s="268"/>
      <c r="MCL804" s="268"/>
      <c r="MCM804" s="268"/>
      <c r="MCN804" s="268"/>
      <c r="MCO804" s="268"/>
      <c r="MCP804" s="268"/>
      <c r="MCQ804" s="268"/>
      <c r="MCR804" s="268"/>
      <c r="MCS804" s="268"/>
      <c r="MCT804" s="268"/>
      <c r="MCU804" s="268"/>
      <c r="MCV804" s="268"/>
      <c r="MCW804" s="268"/>
      <c r="MCX804" s="268"/>
      <c r="MCY804" s="268"/>
      <c r="MCZ804" s="268"/>
      <c r="MDA804" s="268"/>
      <c r="MDB804" s="268"/>
      <c r="MDC804" s="268"/>
      <c r="MDD804" s="268"/>
      <c r="MDE804" s="268"/>
      <c r="MDF804" s="268"/>
      <c r="MDG804" s="268"/>
      <c r="MDH804" s="268"/>
      <c r="MDI804" s="268"/>
      <c r="MDJ804" s="268"/>
      <c r="MDK804" s="268"/>
      <c r="MDL804" s="268"/>
      <c r="MDM804" s="268"/>
      <c r="MDN804" s="268"/>
      <c r="MDO804" s="268"/>
      <c r="MDP804" s="268"/>
      <c r="MDQ804" s="268"/>
      <c r="MDR804" s="268"/>
      <c r="MDS804" s="268"/>
      <c r="MDT804" s="268"/>
      <c r="MDU804" s="268"/>
      <c r="MDV804" s="268"/>
      <c r="MDW804" s="268"/>
      <c r="MDX804" s="268"/>
      <c r="MDY804" s="268"/>
      <c r="MDZ804" s="268"/>
      <c r="MEA804" s="268"/>
      <c r="MEB804" s="268"/>
      <c r="MEC804" s="268"/>
      <c r="MED804" s="268"/>
      <c r="MEE804" s="268"/>
      <c r="MEF804" s="268"/>
      <c r="MEG804" s="268"/>
      <c r="MEH804" s="268"/>
      <c r="MEI804" s="268"/>
      <c r="MEJ804" s="268"/>
      <c r="MEK804" s="268"/>
      <c r="MEL804" s="268"/>
      <c r="MEM804" s="268"/>
      <c r="MEN804" s="268"/>
      <c r="MEO804" s="268"/>
      <c r="MEP804" s="268"/>
      <c r="MEQ804" s="268"/>
      <c r="MER804" s="268"/>
      <c r="MES804" s="268"/>
      <c r="MET804" s="268"/>
      <c r="MEU804" s="268"/>
      <c r="MEV804" s="268"/>
      <c r="MEW804" s="268"/>
      <c r="MEX804" s="268"/>
      <c r="MEY804" s="268"/>
      <c r="MEZ804" s="268"/>
      <c r="MFA804" s="268"/>
      <c r="MFB804" s="268"/>
      <c r="MFC804" s="268"/>
      <c r="MFD804" s="268"/>
      <c r="MFE804" s="268"/>
      <c r="MFF804" s="268"/>
      <c r="MFG804" s="268"/>
      <c r="MFU804" s="268"/>
      <c r="MFV804" s="268"/>
      <c r="MFW804" s="268"/>
      <c r="MGK804" s="268"/>
      <c r="MGM804" s="268"/>
      <c r="MGN804" s="268"/>
      <c r="MGO804" s="268"/>
      <c r="MGP804" s="268"/>
      <c r="MGQ804" s="268"/>
      <c r="MGR804" s="268"/>
      <c r="MGS804" s="268"/>
      <c r="MGT804" s="268"/>
      <c r="MGU804" s="268"/>
      <c r="MGV804" s="268"/>
      <c r="MGW804" s="268"/>
      <c r="MGX804" s="268"/>
      <c r="MGY804" s="268"/>
      <c r="MGZ804" s="268"/>
      <c r="MHA804" s="268"/>
      <c r="MHB804" s="268"/>
      <c r="MHC804" s="268"/>
      <c r="MHD804" s="268"/>
      <c r="MHE804" s="268"/>
      <c r="MHF804" s="268"/>
      <c r="MHG804" s="268"/>
      <c r="MHH804" s="268"/>
      <c r="MHI804" s="268"/>
      <c r="MHJ804" s="268"/>
      <c r="MHK804" s="268"/>
      <c r="MHL804" s="268"/>
      <c r="MHM804" s="268"/>
      <c r="MHN804" s="268"/>
      <c r="MHO804" s="268"/>
      <c r="MHP804" s="268"/>
      <c r="MHQ804" s="268"/>
      <c r="MHR804" s="268"/>
      <c r="MHS804" s="268"/>
      <c r="MHT804" s="268"/>
      <c r="MHU804" s="268"/>
      <c r="MHV804" s="268"/>
      <c r="MHW804" s="268"/>
      <c r="MHX804" s="268"/>
      <c r="MHY804" s="268"/>
      <c r="MHZ804" s="268"/>
      <c r="MIA804" s="268"/>
      <c r="MIB804" s="268"/>
      <c r="MIC804" s="268"/>
      <c r="MID804" s="268"/>
      <c r="MIE804" s="268"/>
      <c r="MIF804" s="268"/>
      <c r="MIG804" s="268"/>
      <c r="MIH804" s="268"/>
      <c r="MII804" s="268"/>
      <c r="MIJ804" s="268"/>
      <c r="MIK804" s="268"/>
      <c r="MIL804" s="268"/>
      <c r="MIM804" s="268"/>
      <c r="MIN804" s="268"/>
      <c r="MIO804" s="268"/>
      <c r="MIP804" s="268"/>
      <c r="MIQ804" s="268"/>
      <c r="MIR804" s="268"/>
      <c r="MIS804" s="268"/>
      <c r="MIT804" s="268"/>
      <c r="MIU804" s="268"/>
      <c r="MIV804" s="268"/>
      <c r="MIW804" s="268"/>
      <c r="MIX804" s="268"/>
      <c r="MIY804" s="268"/>
      <c r="MIZ804" s="268"/>
      <c r="MJA804" s="268"/>
      <c r="MJB804" s="268"/>
      <c r="MJC804" s="268"/>
      <c r="MJD804" s="268"/>
      <c r="MJE804" s="268"/>
      <c r="MJF804" s="268"/>
      <c r="MJG804" s="268"/>
      <c r="MJH804" s="268"/>
      <c r="MJI804" s="268"/>
      <c r="MJJ804" s="268"/>
      <c r="MJK804" s="268"/>
      <c r="MJL804" s="268"/>
      <c r="MJM804" s="268"/>
      <c r="MJN804" s="268"/>
      <c r="MJO804" s="268"/>
      <c r="MJP804" s="268"/>
      <c r="MJQ804" s="268"/>
      <c r="MJR804" s="268"/>
      <c r="MJS804" s="268"/>
      <c r="MJT804" s="268"/>
      <c r="MJU804" s="268"/>
      <c r="MJV804" s="268"/>
      <c r="MJW804" s="268"/>
      <c r="MJX804" s="268"/>
      <c r="MJY804" s="268"/>
      <c r="MJZ804" s="268"/>
      <c r="MKA804" s="268"/>
      <c r="MKB804" s="268"/>
      <c r="MKC804" s="268"/>
      <c r="MKD804" s="268"/>
      <c r="MKE804" s="268"/>
      <c r="MKF804" s="268"/>
      <c r="MKG804" s="268"/>
      <c r="MKH804" s="268"/>
      <c r="MKI804" s="268"/>
      <c r="MKJ804" s="268"/>
      <c r="MKK804" s="268"/>
      <c r="MKL804" s="268"/>
      <c r="MKM804" s="268"/>
      <c r="MKN804" s="268"/>
      <c r="MKO804" s="268"/>
      <c r="MKP804" s="268"/>
      <c r="MKQ804" s="268"/>
      <c r="MKR804" s="268"/>
      <c r="MKS804" s="268"/>
      <c r="MKT804" s="268"/>
      <c r="MKU804" s="268"/>
      <c r="MKV804" s="268"/>
      <c r="MKW804" s="268"/>
      <c r="MKX804" s="268"/>
      <c r="MKY804" s="268"/>
      <c r="MKZ804" s="268"/>
      <c r="MLA804" s="268"/>
      <c r="MLB804" s="268"/>
      <c r="MLC804" s="268"/>
      <c r="MLD804" s="268"/>
      <c r="MLE804" s="268"/>
      <c r="MLF804" s="268"/>
      <c r="MLG804" s="268"/>
      <c r="MLH804" s="268"/>
      <c r="MLI804" s="268"/>
      <c r="MLJ804" s="268"/>
      <c r="MLK804" s="268"/>
      <c r="MLL804" s="268"/>
      <c r="MLM804" s="268"/>
      <c r="MLN804" s="268"/>
      <c r="MLO804" s="268"/>
      <c r="MLP804" s="268"/>
      <c r="MLQ804" s="268"/>
      <c r="MLR804" s="268"/>
      <c r="MLS804" s="268"/>
      <c r="MLT804" s="268"/>
      <c r="MLU804" s="268"/>
      <c r="MLV804" s="268"/>
      <c r="MLW804" s="268"/>
      <c r="MLX804" s="268"/>
      <c r="MLY804" s="268"/>
      <c r="MLZ804" s="268"/>
      <c r="MMA804" s="268"/>
      <c r="MMB804" s="268"/>
      <c r="MMC804" s="268"/>
      <c r="MMD804" s="268"/>
      <c r="MME804" s="268"/>
      <c r="MMF804" s="268"/>
      <c r="MMG804" s="268"/>
      <c r="MMH804" s="268"/>
      <c r="MMI804" s="268"/>
      <c r="MMJ804" s="268"/>
      <c r="MMK804" s="268"/>
      <c r="MML804" s="268"/>
      <c r="MMM804" s="268"/>
      <c r="MMN804" s="268"/>
      <c r="MMO804" s="268"/>
      <c r="MMP804" s="268"/>
      <c r="MMQ804" s="268"/>
      <c r="MMR804" s="268"/>
      <c r="MMS804" s="268"/>
      <c r="MMT804" s="268"/>
      <c r="MMU804" s="268"/>
      <c r="MMV804" s="268"/>
      <c r="MMW804" s="268"/>
      <c r="MMX804" s="268"/>
      <c r="MMY804" s="268"/>
      <c r="MMZ804" s="268"/>
      <c r="MNA804" s="268"/>
      <c r="MNB804" s="268"/>
      <c r="MNC804" s="268"/>
      <c r="MND804" s="268"/>
      <c r="MNE804" s="268"/>
      <c r="MNF804" s="268"/>
      <c r="MNG804" s="268"/>
      <c r="MNH804" s="268"/>
      <c r="MNI804" s="268"/>
      <c r="MNJ804" s="268"/>
      <c r="MNK804" s="268"/>
      <c r="MNL804" s="268"/>
      <c r="MNM804" s="268"/>
      <c r="MNN804" s="268"/>
      <c r="MNO804" s="268"/>
      <c r="MNP804" s="268"/>
      <c r="MNQ804" s="268"/>
      <c r="MNR804" s="268"/>
      <c r="MNS804" s="268"/>
      <c r="MNT804" s="268"/>
      <c r="MNU804" s="268"/>
      <c r="MNV804" s="268"/>
      <c r="MNW804" s="268"/>
      <c r="MNX804" s="268"/>
      <c r="MNY804" s="268"/>
      <c r="MNZ804" s="268"/>
      <c r="MOA804" s="268"/>
      <c r="MOB804" s="268"/>
      <c r="MOC804" s="268"/>
      <c r="MOD804" s="268"/>
      <c r="MOE804" s="268"/>
      <c r="MOF804" s="268"/>
      <c r="MOG804" s="268"/>
      <c r="MOH804" s="268"/>
      <c r="MOI804" s="268"/>
      <c r="MOJ804" s="268"/>
      <c r="MOK804" s="268"/>
      <c r="MOL804" s="268"/>
      <c r="MOM804" s="268"/>
      <c r="MON804" s="268"/>
      <c r="MOO804" s="268"/>
      <c r="MOP804" s="268"/>
      <c r="MOQ804" s="268"/>
      <c r="MOR804" s="268"/>
      <c r="MOS804" s="268"/>
      <c r="MOT804" s="268"/>
      <c r="MOU804" s="268"/>
      <c r="MOV804" s="268"/>
      <c r="MOW804" s="268"/>
      <c r="MOX804" s="268"/>
      <c r="MOY804" s="268"/>
      <c r="MOZ804" s="268"/>
      <c r="MPA804" s="268"/>
      <c r="MPB804" s="268"/>
      <c r="MPC804" s="268"/>
      <c r="MPQ804" s="268"/>
      <c r="MPR804" s="268"/>
      <c r="MPS804" s="268"/>
      <c r="MQG804" s="268"/>
      <c r="MQI804" s="268"/>
      <c r="MQJ804" s="268"/>
      <c r="MQK804" s="268"/>
      <c r="MQL804" s="268"/>
      <c r="MQM804" s="268"/>
      <c r="MQN804" s="268"/>
      <c r="MQO804" s="268"/>
      <c r="MQP804" s="268"/>
      <c r="MQQ804" s="268"/>
      <c r="MQR804" s="268"/>
      <c r="MQS804" s="268"/>
      <c r="MQT804" s="268"/>
      <c r="MQU804" s="268"/>
      <c r="MQV804" s="268"/>
      <c r="MQW804" s="268"/>
      <c r="MQX804" s="268"/>
      <c r="MQY804" s="268"/>
      <c r="MQZ804" s="268"/>
      <c r="MRA804" s="268"/>
      <c r="MRB804" s="268"/>
      <c r="MRC804" s="268"/>
      <c r="MRD804" s="268"/>
      <c r="MRE804" s="268"/>
      <c r="MRF804" s="268"/>
      <c r="MRG804" s="268"/>
      <c r="MRH804" s="268"/>
      <c r="MRI804" s="268"/>
      <c r="MRJ804" s="268"/>
      <c r="MRK804" s="268"/>
      <c r="MRL804" s="268"/>
      <c r="MRM804" s="268"/>
      <c r="MRN804" s="268"/>
      <c r="MRO804" s="268"/>
      <c r="MRP804" s="268"/>
      <c r="MRQ804" s="268"/>
      <c r="MRR804" s="268"/>
      <c r="MRS804" s="268"/>
      <c r="MRT804" s="268"/>
      <c r="MRU804" s="268"/>
      <c r="MRV804" s="268"/>
      <c r="MRW804" s="268"/>
      <c r="MRX804" s="268"/>
      <c r="MRY804" s="268"/>
      <c r="MRZ804" s="268"/>
      <c r="MSA804" s="268"/>
      <c r="MSB804" s="268"/>
      <c r="MSC804" s="268"/>
      <c r="MSD804" s="268"/>
      <c r="MSE804" s="268"/>
      <c r="MSF804" s="268"/>
      <c r="MSG804" s="268"/>
      <c r="MSH804" s="268"/>
      <c r="MSI804" s="268"/>
      <c r="MSJ804" s="268"/>
      <c r="MSK804" s="268"/>
      <c r="MSL804" s="268"/>
      <c r="MSM804" s="268"/>
      <c r="MSN804" s="268"/>
      <c r="MSO804" s="268"/>
      <c r="MSP804" s="268"/>
      <c r="MSQ804" s="268"/>
      <c r="MSR804" s="268"/>
      <c r="MSS804" s="268"/>
      <c r="MST804" s="268"/>
      <c r="MSU804" s="268"/>
      <c r="MSV804" s="268"/>
      <c r="MSW804" s="268"/>
      <c r="MSX804" s="268"/>
      <c r="MSY804" s="268"/>
      <c r="MSZ804" s="268"/>
      <c r="MTA804" s="268"/>
      <c r="MTB804" s="268"/>
      <c r="MTC804" s="268"/>
      <c r="MTD804" s="268"/>
      <c r="MTE804" s="268"/>
      <c r="MTF804" s="268"/>
      <c r="MTG804" s="268"/>
      <c r="MTH804" s="268"/>
      <c r="MTI804" s="268"/>
      <c r="MTJ804" s="268"/>
      <c r="MTK804" s="268"/>
      <c r="MTL804" s="268"/>
      <c r="MTM804" s="268"/>
      <c r="MTN804" s="268"/>
      <c r="MTO804" s="268"/>
      <c r="MTP804" s="268"/>
      <c r="MTQ804" s="268"/>
      <c r="MTR804" s="268"/>
      <c r="MTS804" s="268"/>
      <c r="MTT804" s="268"/>
      <c r="MTU804" s="268"/>
      <c r="MTV804" s="268"/>
      <c r="MTW804" s="268"/>
      <c r="MTX804" s="268"/>
      <c r="MTY804" s="268"/>
      <c r="MTZ804" s="268"/>
      <c r="MUA804" s="268"/>
      <c r="MUB804" s="268"/>
      <c r="MUC804" s="268"/>
      <c r="MUD804" s="268"/>
      <c r="MUE804" s="268"/>
      <c r="MUF804" s="268"/>
      <c r="MUG804" s="268"/>
      <c r="MUH804" s="268"/>
      <c r="MUI804" s="268"/>
      <c r="MUJ804" s="268"/>
      <c r="MUK804" s="268"/>
      <c r="MUL804" s="268"/>
      <c r="MUM804" s="268"/>
      <c r="MUN804" s="268"/>
      <c r="MUO804" s="268"/>
      <c r="MUP804" s="268"/>
      <c r="MUQ804" s="268"/>
      <c r="MUR804" s="268"/>
      <c r="MUS804" s="268"/>
      <c r="MUT804" s="268"/>
      <c r="MUU804" s="268"/>
      <c r="MUV804" s="268"/>
      <c r="MUW804" s="268"/>
      <c r="MUX804" s="268"/>
      <c r="MUY804" s="268"/>
      <c r="MUZ804" s="268"/>
      <c r="MVA804" s="268"/>
      <c r="MVB804" s="268"/>
      <c r="MVC804" s="268"/>
      <c r="MVD804" s="268"/>
      <c r="MVE804" s="268"/>
      <c r="MVF804" s="268"/>
      <c r="MVG804" s="268"/>
      <c r="MVH804" s="268"/>
      <c r="MVI804" s="268"/>
      <c r="MVJ804" s="268"/>
      <c r="MVK804" s="268"/>
      <c r="MVL804" s="268"/>
      <c r="MVM804" s="268"/>
      <c r="MVN804" s="268"/>
      <c r="MVO804" s="268"/>
      <c r="MVP804" s="268"/>
      <c r="MVQ804" s="268"/>
      <c r="MVR804" s="268"/>
      <c r="MVS804" s="268"/>
      <c r="MVT804" s="268"/>
      <c r="MVU804" s="268"/>
      <c r="MVV804" s="268"/>
      <c r="MVW804" s="268"/>
      <c r="MVX804" s="268"/>
      <c r="MVY804" s="268"/>
      <c r="MVZ804" s="268"/>
      <c r="MWA804" s="268"/>
      <c r="MWB804" s="268"/>
      <c r="MWC804" s="268"/>
      <c r="MWD804" s="268"/>
      <c r="MWE804" s="268"/>
      <c r="MWF804" s="268"/>
      <c r="MWG804" s="268"/>
      <c r="MWH804" s="268"/>
      <c r="MWI804" s="268"/>
      <c r="MWJ804" s="268"/>
      <c r="MWK804" s="268"/>
      <c r="MWL804" s="268"/>
      <c r="MWM804" s="268"/>
      <c r="MWN804" s="268"/>
      <c r="MWO804" s="268"/>
      <c r="MWP804" s="268"/>
      <c r="MWQ804" s="268"/>
      <c r="MWR804" s="268"/>
      <c r="MWS804" s="268"/>
      <c r="MWT804" s="268"/>
      <c r="MWU804" s="268"/>
      <c r="MWV804" s="268"/>
      <c r="MWW804" s="268"/>
      <c r="MWX804" s="268"/>
      <c r="MWY804" s="268"/>
      <c r="MWZ804" s="268"/>
      <c r="MXA804" s="268"/>
      <c r="MXB804" s="268"/>
      <c r="MXC804" s="268"/>
      <c r="MXD804" s="268"/>
      <c r="MXE804" s="268"/>
      <c r="MXF804" s="268"/>
      <c r="MXG804" s="268"/>
      <c r="MXH804" s="268"/>
      <c r="MXI804" s="268"/>
      <c r="MXJ804" s="268"/>
      <c r="MXK804" s="268"/>
      <c r="MXL804" s="268"/>
      <c r="MXM804" s="268"/>
      <c r="MXN804" s="268"/>
      <c r="MXO804" s="268"/>
      <c r="MXP804" s="268"/>
      <c r="MXQ804" s="268"/>
      <c r="MXR804" s="268"/>
      <c r="MXS804" s="268"/>
      <c r="MXT804" s="268"/>
      <c r="MXU804" s="268"/>
      <c r="MXV804" s="268"/>
      <c r="MXW804" s="268"/>
      <c r="MXX804" s="268"/>
      <c r="MXY804" s="268"/>
      <c r="MXZ804" s="268"/>
      <c r="MYA804" s="268"/>
      <c r="MYB804" s="268"/>
      <c r="MYC804" s="268"/>
      <c r="MYD804" s="268"/>
      <c r="MYE804" s="268"/>
      <c r="MYF804" s="268"/>
      <c r="MYG804" s="268"/>
      <c r="MYH804" s="268"/>
      <c r="MYI804" s="268"/>
      <c r="MYJ804" s="268"/>
      <c r="MYK804" s="268"/>
      <c r="MYL804" s="268"/>
      <c r="MYM804" s="268"/>
      <c r="MYN804" s="268"/>
      <c r="MYO804" s="268"/>
      <c r="MYP804" s="268"/>
      <c r="MYQ804" s="268"/>
      <c r="MYR804" s="268"/>
      <c r="MYS804" s="268"/>
      <c r="MYT804" s="268"/>
      <c r="MYU804" s="268"/>
      <c r="MYV804" s="268"/>
      <c r="MYW804" s="268"/>
      <c r="MYX804" s="268"/>
      <c r="MYY804" s="268"/>
      <c r="MZM804" s="268"/>
      <c r="MZN804" s="268"/>
      <c r="MZO804" s="268"/>
      <c r="NAC804" s="268"/>
      <c r="NAE804" s="268"/>
      <c r="NAF804" s="268"/>
      <c r="NAG804" s="268"/>
      <c r="NAH804" s="268"/>
      <c r="NAI804" s="268"/>
      <c r="NAJ804" s="268"/>
      <c r="NAK804" s="268"/>
      <c r="NAL804" s="268"/>
      <c r="NAM804" s="268"/>
      <c r="NAN804" s="268"/>
      <c r="NAO804" s="268"/>
      <c r="NAP804" s="268"/>
      <c r="NAQ804" s="268"/>
      <c r="NAR804" s="268"/>
      <c r="NAS804" s="268"/>
      <c r="NAT804" s="268"/>
      <c r="NAU804" s="268"/>
      <c r="NAV804" s="268"/>
      <c r="NAW804" s="268"/>
      <c r="NAX804" s="268"/>
      <c r="NAY804" s="268"/>
      <c r="NAZ804" s="268"/>
      <c r="NBA804" s="268"/>
      <c r="NBB804" s="268"/>
      <c r="NBC804" s="268"/>
      <c r="NBD804" s="268"/>
      <c r="NBE804" s="268"/>
      <c r="NBF804" s="268"/>
      <c r="NBG804" s="268"/>
      <c r="NBH804" s="268"/>
      <c r="NBI804" s="268"/>
      <c r="NBJ804" s="268"/>
      <c r="NBK804" s="268"/>
      <c r="NBL804" s="268"/>
      <c r="NBM804" s="268"/>
      <c r="NBN804" s="268"/>
      <c r="NBO804" s="268"/>
      <c r="NBP804" s="268"/>
      <c r="NBQ804" s="268"/>
      <c r="NBR804" s="268"/>
      <c r="NBS804" s="268"/>
      <c r="NBT804" s="268"/>
      <c r="NBU804" s="268"/>
      <c r="NBV804" s="268"/>
      <c r="NBW804" s="268"/>
      <c r="NBX804" s="268"/>
      <c r="NBY804" s="268"/>
      <c r="NBZ804" s="268"/>
      <c r="NCA804" s="268"/>
      <c r="NCB804" s="268"/>
      <c r="NCC804" s="268"/>
      <c r="NCD804" s="268"/>
      <c r="NCE804" s="268"/>
      <c r="NCF804" s="268"/>
      <c r="NCG804" s="268"/>
      <c r="NCH804" s="268"/>
      <c r="NCI804" s="268"/>
      <c r="NCJ804" s="268"/>
      <c r="NCK804" s="268"/>
      <c r="NCL804" s="268"/>
      <c r="NCM804" s="268"/>
      <c r="NCN804" s="268"/>
      <c r="NCO804" s="268"/>
      <c r="NCP804" s="268"/>
      <c r="NCQ804" s="268"/>
      <c r="NCR804" s="268"/>
      <c r="NCS804" s="268"/>
      <c r="NCT804" s="268"/>
      <c r="NCU804" s="268"/>
      <c r="NCV804" s="268"/>
      <c r="NCW804" s="268"/>
      <c r="NCX804" s="268"/>
      <c r="NCY804" s="268"/>
      <c r="NCZ804" s="268"/>
      <c r="NDA804" s="268"/>
      <c r="NDB804" s="268"/>
      <c r="NDC804" s="268"/>
      <c r="NDD804" s="268"/>
      <c r="NDE804" s="268"/>
      <c r="NDF804" s="268"/>
      <c r="NDG804" s="268"/>
      <c r="NDH804" s="268"/>
      <c r="NDI804" s="268"/>
      <c r="NDJ804" s="268"/>
      <c r="NDK804" s="268"/>
      <c r="NDL804" s="268"/>
      <c r="NDM804" s="268"/>
      <c r="NDN804" s="268"/>
      <c r="NDO804" s="268"/>
      <c r="NDP804" s="268"/>
      <c r="NDQ804" s="268"/>
      <c r="NDR804" s="268"/>
      <c r="NDS804" s="268"/>
      <c r="NDT804" s="268"/>
      <c r="NDU804" s="268"/>
      <c r="NDV804" s="268"/>
      <c r="NDW804" s="268"/>
      <c r="NDX804" s="268"/>
      <c r="NDY804" s="268"/>
      <c r="NDZ804" s="268"/>
      <c r="NEA804" s="268"/>
      <c r="NEB804" s="268"/>
      <c r="NEC804" s="268"/>
      <c r="NED804" s="268"/>
      <c r="NEE804" s="268"/>
      <c r="NEF804" s="268"/>
      <c r="NEG804" s="268"/>
      <c r="NEH804" s="268"/>
      <c r="NEI804" s="268"/>
      <c r="NEJ804" s="268"/>
      <c r="NEK804" s="268"/>
      <c r="NEL804" s="268"/>
      <c r="NEM804" s="268"/>
      <c r="NEN804" s="268"/>
      <c r="NEO804" s="268"/>
      <c r="NEP804" s="268"/>
      <c r="NEQ804" s="268"/>
      <c r="NER804" s="268"/>
      <c r="NES804" s="268"/>
      <c r="NET804" s="268"/>
      <c r="NEU804" s="268"/>
      <c r="NEV804" s="268"/>
      <c r="NEW804" s="268"/>
      <c r="NEX804" s="268"/>
      <c r="NEY804" s="268"/>
      <c r="NEZ804" s="268"/>
      <c r="NFA804" s="268"/>
      <c r="NFB804" s="268"/>
      <c r="NFC804" s="268"/>
      <c r="NFD804" s="268"/>
      <c r="NFE804" s="268"/>
      <c r="NFF804" s="268"/>
      <c r="NFG804" s="268"/>
      <c r="NFH804" s="268"/>
      <c r="NFI804" s="268"/>
      <c r="NFJ804" s="268"/>
      <c r="NFK804" s="268"/>
      <c r="NFL804" s="268"/>
      <c r="NFM804" s="268"/>
      <c r="NFN804" s="268"/>
      <c r="NFO804" s="268"/>
      <c r="NFP804" s="268"/>
      <c r="NFQ804" s="268"/>
      <c r="NFR804" s="268"/>
      <c r="NFS804" s="268"/>
      <c r="NFT804" s="268"/>
      <c r="NFU804" s="268"/>
      <c r="NFV804" s="268"/>
      <c r="NFW804" s="268"/>
      <c r="NFX804" s="268"/>
      <c r="NFY804" s="268"/>
      <c r="NFZ804" s="268"/>
      <c r="NGA804" s="268"/>
      <c r="NGB804" s="268"/>
      <c r="NGC804" s="268"/>
      <c r="NGD804" s="268"/>
      <c r="NGE804" s="268"/>
      <c r="NGF804" s="268"/>
      <c r="NGG804" s="268"/>
      <c r="NGH804" s="268"/>
      <c r="NGI804" s="268"/>
      <c r="NGJ804" s="268"/>
      <c r="NGK804" s="268"/>
      <c r="NGL804" s="268"/>
      <c r="NGM804" s="268"/>
      <c r="NGN804" s="268"/>
      <c r="NGO804" s="268"/>
      <c r="NGP804" s="268"/>
      <c r="NGQ804" s="268"/>
      <c r="NGR804" s="268"/>
      <c r="NGS804" s="268"/>
      <c r="NGT804" s="268"/>
      <c r="NGU804" s="268"/>
      <c r="NGV804" s="268"/>
      <c r="NGW804" s="268"/>
      <c r="NGX804" s="268"/>
      <c r="NGY804" s="268"/>
      <c r="NGZ804" s="268"/>
      <c r="NHA804" s="268"/>
      <c r="NHB804" s="268"/>
      <c r="NHC804" s="268"/>
      <c r="NHD804" s="268"/>
      <c r="NHE804" s="268"/>
      <c r="NHF804" s="268"/>
      <c r="NHG804" s="268"/>
      <c r="NHH804" s="268"/>
      <c r="NHI804" s="268"/>
      <c r="NHJ804" s="268"/>
      <c r="NHK804" s="268"/>
      <c r="NHL804" s="268"/>
      <c r="NHM804" s="268"/>
      <c r="NHN804" s="268"/>
      <c r="NHO804" s="268"/>
      <c r="NHP804" s="268"/>
      <c r="NHQ804" s="268"/>
      <c r="NHR804" s="268"/>
      <c r="NHS804" s="268"/>
      <c r="NHT804" s="268"/>
      <c r="NHU804" s="268"/>
      <c r="NHV804" s="268"/>
      <c r="NHW804" s="268"/>
      <c r="NHX804" s="268"/>
      <c r="NHY804" s="268"/>
      <c r="NHZ804" s="268"/>
      <c r="NIA804" s="268"/>
      <c r="NIB804" s="268"/>
      <c r="NIC804" s="268"/>
      <c r="NID804" s="268"/>
      <c r="NIE804" s="268"/>
      <c r="NIF804" s="268"/>
      <c r="NIG804" s="268"/>
      <c r="NIH804" s="268"/>
      <c r="NII804" s="268"/>
      <c r="NIJ804" s="268"/>
      <c r="NIK804" s="268"/>
      <c r="NIL804" s="268"/>
      <c r="NIM804" s="268"/>
      <c r="NIN804" s="268"/>
      <c r="NIO804" s="268"/>
      <c r="NIP804" s="268"/>
      <c r="NIQ804" s="268"/>
      <c r="NIR804" s="268"/>
      <c r="NIS804" s="268"/>
      <c r="NIT804" s="268"/>
      <c r="NIU804" s="268"/>
      <c r="NJI804" s="268"/>
      <c r="NJJ804" s="268"/>
      <c r="NJK804" s="268"/>
      <c r="NJY804" s="268"/>
      <c r="NKA804" s="268"/>
      <c r="NKB804" s="268"/>
      <c r="NKC804" s="268"/>
      <c r="NKD804" s="268"/>
      <c r="NKE804" s="268"/>
      <c r="NKF804" s="268"/>
      <c r="NKG804" s="268"/>
      <c r="NKH804" s="268"/>
      <c r="NKI804" s="268"/>
      <c r="NKJ804" s="268"/>
      <c r="NKK804" s="268"/>
      <c r="NKL804" s="268"/>
      <c r="NKM804" s="268"/>
      <c r="NKN804" s="268"/>
      <c r="NKO804" s="268"/>
      <c r="NKP804" s="268"/>
      <c r="NKQ804" s="268"/>
      <c r="NKR804" s="268"/>
      <c r="NKS804" s="268"/>
      <c r="NKT804" s="268"/>
      <c r="NKU804" s="268"/>
      <c r="NKV804" s="268"/>
      <c r="NKW804" s="268"/>
      <c r="NKX804" s="268"/>
      <c r="NKY804" s="268"/>
      <c r="NKZ804" s="268"/>
      <c r="NLA804" s="268"/>
      <c r="NLB804" s="268"/>
      <c r="NLC804" s="268"/>
      <c r="NLD804" s="268"/>
      <c r="NLE804" s="268"/>
      <c r="NLF804" s="268"/>
      <c r="NLG804" s="268"/>
      <c r="NLH804" s="268"/>
      <c r="NLI804" s="268"/>
      <c r="NLJ804" s="268"/>
      <c r="NLK804" s="268"/>
      <c r="NLL804" s="268"/>
      <c r="NLM804" s="268"/>
      <c r="NLN804" s="268"/>
      <c r="NLO804" s="268"/>
      <c r="NLP804" s="268"/>
      <c r="NLQ804" s="268"/>
      <c r="NLR804" s="268"/>
      <c r="NLS804" s="268"/>
      <c r="NLT804" s="268"/>
      <c r="NLU804" s="268"/>
      <c r="NLV804" s="268"/>
      <c r="NLW804" s="268"/>
      <c r="NLX804" s="268"/>
      <c r="NLY804" s="268"/>
      <c r="NLZ804" s="268"/>
      <c r="NMA804" s="268"/>
      <c r="NMB804" s="268"/>
      <c r="NMC804" s="268"/>
      <c r="NMD804" s="268"/>
      <c r="NME804" s="268"/>
      <c r="NMF804" s="268"/>
      <c r="NMG804" s="268"/>
      <c r="NMH804" s="268"/>
      <c r="NMI804" s="268"/>
      <c r="NMJ804" s="268"/>
      <c r="NMK804" s="268"/>
      <c r="NML804" s="268"/>
      <c r="NMM804" s="268"/>
      <c r="NMN804" s="268"/>
      <c r="NMO804" s="268"/>
      <c r="NMP804" s="268"/>
      <c r="NMQ804" s="268"/>
      <c r="NMR804" s="268"/>
      <c r="NMS804" s="268"/>
      <c r="NMT804" s="268"/>
      <c r="NMU804" s="268"/>
      <c r="NMV804" s="268"/>
      <c r="NMW804" s="268"/>
      <c r="NMX804" s="268"/>
      <c r="NMY804" s="268"/>
      <c r="NMZ804" s="268"/>
      <c r="NNA804" s="268"/>
      <c r="NNB804" s="268"/>
      <c r="NNC804" s="268"/>
      <c r="NND804" s="268"/>
      <c r="NNE804" s="268"/>
      <c r="NNF804" s="268"/>
      <c r="NNG804" s="268"/>
      <c r="NNH804" s="268"/>
      <c r="NNI804" s="268"/>
      <c r="NNJ804" s="268"/>
      <c r="NNK804" s="268"/>
      <c r="NNL804" s="268"/>
      <c r="NNM804" s="268"/>
      <c r="NNN804" s="268"/>
      <c r="NNO804" s="268"/>
      <c r="NNP804" s="268"/>
      <c r="NNQ804" s="268"/>
      <c r="NNR804" s="268"/>
      <c r="NNS804" s="268"/>
      <c r="NNT804" s="268"/>
      <c r="NNU804" s="268"/>
      <c r="NNV804" s="268"/>
      <c r="NNW804" s="268"/>
      <c r="NNX804" s="268"/>
      <c r="NNY804" s="268"/>
      <c r="NNZ804" s="268"/>
      <c r="NOA804" s="268"/>
      <c r="NOB804" s="268"/>
      <c r="NOC804" s="268"/>
      <c r="NOD804" s="268"/>
      <c r="NOE804" s="268"/>
      <c r="NOF804" s="268"/>
      <c r="NOG804" s="268"/>
      <c r="NOH804" s="268"/>
      <c r="NOI804" s="268"/>
      <c r="NOJ804" s="268"/>
      <c r="NOK804" s="268"/>
      <c r="NOL804" s="268"/>
      <c r="NOM804" s="268"/>
      <c r="NON804" s="268"/>
      <c r="NOO804" s="268"/>
      <c r="NOP804" s="268"/>
      <c r="NOQ804" s="268"/>
      <c r="NOR804" s="268"/>
      <c r="NOS804" s="268"/>
      <c r="NOT804" s="268"/>
      <c r="NOU804" s="268"/>
      <c r="NOV804" s="268"/>
      <c r="NOW804" s="268"/>
      <c r="NOX804" s="268"/>
      <c r="NOY804" s="268"/>
      <c r="NOZ804" s="268"/>
      <c r="NPA804" s="268"/>
      <c r="NPB804" s="268"/>
      <c r="NPC804" s="268"/>
      <c r="NPD804" s="268"/>
      <c r="NPE804" s="268"/>
      <c r="NPF804" s="268"/>
      <c r="NPG804" s="268"/>
      <c r="NPH804" s="268"/>
      <c r="NPI804" s="268"/>
      <c r="NPJ804" s="268"/>
      <c r="NPK804" s="268"/>
      <c r="NPL804" s="268"/>
      <c r="NPM804" s="268"/>
      <c r="NPN804" s="268"/>
      <c r="NPO804" s="268"/>
      <c r="NPP804" s="268"/>
      <c r="NPQ804" s="268"/>
      <c r="NPR804" s="268"/>
      <c r="NPS804" s="268"/>
      <c r="NPT804" s="268"/>
      <c r="NPU804" s="268"/>
      <c r="NPV804" s="268"/>
      <c r="NPW804" s="268"/>
      <c r="NPX804" s="268"/>
      <c r="NPY804" s="268"/>
      <c r="NPZ804" s="268"/>
      <c r="NQA804" s="268"/>
      <c r="NQB804" s="268"/>
      <c r="NQC804" s="268"/>
      <c r="NQD804" s="268"/>
      <c r="NQE804" s="268"/>
      <c r="NQF804" s="268"/>
      <c r="NQG804" s="268"/>
      <c r="NQH804" s="268"/>
      <c r="NQI804" s="268"/>
      <c r="NQJ804" s="268"/>
      <c r="NQK804" s="268"/>
      <c r="NQL804" s="268"/>
      <c r="NQM804" s="268"/>
      <c r="NQN804" s="268"/>
      <c r="NQO804" s="268"/>
      <c r="NQP804" s="268"/>
      <c r="NQQ804" s="268"/>
      <c r="NQR804" s="268"/>
      <c r="NQS804" s="268"/>
      <c r="NQT804" s="268"/>
      <c r="NQU804" s="268"/>
      <c r="NQV804" s="268"/>
      <c r="NQW804" s="268"/>
      <c r="NQX804" s="268"/>
      <c r="NQY804" s="268"/>
      <c r="NQZ804" s="268"/>
      <c r="NRA804" s="268"/>
      <c r="NRB804" s="268"/>
      <c r="NRC804" s="268"/>
      <c r="NRD804" s="268"/>
      <c r="NRE804" s="268"/>
      <c r="NRF804" s="268"/>
      <c r="NRG804" s="268"/>
      <c r="NRH804" s="268"/>
      <c r="NRI804" s="268"/>
      <c r="NRJ804" s="268"/>
      <c r="NRK804" s="268"/>
      <c r="NRL804" s="268"/>
      <c r="NRM804" s="268"/>
      <c r="NRN804" s="268"/>
      <c r="NRO804" s="268"/>
      <c r="NRP804" s="268"/>
      <c r="NRQ804" s="268"/>
      <c r="NRR804" s="268"/>
      <c r="NRS804" s="268"/>
      <c r="NRT804" s="268"/>
      <c r="NRU804" s="268"/>
      <c r="NRV804" s="268"/>
      <c r="NRW804" s="268"/>
      <c r="NRX804" s="268"/>
      <c r="NRY804" s="268"/>
      <c r="NRZ804" s="268"/>
      <c r="NSA804" s="268"/>
      <c r="NSB804" s="268"/>
      <c r="NSC804" s="268"/>
      <c r="NSD804" s="268"/>
      <c r="NSE804" s="268"/>
      <c r="NSF804" s="268"/>
      <c r="NSG804" s="268"/>
      <c r="NSH804" s="268"/>
      <c r="NSI804" s="268"/>
      <c r="NSJ804" s="268"/>
      <c r="NSK804" s="268"/>
      <c r="NSL804" s="268"/>
      <c r="NSM804" s="268"/>
      <c r="NSN804" s="268"/>
      <c r="NSO804" s="268"/>
      <c r="NSP804" s="268"/>
      <c r="NSQ804" s="268"/>
      <c r="NTE804" s="268"/>
      <c r="NTF804" s="268"/>
      <c r="NTG804" s="268"/>
      <c r="NTU804" s="268"/>
      <c r="NTW804" s="268"/>
      <c r="NTX804" s="268"/>
      <c r="NTY804" s="268"/>
      <c r="NTZ804" s="268"/>
      <c r="NUA804" s="268"/>
      <c r="NUB804" s="268"/>
      <c r="NUC804" s="268"/>
      <c r="NUD804" s="268"/>
      <c r="NUE804" s="268"/>
      <c r="NUF804" s="268"/>
      <c r="NUG804" s="268"/>
      <c r="NUH804" s="268"/>
      <c r="NUI804" s="268"/>
      <c r="NUJ804" s="268"/>
      <c r="NUK804" s="268"/>
      <c r="NUL804" s="268"/>
      <c r="NUM804" s="268"/>
      <c r="NUN804" s="268"/>
      <c r="NUO804" s="268"/>
      <c r="NUP804" s="268"/>
      <c r="NUQ804" s="268"/>
      <c r="NUR804" s="268"/>
      <c r="NUS804" s="268"/>
      <c r="NUT804" s="268"/>
      <c r="NUU804" s="268"/>
      <c r="NUV804" s="268"/>
      <c r="NUW804" s="268"/>
      <c r="NUX804" s="268"/>
      <c r="NUY804" s="268"/>
      <c r="NUZ804" s="268"/>
      <c r="NVA804" s="268"/>
      <c r="NVB804" s="268"/>
      <c r="NVC804" s="268"/>
      <c r="NVD804" s="268"/>
      <c r="NVE804" s="268"/>
      <c r="NVF804" s="268"/>
      <c r="NVG804" s="268"/>
      <c r="NVH804" s="268"/>
      <c r="NVI804" s="268"/>
      <c r="NVJ804" s="268"/>
      <c r="NVK804" s="268"/>
      <c r="NVL804" s="268"/>
      <c r="NVM804" s="268"/>
      <c r="NVN804" s="268"/>
      <c r="NVO804" s="268"/>
      <c r="NVP804" s="268"/>
      <c r="NVQ804" s="268"/>
      <c r="NVR804" s="268"/>
      <c r="NVS804" s="268"/>
      <c r="NVT804" s="268"/>
      <c r="NVU804" s="268"/>
      <c r="NVV804" s="268"/>
      <c r="NVW804" s="268"/>
      <c r="NVX804" s="268"/>
      <c r="NVY804" s="268"/>
      <c r="NVZ804" s="268"/>
      <c r="NWA804" s="268"/>
      <c r="NWB804" s="268"/>
      <c r="NWC804" s="268"/>
      <c r="NWD804" s="268"/>
      <c r="NWE804" s="268"/>
      <c r="NWF804" s="268"/>
      <c r="NWG804" s="268"/>
      <c r="NWH804" s="268"/>
      <c r="NWI804" s="268"/>
      <c r="NWJ804" s="268"/>
      <c r="NWK804" s="268"/>
      <c r="NWL804" s="268"/>
      <c r="NWM804" s="268"/>
      <c r="NWN804" s="268"/>
      <c r="NWO804" s="268"/>
      <c r="NWP804" s="268"/>
      <c r="NWQ804" s="268"/>
      <c r="NWR804" s="268"/>
      <c r="NWS804" s="268"/>
      <c r="NWT804" s="268"/>
      <c r="NWU804" s="268"/>
      <c r="NWV804" s="268"/>
      <c r="NWW804" s="268"/>
      <c r="NWX804" s="268"/>
      <c r="NWY804" s="268"/>
      <c r="NWZ804" s="268"/>
      <c r="NXA804" s="268"/>
      <c r="NXB804" s="268"/>
      <c r="NXC804" s="268"/>
      <c r="NXD804" s="268"/>
      <c r="NXE804" s="268"/>
      <c r="NXF804" s="268"/>
      <c r="NXG804" s="268"/>
      <c r="NXH804" s="268"/>
      <c r="NXI804" s="268"/>
      <c r="NXJ804" s="268"/>
      <c r="NXK804" s="268"/>
      <c r="NXL804" s="268"/>
      <c r="NXM804" s="268"/>
      <c r="NXN804" s="268"/>
      <c r="NXO804" s="268"/>
      <c r="NXP804" s="268"/>
      <c r="NXQ804" s="268"/>
      <c r="NXR804" s="268"/>
      <c r="NXS804" s="268"/>
      <c r="NXT804" s="268"/>
      <c r="NXU804" s="268"/>
      <c r="NXV804" s="268"/>
      <c r="NXW804" s="268"/>
      <c r="NXX804" s="268"/>
      <c r="NXY804" s="268"/>
      <c r="NXZ804" s="268"/>
      <c r="NYA804" s="268"/>
      <c r="NYB804" s="268"/>
      <c r="NYC804" s="268"/>
      <c r="NYD804" s="268"/>
      <c r="NYE804" s="268"/>
      <c r="NYF804" s="268"/>
      <c r="NYG804" s="268"/>
      <c r="NYH804" s="268"/>
      <c r="NYI804" s="268"/>
      <c r="NYJ804" s="268"/>
      <c r="NYK804" s="268"/>
      <c r="NYL804" s="268"/>
      <c r="NYM804" s="268"/>
      <c r="NYN804" s="268"/>
      <c r="NYO804" s="268"/>
      <c r="NYP804" s="268"/>
      <c r="NYQ804" s="268"/>
      <c r="NYR804" s="268"/>
      <c r="NYS804" s="268"/>
      <c r="NYT804" s="268"/>
      <c r="NYU804" s="268"/>
      <c r="NYV804" s="268"/>
      <c r="NYW804" s="268"/>
      <c r="NYX804" s="268"/>
      <c r="NYY804" s="268"/>
      <c r="NYZ804" s="268"/>
      <c r="NZA804" s="268"/>
      <c r="NZB804" s="268"/>
      <c r="NZC804" s="268"/>
      <c r="NZD804" s="268"/>
      <c r="NZE804" s="268"/>
      <c r="NZF804" s="268"/>
      <c r="NZG804" s="268"/>
      <c r="NZH804" s="268"/>
      <c r="NZI804" s="268"/>
      <c r="NZJ804" s="268"/>
      <c r="NZK804" s="268"/>
      <c r="NZL804" s="268"/>
      <c r="NZM804" s="268"/>
      <c r="NZN804" s="268"/>
      <c r="NZO804" s="268"/>
      <c r="NZP804" s="268"/>
      <c r="NZQ804" s="268"/>
      <c r="NZR804" s="268"/>
      <c r="NZS804" s="268"/>
      <c r="NZT804" s="268"/>
      <c r="NZU804" s="268"/>
      <c r="NZV804" s="268"/>
      <c r="NZW804" s="268"/>
      <c r="NZX804" s="268"/>
      <c r="NZY804" s="268"/>
      <c r="NZZ804" s="268"/>
      <c r="OAA804" s="268"/>
      <c r="OAB804" s="268"/>
      <c r="OAC804" s="268"/>
      <c r="OAD804" s="268"/>
      <c r="OAE804" s="268"/>
      <c r="OAF804" s="268"/>
      <c r="OAG804" s="268"/>
      <c r="OAH804" s="268"/>
      <c r="OAI804" s="268"/>
      <c r="OAJ804" s="268"/>
      <c r="OAK804" s="268"/>
      <c r="OAL804" s="268"/>
      <c r="OAM804" s="268"/>
      <c r="OAN804" s="268"/>
      <c r="OAO804" s="268"/>
      <c r="OAP804" s="268"/>
      <c r="OAQ804" s="268"/>
      <c r="OAR804" s="268"/>
      <c r="OAS804" s="268"/>
      <c r="OAT804" s="268"/>
      <c r="OAU804" s="268"/>
      <c r="OAV804" s="268"/>
      <c r="OAW804" s="268"/>
      <c r="OAX804" s="268"/>
      <c r="OAY804" s="268"/>
      <c r="OAZ804" s="268"/>
      <c r="OBA804" s="268"/>
      <c r="OBB804" s="268"/>
      <c r="OBC804" s="268"/>
      <c r="OBD804" s="268"/>
      <c r="OBE804" s="268"/>
      <c r="OBF804" s="268"/>
      <c r="OBG804" s="268"/>
      <c r="OBH804" s="268"/>
      <c r="OBI804" s="268"/>
      <c r="OBJ804" s="268"/>
      <c r="OBK804" s="268"/>
      <c r="OBL804" s="268"/>
      <c r="OBM804" s="268"/>
      <c r="OBN804" s="268"/>
      <c r="OBO804" s="268"/>
      <c r="OBP804" s="268"/>
      <c r="OBQ804" s="268"/>
      <c r="OBR804" s="268"/>
      <c r="OBS804" s="268"/>
      <c r="OBT804" s="268"/>
      <c r="OBU804" s="268"/>
      <c r="OBV804" s="268"/>
      <c r="OBW804" s="268"/>
      <c r="OBX804" s="268"/>
      <c r="OBY804" s="268"/>
      <c r="OBZ804" s="268"/>
      <c r="OCA804" s="268"/>
      <c r="OCB804" s="268"/>
      <c r="OCC804" s="268"/>
      <c r="OCD804" s="268"/>
      <c r="OCE804" s="268"/>
      <c r="OCF804" s="268"/>
      <c r="OCG804" s="268"/>
      <c r="OCH804" s="268"/>
      <c r="OCI804" s="268"/>
      <c r="OCJ804" s="268"/>
      <c r="OCK804" s="268"/>
      <c r="OCL804" s="268"/>
      <c r="OCM804" s="268"/>
      <c r="ODA804" s="268"/>
      <c r="ODB804" s="268"/>
      <c r="ODC804" s="268"/>
      <c r="ODQ804" s="268"/>
      <c r="ODS804" s="268"/>
      <c r="ODT804" s="268"/>
      <c r="ODU804" s="268"/>
      <c r="ODV804" s="268"/>
      <c r="ODW804" s="268"/>
      <c r="ODX804" s="268"/>
      <c r="ODY804" s="268"/>
      <c r="ODZ804" s="268"/>
      <c r="OEA804" s="268"/>
      <c r="OEB804" s="268"/>
      <c r="OEC804" s="268"/>
      <c r="OED804" s="268"/>
      <c r="OEE804" s="268"/>
      <c r="OEF804" s="268"/>
      <c r="OEG804" s="268"/>
      <c r="OEH804" s="268"/>
      <c r="OEI804" s="268"/>
      <c r="OEJ804" s="268"/>
      <c r="OEK804" s="268"/>
      <c r="OEL804" s="268"/>
      <c r="OEM804" s="268"/>
      <c r="OEN804" s="268"/>
      <c r="OEO804" s="268"/>
      <c r="OEP804" s="268"/>
      <c r="OEQ804" s="268"/>
      <c r="OER804" s="268"/>
      <c r="OES804" s="268"/>
      <c r="OET804" s="268"/>
      <c r="OEU804" s="268"/>
      <c r="OEV804" s="268"/>
      <c r="OEW804" s="268"/>
      <c r="OEX804" s="268"/>
      <c r="OEY804" s="268"/>
      <c r="OEZ804" s="268"/>
      <c r="OFA804" s="268"/>
      <c r="OFB804" s="268"/>
      <c r="OFC804" s="268"/>
      <c r="OFD804" s="268"/>
      <c r="OFE804" s="268"/>
      <c r="OFF804" s="268"/>
      <c r="OFG804" s="268"/>
      <c r="OFH804" s="268"/>
      <c r="OFI804" s="268"/>
      <c r="OFJ804" s="268"/>
      <c r="OFK804" s="268"/>
      <c r="OFL804" s="268"/>
      <c r="OFM804" s="268"/>
      <c r="OFN804" s="268"/>
      <c r="OFO804" s="268"/>
      <c r="OFP804" s="268"/>
      <c r="OFQ804" s="268"/>
      <c r="OFR804" s="268"/>
      <c r="OFS804" s="268"/>
      <c r="OFT804" s="268"/>
      <c r="OFU804" s="268"/>
      <c r="OFV804" s="268"/>
      <c r="OFW804" s="268"/>
      <c r="OFX804" s="268"/>
      <c r="OFY804" s="268"/>
      <c r="OFZ804" s="268"/>
      <c r="OGA804" s="268"/>
      <c r="OGB804" s="268"/>
      <c r="OGC804" s="268"/>
      <c r="OGD804" s="268"/>
      <c r="OGE804" s="268"/>
      <c r="OGF804" s="268"/>
      <c r="OGG804" s="268"/>
      <c r="OGH804" s="268"/>
      <c r="OGI804" s="268"/>
      <c r="OGJ804" s="268"/>
      <c r="OGK804" s="268"/>
      <c r="OGL804" s="268"/>
      <c r="OGM804" s="268"/>
      <c r="OGN804" s="268"/>
      <c r="OGO804" s="268"/>
      <c r="OGP804" s="268"/>
      <c r="OGQ804" s="268"/>
      <c r="OGR804" s="268"/>
      <c r="OGS804" s="268"/>
      <c r="OGT804" s="268"/>
      <c r="OGU804" s="268"/>
      <c r="OGV804" s="268"/>
      <c r="OGW804" s="268"/>
      <c r="OGX804" s="268"/>
      <c r="OGY804" s="268"/>
      <c r="OGZ804" s="268"/>
      <c r="OHA804" s="268"/>
      <c r="OHB804" s="268"/>
      <c r="OHC804" s="268"/>
      <c r="OHD804" s="268"/>
      <c r="OHE804" s="268"/>
      <c r="OHF804" s="268"/>
      <c r="OHG804" s="268"/>
      <c r="OHH804" s="268"/>
      <c r="OHI804" s="268"/>
      <c r="OHJ804" s="268"/>
      <c r="OHK804" s="268"/>
      <c r="OHL804" s="268"/>
      <c r="OHM804" s="268"/>
      <c r="OHN804" s="268"/>
      <c r="OHO804" s="268"/>
      <c r="OHP804" s="268"/>
      <c r="OHQ804" s="268"/>
      <c r="OHR804" s="268"/>
      <c r="OHS804" s="268"/>
      <c r="OHT804" s="268"/>
      <c r="OHU804" s="268"/>
      <c r="OHV804" s="268"/>
      <c r="OHW804" s="268"/>
      <c r="OHX804" s="268"/>
      <c r="OHY804" s="268"/>
      <c r="OHZ804" s="268"/>
      <c r="OIA804" s="268"/>
      <c r="OIB804" s="268"/>
      <c r="OIC804" s="268"/>
      <c r="OID804" s="268"/>
      <c r="OIE804" s="268"/>
      <c r="OIF804" s="268"/>
      <c r="OIG804" s="268"/>
      <c r="OIH804" s="268"/>
      <c r="OII804" s="268"/>
      <c r="OIJ804" s="268"/>
      <c r="OIK804" s="268"/>
      <c r="OIL804" s="268"/>
      <c r="OIM804" s="268"/>
      <c r="OIN804" s="268"/>
      <c r="OIO804" s="268"/>
      <c r="OIP804" s="268"/>
      <c r="OIQ804" s="268"/>
      <c r="OIR804" s="268"/>
      <c r="OIS804" s="268"/>
      <c r="OIT804" s="268"/>
      <c r="OIU804" s="268"/>
      <c r="OIV804" s="268"/>
      <c r="OIW804" s="268"/>
      <c r="OIX804" s="268"/>
      <c r="OIY804" s="268"/>
      <c r="OIZ804" s="268"/>
      <c r="OJA804" s="268"/>
      <c r="OJB804" s="268"/>
      <c r="OJC804" s="268"/>
      <c r="OJD804" s="268"/>
      <c r="OJE804" s="268"/>
      <c r="OJF804" s="268"/>
      <c r="OJG804" s="268"/>
      <c r="OJH804" s="268"/>
      <c r="OJI804" s="268"/>
      <c r="OJJ804" s="268"/>
      <c r="OJK804" s="268"/>
      <c r="OJL804" s="268"/>
      <c r="OJM804" s="268"/>
      <c r="OJN804" s="268"/>
      <c r="OJO804" s="268"/>
      <c r="OJP804" s="268"/>
      <c r="OJQ804" s="268"/>
      <c r="OJR804" s="268"/>
      <c r="OJS804" s="268"/>
      <c r="OJT804" s="268"/>
      <c r="OJU804" s="268"/>
      <c r="OJV804" s="268"/>
      <c r="OJW804" s="268"/>
      <c r="OJX804" s="268"/>
      <c r="OJY804" s="268"/>
      <c r="OJZ804" s="268"/>
      <c r="OKA804" s="268"/>
      <c r="OKB804" s="268"/>
      <c r="OKC804" s="268"/>
      <c r="OKD804" s="268"/>
      <c r="OKE804" s="268"/>
      <c r="OKF804" s="268"/>
      <c r="OKG804" s="268"/>
      <c r="OKH804" s="268"/>
      <c r="OKI804" s="268"/>
      <c r="OKJ804" s="268"/>
      <c r="OKK804" s="268"/>
      <c r="OKL804" s="268"/>
      <c r="OKM804" s="268"/>
      <c r="OKN804" s="268"/>
      <c r="OKO804" s="268"/>
      <c r="OKP804" s="268"/>
      <c r="OKQ804" s="268"/>
      <c r="OKR804" s="268"/>
      <c r="OKS804" s="268"/>
      <c r="OKT804" s="268"/>
      <c r="OKU804" s="268"/>
      <c r="OKV804" s="268"/>
      <c r="OKW804" s="268"/>
      <c r="OKX804" s="268"/>
      <c r="OKY804" s="268"/>
      <c r="OKZ804" s="268"/>
      <c r="OLA804" s="268"/>
      <c r="OLB804" s="268"/>
      <c r="OLC804" s="268"/>
      <c r="OLD804" s="268"/>
      <c r="OLE804" s="268"/>
      <c r="OLF804" s="268"/>
      <c r="OLG804" s="268"/>
      <c r="OLH804" s="268"/>
      <c r="OLI804" s="268"/>
      <c r="OLJ804" s="268"/>
      <c r="OLK804" s="268"/>
      <c r="OLL804" s="268"/>
      <c r="OLM804" s="268"/>
      <c r="OLN804" s="268"/>
      <c r="OLO804" s="268"/>
      <c r="OLP804" s="268"/>
      <c r="OLQ804" s="268"/>
      <c r="OLR804" s="268"/>
      <c r="OLS804" s="268"/>
      <c r="OLT804" s="268"/>
      <c r="OLU804" s="268"/>
      <c r="OLV804" s="268"/>
      <c r="OLW804" s="268"/>
      <c r="OLX804" s="268"/>
      <c r="OLY804" s="268"/>
      <c r="OLZ804" s="268"/>
      <c r="OMA804" s="268"/>
      <c r="OMB804" s="268"/>
      <c r="OMC804" s="268"/>
      <c r="OMD804" s="268"/>
      <c r="OME804" s="268"/>
      <c r="OMF804" s="268"/>
      <c r="OMG804" s="268"/>
      <c r="OMH804" s="268"/>
      <c r="OMI804" s="268"/>
      <c r="OMW804" s="268"/>
      <c r="OMX804" s="268"/>
      <c r="OMY804" s="268"/>
      <c r="ONM804" s="268"/>
      <c r="ONO804" s="268"/>
      <c r="ONP804" s="268"/>
      <c r="ONQ804" s="268"/>
      <c r="ONR804" s="268"/>
      <c r="ONS804" s="268"/>
      <c r="ONT804" s="268"/>
      <c r="ONU804" s="268"/>
      <c r="ONV804" s="268"/>
      <c r="ONW804" s="268"/>
      <c r="ONX804" s="268"/>
      <c r="ONY804" s="268"/>
      <c r="ONZ804" s="268"/>
      <c r="OOA804" s="268"/>
      <c r="OOB804" s="268"/>
      <c r="OOC804" s="268"/>
      <c r="OOD804" s="268"/>
      <c r="OOE804" s="268"/>
      <c r="OOF804" s="268"/>
      <c r="OOG804" s="268"/>
      <c r="OOH804" s="268"/>
      <c r="OOI804" s="268"/>
      <c r="OOJ804" s="268"/>
      <c r="OOK804" s="268"/>
      <c r="OOL804" s="268"/>
      <c r="OOM804" s="268"/>
      <c r="OON804" s="268"/>
      <c r="OOO804" s="268"/>
      <c r="OOP804" s="268"/>
      <c r="OOQ804" s="268"/>
      <c r="OOR804" s="268"/>
      <c r="OOS804" s="268"/>
      <c r="OOT804" s="268"/>
      <c r="OOU804" s="268"/>
      <c r="OOV804" s="268"/>
      <c r="OOW804" s="268"/>
      <c r="OOX804" s="268"/>
      <c r="OOY804" s="268"/>
      <c r="OOZ804" s="268"/>
      <c r="OPA804" s="268"/>
      <c r="OPB804" s="268"/>
      <c r="OPC804" s="268"/>
      <c r="OPD804" s="268"/>
      <c r="OPE804" s="268"/>
      <c r="OPF804" s="268"/>
      <c r="OPG804" s="268"/>
      <c r="OPH804" s="268"/>
      <c r="OPI804" s="268"/>
      <c r="OPJ804" s="268"/>
      <c r="OPK804" s="268"/>
      <c r="OPL804" s="268"/>
      <c r="OPM804" s="268"/>
      <c r="OPN804" s="268"/>
      <c r="OPO804" s="268"/>
      <c r="OPP804" s="268"/>
      <c r="OPQ804" s="268"/>
      <c r="OPR804" s="268"/>
      <c r="OPS804" s="268"/>
      <c r="OPT804" s="268"/>
      <c r="OPU804" s="268"/>
      <c r="OPV804" s="268"/>
      <c r="OPW804" s="268"/>
      <c r="OPX804" s="268"/>
      <c r="OPY804" s="268"/>
      <c r="OPZ804" s="268"/>
      <c r="OQA804" s="268"/>
      <c r="OQB804" s="268"/>
      <c r="OQC804" s="268"/>
      <c r="OQD804" s="268"/>
      <c r="OQE804" s="268"/>
      <c r="OQF804" s="268"/>
      <c r="OQG804" s="268"/>
      <c r="OQH804" s="268"/>
      <c r="OQI804" s="268"/>
      <c r="OQJ804" s="268"/>
      <c r="OQK804" s="268"/>
      <c r="OQL804" s="268"/>
      <c r="OQM804" s="268"/>
      <c r="OQN804" s="268"/>
      <c r="OQO804" s="268"/>
      <c r="OQP804" s="268"/>
      <c r="OQQ804" s="268"/>
      <c r="OQR804" s="268"/>
      <c r="OQS804" s="268"/>
      <c r="OQT804" s="268"/>
      <c r="OQU804" s="268"/>
      <c r="OQV804" s="268"/>
      <c r="OQW804" s="268"/>
      <c r="OQX804" s="268"/>
      <c r="OQY804" s="268"/>
      <c r="OQZ804" s="268"/>
      <c r="ORA804" s="268"/>
      <c r="ORB804" s="268"/>
      <c r="ORC804" s="268"/>
      <c r="ORD804" s="268"/>
      <c r="ORE804" s="268"/>
      <c r="ORF804" s="268"/>
      <c r="ORG804" s="268"/>
      <c r="ORH804" s="268"/>
      <c r="ORI804" s="268"/>
      <c r="ORJ804" s="268"/>
      <c r="ORK804" s="268"/>
      <c r="ORL804" s="268"/>
      <c r="ORM804" s="268"/>
      <c r="ORN804" s="268"/>
      <c r="ORO804" s="268"/>
      <c r="ORP804" s="268"/>
      <c r="ORQ804" s="268"/>
      <c r="ORR804" s="268"/>
      <c r="ORS804" s="268"/>
      <c r="ORT804" s="268"/>
      <c r="ORU804" s="268"/>
      <c r="ORV804" s="268"/>
      <c r="ORW804" s="268"/>
      <c r="ORX804" s="268"/>
      <c r="ORY804" s="268"/>
      <c r="ORZ804" s="268"/>
      <c r="OSA804" s="268"/>
      <c r="OSB804" s="268"/>
      <c r="OSC804" s="268"/>
      <c r="OSD804" s="268"/>
      <c r="OSE804" s="268"/>
      <c r="OSF804" s="268"/>
      <c r="OSG804" s="268"/>
      <c r="OSH804" s="268"/>
      <c r="OSI804" s="268"/>
      <c r="OSJ804" s="268"/>
      <c r="OSK804" s="268"/>
      <c r="OSL804" s="268"/>
      <c r="OSM804" s="268"/>
      <c r="OSN804" s="268"/>
      <c r="OSO804" s="268"/>
      <c r="OSP804" s="268"/>
      <c r="OSQ804" s="268"/>
      <c r="OSR804" s="268"/>
      <c r="OSS804" s="268"/>
      <c r="OST804" s="268"/>
      <c r="OSU804" s="268"/>
      <c r="OSV804" s="268"/>
      <c r="OSW804" s="268"/>
      <c r="OSX804" s="268"/>
      <c r="OSY804" s="268"/>
      <c r="OSZ804" s="268"/>
      <c r="OTA804" s="268"/>
      <c r="OTB804" s="268"/>
      <c r="OTC804" s="268"/>
      <c r="OTD804" s="268"/>
      <c r="OTE804" s="268"/>
      <c r="OTF804" s="268"/>
      <c r="OTG804" s="268"/>
      <c r="OTH804" s="268"/>
      <c r="OTI804" s="268"/>
      <c r="OTJ804" s="268"/>
      <c r="OTK804" s="268"/>
      <c r="OTL804" s="268"/>
      <c r="OTM804" s="268"/>
      <c r="OTN804" s="268"/>
      <c r="OTO804" s="268"/>
      <c r="OTP804" s="268"/>
      <c r="OTQ804" s="268"/>
      <c r="OTR804" s="268"/>
      <c r="OTS804" s="268"/>
      <c r="OTT804" s="268"/>
      <c r="OTU804" s="268"/>
      <c r="OTV804" s="268"/>
      <c r="OTW804" s="268"/>
      <c r="OTX804" s="268"/>
      <c r="OTY804" s="268"/>
      <c r="OTZ804" s="268"/>
      <c r="OUA804" s="268"/>
      <c r="OUB804" s="268"/>
      <c r="OUC804" s="268"/>
      <c r="OUD804" s="268"/>
      <c r="OUE804" s="268"/>
      <c r="OUF804" s="268"/>
      <c r="OUG804" s="268"/>
      <c r="OUH804" s="268"/>
      <c r="OUI804" s="268"/>
      <c r="OUJ804" s="268"/>
      <c r="OUK804" s="268"/>
      <c r="OUL804" s="268"/>
      <c r="OUM804" s="268"/>
      <c r="OUN804" s="268"/>
      <c r="OUO804" s="268"/>
      <c r="OUP804" s="268"/>
      <c r="OUQ804" s="268"/>
      <c r="OUR804" s="268"/>
      <c r="OUS804" s="268"/>
      <c r="OUT804" s="268"/>
      <c r="OUU804" s="268"/>
      <c r="OUV804" s="268"/>
      <c r="OUW804" s="268"/>
      <c r="OUX804" s="268"/>
      <c r="OUY804" s="268"/>
      <c r="OUZ804" s="268"/>
      <c r="OVA804" s="268"/>
      <c r="OVB804" s="268"/>
      <c r="OVC804" s="268"/>
      <c r="OVD804" s="268"/>
      <c r="OVE804" s="268"/>
      <c r="OVF804" s="268"/>
      <c r="OVG804" s="268"/>
      <c r="OVH804" s="268"/>
      <c r="OVI804" s="268"/>
      <c r="OVJ804" s="268"/>
      <c r="OVK804" s="268"/>
      <c r="OVL804" s="268"/>
      <c r="OVM804" s="268"/>
      <c r="OVN804" s="268"/>
      <c r="OVO804" s="268"/>
      <c r="OVP804" s="268"/>
      <c r="OVQ804" s="268"/>
      <c r="OVR804" s="268"/>
      <c r="OVS804" s="268"/>
      <c r="OVT804" s="268"/>
      <c r="OVU804" s="268"/>
      <c r="OVV804" s="268"/>
      <c r="OVW804" s="268"/>
      <c r="OVX804" s="268"/>
      <c r="OVY804" s="268"/>
      <c r="OVZ804" s="268"/>
      <c r="OWA804" s="268"/>
      <c r="OWB804" s="268"/>
      <c r="OWC804" s="268"/>
      <c r="OWD804" s="268"/>
      <c r="OWE804" s="268"/>
      <c r="OWS804" s="268"/>
      <c r="OWT804" s="268"/>
      <c r="OWU804" s="268"/>
      <c r="OXI804" s="268"/>
      <c r="OXK804" s="268"/>
      <c r="OXL804" s="268"/>
      <c r="OXM804" s="268"/>
      <c r="OXN804" s="268"/>
      <c r="OXO804" s="268"/>
      <c r="OXP804" s="268"/>
      <c r="OXQ804" s="268"/>
      <c r="OXR804" s="268"/>
      <c r="OXS804" s="268"/>
      <c r="OXT804" s="268"/>
      <c r="OXU804" s="268"/>
      <c r="OXV804" s="268"/>
      <c r="OXW804" s="268"/>
      <c r="OXX804" s="268"/>
      <c r="OXY804" s="268"/>
      <c r="OXZ804" s="268"/>
      <c r="OYA804" s="268"/>
      <c r="OYB804" s="268"/>
      <c r="OYC804" s="268"/>
      <c r="OYD804" s="268"/>
      <c r="OYE804" s="268"/>
      <c r="OYF804" s="268"/>
      <c r="OYG804" s="268"/>
      <c r="OYH804" s="268"/>
      <c r="OYI804" s="268"/>
      <c r="OYJ804" s="268"/>
      <c r="OYK804" s="268"/>
      <c r="OYL804" s="268"/>
      <c r="OYM804" s="268"/>
      <c r="OYN804" s="268"/>
      <c r="OYO804" s="268"/>
      <c r="OYP804" s="268"/>
      <c r="OYQ804" s="268"/>
      <c r="OYR804" s="268"/>
      <c r="OYS804" s="268"/>
      <c r="OYT804" s="268"/>
      <c r="OYU804" s="268"/>
      <c r="OYV804" s="268"/>
      <c r="OYW804" s="268"/>
      <c r="OYX804" s="268"/>
      <c r="OYY804" s="268"/>
      <c r="OYZ804" s="268"/>
      <c r="OZA804" s="268"/>
      <c r="OZB804" s="268"/>
      <c r="OZC804" s="268"/>
      <c r="OZD804" s="268"/>
      <c r="OZE804" s="268"/>
      <c r="OZF804" s="268"/>
      <c r="OZG804" s="268"/>
      <c r="OZH804" s="268"/>
      <c r="OZI804" s="268"/>
      <c r="OZJ804" s="268"/>
      <c r="OZK804" s="268"/>
      <c r="OZL804" s="268"/>
      <c r="OZM804" s="268"/>
      <c r="OZN804" s="268"/>
      <c r="OZO804" s="268"/>
      <c r="OZP804" s="268"/>
      <c r="OZQ804" s="268"/>
      <c r="OZR804" s="268"/>
      <c r="OZS804" s="268"/>
      <c r="OZT804" s="268"/>
      <c r="OZU804" s="268"/>
      <c r="OZV804" s="268"/>
      <c r="OZW804" s="268"/>
      <c r="OZX804" s="268"/>
      <c r="OZY804" s="268"/>
      <c r="OZZ804" s="268"/>
      <c r="PAA804" s="268"/>
      <c r="PAB804" s="268"/>
      <c r="PAC804" s="268"/>
      <c r="PAD804" s="268"/>
      <c r="PAE804" s="268"/>
      <c r="PAF804" s="268"/>
      <c r="PAG804" s="268"/>
      <c r="PAH804" s="268"/>
      <c r="PAI804" s="268"/>
      <c r="PAJ804" s="268"/>
      <c r="PAK804" s="268"/>
      <c r="PAL804" s="268"/>
      <c r="PAM804" s="268"/>
      <c r="PAN804" s="268"/>
      <c r="PAO804" s="268"/>
      <c r="PAP804" s="268"/>
      <c r="PAQ804" s="268"/>
      <c r="PAR804" s="268"/>
      <c r="PAS804" s="268"/>
      <c r="PAT804" s="268"/>
      <c r="PAU804" s="268"/>
      <c r="PAV804" s="268"/>
      <c r="PAW804" s="268"/>
      <c r="PAX804" s="268"/>
      <c r="PAY804" s="268"/>
      <c r="PAZ804" s="268"/>
      <c r="PBA804" s="268"/>
      <c r="PBB804" s="268"/>
      <c r="PBC804" s="268"/>
      <c r="PBD804" s="268"/>
      <c r="PBE804" s="268"/>
      <c r="PBF804" s="268"/>
      <c r="PBG804" s="268"/>
      <c r="PBH804" s="268"/>
      <c r="PBI804" s="268"/>
      <c r="PBJ804" s="268"/>
      <c r="PBK804" s="268"/>
      <c r="PBL804" s="268"/>
      <c r="PBM804" s="268"/>
      <c r="PBN804" s="268"/>
      <c r="PBO804" s="268"/>
      <c r="PBP804" s="268"/>
      <c r="PBQ804" s="268"/>
      <c r="PBR804" s="268"/>
      <c r="PBS804" s="268"/>
      <c r="PBT804" s="268"/>
      <c r="PBU804" s="268"/>
      <c r="PBV804" s="268"/>
      <c r="PBW804" s="268"/>
      <c r="PBX804" s="268"/>
      <c r="PBY804" s="268"/>
      <c r="PBZ804" s="268"/>
      <c r="PCA804" s="268"/>
      <c r="PCB804" s="268"/>
      <c r="PCC804" s="268"/>
      <c r="PCD804" s="268"/>
      <c r="PCE804" s="268"/>
      <c r="PCF804" s="268"/>
      <c r="PCG804" s="268"/>
      <c r="PCH804" s="268"/>
      <c r="PCI804" s="268"/>
      <c r="PCJ804" s="268"/>
      <c r="PCK804" s="268"/>
      <c r="PCL804" s="268"/>
      <c r="PCM804" s="268"/>
      <c r="PCN804" s="268"/>
      <c r="PCO804" s="268"/>
      <c r="PCP804" s="268"/>
      <c r="PCQ804" s="268"/>
      <c r="PCR804" s="268"/>
      <c r="PCS804" s="268"/>
      <c r="PCT804" s="268"/>
      <c r="PCU804" s="268"/>
      <c r="PCV804" s="268"/>
      <c r="PCW804" s="268"/>
      <c r="PCX804" s="268"/>
      <c r="PCY804" s="268"/>
      <c r="PCZ804" s="268"/>
      <c r="PDA804" s="268"/>
      <c r="PDB804" s="268"/>
      <c r="PDC804" s="268"/>
      <c r="PDD804" s="268"/>
      <c r="PDE804" s="268"/>
      <c r="PDF804" s="268"/>
      <c r="PDG804" s="268"/>
      <c r="PDH804" s="268"/>
      <c r="PDI804" s="268"/>
      <c r="PDJ804" s="268"/>
      <c r="PDK804" s="268"/>
      <c r="PDL804" s="268"/>
      <c r="PDM804" s="268"/>
      <c r="PDN804" s="268"/>
      <c r="PDO804" s="268"/>
      <c r="PDP804" s="268"/>
      <c r="PDQ804" s="268"/>
      <c r="PDR804" s="268"/>
      <c r="PDS804" s="268"/>
      <c r="PDT804" s="268"/>
      <c r="PDU804" s="268"/>
      <c r="PDV804" s="268"/>
      <c r="PDW804" s="268"/>
      <c r="PDX804" s="268"/>
      <c r="PDY804" s="268"/>
      <c r="PDZ804" s="268"/>
      <c r="PEA804" s="268"/>
      <c r="PEB804" s="268"/>
      <c r="PEC804" s="268"/>
      <c r="PED804" s="268"/>
      <c r="PEE804" s="268"/>
      <c r="PEF804" s="268"/>
      <c r="PEG804" s="268"/>
      <c r="PEH804" s="268"/>
      <c r="PEI804" s="268"/>
      <c r="PEJ804" s="268"/>
      <c r="PEK804" s="268"/>
      <c r="PEL804" s="268"/>
      <c r="PEM804" s="268"/>
      <c r="PEN804" s="268"/>
      <c r="PEO804" s="268"/>
      <c r="PEP804" s="268"/>
      <c r="PEQ804" s="268"/>
      <c r="PER804" s="268"/>
      <c r="PES804" s="268"/>
      <c r="PET804" s="268"/>
      <c r="PEU804" s="268"/>
      <c r="PEV804" s="268"/>
      <c r="PEW804" s="268"/>
      <c r="PEX804" s="268"/>
      <c r="PEY804" s="268"/>
      <c r="PEZ804" s="268"/>
      <c r="PFA804" s="268"/>
      <c r="PFB804" s="268"/>
      <c r="PFC804" s="268"/>
      <c r="PFD804" s="268"/>
      <c r="PFE804" s="268"/>
      <c r="PFF804" s="268"/>
      <c r="PFG804" s="268"/>
      <c r="PFH804" s="268"/>
      <c r="PFI804" s="268"/>
      <c r="PFJ804" s="268"/>
      <c r="PFK804" s="268"/>
      <c r="PFL804" s="268"/>
      <c r="PFM804" s="268"/>
      <c r="PFN804" s="268"/>
      <c r="PFO804" s="268"/>
      <c r="PFP804" s="268"/>
      <c r="PFQ804" s="268"/>
      <c r="PFR804" s="268"/>
      <c r="PFS804" s="268"/>
      <c r="PFT804" s="268"/>
      <c r="PFU804" s="268"/>
      <c r="PFV804" s="268"/>
      <c r="PFW804" s="268"/>
      <c r="PFX804" s="268"/>
      <c r="PFY804" s="268"/>
      <c r="PFZ804" s="268"/>
      <c r="PGA804" s="268"/>
      <c r="PGO804" s="268"/>
      <c r="PGP804" s="268"/>
      <c r="PGQ804" s="268"/>
      <c r="PHE804" s="268"/>
      <c r="PHG804" s="268"/>
      <c r="PHH804" s="268"/>
      <c r="PHI804" s="268"/>
      <c r="PHJ804" s="268"/>
      <c r="PHK804" s="268"/>
      <c r="PHL804" s="268"/>
      <c r="PHM804" s="268"/>
      <c r="PHN804" s="268"/>
      <c r="PHO804" s="268"/>
      <c r="PHP804" s="268"/>
      <c r="PHQ804" s="268"/>
      <c r="PHR804" s="268"/>
      <c r="PHS804" s="268"/>
      <c r="PHT804" s="268"/>
      <c r="PHU804" s="268"/>
      <c r="PHV804" s="268"/>
      <c r="PHW804" s="268"/>
      <c r="PHX804" s="268"/>
      <c r="PHY804" s="268"/>
      <c r="PHZ804" s="268"/>
      <c r="PIA804" s="268"/>
      <c r="PIB804" s="268"/>
      <c r="PIC804" s="268"/>
      <c r="PID804" s="268"/>
      <c r="PIE804" s="268"/>
      <c r="PIF804" s="268"/>
      <c r="PIG804" s="268"/>
      <c r="PIH804" s="268"/>
      <c r="PII804" s="268"/>
      <c r="PIJ804" s="268"/>
      <c r="PIK804" s="268"/>
      <c r="PIL804" s="268"/>
      <c r="PIM804" s="268"/>
      <c r="PIN804" s="268"/>
      <c r="PIO804" s="268"/>
      <c r="PIP804" s="268"/>
      <c r="PIQ804" s="268"/>
      <c r="PIR804" s="268"/>
      <c r="PIS804" s="268"/>
      <c r="PIT804" s="268"/>
      <c r="PIU804" s="268"/>
      <c r="PIV804" s="268"/>
      <c r="PIW804" s="268"/>
      <c r="PIX804" s="268"/>
      <c r="PIY804" s="268"/>
      <c r="PIZ804" s="268"/>
      <c r="PJA804" s="268"/>
      <c r="PJB804" s="268"/>
      <c r="PJC804" s="268"/>
      <c r="PJD804" s="268"/>
      <c r="PJE804" s="268"/>
      <c r="PJF804" s="268"/>
      <c r="PJG804" s="268"/>
      <c r="PJH804" s="268"/>
      <c r="PJI804" s="268"/>
      <c r="PJJ804" s="268"/>
      <c r="PJK804" s="268"/>
      <c r="PJL804" s="268"/>
      <c r="PJM804" s="268"/>
      <c r="PJN804" s="268"/>
      <c r="PJO804" s="268"/>
      <c r="PJP804" s="268"/>
      <c r="PJQ804" s="268"/>
      <c r="PJR804" s="268"/>
      <c r="PJS804" s="268"/>
      <c r="PJT804" s="268"/>
      <c r="PJU804" s="268"/>
      <c r="PJV804" s="268"/>
      <c r="PJW804" s="268"/>
      <c r="PJX804" s="268"/>
      <c r="PJY804" s="268"/>
      <c r="PJZ804" s="268"/>
      <c r="PKA804" s="268"/>
      <c r="PKB804" s="268"/>
      <c r="PKC804" s="268"/>
      <c r="PKD804" s="268"/>
      <c r="PKE804" s="268"/>
      <c r="PKF804" s="268"/>
      <c r="PKG804" s="268"/>
      <c r="PKH804" s="268"/>
      <c r="PKI804" s="268"/>
      <c r="PKJ804" s="268"/>
      <c r="PKK804" s="268"/>
      <c r="PKL804" s="268"/>
      <c r="PKM804" s="268"/>
      <c r="PKN804" s="268"/>
      <c r="PKO804" s="268"/>
      <c r="PKP804" s="268"/>
      <c r="PKQ804" s="268"/>
      <c r="PKR804" s="268"/>
      <c r="PKS804" s="268"/>
      <c r="PKT804" s="268"/>
      <c r="PKU804" s="268"/>
      <c r="PKV804" s="268"/>
      <c r="PKW804" s="268"/>
      <c r="PKX804" s="268"/>
      <c r="PKY804" s="268"/>
      <c r="PKZ804" s="268"/>
      <c r="PLA804" s="268"/>
      <c r="PLB804" s="268"/>
      <c r="PLC804" s="268"/>
      <c r="PLD804" s="268"/>
      <c r="PLE804" s="268"/>
      <c r="PLF804" s="268"/>
      <c r="PLG804" s="268"/>
      <c r="PLH804" s="268"/>
      <c r="PLI804" s="268"/>
      <c r="PLJ804" s="268"/>
      <c r="PLK804" s="268"/>
      <c r="PLL804" s="268"/>
      <c r="PLM804" s="268"/>
      <c r="PLN804" s="268"/>
      <c r="PLO804" s="268"/>
      <c r="PLP804" s="268"/>
      <c r="PLQ804" s="268"/>
      <c r="PLR804" s="268"/>
      <c r="PLS804" s="268"/>
      <c r="PLT804" s="268"/>
      <c r="PLU804" s="268"/>
      <c r="PLV804" s="268"/>
      <c r="PLW804" s="268"/>
      <c r="PLX804" s="268"/>
      <c r="PLY804" s="268"/>
      <c r="PLZ804" s="268"/>
      <c r="PMA804" s="268"/>
      <c r="PMB804" s="268"/>
      <c r="PMC804" s="268"/>
      <c r="PMD804" s="268"/>
      <c r="PME804" s="268"/>
      <c r="PMF804" s="268"/>
      <c r="PMG804" s="268"/>
      <c r="PMH804" s="268"/>
      <c r="PMI804" s="268"/>
      <c r="PMJ804" s="268"/>
      <c r="PMK804" s="268"/>
      <c r="PML804" s="268"/>
      <c r="PMM804" s="268"/>
      <c r="PMN804" s="268"/>
      <c r="PMO804" s="268"/>
      <c r="PMP804" s="268"/>
      <c r="PMQ804" s="268"/>
      <c r="PMR804" s="268"/>
      <c r="PMS804" s="268"/>
      <c r="PMT804" s="268"/>
      <c r="PMU804" s="268"/>
      <c r="PMV804" s="268"/>
      <c r="PMW804" s="268"/>
      <c r="PMX804" s="268"/>
      <c r="PMY804" s="268"/>
      <c r="PMZ804" s="268"/>
      <c r="PNA804" s="268"/>
      <c r="PNB804" s="268"/>
      <c r="PNC804" s="268"/>
      <c r="PND804" s="268"/>
      <c r="PNE804" s="268"/>
      <c r="PNF804" s="268"/>
      <c r="PNG804" s="268"/>
      <c r="PNH804" s="268"/>
      <c r="PNI804" s="268"/>
      <c r="PNJ804" s="268"/>
      <c r="PNK804" s="268"/>
      <c r="PNL804" s="268"/>
      <c r="PNM804" s="268"/>
      <c r="PNN804" s="268"/>
      <c r="PNO804" s="268"/>
      <c r="PNP804" s="268"/>
      <c r="PNQ804" s="268"/>
      <c r="PNR804" s="268"/>
      <c r="PNS804" s="268"/>
      <c r="PNT804" s="268"/>
      <c r="PNU804" s="268"/>
      <c r="PNV804" s="268"/>
      <c r="PNW804" s="268"/>
      <c r="PNX804" s="268"/>
      <c r="PNY804" s="268"/>
      <c r="PNZ804" s="268"/>
      <c r="POA804" s="268"/>
      <c r="POB804" s="268"/>
      <c r="POC804" s="268"/>
      <c r="POD804" s="268"/>
      <c r="POE804" s="268"/>
      <c r="POF804" s="268"/>
      <c r="POG804" s="268"/>
      <c r="POH804" s="268"/>
      <c r="POI804" s="268"/>
      <c r="POJ804" s="268"/>
      <c r="POK804" s="268"/>
      <c r="POL804" s="268"/>
      <c r="POM804" s="268"/>
      <c r="PON804" s="268"/>
      <c r="POO804" s="268"/>
      <c r="POP804" s="268"/>
      <c r="POQ804" s="268"/>
      <c r="POR804" s="268"/>
      <c r="POS804" s="268"/>
      <c r="POT804" s="268"/>
      <c r="POU804" s="268"/>
      <c r="POV804" s="268"/>
      <c r="POW804" s="268"/>
      <c r="POX804" s="268"/>
      <c r="POY804" s="268"/>
      <c r="POZ804" s="268"/>
      <c r="PPA804" s="268"/>
      <c r="PPB804" s="268"/>
      <c r="PPC804" s="268"/>
      <c r="PPD804" s="268"/>
      <c r="PPE804" s="268"/>
      <c r="PPF804" s="268"/>
      <c r="PPG804" s="268"/>
      <c r="PPH804" s="268"/>
      <c r="PPI804" s="268"/>
      <c r="PPJ804" s="268"/>
      <c r="PPK804" s="268"/>
      <c r="PPL804" s="268"/>
      <c r="PPM804" s="268"/>
      <c r="PPN804" s="268"/>
      <c r="PPO804" s="268"/>
      <c r="PPP804" s="268"/>
      <c r="PPQ804" s="268"/>
      <c r="PPR804" s="268"/>
      <c r="PPS804" s="268"/>
      <c r="PPT804" s="268"/>
      <c r="PPU804" s="268"/>
      <c r="PPV804" s="268"/>
      <c r="PPW804" s="268"/>
      <c r="PQK804" s="268"/>
      <c r="PQL804" s="268"/>
      <c r="PQM804" s="268"/>
      <c r="PRA804" s="268"/>
      <c r="PRC804" s="268"/>
      <c r="PRD804" s="268"/>
      <c r="PRE804" s="268"/>
      <c r="PRF804" s="268"/>
      <c r="PRG804" s="268"/>
      <c r="PRH804" s="268"/>
      <c r="PRI804" s="268"/>
      <c r="PRJ804" s="268"/>
      <c r="PRK804" s="268"/>
      <c r="PRL804" s="268"/>
      <c r="PRM804" s="268"/>
      <c r="PRN804" s="268"/>
      <c r="PRO804" s="268"/>
      <c r="PRP804" s="268"/>
      <c r="PRQ804" s="268"/>
      <c r="PRR804" s="268"/>
      <c r="PRS804" s="268"/>
      <c r="PRT804" s="268"/>
      <c r="PRU804" s="268"/>
      <c r="PRV804" s="268"/>
      <c r="PRW804" s="268"/>
      <c r="PRX804" s="268"/>
      <c r="PRY804" s="268"/>
      <c r="PRZ804" s="268"/>
      <c r="PSA804" s="268"/>
      <c r="PSB804" s="268"/>
      <c r="PSC804" s="268"/>
      <c r="PSD804" s="268"/>
      <c r="PSE804" s="268"/>
      <c r="PSF804" s="268"/>
      <c r="PSG804" s="268"/>
      <c r="PSH804" s="268"/>
      <c r="PSI804" s="268"/>
      <c r="PSJ804" s="268"/>
      <c r="PSK804" s="268"/>
      <c r="PSL804" s="268"/>
      <c r="PSM804" s="268"/>
      <c r="PSN804" s="268"/>
      <c r="PSO804" s="268"/>
      <c r="PSP804" s="268"/>
      <c r="PSQ804" s="268"/>
      <c r="PSR804" s="268"/>
      <c r="PSS804" s="268"/>
      <c r="PST804" s="268"/>
      <c r="PSU804" s="268"/>
      <c r="PSV804" s="268"/>
      <c r="PSW804" s="268"/>
      <c r="PSX804" s="268"/>
      <c r="PSY804" s="268"/>
      <c r="PSZ804" s="268"/>
      <c r="PTA804" s="268"/>
      <c r="PTB804" s="268"/>
      <c r="PTC804" s="268"/>
      <c r="PTD804" s="268"/>
      <c r="PTE804" s="268"/>
      <c r="PTF804" s="268"/>
      <c r="PTG804" s="268"/>
      <c r="PTH804" s="268"/>
      <c r="PTI804" s="268"/>
      <c r="PTJ804" s="268"/>
      <c r="PTK804" s="268"/>
      <c r="PTL804" s="268"/>
      <c r="PTM804" s="268"/>
      <c r="PTN804" s="268"/>
      <c r="PTO804" s="268"/>
      <c r="PTP804" s="268"/>
      <c r="PTQ804" s="268"/>
      <c r="PTR804" s="268"/>
      <c r="PTS804" s="268"/>
      <c r="PTT804" s="268"/>
      <c r="PTU804" s="268"/>
      <c r="PTV804" s="268"/>
      <c r="PTW804" s="268"/>
      <c r="PTX804" s="268"/>
      <c r="PTY804" s="268"/>
      <c r="PTZ804" s="268"/>
      <c r="PUA804" s="268"/>
      <c r="PUB804" s="268"/>
      <c r="PUC804" s="268"/>
      <c r="PUD804" s="268"/>
      <c r="PUE804" s="268"/>
      <c r="PUF804" s="268"/>
      <c r="PUG804" s="268"/>
      <c r="PUH804" s="268"/>
      <c r="PUI804" s="268"/>
      <c r="PUJ804" s="268"/>
      <c r="PUK804" s="268"/>
      <c r="PUL804" s="268"/>
      <c r="PUM804" s="268"/>
      <c r="PUN804" s="268"/>
      <c r="PUO804" s="268"/>
      <c r="PUP804" s="268"/>
      <c r="PUQ804" s="268"/>
      <c r="PUR804" s="268"/>
      <c r="PUS804" s="268"/>
      <c r="PUT804" s="268"/>
      <c r="PUU804" s="268"/>
      <c r="PUV804" s="268"/>
      <c r="PUW804" s="268"/>
      <c r="PUX804" s="268"/>
      <c r="PUY804" s="268"/>
      <c r="PUZ804" s="268"/>
      <c r="PVA804" s="268"/>
      <c r="PVB804" s="268"/>
      <c r="PVC804" s="268"/>
      <c r="PVD804" s="268"/>
      <c r="PVE804" s="268"/>
      <c r="PVF804" s="268"/>
      <c r="PVG804" s="268"/>
      <c r="PVH804" s="268"/>
      <c r="PVI804" s="268"/>
      <c r="PVJ804" s="268"/>
      <c r="PVK804" s="268"/>
      <c r="PVL804" s="268"/>
      <c r="PVM804" s="268"/>
      <c r="PVN804" s="268"/>
      <c r="PVO804" s="268"/>
      <c r="PVP804" s="268"/>
      <c r="PVQ804" s="268"/>
      <c r="PVR804" s="268"/>
      <c r="PVS804" s="268"/>
      <c r="PVT804" s="268"/>
      <c r="PVU804" s="268"/>
      <c r="PVV804" s="268"/>
      <c r="PVW804" s="268"/>
      <c r="PVX804" s="268"/>
      <c r="PVY804" s="268"/>
      <c r="PVZ804" s="268"/>
      <c r="PWA804" s="268"/>
      <c r="PWB804" s="268"/>
      <c r="PWC804" s="268"/>
      <c r="PWD804" s="268"/>
      <c r="PWE804" s="268"/>
      <c r="PWF804" s="268"/>
      <c r="PWG804" s="268"/>
      <c r="PWH804" s="268"/>
      <c r="PWI804" s="268"/>
      <c r="PWJ804" s="268"/>
      <c r="PWK804" s="268"/>
      <c r="PWL804" s="268"/>
      <c r="PWM804" s="268"/>
      <c r="PWN804" s="268"/>
      <c r="PWO804" s="268"/>
      <c r="PWP804" s="268"/>
      <c r="PWQ804" s="268"/>
      <c r="PWR804" s="268"/>
      <c r="PWS804" s="268"/>
      <c r="PWT804" s="268"/>
      <c r="PWU804" s="268"/>
      <c r="PWV804" s="268"/>
      <c r="PWW804" s="268"/>
      <c r="PWX804" s="268"/>
      <c r="PWY804" s="268"/>
      <c r="PWZ804" s="268"/>
      <c r="PXA804" s="268"/>
      <c r="PXB804" s="268"/>
      <c r="PXC804" s="268"/>
      <c r="PXD804" s="268"/>
      <c r="PXE804" s="268"/>
      <c r="PXF804" s="268"/>
      <c r="PXG804" s="268"/>
      <c r="PXH804" s="268"/>
      <c r="PXI804" s="268"/>
      <c r="PXJ804" s="268"/>
      <c r="PXK804" s="268"/>
      <c r="PXL804" s="268"/>
      <c r="PXM804" s="268"/>
      <c r="PXN804" s="268"/>
      <c r="PXO804" s="268"/>
      <c r="PXP804" s="268"/>
      <c r="PXQ804" s="268"/>
      <c r="PXR804" s="268"/>
      <c r="PXS804" s="268"/>
      <c r="PXT804" s="268"/>
      <c r="PXU804" s="268"/>
      <c r="PXV804" s="268"/>
      <c r="PXW804" s="268"/>
      <c r="PXX804" s="268"/>
      <c r="PXY804" s="268"/>
      <c r="PXZ804" s="268"/>
      <c r="PYA804" s="268"/>
      <c r="PYB804" s="268"/>
      <c r="PYC804" s="268"/>
      <c r="PYD804" s="268"/>
      <c r="PYE804" s="268"/>
      <c r="PYF804" s="268"/>
      <c r="PYG804" s="268"/>
      <c r="PYH804" s="268"/>
      <c r="PYI804" s="268"/>
      <c r="PYJ804" s="268"/>
      <c r="PYK804" s="268"/>
      <c r="PYL804" s="268"/>
      <c r="PYM804" s="268"/>
      <c r="PYN804" s="268"/>
      <c r="PYO804" s="268"/>
      <c r="PYP804" s="268"/>
      <c r="PYQ804" s="268"/>
      <c r="PYR804" s="268"/>
      <c r="PYS804" s="268"/>
      <c r="PYT804" s="268"/>
      <c r="PYU804" s="268"/>
      <c r="PYV804" s="268"/>
      <c r="PYW804" s="268"/>
      <c r="PYX804" s="268"/>
      <c r="PYY804" s="268"/>
      <c r="PYZ804" s="268"/>
      <c r="PZA804" s="268"/>
      <c r="PZB804" s="268"/>
      <c r="PZC804" s="268"/>
      <c r="PZD804" s="268"/>
      <c r="PZE804" s="268"/>
      <c r="PZF804" s="268"/>
      <c r="PZG804" s="268"/>
      <c r="PZH804" s="268"/>
      <c r="PZI804" s="268"/>
      <c r="PZJ804" s="268"/>
      <c r="PZK804" s="268"/>
      <c r="PZL804" s="268"/>
      <c r="PZM804" s="268"/>
      <c r="PZN804" s="268"/>
      <c r="PZO804" s="268"/>
      <c r="PZP804" s="268"/>
      <c r="PZQ804" s="268"/>
      <c r="PZR804" s="268"/>
      <c r="PZS804" s="268"/>
      <c r="QAG804" s="268"/>
      <c r="QAH804" s="268"/>
      <c r="QAI804" s="268"/>
      <c r="QAW804" s="268"/>
      <c r="QAY804" s="268"/>
      <c r="QAZ804" s="268"/>
      <c r="QBA804" s="268"/>
      <c r="QBB804" s="268"/>
      <c r="QBC804" s="268"/>
      <c r="QBD804" s="268"/>
      <c r="QBE804" s="268"/>
      <c r="QBF804" s="268"/>
      <c r="QBG804" s="268"/>
      <c r="QBH804" s="268"/>
      <c r="QBI804" s="268"/>
      <c r="QBJ804" s="268"/>
      <c r="QBK804" s="268"/>
      <c r="QBL804" s="268"/>
      <c r="QBM804" s="268"/>
      <c r="QBN804" s="268"/>
      <c r="QBO804" s="268"/>
      <c r="QBP804" s="268"/>
      <c r="QBQ804" s="268"/>
      <c r="QBR804" s="268"/>
      <c r="QBS804" s="268"/>
      <c r="QBT804" s="268"/>
      <c r="QBU804" s="268"/>
      <c r="QBV804" s="268"/>
      <c r="QBW804" s="268"/>
      <c r="QBX804" s="268"/>
      <c r="QBY804" s="268"/>
      <c r="QBZ804" s="268"/>
      <c r="QCA804" s="268"/>
      <c r="QCB804" s="268"/>
      <c r="QCC804" s="268"/>
      <c r="QCD804" s="268"/>
      <c r="QCE804" s="268"/>
      <c r="QCF804" s="268"/>
      <c r="QCG804" s="268"/>
      <c r="QCH804" s="268"/>
      <c r="QCI804" s="268"/>
      <c r="QCJ804" s="268"/>
      <c r="QCK804" s="268"/>
      <c r="QCL804" s="268"/>
      <c r="QCM804" s="268"/>
      <c r="QCN804" s="268"/>
      <c r="QCO804" s="268"/>
      <c r="QCP804" s="268"/>
      <c r="QCQ804" s="268"/>
      <c r="QCR804" s="268"/>
      <c r="QCS804" s="268"/>
      <c r="QCT804" s="268"/>
      <c r="QCU804" s="268"/>
      <c r="QCV804" s="268"/>
      <c r="QCW804" s="268"/>
      <c r="QCX804" s="268"/>
      <c r="QCY804" s="268"/>
      <c r="QCZ804" s="268"/>
      <c r="QDA804" s="268"/>
      <c r="QDB804" s="268"/>
      <c r="QDC804" s="268"/>
      <c r="QDD804" s="268"/>
      <c r="QDE804" s="268"/>
      <c r="QDF804" s="268"/>
      <c r="QDG804" s="268"/>
      <c r="QDH804" s="268"/>
      <c r="QDI804" s="268"/>
      <c r="QDJ804" s="268"/>
      <c r="QDK804" s="268"/>
      <c r="QDL804" s="268"/>
      <c r="QDM804" s="268"/>
      <c r="QDN804" s="268"/>
      <c r="QDO804" s="268"/>
      <c r="QDP804" s="268"/>
      <c r="QDQ804" s="268"/>
      <c r="QDR804" s="268"/>
      <c r="QDS804" s="268"/>
      <c r="QDT804" s="268"/>
      <c r="QDU804" s="268"/>
      <c r="QDV804" s="268"/>
      <c r="QDW804" s="268"/>
      <c r="QDX804" s="268"/>
      <c r="QDY804" s="268"/>
      <c r="QDZ804" s="268"/>
      <c r="QEA804" s="268"/>
      <c r="QEB804" s="268"/>
      <c r="QEC804" s="268"/>
      <c r="QED804" s="268"/>
      <c r="QEE804" s="268"/>
      <c r="QEF804" s="268"/>
      <c r="QEG804" s="268"/>
      <c r="QEH804" s="268"/>
      <c r="QEI804" s="268"/>
      <c r="QEJ804" s="268"/>
      <c r="QEK804" s="268"/>
      <c r="QEL804" s="268"/>
      <c r="QEM804" s="268"/>
      <c r="QEN804" s="268"/>
      <c r="QEO804" s="268"/>
      <c r="QEP804" s="268"/>
      <c r="QEQ804" s="268"/>
      <c r="QER804" s="268"/>
      <c r="QES804" s="268"/>
      <c r="QET804" s="268"/>
      <c r="QEU804" s="268"/>
      <c r="QEV804" s="268"/>
      <c r="QEW804" s="268"/>
      <c r="QEX804" s="268"/>
      <c r="QEY804" s="268"/>
      <c r="QEZ804" s="268"/>
      <c r="QFA804" s="268"/>
      <c r="QFB804" s="268"/>
      <c r="QFC804" s="268"/>
      <c r="QFD804" s="268"/>
      <c r="QFE804" s="268"/>
      <c r="QFF804" s="268"/>
      <c r="QFG804" s="268"/>
      <c r="QFH804" s="268"/>
      <c r="QFI804" s="268"/>
      <c r="QFJ804" s="268"/>
      <c r="QFK804" s="268"/>
      <c r="QFL804" s="268"/>
      <c r="QFM804" s="268"/>
      <c r="QFN804" s="268"/>
      <c r="QFO804" s="268"/>
      <c r="QFP804" s="268"/>
      <c r="QFQ804" s="268"/>
      <c r="QFR804" s="268"/>
      <c r="QFS804" s="268"/>
      <c r="QFT804" s="268"/>
      <c r="QFU804" s="268"/>
      <c r="QFV804" s="268"/>
      <c r="QFW804" s="268"/>
      <c r="QFX804" s="268"/>
      <c r="QFY804" s="268"/>
      <c r="QFZ804" s="268"/>
      <c r="QGA804" s="268"/>
      <c r="QGB804" s="268"/>
      <c r="QGC804" s="268"/>
      <c r="QGD804" s="268"/>
      <c r="QGE804" s="268"/>
      <c r="QGF804" s="268"/>
      <c r="QGG804" s="268"/>
      <c r="QGH804" s="268"/>
      <c r="QGI804" s="268"/>
      <c r="QGJ804" s="268"/>
      <c r="QGK804" s="268"/>
      <c r="QGL804" s="268"/>
      <c r="QGM804" s="268"/>
      <c r="QGN804" s="268"/>
      <c r="QGO804" s="268"/>
      <c r="QGP804" s="268"/>
      <c r="QGQ804" s="268"/>
      <c r="QGR804" s="268"/>
      <c r="QGS804" s="268"/>
      <c r="QGT804" s="268"/>
      <c r="QGU804" s="268"/>
      <c r="QGV804" s="268"/>
      <c r="QGW804" s="268"/>
      <c r="QGX804" s="268"/>
      <c r="QGY804" s="268"/>
      <c r="QGZ804" s="268"/>
      <c r="QHA804" s="268"/>
      <c r="QHB804" s="268"/>
      <c r="QHC804" s="268"/>
      <c r="QHD804" s="268"/>
      <c r="QHE804" s="268"/>
      <c r="QHF804" s="268"/>
      <c r="QHG804" s="268"/>
      <c r="QHH804" s="268"/>
      <c r="QHI804" s="268"/>
      <c r="QHJ804" s="268"/>
      <c r="QHK804" s="268"/>
      <c r="QHL804" s="268"/>
      <c r="QHM804" s="268"/>
      <c r="QHN804" s="268"/>
      <c r="QHO804" s="268"/>
      <c r="QHP804" s="268"/>
      <c r="QHQ804" s="268"/>
      <c r="QHR804" s="268"/>
      <c r="QHS804" s="268"/>
      <c r="QHT804" s="268"/>
      <c r="QHU804" s="268"/>
      <c r="QHV804" s="268"/>
      <c r="QHW804" s="268"/>
      <c r="QHX804" s="268"/>
      <c r="QHY804" s="268"/>
      <c r="QHZ804" s="268"/>
      <c r="QIA804" s="268"/>
      <c r="QIB804" s="268"/>
      <c r="QIC804" s="268"/>
      <c r="QID804" s="268"/>
      <c r="QIE804" s="268"/>
      <c r="QIF804" s="268"/>
      <c r="QIG804" s="268"/>
      <c r="QIH804" s="268"/>
      <c r="QII804" s="268"/>
      <c r="QIJ804" s="268"/>
      <c r="QIK804" s="268"/>
      <c r="QIL804" s="268"/>
      <c r="QIM804" s="268"/>
      <c r="QIN804" s="268"/>
      <c r="QIO804" s="268"/>
      <c r="QIP804" s="268"/>
      <c r="QIQ804" s="268"/>
      <c r="QIR804" s="268"/>
      <c r="QIS804" s="268"/>
      <c r="QIT804" s="268"/>
      <c r="QIU804" s="268"/>
      <c r="QIV804" s="268"/>
      <c r="QIW804" s="268"/>
      <c r="QIX804" s="268"/>
      <c r="QIY804" s="268"/>
      <c r="QIZ804" s="268"/>
      <c r="QJA804" s="268"/>
      <c r="QJB804" s="268"/>
      <c r="QJC804" s="268"/>
      <c r="QJD804" s="268"/>
      <c r="QJE804" s="268"/>
      <c r="QJF804" s="268"/>
      <c r="QJG804" s="268"/>
      <c r="QJH804" s="268"/>
      <c r="QJI804" s="268"/>
      <c r="QJJ804" s="268"/>
      <c r="QJK804" s="268"/>
      <c r="QJL804" s="268"/>
      <c r="QJM804" s="268"/>
      <c r="QJN804" s="268"/>
      <c r="QJO804" s="268"/>
      <c r="QKC804" s="268"/>
      <c r="QKD804" s="268"/>
      <c r="QKE804" s="268"/>
      <c r="QKS804" s="268"/>
      <c r="QKU804" s="268"/>
      <c r="QKV804" s="268"/>
      <c r="QKW804" s="268"/>
      <c r="QKX804" s="268"/>
      <c r="QKY804" s="268"/>
      <c r="QKZ804" s="268"/>
      <c r="QLA804" s="268"/>
      <c r="QLB804" s="268"/>
      <c r="QLC804" s="268"/>
      <c r="QLD804" s="268"/>
      <c r="QLE804" s="268"/>
      <c r="QLF804" s="268"/>
      <c r="QLG804" s="268"/>
      <c r="QLH804" s="268"/>
      <c r="QLI804" s="268"/>
      <c r="QLJ804" s="268"/>
      <c r="QLK804" s="268"/>
      <c r="QLL804" s="268"/>
      <c r="QLM804" s="268"/>
      <c r="QLN804" s="268"/>
      <c r="QLO804" s="268"/>
      <c r="QLP804" s="268"/>
      <c r="QLQ804" s="268"/>
      <c r="QLR804" s="268"/>
      <c r="QLS804" s="268"/>
      <c r="QLT804" s="268"/>
      <c r="QLU804" s="268"/>
      <c r="QLV804" s="268"/>
      <c r="QLW804" s="268"/>
      <c r="QLX804" s="268"/>
      <c r="QLY804" s="268"/>
      <c r="QLZ804" s="268"/>
      <c r="QMA804" s="268"/>
      <c r="QMB804" s="268"/>
      <c r="QMC804" s="268"/>
      <c r="QMD804" s="268"/>
      <c r="QME804" s="268"/>
      <c r="QMF804" s="268"/>
      <c r="QMG804" s="268"/>
      <c r="QMH804" s="268"/>
      <c r="QMI804" s="268"/>
      <c r="QMJ804" s="268"/>
      <c r="QMK804" s="268"/>
      <c r="QML804" s="268"/>
      <c r="QMM804" s="268"/>
      <c r="QMN804" s="268"/>
      <c r="QMO804" s="268"/>
      <c r="QMP804" s="268"/>
      <c r="QMQ804" s="268"/>
      <c r="QMR804" s="268"/>
      <c r="QMS804" s="268"/>
      <c r="QMT804" s="268"/>
      <c r="QMU804" s="268"/>
      <c r="QMV804" s="268"/>
      <c r="QMW804" s="268"/>
      <c r="QMX804" s="268"/>
      <c r="QMY804" s="268"/>
      <c r="QMZ804" s="268"/>
      <c r="QNA804" s="268"/>
      <c r="QNB804" s="268"/>
      <c r="QNC804" s="268"/>
      <c r="QND804" s="268"/>
      <c r="QNE804" s="268"/>
      <c r="QNF804" s="268"/>
      <c r="QNG804" s="268"/>
      <c r="QNH804" s="268"/>
      <c r="QNI804" s="268"/>
      <c r="QNJ804" s="268"/>
      <c r="QNK804" s="268"/>
      <c r="QNL804" s="268"/>
      <c r="QNM804" s="268"/>
      <c r="QNN804" s="268"/>
      <c r="QNO804" s="268"/>
      <c r="QNP804" s="268"/>
      <c r="QNQ804" s="268"/>
      <c r="QNR804" s="268"/>
      <c r="QNS804" s="268"/>
      <c r="QNT804" s="268"/>
      <c r="QNU804" s="268"/>
      <c r="QNV804" s="268"/>
      <c r="QNW804" s="268"/>
      <c r="QNX804" s="268"/>
      <c r="QNY804" s="268"/>
      <c r="QNZ804" s="268"/>
      <c r="QOA804" s="268"/>
      <c r="QOB804" s="268"/>
      <c r="QOC804" s="268"/>
      <c r="QOD804" s="268"/>
      <c r="QOE804" s="268"/>
      <c r="QOF804" s="268"/>
      <c r="QOG804" s="268"/>
      <c r="QOH804" s="268"/>
      <c r="QOI804" s="268"/>
      <c r="QOJ804" s="268"/>
      <c r="QOK804" s="268"/>
      <c r="QOL804" s="268"/>
      <c r="QOM804" s="268"/>
      <c r="QON804" s="268"/>
      <c r="QOO804" s="268"/>
      <c r="QOP804" s="268"/>
      <c r="QOQ804" s="268"/>
      <c r="QOR804" s="268"/>
      <c r="QOS804" s="268"/>
      <c r="QOT804" s="268"/>
      <c r="QOU804" s="268"/>
      <c r="QOV804" s="268"/>
      <c r="QOW804" s="268"/>
      <c r="QOX804" s="268"/>
      <c r="QOY804" s="268"/>
      <c r="QOZ804" s="268"/>
      <c r="QPA804" s="268"/>
      <c r="QPB804" s="268"/>
      <c r="QPC804" s="268"/>
      <c r="QPD804" s="268"/>
      <c r="QPE804" s="268"/>
      <c r="QPF804" s="268"/>
      <c r="QPG804" s="268"/>
      <c r="QPH804" s="268"/>
      <c r="QPI804" s="268"/>
      <c r="QPJ804" s="268"/>
      <c r="QPK804" s="268"/>
      <c r="QPL804" s="268"/>
      <c r="QPM804" s="268"/>
      <c r="QPN804" s="268"/>
      <c r="QPO804" s="268"/>
      <c r="QPP804" s="268"/>
      <c r="QPQ804" s="268"/>
      <c r="QPR804" s="268"/>
      <c r="QPS804" s="268"/>
      <c r="QPT804" s="268"/>
      <c r="QPU804" s="268"/>
      <c r="QPV804" s="268"/>
      <c r="QPW804" s="268"/>
      <c r="QPX804" s="268"/>
      <c r="QPY804" s="268"/>
      <c r="QPZ804" s="268"/>
      <c r="QQA804" s="268"/>
      <c r="QQB804" s="268"/>
      <c r="QQC804" s="268"/>
      <c r="QQD804" s="268"/>
      <c r="QQE804" s="268"/>
      <c r="QQF804" s="268"/>
      <c r="QQG804" s="268"/>
      <c r="QQH804" s="268"/>
      <c r="QQI804" s="268"/>
      <c r="QQJ804" s="268"/>
      <c r="QQK804" s="268"/>
      <c r="QQL804" s="268"/>
      <c r="QQM804" s="268"/>
      <c r="QQN804" s="268"/>
      <c r="QQO804" s="268"/>
      <c r="QQP804" s="268"/>
      <c r="QQQ804" s="268"/>
      <c r="QQR804" s="268"/>
      <c r="QQS804" s="268"/>
      <c r="QQT804" s="268"/>
      <c r="QQU804" s="268"/>
      <c r="QQV804" s="268"/>
      <c r="QQW804" s="268"/>
      <c r="QQX804" s="268"/>
      <c r="QQY804" s="268"/>
      <c r="QQZ804" s="268"/>
      <c r="QRA804" s="268"/>
      <c r="QRB804" s="268"/>
      <c r="QRC804" s="268"/>
      <c r="QRD804" s="268"/>
      <c r="QRE804" s="268"/>
      <c r="QRF804" s="268"/>
      <c r="QRG804" s="268"/>
      <c r="QRH804" s="268"/>
      <c r="QRI804" s="268"/>
      <c r="QRJ804" s="268"/>
      <c r="QRK804" s="268"/>
      <c r="QRL804" s="268"/>
      <c r="QRM804" s="268"/>
      <c r="QRN804" s="268"/>
      <c r="QRO804" s="268"/>
      <c r="QRP804" s="268"/>
      <c r="QRQ804" s="268"/>
      <c r="QRR804" s="268"/>
      <c r="QRS804" s="268"/>
      <c r="QRT804" s="268"/>
      <c r="QRU804" s="268"/>
      <c r="QRV804" s="268"/>
      <c r="QRW804" s="268"/>
      <c r="QRX804" s="268"/>
      <c r="QRY804" s="268"/>
      <c r="QRZ804" s="268"/>
      <c r="QSA804" s="268"/>
      <c r="QSB804" s="268"/>
      <c r="QSC804" s="268"/>
      <c r="QSD804" s="268"/>
      <c r="QSE804" s="268"/>
      <c r="QSF804" s="268"/>
      <c r="QSG804" s="268"/>
      <c r="QSH804" s="268"/>
      <c r="QSI804" s="268"/>
      <c r="QSJ804" s="268"/>
      <c r="QSK804" s="268"/>
      <c r="QSL804" s="268"/>
      <c r="QSM804" s="268"/>
      <c r="QSN804" s="268"/>
      <c r="QSO804" s="268"/>
      <c r="QSP804" s="268"/>
      <c r="QSQ804" s="268"/>
      <c r="QSR804" s="268"/>
      <c r="QSS804" s="268"/>
      <c r="QST804" s="268"/>
      <c r="QSU804" s="268"/>
      <c r="QSV804" s="268"/>
      <c r="QSW804" s="268"/>
      <c r="QSX804" s="268"/>
      <c r="QSY804" s="268"/>
      <c r="QSZ804" s="268"/>
      <c r="QTA804" s="268"/>
      <c r="QTB804" s="268"/>
      <c r="QTC804" s="268"/>
      <c r="QTD804" s="268"/>
      <c r="QTE804" s="268"/>
      <c r="QTF804" s="268"/>
      <c r="QTG804" s="268"/>
      <c r="QTH804" s="268"/>
      <c r="QTI804" s="268"/>
      <c r="QTJ804" s="268"/>
      <c r="QTK804" s="268"/>
      <c r="QTY804" s="268"/>
      <c r="QTZ804" s="268"/>
      <c r="QUA804" s="268"/>
      <c r="QUO804" s="268"/>
      <c r="QUQ804" s="268"/>
      <c r="QUR804" s="268"/>
      <c r="QUS804" s="268"/>
      <c r="QUT804" s="268"/>
      <c r="QUU804" s="268"/>
      <c r="QUV804" s="268"/>
      <c r="QUW804" s="268"/>
      <c r="QUX804" s="268"/>
      <c r="QUY804" s="268"/>
      <c r="QUZ804" s="268"/>
      <c r="QVA804" s="268"/>
      <c r="QVB804" s="268"/>
      <c r="QVC804" s="268"/>
      <c r="QVD804" s="268"/>
      <c r="QVE804" s="268"/>
      <c r="QVF804" s="268"/>
      <c r="QVG804" s="268"/>
      <c r="QVH804" s="268"/>
      <c r="QVI804" s="268"/>
      <c r="QVJ804" s="268"/>
      <c r="QVK804" s="268"/>
      <c r="QVL804" s="268"/>
      <c r="QVM804" s="268"/>
      <c r="QVN804" s="268"/>
      <c r="QVO804" s="268"/>
      <c r="QVP804" s="268"/>
      <c r="QVQ804" s="268"/>
      <c r="QVR804" s="268"/>
      <c r="QVS804" s="268"/>
      <c r="QVT804" s="268"/>
      <c r="QVU804" s="268"/>
      <c r="QVV804" s="268"/>
      <c r="QVW804" s="268"/>
      <c r="QVX804" s="268"/>
      <c r="QVY804" s="268"/>
      <c r="QVZ804" s="268"/>
      <c r="QWA804" s="268"/>
      <c r="QWB804" s="268"/>
      <c r="QWC804" s="268"/>
      <c r="QWD804" s="268"/>
      <c r="QWE804" s="268"/>
      <c r="QWF804" s="268"/>
      <c r="QWG804" s="268"/>
      <c r="QWH804" s="268"/>
      <c r="QWI804" s="268"/>
      <c r="QWJ804" s="268"/>
      <c r="QWK804" s="268"/>
      <c r="QWL804" s="268"/>
      <c r="QWM804" s="268"/>
      <c r="QWN804" s="268"/>
      <c r="QWO804" s="268"/>
      <c r="QWP804" s="268"/>
      <c r="QWQ804" s="268"/>
      <c r="QWR804" s="268"/>
      <c r="QWS804" s="268"/>
      <c r="QWT804" s="268"/>
      <c r="QWU804" s="268"/>
      <c r="QWV804" s="268"/>
      <c r="QWW804" s="268"/>
      <c r="QWX804" s="268"/>
      <c r="QWY804" s="268"/>
      <c r="QWZ804" s="268"/>
      <c r="QXA804" s="268"/>
      <c r="QXB804" s="268"/>
      <c r="QXC804" s="268"/>
      <c r="QXD804" s="268"/>
      <c r="QXE804" s="268"/>
      <c r="QXF804" s="268"/>
      <c r="QXG804" s="268"/>
      <c r="QXH804" s="268"/>
      <c r="QXI804" s="268"/>
      <c r="QXJ804" s="268"/>
      <c r="QXK804" s="268"/>
      <c r="QXL804" s="268"/>
      <c r="QXM804" s="268"/>
      <c r="QXN804" s="268"/>
      <c r="QXO804" s="268"/>
      <c r="QXP804" s="268"/>
      <c r="QXQ804" s="268"/>
      <c r="QXR804" s="268"/>
      <c r="QXS804" s="268"/>
      <c r="QXT804" s="268"/>
      <c r="QXU804" s="268"/>
      <c r="QXV804" s="268"/>
      <c r="QXW804" s="268"/>
      <c r="QXX804" s="268"/>
      <c r="QXY804" s="268"/>
      <c r="QXZ804" s="268"/>
      <c r="QYA804" s="268"/>
      <c r="QYB804" s="268"/>
      <c r="QYC804" s="268"/>
      <c r="QYD804" s="268"/>
      <c r="QYE804" s="268"/>
      <c r="QYF804" s="268"/>
      <c r="QYG804" s="268"/>
      <c r="QYH804" s="268"/>
      <c r="QYI804" s="268"/>
      <c r="QYJ804" s="268"/>
      <c r="QYK804" s="268"/>
      <c r="QYL804" s="268"/>
      <c r="QYM804" s="268"/>
      <c r="QYN804" s="268"/>
      <c r="QYO804" s="268"/>
      <c r="QYP804" s="268"/>
      <c r="QYQ804" s="268"/>
      <c r="QYR804" s="268"/>
      <c r="QYS804" s="268"/>
      <c r="QYT804" s="268"/>
      <c r="QYU804" s="268"/>
      <c r="QYV804" s="268"/>
      <c r="QYW804" s="268"/>
      <c r="QYX804" s="268"/>
      <c r="QYY804" s="268"/>
      <c r="QYZ804" s="268"/>
      <c r="QZA804" s="268"/>
      <c r="QZB804" s="268"/>
      <c r="QZC804" s="268"/>
      <c r="QZD804" s="268"/>
      <c r="QZE804" s="268"/>
      <c r="QZF804" s="268"/>
      <c r="QZG804" s="268"/>
      <c r="QZH804" s="268"/>
      <c r="QZI804" s="268"/>
      <c r="QZJ804" s="268"/>
      <c r="QZK804" s="268"/>
      <c r="QZL804" s="268"/>
      <c r="QZM804" s="268"/>
      <c r="QZN804" s="268"/>
      <c r="QZO804" s="268"/>
      <c r="QZP804" s="268"/>
      <c r="QZQ804" s="268"/>
      <c r="QZR804" s="268"/>
      <c r="QZS804" s="268"/>
      <c r="QZT804" s="268"/>
      <c r="QZU804" s="268"/>
      <c r="QZV804" s="268"/>
      <c r="QZW804" s="268"/>
      <c r="QZX804" s="268"/>
      <c r="QZY804" s="268"/>
      <c r="QZZ804" s="268"/>
      <c r="RAA804" s="268"/>
      <c r="RAB804" s="268"/>
      <c r="RAC804" s="268"/>
      <c r="RAD804" s="268"/>
      <c r="RAE804" s="268"/>
      <c r="RAF804" s="268"/>
      <c r="RAG804" s="268"/>
      <c r="RAH804" s="268"/>
      <c r="RAI804" s="268"/>
      <c r="RAJ804" s="268"/>
      <c r="RAK804" s="268"/>
      <c r="RAL804" s="268"/>
      <c r="RAM804" s="268"/>
      <c r="RAN804" s="268"/>
      <c r="RAO804" s="268"/>
      <c r="RAP804" s="268"/>
      <c r="RAQ804" s="268"/>
      <c r="RAR804" s="268"/>
      <c r="RAS804" s="268"/>
      <c r="RAT804" s="268"/>
      <c r="RAU804" s="268"/>
      <c r="RAV804" s="268"/>
      <c r="RAW804" s="268"/>
      <c r="RAX804" s="268"/>
      <c r="RAY804" s="268"/>
      <c r="RAZ804" s="268"/>
      <c r="RBA804" s="268"/>
      <c r="RBB804" s="268"/>
      <c r="RBC804" s="268"/>
      <c r="RBD804" s="268"/>
      <c r="RBE804" s="268"/>
      <c r="RBF804" s="268"/>
      <c r="RBG804" s="268"/>
      <c r="RBH804" s="268"/>
      <c r="RBI804" s="268"/>
      <c r="RBJ804" s="268"/>
      <c r="RBK804" s="268"/>
      <c r="RBL804" s="268"/>
      <c r="RBM804" s="268"/>
      <c r="RBN804" s="268"/>
      <c r="RBO804" s="268"/>
      <c r="RBP804" s="268"/>
      <c r="RBQ804" s="268"/>
      <c r="RBR804" s="268"/>
      <c r="RBS804" s="268"/>
      <c r="RBT804" s="268"/>
      <c r="RBU804" s="268"/>
      <c r="RBV804" s="268"/>
      <c r="RBW804" s="268"/>
      <c r="RBX804" s="268"/>
      <c r="RBY804" s="268"/>
      <c r="RBZ804" s="268"/>
      <c r="RCA804" s="268"/>
      <c r="RCB804" s="268"/>
      <c r="RCC804" s="268"/>
      <c r="RCD804" s="268"/>
      <c r="RCE804" s="268"/>
      <c r="RCF804" s="268"/>
      <c r="RCG804" s="268"/>
      <c r="RCH804" s="268"/>
      <c r="RCI804" s="268"/>
      <c r="RCJ804" s="268"/>
      <c r="RCK804" s="268"/>
      <c r="RCL804" s="268"/>
      <c r="RCM804" s="268"/>
      <c r="RCN804" s="268"/>
      <c r="RCO804" s="268"/>
      <c r="RCP804" s="268"/>
      <c r="RCQ804" s="268"/>
      <c r="RCR804" s="268"/>
      <c r="RCS804" s="268"/>
      <c r="RCT804" s="268"/>
      <c r="RCU804" s="268"/>
      <c r="RCV804" s="268"/>
      <c r="RCW804" s="268"/>
      <c r="RCX804" s="268"/>
      <c r="RCY804" s="268"/>
      <c r="RCZ804" s="268"/>
      <c r="RDA804" s="268"/>
      <c r="RDB804" s="268"/>
      <c r="RDC804" s="268"/>
      <c r="RDD804" s="268"/>
      <c r="RDE804" s="268"/>
      <c r="RDF804" s="268"/>
      <c r="RDG804" s="268"/>
      <c r="RDU804" s="268"/>
      <c r="RDV804" s="268"/>
      <c r="RDW804" s="268"/>
      <c r="REK804" s="268"/>
      <c r="REM804" s="268"/>
      <c r="REN804" s="268"/>
      <c r="REO804" s="268"/>
      <c r="REP804" s="268"/>
      <c r="REQ804" s="268"/>
      <c r="RER804" s="268"/>
      <c r="RES804" s="268"/>
      <c r="RET804" s="268"/>
      <c r="REU804" s="268"/>
      <c r="REV804" s="268"/>
      <c r="REW804" s="268"/>
      <c r="REX804" s="268"/>
      <c r="REY804" s="268"/>
      <c r="REZ804" s="268"/>
      <c r="RFA804" s="268"/>
      <c r="RFB804" s="268"/>
      <c r="RFC804" s="268"/>
      <c r="RFD804" s="268"/>
      <c r="RFE804" s="268"/>
      <c r="RFF804" s="268"/>
      <c r="RFG804" s="268"/>
      <c r="RFH804" s="268"/>
      <c r="RFI804" s="268"/>
      <c r="RFJ804" s="268"/>
      <c r="RFK804" s="268"/>
      <c r="RFL804" s="268"/>
      <c r="RFM804" s="268"/>
      <c r="RFN804" s="268"/>
      <c r="RFO804" s="268"/>
      <c r="RFP804" s="268"/>
      <c r="RFQ804" s="268"/>
      <c r="RFR804" s="268"/>
      <c r="RFS804" s="268"/>
      <c r="RFT804" s="268"/>
      <c r="RFU804" s="268"/>
      <c r="RFV804" s="268"/>
      <c r="RFW804" s="268"/>
      <c r="RFX804" s="268"/>
      <c r="RFY804" s="268"/>
      <c r="RFZ804" s="268"/>
      <c r="RGA804" s="268"/>
      <c r="RGB804" s="268"/>
      <c r="RGC804" s="268"/>
      <c r="RGD804" s="268"/>
      <c r="RGE804" s="268"/>
      <c r="RGF804" s="268"/>
      <c r="RGG804" s="268"/>
      <c r="RGH804" s="268"/>
      <c r="RGI804" s="268"/>
      <c r="RGJ804" s="268"/>
      <c r="RGK804" s="268"/>
      <c r="RGL804" s="268"/>
      <c r="RGM804" s="268"/>
      <c r="RGN804" s="268"/>
      <c r="RGO804" s="268"/>
      <c r="RGP804" s="268"/>
      <c r="RGQ804" s="268"/>
      <c r="RGR804" s="268"/>
      <c r="RGS804" s="268"/>
      <c r="RGT804" s="268"/>
      <c r="RGU804" s="268"/>
      <c r="RGV804" s="268"/>
      <c r="RGW804" s="268"/>
      <c r="RGX804" s="268"/>
      <c r="RGY804" s="268"/>
      <c r="RGZ804" s="268"/>
      <c r="RHA804" s="268"/>
      <c r="RHB804" s="268"/>
      <c r="RHC804" s="268"/>
      <c r="RHD804" s="268"/>
      <c r="RHE804" s="268"/>
      <c r="RHF804" s="268"/>
      <c r="RHG804" s="268"/>
      <c r="RHH804" s="268"/>
      <c r="RHI804" s="268"/>
      <c r="RHJ804" s="268"/>
      <c r="RHK804" s="268"/>
      <c r="RHL804" s="268"/>
      <c r="RHM804" s="268"/>
      <c r="RHN804" s="268"/>
      <c r="RHO804" s="268"/>
      <c r="RHP804" s="268"/>
      <c r="RHQ804" s="268"/>
      <c r="RHR804" s="268"/>
      <c r="RHS804" s="268"/>
      <c r="RHT804" s="268"/>
      <c r="RHU804" s="268"/>
      <c r="RHV804" s="268"/>
      <c r="RHW804" s="268"/>
      <c r="RHX804" s="268"/>
      <c r="RHY804" s="268"/>
      <c r="RHZ804" s="268"/>
      <c r="RIA804" s="268"/>
      <c r="RIB804" s="268"/>
      <c r="RIC804" s="268"/>
      <c r="RID804" s="268"/>
      <c r="RIE804" s="268"/>
      <c r="RIF804" s="268"/>
      <c r="RIG804" s="268"/>
      <c r="RIH804" s="268"/>
      <c r="RII804" s="268"/>
      <c r="RIJ804" s="268"/>
      <c r="RIK804" s="268"/>
      <c r="RIL804" s="268"/>
      <c r="RIM804" s="268"/>
      <c r="RIN804" s="268"/>
      <c r="RIO804" s="268"/>
      <c r="RIP804" s="268"/>
      <c r="RIQ804" s="268"/>
      <c r="RIR804" s="268"/>
      <c r="RIS804" s="268"/>
      <c r="RIT804" s="268"/>
      <c r="RIU804" s="268"/>
      <c r="RIV804" s="268"/>
      <c r="RIW804" s="268"/>
      <c r="RIX804" s="268"/>
      <c r="RIY804" s="268"/>
      <c r="RIZ804" s="268"/>
      <c r="RJA804" s="268"/>
      <c r="RJB804" s="268"/>
      <c r="RJC804" s="268"/>
      <c r="RJD804" s="268"/>
      <c r="RJE804" s="268"/>
      <c r="RJF804" s="268"/>
      <c r="RJG804" s="268"/>
      <c r="RJH804" s="268"/>
      <c r="RJI804" s="268"/>
      <c r="RJJ804" s="268"/>
      <c r="RJK804" s="268"/>
      <c r="RJL804" s="268"/>
      <c r="RJM804" s="268"/>
      <c r="RJN804" s="268"/>
      <c r="RJO804" s="268"/>
      <c r="RJP804" s="268"/>
      <c r="RJQ804" s="268"/>
      <c r="RJR804" s="268"/>
      <c r="RJS804" s="268"/>
      <c r="RJT804" s="268"/>
      <c r="RJU804" s="268"/>
      <c r="RJV804" s="268"/>
      <c r="RJW804" s="268"/>
      <c r="RJX804" s="268"/>
      <c r="RJY804" s="268"/>
      <c r="RJZ804" s="268"/>
      <c r="RKA804" s="268"/>
      <c r="RKB804" s="268"/>
      <c r="RKC804" s="268"/>
      <c r="RKD804" s="268"/>
      <c r="RKE804" s="268"/>
      <c r="RKF804" s="268"/>
      <c r="RKG804" s="268"/>
      <c r="RKH804" s="268"/>
      <c r="RKI804" s="268"/>
      <c r="RKJ804" s="268"/>
      <c r="RKK804" s="268"/>
      <c r="RKL804" s="268"/>
      <c r="RKM804" s="268"/>
      <c r="RKN804" s="268"/>
      <c r="RKO804" s="268"/>
      <c r="RKP804" s="268"/>
      <c r="RKQ804" s="268"/>
      <c r="RKR804" s="268"/>
      <c r="RKS804" s="268"/>
      <c r="RKT804" s="268"/>
      <c r="RKU804" s="268"/>
      <c r="RKV804" s="268"/>
      <c r="RKW804" s="268"/>
      <c r="RKX804" s="268"/>
      <c r="RKY804" s="268"/>
      <c r="RKZ804" s="268"/>
      <c r="RLA804" s="268"/>
      <c r="RLB804" s="268"/>
      <c r="RLC804" s="268"/>
      <c r="RLD804" s="268"/>
      <c r="RLE804" s="268"/>
      <c r="RLF804" s="268"/>
      <c r="RLG804" s="268"/>
      <c r="RLH804" s="268"/>
      <c r="RLI804" s="268"/>
      <c r="RLJ804" s="268"/>
      <c r="RLK804" s="268"/>
      <c r="RLL804" s="268"/>
      <c r="RLM804" s="268"/>
      <c r="RLN804" s="268"/>
      <c r="RLO804" s="268"/>
      <c r="RLP804" s="268"/>
      <c r="RLQ804" s="268"/>
      <c r="RLR804" s="268"/>
      <c r="RLS804" s="268"/>
      <c r="RLT804" s="268"/>
      <c r="RLU804" s="268"/>
      <c r="RLV804" s="268"/>
      <c r="RLW804" s="268"/>
      <c r="RLX804" s="268"/>
      <c r="RLY804" s="268"/>
      <c r="RLZ804" s="268"/>
      <c r="RMA804" s="268"/>
      <c r="RMB804" s="268"/>
      <c r="RMC804" s="268"/>
      <c r="RMD804" s="268"/>
      <c r="RME804" s="268"/>
      <c r="RMF804" s="268"/>
      <c r="RMG804" s="268"/>
      <c r="RMH804" s="268"/>
      <c r="RMI804" s="268"/>
      <c r="RMJ804" s="268"/>
      <c r="RMK804" s="268"/>
      <c r="RML804" s="268"/>
      <c r="RMM804" s="268"/>
      <c r="RMN804" s="268"/>
      <c r="RMO804" s="268"/>
      <c r="RMP804" s="268"/>
      <c r="RMQ804" s="268"/>
      <c r="RMR804" s="268"/>
      <c r="RMS804" s="268"/>
      <c r="RMT804" s="268"/>
      <c r="RMU804" s="268"/>
      <c r="RMV804" s="268"/>
      <c r="RMW804" s="268"/>
      <c r="RMX804" s="268"/>
      <c r="RMY804" s="268"/>
      <c r="RMZ804" s="268"/>
      <c r="RNA804" s="268"/>
      <c r="RNB804" s="268"/>
      <c r="RNC804" s="268"/>
      <c r="RNQ804" s="268"/>
      <c r="RNR804" s="268"/>
      <c r="RNS804" s="268"/>
      <c r="ROG804" s="268"/>
      <c r="ROI804" s="268"/>
      <c r="ROJ804" s="268"/>
      <c r="ROK804" s="268"/>
      <c r="ROL804" s="268"/>
      <c r="ROM804" s="268"/>
      <c r="RON804" s="268"/>
      <c r="ROO804" s="268"/>
      <c r="ROP804" s="268"/>
      <c r="ROQ804" s="268"/>
      <c r="ROR804" s="268"/>
      <c r="ROS804" s="268"/>
      <c r="ROT804" s="268"/>
      <c r="ROU804" s="268"/>
      <c r="ROV804" s="268"/>
      <c r="ROW804" s="268"/>
      <c r="ROX804" s="268"/>
      <c r="ROY804" s="268"/>
      <c r="ROZ804" s="268"/>
      <c r="RPA804" s="268"/>
      <c r="RPB804" s="268"/>
      <c r="RPC804" s="268"/>
      <c r="RPD804" s="268"/>
      <c r="RPE804" s="268"/>
      <c r="RPF804" s="268"/>
      <c r="RPG804" s="268"/>
      <c r="RPH804" s="268"/>
      <c r="RPI804" s="268"/>
      <c r="RPJ804" s="268"/>
      <c r="RPK804" s="268"/>
      <c r="RPL804" s="268"/>
      <c r="RPM804" s="268"/>
      <c r="RPN804" s="268"/>
      <c r="RPO804" s="268"/>
      <c r="RPP804" s="268"/>
      <c r="RPQ804" s="268"/>
      <c r="RPR804" s="268"/>
      <c r="RPS804" s="268"/>
      <c r="RPT804" s="268"/>
      <c r="RPU804" s="268"/>
      <c r="RPV804" s="268"/>
      <c r="RPW804" s="268"/>
      <c r="RPX804" s="268"/>
      <c r="RPY804" s="268"/>
      <c r="RPZ804" s="268"/>
      <c r="RQA804" s="268"/>
      <c r="RQB804" s="268"/>
      <c r="RQC804" s="268"/>
      <c r="RQD804" s="268"/>
      <c r="RQE804" s="268"/>
      <c r="RQF804" s="268"/>
      <c r="RQG804" s="268"/>
      <c r="RQH804" s="268"/>
      <c r="RQI804" s="268"/>
      <c r="RQJ804" s="268"/>
      <c r="RQK804" s="268"/>
      <c r="RQL804" s="268"/>
      <c r="RQM804" s="268"/>
      <c r="RQN804" s="268"/>
      <c r="RQO804" s="268"/>
      <c r="RQP804" s="268"/>
      <c r="RQQ804" s="268"/>
      <c r="RQR804" s="268"/>
      <c r="RQS804" s="268"/>
      <c r="RQT804" s="268"/>
      <c r="RQU804" s="268"/>
      <c r="RQV804" s="268"/>
      <c r="RQW804" s="268"/>
      <c r="RQX804" s="268"/>
      <c r="RQY804" s="268"/>
      <c r="RQZ804" s="268"/>
      <c r="RRA804" s="268"/>
      <c r="RRB804" s="268"/>
      <c r="RRC804" s="268"/>
      <c r="RRD804" s="268"/>
      <c r="RRE804" s="268"/>
      <c r="RRF804" s="268"/>
      <c r="RRG804" s="268"/>
      <c r="RRH804" s="268"/>
      <c r="RRI804" s="268"/>
      <c r="RRJ804" s="268"/>
      <c r="RRK804" s="268"/>
      <c r="RRL804" s="268"/>
      <c r="RRM804" s="268"/>
      <c r="RRN804" s="268"/>
      <c r="RRO804" s="268"/>
      <c r="RRP804" s="268"/>
      <c r="RRQ804" s="268"/>
      <c r="RRR804" s="268"/>
      <c r="RRS804" s="268"/>
      <c r="RRT804" s="268"/>
      <c r="RRU804" s="268"/>
      <c r="RRV804" s="268"/>
      <c r="RRW804" s="268"/>
      <c r="RRX804" s="268"/>
      <c r="RRY804" s="268"/>
      <c r="RRZ804" s="268"/>
      <c r="RSA804" s="268"/>
      <c r="RSB804" s="268"/>
      <c r="RSC804" s="268"/>
      <c r="RSD804" s="268"/>
      <c r="RSE804" s="268"/>
      <c r="RSF804" s="268"/>
      <c r="RSG804" s="268"/>
      <c r="RSH804" s="268"/>
      <c r="RSI804" s="268"/>
      <c r="RSJ804" s="268"/>
      <c r="RSK804" s="268"/>
      <c r="RSL804" s="268"/>
      <c r="RSM804" s="268"/>
      <c r="RSN804" s="268"/>
      <c r="RSO804" s="268"/>
      <c r="RSP804" s="268"/>
      <c r="RSQ804" s="268"/>
      <c r="RSR804" s="268"/>
      <c r="RSS804" s="268"/>
      <c r="RST804" s="268"/>
      <c r="RSU804" s="268"/>
      <c r="RSV804" s="268"/>
      <c r="RSW804" s="268"/>
      <c r="RSX804" s="268"/>
      <c r="RSY804" s="268"/>
      <c r="RSZ804" s="268"/>
      <c r="RTA804" s="268"/>
      <c r="RTB804" s="268"/>
      <c r="RTC804" s="268"/>
      <c r="RTD804" s="268"/>
      <c r="RTE804" s="268"/>
      <c r="RTF804" s="268"/>
      <c r="RTG804" s="268"/>
      <c r="RTH804" s="268"/>
      <c r="RTI804" s="268"/>
      <c r="RTJ804" s="268"/>
      <c r="RTK804" s="268"/>
      <c r="RTL804" s="268"/>
      <c r="RTM804" s="268"/>
      <c r="RTN804" s="268"/>
      <c r="RTO804" s="268"/>
      <c r="RTP804" s="268"/>
      <c r="RTQ804" s="268"/>
      <c r="RTR804" s="268"/>
      <c r="RTS804" s="268"/>
      <c r="RTT804" s="268"/>
      <c r="RTU804" s="268"/>
      <c r="RTV804" s="268"/>
      <c r="RTW804" s="268"/>
      <c r="RTX804" s="268"/>
      <c r="RTY804" s="268"/>
      <c r="RTZ804" s="268"/>
      <c r="RUA804" s="268"/>
      <c r="RUB804" s="268"/>
      <c r="RUC804" s="268"/>
      <c r="RUD804" s="268"/>
      <c r="RUE804" s="268"/>
      <c r="RUF804" s="268"/>
      <c r="RUG804" s="268"/>
      <c r="RUH804" s="268"/>
      <c r="RUI804" s="268"/>
      <c r="RUJ804" s="268"/>
      <c r="RUK804" s="268"/>
      <c r="RUL804" s="268"/>
      <c r="RUM804" s="268"/>
      <c r="RUN804" s="268"/>
      <c r="RUO804" s="268"/>
      <c r="RUP804" s="268"/>
      <c r="RUQ804" s="268"/>
      <c r="RUR804" s="268"/>
      <c r="RUS804" s="268"/>
      <c r="RUT804" s="268"/>
      <c r="RUU804" s="268"/>
      <c r="RUV804" s="268"/>
      <c r="RUW804" s="268"/>
      <c r="RUX804" s="268"/>
      <c r="RUY804" s="268"/>
      <c r="RUZ804" s="268"/>
      <c r="RVA804" s="268"/>
      <c r="RVB804" s="268"/>
      <c r="RVC804" s="268"/>
      <c r="RVD804" s="268"/>
      <c r="RVE804" s="268"/>
      <c r="RVF804" s="268"/>
      <c r="RVG804" s="268"/>
      <c r="RVH804" s="268"/>
      <c r="RVI804" s="268"/>
      <c r="RVJ804" s="268"/>
      <c r="RVK804" s="268"/>
      <c r="RVL804" s="268"/>
      <c r="RVM804" s="268"/>
      <c r="RVN804" s="268"/>
      <c r="RVO804" s="268"/>
      <c r="RVP804" s="268"/>
      <c r="RVQ804" s="268"/>
      <c r="RVR804" s="268"/>
      <c r="RVS804" s="268"/>
      <c r="RVT804" s="268"/>
      <c r="RVU804" s="268"/>
      <c r="RVV804" s="268"/>
      <c r="RVW804" s="268"/>
      <c r="RVX804" s="268"/>
      <c r="RVY804" s="268"/>
      <c r="RVZ804" s="268"/>
      <c r="RWA804" s="268"/>
      <c r="RWB804" s="268"/>
      <c r="RWC804" s="268"/>
      <c r="RWD804" s="268"/>
      <c r="RWE804" s="268"/>
      <c r="RWF804" s="268"/>
      <c r="RWG804" s="268"/>
      <c r="RWH804" s="268"/>
      <c r="RWI804" s="268"/>
      <c r="RWJ804" s="268"/>
      <c r="RWK804" s="268"/>
      <c r="RWL804" s="268"/>
      <c r="RWM804" s="268"/>
      <c r="RWN804" s="268"/>
      <c r="RWO804" s="268"/>
      <c r="RWP804" s="268"/>
      <c r="RWQ804" s="268"/>
      <c r="RWR804" s="268"/>
      <c r="RWS804" s="268"/>
      <c r="RWT804" s="268"/>
      <c r="RWU804" s="268"/>
      <c r="RWV804" s="268"/>
      <c r="RWW804" s="268"/>
      <c r="RWX804" s="268"/>
      <c r="RWY804" s="268"/>
      <c r="RXM804" s="268"/>
      <c r="RXN804" s="268"/>
      <c r="RXO804" s="268"/>
      <c r="RYC804" s="268"/>
      <c r="RYE804" s="268"/>
      <c r="RYF804" s="268"/>
      <c r="RYG804" s="268"/>
      <c r="RYH804" s="268"/>
      <c r="RYI804" s="268"/>
      <c r="RYJ804" s="268"/>
      <c r="RYK804" s="268"/>
      <c r="RYL804" s="268"/>
      <c r="RYM804" s="268"/>
      <c r="RYN804" s="268"/>
      <c r="RYO804" s="268"/>
      <c r="RYP804" s="268"/>
      <c r="RYQ804" s="268"/>
      <c r="RYR804" s="268"/>
      <c r="RYS804" s="268"/>
      <c r="RYT804" s="268"/>
      <c r="RYU804" s="268"/>
      <c r="RYV804" s="268"/>
      <c r="RYW804" s="268"/>
      <c r="RYX804" s="268"/>
      <c r="RYY804" s="268"/>
      <c r="RYZ804" s="268"/>
      <c r="RZA804" s="268"/>
      <c r="RZB804" s="268"/>
      <c r="RZC804" s="268"/>
      <c r="RZD804" s="268"/>
      <c r="RZE804" s="268"/>
      <c r="RZF804" s="268"/>
      <c r="RZG804" s="268"/>
      <c r="RZH804" s="268"/>
      <c r="RZI804" s="268"/>
      <c r="RZJ804" s="268"/>
      <c r="RZK804" s="268"/>
      <c r="RZL804" s="268"/>
      <c r="RZM804" s="268"/>
      <c r="RZN804" s="268"/>
      <c r="RZO804" s="268"/>
      <c r="RZP804" s="268"/>
      <c r="RZQ804" s="268"/>
      <c r="RZR804" s="268"/>
      <c r="RZS804" s="268"/>
      <c r="RZT804" s="268"/>
      <c r="RZU804" s="268"/>
      <c r="RZV804" s="268"/>
      <c r="RZW804" s="268"/>
      <c r="RZX804" s="268"/>
      <c r="RZY804" s="268"/>
      <c r="RZZ804" s="268"/>
      <c r="SAA804" s="268"/>
      <c r="SAB804" s="268"/>
      <c r="SAC804" s="268"/>
      <c r="SAD804" s="268"/>
      <c r="SAE804" s="268"/>
      <c r="SAF804" s="268"/>
      <c r="SAG804" s="268"/>
      <c r="SAH804" s="268"/>
      <c r="SAI804" s="268"/>
      <c r="SAJ804" s="268"/>
      <c r="SAK804" s="268"/>
      <c r="SAL804" s="268"/>
      <c r="SAM804" s="268"/>
      <c r="SAN804" s="268"/>
      <c r="SAO804" s="268"/>
      <c r="SAP804" s="268"/>
      <c r="SAQ804" s="268"/>
      <c r="SAR804" s="268"/>
      <c r="SAS804" s="268"/>
      <c r="SAT804" s="268"/>
      <c r="SAU804" s="268"/>
      <c r="SAV804" s="268"/>
      <c r="SAW804" s="268"/>
      <c r="SAX804" s="268"/>
      <c r="SAY804" s="268"/>
      <c r="SAZ804" s="268"/>
      <c r="SBA804" s="268"/>
      <c r="SBB804" s="268"/>
      <c r="SBC804" s="268"/>
      <c r="SBD804" s="268"/>
      <c r="SBE804" s="268"/>
      <c r="SBF804" s="268"/>
      <c r="SBG804" s="268"/>
      <c r="SBH804" s="268"/>
      <c r="SBI804" s="268"/>
      <c r="SBJ804" s="268"/>
      <c r="SBK804" s="268"/>
      <c r="SBL804" s="268"/>
      <c r="SBM804" s="268"/>
      <c r="SBN804" s="268"/>
      <c r="SBO804" s="268"/>
      <c r="SBP804" s="268"/>
      <c r="SBQ804" s="268"/>
      <c r="SBR804" s="268"/>
      <c r="SBS804" s="268"/>
      <c r="SBT804" s="268"/>
      <c r="SBU804" s="268"/>
      <c r="SBV804" s="268"/>
      <c r="SBW804" s="268"/>
      <c r="SBX804" s="268"/>
      <c r="SBY804" s="268"/>
      <c r="SBZ804" s="268"/>
      <c r="SCA804" s="268"/>
      <c r="SCB804" s="268"/>
      <c r="SCC804" s="268"/>
      <c r="SCD804" s="268"/>
      <c r="SCE804" s="268"/>
      <c r="SCF804" s="268"/>
      <c r="SCG804" s="268"/>
      <c r="SCH804" s="268"/>
      <c r="SCI804" s="268"/>
      <c r="SCJ804" s="268"/>
      <c r="SCK804" s="268"/>
      <c r="SCL804" s="268"/>
      <c r="SCM804" s="268"/>
      <c r="SCN804" s="268"/>
      <c r="SCO804" s="268"/>
      <c r="SCP804" s="268"/>
      <c r="SCQ804" s="268"/>
      <c r="SCR804" s="268"/>
      <c r="SCS804" s="268"/>
      <c r="SCT804" s="268"/>
      <c r="SCU804" s="268"/>
      <c r="SCV804" s="268"/>
      <c r="SCW804" s="268"/>
      <c r="SCX804" s="268"/>
      <c r="SCY804" s="268"/>
      <c r="SCZ804" s="268"/>
      <c r="SDA804" s="268"/>
      <c r="SDB804" s="268"/>
      <c r="SDC804" s="268"/>
      <c r="SDD804" s="268"/>
      <c r="SDE804" s="268"/>
      <c r="SDF804" s="268"/>
      <c r="SDG804" s="268"/>
      <c r="SDH804" s="268"/>
      <c r="SDI804" s="268"/>
      <c r="SDJ804" s="268"/>
      <c r="SDK804" s="268"/>
      <c r="SDL804" s="268"/>
      <c r="SDM804" s="268"/>
      <c r="SDN804" s="268"/>
      <c r="SDO804" s="268"/>
      <c r="SDP804" s="268"/>
      <c r="SDQ804" s="268"/>
      <c r="SDR804" s="268"/>
      <c r="SDS804" s="268"/>
      <c r="SDT804" s="268"/>
      <c r="SDU804" s="268"/>
      <c r="SDV804" s="268"/>
      <c r="SDW804" s="268"/>
      <c r="SDX804" s="268"/>
      <c r="SDY804" s="268"/>
      <c r="SDZ804" s="268"/>
      <c r="SEA804" s="268"/>
      <c r="SEB804" s="268"/>
      <c r="SEC804" s="268"/>
      <c r="SED804" s="268"/>
      <c r="SEE804" s="268"/>
      <c r="SEF804" s="268"/>
      <c r="SEG804" s="268"/>
      <c r="SEH804" s="268"/>
      <c r="SEI804" s="268"/>
      <c r="SEJ804" s="268"/>
      <c r="SEK804" s="268"/>
      <c r="SEL804" s="268"/>
      <c r="SEM804" s="268"/>
      <c r="SEN804" s="268"/>
      <c r="SEO804" s="268"/>
      <c r="SEP804" s="268"/>
      <c r="SEQ804" s="268"/>
      <c r="SER804" s="268"/>
      <c r="SES804" s="268"/>
      <c r="SET804" s="268"/>
      <c r="SEU804" s="268"/>
      <c r="SEV804" s="268"/>
      <c r="SEW804" s="268"/>
      <c r="SEX804" s="268"/>
      <c r="SEY804" s="268"/>
      <c r="SEZ804" s="268"/>
      <c r="SFA804" s="268"/>
      <c r="SFB804" s="268"/>
      <c r="SFC804" s="268"/>
      <c r="SFD804" s="268"/>
      <c r="SFE804" s="268"/>
      <c r="SFF804" s="268"/>
      <c r="SFG804" s="268"/>
      <c r="SFH804" s="268"/>
      <c r="SFI804" s="268"/>
      <c r="SFJ804" s="268"/>
      <c r="SFK804" s="268"/>
      <c r="SFL804" s="268"/>
      <c r="SFM804" s="268"/>
      <c r="SFN804" s="268"/>
      <c r="SFO804" s="268"/>
      <c r="SFP804" s="268"/>
      <c r="SFQ804" s="268"/>
      <c r="SFR804" s="268"/>
      <c r="SFS804" s="268"/>
      <c r="SFT804" s="268"/>
      <c r="SFU804" s="268"/>
      <c r="SFV804" s="268"/>
      <c r="SFW804" s="268"/>
      <c r="SFX804" s="268"/>
      <c r="SFY804" s="268"/>
      <c r="SFZ804" s="268"/>
      <c r="SGA804" s="268"/>
      <c r="SGB804" s="268"/>
      <c r="SGC804" s="268"/>
      <c r="SGD804" s="268"/>
      <c r="SGE804" s="268"/>
      <c r="SGF804" s="268"/>
      <c r="SGG804" s="268"/>
      <c r="SGH804" s="268"/>
      <c r="SGI804" s="268"/>
      <c r="SGJ804" s="268"/>
      <c r="SGK804" s="268"/>
      <c r="SGL804" s="268"/>
      <c r="SGM804" s="268"/>
      <c r="SGN804" s="268"/>
      <c r="SGO804" s="268"/>
      <c r="SGP804" s="268"/>
      <c r="SGQ804" s="268"/>
      <c r="SGR804" s="268"/>
      <c r="SGS804" s="268"/>
      <c r="SGT804" s="268"/>
      <c r="SGU804" s="268"/>
      <c r="SHI804" s="268"/>
      <c r="SHJ804" s="268"/>
      <c r="SHK804" s="268"/>
      <c r="SHY804" s="268"/>
      <c r="SIA804" s="268"/>
      <c r="SIB804" s="268"/>
      <c r="SIC804" s="268"/>
      <c r="SID804" s="268"/>
      <c r="SIE804" s="268"/>
      <c r="SIF804" s="268"/>
      <c r="SIG804" s="268"/>
      <c r="SIH804" s="268"/>
      <c r="SII804" s="268"/>
      <c r="SIJ804" s="268"/>
      <c r="SIK804" s="268"/>
      <c r="SIL804" s="268"/>
      <c r="SIM804" s="268"/>
      <c r="SIN804" s="268"/>
      <c r="SIO804" s="268"/>
      <c r="SIP804" s="268"/>
      <c r="SIQ804" s="268"/>
      <c r="SIR804" s="268"/>
      <c r="SIS804" s="268"/>
      <c r="SIT804" s="268"/>
      <c r="SIU804" s="268"/>
      <c r="SIV804" s="268"/>
      <c r="SIW804" s="268"/>
      <c r="SIX804" s="268"/>
      <c r="SIY804" s="268"/>
      <c r="SIZ804" s="268"/>
      <c r="SJA804" s="268"/>
      <c r="SJB804" s="268"/>
      <c r="SJC804" s="268"/>
      <c r="SJD804" s="268"/>
      <c r="SJE804" s="268"/>
      <c r="SJF804" s="268"/>
      <c r="SJG804" s="268"/>
      <c r="SJH804" s="268"/>
      <c r="SJI804" s="268"/>
      <c r="SJJ804" s="268"/>
      <c r="SJK804" s="268"/>
      <c r="SJL804" s="268"/>
      <c r="SJM804" s="268"/>
      <c r="SJN804" s="268"/>
      <c r="SJO804" s="268"/>
      <c r="SJP804" s="268"/>
      <c r="SJQ804" s="268"/>
      <c r="SJR804" s="268"/>
      <c r="SJS804" s="268"/>
      <c r="SJT804" s="268"/>
      <c r="SJU804" s="268"/>
      <c r="SJV804" s="268"/>
      <c r="SJW804" s="268"/>
      <c r="SJX804" s="268"/>
      <c r="SJY804" s="268"/>
      <c r="SJZ804" s="268"/>
      <c r="SKA804" s="268"/>
      <c r="SKB804" s="268"/>
      <c r="SKC804" s="268"/>
      <c r="SKD804" s="268"/>
      <c r="SKE804" s="268"/>
      <c r="SKF804" s="268"/>
      <c r="SKG804" s="268"/>
      <c r="SKH804" s="268"/>
      <c r="SKI804" s="268"/>
      <c r="SKJ804" s="268"/>
      <c r="SKK804" s="268"/>
      <c r="SKL804" s="268"/>
      <c r="SKM804" s="268"/>
      <c r="SKN804" s="268"/>
      <c r="SKO804" s="268"/>
      <c r="SKP804" s="268"/>
      <c r="SKQ804" s="268"/>
      <c r="SKR804" s="268"/>
      <c r="SKS804" s="268"/>
      <c r="SKT804" s="268"/>
      <c r="SKU804" s="268"/>
      <c r="SKV804" s="268"/>
      <c r="SKW804" s="268"/>
      <c r="SKX804" s="268"/>
      <c r="SKY804" s="268"/>
      <c r="SKZ804" s="268"/>
      <c r="SLA804" s="268"/>
      <c r="SLB804" s="268"/>
      <c r="SLC804" s="268"/>
      <c r="SLD804" s="268"/>
      <c r="SLE804" s="268"/>
      <c r="SLF804" s="268"/>
      <c r="SLG804" s="268"/>
      <c r="SLH804" s="268"/>
      <c r="SLI804" s="268"/>
      <c r="SLJ804" s="268"/>
      <c r="SLK804" s="268"/>
      <c r="SLL804" s="268"/>
      <c r="SLM804" s="268"/>
      <c r="SLN804" s="268"/>
      <c r="SLO804" s="268"/>
      <c r="SLP804" s="268"/>
      <c r="SLQ804" s="268"/>
      <c r="SLR804" s="268"/>
      <c r="SLS804" s="268"/>
      <c r="SLT804" s="268"/>
      <c r="SLU804" s="268"/>
      <c r="SLV804" s="268"/>
      <c r="SLW804" s="268"/>
      <c r="SLX804" s="268"/>
      <c r="SLY804" s="268"/>
      <c r="SLZ804" s="268"/>
      <c r="SMA804" s="268"/>
      <c r="SMB804" s="268"/>
      <c r="SMC804" s="268"/>
      <c r="SMD804" s="268"/>
      <c r="SME804" s="268"/>
      <c r="SMF804" s="268"/>
      <c r="SMG804" s="268"/>
      <c r="SMH804" s="268"/>
      <c r="SMI804" s="268"/>
      <c r="SMJ804" s="268"/>
      <c r="SMK804" s="268"/>
      <c r="SML804" s="268"/>
      <c r="SMM804" s="268"/>
      <c r="SMN804" s="268"/>
      <c r="SMO804" s="268"/>
      <c r="SMP804" s="268"/>
      <c r="SMQ804" s="268"/>
      <c r="SMR804" s="268"/>
      <c r="SMS804" s="268"/>
      <c r="SMT804" s="268"/>
      <c r="SMU804" s="268"/>
      <c r="SMV804" s="268"/>
      <c r="SMW804" s="268"/>
      <c r="SMX804" s="268"/>
      <c r="SMY804" s="268"/>
      <c r="SMZ804" s="268"/>
      <c r="SNA804" s="268"/>
      <c r="SNB804" s="268"/>
      <c r="SNC804" s="268"/>
      <c r="SND804" s="268"/>
      <c r="SNE804" s="268"/>
      <c r="SNF804" s="268"/>
      <c r="SNG804" s="268"/>
      <c r="SNH804" s="268"/>
      <c r="SNI804" s="268"/>
      <c r="SNJ804" s="268"/>
      <c r="SNK804" s="268"/>
      <c r="SNL804" s="268"/>
      <c r="SNM804" s="268"/>
      <c r="SNN804" s="268"/>
      <c r="SNO804" s="268"/>
      <c r="SNP804" s="268"/>
      <c r="SNQ804" s="268"/>
      <c r="SNR804" s="268"/>
      <c r="SNS804" s="268"/>
      <c r="SNT804" s="268"/>
      <c r="SNU804" s="268"/>
      <c r="SNV804" s="268"/>
      <c r="SNW804" s="268"/>
      <c r="SNX804" s="268"/>
      <c r="SNY804" s="268"/>
      <c r="SNZ804" s="268"/>
      <c r="SOA804" s="268"/>
      <c r="SOB804" s="268"/>
      <c r="SOC804" s="268"/>
      <c r="SOD804" s="268"/>
      <c r="SOE804" s="268"/>
      <c r="SOF804" s="268"/>
      <c r="SOG804" s="268"/>
      <c r="SOH804" s="268"/>
      <c r="SOI804" s="268"/>
      <c r="SOJ804" s="268"/>
      <c r="SOK804" s="268"/>
      <c r="SOL804" s="268"/>
      <c r="SOM804" s="268"/>
      <c r="SON804" s="268"/>
      <c r="SOO804" s="268"/>
      <c r="SOP804" s="268"/>
      <c r="SOQ804" s="268"/>
      <c r="SOR804" s="268"/>
      <c r="SOS804" s="268"/>
      <c r="SOT804" s="268"/>
      <c r="SOU804" s="268"/>
      <c r="SOV804" s="268"/>
      <c r="SOW804" s="268"/>
      <c r="SOX804" s="268"/>
      <c r="SOY804" s="268"/>
      <c r="SOZ804" s="268"/>
      <c r="SPA804" s="268"/>
      <c r="SPB804" s="268"/>
      <c r="SPC804" s="268"/>
      <c r="SPD804" s="268"/>
      <c r="SPE804" s="268"/>
      <c r="SPF804" s="268"/>
      <c r="SPG804" s="268"/>
      <c r="SPH804" s="268"/>
      <c r="SPI804" s="268"/>
      <c r="SPJ804" s="268"/>
      <c r="SPK804" s="268"/>
      <c r="SPL804" s="268"/>
      <c r="SPM804" s="268"/>
      <c r="SPN804" s="268"/>
      <c r="SPO804" s="268"/>
      <c r="SPP804" s="268"/>
      <c r="SPQ804" s="268"/>
      <c r="SPR804" s="268"/>
      <c r="SPS804" s="268"/>
      <c r="SPT804" s="268"/>
      <c r="SPU804" s="268"/>
      <c r="SPV804" s="268"/>
      <c r="SPW804" s="268"/>
      <c r="SPX804" s="268"/>
      <c r="SPY804" s="268"/>
      <c r="SPZ804" s="268"/>
      <c r="SQA804" s="268"/>
      <c r="SQB804" s="268"/>
      <c r="SQC804" s="268"/>
      <c r="SQD804" s="268"/>
      <c r="SQE804" s="268"/>
      <c r="SQF804" s="268"/>
      <c r="SQG804" s="268"/>
      <c r="SQH804" s="268"/>
      <c r="SQI804" s="268"/>
      <c r="SQJ804" s="268"/>
      <c r="SQK804" s="268"/>
      <c r="SQL804" s="268"/>
      <c r="SQM804" s="268"/>
      <c r="SQN804" s="268"/>
      <c r="SQO804" s="268"/>
      <c r="SQP804" s="268"/>
      <c r="SQQ804" s="268"/>
      <c r="SRE804" s="268"/>
      <c r="SRF804" s="268"/>
      <c r="SRG804" s="268"/>
      <c r="SRU804" s="268"/>
      <c r="SRW804" s="268"/>
      <c r="SRX804" s="268"/>
      <c r="SRY804" s="268"/>
      <c r="SRZ804" s="268"/>
      <c r="SSA804" s="268"/>
      <c r="SSB804" s="268"/>
      <c r="SSC804" s="268"/>
      <c r="SSD804" s="268"/>
      <c r="SSE804" s="268"/>
      <c r="SSF804" s="268"/>
      <c r="SSG804" s="268"/>
      <c r="SSH804" s="268"/>
      <c r="SSI804" s="268"/>
      <c r="SSJ804" s="268"/>
      <c r="SSK804" s="268"/>
      <c r="SSL804" s="268"/>
      <c r="SSM804" s="268"/>
      <c r="SSN804" s="268"/>
      <c r="SSO804" s="268"/>
      <c r="SSP804" s="268"/>
      <c r="SSQ804" s="268"/>
      <c r="SSR804" s="268"/>
      <c r="SSS804" s="268"/>
      <c r="SST804" s="268"/>
      <c r="SSU804" s="268"/>
      <c r="SSV804" s="268"/>
      <c r="SSW804" s="268"/>
      <c r="SSX804" s="268"/>
      <c r="SSY804" s="268"/>
      <c r="SSZ804" s="268"/>
      <c r="STA804" s="268"/>
      <c r="STB804" s="268"/>
      <c r="STC804" s="268"/>
      <c r="STD804" s="268"/>
      <c r="STE804" s="268"/>
      <c r="STF804" s="268"/>
      <c r="STG804" s="268"/>
      <c r="STH804" s="268"/>
      <c r="STI804" s="268"/>
      <c r="STJ804" s="268"/>
      <c r="STK804" s="268"/>
      <c r="STL804" s="268"/>
      <c r="STM804" s="268"/>
      <c r="STN804" s="268"/>
      <c r="STO804" s="268"/>
      <c r="STP804" s="268"/>
      <c r="STQ804" s="268"/>
      <c r="STR804" s="268"/>
      <c r="STS804" s="268"/>
      <c r="STT804" s="268"/>
      <c r="STU804" s="268"/>
      <c r="STV804" s="268"/>
      <c r="STW804" s="268"/>
      <c r="STX804" s="268"/>
      <c r="STY804" s="268"/>
      <c r="STZ804" s="268"/>
      <c r="SUA804" s="268"/>
      <c r="SUB804" s="268"/>
      <c r="SUC804" s="268"/>
      <c r="SUD804" s="268"/>
      <c r="SUE804" s="268"/>
      <c r="SUF804" s="268"/>
      <c r="SUG804" s="268"/>
      <c r="SUH804" s="268"/>
      <c r="SUI804" s="268"/>
      <c r="SUJ804" s="268"/>
      <c r="SUK804" s="268"/>
      <c r="SUL804" s="268"/>
      <c r="SUM804" s="268"/>
      <c r="SUN804" s="268"/>
      <c r="SUO804" s="268"/>
      <c r="SUP804" s="268"/>
      <c r="SUQ804" s="268"/>
      <c r="SUR804" s="268"/>
      <c r="SUS804" s="268"/>
      <c r="SUT804" s="268"/>
      <c r="SUU804" s="268"/>
      <c r="SUV804" s="268"/>
      <c r="SUW804" s="268"/>
      <c r="SUX804" s="268"/>
      <c r="SUY804" s="268"/>
      <c r="SUZ804" s="268"/>
      <c r="SVA804" s="268"/>
      <c r="SVB804" s="268"/>
      <c r="SVC804" s="268"/>
      <c r="SVD804" s="268"/>
      <c r="SVE804" s="268"/>
      <c r="SVF804" s="268"/>
      <c r="SVG804" s="268"/>
      <c r="SVH804" s="268"/>
      <c r="SVI804" s="268"/>
      <c r="SVJ804" s="268"/>
      <c r="SVK804" s="268"/>
      <c r="SVL804" s="268"/>
      <c r="SVM804" s="268"/>
      <c r="SVN804" s="268"/>
      <c r="SVO804" s="268"/>
      <c r="SVP804" s="268"/>
      <c r="SVQ804" s="268"/>
      <c r="SVR804" s="268"/>
      <c r="SVS804" s="268"/>
      <c r="SVT804" s="268"/>
      <c r="SVU804" s="268"/>
      <c r="SVV804" s="268"/>
      <c r="SVW804" s="268"/>
      <c r="SVX804" s="268"/>
      <c r="SVY804" s="268"/>
      <c r="SVZ804" s="268"/>
      <c r="SWA804" s="268"/>
      <c r="SWB804" s="268"/>
      <c r="SWC804" s="268"/>
      <c r="SWD804" s="268"/>
      <c r="SWE804" s="268"/>
      <c r="SWF804" s="268"/>
      <c r="SWG804" s="268"/>
      <c r="SWH804" s="268"/>
      <c r="SWI804" s="268"/>
      <c r="SWJ804" s="268"/>
      <c r="SWK804" s="268"/>
      <c r="SWL804" s="268"/>
      <c r="SWM804" s="268"/>
      <c r="SWN804" s="268"/>
      <c r="SWO804" s="268"/>
      <c r="SWP804" s="268"/>
      <c r="SWQ804" s="268"/>
      <c r="SWR804" s="268"/>
      <c r="SWS804" s="268"/>
      <c r="SWT804" s="268"/>
      <c r="SWU804" s="268"/>
      <c r="SWV804" s="268"/>
      <c r="SWW804" s="268"/>
      <c r="SWX804" s="268"/>
      <c r="SWY804" s="268"/>
      <c r="SWZ804" s="268"/>
      <c r="SXA804" s="268"/>
      <c r="SXB804" s="268"/>
      <c r="SXC804" s="268"/>
      <c r="SXD804" s="268"/>
      <c r="SXE804" s="268"/>
      <c r="SXF804" s="268"/>
      <c r="SXG804" s="268"/>
      <c r="SXH804" s="268"/>
      <c r="SXI804" s="268"/>
      <c r="SXJ804" s="268"/>
      <c r="SXK804" s="268"/>
      <c r="SXL804" s="268"/>
      <c r="SXM804" s="268"/>
      <c r="SXN804" s="268"/>
      <c r="SXO804" s="268"/>
      <c r="SXP804" s="268"/>
      <c r="SXQ804" s="268"/>
      <c r="SXR804" s="268"/>
      <c r="SXS804" s="268"/>
      <c r="SXT804" s="268"/>
      <c r="SXU804" s="268"/>
      <c r="SXV804" s="268"/>
      <c r="SXW804" s="268"/>
      <c r="SXX804" s="268"/>
      <c r="SXY804" s="268"/>
      <c r="SXZ804" s="268"/>
      <c r="SYA804" s="268"/>
      <c r="SYB804" s="268"/>
      <c r="SYC804" s="268"/>
      <c r="SYD804" s="268"/>
      <c r="SYE804" s="268"/>
      <c r="SYF804" s="268"/>
      <c r="SYG804" s="268"/>
      <c r="SYH804" s="268"/>
      <c r="SYI804" s="268"/>
      <c r="SYJ804" s="268"/>
      <c r="SYK804" s="268"/>
      <c r="SYL804" s="268"/>
      <c r="SYM804" s="268"/>
      <c r="SYN804" s="268"/>
      <c r="SYO804" s="268"/>
      <c r="SYP804" s="268"/>
      <c r="SYQ804" s="268"/>
      <c r="SYR804" s="268"/>
      <c r="SYS804" s="268"/>
      <c r="SYT804" s="268"/>
      <c r="SYU804" s="268"/>
      <c r="SYV804" s="268"/>
      <c r="SYW804" s="268"/>
      <c r="SYX804" s="268"/>
      <c r="SYY804" s="268"/>
      <c r="SYZ804" s="268"/>
      <c r="SZA804" s="268"/>
      <c r="SZB804" s="268"/>
      <c r="SZC804" s="268"/>
      <c r="SZD804" s="268"/>
      <c r="SZE804" s="268"/>
      <c r="SZF804" s="268"/>
      <c r="SZG804" s="268"/>
      <c r="SZH804" s="268"/>
      <c r="SZI804" s="268"/>
      <c r="SZJ804" s="268"/>
      <c r="SZK804" s="268"/>
      <c r="SZL804" s="268"/>
      <c r="SZM804" s="268"/>
      <c r="SZN804" s="268"/>
      <c r="SZO804" s="268"/>
      <c r="SZP804" s="268"/>
      <c r="SZQ804" s="268"/>
      <c r="SZR804" s="268"/>
      <c r="SZS804" s="268"/>
      <c r="SZT804" s="268"/>
      <c r="SZU804" s="268"/>
      <c r="SZV804" s="268"/>
      <c r="SZW804" s="268"/>
      <c r="SZX804" s="268"/>
      <c r="SZY804" s="268"/>
      <c r="SZZ804" s="268"/>
      <c r="TAA804" s="268"/>
      <c r="TAB804" s="268"/>
      <c r="TAC804" s="268"/>
      <c r="TAD804" s="268"/>
      <c r="TAE804" s="268"/>
      <c r="TAF804" s="268"/>
      <c r="TAG804" s="268"/>
      <c r="TAH804" s="268"/>
      <c r="TAI804" s="268"/>
      <c r="TAJ804" s="268"/>
      <c r="TAK804" s="268"/>
      <c r="TAL804" s="268"/>
      <c r="TAM804" s="268"/>
      <c r="TBA804" s="268"/>
      <c r="TBB804" s="268"/>
      <c r="TBC804" s="268"/>
      <c r="TBQ804" s="268"/>
      <c r="TBS804" s="268"/>
      <c r="TBT804" s="268"/>
      <c r="TBU804" s="268"/>
      <c r="TBV804" s="268"/>
      <c r="TBW804" s="268"/>
      <c r="TBX804" s="268"/>
      <c r="TBY804" s="268"/>
      <c r="TBZ804" s="268"/>
      <c r="TCA804" s="268"/>
      <c r="TCB804" s="268"/>
      <c r="TCC804" s="268"/>
      <c r="TCD804" s="268"/>
      <c r="TCE804" s="268"/>
      <c r="TCF804" s="268"/>
      <c r="TCG804" s="268"/>
      <c r="TCH804" s="268"/>
      <c r="TCI804" s="268"/>
      <c r="TCJ804" s="268"/>
      <c r="TCK804" s="268"/>
      <c r="TCL804" s="268"/>
      <c r="TCM804" s="268"/>
      <c r="TCN804" s="268"/>
      <c r="TCO804" s="268"/>
      <c r="TCP804" s="268"/>
      <c r="TCQ804" s="268"/>
      <c r="TCR804" s="268"/>
      <c r="TCS804" s="268"/>
      <c r="TCT804" s="268"/>
      <c r="TCU804" s="268"/>
      <c r="TCV804" s="268"/>
      <c r="TCW804" s="268"/>
      <c r="TCX804" s="268"/>
      <c r="TCY804" s="268"/>
      <c r="TCZ804" s="268"/>
      <c r="TDA804" s="268"/>
      <c r="TDB804" s="268"/>
      <c r="TDC804" s="268"/>
      <c r="TDD804" s="268"/>
      <c r="TDE804" s="268"/>
      <c r="TDF804" s="268"/>
      <c r="TDG804" s="268"/>
      <c r="TDH804" s="268"/>
      <c r="TDI804" s="268"/>
      <c r="TDJ804" s="268"/>
      <c r="TDK804" s="268"/>
      <c r="TDL804" s="268"/>
      <c r="TDM804" s="268"/>
      <c r="TDN804" s="268"/>
      <c r="TDO804" s="268"/>
      <c r="TDP804" s="268"/>
      <c r="TDQ804" s="268"/>
      <c r="TDR804" s="268"/>
      <c r="TDS804" s="268"/>
      <c r="TDT804" s="268"/>
      <c r="TDU804" s="268"/>
      <c r="TDV804" s="268"/>
      <c r="TDW804" s="268"/>
      <c r="TDX804" s="268"/>
      <c r="TDY804" s="268"/>
      <c r="TDZ804" s="268"/>
      <c r="TEA804" s="268"/>
      <c r="TEB804" s="268"/>
      <c r="TEC804" s="268"/>
      <c r="TED804" s="268"/>
      <c r="TEE804" s="268"/>
      <c r="TEF804" s="268"/>
      <c r="TEG804" s="268"/>
      <c r="TEH804" s="268"/>
      <c r="TEI804" s="268"/>
      <c r="TEJ804" s="268"/>
      <c r="TEK804" s="268"/>
      <c r="TEL804" s="268"/>
      <c r="TEM804" s="268"/>
      <c r="TEN804" s="268"/>
      <c r="TEO804" s="268"/>
      <c r="TEP804" s="268"/>
      <c r="TEQ804" s="268"/>
      <c r="TER804" s="268"/>
      <c r="TES804" s="268"/>
      <c r="TET804" s="268"/>
      <c r="TEU804" s="268"/>
      <c r="TEV804" s="268"/>
      <c r="TEW804" s="268"/>
      <c r="TEX804" s="268"/>
      <c r="TEY804" s="268"/>
      <c r="TEZ804" s="268"/>
      <c r="TFA804" s="268"/>
      <c r="TFB804" s="268"/>
      <c r="TFC804" s="268"/>
      <c r="TFD804" s="268"/>
      <c r="TFE804" s="268"/>
      <c r="TFF804" s="268"/>
      <c r="TFG804" s="268"/>
      <c r="TFH804" s="268"/>
      <c r="TFI804" s="268"/>
      <c r="TFJ804" s="268"/>
      <c r="TFK804" s="268"/>
      <c r="TFL804" s="268"/>
      <c r="TFM804" s="268"/>
      <c r="TFN804" s="268"/>
      <c r="TFO804" s="268"/>
      <c r="TFP804" s="268"/>
      <c r="TFQ804" s="268"/>
      <c r="TFR804" s="268"/>
      <c r="TFS804" s="268"/>
      <c r="TFT804" s="268"/>
      <c r="TFU804" s="268"/>
      <c r="TFV804" s="268"/>
      <c r="TFW804" s="268"/>
      <c r="TFX804" s="268"/>
      <c r="TFY804" s="268"/>
      <c r="TFZ804" s="268"/>
      <c r="TGA804" s="268"/>
      <c r="TGB804" s="268"/>
      <c r="TGC804" s="268"/>
      <c r="TGD804" s="268"/>
      <c r="TGE804" s="268"/>
      <c r="TGF804" s="268"/>
      <c r="TGG804" s="268"/>
      <c r="TGH804" s="268"/>
      <c r="TGI804" s="268"/>
      <c r="TGJ804" s="268"/>
      <c r="TGK804" s="268"/>
      <c r="TGL804" s="268"/>
      <c r="TGM804" s="268"/>
      <c r="TGN804" s="268"/>
      <c r="TGO804" s="268"/>
      <c r="TGP804" s="268"/>
      <c r="TGQ804" s="268"/>
      <c r="TGR804" s="268"/>
      <c r="TGS804" s="268"/>
      <c r="TGT804" s="268"/>
      <c r="TGU804" s="268"/>
      <c r="TGV804" s="268"/>
      <c r="TGW804" s="268"/>
      <c r="TGX804" s="268"/>
      <c r="TGY804" s="268"/>
      <c r="TGZ804" s="268"/>
      <c r="THA804" s="268"/>
      <c r="THB804" s="268"/>
      <c r="THC804" s="268"/>
      <c r="THD804" s="268"/>
      <c r="THE804" s="268"/>
      <c r="THF804" s="268"/>
      <c r="THG804" s="268"/>
      <c r="THH804" s="268"/>
      <c r="THI804" s="268"/>
      <c r="THJ804" s="268"/>
      <c r="THK804" s="268"/>
      <c r="THL804" s="268"/>
      <c r="THM804" s="268"/>
      <c r="THN804" s="268"/>
      <c r="THO804" s="268"/>
      <c r="THP804" s="268"/>
      <c r="THQ804" s="268"/>
      <c r="THR804" s="268"/>
      <c r="THS804" s="268"/>
      <c r="THT804" s="268"/>
      <c r="THU804" s="268"/>
      <c r="THV804" s="268"/>
      <c r="THW804" s="268"/>
      <c r="THX804" s="268"/>
      <c r="THY804" s="268"/>
      <c r="THZ804" s="268"/>
      <c r="TIA804" s="268"/>
      <c r="TIB804" s="268"/>
      <c r="TIC804" s="268"/>
      <c r="TID804" s="268"/>
      <c r="TIE804" s="268"/>
      <c r="TIF804" s="268"/>
      <c r="TIG804" s="268"/>
      <c r="TIH804" s="268"/>
      <c r="TII804" s="268"/>
      <c r="TIJ804" s="268"/>
      <c r="TIK804" s="268"/>
      <c r="TIL804" s="268"/>
      <c r="TIM804" s="268"/>
      <c r="TIN804" s="268"/>
      <c r="TIO804" s="268"/>
      <c r="TIP804" s="268"/>
      <c r="TIQ804" s="268"/>
      <c r="TIR804" s="268"/>
      <c r="TIS804" s="268"/>
      <c r="TIT804" s="268"/>
      <c r="TIU804" s="268"/>
      <c r="TIV804" s="268"/>
      <c r="TIW804" s="268"/>
      <c r="TIX804" s="268"/>
      <c r="TIY804" s="268"/>
      <c r="TIZ804" s="268"/>
      <c r="TJA804" s="268"/>
      <c r="TJB804" s="268"/>
      <c r="TJC804" s="268"/>
      <c r="TJD804" s="268"/>
      <c r="TJE804" s="268"/>
      <c r="TJF804" s="268"/>
      <c r="TJG804" s="268"/>
      <c r="TJH804" s="268"/>
      <c r="TJI804" s="268"/>
      <c r="TJJ804" s="268"/>
      <c r="TJK804" s="268"/>
      <c r="TJL804" s="268"/>
      <c r="TJM804" s="268"/>
      <c r="TJN804" s="268"/>
      <c r="TJO804" s="268"/>
      <c r="TJP804" s="268"/>
      <c r="TJQ804" s="268"/>
      <c r="TJR804" s="268"/>
      <c r="TJS804" s="268"/>
      <c r="TJT804" s="268"/>
      <c r="TJU804" s="268"/>
      <c r="TJV804" s="268"/>
      <c r="TJW804" s="268"/>
      <c r="TJX804" s="268"/>
      <c r="TJY804" s="268"/>
      <c r="TJZ804" s="268"/>
      <c r="TKA804" s="268"/>
      <c r="TKB804" s="268"/>
      <c r="TKC804" s="268"/>
      <c r="TKD804" s="268"/>
      <c r="TKE804" s="268"/>
      <c r="TKF804" s="268"/>
      <c r="TKG804" s="268"/>
      <c r="TKH804" s="268"/>
      <c r="TKI804" s="268"/>
      <c r="TKW804" s="268"/>
      <c r="TKX804" s="268"/>
      <c r="TKY804" s="268"/>
      <c r="TLM804" s="268"/>
      <c r="TLO804" s="268"/>
      <c r="TLP804" s="268"/>
      <c r="TLQ804" s="268"/>
      <c r="TLR804" s="268"/>
      <c r="TLS804" s="268"/>
      <c r="TLT804" s="268"/>
      <c r="TLU804" s="268"/>
      <c r="TLV804" s="268"/>
      <c r="TLW804" s="268"/>
      <c r="TLX804" s="268"/>
      <c r="TLY804" s="268"/>
      <c r="TLZ804" s="268"/>
      <c r="TMA804" s="268"/>
      <c r="TMB804" s="268"/>
      <c r="TMC804" s="268"/>
      <c r="TMD804" s="268"/>
      <c r="TME804" s="268"/>
      <c r="TMF804" s="268"/>
      <c r="TMG804" s="268"/>
      <c r="TMH804" s="268"/>
      <c r="TMI804" s="268"/>
      <c r="TMJ804" s="268"/>
      <c r="TMK804" s="268"/>
      <c r="TML804" s="268"/>
      <c r="TMM804" s="268"/>
      <c r="TMN804" s="268"/>
      <c r="TMO804" s="268"/>
      <c r="TMP804" s="268"/>
      <c r="TMQ804" s="268"/>
      <c r="TMR804" s="268"/>
      <c r="TMS804" s="268"/>
      <c r="TMT804" s="268"/>
      <c r="TMU804" s="268"/>
      <c r="TMV804" s="268"/>
      <c r="TMW804" s="268"/>
      <c r="TMX804" s="268"/>
      <c r="TMY804" s="268"/>
      <c r="TMZ804" s="268"/>
      <c r="TNA804" s="268"/>
      <c r="TNB804" s="268"/>
      <c r="TNC804" s="268"/>
      <c r="TND804" s="268"/>
      <c r="TNE804" s="268"/>
      <c r="TNF804" s="268"/>
      <c r="TNG804" s="268"/>
      <c r="TNH804" s="268"/>
      <c r="TNI804" s="268"/>
      <c r="TNJ804" s="268"/>
      <c r="TNK804" s="268"/>
      <c r="TNL804" s="268"/>
      <c r="TNM804" s="268"/>
      <c r="TNN804" s="268"/>
      <c r="TNO804" s="268"/>
      <c r="TNP804" s="268"/>
      <c r="TNQ804" s="268"/>
      <c r="TNR804" s="268"/>
      <c r="TNS804" s="268"/>
      <c r="TNT804" s="268"/>
      <c r="TNU804" s="268"/>
      <c r="TNV804" s="268"/>
      <c r="TNW804" s="268"/>
      <c r="TNX804" s="268"/>
      <c r="TNY804" s="268"/>
      <c r="TNZ804" s="268"/>
      <c r="TOA804" s="268"/>
      <c r="TOB804" s="268"/>
      <c r="TOC804" s="268"/>
      <c r="TOD804" s="268"/>
      <c r="TOE804" s="268"/>
      <c r="TOF804" s="268"/>
      <c r="TOG804" s="268"/>
      <c r="TOH804" s="268"/>
      <c r="TOI804" s="268"/>
      <c r="TOJ804" s="268"/>
      <c r="TOK804" s="268"/>
      <c r="TOL804" s="268"/>
      <c r="TOM804" s="268"/>
      <c r="TON804" s="268"/>
      <c r="TOO804" s="268"/>
      <c r="TOP804" s="268"/>
      <c r="TOQ804" s="268"/>
      <c r="TOR804" s="268"/>
      <c r="TOS804" s="268"/>
      <c r="TOT804" s="268"/>
      <c r="TOU804" s="268"/>
      <c r="TOV804" s="268"/>
      <c r="TOW804" s="268"/>
      <c r="TOX804" s="268"/>
      <c r="TOY804" s="268"/>
      <c r="TOZ804" s="268"/>
      <c r="TPA804" s="268"/>
      <c r="TPB804" s="268"/>
      <c r="TPC804" s="268"/>
      <c r="TPD804" s="268"/>
      <c r="TPE804" s="268"/>
      <c r="TPF804" s="268"/>
      <c r="TPG804" s="268"/>
      <c r="TPH804" s="268"/>
      <c r="TPI804" s="268"/>
      <c r="TPJ804" s="268"/>
      <c r="TPK804" s="268"/>
      <c r="TPL804" s="268"/>
      <c r="TPM804" s="268"/>
      <c r="TPN804" s="268"/>
      <c r="TPO804" s="268"/>
      <c r="TPP804" s="268"/>
      <c r="TPQ804" s="268"/>
      <c r="TPR804" s="268"/>
      <c r="TPS804" s="268"/>
      <c r="TPT804" s="268"/>
      <c r="TPU804" s="268"/>
      <c r="TPV804" s="268"/>
      <c r="TPW804" s="268"/>
      <c r="TPX804" s="268"/>
      <c r="TPY804" s="268"/>
      <c r="TPZ804" s="268"/>
      <c r="TQA804" s="268"/>
      <c r="TQB804" s="268"/>
      <c r="TQC804" s="268"/>
      <c r="TQD804" s="268"/>
      <c r="TQE804" s="268"/>
      <c r="TQF804" s="268"/>
      <c r="TQG804" s="268"/>
      <c r="TQH804" s="268"/>
      <c r="TQI804" s="268"/>
      <c r="TQJ804" s="268"/>
      <c r="TQK804" s="268"/>
      <c r="TQL804" s="268"/>
      <c r="TQM804" s="268"/>
      <c r="TQN804" s="268"/>
      <c r="TQO804" s="268"/>
      <c r="TQP804" s="268"/>
      <c r="TQQ804" s="268"/>
      <c r="TQR804" s="268"/>
      <c r="TQS804" s="268"/>
      <c r="TQT804" s="268"/>
      <c r="TQU804" s="268"/>
      <c r="TQV804" s="268"/>
      <c r="TQW804" s="268"/>
      <c r="TQX804" s="268"/>
      <c r="TQY804" s="268"/>
      <c r="TQZ804" s="268"/>
      <c r="TRA804" s="268"/>
      <c r="TRB804" s="268"/>
      <c r="TRC804" s="268"/>
      <c r="TRD804" s="268"/>
      <c r="TRE804" s="268"/>
      <c r="TRF804" s="268"/>
      <c r="TRG804" s="268"/>
      <c r="TRH804" s="268"/>
      <c r="TRI804" s="268"/>
      <c r="TRJ804" s="268"/>
      <c r="TRK804" s="268"/>
      <c r="TRL804" s="268"/>
      <c r="TRM804" s="268"/>
      <c r="TRN804" s="268"/>
      <c r="TRO804" s="268"/>
      <c r="TRP804" s="268"/>
      <c r="TRQ804" s="268"/>
      <c r="TRR804" s="268"/>
      <c r="TRS804" s="268"/>
      <c r="TRT804" s="268"/>
      <c r="TRU804" s="268"/>
      <c r="TRV804" s="268"/>
      <c r="TRW804" s="268"/>
      <c r="TRX804" s="268"/>
      <c r="TRY804" s="268"/>
      <c r="TRZ804" s="268"/>
      <c r="TSA804" s="268"/>
      <c r="TSB804" s="268"/>
      <c r="TSC804" s="268"/>
      <c r="TSD804" s="268"/>
      <c r="TSE804" s="268"/>
      <c r="TSF804" s="268"/>
      <c r="TSG804" s="268"/>
      <c r="TSH804" s="268"/>
      <c r="TSI804" s="268"/>
      <c r="TSJ804" s="268"/>
      <c r="TSK804" s="268"/>
      <c r="TSL804" s="268"/>
      <c r="TSM804" s="268"/>
      <c r="TSN804" s="268"/>
      <c r="TSO804" s="268"/>
      <c r="TSP804" s="268"/>
      <c r="TSQ804" s="268"/>
      <c r="TSR804" s="268"/>
      <c r="TSS804" s="268"/>
      <c r="TST804" s="268"/>
      <c r="TSU804" s="268"/>
      <c r="TSV804" s="268"/>
      <c r="TSW804" s="268"/>
      <c r="TSX804" s="268"/>
      <c r="TSY804" s="268"/>
      <c r="TSZ804" s="268"/>
      <c r="TTA804" s="268"/>
      <c r="TTB804" s="268"/>
      <c r="TTC804" s="268"/>
      <c r="TTD804" s="268"/>
      <c r="TTE804" s="268"/>
      <c r="TTF804" s="268"/>
      <c r="TTG804" s="268"/>
      <c r="TTH804" s="268"/>
      <c r="TTI804" s="268"/>
      <c r="TTJ804" s="268"/>
      <c r="TTK804" s="268"/>
      <c r="TTL804" s="268"/>
      <c r="TTM804" s="268"/>
      <c r="TTN804" s="268"/>
      <c r="TTO804" s="268"/>
      <c r="TTP804" s="268"/>
      <c r="TTQ804" s="268"/>
      <c r="TTR804" s="268"/>
      <c r="TTS804" s="268"/>
      <c r="TTT804" s="268"/>
      <c r="TTU804" s="268"/>
      <c r="TTV804" s="268"/>
      <c r="TTW804" s="268"/>
      <c r="TTX804" s="268"/>
      <c r="TTY804" s="268"/>
      <c r="TTZ804" s="268"/>
      <c r="TUA804" s="268"/>
      <c r="TUB804" s="268"/>
      <c r="TUC804" s="268"/>
      <c r="TUD804" s="268"/>
      <c r="TUE804" s="268"/>
      <c r="TUS804" s="268"/>
      <c r="TUT804" s="268"/>
      <c r="TUU804" s="268"/>
      <c r="TVI804" s="268"/>
      <c r="TVK804" s="268"/>
      <c r="TVL804" s="268"/>
      <c r="TVM804" s="268"/>
      <c r="TVN804" s="268"/>
      <c r="TVO804" s="268"/>
      <c r="TVP804" s="268"/>
      <c r="TVQ804" s="268"/>
      <c r="TVR804" s="268"/>
      <c r="TVS804" s="268"/>
      <c r="TVT804" s="268"/>
      <c r="TVU804" s="268"/>
      <c r="TVV804" s="268"/>
      <c r="TVW804" s="268"/>
      <c r="TVX804" s="268"/>
      <c r="TVY804" s="268"/>
      <c r="TVZ804" s="268"/>
      <c r="TWA804" s="268"/>
      <c r="TWB804" s="268"/>
      <c r="TWC804" s="268"/>
      <c r="TWD804" s="268"/>
      <c r="TWE804" s="268"/>
      <c r="TWF804" s="268"/>
      <c r="TWG804" s="268"/>
      <c r="TWH804" s="268"/>
      <c r="TWI804" s="268"/>
      <c r="TWJ804" s="268"/>
      <c r="TWK804" s="268"/>
      <c r="TWL804" s="268"/>
      <c r="TWM804" s="268"/>
      <c r="TWN804" s="268"/>
      <c r="TWO804" s="268"/>
      <c r="TWP804" s="268"/>
      <c r="TWQ804" s="268"/>
      <c r="TWR804" s="268"/>
      <c r="TWS804" s="268"/>
      <c r="TWT804" s="268"/>
      <c r="TWU804" s="268"/>
      <c r="TWV804" s="268"/>
      <c r="TWW804" s="268"/>
      <c r="TWX804" s="268"/>
      <c r="TWY804" s="268"/>
      <c r="TWZ804" s="268"/>
      <c r="TXA804" s="268"/>
      <c r="TXB804" s="268"/>
      <c r="TXC804" s="268"/>
      <c r="TXD804" s="268"/>
      <c r="TXE804" s="268"/>
      <c r="TXF804" s="268"/>
      <c r="TXG804" s="268"/>
      <c r="TXH804" s="268"/>
      <c r="TXI804" s="268"/>
      <c r="TXJ804" s="268"/>
      <c r="TXK804" s="268"/>
      <c r="TXL804" s="268"/>
      <c r="TXM804" s="268"/>
      <c r="TXN804" s="268"/>
      <c r="TXO804" s="268"/>
      <c r="TXP804" s="268"/>
      <c r="TXQ804" s="268"/>
      <c r="TXR804" s="268"/>
      <c r="TXS804" s="268"/>
      <c r="TXT804" s="268"/>
      <c r="TXU804" s="268"/>
      <c r="TXV804" s="268"/>
      <c r="TXW804" s="268"/>
      <c r="TXX804" s="268"/>
      <c r="TXY804" s="268"/>
      <c r="TXZ804" s="268"/>
      <c r="TYA804" s="268"/>
      <c r="TYB804" s="268"/>
      <c r="TYC804" s="268"/>
      <c r="TYD804" s="268"/>
      <c r="TYE804" s="268"/>
      <c r="TYF804" s="268"/>
      <c r="TYG804" s="268"/>
      <c r="TYH804" s="268"/>
      <c r="TYI804" s="268"/>
      <c r="TYJ804" s="268"/>
      <c r="TYK804" s="268"/>
      <c r="TYL804" s="268"/>
      <c r="TYM804" s="268"/>
      <c r="TYN804" s="268"/>
      <c r="TYO804" s="268"/>
      <c r="TYP804" s="268"/>
      <c r="TYQ804" s="268"/>
      <c r="TYR804" s="268"/>
      <c r="TYS804" s="268"/>
      <c r="TYT804" s="268"/>
      <c r="TYU804" s="268"/>
      <c r="TYV804" s="268"/>
      <c r="TYW804" s="268"/>
      <c r="TYX804" s="268"/>
      <c r="TYY804" s="268"/>
      <c r="TYZ804" s="268"/>
      <c r="TZA804" s="268"/>
      <c r="TZB804" s="268"/>
      <c r="TZC804" s="268"/>
      <c r="TZD804" s="268"/>
      <c r="TZE804" s="268"/>
      <c r="TZF804" s="268"/>
      <c r="TZG804" s="268"/>
      <c r="TZH804" s="268"/>
      <c r="TZI804" s="268"/>
      <c r="TZJ804" s="268"/>
      <c r="TZK804" s="268"/>
      <c r="TZL804" s="268"/>
      <c r="TZM804" s="268"/>
      <c r="TZN804" s="268"/>
      <c r="TZO804" s="268"/>
      <c r="TZP804" s="268"/>
      <c r="TZQ804" s="268"/>
      <c r="TZR804" s="268"/>
      <c r="TZS804" s="268"/>
      <c r="TZT804" s="268"/>
      <c r="TZU804" s="268"/>
      <c r="TZV804" s="268"/>
      <c r="TZW804" s="268"/>
      <c r="TZX804" s="268"/>
      <c r="TZY804" s="268"/>
      <c r="TZZ804" s="268"/>
      <c r="UAA804" s="268"/>
      <c r="UAB804" s="268"/>
      <c r="UAC804" s="268"/>
      <c r="UAD804" s="268"/>
      <c r="UAE804" s="268"/>
      <c r="UAF804" s="268"/>
      <c r="UAG804" s="268"/>
      <c r="UAH804" s="268"/>
      <c r="UAI804" s="268"/>
      <c r="UAJ804" s="268"/>
      <c r="UAK804" s="268"/>
      <c r="UAL804" s="268"/>
      <c r="UAM804" s="268"/>
      <c r="UAN804" s="268"/>
      <c r="UAO804" s="268"/>
      <c r="UAP804" s="268"/>
      <c r="UAQ804" s="268"/>
      <c r="UAR804" s="268"/>
      <c r="UAS804" s="268"/>
      <c r="UAT804" s="268"/>
      <c r="UAU804" s="268"/>
      <c r="UAV804" s="268"/>
      <c r="UAW804" s="268"/>
      <c r="UAX804" s="268"/>
      <c r="UAY804" s="268"/>
      <c r="UAZ804" s="268"/>
      <c r="UBA804" s="268"/>
      <c r="UBB804" s="268"/>
      <c r="UBC804" s="268"/>
      <c r="UBD804" s="268"/>
      <c r="UBE804" s="268"/>
      <c r="UBF804" s="268"/>
      <c r="UBG804" s="268"/>
      <c r="UBH804" s="268"/>
      <c r="UBI804" s="268"/>
      <c r="UBJ804" s="268"/>
      <c r="UBK804" s="268"/>
      <c r="UBL804" s="268"/>
      <c r="UBM804" s="268"/>
      <c r="UBN804" s="268"/>
      <c r="UBO804" s="268"/>
      <c r="UBP804" s="268"/>
      <c r="UBQ804" s="268"/>
      <c r="UBR804" s="268"/>
      <c r="UBS804" s="268"/>
      <c r="UBT804" s="268"/>
      <c r="UBU804" s="268"/>
      <c r="UBV804" s="268"/>
      <c r="UBW804" s="268"/>
      <c r="UBX804" s="268"/>
      <c r="UBY804" s="268"/>
      <c r="UBZ804" s="268"/>
      <c r="UCA804" s="268"/>
      <c r="UCB804" s="268"/>
      <c r="UCC804" s="268"/>
      <c r="UCD804" s="268"/>
      <c r="UCE804" s="268"/>
      <c r="UCF804" s="268"/>
      <c r="UCG804" s="268"/>
      <c r="UCH804" s="268"/>
      <c r="UCI804" s="268"/>
      <c r="UCJ804" s="268"/>
      <c r="UCK804" s="268"/>
      <c r="UCL804" s="268"/>
      <c r="UCM804" s="268"/>
      <c r="UCN804" s="268"/>
      <c r="UCO804" s="268"/>
      <c r="UCP804" s="268"/>
      <c r="UCQ804" s="268"/>
      <c r="UCR804" s="268"/>
      <c r="UCS804" s="268"/>
      <c r="UCT804" s="268"/>
      <c r="UCU804" s="268"/>
      <c r="UCV804" s="268"/>
      <c r="UCW804" s="268"/>
      <c r="UCX804" s="268"/>
      <c r="UCY804" s="268"/>
      <c r="UCZ804" s="268"/>
      <c r="UDA804" s="268"/>
      <c r="UDB804" s="268"/>
      <c r="UDC804" s="268"/>
      <c r="UDD804" s="268"/>
      <c r="UDE804" s="268"/>
      <c r="UDF804" s="268"/>
      <c r="UDG804" s="268"/>
      <c r="UDH804" s="268"/>
      <c r="UDI804" s="268"/>
      <c r="UDJ804" s="268"/>
      <c r="UDK804" s="268"/>
      <c r="UDL804" s="268"/>
      <c r="UDM804" s="268"/>
      <c r="UDN804" s="268"/>
      <c r="UDO804" s="268"/>
      <c r="UDP804" s="268"/>
      <c r="UDQ804" s="268"/>
      <c r="UDR804" s="268"/>
      <c r="UDS804" s="268"/>
      <c r="UDT804" s="268"/>
      <c r="UDU804" s="268"/>
      <c r="UDV804" s="268"/>
      <c r="UDW804" s="268"/>
      <c r="UDX804" s="268"/>
      <c r="UDY804" s="268"/>
      <c r="UDZ804" s="268"/>
      <c r="UEA804" s="268"/>
      <c r="UEO804" s="268"/>
      <c r="UEP804" s="268"/>
      <c r="UEQ804" s="268"/>
      <c r="UFE804" s="268"/>
      <c r="UFG804" s="268"/>
      <c r="UFH804" s="268"/>
      <c r="UFI804" s="268"/>
      <c r="UFJ804" s="268"/>
      <c r="UFK804" s="268"/>
      <c r="UFL804" s="268"/>
      <c r="UFM804" s="268"/>
      <c r="UFN804" s="268"/>
      <c r="UFO804" s="268"/>
      <c r="UFP804" s="268"/>
      <c r="UFQ804" s="268"/>
      <c r="UFR804" s="268"/>
      <c r="UFS804" s="268"/>
      <c r="UFT804" s="268"/>
      <c r="UFU804" s="268"/>
      <c r="UFV804" s="268"/>
      <c r="UFW804" s="268"/>
      <c r="UFX804" s="268"/>
      <c r="UFY804" s="268"/>
      <c r="UFZ804" s="268"/>
      <c r="UGA804" s="268"/>
      <c r="UGB804" s="268"/>
      <c r="UGC804" s="268"/>
      <c r="UGD804" s="268"/>
      <c r="UGE804" s="268"/>
      <c r="UGF804" s="268"/>
      <c r="UGG804" s="268"/>
      <c r="UGH804" s="268"/>
      <c r="UGI804" s="268"/>
      <c r="UGJ804" s="268"/>
      <c r="UGK804" s="268"/>
      <c r="UGL804" s="268"/>
      <c r="UGM804" s="268"/>
      <c r="UGN804" s="268"/>
      <c r="UGO804" s="268"/>
      <c r="UGP804" s="268"/>
      <c r="UGQ804" s="268"/>
      <c r="UGR804" s="268"/>
      <c r="UGS804" s="268"/>
      <c r="UGT804" s="268"/>
      <c r="UGU804" s="268"/>
      <c r="UGV804" s="268"/>
      <c r="UGW804" s="268"/>
      <c r="UGX804" s="268"/>
      <c r="UGY804" s="268"/>
      <c r="UGZ804" s="268"/>
      <c r="UHA804" s="268"/>
      <c r="UHB804" s="268"/>
      <c r="UHC804" s="268"/>
      <c r="UHD804" s="268"/>
      <c r="UHE804" s="268"/>
      <c r="UHF804" s="268"/>
      <c r="UHG804" s="268"/>
      <c r="UHH804" s="268"/>
      <c r="UHI804" s="268"/>
      <c r="UHJ804" s="268"/>
      <c r="UHK804" s="268"/>
      <c r="UHL804" s="268"/>
      <c r="UHM804" s="268"/>
      <c r="UHN804" s="268"/>
      <c r="UHO804" s="268"/>
      <c r="UHP804" s="268"/>
      <c r="UHQ804" s="268"/>
      <c r="UHR804" s="268"/>
      <c r="UHS804" s="268"/>
      <c r="UHT804" s="268"/>
      <c r="UHU804" s="268"/>
      <c r="UHV804" s="268"/>
      <c r="UHW804" s="268"/>
      <c r="UHX804" s="268"/>
      <c r="UHY804" s="268"/>
      <c r="UHZ804" s="268"/>
      <c r="UIA804" s="268"/>
      <c r="UIB804" s="268"/>
      <c r="UIC804" s="268"/>
      <c r="UID804" s="268"/>
      <c r="UIE804" s="268"/>
      <c r="UIF804" s="268"/>
      <c r="UIG804" s="268"/>
      <c r="UIH804" s="268"/>
      <c r="UII804" s="268"/>
      <c r="UIJ804" s="268"/>
      <c r="UIK804" s="268"/>
      <c r="UIL804" s="268"/>
      <c r="UIM804" s="268"/>
      <c r="UIN804" s="268"/>
      <c r="UIO804" s="268"/>
      <c r="UIP804" s="268"/>
      <c r="UIQ804" s="268"/>
      <c r="UIR804" s="268"/>
      <c r="UIS804" s="268"/>
      <c r="UIT804" s="268"/>
      <c r="UIU804" s="268"/>
      <c r="UIV804" s="268"/>
      <c r="UIW804" s="268"/>
      <c r="UIX804" s="268"/>
      <c r="UIY804" s="268"/>
      <c r="UIZ804" s="268"/>
      <c r="UJA804" s="268"/>
      <c r="UJB804" s="268"/>
      <c r="UJC804" s="268"/>
      <c r="UJD804" s="268"/>
      <c r="UJE804" s="268"/>
      <c r="UJF804" s="268"/>
      <c r="UJG804" s="268"/>
      <c r="UJH804" s="268"/>
      <c r="UJI804" s="268"/>
      <c r="UJJ804" s="268"/>
      <c r="UJK804" s="268"/>
      <c r="UJL804" s="268"/>
      <c r="UJM804" s="268"/>
      <c r="UJN804" s="268"/>
      <c r="UJO804" s="268"/>
      <c r="UJP804" s="268"/>
      <c r="UJQ804" s="268"/>
      <c r="UJR804" s="268"/>
      <c r="UJS804" s="268"/>
      <c r="UJT804" s="268"/>
      <c r="UJU804" s="268"/>
      <c r="UJV804" s="268"/>
      <c r="UJW804" s="268"/>
      <c r="UJX804" s="268"/>
      <c r="UJY804" s="268"/>
      <c r="UJZ804" s="268"/>
      <c r="UKA804" s="268"/>
      <c r="UKB804" s="268"/>
      <c r="UKC804" s="268"/>
      <c r="UKD804" s="268"/>
      <c r="UKE804" s="268"/>
      <c r="UKF804" s="268"/>
      <c r="UKG804" s="268"/>
      <c r="UKH804" s="268"/>
      <c r="UKI804" s="268"/>
      <c r="UKJ804" s="268"/>
      <c r="UKK804" s="268"/>
      <c r="UKL804" s="268"/>
      <c r="UKM804" s="268"/>
      <c r="UKN804" s="268"/>
      <c r="UKO804" s="268"/>
      <c r="UKP804" s="268"/>
      <c r="UKQ804" s="268"/>
      <c r="UKR804" s="268"/>
      <c r="UKS804" s="268"/>
      <c r="UKT804" s="268"/>
      <c r="UKU804" s="268"/>
      <c r="UKV804" s="268"/>
      <c r="UKW804" s="268"/>
      <c r="UKX804" s="268"/>
      <c r="UKY804" s="268"/>
      <c r="UKZ804" s="268"/>
      <c r="ULA804" s="268"/>
      <c r="ULB804" s="268"/>
      <c r="ULC804" s="268"/>
      <c r="ULD804" s="268"/>
      <c r="ULE804" s="268"/>
      <c r="ULF804" s="268"/>
      <c r="ULG804" s="268"/>
      <c r="ULH804" s="268"/>
      <c r="ULI804" s="268"/>
      <c r="ULJ804" s="268"/>
      <c r="ULK804" s="268"/>
      <c r="ULL804" s="268"/>
      <c r="ULM804" s="268"/>
      <c r="ULN804" s="268"/>
      <c r="ULO804" s="268"/>
      <c r="ULP804" s="268"/>
      <c r="ULQ804" s="268"/>
      <c r="ULR804" s="268"/>
      <c r="ULS804" s="268"/>
      <c r="ULT804" s="268"/>
      <c r="ULU804" s="268"/>
      <c r="ULV804" s="268"/>
      <c r="ULW804" s="268"/>
      <c r="ULX804" s="268"/>
      <c r="ULY804" s="268"/>
      <c r="ULZ804" s="268"/>
      <c r="UMA804" s="268"/>
      <c r="UMB804" s="268"/>
      <c r="UMC804" s="268"/>
      <c r="UMD804" s="268"/>
      <c r="UME804" s="268"/>
      <c r="UMF804" s="268"/>
      <c r="UMG804" s="268"/>
      <c r="UMH804" s="268"/>
      <c r="UMI804" s="268"/>
      <c r="UMJ804" s="268"/>
      <c r="UMK804" s="268"/>
      <c r="UML804" s="268"/>
      <c r="UMM804" s="268"/>
      <c r="UMN804" s="268"/>
      <c r="UMO804" s="268"/>
      <c r="UMP804" s="268"/>
      <c r="UMQ804" s="268"/>
      <c r="UMR804" s="268"/>
      <c r="UMS804" s="268"/>
      <c r="UMT804" s="268"/>
      <c r="UMU804" s="268"/>
      <c r="UMV804" s="268"/>
      <c r="UMW804" s="268"/>
      <c r="UMX804" s="268"/>
      <c r="UMY804" s="268"/>
      <c r="UMZ804" s="268"/>
      <c r="UNA804" s="268"/>
      <c r="UNB804" s="268"/>
      <c r="UNC804" s="268"/>
      <c r="UND804" s="268"/>
      <c r="UNE804" s="268"/>
      <c r="UNF804" s="268"/>
      <c r="UNG804" s="268"/>
      <c r="UNH804" s="268"/>
      <c r="UNI804" s="268"/>
      <c r="UNJ804" s="268"/>
      <c r="UNK804" s="268"/>
      <c r="UNL804" s="268"/>
      <c r="UNM804" s="268"/>
      <c r="UNN804" s="268"/>
      <c r="UNO804" s="268"/>
      <c r="UNP804" s="268"/>
      <c r="UNQ804" s="268"/>
      <c r="UNR804" s="268"/>
      <c r="UNS804" s="268"/>
      <c r="UNT804" s="268"/>
      <c r="UNU804" s="268"/>
      <c r="UNV804" s="268"/>
      <c r="UNW804" s="268"/>
      <c r="UOK804" s="268"/>
      <c r="UOL804" s="268"/>
      <c r="UOM804" s="268"/>
      <c r="UPA804" s="268"/>
      <c r="UPC804" s="268"/>
      <c r="UPD804" s="268"/>
      <c r="UPE804" s="268"/>
      <c r="UPF804" s="268"/>
      <c r="UPG804" s="268"/>
      <c r="UPH804" s="268"/>
      <c r="UPI804" s="268"/>
      <c r="UPJ804" s="268"/>
      <c r="UPK804" s="268"/>
      <c r="UPL804" s="268"/>
      <c r="UPM804" s="268"/>
      <c r="UPN804" s="268"/>
      <c r="UPO804" s="268"/>
      <c r="UPP804" s="268"/>
      <c r="UPQ804" s="268"/>
      <c r="UPR804" s="268"/>
      <c r="UPS804" s="268"/>
      <c r="UPT804" s="268"/>
      <c r="UPU804" s="268"/>
      <c r="UPV804" s="268"/>
      <c r="UPW804" s="268"/>
      <c r="UPX804" s="268"/>
      <c r="UPY804" s="268"/>
      <c r="UPZ804" s="268"/>
      <c r="UQA804" s="268"/>
      <c r="UQB804" s="268"/>
      <c r="UQC804" s="268"/>
      <c r="UQD804" s="268"/>
      <c r="UQE804" s="268"/>
      <c r="UQF804" s="268"/>
      <c r="UQG804" s="268"/>
      <c r="UQH804" s="268"/>
      <c r="UQI804" s="268"/>
      <c r="UQJ804" s="268"/>
      <c r="UQK804" s="268"/>
      <c r="UQL804" s="268"/>
      <c r="UQM804" s="268"/>
      <c r="UQN804" s="268"/>
      <c r="UQO804" s="268"/>
      <c r="UQP804" s="268"/>
      <c r="UQQ804" s="268"/>
      <c r="UQR804" s="268"/>
      <c r="UQS804" s="268"/>
      <c r="UQT804" s="268"/>
      <c r="UQU804" s="268"/>
      <c r="UQV804" s="268"/>
      <c r="UQW804" s="268"/>
      <c r="UQX804" s="268"/>
      <c r="UQY804" s="268"/>
      <c r="UQZ804" s="268"/>
      <c r="URA804" s="268"/>
      <c r="URB804" s="268"/>
      <c r="URC804" s="268"/>
      <c r="URD804" s="268"/>
      <c r="URE804" s="268"/>
      <c r="URF804" s="268"/>
      <c r="URG804" s="268"/>
      <c r="URH804" s="268"/>
      <c r="URI804" s="268"/>
      <c r="URJ804" s="268"/>
      <c r="URK804" s="268"/>
      <c r="URL804" s="268"/>
      <c r="URM804" s="268"/>
      <c r="URN804" s="268"/>
      <c r="URO804" s="268"/>
      <c r="URP804" s="268"/>
      <c r="URQ804" s="268"/>
      <c r="URR804" s="268"/>
      <c r="URS804" s="268"/>
      <c r="URT804" s="268"/>
      <c r="URU804" s="268"/>
      <c r="URV804" s="268"/>
      <c r="URW804" s="268"/>
      <c r="URX804" s="268"/>
      <c r="URY804" s="268"/>
      <c r="URZ804" s="268"/>
      <c r="USA804" s="268"/>
      <c r="USB804" s="268"/>
      <c r="USC804" s="268"/>
      <c r="USD804" s="268"/>
      <c r="USE804" s="268"/>
      <c r="USF804" s="268"/>
      <c r="USG804" s="268"/>
      <c r="USH804" s="268"/>
      <c r="USI804" s="268"/>
      <c r="USJ804" s="268"/>
      <c r="USK804" s="268"/>
      <c r="USL804" s="268"/>
      <c r="USM804" s="268"/>
      <c r="USN804" s="268"/>
      <c r="USO804" s="268"/>
      <c r="USP804" s="268"/>
      <c r="USQ804" s="268"/>
      <c r="USR804" s="268"/>
      <c r="USS804" s="268"/>
      <c r="UST804" s="268"/>
      <c r="USU804" s="268"/>
      <c r="USV804" s="268"/>
      <c r="USW804" s="268"/>
      <c r="USX804" s="268"/>
      <c r="USY804" s="268"/>
      <c r="USZ804" s="268"/>
      <c r="UTA804" s="268"/>
      <c r="UTB804" s="268"/>
      <c r="UTC804" s="268"/>
      <c r="UTD804" s="268"/>
      <c r="UTE804" s="268"/>
      <c r="UTF804" s="268"/>
      <c r="UTG804" s="268"/>
      <c r="UTH804" s="268"/>
      <c r="UTI804" s="268"/>
      <c r="UTJ804" s="268"/>
      <c r="UTK804" s="268"/>
      <c r="UTL804" s="268"/>
      <c r="UTM804" s="268"/>
      <c r="UTN804" s="268"/>
      <c r="UTO804" s="268"/>
      <c r="UTP804" s="268"/>
      <c r="UTQ804" s="268"/>
      <c r="UTR804" s="268"/>
      <c r="UTS804" s="268"/>
      <c r="UTT804" s="268"/>
      <c r="UTU804" s="268"/>
      <c r="UTV804" s="268"/>
      <c r="UTW804" s="268"/>
      <c r="UTX804" s="268"/>
      <c r="UTY804" s="268"/>
      <c r="UTZ804" s="268"/>
      <c r="UUA804" s="268"/>
      <c r="UUB804" s="268"/>
      <c r="UUC804" s="268"/>
      <c r="UUD804" s="268"/>
      <c r="UUE804" s="268"/>
      <c r="UUF804" s="268"/>
      <c r="UUG804" s="268"/>
      <c r="UUH804" s="268"/>
      <c r="UUI804" s="268"/>
      <c r="UUJ804" s="268"/>
      <c r="UUK804" s="268"/>
      <c r="UUL804" s="268"/>
      <c r="UUM804" s="268"/>
      <c r="UUN804" s="268"/>
      <c r="UUO804" s="268"/>
      <c r="UUP804" s="268"/>
      <c r="UUQ804" s="268"/>
      <c r="UUR804" s="268"/>
      <c r="UUS804" s="268"/>
      <c r="UUT804" s="268"/>
      <c r="UUU804" s="268"/>
      <c r="UUV804" s="268"/>
      <c r="UUW804" s="268"/>
      <c r="UUX804" s="268"/>
      <c r="UUY804" s="268"/>
      <c r="UUZ804" s="268"/>
      <c r="UVA804" s="268"/>
      <c r="UVB804" s="268"/>
      <c r="UVC804" s="268"/>
      <c r="UVD804" s="268"/>
      <c r="UVE804" s="268"/>
      <c r="UVF804" s="268"/>
      <c r="UVG804" s="268"/>
      <c r="UVH804" s="268"/>
      <c r="UVI804" s="268"/>
      <c r="UVJ804" s="268"/>
      <c r="UVK804" s="268"/>
      <c r="UVL804" s="268"/>
      <c r="UVM804" s="268"/>
      <c r="UVN804" s="268"/>
      <c r="UVO804" s="268"/>
      <c r="UVP804" s="268"/>
      <c r="UVQ804" s="268"/>
      <c r="UVR804" s="268"/>
      <c r="UVS804" s="268"/>
      <c r="UVT804" s="268"/>
      <c r="UVU804" s="268"/>
      <c r="UVV804" s="268"/>
      <c r="UVW804" s="268"/>
      <c r="UVX804" s="268"/>
      <c r="UVY804" s="268"/>
      <c r="UVZ804" s="268"/>
      <c r="UWA804" s="268"/>
      <c r="UWB804" s="268"/>
      <c r="UWC804" s="268"/>
      <c r="UWD804" s="268"/>
      <c r="UWE804" s="268"/>
      <c r="UWF804" s="268"/>
      <c r="UWG804" s="268"/>
      <c r="UWH804" s="268"/>
      <c r="UWI804" s="268"/>
      <c r="UWJ804" s="268"/>
      <c r="UWK804" s="268"/>
      <c r="UWL804" s="268"/>
      <c r="UWM804" s="268"/>
      <c r="UWN804" s="268"/>
      <c r="UWO804" s="268"/>
      <c r="UWP804" s="268"/>
      <c r="UWQ804" s="268"/>
      <c r="UWR804" s="268"/>
      <c r="UWS804" s="268"/>
      <c r="UWT804" s="268"/>
      <c r="UWU804" s="268"/>
      <c r="UWV804" s="268"/>
      <c r="UWW804" s="268"/>
      <c r="UWX804" s="268"/>
      <c r="UWY804" s="268"/>
      <c r="UWZ804" s="268"/>
      <c r="UXA804" s="268"/>
      <c r="UXB804" s="268"/>
      <c r="UXC804" s="268"/>
      <c r="UXD804" s="268"/>
      <c r="UXE804" s="268"/>
      <c r="UXF804" s="268"/>
      <c r="UXG804" s="268"/>
      <c r="UXH804" s="268"/>
      <c r="UXI804" s="268"/>
      <c r="UXJ804" s="268"/>
      <c r="UXK804" s="268"/>
      <c r="UXL804" s="268"/>
      <c r="UXM804" s="268"/>
      <c r="UXN804" s="268"/>
      <c r="UXO804" s="268"/>
      <c r="UXP804" s="268"/>
      <c r="UXQ804" s="268"/>
      <c r="UXR804" s="268"/>
      <c r="UXS804" s="268"/>
      <c r="UYG804" s="268"/>
      <c r="UYH804" s="268"/>
      <c r="UYI804" s="268"/>
      <c r="UYW804" s="268"/>
      <c r="UYY804" s="268"/>
      <c r="UYZ804" s="268"/>
      <c r="UZA804" s="268"/>
      <c r="UZB804" s="268"/>
      <c r="UZC804" s="268"/>
      <c r="UZD804" s="268"/>
      <c r="UZE804" s="268"/>
      <c r="UZF804" s="268"/>
      <c r="UZG804" s="268"/>
      <c r="UZH804" s="268"/>
      <c r="UZI804" s="268"/>
      <c r="UZJ804" s="268"/>
      <c r="UZK804" s="268"/>
      <c r="UZL804" s="268"/>
      <c r="UZM804" s="268"/>
      <c r="UZN804" s="268"/>
      <c r="UZO804" s="268"/>
      <c r="UZP804" s="268"/>
      <c r="UZQ804" s="268"/>
      <c r="UZR804" s="268"/>
      <c r="UZS804" s="268"/>
      <c r="UZT804" s="268"/>
      <c r="UZU804" s="268"/>
      <c r="UZV804" s="268"/>
      <c r="UZW804" s="268"/>
      <c r="UZX804" s="268"/>
      <c r="UZY804" s="268"/>
      <c r="UZZ804" s="268"/>
      <c r="VAA804" s="268"/>
      <c r="VAB804" s="268"/>
      <c r="VAC804" s="268"/>
      <c r="VAD804" s="268"/>
      <c r="VAE804" s="268"/>
      <c r="VAF804" s="268"/>
      <c r="VAG804" s="268"/>
      <c r="VAH804" s="268"/>
      <c r="VAI804" s="268"/>
      <c r="VAJ804" s="268"/>
      <c r="VAK804" s="268"/>
      <c r="VAL804" s="268"/>
      <c r="VAM804" s="268"/>
      <c r="VAN804" s="268"/>
      <c r="VAO804" s="268"/>
      <c r="VAP804" s="268"/>
      <c r="VAQ804" s="268"/>
      <c r="VAR804" s="268"/>
      <c r="VAS804" s="268"/>
      <c r="VAT804" s="268"/>
      <c r="VAU804" s="268"/>
      <c r="VAV804" s="268"/>
      <c r="VAW804" s="268"/>
      <c r="VAX804" s="268"/>
      <c r="VAY804" s="268"/>
      <c r="VAZ804" s="268"/>
      <c r="VBA804" s="268"/>
      <c r="VBB804" s="268"/>
      <c r="VBC804" s="268"/>
      <c r="VBD804" s="268"/>
      <c r="VBE804" s="268"/>
      <c r="VBF804" s="268"/>
      <c r="VBG804" s="268"/>
      <c r="VBH804" s="268"/>
      <c r="VBI804" s="268"/>
      <c r="VBJ804" s="268"/>
      <c r="VBK804" s="268"/>
      <c r="VBL804" s="268"/>
      <c r="VBM804" s="268"/>
      <c r="VBN804" s="268"/>
      <c r="VBO804" s="268"/>
      <c r="VBP804" s="268"/>
      <c r="VBQ804" s="268"/>
      <c r="VBR804" s="268"/>
      <c r="VBS804" s="268"/>
      <c r="VBT804" s="268"/>
      <c r="VBU804" s="268"/>
      <c r="VBV804" s="268"/>
      <c r="VBW804" s="268"/>
      <c r="VBX804" s="268"/>
      <c r="VBY804" s="268"/>
      <c r="VBZ804" s="268"/>
      <c r="VCA804" s="268"/>
      <c r="VCB804" s="268"/>
      <c r="VCC804" s="268"/>
      <c r="VCD804" s="268"/>
      <c r="VCE804" s="268"/>
      <c r="VCF804" s="268"/>
      <c r="VCG804" s="268"/>
      <c r="VCH804" s="268"/>
      <c r="VCI804" s="268"/>
      <c r="VCJ804" s="268"/>
      <c r="VCK804" s="268"/>
      <c r="VCL804" s="268"/>
      <c r="VCM804" s="268"/>
      <c r="VCN804" s="268"/>
      <c r="VCO804" s="268"/>
      <c r="VCP804" s="268"/>
      <c r="VCQ804" s="268"/>
      <c r="VCR804" s="268"/>
      <c r="VCS804" s="268"/>
      <c r="VCT804" s="268"/>
      <c r="VCU804" s="268"/>
      <c r="VCV804" s="268"/>
      <c r="VCW804" s="268"/>
      <c r="VCX804" s="268"/>
      <c r="VCY804" s="268"/>
      <c r="VCZ804" s="268"/>
      <c r="VDA804" s="268"/>
      <c r="VDB804" s="268"/>
      <c r="VDC804" s="268"/>
      <c r="VDD804" s="268"/>
      <c r="VDE804" s="268"/>
      <c r="VDF804" s="268"/>
      <c r="VDG804" s="268"/>
      <c r="VDH804" s="268"/>
      <c r="VDI804" s="268"/>
      <c r="VDJ804" s="268"/>
      <c r="VDK804" s="268"/>
      <c r="VDL804" s="268"/>
      <c r="VDM804" s="268"/>
      <c r="VDN804" s="268"/>
      <c r="VDO804" s="268"/>
      <c r="VDP804" s="268"/>
      <c r="VDQ804" s="268"/>
      <c r="VDR804" s="268"/>
      <c r="VDS804" s="268"/>
      <c r="VDT804" s="268"/>
      <c r="VDU804" s="268"/>
      <c r="VDV804" s="268"/>
      <c r="VDW804" s="268"/>
      <c r="VDX804" s="268"/>
      <c r="VDY804" s="268"/>
      <c r="VDZ804" s="268"/>
      <c r="VEA804" s="268"/>
      <c r="VEB804" s="268"/>
      <c r="VEC804" s="268"/>
      <c r="VED804" s="268"/>
      <c r="VEE804" s="268"/>
      <c r="VEF804" s="268"/>
      <c r="VEG804" s="268"/>
      <c r="VEH804" s="268"/>
      <c r="VEI804" s="268"/>
      <c r="VEJ804" s="268"/>
      <c r="VEK804" s="268"/>
      <c r="VEL804" s="268"/>
      <c r="VEM804" s="268"/>
      <c r="VEN804" s="268"/>
      <c r="VEO804" s="268"/>
      <c r="VEP804" s="268"/>
      <c r="VEQ804" s="268"/>
      <c r="VER804" s="268"/>
      <c r="VES804" s="268"/>
      <c r="VET804" s="268"/>
      <c r="VEU804" s="268"/>
      <c r="VEV804" s="268"/>
      <c r="VEW804" s="268"/>
      <c r="VEX804" s="268"/>
      <c r="VEY804" s="268"/>
      <c r="VEZ804" s="268"/>
      <c r="VFA804" s="268"/>
      <c r="VFB804" s="268"/>
      <c r="VFC804" s="268"/>
      <c r="VFD804" s="268"/>
      <c r="VFE804" s="268"/>
      <c r="VFF804" s="268"/>
      <c r="VFG804" s="268"/>
      <c r="VFH804" s="268"/>
      <c r="VFI804" s="268"/>
      <c r="VFJ804" s="268"/>
      <c r="VFK804" s="268"/>
      <c r="VFL804" s="268"/>
      <c r="VFM804" s="268"/>
      <c r="VFN804" s="268"/>
      <c r="VFO804" s="268"/>
      <c r="VFP804" s="268"/>
      <c r="VFQ804" s="268"/>
      <c r="VFR804" s="268"/>
      <c r="VFS804" s="268"/>
      <c r="VFT804" s="268"/>
      <c r="VFU804" s="268"/>
      <c r="VFV804" s="268"/>
      <c r="VFW804" s="268"/>
      <c r="VFX804" s="268"/>
      <c r="VFY804" s="268"/>
      <c r="VFZ804" s="268"/>
      <c r="VGA804" s="268"/>
      <c r="VGB804" s="268"/>
      <c r="VGC804" s="268"/>
      <c r="VGD804" s="268"/>
      <c r="VGE804" s="268"/>
      <c r="VGF804" s="268"/>
      <c r="VGG804" s="268"/>
      <c r="VGH804" s="268"/>
      <c r="VGI804" s="268"/>
      <c r="VGJ804" s="268"/>
      <c r="VGK804" s="268"/>
      <c r="VGL804" s="268"/>
      <c r="VGM804" s="268"/>
      <c r="VGN804" s="268"/>
      <c r="VGO804" s="268"/>
      <c r="VGP804" s="268"/>
      <c r="VGQ804" s="268"/>
      <c r="VGR804" s="268"/>
      <c r="VGS804" s="268"/>
      <c r="VGT804" s="268"/>
      <c r="VGU804" s="268"/>
      <c r="VGV804" s="268"/>
      <c r="VGW804" s="268"/>
      <c r="VGX804" s="268"/>
      <c r="VGY804" s="268"/>
      <c r="VGZ804" s="268"/>
      <c r="VHA804" s="268"/>
      <c r="VHB804" s="268"/>
      <c r="VHC804" s="268"/>
      <c r="VHD804" s="268"/>
      <c r="VHE804" s="268"/>
      <c r="VHF804" s="268"/>
      <c r="VHG804" s="268"/>
      <c r="VHH804" s="268"/>
      <c r="VHI804" s="268"/>
      <c r="VHJ804" s="268"/>
      <c r="VHK804" s="268"/>
      <c r="VHL804" s="268"/>
      <c r="VHM804" s="268"/>
      <c r="VHN804" s="268"/>
      <c r="VHO804" s="268"/>
      <c r="VIC804" s="268"/>
      <c r="VID804" s="268"/>
      <c r="VIE804" s="268"/>
      <c r="VIS804" s="268"/>
      <c r="VIU804" s="268"/>
      <c r="VIV804" s="268"/>
      <c r="VIW804" s="268"/>
      <c r="VIX804" s="268"/>
      <c r="VIY804" s="268"/>
      <c r="VIZ804" s="268"/>
      <c r="VJA804" s="268"/>
      <c r="VJB804" s="268"/>
      <c r="VJC804" s="268"/>
      <c r="VJD804" s="268"/>
      <c r="VJE804" s="268"/>
      <c r="VJF804" s="268"/>
      <c r="VJG804" s="268"/>
      <c r="VJH804" s="268"/>
      <c r="VJI804" s="268"/>
      <c r="VJJ804" s="268"/>
      <c r="VJK804" s="268"/>
      <c r="VJL804" s="268"/>
      <c r="VJM804" s="268"/>
      <c r="VJN804" s="268"/>
      <c r="VJO804" s="268"/>
      <c r="VJP804" s="268"/>
      <c r="VJQ804" s="268"/>
      <c r="VJR804" s="268"/>
      <c r="VJS804" s="268"/>
      <c r="VJT804" s="268"/>
      <c r="VJU804" s="268"/>
      <c r="VJV804" s="268"/>
      <c r="VJW804" s="268"/>
      <c r="VJX804" s="268"/>
      <c r="VJY804" s="268"/>
      <c r="VJZ804" s="268"/>
      <c r="VKA804" s="268"/>
      <c r="VKB804" s="268"/>
      <c r="VKC804" s="268"/>
      <c r="VKD804" s="268"/>
      <c r="VKE804" s="268"/>
      <c r="VKF804" s="268"/>
      <c r="VKG804" s="268"/>
      <c r="VKH804" s="268"/>
      <c r="VKI804" s="268"/>
      <c r="VKJ804" s="268"/>
      <c r="VKK804" s="268"/>
      <c r="VKL804" s="268"/>
      <c r="VKM804" s="268"/>
      <c r="VKN804" s="268"/>
      <c r="VKO804" s="268"/>
      <c r="VKP804" s="268"/>
      <c r="VKQ804" s="268"/>
      <c r="VKR804" s="268"/>
      <c r="VKS804" s="268"/>
      <c r="VKT804" s="268"/>
      <c r="VKU804" s="268"/>
      <c r="VKV804" s="268"/>
      <c r="VKW804" s="268"/>
      <c r="VKX804" s="268"/>
      <c r="VKY804" s="268"/>
      <c r="VKZ804" s="268"/>
      <c r="VLA804" s="268"/>
      <c r="VLB804" s="268"/>
      <c r="VLC804" s="268"/>
      <c r="VLD804" s="268"/>
      <c r="VLE804" s="268"/>
      <c r="VLF804" s="268"/>
      <c r="VLG804" s="268"/>
      <c r="VLH804" s="268"/>
      <c r="VLI804" s="268"/>
      <c r="VLJ804" s="268"/>
      <c r="VLK804" s="268"/>
      <c r="VLL804" s="268"/>
      <c r="VLM804" s="268"/>
      <c r="VLN804" s="268"/>
      <c r="VLO804" s="268"/>
      <c r="VLP804" s="268"/>
      <c r="VLQ804" s="268"/>
      <c r="VLR804" s="268"/>
      <c r="VLS804" s="268"/>
      <c r="VLT804" s="268"/>
      <c r="VLU804" s="268"/>
      <c r="VLV804" s="268"/>
      <c r="VLW804" s="268"/>
      <c r="VLX804" s="268"/>
      <c r="VLY804" s="268"/>
      <c r="VLZ804" s="268"/>
      <c r="VMA804" s="268"/>
      <c r="VMB804" s="268"/>
      <c r="VMC804" s="268"/>
      <c r="VMD804" s="268"/>
      <c r="VME804" s="268"/>
      <c r="VMF804" s="268"/>
      <c r="VMG804" s="268"/>
      <c r="VMH804" s="268"/>
      <c r="VMI804" s="268"/>
      <c r="VMJ804" s="268"/>
      <c r="VMK804" s="268"/>
      <c r="VML804" s="268"/>
      <c r="VMM804" s="268"/>
      <c r="VMN804" s="268"/>
      <c r="VMO804" s="268"/>
      <c r="VMP804" s="268"/>
      <c r="VMQ804" s="268"/>
      <c r="VMR804" s="268"/>
      <c r="VMS804" s="268"/>
      <c r="VMT804" s="268"/>
      <c r="VMU804" s="268"/>
      <c r="VMV804" s="268"/>
      <c r="VMW804" s="268"/>
      <c r="VMX804" s="268"/>
      <c r="VMY804" s="268"/>
      <c r="VMZ804" s="268"/>
      <c r="VNA804" s="268"/>
      <c r="VNB804" s="268"/>
      <c r="VNC804" s="268"/>
      <c r="VND804" s="268"/>
      <c r="VNE804" s="268"/>
      <c r="VNF804" s="268"/>
      <c r="VNG804" s="268"/>
      <c r="VNH804" s="268"/>
      <c r="VNI804" s="268"/>
      <c r="VNJ804" s="268"/>
      <c r="VNK804" s="268"/>
      <c r="VNL804" s="268"/>
      <c r="VNM804" s="268"/>
      <c r="VNN804" s="268"/>
      <c r="VNO804" s="268"/>
      <c r="VNP804" s="268"/>
      <c r="VNQ804" s="268"/>
      <c r="VNR804" s="268"/>
      <c r="VNS804" s="268"/>
      <c r="VNT804" s="268"/>
      <c r="VNU804" s="268"/>
      <c r="VNV804" s="268"/>
      <c r="VNW804" s="268"/>
      <c r="VNX804" s="268"/>
      <c r="VNY804" s="268"/>
      <c r="VNZ804" s="268"/>
      <c r="VOA804" s="268"/>
      <c r="VOB804" s="268"/>
      <c r="VOC804" s="268"/>
      <c r="VOD804" s="268"/>
      <c r="VOE804" s="268"/>
      <c r="VOF804" s="268"/>
      <c r="VOG804" s="268"/>
      <c r="VOH804" s="268"/>
      <c r="VOI804" s="268"/>
      <c r="VOJ804" s="268"/>
      <c r="VOK804" s="268"/>
      <c r="VOL804" s="268"/>
      <c r="VOM804" s="268"/>
      <c r="VON804" s="268"/>
      <c r="VOO804" s="268"/>
      <c r="VOP804" s="268"/>
      <c r="VOQ804" s="268"/>
      <c r="VOR804" s="268"/>
      <c r="VOS804" s="268"/>
      <c r="VOT804" s="268"/>
      <c r="VOU804" s="268"/>
      <c r="VOV804" s="268"/>
      <c r="VOW804" s="268"/>
      <c r="VOX804" s="268"/>
      <c r="VOY804" s="268"/>
      <c r="VOZ804" s="268"/>
      <c r="VPA804" s="268"/>
      <c r="VPB804" s="268"/>
      <c r="VPC804" s="268"/>
      <c r="VPD804" s="268"/>
      <c r="VPE804" s="268"/>
      <c r="VPF804" s="268"/>
      <c r="VPG804" s="268"/>
      <c r="VPH804" s="268"/>
      <c r="VPI804" s="268"/>
      <c r="VPJ804" s="268"/>
      <c r="VPK804" s="268"/>
      <c r="VPL804" s="268"/>
      <c r="VPM804" s="268"/>
      <c r="VPN804" s="268"/>
      <c r="VPO804" s="268"/>
      <c r="VPP804" s="268"/>
      <c r="VPQ804" s="268"/>
      <c r="VPR804" s="268"/>
      <c r="VPS804" s="268"/>
      <c r="VPT804" s="268"/>
      <c r="VPU804" s="268"/>
      <c r="VPV804" s="268"/>
      <c r="VPW804" s="268"/>
      <c r="VPX804" s="268"/>
      <c r="VPY804" s="268"/>
      <c r="VPZ804" s="268"/>
      <c r="VQA804" s="268"/>
      <c r="VQB804" s="268"/>
      <c r="VQC804" s="268"/>
      <c r="VQD804" s="268"/>
      <c r="VQE804" s="268"/>
      <c r="VQF804" s="268"/>
      <c r="VQG804" s="268"/>
      <c r="VQH804" s="268"/>
      <c r="VQI804" s="268"/>
      <c r="VQJ804" s="268"/>
      <c r="VQK804" s="268"/>
      <c r="VQL804" s="268"/>
      <c r="VQM804" s="268"/>
      <c r="VQN804" s="268"/>
      <c r="VQO804" s="268"/>
      <c r="VQP804" s="268"/>
      <c r="VQQ804" s="268"/>
      <c r="VQR804" s="268"/>
      <c r="VQS804" s="268"/>
      <c r="VQT804" s="268"/>
      <c r="VQU804" s="268"/>
      <c r="VQV804" s="268"/>
      <c r="VQW804" s="268"/>
      <c r="VQX804" s="268"/>
      <c r="VQY804" s="268"/>
      <c r="VQZ804" s="268"/>
      <c r="VRA804" s="268"/>
      <c r="VRB804" s="268"/>
      <c r="VRC804" s="268"/>
      <c r="VRD804" s="268"/>
      <c r="VRE804" s="268"/>
      <c r="VRF804" s="268"/>
      <c r="VRG804" s="268"/>
      <c r="VRH804" s="268"/>
      <c r="VRI804" s="268"/>
      <c r="VRJ804" s="268"/>
      <c r="VRK804" s="268"/>
      <c r="VRY804" s="268"/>
      <c r="VRZ804" s="268"/>
      <c r="VSA804" s="268"/>
      <c r="VSO804" s="268"/>
      <c r="VSQ804" s="268"/>
      <c r="VSR804" s="268"/>
      <c r="VSS804" s="268"/>
      <c r="VST804" s="268"/>
      <c r="VSU804" s="268"/>
      <c r="VSV804" s="268"/>
      <c r="VSW804" s="268"/>
      <c r="VSX804" s="268"/>
      <c r="VSY804" s="268"/>
      <c r="VSZ804" s="268"/>
      <c r="VTA804" s="268"/>
      <c r="VTB804" s="268"/>
      <c r="VTC804" s="268"/>
      <c r="VTD804" s="268"/>
      <c r="VTE804" s="268"/>
      <c r="VTF804" s="268"/>
      <c r="VTG804" s="268"/>
      <c r="VTH804" s="268"/>
      <c r="VTI804" s="268"/>
      <c r="VTJ804" s="268"/>
      <c r="VTK804" s="268"/>
      <c r="VTL804" s="268"/>
      <c r="VTM804" s="268"/>
      <c r="VTN804" s="268"/>
      <c r="VTO804" s="268"/>
      <c r="VTP804" s="268"/>
      <c r="VTQ804" s="268"/>
      <c r="VTR804" s="268"/>
      <c r="VTS804" s="268"/>
      <c r="VTT804" s="268"/>
      <c r="VTU804" s="268"/>
      <c r="VTV804" s="268"/>
      <c r="VTW804" s="268"/>
      <c r="VTX804" s="268"/>
      <c r="VTY804" s="268"/>
      <c r="VTZ804" s="268"/>
      <c r="VUA804" s="268"/>
      <c r="VUB804" s="268"/>
      <c r="VUC804" s="268"/>
      <c r="VUD804" s="268"/>
      <c r="VUE804" s="268"/>
      <c r="VUF804" s="268"/>
      <c r="VUG804" s="268"/>
      <c r="VUH804" s="268"/>
      <c r="VUI804" s="268"/>
      <c r="VUJ804" s="268"/>
      <c r="VUK804" s="268"/>
      <c r="VUL804" s="268"/>
      <c r="VUM804" s="268"/>
      <c r="VUN804" s="268"/>
      <c r="VUO804" s="268"/>
      <c r="VUP804" s="268"/>
      <c r="VUQ804" s="268"/>
      <c r="VUR804" s="268"/>
      <c r="VUS804" s="268"/>
      <c r="VUT804" s="268"/>
      <c r="VUU804" s="268"/>
      <c r="VUV804" s="268"/>
      <c r="VUW804" s="268"/>
      <c r="VUX804" s="268"/>
      <c r="VUY804" s="268"/>
      <c r="VUZ804" s="268"/>
      <c r="VVA804" s="268"/>
      <c r="VVB804" s="268"/>
      <c r="VVC804" s="268"/>
      <c r="VVD804" s="268"/>
      <c r="VVE804" s="268"/>
      <c r="VVF804" s="268"/>
      <c r="VVG804" s="268"/>
      <c r="VVH804" s="268"/>
      <c r="VVI804" s="268"/>
      <c r="VVJ804" s="268"/>
      <c r="VVK804" s="268"/>
      <c r="VVL804" s="268"/>
      <c r="VVM804" s="268"/>
      <c r="VVN804" s="268"/>
      <c r="VVO804" s="268"/>
      <c r="VVP804" s="268"/>
      <c r="VVQ804" s="268"/>
      <c r="VVR804" s="268"/>
      <c r="VVS804" s="268"/>
      <c r="VVT804" s="268"/>
      <c r="VVU804" s="268"/>
      <c r="VVV804" s="268"/>
      <c r="VVW804" s="268"/>
      <c r="VVX804" s="268"/>
      <c r="VVY804" s="268"/>
      <c r="VVZ804" s="268"/>
      <c r="VWA804" s="268"/>
      <c r="VWB804" s="268"/>
      <c r="VWC804" s="268"/>
      <c r="VWD804" s="268"/>
      <c r="VWE804" s="268"/>
      <c r="VWF804" s="268"/>
      <c r="VWG804" s="268"/>
      <c r="VWH804" s="268"/>
      <c r="VWI804" s="268"/>
      <c r="VWJ804" s="268"/>
      <c r="VWK804" s="268"/>
      <c r="VWL804" s="268"/>
      <c r="VWM804" s="268"/>
      <c r="VWN804" s="268"/>
      <c r="VWO804" s="268"/>
      <c r="VWP804" s="268"/>
      <c r="VWQ804" s="268"/>
      <c r="VWR804" s="268"/>
      <c r="VWS804" s="268"/>
      <c r="VWT804" s="268"/>
      <c r="VWU804" s="268"/>
      <c r="VWV804" s="268"/>
      <c r="VWW804" s="268"/>
      <c r="VWX804" s="268"/>
      <c r="VWY804" s="268"/>
      <c r="VWZ804" s="268"/>
      <c r="VXA804" s="268"/>
      <c r="VXB804" s="268"/>
      <c r="VXC804" s="268"/>
      <c r="VXD804" s="268"/>
      <c r="VXE804" s="268"/>
      <c r="VXF804" s="268"/>
      <c r="VXG804" s="268"/>
      <c r="VXH804" s="268"/>
      <c r="VXI804" s="268"/>
      <c r="VXJ804" s="268"/>
      <c r="VXK804" s="268"/>
      <c r="VXL804" s="268"/>
      <c r="VXM804" s="268"/>
      <c r="VXN804" s="268"/>
      <c r="VXO804" s="268"/>
      <c r="VXP804" s="268"/>
      <c r="VXQ804" s="268"/>
      <c r="VXR804" s="268"/>
      <c r="VXS804" s="268"/>
      <c r="VXT804" s="268"/>
      <c r="VXU804" s="268"/>
      <c r="VXV804" s="268"/>
      <c r="VXW804" s="268"/>
      <c r="VXX804" s="268"/>
      <c r="VXY804" s="268"/>
      <c r="VXZ804" s="268"/>
      <c r="VYA804" s="268"/>
      <c r="VYB804" s="268"/>
      <c r="VYC804" s="268"/>
      <c r="VYD804" s="268"/>
      <c r="VYE804" s="268"/>
      <c r="VYF804" s="268"/>
      <c r="VYG804" s="268"/>
      <c r="VYH804" s="268"/>
      <c r="VYI804" s="268"/>
      <c r="VYJ804" s="268"/>
      <c r="VYK804" s="268"/>
      <c r="VYL804" s="268"/>
      <c r="VYM804" s="268"/>
      <c r="VYN804" s="268"/>
      <c r="VYO804" s="268"/>
      <c r="VYP804" s="268"/>
      <c r="VYQ804" s="268"/>
      <c r="VYR804" s="268"/>
      <c r="VYS804" s="268"/>
      <c r="VYT804" s="268"/>
      <c r="VYU804" s="268"/>
      <c r="VYV804" s="268"/>
      <c r="VYW804" s="268"/>
      <c r="VYX804" s="268"/>
      <c r="VYY804" s="268"/>
      <c r="VYZ804" s="268"/>
      <c r="VZA804" s="268"/>
      <c r="VZB804" s="268"/>
      <c r="VZC804" s="268"/>
      <c r="VZD804" s="268"/>
      <c r="VZE804" s="268"/>
      <c r="VZF804" s="268"/>
      <c r="VZG804" s="268"/>
      <c r="VZH804" s="268"/>
      <c r="VZI804" s="268"/>
      <c r="VZJ804" s="268"/>
      <c r="VZK804" s="268"/>
      <c r="VZL804" s="268"/>
      <c r="VZM804" s="268"/>
      <c r="VZN804" s="268"/>
      <c r="VZO804" s="268"/>
      <c r="VZP804" s="268"/>
      <c r="VZQ804" s="268"/>
      <c r="VZR804" s="268"/>
      <c r="VZS804" s="268"/>
      <c r="VZT804" s="268"/>
      <c r="VZU804" s="268"/>
      <c r="VZV804" s="268"/>
      <c r="VZW804" s="268"/>
      <c r="VZX804" s="268"/>
      <c r="VZY804" s="268"/>
      <c r="VZZ804" s="268"/>
      <c r="WAA804" s="268"/>
      <c r="WAB804" s="268"/>
      <c r="WAC804" s="268"/>
      <c r="WAD804" s="268"/>
      <c r="WAE804" s="268"/>
      <c r="WAF804" s="268"/>
      <c r="WAG804" s="268"/>
      <c r="WAH804" s="268"/>
      <c r="WAI804" s="268"/>
      <c r="WAJ804" s="268"/>
      <c r="WAK804" s="268"/>
      <c r="WAL804" s="268"/>
      <c r="WAM804" s="268"/>
      <c r="WAN804" s="268"/>
      <c r="WAO804" s="268"/>
      <c r="WAP804" s="268"/>
      <c r="WAQ804" s="268"/>
      <c r="WAR804" s="268"/>
      <c r="WAS804" s="268"/>
      <c r="WAT804" s="268"/>
      <c r="WAU804" s="268"/>
      <c r="WAV804" s="268"/>
      <c r="WAW804" s="268"/>
      <c r="WAX804" s="268"/>
      <c r="WAY804" s="268"/>
      <c r="WAZ804" s="268"/>
      <c r="WBA804" s="268"/>
      <c r="WBB804" s="268"/>
      <c r="WBC804" s="268"/>
      <c r="WBD804" s="268"/>
      <c r="WBE804" s="268"/>
      <c r="WBF804" s="268"/>
      <c r="WBG804" s="268"/>
      <c r="WBU804" s="268"/>
      <c r="WBV804" s="268"/>
      <c r="WBW804" s="268"/>
      <c r="WCK804" s="268"/>
      <c r="WCM804" s="268"/>
      <c r="WCN804" s="268"/>
      <c r="WCO804" s="268"/>
      <c r="WCP804" s="268"/>
      <c r="WCQ804" s="268"/>
      <c r="WCR804" s="268"/>
      <c r="WCS804" s="268"/>
      <c r="WCT804" s="268"/>
      <c r="WCU804" s="268"/>
      <c r="WCV804" s="268"/>
      <c r="WCW804" s="268"/>
      <c r="WCX804" s="268"/>
      <c r="WCY804" s="268"/>
      <c r="WCZ804" s="268"/>
      <c r="WDA804" s="268"/>
      <c r="WDB804" s="268"/>
      <c r="WDC804" s="268"/>
      <c r="WDD804" s="268"/>
      <c r="WDE804" s="268"/>
      <c r="WDF804" s="268"/>
      <c r="WDG804" s="268"/>
      <c r="WDH804" s="268"/>
      <c r="WDI804" s="268"/>
      <c r="WDJ804" s="268"/>
      <c r="WDK804" s="268"/>
      <c r="WDL804" s="268"/>
      <c r="WDM804" s="268"/>
      <c r="WDN804" s="268"/>
      <c r="WDO804" s="268"/>
      <c r="WDP804" s="268"/>
      <c r="WDQ804" s="268"/>
      <c r="WDR804" s="268"/>
      <c r="WDS804" s="268"/>
      <c r="WDT804" s="268"/>
      <c r="WDU804" s="268"/>
      <c r="WDV804" s="268"/>
      <c r="WDW804" s="268"/>
      <c r="WDX804" s="268"/>
      <c r="WDY804" s="268"/>
      <c r="WDZ804" s="268"/>
      <c r="WEA804" s="268"/>
      <c r="WEB804" s="268"/>
      <c r="WEC804" s="268"/>
      <c r="WED804" s="268"/>
      <c r="WEE804" s="268"/>
      <c r="WEF804" s="268"/>
      <c r="WEG804" s="268"/>
      <c r="WEH804" s="268"/>
      <c r="WEI804" s="268"/>
      <c r="WEJ804" s="268"/>
      <c r="WEK804" s="268"/>
      <c r="WEL804" s="268"/>
      <c r="WEM804" s="268"/>
      <c r="WEN804" s="268"/>
      <c r="WEO804" s="268"/>
      <c r="WEP804" s="268"/>
      <c r="WEQ804" s="268"/>
      <c r="WER804" s="268"/>
      <c r="WES804" s="268"/>
      <c r="WET804" s="268"/>
      <c r="WEU804" s="268"/>
      <c r="WEV804" s="268"/>
      <c r="WEW804" s="268"/>
      <c r="WEX804" s="268"/>
      <c r="WEY804" s="268"/>
      <c r="WEZ804" s="268"/>
      <c r="WFA804" s="268"/>
      <c r="WFB804" s="268"/>
      <c r="WFC804" s="268"/>
      <c r="WFD804" s="268"/>
      <c r="WFE804" s="268"/>
      <c r="WFF804" s="268"/>
      <c r="WFG804" s="268"/>
      <c r="WFH804" s="268"/>
      <c r="WFI804" s="268"/>
      <c r="WFJ804" s="268"/>
      <c r="WFK804" s="268"/>
      <c r="WFL804" s="268"/>
      <c r="WFM804" s="268"/>
      <c r="WFN804" s="268"/>
      <c r="WFO804" s="268"/>
      <c r="WFP804" s="268"/>
      <c r="WFQ804" s="268"/>
      <c r="WFR804" s="268"/>
      <c r="WFS804" s="268"/>
      <c r="WFT804" s="268"/>
      <c r="WFU804" s="268"/>
      <c r="WFV804" s="268"/>
      <c r="WFW804" s="268"/>
      <c r="WFX804" s="268"/>
      <c r="WFY804" s="268"/>
      <c r="WFZ804" s="268"/>
      <c r="WGA804" s="268"/>
      <c r="WGB804" s="268"/>
      <c r="WGC804" s="268"/>
      <c r="WGD804" s="268"/>
      <c r="WGE804" s="268"/>
      <c r="WGF804" s="268"/>
      <c r="WGG804" s="268"/>
      <c r="WGH804" s="268"/>
      <c r="WGI804" s="268"/>
      <c r="WGJ804" s="268"/>
      <c r="WGK804" s="268"/>
      <c r="WGL804" s="268"/>
      <c r="WGM804" s="268"/>
      <c r="WGN804" s="268"/>
      <c r="WGO804" s="268"/>
      <c r="WGP804" s="268"/>
      <c r="WGQ804" s="268"/>
      <c r="WGR804" s="268"/>
      <c r="WGS804" s="268"/>
      <c r="WGT804" s="268"/>
      <c r="WGU804" s="268"/>
      <c r="WGV804" s="268"/>
      <c r="WGW804" s="268"/>
      <c r="WGX804" s="268"/>
      <c r="WGY804" s="268"/>
      <c r="WGZ804" s="268"/>
      <c r="WHA804" s="268"/>
      <c r="WHB804" s="268"/>
      <c r="WHC804" s="268"/>
      <c r="WHD804" s="268"/>
      <c r="WHE804" s="268"/>
      <c r="WHF804" s="268"/>
      <c r="WHG804" s="268"/>
      <c r="WHH804" s="268"/>
      <c r="WHI804" s="268"/>
      <c r="WHJ804" s="268"/>
      <c r="WHK804" s="268"/>
      <c r="WHL804" s="268"/>
      <c r="WHM804" s="268"/>
      <c r="WHN804" s="268"/>
      <c r="WHO804" s="268"/>
      <c r="WHP804" s="268"/>
      <c r="WHQ804" s="268"/>
      <c r="WHR804" s="268"/>
      <c r="WHS804" s="268"/>
      <c r="WHT804" s="268"/>
      <c r="WHU804" s="268"/>
      <c r="WHV804" s="268"/>
      <c r="WHW804" s="268"/>
      <c r="WHX804" s="268"/>
      <c r="WHY804" s="268"/>
      <c r="WHZ804" s="268"/>
      <c r="WIA804" s="268"/>
      <c r="WIB804" s="268"/>
      <c r="WIC804" s="268"/>
      <c r="WID804" s="268"/>
      <c r="WIE804" s="268"/>
      <c r="WIF804" s="268"/>
      <c r="WIG804" s="268"/>
      <c r="WIH804" s="268"/>
      <c r="WII804" s="268"/>
      <c r="WIJ804" s="268"/>
      <c r="WIK804" s="268"/>
      <c r="WIL804" s="268"/>
      <c r="WIM804" s="268"/>
      <c r="WIN804" s="268"/>
      <c r="WIO804" s="268"/>
      <c r="WIP804" s="268"/>
      <c r="WIQ804" s="268"/>
      <c r="WIR804" s="268"/>
      <c r="WIS804" s="268"/>
      <c r="WIT804" s="268"/>
      <c r="WIU804" s="268"/>
      <c r="WIV804" s="268"/>
      <c r="WIW804" s="268"/>
      <c r="WIX804" s="268"/>
      <c r="WIY804" s="268"/>
      <c r="WIZ804" s="268"/>
      <c r="WJA804" s="268"/>
      <c r="WJB804" s="268"/>
      <c r="WJC804" s="268"/>
      <c r="WJD804" s="268"/>
      <c r="WJE804" s="268"/>
      <c r="WJF804" s="268"/>
      <c r="WJG804" s="268"/>
      <c r="WJH804" s="268"/>
      <c r="WJI804" s="268"/>
      <c r="WJJ804" s="268"/>
      <c r="WJK804" s="268"/>
      <c r="WJL804" s="268"/>
      <c r="WJM804" s="268"/>
      <c r="WJN804" s="268"/>
      <c r="WJO804" s="268"/>
      <c r="WJP804" s="268"/>
      <c r="WJQ804" s="268"/>
      <c r="WJR804" s="268"/>
      <c r="WJS804" s="268"/>
      <c r="WJT804" s="268"/>
      <c r="WJU804" s="268"/>
      <c r="WJV804" s="268"/>
      <c r="WJW804" s="268"/>
      <c r="WJX804" s="268"/>
      <c r="WJY804" s="268"/>
      <c r="WJZ804" s="268"/>
      <c r="WKA804" s="268"/>
      <c r="WKB804" s="268"/>
      <c r="WKC804" s="268"/>
      <c r="WKD804" s="268"/>
      <c r="WKE804" s="268"/>
      <c r="WKF804" s="268"/>
      <c r="WKG804" s="268"/>
      <c r="WKH804" s="268"/>
      <c r="WKI804" s="268"/>
      <c r="WKJ804" s="268"/>
      <c r="WKK804" s="268"/>
      <c r="WKL804" s="268"/>
      <c r="WKM804" s="268"/>
      <c r="WKN804" s="268"/>
      <c r="WKO804" s="268"/>
      <c r="WKP804" s="268"/>
      <c r="WKQ804" s="268"/>
      <c r="WKR804" s="268"/>
      <c r="WKS804" s="268"/>
      <c r="WKT804" s="268"/>
      <c r="WKU804" s="268"/>
      <c r="WKV804" s="268"/>
      <c r="WKW804" s="268"/>
      <c r="WKX804" s="268"/>
      <c r="WKY804" s="268"/>
      <c r="WKZ804" s="268"/>
      <c r="WLA804" s="268"/>
      <c r="WLB804" s="268"/>
      <c r="WLC804" s="268"/>
      <c r="WLQ804" s="268"/>
      <c r="WLR804" s="268"/>
      <c r="WLS804" s="268"/>
      <c r="WMG804" s="268"/>
      <c r="WMI804" s="268"/>
      <c r="WMJ804" s="268"/>
      <c r="WMK804" s="268"/>
      <c r="WML804" s="268"/>
      <c r="WMM804" s="268"/>
      <c r="WMN804" s="268"/>
      <c r="WMO804" s="268"/>
      <c r="WMP804" s="268"/>
      <c r="WMQ804" s="268"/>
      <c r="WMR804" s="268"/>
      <c r="WMS804" s="268"/>
      <c r="WMT804" s="268"/>
      <c r="WMU804" s="268"/>
      <c r="WMV804" s="268"/>
      <c r="WMW804" s="268"/>
      <c r="WMX804" s="268"/>
      <c r="WMY804" s="268"/>
      <c r="WMZ804" s="268"/>
      <c r="WNA804" s="268"/>
      <c r="WNB804" s="268"/>
      <c r="WNC804" s="268"/>
      <c r="WND804" s="268"/>
      <c r="WNE804" s="268"/>
      <c r="WNF804" s="268"/>
      <c r="WNG804" s="268"/>
      <c r="WNH804" s="268"/>
      <c r="WNI804" s="268"/>
      <c r="WNJ804" s="268"/>
      <c r="WNK804" s="268"/>
      <c r="WNL804" s="268"/>
      <c r="WNM804" s="268"/>
      <c r="WNN804" s="268"/>
      <c r="WNO804" s="268"/>
      <c r="WNP804" s="268"/>
      <c r="WNQ804" s="268"/>
      <c r="WNR804" s="268"/>
      <c r="WNS804" s="268"/>
      <c r="WNT804" s="268"/>
      <c r="WNU804" s="268"/>
      <c r="WNV804" s="268"/>
      <c r="WNW804" s="268"/>
      <c r="WNX804" s="268"/>
      <c r="WNY804" s="268"/>
      <c r="WNZ804" s="268"/>
      <c r="WOA804" s="268"/>
      <c r="WOB804" s="268"/>
      <c r="WOC804" s="268"/>
      <c r="WOD804" s="268"/>
      <c r="WOE804" s="268"/>
      <c r="WOF804" s="268"/>
      <c r="WOG804" s="268"/>
      <c r="WOH804" s="268"/>
      <c r="WOI804" s="268"/>
      <c r="WOJ804" s="268"/>
      <c r="WOK804" s="268"/>
      <c r="WOL804" s="268"/>
      <c r="WOM804" s="268"/>
      <c r="WON804" s="268"/>
      <c r="WOO804" s="268"/>
      <c r="WOP804" s="268"/>
      <c r="WOQ804" s="268"/>
      <c r="WOR804" s="268"/>
      <c r="WOS804" s="268"/>
      <c r="WOT804" s="268"/>
      <c r="WOU804" s="268"/>
      <c r="WOV804" s="268"/>
      <c r="WOW804" s="268"/>
      <c r="WOX804" s="268"/>
      <c r="WOY804" s="268"/>
      <c r="WOZ804" s="268"/>
      <c r="WPA804" s="268"/>
      <c r="WPB804" s="268"/>
      <c r="WPC804" s="268"/>
      <c r="WPD804" s="268"/>
      <c r="WPE804" s="268"/>
      <c r="WPF804" s="268"/>
      <c r="WPG804" s="268"/>
      <c r="WPH804" s="268"/>
      <c r="WPI804" s="268"/>
      <c r="WPJ804" s="268"/>
      <c r="WPK804" s="268"/>
      <c r="WPL804" s="268"/>
      <c r="WPM804" s="268"/>
      <c r="WPN804" s="268"/>
      <c r="WPO804" s="268"/>
      <c r="WPP804" s="268"/>
      <c r="WPQ804" s="268"/>
      <c r="WPR804" s="268"/>
      <c r="WPS804" s="268"/>
      <c r="WPT804" s="268"/>
      <c r="WPU804" s="268"/>
      <c r="WPV804" s="268"/>
      <c r="WPW804" s="268"/>
      <c r="WPX804" s="268"/>
      <c r="WPY804" s="268"/>
      <c r="WPZ804" s="268"/>
      <c r="WQA804" s="268"/>
      <c r="WQB804" s="268"/>
      <c r="WQC804" s="268"/>
      <c r="WQD804" s="268"/>
      <c r="WQE804" s="268"/>
      <c r="WQF804" s="268"/>
      <c r="WQG804" s="268"/>
      <c r="WQH804" s="268"/>
      <c r="WQI804" s="268"/>
      <c r="WQJ804" s="268"/>
      <c r="WQK804" s="268"/>
      <c r="WQL804" s="268"/>
      <c r="WQM804" s="268"/>
      <c r="WQN804" s="268"/>
      <c r="WQO804" s="268"/>
      <c r="WQP804" s="268"/>
      <c r="WQQ804" s="268"/>
      <c r="WQR804" s="268"/>
      <c r="WQS804" s="268"/>
      <c r="WQT804" s="268"/>
      <c r="WQU804" s="268"/>
      <c r="WQV804" s="268"/>
      <c r="WQW804" s="268"/>
      <c r="WQX804" s="268"/>
      <c r="WQY804" s="268"/>
      <c r="WQZ804" s="268"/>
      <c r="WRA804" s="268"/>
      <c r="WRB804" s="268"/>
      <c r="WRC804" s="268"/>
      <c r="WRD804" s="268"/>
      <c r="WRE804" s="268"/>
      <c r="WRF804" s="268"/>
      <c r="WRG804" s="268"/>
      <c r="WRH804" s="268"/>
      <c r="WRI804" s="268"/>
      <c r="WRJ804" s="268"/>
      <c r="WRK804" s="268"/>
      <c r="WRL804" s="268"/>
      <c r="WRM804" s="268"/>
      <c r="WRN804" s="268"/>
      <c r="WRO804" s="268"/>
      <c r="WRP804" s="268"/>
      <c r="WRQ804" s="268"/>
      <c r="WRR804" s="268"/>
      <c r="WRS804" s="268"/>
      <c r="WRT804" s="268"/>
      <c r="WRU804" s="268"/>
      <c r="WRV804" s="268"/>
      <c r="WRW804" s="268"/>
      <c r="WRX804" s="268"/>
      <c r="WRY804" s="268"/>
      <c r="WRZ804" s="268"/>
      <c r="WSA804" s="268"/>
      <c r="WSB804" s="268"/>
      <c r="WSC804" s="268"/>
      <c r="WSD804" s="268"/>
      <c r="WSE804" s="268"/>
      <c r="WSF804" s="268"/>
      <c r="WSG804" s="268"/>
      <c r="WSH804" s="268"/>
      <c r="WSI804" s="268"/>
      <c r="WSJ804" s="268"/>
      <c r="WSK804" s="268"/>
      <c r="WSL804" s="268"/>
      <c r="WSM804" s="268"/>
      <c r="WSN804" s="268"/>
      <c r="WSO804" s="268"/>
      <c r="WSP804" s="268"/>
      <c r="WSQ804" s="268"/>
      <c r="WSR804" s="268"/>
      <c r="WSS804" s="268"/>
      <c r="WST804" s="268"/>
      <c r="WSU804" s="268"/>
      <c r="WSV804" s="268"/>
      <c r="WSW804" s="268"/>
      <c r="WSX804" s="268"/>
      <c r="WSY804" s="268"/>
      <c r="WSZ804" s="268"/>
      <c r="WTA804" s="268"/>
      <c r="WTB804" s="268"/>
      <c r="WTC804" s="268"/>
      <c r="WTD804" s="268"/>
      <c r="WTE804" s="268"/>
      <c r="WTF804" s="268"/>
      <c r="WTG804" s="268"/>
      <c r="WTH804" s="268"/>
      <c r="WTI804" s="268"/>
      <c r="WTJ804" s="268"/>
      <c r="WTK804" s="268"/>
      <c r="WTL804" s="268"/>
      <c r="WTM804" s="268"/>
      <c r="WTN804" s="268"/>
      <c r="WTO804" s="268"/>
      <c r="WTP804" s="268"/>
      <c r="WTQ804" s="268"/>
      <c r="WTR804" s="268"/>
      <c r="WTS804" s="268"/>
      <c r="WTT804" s="268"/>
      <c r="WTU804" s="268"/>
      <c r="WTV804" s="268"/>
      <c r="WTW804" s="268"/>
      <c r="WTX804" s="268"/>
      <c r="WTY804" s="268"/>
      <c r="WTZ804" s="268"/>
      <c r="WUA804" s="268"/>
      <c r="WUB804" s="268"/>
      <c r="WUC804" s="268"/>
      <c r="WUD804" s="268"/>
      <c r="WUE804" s="268"/>
      <c r="WUF804" s="268"/>
      <c r="WUG804" s="268"/>
      <c r="WUH804" s="268"/>
      <c r="WUI804" s="268"/>
      <c r="WUJ804" s="268"/>
      <c r="WUK804" s="268"/>
      <c r="WUL804" s="268"/>
      <c r="WUM804" s="268"/>
      <c r="WUN804" s="268"/>
      <c r="WUO804" s="268"/>
      <c r="WUP804" s="268"/>
      <c r="WUQ804" s="268"/>
      <c r="WUR804" s="268"/>
      <c r="WUS804" s="268"/>
      <c r="WUT804" s="268"/>
      <c r="WUU804" s="268"/>
      <c r="WUV804" s="268"/>
      <c r="WUW804" s="268"/>
      <c r="WUX804" s="268"/>
      <c r="WUY804" s="268"/>
      <c r="WVM804" s="268"/>
      <c r="WVN804" s="268"/>
      <c r="WVO804" s="268"/>
      <c r="WWC804" s="268"/>
      <c r="WWE804" s="268"/>
      <c r="WWF804" s="268"/>
      <c r="WWG804" s="268"/>
      <c r="WWH804" s="268"/>
      <c r="WWI804" s="268"/>
      <c r="WWJ804" s="268"/>
      <c r="WWK804" s="268"/>
      <c r="WWL804" s="268"/>
      <c r="WWM804" s="268"/>
      <c r="WWN804" s="268"/>
      <c r="WWO804" s="268"/>
      <c r="WWP804" s="268"/>
      <c r="WWQ804" s="268"/>
      <c r="WWR804" s="268"/>
      <c r="WWS804" s="268"/>
      <c r="WWT804" s="268"/>
      <c r="WWU804" s="268"/>
      <c r="WWV804" s="268"/>
      <c r="WWW804" s="268"/>
      <c r="WWX804" s="268"/>
      <c r="WWY804" s="268"/>
      <c r="WWZ804" s="268"/>
      <c r="WXA804" s="268"/>
      <c r="WXB804" s="268"/>
      <c r="WXC804" s="268"/>
      <c r="WXD804" s="268"/>
      <c r="WXE804" s="268"/>
      <c r="WXF804" s="268"/>
      <c r="WXG804" s="268"/>
      <c r="WXH804" s="268"/>
      <c r="WXI804" s="268"/>
      <c r="WXJ804" s="268"/>
      <c r="WXK804" s="268"/>
      <c r="WXL804" s="268"/>
      <c r="WXM804" s="268"/>
      <c r="WXN804" s="268"/>
      <c r="WXO804" s="268"/>
      <c r="WXP804" s="268"/>
      <c r="WXQ804" s="268"/>
      <c r="WXR804" s="268"/>
      <c r="WXS804" s="268"/>
      <c r="WXT804" s="268"/>
      <c r="WXU804" s="268"/>
      <c r="WXV804" s="268"/>
      <c r="WXW804" s="268"/>
      <c r="WXX804" s="268"/>
      <c r="WXY804" s="268"/>
      <c r="WXZ804" s="268"/>
      <c r="WYA804" s="268"/>
      <c r="WYB804" s="268"/>
      <c r="WYC804" s="268"/>
      <c r="WYD804" s="268"/>
      <c r="WYE804" s="268"/>
      <c r="WYF804" s="268"/>
      <c r="WYG804" s="268"/>
      <c r="WYH804" s="268"/>
      <c r="WYI804" s="268"/>
      <c r="WYJ804" s="268"/>
      <c r="WYK804" s="268"/>
      <c r="WYL804" s="268"/>
      <c r="WYM804" s="268"/>
      <c r="WYN804" s="268"/>
      <c r="WYO804" s="268"/>
      <c r="WYP804" s="268"/>
      <c r="WYQ804" s="268"/>
      <c r="WYR804" s="268"/>
      <c r="WYS804" s="268"/>
      <c r="WYT804" s="268"/>
      <c r="WYU804" s="268"/>
      <c r="WYV804" s="268"/>
      <c r="WYW804" s="268"/>
      <c r="WYX804" s="268"/>
      <c r="WYY804" s="268"/>
      <c r="WYZ804" s="268"/>
      <c r="WZA804" s="268"/>
      <c r="WZB804" s="268"/>
      <c r="WZC804" s="268"/>
      <c r="WZD804" s="268"/>
      <c r="WZE804" s="268"/>
      <c r="WZF804" s="268"/>
      <c r="WZG804" s="268"/>
      <c r="WZH804" s="268"/>
      <c r="WZI804" s="268"/>
      <c r="WZJ804" s="268"/>
      <c r="WZK804" s="268"/>
      <c r="WZL804" s="268"/>
      <c r="WZM804" s="268"/>
      <c r="WZN804" s="268"/>
      <c r="WZO804" s="268"/>
      <c r="WZP804" s="268"/>
      <c r="WZQ804" s="268"/>
      <c r="WZR804" s="268"/>
      <c r="WZS804" s="268"/>
      <c r="WZT804" s="268"/>
      <c r="WZU804" s="268"/>
      <c r="WZV804" s="268"/>
      <c r="WZW804" s="268"/>
      <c r="WZX804" s="268"/>
      <c r="WZY804" s="268"/>
      <c r="WZZ804" s="268"/>
      <c r="XAA804" s="268"/>
      <c r="XAB804" s="268"/>
      <c r="XAC804" s="268"/>
      <c r="XAD804" s="268"/>
      <c r="XAE804" s="268"/>
      <c r="XAF804" s="268"/>
      <c r="XAG804" s="268"/>
      <c r="XAH804" s="268"/>
      <c r="XAI804" s="268"/>
      <c r="XAJ804" s="268"/>
      <c r="XAK804" s="268"/>
      <c r="XAL804" s="268"/>
      <c r="XAM804" s="268"/>
      <c r="XAN804" s="268"/>
      <c r="XAO804" s="268"/>
      <c r="XAP804" s="268"/>
      <c r="XAQ804" s="268"/>
      <c r="XAR804" s="268"/>
      <c r="XAS804" s="268"/>
      <c r="XAT804" s="268"/>
      <c r="XAU804" s="268"/>
      <c r="XAV804" s="268"/>
      <c r="XAW804" s="268"/>
      <c r="XAX804" s="268"/>
      <c r="XAY804" s="268"/>
      <c r="XAZ804" s="268"/>
      <c r="XBA804" s="268"/>
      <c r="XBB804" s="268"/>
      <c r="XBC804" s="268"/>
      <c r="XBD804" s="268"/>
      <c r="XBE804" s="268"/>
      <c r="XBF804" s="268"/>
      <c r="XBG804" s="268"/>
      <c r="XBH804" s="268"/>
      <c r="XBI804" s="268"/>
      <c r="XBJ804" s="268"/>
      <c r="XBK804" s="268"/>
      <c r="XBL804" s="268"/>
      <c r="XBM804" s="268"/>
      <c r="XBN804" s="268"/>
      <c r="XBO804" s="268"/>
      <c r="XBP804" s="268"/>
      <c r="XBQ804" s="268"/>
      <c r="XBR804" s="268"/>
      <c r="XBS804" s="268"/>
      <c r="XBT804" s="268"/>
      <c r="XBU804" s="268"/>
      <c r="XBV804" s="268"/>
      <c r="XBW804" s="268"/>
      <c r="XBX804" s="268"/>
      <c r="XBY804" s="268"/>
      <c r="XBZ804" s="268"/>
      <c r="XCA804" s="268"/>
      <c r="XCB804" s="268"/>
      <c r="XCC804" s="268"/>
      <c r="XCD804" s="268"/>
      <c r="XCE804" s="268"/>
      <c r="XCF804" s="268"/>
      <c r="XCG804" s="268"/>
      <c r="XCH804" s="268"/>
      <c r="XCI804" s="268"/>
      <c r="XCJ804" s="268"/>
      <c r="XCK804" s="268"/>
      <c r="XCL804" s="268"/>
      <c r="XCM804" s="268"/>
      <c r="XCN804" s="268"/>
      <c r="XCO804" s="268"/>
      <c r="XCP804" s="268"/>
      <c r="XCQ804" s="268"/>
      <c r="XCR804" s="268"/>
      <c r="XCS804" s="268"/>
      <c r="XCT804" s="268"/>
      <c r="XCU804" s="268"/>
      <c r="XCV804" s="268"/>
      <c r="XCW804" s="268"/>
      <c r="XCX804" s="268"/>
      <c r="XCY804" s="268"/>
      <c r="XCZ804" s="268"/>
      <c r="XDA804" s="268"/>
      <c r="XDB804" s="268"/>
      <c r="XDC804" s="268"/>
      <c r="XDD804" s="268"/>
      <c r="XDE804" s="268"/>
      <c r="XDF804" s="268"/>
      <c r="XDG804" s="268"/>
      <c r="XDH804" s="268"/>
      <c r="XDI804" s="268"/>
      <c r="XDJ804" s="268"/>
      <c r="XDK804" s="268"/>
      <c r="XDL804" s="268"/>
      <c r="XDM804" s="268"/>
      <c r="XDN804" s="268"/>
      <c r="XDO804" s="268"/>
      <c r="XDP804" s="268"/>
      <c r="XDQ804" s="268"/>
      <c r="XDR804" s="268"/>
      <c r="XDS804" s="268"/>
      <c r="XDT804" s="268"/>
      <c r="XDU804" s="268"/>
      <c r="XDV804" s="268"/>
      <c r="XDW804" s="268"/>
      <c r="XDX804" s="268"/>
      <c r="XDY804" s="268"/>
      <c r="XDZ804" s="268"/>
      <c r="XEA804" s="268"/>
      <c r="XEB804" s="268"/>
      <c r="XEC804" s="268"/>
      <c r="XED804" s="268"/>
      <c r="XEE804" s="268"/>
      <c r="XEF804" s="268"/>
      <c r="XEG804" s="268"/>
      <c r="XEH804" s="268"/>
      <c r="XEI804" s="268"/>
      <c r="XEJ804" s="268"/>
      <c r="XEK804" s="268"/>
      <c r="XEL804" s="268"/>
      <c r="XEM804" s="268"/>
      <c r="XEN804" s="268"/>
      <c r="XEO804" s="268"/>
      <c r="XEP804" s="268"/>
      <c r="XEQ804" s="268"/>
      <c r="XER804" s="268"/>
      <c r="XES804" s="268"/>
    </row>
    <row r="805" spans="1:1015 1029:2039 2053:3063 3077:4087 4101:5111 5125:6135 6149:7159 7173:8183 8197:9207 9221:10231 10245:11255 11269:12279 12293:13303 13317:14327 14341:15351 15365:16373" hidden="1" outlineLevel="1" x14ac:dyDescent="0.25">
      <c r="A805" s="3" t="s">
        <v>582</v>
      </c>
      <c r="E805" s="3">
        <f t="shared" si="456"/>
        <v>0</v>
      </c>
      <c r="H805" s="3">
        <f t="shared" si="457"/>
        <v>0</v>
      </c>
      <c r="K805" s="4">
        <f t="shared" si="458"/>
        <v>0</v>
      </c>
      <c r="L805" s="4"/>
      <c r="N805" s="4">
        <f t="shared" si="459"/>
        <v>0</v>
      </c>
      <c r="S805" s="3">
        <f t="shared" si="460"/>
        <v>0</v>
      </c>
      <c r="U805" s="3">
        <f t="shared" si="461"/>
        <v>0</v>
      </c>
      <c r="W805" s="3">
        <f t="shared" si="462"/>
        <v>0</v>
      </c>
      <c r="Z805" s="3">
        <f t="shared" si="463"/>
        <v>0</v>
      </c>
      <c r="AD805" s="3">
        <f t="shared" si="464"/>
        <v>0</v>
      </c>
      <c r="AF805" s="3">
        <f t="shared" si="465"/>
        <v>0</v>
      </c>
      <c r="BC805" s="3"/>
      <c r="BE805" s="3"/>
    </row>
    <row r="806" spans="1:1015 1029:2039 2053:3063 3077:4087 4101:5111 5125:6135 6149:7159 7173:8183 8197:9207 9221:10231 10245:11255 11269:12279 12293:13303 13317:14327 14341:15351 15365:16373" hidden="1" outlineLevel="1" x14ac:dyDescent="0.25">
      <c r="A806" s="3" t="s">
        <v>583</v>
      </c>
      <c r="E806" s="3">
        <f t="shared" si="456"/>
        <v>0</v>
      </c>
      <c r="H806" s="3">
        <f t="shared" si="457"/>
        <v>0</v>
      </c>
      <c r="K806" s="4">
        <f t="shared" si="458"/>
        <v>0</v>
      </c>
      <c r="L806" s="4"/>
      <c r="N806" s="4">
        <f t="shared" si="459"/>
        <v>0</v>
      </c>
      <c r="S806" s="3">
        <f t="shared" si="460"/>
        <v>0</v>
      </c>
      <c r="U806" s="3">
        <f t="shared" si="461"/>
        <v>0</v>
      </c>
      <c r="W806" s="3">
        <f t="shared" si="462"/>
        <v>0</v>
      </c>
      <c r="Z806" s="3">
        <f t="shared" si="463"/>
        <v>0</v>
      </c>
      <c r="AD806" s="3">
        <f t="shared" si="464"/>
        <v>0</v>
      </c>
      <c r="AF806" s="3">
        <f t="shared" si="465"/>
        <v>0</v>
      </c>
      <c r="BC806" s="3"/>
      <c r="BE806" s="3"/>
    </row>
    <row r="807" spans="1:1015 1029:2039 2053:3063 3077:4087 4101:5111 5125:6135 6149:7159 7173:8183 8197:9207 9221:10231 10245:11255 11269:12279 12293:13303 13317:14327 14341:15351 15365:16373" hidden="1" outlineLevel="1" x14ac:dyDescent="0.25">
      <c r="A807" s="3" t="s">
        <v>584</v>
      </c>
      <c r="B807" s="3">
        <v>850</v>
      </c>
      <c r="D807" s="3">
        <v>800</v>
      </c>
      <c r="E807" s="3">
        <f>F807-D807</f>
        <v>0</v>
      </c>
      <c r="F807" s="3">
        <v>800</v>
      </c>
      <c r="H807" s="3">
        <f>F807-B807</f>
        <v>-50</v>
      </c>
      <c r="J807" s="3">
        <v>800</v>
      </c>
      <c r="K807" s="4">
        <f>L807-J807</f>
        <v>0</v>
      </c>
      <c r="L807" s="4">
        <v>800</v>
      </c>
      <c r="N807" s="4">
        <f>L807-F807</f>
        <v>0</v>
      </c>
      <c r="P807" s="3">
        <f>L807*1.0281+28</f>
        <v>850.48</v>
      </c>
      <c r="R807" s="3">
        <v>800</v>
      </c>
      <c r="S807" s="3">
        <f t="shared" si="460"/>
        <v>0</v>
      </c>
      <c r="T807" s="3">
        <v>800</v>
      </c>
      <c r="U807" s="3">
        <f t="shared" si="461"/>
        <v>-50.480000000000018</v>
      </c>
      <c r="V807" s="3">
        <v>800</v>
      </c>
      <c r="W807" s="3">
        <f t="shared" si="462"/>
        <v>0</v>
      </c>
      <c r="Y807" s="3">
        <v>800</v>
      </c>
      <c r="Z807" s="3">
        <f t="shared" si="463"/>
        <v>0</v>
      </c>
      <c r="AC807" s="3">
        <v>800</v>
      </c>
      <c r="AD807" s="3">
        <f t="shared" si="464"/>
        <v>0</v>
      </c>
      <c r="AE807" s="3">
        <v>800</v>
      </c>
      <c r="AF807" s="3">
        <f t="shared" si="465"/>
        <v>0</v>
      </c>
      <c r="AI807" s="3">
        <f>AE807*1.03+26</f>
        <v>850</v>
      </c>
      <c r="AK807" s="3">
        <f>AI807*1.03</f>
        <v>875.5</v>
      </c>
      <c r="AM807" s="3">
        <f>AK807*1.03</f>
        <v>901.76499999999999</v>
      </c>
      <c r="AO807" s="3">
        <f>AM807*1.03</f>
        <v>928.81795</v>
      </c>
      <c r="AQ807" s="3">
        <f>AO807*1.03</f>
        <v>956.68248849999998</v>
      </c>
      <c r="AS807" s="3">
        <f>AQ807*1.03</f>
        <v>985.38296315499997</v>
      </c>
      <c r="AU807" s="3">
        <f>AS807*1.03</f>
        <v>1014.94445204965</v>
      </c>
      <c r="AW807" s="3">
        <f>AU807*1.03</f>
        <v>1045.3927856111395</v>
      </c>
      <c r="AY807" s="3">
        <f>AW807*1.03</f>
        <v>1076.7545691794737</v>
      </c>
      <c r="BA807" s="3">
        <f>AY807*1.03</f>
        <v>1109.0572062548579</v>
      </c>
      <c r="BC807" s="3">
        <f>BA807*1.03</f>
        <v>1142.3289224425037</v>
      </c>
      <c r="BE807" s="3">
        <f>BC807*1.03</f>
        <v>1176.5987901157787</v>
      </c>
    </row>
    <row r="808" spans="1:1015 1029:2039 2053:3063 3077:4087 4101:5111 5125:6135 6149:7159 7173:8183 8197:9207 9221:10231 10245:11255 11269:12279 12293:13303 13317:14327 14341:15351 15365:16373" hidden="1" outlineLevel="1" x14ac:dyDescent="0.25">
      <c r="A808" s="3" t="s">
        <v>585</v>
      </c>
      <c r="B808" s="3">
        <v>850</v>
      </c>
      <c r="D808" s="3">
        <v>800</v>
      </c>
      <c r="E808" s="3">
        <f t="shared" si="456"/>
        <v>0</v>
      </c>
      <c r="F808" s="3">
        <v>800</v>
      </c>
      <c r="H808" s="3">
        <f t="shared" si="457"/>
        <v>-50</v>
      </c>
      <c r="J808" s="3">
        <v>800</v>
      </c>
      <c r="K808" s="4">
        <f t="shared" si="458"/>
        <v>0</v>
      </c>
      <c r="L808" s="4">
        <v>800</v>
      </c>
      <c r="N808" s="4">
        <f t="shared" si="459"/>
        <v>0</v>
      </c>
      <c r="S808" s="3">
        <f t="shared" si="460"/>
        <v>0</v>
      </c>
      <c r="U808" s="3">
        <f t="shared" si="461"/>
        <v>0</v>
      </c>
      <c r="W808" s="3">
        <f t="shared" si="462"/>
        <v>0</v>
      </c>
      <c r="Z808" s="3">
        <f t="shared" si="463"/>
        <v>0</v>
      </c>
      <c r="AD808" s="3">
        <f t="shared" si="464"/>
        <v>0</v>
      </c>
      <c r="AF808" s="3">
        <f t="shared" si="465"/>
        <v>0</v>
      </c>
      <c r="BC808" s="3"/>
      <c r="BE808" s="3"/>
    </row>
    <row r="809" spans="1:1015 1029:2039 2053:3063 3077:4087 4101:5111 5125:6135 6149:7159 7173:8183 8197:9207 9221:10231 10245:11255 11269:12279 12293:13303 13317:14327 14341:15351 15365:16373" hidden="1" outlineLevel="1" x14ac:dyDescent="0.25">
      <c r="A809" s="3"/>
      <c r="B809" s="62">
        <f>SUM(B785:B808)-1</f>
        <v>342549</v>
      </c>
      <c r="C809" s="32"/>
      <c r="D809" s="62">
        <f>SUM(D785:D808)-1</f>
        <v>51898</v>
      </c>
      <c r="E809" s="62">
        <f>SUM(E785:E808)-1</f>
        <v>255550</v>
      </c>
      <c r="F809" s="62">
        <f>SUM(F785:F808)-1</f>
        <v>307449</v>
      </c>
      <c r="G809" s="32"/>
      <c r="H809" s="62">
        <f>SUM(H785:H808)-1</f>
        <v>-35101</v>
      </c>
      <c r="I809" s="32"/>
      <c r="J809" s="62">
        <f>SUM(J785:J808)-1</f>
        <v>100184</v>
      </c>
      <c r="K809" s="62">
        <f>SUM(K785:K808)-1</f>
        <v>182264</v>
      </c>
      <c r="L809" s="62">
        <f>SUM(L785:L808)-1</f>
        <v>282449</v>
      </c>
      <c r="M809" s="32"/>
      <c r="N809" s="62">
        <f>SUM(N785:N808)-1</f>
        <v>-25001</v>
      </c>
      <c r="P809" s="62">
        <f>SUM(P785:P808)</f>
        <v>278001.15999999997</v>
      </c>
      <c r="R809" s="62">
        <f t="shared" ref="R809:Z809" si="476">SUM(R785:R808)</f>
        <v>82954</v>
      </c>
      <c r="S809" s="62">
        <f t="shared" si="476"/>
        <v>216296</v>
      </c>
      <c r="T809" s="62">
        <f t="shared" si="476"/>
        <v>299250</v>
      </c>
      <c r="U809" s="62">
        <f t="shared" si="476"/>
        <v>21248.84</v>
      </c>
      <c r="V809" s="62">
        <f t="shared" si="476"/>
        <v>140610</v>
      </c>
      <c r="W809" s="62">
        <f t="shared" si="476"/>
        <v>147640</v>
      </c>
      <c r="X809" s="62"/>
      <c r="Y809" s="62">
        <f t="shared" si="476"/>
        <v>288250</v>
      </c>
      <c r="Z809" s="62">
        <f t="shared" si="476"/>
        <v>-11000</v>
      </c>
      <c r="AC809" s="62">
        <f>SUM(AC785:AC808)</f>
        <v>201779</v>
      </c>
      <c r="AD809" s="62">
        <f>SUM(AD785:AD808)</f>
        <v>132821</v>
      </c>
      <c r="AE809" s="62">
        <f>SUM(AE785:AE808)</f>
        <v>334600</v>
      </c>
      <c r="AF809" s="62">
        <f>SUM(AF785:AF808)</f>
        <v>46350</v>
      </c>
      <c r="AG809" s="32"/>
      <c r="AI809" s="62">
        <f>SUM(AI785:AI808)+2</f>
        <v>346800.06180000002</v>
      </c>
      <c r="AK809" s="62">
        <f>SUM(AK785:AK808)</f>
        <v>360895.49365399993</v>
      </c>
      <c r="AM809" s="62">
        <f>SUM(AM785:AM808)</f>
        <v>372027.44796362007</v>
      </c>
      <c r="AO809" s="62">
        <f>SUM(AO785:AO808)</f>
        <v>383522.86537752865</v>
      </c>
      <c r="AP809" s="32"/>
      <c r="AQ809" s="62">
        <f>SUM(AQ785:AQ808)</f>
        <v>395394.12501260446</v>
      </c>
      <c r="AS809" s="62">
        <f>SUM(AS785:AS808)</f>
        <v>407654.05112042016</v>
      </c>
      <c r="AU809" s="62">
        <f>SUM(AU785:AU808)</f>
        <v>420315.93012934225</v>
      </c>
      <c r="AW809" s="62">
        <f>SUM(AW785:AW808)</f>
        <v>433393.52838229726</v>
      </c>
      <c r="AY809" s="62">
        <f>SUM(AY785:AY808)</f>
        <v>446901.11060029484</v>
      </c>
      <c r="BA809" s="62">
        <f>SUM(BA785:BA808)</f>
        <v>460853.45910315868</v>
      </c>
      <c r="BC809" s="62">
        <f>SUM(BC785:BC808)</f>
        <v>475265.89382035122</v>
      </c>
      <c r="BE809" s="62">
        <f>SUM(BE785:BE808)</f>
        <v>490154.29312626441</v>
      </c>
    </row>
    <row r="810" spans="1:1015 1029:2039 2053:3063 3077:4087 4101:5111 5125:6135 6149:7159 7173:8183 8197:9207 9221:10231 10245:11255 11269:12279 12293:13303 13317:14327 14341:15351 15365:16373" hidden="1" outlineLevel="1" x14ac:dyDescent="0.25">
      <c r="A810" s="7" t="s">
        <v>261</v>
      </c>
      <c r="BC810" s="3"/>
      <c r="BE810" s="3"/>
    </row>
    <row r="811" spans="1:1015 1029:2039 2053:3063 3077:4087 4101:5111 5125:6135 6149:7159 7173:8183 8197:9207 9221:10231 10245:11255 11269:12279 12293:13303 13317:14327 14341:15351 15365:16373" hidden="1" outlineLevel="1" x14ac:dyDescent="0.25">
      <c r="A811" s="320" t="s">
        <v>586</v>
      </c>
      <c r="BC811" s="3"/>
      <c r="BE811" s="3"/>
    </row>
    <row r="812" spans="1:1015 1029:2039 2053:3063 3077:4087 4101:5111 5125:6135 6149:7159 7173:8183 8197:9207 9221:10231 10245:11255 11269:12279 12293:13303 13317:14327 14341:15351 15365:16373" hidden="1" outlineLevel="1" x14ac:dyDescent="0.25">
      <c r="A812" s="3" t="s">
        <v>587</v>
      </c>
      <c r="BC812" s="3"/>
      <c r="BE812" s="3"/>
    </row>
    <row r="813" spans="1:1015 1029:2039 2053:3063 3077:4087 4101:5111 5125:6135 6149:7159 7173:8183 8197:9207 9221:10231 10245:11255 11269:12279 12293:13303 13317:14327 14341:15351 15365:16373" hidden="1" outlineLevel="1" x14ac:dyDescent="0.25">
      <c r="A813" s="3" t="s">
        <v>588</v>
      </c>
      <c r="B813" s="3">
        <v>20600</v>
      </c>
      <c r="D813" s="3">
        <v>8110</v>
      </c>
      <c r="E813" s="3">
        <f>F813-D813</f>
        <v>12490</v>
      </c>
      <c r="F813" s="3">
        <v>20600</v>
      </c>
      <c r="H813" s="3">
        <f>F813-B813</f>
        <v>0</v>
      </c>
      <c r="J813" s="3">
        <v>8640</v>
      </c>
      <c r="K813" s="4">
        <f>L813-J813</f>
        <v>11960</v>
      </c>
      <c r="L813" s="4">
        <v>20600</v>
      </c>
      <c r="N813" s="4">
        <f>L813-F813</f>
        <v>0</v>
      </c>
      <c r="P813" s="3">
        <f>L813*1.0281+121</f>
        <v>21299.86</v>
      </c>
      <c r="R813" s="3">
        <v>5483</v>
      </c>
      <c r="S813" s="3">
        <f>T813-R813</f>
        <v>15817</v>
      </c>
      <c r="T813" s="3">
        <v>21300</v>
      </c>
      <c r="U813" s="3">
        <f>T813-P813</f>
        <v>0.13999999999941792</v>
      </c>
      <c r="V813" s="3">
        <v>8211</v>
      </c>
      <c r="W813" s="3">
        <f>Y813-V813</f>
        <v>13089</v>
      </c>
      <c r="Y813" s="3">
        <v>21300</v>
      </c>
      <c r="Z813" s="3">
        <f>Y813-T813</f>
        <v>0</v>
      </c>
      <c r="AC813" s="3">
        <v>13092</v>
      </c>
      <c r="AD813" s="3">
        <f>AE813-AC813</f>
        <v>8208</v>
      </c>
      <c r="AE813" s="3">
        <v>21300</v>
      </c>
      <c r="AF813" s="3">
        <f>AE813-Y813</f>
        <v>0</v>
      </c>
      <c r="AI813" s="3">
        <f>AE813*1.03+11</f>
        <v>21950</v>
      </c>
      <c r="AK813" s="3">
        <f>AI813*1.03</f>
        <v>22608.5</v>
      </c>
      <c r="AM813" s="3">
        <f>AK813*1.03</f>
        <v>23286.755000000001</v>
      </c>
      <c r="AO813" s="3">
        <f>AM813*1.03</f>
        <v>23985.357650000002</v>
      </c>
      <c r="AQ813" s="3">
        <f>AO813*1.03</f>
        <v>24704.918379500003</v>
      </c>
      <c r="AS813" s="3">
        <f>AQ813*1.03</f>
        <v>25446.065930885004</v>
      </c>
      <c r="AU813" s="3">
        <f>AS813*1.03</f>
        <v>26209.447908811555</v>
      </c>
      <c r="AW813" s="3">
        <f>AU813*1.03</f>
        <v>26995.731346075903</v>
      </c>
      <c r="AY813" s="3">
        <f>AW813*1.03</f>
        <v>27805.603286458179</v>
      </c>
      <c r="BA813" s="3">
        <f>AY813*1.03</f>
        <v>28639.771385051925</v>
      </c>
      <c r="BC813" s="3">
        <f>BA813*1.03</f>
        <v>29498.964526603482</v>
      </c>
      <c r="BE813" s="3">
        <f>BC813*1.03</f>
        <v>30383.933462401586</v>
      </c>
    </row>
    <row r="814" spans="1:1015 1029:2039 2053:3063 3077:4087 4101:5111 5125:6135 6149:7159 7173:8183 8197:9207 9221:10231 10245:11255 11269:12279 12293:13303 13317:14327 14341:15351 15365:16373" hidden="1" outlineLevel="1" x14ac:dyDescent="0.25">
      <c r="A814" s="3" t="s">
        <v>589</v>
      </c>
      <c r="B814" s="3">
        <f>3740+10</f>
        <v>3750</v>
      </c>
      <c r="D814" s="3">
        <v>3750</v>
      </c>
      <c r="E814" s="3">
        <f>F814-D814</f>
        <v>0</v>
      </c>
      <c r="F814" s="3">
        <v>3750</v>
      </c>
      <c r="H814" s="3">
        <f>F814-B814</f>
        <v>0</v>
      </c>
      <c r="J814" s="3">
        <v>0</v>
      </c>
      <c r="K814" s="4">
        <f>L814-J814</f>
        <v>3750</v>
      </c>
      <c r="L814" s="4">
        <v>3750</v>
      </c>
      <c r="N814" s="4">
        <f>L814-F814</f>
        <v>0</v>
      </c>
      <c r="P814" s="3">
        <v>3850</v>
      </c>
      <c r="R814" s="3">
        <v>0</v>
      </c>
      <c r="S814" s="3">
        <f>T814-R814</f>
        <v>3850</v>
      </c>
      <c r="T814" s="3">
        <v>3850</v>
      </c>
      <c r="U814" s="3">
        <f>T814-P814</f>
        <v>0</v>
      </c>
      <c r="V814" s="3">
        <v>0</v>
      </c>
      <c r="W814" s="3">
        <f>Y814-V814</f>
        <v>3850</v>
      </c>
      <c r="Y814" s="3">
        <v>3850</v>
      </c>
      <c r="Z814" s="3">
        <f>Y814-T814</f>
        <v>0</v>
      </c>
      <c r="AC814" s="3">
        <v>0</v>
      </c>
      <c r="AD814" s="3">
        <f>AE814-AC814</f>
        <v>3850</v>
      </c>
      <c r="AE814" s="3">
        <v>3850</v>
      </c>
      <c r="AF814" s="3">
        <f>AE814-Y814</f>
        <v>0</v>
      </c>
      <c r="AI814" s="3">
        <f>AE814*1.05+7</f>
        <v>4049.5</v>
      </c>
      <c r="AK814" s="3">
        <f>AI814*1.03</f>
        <v>4170.9849999999997</v>
      </c>
      <c r="AM814" s="3">
        <f>AK814*1.03</f>
        <v>4296.1145499999993</v>
      </c>
      <c r="AO814" s="3">
        <f>AM814*1.03</f>
        <v>4424.9979864999996</v>
      </c>
      <c r="AQ814" s="3">
        <f>AO814*1.03</f>
        <v>4557.7479260949995</v>
      </c>
      <c r="AS814" s="3">
        <f>AQ814*1.03</f>
        <v>4694.4803638778494</v>
      </c>
      <c r="AU814" s="3">
        <f>AS814*1.03</f>
        <v>4835.3147747941848</v>
      </c>
      <c r="AW814" s="3">
        <f>AU814*1.03</f>
        <v>4980.3742180380104</v>
      </c>
      <c r="AY814" s="3">
        <f>AW814*1.03</f>
        <v>5129.7854445791509</v>
      </c>
      <c r="BA814" s="3">
        <f>AY814*1.03</f>
        <v>5283.6790079165257</v>
      </c>
      <c r="BC814" s="3">
        <f>BA814*1.03</f>
        <v>5442.1893781540221</v>
      </c>
      <c r="BE814" s="3">
        <f>BC814*1.03</f>
        <v>5605.4550594986431</v>
      </c>
    </row>
    <row r="815" spans="1:1015 1029:2039 2053:3063 3077:4087 4101:5111 5125:6135 6149:7159 7173:8183 8197:9207 9221:10231 10245:11255 11269:12279 12293:13303 13317:14327 14341:15351 15365:16373" hidden="1" outlineLevel="1" x14ac:dyDescent="0.25">
      <c r="A815" s="267" t="s">
        <v>289</v>
      </c>
      <c r="B815" s="3">
        <v>21000</v>
      </c>
      <c r="D815" s="3">
        <v>0</v>
      </c>
      <c r="E815" s="3">
        <f>F815-D815</f>
        <v>21000</v>
      </c>
      <c r="F815" s="3">
        <v>21000</v>
      </c>
      <c r="H815" s="3">
        <f>F815-B815</f>
        <v>0</v>
      </c>
      <c r="J815" s="3">
        <v>0</v>
      </c>
      <c r="K815" s="4">
        <f>L815-J815</f>
        <v>21000</v>
      </c>
      <c r="L815" s="4">
        <v>21000</v>
      </c>
      <c r="N815" s="4">
        <f>L815-F815</f>
        <v>0</v>
      </c>
      <c r="P815" s="3">
        <v>21000</v>
      </c>
      <c r="R815" s="3">
        <v>0</v>
      </c>
      <c r="S815" s="3">
        <f>T815-R815</f>
        <v>21000</v>
      </c>
      <c r="T815" s="3">
        <v>21000</v>
      </c>
      <c r="U815" s="3">
        <f>T815-P815</f>
        <v>0</v>
      </c>
      <c r="V815" s="3">
        <v>0</v>
      </c>
      <c r="W815" s="3">
        <f>Y815-V815</f>
        <v>21000</v>
      </c>
      <c r="Y815" s="3">
        <v>21000</v>
      </c>
      <c r="Z815" s="3">
        <f>Y815-T815</f>
        <v>0</v>
      </c>
      <c r="AC815" s="3">
        <v>0</v>
      </c>
      <c r="AD815" s="3">
        <f>AE815-AC815</f>
        <v>21000</v>
      </c>
      <c r="AE815" s="3">
        <v>21000</v>
      </c>
      <c r="AF815" s="3">
        <f>AE815-Y815</f>
        <v>0</v>
      </c>
      <c r="AI815" s="3">
        <v>21000</v>
      </c>
      <c r="AK815" s="3">
        <v>21000</v>
      </c>
      <c r="AM815" s="3">
        <v>21000</v>
      </c>
      <c r="AO815" s="3">
        <v>21000</v>
      </c>
      <c r="AQ815" s="3">
        <v>21000</v>
      </c>
      <c r="AS815" s="3">
        <v>21000</v>
      </c>
      <c r="AU815" s="3">
        <v>21000</v>
      </c>
      <c r="AW815" s="3">
        <v>21000</v>
      </c>
      <c r="AY815" s="3">
        <v>21000</v>
      </c>
      <c r="BA815" s="3">
        <v>21000</v>
      </c>
      <c r="BC815" s="3">
        <v>21000</v>
      </c>
      <c r="BE815" s="3">
        <v>21000</v>
      </c>
      <c r="BI815" s="268"/>
      <c r="BJ815" s="268"/>
      <c r="BK815" s="268"/>
      <c r="BL815" s="268"/>
      <c r="BM815" s="268"/>
      <c r="BN815" s="268"/>
      <c r="BO815" s="268"/>
      <c r="BP815" s="268"/>
      <c r="BQ815" s="268"/>
      <c r="BR815" s="268"/>
      <c r="BS815" s="268"/>
      <c r="BT815" s="268"/>
      <c r="BU815" s="268"/>
      <c r="BV815" s="268"/>
      <c r="BW815" s="268"/>
      <c r="BX815" s="268"/>
      <c r="BY815" s="268"/>
      <c r="BZ815" s="268"/>
      <c r="CA815" s="268"/>
      <c r="CB815" s="268"/>
      <c r="CC815" s="268"/>
      <c r="CD815" s="268"/>
      <c r="CE815" s="268"/>
      <c r="CF815" s="268"/>
      <c r="CG815" s="268"/>
      <c r="CH815" s="268"/>
      <c r="CI815" s="268"/>
      <c r="CJ815" s="268"/>
      <c r="CK815" s="268"/>
      <c r="CL815" s="268"/>
      <c r="CM815" s="268"/>
      <c r="CN815" s="268"/>
      <c r="CO815" s="268"/>
      <c r="CP815" s="268"/>
      <c r="CQ815" s="268"/>
      <c r="CR815" s="268"/>
      <c r="CS815" s="268"/>
      <c r="CT815" s="268"/>
      <c r="CU815" s="268"/>
      <c r="CV815" s="268"/>
      <c r="CW815" s="268"/>
      <c r="CX815" s="268"/>
      <c r="CY815" s="268"/>
      <c r="CZ815" s="268"/>
      <c r="DA815" s="268"/>
      <c r="DB815" s="268"/>
      <c r="DC815" s="268"/>
      <c r="DD815" s="268"/>
      <c r="DE815" s="268"/>
      <c r="DF815" s="268"/>
      <c r="DG815" s="268"/>
      <c r="DH815" s="268"/>
      <c r="DI815" s="268"/>
      <c r="DJ815" s="268"/>
      <c r="DK815" s="268"/>
      <c r="DL815" s="268"/>
      <c r="DM815" s="268"/>
      <c r="DN815" s="268"/>
      <c r="DO815" s="268"/>
      <c r="DP815" s="268"/>
      <c r="DQ815" s="268"/>
      <c r="DR815" s="268"/>
      <c r="DS815" s="268"/>
      <c r="DT815" s="268"/>
      <c r="DU815" s="268"/>
      <c r="DV815" s="268"/>
      <c r="DW815" s="268"/>
      <c r="DX815" s="268"/>
      <c r="DY815" s="268"/>
      <c r="DZ815" s="268"/>
      <c r="EA815" s="268"/>
      <c r="EB815" s="268"/>
      <c r="EC815" s="268"/>
      <c r="ED815" s="268"/>
      <c r="EE815" s="268"/>
      <c r="EF815" s="268"/>
      <c r="EG815" s="268"/>
      <c r="EH815" s="268"/>
      <c r="EI815" s="268"/>
      <c r="EJ815" s="268"/>
      <c r="EK815" s="268"/>
      <c r="EL815" s="268"/>
      <c r="EM815" s="268"/>
      <c r="EN815" s="268"/>
      <c r="EO815" s="268"/>
      <c r="EP815" s="268"/>
      <c r="EQ815" s="268"/>
      <c r="ER815" s="268"/>
      <c r="ES815" s="268"/>
      <c r="ET815" s="268"/>
      <c r="EU815" s="268"/>
      <c r="EV815" s="268"/>
      <c r="EW815" s="268"/>
      <c r="EX815" s="268"/>
      <c r="EY815" s="268"/>
      <c r="EZ815" s="268"/>
      <c r="FA815" s="268"/>
      <c r="FB815" s="268"/>
      <c r="FC815" s="268"/>
      <c r="FD815" s="268"/>
      <c r="FE815" s="268"/>
      <c r="FF815" s="268"/>
      <c r="FG815" s="268"/>
      <c r="FH815" s="268"/>
      <c r="FI815" s="268"/>
      <c r="FJ815" s="268"/>
      <c r="FK815" s="268"/>
      <c r="FL815" s="268"/>
      <c r="FM815" s="268"/>
      <c r="FN815" s="268"/>
      <c r="FO815" s="268"/>
      <c r="FP815" s="268"/>
      <c r="FQ815" s="268"/>
      <c r="FR815" s="268"/>
      <c r="FS815" s="268"/>
      <c r="FT815" s="268"/>
      <c r="FU815" s="268"/>
      <c r="FV815" s="268"/>
      <c r="FW815" s="268"/>
      <c r="FX815" s="268"/>
      <c r="FY815" s="268"/>
      <c r="FZ815" s="268"/>
      <c r="GA815" s="268"/>
      <c r="GB815" s="268"/>
      <c r="GC815" s="268"/>
      <c r="GD815" s="268"/>
      <c r="GE815" s="268"/>
      <c r="GF815" s="268"/>
      <c r="GG815" s="268"/>
      <c r="GH815" s="268"/>
      <c r="GI815" s="268"/>
      <c r="GJ815" s="268"/>
      <c r="GK815" s="268"/>
      <c r="GL815" s="268"/>
      <c r="GM815" s="268"/>
      <c r="GN815" s="268"/>
      <c r="GO815" s="268"/>
      <c r="GP815" s="268"/>
      <c r="GQ815" s="268"/>
      <c r="GR815" s="268"/>
      <c r="GS815" s="268"/>
      <c r="GT815" s="268"/>
      <c r="GU815" s="268"/>
      <c r="GV815" s="268"/>
      <c r="GW815" s="268"/>
      <c r="GX815" s="268"/>
      <c r="GY815" s="268"/>
      <c r="GZ815" s="268"/>
      <c r="HA815" s="268"/>
      <c r="HB815" s="268"/>
      <c r="HC815" s="268"/>
      <c r="HD815" s="268"/>
      <c r="HE815" s="268"/>
      <c r="HF815" s="268"/>
      <c r="HG815" s="268"/>
      <c r="HH815" s="268"/>
      <c r="HI815" s="268"/>
      <c r="HJ815" s="268"/>
      <c r="HK815" s="268"/>
      <c r="HL815" s="268"/>
      <c r="HM815" s="268"/>
      <c r="HN815" s="268"/>
      <c r="HO815" s="268"/>
      <c r="HP815" s="268"/>
      <c r="HQ815" s="268"/>
      <c r="HR815" s="268"/>
      <c r="HS815" s="268"/>
      <c r="HT815" s="268"/>
      <c r="HU815" s="268"/>
      <c r="HV815" s="268"/>
      <c r="HW815" s="268"/>
      <c r="HX815" s="268"/>
      <c r="HY815" s="268"/>
      <c r="HZ815" s="268"/>
      <c r="IA815" s="268"/>
      <c r="IB815" s="268"/>
      <c r="IC815" s="268"/>
      <c r="ID815" s="268"/>
      <c r="IE815" s="268"/>
      <c r="IF815" s="268"/>
      <c r="IG815" s="268"/>
      <c r="IH815" s="268"/>
      <c r="II815" s="268"/>
      <c r="IJ815" s="268"/>
      <c r="IK815" s="268"/>
      <c r="IL815" s="268"/>
      <c r="IM815" s="268"/>
      <c r="JA815" s="268"/>
      <c r="JB815" s="268"/>
      <c r="JC815" s="268"/>
      <c r="JQ815" s="268"/>
      <c r="JS815" s="268"/>
      <c r="JT815" s="268"/>
      <c r="JU815" s="268"/>
      <c r="JV815" s="268"/>
      <c r="JW815" s="268"/>
      <c r="JX815" s="268"/>
      <c r="JY815" s="268"/>
      <c r="JZ815" s="268"/>
      <c r="KA815" s="268"/>
      <c r="KB815" s="268"/>
      <c r="KC815" s="268"/>
      <c r="KD815" s="268"/>
      <c r="KE815" s="268"/>
      <c r="KF815" s="268"/>
      <c r="KG815" s="268"/>
      <c r="KH815" s="268"/>
      <c r="KI815" s="268"/>
      <c r="KJ815" s="268"/>
      <c r="KK815" s="268"/>
      <c r="KL815" s="268"/>
      <c r="KM815" s="268"/>
      <c r="KN815" s="268"/>
      <c r="KO815" s="268"/>
      <c r="KP815" s="268"/>
      <c r="KQ815" s="268"/>
      <c r="KR815" s="268"/>
      <c r="KS815" s="268"/>
      <c r="KT815" s="268"/>
      <c r="KU815" s="268"/>
      <c r="KV815" s="268"/>
      <c r="KW815" s="268"/>
      <c r="KX815" s="268"/>
      <c r="KY815" s="268"/>
      <c r="KZ815" s="268"/>
      <c r="LA815" s="268"/>
      <c r="LB815" s="268"/>
      <c r="LC815" s="268"/>
      <c r="LD815" s="268"/>
      <c r="LE815" s="268"/>
      <c r="LF815" s="268"/>
      <c r="LG815" s="268"/>
      <c r="LH815" s="268"/>
      <c r="LI815" s="268"/>
      <c r="LJ815" s="268"/>
      <c r="LK815" s="268"/>
      <c r="LL815" s="268"/>
      <c r="LM815" s="268"/>
      <c r="LN815" s="268"/>
      <c r="LO815" s="268"/>
      <c r="LP815" s="268"/>
      <c r="LQ815" s="268"/>
      <c r="LR815" s="268"/>
      <c r="LS815" s="268"/>
      <c r="LT815" s="268"/>
      <c r="LU815" s="268"/>
      <c r="LV815" s="268"/>
      <c r="LW815" s="268"/>
      <c r="LX815" s="268"/>
      <c r="LY815" s="268"/>
      <c r="LZ815" s="268"/>
      <c r="MA815" s="268"/>
      <c r="MB815" s="268"/>
      <c r="MC815" s="268"/>
      <c r="MD815" s="268"/>
      <c r="ME815" s="268"/>
      <c r="MF815" s="268"/>
      <c r="MG815" s="268"/>
      <c r="MH815" s="268"/>
      <c r="MI815" s="268"/>
      <c r="MJ815" s="268"/>
      <c r="MK815" s="268"/>
      <c r="ML815" s="268"/>
      <c r="MM815" s="268"/>
      <c r="MN815" s="268"/>
      <c r="MO815" s="268"/>
      <c r="MP815" s="268"/>
      <c r="MQ815" s="268"/>
      <c r="MR815" s="268"/>
      <c r="MS815" s="268"/>
      <c r="MT815" s="268"/>
      <c r="MU815" s="268"/>
      <c r="MV815" s="268"/>
      <c r="MW815" s="268"/>
      <c r="MX815" s="268"/>
      <c r="MY815" s="268"/>
      <c r="MZ815" s="268"/>
      <c r="NA815" s="268"/>
      <c r="NB815" s="268"/>
      <c r="NC815" s="268"/>
      <c r="ND815" s="268"/>
      <c r="NE815" s="268"/>
      <c r="NF815" s="268"/>
      <c r="NG815" s="268"/>
      <c r="NH815" s="268"/>
      <c r="NI815" s="268"/>
      <c r="NJ815" s="268"/>
      <c r="NK815" s="268"/>
      <c r="NL815" s="268"/>
      <c r="NM815" s="268"/>
      <c r="NN815" s="268"/>
      <c r="NO815" s="268"/>
      <c r="NP815" s="268"/>
      <c r="NQ815" s="268"/>
      <c r="NR815" s="268"/>
      <c r="NS815" s="268"/>
      <c r="NT815" s="268"/>
      <c r="NU815" s="268"/>
      <c r="NV815" s="268"/>
      <c r="NW815" s="268"/>
      <c r="NX815" s="268"/>
      <c r="NY815" s="268"/>
      <c r="NZ815" s="268"/>
      <c r="OA815" s="268"/>
      <c r="OB815" s="268"/>
      <c r="OC815" s="268"/>
      <c r="OD815" s="268"/>
      <c r="OE815" s="268"/>
      <c r="OF815" s="268"/>
      <c r="OG815" s="268"/>
      <c r="OH815" s="268"/>
      <c r="OI815" s="268"/>
      <c r="OJ815" s="268"/>
      <c r="OK815" s="268"/>
      <c r="OL815" s="268"/>
      <c r="OM815" s="268"/>
      <c r="ON815" s="268"/>
      <c r="OO815" s="268"/>
      <c r="OP815" s="268"/>
      <c r="OQ815" s="268"/>
      <c r="OR815" s="268"/>
      <c r="OS815" s="268"/>
      <c r="OT815" s="268"/>
      <c r="OU815" s="268"/>
      <c r="OV815" s="268"/>
      <c r="OW815" s="268"/>
      <c r="OX815" s="268"/>
      <c r="OY815" s="268"/>
      <c r="OZ815" s="268"/>
      <c r="PA815" s="268"/>
      <c r="PB815" s="268"/>
      <c r="PC815" s="268"/>
      <c r="PD815" s="268"/>
      <c r="PE815" s="268"/>
      <c r="PF815" s="268"/>
      <c r="PG815" s="268"/>
      <c r="PH815" s="268"/>
      <c r="PI815" s="268"/>
      <c r="PJ815" s="268"/>
      <c r="PK815" s="268"/>
      <c r="PL815" s="268"/>
      <c r="PM815" s="268"/>
      <c r="PN815" s="268"/>
      <c r="PO815" s="268"/>
      <c r="PP815" s="268"/>
      <c r="PQ815" s="268"/>
      <c r="PR815" s="268"/>
      <c r="PS815" s="268"/>
      <c r="PT815" s="268"/>
      <c r="PU815" s="268"/>
      <c r="PV815" s="268"/>
      <c r="PW815" s="268"/>
      <c r="PX815" s="268"/>
      <c r="PY815" s="268"/>
      <c r="PZ815" s="268"/>
      <c r="QA815" s="268"/>
      <c r="QB815" s="268"/>
      <c r="QC815" s="268"/>
      <c r="QD815" s="268"/>
      <c r="QE815" s="268"/>
      <c r="QF815" s="268"/>
      <c r="QG815" s="268"/>
      <c r="QH815" s="268"/>
      <c r="QI815" s="268"/>
      <c r="QJ815" s="268"/>
      <c r="QK815" s="268"/>
      <c r="QL815" s="268"/>
      <c r="QM815" s="268"/>
      <c r="QN815" s="268"/>
      <c r="QO815" s="268"/>
      <c r="QP815" s="268"/>
      <c r="QQ815" s="268"/>
      <c r="QR815" s="268"/>
      <c r="QS815" s="268"/>
      <c r="QT815" s="268"/>
      <c r="QU815" s="268"/>
      <c r="QV815" s="268"/>
      <c r="QW815" s="268"/>
      <c r="QX815" s="268"/>
      <c r="QY815" s="268"/>
      <c r="QZ815" s="268"/>
      <c r="RA815" s="268"/>
      <c r="RB815" s="268"/>
      <c r="RC815" s="268"/>
      <c r="RD815" s="268"/>
      <c r="RE815" s="268"/>
      <c r="RF815" s="268"/>
      <c r="RG815" s="268"/>
      <c r="RH815" s="268"/>
      <c r="RI815" s="268"/>
      <c r="RJ815" s="268"/>
      <c r="RK815" s="268"/>
      <c r="RL815" s="268"/>
      <c r="RM815" s="268"/>
      <c r="RN815" s="268"/>
      <c r="RO815" s="268"/>
      <c r="RP815" s="268"/>
      <c r="RQ815" s="268"/>
      <c r="RR815" s="268"/>
      <c r="RS815" s="268"/>
      <c r="RT815" s="268"/>
      <c r="RU815" s="268"/>
      <c r="RV815" s="268"/>
      <c r="RW815" s="268"/>
      <c r="RX815" s="268"/>
      <c r="RY815" s="268"/>
      <c r="RZ815" s="268"/>
      <c r="SA815" s="268"/>
      <c r="SB815" s="268"/>
      <c r="SC815" s="268"/>
      <c r="SD815" s="268"/>
      <c r="SE815" s="268"/>
      <c r="SF815" s="268"/>
      <c r="SG815" s="268"/>
      <c r="SH815" s="268"/>
      <c r="SI815" s="268"/>
      <c r="SW815" s="268"/>
      <c r="SX815" s="268"/>
      <c r="SY815" s="268"/>
      <c r="TM815" s="268"/>
      <c r="TO815" s="268"/>
      <c r="TP815" s="268"/>
      <c r="TQ815" s="268"/>
      <c r="TR815" s="268"/>
      <c r="TS815" s="268"/>
      <c r="TT815" s="268"/>
      <c r="TU815" s="268"/>
      <c r="TV815" s="268"/>
      <c r="TW815" s="268"/>
      <c r="TX815" s="268"/>
      <c r="TY815" s="268"/>
      <c r="TZ815" s="268"/>
      <c r="UA815" s="268"/>
      <c r="UB815" s="268"/>
      <c r="UC815" s="268"/>
      <c r="UD815" s="268"/>
      <c r="UE815" s="268"/>
      <c r="UF815" s="268"/>
      <c r="UG815" s="268"/>
      <c r="UH815" s="268"/>
      <c r="UI815" s="268"/>
      <c r="UJ815" s="268"/>
      <c r="UK815" s="268"/>
      <c r="UL815" s="268"/>
      <c r="UM815" s="268"/>
      <c r="UN815" s="268"/>
      <c r="UO815" s="268"/>
      <c r="UP815" s="268"/>
      <c r="UQ815" s="268"/>
      <c r="UR815" s="268"/>
      <c r="US815" s="268"/>
      <c r="UT815" s="268"/>
      <c r="UU815" s="268"/>
      <c r="UV815" s="268"/>
      <c r="UW815" s="268"/>
      <c r="UX815" s="268"/>
      <c r="UY815" s="268"/>
      <c r="UZ815" s="268"/>
      <c r="VA815" s="268"/>
      <c r="VB815" s="268"/>
      <c r="VC815" s="268"/>
      <c r="VD815" s="268"/>
      <c r="VE815" s="268"/>
      <c r="VF815" s="268"/>
      <c r="VG815" s="268"/>
      <c r="VH815" s="268"/>
      <c r="VI815" s="268"/>
      <c r="VJ815" s="268"/>
      <c r="VK815" s="268"/>
      <c r="VL815" s="268"/>
      <c r="VM815" s="268"/>
      <c r="VN815" s="268"/>
      <c r="VO815" s="268"/>
      <c r="VP815" s="268"/>
      <c r="VQ815" s="268"/>
      <c r="VR815" s="268"/>
      <c r="VS815" s="268"/>
      <c r="VT815" s="268"/>
      <c r="VU815" s="268"/>
      <c r="VV815" s="268"/>
      <c r="VW815" s="268"/>
      <c r="VX815" s="268"/>
      <c r="VY815" s="268"/>
      <c r="VZ815" s="268"/>
      <c r="WA815" s="268"/>
      <c r="WB815" s="268"/>
      <c r="WC815" s="268"/>
      <c r="WD815" s="268"/>
      <c r="WE815" s="268"/>
      <c r="WF815" s="268"/>
      <c r="WG815" s="268"/>
      <c r="WH815" s="268"/>
      <c r="WI815" s="268"/>
      <c r="WJ815" s="268"/>
      <c r="WK815" s="268"/>
      <c r="WL815" s="268"/>
      <c r="WM815" s="268"/>
      <c r="WN815" s="268"/>
      <c r="WO815" s="268"/>
      <c r="WP815" s="268"/>
      <c r="WQ815" s="268"/>
      <c r="WR815" s="268"/>
      <c r="WS815" s="268"/>
      <c r="WT815" s="268"/>
      <c r="WU815" s="268"/>
      <c r="WV815" s="268"/>
      <c r="WW815" s="268"/>
      <c r="WX815" s="268"/>
      <c r="WY815" s="268"/>
      <c r="WZ815" s="268"/>
      <c r="XA815" s="268"/>
      <c r="XB815" s="268"/>
      <c r="XC815" s="268"/>
      <c r="XD815" s="268"/>
      <c r="XE815" s="268"/>
      <c r="XF815" s="268"/>
      <c r="XG815" s="268"/>
      <c r="XH815" s="268"/>
      <c r="XI815" s="268"/>
      <c r="XJ815" s="268"/>
      <c r="XK815" s="268"/>
      <c r="XL815" s="268"/>
      <c r="XM815" s="268"/>
      <c r="XN815" s="268"/>
      <c r="XO815" s="268"/>
      <c r="XP815" s="268"/>
      <c r="XQ815" s="268"/>
      <c r="XR815" s="268"/>
      <c r="XS815" s="268"/>
      <c r="XT815" s="268"/>
      <c r="XU815" s="268"/>
      <c r="XV815" s="268"/>
      <c r="XW815" s="268"/>
      <c r="XX815" s="268"/>
      <c r="XY815" s="268"/>
      <c r="XZ815" s="268"/>
      <c r="YA815" s="268"/>
      <c r="YB815" s="268"/>
      <c r="YC815" s="268"/>
      <c r="YD815" s="268"/>
      <c r="YE815" s="268"/>
      <c r="YF815" s="268"/>
      <c r="YG815" s="268"/>
      <c r="YH815" s="268"/>
      <c r="YI815" s="268"/>
      <c r="YJ815" s="268"/>
      <c r="YK815" s="268"/>
      <c r="YL815" s="268"/>
      <c r="YM815" s="268"/>
      <c r="YN815" s="268"/>
      <c r="YO815" s="268"/>
      <c r="YP815" s="268"/>
      <c r="YQ815" s="268"/>
      <c r="YR815" s="268"/>
      <c r="YS815" s="268"/>
      <c r="YT815" s="268"/>
      <c r="YU815" s="268"/>
      <c r="YV815" s="268"/>
      <c r="YW815" s="268"/>
      <c r="YX815" s="268"/>
      <c r="YY815" s="268"/>
      <c r="YZ815" s="268"/>
      <c r="ZA815" s="268"/>
      <c r="ZB815" s="268"/>
      <c r="ZC815" s="268"/>
      <c r="ZD815" s="268"/>
      <c r="ZE815" s="268"/>
      <c r="ZF815" s="268"/>
      <c r="ZG815" s="268"/>
      <c r="ZH815" s="268"/>
      <c r="ZI815" s="268"/>
      <c r="ZJ815" s="268"/>
      <c r="ZK815" s="268"/>
      <c r="ZL815" s="268"/>
      <c r="ZM815" s="268"/>
      <c r="ZN815" s="268"/>
      <c r="ZO815" s="268"/>
      <c r="ZP815" s="268"/>
      <c r="ZQ815" s="268"/>
      <c r="ZR815" s="268"/>
      <c r="ZS815" s="268"/>
      <c r="ZT815" s="268"/>
      <c r="ZU815" s="268"/>
      <c r="ZV815" s="268"/>
      <c r="ZW815" s="268"/>
      <c r="ZX815" s="268"/>
      <c r="ZY815" s="268"/>
      <c r="ZZ815" s="268"/>
      <c r="AAA815" s="268"/>
      <c r="AAB815" s="268"/>
      <c r="AAC815" s="268"/>
      <c r="AAD815" s="268"/>
      <c r="AAE815" s="268"/>
      <c r="AAF815" s="268"/>
      <c r="AAG815" s="268"/>
      <c r="AAH815" s="268"/>
      <c r="AAI815" s="268"/>
      <c r="AAJ815" s="268"/>
      <c r="AAK815" s="268"/>
      <c r="AAL815" s="268"/>
      <c r="AAM815" s="268"/>
      <c r="AAN815" s="268"/>
      <c r="AAO815" s="268"/>
      <c r="AAP815" s="268"/>
      <c r="AAQ815" s="268"/>
      <c r="AAR815" s="268"/>
      <c r="AAS815" s="268"/>
      <c r="AAT815" s="268"/>
      <c r="AAU815" s="268"/>
      <c r="AAV815" s="268"/>
      <c r="AAW815" s="268"/>
      <c r="AAX815" s="268"/>
      <c r="AAY815" s="268"/>
      <c r="AAZ815" s="268"/>
      <c r="ABA815" s="268"/>
      <c r="ABB815" s="268"/>
      <c r="ABC815" s="268"/>
      <c r="ABD815" s="268"/>
      <c r="ABE815" s="268"/>
      <c r="ABF815" s="268"/>
      <c r="ABG815" s="268"/>
      <c r="ABH815" s="268"/>
      <c r="ABI815" s="268"/>
      <c r="ABJ815" s="268"/>
      <c r="ABK815" s="268"/>
      <c r="ABL815" s="268"/>
      <c r="ABM815" s="268"/>
      <c r="ABN815" s="268"/>
      <c r="ABO815" s="268"/>
      <c r="ABP815" s="268"/>
      <c r="ABQ815" s="268"/>
      <c r="ABR815" s="268"/>
      <c r="ABS815" s="268"/>
      <c r="ABT815" s="268"/>
      <c r="ABU815" s="268"/>
      <c r="ABV815" s="268"/>
      <c r="ABW815" s="268"/>
      <c r="ABX815" s="268"/>
      <c r="ABY815" s="268"/>
      <c r="ABZ815" s="268"/>
      <c r="ACA815" s="268"/>
      <c r="ACB815" s="268"/>
      <c r="ACC815" s="268"/>
      <c r="ACD815" s="268"/>
      <c r="ACE815" s="268"/>
      <c r="ACS815" s="268"/>
      <c r="ACT815" s="268"/>
      <c r="ACU815" s="268"/>
      <c r="ADI815" s="268"/>
      <c r="ADK815" s="268"/>
      <c r="ADL815" s="268"/>
      <c r="ADM815" s="268"/>
      <c r="ADN815" s="268"/>
      <c r="ADO815" s="268"/>
      <c r="ADP815" s="268"/>
      <c r="ADQ815" s="268"/>
      <c r="ADR815" s="268"/>
      <c r="ADS815" s="268"/>
      <c r="ADT815" s="268"/>
      <c r="ADU815" s="268"/>
      <c r="ADV815" s="268"/>
      <c r="ADW815" s="268"/>
      <c r="ADX815" s="268"/>
      <c r="ADY815" s="268"/>
      <c r="ADZ815" s="268"/>
      <c r="AEA815" s="268"/>
      <c r="AEB815" s="268"/>
      <c r="AEC815" s="268"/>
      <c r="AED815" s="268"/>
      <c r="AEE815" s="268"/>
      <c r="AEF815" s="268"/>
      <c r="AEG815" s="268"/>
      <c r="AEH815" s="268"/>
      <c r="AEI815" s="268"/>
      <c r="AEJ815" s="268"/>
      <c r="AEK815" s="268"/>
      <c r="AEL815" s="268"/>
      <c r="AEM815" s="268"/>
      <c r="AEN815" s="268"/>
      <c r="AEO815" s="268"/>
      <c r="AEP815" s="268"/>
      <c r="AEQ815" s="268"/>
      <c r="AER815" s="268"/>
      <c r="AES815" s="268"/>
      <c r="AET815" s="268"/>
      <c r="AEU815" s="268"/>
      <c r="AEV815" s="268"/>
      <c r="AEW815" s="268"/>
      <c r="AEX815" s="268"/>
      <c r="AEY815" s="268"/>
      <c r="AEZ815" s="268"/>
      <c r="AFA815" s="268"/>
      <c r="AFB815" s="268"/>
      <c r="AFC815" s="268"/>
      <c r="AFD815" s="268"/>
      <c r="AFE815" s="268"/>
      <c r="AFF815" s="268"/>
      <c r="AFG815" s="268"/>
      <c r="AFH815" s="268"/>
      <c r="AFI815" s="268"/>
      <c r="AFJ815" s="268"/>
      <c r="AFK815" s="268"/>
      <c r="AFL815" s="268"/>
      <c r="AFM815" s="268"/>
      <c r="AFN815" s="268"/>
      <c r="AFO815" s="268"/>
      <c r="AFP815" s="268"/>
      <c r="AFQ815" s="268"/>
      <c r="AFR815" s="268"/>
      <c r="AFS815" s="268"/>
      <c r="AFT815" s="268"/>
      <c r="AFU815" s="268"/>
      <c r="AFV815" s="268"/>
      <c r="AFW815" s="268"/>
      <c r="AFX815" s="268"/>
      <c r="AFY815" s="268"/>
      <c r="AFZ815" s="268"/>
      <c r="AGA815" s="268"/>
      <c r="AGB815" s="268"/>
      <c r="AGC815" s="268"/>
      <c r="AGD815" s="268"/>
      <c r="AGE815" s="268"/>
      <c r="AGF815" s="268"/>
      <c r="AGG815" s="268"/>
      <c r="AGH815" s="268"/>
      <c r="AGI815" s="268"/>
      <c r="AGJ815" s="268"/>
      <c r="AGK815" s="268"/>
      <c r="AGL815" s="268"/>
      <c r="AGM815" s="268"/>
      <c r="AGN815" s="268"/>
      <c r="AGO815" s="268"/>
      <c r="AGP815" s="268"/>
      <c r="AGQ815" s="268"/>
      <c r="AGR815" s="268"/>
      <c r="AGS815" s="268"/>
      <c r="AGT815" s="268"/>
      <c r="AGU815" s="268"/>
      <c r="AGV815" s="268"/>
      <c r="AGW815" s="268"/>
      <c r="AGX815" s="268"/>
      <c r="AGY815" s="268"/>
      <c r="AGZ815" s="268"/>
      <c r="AHA815" s="268"/>
      <c r="AHB815" s="268"/>
      <c r="AHC815" s="268"/>
      <c r="AHD815" s="268"/>
      <c r="AHE815" s="268"/>
      <c r="AHF815" s="268"/>
      <c r="AHG815" s="268"/>
      <c r="AHH815" s="268"/>
      <c r="AHI815" s="268"/>
      <c r="AHJ815" s="268"/>
      <c r="AHK815" s="268"/>
      <c r="AHL815" s="268"/>
      <c r="AHM815" s="268"/>
      <c r="AHN815" s="268"/>
      <c r="AHO815" s="268"/>
      <c r="AHP815" s="268"/>
      <c r="AHQ815" s="268"/>
      <c r="AHR815" s="268"/>
      <c r="AHS815" s="268"/>
      <c r="AHT815" s="268"/>
      <c r="AHU815" s="268"/>
      <c r="AHV815" s="268"/>
      <c r="AHW815" s="268"/>
      <c r="AHX815" s="268"/>
      <c r="AHY815" s="268"/>
      <c r="AHZ815" s="268"/>
      <c r="AIA815" s="268"/>
      <c r="AIB815" s="268"/>
      <c r="AIC815" s="268"/>
      <c r="AID815" s="268"/>
      <c r="AIE815" s="268"/>
      <c r="AIF815" s="268"/>
      <c r="AIG815" s="268"/>
      <c r="AIH815" s="268"/>
      <c r="AII815" s="268"/>
      <c r="AIJ815" s="268"/>
      <c r="AIK815" s="268"/>
      <c r="AIL815" s="268"/>
      <c r="AIM815" s="268"/>
      <c r="AIN815" s="268"/>
      <c r="AIO815" s="268"/>
      <c r="AIP815" s="268"/>
      <c r="AIQ815" s="268"/>
      <c r="AIR815" s="268"/>
      <c r="AIS815" s="268"/>
      <c r="AIT815" s="268"/>
      <c r="AIU815" s="268"/>
      <c r="AIV815" s="268"/>
      <c r="AIW815" s="268"/>
      <c r="AIX815" s="268"/>
      <c r="AIY815" s="268"/>
      <c r="AIZ815" s="268"/>
      <c r="AJA815" s="268"/>
      <c r="AJB815" s="268"/>
      <c r="AJC815" s="268"/>
      <c r="AJD815" s="268"/>
      <c r="AJE815" s="268"/>
      <c r="AJF815" s="268"/>
      <c r="AJG815" s="268"/>
      <c r="AJH815" s="268"/>
      <c r="AJI815" s="268"/>
      <c r="AJJ815" s="268"/>
      <c r="AJK815" s="268"/>
      <c r="AJL815" s="268"/>
      <c r="AJM815" s="268"/>
      <c r="AJN815" s="268"/>
      <c r="AJO815" s="268"/>
      <c r="AJP815" s="268"/>
      <c r="AJQ815" s="268"/>
      <c r="AJR815" s="268"/>
      <c r="AJS815" s="268"/>
      <c r="AJT815" s="268"/>
      <c r="AJU815" s="268"/>
      <c r="AJV815" s="268"/>
      <c r="AJW815" s="268"/>
      <c r="AJX815" s="268"/>
      <c r="AJY815" s="268"/>
      <c r="AJZ815" s="268"/>
      <c r="AKA815" s="268"/>
      <c r="AKB815" s="268"/>
      <c r="AKC815" s="268"/>
      <c r="AKD815" s="268"/>
      <c r="AKE815" s="268"/>
      <c r="AKF815" s="268"/>
      <c r="AKG815" s="268"/>
      <c r="AKH815" s="268"/>
      <c r="AKI815" s="268"/>
      <c r="AKJ815" s="268"/>
      <c r="AKK815" s="268"/>
      <c r="AKL815" s="268"/>
      <c r="AKM815" s="268"/>
      <c r="AKN815" s="268"/>
      <c r="AKO815" s="268"/>
      <c r="AKP815" s="268"/>
      <c r="AKQ815" s="268"/>
      <c r="AKR815" s="268"/>
      <c r="AKS815" s="268"/>
      <c r="AKT815" s="268"/>
      <c r="AKU815" s="268"/>
      <c r="AKV815" s="268"/>
      <c r="AKW815" s="268"/>
      <c r="AKX815" s="268"/>
      <c r="AKY815" s="268"/>
      <c r="AKZ815" s="268"/>
      <c r="ALA815" s="268"/>
      <c r="ALB815" s="268"/>
      <c r="ALC815" s="268"/>
      <c r="ALD815" s="268"/>
      <c r="ALE815" s="268"/>
      <c r="ALF815" s="268"/>
      <c r="ALG815" s="268"/>
      <c r="ALH815" s="268"/>
      <c r="ALI815" s="268"/>
      <c r="ALJ815" s="268"/>
      <c r="ALK815" s="268"/>
      <c r="ALL815" s="268"/>
      <c r="ALM815" s="268"/>
      <c r="ALN815" s="268"/>
      <c r="ALO815" s="268"/>
      <c r="ALP815" s="268"/>
      <c r="ALQ815" s="268"/>
      <c r="ALR815" s="268"/>
      <c r="ALS815" s="268"/>
      <c r="ALT815" s="268"/>
      <c r="ALU815" s="268"/>
      <c r="ALV815" s="268"/>
      <c r="ALW815" s="268"/>
      <c r="ALX815" s="268"/>
      <c r="ALY815" s="268"/>
      <c r="ALZ815" s="268"/>
      <c r="AMA815" s="268"/>
      <c r="AMO815" s="268"/>
      <c r="AMP815" s="268"/>
      <c r="AMQ815" s="268"/>
      <c r="ANE815" s="268"/>
      <c r="ANG815" s="268"/>
      <c r="ANH815" s="268"/>
      <c r="ANI815" s="268"/>
      <c r="ANJ815" s="268"/>
      <c r="ANK815" s="268"/>
      <c r="ANL815" s="268"/>
      <c r="ANM815" s="268"/>
      <c r="ANN815" s="268"/>
      <c r="ANO815" s="268"/>
      <c r="ANP815" s="268"/>
      <c r="ANQ815" s="268"/>
      <c r="ANR815" s="268"/>
      <c r="ANS815" s="268"/>
      <c r="ANT815" s="268"/>
      <c r="ANU815" s="268"/>
      <c r="ANV815" s="268"/>
      <c r="ANW815" s="268"/>
      <c r="ANX815" s="268"/>
      <c r="ANY815" s="268"/>
      <c r="ANZ815" s="268"/>
      <c r="AOA815" s="268"/>
      <c r="AOB815" s="268"/>
      <c r="AOC815" s="268"/>
      <c r="AOD815" s="268"/>
      <c r="AOE815" s="268"/>
      <c r="AOF815" s="268"/>
      <c r="AOG815" s="268"/>
      <c r="AOH815" s="268"/>
      <c r="AOI815" s="268"/>
      <c r="AOJ815" s="268"/>
      <c r="AOK815" s="268"/>
      <c r="AOL815" s="268"/>
      <c r="AOM815" s="268"/>
      <c r="AON815" s="268"/>
      <c r="AOO815" s="268"/>
      <c r="AOP815" s="268"/>
      <c r="AOQ815" s="268"/>
      <c r="AOR815" s="268"/>
      <c r="AOS815" s="268"/>
      <c r="AOT815" s="268"/>
      <c r="AOU815" s="268"/>
      <c r="AOV815" s="268"/>
      <c r="AOW815" s="268"/>
      <c r="AOX815" s="268"/>
      <c r="AOY815" s="268"/>
      <c r="AOZ815" s="268"/>
      <c r="APA815" s="268"/>
      <c r="APB815" s="268"/>
      <c r="APC815" s="268"/>
      <c r="APD815" s="268"/>
      <c r="APE815" s="268"/>
      <c r="APF815" s="268"/>
      <c r="APG815" s="268"/>
      <c r="APH815" s="268"/>
      <c r="API815" s="268"/>
      <c r="APJ815" s="268"/>
      <c r="APK815" s="268"/>
      <c r="APL815" s="268"/>
      <c r="APM815" s="268"/>
      <c r="APN815" s="268"/>
      <c r="APO815" s="268"/>
      <c r="APP815" s="268"/>
      <c r="APQ815" s="268"/>
      <c r="APR815" s="268"/>
      <c r="APS815" s="268"/>
      <c r="APT815" s="268"/>
      <c r="APU815" s="268"/>
      <c r="APV815" s="268"/>
      <c r="APW815" s="268"/>
      <c r="APX815" s="268"/>
      <c r="APY815" s="268"/>
      <c r="APZ815" s="268"/>
      <c r="AQA815" s="268"/>
      <c r="AQB815" s="268"/>
      <c r="AQC815" s="268"/>
      <c r="AQD815" s="268"/>
      <c r="AQE815" s="268"/>
      <c r="AQF815" s="268"/>
      <c r="AQG815" s="268"/>
      <c r="AQH815" s="268"/>
      <c r="AQI815" s="268"/>
      <c r="AQJ815" s="268"/>
      <c r="AQK815" s="268"/>
      <c r="AQL815" s="268"/>
      <c r="AQM815" s="268"/>
      <c r="AQN815" s="268"/>
      <c r="AQO815" s="268"/>
      <c r="AQP815" s="268"/>
      <c r="AQQ815" s="268"/>
      <c r="AQR815" s="268"/>
      <c r="AQS815" s="268"/>
      <c r="AQT815" s="268"/>
      <c r="AQU815" s="268"/>
      <c r="AQV815" s="268"/>
      <c r="AQW815" s="268"/>
      <c r="AQX815" s="268"/>
      <c r="AQY815" s="268"/>
      <c r="AQZ815" s="268"/>
      <c r="ARA815" s="268"/>
      <c r="ARB815" s="268"/>
      <c r="ARC815" s="268"/>
      <c r="ARD815" s="268"/>
      <c r="ARE815" s="268"/>
      <c r="ARF815" s="268"/>
      <c r="ARG815" s="268"/>
      <c r="ARH815" s="268"/>
      <c r="ARI815" s="268"/>
      <c r="ARJ815" s="268"/>
      <c r="ARK815" s="268"/>
      <c r="ARL815" s="268"/>
      <c r="ARM815" s="268"/>
      <c r="ARN815" s="268"/>
      <c r="ARO815" s="268"/>
      <c r="ARP815" s="268"/>
      <c r="ARQ815" s="268"/>
      <c r="ARR815" s="268"/>
      <c r="ARS815" s="268"/>
      <c r="ART815" s="268"/>
      <c r="ARU815" s="268"/>
      <c r="ARV815" s="268"/>
      <c r="ARW815" s="268"/>
      <c r="ARX815" s="268"/>
      <c r="ARY815" s="268"/>
      <c r="ARZ815" s="268"/>
      <c r="ASA815" s="268"/>
      <c r="ASB815" s="268"/>
      <c r="ASC815" s="268"/>
      <c r="ASD815" s="268"/>
      <c r="ASE815" s="268"/>
      <c r="ASF815" s="268"/>
      <c r="ASG815" s="268"/>
      <c r="ASH815" s="268"/>
      <c r="ASI815" s="268"/>
      <c r="ASJ815" s="268"/>
      <c r="ASK815" s="268"/>
      <c r="ASL815" s="268"/>
      <c r="ASM815" s="268"/>
      <c r="ASN815" s="268"/>
      <c r="ASO815" s="268"/>
      <c r="ASP815" s="268"/>
      <c r="ASQ815" s="268"/>
      <c r="ASR815" s="268"/>
      <c r="ASS815" s="268"/>
      <c r="AST815" s="268"/>
      <c r="ASU815" s="268"/>
      <c r="ASV815" s="268"/>
      <c r="ASW815" s="268"/>
      <c r="ASX815" s="268"/>
      <c r="ASY815" s="268"/>
      <c r="ASZ815" s="268"/>
      <c r="ATA815" s="268"/>
      <c r="ATB815" s="268"/>
      <c r="ATC815" s="268"/>
      <c r="ATD815" s="268"/>
      <c r="ATE815" s="268"/>
      <c r="ATF815" s="268"/>
      <c r="ATG815" s="268"/>
      <c r="ATH815" s="268"/>
      <c r="ATI815" s="268"/>
      <c r="ATJ815" s="268"/>
      <c r="ATK815" s="268"/>
      <c r="ATL815" s="268"/>
      <c r="ATM815" s="268"/>
      <c r="ATN815" s="268"/>
      <c r="ATO815" s="268"/>
      <c r="ATP815" s="268"/>
      <c r="ATQ815" s="268"/>
      <c r="ATR815" s="268"/>
      <c r="ATS815" s="268"/>
      <c r="ATT815" s="268"/>
      <c r="ATU815" s="268"/>
      <c r="ATV815" s="268"/>
      <c r="ATW815" s="268"/>
      <c r="ATX815" s="268"/>
      <c r="ATY815" s="268"/>
      <c r="ATZ815" s="268"/>
      <c r="AUA815" s="268"/>
      <c r="AUB815" s="268"/>
      <c r="AUC815" s="268"/>
      <c r="AUD815" s="268"/>
      <c r="AUE815" s="268"/>
      <c r="AUF815" s="268"/>
      <c r="AUG815" s="268"/>
      <c r="AUH815" s="268"/>
      <c r="AUI815" s="268"/>
      <c r="AUJ815" s="268"/>
      <c r="AUK815" s="268"/>
      <c r="AUL815" s="268"/>
      <c r="AUM815" s="268"/>
      <c r="AUN815" s="268"/>
      <c r="AUO815" s="268"/>
      <c r="AUP815" s="268"/>
      <c r="AUQ815" s="268"/>
      <c r="AUR815" s="268"/>
      <c r="AUS815" s="268"/>
      <c r="AUT815" s="268"/>
      <c r="AUU815" s="268"/>
      <c r="AUV815" s="268"/>
      <c r="AUW815" s="268"/>
      <c r="AUX815" s="268"/>
      <c r="AUY815" s="268"/>
      <c r="AUZ815" s="268"/>
      <c r="AVA815" s="268"/>
      <c r="AVB815" s="268"/>
      <c r="AVC815" s="268"/>
      <c r="AVD815" s="268"/>
      <c r="AVE815" s="268"/>
      <c r="AVF815" s="268"/>
      <c r="AVG815" s="268"/>
      <c r="AVH815" s="268"/>
      <c r="AVI815" s="268"/>
      <c r="AVJ815" s="268"/>
      <c r="AVK815" s="268"/>
      <c r="AVL815" s="268"/>
      <c r="AVM815" s="268"/>
      <c r="AVN815" s="268"/>
      <c r="AVO815" s="268"/>
      <c r="AVP815" s="268"/>
      <c r="AVQ815" s="268"/>
      <c r="AVR815" s="268"/>
      <c r="AVS815" s="268"/>
      <c r="AVT815" s="268"/>
      <c r="AVU815" s="268"/>
      <c r="AVV815" s="268"/>
      <c r="AVW815" s="268"/>
      <c r="AWK815" s="268"/>
      <c r="AWL815" s="268"/>
      <c r="AWM815" s="268"/>
      <c r="AXA815" s="268"/>
      <c r="AXC815" s="268"/>
      <c r="AXD815" s="268"/>
      <c r="AXE815" s="268"/>
      <c r="AXF815" s="268"/>
      <c r="AXG815" s="268"/>
      <c r="AXH815" s="268"/>
      <c r="AXI815" s="268"/>
      <c r="AXJ815" s="268"/>
      <c r="AXK815" s="268"/>
      <c r="AXL815" s="268"/>
      <c r="AXM815" s="268"/>
      <c r="AXN815" s="268"/>
      <c r="AXO815" s="268"/>
      <c r="AXP815" s="268"/>
      <c r="AXQ815" s="268"/>
      <c r="AXR815" s="268"/>
      <c r="AXS815" s="268"/>
      <c r="AXT815" s="268"/>
      <c r="AXU815" s="268"/>
      <c r="AXV815" s="268"/>
      <c r="AXW815" s="268"/>
      <c r="AXX815" s="268"/>
      <c r="AXY815" s="268"/>
      <c r="AXZ815" s="268"/>
      <c r="AYA815" s="268"/>
      <c r="AYB815" s="268"/>
      <c r="AYC815" s="268"/>
      <c r="AYD815" s="268"/>
      <c r="AYE815" s="268"/>
      <c r="AYF815" s="268"/>
      <c r="AYG815" s="268"/>
      <c r="AYH815" s="268"/>
      <c r="AYI815" s="268"/>
      <c r="AYJ815" s="268"/>
      <c r="AYK815" s="268"/>
      <c r="AYL815" s="268"/>
      <c r="AYM815" s="268"/>
      <c r="AYN815" s="268"/>
      <c r="AYO815" s="268"/>
      <c r="AYP815" s="268"/>
      <c r="AYQ815" s="268"/>
      <c r="AYR815" s="268"/>
      <c r="AYS815" s="268"/>
      <c r="AYT815" s="268"/>
      <c r="AYU815" s="268"/>
      <c r="AYV815" s="268"/>
      <c r="AYW815" s="268"/>
      <c r="AYX815" s="268"/>
      <c r="AYY815" s="268"/>
      <c r="AYZ815" s="268"/>
      <c r="AZA815" s="268"/>
      <c r="AZB815" s="268"/>
      <c r="AZC815" s="268"/>
      <c r="AZD815" s="268"/>
      <c r="AZE815" s="268"/>
      <c r="AZF815" s="268"/>
      <c r="AZG815" s="268"/>
      <c r="AZH815" s="268"/>
      <c r="AZI815" s="268"/>
      <c r="AZJ815" s="268"/>
      <c r="AZK815" s="268"/>
      <c r="AZL815" s="268"/>
      <c r="AZM815" s="268"/>
      <c r="AZN815" s="268"/>
      <c r="AZO815" s="268"/>
      <c r="AZP815" s="268"/>
      <c r="AZQ815" s="268"/>
      <c r="AZR815" s="268"/>
      <c r="AZS815" s="268"/>
      <c r="AZT815" s="268"/>
      <c r="AZU815" s="268"/>
      <c r="AZV815" s="268"/>
      <c r="AZW815" s="268"/>
      <c r="AZX815" s="268"/>
      <c r="AZY815" s="268"/>
      <c r="AZZ815" s="268"/>
      <c r="BAA815" s="268"/>
      <c r="BAB815" s="268"/>
      <c r="BAC815" s="268"/>
      <c r="BAD815" s="268"/>
      <c r="BAE815" s="268"/>
      <c r="BAF815" s="268"/>
      <c r="BAG815" s="268"/>
      <c r="BAH815" s="268"/>
      <c r="BAI815" s="268"/>
      <c r="BAJ815" s="268"/>
      <c r="BAK815" s="268"/>
      <c r="BAL815" s="268"/>
      <c r="BAM815" s="268"/>
      <c r="BAN815" s="268"/>
      <c r="BAO815" s="268"/>
      <c r="BAP815" s="268"/>
      <c r="BAQ815" s="268"/>
      <c r="BAR815" s="268"/>
      <c r="BAS815" s="268"/>
      <c r="BAT815" s="268"/>
      <c r="BAU815" s="268"/>
      <c r="BAV815" s="268"/>
      <c r="BAW815" s="268"/>
      <c r="BAX815" s="268"/>
      <c r="BAY815" s="268"/>
      <c r="BAZ815" s="268"/>
      <c r="BBA815" s="268"/>
      <c r="BBB815" s="268"/>
      <c r="BBC815" s="268"/>
      <c r="BBD815" s="268"/>
      <c r="BBE815" s="268"/>
      <c r="BBF815" s="268"/>
      <c r="BBG815" s="268"/>
      <c r="BBH815" s="268"/>
      <c r="BBI815" s="268"/>
      <c r="BBJ815" s="268"/>
      <c r="BBK815" s="268"/>
      <c r="BBL815" s="268"/>
      <c r="BBM815" s="268"/>
      <c r="BBN815" s="268"/>
      <c r="BBO815" s="268"/>
      <c r="BBP815" s="268"/>
      <c r="BBQ815" s="268"/>
      <c r="BBR815" s="268"/>
      <c r="BBS815" s="268"/>
      <c r="BBT815" s="268"/>
      <c r="BBU815" s="268"/>
      <c r="BBV815" s="268"/>
      <c r="BBW815" s="268"/>
      <c r="BBX815" s="268"/>
      <c r="BBY815" s="268"/>
      <c r="BBZ815" s="268"/>
      <c r="BCA815" s="268"/>
      <c r="BCB815" s="268"/>
      <c r="BCC815" s="268"/>
      <c r="BCD815" s="268"/>
      <c r="BCE815" s="268"/>
      <c r="BCF815" s="268"/>
      <c r="BCG815" s="268"/>
      <c r="BCH815" s="268"/>
      <c r="BCI815" s="268"/>
      <c r="BCJ815" s="268"/>
      <c r="BCK815" s="268"/>
      <c r="BCL815" s="268"/>
      <c r="BCM815" s="268"/>
      <c r="BCN815" s="268"/>
      <c r="BCO815" s="268"/>
      <c r="BCP815" s="268"/>
      <c r="BCQ815" s="268"/>
      <c r="BCR815" s="268"/>
      <c r="BCS815" s="268"/>
      <c r="BCT815" s="268"/>
      <c r="BCU815" s="268"/>
      <c r="BCV815" s="268"/>
      <c r="BCW815" s="268"/>
      <c r="BCX815" s="268"/>
      <c r="BCY815" s="268"/>
      <c r="BCZ815" s="268"/>
      <c r="BDA815" s="268"/>
      <c r="BDB815" s="268"/>
      <c r="BDC815" s="268"/>
      <c r="BDD815" s="268"/>
      <c r="BDE815" s="268"/>
      <c r="BDF815" s="268"/>
      <c r="BDG815" s="268"/>
      <c r="BDH815" s="268"/>
      <c r="BDI815" s="268"/>
      <c r="BDJ815" s="268"/>
      <c r="BDK815" s="268"/>
      <c r="BDL815" s="268"/>
      <c r="BDM815" s="268"/>
      <c r="BDN815" s="268"/>
      <c r="BDO815" s="268"/>
      <c r="BDP815" s="268"/>
      <c r="BDQ815" s="268"/>
      <c r="BDR815" s="268"/>
      <c r="BDS815" s="268"/>
      <c r="BDT815" s="268"/>
      <c r="BDU815" s="268"/>
      <c r="BDV815" s="268"/>
      <c r="BDW815" s="268"/>
      <c r="BDX815" s="268"/>
      <c r="BDY815" s="268"/>
      <c r="BDZ815" s="268"/>
      <c r="BEA815" s="268"/>
      <c r="BEB815" s="268"/>
      <c r="BEC815" s="268"/>
      <c r="BED815" s="268"/>
      <c r="BEE815" s="268"/>
      <c r="BEF815" s="268"/>
      <c r="BEG815" s="268"/>
      <c r="BEH815" s="268"/>
      <c r="BEI815" s="268"/>
      <c r="BEJ815" s="268"/>
      <c r="BEK815" s="268"/>
      <c r="BEL815" s="268"/>
      <c r="BEM815" s="268"/>
      <c r="BEN815" s="268"/>
      <c r="BEO815" s="268"/>
      <c r="BEP815" s="268"/>
      <c r="BEQ815" s="268"/>
      <c r="BER815" s="268"/>
      <c r="BES815" s="268"/>
      <c r="BET815" s="268"/>
      <c r="BEU815" s="268"/>
      <c r="BEV815" s="268"/>
      <c r="BEW815" s="268"/>
      <c r="BEX815" s="268"/>
      <c r="BEY815" s="268"/>
      <c r="BEZ815" s="268"/>
      <c r="BFA815" s="268"/>
      <c r="BFB815" s="268"/>
      <c r="BFC815" s="268"/>
      <c r="BFD815" s="268"/>
      <c r="BFE815" s="268"/>
      <c r="BFF815" s="268"/>
      <c r="BFG815" s="268"/>
      <c r="BFH815" s="268"/>
      <c r="BFI815" s="268"/>
      <c r="BFJ815" s="268"/>
      <c r="BFK815" s="268"/>
      <c r="BFL815" s="268"/>
      <c r="BFM815" s="268"/>
      <c r="BFN815" s="268"/>
      <c r="BFO815" s="268"/>
      <c r="BFP815" s="268"/>
      <c r="BFQ815" s="268"/>
      <c r="BFR815" s="268"/>
      <c r="BFS815" s="268"/>
      <c r="BGG815" s="268"/>
      <c r="BGH815" s="268"/>
      <c r="BGI815" s="268"/>
      <c r="BGW815" s="268"/>
      <c r="BGY815" s="268"/>
      <c r="BGZ815" s="268"/>
      <c r="BHA815" s="268"/>
      <c r="BHB815" s="268"/>
      <c r="BHC815" s="268"/>
      <c r="BHD815" s="268"/>
      <c r="BHE815" s="268"/>
      <c r="BHF815" s="268"/>
      <c r="BHG815" s="268"/>
      <c r="BHH815" s="268"/>
      <c r="BHI815" s="268"/>
      <c r="BHJ815" s="268"/>
      <c r="BHK815" s="268"/>
      <c r="BHL815" s="268"/>
      <c r="BHM815" s="268"/>
      <c r="BHN815" s="268"/>
      <c r="BHO815" s="268"/>
      <c r="BHP815" s="268"/>
      <c r="BHQ815" s="268"/>
      <c r="BHR815" s="268"/>
      <c r="BHS815" s="268"/>
      <c r="BHT815" s="268"/>
      <c r="BHU815" s="268"/>
      <c r="BHV815" s="268"/>
      <c r="BHW815" s="268"/>
      <c r="BHX815" s="268"/>
      <c r="BHY815" s="268"/>
      <c r="BHZ815" s="268"/>
      <c r="BIA815" s="268"/>
      <c r="BIB815" s="268"/>
      <c r="BIC815" s="268"/>
      <c r="BID815" s="268"/>
      <c r="BIE815" s="268"/>
      <c r="BIF815" s="268"/>
      <c r="BIG815" s="268"/>
      <c r="BIH815" s="268"/>
      <c r="BII815" s="268"/>
      <c r="BIJ815" s="268"/>
      <c r="BIK815" s="268"/>
      <c r="BIL815" s="268"/>
      <c r="BIM815" s="268"/>
      <c r="BIN815" s="268"/>
      <c r="BIO815" s="268"/>
      <c r="BIP815" s="268"/>
      <c r="BIQ815" s="268"/>
      <c r="BIR815" s="268"/>
      <c r="BIS815" s="268"/>
      <c r="BIT815" s="268"/>
      <c r="BIU815" s="268"/>
      <c r="BIV815" s="268"/>
      <c r="BIW815" s="268"/>
      <c r="BIX815" s="268"/>
      <c r="BIY815" s="268"/>
      <c r="BIZ815" s="268"/>
      <c r="BJA815" s="268"/>
      <c r="BJB815" s="268"/>
      <c r="BJC815" s="268"/>
      <c r="BJD815" s="268"/>
      <c r="BJE815" s="268"/>
      <c r="BJF815" s="268"/>
      <c r="BJG815" s="268"/>
      <c r="BJH815" s="268"/>
      <c r="BJI815" s="268"/>
      <c r="BJJ815" s="268"/>
      <c r="BJK815" s="268"/>
      <c r="BJL815" s="268"/>
      <c r="BJM815" s="268"/>
      <c r="BJN815" s="268"/>
      <c r="BJO815" s="268"/>
      <c r="BJP815" s="268"/>
      <c r="BJQ815" s="268"/>
      <c r="BJR815" s="268"/>
      <c r="BJS815" s="268"/>
      <c r="BJT815" s="268"/>
      <c r="BJU815" s="268"/>
      <c r="BJV815" s="268"/>
      <c r="BJW815" s="268"/>
      <c r="BJX815" s="268"/>
      <c r="BJY815" s="268"/>
      <c r="BJZ815" s="268"/>
      <c r="BKA815" s="268"/>
      <c r="BKB815" s="268"/>
      <c r="BKC815" s="268"/>
      <c r="BKD815" s="268"/>
      <c r="BKE815" s="268"/>
      <c r="BKF815" s="268"/>
      <c r="BKG815" s="268"/>
      <c r="BKH815" s="268"/>
      <c r="BKI815" s="268"/>
      <c r="BKJ815" s="268"/>
      <c r="BKK815" s="268"/>
      <c r="BKL815" s="268"/>
      <c r="BKM815" s="268"/>
      <c r="BKN815" s="268"/>
      <c r="BKO815" s="268"/>
      <c r="BKP815" s="268"/>
      <c r="BKQ815" s="268"/>
      <c r="BKR815" s="268"/>
      <c r="BKS815" s="268"/>
      <c r="BKT815" s="268"/>
      <c r="BKU815" s="268"/>
      <c r="BKV815" s="268"/>
      <c r="BKW815" s="268"/>
      <c r="BKX815" s="268"/>
      <c r="BKY815" s="268"/>
      <c r="BKZ815" s="268"/>
      <c r="BLA815" s="268"/>
      <c r="BLB815" s="268"/>
      <c r="BLC815" s="268"/>
      <c r="BLD815" s="268"/>
      <c r="BLE815" s="268"/>
      <c r="BLF815" s="268"/>
      <c r="BLG815" s="268"/>
      <c r="BLH815" s="268"/>
      <c r="BLI815" s="268"/>
      <c r="BLJ815" s="268"/>
      <c r="BLK815" s="268"/>
      <c r="BLL815" s="268"/>
      <c r="BLM815" s="268"/>
      <c r="BLN815" s="268"/>
      <c r="BLO815" s="268"/>
      <c r="BLP815" s="268"/>
      <c r="BLQ815" s="268"/>
      <c r="BLR815" s="268"/>
      <c r="BLS815" s="268"/>
      <c r="BLT815" s="268"/>
      <c r="BLU815" s="268"/>
      <c r="BLV815" s="268"/>
      <c r="BLW815" s="268"/>
      <c r="BLX815" s="268"/>
      <c r="BLY815" s="268"/>
      <c r="BLZ815" s="268"/>
      <c r="BMA815" s="268"/>
      <c r="BMB815" s="268"/>
      <c r="BMC815" s="268"/>
      <c r="BMD815" s="268"/>
      <c r="BME815" s="268"/>
      <c r="BMF815" s="268"/>
      <c r="BMG815" s="268"/>
      <c r="BMH815" s="268"/>
      <c r="BMI815" s="268"/>
      <c r="BMJ815" s="268"/>
      <c r="BMK815" s="268"/>
      <c r="BML815" s="268"/>
      <c r="BMM815" s="268"/>
      <c r="BMN815" s="268"/>
      <c r="BMO815" s="268"/>
      <c r="BMP815" s="268"/>
      <c r="BMQ815" s="268"/>
      <c r="BMR815" s="268"/>
      <c r="BMS815" s="268"/>
      <c r="BMT815" s="268"/>
      <c r="BMU815" s="268"/>
      <c r="BMV815" s="268"/>
      <c r="BMW815" s="268"/>
      <c r="BMX815" s="268"/>
      <c r="BMY815" s="268"/>
      <c r="BMZ815" s="268"/>
      <c r="BNA815" s="268"/>
      <c r="BNB815" s="268"/>
      <c r="BNC815" s="268"/>
      <c r="BND815" s="268"/>
      <c r="BNE815" s="268"/>
      <c r="BNF815" s="268"/>
      <c r="BNG815" s="268"/>
      <c r="BNH815" s="268"/>
      <c r="BNI815" s="268"/>
      <c r="BNJ815" s="268"/>
      <c r="BNK815" s="268"/>
      <c r="BNL815" s="268"/>
      <c r="BNM815" s="268"/>
      <c r="BNN815" s="268"/>
      <c r="BNO815" s="268"/>
      <c r="BNP815" s="268"/>
      <c r="BNQ815" s="268"/>
      <c r="BNR815" s="268"/>
      <c r="BNS815" s="268"/>
      <c r="BNT815" s="268"/>
      <c r="BNU815" s="268"/>
      <c r="BNV815" s="268"/>
      <c r="BNW815" s="268"/>
      <c r="BNX815" s="268"/>
      <c r="BNY815" s="268"/>
      <c r="BNZ815" s="268"/>
      <c r="BOA815" s="268"/>
      <c r="BOB815" s="268"/>
      <c r="BOC815" s="268"/>
      <c r="BOD815" s="268"/>
      <c r="BOE815" s="268"/>
      <c r="BOF815" s="268"/>
      <c r="BOG815" s="268"/>
      <c r="BOH815" s="268"/>
      <c r="BOI815" s="268"/>
      <c r="BOJ815" s="268"/>
      <c r="BOK815" s="268"/>
      <c r="BOL815" s="268"/>
      <c r="BOM815" s="268"/>
      <c r="BON815" s="268"/>
      <c r="BOO815" s="268"/>
      <c r="BOP815" s="268"/>
      <c r="BOQ815" s="268"/>
      <c r="BOR815" s="268"/>
      <c r="BOS815" s="268"/>
      <c r="BOT815" s="268"/>
      <c r="BOU815" s="268"/>
      <c r="BOV815" s="268"/>
      <c r="BOW815" s="268"/>
      <c r="BOX815" s="268"/>
      <c r="BOY815" s="268"/>
      <c r="BOZ815" s="268"/>
      <c r="BPA815" s="268"/>
      <c r="BPB815" s="268"/>
      <c r="BPC815" s="268"/>
      <c r="BPD815" s="268"/>
      <c r="BPE815" s="268"/>
      <c r="BPF815" s="268"/>
      <c r="BPG815" s="268"/>
      <c r="BPH815" s="268"/>
      <c r="BPI815" s="268"/>
      <c r="BPJ815" s="268"/>
      <c r="BPK815" s="268"/>
      <c r="BPL815" s="268"/>
      <c r="BPM815" s="268"/>
      <c r="BPN815" s="268"/>
      <c r="BPO815" s="268"/>
      <c r="BQC815" s="268"/>
      <c r="BQD815" s="268"/>
      <c r="BQE815" s="268"/>
      <c r="BQS815" s="268"/>
      <c r="BQU815" s="268"/>
      <c r="BQV815" s="268"/>
      <c r="BQW815" s="268"/>
      <c r="BQX815" s="268"/>
      <c r="BQY815" s="268"/>
      <c r="BQZ815" s="268"/>
      <c r="BRA815" s="268"/>
      <c r="BRB815" s="268"/>
      <c r="BRC815" s="268"/>
      <c r="BRD815" s="268"/>
      <c r="BRE815" s="268"/>
      <c r="BRF815" s="268"/>
      <c r="BRG815" s="268"/>
      <c r="BRH815" s="268"/>
      <c r="BRI815" s="268"/>
      <c r="BRJ815" s="268"/>
      <c r="BRK815" s="268"/>
      <c r="BRL815" s="268"/>
      <c r="BRM815" s="268"/>
      <c r="BRN815" s="268"/>
      <c r="BRO815" s="268"/>
      <c r="BRP815" s="268"/>
      <c r="BRQ815" s="268"/>
      <c r="BRR815" s="268"/>
      <c r="BRS815" s="268"/>
      <c r="BRT815" s="268"/>
      <c r="BRU815" s="268"/>
      <c r="BRV815" s="268"/>
      <c r="BRW815" s="268"/>
      <c r="BRX815" s="268"/>
      <c r="BRY815" s="268"/>
      <c r="BRZ815" s="268"/>
      <c r="BSA815" s="268"/>
      <c r="BSB815" s="268"/>
      <c r="BSC815" s="268"/>
      <c r="BSD815" s="268"/>
      <c r="BSE815" s="268"/>
      <c r="BSF815" s="268"/>
      <c r="BSG815" s="268"/>
      <c r="BSH815" s="268"/>
      <c r="BSI815" s="268"/>
      <c r="BSJ815" s="268"/>
      <c r="BSK815" s="268"/>
      <c r="BSL815" s="268"/>
      <c r="BSM815" s="268"/>
      <c r="BSN815" s="268"/>
      <c r="BSO815" s="268"/>
      <c r="BSP815" s="268"/>
      <c r="BSQ815" s="268"/>
      <c r="BSR815" s="268"/>
      <c r="BSS815" s="268"/>
      <c r="BST815" s="268"/>
      <c r="BSU815" s="268"/>
      <c r="BSV815" s="268"/>
      <c r="BSW815" s="268"/>
      <c r="BSX815" s="268"/>
      <c r="BSY815" s="268"/>
      <c r="BSZ815" s="268"/>
      <c r="BTA815" s="268"/>
      <c r="BTB815" s="268"/>
      <c r="BTC815" s="268"/>
      <c r="BTD815" s="268"/>
      <c r="BTE815" s="268"/>
      <c r="BTF815" s="268"/>
      <c r="BTG815" s="268"/>
      <c r="BTH815" s="268"/>
      <c r="BTI815" s="268"/>
      <c r="BTJ815" s="268"/>
      <c r="BTK815" s="268"/>
      <c r="BTL815" s="268"/>
      <c r="BTM815" s="268"/>
      <c r="BTN815" s="268"/>
      <c r="BTO815" s="268"/>
      <c r="BTP815" s="268"/>
      <c r="BTQ815" s="268"/>
      <c r="BTR815" s="268"/>
      <c r="BTS815" s="268"/>
      <c r="BTT815" s="268"/>
      <c r="BTU815" s="268"/>
      <c r="BTV815" s="268"/>
      <c r="BTW815" s="268"/>
      <c r="BTX815" s="268"/>
      <c r="BTY815" s="268"/>
      <c r="BTZ815" s="268"/>
      <c r="BUA815" s="268"/>
      <c r="BUB815" s="268"/>
      <c r="BUC815" s="268"/>
      <c r="BUD815" s="268"/>
      <c r="BUE815" s="268"/>
      <c r="BUF815" s="268"/>
      <c r="BUG815" s="268"/>
      <c r="BUH815" s="268"/>
      <c r="BUI815" s="268"/>
      <c r="BUJ815" s="268"/>
      <c r="BUK815" s="268"/>
      <c r="BUL815" s="268"/>
      <c r="BUM815" s="268"/>
      <c r="BUN815" s="268"/>
      <c r="BUO815" s="268"/>
      <c r="BUP815" s="268"/>
      <c r="BUQ815" s="268"/>
      <c r="BUR815" s="268"/>
      <c r="BUS815" s="268"/>
      <c r="BUT815" s="268"/>
      <c r="BUU815" s="268"/>
      <c r="BUV815" s="268"/>
      <c r="BUW815" s="268"/>
      <c r="BUX815" s="268"/>
      <c r="BUY815" s="268"/>
      <c r="BUZ815" s="268"/>
      <c r="BVA815" s="268"/>
      <c r="BVB815" s="268"/>
      <c r="BVC815" s="268"/>
      <c r="BVD815" s="268"/>
      <c r="BVE815" s="268"/>
      <c r="BVF815" s="268"/>
      <c r="BVG815" s="268"/>
      <c r="BVH815" s="268"/>
      <c r="BVI815" s="268"/>
      <c r="BVJ815" s="268"/>
      <c r="BVK815" s="268"/>
      <c r="BVL815" s="268"/>
      <c r="BVM815" s="268"/>
      <c r="BVN815" s="268"/>
      <c r="BVO815" s="268"/>
      <c r="BVP815" s="268"/>
      <c r="BVQ815" s="268"/>
      <c r="BVR815" s="268"/>
      <c r="BVS815" s="268"/>
      <c r="BVT815" s="268"/>
      <c r="BVU815" s="268"/>
      <c r="BVV815" s="268"/>
      <c r="BVW815" s="268"/>
      <c r="BVX815" s="268"/>
      <c r="BVY815" s="268"/>
      <c r="BVZ815" s="268"/>
      <c r="BWA815" s="268"/>
      <c r="BWB815" s="268"/>
      <c r="BWC815" s="268"/>
      <c r="BWD815" s="268"/>
      <c r="BWE815" s="268"/>
      <c r="BWF815" s="268"/>
      <c r="BWG815" s="268"/>
      <c r="BWH815" s="268"/>
      <c r="BWI815" s="268"/>
      <c r="BWJ815" s="268"/>
      <c r="BWK815" s="268"/>
      <c r="BWL815" s="268"/>
      <c r="BWM815" s="268"/>
      <c r="BWN815" s="268"/>
      <c r="BWO815" s="268"/>
      <c r="BWP815" s="268"/>
      <c r="BWQ815" s="268"/>
      <c r="BWR815" s="268"/>
      <c r="BWS815" s="268"/>
      <c r="BWT815" s="268"/>
      <c r="BWU815" s="268"/>
      <c r="BWV815" s="268"/>
      <c r="BWW815" s="268"/>
      <c r="BWX815" s="268"/>
      <c r="BWY815" s="268"/>
      <c r="BWZ815" s="268"/>
      <c r="BXA815" s="268"/>
      <c r="BXB815" s="268"/>
      <c r="BXC815" s="268"/>
      <c r="BXD815" s="268"/>
      <c r="BXE815" s="268"/>
      <c r="BXF815" s="268"/>
      <c r="BXG815" s="268"/>
      <c r="BXH815" s="268"/>
      <c r="BXI815" s="268"/>
      <c r="BXJ815" s="268"/>
      <c r="BXK815" s="268"/>
      <c r="BXL815" s="268"/>
      <c r="BXM815" s="268"/>
      <c r="BXN815" s="268"/>
      <c r="BXO815" s="268"/>
      <c r="BXP815" s="268"/>
      <c r="BXQ815" s="268"/>
      <c r="BXR815" s="268"/>
      <c r="BXS815" s="268"/>
      <c r="BXT815" s="268"/>
      <c r="BXU815" s="268"/>
      <c r="BXV815" s="268"/>
      <c r="BXW815" s="268"/>
      <c r="BXX815" s="268"/>
      <c r="BXY815" s="268"/>
      <c r="BXZ815" s="268"/>
      <c r="BYA815" s="268"/>
      <c r="BYB815" s="268"/>
      <c r="BYC815" s="268"/>
      <c r="BYD815" s="268"/>
      <c r="BYE815" s="268"/>
      <c r="BYF815" s="268"/>
      <c r="BYG815" s="268"/>
      <c r="BYH815" s="268"/>
      <c r="BYI815" s="268"/>
      <c r="BYJ815" s="268"/>
      <c r="BYK815" s="268"/>
      <c r="BYL815" s="268"/>
      <c r="BYM815" s="268"/>
      <c r="BYN815" s="268"/>
      <c r="BYO815" s="268"/>
      <c r="BYP815" s="268"/>
      <c r="BYQ815" s="268"/>
      <c r="BYR815" s="268"/>
      <c r="BYS815" s="268"/>
      <c r="BYT815" s="268"/>
      <c r="BYU815" s="268"/>
      <c r="BYV815" s="268"/>
      <c r="BYW815" s="268"/>
      <c r="BYX815" s="268"/>
      <c r="BYY815" s="268"/>
      <c r="BYZ815" s="268"/>
      <c r="BZA815" s="268"/>
      <c r="BZB815" s="268"/>
      <c r="BZC815" s="268"/>
      <c r="BZD815" s="268"/>
      <c r="BZE815" s="268"/>
      <c r="BZF815" s="268"/>
      <c r="BZG815" s="268"/>
      <c r="BZH815" s="268"/>
      <c r="BZI815" s="268"/>
      <c r="BZJ815" s="268"/>
      <c r="BZK815" s="268"/>
      <c r="BZY815" s="268"/>
      <c r="BZZ815" s="268"/>
      <c r="CAA815" s="268"/>
      <c r="CAO815" s="268"/>
      <c r="CAQ815" s="268"/>
      <c r="CAR815" s="268"/>
      <c r="CAS815" s="268"/>
      <c r="CAT815" s="268"/>
      <c r="CAU815" s="268"/>
      <c r="CAV815" s="268"/>
      <c r="CAW815" s="268"/>
      <c r="CAX815" s="268"/>
      <c r="CAY815" s="268"/>
      <c r="CAZ815" s="268"/>
      <c r="CBA815" s="268"/>
      <c r="CBB815" s="268"/>
      <c r="CBC815" s="268"/>
      <c r="CBD815" s="268"/>
      <c r="CBE815" s="268"/>
      <c r="CBF815" s="268"/>
      <c r="CBG815" s="268"/>
      <c r="CBH815" s="268"/>
      <c r="CBI815" s="268"/>
      <c r="CBJ815" s="268"/>
      <c r="CBK815" s="268"/>
      <c r="CBL815" s="268"/>
      <c r="CBM815" s="268"/>
      <c r="CBN815" s="268"/>
      <c r="CBO815" s="268"/>
      <c r="CBP815" s="268"/>
      <c r="CBQ815" s="268"/>
      <c r="CBR815" s="268"/>
      <c r="CBS815" s="268"/>
      <c r="CBT815" s="268"/>
      <c r="CBU815" s="268"/>
      <c r="CBV815" s="268"/>
      <c r="CBW815" s="268"/>
      <c r="CBX815" s="268"/>
      <c r="CBY815" s="268"/>
      <c r="CBZ815" s="268"/>
      <c r="CCA815" s="268"/>
      <c r="CCB815" s="268"/>
      <c r="CCC815" s="268"/>
      <c r="CCD815" s="268"/>
      <c r="CCE815" s="268"/>
      <c r="CCF815" s="268"/>
      <c r="CCG815" s="268"/>
      <c r="CCH815" s="268"/>
      <c r="CCI815" s="268"/>
      <c r="CCJ815" s="268"/>
      <c r="CCK815" s="268"/>
      <c r="CCL815" s="268"/>
      <c r="CCM815" s="268"/>
      <c r="CCN815" s="268"/>
      <c r="CCO815" s="268"/>
      <c r="CCP815" s="268"/>
      <c r="CCQ815" s="268"/>
      <c r="CCR815" s="268"/>
      <c r="CCS815" s="268"/>
      <c r="CCT815" s="268"/>
      <c r="CCU815" s="268"/>
      <c r="CCV815" s="268"/>
      <c r="CCW815" s="268"/>
      <c r="CCX815" s="268"/>
      <c r="CCY815" s="268"/>
      <c r="CCZ815" s="268"/>
      <c r="CDA815" s="268"/>
      <c r="CDB815" s="268"/>
      <c r="CDC815" s="268"/>
      <c r="CDD815" s="268"/>
      <c r="CDE815" s="268"/>
      <c r="CDF815" s="268"/>
      <c r="CDG815" s="268"/>
      <c r="CDH815" s="268"/>
      <c r="CDI815" s="268"/>
      <c r="CDJ815" s="268"/>
      <c r="CDK815" s="268"/>
      <c r="CDL815" s="268"/>
      <c r="CDM815" s="268"/>
      <c r="CDN815" s="268"/>
      <c r="CDO815" s="268"/>
      <c r="CDP815" s="268"/>
      <c r="CDQ815" s="268"/>
      <c r="CDR815" s="268"/>
      <c r="CDS815" s="268"/>
      <c r="CDT815" s="268"/>
      <c r="CDU815" s="268"/>
      <c r="CDV815" s="268"/>
      <c r="CDW815" s="268"/>
      <c r="CDX815" s="268"/>
      <c r="CDY815" s="268"/>
      <c r="CDZ815" s="268"/>
      <c r="CEA815" s="268"/>
      <c r="CEB815" s="268"/>
      <c r="CEC815" s="268"/>
      <c r="CED815" s="268"/>
      <c r="CEE815" s="268"/>
      <c r="CEF815" s="268"/>
      <c r="CEG815" s="268"/>
      <c r="CEH815" s="268"/>
      <c r="CEI815" s="268"/>
      <c r="CEJ815" s="268"/>
      <c r="CEK815" s="268"/>
      <c r="CEL815" s="268"/>
      <c r="CEM815" s="268"/>
      <c r="CEN815" s="268"/>
      <c r="CEO815" s="268"/>
      <c r="CEP815" s="268"/>
      <c r="CEQ815" s="268"/>
      <c r="CER815" s="268"/>
      <c r="CES815" s="268"/>
      <c r="CET815" s="268"/>
      <c r="CEU815" s="268"/>
      <c r="CEV815" s="268"/>
      <c r="CEW815" s="268"/>
      <c r="CEX815" s="268"/>
      <c r="CEY815" s="268"/>
      <c r="CEZ815" s="268"/>
      <c r="CFA815" s="268"/>
      <c r="CFB815" s="268"/>
      <c r="CFC815" s="268"/>
      <c r="CFD815" s="268"/>
      <c r="CFE815" s="268"/>
      <c r="CFF815" s="268"/>
      <c r="CFG815" s="268"/>
      <c r="CFH815" s="268"/>
      <c r="CFI815" s="268"/>
      <c r="CFJ815" s="268"/>
      <c r="CFK815" s="268"/>
      <c r="CFL815" s="268"/>
      <c r="CFM815" s="268"/>
      <c r="CFN815" s="268"/>
      <c r="CFO815" s="268"/>
      <c r="CFP815" s="268"/>
      <c r="CFQ815" s="268"/>
      <c r="CFR815" s="268"/>
      <c r="CFS815" s="268"/>
      <c r="CFT815" s="268"/>
      <c r="CFU815" s="268"/>
      <c r="CFV815" s="268"/>
      <c r="CFW815" s="268"/>
      <c r="CFX815" s="268"/>
      <c r="CFY815" s="268"/>
      <c r="CFZ815" s="268"/>
      <c r="CGA815" s="268"/>
      <c r="CGB815" s="268"/>
      <c r="CGC815" s="268"/>
      <c r="CGD815" s="268"/>
      <c r="CGE815" s="268"/>
      <c r="CGF815" s="268"/>
      <c r="CGG815" s="268"/>
      <c r="CGH815" s="268"/>
      <c r="CGI815" s="268"/>
      <c r="CGJ815" s="268"/>
      <c r="CGK815" s="268"/>
      <c r="CGL815" s="268"/>
      <c r="CGM815" s="268"/>
      <c r="CGN815" s="268"/>
      <c r="CGO815" s="268"/>
      <c r="CGP815" s="268"/>
      <c r="CGQ815" s="268"/>
      <c r="CGR815" s="268"/>
      <c r="CGS815" s="268"/>
      <c r="CGT815" s="268"/>
      <c r="CGU815" s="268"/>
      <c r="CGV815" s="268"/>
      <c r="CGW815" s="268"/>
      <c r="CGX815" s="268"/>
      <c r="CGY815" s="268"/>
      <c r="CGZ815" s="268"/>
      <c r="CHA815" s="268"/>
      <c r="CHB815" s="268"/>
      <c r="CHC815" s="268"/>
      <c r="CHD815" s="268"/>
      <c r="CHE815" s="268"/>
      <c r="CHF815" s="268"/>
      <c r="CHG815" s="268"/>
      <c r="CHH815" s="268"/>
      <c r="CHI815" s="268"/>
      <c r="CHJ815" s="268"/>
      <c r="CHK815" s="268"/>
      <c r="CHL815" s="268"/>
      <c r="CHM815" s="268"/>
      <c r="CHN815" s="268"/>
      <c r="CHO815" s="268"/>
      <c r="CHP815" s="268"/>
      <c r="CHQ815" s="268"/>
      <c r="CHR815" s="268"/>
      <c r="CHS815" s="268"/>
      <c r="CHT815" s="268"/>
      <c r="CHU815" s="268"/>
      <c r="CHV815" s="268"/>
      <c r="CHW815" s="268"/>
      <c r="CHX815" s="268"/>
      <c r="CHY815" s="268"/>
      <c r="CHZ815" s="268"/>
      <c r="CIA815" s="268"/>
      <c r="CIB815" s="268"/>
      <c r="CIC815" s="268"/>
      <c r="CID815" s="268"/>
      <c r="CIE815" s="268"/>
      <c r="CIF815" s="268"/>
      <c r="CIG815" s="268"/>
      <c r="CIH815" s="268"/>
      <c r="CII815" s="268"/>
      <c r="CIJ815" s="268"/>
      <c r="CIK815" s="268"/>
      <c r="CIL815" s="268"/>
      <c r="CIM815" s="268"/>
      <c r="CIN815" s="268"/>
      <c r="CIO815" s="268"/>
      <c r="CIP815" s="268"/>
      <c r="CIQ815" s="268"/>
      <c r="CIR815" s="268"/>
      <c r="CIS815" s="268"/>
      <c r="CIT815" s="268"/>
      <c r="CIU815" s="268"/>
      <c r="CIV815" s="268"/>
      <c r="CIW815" s="268"/>
      <c r="CIX815" s="268"/>
      <c r="CIY815" s="268"/>
      <c r="CIZ815" s="268"/>
      <c r="CJA815" s="268"/>
      <c r="CJB815" s="268"/>
      <c r="CJC815" s="268"/>
      <c r="CJD815" s="268"/>
      <c r="CJE815" s="268"/>
      <c r="CJF815" s="268"/>
      <c r="CJG815" s="268"/>
      <c r="CJU815" s="268"/>
      <c r="CJV815" s="268"/>
      <c r="CJW815" s="268"/>
      <c r="CKK815" s="268"/>
      <c r="CKM815" s="268"/>
      <c r="CKN815" s="268"/>
      <c r="CKO815" s="268"/>
      <c r="CKP815" s="268"/>
      <c r="CKQ815" s="268"/>
      <c r="CKR815" s="268"/>
      <c r="CKS815" s="268"/>
      <c r="CKT815" s="268"/>
      <c r="CKU815" s="268"/>
      <c r="CKV815" s="268"/>
      <c r="CKW815" s="268"/>
      <c r="CKX815" s="268"/>
      <c r="CKY815" s="268"/>
      <c r="CKZ815" s="268"/>
      <c r="CLA815" s="268"/>
      <c r="CLB815" s="268"/>
      <c r="CLC815" s="268"/>
      <c r="CLD815" s="268"/>
      <c r="CLE815" s="268"/>
      <c r="CLF815" s="268"/>
      <c r="CLG815" s="268"/>
      <c r="CLH815" s="268"/>
      <c r="CLI815" s="268"/>
      <c r="CLJ815" s="268"/>
      <c r="CLK815" s="268"/>
      <c r="CLL815" s="268"/>
      <c r="CLM815" s="268"/>
      <c r="CLN815" s="268"/>
      <c r="CLO815" s="268"/>
      <c r="CLP815" s="268"/>
      <c r="CLQ815" s="268"/>
      <c r="CLR815" s="268"/>
      <c r="CLS815" s="268"/>
      <c r="CLT815" s="268"/>
      <c r="CLU815" s="268"/>
      <c r="CLV815" s="268"/>
      <c r="CLW815" s="268"/>
      <c r="CLX815" s="268"/>
      <c r="CLY815" s="268"/>
      <c r="CLZ815" s="268"/>
      <c r="CMA815" s="268"/>
      <c r="CMB815" s="268"/>
      <c r="CMC815" s="268"/>
      <c r="CMD815" s="268"/>
      <c r="CME815" s="268"/>
      <c r="CMF815" s="268"/>
      <c r="CMG815" s="268"/>
      <c r="CMH815" s="268"/>
      <c r="CMI815" s="268"/>
      <c r="CMJ815" s="268"/>
      <c r="CMK815" s="268"/>
      <c r="CML815" s="268"/>
      <c r="CMM815" s="268"/>
      <c r="CMN815" s="268"/>
      <c r="CMO815" s="268"/>
      <c r="CMP815" s="268"/>
      <c r="CMQ815" s="268"/>
      <c r="CMR815" s="268"/>
      <c r="CMS815" s="268"/>
      <c r="CMT815" s="268"/>
      <c r="CMU815" s="268"/>
      <c r="CMV815" s="268"/>
      <c r="CMW815" s="268"/>
      <c r="CMX815" s="268"/>
      <c r="CMY815" s="268"/>
      <c r="CMZ815" s="268"/>
      <c r="CNA815" s="268"/>
      <c r="CNB815" s="268"/>
      <c r="CNC815" s="268"/>
      <c r="CND815" s="268"/>
      <c r="CNE815" s="268"/>
      <c r="CNF815" s="268"/>
      <c r="CNG815" s="268"/>
      <c r="CNH815" s="268"/>
      <c r="CNI815" s="268"/>
      <c r="CNJ815" s="268"/>
      <c r="CNK815" s="268"/>
      <c r="CNL815" s="268"/>
      <c r="CNM815" s="268"/>
      <c r="CNN815" s="268"/>
      <c r="CNO815" s="268"/>
      <c r="CNP815" s="268"/>
      <c r="CNQ815" s="268"/>
      <c r="CNR815" s="268"/>
      <c r="CNS815" s="268"/>
      <c r="CNT815" s="268"/>
      <c r="CNU815" s="268"/>
      <c r="CNV815" s="268"/>
      <c r="CNW815" s="268"/>
      <c r="CNX815" s="268"/>
      <c r="CNY815" s="268"/>
      <c r="CNZ815" s="268"/>
      <c r="COA815" s="268"/>
      <c r="COB815" s="268"/>
      <c r="COC815" s="268"/>
      <c r="COD815" s="268"/>
      <c r="COE815" s="268"/>
      <c r="COF815" s="268"/>
      <c r="COG815" s="268"/>
      <c r="COH815" s="268"/>
      <c r="COI815" s="268"/>
      <c r="COJ815" s="268"/>
      <c r="COK815" s="268"/>
      <c r="COL815" s="268"/>
      <c r="COM815" s="268"/>
      <c r="CON815" s="268"/>
      <c r="COO815" s="268"/>
      <c r="COP815" s="268"/>
      <c r="COQ815" s="268"/>
      <c r="COR815" s="268"/>
      <c r="COS815" s="268"/>
      <c r="COT815" s="268"/>
      <c r="COU815" s="268"/>
      <c r="COV815" s="268"/>
      <c r="COW815" s="268"/>
      <c r="COX815" s="268"/>
      <c r="COY815" s="268"/>
      <c r="COZ815" s="268"/>
      <c r="CPA815" s="268"/>
      <c r="CPB815" s="268"/>
      <c r="CPC815" s="268"/>
      <c r="CPD815" s="268"/>
      <c r="CPE815" s="268"/>
      <c r="CPF815" s="268"/>
      <c r="CPG815" s="268"/>
      <c r="CPH815" s="268"/>
      <c r="CPI815" s="268"/>
      <c r="CPJ815" s="268"/>
      <c r="CPK815" s="268"/>
      <c r="CPL815" s="268"/>
      <c r="CPM815" s="268"/>
      <c r="CPN815" s="268"/>
      <c r="CPO815" s="268"/>
      <c r="CPP815" s="268"/>
      <c r="CPQ815" s="268"/>
      <c r="CPR815" s="268"/>
      <c r="CPS815" s="268"/>
      <c r="CPT815" s="268"/>
      <c r="CPU815" s="268"/>
      <c r="CPV815" s="268"/>
      <c r="CPW815" s="268"/>
      <c r="CPX815" s="268"/>
      <c r="CPY815" s="268"/>
      <c r="CPZ815" s="268"/>
      <c r="CQA815" s="268"/>
      <c r="CQB815" s="268"/>
      <c r="CQC815" s="268"/>
      <c r="CQD815" s="268"/>
      <c r="CQE815" s="268"/>
      <c r="CQF815" s="268"/>
      <c r="CQG815" s="268"/>
      <c r="CQH815" s="268"/>
      <c r="CQI815" s="268"/>
      <c r="CQJ815" s="268"/>
      <c r="CQK815" s="268"/>
      <c r="CQL815" s="268"/>
      <c r="CQM815" s="268"/>
      <c r="CQN815" s="268"/>
      <c r="CQO815" s="268"/>
      <c r="CQP815" s="268"/>
      <c r="CQQ815" s="268"/>
      <c r="CQR815" s="268"/>
      <c r="CQS815" s="268"/>
      <c r="CQT815" s="268"/>
      <c r="CQU815" s="268"/>
      <c r="CQV815" s="268"/>
      <c r="CQW815" s="268"/>
      <c r="CQX815" s="268"/>
      <c r="CQY815" s="268"/>
      <c r="CQZ815" s="268"/>
      <c r="CRA815" s="268"/>
      <c r="CRB815" s="268"/>
      <c r="CRC815" s="268"/>
      <c r="CRD815" s="268"/>
      <c r="CRE815" s="268"/>
      <c r="CRF815" s="268"/>
      <c r="CRG815" s="268"/>
      <c r="CRH815" s="268"/>
      <c r="CRI815" s="268"/>
      <c r="CRJ815" s="268"/>
      <c r="CRK815" s="268"/>
      <c r="CRL815" s="268"/>
      <c r="CRM815" s="268"/>
      <c r="CRN815" s="268"/>
      <c r="CRO815" s="268"/>
      <c r="CRP815" s="268"/>
      <c r="CRQ815" s="268"/>
      <c r="CRR815" s="268"/>
      <c r="CRS815" s="268"/>
      <c r="CRT815" s="268"/>
      <c r="CRU815" s="268"/>
      <c r="CRV815" s="268"/>
      <c r="CRW815" s="268"/>
      <c r="CRX815" s="268"/>
      <c r="CRY815" s="268"/>
      <c r="CRZ815" s="268"/>
      <c r="CSA815" s="268"/>
      <c r="CSB815" s="268"/>
      <c r="CSC815" s="268"/>
      <c r="CSD815" s="268"/>
      <c r="CSE815" s="268"/>
      <c r="CSF815" s="268"/>
      <c r="CSG815" s="268"/>
      <c r="CSH815" s="268"/>
      <c r="CSI815" s="268"/>
      <c r="CSJ815" s="268"/>
      <c r="CSK815" s="268"/>
      <c r="CSL815" s="268"/>
      <c r="CSM815" s="268"/>
      <c r="CSN815" s="268"/>
      <c r="CSO815" s="268"/>
      <c r="CSP815" s="268"/>
      <c r="CSQ815" s="268"/>
      <c r="CSR815" s="268"/>
      <c r="CSS815" s="268"/>
      <c r="CST815" s="268"/>
      <c r="CSU815" s="268"/>
      <c r="CSV815" s="268"/>
      <c r="CSW815" s="268"/>
      <c r="CSX815" s="268"/>
      <c r="CSY815" s="268"/>
      <c r="CSZ815" s="268"/>
      <c r="CTA815" s="268"/>
      <c r="CTB815" s="268"/>
      <c r="CTC815" s="268"/>
      <c r="CTQ815" s="268"/>
      <c r="CTR815" s="268"/>
      <c r="CTS815" s="268"/>
      <c r="CUG815" s="268"/>
      <c r="CUI815" s="268"/>
      <c r="CUJ815" s="268"/>
      <c r="CUK815" s="268"/>
      <c r="CUL815" s="268"/>
      <c r="CUM815" s="268"/>
      <c r="CUN815" s="268"/>
      <c r="CUO815" s="268"/>
      <c r="CUP815" s="268"/>
      <c r="CUQ815" s="268"/>
      <c r="CUR815" s="268"/>
      <c r="CUS815" s="268"/>
      <c r="CUT815" s="268"/>
      <c r="CUU815" s="268"/>
      <c r="CUV815" s="268"/>
      <c r="CUW815" s="268"/>
      <c r="CUX815" s="268"/>
      <c r="CUY815" s="268"/>
      <c r="CUZ815" s="268"/>
      <c r="CVA815" s="268"/>
      <c r="CVB815" s="268"/>
      <c r="CVC815" s="268"/>
      <c r="CVD815" s="268"/>
      <c r="CVE815" s="268"/>
      <c r="CVF815" s="268"/>
      <c r="CVG815" s="268"/>
      <c r="CVH815" s="268"/>
      <c r="CVI815" s="268"/>
      <c r="CVJ815" s="268"/>
      <c r="CVK815" s="268"/>
      <c r="CVL815" s="268"/>
      <c r="CVM815" s="268"/>
      <c r="CVN815" s="268"/>
      <c r="CVO815" s="268"/>
      <c r="CVP815" s="268"/>
      <c r="CVQ815" s="268"/>
      <c r="CVR815" s="268"/>
      <c r="CVS815" s="268"/>
      <c r="CVT815" s="268"/>
      <c r="CVU815" s="268"/>
      <c r="CVV815" s="268"/>
      <c r="CVW815" s="268"/>
      <c r="CVX815" s="268"/>
      <c r="CVY815" s="268"/>
      <c r="CVZ815" s="268"/>
      <c r="CWA815" s="268"/>
      <c r="CWB815" s="268"/>
      <c r="CWC815" s="268"/>
      <c r="CWD815" s="268"/>
      <c r="CWE815" s="268"/>
      <c r="CWF815" s="268"/>
      <c r="CWG815" s="268"/>
      <c r="CWH815" s="268"/>
      <c r="CWI815" s="268"/>
      <c r="CWJ815" s="268"/>
      <c r="CWK815" s="268"/>
      <c r="CWL815" s="268"/>
      <c r="CWM815" s="268"/>
      <c r="CWN815" s="268"/>
      <c r="CWO815" s="268"/>
      <c r="CWP815" s="268"/>
      <c r="CWQ815" s="268"/>
      <c r="CWR815" s="268"/>
      <c r="CWS815" s="268"/>
      <c r="CWT815" s="268"/>
      <c r="CWU815" s="268"/>
      <c r="CWV815" s="268"/>
      <c r="CWW815" s="268"/>
      <c r="CWX815" s="268"/>
      <c r="CWY815" s="268"/>
      <c r="CWZ815" s="268"/>
      <c r="CXA815" s="268"/>
      <c r="CXB815" s="268"/>
      <c r="CXC815" s="268"/>
      <c r="CXD815" s="268"/>
      <c r="CXE815" s="268"/>
      <c r="CXF815" s="268"/>
      <c r="CXG815" s="268"/>
      <c r="CXH815" s="268"/>
      <c r="CXI815" s="268"/>
      <c r="CXJ815" s="268"/>
      <c r="CXK815" s="268"/>
      <c r="CXL815" s="268"/>
      <c r="CXM815" s="268"/>
      <c r="CXN815" s="268"/>
      <c r="CXO815" s="268"/>
      <c r="CXP815" s="268"/>
      <c r="CXQ815" s="268"/>
      <c r="CXR815" s="268"/>
      <c r="CXS815" s="268"/>
      <c r="CXT815" s="268"/>
      <c r="CXU815" s="268"/>
      <c r="CXV815" s="268"/>
      <c r="CXW815" s="268"/>
      <c r="CXX815" s="268"/>
      <c r="CXY815" s="268"/>
      <c r="CXZ815" s="268"/>
      <c r="CYA815" s="268"/>
      <c r="CYB815" s="268"/>
      <c r="CYC815" s="268"/>
      <c r="CYD815" s="268"/>
      <c r="CYE815" s="268"/>
      <c r="CYF815" s="268"/>
      <c r="CYG815" s="268"/>
      <c r="CYH815" s="268"/>
      <c r="CYI815" s="268"/>
      <c r="CYJ815" s="268"/>
      <c r="CYK815" s="268"/>
      <c r="CYL815" s="268"/>
      <c r="CYM815" s="268"/>
      <c r="CYN815" s="268"/>
      <c r="CYO815" s="268"/>
      <c r="CYP815" s="268"/>
      <c r="CYQ815" s="268"/>
      <c r="CYR815" s="268"/>
      <c r="CYS815" s="268"/>
      <c r="CYT815" s="268"/>
      <c r="CYU815" s="268"/>
      <c r="CYV815" s="268"/>
      <c r="CYW815" s="268"/>
      <c r="CYX815" s="268"/>
      <c r="CYY815" s="268"/>
      <c r="CYZ815" s="268"/>
      <c r="CZA815" s="268"/>
      <c r="CZB815" s="268"/>
      <c r="CZC815" s="268"/>
      <c r="CZD815" s="268"/>
      <c r="CZE815" s="268"/>
      <c r="CZF815" s="268"/>
      <c r="CZG815" s="268"/>
      <c r="CZH815" s="268"/>
      <c r="CZI815" s="268"/>
      <c r="CZJ815" s="268"/>
      <c r="CZK815" s="268"/>
      <c r="CZL815" s="268"/>
      <c r="CZM815" s="268"/>
      <c r="CZN815" s="268"/>
      <c r="CZO815" s="268"/>
      <c r="CZP815" s="268"/>
      <c r="CZQ815" s="268"/>
      <c r="CZR815" s="268"/>
      <c r="CZS815" s="268"/>
      <c r="CZT815" s="268"/>
      <c r="CZU815" s="268"/>
      <c r="CZV815" s="268"/>
      <c r="CZW815" s="268"/>
      <c r="CZX815" s="268"/>
      <c r="CZY815" s="268"/>
      <c r="CZZ815" s="268"/>
      <c r="DAA815" s="268"/>
      <c r="DAB815" s="268"/>
      <c r="DAC815" s="268"/>
      <c r="DAD815" s="268"/>
      <c r="DAE815" s="268"/>
      <c r="DAF815" s="268"/>
      <c r="DAG815" s="268"/>
      <c r="DAH815" s="268"/>
      <c r="DAI815" s="268"/>
      <c r="DAJ815" s="268"/>
      <c r="DAK815" s="268"/>
      <c r="DAL815" s="268"/>
      <c r="DAM815" s="268"/>
      <c r="DAN815" s="268"/>
      <c r="DAO815" s="268"/>
      <c r="DAP815" s="268"/>
      <c r="DAQ815" s="268"/>
      <c r="DAR815" s="268"/>
      <c r="DAS815" s="268"/>
      <c r="DAT815" s="268"/>
      <c r="DAU815" s="268"/>
      <c r="DAV815" s="268"/>
      <c r="DAW815" s="268"/>
      <c r="DAX815" s="268"/>
      <c r="DAY815" s="268"/>
      <c r="DAZ815" s="268"/>
      <c r="DBA815" s="268"/>
      <c r="DBB815" s="268"/>
      <c r="DBC815" s="268"/>
      <c r="DBD815" s="268"/>
      <c r="DBE815" s="268"/>
      <c r="DBF815" s="268"/>
      <c r="DBG815" s="268"/>
      <c r="DBH815" s="268"/>
      <c r="DBI815" s="268"/>
      <c r="DBJ815" s="268"/>
      <c r="DBK815" s="268"/>
      <c r="DBL815" s="268"/>
      <c r="DBM815" s="268"/>
      <c r="DBN815" s="268"/>
      <c r="DBO815" s="268"/>
      <c r="DBP815" s="268"/>
      <c r="DBQ815" s="268"/>
      <c r="DBR815" s="268"/>
      <c r="DBS815" s="268"/>
      <c r="DBT815" s="268"/>
      <c r="DBU815" s="268"/>
      <c r="DBV815" s="268"/>
      <c r="DBW815" s="268"/>
      <c r="DBX815" s="268"/>
      <c r="DBY815" s="268"/>
      <c r="DBZ815" s="268"/>
      <c r="DCA815" s="268"/>
      <c r="DCB815" s="268"/>
      <c r="DCC815" s="268"/>
      <c r="DCD815" s="268"/>
      <c r="DCE815" s="268"/>
      <c r="DCF815" s="268"/>
      <c r="DCG815" s="268"/>
      <c r="DCH815" s="268"/>
      <c r="DCI815" s="268"/>
      <c r="DCJ815" s="268"/>
      <c r="DCK815" s="268"/>
      <c r="DCL815" s="268"/>
      <c r="DCM815" s="268"/>
      <c r="DCN815" s="268"/>
      <c r="DCO815" s="268"/>
      <c r="DCP815" s="268"/>
      <c r="DCQ815" s="268"/>
      <c r="DCR815" s="268"/>
      <c r="DCS815" s="268"/>
      <c r="DCT815" s="268"/>
      <c r="DCU815" s="268"/>
      <c r="DCV815" s="268"/>
      <c r="DCW815" s="268"/>
      <c r="DCX815" s="268"/>
      <c r="DCY815" s="268"/>
      <c r="DDM815" s="268"/>
      <c r="DDN815" s="268"/>
      <c r="DDO815" s="268"/>
      <c r="DEC815" s="268"/>
      <c r="DEE815" s="268"/>
      <c r="DEF815" s="268"/>
      <c r="DEG815" s="268"/>
      <c r="DEH815" s="268"/>
      <c r="DEI815" s="268"/>
      <c r="DEJ815" s="268"/>
      <c r="DEK815" s="268"/>
      <c r="DEL815" s="268"/>
      <c r="DEM815" s="268"/>
      <c r="DEN815" s="268"/>
      <c r="DEO815" s="268"/>
      <c r="DEP815" s="268"/>
      <c r="DEQ815" s="268"/>
      <c r="DER815" s="268"/>
      <c r="DES815" s="268"/>
      <c r="DET815" s="268"/>
      <c r="DEU815" s="268"/>
      <c r="DEV815" s="268"/>
      <c r="DEW815" s="268"/>
      <c r="DEX815" s="268"/>
      <c r="DEY815" s="268"/>
      <c r="DEZ815" s="268"/>
      <c r="DFA815" s="268"/>
      <c r="DFB815" s="268"/>
      <c r="DFC815" s="268"/>
      <c r="DFD815" s="268"/>
      <c r="DFE815" s="268"/>
      <c r="DFF815" s="268"/>
      <c r="DFG815" s="268"/>
      <c r="DFH815" s="268"/>
      <c r="DFI815" s="268"/>
      <c r="DFJ815" s="268"/>
      <c r="DFK815" s="268"/>
      <c r="DFL815" s="268"/>
      <c r="DFM815" s="268"/>
      <c r="DFN815" s="268"/>
      <c r="DFO815" s="268"/>
      <c r="DFP815" s="268"/>
      <c r="DFQ815" s="268"/>
      <c r="DFR815" s="268"/>
      <c r="DFS815" s="268"/>
      <c r="DFT815" s="268"/>
      <c r="DFU815" s="268"/>
      <c r="DFV815" s="268"/>
      <c r="DFW815" s="268"/>
      <c r="DFX815" s="268"/>
      <c r="DFY815" s="268"/>
      <c r="DFZ815" s="268"/>
      <c r="DGA815" s="268"/>
      <c r="DGB815" s="268"/>
      <c r="DGC815" s="268"/>
      <c r="DGD815" s="268"/>
      <c r="DGE815" s="268"/>
      <c r="DGF815" s="268"/>
      <c r="DGG815" s="268"/>
      <c r="DGH815" s="268"/>
      <c r="DGI815" s="268"/>
      <c r="DGJ815" s="268"/>
      <c r="DGK815" s="268"/>
      <c r="DGL815" s="268"/>
      <c r="DGM815" s="268"/>
      <c r="DGN815" s="268"/>
      <c r="DGO815" s="268"/>
      <c r="DGP815" s="268"/>
      <c r="DGQ815" s="268"/>
      <c r="DGR815" s="268"/>
      <c r="DGS815" s="268"/>
      <c r="DGT815" s="268"/>
      <c r="DGU815" s="268"/>
      <c r="DGV815" s="268"/>
      <c r="DGW815" s="268"/>
      <c r="DGX815" s="268"/>
      <c r="DGY815" s="268"/>
      <c r="DGZ815" s="268"/>
      <c r="DHA815" s="268"/>
      <c r="DHB815" s="268"/>
      <c r="DHC815" s="268"/>
      <c r="DHD815" s="268"/>
      <c r="DHE815" s="268"/>
      <c r="DHF815" s="268"/>
      <c r="DHG815" s="268"/>
      <c r="DHH815" s="268"/>
      <c r="DHI815" s="268"/>
      <c r="DHJ815" s="268"/>
      <c r="DHK815" s="268"/>
      <c r="DHL815" s="268"/>
      <c r="DHM815" s="268"/>
      <c r="DHN815" s="268"/>
      <c r="DHO815" s="268"/>
      <c r="DHP815" s="268"/>
      <c r="DHQ815" s="268"/>
      <c r="DHR815" s="268"/>
      <c r="DHS815" s="268"/>
      <c r="DHT815" s="268"/>
      <c r="DHU815" s="268"/>
      <c r="DHV815" s="268"/>
      <c r="DHW815" s="268"/>
      <c r="DHX815" s="268"/>
      <c r="DHY815" s="268"/>
      <c r="DHZ815" s="268"/>
      <c r="DIA815" s="268"/>
      <c r="DIB815" s="268"/>
      <c r="DIC815" s="268"/>
      <c r="DID815" s="268"/>
      <c r="DIE815" s="268"/>
      <c r="DIF815" s="268"/>
      <c r="DIG815" s="268"/>
      <c r="DIH815" s="268"/>
      <c r="DII815" s="268"/>
      <c r="DIJ815" s="268"/>
      <c r="DIK815" s="268"/>
      <c r="DIL815" s="268"/>
      <c r="DIM815" s="268"/>
      <c r="DIN815" s="268"/>
      <c r="DIO815" s="268"/>
      <c r="DIP815" s="268"/>
      <c r="DIQ815" s="268"/>
      <c r="DIR815" s="268"/>
      <c r="DIS815" s="268"/>
      <c r="DIT815" s="268"/>
      <c r="DIU815" s="268"/>
      <c r="DIV815" s="268"/>
      <c r="DIW815" s="268"/>
      <c r="DIX815" s="268"/>
      <c r="DIY815" s="268"/>
      <c r="DIZ815" s="268"/>
      <c r="DJA815" s="268"/>
      <c r="DJB815" s="268"/>
      <c r="DJC815" s="268"/>
      <c r="DJD815" s="268"/>
      <c r="DJE815" s="268"/>
      <c r="DJF815" s="268"/>
      <c r="DJG815" s="268"/>
      <c r="DJH815" s="268"/>
      <c r="DJI815" s="268"/>
      <c r="DJJ815" s="268"/>
      <c r="DJK815" s="268"/>
      <c r="DJL815" s="268"/>
      <c r="DJM815" s="268"/>
      <c r="DJN815" s="268"/>
      <c r="DJO815" s="268"/>
      <c r="DJP815" s="268"/>
      <c r="DJQ815" s="268"/>
      <c r="DJR815" s="268"/>
      <c r="DJS815" s="268"/>
      <c r="DJT815" s="268"/>
      <c r="DJU815" s="268"/>
      <c r="DJV815" s="268"/>
      <c r="DJW815" s="268"/>
      <c r="DJX815" s="268"/>
      <c r="DJY815" s="268"/>
      <c r="DJZ815" s="268"/>
      <c r="DKA815" s="268"/>
      <c r="DKB815" s="268"/>
      <c r="DKC815" s="268"/>
      <c r="DKD815" s="268"/>
      <c r="DKE815" s="268"/>
      <c r="DKF815" s="268"/>
      <c r="DKG815" s="268"/>
      <c r="DKH815" s="268"/>
      <c r="DKI815" s="268"/>
      <c r="DKJ815" s="268"/>
      <c r="DKK815" s="268"/>
      <c r="DKL815" s="268"/>
      <c r="DKM815" s="268"/>
      <c r="DKN815" s="268"/>
      <c r="DKO815" s="268"/>
      <c r="DKP815" s="268"/>
      <c r="DKQ815" s="268"/>
      <c r="DKR815" s="268"/>
      <c r="DKS815" s="268"/>
      <c r="DKT815" s="268"/>
      <c r="DKU815" s="268"/>
      <c r="DKV815" s="268"/>
      <c r="DKW815" s="268"/>
      <c r="DKX815" s="268"/>
      <c r="DKY815" s="268"/>
      <c r="DKZ815" s="268"/>
      <c r="DLA815" s="268"/>
      <c r="DLB815" s="268"/>
      <c r="DLC815" s="268"/>
      <c r="DLD815" s="268"/>
      <c r="DLE815" s="268"/>
      <c r="DLF815" s="268"/>
      <c r="DLG815" s="268"/>
      <c r="DLH815" s="268"/>
      <c r="DLI815" s="268"/>
      <c r="DLJ815" s="268"/>
      <c r="DLK815" s="268"/>
      <c r="DLL815" s="268"/>
      <c r="DLM815" s="268"/>
      <c r="DLN815" s="268"/>
      <c r="DLO815" s="268"/>
      <c r="DLP815" s="268"/>
      <c r="DLQ815" s="268"/>
      <c r="DLR815" s="268"/>
      <c r="DLS815" s="268"/>
      <c r="DLT815" s="268"/>
      <c r="DLU815" s="268"/>
      <c r="DLV815" s="268"/>
      <c r="DLW815" s="268"/>
      <c r="DLX815" s="268"/>
      <c r="DLY815" s="268"/>
      <c r="DLZ815" s="268"/>
      <c r="DMA815" s="268"/>
      <c r="DMB815" s="268"/>
      <c r="DMC815" s="268"/>
      <c r="DMD815" s="268"/>
      <c r="DME815" s="268"/>
      <c r="DMF815" s="268"/>
      <c r="DMG815" s="268"/>
      <c r="DMH815" s="268"/>
      <c r="DMI815" s="268"/>
      <c r="DMJ815" s="268"/>
      <c r="DMK815" s="268"/>
      <c r="DML815" s="268"/>
      <c r="DMM815" s="268"/>
      <c r="DMN815" s="268"/>
      <c r="DMO815" s="268"/>
      <c r="DMP815" s="268"/>
      <c r="DMQ815" s="268"/>
      <c r="DMR815" s="268"/>
      <c r="DMS815" s="268"/>
      <c r="DMT815" s="268"/>
      <c r="DMU815" s="268"/>
      <c r="DNI815" s="268"/>
      <c r="DNJ815" s="268"/>
      <c r="DNK815" s="268"/>
      <c r="DNY815" s="268"/>
      <c r="DOA815" s="268"/>
      <c r="DOB815" s="268"/>
      <c r="DOC815" s="268"/>
      <c r="DOD815" s="268"/>
      <c r="DOE815" s="268"/>
      <c r="DOF815" s="268"/>
      <c r="DOG815" s="268"/>
      <c r="DOH815" s="268"/>
      <c r="DOI815" s="268"/>
      <c r="DOJ815" s="268"/>
      <c r="DOK815" s="268"/>
      <c r="DOL815" s="268"/>
      <c r="DOM815" s="268"/>
      <c r="DON815" s="268"/>
      <c r="DOO815" s="268"/>
      <c r="DOP815" s="268"/>
      <c r="DOQ815" s="268"/>
      <c r="DOR815" s="268"/>
      <c r="DOS815" s="268"/>
      <c r="DOT815" s="268"/>
      <c r="DOU815" s="268"/>
      <c r="DOV815" s="268"/>
      <c r="DOW815" s="268"/>
      <c r="DOX815" s="268"/>
      <c r="DOY815" s="268"/>
      <c r="DOZ815" s="268"/>
      <c r="DPA815" s="268"/>
      <c r="DPB815" s="268"/>
      <c r="DPC815" s="268"/>
      <c r="DPD815" s="268"/>
      <c r="DPE815" s="268"/>
      <c r="DPF815" s="268"/>
      <c r="DPG815" s="268"/>
      <c r="DPH815" s="268"/>
      <c r="DPI815" s="268"/>
      <c r="DPJ815" s="268"/>
      <c r="DPK815" s="268"/>
      <c r="DPL815" s="268"/>
      <c r="DPM815" s="268"/>
      <c r="DPN815" s="268"/>
      <c r="DPO815" s="268"/>
      <c r="DPP815" s="268"/>
      <c r="DPQ815" s="268"/>
      <c r="DPR815" s="268"/>
      <c r="DPS815" s="268"/>
      <c r="DPT815" s="268"/>
      <c r="DPU815" s="268"/>
      <c r="DPV815" s="268"/>
      <c r="DPW815" s="268"/>
      <c r="DPX815" s="268"/>
      <c r="DPY815" s="268"/>
      <c r="DPZ815" s="268"/>
      <c r="DQA815" s="268"/>
      <c r="DQB815" s="268"/>
      <c r="DQC815" s="268"/>
      <c r="DQD815" s="268"/>
      <c r="DQE815" s="268"/>
      <c r="DQF815" s="268"/>
      <c r="DQG815" s="268"/>
      <c r="DQH815" s="268"/>
      <c r="DQI815" s="268"/>
      <c r="DQJ815" s="268"/>
      <c r="DQK815" s="268"/>
      <c r="DQL815" s="268"/>
      <c r="DQM815" s="268"/>
      <c r="DQN815" s="268"/>
      <c r="DQO815" s="268"/>
      <c r="DQP815" s="268"/>
      <c r="DQQ815" s="268"/>
      <c r="DQR815" s="268"/>
      <c r="DQS815" s="268"/>
      <c r="DQT815" s="268"/>
      <c r="DQU815" s="268"/>
      <c r="DQV815" s="268"/>
      <c r="DQW815" s="268"/>
      <c r="DQX815" s="268"/>
      <c r="DQY815" s="268"/>
      <c r="DQZ815" s="268"/>
      <c r="DRA815" s="268"/>
      <c r="DRB815" s="268"/>
      <c r="DRC815" s="268"/>
      <c r="DRD815" s="268"/>
      <c r="DRE815" s="268"/>
      <c r="DRF815" s="268"/>
      <c r="DRG815" s="268"/>
      <c r="DRH815" s="268"/>
      <c r="DRI815" s="268"/>
      <c r="DRJ815" s="268"/>
      <c r="DRK815" s="268"/>
      <c r="DRL815" s="268"/>
      <c r="DRM815" s="268"/>
      <c r="DRN815" s="268"/>
      <c r="DRO815" s="268"/>
      <c r="DRP815" s="268"/>
      <c r="DRQ815" s="268"/>
      <c r="DRR815" s="268"/>
      <c r="DRS815" s="268"/>
      <c r="DRT815" s="268"/>
      <c r="DRU815" s="268"/>
      <c r="DRV815" s="268"/>
      <c r="DRW815" s="268"/>
      <c r="DRX815" s="268"/>
      <c r="DRY815" s="268"/>
      <c r="DRZ815" s="268"/>
      <c r="DSA815" s="268"/>
      <c r="DSB815" s="268"/>
      <c r="DSC815" s="268"/>
      <c r="DSD815" s="268"/>
      <c r="DSE815" s="268"/>
      <c r="DSF815" s="268"/>
      <c r="DSG815" s="268"/>
      <c r="DSH815" s="268"/>
      <c r="DSI815" s="268"/>
      <c r="DSJ815" s="268"/>
      <c r="DSK815" s="268"/>
      <c r="DSL815" s="268"/>
      <c r="DSM815" s="268"/>
      <c r="DSN815" s="268"/>
      <c r="DSO815" s="268"/>
      <c r="DSP815" s="268"/>
      <c r="DSQ815" s="268"/>
      <c r="DSR815" s="268"/>
      <c r="DSS815" s="268"/>
      <c r="DST815" s="268"/>
      <c r="DSU815" s="268"/>
      <c r="DSV815" s="268"/>
      <c r="DSW815" s="268"/>
      <c r="DSX815" s="268"/>
      <c r="DSY815" s="268"/>
      <c r="DSZ815" s="268"/>
      <c r="DTA815" s="268"/>
      <c r="DTB815" s="268"/>
      <c r="DTC815" s="268"/>
      <c r="DTD815" s="268"/>
      <c r="DTE815" s="268"/>
      <c r="DTF815" s="268"/>
      <c r="DTG815" s="268"/>
      <c r="DTH815" s="268"/>
      <c r="DTI815" s="268"/>
      <c r="DTJ815" s="268"/>
      <c r="DTK815" s="268"/>
      <c r="DTL815" s="268"/>
      <c r="DTM815" s="268"/>
      <c r="DTN815" s="268"/>
      <c r="DTO815" s="268"/>
      <c r="DTP815" s="268"/>
      <c r="DTQ815" s="268"/>
      <c r="DTR815" s="268"/>
      <c r="DTS815" s="268"/>
      <c r="DTT815" s="268"/>
      <c r="DTU815" s="268"/>
      <c r="DTV815" s="268"/>
      <c r="DTW815" s="268"/>
      <c r="DTX815" s="268"/>
      <c r="DTY815" s="268"/>
      <c r="DTZ815" s="268"/>
      <c r="DUA815" s="268"/>
      <c r="DUB815" s="268"/>
      <c r="DUC815" s="268"/>
      <c r="DUD815" s="268"/>
      <c r="DUE815" s="268"/>
      <c r="DUF815" s="268"/>
      <c r="DUG815" s="268"/>
      <c r="DUH815" s="268"/>
      <c r="DUI815" s="268"/>
      <c r="DUJ815" s="268"/>
      <c r="DUK815" s="268"/>
      <c r="DUL815" s="268"/>
      <c r="DUM815" s="268"/>
      <c r="DUN815" s="268"/>
      <c r="DUO815" s="268"/>
      <c r="DUP815" s="268"/>
      <c r="DUQ815" s="268"/>
      <c r="DUR815" s="268"/>
      <c r="DUS815" s="268"/>
      <c r="DUT815" s="268"/>
      <c r="DUU815" s="268"/>
      <c r="DUV815" s="268"/>
      <c r="DUW815" s="268"/>
      <c r="DUX815" s="268"/>
      <c r="DUY815" s="268"/>
      <c r="DUZ815" s="268"/>
      <c r="DVA815" s="268"/>
      <c r="DVB815" s="268"/>
      <c r="DVC815" s="268"/>
      <c r="DVD815" s="268"/>
      <c r="DVE815" s="268"/>
      <c r="DVF815" s="268"/>
      <c r="DVG815" s="268"/>
      <c r="DVH815" s="268"/>
      <c r="DVI815" s="268"/>
      <c r="DVJ815" s="268"/>
      <c r="DVK815" s="268"/>
      <c r="DVL815" s="268"/>
      <c r="DVM815" s="268"/>
      <c r="DVN815" s="268"/>
      <c r="DVO815" s="268"/>
      <c r="DVP815" s="268"/>
      <c r="DVQ815" s="268"/>
      <c r="DVR815" s="268"/>
      <c r="DVS815" s="268"/>
      <c r="DVT815" s="268"/>
      <c r="DVU815" s="268"/>
      <c r="DVV815" s="268"/>
      <c r="DVW815" s="268"/>
      <c r="DVX815" s="268"/>
      <c r="DVY815" s="268"/>
      <c r="DVZ815" s="268"/>
      <c r="DWA815" s="268"/>
      <c r="DWB815" s="268"/>
      <c r="DWC815" s="268"/>
      <c r="DWD815" s="268"/>
      <c r="DWE815" s="268"/>
      <c r="DWF815" s="268"/>
      <c r="DWG815" s="268"/>
      <c r="DWH815" s="268"/>
      <c r="DWI815" s="268"/>
      <c r="DWJ815" s="268"/>
      <c r="DWK815" s="268"/>
      <c r="DWL815" s="268"/>
      <c r="DWM815" s="268"/>
      <c r="DWN815" s="268"/>
      <c r="DWO815" s="268"/>
      <c r="DWP815" s="268"/>
      <c r="DWQ815" s="268"/>
      <c r="DXE815" s="268"/>
      <c r="DXF815" s="268"/>
      <c r="DXG815" s="268"/>
      <c r="DXU815" s="268"/>
      <c r="DXW815" s="268"/>
      <c r="DXX815" s="268"/>
      <c r="DXY815" s="268"/>
      <c r="DXZ815" s="268"/>
      <c r="DYA815" s="268"/>
      <c r="DYB815" s="268"/>
      <c r="DYC815" s="268"/>
      <c r="DYD815" s="268"/>
      <c r="DYE815" s="268"/>
      <c r="DYF815" s="268"/>
      <c r="DYG815" s="268"/>
      <c r="DYH815" s="268"/>
      <c r="DYI815" s="268"/>
      <c r="DYJ815" s="268"/>
      <c r="DYK815" s="268"/>
      <c r="DYL815" s="268"/>
      <c r="DYM815" s="268"/>
      <c r="DYN815" s="268"/>
      <c r="DYO815" s="268"/>
      <c r="DYP815" s="268"/>
      <c r="DYQ815" s="268"/>
      <c r="DYR815" s="268"/>
      <c r="DYS815" s="268"/>
      <c r="DYT815" s="268"/>
      <c r="DYU815" s="268"/>
      <c r="DYV815" s="268"/>
      <c r="DYW815" s="268"/>
      <c r="DYX815" s="268"/>
      <c r="DYY815" s="268"/>
      <c r="DYZ815" s="268"/>
      <c r="DZA815" s="268"/>
      <c r="DZB815" s="268"/>
      <c r="DZC815" s="268"/>
      <c r="DZD815" s="268"/>
      <c r="DZE815" s="268"/>
      <c r="DZF815" s="268"/>
      <c r="DZG815" s="268"/>
      <c r="DZH815" s="268"/>
      <c r="DZI815" s="268"/>
      <c r="DZJ815" s="268"/>
      <c r="DZK815" s="268"/>
      <c r="DZL815" s="268"/>
      <c r="DZM815" s="268"/>
      <c r="DZN815" s="268"/>
      <c r="DZO815" s="268"/>
      <c r="DZP815" s="268"/>
      <c r="DZQ815" s="268"/>
      <c r="DZR815" s="268"/>
      <c r="DZS815" s="268"/>
      <c r="DZT815" s="268"/>
      <c r="DZU815" s="268"/>
      <c r="DZV815" s="268"/>
      <c r="DZW815" s="268"/>
      <c r="DZX815" s="268"/>
      <c r="DZY815" s="268"/>
      <c r="DZZ815" s="268"/>
      <c r="EAA815" s="268"/>
      <c r="EAB815" s="268"/>
      <c r="EAC815" s="268"/>
      <c r="EAD815" s="268"/>
      <c r="EAE815" s="268"/>
      <c r="EAF815" s="268"/>
      <c r="EAG815" s="268"/>
      <c r="EAH815" s="268"/>
      <c r="EAI815" s="268"/>
      <c r="EAJ815" s="268"/>
      <c r="EAK815" s="268"/>
      <c r="EAL815" s="268"/>
      <c r="EAM815" s="268"/>
      <c r="EAN815" s="268"/>
      <c r="EAO815" s="268"/>
      <c r="EAP815" s="268"/>
      <c r="EAQ815" s="268"/>
      <c r="EAR815" s="268"/>
      <c r="EAS815" s="268"/>
      <c r="EAT815" s="268"/>
      <c r="EAU815" s="268"/>
      <c r="EAV815" s="268"/>
      <c r="EAW815" s="268"/>
      <c r="EAX815" s="268"/>
      <c r="EAY815" s="268"/>
      <c r="EAZ815" s="268"/>
      <c r="EBA815" s="268"/>
      <c r="EBB815" s="268"/>
      <c r="EBC815" s="268"/>
      <c r="EBD815" s="268"/>
      <c r="EBE815" s="268"/>
      <c r="EBF815" s="268"/>
      <c r="EBG815" s="268"/>
      <c r="EBH815" s="268"/>
      <c r="EBI815" s="268"/>
      <c r="EBJ815" s="268"/>
      <c r="EBK815" s="268"/>
      <c r="EBL815" s="268"/>
      <c r="EBM815" s="268"/>
      <c r="EBN815" s="268"/>
      <c r="EBO815" s="268"/>
      <c r="EBP815" s="268"/>
      <c r="EBQ815" s="268"/>
      <c r="EBR815" s="268"/>
      <c r="EBS815" s="268"/>
      <c r="EBT815" s="268"/>
      <c r="EBU815" s="268"/>
      <c r="EBV815" s="268"/>
      <c r="EBW815" s="268"/>
      <c r="EBX815" s="268"/>
      <c r="EBY815" s="268"/>
      <c r="EBZ815" s="268"/>
      <c r="ECA815" s="268"/>
      <c r="ECB815" s="268"/>
      <c r="ECC815" s="268"/>
      <c r="ECD815" s="268"/>
      <c r="ECE815" s="268"/>
      <c r="ECF815" s="268"/>
      <c r="ECG815" s="268"/>
      <c r="ECH815" s="268"/>
      <c r="ECI815" s="268"/>
      <c r="ECJ815" s="268"/>
      <c r="ECK815" s="268"/>
      <c r="ECL815" s="268"/>
      <c r="ECM815" s="268"/>
      <c r="ECN815" s="268"/>
      <c r="ECO815" s="268"/>
      <c r="ECP815" s="268"/>
      <c r="ECQ815" s="268"/>
      <c r="ECR815" s="268"/>
      <c r="ECS815" s="268"/>
      <c r="ECT815" s="268"/>
      <c r="ECU815" s="268"/>
      <c r="ECV815" s="268"/>
      <c r="ECW815" s="268"/>
      <c r="ECX815" s="268"/>
      <c r="ECY815" s="268"/>
      <c r="ECZ815" s="268"/>
      <c r="EDA815" s="268"/>
      <c r="EDB815" s="268"/>
      <c r="EDC815" s="268"/>
      <c r="EDD815" s="268"/>
      <c r="EDE815" s="268"/>
      <c r="EDF815" s="268"/>
      <c r="EDG815" s="268"/>
      <c r="EDH815" s="268"/>
      <c r="EDI815" s="268"/>
      <c r="EDJ815" s="268"/>
      <c r="EDK815" s="268"/>
      <c r="EDL815" s="268"/>
      <c r="EDM815" s="268"/>
      <c r="EDN815" s="268"/>
      <c r="EDO815" s="268"/>
      <c r="EDP815" s="268"/>
      <c r="EDQ815" s="268"/>
      <c r="EDR815" s="268"/>
      <c r="EDS815" s="268"/>
      <c r="EDT815" s="268"/>
      <c r="EDU815" s="268"/>
      <c r="EDV815" s="268"/>
      <c r="EDW815" s="268"/>
      <c r="EDX815" s="268"/>
      <c r="EDY815" s="268"/>
      <c r="EDZ815" s="268"/>
      <c r="EEA815" s="268"/>
      <c r="EEB815" s="268"/>
      <c r="EEC815" s="268"/>
      <c r="EED815" s="268"/>
      <c r="EEE815" s="268"/>
      <c r="EEF815" s="268"/>
      <c r="EEG815" s="268"/>
      <c r="EEH815" s="268"/>
      <c r="EEI815" s="268"/>
      <c r="EEJ815" s="268"/>
      <c r="EEK815" s="268"/>
      <c r="EEL815" s="268"/>
      <c r="EEM815" s="268"/>
      <c r="EEN815" s="268"/>
      <c r="EEO815" s="268"/>
      <c r="EEP815" s="268"/>
      <c r="EEQ815" s="268"/>
      <c r="EER815" s="268"/>
      <c r="EES815" s="268"/>
      <c r="EET815" s="268"/>
      <c r="EEU815" s="268"/>
      <c r="EEV815" s="268"/>
      <c r="EEW815" s="268"/>
      <c r="EEX815" s="268"/>
      <c r="EEY815" s="268"/>
      <c r="EEZ815" s="268"/>
      <c r="EFA815" s="268"/>
      <c r="EFB815" s="268"/>
      <c r="EFC815" s="268"/>
      <c r="EFD815" s="268"/>
      <c r="EFE815" s="268"/>
      <c r="EFF815" s="268"/>
      <c r="EFG815" s="268"/>
      <c r="EFH815" s="268"/>
      <c r="EFI815" s="268"/>
      <c r="EFJ815" s="268"/>
      <c r="EFK815" s="268"/>
      <c r="EFL815" s="268"/>
      <c r="EFM815" s="268"/>
      <c r="EFN815" s="268"/>
      <c r="EFO815" s="268"/>
      <c r="EFP815" s="268"/>
      <c r="EFQ815" s="268"/>
      <c r="EFR815" s="268"/>
      <c r="EFS815" s="268"/>
      <c r="EFT815" s="268"/>
      <c r="EFU815" s="268"/>
      <c r="EFV815" s="268"/>
      <c r="EFW815" s="268"/>
      <c r="EFX815" s="268"/>
      <c r="EFY815" s="268"/>
      <c r="EFZ815" s="268"/>
      <c r="EGA815" s="268"/>
      <c r="EGB815" s="268"/>
      <c r="EGC815" s="268"/>
      <c r="EGD815" s="268"/>
      <c r="EGE815" s="268"/>
      <c r="EGF815" s="268"/>
      <c r="EGG815" s="268"/>
      <c r="EGH815" s="268"/>
      <c r="EGI815" s="268"/>
      <c r="EGJ815" s="268"/>
      <c r="EGK815" s="268"/>
      <c r="EGL815" s="268"/>
      <c r="EGM815" s="268"/>
      <c r="EHA815" s="268"/>
      <c r="EHB815" s="268"/>
      <c r="EHC815" s="268"/>
      <c r="EHQ815" s="268"/>
      <c r="EHS815" s="268"/>
      <c r="EHT815" s="268"/>
      <c r="EHU815" s="268"/>
      <c r="EHV815" s="268"/>
      <c r="EHW815" s="268"/>
      <c r="EHX815" s="268"/>
      <c r="EHY815" s="268"/>
      <c r="EHZ815" s="268"/>
      <c r="EIA815" s="268"/>
      <c r="EIB815" s="268"/>
      <c r="EIC815" s="268"/>
      <c r="EID815" s="268"/>
      <c r="EIE815" s="268"/>
      <c r="EIF815" s="268"/>
      <c r="EIG815" s="268"/>
      <c r="EIH815" s="268"/>
      <c r="EII815" s="268"/>
      <c r="EIJ815" s="268"/>
      <c r="EIK815" s="268"/>
      <c r="EIL815" s="268"/>
      <c r="EIM815" s="268"/>
      <c r="EIN815" s="268"/>
      <c r="EIO815" s="268"/>
      <c r="EIP815" s="268"/>
      <c r="EIQ815" s="268"/>
      <c r="EIR815" s="268"/>
      <c r="EIS815" s="268"/>
      <c r="EIT815" s="268"/>
      <c r="EIU815" s="268"/>
      <c r="EIV815" s="268"/>
      <c r="EIW815" s="268"/>
      <c r="EIX815" s="268"/>
      <c r="EIY815" s="268"/>
      <c r="EIZ815" s="268"/>
      <c r="EJA815" s="268"/>
      <c r="EJB815" s="268"/>
      <c r="EJC815" s="268"/>
      <c r="EJD815" s="268"/>
      <c r="EJE815" s="268"/>
      <c r="EJF815" s="268"/>
      <c r="EJG815" s="268"/>
      <c r="EJH815" s="268"/>
      <c r="EJI815" s="268"/>
      <c r="EJJ815" s="268"/>
      <c r="EJK815" s="268"/>
      <c r="EJL815" s="268"/>
      <c r="EJM815" s="268"/>
      <c r="EJN815" s="268"/>
      <c r="EJO815" s="268"/>
      <c r="EJP815" s="268"/>
      <c r="EJQ815" s="268"/>
      <c r="EJR815" s="268"/>
      <c r="EJS815" s="268"/>
      <c r="EJT815" s="268"/>
      <c r="EJU815" s="268"/>
      <c r="EJV815" s="268"/>
      <c r="EJW815" s="268"/>
      <c r="EJX815" s="268"/>
      <c r="EJY815" s="268"/>
      <c r="EJZ815" s="268"/>
      <c r="EKA815" s="268"/>
      <c r="EKB815" s="268"/>
      <c r="EKC815" s="268"/>
      <c r="EKD815" s="268"/>
      <c r="EKE815" s="268"/>
      <c r="EKF815" s="268"/>
      <c r="EKG815" s="268"/>
      <c r="EKH815" s="268"/>
      <c r="EKI815" s="268"/>
      <c r="EKJ815" s="268"/>
      <c r="EKK815" s="268"/>
      <c r="EKL815" s="268"/>
      <c r="EKM815" s="268"/>
      <c r="EKN815" s="268"/>
      <c r="EKO815" s="268"/>
      <c r="EKP815" s="268"/>
      <c r="EKQ815" s="268"/>
      <c r="EKR815" s="268"/>
      <c r="EKS815" s="268"/>
      <c r="EKT815" s="268"/>
      <c r="EKU815" s="268"/>
      <c r="EKV815" s="268"/>
      <c r="EKW815" s="268"/>
      <c r="EKX815" s="268"/>
      <c r="EKY815" s="268"/>
      <c r="EKZ815" s="268"/>
      <c r="ELA815" s="268"/>
      <c r="ELB815" s="268"/>
      <c r="ELC815" s="268"/>
      <c r="ELD815" s="268"/>
      <c r="ELE815" s="268"/>
      <c r="ELF815" s="268"/>
      <c r="ELG815" s="268"/>
      <c r="ELH815" s="268"/>
      <c r="ELI815" s="268"/>
      <c r="ELJ815" s="268"/>
      <c r="ELK815" s="268"/>
      <c r="ELL815" s="268"/>
      <c r="ELM815" s="268"/>
      <c r="ELN815" s="268"/>
      <c r="ELO815" s="268"/>
      <c r="ELP815" s="268"/>
      <c r="ELQ815" s="268"/>
      <c r="ELR815" s="268"/>
      <c r="ELS815" s="268"/>
      <c r="ELT815" s="268"/>
      <c r="ELU815" s="268"/>
      <c r="ELV815" s="268"/>
      <c r="ELW815" s="268"/>
      <c r="ELX815" s="268"/>
      <c r="ELY815" s="268"/>
      <c r="ELZ815" s="268"/>
      <c r="EMA815" s="268"/>
      <c r="EMB815" s="268"/>
      <c r="EMC815" s="268"/>
      <c r="EMD815" s="268"/>
      <c r="EME815" s="268"/>
      <c r="EMF815" s="268"/>
      <c r="EMG815" s="268"/>
      <c r="EMH815" s="268"/>
      <c r="EMI815" s="268"/>
      <c r="EMJ815" s="268"/>
      <c r="EMK815" s="268"/>
      <c r="EML815" s="268"/>
      <c r="EMM815" s="268"/>
      <c r="EMN815" s="268"/>
      <c r="EMO815" s="268"/>
      <c r="EMP815" s="268"/>
      <c r="EMQ815" s="268"/>
      <c r="EMR815" s="268"/>
      <c r="EMS815" s="268"/>
      <c r="EMT815" s="268"/>
      <c r="EMU815" s="268"/>
      <c r="EMV815" s="268"/>
      <c r="EMW815" s="268"/>
      <c r="EMX815" s="268"/>
      <c r="EMY815" s="268"/>
      <c r="EMZ815" s="268"/>
      <c r="ENA815" s="268"/>
      <c r="ENB815" s="268"/>
      <c r="ENC815" s="268"/>
      <c r="END815" s="268"/>
      <c r="ENE815" s="268"/>
      <c r="ENF815" s="268"/>
      <c r="ENG815" s="268"/>
      <c r="ENH815" s="268"/>
      <c r="ENI815" s="268"/>
      <c r="ENJ815" s="268"/>
      <c r="ENK815" s="268"/>
      <c r="ENL815" s="268"/>
      <c r="ENM815" s="268"/>
      <c r="ENN815" s="268"/>
      <c r="ENO815" s="268"/>
      <c r="ENP815" s="268"/>
      <c r="ENQ815" s="268"/>
      <c r="ENR815" s="268"/>
      <c r="ENS815" s="268"/>
      <c r="ENT815" s="268"/>
      <c r="ENU815" s="268"/>
      <c r="ENV815" s="268"/>
      <c r="ENW815" s="268"/>
      <c r="ENX815" s="268"/>
      <c r="ENY815" s="268"/>
      <c r="ENZ815" s="268"/>
      <c r="EOA815" s="268"/>
      <c r="EOB815" s="268"/>
      <c r="EOC815" s="268"/>
      <c r="EOD815" s="268"/>
      <c r="EOE815" s="268"/>
      <c r="EOF815" s="268"/>
      <c r="EOG815" s="268"/>
      <c r="EOH815" s="268"/>
      <c r="EOI815" s="268"/>
      <c r="EOJ815" s="268"/>
      <c r="EOK815" s="268"/>
      <c r="EOL815" s="268"/>
      <c r="EOM815" s="268"/>
      <c r="EON815" s="268"/>
      <c r="EOO815" s="268"/>
      <c r="EOP815" s="268"/>
      <c r="EOQ815" s="268"/>
      <c r="EOR815" s="268"/>
      <c r="EOS815" s="268"/>
      <c r="EOT815" s="268"/>
      <c r="EOU815" s="268"/>
      <c r="EOV815" s="268"/>
      <c r="EOW815" s="268"/>
      <c r="EOX815" s="268"/>
      <c r="EOY815" s="268"/>
      <c r="EOZ815" s="268"/>
      <c r="EPA815" s="268"/>
      <c r="EPB815" s="268"/>
      <c r="EPC815" s="268"/>
      <c r="EPD815" s="268"/>
      <c r="EPE815" s="268"/>
      <c r="EPF815" s="268"/>
      <c r="EPG815" s="268"/>
      <c r="EPH815" s="268"/>
      <c r="EPI815" s="268"/>
      <c r="EPJ815" s="268"/>
      <c r="EPK815" s="268"/>
      <c r="EPL815" s="268"/>
      <c r="EPM815" s="268"/>
      <c r="EPN815" s="268"/>
      <c r="EPO815" s="268"/>
      <c r="EPP815" s="268"/>
      <c r="EPQ815" s="268"/>
      <c r="EPR815" s="268"/>
      <c r="EPS815" s="268"/>
      <c r="EPT815" s="268"/>
      <c r="EPU815" s="268"/>
      <c r="EPV815" s="268"/>
      <c r="EPW815" s="268"/>
      <c r="EPX815" s="268"/>
      <c r="EPY815" s="268"/>
      <c r="EPZ815" s="268"/>
      <c r="EQA815" s="268"/>
      <c r="EQB815" s="268"/>
      <c r="EQC815" s="268"/>
      <c r="EQD815" s="268"/>
      <c r="EQE815" s="268"/>
      <c r="EQF815" s="268"/>
      <c r="EQG815" s="268"/>
      <c r="EQH815" s="268"/>
      <c r="EQI815" s="268"/>
      <c r="EQW815" s="268"/>
      <c r="EQX815" s="268"/>
      <c r="EQY815" s="268"/>
      <c r="ERM815" s="268"/>
      <c r="ERO815" s="268"/>
      <c r="ERP815" s="268"/>
      <c r="ERQ815" s="268"/>
      <c r="ERR815" s="268"/>
      <c r="ERS815" s="268"/>
      <c r="ERT815" s="268"/>
      <c r="ERU815" s="268"/>
      <c r="ERV815" s="268"/>
      <c r="ERW815" s="268"/>
      <c r="ERX815" s="268"/>
      <c r="ERY815" s="268"/>
      <c r="ERZ815" s="268"/>
      <c r="ESA815" s="268"/>
      <c r="ESB815" s="268"/>
      <c r="ESC815" s="268"/>
      <c r="ESD815" s="268"/>
      <c r="ESE815" s="268"/>
      <c r="ESF815" s="268"/>
      <c r="ESG815" s="268"/>
      <c r="ESH815" s="268"/>
      <c r="ESI815" s="268"/>
      <c r="ESJ815" s="268"/>
      <c r="ESK815" s="268"/>
      <c r="ESL815" s="268"/>
      <c r="ESM815" s="268"/>
      <c r="ESN815" s="268"/>
      <c r="ESO815" s="268"/>
      <c r="ESP815" s="268"/>
      <c r="ESQ815" s="268"/>
      <c r="ESR815" s="268"/>
      <c r="ESS815" s="268"/>
      <c r="EST815" s="268"/>
      <c r="ESU815" s="268"/>
      <c r="ESV815" s="268"/>
      <c r="ESW815" s="268"/>
      <c r="ESX815" s="268"/>
      <c r="ESY815" s="268"/>
      <c r="ESZ815" s="268"/>
      <c r="ETA815" s="268"/>
      <c r="ETB815" s="268"/>
      <c r="ETC815" s="268"/>
      <c r="ETD815" s="268"/>
      <c r="ETE815" s="268"/>
      <c r="ETF815" s="268"/>
      <c r="ETG815" s="268"/>
      <c r="ETH815" s="268"/>
      <c r="ETI815" s="268"/>
      <c r="ETJ815" s="268"/>
      <c r="ETK815" s="268"/>
      <c r="ETL815" s="268"/>
      <c r="ETM815" s="268"/>
      <c r="ETN815" s="268"/>
      <c r="ETO815" s="268"/>
      <c r="ETP815" s="268"/>
      <c r="ETQ815" s="268"/>
      <c r="ETR815" s="268"/>
      <c r="ETS815" s="268"/>
      <c r="ETT815" s="268"/>
      <c r="ETU815" s="268"/>
      <c r="ETV815" s="268"/>
      <c r="ETW815" s="268"/>
      <c r="ETX815" s="268"/>
      <c r="ETY815" s="268"/>
      <c r="ETZ815" s="268"/>
      <c r="EUA815" s="268"/>
      <c r="EUB815" s="268"/>
      <c r="EUC815" s="268"/>
      <c r="EUD815" s="268"/>
      <c r="EUE815" s="268"/>
      <c r="EUF815" s="268"/>
      <c r="EUG815" s="268"/>
      <c r="EUH815" s="268"/>
      <c r="EUI815" s="268"/>
      <c r="EUJ815" s="268"/>
      <c r="EUK815" s="268"/>
      <c r="EUL815" s="268"/>
      <c r="EUM815" s="268"/>
      <c r="EUN815" s="268"/>
      <c r="EUO815" s="268"/>
      <c r="EUP815" s="268"/>
      <c r="EUQ815" s="268"/>
      <c r="EUR815" s="268"/>
      <c r="EUS815" s="268"/>
      <c r="EUT815" s="268"/>
      <c r="EUU815" s="268"/>
      <c r="EUV815" s="268"/>
      <c r="EUW815" s="268"/>
      <c r="EUX815" s="268"/>
      <c r="EUY815" s="268"/>
      <c r="EUZ815" s="268"/>
      <c r="EVA815" s="268"/>
      <c r="EVB815" s="268"/>
      <c r="EVC815" s="268"/>
      <c r="EVD815" s="268"/>
      <c r="EVE815" s="268"/>
      <c r="EVF815" s="268"/>
      <c r="EVG815" s="268"/>
      <c r="EVH815" s="268"/>
      <c r="EVI815" s="268"/>
      <c r="EVJ815" s="268"/>
      <c r="EVK815" s="268"/>
      <c r="EVL815" s="268"/>
      <c r="EVM815" s="268"/>
      <c r="EVN815" s="268"/>
      <c r="EVO815" s="268"/>
      <c r="EVP815" s="268"/>
      <c r="EVQ815" s="268"/>
      <c r="EVR815" s="268"/>
      <c r="EVS815" s="268"/>
      <c r="EVT815" s="268"/>
      <c r="EVU815" s="268"/>
      <c r="EVV815" s="268"/>
      <c r="EVW815" s="268"/>
      <c r="EVX815" s="268"/>
      <c r="EVY815" s="268"/>
      <c r="EVZ815" s="268"/>
      <c r="EWA815" s="268"/>
      <c r="EWB815" s="268"/>
      <c r="EWC815" s="268"/>
      <c r="EWD815" s="268"/>
      <c r="EWE815" s="268"/>
      <c r="EWF815" s="268"/>
      <c r="EWG815" s="268"/>
      <c r="EWH815" s="268"/>
      <c r="EWI815" s="268"/>
      <c r="EWJ815" s="268"/>
      <c r="EWK815" s="268"/>
      <c r="EWL815" s="268"/>
      <c r="EWM815" s="268"/>
      <c r="EWN815" s="268"/>
      <c r="EWO815" s="268"/>
      <c r="EWP815" s="268"/>
      <c r="EWQ815" s="268"/>
      <c r="EWR815" s="268"/>
      <c r="EWS815" s="268"/>
      <c r="EWT815" s="268"/>
      <c r="EWU815" s="268"/>
      <c r="EWV815" s="268"/>
      <c r="EWW815" s="268"/>
      <c r="EWX815" s="268"/>
      <c r="EWY815" s="268"/>
      <c r="EWZ815" s="268"/>
      <c r="EXA815" s="268"/>
      <c r="EXB815" s="268"/>
      <c r="EXC815" s="268"/>
      <c r="EXD815" s="268"/>
      <c r="EXE815" s="268"/>
      <c r="EXF815" s="268"/>
      <c r="EXG815" s="268"/>
      <c r="EXH815" s="268"/>
      <c r="EXI815" s="268"/>
      <c r="EXJ815" s="268"/>
      <c r="EXK815" s="268"/>
      <c r="EXL815" s="268"/>
      <c r="EXM815" s="268"/>
      <c r="EXN815" s="268"/>
      <c r="EXO815" s="268"/>
      <c r="EXP815" s="268"/>
      <c r="EXQ815" s="268"/>
      <c r="EXR815" s="268"/>
      <c r="EXS815" s="268"/>
      <c r="EXT815" s="268"/>
      <c r="EXU815" s="268"/>
      <c r="EXV815" s="268"/>
      <c r="EXW815" s="268"/>
      <c r="EXX815" s="268"/>
      <c r="EXY815" s="268"/>
      <c r="EXZ815" s="268"/>
      <c r="EYA815" s="268"/>
      <c r="EYB815" s="268"/>
      <c r="EYC815" s="268"/>
      <c r="EYD815" s="268"/>
      <c r="EYE815" s="268"/>
      <c r="EYF815" s="268"/>
      <c r="EYG815" s="268"/>
      <c r="EYH815" s="268"/>
      <c r="EYI815" s="268"/>
      <c r="EYJ815" s="268"/>
      <c r="EYK815" s="268"/>
      <c r="EYL815" s="268"/>
      <c r="EYM815" s="268"/>
      <c r="EYN815" s="268"/>
      <c r="EYO815" s="268"/>
      <c r="EYP815" s="268"/>
      <c r="EYQ815" s="268"/>
      <c r="EYR815" s="268"/>
      <c r="EYS815" s="268"/>
      <c r="EYT815" s="268"/>
      <c r="EYU815" s="268"/>
      <c r="EYV815" s="268"/>
      <c r="EYW815" s="268"/>
      <c r="EYX815" s="268"/>
      <c r="EYY815" s="268"/>
      <c r="EYZ815" s="268"/>
      <c r="EZA815" s="268"/>
      <c r="EZB815" s="268"/>
      <c r="EZC815" s="268"/>
      <c r="EZD815" s="268"/>
      <c r="EZE815" s="268"/>
      <c r="EZF815" s="268"/>
      <c r="EZG815" s="268"/>
      <c r="EZH815" s="268"/>
      <c r="EZI815" s="268"/>
      <c r="EZJ815" s="268"/>
      <c r="EZK815" s="268"/>
      <c r="EZL815" s="268"/>
      <c r="EZM815" s="268"/>
      <c r="EZN815" s="268"/>
      <c r="EZO815" s="268"/>
      <c r="EZP815" s="268"/>
      <c r="EZQ815" s="268"/>
      <c r="EZR815" s="268"/>
      <c r="EZS815" s="268"/>
      <c r="EZT815" s="268"/>
      <c r="EZU815" s="268"/>
      <c r="EZV815" s="268"/>
      <c r="EZW815" s="268"/>
      <c r="EZX815" s="268"/>
      <c r="EZY815" s="268"/>
      <c r="EZZ815" s="268"/>
      <c r="FAA815" s="268"/>
      <c r="FAB815" s="268"/>
      <c r="FAC815" s="268"/>
      <c r="FAD815" s="268"/>
      <c r="FAE815" s="268"/>
      <c r="FAS815" s="268"/>
      <c r="FAT815" s="268"/>
      <c r="FAU815" s="268"/>
      <c r="FBI815" s="268"/>
      <c r="FBK815" s="268"/>
      <c r="FBL815" s="268"/>
      <c r="FBM815" s="268"/>
      <c r="FBN815" s="268"/>
      <c r="FBO815" s="268"/>
      <c r="FBP815" s="268"/>
      <c r="FBQ815" s="268"/>
      <c r="FBR815" s="268"/>
      <c r="FBS815" s="268"/>
      <c r="FBT815" s="268"/>
      <c r="FBU815" s="268"/>
      <c r="FBV815" s="268"/>
      <c r="FBW815" s="268"/>
      <c r="FBX815" s="268"/>
      <c r="FBY815" s="268"/>
      <c r="FBZ815" s="268"/>
      <c r="FCA815" s="268"/>
      <c r="FCB815" s="268"/>
      <c r="FCC815" s="268"/>
      <c r="FCD815" s="268"/>
      <c r="FCE815" s="268"/>
      <c r="FCF815" s="268"/>
      <c r="FCG815" s="268"/>
      <c r="FCH815" s="268"/>
      <c r="FCI815" s="268"/>
      <c r="FCJ815" s="268"/>
      <c r="FCK815" s="268"/>
      <c r="FCL815" s="268"/>
      <c r="FCM815" s="268"/>
      <c r="FCN815" s="268"/>
      <c r="FCO815" s="268"/>
      <c r="FCP815" s="268"/>
      <c r="FCQ815" s="268"/>
      <c r="FCR815" s="268"/>
      <c r="FCS815" s="268"/>
      <c r="FCT815" s="268"/>
      <c r="FCU815" s="268"/>
      <c r="FCV815" s="268"/>
      <c r="FCW815" s="268"/>
      <c r="FCX815" s="268"/>
      <c r="FCY815" s="268"/>
      <c r="FCZ815" s="268"/>
      <c r="FDA815" s="268"/>
      <c r="FDB815" s="268"/>
      <c r="FDC815" s="268"/>
      <c r="FDD815" s="268"/>
      <c r="FDE815" s="268"/>
      <c r="FDF815" s="268"/>
      <c r="FDG815" s="268"/>
      <c r="FDH815" s="268"/>
      <c r="FDI815" s="268"/>
      <c r="FDJ815" s="268"/>
      <c r="FDK815" s="268"/>
      <c r="FDL815" s="268"/>
      <c r="FDM815" s="268"/>
      <c r="FDN815" s="268"/>
      <c r="FDO815" s="268"/>
      <c r="FDP815" s="268"/>
      <c r="FDQ815" s="268"/>
      <c r="FDR815" s="268"/>
      <c r="FDS815" s="268"/>
      <c r="FDT815" s="268"/>
      <c r="FDU815" s="268"/>
      <c r="FDV815" s="268"/>
      <c r="FDW815" s="268"/>
      <c r="FDX815" s="268"/>
      <c r="FDY815" s="268"/>
      <c r="FDZ815" s="268"/>
      <c r="FEA815" s="268"/>
      <c r="FEB815" s="268"/>
      <c r="FEC815" s="268"/>
      <c r="FED815" s="268"/>
      <c r="FEE815" s="268"/>
      <c r="FEF815" s="268"/>
      <c r="FEG815" s="268"/>
      <c r="FEH815" s="268"/>
      <c r="FEI815" s="268"/>
      <c r="FEJ815" s="268"/>
      <c r="FEK815" s="268"/>
      <c r="FEL815" s="268"/>
      <c r="FEM815" s="268"/>
      <c r="FEN815" s="268"/>
      <c r="FEO815" s="268"/>
      <c r="FEP815" s="268"/>
      <c r="FEQ815" s="268"/>
      <c r="FER815" s="268"/>
      <c r="FES815" s="268"/>
      <c r="FET815" s="268"/>
      <c r="FEU815" s="268"/>
      <c r="FEV815" s="268"/>
      <c r="FEW815" s="268"/>
      <c r="FEX815" s="268"/>
      <c r="FEY815" s="268"/>
      <c r="FEZ815" s="268"/>
      <c r="FFA815" s="268"/>
      <c r="FFB815" s="268"/>
      <c r="FFC815" s="268"/>
      <c r="FFD815" s="268"/>
      <c r="FFE815" s="268"/>
      <c r="FFF815" s="268"/>
      <c r="FFG815" s="268"/>
      <c r="FFH815" s="268"/>
      <c r="FFI815" s="268"/>
      <c r="FFJ815" s="268"/>
      <c r="FFK815" s="268"/>
      <c r="FFL815" s="268"/>
      <c r="FFM815" s="268"/>
      <c r="FFN815" s="268"/>
      <c r="FFO815" s="268"/>
      <c r="FFP815" s="268"/>
      <c r="FFQ815" s="268"/>
      <c r="FFR815" s="268"/>
      <c r="FFS815" s="268"/>
      <c r="FFT815" s="268"/>
      <c r="FFU815" s="268"/>
      <c r="FFV815" s="268"/>
      <c r="FFW815" s="268"/>
      <c r="FFX815" s="268"/>
      <c r="FFY815" s="268"/>
      <c r="FFZ815" s="268"/>
      <c r="FGA815" s="268"/>
      <c r="FGB815" s="268"/>
      <c r="FGC815" s="268"/>
      <c r="FGD815" s="268"/>
      <c r="FGE815" s="268"/>
      <c r="FGF815" s="268"/>
      <c r="FGG815" s="268"/>
      <c r="FGH815" s="268"/>
      <c r="FGI815" s="268"/>
      <c r="FGJ815" s="268"/>
      <c r="FGK815" s="268"/>
      <c r="FGL815" s="268"/>
      <c r="FGM815" s="268"/>
      <c r="FGN815" s="268"/>
      <c r="FGO815" s="268"/>
      <c r="FGP815" s="268"/>
      <c r="FGQ815" s="268"/>
      <c r="FGR815" s="268"/>
      <c r="FGS815" s="268"/>
      <c r="FGT815" s="268"/>
      <c r="FGU815" s="268"/>
      <c r="FGV815" s="268"/>
      <c r="FGW815" s="268"/>
      <c r="FGX815" s="268"/>
      <c r="FGY815" s="268"/>
      <c r="FGZ815" s="268"/>
      <c r="FHA815" s="268"/>
      <c r="FHB815" s="268"/>
      <c r="FHC815" s="268"/>
      <c r="FHD815" s="268"/>
      <c r="FHE815" s="268"/>
      <c r="FHF815" s="268"/>
      <c r="FHG815" s="268"/>
      <c r="FHH815" s="268"/>
      <c r="FHI815" s="268"/>
      <c r="FHJ815" s="268"/>
      <c r="FHK815" s="268"/>
      <c r="FHL815" s="268"/>
      <c r="FHM815" s="268"/>
      <c r="FHN815" s="268"/>
      <c r="FHO815" s="268"/>
      <c r="FHP815" s="268"/>
      <c r="FHQ815" s="268"/>
      <c r="FHR815" s="268"/>
      <c r="FHS815" s="268"/>
      <c r="FHT815" s="268"/>
      <c r="FHU815" s="268"/>
      <c r="FHV815" s="268"/>
      <c r="FHW815" s="268"/>
      <c r="FHX815" s="268"/>
      <c r="FHY815" s="268"/>
      <c r="FHZ815" s="268"/>
      <c r="FIA815" s="268"/>
      <c r="FIB815" s="268"/>
      <c r="FIC815" s="268"/>
      <c r="FID815" s="268"/>
      <c r="FIE815" s="268"/>
      <c r="FIF815" s="268"/>
      <c r="FIG815" s="268"/>
      <c r="FIH815" s="268"/>
      <c r="FII815" s="268"/>
      <c r="FIJ815" s="268"/>
      <c r="FIK815" s="268"/>
      <c r="FIL815" s="268"/>
      <c r="FIM815" s="268"/>
      <c r="FIN815" s="268"/>
      <c r="FIO815" s="268"/>
      <c r="FIP815" s="268"/>
      <c r="FIQ815" s="268"/>
      <c r="FIR815" s="268"/>
      <c r="FIS815" s="268"/>
      <c r="FIT815" s="268"/>
      <c r="FIU815" s="268"/>
      <c r="FIV815" s="268"/>
      <c r="FIW815" s="268"/>
      <c r="FIX815" s="268"/>
      <c r="FIY815" s="268"/>
      <c r="FIZ815" s="268"/>
      <c r="FJA815" s="268"/>
      <c r="FJB815" s="268"/>
      <c r="FJC815" s="268"/>
      <c r="FJD815" s="268"/>
      <c r="FJE815" s="268"/>
      <c r="FJF815" s="268"/>
      <c r="FJG815" s="268"/>
      <c r="FJH815" s="268"/>
      <c r="FJI815" s="268"/>
      <c r="FJJ815" s="268"/>
      <c r="FJK815" s="268"/>
      <c r="FJL815" s="268"/>
      <c r="FJM815" s="268"/>
      <c r="FJN815" s="268"/>
      <c r="FJO815" s="268"/>
      <c r="FJP815" s="268"/>
      <c r="FJQ815" s="268"/>
      <c r="FJR815" s="268"/>
      <c r="FJS815" s="268"/>
      <c r="FJT815" s="268"/>
      <c r="FJU815" s="268"/>
      <c r="FJV815" s="268"/>
      <c r="FJW815" s="268"/>
      <c r="FJX815" s="268"/>
      <c r="FJY815" s="268"/>
      <c r="FJZ815" s="268"/>
      <c r="FKA815" s="268"/>
      <c r="FKO815" s="268"/>
      <c r="FKP815" s="268"/>
      <c r="FKQ815" s="268"/>
      <c r="FLE815" s="268"/>
      <c r="FLG815" s="268"/>
      <c r="FLH815" s="268"/>
      <c r="FLI815" s="268"/>
      <c r="FLJ815" s="268"/>
      <c r="FLK815" s="268"/>
      <c r="FLL815" s="268"/>
      <c r="FLM815" s="268"/>
      <c r="FLN815" s="268"/>
      <c r="FLO815" s="268"/>
      <c r="FLP815" s="268"/>
      <c r="FLQ815" s="268"/>
      <c r="FLR815" s="268"/>
      <c r="FLS815" s="268"/>
      <c r="FLT815" s="268"/>
      <c r="FLU815" s="268"/>
      <c r="FLV815" s="268"/>
      <c r="FLW815" s="268"/>
      <c r="FLX815" s="268"/>
      <c r="FLY815" s="268"/>
      <c r="FLZ815" s="268"/>
      <c r="FMA815" s="268"/>
      <c r="FMB815" s="268"/>
      <c r="FMC815" s="268"/>
      <c r="FMD815" s="268"/>
      <c r="FME815" s="268"/>
      <c r="FMF815" s="268"/>
      <c r="FMG815" s="268"/>
      <c r="FMH815" s="268"/>
      <c r="FMI815" s="268"/>
      <c r="FMJ815" s="268"/>
      <c r="FMK815" s="268"/>
      <c r="FML815" s="268"/>
      <c r="FMM815" s="268"/>
      <c r="FMN815" s="268"/>
      <c r="FMO815" s="268"/>
      <c r="FMP815" s="268"/>
      <c r="FMQ815" s="268"/>
      <c r="FMR815" s="268"/>
      <c r="FMS815" s="268"/>
      <c r="FMT815" s="268"/>
      <c r="FMU815" s="268"/>
      <c r="FMV815" s="268"/>
      <c r="FMW815" s="268"/>
      <c r="FMX815" s="268"/>
      <c r="FMY815" s="268"/>
      <c r="FMZ815" s="268"/>
      <c r="FNA815" s="268"/>
      <c r="FNB815" s="268"/>
      <c r="FNC815" s="268"/>
      <c r="FND815" s="268"/>
      <c r="FNE815" s="268"/>
      <c r="FNF815" s="268"/>
      <c r="FNG815" s="268"/>
      <c r="FNH815" s="268"/>
      <c r="FNI815" s="268"/>
      <c r="FNJ815" s="268"/>
      <c r="FNK815" s="268"/>
      <c r="FNL815" s="268"/>
      <c r="FNM815" s="268"/>
      <c r="FNN815" s="268"/>
      <c r="FNO815" s="268"/>
      <c r="FNP815" s="268"/>
      <c r="FNQ815" s="268"/>
      <c r="FNR815" s="268"/>
      <c r="FNS815" s="268"/>
      <c r="FNT815" s="268"/>
      <c r="FNU815" s="268"/>
      <c r="FNV815" s="268"/>
      <c r="FNW815" s="268"/>
      <c r="FNX815" s="268"/>
      <c r="FNY815" s="268"/>
      <c r="FNZ815" s="268"/>
      <c r="FOA815" s="268"/>
      <c r="FOB815" s="268"/>
      <c r="FOC815" s="268"/>
      <c r="FOD815" s="268"/>
      <c r="FOE815" s="268"/>
      <c r="FOF815" s="268"/>
      <c r="FOG815" s="268"/>
      <c r="FOH815" s="268"/>
      <c r="FOI815" s="268"/>
      <c r="FOJ815" s="268"/>
      <c r="FOK815" s="268"/>
      <c r="FOL815" s="268"/>
      <c r="FOM815" s="268"/>
      <c r="FON815" s="268"/>
      <c r="FOO815" s="268"/>
      <c r="FOP815" s="268"/>
      <c r="FOQ815" s="268"/>
      <c r="FOR815" s="268"/>
      <c r="FOS815" s="268"/>
      <c r="FOT815" s="268"/>
      <c r="FOU815" s="268"/>
      <c r="FOV815" s="268"/>
      <c r="FOW815" s="268"/>
      <c r="FOX815" s="268"/>
      <c r="FOY815" s="268"/>
      <c r="FOZ815" s="268"/>
      <c r="FPA815" s="268"/>
      <c r="FPB815" s="268"/>
      <c r="FPC815" s="268"/>
      <c r="FPD815" s="268"/>
      <c r="FPE815" s="268"/>
      <c r="FPF815" s="268"/>
      <c r="FPG815" s="268"/>
      <c r="FPH815" s="268"/>
      <c r="FPI815" s="268"/>
      <c r="FPJ815" s="268"/>
      <c r="FPK815" s="268"/>
      <c r="FPL815" s="268"/>
      <c r="FPM815" s="268"/>
      <c r="FPN815" s="268"/>
      <c r="FPO815" s="268"/>
      <c r="FPP815" s="268"/>
      <c r="FPQ815" s="268"/>
      <c r="FPR815" s="268"/>
      <c r="FPS815" s="268"/>
      <c r="FPT815" s="268"/>
      <c r="FPU815" s="268"/>
      <c r="FPV815" s="268"/>
      <c r="FPW815" s="268"/>
      <c r="FPX815" s="268"/>
      <c r="FPY815" s="268"/>
      <c r="FPZ815" s="268"/>
      <c r="FQA815" s="268"/>
      <c r="FQB815" s="268"/>
      <c r="FQC815" s="268"/>
      <c r="FQD815" s="268"/>
      <c r="FQE815" s="268"/>
      <c r="FQF815" s="268"/>
      <c r="FQG815" s="268"/>
      <c r="FQH815" s="268"/>
      <c r="FQI815" s="268"/>
      <c r="FQJ815" s="268"/>
      <c r="FQK815" s="268"/>
      <c r="FQL815" s="268"/>
      <c r="FQM815" s="268"/>
      <c r="FQN815" s="268"/>
      <c r="FQO815" s="268"/>
      <c r="FQP815" s="268"/>
      <c r="FQQ815" s="268"/>
      <c r="FQR815" s="268"/>
      <c r="FQS815" s="268"/>
      <c r="FQT815" s="268"/>
      <c r="FQU815" s="268"/>
      <c r="FQV815" s="268"/>
      <c r="FQW815" s="268"/>
      <c r="FQX815" s="268"/>
      <c r="FQY815" s="268"/>
      <c r="FQZ815" s="268"/>
      <c r="FRA815" s="268"/>
      <c r="FRB815" s="268"/>
      <c r="FRC815" s="268"/>
      <c r="FRD815" s="268"/>
      <c r="FRE815" s="268"/>
      <c r="FRF815" s="268"/>
      <c r="FRG815" s="268"/>
      <c r="FRH815" s="268"/>
      <c r="FRI815" s="268"/>
      <c r="FRJ815" s="268"/>
      <c r="FRK815" s="268"/>
      <c r="FRL815" s="268"/>
      <c r="FRM815" s="268"/>
      <c r="FRN815" s="268"/>
      <c r="FRO815" s="268"/>
      <c r="FRP815" s="268"/>
      <c r="FRQ815" s="268"/>
      <c r="FRR815" s="268"/>
      <c r="FRS815" s="268"/>
      <c r="FRT815" s="268"/>
      <c r="FRU815" s="268"/>
      <c r="FRV815" s="268"/>
      <c r="FRW815" s="268"/>
      <c r="FRX815" s="268"/>
      <c r="FRY815" s="268"/>
      <c r="FRZ815" s="268"/>
      <c r="FSA815" s="268"/>
      <c r="FSB815" s="268"/>
      <c r="FSC815" s="268"/>
      <c r="FSD815" s="268"/>
      <c r="FSE815" s="268"/>
      <c r="FSF815" s="268"/>
      <c r="FSG815" s="268"/>
      <c r="FSH815" s="268"/>
      <c r="FSI815" s="268"/>
      <c r="FSJ815" s="268"/>
      <c r="FSK815" s="268"/>
      <c r="FSL815" s="268"/>
      <c r="FSM815" s="268"/>
      <c r="FSN815" s="268"/>
      <c r="FSO815" s="268"/>
      <c r="FSP815" s="268"/>
      <c r="FSQ815" s="268"/>
      <c r="FSR815" s="268"/>
      <c r="FSS815" s="268"/>
      <c r="FST815" s="268"/>
      <c r="FSU815" s="268"/>
      <c r="FSV815" s="268"/>
      <c r="FSW815" s="268"/>
      <c r="FSX815" s="268"/>
      <c r="FSY815" s="268"/>
      <c r="FSZ815" s="268"/>
      <c r="FTA815" s="268"/>
      <c r="FTB815" s="268"/>
      <c r="FTC815" s="268"/>
      <c r="FTD815" s="268"/>
      <c r="FTE815" s="268"/>
      <c r="FTF815" s="268"/>
      <c r="FTG815" s="268"/>
      <c r="FTH815" s="268"/>
      <c r="FTI815" s="268"/>
      <c r="FTJ815" s="268"/>
      <c r="FTK815" s="268"/>
      <c r="FTL815" s="268"/>
      <c r="FTM815" s="268"/>
      <c r="FTN815" s="268"/>
      <c r="FTO815" s="268"/>
      <c r="FTP815" s="268"/>
      <c r="FTQ815" s="268"/>
      <c r="FTR815" s="268"/>
      <c r="FTS815" s="268"/>
      <c r="FTT815" s="268"/>
      <c r="FTU815" s="268"/>
      <c r="FTV815" s="268"/>
      <c r="FTW815" s="268"/>
      <c r="FUK815" s="268"/>
      <c r="FUL815" s="268"/>
      <c r="FUM815" s="268"/>
      <c r="FVA815" s="268"/>
      <c r="FVC815" s="268"/>
      <c r="FVD815" s="268"/>
      <c r="FVE815" s="268"/>
      <c r="FVF815" s="268"/>
      <c r="FVG815" s="268"/>
      <c r="FVH815" s="268"/>
      <c r="FVI815" s="268"/>
      <c r="FVJ815" s="268"/>
      <c r="FVK815" s="268"/>
      <c r="FVL815" s="268"/>
      <c r="FVM815" s="268"/>
      <c r="FVN815" s="268"/>
      <c r="FVO815" s="268"/>
      <c r="FVP815" s="268"/>
      <c r="FVQ815" s="268"/>
      <c r="FVR815" s="268"/>
      <c r="FVS815" s="268"/>
      <c r="FVT815" s="268"/>
      <c r="FVU815" s="268"/>
      <c r="FVV815" s="268"/>
      <c r="FVW815" s="268"/>
      <c r="FVX815" s="268"/>
      <c r="FVY815" s="268"/>
      <c r="FVZ815" s="268"/>
      <c r="FWA815" s="268"/>
      <c r="FWB815" s="268"/>
      <c r="FWC815" s="268"/>
      <c r="FWD815" s="268"/>
      <c r="FWE815" s="268"/>
      <c r="FWF815" s="268"/>
      <c r="FWG815" s="268"/>
      <c r="FWH815" s="268"/>
      <c r="FWI815" s="268"/>
      <c r="FWJ815" s="268"/>
      <c r="FWK815" s="268"/>
      <c r="FWL815" s="268"/>
      <c r="FWM815" s="268"/>
      <c r="FWN815" s="268"/>
      <c r="FWO815" s="268"/>
      <c r="FWP815" s="268"/>
      <c r="FWQ815" s="268"/>
      <c r="FWR815" s="268"/>
      <c r="FWS815" s="268"/>
      <c r="FWT815" s="268"/>
      <c r="FWU815" s="268"/>
      <c r="FWV815" s="268"/>
      <c r="FWW815" s="268"/>
      <c r="FWX815" s="268"/>
      <c r="FWY815" s="268"/>
      <c r="FWZ815" s="268"/>
      <c r="FXA815" s="268"/>
      <c r="FXB815" s="268"/>
      <c r="FXC815" s="268"/>
      <c r="FXD815" s="268"/>
      <c r="FXE815" s="268"/>
      <c r="FXF815" s="268"/>
      <c r="FXG815" s="268"/>
      <c r="FXH815" s="268"/>
      <c r="FXI815" s="268"/>
      <c r="FXJ815" s="268"/>
      <c r="FXK815" s="268"/>
      <c r="FXL815" s="268"/>
      <c r="FXM815" s="268"/>
      <c r="FXN815" s="268"/>
      <c r="FXO815" s="268"/>
      <c r="FXP815" s="268"/>
      <c r="FXQ815" s="268"/>
      <c r="FXR815" s="268"/>
      <c r="FXS815" s="268"/>
      <c r="FXT815" s="268"/>
      <c r="FXU815" s="268"/>
      <c r="FXV815" s="268"/>
      <c r="FXW815" s="268"/>
      <c r="FXX815" s="268"/>
      <c r="FXY815" s="268"/>
      <c r="FXZ815" s="268"/>
      <c r="FYA815" s="268"/>
      <c r="FYB815" s="268"/>
      <c r="FYC815" s="268"/>
      <c r="FYD815" s="268"/>
      <c r="FYE815" s="268"/>
      <c r="FYF815" s="268"/>
      <c r="FYG815" s="268"/>
      <c r="FYH815" s="268"/>
      <c r="FYI815" s="268"/>
      <c r="FYJ815" s="268"/>
      <c r="FYK815" s="268"/>
      <c r="FYL815" s="268"/>
      <c r="FYM815" s="268"/>
      <c r="FYN815" s="268"/>
      <c r="FYO815" s="268"/>
      <c r="FYP815" s="268"/>
      <c r="FYQ815" s="268"/>
      <c r="FYR815" s="268"/>
      <c r="FYS815" s="268"/>
      <c r="FYT815" s="268"/>
      <c r="FYU815" s="268"/>
      <c r="FYV815" s="268"/>
      <c r="FYW815" s="268"/>
      <c r="FYX815" s="268"/>
      <c r="FYY815" s="268"/>
      <c r="FYZ815" s="268"/>
      <c r="FZA815" s="268"/>
      <c r="FZB815" s="268"/>
      <c r="FZC815" s="268"/>
      <c r="FZD815" s="268"/>
      <c r="FZE815" s="268"/>
      <c r="FZF815" s="268"/>
      <c r="FZG815" s="268"/>
      <c r="FZH815" s="268"/>
      <c r="FZI815" s="268"/>
      <c r="FZJ815" s="268"/>
      <c r="FZK815" s="268"/>
      <c r="FZL815" s="268"/>
      <c r="FZM815" s="268"/>
      <c r="FZN815" s="268"/>
      <c r="FZO815" s="268"/>
      <c r="FZP815" s="268"/>
      <c r="FZQ815" s="268"/>
      <c r="FZR815" s="268"/>
      <c r="FZS815" s="268"/>
      <c r="FZT815" s="268"/>
      <c r="FZU815" s="268"/>
      <c r="FZV815" s="268"/>
      <c r="FZW815" s="268"/>
      <c r="FZX815" s="268"/>
      <c r="FZY815" s="268"/>
      <c r="FZZ815" s="268"/>
      <c r="GAA815" s="268"/>
      <c r="GAB815" s="268"/>
      <c r="GAC815" s="268"/>
      <c r="GAD815" s="268"/>
      <c r="GAE815" s="268"/>
      <c r="GAF815" s="268"/>
      <c r="GAG815" s="268"/>
      <c r="GAH815" s="268"/>
      <c r="GAI815" s="268"/>
      <c r="GAJ815" s="268"/>
      <c r="GAK815" s="268"/>
      <c r="GAL815" s="268"/>
      <c r="GAM815" s="268"/>
      <c r="GAN815" s="268"/>
      <c r="GAO815" s="268"/>
      <c r="GAP815" s="268"/>
      <c r="GAQ815" s="268"/>
      <c r="GAR815" s="268"/>
      <c r="GAS815" s="268"/>
      <c r="GAT815" s="268"/>
      <c r="GAU815" s="268"/>
      <c r="GAV815" s="268"/>
      <c r="GAW815" s="268"/>
      <c r="GAX815" s="268"/>
      <c r="GAY815" s="268"/>
      <c r="GAZ815" s="268"/>
      <c r="GBA815" s="268"/>
      <c r="GBB815" s="268"/>
      <c r="GBC815" s="268"/>
      <c r="GBD815" s="268"/>
      <c r="GBE815" s="268"/>
      <c r="GBF815" s="268"/>
      <c r="GBG815" s="268"/>
      <c r="GBH815" s="268"/>
      <c r="GBI815" s="268"/>
      <c r="GBJ815" s="268"/>
      <c r="GBK815" s="268"/>
      <c r="GBL815" s="268"/>
      <c r="GBM815" s="268"/>
      <c r="GBN815" s="268"/>
      <c r="GBO815" s="268"/>
      <c r="GBP815" s="268"/>
      <c r="GBQ815" s="268"/>
      <c r="GBR815" s="268"/>
      <c r="GBS815" s="268"/>
      <c r="GBT815" s="268"/>
      <c r="GBU815" s="268"/>
      <c r="GBV815" s="268"/>
      <c r="GBW815" s="268"/>
      <c r="GBX815" s="268"/>
      <c r="GBY815" s="268"/>
      <c r="GBZ815" s="268"/>
      <c r="GCA815" s="268"/>
      <c r="GCB815" s="268"/>
      <c r="GCC815" s="268"/>
      <c r="GCD815" s="268"/>
      <c r="GCE815" s="268"/>
      <c r="GCF815" s="268"/>
      <c r="GCG815" s="268"/>
      <c r="GCH815" s="268"/>
      <c r="GCI815" s="268"/>
      <c r="GCJ815" s="268"/>
      <c r="GCK815" s="268"/>
      <c r="GCL815" s="268"/>
      <c r="GCM815" s="268"/>
      <c r="GCN815" s="268"/>
      <c r="GCO815" s="268"/>
      <c r="GCP815" s="268"/>
      <c r="GCQ815" s="268"/>
      <c r="GCR815" s="268"/>
      <c r="GCS815" s="268"/>
      <c r="GCT815" s="268"/>
      <c r="GCU815" s="268"/>
      <c r="GCV815" s="268"/>
      <c r="GCW815" s="268"/>
      <c r="GCX815" s="268"/>
      <c r="GCY815" s="268"/>
      <c r="GCZ815" s="268"/>
      <c r="GDA815" s="268"/>
      <c r="GDB815" s="268"/>
      <c r="GDC815" s="268"/>
      <c r="GDD815" s="268"/>
      <c r="GDE815" s="268"/>
      <c r="GDF815" s="268"/>
      <c r="GDG815" s="268"/>
      <c r="GDH815" s="268"/>
      <c r="GDI815" s="268"/>
      <c r="GDJ815" s="268"/>
      <c r="GDK815" s="268"/>
      <c r="GDL815" s="268"/>
      <c r="GDM815" s="268"/>
      <c r="GDN815" s="268"/>
      <c r="GDO815" s="268"/>
      <c r="GDP815" s="268"/>
      <c r="GDQ815" s="268"/>
      <c r="GDR815" s="268"/>
      <c r="GDS815" s="268"/>
      <c r="GEG815" s="268"/>
      <c r="GEH815" s="268"/>
      <c r="GEI815" s="268"/>
      <c r="GEW815" s="268"/>
      <c r="GEY815" s="268"/>
      <c r="GEZ815" s="268"/>
      <c r="GFA815" s="268"/>
      <c r="GFB815" s="268"/>
      <c r="GFC815" s="268"/>
      <c r="GFD815" s="268"/>
      <c r="GFE815" s="268"/>
      <c r="GFF815" s="268"/>
      <c r="GFG815" s="268"/>
      <c r="GFH815" s="268"/>
      <c r="GFI815" s="268"/>
      <c r="GFJ815" s="268"/>
      <c r="GFK815" s="268"/>
      <c r="GFL815" s="268"/>
      <c r="GFM815" s="268"/>
      <c r="GFN815" s="268"/>
      <c r="GFO815" s="268"/>
      <c r="GFP815" s="268"/>
      <c r="GFQ815" s="268"/>
      <c r="GFR815" s="268"/>
      <c r="GFS815" s="268"/>
      <c r="GFT815" s="268"/>
      <c r="GFU815" s="268"/>
      <c r="GFV815" s="268"/>
      <c r="GFW815" s="268"/>
      <c r="GFX815" s="268"/>
      <c r="GFY815" s="268"/>
      <c r="GFZ815" s="268"/>
      <c r="GGA815" s="268"/>
      <c r="GGB815" s="268"/>
      <c r="GGC815" s="268"/>
      <c r="GGD815" s="268"/>
      <c r="GGE815" s="268"/>
      <c r="GGF815" s="268"/>
      <c r="GGG815" s="268"/>
      <c r="GGH815" s="268"/>
      <c r="GGI815" s="268"/>
      <c r="GGJ815" s="268"/>
      <c r="GGK815" s="268"/>
      <c r="GGL815" s="268"/>
      <c r="GGM815" s="268"/>
      <c r="GGN815" s="268"/>
      <c r="GGO815" s="268"/>
      <c r="GGP815" s="268"/>
      <c r="GGQ815" s="268"/>
      <c r="GGR815" s="268"/>
      <c r="GGS815" s="268"/>
      <c r="GGT815" s="268"/>
      <c r="GGU815" s="268"/>
      <c r="GGV815" s="268"/>
      <c r="GGW815" s="268"/>
      <c r="GGX815" s="268"/>
      <c r="GGY815" s="268"/>
      <c r="GGZ815" s="268"/>
      <c r="GHA815" s="268"/>
      <c r="GHB815" s="268"/>
      <c r="GHC815" s="268"/>
      <c r="GHD815" s="268"/>
      <c r="GHE815" s="268"/>
      <c r="GHF815" s="268"/>
      <c r="GHG815" s="268"/>
      <c r="GHH815" s="268"/>
      <c r="GHI815" s="268"/>
      <c r="GHJ815" s="268"/>
      <c r="GHK815" s="268"/>
      <c r="GHL815" s="268"/>
      <c r="GHM815" s="268"/>
      <c r="GHN815" s="268"/>
      <c r="GHO815" s="268"/>
      <c r="GHP815" s="268"/>
      <c r="GHQ815" s="268"/>
      <c r="GHR815" s="268"/>
      <c r="GHS815" s="268"/>
      <c r="GHT815" s="268"/>
      <c r="GHU815" s="268"/>
      <c r="GHV815" s="268"/>
      <c r="GHW815" s="268"/>
      <c r="GHX815" s="268"/>
      <c r="GHY815" s="268"/>
      <c r="GHZ815" s="268"/>
      <c r="GIA815" s="268"/>
      <c r="GIB815" s="268"/>
      <c r="GIC815" s="268"/>
      <c r="GID815" s="268"/>
      <c r="GIE815" s="268"/>
      <c r="GIF815" s="268"/>
      <c r="GIG815" s="268"/>
      <c r="GIH815" s="268"/>
      <c r="GII815" s="268"/>
      <c r="GIJ815" s="268"/>
      <c r="GIK815" s="268"/>
      <c r="GIL815" s="268"/>
      <c r="GIM815" s="268"/>
      <c r="GIN815" s="268"/>
      <c r="GIO815" s="268"/>
      <c r="GIP815" s="268"/>
      <c r="GIQ815" s="268"/>
      <c r="GIR815" s="268"/>
      <c r="GIS815" s="268"/>
      <c r="GIT815" s="268"/>
      <c r="GIU815" s="268"/>
      <c r="GIV815" s="268"/>
      <c r="GIW815" s="268"/>
      <c r="GIX815" s="268"/>
      <c r="GIY815" s="268"/>
      <c r="GIZ815" s="268"/>
      <c r="GJA815" s="268"/>
      <c r="GJB815" s="268"/>
      <c r="GJC815" s="268"/>
      <c r="GJD815" s="268"/>
      <c r="GJE815" s="268"/>
      <c r="GJF815" s="268"/>
      <c r="GJG815" s="268"/>
      <c r="GJH815" s="268"/>
      <c r="GJI815" s="268"/>
      <c r="GJJ815" s="268"/>
      <c r="GJK815" s="268"/>
      <c r="GJL815" s="268"/>
      <c r="GJM815" s="268"/>
      <c r="GJN815" s="268"/>
      <c r="GJO815" s="268"/>
      <c r="GJP815" s="268"/>
      <c r="GJQ815" s="268"/>
      <c r="GJR815" s="268"/>
      <c r="GJS815" s="268"/>
      <c r="GJT815" s="268"/>
      <c r="GJU815" s="268"/>
      <c r="GJV815" s="268"/>
      <c r="GJW815" s="268"/>
      <c r="GJX815" s="268"/>
      <c r="GJY815" s="268"/>
      <c r="GJZ815" s="268"/>
      <c r="GKA815" s="268"/>
      <c r="GKB815" s="268"/>
      <c r="GKC815" s="268"/>
      <c r="GKD815" s="268"/>
      <c r="GKE815" s="268"/>
      <c r="GKF815" s="268"/>
      <c r="GKG815" s="268"/>
      <c r="GKH815" s="268"/>
      <c r="GKI815" s="268"/>
      <c r="GKJ815" s="268"/>
      <c r="GKK815" s="268"/>
      <c r="GKL815" s="268"/>
      <c r="GKM815" s="268"/>
      <c r="GKN815" s="268"/>
      <c r="GKO815" s="268"/>
      <c r="GKP815" s="268"/>
      <c r="GKQ815" s="268"/>
      <c r="GKR815" s="268"/>
      <c r="GKS815" s="268"/>
      <c r="GKT815" s="268"/>
      <c r="GKU815" s="268"/>
      <c r="GKV815" s="268"/>
      <c r="GKW815" s="268"/>
      <c r="GKX815" s="268"/>
      <c r="GKY815" s="268"/>
      <c r="GKZ815" s="268"/>
      <c r="GLA815" s="268"/>
      <c r="GLB815" s="268"/>
      <c r="GLC815" s="268"/>
      <c r="GLD815" s="268"/>
      <c r="GLE815" s="268"/>
      <c r="GLF815" s="268"/>
      <c r="GLG815" s="268"/>
      <c r="GLH815" s="268"/>
      <c r="GLI815" s="268"/>
      <c r="GLJ815" s="268"/>
      <c r="GLK815" s="268"/>
      <c r="GLL815" s="268"/>
      <c r="GLM815" s="268"/>
      <c r="GLN815" s="268"/>
      <c r="GLO815" s="268"/>
      <c r="GLP815" s="268"/>
      <c r="GLQ815" s="268"/>
      <c r="GLR815" s="268"/>
      <c r="GLS815" s="268"/>
      <c r="GLT815" s="268"/>
      <c r="GLU815" s="268"/>
      <c r="GLV815" s="268"/>
      <c r="GLW815" s="268"/>
      <c r="GLX815" s="268"/>
      <c r="GLY815" s="268"/>
      <c r="GLZ815" s="268"/>
      <c r="GMA815" s="268"/>
      <c r="GMB815" s="268"/>
      <c r="GMC815" s="268"/>
      <c r="GMD815" s="268"/>
      <c r="GME815" s="268"/>
      <c r="GMF815" s="268"/>
      <c r="GMG815" s="268"/>
      <c r="GMH815" s="268"/>
      <c r="GMI815" s="268"/>
      <c r="GMJ815" s="268"/>
      <c r="GMK815" s="268"/>
      <c r="GML815" s="268"/>
      <c r="GMM815" s="268"/>
      <c r="GMN815" s="268"/>
      <c r="GMO815" s="268"/>
      <c r="GMP815" s="268"/>
      <c r="GMQ815" s="268"/>
      <c r="GMR815" s="268"/>
      <c r="GMS815" s="268"/>
      <c r="GMT815" s="268"/>
      <c r="GMU815" s="268"/>
      <c r="GMV815" s="268"/>
      <c r="GMW815" s="268"/>
      <c r="GMX815" s="268"/>
      <c r="GMY815" s="268"/>
      <c r="GMZ815" s="268"/>
      <c r="GNA815" s="268"/>
      <c r="GNB815" s="268"/>
      <c r="GNC815" s="268"/>
      <c r="GND815" s="268"/>
      <c r="GNE815" s="268"/>
      <c r="GNF815" s="268"/>
      <c r="GNG815" s="268"/>
      <c r="GNH815" s="268"/>
      <c r="GNI815" s="268"/>
      <c r="GNJ815" s="268"/>
      <c r="GNK815" s="268"/>
      <c r="GNL815" s="268"/>
      <c r="GNM815" s="268"/>
      <c r="GNN815" s="268"/>
      <c r="GNO815" s="268"/>
      <c r="GOC815" s="268"/>
      <c r="GOD815" s="268"/>
      <c r="GOE815" s="268"/>
      <c r="GOS815" s="268"/>
      <c r="GOU815" s="268"/>
      <c r="GOV815" s="268"/>
      <c r="GOW815" s="268"/>
      <c r="GOX815" s="268"/>
      <c r="GOY815" s="268"/>
      <c r="GOZ815" s="268"/>
      <c r="GPA815" s="268"/>
      <c r="GPB815" s="268"/>
      <c r="GPC815" s="268"/>
      <c r="GPD815" s="268"/>
      <c r="GPE815" s="268"/>
      <c r="GPF815" s="268"/>
      <c r="GPG815" s="268"/>
      <c r="GPH815" s="268"/>
      <c r="GPI815" s="268"/>
      <c r="GPJ815" s="268"/>
      <c r="GPK815" s="268"/>
      <c r="GPL815" s="268"/>
      <c r="GPM815" s="268"/>
      <c r="GPN815" s="268"/>
      <c r="GPO815" s="268"/>
      <c r="GPP815" s="268"/>
      <c r="GPQ815" s="268"/>
      <c r="GPR815" s="268"/>
      <c r="GPS815" s="268"/>
      <c r="GPT815" s="268"/>
      <c r="GPU815" s="268"/>
      <c r="GPV815" s="268"/>
      <c r="GPW815" s="268"/>
      <c r="GPX815" s="268"/>
      <c r="GPY815" s="268"/>
      <c r="GPZ815" s="268"/>
      <c r="GQA815" s="268"/>
      <c r="GQB815" s="268"/>
      <c r="GQC815" s="268"/>
      <c r="GQD815" s="268"/>
      <c r="GQE815" s="268"/>
      <c r="GQF815" s="268"/>
      <c r="GQG815" s="268"/>
      <c r="GQH815" s="268"/>
      <c r="GQI815" s="268"/>
      <c r="GQJ815" s="268"/>
      <c r="GQK815" s="268"/>
      <c r="GQL815" s="268"/>
      <c r="GQM815" s="268"/>
      <c r="GQN815" s="268"/>
      <c r="GQO815" s="268"/>
      <c r="GQP815" s="268"/>
      <c r="GQQ815" s="268"/>
      <c r="GQR815" s="268"/>
      <c r="GQS815" s="268"/>
      <c r="GQT815" s="268"/>
      <c r="GQU815" s="268"/>
      <c r="GQV815" s="268"/>
      <c r="GQW815" s="268"/>
      <c r="GQX815" s="268"/>
      <c r="GQY815" s="268"/>
      <c r="GQZ815" s="268"/>
      <c r="GRA815" s="268"/>
      <c r="GRB815" s="268"/>
      <c r="GRC815" s="268"/>
      <c r="GRD815" s="268"/>
      <c r="GRE815" s="268"/>
      <c r="GRF815" s="268"/>
      <c r="GRG815" s="268"/>
      <c r="GRH815" s="268"/>
      <c r="GRI815" s="268"/>
      <c r="GRJ815" s="268"/>
      <c r="GRK815" s="268"/>
      <c r="GRL815" s="268"/>
      <c r="GRM815" s="268"/>
      <c r="GRN815" s="268"/>
      <c r="GRO815" s="268"/>
      <c r="GRP815" s="268"/>
      <c r="GRQ815" s="268"/>
      <c r="GRR815" s="268"/>
      <c r="GRS815" s="268"/>
      <c r="GRT815" s="268"/>
      <c r="GRU815" s="268"/>
      <c r="GRV815" s="268"/>
      <c r="GRW815" s="268"/>
      <c r="GRX815" s="268"/>
      <c r="GRY815" s="268"/>
      <c r="GRZ815" s="268"/>
      <c r="GSA815" s="268"/>
      <c r="GSB815" s="268"/>
      <c r="GSC815" s="268"/>
      <c r="GSD815" s="268"/>
      <c r="GSE815" s="268"/>
      <c r="GSF815" s="268"/>
      <c r="GSG815" s="268"/>
      <c r="GSH815" s="268"/>
      <c r="GSI815" s="268"/>
      <c r="GSJ815" s="268"/>
      <c r="GSK815" s="268"/>
      <c r="GSL815" s="268"/>
      <c r="GSM815" s="268"/>
      <c r="GSN815" s="268"/>
      <c r="GSO815" s="268"/>
      <c r="GSP815" s="268"/>
      <c r="GSQ815" s="268"/>
      <c r="GSR815" s="268"/>
      <c r="GSS815" s="268"/>
      <c r="GST815" s="268"/>
      <c r="GSU815" s="268"/>
      <c r="GSV815" s="268"/>
      <c r="GSW815" s="268"/>
      <c r="GSX815" s="268"/>
      <c r="GSY815" s="268"/>
      <c r="GSZ815" s="268"/>
      <c r="GTA815" s="268"/>
      <c r="GTB815" s="268"/>
      <c r="GTC815" s="268"/>
      <c r="GTD815" s="268"/>
      <c r="GTE815" s="268"/>
      <c r="GTF815" s="268"/>
      <c r="GTG815" s="268"/>
      <c r="GTH815" s="268"/>
      <c r="GTI815" s="268"/>
      <c r="GTJ815" s="268"/>
      <c r="GTK815" s="268"/>
      <c r="GTL815" s="268"/>
      <c r="GTM815" s="268"/>
      <c r="GTN815" s="268"/>
      <c r="GTO815" s="268"/>
      <c r="GTP815" s="268"/>
      <c r="GTQ815" s="268"/>
      <c r="GTR815" s="268"/>
      <c r="GTS815" s="268"/>
      <c r="GTT815" s="268"/>
      <c r="GTU815" s="268"/>
      <c r="GTV815" s="268"/>
      <c r="GTW815" s="268"/>
      <c r="GTX815" s="268"/>
      <c r="GTY815" s="268"/>
      <c r="GTZ815" s="268"/>
      <c r="GUA815" s="268"/>
      <c r="GUB815" s="268"/>
      <c r="GUC815" s="268"/>
      <c r="GUD815" s="268"/>
      <c r="GUE815" s="268"/>
      <c r="GUF815" s="268"/>
      <c r="GUG815" s="268"/>
      <c r="GUH815" s="268"/>
      <c r="GUI815" s="268"/>
      <c r="GUJ815" s="268"/>
      <c r="GUK815" s="268"/>
      <c r="GUL815" s="268"/>
      <c r="GUM815" s="268"/>
      <c r="GUN815" s="268"/>
      <c r="GUO815" s="268"/>
      <c r="GUP815" s="268"/>
      <c r="GUQ815" s="268"/>
      <c r="GUR815" s="268"/>
      <c r="GUS815" s="268"/>
      <c r="GUT815" s="268"/>
      <c r="GUU815" s="268"/>
      <c r="GUV815" s="268"/>
      <c r="GUW815" s="268"/>
      <c r="GUX815" s="268"/>
      <c r="GUY815" s="268"/>
      <c r="GUZ815" s="268"/>
      <c r="GVA815" s="268"/>
      <c r="GVB815" s="268"/>
      <c r="GVC815" s="268"/>
      <c r="GVD815" s="268"/>
      <c r="GVE815" s="268"/>
      <c r="GVF815" s="268"/>
      <c r="GVG815" s="268"/>
      <c r="GVH815" s="268"/>
      <c r="GVI815" s="268"/>
      <c r="GVJ815" s="268"/>
      <c r="GVK815" s="268"/>
      <c r="GVL815" s="268"/>
      <c r="GVM815" s="268"/>
      <c r="GVN815" s="268"/>
      <c r="GVO815" s="268"/>
      <c r="GVP815" s="268"/>
      <c r="GVQ815" s="268"/>
      <c r="GVR815" s="268"/>
      <c r="GVS815" s="268"/>
      <c r="GVT815" s="268"/>
      <c r="GVU815" s="268"/>
      <c r="GVV815" s="268"/>
      <c r="GVW815" s="268"/>
      <c r="GVX815" s="268"/>
      <c r="GVY815" s="268"/>
      <c r="GVZ815" s="268"/>
      <c r="GWA815" s="268"/>
      <c r="GWB815" s="268"/>
      <c r="GWC815" s="268"/>
      <c r="GWD815" s="268"/>
      <c r="GWE815" s="268"/>
      <c r="GWF815" s="268"/>
      <c r="GWG815" s="268"/>
      <c r="GWH815" s="268"/>
      <c r="GWI815" s="268"/>
      <c r="GWJ815" s="268"/>
      <c r="GWK815" s="268"/>
      <c r="GWL815" s="268"/>
      <c r="GWM815" s="268"/>
      <c r="GWN815" s="268"/>
      <c r="GWO815" s="268"/>
      <c r="GWP815" s="268"/>
      <c r="GWQ815" s="268"/>
      <c r="GWR815" s="268"/>
      <c r="GWS815" s="268"/>
      <c r="GWT815" s="268"/>
      <c r="GWU815" s="268"/>
      <c r="GWV815" s="268"/>
      <c r="GWW815" s="268"/>
      <c r="GWX815" s="268"/>
      <c r="GWY815" s="268"/>
      <c r="GWZ815" s="268"/>
      <c r="GXA815" s="268"/>
      <c r="GXB815" s="268"/>
      <c r="GXC815" s="268"/>
      <c r="GXD815" s="268"/>
      <c r="GXE815" s="268"/>
      <c r="GXF815" s="268"/>
      <c r="GXG815" s="268"/>
      <c r="GXH815" s="268"/>
      <c r="GXI815" s="268"/>
      <c r="GXJ815" s="268"/>
      <c r="GXK815" s="268"/>
      <c r="GXY815" s="268"/>
      <c r="GXZ815" s="268"/>
      <c r="GYA815" s="268"/>
      <c r="GYO815" s="268"/>
      <c r="GYQ815" s="268"/>
      <c r="GYR815" s="268"/>
      <c r="GYS815" s="268"/>
      <c r="GYT815" s="268"/>
      <c r="GYU815" s="268"/>
      <c r="GYV815" s="268"/>
      <c r="GYW815" s="268"/>
      <c r="GYX815" s="268"/>
      <c r="GYY815" s="268"/>
      <c r="GYZ815" s="268"/>
      <c r="GZA815" s="268"/>
      <c r="GZB815" s="268"/>
      <c r="GZC815" s="268"/>
      <c r="GZD815" s="268"/>
      <c r="GZE815" s="268"/>
      <c r="GZF815" s="268"/>
      <c r="GZG815" s="268"/>
      <c r="GZH815" s="268"/>
      <c r="GZI815" s="268"/>
      <c r="GZJ815" s="268"/>
      <c r="GZK815" s="268"/>
      <c r="GZL815" s="268"/>
      <c r="GZM815" s="268"/>
      <c r="GZN815" s="268"/>
      <c r="GZO815" s="268"/>
      <c r="GZP815" s="268"/>
      <c r="GZQ815" s="268"/>
      <c r="GZR815" s="268"/>
      <c r="GZS815" s="268"/>
      <c r="GZT815" s="268"/>
      <c r="GZU815" s="268"/>
      <c r="GZV815" s="268"/>
      <c r="GZW815" s="268"/>
      <c r="GZX815" s="268"/>
      <c r="GZY815" s="268"/>
      <c r="GZZ815" s="268"/>
      <c r="HAA815" s="268"/>
      <c r="HAB815" s="268"/>
      <c r="HAC815" s="268"/>
      <c r="HAD815" s="268"/>
      <c r="HAE815" s="268"/>
      <c r="HAF815" s="268"/>
      <c r="HAG815" s="268"/>
      <c r="HAH815" s="268"/>
      <c r="HAI815" s="268"/>
      <c r="HAJ815" s="268"/>
      <c r="HAK815" s="268"/>
      <c r="HAL815" s="268"/>
      <c r="HAM815" s="268"/>
      <c r="HAN815" s="268"/>
      <c r="HAO815" s="268"/>
      <c r="HAP815" s="268"/>
      <c r="HAQ815" s="268"/>
      <c r="HAR815" s="268"/>
      <c r="HAS815" s="268"/>
      <c r="HAT815" s="268"/>
      <c r="HAU815" s="268"/>
      <c r="HAV815" s="268"/>
      <c r="HAW815" s="268"/>
      <c r="HAX815" s="268"/>
      <c r="HAY815" s="268"/>
      <c r="HAZ815" s="268"/>
      <c r="HBA815" s="268"/>
      <c r="HBB815" s="268"/>
      <c r="HBC815" s="268"/>
      <c r="HBD815" s="268"/>
      <c r="HBE815" s="268"/>
      <c r="HBF815" s="268"/>
      <c r="HBG815" s="268"/>
      <c r="HBH815" s="268"/>
      <c r="HBI815" s="268"/>
      <c r="HBJ815" s="268"/>
      <c r="HBK815" s="268"/>
      <c r="HBL815" s="268"/>
      <c r="HBM815" s="268"/>
      <c r="HBN815" s="268"/>
      <c r="HBO815" s="268"/>
      <c r="HBP815" s="268"/>
      <c r="HBQ815" s="268"/>
      <c r="HBR815" s="268"/>
      <c r="HBS815" s="268"/>
      <c r="HBT815" s="268"/>
      <c r="HBU815" s="268"/>
      <c r="HBV815" s="268"/>
      <c r="HBW815" s="268"/>
      <c r="HBX815" s="268"/>
      <c r="HBY815" s="268"/>
      <c r="HBZ815" s="268"/>
      <c r="HCA815" s="268"/>
      <c r="HCB815" s="268"/>
      <c r="HCC815" s="268"/>
      <c r="HCD815" s="268"/>
      <c r="HCE815" s="268"/>
      <c r="HCF815" s="268"/>
      <c r="HCG815" s="268"/>
      <c r="HCH815" s="268"/>
      <c r="HCI815" s="268"/>
      <c r="HCJ815" s="268"/>
      <c r="HCK815" s="268"/>
      <c r="HCL815" s="268"/>
      <c r="HCM815" s="268"/>
      <c r="HCN815" s="268"/>
      <c r="HCO815" s="268"/>
      <c r="HCP815" s="268"/>
      <c r="HCQ815" s="268"/>
      <c r="HCR815" s="268"/>
      <c r="HCS815" s="268"/>
      <c r="HCT815" s="268"/>
      <c r="HCU815" s="268"/>
      <c r="HCV815" s="268"/>
      <c r="HCW815" s="268"/>
      <c r="HCX815" s="268"/>
      <c r="HCY815" s="268"/>
      <c r="HCZ815" s="268"/>
      <c r="HDA815" s="268"/>
      <c r="HDB815" s="268"/>
      <c r="HDC815" s="268"/>
      <c r="HDD815" s="268"/>
      <c r="HDE815" s="268"/>
      <c r="HDF815" s="268"/>
      <c r="HDG815" s="268"/>
      <c r="HDH815" s="268"/>
      <c r="HDI815" s="268"/>
      <c r="HDJ815" s="268"/>
      <c r="HDK815" s="268"/>
      <c r="HDL815" s="268"/>
      <c r="HDM815" s="268"/>
      <c r="HDN815" s="268"/>
      <c r="HDO815" s="268"/>
      <c r="HDP815" s="268"/>
      <c r="HDQ815" s="268"/>
      <c r="HDR815" s="268"/>
      <c r="HDS815" s="268"/>
      <c r="HDT815" s="268"/>
      <c r="HDU815" s="268"/>
      <c r="HDV815" s="268"/>
      <c r="HDW815" s="268"/>
      <c r="HDX815" s="268"/>
      <c r="HDY815" s="268"/>
      <c r="HDZ815" s="268"/>
      <c r="HEA815" s="268"/>
      <c r="HEB815" s="268"/>
      <c r="HEC815" s="268"/>
      <c r="HED815" s="268"/>
      <c r="HEE815" s="268"/>
      <c r="HEF815" s="268"/>
      <c r="HEG815" s="268"/>
      <c r="HEH815" s="268"/>
      <c r="HEI815" s="268"/>
      <c r="HEJ815" s="268"/>
      <c r="HEK815" s="268"/>
      <c r="HEL815" s="268"/>
      <c r="HEM815" s="268"/>
      <c r="HEN815" s="268"/>
      <c r="HEO815" s="268"/>
      <c r="HEP815" s="268"/>
      <c r="HEQ815" s="268"/>
      <c r="HER815" s="268"/>
      <c r="HES815" s="268"/>
      <c r="HET815" s="268"/>
      <c r="HEU815" s="268"/>
      <c r="HEV815" s="268"/>
      <c r="HEW815" s="268"/>
      <c r="HEX815" s="268"/>
      <c r="HEY815" s="268"/>
      <c r="HEZ815" s="268"/>
      <c r="HFA815" s="268"/>
      <c r="HFB815" s="268"/>
      <c r="HFC815" s="268"/>
      <c r="HFD815" s="268"/>
      <c r="HFE815" s="268"/>
      <c r="HFF815" s="268"/>
      <c r="HFG815" s="268"/>
      <c r="HFH815" s="268"/>
      <c r="HFI815" s="268"/>
      <c r="HFJ815" s="268"/>
      <c r="HFK815" s="268"/>
      <c r="HFL815" s="268"/>
      <c r="HFM815" s="268"/>
      <c r="HFN815" s="268"/>
      <c r="HFO815" s="268"/>
      <c r="HFP815" s="268"/>
      <c r="HFQ815" s="268"/>
      <c r="HFR815" s="268"/>
      <c r="HFS815" s="268"/>
      <c r="HFT815" s="268"/>
      <c r="HFU815" s="268"/>
      <c r="HFV815" s="268"/>
      <c r="HFW815" s="268"/>
      <c r="HFX815" s="268"/>
      <c r="HFY815" s="268"/>
      <c r="HFZ815" s="268"/>
      <c r="HGA815" s="268"/>
      <c r="HGB815" s="268"/>
      <c r="HGC815" s="268"/>
      <c r="HGD815" s="268"/>
      <c r="HGE815" s="268"/>
      <c r="HGF815" s="268"/>
      <c r="HGG815" s="268"/>
      <c r="HGH815" s="268"/>
      <c r="HGI815" s="268"/>
      <c r="HGJ815" s="268"/>
      <c r="HGK815" s="268"/>
      <c r="HGL815" s="268"/>
      <c r="HGM815" s="268"/>
      <c r="HGN815" s="268"/>
      <c r="HGO815" s="268"/>
      <c r="HGP815" s="268"/>
      <c r="HGQ815" s="268"/>
      <c r="HGR815" s="268"/>
      <c r="HGS815" s="268"/>
      <c r="HGT815" s="268"/>
      <c r="HGU815" s="268"/>
      <c r="HGV815" s="268"/>
      <c r="HGW815" s="268"/>
      <c r="HGX815" s="268"/>
      <c r="HGY815" s="268"/>
      <c r="HGZ815" s="268"/>
      <c r="HHA815" s="268"/>
      <c r="HHB815" s="268"/>
      <c r="HHC815" s="268"/>
      <c r="HHD815" s="268"/>
      <c r="HHE815" s="268"/>
      <c r="HHF815" s="268"/>
      <c r="HHG815" s="268"/>
      <c r="HHU815" s="268"/>
      <c r="HHV815" s="268"/>
      <c r="HHW815" s="268"/>
      <c r="HIK815" s="268"/>
      <c r="HIM815" s="268"/>
      <c r="HIN815" s="268"/>
      <c r="HIO815" s="268"/>
      <c r="HIP815" s="268"/>
      <c r="HIQ815" s="268"/>
      <c r="HIR815" s="268"/>
      <c r="HIS815" s="268"/>
      <c r="HIT815" s="268"/>
      <c r="HIU815" s="268"/>
      <c r="HIV815" s="268"/>
      <c r="HIW815" s="268"/>
      <c r="HIX815" s="268"/>
      <c r="HIY815" s="268"/>
      <c r="HIZ815" s="268"/>
      <c r="HJA815" s="268"/>
      <c r="HJB815" s="268"/>
      <c r="HJC815" s="268"/>
      <c r="HJD815" s="268"/>
      <c r="HJE815" s="268"/>
      <c r="HJF815" s="268"/>
      <c r="HJG815" s="268"/>
      <c r="HJH815" s="268"/>
      <c r="HJI815" s="268"/>
      <c r="HJJ815" s="268"/>
      <c r="HJK815" s="268"/>
      <c r="HJL815" s="268"/>
      <c r="HJM815" s="268"/>
      <c r="HJN815" s="268"/>
      <c r="HJO815" s="268"/>
      <c r="HJP815" s="268"/>
      <c r="HJQ815" s="268"/>
      <c r="HJR815" s="268"/>
      <c r="HJS815" s="268"/>
      <c r="HJT815" s="268"/>
      <c r="HJU815" s="268"/>
      <c r="HJV815" s="268"/>
      <c r="HJW815" s="268"/>
      <c r="HJX815" s="268"/>
      <c r="HJY815" s="268"/>
      <c r="HJZ815" s="268"/>
      <c r="HKA815" s="268"/>
      <c r="HKB815" s="268"/>
      <c r="HKC815" s="268"/>
      <c r="HKD815" s="268"/>
      <c r="HKE815" s="268"/>
      <c r="HKF815" s="268"/>
      <c r="HKG815" s="268"/>
      <c r="HKH815" s="268"/>
      <c r="HKI815" s="268"/>
      <c r="HKJ815" s="268"/>
      <c r="HKK815" s="268"/>
      <c r="HKL815" s="268"/>
      <c r="HKM815" s="268"/>
      <c r="HKN815" s="268"/>
      <c r="HKO815" s="268"/>
      <c r="HKP815" s="268"/>
      <c r="HKQ815" s="268"/>
      <c r="HKR815" s="268"/>
      <c r="HKS815" s="268"/>
      <c r="HKT815" s="268"/>
      <c r="HKU815" s="268"/>
      <c r="HKV815" s="268"/>
      <c r="HKW815" s="268"/>
      <c r="HKX815" s="268"/>
      <c r="HKY815" s="268"/>
      <c r="HKZ815" s="268"/>
      <c r="HLA815" s="268"/>
      <c r="HLB815" s="268"/>
      <c r="HLC815" s="268"/>
      <c r="HLD815" s="268"/>
      <c r="HLE815" s="268"/>
      <c r="HLF815" s="268"/>
      <c r="HLG815" s="268"/>
      <c r="HLH815" s="268"/>
      <c r="HLI815" s="268"/>
      <c r="HLJ815" s="268"/>
      <c r="HLK815" s="268"/>
      <c r="HLL815" s="268"/>
      <c r="HLM815" s="268"/>
      <c r="HLN815" s="268"/>
      <c r="HLO815" s="268"/>
      <c r="HLP815" s="268"/>
      <c r="HLQ815" s="268"/>
      <c r="HLR815" s="268"/>
      <c r="HLS815" s="268"/>
      <c r="HLT815" s="268"/>
      <c r="HLU815" s="268"/>
      <c r="HLV815" s="268"/>
      <c r="HLW815" s="268"/>
      <c r="HLX815" s="268"/>
      <c r="HLY815" s="268"/>
      <c r="HLZ815" s="268"/>
      <c r="HMA815" s="268"/>
      <c r="HMB815" s="268"/>
      <c r="HMC815" s="268"/>
      <c r="HMD815" s="268"/>
      <c r="HME815" s="268"/>
      <c r="HMF815" s="268"/>
      <c r="HMG815" s="268"/>
      <c r="HMH815" s="268"/>
      <c r="HMI815" s="268"/>
      <c r="HMJ815" s="268"/>
      <c r="HMK815" s="268"/>
      <c r="HML815" s="268"/>
      <c r="HMM815" s="268"/>
      <c r="HMN815" s="268"/>
      <c r="HMO815" s="268"/>
      <c r="HMP815" s="268"/>
      <c r="HMQ815" s="268"/>
      <c r="HMR815" s="268"/>
      <c r="HMS815" s="268"/>
      <c r="HMT815" s="268"/>
      <c r="HMU815" s="268"/>
      <c r="HMV815" s="268"/>
      <c r="HMW815" s="268"/>
      <c r="HMX815" s="268"/>
      <c r="HMY815" s="268"/>
      <c r="HMZ815" s="268"/>
      <c r="HNA815" s="268"/>
      <c r="HNB815" s="268"/>
      <c r="HNC815" s="268"/>
      <c r="HND815" s="268"/>
      <c r="HNE815" s="268"/>
      <c r="HNF815" s="268"/>
      <c r="HNG815" s="268"/>
      <c r="HNH815" s="268"/>
      <c r="HNI815" s="268"/>
      <c r="HNJ815" s="268"/>
      <c r="HNK815" s="268"/>
      <c r="HNL815" s="268"/>
      <c r="HNM815" s="268"/>
      <c r="HNN815" s="268"/>
      <c r="HNO815" s="268"/>
      <c r="HNP815" s="268"/>
      <c r="HNQ815" s="268"/>
      <c r="HNR815" s="268"/>
      <c r="HNS815" s="268"/>
      <c r="HNT815" s="268"/>
      <c r="HNU815" s="268"/>
      <c r="HNV815" s="268"/>
      <c r="HNW815" s="268"/>
      <c r="HNX815" s="268"/>
      <c r="HNY815" s="268"/>
      <c r="HNZ815" s="268"/>
      <c r="HOA815" s="268"/>
      <c r="HOB815" s="268"/>
      <c r="HOC815" s="268"/>
      <c r="HOD815" s="268"/>
      <c r="HOE815" s="268"/>
      <c r="HOF815" s="268"/>
      <c r="HOG815" s="268"/>
      <c r="HOH815" s="268"/>
      <c r="HOI815" s="268"/>
      <c r="HOJ815" s="268"/>
      <c r="HOK815" s="268"/>
      <c r="HOL815" s="268"/>
      <c r="HOM815" s="268"/>
      <c r="HON815" s="268"/>
      <c r="HOO815" s="268"/>
      <c r="HOP815" s="268"/>
      <c r="HOQ815" s="268"/>
      <c r="HOR815" s="268"/>
      <c r="HOS815" s="268"/>
      <c r="HOT815" s="268"/>
      <c r="HOU815" s="268"/>
      <c r="HOV815" s="268"/>
      <c r="HOW815" s="268"/>
      <c r="HOX815" s="268"/>
      <c r="HOY815" s="268"/>
      <c r="HOZ815" s="268"/>
      <c r="HPA815" s="268"/>
      <c r="HPB815" s="268"/>
      <c r="HPC815" s="268"/>
      <c r="HPD815" s="268"/>
      <c r="HPE815" s="268"/>
      <c r="HPF815" s="268"/>
      <c r="HPG815" s="268"/>
      <c r="HPH815" s="268"/>
      <c r="HPI815" s="268"/>
      <c r="HPJ815" s="268"/>
      <c r="HPK815" s="268"/>
      <c r="HPL815" s="268"/>
      <c r="HPM815" s="268"/>
      <c r="HPN815" s="268"/>
      <c r="HPO815" s="268"/>
      <c r="HPP815" s="268"/>
      <c r="HPQ815" s="268"/>
      <c r="HPR815" s="268"/>
      <c r="HPS815" s="268"/>
      <c r="HPT815" s="268"/>
      <c r="HPU815" s="268"/>
      <c r="HPV815" s="268"/>
      <c r="HPW815" s="268"/>
      <c r="HPX815" s="268"/>
      <c r="HPY815" s="268"/>
      <c r="HPZ815" s="268"/>
      <c r="HQA815" s="268"/>
      <c r="HQB815" s="268"/>
      <c r="HQC815" s="268"/>
      <c r="HQD815" s="268"/>
      <c r="HQE815" s="268"/>
      <c r="HQF815" s="268"/>
      <c r="HQG815" s="268"/>
      <c r="HQH815" s="268"/>
      <c r="HQI815" s="268"/>
      <c r="HQJ815" s="268"/>
      <c r="HQK815" s="268"/>
      <c r="HQL815" s="268"/>
      <c r="HQM815" s="268"/>
      <c r="HQN815" s="268"/>
      <c r="HQO815" s="268"/>
      <c r="HQP815" s="268"/>
      <c r="HQQ815" s="268"/>
      <c r="HQR815" s="268"/>
      <c r="HQS815" s="268"/>
      <c r="HQT815" s="268"/>
      <c r="HQU815" s="268"/>
      <c r="HQV815" s="268"/>
      <c r="HQW815" s="268"/>
      <c r="HQX815" s="268"/>
      <c r="HQY815" s="268"/>
      <c r="HQZ815" s="268"/>
      <c r="HRA815" s="268"/>
      <c r="HRB815" s="268"/>
      <c r="HRC815" s="268"/>
      <c r="HRQ815" s="268"/>
      <c r="HRR815" s="268"/>
      <c r="HRS815" s="268"/>
      <c r="HSG815" s="268"/>
      <c r="HSI815" s="268"/>
      <c r="HSJ815" s="268"/>
      <c r="HSK815" s="268"/>
      <c r="HSL815" s="268"/>
      <c r="HSM815" s="268"/>
      <c r="HSN815" s="268"/>
      <c r="HSO815" s="268"/>
      <c r="HSP815" s="268"/>
      <c r="HSQ815" s="268"/>
      <c r="HSR815" s="268"/>
      <c r="HSS815" s="268"/>
      <c r="HST815" s="268"/>
      <c r="HSU815" s="268"/>
      <c r="HSV815" s="268"/>
      <c r="HSW815" s="268"/>
      <c r="HSX815" s="268"/>
      <c r="HSY815" s="268"/>
      <c r="HSZ815" s="268"/>
      <c r="HTA815" s="268"/>
      <c r="HTB815" s="268"/>
      <c r="HTC815" s="268"/>
      <c r="HTD815" s="268"/>
      <c r="HTE815" s="268"/>
      <c r="HTF815" s="268"/>
      <c r="HTG815" s="268"/>
      <c r="HTH815" s="268"/>
      <c r="HTI815" s="268"/>
      <c r="HTJ815" s="268"/>
      <c r="HTK815" s="268"/>
      <c r="HTL815" s="268"/>
      <c r="HTM815" s="268"/>
      <c r="HTN815" s="268"/>
      <c r="HTO815" s="268"/>
      <c r="HTP815" s="268"/>
      <c r="HTQ815" s="268"/>
      <c r="HTR815" s="268"/>
      <c r="HTS815" s="268"/>
      <c r="HTT815" s="268"/>
      <c r="HTU815" s="268"/>
      <c r="HTV815" s="268"/>
      <c r="HTW815" s="268"/>
      <c r="HTX815" s="268"/>
      <c r="HTY815" s="268"/>
      <c r="HTZ815" s="268"/>
      <c r="HUA815" s="268"/>
      <c r="HUB815" s="268"/>
      <c r="HUC815" s="268"/>
      <c r="HUD815" s="268"/>
      <c r="HUE815" s="268"/>
      <c r="HUF815" s="268"/>
      <c r="HUG815" s="268"/>
      <c r="HUH815" s="268"/>
      <c r="HUI815" s="268"/>
      <c r="HUJ815" s="268"/>
      <c r="HUK815" s="268"/>
      <c r="HUL815" s="268"/>
      <c r="HUM815" s="268"/>
      <c r="HUN815" s="268"/>
      <c r="HUO815" s="268"/>
      <c r="HUP815" s="268"/>
      <c r="HUQ815" s="268"/>
      <c r="HUR815" s="268"/>
      <c r="HUS815" s="268"/>
      <c r="HUT815" s="268"/>
      <c r="HUU815" s="268"/>
      <c r="HUV815" s="268"/>
      <c r="HUW815" s="268"/>
      <c r="HUX815" s="268"/>
      <c r="HUY815" s="268"/>
      <c r="HUZ815" s="268"/>
      <c r="HVA815" s="268"/>
      <c r="HVB815" s="268"/>
      <c r="HVC815" s="268"/>
      <c r="HVD815" s="268"/>
      <c r="HVE815" s="268"/>
      <c r="HVF815" s="268"/>
      <c r="HVG815" s="268"/>
      <c r="HVH815" s="268"/>
      <c r="HVI815" s="268"/>
      <c r="HVJ815" s="268"/>
      <c r="HVK815" s="268"/>
      <c r="HVL815" s="268"/>
      <c r="HVM815" s="268"/>
      <c r="HVN815" s="268"/>
      <c r="HVO815" s="268"/>
      <c r="HVP815" s="268"/>
      <c r="HVQ815" s="268"/>
      <c r="HVR815" s="268"/>
      <c r="HVS815" s="268"/>
      <c r="HVT815" s="268"/>
      <c r="HVU815" s="268"/>
      <c r="HVV815" s="268"/>
      <c r="HVW815" s="268"/>
      <c r="HVX815" s="268"/>
      <c r="HVY815" s="268"/>
      <c r="HVZ815" s="268"/>
      <c r="HWA815" s="268"/>
      <c r="HWB815" s="268"/>
      <c r="HWC815" s="268"/>
      <c r="HWD815" s="268"/>
      <c r="HWE815" s="268"/>
      <c r="HWF815" s="268"/>
      <c r="HWG815" s="268"/>
      <c r="HWH815" s="268"/>
      <c r="HWI815" s="268"/>
      <c r="HWJ815" s="268"/>
      <c r="HWK815" s="268"/>
      <c r="HWL815" s="268"/>
      <c r="HWM815" s="268"/>
      <c r="HWN815" s="268"/>
      <c r="HWO815" s="268"/>
      <c r="HWP815" s="268"/>
      <c r="HWQ815" s="268"/>
      <c r="HWR815" s="268"/>
      <c r="HWS815" s="268"/>
      <c r="HWT815" s="268"/>
      <c r="HWU815" s="268"/>
      <c r="HWV815" s="268"/>
      <c r="HWW815" s="268"/>
      <c r="HWX815" s="268"/>
      <c r="HWY815" s="268"/>
      <c r="HWZ815" s="268"/>
      <c r="HXA815" s="268"/>
      <c r="HXB815" s="268"/>
      <c r="HXC815" s="268"/>
      <c r="HXD815" s="268"/>
      <c r="HXE815" s="268"/>
      <c r="HXF815" s="268"/>
      <c r="HXG815" s="268"/>
      <c r="HXH815" s="268"/>
      <c r="HXI815" s="268"/>
      <c r="HXJ815" s="268"/>
      <c r="HXK815" s="268"/>
      <c r="HXL815" s="268"/>
      <c r="HXM815" s="268"/>
      <c r="HXN815" s="268"/>
      <c r="HXO815" s="268"/>
      <c r="HXP815" s="268"/>
      <c r="HXQ815" s="268"/>
      <c r="HXR815" s="268"/>
      <c r="HXS815" s="268"/>
      <c r="HXT815" s="268"/>
      <c r="HXU815" s="268"/>
      <c r="HXV815" s="268"/>
      <c r="HXW815" s="268"/>
      <c r="HXX815" s="268"/>
      <c r="HXY815" s="268"/>
      <c r="HXZ815" s="268"/>
      <c r="HYA815" s="268"/>
      <c r="HYB815" s="268"/>
      <c r="HYC815" s="268"/>
      <c r="HYD815" s="268"/>
      <c r="HYE815" s="268"/>
      <c r="HYF815" s="268"/>
      <c r="HYG815" s="268"/>
      <c r="HYH815" s="268"/>
      <c r="HYI815" s="268"/>
      <c r="HYJ815" s="268"/>
      <c r="HYK815" s="268"/>
      <c r="HYL815" s="268"/>
      <c r="HYM815" s="268"/>
      <c r="HYN815" s="268"/>
      <c r="HYO815" s="268"/>
      <c r="HYP815" s="268"/>
      <c r="HYQ815" s="268"/>
      <c r="HYR815" s="268"/>
      <c r="HYS815" s="268"/>
      <c r="HYT815" s="268"/>
      <c r="HYU815" s="268"/>
      <c r="HYV815" s="268"/>
      <c r="HYW815" s="268"/>
      <c r="HYX815" s="268"/>
      <c r="HYY815" s="268"/>
      <c r="HYZ815" s="268"/>
      <c r="HZA815" s="268"/>
      <c r="HZB815" s="268"/>
      <c r="HZC815" s="268"/>
      <c r="HZD815" s="268"/>
      <c r="HZE815" s="268"/>
      <c r="HZF815" s="268"/>
      <c r="HZG815" s="268"/>
      <c r="HZH815" s="268"/>
      <c r="HZI815" s="268"/>
      <c r="HZJ815" s="268"/>
      <c r="HZK815" s="268"/>
      <c r="HZL815" s="268"/>
      <c r="HZM815" s="268"/>
      <c r="HZN815" s="268"/>
      <c r="HZO815" s="268"/>
      <c r="HZP815" s="268"/>
      <c r="HZQ815" s="268"/>
      <c r="HZR815" s="268"/>
      <c r="HZS815" s="268"/>
      <c r="HZT815" s="268"/>
      <c r="HZU815" s="268"/>
      <c r="HZV815" s="268"/>
      <c r="HZW815" s="268"/>
      <c r="HZX815" s="268"/>
      <c r="HZY815" s="268"/>
      <c r="HZZ815" s="268"/>
      <c r="IAA815" s="268"/>
      <c r="IAB815" s="268"/>
      <c r="IAC815" s="268"/>
      <c r="IAD815" s="268"/>
      <c r="IAE815" s="268"/>
      <c r="IAF815" s="268"/>
      <c r="IAG815" s="268"/>
      <c r="IAH815" s="268"/>
      <c r="IAI815" s="268"/>
      <c r="IAJ815" s="268"/>
      <c r="IAK815" s="268"/>
      <c r="IAL815" s="268"/>
      <c r="IAM815" s="268"/>
      <c r="IAN815" s="268"/>
      <c r="IAO815" s="268"/>
      <c r="IAP815" s="268"/>
      <c r="IAQ815" s="268"/>
      <c r="IAR815" s="268"/>
      <c r="IAS815" s="268"/>
      <c r="IAT815" s="268"/>
      <c r="IAU815" s="268"/>
      <c r="IAV815" s="268"/>
      <c r="IAW815" s="268"/>
      <c r="IAX815" s="268"/>
      <c r="IAY815" s="268"/>
      <c r="IBM815" s="268"/>
      <c r="IBN815" s="268"/>
      <c r="IBO815" s="268"/>
      <c r="ICC815" s="268"/>
      <c r="ICE815" s="268"/>
      <c r="ICF815" s="268"/>
      <c r="ICG815" s="268"/>
      <c r="ICH815" s="268"/>
      <c r="ICI815" s="268"/>
      <c r="ICJ815" s="268"/>
      <c r="ICK815" s="268"/>
      <c r="ICL815" s="268"/>
      <c r="ICM815" s="268"/>
      <c r="ICN815" s="268"/>
      <c r="ICO815" s="268"/>
      <c r="ICP815" s="268"/>
      <c r="ICQ815" s="268"/>
      <c r="ICR815" s="268"/>
      <c r="ICS815" s="268"/>
      <c r="ICT815" s="268"/>
      <c r="ICU815" s="268"/>
      <c r="ICV815" s="268"/>
      <c r="ICW815" s="268"/>
      <c r="ICX815" s="268"/>
      <c r="ICY815" s="268"/>
      <c r="ICZ815" s="268"/>
      <c r="IDA815" s="268"/>
      <c r="IDB815" s="268"/>
      <c r="IDC815" s="268"/>
      <c r="IDD815" s="268"/>
      <c r="IDE815" s="268"/>
      <c r="IDF815" s="268"/>
      <c r="IDG815" s="268"/>
      <c r="IDH815" s="268"/>
      <c r="IDI815" s="268"/>
      <c r="IDJ815" s="268"/>
      <c r="IDK815" s="268"/>
      <c r="IDL815" s="268"/>
      <c r="IDM815" s="268"/>
      <c r="IDN815" s="268"/>
      <c r="IDO815" s="268"/>
      <c r="IDP815" s="268"/>
      <c r="IDQ815" s="268"/>
      <c r="IDR815" s="268"/>
      <c r="IDS815" s="268"/>
      <c r="IDT815" s="268"/>
      <c r="IDU815" s="268"/>
      <c r="IDV815" s="268"/>
      <c r="IDW815" s="268"/>
      <c r="IDX815" s="268"/>
      <c r="IDY815" s="268"/>
      <c r="IDZ815" s="268"/>
      <c r="IEA815" s="268"/>
      <c r="IEB815" s="268"/>
      <c r="IEC815" s="268"/>
      <c r="IED815" s="268"/>
      <c r="IEE815" s="268"/>
      <c r="IEF815" s="268"/>
      <c r="IEG815" s="268"/>
      <c r="IEH815" s="268"/>
      <c r="IEI815" s="268"/>
      <c r="IEJ815" s="268"/>
      <c r="IEK815" s="268"/>
      <c r="IEL815" s="268"/>
      <c r="IEM815" s="268"/>
      <c r="IEN815" s="268"/>
      <c r="IEO815" s="268"/>
      <c r="IEP815" s="268"/>
      <c r="IEQ815" s="268"/>
      <c r="IER815" s="268"/>
      <c r="IES815" s="268"/>
      <c r="IET815" s="268"/>
      <c r="IEU815" s="268"/>
      <c r="IEV815" s="268"/>
      <c r="IEW815" s="268"/>
      <c r="IEX815" s="268"/>
      <c r="IEY815" s="268"/>
      <c r="IEZ815" s="268"/>
      <c r="IFA815" s="268"/>
      <c r="IFB815" s="268"/>
      <c r="IFC815" s="268"/>
      <c r="IFD815" s="268"/>
      <c r="IFE815" s="268"/>
      <c r="IFF815" s="268"/>
      <c r="IFG815" s="268"/>
      <c r="IFH815" s="268"/>
      <c r="IFI815" s="268"/>
      <c r="IFJ815" s="268"/>
      <c r="IFK815" s="268"/>
      <c r="IFL815" s="268"/>
      <c r="IFM815" s="268"/>
      <c r="IFN815" s="268"/>
      <c r="IFO815" s="268"/>
      <c r="IFP815" s="268"/>
      <c r="IFQ815" s="268"/>
      <c r="IFR815" s="268"/>
      <c r="IFS815" s="268"/>
      <c r="IFT815" s="268"/>
      <c r="IFU815" s="268"/>
      <c r="IFV815" s="268"/>
      <c r="IFW815" s="268"/>
      <c r="IFX815" s="268"/>
      <c r="IFY815" s="268"/>
      <c r="IFZ815" s="268"/>
      <c r="IGA815" s="268"/>
      <c r="IGB815" s="268"/>
      <c r="IGC815" s="268"/>
      <c r="IGD815" s="268"/>
      <c r="IGE815" s="268"/>
      <c r="IGF815" s="268"/>
      <c r="IGG815" s="268"/>
      <c r="IGH815" s="268"/>
      <c r="IGI815" s="268"/>
      <c r="IGJ815" s="268"/>
      <c r="IGK815" s="268"/>
      <c r="IGL815" s="268"/>
      <c r="IGM815" s="268"/>
      <c r="IGN815" s="268"/>
      <c r="IGO815" s="268"/>
      <c r="IGP815" s="268"/>
      <c r="IGQ815" s="268"/>
      <c r="IGR815" s="268"/>
      <c r="IGS815" s="268"/>
      <c r="IGT815" s="268"/>
      <c r="IGU815" s="268"/>
      <c r="IGV815" s="268"/>
      <c r="IGW815" s="268"/>
      <c r="IGX815" s="268"/>
      <c r="IGY815" s="268"/>
      <c r="IGZ815" s="268"/>
      <c r="IHA815" s="268"/>
      <c r="IHB815" s="268"/>
      <c r="IHC815" s="268"/>
      <c r="IHD815" s="268"/>
      <c r="IHE815" s="268"/>
      <c r="IHF815" s="268"/>
      <c r="IHG815" s="268"/>
      <c r="IHH815" s="268"/>
      <c r="IHI815" s="268"/>
      <c r="IHJ815" s="268"/>
      <c r="IHK815" s="268"/>
      <c r="IHL815" s="268"/>
      <c r="IHM815" s="268"/>
      <c r="IHN815" s="268"/>
      <c r="IHO815" s="268"/>
      <c r="IHP815" s="268"/>
      <c r="IHQ815" s="268"/>
      <c r="IHR815" s="268"/>
      <c r="IHS815" s="268"/>
      <c r="IHT815" s="268"/>
      <c r="IHU815" s="268"/>
      <c r="IHV815" s="268"/>
      <c r="IHW815" s="268"/>
      <c r="IHX815" s="268"/>
      <c r="IHY815" s="268"/>
      <c r="IHZ815" s="268"/>
      <c r="IIA815" s="268"/>
      <c r="IIB815" s="268"/>
      <c r="IIC815" s="268"/>
      <c r="IID815" s="268"/>
      <c r="IIE815" s="268"/>
      <c r="IIF815" s="268"/>
      <c r="IIG815" s="268"/>
      <c r="IIH815" s="268"/>
      <c r="III815" s="268"/>
      <c r="IIJ815" s="268"/>
      <c r="IIK815" s="268"/>
      <c r="IIL815" s="268"/>
      <c r="IIM815" s="268"/>
      <c r="IIN815" s="268"/>
      <c r="IIO815" s="268"/>
      <c r="IIP815" s="268"/>
      <c r="IIQ815" s="268"/>
      <c r="IIR815" s="268"/>
      <c r="IIS815" s="268"/>
      <c r="IIT815" s="268"/>
      <c r="IIU815" s="268"/>
      <c r="IIV815" s="268"/>
      <c r="IIW815" s="268"/>
      <c r="IIX815" s="268"/>
      <c r="IIY815" s="268"/>
      <c r="IIZ815" s="268"/>
      <c r="IJA815" s="268"/>
      <c r="IJB815" s="268"/>
      <c r="IJC815" s="268"/>
      <c r="IJD815" s="268"/>
      <c r="IJE815" s="268"/>
      <c r="IJF815" s="268"/>
      <c r="IJG815" s="268"/>
      <c r="IJH815" s="268"/>
      <c r="IJI815" s="268"/>
      <c r="IJJ815" s="268"/>
      <c r="IJK815" s="268"/>
      <c r="IJL815" s="268"/>
      <c r="IJM815" s="268"/>
      <c r="IJN815" s="268"/>
      <c r="IJO815" s="268"/>
      <c r="IJP815" s="268"/>
      <c r="IJQ815" s="268"/>
      <c r="IJR815" s="268"/>
      <c r="IJS815" s="268"/>
      <c r="IJT815" s="268"/>
      <c r="IJU815" s="268"/>
      <c r="IJV815" s="268"/>
      <c r="IJW815" s="268"/>
      <c r="IJX815" s="268"/>
      <c r="IJY815" s="268"/>
      <c r="IJZ815" s="268"/>
      <c r="IKA815" s="268"/>
      <c r="IKB815" s="268"/>
      <c r="IKC815" s="268"/>
      <c r="IKD815" s="268"/>
      <c r="IKE815" s="268"/>
      <c r="IKF815" s="268"/>
      <c r="IKG815" s="268"/>
      <c r="IKH815" s="268"/>
      <c r="IKI815" s="268"/>
      <c r="IKJ815" s="268"/>
      <c r="IKK815" s="268"/>
      <c r="IKL815" s="268"/>
      <c r="IKM815" s="268"/>
      <c r="IKN815" s="268"/>
      <c r="IKO815" s="268"/>
      <c r="IKP815" s="268"/>
      <c r="IKQ815" s="268"/>
      <c r="IKR815" s="268"/>
      <c r="IKS815" s="268"/>
      <c r="IKT815" s="268"/>
      <c r="IKU815" s="268"/>
      <c r="ILI815" s="268"/>
      <c r="ILJ815" s="268"/>
      <c r="ILK815" s="268"/>
      <c r="ILY815" s="268"/>
      <c r="IMA815" s="268"/>
      <c r="IMB815" s="268"/>
      <c r="IMC815" s="268"/>
      <c r="IMD815" s="268"/>
      <c r="IME815" s="268"/>
      <c r="IMF815" s="268"/>
      <c r="IMG815" s="268"/>
      <c r="IMH815" s="268"/>
      <c r="IMI815" s="268"/>
      <c r="IMJ815" s="268"/>
      <c r="IMK815" s="268"/>
      <c r="IML815" s="268"/>
      <c r="IMM815" s="268"/>
      <c r="IMN815" s="268"/>
      <c r="IMO815" s="268"/>
      <c r="IMP815" s="268"/>
      <c r="IMQ815" s="268"/>
      <c r="IMR815" s="268"/>
      <c r="IMS815" s="268"/>
      <c r="IMT815" s="268"/>
      <c r="IMU815" s="268"/>
      <c r="IMV815" s="268"/>
      <c r="IMW815" s="268"/>
      <c r="IMX815" s="268"/>
      <c r="IMY815" s="268"/>
      <c r="IMZ815" s="268"/>
      <c r="INA815" s="268"/>
      <c r="INB815" s="268"/>
      <c r="INC815" s="268"/>
      <c r="IND815" s="268"/>
      <c r="INE815" s="268"/>
      <c r="INF815" s="268"/>
      <c r="ING815" s="268"/>
      <c r="INH815" s="268"/>
      <c r="INI815" s="268"/>
      <c r="INJ815" s="268"/>
      <c r="INK815" s="268"/>
      <c r="INL815" s="268"/>
      <c r="INM815" s="268"/>
      <c r="INN815" s="268"/>
      <c r="INO815" s="268"/>
      <c r="INP815" s="268"/>
      <c r="INQ815" s="268"/>
      <c r="INR815" s="268"/>
      <c r="INS815" s="268"/>
      <c r="INT815" s="268"/>
      <c r="INU815" s="268"/>
      <c r="INV815" s="268"/>
      <c r="INW815" s="268"/>
      <c r="INX815" s="268"/>
      <c r="INY815" s="268"/>
      <c r="INZ815" s="268"/>
      <c r="IOA815" s="268"/>
      <c r="IOB815" s="268"/>
      <c r="IOC815" s="268"/>
      <c r="IOD815" s="268"/>
      <c r="IOE815" s="268"/>
      <c r="IOF815" s="268"/>
      <c r="IOG815" s="268"/>
      <c r="IOH815" s="268"/>
      <c r="IOI815" s="268"/>
      <c r="IOJ815" s="268"/>
      <c r="IOK815" s="268"/>
      <c r="IOL815" s="268"/>
      <c r="IOM815" s="268"/>
      <c r="ION815" s="268"/>
      <c r="IOO815" s="268"/>
      <c r="IOP815" s="268"/>
      <c r="IOQ815" s="268"/>
      <c r="IOR815" s="268"/>
      <c r="IOS815" s="268"/>
      <c r="IOT815" s="268"/>
      <c r="IOU815" s="268"/>
      <c r="IOV815" s="268"/>
      <c r="IOW815" s="268"/>
      <c r="IOX815" s="268"/>
      <c r="IOY815" s="268"/>
      <c r="IOZ815" s="268"/>
      <c r="IPA815" s="268"/>
      <c r="IPB815" s="268"/>
      <c r="IPC815" s="268"/>
      <c r="IPD815" s="268"/>
      <c r="IPE815" s="268"/>
      <c r="IPF815" s="268"/>
      <c r="IPG815" s="268"/>
      <c r="IPH815" s="268"/>
      <c r="IPI815" s="268"/>
      <c r="IPJ815" s="268"/>
      <c r="IPK815" s="268"/>
      <c r="IPL815" s="268"/>
      <c r="IPM815" s="268"/>
      <c r="IPN815" s="268"/>
      <c r="IPO815" s="268"/>
      <c r="IPP815" s="268"/>
      <c r="IPQ815" s="268"/>
      <c r="IPR815" s="268"/>
      <c r="IPS815" s="268"/>
      <c r="IPT815" s="268"/>
      <c r="IPU815" s="268"/>
      <c r="IPV815" s="268"/>
      <c r="IPW815" s="268"/>
      <c r="IPX815" s="268"/>
      <c r="IPY815" s="268"/>
      <c r="IPZ815" s="268"/>
      <c r="IQA815" s="268"/>
      <c r="IQB815" s="268"/>
      <c r="IQC815" s="268"/>
      <c r="IQD815" s="268"/>
      <c r="IQE815" s="268"/>
      <c r="IQF815" s="268"/>
      <c r="IQG815" s="268"/>
      <c r="IQH815" s="268"/>
      <c r="IQI815" s="268"/>
      <c r="IQJ815" s="268"/>
      <c r="IQK815" s="268"/>
      <c r="IQL815" s="268"/>
      <c r="IQM815" s="268"/>
      <c r="IQN815" s="268"/>
      <c r="IQO815" s="268"/>
      <c r="IQP815" s="268"/>
      <c r="IQQ815" s="268"/>
      <c r="IQR815" s="268"/>
      <c r="IQS815" s="268"/>
      <c r="IQT815" s="268"/>
      <c r="IQU815" s="268"/>
      <c r="IQV815" s="268"/>
      <c r="IQW815" s="268"/>
      <c r="IQX815" s="268"/>
      <c r="IQY815" s="268"/>
      <c r="IQZ815" s="268"/>
      <c r="IRA815" s="268"/>
      <c r="IRB815" s="268"/>
      <c r="IRC815" s="268"/>
      <c r="IRD815" s="268"/>
      <c r="IRE815" s="268"/>
      <c r="IRF815" s="268"/>
      <c r="IRG815" s="268"/>
      <c r="IRH815" s="268"/>
      <c r="IRI815" s="268"/>
      <c r="IRJ815" s="268"/>
      <c r="IRK815" s="268"/>
      <c r="IRL815" s="268"/>
      <c r="IRM815" s="268"/>
      <c r="IRN815" s="268"/>
      <c r="IRO815" s="268"/>
      <c r="IRP815" s="268"/>
      <c r="IRQ815" s="268"/>
      <c r="IRR815" s="268"/>
      <c r="IRS815" s="268"/>
      <c r="IRT815" s="268"/>
      <c r="IRU815" s="268"/>
      <c r="IRV815" s="268"/>
      <c r="IRW815" s="268"/>
      <c r="IRX815" s="268"/>
      <c r="IRY815" s="268"/>
      <c r="IRZ815" s="268"/>
      <c r="ISA815" s="268"/>
      <c r="ISB815" s="268"/>
      <c r="ISC815" s="268"/>
      <c r="ISD815" s="268"/>
      <c r="ISE815" s="268"/>
      <c r="ISF815" s="268"/>
      <c r="ISG815" s="268"/>
      <c r="ISH815" s="268"/>
      <c r="ISI815" s="268"/>
      <c r="ISJ815" s="268"/>
      <c r="ISK815" s="268"/>
      <c r="ISL815" s="268"/>
      <c r="ISM815" s="268"/>
      <c r="ISN815" s="268"/>
      <c r="ISO815" s="268"/>
      <c r="ISP815" s="268"/>
      <c r="ISQ815" s="268"/>
      <c r="ISR815" s="268"/>
      <c r="ISS815" s="268"/>
      <c r="IST815" s="268"/>
      <c r="ISU815" s="268"/>
      <c r="ISV815" s="268"/>
      <c r="ISW815" s="268"/>
      <c r="ISX815" s="268"/>
      <c r="ISY815" s="268"/>
      <c r="ISZ815" s="268"/>
      <c r="ITA815" s="268"/>
      <c r="ITB815" s="268"/>
      <c r="ITC815" s="268"/>
      <c r="ITD815" s="268"/>
      <c r="ITE815" s="268"/>
      <c r="ITF815" s="268"/>
      <c r="ITG815" s="268"/>
      <c r="ITH815" s="268"/>
      <c r="ITI815" s="268"/>
      <c r="ITJ815" s="268"/>
      <c r="ITK815" s="268"/>
      <c r="ITL815" s="268"/>
      <c r="ITM815" s="268"/>
      <c r="ITN815" s="268"/>
      <c r="ITO815" s="268"/>
      <c r="ITP815" s="268"/>
      <c r="ITQ815" s="268"/>
      <c r="ITR815" s="268"/>
      <c r="ITS815" s="268"/>
      <c r="ITT815" s="268"/>
      <c r="ITU815" s="268"/>
      <c r="ITV815" s="268"/>
      <c r="ITW815" s="268"/>
      <c r="ITX815" s="268"/>
      <c r="ITY815" s="268"/>
      <c r="ITZ815" s="268"/>
      <c r="IUA815" s="268"/>
      <c r="IUB815" s="268"/>
      <c r="IUC815" s="268"/>
      <c r="IUD815" s="268"/>
      <c r="IUE815" s="268"/>
      <c r="IUF815" s="268"/>
      <c r="IUG815" s="268"/>
      <c r="IUH815" s="268"/>
      <c r="IUI815" s="268"/>
      <c r="IUJ815" s="268"/>
      <c r="IUK815" s="268"/>
      <c r="IUL815" s="268"/>
      <c r="IUM815" s="268"/>
      <c r="IUN815" s="268"/>
      <c r="IUO815" s="268"/>
      <c r="IUP815" s="268"/>
      <c r="IUQ815" s="268"/>
      <c r="IVE815" s="268"/>
      <c r="IVF815" s="268"/>
      <c r="IVG815" s="268"/>
      <c r="IVU815" s="268"/>
      <c r="IVW815" s="268"/>
      <c r="IVX815" s="268"/>
      <c r="IVY815" s="268"/>
      <c r="IVZ815" s="268"/>
      <c r="IWA815" s="268"/>
      <c r="IWB815" s="268"/>
      <c r="IWC815" s="268"/>
      <c r="IWD815" s="268"/>
      <c r="IWE815" s="268"/>
      <c r="IWF815" s="268"/>
      <c r="IWG815" s="268"/>
      <c r="IWH815" s="268"/>
      <c r="IWI815" s="268"/>
      <c r="IWJ815" s="268"/>
      <c r="IWK815" s="268"/>
      <c r="IWL815" s="268"/>
      <c r="IWM815" s="268"/>
      <c r="IWN815" s="268"/>
      <c r="IWO815" s="268"/>
      <c r="IWP815" s="268"/>
      <c r="IWQ815" s="268"/>
      <c r="IWR815" s="268"/>
      <c r="IWS815" s="268"/>
      <c r="IWT815" s="268"/>
      <c r="IWU815" s="268"/>
      <c r="IWV815" s="268"/>
      <c r="IWW815" s="268"/>
      <c r="IWX815" s="268"/>
      <c r="IWY815" s="268"/>
      <c r="IWZ815" s="268"/>
      <c r="IXA815" s="268"/>
      <c r="IXB815" s="268"/>
      <c r="IXC815" s="268"/>
      <c r="IXD815" s="268"/>
      <c r="IXE815" s="268"/>
      <c r="IXF815" s="268"/>
      <c r="IXG815" s="268"/>
      <c r="IXH815" s="268"/>
      <c r="IXI815" s="268"/>
      <c r="IXJ815" s="268"/>
      <c r="IXK815" s="268"/>
      <c r="IXL815" s="268"/>
      <c r="IXM815" s="268"/>
      <c r="IXN815" s="268"/>
      <c r="IXO815" s="268"/>
      <c r="IXP815" s="268"/>
      <c r="IXQ815" s="268"/>
      <c r="IXR815" s="268"/>
      <c r="IXS815" s="268"/>
      <c r="IXT815" s="268"/>
      <c r="IXU815" s="268"/>
      <c r="IXV815" s="268"/>
      <c r="IXW815" s="268"/>
      <c r="IXX815" s="268"/>
      <c r="IXY815" s="268"/>
      <c r="IXZ815" s="268"/>
      <c r="IYA815" s="268"/>
      <c r="IYB815" s="268"/>
      <c r="IYC815" s="268"/>
      <c r="IYD815" s="268"/>
      <c r="IYE815" s="268"/>
      <c r="IYF815" s="268"/>
      <c r="IYG815" s="268"/>
      <c r="IYH815" s="268"/>
      <c r="IYI815" s="268"/>
      <c r="IYJ815" s="268"/>
      <c r="IYK815" s="268"/>
      <c r="IYL815" s="268"/>
      <c r="IYM815" s="268"/>
      <c r="IYN815" s="268"/>
      <c r="IYO815" s="268"/>
      <c r="IYP815" s="268"/>
      <c r="IYQ815" s="268"/>
      <c r="IYR815" s="268"/>
      <c r="IYS815" s="268"/>
      <c r="IYT815" s="268"/>
      <c r="IYU815" s="268"/>
      <c r="IYV815" s="268"/>
      <c r="IYW815" s="268"/>
      <c r="IYX815" s="268"/>
      <c r="IYY815" s="268"/>
      <c r="IYZ815" s="268"/>
      <c r="IZA815" s="268"/>
      <c r="IZB815" s="268"/>
      <c r="IZC815" s="268"/>
      <c r="IZD815" s="268"/>
      <c r="IZE815" s="268"/>
      <c r="IZF815" s="268"/>
      <c r="IZG815" s="268"/>
      <c r="IZH815" s="268"/>
      <c r="IZI815" s="268"/>
      <c r="IZJ815" s="268"/>
      <c r="IZK815" s="268"/>
      <c r="IZL815" s="268"/>
      <c r="IZM815" s="268"/>
      <c r="IZN815" s="268"/>
      <c r="IZO815" s="268"/>
      <c r="IZP815" s="268"/>
      <c r="IZQ815" s="268"/>
      <c r="IZR815" s="268"/>
      <c r="IZS815" s="268"/>
      <c r="IZT815" s="268"/>
      <c r="IZU815" s="268"/>
      <c r="IZV815" s="268"/>
      <c r="IZW815" s="268"/>
      <c r="IZX815" s="268"/>
      <c r="IZY815" s="268"/>
      <c r="IZZ815" s="268"/>
      <c r="JAA815" s="268"/>
      <c r="JAB815" s="268"/>
      <c r="JAC815" s="268"/>
      <c r="JAD815" s="268"/>
      <c r="JAE815" s="268"/>
      <c r="JAF815" s="268"/>
      <c r="JAG815" s="268"/>
      <c r="JAH815" s="268"/>
      <c r="JAI815" s="268"/>
      <c r="JAJ815" s="268"/>
      <c r="JAK815" s="268"/>
      <c r="JAL815" s="268"/>
      <c r="JAM815" s="268"/>
      <c r="JAN815" s="268"/>
      <c r="JAO815" s="268"/>
      <c r="JAP815" s="268"/>
      <c r="JAQ815" s="268"/>
      <c r="JAR815" s="268"/>
      <c r="JAS815" s="268"/>
      <c r="JAT815" s="268"/>
      <c r="JAU815" s="268"/>
      <c r="JAV815" s="268"/>
      <c r="JAW815" s="268"/>
      <c r="JAX815" s="268"/>
      <c r="JAY815" s="268"/>
      <c r="JAZ815" s="268"/>
      <c r="JBA815" s="268"/>
      <c r="JBB815" s="268"/>
      <c r="JBC815" s="268"/>
      <c r="JBD815" s="268"/>
      <c r="JBE815" s="268"/>
      <c r="JBF815" s="268"/>
      <c r="JBG815" s="268"/>
      <c r="JBH815" s="268"/>
      <c r="JBI815" s="268"/>
      <c r="JBJ815" s="268"/>
      <c r="JBK815" s="268"/>
      <c r="JBL815" s="268"/>
      <c r="JBM815" s="268"/>
      <c r="JBN815" s="268"/>
      <c r="JBO815" s="268"/>
      <c r="JBP815" s="268"/>
      <c r="JBQ815" s="268"/>
      <c r="JBR815" s="268"/>
      <c r="JBS815" s="268"/>
      <c r="JBT815" s="268"/>
      <c r="JBU815" s="268"/>
      <c r="JBV815" s="268"/>
      <c r="JBW815" s="268"/>
      <c r="JBX815" s="268"/>
      <c r="JBY815" s="268"/>
      <c r="JBZ815" s="268"/>
      <c r="JCA815" s="268"/>
      <c r="JCB815" s="268"/>
      <c r="JCC815" s="268"/>
      <c r="JCD815" s="268"/>
      <c r="JCE815" s="268"/>
      <c r="JCF815" s="268"/>
      <c r="JCG815" s="268"/>
      <c r="JCH815" s="268"/>
      <c r="JCI815" s="268"/>
      <c r="JCJ815" s="268"/>
      <c r="JCK815" s="268"/>
      <c r="JCL815" s="268"/>
      <c r="JCM815" s="268"/>
      <c r="JCN815" s="268"/>
      <c r="JCO815" s="268"/>
      <c r="JCP815" s="268"/>
      <c r="JCQ815" s="268"/>
      <c r="JCR815" s="268"/>
      <c r="JCS815" s="268"/>
      <c r="JCT815" s="268"/>
      <c r="JCU815" s="268"/>
      <c r="JCV815" s="268"/>
      <c r="JCW815" s="268"/>
      <c r="JCX815" s="268"/>
      <c r="JCY815" s="268"/>
      <c r="JCZ815" s="268"/>
      <c r="JDA815" s="268"/>
      <c r="JDB815" s="268"/>
      <c r="JDC815" s="268"/>
      <c r="JDD815" s="268"/>
      <c r="JDE815" s="268"/>
      <c r="JDF815" s="268"/>
      <c r="JDG815" s="268"/>
      <c r="JDH815" s="268"/>
      <c r="JDI815" s="268"/>
      <c r="JDJ815" s="268"/>
      <c r="JDK815" s="268"/>
      <c r="JDL815" s="268"/>
      <c r="JDM815" s="268"/>
      <c r="JDN815" s="268"/>
      <c r="JDO815" s="268"/>
      <c r="JDP815" s="268"/>
      <c r="JDQ815" s="268"/>
      <c r="JDR815" s="268"/>
      <c r="JDS815" s="268"/>
      <c r="JDT815" s="268"/>
      <c r="JDU815" s="268"/>
      <c r="JDV815" s="268"/>
      <c r="JDW815" s="268"/>
      <c r="JDX815" s="268"/>
      <c r="JDY815" s="268"/>
      <c r="JDZ815" s="268"/>
      <c r="JEA815" s="268"/>
      <c r="JEB815" s="268"/>
      <c r="JEC815" s="268"/>
      <c r="JED815" s="268"/>
      <c r="JEE815" s="268"/>
      <c r="JEF815" s="268"/>
      <c r="JEG815" s="268"/>
      <c r="JEH815" s="268"/>
      <c r="JEI815" s="268"/>
      <c r="JEJ815" s="268"/>
      <c r="JEK815" s="268"/>
      <c r="JEL815" s="268"/>
      <c r="JEM815" s="268"/>
      <c r="JFA815" s="268"/>
      <c r="JFB815" s="268"/>
      <c r="JFC815" s="268"/>
      <c r="JFQ815" s="268"/>
      <c r="JFS815" s="268"/>
      <c r="JFT815" s="268"/>
      <c r="JFU815" s="268"/>
      <c r="JFV815" s="268"/>
      <c r="JFW815" s="268"/>
      <c r="JFX815" s="268"/>
      <c r="JFY815" s="268"/>
      <c r="JFZ815" s="268"/>
      <c r="JGA815" s="268"/>
      <c r="JGB815" s="268"/>
      <c r="JGC815" s="268"/>
      <c r="JGD815" s="268"/>
      <c r="JGE815" s="268"/>
      <c r="JGF815" s="268"/>
      <c r="JGG815" s="268"/>
      <c r="JGH815" s="268"/>
      <c r="JGI815" s="268"/>
      <c r="JGJ815" s="268"/>
      <c r="JGK815" s="268"/>
      <c r="JGL815" s="268"/>
      <c r="JGM815" s="268"/>
      <c r="JGN815" s="268"/>
      <c r="JGO815" s="268"/>
      <c r="JGP815" s="268"/>
      <c r="JGQ815" s="268"/>
      <c r="JGR815" s="268"/>
      <c r="JGS815" s="268"/>
      <c r="JGT815" s="268"/>
      <c r="JGU815" s="268"/>
      <c r="JGV815" s="268"/>
      <c r="JGW815" s="268"/>
      <c r="JGX815" s="268"/>
      <c r="JGY815" s="268"/>
      <c r="JGZ815" s="268"/>
      <c r="JHA815" s="268"/>
      <c r="JHB815" s="268"/>
      <c r="JHC815" s="268"/>
      <c r="JHD815" s="268"/>
      <c r="JHE815" s="268"/>
      <c r="JHF815" s="268"/>
      <c r="JHG815" s="268"/>
      <c r="JHH815" s="268"/>
      <c r="JHI815" s="268"/>
      <c r="JHJ815" s="268"/>
      <c r="JHK815" s="268"/>
      <c r="JHL815" s="268"/>
      <c r="JHM815" s="268"/>
      <c r="JHN815" s="268"/>
      <c r="JHO815" s="268"/>
      <c r="JHP815" s="268"/>
      <c r="JHQ815" s="268"/>
      <c r="JHR815" s="268"/>
      <c r="JHS815" s="268"/>
      <c r="JHT815" s="268"/>
      <c r="JHU815" s="268"/>
      <c r="JHV815" s="268"/>
      <c r="JHW815" s="268"/>
      <c r="JHX815" s="268"/>
      <c r="JHY815" s="268"/>
      <c r="JHZ815" s="268"/>
      <c r="JIA815" s="268"/>
      <c r="JIB815" s="268"/>
      <c r="JIC815" s="268"/>
      <c r="JID815" s="268"/>
      <c r="JIE815" s="268"/>
      <c r="JIF815" s="268"/>
      <c r="JIG815" s="268"/>
      <c r="JIH815" s="268"/>
      <c r="JII815" s="268"/>
      <c r="JIJ815" s="268"/>
      <c r="JIK815" s="268"/>
      <c r="JIL815" s="268"/>
      <c r="JIM815" s="268"/>
      <c r="JIN815" s="268"/>
      <c r="JIO815" s="268"/>
      <c r="JIP815" s="268"/>
      <c r="JIQ815" s="268"/>
      <c r="JIR815" s="268"/>
      <c r="JIS815" s="268"/>
      <c r="JIT815" s="268"/>
      <c r="JIU815" s="268"/>
      <c r="JIV815" s="268"/>
      <c r="JIW815" s="268"/>
      <c r="JIX815" s="268"/>
      <c r="JIY815" s="268"/>
      <c r="JIZ815" s="268"/>
      <c r="JJA815" s="268"/>
      <c r="JJB815" s="268"/>
      <c r="JJC815" s="268"/>
      <c r="JJD815" s="268"/>
      <c r="JJE815" s="268"/>
      <c r="JJF815" s="268"/>
      <c r="JJG815" s="268"/>
      <c r="JJH815" s="268"/>
      <c r="JJI815" s="268"/>
      <c r="JJJ815" s="268"/>
      <c r="JJK815" s="268"/>
      <c r="JJL815" s="268"/>
      <c r="JJM815" s="268"/>
      <c r="JJN815" s="268"/>
      <c r="JJO815" s="268"/>
      <c r="JJP815" s="268"/>
      <c r="JJQ815" s="268"/>
      <c r="JJR815" s="268"/>
      <c r="JJS815" s="268"/>
      <c r="JJT815" s="268"/>
      <c r="JJU815" s="268"/>
      <c r="JJV815" s="268"/>
      <c r="JJW815" s="268"/>
      <c r="JJX815" s="268"/>
      <c r="JJY815" s="268"/>
      <c r="JJZ815" s="268"/>
      <c r="JKA815" s="268"/>
      <c r="JKB815" s="268"/>
      <c r="JKC815" s="268"/>
      <c r="JKD815" s="268"/>
      <c r="JKE815" s="268"/>
      <c r="JKF815" s="268"/>
      <c r="JKG815" s="268"/>
      <c r="JKH815" s="268"/>
      <c r="JKI815" s="268"/>
      <c r="JKJ815" s="268"/>
      <c r="JKK815" s="268"/>
      <c r="JKL815" s="268"/>
      <c r="JKM815" s="268"/>
      <c r="JKN815" s="268"/>
      <c r="JKO815" s="268"/>
      <c r="JKP815" s="268"/>
      <c r="JKQ815" s="268"/>
      <c r="JKR815" s="268"/>
      <c r="JKS815" s="268"/>
      <c r="JKT815" s="268"/>
      <c r="JKU815" s="268"/>
      <c r="JKV815" s="268"/>
      <c r="JKW815" s="268"/>
      <c r="JKX815" s="268"/>
      <c r="JKY815" s="268"/>
      <c r="JKZ815" s="268"/>
      <c r="JLA815" s="268"/>
      <c r="JLB815" s="268"/>
      <c r="JLC815" s="268"/>
      <c r="JLD815" s="268"/>
      <c r="JLE815" s="268"/>
      <c r="JLF815" s="268"/>
      <c r="JLG815" s="268"/>
      <c r="JLH815" s="268"/>
      <c r="JLI815" s="268"/>
      <c r="JLJ815" s="268"/>
      <c r="JLK815" s="268"/>
      <c r="JLL815" s="268"/>
      <c r="JLM815" s="268"/>
      <c r="JLN815" s="268"/>
      <c r="JLO815" s="268"/>
      <c r="JLP815" s="268"/>
      <c r="JLQ815" s="268"/>
      <c r="JLR815" s="268"/>
      <c r="JLS815" s="268"/>
      <c r="JLT815" s="268"/>
      <c r="JLU815" s="268"/>
      <c r="JLV815" s="268"/>
      <c r="JLW815" s="268"/>
      <c r="JLX815" s="268"/>
      <c r="JLY815" s="268"/>
      <c r="JLZ815" s="268"/>
      <c r="JMA815" s="268"/>
      <c r="JMB815" s="268"/>
      <c r="JMC815" s="268"/>
      <c r="JMD815" s="268"/>
      <c r="JME815" s="268"/>
      <c r="JMF815" s="268"/>
      <c r="JMG815" s="268"/>
      <c r="JMH815" s="268"/>
      <c r="JMI815" s="268"/>
      <c r="JMJ815" s="268"/>
      <c r="JMK815" s="268"/>
      <c r="JML815" s="268"/>
      <c r="JMM815" s="268"/>
      <c r="JMN815" s="268"/>
      <c r="JMO815" s="268"/>
      <c r="JMP815" s="268"/>
      <c r="JMQ815" s="268"/>
      <c r="JMR815" s="268"/>
      <c r="JMS815" s="268"/>
      <c r="JMT815" s="268"/>
      <c r="JMU815" s="268"/>
      <c r="JMV815" s="268"/>
      <c r="JMW815" s="268"/>
      <c r="JMX815" s="268"/>
      <c r="JMY815" s="268"/>
      <c r="JMZ815" s="268"/>
      <c r="JNA815" s="268"/>
      <c r="JNB815" s="268"/>
      <c r="JNC815" s="268"/>
      <c r="JND815" s="268"/>
      <c r="JNE815" s="268"/>
      <c r="JNF815" s="268"/>
      <c r="JNG815" s="268"/>
      <c r="JNH815" s="268"/>
      <c r="JNI815" s="268"/>
      <c r="JNJ815" s="268"/>
      <c r="JNK815" s="268"/>
      <c r="JNL815" s="268"/>
      <c r="JNM815" s="268"/>
      <c r="JNN815" s="268"/>
      <c r="JNO815" s="268"/>
      <c r="JNP815" s="268"/>
      <c r="JNQ815" s="268"/>
      <c r="JNR815" s="268"/>
      <c r="JNS815" s="268"/>
      <c r="JNT815" s="268"/>
      <c r="JNU815" s="268"/>
      <c r="JNV815" s="268"/>
      <c r="JNW815" s="268"/>
      <c r="JNX815" s="268"/>
      <c r="JNY815" s="268"/>
      <c r="JNZ815" s="268"/>
      <c r="JOA815" s="268"/>
      <c r="JOB815" s="268"/>
      <c r="JOC815" s="268"/>
      <c r="JOD815" s="268"/>
      <c r="JOE815" s="268"/>
      <c r="JOF815" s="268"/>
      <c r="JOG815" s="268"/>
      <c r="JOH815" s="268"/>
      <c r="JOI815" s="268"/>
      <c r="JOW815" s="268"/>
      <c r="JOX815" s="268"/>
      <c r="JOY815" s="268"/>
      <c r="JPM815" s="268"/>
      <c r="JPO815" s="268"/>
      <c r="JPP815" s="268"/>
      <c r="JPQ815" s="268"/>
      <c r="JPR815" s="268"/>
      <c r="JPS815" s="268"/>
      <c r="JPT815" s="268"/>
      <c r="JPU815" s="268"/>
      <c r="JPV815" s="268"/>
      <c r="JPW815" s="268"/>
      <c r="JPX815" s="268"/>
      <c r="JPY815" s="268"/>
      <c r="JPZ815" s="268"/>
      <c r="JQA815" s="268"/>
      <c r="JQB815" s="268"/>
      <c r="JQC815" s="268"/>
      <c r="JQD815" s="268"/>
      <c r="JQE815" s="268"/>
      <c r="JQF815" s="268"/>
      <c r="JQG815" s="268"/>
      <c r="JQH815" s="268"/>
      <c r="JQI815" s="268"/>
      <c r="JQJ815" s="268"/>
      <c r="JQK815" s="268"/>
      <c r="JQL815" s="268"/>
      <c r="JQM815" s="268"/>
      <c r="JQN815" s="268"/>
      <c r="JQO815" s="268"/>
      <c r="JQP815" s="268"/>
      <c r="JQQ815" s="268"/>
      <c r="JQR815" s="268"/>
      <c r="JQS815" s="268"/>
      <c r="JQT815" s="268"/>
      <c r="JQU815" s="268"/>
      <c r="JQV815" s="268"/>
      <c r="JQW815" s="268"/>
      <c r="JQX815" s="268"/>
      <c r="JQY815" s="268"/>
      <c r="JQZ815" s="268"/>
      <c r="JRA815" s="268"/>
      <c r="JRB815" s="268"/>
      <c r="JRC815" s="268"/>
      <c r="JRD815" s="268"/>
      <c r="JRE815" s="268"/>
      <c r="JRF815" s="268"/>
      <c r="JRG815" s="268"/>
      <c r="JRH815" s="268"/>
      <c r="JRI815" s="268"/>
      <c r="JRJ815" s="268"/>
      <c r="JRK815" s="268"/>
      <c r="JRL815" s="268"/>
      <c r="JRM815" s="268"/>
      <c r="JRN815" s="268"/>
      <c r="JRO815" s="268"/>
      <c r="JRP815" s="268"/>
      <c r="JRQ815" s="268"/>
      <c r="JRR815" s="268"/>
      <c r="JRS815" s="268"/>
      <c r="JRT815" s="268"/>
      <c r="JRU815" s="268"/>
      <c r="JRV815" s="268"/>
      <c r="JRW815" s="268"/>
      <c r="JRX815" s="268"/>
      <c r="JRY815" s="268"/>
      <c r="JRZ815" s="268"/>
      <c r="JSA815" s="268"/>
      <c r="JSB815" s="268"/>
      <c r="JSC815" s="268"/>
      <c r="JSD815" s="268"/>
      <c r="JSE815" s="268"/>
      <c r="JSF815" s="268"/>
      <c r="JSG815" s="268"/>
      <c r="JSH815" s="268"/>
      <c r="JSI815" s="268"/>
      <c r="JSJ815" s="268"/>
      <c r="JSK815" s="268"/>
      <c r="JSL815" s="268"/>
      <c r="JSM815" s="268"/>
      <c r="JSN815" s="268"/>
      <c r="JSO815" s="268"/>
      <c r="JSP815" s="268"/>
      <c r="JSQ815" s="268"/>
      <c r="JSR815" s="268"/>
      <c r="JSS815" s="268"/>
      <c r="JST815" s="268"/>
      <c r="JSU815" s="268"/>
      <c r="JSV815" s="268"/>
      <c r="JSW815" s="268"/>
      <c r="JSX815" s="268"/>
      <c r="JSY815" s="268"/>
      <c r="JSZ815" s="268"/>
      <c r="JTA815" s="268"/>
      <c r="JTB815" s="268"/>
      <c r="JTC815" s="268"/>
      <c r="JTD815" s="268"/>
      <c r="JTE815" s="268"/>
      <c r="JTF815" s="268"/>
      <c r="JTG815" s="268"/>
      <c r="JTH815" s="268"/>
      <c r="JTI815" s="268"/>
      <c r="JTJ815" s="268"/>
      <c r="JTK815" s="268"/>
      <c r="JTL815" s="268"/>
      <c r="JTM815" s="268"/>
      <c r="JTN815" s="268"/>
      <c r="JTO815" s="268"/>
      <c r="JTP815" s="268"/>
      <c r="JTQ815" s="268"/>
      <c r="JTR815" s="268"/>
      <c r="JTS815" s="268"/>
      <c r="JTT815" s="268"/>
      <c r="JTU815" s="268"/>
      <c r="JTV815" s="268"/>
      <c r="JTW815" s="268"/>
      <c r="JTX815" s="268"/>
      <c r="JTY815" s="268"/>
      <c r="JTZ815" s="268"/>
      <c r="JUA815" s="268"/>
      <c r="JUB815" s="268"/>
      <c r="JUC815" s="268"/>
      <c r="JUD815" s="268"/>
      <c r="JUE815" s="268"/>
      <c r="JUF815" s="268"/>
      <c r="JUG815" s="268"/>
      <c r="JUH815" s="268"/>
      <c r="JUI815" s="268"/>
      <c r="JUJ815" s="268"/>
      <c r="JUK815" s="268"/>
      <c r="JUL815" s="268"/>
      <c r="JUM815" s="268"/>
      <c r="JUN815" s="268"/>
      <c r="JUO815" s="268"/>
      <c r="JUP815" s="268"/>
      <c r="JUQ815" s="268"/>
      <c r="JUR815" s="268"/>
      <c r="JUS815" s="268"/>
      <c r="JUT815" s="268"/>
      <c r="JUU815" s="268"/>
      <c r="JUV815" s="268"/>
      <c r="JUW815" s="268"/>
      <c r="JUX815" s="268"/>
      <c r="JUY815" s="268"/>
      <c r="JUZ815" s="268"/>
      <c r="JVA815" s="268"/>
      <c r="JVB815" s="268"/>
      <c r="JVC815" s="268"/>
      <c r="JVD815" s="268"/>
      <c r="JVE815" s="268"/>
      <c r="JVF815" s="268"/>
      <c r="JVG815" s="268"/>
      <c r="JVH815" s="268"/>
      <c r="JVI815" s="268"/>
      <c r="JVJ815" s="268"/>
      <c r="JVK815" s="268"/>
      <c r="JVL815" s="268"/>
      <c r="JVM815" s="268"/>
      <c r="JVN815" s="268"/>
      <c r="JVO815" s="268"/>
      <c r="JVP815" s="268"/>
      <c r="JVQ815" s="268"/>
      <c r="JVR815" s="268"/>
      <c r="JVS815" s="268"/>
      <c r="JVT815" s="268"/>
      <c r="JVU815" s="268"/>
      <c r="JVV815" s="268"/>
      <c r="JVW815" s="268"/>
      <c r="JVX815" s="268"/>
      <c r="JVY815" s="268"/>
      <c r="JVZ815" s="268"/>
      <c r="JWA815" s="268"/>
      <c r="JWB815" s="268"/>
      <c r="JWC815" s="268"/>
      <c r="JWD815" s="268"/>
      <c r="JWE815" s="268"/>
      <c r="JWF815" s="268"/>
      <c r="JWG815" s="268"/>
      <c r="JWH815" s="268"/>
      <c r="JWI815" s="268"/>
      <c r="JWJ815" s="268"/>
      <c r="JWK815" s="268"/>
      <c r="JWL815" s="268"/>
      <c r="JWM815" s="268"/>
      <c r="JWN815" s="268"/>
      <c r="JWO815" s="268"/>
      <c r="JWP815" s="268"/>
      <c r="JWQ815" s="268"/>
      <c r="JWR815" s="268"/>
      <c r="JWS815" s="268"/>
      <c r="JWT815" s="268"/>
      <c r="JWU815" s="268"/>
      <c r="JWV815" s="268"/>
      <c r="JWW815" s="268"/>
      <c r="JWX815" s="268"/>
      <c r="JWY815" s="268"/>
      <c r="JWZ815" s="268"/>
      <c r="JXA815" s="268"/>
      <c r="JXB815" s="268"/>
      <c r="JXC815" s="268"/>
      <c r="JXD815" s="268"/>
      <c r="JXE815" s="268"/>
      <c r="JXF815" s="268"/>
      <c r="JXG815" s="268"/>
      <c r="JXH815" s="268"/>
      <c r="JXI815" s="268"/>
      <c r="JXJ815" s="268"/>
      <c r="JXK815" s="268"/>
      <c r="JXL815" s="268"/>
      <c r="JXM815" s="268"/>
      <c r="JXN815" s="268"/>
      <c r="JXO815" s="268"/>
      <c r="JXP815" s="268"/>
      <c r="JXQ815" s="268"/>
      <c r="JXR815" s="268"/>
      <c r="JXS815" s="268"/>
      <c r="JXT815" s="268"/>
      <c r="JXU815" s="268"/>
      <c r="JXV815" s="268"/>
      <c r="JXW815" s="268"/>
      <c r="JXX815" s="268"/>
      <c r="JXY815" s="268"/>
      <c r="JXZ815" s="268"/>
      <c r="JYA815" s="268"/>
      <c r="JYB815" s="268"/>
      <c r="JYC815" s="268"/>
      <c r="JYD815" s="268"/>
      <c r="JYE815" s="268"/>
      <c r="JYS815" s="268"/>
      <c r="JYT815" s="268"/>
      <c r="JYU815" s="268"/>
      <c r="JZI815" s="268"/>
      <c r="JZK815" s="268"/>
      <c r="JZL815" s="268"/>
      <c r="JZM815" s="268"/>
      <c r="JZN815" s="268"/>
      <c r="JZO815" s="268"/>
      <c r="JZP815" s="268"/>
      <c r="JZQ815" s="268"/>
      <c r="JZR815" s="268"/>
      <c r="JZS815" s="268"/>
      <c r="JZT815" s="268"/>
      <c r="JZU815" s="268"/>
      <c r="JZV815" s="268"/>
      <c r="JZW815" s="268"/>
      <c r="JZX815" s="268"/>
      <c r="JZY815" s="268"/>
      <c r="JZZ815" s="268"/>
      <c r="KAA815" s="268"/>
      <c r="KAB815" s="268"/>
      <c r="KAC815" s="268"/>
      <c r="KAD815" s="268"/>
      <c r="KAE815" s="268"/>
      <c r="KAF815" s="268"/>
      <c r="KAG815" s="268"/>
      <c r="KAH815" s="268"/>
      <c r="KAI815" s="268"/>
      <c r="KAJ815" s="268"/>
      <c r="KAK815" s="268"/>
      <c r="KAL815" s="268"/>
      <c r="KAM815" s="268"/>
      <c r="KAN815" s="268"/>
      <c r="KAO815" s="268"/>
      <c r="KAP815" s="268"/>
      <c r="KAQ815" s="268"/>
      <c r="KAR815" s="268"/>
      <c r="KAS815" s="268"/>
      <c r="KAT815" s="268"/>
      <c r="KAU815" s="268"/>
      <c r="KAV815" s="268"/>
      <c r="KAW815" s="268"/>
      <c r="KAX815" s="268"/>
      <c r="KAY815" s="268"/>
      <c r="KAZ815" s="268"/>
      <c r="KBA815" s="268"/>
      <c r="KBB815" s="268"/>
      <c r="KBC815" s="268"/>
      <c r="KBD815" s="268"/>
      <c r="KBE815" s="268"/>
      <c r="KBF815" s="268"/>
      <c r="KBG815" s="268"/>
      <c r="KBH815" s="268"/>
      <c r="KBI815" s="268"/>
      <c r="KBJ815" s="268"/>
      <c r="KBK815" s="268"/>
      <c r="KBL815" s="268"/>
      <c r="KBM815" s="268"/>
      <c r="KBN815" s="268"/>
      <c r="KBO815" s="268"/>
      <c r="KBP815" s="268"/>
      <c r="KBQ815" s="268"/>
      <c r="KBR815" s="268"/>
      <c r="KBS815" s="268"/>
      <c r="KBT815" s="268"/>
      <c r="KBU815" s="268"/>
      <c r="KBV815" s="268"/>
      <c r="KBW815" s="268"/>
      <c r="KBX815" s="268"/>
      <c r="KBY815" s="268"/>
      <c r="KBZ815" s="268"/>
      <c r="KCA815" s="268"/>
      <c r="KCB815" s="268"/>
      <c r="KCC815" s="268"/>
      <c r="KCD815" s="268"/>
      <c r="KCE815" s="268"/>
      <c r="KCF815" s="268"/>
      <c r="KCG815" s="268"/>
      <c r="KCH815" s="268"/>
      <c r="KCI815" s="268"/>
      <c r="KCJ815" s="268"/>
      <c r="KCK815" s="268"/>
      <c r="KCL815" s="268"/>
      <c r="KCM815" s="268"/>
      <c r="KCN815" s="268"/>
      <c r="KCO815" s="268"/>
      <c r="KCP815" s="268"/>
      <c r="KCQ815" s="268"/>
      <c r="KCR815" s="268"/>
      <c r="KCS815" s="268"/>
      <c r="KCT815" s="268"/>
      <c r="KCU815" s="268"/>
      <c r="KCV815" s="268"/>
      <c r="KCW815" s="268"/>
      <c r="KCX815" s="268"/>
      <c r="KCY815" s="268"/>
      <c r="KCZ815" s="268"/>
      <c r="KDA815" s="268"/>
      <c r="KDB815" s="268"/>
      <c r="KDC815" s="268"/>
      <c r="KDD815" s="268"/>
      <c r="KDE815" s="268"/>
      <c r="KDF815" s="268"/>
      <c r="KDG815" s="268"/>
      <c r="KDH815" s="268"/>
      <c r="KDI815" s="268"/>
      <c r="KDJ815" s="268"/>
      <c r="KDK815" s="268"/>
      <c r="KDL815" s="268"/>
      <c r="KDM815" s="268"/>
      <c r="KDN815" s="268"/>
      <c r="KDO815" s="268"/>
      <c r="KDP815" s="268"/>
      <c r="KDQ815" s="268"/>
      <c r="KDR815" s="268"/>
      <c r="KDS815" s="268"/>
      <c r="KDT815" s="268"/>
      <c r="KDU815" s="268"/>
      <c r="KDV815" s="268"/>
      <c r="KDW815" s="268"/>
      <c r="KDX815" s="268"/>
      <c r="KDY815" s="268"/>
      <c r="KDZ815" s="268"/>
      <c r="KEA815" s="268"/>
      <c r="KEB815" s="268"/>
      <c r="KEC815" s="268"/>
      <c r="KED815" s="268"/>
      <c r="KEE815" s="268"/>
      <c r="KEF815" s="268"/>
      <c r="KEG815" s="268"/>
      <c r="KEH815" s="268"/>
      <c r="KEI815" s="268"/>
      <c r="KEJ815" s="268"/>
      <c r="KEK815" s="268"/>
      <c r="KEL815" s="268"/>
      <c r="KEM815" s="268"/>
      <c r="KEN815" s="268"/>
      <c r="KEO815" s="268"/>
      <c r="KEP815" s="268"/>
      <c r="KEQ815" s="268"/>
      <c r="KER815" s="268"/>
      <c r="KES815" s="268"/>
      <c r="KET815" s="268"/>
      <c r="KEU815" s="268"/>
      <c r="KEV815" s="268"/>
      <c r="KEW815" s="268"/>
      <c r="KEX815" s="268"/>
      <c r="KEY815" s="268"/>
      <c r="KEZ815" s="268"/>
      <c r="KFA815" s="268"/>
      <c r="KFB815" s="268"/>
      <c r="KFC815" s="268"/>
      <c r="KFD815" s="268"/>
      <c r="KFE815" s="268"/>
      <c r="KFF815" s="268"/>
      <c r="KFG815" s="268"/>
      <c r="KFH815" s="268"/>
      <c r="KFI815" s="268"/>
      <c r="KFJ815" s="268"/>
      <c r="KFK815" s="268"/>
      <c r="KFL815" s="268"/>
      <c r="KFM815" s="268"/>
      <c r="KFN815" s="268"/>
      <c r="KFO815" s="268"/>
      <c r="KFP815" s="268"/>
      <c r="KFQ815" s="268"/>
      <c r="KFR815" s="268"/>
      <c r="KFS815" s="268"/>
      <c r="KFT815" s="268"/>
      <c r="KFU815" s="268"/>
      <c r="KFV815" s="268"/>
      <c r="KFW815" s="268"/>
      <c r="KFX815" s="268"/>
      <c r="KFY815" s="268"/>
      <c r="KFZ815" s="268"/>
      <c r="KGA815" s="268"/>
      <c r="KGB815" s="268"/>
      <c r="KGC815" s="268"/>
      <c r="KGD815" s="268"/>
      <c r="KGE815" s="268"/>
      <c r="KGF815" s="268"/>
      <c r="KGG815" s="268"/>
      <c r="KGH815" s="268"/>
      <c r="KGI815" s="268"/>
      <c r="KGJ815" s="268"/>
      <c r="KGK815" s="268"/>
      <c r="KGL815" s="268"/>
      <c r="KGM815" s="268"/>
      <c r="KGN815" s="268"/>
      <c r="KGO815" s="268"/>
      <c r="KGP815" s="268"/>
      <c r="KGQ815" s="268"/>
      <c r="KGR815" s="268"/>
      <c r="KGS815" s="268"/>
      <c r="KGT815" s="268"/>
      <c r="KGU815" s="268"/>
      <c r="KGV815" s="268"/>
      <c r="KGW815" s="268"/>
      <c r="KGX815" s="268"/>
      <c r="KGY815" s="268"/>
      <c r="KGZ815" s="268"/>
      <c r="KHA815" s="268"/>
      <c r="KHB815" s="268"/>
      <c r="KHC815" s="268"/>
      <c r="KHD815" s="268"/>
      <c r="KHE815" s="268"/>
      <c r="KHF815" s="268"/>
      <c r="KHG815" s="268"/>
      <c r="KHH815" s="268"/>
      <c r="KHI815" s="268"/>
      <c r="KHJ815" s="268"/>
      <c r="KHK815" s="268"/>
      <c r="KHL815" s="268"/>
      <c r="KHM815" s="268"/>
      <c r="KHN815" s="268"/>
      <c r="KHO815" s="268"/>
      <c r="KHP815" s="268"/>
      <c r="KHQ815" s="268"/>
      <c r="KHR815" s="268"/>
      <c r="KHS815" s="268"/>
      <c r="KHT815" s="268"/>
      <c r="KHU815" s="268"/>
      <c r="KHV815" s="268"/>
      <c r="KHW815" s="268"/>
      <c r="KHX815" s="268"/>
      <c r="KHY815" s="268"/>
      <c r="KHZ815" s="268"/>
      <c r="KIA815" s="268"/>
      <c r="KIO815" s="268"/>
      <c r="KIP815" s="268"/>
      <c r="KIQ815" s="268"/>
      <c r="KJE815" s="268"/>
      <c r="KJG815" s="268"/>
      <c r="KJH815" s="268"/>
      <c r="KJI815" s="268"/>
      <c r="KJJ815" s="268"/>
      <c r="KJK815" s="268"/>
      <c r="KJL815" s="268"/>
      <c r="KJM815" s="268"/>
      <c r="KJN815" s="268"/>
      <c r="KJO815" s="268"/>
      <c r="KJP815" s="268"/>
      <c r="KJQ815" s="268"/>
      <c r="KJR815" s="268"/>
      <c r="KJS815" s="268"/>
      <c r="KJT815" s="268"/>
      <c r="KJU815" s="268"/>
      <c r="KJV815" s="268"/>
      <c r="KJW815" s="268"/>
      <c r="KJX815" s="268"/>
      <c r="KJY815" s="268"/>
      <c r="KJZ815" s="268"/>
      <c r="KKA815" s="268"/>
      <c r="KKB815" s="268"/>
      <c r="KKC815" s="268"/>
      <c r="KKD815" s="268"/>
      <c r="KKE815" s="268"/>
      <c r="KKF815" s="268"/>
      <c r="KKG815" s="268"/>
      <c r="KKH815" s="268"/>
      <c r="KKI815" s="268"/>
      <c r="KKJ815" s="268"/>
      <c r="KKK815" s="268"/>
      <c r="KKL815" s="268"/>
      <c r="KKM815" s="268"/>
      <c r="KKN815" s="268"/>
      <c r="KKO815" s="268"/>
      <c r="KKP815" s="268"/>
      <c r="KKQ815" s="268"/>
      <c r="KKR815" s="268"/>
      <c r="KKS815" s="268"/>
      <c r="KKT815" s="268"/>
      <c r="KKU815" s="268"/>
      <c r="KKV815" s="268"/>
      <c r="KKW815" s="268"/>
      <c r="KKX815" s="268"/>
      <c r="KKY815" s="268"/>
      <c r="KKZ815" s="268"/>
      <c r="KLA815" s="268"/>
      <c r="KLB815" s="268"/>
      <c r="KLC815" s="268"/>
      <c r="KLD815" s="268"/>
      <c r="KLE815" s="268"/>
      <c r="KLF815" s="268"/>
      <c r="KLG815" s="268"/>
      <c r="KLH815" s="268"/>
      <c r="KLI815" s="268"/>
      <c r="KLJ815" s="268"/>
      <c r="KLK815" s="268"/>
      <c r="KLL815" s="268"/>
      <c r="KLM815" s="268"/>
      <c r="KLN815" s="268"/>
      <c r="KLO815" s="268"/>
      <c r="KLP815" s="268"/>
      <c r="KLQ815" s="268"/>
      <c r="KLR815" s="268"/>
      <c r="KLS815" s="268"/>
      <c r="KLT815" s="268"/>
      <c r="KLU815" s="268"/>
      <c r="KLV815" s="268"/>
      <c r="KLW815" s="268"/>
      <c r="KLX815" s="268"/>
      <c r="KLY815" s="268"/>
      <c r="KLZ815" s="268"/>
      <c r="KMA815" s="268"/>
      <c r="KMB815" s="268"/>
      <c r="KMC815" s="268"/>
      <c r="KMD815" s="268"/>
      <c r="KME815" s="268"/>
      <c r="KMF815" s="268"/>
      <c r="KMG815" s="268"/>
      <c r="KMH815" s="268"/>
      <c r="KMI815" s="268"/>
      <c r="KMJ815" s="268"/>
      <c r="KMK815" s="268"/>
      <c r="KML815" s="268"/>
      <c r="KMM815" s="268"/>
      <c r="KMN815" s="268"/>
      <c r="KMO815" s="268"/>
      <c r="KMP815" s="268"/>
      <c r="KMQ815" s="268"/>
      <c r="KMR815" s="268"/>
      <c r="KMS815" s="268"/>
      <c r="KMT815" s="268"/>
      <c r="KMU815" s="268"/>
      <c r="KMV815" s="268"/>
      <c r="KMW815" s="268"/>
      <c r="KMX815" s="268"/>
      <c r="KMY815" s="268"/>
      <c r="KMZ815" s="268"/>
      <c r="KNA815" s="268"/>
      <c r="KNB815" s="268"/>
      <c r="KNC815" s="268"/>
      <c r="KND815" s="268"/>
      <c r="KNE815" s="268"/>
      <c r="KNF815" s="268"/>
      <c r="KNG815" s="268"/>
      <c r="KNH815" s="268"/>
      <c r="KNI815" s="268"/>
      <c r="KNJ815" s="268"/>
      <c r="KNK815" s="268"/>
      <c r="KNL815" s="268"/>
      <c r="KNM815" s="268"/>
      <c r="KNN815" s="268"/>
      <c r="KNO815" s="268"/>
      <c r="KNP815" s="268"/>
      <c r="KNQ815" s="268"/>
      <c r="KNR815" s="268"/>
      <c r="KNS815" s="268"/>
      <c r="KNT815" s="268"/>
      <c r="KNU815" s="268"/>
      <c r="KNV815" s="268"/>
      <c r="KNW815" s="268"/>
      <c r="KNX815" s="268"/>
      <c r="KNY815" s="268"/>
      <c r="KNZ815" s="268"/>
      <c r="KOA815" s="268"/>
      <c r="KOB815" s="268"/>
      <c r="KOC815" s="268"/>
      <c r="KOD815" s="268"/>
      <c r="KOE815" s="268"/>
      <c r="KOF815" s="268"/>
      <c r="KOG815" s="268"/>
      <c r="KOH815" s="268"/>
      <c r="KOI815" s="268"/>
      <c r="KOJ815" s="268"/>
      <c r="KOK815" s="268"/>
      <c r="KOL815" s="268"/>
      <c r="KOM815" s="268"/>
      <c r="KON815" s="268"/>
      <c r="KOO815" s="268"/>
      <c r="KOP815" s="268"/>
      <c r="KOQ815" s="268"/>
      <c r="KOR815" s="268"/>
      <c r="KOS815" s="268"/>
      <c r="KOT815" s="268"/>
      <c r="KOU815" s="268"/>
      <c r="KOV815" s="268"/>
      <c r="KOW815" s="268"/>
      <c r="KOX815" s="268"/>
      <c r="KOY815" s="268"/>
      <c r="KOZ815" s="268"/>
      <c r="KPA815" s="268"/>
      <c r="KPB815" s="268"/>
      <c r="KPC815" s="268"/>
      <c r="KPD815" s="268"/>
      <c r="KPE815" s="268"/>
      <c r="KPF815" s="268"/>
      <c r="KPG815" s="268"/>
      <c r="KPH815" s="268"/>
      <c r="KPI815" s="268"/>
      <c r="KPJ815" s="268"/>
      <c r="KPK815" s="268"/>
      <c r="KPL815" s="268"/>
      <c r="KPM815" s="268"/>
      <c r="KPN815" s="268"/>
      <c r="KPO815" s="268"/>
      <c r="KPP815" s="268"/>
      <c r="KPQ815" s="268"/>
      <c r="KPR815" s="268"/>
      <c r="KPS815" s="268"/>
      <c r="KPT815" s="268"/>
      <c r="KPU815" s="268"/>
      <c r="KPV815" s="268"/>
      <c r="KPW815" s="268"/>
      <c r="KPX815" s="268"/>
      <c r="KPY815" s="268"/>
      <c r="KPZ815" s="268"/>
      <c r="KQA815" s="268"/>
      <c r="KQB815" s="268"/>
      <c r="KQC815" s="268"/>
      <c r="KQD815" s="268"/>
      <c r="KQE815" s="268"/>
      <c r="KQF815" s="268"/>
      <c r="KQG815" s="268"/>
      <c r="KQH815" s="268"/>
      <c r="KQI815" s="268"/>
      <c r="KQJ815" s="268"/>
      <c r="KQK815" s="268"/>
      <c r="KQL815" s="268"/>
      <c r="KQM815" s="268"/>
      <c r="KQN815" s="268"/>
      <c r="KQO815" s="268"/>
      <c r="KQP815" s="268"/>
      <c r="KQQ815" s="268"/>
      <c r="KQR815" s="268"/>
      <c r="KQS815" s="268"/>
      <c r="KQT815" s="268"/>
      <c r="KQU815" s="268"/>
      <c r="KQV815" s="268"/>
      <c r="KQW815" s="268"/>
      <c r="KQX815" s="268"/>
      <c r="KQY815" s="268"/>
      <c r="KQZ815" s="268"/>
      <c r="KRA815" s="268"/>
      <c r="KRB815" s="268"/>
      <c r="KRC815" s="268"/>
      <c r="KRD815" s="268"/>
      <c r="KRE815" s="268"/>
      <c r="KRF815" s="268"/>
      <c r="KRG815" s="268"/>
      <c r="KRH815" s="268"/>
      <c r="KRI815" s="268"/>
      <c r="KRJ815" s="268"/>
      <c r="KRK815" s="268"/>
      <c r="KRL815" s="268"/>
      <c r="KRM815" s="268"/>
      <c r="KRN815" s="268"/>
      <c r="KRO815" s="268"/>
      <c r="KRP815" s="268"/>
      <c r="KRQ815" s="268"/>
      <c r="KRR815" s="268"/>
      <c r="KRS815" s="268"/>
      <c r="KRT815" s="268"/>
      <c r="KRU815" s="268"/>
      <c r="KRV815" s="268"/>
      <c r="KRW815" s="268"/>
      <c r="KSK815" s="268"/>
      <c r="KSL815" s="268"/>
      <c r="KSM815" s="268"/>
      <c r="KTA815" s="268"/>
      <c r="KTC815" s="268"/>
      <c r="KTD815" s="268"/>
      <c r="KTE815" s="268"/>
      <c r="KTF815" s="268"/>
      <c r="KTG815" s="268"/>
      <c r="KTH815" s="268"/>
      <c r="KTI815" s="268"/>
      <c r="KTJ815" s="268"/>
      <c r="KTK815" s="268"/>
      <c r="KTL815" s="268"/>
      <c r="KTM815" s="268"/>
      <c r="KTN815" s="268"/>
      <c r="KTO815" s="268"/>
      <c r="KTP815" s="268"/>
      <c r="KTQ815" s="268"/>
      <c r="KTR815" s="268"/>
      <c r="KTS815" s="268"/>
      <c r="KTT815" s="268"/>
      <c r="KTU815" s="268"/>
      <c r="KTV815" s="268"/>
      <c r="KTW815" s="268"/>
      <c r="KTX815" s="268"/>
      <c r="KTY815" s="268"/>
      <c r="KTZ815" s="268"/>
      <c r="KUA815" s="268"/>
      <c r="KUB815" s="268"/>
      <c r="KUC815" s="268"/>
      <c r="KUD815" s="268"/>
      <c r="KUE815" s="268"/>
      <c r="KUF815" s="268"/>
      <c r="KUG815" s="268"/>
      <c r="KUH815" s="268"/>
      <c r="KUI815" s="268"/>
      <c r="KUJ815" s="268"/>
      <c r="KUK815" s="268"/>
      <c r="KUL815" s="268"/>
      <c r="KUM815" s="268"/>
      <c r="KUN815" s="268"/>
      <c r="KUO815" s="268"/>
      <c r="KUP815" s="268"/>
      <c r="KUQ815" s="268"/>
      <c r="KUR815" s="268"/>
      <c r="KUS815" s="268"/>
      <c r="KUT815" s="268"/>
      <c r="KUU815" s="268"/>
      <c r="KUV815" s="268"/>
      <c r="KUW815" s="268"/>
      <c r="KUX815" s="268"/>
      <c r="KUY815" s="268"/>
      <c r="KUZ815" s="268"/>
      <c r="KVA815" s="268"/>
      <c r="KVB815" s="268"/>
      <c r="KVC815" s="268"/>
      <c r="KVD815" s="268"/>
      <c r="KVE815" s="268"/>
      <c r="KVF815" s="268"/>
      <c r="KVG815" s="268"/>
      <c r="KVH815" s="268"/>
      <c r="KVI815" s="268"/>
      <c r="KVJ815" s="268"/>
      <c r="KVK815" s="268"/>
      <c r="KVL815" s="268"/>
      <c r="KVM815" s="268"/>
      <c r="KVN815" s="268"/>
      <c r="KVO815" s="268"/>
      <c r="KVP815" s="268"/>
      <c r="KVQ815" s="268"/>
      <c r="KVR815" s="268"/>
      <c r="KVS815" s="268"/>
      <c r="KVT815" s="268"/>
      <c r="KVU815" s="268"/>
      <c r="KVV815" s="268"/>
      <c r="KVW815" s="268"/>
      <c r="KVX815" s="268"/>
      <c r="KVY815" s="268"/>
      <c r="KVZ815" s="268"/>
      <c r="KWA815" s="268"/>
      <c r="KWB815" s="268"/>
      <c r="KWC815" s="268"/>
      <c r="KWD815" s="268"/>
      <c r="KWE815" s="268"/>
      <c r="KWF815" s="268"/>
      <c r="KWG815" s="268"/>
      <c r="KWH815" s="268"/>
      <c r="KWI815" s="268"/>
      <c r="KWJ815" s="268"/>
      <c r="KWK815" s="268"/>
      <c r="KWL815" s="268"/>
      <c r="KWM815" s="268"/>
      <c r="KWN815" s="268"/>
      <c r="KWO815" s="268"/>
      <c r="KWP815" s="268"/>
      <c r="KWQ815" s="268"/>
      <c r="KWR815" s="268"/>
      <c r="KWS815" s="268"/>
      <c r="KWT815" s="268"/>
      <c r="KWU815" s="268"/>
      <c r="KWV815" s="268"/>
      <c r="KWW815" s="268"/>
      <c r="KWX815" s="268"/>
      <c r="KWY815" s="268"/>
      <c r="KWZ815" s="268"/>
      <c r="KXA815" s="268"/>
      <c r="KXB815" s="268"/>
      <c r="KXC815" s="268"/>
      <c r="KXD815" s="268"/>
      <c r="KXE815" s="268"/>
      <c r="KXF815" s="268"/>
      <c r="KXG815" s="268"/>
      <c r="KXH815" s="268"/>
      <c r="KXI815" s="268"/>
      <c r="KXJ815" s="268"/>
      <c r="KXK815" s="268"/>
      <c r="KXL815" s="268"/>
      <c r="KXM815" s="268"/>
      <c r="KXN815" s="268"/>
      <c r="KXO815" s="268"/>
      <c r="KXP815" s="268"/>
      <c r="KXQ815" s="268"/>
      <c r="KXR815" s="268"/>
      <c r="KXS815" s="268"/>
      <c r="KXT815" s="268"/>
      <c r="KXU815" s="268"/>
      <c r="KXV815" s="268"/>
      <c r="KXW815" s="268"/>
      <c r="KXX815" s="268"/>
      <c r="KXY815" s="268"/>
      <c r="KXZ815" s="268"/>
      <c r="KYA815" s="268"/>
      <c r="KYB815" s="268"/>
      <c r="KYC815" s="268"/>
      <c r="KYD815" s="268"/>
      <c r="KYE815" s="268"/>
      <c r="KYF815" s="268"/>
      <c r="KYG815" s="268"/>
      <c r="KYH815" s="268"/>
      <c r="KYI815" s="268"/>
      <c r="KYJ815" s="268"/>
      <c r="KYK815" s="268"/>
      <c r="KYL815" s="268"/>
      <c r="KYM815" s="268"/>
      <c r="KYN815" s="268"/>
      <c r="KYO815" s="268"/>
      <c r="KYP815" s="268"/>
      <c r="KYQ815" s="268"/>
      <c r="KYR815" s="268"/>
      <c r="KYS815" s="268"/>
      <c r="KYT815" s="268"/>
      <c r="KYU815" s="268"/>
      <c r="KYV815" s="268"/>
      <c r="KYW815" s="268"/>
      <c r="KYX815" s="268"/>
      <c r="KYY815" s="268"/>
      <c r="KYZ815" s="268"/>
      <c r="KZA815" s="268"/>
      <c r="KZB815" s="268"/>
      <c r="KZC815" s="268"/>
      <c r="KZD815" s="268"/>
      <c r="KZE815" s="268"/>
      <c r="KZF815" s="268"/>
      <c r="KZG815" s="268"/>
      <c r="KZH815" s="268"/>
      <c r="KZI815" s="268"/>
      <c r="KZJ815" s="268"/>
      <c r="KZK815" s="268"/>
      <c r="KZL815" s="268"/>
      <c r="KZM815" s="268"/>
      <c r="KZN815" s="268"/>
      <c r="KZO815" s="268"/>
      <c r="KZP815" s="268"/>
      <c r="KZQ815" s="268"/>
      <c r="KZR815" s="268"/>
      <c r="KZS815" s="268"/>
      <c r="KZT815" s="268"/>
      <c r="KZU815" s="268"/>
      <c r="KZV815" s="268"/>
      <c r="KZW815" s="268"/>
      <c r="KZX815" s="268"/>
      <c r="KZY815" s="268"/>
      <c r="KZZ815" s="268"/>
      <c r="LAA815" s="268"/>
      <c r="LAB815" s="268"/>
      <c r="LAC815" s="268"/>
      <c r="LAD815" s="268"/>
      <c r="LAE815" s="268"/>
      <c r="LAF815" s="268"/>
      <c r="LAG815" s="268"/>
      <c r="LAH815" s="268"/>
      <c r="LAI815" s="268"/>
      <c r="LAJ815" s="268"/>
      <c r="LAK815" s="268"/>
      <c r="LAL815" s="268"/>
      <c r="LAM815" s="268"/>
      <c r="LAN815" s="268"/>
      <c r="LAO815" s="268"/>
      <c r="LAP815" s="268"/>
      <c r="LAQ815" s="268"/>
      <c r="LAR815" s="268"/>
      <c r="LAS815" s="268"/>
      <c r="LAT815" s="268"/>
      <c r="LAU815" s="268"/>
      <c r="LAV815" s="268"/>
      <c r="LAW815" s="268"/>
      <c r="LAX815" s="268"/>
      <c r="LAY815" s="268"/>
      <c r="LAZ815" s="268"/>
      <c r="LBA815" s="268"/>
      <c r="LBB815" s="268"/>
      <c r="LBC815" s="268"/>
      <c r="LBD815" s="268"/>
      <c r="LBE815" s="268"/>
      <c r="LBF815" s="268"/>
      <c r="LBG815" s="268"/>
      <c r="LBH815" s="268"/>
      <c r="LBI815" s="268"/>
      <c r="LBJ815" s="268"/>
      <c r="LBK815" s="268"/>
      <c r="LBL815" s="268"/>
      <c r="LBM815" s="268"/>
      <c r="LBN815" s="268"/>
      <c r="LBO815" s="268"/>
      <c r="LBP815" s="268"/>
      <c r="LBQ815" s="268"/>
      <c r="LBR815" s="268"/>
      <c r="LBS815" s="268"/>
      <c r="LCG815" s="268"/>
      <c r="LCH815" s="268"/>
      <c r="LCI815" s="268"/>
      <c r="LCW815" s="268"/>
      <c r="LCY815" s="268"/>
      <c r="LCZ815" s="268"/>
      <c r="LDA815" s="268"/>
      <c r="LDB815" s="268"/>
      <c r="LDC815" s="268"/>
      <c r="LDD815" s="268"/>
      <c r="LDE815" s="268"/>
      <c r="LDF815" s="268"/>
      <c r="LDG815" s="268"/>
      <c r="LDH815" s="268"/>
      <c r="LDI815" s="268"/>
      <c r="LDJ815" s="268"/>
      <c r="LDK815" s="268"/>
      <c r="LDL815" s="268"/>
      <c r="LDM815" s="268"/>
      <c r="LDN815" s="268"/>
      <c r="LDO815" s="268"/>
      <c r="LDP815" s="268"/>
      <c r="LDQ815" s="268"/>
      <c r="LDR815" s="268"/>
      <c r="LDS815" s="268"/>
      <c r="LDT815" s="268"/>
      <c r="LDU815" s="268"/>
      <c r="LDV815" s="268"/>
      <c r="LDW815" s="268"/>
      <c r="LDX815" s="268"/>
      <c r="LDY815" s="268"/>
      <c r="LDZ815" s="268"/>
      <c r="LEA815" s="268"/>
      <c r="LEB815" s="268"/>
      <c r="LEC815" s="268"/>
      <c r="LED815" s="268"/>
      <c r="LEE815" s="268"/>
      <c r="LEF815" s="268"/>
      <c r="LEG815" s="268"/>
      <c r="LEH815" s="268"/>
      <c r="LEI815" s="268"/>
      <c r="LEJ815" s="268"/>
      <c r="LEK815" s="268"/>
      <c r="LEL815" s="268"/>
      <c r="LEM815" s="268"/>
      <c r="LEN815" s="268"/>
      <c r="LEO815" s="268"/>
      <c r="LEP815" s="268"/>
      <c r="LEQ815" s="268"/>
      <c r="LER815" s="268"/>
      <c r="LES815" s="268"/>
      <c r="LET815" s="268"/>
      <c r="LEU815" s="268"/>
      <c r="LEV815" s="268"/>
      <c r="LEW815" s="268"/>
      <c r="LEX815" s="268"/>
      <c r="LEY815" s="268"/>
      <c r="LEZ815" s="268"/>
      <c r="LFA815" s="268"/>
      <c r="LFB815" s="268"/>
      <c r="LFC815" s="268"/>
      <c r="LFD815" s="268"/>
      <c r="LFE815" s="268"/>
      <c r="LFF815" s="268"/>
      <c r="LFG815" s="268"/>
      <c r="LFH815" s="268"/>
      <c r="LFI815" s="268"/>
      <c r="LFJ815" s="268"/>
      <c r="LFK815" s="268"/>
      <c r="LFL815" s="268"/>
      <c r="LFM815" s="268"/>
      <c r="LFN815" s="268"/>
      <c r="LFO815" s="268"/>
      <c r="LFP815" s="268"/>
      <c r="LFQ815" s="268"/>
      <c r="LFR815" s="268"/>
      <c r="LFS815" s="268"/>
      <c r="LFT815" s="268"/>
      <c r="LFU815" s="268"/>
      <c r="LFV815" s="268"/>
      <c r="LFW815" s="268"/>
      <c r="LFX815" s="268"/>
      <c r="LFY815" s="268"/>
      <c r="LFZ815" s="268"/>
      <c r="LGA815" s="268"/>
      <c r="LGB815" s="268"/>
      <c r="LGC815" s="268"/>
      <c r="LGD815" s="268"/>
      <c r="LGE815" s="268"/>
      <c r="LGF815" s="268"/>
      <c r="LGG815" s="268"/>
      <c r="LGH815" s="268"/>
      <c r="LGI815" s="268"/>
      <c r="LGJ815" s="268"/>
      <c r="LGK815" s="268"/>
      <c r="LGL815" s="268"/>
      <c r="LGM815" s="268"/>
      <c r="LGN815" s="268"/>
      <c r="LGO815" s="268"/>
      <c r="LGP815" s="268"/>
      <c r="LGQ815" s="268"/>
      <c r="LGR815" s="268"/>
      <c r="LGS815" s="268"/>
      <c r="LGT815" s="268"/>
      <c r="LGU815" s="268"/>
      <c r="LGV815" s="268"/>
      <c r="LGW815" s="268"/>
      <c r="LGX815" s="268"/>
      <c r="LGY815" s="268"/>
      <c r="LGZ815" s="268"/>
      <c r="LHA815" s="268"/>
      <c r="LHB815" s="268"/>
      <c r="LHC815" s="268"/>
      <c r="LHD815" s="268"/>
      <c r="LHE815" s="268"/>
      <c r="LHF815" s="268"/>
      <c r="LHG815" s="268"/>
      <c r="LHH815" s="268"/>
      <c r="LHI815" s="268"/>
      <c r="LHJ815" s="268"/>
      <c r="LHK815" s="268"/>
      <c r="LHL815" s="268"/>
      <c r="LHM815" s="268"/>
      <c r="LHN815" s="268"/>
      <c r="LHO815" s="268"/>
      <c r="LHP815" s="268"/>
      <c r="LHQ815" s="268"/>
      <c r="LHR815" s="268"/>
      <c r="LHS815" s="268"/>
      <c r="LHT815" s="268"/>
      <c r="LHU815" s="268"/>
      <c r="LHV815" s="268"/>
      <c r="LHW815" s="268"/>
      <c r="LHX815" s="268"/>
      <c r="LHY815" s="268"/>
      <c r="LHZ815" s="268"/>
      <c r="LIA815" s="268"/>
      <c r="LIB815" s="268"/>
      <c r="LIC815" s="268"/>
      <c r="LID815" s="268"/>
      <c r="LIE815" s="268"/>
      <c r="LIF815" s="268"/>
      <c r="LIG815" s="268"/>
      <c r="LIH815" s="268"/>
      <c r="LII815" s="268"/>
      <c r="LIJ815" s="268"/>
      <c r="LIK815" s="268"/>
      <c r="LIL815" s="268"/>
      <c r="LIM815" s="268"/>
      <c r="LIN815" s="268"/>
      <c r="LIO815" s="268"/>
      <c r="LIP815" s="268"/>
      <c r="LIQ815" s="268"/>
      <c r="LIR815" s="268"/>
      <c r="LIS815" s="268"/>
      <c r="LIT815" s="268"/>
      <c r="LIU815" s="268"/>
      <c r="LIV815" s="268"/>
      <c r="LIW815" s="268"/>
      <c r="LIX815" s="268"/>
      <c r="LIY815" s="268"/>
      <c r="LIZ815" s="268"/>
      <c r="LJA815" s="268"/>
      <c r="LJB815" s="268"/>
      <c r="LJC815" s="268"/>
      <c r="LJD815" s="268"/>
      <c r="LJE815" s="268"/>
      <c r="LJF815" s="268"/>
      <c r="LJG815" s="268"/>
      <c r="LJH815" s="268"/>
      <c r="LJI815" s="268"/>
      <c r="LJJ815" s="268"/>
      <c r="LJK815" s="268"/>
      <c r="LJL815" s="268"/>
      <c r="LJM815" s="268"/>
      <c r="LJN815" s="268"/>
      <c r="LJO815" s="268"/>
      <c r="LJP815" s="268"/>
      <c r="LJQ815" s="268"/>
      <c r="LJR815" s="268"/>
      <c r="LJS815" s="268"/>
      <c r="LJT815" s="268"/>
      <c r="LJU815" s="268"/>
      <c r="LJV815" s="268"/>
      <c r="LJW815" s="268"/>
      <c r="LJX815" s="268"/>
      <c r="LJY815" s="268"/>
      <c r="LJZ815" s="268"/>
      <c r="LKA815" s="268"/>
      <c r="LKB815" s="268"/>
      <c r="LKC815" s="268"/>
      <c r="LKD815" s="268"/>
      <c r="LKE815" s="268"/>
      <c r="LKF815" s="268"/>
      <c r="LKG815" s="268"/>
      <c r="LKH815" s="268"/>
      <c r="LKI815" s="268"/>
      <c r="LKJ815" s="268"/>
      <c r="LKK815" s="268"/>
      <c r="LKL815" s="268"/>
      <c r="LKM815" s="268"/>
      <c r="LKN815" s="268"/>
      <c r="LKO815" s="268"/>
      <c r="LKP815" s="268"/>
      <c r="LKQ815" s="268"/>
      <c r="LKR815" s="268"/>
      <c r="LKS815" s="268"/>
      <c r="LKT815" s="268"/>
      <c r="LKU815" s="268"/>
      <c r="LKV815" s="268"/>
      <c r="LKW815" s="268"/>
      <c r="LKX815" s="268"/>
      <c r="LKY815" s="268"/>
      <c r="LKZ815" s="268"/>
      <c r="LLA815" s="268"/>
      <c r="LLB815" s="268"/>
      <c r="LLC815" s="268"/>
      <c r="LLD815" s="268"/>
      <c r="LLE815" s="268"/>
      <c r="LLF815" s="268"/>
      <c r="LLG815" s="268"/>
      <c r="LLH815" s="268"/>
      <c r="LLI815" s="268"/>
      <c r="LLJ815" s="268"/>
      <c r="LLK815" s="268"/>
      <c r="LLL815" s="268"/>
      <c r="LLM815" s="268"/>
      <c r="LLN815" s="268"/>
      <c r="LLO815" s="268"/>
      <c r="LMC815" s="268"/>
      <c r="LMD815" s="268"/>
      <c r="LME815" s="268"/>
      <c r="LMS815" s="268"/>
      <c r="LMU815" s="268"/>
      <c r="LMV815" s="268"/>
      <c r="LMW815" s="268"/>
      <c r="LMX815" s="268"/>
      <c r="LMY815" s="268"/>
      <c r="LMZ815" s="268"/>
      <c r="LNA815" s="268"/>
      <c r="LNB815" s="268"/>
      <c r="LNC815" s="268"/>
      <c r="LND815" s="268"/>
      <c r="LNE815" s="268"/>
      <c r="LNF815" s="268"/>
      <c r="LNG815" s="268"/>
      <c r="LNH815" s="268"/>
      <c r="LNI815" s="268"/>
      <c r="LNJ815" s="268"/>
      <c r="LNK815" s="268"/>
      <c r="LNL815" s="268"/>
      <c r="LNM815" s="268"/>
      <c r="LNN815" s="268"/>
      <c r="LNO815" s="268"/>
      <c r="LNP815" s="268"/>
      <c r="LNQ815" s="268"/>
      <c r="LNR815" s="268"/>
      <c r="LNS815" s="268"/>
      <c r="LNT815" s="268"/>
      <c r="LNU815" s="268"/>
      <c r="LNV815" s="268"/>
      <c r="LNW815" s="268"/>
      <c r="LNX815" s="268"/>
      <c r="LNY815" s="268"/>
      <c r="LNZ815" s="268"/>
      <c r="LOA815" s="268"/>
      <c r="LOB815" s="268"/>
      <c r="LOC815" s="268"/>
      <c r="LOD815" s="268"/>
      <c r="LOE815" s="268"/>
      <c r="LOF815" s="268"/>
      <c r="LOG815" s="268"/>
      <c r="LOH815" s="268"/>
      <c r="LOI815" s="268"/>
      <c r="LOJ815" s="268"/>
      <c r="LOK815" s="268"/>
      <c r="LOL815" s="268"/>
      <c r="LOM815" s="268"/>
      <c r="LON815" s="268"/>
      <c r="LOO815" s="268"/>
      <c r="LOP815" s="268"/>
      <c r="LOQ815" s="268"/>
      <c r="LOR815" s="268"/>
      <c r="LOS815" s="268"/>
      <c r="LOT815" s="268"/>
      <c r="LOU815" s="268"/>
      <c r="LOV815" s="268"/>
      <c r="LOW815" s="268"/>
      <c r="LOX815" s="268"/>
      <c r="LOY815" s="268"/>
      <c r="LOZ815" s="268"/>
      <c r="LPA815" s="268"/>
      <c r="LPB815" s="268"/>
      <c r="LPC815" s="268"/>
      <c r="LPD815" s="268"/>
      <c r="LPE815" s="268"/>
      <c r="LPF815" s="268"/>
      <c r="LPG815" s="268"/>
      <c r="LPH815" s="268"/>
      <c r="LPI815" s="268"/>
      <c r="LPJ815" s="268"/>
      <c r="LPK815" s="268"/>
      <c r="LPL815" s="268"/>
      <c r="LPM815" s="268"/>
      <c r="LPN815" s="268"/>
      <c r="LPO815" s="268"/>
      <c r="LPP815" s="268"/>
      <c r="LPQ815" s="268"/>
      <c r="LPR815" s="268"/>
      <c r="LPS815" s="268"/>
      <c r="LPT815" s="268"/>
      <c r="LPU815" s="268"/>
      <c r="LPV815" s="268"/>
      <c r="LPW815" s="268"/>
      <c r="LPX815" s="268"/>
      <c r="LPY815" s="268"/>
      <c r="LPZ815" s="268"/>
      <c r="LQA815" s="268"/>
      <c r="LQB815" s="268"/>
      <c r="LQC815" s="268"/>
      <c r="LQD815" s="268"/>
      <c r="LQE815" s="268"/>
      <c r="LQF815" s="268"/>
      <c r="LQG815" s="268"/>
      <c r="LQH815" s="268"/>
      <c r="LQI815" s="268"/>
      <c r="LQJ815" s="268"/>
      <c r="LQK815" s="268"/>
      <c r="LQL815" s="268"/>
      <c r="LQM815" s="268"/>
      <c r="LQN815" s="268"/>
      <c r="LQO815" s="268"/>
      <c r="LQP815" s="268"/>
      <c r="LQQ815" s="268"/>
      <c r="LQR815" s="268"/>
      <c r="LQS815" s="268"/>
      <c r="LQT815" s="268"/>
      <c r="LQU815" s="268"/>
      <c r="LQV815" s="268"/>
      <c r="LQW815" s="268"/>
      <c r="LQX815" s="268"/>
      <c r="LQY815" s="268"/>
      <c r="LQZ815" s="268"/>
      <c r="LRA815" s="268"/>
      <c r="LRB815" s="268"/>
      <c r="LRC815" s="268"/>
      <c r="LRD815" s="268"/>
      <c r="LRE815" s="268"/>
      <c r="LRF815" s="268"/>
      <c r="LRG815" s="268"/>
      <c r="LRH815" s="268"/>
      <c r="LRI815" s="268"/>
      <c r="LRJ815" s="268"/>
      <c r="LRK815" s="268"/>
      <c r="LRL815" s="268"/>
      <c r="LRM815" s="268"/>
      <c r="LRN815" s="268"/>
      <c r="LRO815" s="268"/>
      <c r="LRP815" s="268"/>
      <c r="LRQ815" s="268"/>
      <c r="LRR815" s="268"/>
      <c r="LRS815" s="268"/>
      <c r="LRT815" s="268"/>
      <c r="LRU815" s="268"/>
      <c r="LRV815" s="268"/>
      <c r="LRW815" s="268"/>
      <c r="LRX815" s="268"/>
      <c r="LRY815" s="268"/>
      <c r="LRZ815" s="268"/>
      <c r="LSA815" s="268"/>
      <c r="LSB815" s="268"/>
      <c r="LSC815" s="268"/>
      <c r="LSD815" s="268"/>
      <c r="LSE815" s="268"/>
      <c r="LSF815" s="268"/>
      <c r="LSG815" s="268"/>
      <c r="LSH815" s="268"/>
      <c r="LSI815" s="268"/>
      <c r="LSJ815" s="268"/>
      <c r="LSK815" s="268"/>
      <c r="LSL815" s="268"/>
      <c r="LSM815" s="268"/>
      <c r="LSN815" s="268"/>
      <c r="LSO815" s="268"/>
      <c r="LSP815" s="268"/>
      <c r="LSQ815" s="268"/>
      <c r="LSR815" s="268"/>
      <c r="LSS815" s="268"/>
      <c r="LST815" s="268"/>
      <c r="LSU815" s="268"/>
      <c r="LSV815" s="268"/>
      <c r="LSW815" s="268"/>
      <c r="LSX815" s="268"/>
      <c r="LSY815" s="268"/>
      <c r="LSZ815" s="268"/>
      <c r="LTA815" s="268"/>
      <c r="LTB815" s="268"/>
      <c r="LTC815" s="268"/>
      <c r="LTD815" s="268"/>
      <c r="LTE815" s="268"/>
      <c r="LTF815" s="268"/>
      <c r="LTG815" s="268"/>
      <c r="LTH815" s="268"/>
      <c r="LTI815" s="268"/>
      <c r="LTJ815" s="268"/>
      <c r="LTK815" s="268"/>
      <c r="LTL815" s="268"/>
      <c r="LTM815" s="268"/>
      <c r="LTN815" s="268"/>
      <c r="LTO815" s="268"/>
      <c r="LTP815" s="268"/>
      <c r="LTQ815" s="268"/>
      <c r="LTR815" s="268"/>
      <c r="LTS815" s="268"/>
      <c r="LTT815" s="268"/>
      <c r="LTU815" s="268"/>
      <c r="LTV815" s="268"/>
      <c r="LTW815" s="268"/>
      <c r="LTX815" s="268"/>
      <c r="LTY815" s="268"/>
      <c r="LTZ815" s="268"/>
      <c r="LUA815" s="268"/>
      <c r="LUB815" s="268"/>
      <c r="LUC815" s="268"/>
      <c r="LUD815" s="268"/>
      <c r="LUE815" s="268"/>
      <c r="LUF815" s="268"/>
      <c r="LUG815" s="268"/>
      <c r="LUH815" s="268"/>
      <c r="LUI815" s="268"/>
      <c r="LUJ815" s="268"/>
      <c r="LUK815" s="268"/>
      <c r="LUL815" s="268"/>
      <c r="LUM815" s="268"/>
      <c r="LUN815" s="268"/>
      <c r="LUO815" s="268"/>
      <c r="LUP815" s="268"/>
      <c r="LUQ815" s="268"/>
      <c r="LUR815" s="268"/>
      <c r="LUS815" s="268"/>
      <c r="LUT815" s="268"/>
      <c r="LUU815" s="268"/>
      <c r="LUV815" s="268"/>
      <c r="LUW815" s="268"/>
      <c r="LUX815" s="268"/>
      <c r="LUY815" s="268"/>
      <c r="LUZ815" s="268"/>
      <c r="LVA815" s="268"/>
      <c r="LVB815" s="268"/>
      <c r="LVC815" s="268"/>
      <c r="LVD815" s="268"/>
      <c r="LVE815" s="268"/>
      <c r="LVF815" s="268"/>
      <c r="LVG815" s="268"/>
      <c r="LVH815" s="268"/>
      <c r="LVI815" s="268"/>
      <c r="LVJ815" s="268"/>
      <c r="LVK815" s="268"/>
      <c r="LVY815" s="268"/>
      <c r="LVZ815" s="268"/>
      <c r="LWA815" s="268"/>
      <c r="LWO815" s="268"/>
      <c r="LWQ815" s="268"/>
      <c r="LWR815" s="268"/>
      <c r="LWS815" s="268"/>
      <c r="LWT815" s="268"/>
      <c r="LWU815" s="268"/>
      <c r="LWV815" s="268"/>
      <c r="LWW815" s="268"/>
      <c r="LWX815" s="268"/>
      <c r="LWY815" s="268"/>
      <c r="LWZ815" s="268"/>
      <c r="LXA815" s="268"/>
      <c r="LXB815" s="268"/>
      <c r="LXC815" s="268"/>
      <c r="LXD815" s="268"/>
      <c r="LXE815" s="268"/>
      <c r="LXF815" s="268"/>
      <c r="LXG815" s="268"/>
      <c r="LXH815" s="268"/>
      <c r="LXI815" s="268"/>
      <c r="LXJ815" s="268"/>
      <c r="LXK815" s="268"/>
      <c r="LXL815" s="268"/>
      <c r="LXM815" s="268"/>
      <c r="LXN815" s="268"/>
      <c r="LXO815" s="268"/>
      <c r="LXP815" s="268"/>
      <c r="LXQ815" s="268"/>
      <c r="LXR815" s="268"/>
      <c r="LXS815" s="268"/>
      <c r="LXT815" s="268"/>
      <c r="LXU815" s="268"/>
      <c r="LXV815" s="268"/>
      <c r="LXW815" s="268"/>
      <c r="LXX815" s="268"/>
      <c r="LXY815" s="268"/>
      <c r="LXZ815" s="268"/>
      <c r="LYA815" s="268"/>
      <c r="LYB815" s="268"/>
      <c r="LYC815" s="268"/>
      <c r="LYD815" s="268"/>
      <c r="LYE815" s="268"/>
      <c r="LYF815" s="268"/>
      <c r="LYG815" s="268"/>
      <c r="LYH815" s="268"/>
      <c r="LYI815" s="268"/>
      <c r="LYJ815" s="268"/>
      <c r="LYK815" s="268"/>
      <c r="LYL815" s="268"/>
      <c r="LYM815" s="268"/>
      <c r="LYN815" s="268"/>
      <c r="LYO815" s="268"/>
      <c r="LYP815" s="268"/>
      <c r="LYQ815" s="268"/>
      <c r="LYR815" s="268"/>
      <c r="LYS815" s="268"/>
      <c r="LYT815" s="268"/>
      <c r="LYU815" s="268"/>
      <c r="LYV815" s="268"/>
      <c r="LYW815" s="268"/>
      <c r="LYX815" s="268"/>
      <c r="LYY815" s="268"/>
      <c r="LYZ815" s="268"/>
      <c r="LZA815" s="268"/>
      <c r="LZB815" s="268"/>
      <c r="LZC815" s="268"/>
      <c r="LZD815" s="268"/>
      <c r="LZE815" s="268"/>
      <c r="LZF815" s="268"/>
      <c r="LZG815" s="268"/>
      <c r="LZH815" s="268"/>
      <c r="LZI815" s="268"/>
      <c r="LZJ815" s="268"/>
      <c r="LZK815" s="268"/>
      <c r="LZL815" s="268"/>
      <c r="LZM815" s="268"/>
      <c r="LZN815" s="268"/>
      <c r="LZO815" s="268"/>
      <c r="LZP815" s="268"/>
      <c r="LZQ815" s="268"/>
      <c r="LZR815" s="268"/>
      <c r="LZS815" s="268"/>
      <c r="LZT815" s="268"/>
      <c r="LZU815" s="268"/>
      <c r="LZV815" s="268"/>
      <c r="LZW815" s="268"/>
      <c r="LZX815" s="268"/>
      <c r="LZY815" s="268"/>
      <c r="LZZ815" s="268"/>
      <c r="MAA815" s="268"/>
      <c r="MAB815" s="268"/>
      <c r="MAC815" s="268"/>
      <c r="MAD815" s="268"/>
      <c r="MAE815" s="268"/>
      <c r="MAF815" s="268"/>
      <c r="MAG815" s="268"/>
      <c r="MAH815" s="268"/>
      <c r="MAI815" s="268"/>
      <c r="MAJ815" s="268"/>
      <c r="MAK815" s="268"/>
      <c r="MAL815" s="268"/>
      <c r="MAM815" s="268"/>
      <c r="MAN815" s="268"/>
      <c r="MAO815" s="268"/>
      <c r="MAP815" s="268"/>
      <c r="MAQ815" s="268"/>
      <c r="MAR815" s="268"/>
      <c r="MAS815" s="268"/>
      <c r="MAT815" s="268"/>
      <c r="MAU815" s="268"/>
      <c r="MAV815" s="268"/>
      <c r="MAW815" s="268"/>
      <c r="MAX815" s="268"/>
      <c r="MAY815" s="268"/>
      <c r="MAZ815" s="268"/>
      <c r="MBA815" s="268"/>
      <c r="MBB815" s="268"/>
      <c r="MBC815" s="268"/>
      <c r="MBD815" s="268"/>
      <c r="MBE815" s="268"/>
      <c r="MBF815" s="268"/>
      <c r="MBG815" s="268"/>
      <c r="MBH815" s="268"/>
      <c r="MBI815" s="268"/>
      <c r="MBJ815" s="268"/>
      <c r="MBK815" s="268"/>
      <c r="MBL815" s="268"/>
      <c r="MBM815" s="268"/>
      <c r="MBN815" s="268"/>
      <c r="MBO815" s="268"/>
      <c r="MBP815" s="268"/>
      <c r="MBQ815" s="268"/>
      <c r="MBR815" s="268"/>
      <c r="MBS815" s="268"/>
      <c r="MBT815" s="268"/>
      <c r="MBU815" s="268"/>
      <c r="MBV815" s="268"/>
      <c r="MBW815" s="268"/>
      <c r="MBX815" s="268"/>
      <c r="MBY815" s="268"/>
      <c r="MBZ815" s="268"/>
      <c r="MCA815" s="268"/>
      <c r="MCB815" s="268"/>
      <c r="MCC815" s="268"/>
      <c r="MCD815" s="268"/>
      <c r="MCE815" s="268"/>
      <c r="MCF815" s="268"/>
      <c r="MCG815" s="268"/>
      <c r="MCH815" s="268"/>
      <c r="MCI815" s="268"/>
      <c r="MCJ815" s="268"/>
      <c r="MCK815" s="268"/>
      <c r="MCL815" s="268"/>
      <c r="MCM815" s="268"/>
      <c r="MCN815" s="268"/>
      <c r="MCO815" s="268"/>
      <c r="MCP815" s="268"/>
      <c r="MCQ815" s="268"/>
      <c r="MCR815" s="268"/>
      <c r="MCS815" s="268"/>
      <c r="MCT815" s="268"/>
      <c r="MCU815" s="268"/>
      <c r="MCV815" s="268"/>
      <c r="MCW815" s="268"/>
      <c r="MCX815" s="268"/>
      <c r="MCY815" s="268"/>
      <c r="MCZ815" s="268"/>
      <c r="MDA815" s="268"/>
      <c r="MDB815" s="268"/>
      <c r="MDC815" s="268"/>
      <c r="MDD815" s="268"/>
      <c r="MDE815" s="268"/>
      <c r="MDF815" s="268"/>
      <c r="MDG815" s="268"/>
      <c r="MDH815" s="268"/>
      <c r="MDI815" s="268"/>
      <c r="MDJ815" s="268"/>
      <c r="MDK815" s="268"/>
      <c r="MDL815" s="268"/>
      <c r="MDM815" s="268"/>
      <c r="MDN815" s="268"/>
      <c r="MDO815" s="268"/>
      <c r="MDP815" s="268"/>
      <c r="MDQ815" s="268"/>
      <c r="MDR815" s="268"/>
      <c r="MDS815" s="268"/>
      <c r="MDT815" s="268"/>
      <c r="MDU815" s="268"/>
      <c r="MDV815" s="268"/>
      <c r="MDW815" s="268"/>
      <c r="MDX815" s="268"/>
      <c r="MDY815" s="268"/>
      <c r="MDZ815" s="268"/>
      <c r="MEA815" s="268"/>
      <c r="MEB815" s="268"/>
      <c r="MEC815" s="268"/>
      <c r="MED815" s="268"/>
      <c r="MEE815" s="268"/>
      <c r="MEF815" s="268"/>
      <c r="MEG815" s="268"/>
      <c r="MEH815" s="268"/>
      <c r="MEI815" s="268"/>
      <c r="MEJ815" s="268"/>
      <c r="MEK815" s="268"/>
      <c r="MEL815" s="268"/>
      <c r="MEM815" s="268"/>
      <c r="MEN815" s="268"/>
      <c r="MEO815" s="268"/>
      <c r="MEP815" s="268"/>
      <c r="MEQ815" s="268"/>
      <c r="MER815" s="268"/>
      <c r="MES815" s="268"/>
      <c r="MET815" s="268"/>
      <c r="MEU815" s="268"/>
      <c r="MEV815" s="268"/>
      <c r="MEW815" s="268"/>
      <c r="MEX815" s="268"/>
      <c r="MEY815" s="268"/>
      <c r="MEZ815" s="268"/>
      <c r="MFA815" s="268"/>
      <c r="MFB815" s="268"/>
      <c r="MFC815" s="268"/>
      <c r="MFD815" s="268"/>
      <c r="MFE815" s="268"/>
      <c r="MFF815" s="268"/>
      <c r="MFG815" s="268"/>
      <c r="MFU815" s="268"/>
      <c r="MFV815" s="268"/>
      <c r="MFW815" s="268"/>
      <c r="MGK815" s="268"/>
      <c r="MGM815" s="268"/>
      <c r="MGN815" s="268"/>
      <c r="MGO815" s="268"/>
      <c r="MGP815" s="268"/>
      <c r="MGQ815" s="268"/>
      <c r="MGR815" s="268"/>
      <c r="MGS815" s="268"/>
      <c r="MGT815" s="268"/>
      <c r="MGU815" s="268"/>
      <c r="MGV815" s="268"/>
      <c r="MGW815" s="268"/>
      <c r="MGX815" s="268"/>
      <c r="MGY815" s="268"/>
      <c r="MGZ815" s="268"/>
      <c r="MHA815" s="268"/>
      <c r="MHB815" s="268"/>
      <c r="MHC815" s="268"/>
      <c r="MHD815" s="268"/>
      <c r="MHE815" s="268"/>
      <c r="MHF815" s="268"/>
      <c r="MHG815" s="268"/>
      <c r="MHH815" s="268"/>
      <c r="MHI815" s="268"/>
      <c r="MHJ815" s="268"/>
      <c r="MHK815" s="268"/>
      <c r="MHL815" s="268"/>
      <c r="MHM815" s="268"/>
      <c r="MHN815" s="268"/>
      <c r="MHO815" s="268"/>
      <c r="MHP815" s="268"/>
      <c r="MHQ815" s="268"/>
      <c r="MHR815" s="268"/>
      <c r="MHS815" s="268"/>
      <c r="MHT815" s="268"/>
      <c r="MHU815" s="268"/>
      <c r="MHV815" s="268"/>
      <c r="MHW815" s="268"/>
      <c r="MHX815" s="268"/>
      <c r="MHY815" s="268"/>
      <c r="MHZ815" s="268"/>
      <c r="MIA815" s="268"/>
      <c r="MIB815" s="268"/>
      <c r="MIC815" s="268"/>
      <c r="MID815" s="268"/>
      <c r="MIE815" s="268"/>
      <c r="MIF815" s="268"/>
      <c r="MIG815" s="268"/>
      <c r="MIH815" s="268"/>
      <c r="MII815" s="268"/>
      <c r="MIJ815" s="268"/>
      <c r="MIK815" s="268"/>
      <c r="MIL815" s="268"/>
      <c r="MIM815" s="268"/>
      <c r="MIN815" s="268"/>
      <c r="MIO815" s="268"/>
      <c r="MIP815" s="268"/>
      <c r="MIQ815" s="268"/>
      <c r="MIR815" s="268"/>
      <c r="MIS815" s="268"/>
      <c r="MIT815" s="268"/>
      <c r="MIU815" s="268"/>
      <c r="MIV815" s="268"/>
      <c r="MIW815" s="268"/>
      <c r="MIX815" s="268"/>
      <c r="MIY815" s="268"/>
      <c r="MIZ815" s="268"/>
      <c r="MJA815" s="268"/>
      <c r="MJB815" s="268"/>
      <c r="MJC815" s="268"/>
      <c r="MJD815" s="268"/>
      <c r="MJE815" s="268"/>
      <c r="MJF815" s="268"/>
      <c r="MJG815" s="268"/>
      <c r="MJH815" s="268"/>
      <c r="MJI815" s="268"/>
      <c r="MJJ815" s="268"/>
      <c r="MJK815" s="268"/>
      <c r="MJL815" s="268"/>
      <c r="MJM815" s="268"/>
      <c r="MJN815" s="268"/>
      <c r="MJO815" s="268"/>
      <c r="MJP815" s="268"/>
      <c r="MJQ815" s="268"/>
      <c r="MJR815" s="268"/>
      <c r="MJS815" s="268"/>
      <c r="MJT815" s="268"/>
      <c r="MJU815" s="268"/>
      <c r="MJV815" s="268"/>
      <c r="MJW815" s="268"/>
      <c r="MJX815" s="268"/>
      <c r="MJY815" s="268"/>
      <c r="MJZ815" s="268"/>
      <c r="MKA815" s="268"/>
      <c r="MKB815" s="268"/>
      <c r="MKC815" s="268"/>
      <c r="MKD815" s="268"/>
      <c r="MKE815" s="268"/>
      <c r="MKF815" s="268"/>
      <c r="MKG815" s="268"/>
      <c r="MKH815" s="268"/>
      <c r="MKI815" s="268"/>
      <c r="MKJ815" s="268"/>
      <c r="MKK815" s="268"/>
      <c r="MKL815" s="268"/>
      <c r="MKM815" s="268"/>
      <c r="MKN815" s="268"/>
      <c r="MKO815" s="268"/>
      <c r="MKP815" s="268"/>
      <c r="MKQ815" s="268"/>
      <c r="MKR815" s="268"/>
      <c r="MKS815" s="268"/>
      <c r="MKT815" s="268"/>
      <c r="MKU815" s="268"/>
      <c r="MKV815" s="268"/>
      <c r="MKW815" s="268"/>
      <c r="MKX815" s="268"/>
      <c r="MKY815" s="268"/>
      <c r="MKZ815" s="268"/>
      <c r="MLA815" s="268"/>
      <c r="MLB815" s="268"/>
      <c r="MLC815" s="268"/>
      <c r="MLD815" s="268"/>
      <c r="MLE815" s="268"/>
      <c r="MLF815" s="268"/>
      <c r="MLG815" s="268"/>
      <c r="MLH815" s="268"/>
      <c r="MLI815" s="268"/>
      <c r="MLJ815" s="268"/>
      <c r="MLK815" s="268"/>
      <c r="MLL815" s="268"/>
      <c r="MLM815" s="268"/>
      <c r="MLN815" s="268"/>
      <c r="MLO815" s="268"/>
      <c r="MLP815" s="268"/>
      <c r="MLQ815" s="268"/>
      <c r="MLR815" s="268"/>
      <c r="MLS815" s="268"/>
      <c r="MLT815" s="268"/>
      <c r="MLU815" s="268"/>
      <c r="MLV815" s="268"/>
      <c r="MLW815" s="268"/>
      <c r="MLX815" s="268"/>
      <c r="MLY815" s="268"/>
      <c r="MLZ815" s="268"/>
      <c r="MMA815" s="268"/>
      <c r="MMB815" s="268"/>
      <c r="MMC815" s="268"/>
      <c r="MMD815" s="268"/>
      <c r="MME815" s="268"/>
      <c r="MMF815" s="268"/>
      <c r="MMG815" s="268"/>
      <c r="MMH815" s="268"/>
      <c r="MMI815" s="268"/>
      <c r="MMJ815" s="268"/>
      <c r="MMK815" s="268"/>
      <c r="MML815" s="268"/>
      <c r="MMM815" s="268"/>
      <c r="MMN815" s="268"/>
      <c r="MMO815" s="268"/>
      <c r="MMP815" s="268"/>
      <c r="MMQ815" s="268"/>
      <c r="MMR815" s="268"/>
      <c r="MMS815" s="268"/>
      <c r="MMT815" s="268"/>
      <c r="MMU815" s="268"/>
      <c r="MMV815" s="268"/>
      <c r="MMW815" s="268"/>
      <c r="MMX815" s="268"/>
      <c r="MMY815" s="268"/>
      <c r="MMZ815" s="268"/>
      <c r="MNA815" s="268"/>
      <c r="MNB815" s="268"/>
      <c r="MNC815" s="268"/>
      <c r="MND815" s="268"/>
      <c r="MNE815" s="268"/>
      <c r="MNF815" s="268"/>
      <c r="MNG815" s="268"/>
      <c r="MNH815" s="268"/>
      <c r="MNI815" s="268"/>
      <c r="MNJ815" s="268"/>
      <c r="MNK815" s="268"/>
      <c r="MNL815" s="268"/>
      <c r="MNM815" s="268"/>
      <c r="MNN815" s="268"/>
      <c r="MNO815" s="268"/>
      <c r="MNP815" s="268"/>
      <c r="MNQ815" s="268"/>
      <c r="MNR815" s="268"/>
      <c r="MNS815" s="268"/>
      <c r="MNT815" s="268"/>
      <c r="MNU815" s="268"/>
      <c r="MNV815" s="268"/>
      <c r="MNW815" s="268"/>
      <c r="MNX815" s="268"/>
      <c r="MNY815" s="268"/>
      <c r="MNZ815" s="268"/>
      <c r="MOA815" s="268"/>
      <c r="MOB815" s="268"/>
      <c r="MOC815" s="268"/>
      <c r="MOD815" s="268"/>
      <c r="MOE815" s="268"/>
      <c r="MOF815" s="268"/>
      <c r="MOG815" s="268"/>
      <c r="MOH815" s="268"/>
      <c r="MOI815" s="268"/>
      <c r="MOJ815" s="268"/>
      <c r="MOK815" s="268"/>
      <c r="MOL815" s="268"/>
      <c r="MOM815" s="268"/>
      <c r="MON815" s="268"/>
      <c r="MOO815" s="268"/>
      <c r="MOP815" s="268"/>
      <c r="MOQ815" s="268"/>
      <c r="MOR815" s="268"/>
      <c r="MOS815" s="268"/>
      <c r="MOT815" s="268"/>
      <c r="MOU815" s="268"/>
      <c r="MOV815" s="268"/>
      <c r="MOW815" s="268"/>
      <c r="MOX815" s="268"/>
      <c r="MOY815" s="268"/>
      <c r="MOZ815" s="268"/>
      <c r="MPA815" s="268"/>
      <c r="MPB815" s="268"/>
      <c r="MPC815" s="268"/>
      <c r="MPQ815" s="268"/>
      <c r="MPR815" s="268"/>
      <c r="MPS815" s="268"/>
      <c r="MQG815" s="268"/>
      <c r="MQI815" s="268"/>
      <c r="MQJ815" s="268"/>
      <c r="MQK815" s="268"/>
      <c r="MQL815" s="268"/>
      <c r="MQM815" s="268"/>
      <c r="MQN815" s="268"/>
      <c r="MQO815" s="268"/>
      <c r="MQP815" s="268"/>
      <c r="MQQ815" s="268"/>
      <c r="MQR815" s="268"/>
      <c r="MQS815" s="268"/>
      <c r="MQT815" s="268"/>
      <c r="MQU815" s="268"/>
      <c r="MQV815" s="268"/>
      <c r="MQW815" s="268"/>
      <c r="MQX815" s="268"/>
      <c r="MQY815" s="268"/>
      <c r="MQZ815" s="268"/>
      <c r="MRA815" s="268"/>
      <c r="MRB815" s="268"/>
      <c r="MRC815" s="268"/>
      <c r="MRD815" s="268"/>
      <c r="MRE815" s="268"/>
      <c r="MRF815" s="268"/>
      <c r="MRG815" s="268"/>
      <c r="MRH815" s="268"/>
      <c r="MRI815" s="268"/>
      <c r="MRJ815" s="268"/>
      <c r="MRK815" s="268"/>
      <c r="MRL815" s="268"/>
      <c r="MRM815" s="268"/>
      <c r="MRN815" s="268"/>
      <c r="MRO815" s="268"/>
      <c r="MRP815" s="268"/>
      <c r="MRQ815" s="268"/>
      <c r="MRR815" s="268"/>
      <c r="MRS815" s="268"/>
      <c r="MRT815" s="268"/>
      <c r="MRU815" s="268"/>
      <c r="MRV815" s="268"/>
      <c r="MRW815" s="268"/>
      <c r="MRX815" s="268"/>
      <c r="MRY815" s="268"/>
      <c r="MRZ815" s="268"/>
      <c r="MSA815" s="268"/>
      <c r="MSB815" s="268"/>
      <c r="MSC815" s="268"/>
      <c r="MSD815" s="268"/>
      <c r="MSE815" s="268"/>
      <c r="MSF815" s="268"/>
      <c r="MSG815" s="268"/>
      <c r="MSH815" s="268"/>
      <c r="MSI815" s="268"/>
      <c r="MSJ815" s="268"/>
      <c r="MSK815" s="268"/>
      <c r="MSL815" s="268"/>
      <c r="MSM815" s="268"/>
      <c r="MSN815" s="268"/>
      <c r="MSO815" s="268"/>
      <c r="MSP815" s="268"/>
      <c r="MSQ815" s="268"/>
      <c r="MSR815" s="268"/>
      <c r="MSS815" s="268"/>
      <c r="MST815" s="268"/>
      <c r="MSU815" s="268"/>
      <c r="MSV815" s="268"/>
      <c r="MSW815" s="268"/>
      <c r="MSX815" s="268"/>
      <c r="MSY815" s="268"/>
      <c r="MSZ815" s="268"/>
      <c r="MTA815" s="268"/>
      <c r="MTB815" s="268"/>
      <c r="MTC815" s="268"/>
      <c r="MTD815" s="268"/>
      <c r="MTE815" s="268"/>
      <c r="MTF815" s="268"/>
      <c r="MTG815" s="268"/>
      <c r="MTH815" s="268"/>
      <c r="MTI815" s="268"/>
      <c r="MTJ815" s="268"/>
      <c r="MTK815" s="268"/>
      <c r="MTL815" s="268"/>
      <c r="MTM815" s="268"/>
      <c r="MTN815" s="268"/>
      <c r="MTO815" s="268"/>
      <c r="MTP815" s="268"/>
      <c r="MTQ815" s="268"/>
      <c r="MTR815" s="268"/>
      <c r="MTS815" s="268"/>
      <c r="MTT815" s="268"/>
      <c r="MTU815" s="268"/>
      <c r="MTV815" s="268"/>
      <c r="MTW815" s="268"/>
      <c r="MTX815" s="268"/>
      <c r="MTY815" s="268"/>
      <c r="MTZ815" s="268"/>
      <c r="MUA815" s="268"/>
      <c r="MUB815" s="268"/>
      <c r="MUC815" s="268"/>
      <c r="MUD815" s="268"/>
      <c r="MUE815" s="268"/>
      <c r="MUF815" s="268"/>
      <c r="MUG815" s="268"/>
      <c r="MUH815" s="268"/>
      <c r="MUI815" s="268"/>
      <c r="MUJ815" s="268"/>
      <c r="MUK815" s="268"/>
      <c r="MUL815" s="268"/>
      <c r="MUM815" s="268"/>
      <c r="MUN815" s="268"/>
      <c r="MUO815" s="268"/>
      <c r="MUP815" s="268"/>
      <c r="MUQ815" s="268"/>
      <c r="MUR815" s="268"/>
      <c r="MUS815" s="268"/>
      <c r="MUT815" s="268"/>
      <c r="MUU815" s="268"/>
      <c r="MUV815" s="268"/>
      <c r="MUW815" s="268"/>
      <c r="MUX815" s="268"/>
      <c r="MUY815" s="268"/>
      <c r="MUZ815" s="268"/>
      <c r="MVA815" s="268"/>
      <c r="MVB815" s="268"/>
      <c r="MVC815" s="268"/>
      <c r="MVD815" s="268"/>
      <c r="MVE815" s="268"/>
      <c r="MVF815" s="268"/>
      <c r="MVG815" s="268"/>
      <c r="MVH815" s="268"/>
      <c r="MVI815" s="268"/>
      <c r="MVJ815" s="268"/>
      <c r="MVK815" s="268"/>
      <c r="MVL815" s="268"/>
      <c r="MVM815" s="268"/>
      <c r="MVN815" s="268"/>
      <c r="MVO815" s="268"/>
      <c r="MVP815" s="268"/>
      <c r="MVQ815" s="268"/>
      <c r="MVR815" s="268"/>
      <c r="MVS815" s="268"/>
      <c r="MVT815" s="268"/>
      <c r="MVU815" s="268"/>
      <c r="MVV815" s="268"/>
      <c r="MVW815" s="268"/>
      <c r="MVX815" s="268"/>
      <c r="MVY815" s="268"/>
      <c r="MVZ815" s="268"/>
      <c r="MWA815" s="268"/>
      <c r="MWB815" s="268"/>
      <c r="MWC815" s="268"/>
      <c r="MWD815" s="268"/>
      <c r="MWE815" s="268"/>
      <c r="MWF815" s="268"/>
      <c r="MWG815" s="268"/>
      <c r="MWH815" s="268"/>
      <c r="MWI815" s="268"/>
      <c r="MWJ815" s="268"/>
      <c r="MWK815" s="268"/>
      <c r="MWL815" s="268"/>
      <c r="MWM815" s="268"/>
      <c r="MWN815" s="268"/>
      <c r="MWO815" s="268"/>
      <c r="MWP815" s="268"/>
      <c r="MWQ815" s="268"/>
      <c r="MWR815" s="268"/>
      <c r="MWS815" s="268"/>
      <c r="MWT815" s="268"/>
      <c r="MWU815" s="268"/>
      <c r="MWV815" s="268"/>
      <c r="MWW815" s="268"/>
      <c r="MWX815" s="268"/>
      <c r="MWY815" s="268"/>
      <c r="MWZ815" s="268"/>
      <c r="MXA815" s="268"/>
      <c r="MXB815" s="268"/>
      <c r="MXC815" s="268"/>
      <c r="MXD815" s="268"/>
      <c r="MXE815" s="268"/>
      <c r="MXF815" s="268"/>
      <c r="MXG815" s="268"/>
      <c r="MXH815" s="268"/>
      <c r="MXI815" s="268"/>
      <c r="MXJ815" s="268"/>
      <c r="MXK815" s="268"/>
      <c r="MXL815" s="268"/>
      <c r="MXM815" s="268"/>
      <c r="MXN815" s="268"/>
      <c r="MXO815" s="268"/>
      <c r="MXP815" s="268"/>
      <c r="MXQ815" s="268"/>
      <c r="MXR815" s="268"/>
      <c r="MXS815" s="268"/>
      <c r="MXT815" s="268"/>
      <c r="MXU815" s="268"/>
      <c r="MXV815" s="268"/>
      <c r="MXW815" s="268"/>
      <c r="MXX815" s="268"/>
      <c r="MXY815" s="268"/>
      <c r="MXZ815" s="268"/>
      <c r="MYA815" s="268"/>
      <c r="MYB815" s="268"/>
      <c r="MYC815" s="268"/>
      <c r="MYD815" s="268"/>
      <c r="MYE815" s="268"/>
      <c r="MYF815" s="268"/>
      <c r="MYG815" s="268"/>
      <c r="MYH815" s="268"/>
      <c r="MYI815" s="268"/>
      <c r="MYJ815" s="268"/>
      <c r="MYK815" s="268"/>
      <c r="MYL815" s="268"/>
      <c r="MYM815" s="268"/>
      <c r="MYN815" s="268"/>
      <c r="MYO815" s="268"/>
      <c r="MYP815" s="268"/>
      <c r="MYQ815" s="268"/>
      <c r="MYR815" s="268"/>
      <c r="MYS815" s="268"/>
      <c r="MYT815" s="268"/>
      <c r="MYU815" s="268"/>
      <c r="MYV815" s="268"/>
      <c r="MYW815" s="268"/>
      <c r="MYX815" s="268"/>
      <c r="MYY815" s="268"/>
      <c r="MZM815" s="268"/>
      <c r="MZN815" s="268"/>
      <c r="MZO815" s="268"/>
      <c r="NAC815" s="268"/>
      <c r="NAE815" s="268"/>
      <c r="NAF815" s="268"/>
      <c r="NAG815" s="268"/>
      <c r="NAH815" s="268"/>
      <c r="NAI815" s="268"/>
      <c r="NAJ815" s="268"/>
      <c r="NAK815" s="268"/>
      <c r="NAL815" s="268"/>
      <c r="NAM815" s="268"/>
      <c r="NAN815" s="268"/>
      <c r="NAO815" s="268"/>
      <c r="NAP815" s="268"/>
      <c r="NAQ815" s="268"/>
      <c r="NAR815" s="268"/>
      <c r="NAS815" s="268"/>
      <c r="NAT815" s="268"/>
      <c r="NAU815" s="268"/>
      <c r="NAV815" s="268"/>
      <c r="NAW815" s="268"/>
      <c r="NAX815" s="268"/>
      <c r="NAY815" s="268"/>
      <c r="NAZ815" s="268"/>
      <c r="NBA815" s="268"/>
      <c r="NBB815" s="268"/>
      <c r="NBC815" s="268"/>
      <c r="NBD815" s="268"/>
      <c r="NBE815" s="268"/>
      <c r="NBF815" s="268"/>
      <c r="NBG815" s="268"/>
      <c r="NBH815" s="268"/>
      <c r="NBI815" s="268"/>
      <c r="NBJ815" s="268"/>
      <c r="NBK815" s="268"/>
      <c r="NBL815" s="268"/>
      <c r="NBM815" s="268"/>
      <c r="NBN815" s="268"/>
      <c r="NBO815" s="268"/>
      <c r="NBP815" s="268"/>
      <c r="NBQ815" s="268"/>
      <c r="NBR815" s="268"/>
      <c r="NBS815" s="268"/>
      <c r="NBT815" s="268"/>
      <c r="NBU815" s="268"/>
      <c r="NBV815" s="268"/>
      <c r="NBW815" s="268"/>
      <c r="NBX815" s="268"/>
      <c r="NBY815" s="268"/>
      <c r="NBZ815" s="268"/>
      <c r="NCA815" s="268"/>
      <c r="NCB815" s="268"/>
      <c r="NCC815" s="268"/>
      <c r="NCD815" s="268"/>
      <c r="NCE815" s="268"/>
      <c r="NCF815" s="268"/>
      <c r="NCG815" s="268"/>
      <c r="NCH815" s="268"/>
      <c r="NCI815" s="268"/>
      <c r="NCJ815" s="268"/>
      <c r="NCK815" s="268"/>
      <c r="NCL815" s="268"/>
      <c r="NCM815" s="268"/>
      <c r="NCN815" s="268"/>
      <c r="NCO815" s="268"/>
      <c r="NCP815" s="268"/>
      <c r="NCQ815" s="268"/>
      <c r="NCR815" s="268"/>
      <c r="NCS815" s="268"/>
      <c r="NCT815" s="268"/>
      <c r="NCU815" s="268"/>
      <c r="NCV815" s="268"/>
      <c r="NCW815" s="268"/>
      <c r="NCX815" s="268"/>
      <c r="NCY815" s="268"/>
      <c r="NCZ815" s="268"/>
      <c r="NDA815" s="268"/>
      <c r="NDB815" s="268"/>
      <c r="NDC815" s="268"/>
      <c r="NDD815" s="268"/>
      <c r="NDE815" s="268"/>
      <c r="NDF815" s="268"/>
      <c r="NDG815" s="268"/>
      <c r="NDH815" s="268"/>
      <c r="NDI815" s="268"/>
      <c r="NDJ815" s="268"/>
      <c r="NDK815" s="268"/>
      <c r="NDL815" s="268"/>
      <c r="NDM815" s="268"/>
      <c r="NDN815" s="268"/>
      <c r="NDO815" s="268"/>
      <c r="NDP815" s="268"/>
      <c r="NDQ815" s="268"/>
      <c r="NDR815" s="268"/>
      <c r="NDS815" s="268"/>
      <c r="NDT815" s="268"/>
      <c r="NDU815" s="268"/>
      <c r="NDV815" s="268"/>
      <c r="NDW815" s="268"/>
      <c r="NDX815" s="268"/>
      <c r="NDY815" s="268"/>
      <c r="NDZ815" s="268"/>
      <c r="NEA815" s="268"/>
      <c r="NEB815" s="268"/>
      <c r="NEC815" s="268"/>
      <c r="NED815" s="268"/>
      <c r="NEE815" s="268"/>
      <c r="NEF815" s="268"/>
      <c r="NEG815" s="268"/>
      <c r="NEH815" s="268"/>
      <c r="NEI815" s="268"/>
      <c r="NEJ815" s="268"/>
      <c r="NEK815" s="268"/>
      <c r="NEL815" s="268"/>
      <c r="NEM815" s="268"/>
      <c r="NEN815" s="268"/>
      <c r="NEO815" s="268"/>
      <c r="NEP815" s="268"/>
      <c r="NEQ815" s="268"/>
      <c r="NER815" s="268"/>
      <c r="NES815" s="268"/>
      <c r="NET815" s="268"/>
      <c r="NEU815" s="268"/>
      <c r="NEV815" s="268"/>
      <c r="NEW815" s="268"/>
      <c r="NEX815" s="268"/>
      <c r="NEY815" s="268"/>
      <c r="NEZ815" s="268"/>
      <c r="NFA815" s="268"/>
      <c r="NFB815" s="268"/>
      <c r="NFC815" s="268"/>
      <c r="NFD815" s="268"/>
      <c r="NFE815" s="268"/>
      <c r="NFF815" s="268"/>
      <c r="NFG815" s="268"/>
      <c r="NFH815" s="268"/>
      <c r="NFI815" s="268"/>
      <c r="NFJ815" s="268"/>
      <c r="NFK815" s="268"/>
      <c r="NFL815" s="268"/>
      <c r="NFM815" s="268"/>
      <c r="NFN815" s="268"/>
      <c r="NFO815" s="268"/>
      <c r="NFP815" s="268"/>
      <c r="NFQ815" s="268"/>
      <c r="NFR815" s="268"/>
      <c r="NFS815" s="268"/>
      <c r="NFT815" s="268"/>
      <c r="NFU815" s="268"/>
      <c r="NFV815" s="268"/>
      <c r="NFW815" s="268"/>
      <c r="NFX815" s="268"/>
      <c r="NFY815" s="268"/>
      <c r="NFZ815" s="268"/>
      <c r="NGA815" s="268"/>
      <c r="NGB815" s="268"/>
      <c r="NGC815" s="268"/>
      <c r="NGD815" s="268"/>
      <c r="NGE815" s="268"/>
      <c r="NGF815" s="268"/>
      <c r="NGG815" s="268"/>
      <c r="NGH815" s="268"/>
      <c r="NGI815" s="268"/>
      <c r="NGJ815" s="268"/>
      <c r="NGK815" s="268"/>
      <c r="NGL815" s="268"/>
      <c r="NGM815" s="268"/>
      <c r="NGN815" s="268"/>
      <c r="NGO815" s="268"/>
      <c r="NGP815" s="268"/>
      <c r="NGQ815" s="268"/>
      <c r="NGR815" s="268"/>
      <c r="NGS815" s="268"/>
      <c r="NGT815" s="268"/>
      <c r="NGU815" s="268"/>
      <c r="NGV815" s="268"/>
      <c r="NGW815" s="268"/>
      <c r="NGX815" s="268"/>
      <c r="NGY815" s="268"/>
      <c r="NGZ815" s="268"/>
      <c r="NHA815" s="268"/>
      <c r="NHB815" s="268"/>
      <c r="NHC815" s="268"/>
      <c r="NHD815" s="268"/>
      <c r="NHE815" s="268"/>
      <c r="NHF815" s="268"/>
      <c r="NHG815" s="268"/>
      <c r="NHH815" s="268"/>
      <c r="NHI815" s="268"/>
      <c r="NHJ815" s="268"/>
      <c r="NHK815" s="268"/>
      <c r="NHL815" s="268"/>
      <c r="NHM815" s="268"/>
      <c r="NHN815" s="268"/>
      <c r="NHO815" s="268"/>
      <c r="NHP815" s="268"/>
      <c r="NHQ815" s="268"/>
      <c r="NHR815" s="268"/>
      <c r="NHS815" s="268"/>
      <c r="NHT815" s="268"/>
      <c r="NHU815" s="268"/>
      <c r="NHV815" s="268"/>
      <c r="NHW815" s="268"/>
      <c r="NHX815" s="268"/>
      <c r="NHY815" s="268"/>
      <c r="NHZ815" s="268"/>
      <c r="NIA815" s="268"/>
      <c r="NIB815" s="268"/>
      <c r="NIC815" s="268"/>
      <c r="NID815" s="268"/>
      <c r="NIE815" s="268"/>
      <c r="NIF815" s="268"/>
      <c r="NIG815" s="268"/>
      <c r="NIH815" s="268"/>
      <c r="NII815" s="268"/>
      <c r="NIJ815" s="268"/>
      <c r="NIK815" s="268"/>
      <c r="NIL815" s="268"/>
      <c r="NIM815" s="268"/>
      <c r="NIN815" s="268"/>
      <c r="NIO815" s="268"/>
      <c r="NIP815" s="268"/>
      <c r="NIQ815" s="268"/>
      <c r="NIR815" s="268"/>
      <c r="NIS815" s="268"/>
      <c r="NIT815" s="268"/>
      <c r="NIU815" s="268"/>
      <c r="NJI815" s="268"/>
      <c r="NJJ815" s="268"/>
      <c r="NJK815" s="268"/>
      <c r="NJY815" s="268"/>
      <c r="NKA815" s="268"/>
      <c r="NKB815" s="268"/>
      <c r="NKC815" s="268"/>
      <c r="NKD815" s="268"/>
      <c r="NKE815" s="268"/>
      <c r="NKF815" s="268"/>
      <c r="NKG815" s="268"/>
      <c r="NKH815" s="268"/>
      <c r="NKI815" s="268"/>
      <c r="NKJ815" s="268"/>
      <c r="NKK815" s="268"/>
      <c r="NKL815" s="268"/>
      <c r="NKM815" s="268"/>
      <c r="NKN815" s="268"/>
      <c r="NKO815" s="268"/>
      <c r="NKP815" s="268"/>
      <c r="NKQ815" s="268"/>
      <c r="NKR815" s="268"/>
      <c r="NKS815" s="268"/>
      <c r="NKT815" s="268"/>
      <c r="NKU815" s="268"/>
      <c r="NKV815" s="268"/>
      <c r="NKW815" s="268"/>
      <c r="NKX815" s="268"/>
      <c r="NKY815" s="268"/>
      <c r="NKZ815" s="268"/>
      <c r="NLA815" s="268"/>
      <c r="NLB815" s="268"/>
      <c r="NLC815" s="268"/>
      <c r="NLD815" s="268"/>
      <c r="NLE815" s="268"/>
      <c r="NLF815" s="268"/>
      <c r="NLG815" s="268"/>
      <c r="NLH815" s="268"/>
      <c r="NLI815" s="268"/>
      <c r="NLJ815" s="268"/>
      <c r="NLK815" s="268"/>
      <c r="NLL815" s="268"/>
      <c r="NLM815" s="268"/>
      <c r="NLN815" s="268"/>
      <c r="NLO815" s="268"/>
      <c r="NLP815" s="268"/>
      <c r="NLQ815" s="268"/>
      <c r="NLR815" s="268"/>
      <c r="NLS815" s="268"/>
      <c r="NLT815" s="268"/>
      <c r="NLU815" s="268"/>
      <c r="NLV815" s="268"/>
      <c r="NLW815" s="268"/>
      <c r="NLX815" s="268"/>
      <c r="NLY815" s="268"/>
      <c r="NLZ815" s="268"/>
      <c r="NMA815" s="268"/>
      <c r="NMB815" s="268"/>
      <c r="NMC815" s="268"/>
      <c r="NMD815" s="268"/>
      <c r="NME815" s="268"/>
      <c r="NMF815" s="268"/>
      <c r="NMG815" s="268"/>
      <c r="NMH815" s="268"/>
      <c r="NMI815" s="268"/>
      <c r="NMJ815" s="268"/>
      <c r="NMK815" s="268"/>
      <c r="NML815" s="268"/>
      <c r="NMM815" s="268"/>
      <c r="NMN815" s="268"/>
      <c r="NMO815" s="268"/>
      <c r="NMP815" s="268"/>
      <c r="NMQ815" s="268"/>
      <c r="NMR815" s="268"/>
      <c r="NMS815" s="268"/>
      <c r="NMT815" s="268"/>
      <c r="NMU815" s="268"/>
      <c r="NMV815" s="268"/>
      <c r="NMW815" s="268"/>
      <c r="NMX815" s="268"/>
      <c r="NMY815" s="268"/>
      <c r="NMZ815" s="268"/>
      <c r="NNA815" s="268"/>
      <c r="NNB815" s="268"/>
      <c r="NNC815" s="268"/>
      <c r="NND815" s="268"/>
      <c r="NNE815" s="268"/>
      <c r="NNF815" s="268"/>
      <c r="NNG815" s="268"/>
      <c r="NNH815" s="268"/>
      <c r="NNI815" s="268"/>
      <c r="NNJ815" s="268"/>
      <c r="NNK815" s="268"/>
      <c r="NNL815" s="268"/>
      <c r="NNM815" s="268"/>
      <c r="NNN815" s="268"/>
      <c r="NNO815" s="268"/>
      <c r="NNP815" s="268"/>
      <c r="NNQ815" s="268"/>
      <c r="NNR815" s="268"/>
      <c r="NNS815" s="268"/>
      <c r="NNT815" s="268"/>
      <c r="NNU815" s="268"/>
      <c r="NNV815" s="268"/>
      <c r="NNW815" s="268"/>
      <c r="NNX815" s="268"/>
      <c r="NNY815" s="268"/>
      <c r="NNZ815" s="268"/>
      <c r="NOA815" s="268"/>
      <c r="NOB815" s="268"/>
      <c r="NOC815" s="268"/>
      <c r="NOD815" s="268"/>
      <c r="NOE815" s="268"/>
      <c r="NOF815" s="268"/>
      <c r="NOG815" s="268"/>
      <c r="NOH815" s="268"/>
      <c r="NOI815" s="268"/>
      <c r="NOJ815" s="268"/>
      <c r="NOK815" s="268"/>
      <c r="NOL815" s="268"/>
      <c r="NOM815" s="268"/>
      <c r="NON815" s="268"/>
      <c r="NOO815" s="268"/>
      <c r="NOP815" s="268"/>
      <c r="NOQ815" s="268"/>
      <c r="NOR815" s="268"/>
      <c r="NOS815" s="268"/>
      <c r="NOT815" s="268"/>
      <c r="NOU815" s="268"/>
      <c r="NOV815" s="268"/>
      <c r="NOW815" s="268"/>
      <c r="NOX815" s="268"/>
      <c r="NOY815" s="268"/>
      <c r="NOZ815" s="268"/>
      <c r="NPA815" s="268"/>
      <c r="NPB815" s="268"/>
      <c r="NPC815" s="268"/>
      <c r="NPD815" s="268"/>
      <c r="NPE815" s="268"/>
      <c r="NPF815" s="268"/>
      <c r="NPG815" s="268"/>
      <c r="NPH815" s="268"/>
      <c r="NPI815" s="268"/>
      <c r="NPJ815" s="268"/>
      <c r="NPK815" s="268"/>
      <c r="NPL815" s="268"/>
      <c r="NPM815" s="268"/>
      <c r="NPN815" s="268"/>
      <c r="NPO815" s="268"/>
      <c r="NPP815" s="268"/>
      <c r="NPQ815" s="268"/>
      <c r="NPR815" s="268"/>
      <c r="NPS815" s="268"/>
      <c r="NPT815" s="268"/>
      <c r="NPU815" s="268"/>
      <c r="NPV815" s="268"/>
      <c r="NPW815" s="268"/>
      <c r="NPX815" s="268"/>
      <c r="NPY815" s="268"/>
      <c r="NPZ815" s="268"/>
      <c r="NQA815" s="268"/>
      <c r="NQB815" s="268"/>
      <c r="NQC815" s="268"/>
      <c r="NQD815" s="268"/>
      <c r="NQE815" s="268"/>
      <c r="NQF815" s="268"/>
      <c r="NQG815" s="268"/>
      <c r="NQH815" s="268"/>
      <c r="NQI815" s="268"/>
      <c r="NQJ815" s="268"/>
      <c r="NQK815" s="268"/>
      <c r="NQL815" s="268"/>
      <c r="NQM815" s="268"/>
      <c r="NQN815" s="268"/>
      <c r="NQO815" s="268"/>
      <c r="NQP815" s="268"/>
      <c r="NQQ815" s="268"/>
      <c r="NQR815" s="268"/>
      <c r="NQS815" s="268"/>
      <c r="NQT815" s="268"/>
      <c r="NQU815" s="268"/>
      <c r="NQV815" s="268"/>
      <c r="NQW815" s="268"/>
      <c r="NQX815" s="268"/>
      <c r="NQY815" s="268"/>
      <c r="NQZ815" s="268"/>
      <c r="NRA815" s="268"/>
      <c r="NRB815" s="268"/>
      <c r="NRC815" s="268"/>
      <c r="NRD815" s="268"/>
      <c r="NRE815" s="268"/>
      <c r="NRF815" s="268"/>
      <c r="NRG815" s="268"/>
      <c r="NRH815" s="268"/>
      <c r="NRI815" s="268"/>
      <c r="NRJ815" s="268"/>
      <c r="NRK815" s="268"/>
      <c r="NRL815" s="268"/>
      <c r="NRM815" s="268"/>
      <c r="NRN815" s="268"/>
      <c r="NRO815" s="268"/>
      <c r="NRP815" s="268"/>
      <c r="NRQ815" s="268"/>
      <c r="NRR815" s="268"/>
      <c r="NRS815" s="268"/>
      <c r="NRT815" s="268"/>
      <c r="NRU815" s="268"/>
      <c r="NRV815" s="268"/>
      <c r="NRW815" s="268"/>
      <c r="NRX815" s="268"/>
      <c r="NRY815" s="268"/>
      <c r="NRZ815" s="268"/>
      <c r="NSA815" s="268"/>
      <c r="NSB815" s="268"/>
      <c r="NSC815" s="268"/>
      <c r="NSD815" s="268"/>
      <c r="NSE815" s="268"/>
      <c r="NSF815" s="268"/>
      <c r="NSG815" s="268"/>
      <c r="NSH815" s="268"/>
      <c r="NSI815" s="268"/>
      <c r="NSJ815" s="268"/>
      <c r="NSK815" s="268"/>
      <c r="NSL815" s="268"/>
      <c r="NSM815" s="268"/>
      <c r="NSN815" s="268"/>
      <c r="NSO815" s="268"/>
      <c r="NSP815" s="268"/>
      <c r="NSQ815" s="268"/>
      <c r="NTE815" s="268"/>
      <c r="NTF815" s="268"/>
      <c r="NTG815" s="268"/>
      <c r="NTU815" s="268"/>
      <c r="NTW815" s="268"/>
      <c r="NTX815" s="268"/>
      <c r="NTY815" s="268"/>
      <c r="NTZ815" s="268"/>
      <c r="NUA815" s="268"/>
      <c r="NUB815" s="268"/>
      <c r="NUC815" s="268"/>
      <c r="NUD815" s="268"/>
      <c r="NUE815" s="268"/>
      <c r="NUF815" s="268"/>
      <c r="NUG815" s="268"/>
      <c r="NUH815" s="268"/>
      <c r="NUI815" s="268"/>
      <c r="NUJ815" s="268"/>
      <c r="NUK815" s="268"/>
      <c r="NUL815" s="268"/>
      <c r="NUM815" s="268"/>
      <c r="NUN815" s="268"/>
      <c r="NUO815" s="268"/>
      <c r="NUP815" s="268"/>
      <c r="NUQ815" s="268"/>
      <c r="NUR815" s="268"/>
      <c r="NUS815" s="268"/>
      <c r="NUT815" s="268"/>
      <c r="NUU815" s="268"/>
      <c r="NUV815" s="268"/>
      <c r="NUW815" s="268"/>
      <c r="NUX815" s="268"/>
      <c r="NUY815" s="268"/>
      <c r="NUZ815" s="268"/>
      <c r="NVA815" s="268"/>
      <c r="NVB815" s="268"/>
      <c r="NVC815" s="268"/>
      <c r="NVD815" s="268"/>
      <c r="NVE815" s="268"/>
      <c r="NVF815" s="268"/>
      <c r="NVG815" s="268"/>
      <c r="NVH815" s="268"/>
      <c r="NVI815" s="268"/>
      <c r="NVJ815" s="268"/>
      <c r="NVK815" s="268"/>
      <c r="NVL815" s="268"/>
      <c r="NVM815" s="268"/>
      <c r="NVN815" s="268"/>
      <c r="NVO815" s="268"/>
      <c r="NVP815" s="268"/>
      <c r="NVQ815" s="268"/>
      <c r="NVR815" s="268"/>
      <c r="NVS815" s="268"/>
      <c r="NVT815" s="268"/>
      <c r="NVU815" s="268"/>
      <c r="NVV815" s="268"/>
      <c r="NVW815" s="268"/>
      <c r="NVX815" s="268"/>
      <c r="NVY815" s="268"/>
      <c r="NVZ815" s="268"/>
      <c r="NWA815" s="268"/>
      <c r="NWB815" s="268"/>
      <c r="NWC815" s="268"/>
      <c r="NWD815" s="268"/>
      <c r="NWE815" s="268"/>
      <c r="NWF815" s="268"/>
      <c r="NWG815" s="268"/>
      <c r="NWH815" s="268"/>
      <c r="NWI815" s="268"/>
      <c r="NWJ815" s="268"/>
      <c r="NWK815" s="268"/>
      <c r="NWL815" s="268"/>
      <c r="NWM815" s="268"/>
      <c r="NWN815" s="268"/>
      <c r="NWO815" s="268"/>
      <c r="NWP815" s="268"/>
      <c r="NWQ815" s="268"/>
      <c r="NWR815" s="268"/>
      <c r="NWS815" s="268"/>
      <c r="NWT815" s="268"/>
      <c r="NWU815" s="268"/>
      <c r="NWV815" s="268"/>
      <c r="NWW815" s="268"/>
      <c r="NWX815" s="268"/>
      <c r="NWY815" s="268"/>
      <c r="NWZ815" s="268"/>
      <c r="NXA815" s="268"/>
      <c r="NXB815" s="268"/>
      <c r="NXC815" s="268"/>
      <c r="NXD815" s="268"/>
      <c r="NXE815" s="268"/>
      <c r="NXF815" s="268"/>
      <c r="NXG815" s="268"/>
      <c r="NXH815" s="268"/>
      <c r="NXI815" s="268"/>
      <c r="NXJ815" s="268"/>
      <c r="NXK815" s="268"/>
      <c r="NXL815" s="268"/>
      <c r="NXM815" s="268"/>
      <c r="NXN815" s="268"/>
      <c r="NXO815" s="268"/>
      <c r="NXP815" s="268"/>
      <c r="NXQ815" s="268"/>
      <c r="NXR815" s="268"/>
      <c r="NXS815" s="268"/>
      <c r="NXT815" s="268"/>
      <c r="NXU815" s="268"/>
      <c r="NXV815" s="268"/>
      <c r="NXW815" s="268"/>
      <c r="NXX815" s="268"/>
      <c r="NXY815" s="268"/>
      <c r="NXZ815" s="268"/>
      <c r="NYA815" s="268"/>
      <c r="NYB815" s="268"/>
      <c r="NYC815" s="268"/>
      <c r="NYD815" s="268"/>
      <c r="NYE815" s="268"/>
      <c r="NYF815" s="268"/>
      <c r="NYG815" s="268"/>
      <c r="NYH815" s="268"/>
      <c r="NYI815" s="268"/>
      <c r="NYJ815" s="268"/>
      <c r="NYK815" s="268"/>
      <c r="NYL815" s="268"/>
      <c r="NYM815" s="268"/>
      <c r="NYN815" s="268"/>
      <c r="NYO815" s="268"/>
      <c r="NYP815" s="268"/>
      <c r="NYQ815" s="268"/>
      <c r="NYR815" s="268"/>
      <c r="NYS815" s="268"/>
      <c r="NYT815" s="268"/>
      <c r="NYU815" s="268"/>
      <c r="NYV815" s="268"/>
      <c r="NYW815" s="268"/>
      <c r="NYX815" s="268"/>
      <c r="NYY815" s="268"/>
      <c r="NYZ815" s="268"/>
      <c r="NZA815" s="268"/>
      <c r="NZB815" s="268"/>
      <c r="NZC815" s="268"/>
      <c r="NZD815" s="268"/>
      <c r="NZE815" s="268"/>
      <c r="NZF815" s="268"/>
      <c r="NZG815" s="268"/>
      <c r="NZH815" s="268"/>
      <c r="NZI815" s="268"/>
      <c r="NZJ815" s="268"/>
      <c r="NZK815" s="268"/>
      <c r="NZL815" s="268"/>
      <c r="NZM815" s="268"/>
      <c r="NZN815" s="268"/>
      <c r="NZO815" s="268"/>
      <c r="NZP815" s="268"/>
      <c r="NZQ815" s="268"/>
      <c r="NZR815" s="268"/>
      <c r="NZS815" s="268"/>
      <c r="NZT815" s="268"/>
      <c r="NZU815" s="268"/>
      <c r="NZV815" s="268"/>
      <c r="NZW815" s="268"/>
      <c r="NZX815" s="268"/>
      <c r="NZY815" s="268"/>
      <c r="NZZ815" s="268"/>
      <c r="OAA815" s="268"/>
      <c r="OAB815" s="268"/>
      <c r="OAC815" s="268"/>
      <c r="OAD815" s="268"/>
      <c r="OAE815" s="268"/>
      <c r="OAF815" s="268"/>
      <c r="OAG815" s="268"/>
      <c r="OAH815" s="268"/>
      <c r="OAI815" s="268"/>
      <c r="OAJ815" s="268"/>
      <c r="OAK815" s="268"/>
      <c r="OAL815" s="268"/>
      <c r="OAM815" s="268"/>
      <c r="OAN815" s="268"/>
      <c r="OAO815" s="268"/>
      <c r="OAP815" s="268"/>
      <c r="OAQ815" s="268"/>
      <c r="OAR815" s="268"/>
      <c r="OAS815" s="268"/>
      <c r="OAT815" s="268"/>
      <c r="OAU815" s="268"/>
      <c r="OAV815" s="268"/>
      <c r="OAW815" s="268"/>
      <c r="OAX815" s="268"/>
      <c r="OAY815" s="268"/>
      <c r="OAZ815" s="268"/>
      <c r="OBA815" s="268"/>
      <c r="OBB815" s="268"/>
      <c r="OBC815" s="268"/>
      <c r="OBD815" s="268"/>
      <c r="OBE815" s="268"/>
      <c r="OBF815" s="268"/>
      <c r="OBG815" s="268"/>
      <c r="OBH815" s="268"/>
      <c r="OBI815" s="268"/>
      <c r="OBJ815" s="268"/>
      <c r="OBK815" s="268"/>
      <c r="OBL815" s="268"/>
      <c r="OBM815" s="268"/>
      <c r="OBN815" s="268"/>
      <c r="OBO815" s="268"/>
      <c r="OBP815" s="268"/>
      <c r="OBQ815" s="268"/>
      <c r="OBR815" s="268"/>
      <c r="OBS815" s="268"/>
      <c r="OBT815" s="268"/>
      <c r="OBU815" s="268"/>
      <c r="OBV815" s="268"/>
      <c r="OBW815" s="268"/>
      <c r="OBX815" s="268"/>
      <c r="OBY815" s="268"/>
      <c r="OBZ815" s="268"/>
      <c r="OCA815" s="268"/>
      <c r="OCB815" s="268"/>
      <c r="OCC815" s="268"/>
      <c r="OCD815" s="268"/>
      <c r="OCE815" s="268"/>
      <c r="OCF815" s="268"/>
      <c r="OCG815" s="268"/>
      <c r="OCH815" s="268"/>
      <c r="OCI815" s="268"/>
      <c r="OCJ815" s="268"/>
      <c r="OCK815" s="268"/>
      <c r="OCL815" s="268"/>
      <c r="OCM815" s="268"/>
      <c r="ODA815" s="268"/>
      <c r="ODB815" s="268"/>
      <c r="ODC815" s="268"/>
      <c r="ODQ815" s="268"/>
      <c r="ODS815" s="268"/>
      <c r="ODT815" s="268"/>
      <c r="ODU815" s="268"/>
      <c r="ODV815" s="268"/>
      <c r="ODW815" s="268"/>
      <c r="ODX815" s="268"/>
      <c r="ODY815" s="268"/>
      <c r="ODZ815" s="268"/>
      <c r="OEA815" s="268"/>
      <c r="OEB815" s="268"/>
      <c r="OEC815" s="268"/>
      <c r="OED815" s="268"/>
      <c r="OEE815" s="268"/>
      <c r="OEF815" s="268"/>
      <c r="OEG815" s="268"/>
      <c r="OEH815" s="268"/>
      <c r="OEI815" s="268"/>
      <c r="OEJ815" s="268"/>
      <c r="OEK815" s="268"/>
      <c r="OEL815" s="268"/>
      <c r="OEM815" s="268"/>
      <c r="OEN815" s="268"/>
      <c r="OEO815" s="268"/>
      <c r="OEP815" s="268"/>
      <c r="OEQ815" s="268"/>
      <c r="OER815" s="268"/>
      <c r="OES815" s="268"/>
      <c r="OET815" s="268"/>
      <c r="OEU815" s="268"/>
      <c r="OEV815" s="268"/>
      <c r="OEW815" s="268"/>
      <c r="OEX815" s="268"/>
      <c r="OEY815" s="268"/>
      <c r="OEZ815" s="268"/>
      <c r="OFA815" s="268"/>
      <c r="OFB815" s="268"/>
      <c r="OFC815" s="268"/>
      <c r="OFD815" s="268"/>
      <c r="OFE815" s="268"/>
      <c r="OFF815" s="268"/>
      <c r="OFG815" s="268"/>
      <c r="OFH815" s="268"/>
      <c r="OFI815" s="268"/>
      <c r="OFJ815" s="268"/>
      <c r="OFK815" s="268"/>
      <c r="OFL815" s="268"/>
      <c r="OFM815" s="268"/>
      <c r="OFN815" s="268"/>
      <c r="OFO815" s="268"/>
      <c r="OFP815" s="268"/>
      <c r="OFQ815" s="268"/>
      <c r="OFR815" s="268"/>
      <c r="OFS815" s="268"/>
      <c r="OFT815" s="268"/>
      <c r="OFU815" s="268"/>
      <c r="OFV815" s="268"/>
      <c r="OFW815" s="268"/>
      <c r="OFX815" s="268"/>
      <c r="OFY815" s="268"/>
      <c r="OFZ815" s="268"/>
      <c r="OGA815" s="268"/>
      <c r="OGB815" s="268"/>
      <c r="OGC815" s="268"/>
      <c r="OGD815" s="268"/>
      <c r="OGE815" s="268"/>
      <c r="OGF815" s="268"/>
      <c r="OGG815" s="268"/>
      <c r="OGH815" s="268"/>
      <c r="OGI815" s="268"/>
      <c r="OGJ815" s="268"/>
      <c r="OGK815" s="268"/>
      <c r="OGL815" s="268"/>
      <c r="OGM815" s="268"/>
      <c r="OGN815" s="268"/>
      <c r="OGO815" s="268"/>
      <c r="OGP815" s="268"/>
      <c r="OGQ815" s="268"/>
      <c r="OGR815" s="268"/>
      <c r="OGS815" s="268"/>
      <c r="OGT815" s="268"/>
      <c r="OGU815" s="268"/>
      <c r="OGV815" s="268"/>
      <c r="OGW815" s="268"/>
      <c r="OGX815" s="268"/>
      <c r="OGY815" s="268"/>
      <c r="OGZ815" s="268"/>
      <c r="OHA815" s="268"/>
      <c r="OHB815" s="268"/>
      <c r="OHC815" s="268"/>
      <c r="OHD815" s="268"/>
      <c r="OHE815" s="268"/>
      <c r="OHF815" s="268"/>
      <c r="OHG815" s="268"/>
      <c r="OHH815" s="268"/>
      <c r="OHI815" s="268"/>
      <c r="OHJ815" s="268"/>
      <c r="OHK815" s="268"/>
      <c r="OHL815" s="268"/>
      <c r="OHM815" s="268"/>
      <c r="OHN815" s="268"/>
      <c r="OHO815" s="268"/>
      <c r="OHP815" s="268"/>
      <c r="OHQ815" s="268"/>
      <c r="OHR815" s="268"/>
      <c r="OHS815" s="268"/>
      <c r="OHT815" s="268"/>
      <c r="OHU815" s="268"/>
      <c r="OHV815" s="268"/>
      <c r="OHW815" s="268"/>
      <c r="OHX815" s="268"/>
      <c r="OHY815" s="268"/>
      <c r="OHZ815" s="268"/>
      <c r="OIA815" s="268"/>
      <c r="OIB815" s="268"/>
      <c r="OIC815" s="268"/>
      <c r="OID815" s="268"/>
      <c r="OIE815" s="268"/>
      <c r="OIF815" s="268"/>
      <c r="OIG815" s="268"/>
      <c r="OIH815" s="268"/>
      <c r="OII815" s="268"/>
      <c r="OIJ815" s="268"/>
      <c r="OIK815" s="268"/>
      <c r="OIL815" s="268"/>
      <c r="OIM815" s="268"/>
      <c r="OIN815" s="268"/>
      <c r="OIO815" s="268"/>
      <c r="OIP815" s="268"/>
      <c r="OIQ815" s="268"/>
      <c r="OIR815" s="268"/>
      <c r="OIS815" s="268"/>
      <c r="OIT815" s="268"/>
      <c r="OIU815" s="268"/>
      <c r="OIV815" s="268"/>
      <c r="OIW815" s="268"/>
      <c r="OIX815" s="268"/>
      <c r="OIY815" s="268"/>
      <c r="OIZ815" s="268"/>
      <c r="OJA815" s="268"/>
      <c r="OJB815" s="268"/>
      <c r="OJC815" s="268"/>
      <c r="OJD815" s="268"/>
      <c r="OJE815" s="268"/>
      <c r="OJF815" s="268"/>
      <c r="OJG815" s="268"/>
      <c r="OJH815" s="268"/>
      <c r="OJI815" s="268"/>
      <c r="OJJ815" s="268"/>
      <c r="OJK815" s="268"/>
      <c r="OJL815" s="268"/>
      <c r="OJM815" s="268"/>
      <c r="OJN815" s="268"/>
      <c r="OJO815" s="268"/>
      <c r="OJP815" s="268"/>
      <c r="OJQ815" s="268"/>
      <c r="OJR815" s="268"/>
      <c r="OJS815" s="268"/>
      <c r="OJT815" s="268"/>
      <c r="OJU815" s="268"/>
      <c r="OJV815" s="268"/>
      <c r="OJW815" s="268"/>
      <c r="OJX815" s="268"/>
      <c r="OJY815" s="268"/>
      <c r="OJZ815" s="268"/>
      <c r="OKA815" s="268"/>
      <c r="OKB815" s="268"/>
      <c r="OKC815" s="268"/>
      <c r="OKD815" s="268"/>
      <c r="OKE815" s="268"/>
      <c r="OKF815" s="268"/>
      <c r="OKG815" s="268"/>
      <c r="OKH815" s="268"/>
      <c r="OKI815" s="268"/>
      <c r="OKJ815" s="268"/>
      <c r="OKK815" s="268"/>
      <c r="OKL815" s="268"/>
      <c r="OKM815" s="268"/>
      <c r="OKN815" s="268"/>
      <c r="OKO815" s="268"/>
      <c r="OKP815" s="268"/>
      <c r="OKQ815" s="268"/>
      <c r="OKR815" s="268"/>
      <c r="OKS815" s="268"/>
      <c r="OKT815" s="268"/>
      <c r="OKU815" s="268"/>
      <c r="OKV815" s="268"/>
      <c r="OKW815" s="268"/>
      <c r="OKX815" s="268"/>
      <c r="OKY815" s="268"/>
      <c r="OKZ815" s="268"/>
      <c r="OLA815" s="268"/>
      <c r="OLB815" s="268"/>
      <c r="OLC815" s="268"/>
      <c r="OLD815" s="268"/>
      <c r="OLE815" s="268"/>
      <c r="OLF815" s="268"/>
      <c r="OLG815" s="268"/>
      <c r="OLH815" s="268"/>
      <c r="OLI815" s="268"/>
      <c r="OLJ815" s="268"/>
      <c r="OLK815" s="268"/>
      <c r="OLL815" s="268"/>
      <c r="OLM815" s="268"/>
      <c r="OLN815" s="268"/>
      <c r="OLO815" s="268"/>
      <c r="OLP815" s="268"/>
      <c r="OLQ815" s="268"/>
      <c r="OLR815" s="268"/>
      <c r="OLS815" s="268"/>
      <c r="OLT815" s="268"/>
      <c r="OLU815" s="268"/>
      <c r="OLV815" s="268"/>
      <c r="OLW815" s="268"/>
      <c r="OLX815" s="268"/>
      <c r="OLY815" s="268"/>
      <c r="OLZ815" s="268"/>
      <c r="OMA815" s="268"/>
      <c r="OMB815" s="268"/>
      <c r="OMC815" s="268"/>
      <c r="OMD815" s="268"/>
      <c r="OME815" s="268"/>
      <c r="OMF815" s="268"/>
      <c r="OMG815" s="268"/>
      <c r="OMH815" s="268"/>
      <c r="OMI815" s="268"/>
      <c r="OMW815" s="268"/>
      <c r="OMX815" s="268"/>
      <c r="OMY815" s="268"/>
      <c r="ONM815" s="268"/>
      <c r="ONO815" s="268"/>
      <c r="ONP815" s="268"/>
      <c r="ONQ815" s="268"/>
      <c r="ONR815" s="268"/>
      <c r="ONS815" s="268"/>
      <c r="ONT815" s="268"/>
      <c r="ONU815" s="268"/>
      <c r="ONV815" s="268"/>
      <c r="ONW815" s="268"/>
      <c r="ONX815" s="268"/>
      <c r="ONY815" s="268"/>
      <c r="ONZ815" s="268"/>
      <c r="OOA815" s="268"/>
      <c r="OOB815" s="268"/>
      <c r="OOC815" s="268"/>
      <c r="OOD815" s="268"/>
      <c r="OOE815" s="268"/>
      <c r="OOF815" s="268"/>
      <c r="OOG815" s="268"/>
      <c r="OOH815" s="268"/>
      <c r="OOI815" s="268"/>
      <c r="OOJ815" s="268"/>
      <c r="OOK815" s="268"/>
      <c r="OOL815" s="268"/>
      <c r="OOM815" s="268"/>
      <c r="OON815" s="268"/>
      <c r="OOO815" s="268"/>
      <c r="OOP815" s="268"/>
      <c r="OOQ815" s="268"/>
      <c r="OOR815" s="268"/>
      <c r="OOS815" s="268"/>
      <c r="OOT815" s="268"/>
      <c r="OOU815" s="268"/>
      <c r="OOV815" s="268"/>
      <c r="OOW815" s="268"/>
      <c r="OOX815" s="268"/>
      <c r="OOY815" s="268"/>
      <c r="OOZ815" s="268"/>
      <c r="OPA815" s="268"/>
      <c r="OPB815" s="268"/>
      <c r="OPC815" s="268"/>
      <c r="OPD815" s="268"/>
      <c r="OPE815" s="268"/>
      <c r="OPF815" s="268"/>
      <c r="OPG815" s="268"/>
      <c r="OPH815" s="268"/>
      <c r="OPI815" s="268"/>
      <c r="OPJ815" s="268"/>
      <c r="OPK815" s="268"/>
      <c r="OPL815" s="268"/>
      <c r="OPM815" s="268"/>
      <c r="OPN815" s="268"/>
      <c r="OPO815" s="268"/>
      <c r="OPP815" s="268"/>
      <c r="OPQ815" s="268"/>
      <c r="OPR815" s="268"/>
      <c r="OPS815" s="268"/>
      <c r="OPT815" s="268"/>
      <c r="OPU815" s="268"/>
      <c r="OPV815" s="268"/>
      <c r="OPW815" s="268"/>
      <c r="OPX815" s="268"/>
      <c r="OPY815" s="268"/>
      <c r="OPZ815" s="268"/>
      <c r="OQA815" s="268"/>
      <c r="OQB815" s="268"/>
      <c r="OQC815" s="268"/>
      <c r="OQD815" s="268"/>
      <c r="OQE815" s="268"/>
      <c r="OQF815" s="268"/>
      <c r="OQG815" s="268"/>
      <c r="OQH815" s="268"/>
      <c r="OQI815" s="268"/>
      <c r="OQJ815" s="268"/>
      <c r="OQK815" s="268"/>
      <c r="OQL815" s="268"/>
      <c r="OQM815" s="268"/>
      <c r="OQN815" s="268"/>
      <c r="OQO815" s="268"/>
      <c r="OQP815" s="268"/>
      <c r="OQQ815" s="268"/>
      <c r="OQR815" s="268"/>
      <c r="OQS815" s="268"/>
      <c r="OQT815" s="268"/>
      <c r="OQU815" s="268"/>
      <c r="OQV815" s="268"/>
      <c r="OQW815" s="268"/>
      <c r="OQX815" s="268"/>
      <c r="OQY815" s="268"/>
      <c r="OQZ815" s="268"/>
      <c r="ORA815" s="268"/>
      <c r="ORB815" s="268"/>
      <c r="ORC815" s="268"/>
      <c r="ORD815" s="268"/>
      <c r="ORE815" s="268"/>
      <c r="ORF815" s="268"/>
      <c r="ORG815" s="268"/>
      <c r="ORH815" s="268"/>
      <c r="ORI815" s="268"/>
      <c r="ORJ815" s="268"/>
      <c r="ORK815" s="268"/>
      <c r="ORL815" s="268"/>
      <c r="ORM815" s="268"/>
      <c r="ORN815" s="268"/>
      <c r="ORO815" s="268"/>
      <c r="ORP815" s="268"/>
      <c r="ORQ815" s="268"/>
      <c r="ORR815" s="268"/>
      <c r="ORS815" s="268"/>
      <c r="ORT815" s="268"/>
      <c r="ORU815" s="268"/>
      <c r="ORV815" s="268"/>
      <c r="ORW815" s="268"/>
      <c r="ORX815" s="268"/>
      <c r="ORY815" s="268"/>
      <c r="ORZ815" s="268"/>
      <c r="OSA815" s="268"/>
      <c r="OSB815" s="268"/>
      <c r="OSC815" s="268"/>
      <c r="OSD815" s="268"/>
      <c r="OSE815" s="268"/>
      <c r="OSF815" s="268"/>
      <c r="OSG815" s="268"/>
      <c r="OSH815" s="268"/>
      <c r="OSI815" s="268"/>
      <c r="OSJ815" s="268"/>
      <c r="OSK815" s="268"/>
      <c r="OSL815" s="268"/>
      <c r="OSM815" s="268"/>
      <c r="OSN815" s="268"/>
      <c r="OSO815" s="268"/>
      <c r="OSP815" s="268"/>
      <c r="OSQ815" s="268"/>
      <c r="OSR815" s="268"/>
      <c r="OSS815" s="268"/>
      <c r="OST815" s="268"/>
      <c r="OSU815" s="268"/>
      <c r="OSV815" s="268"/>
      <c r="OSW815" s="268"/>
      <c r="OSX815" s="268"/>
      <c r="OSY815" s="268"/>
      <c r="OSZ815" s="268"/>
      <c r="OTA815" s="268"/>
      <c r="OTB815" s="268"/>
      <c r="OTC815" s="268"/>
      <c r="OTD815" s="268"/>
      <c r="OTE815" s="268"/>
      <c r="OTF815" s="268"/>
      <c r="OTG815" s="268"/>
      <c r="OTH815" s="268"/>
      <c r="OTI815" s="268"/>
      <c r="OTJ815" s="268"/>
      <c r="OTK815" s="268"/>
      <c r="OTL815" s="268"/>
      <c r="OTM815" s="268"/>
      <c r="OTN815" s="268"/>
      <c r="OTO815" s="268"/>
      <c r="OTP815" s="268"/>
      <c r="OTQ815" s="268"/>
      <c r="OTR815" s="268"/>
      <c r="OTS815" s="268"/>
      <c r="OTT815" s="268"/>
      <c r="OTU815" s="268"/>
      <c r="OTV815" s="268"/>
      <c r="OTW815" s="268"/>
      <c r="OTX815" s="268"/>
      <c r="OTY815" s="268"/>
      <c r="OTZ815" s="268"/>
      <c r="OUA815" s="268"/>
      <c r="OUB815" s="268"/>
      <c r="OUC815" s="268"/>
      <c r="OUD815" s="268"/>
      <c r="OUE815" s="268"/>
      <c r="OUF815" s="268"/>
      <c r="OUG815" s="268"/>
      <c r="OUH815" s="268"/>
      <c r="OUI815" s="268"/>
      <c r="OUJ815" s="268"/>
      <c r="OUK815" s="268"/>
      <c r="OUL815" s="268"/>
      <c r="OUM815" s="268"/>
      <c r="OUN815" s="268"/>
      <c r="OUO815" s="268"/>
      <c r="OUP815" s="268"/>
      <c r="OUQ815" s="268"/>
      <c r="OUR815" s="268"/>
      <c r="OUS815" s="268"/>
      <c r="OUT815" s="268"/>
      <c r="OUU815" s="268"/>
      <c r="OUV815" s="268"/>
      <c r="OUW815" s="268"/>
      <c r="OUX815" s="268"/>
      <c r="OUY815" s="268"/>
      <c r="OUZ815" s="268"/>
      <c r="OVA815" s="268"/>
      <c r="OVB815" s="268"/>
      <c r="OVC815" s="268"/>
      <c r="OVD815" s="268"/>
      <c r="OVE815" s="268"/>
      <c r="OVF815" s="268"/>
      <c r="OVG815" s="268"/>
      <c r="OVH815" s="268"/>
      <c r="OVI815" s="268"/>
      <c r="OVJ815" s="268"/>
      <c r="OVK815" s="268"/>
      <c r="OVL815" s="268"/>
      <c r="OVM815" s="268"/>
      <c r="OVN815" s="268"/>
      <c r="OVO815" s="268"/>
      <c r="OVP815" s="268"/>
      <c r="OVQ815" s="268"/>
      <c r="OVR815" s="268"/>
      <c r="OVS815" s="268"/>
      <c r="OVT815" s="268"/>
      <c r="OVU815" s="268"/>
      <c r="OVV815" s="268"/>
      <c r="OVW815" s="268"/>
      <c r="OVX815" s="268"/>
      <c r="OVY815" s="268"/>
      <c r="OVZ815" s="268"/>
      <c r="OWA815" s="268"/>
      <c r="OWB815" s="268"/>
      <c r="OWC815" s="268"/>
      <c r="OWD815" s="268"/>
      <c r="OWE815" s="268"/>
      <c r="OWS815" s="268"/>
      <c r="OWT815" s="268"/>
      <c r="OWU815" s="268"/>
      <c r="OXI815" s="268"/>
      <c r="OXK815" s="268"/>
      <c r="OXL815" s="268"/>
      <c r="OXM815" s="268"/>
      <c r="OXN815" s="268"/>
      <c r="OXO815" s="268"/>
      <c r="OXP815" s="268"/>
      <c r="OXQ815" s="268"/>
      <c r="OXR815" s="268"/>
      <c r="OXS815" s="268"/>
      <c r="OXT815" s="268"/>
      <c r="OXU815" s="268"/>
      <c r="OXV815" s="268"/>
      <c r="OXW815" s="268"/>
      <c r="OXX815" s="268"/>
      <c r="OXY815" s="268"/>
      <c r="OXZ815" s="268"/>
      <c r="OYA815" s="268"/>
      <c r="OYB815" s="268"/>
      <c r="OYC815" s="268"/>
      <c r="OYD815" s="268"/>
      <c r="OYE815" s="268"/>
      <c r="OYF815" s="268"/>
      <c r="OYG815" s="268"/>
      <c r="OYH815" s="268"/>
      <c r="OYI815" s="268"/>
      <c r="OYJ815" s="268"/>
      <c r="OYK815" s="268"/>
      <c r="OYL815" s="268"/>
      <c r="OYM815" s="268"/>
      <c r="OYN815" s="268"/>
      <c r="OYO815" s="268"/>
      <c r="OYP815" s="268"/>
      <c r="OYQ815" s="268"/>
      <c r="OYR815" s="268"/>
      <c r="OYS815" s="268"/>
      <c r="OYT815" s="268"/>
      <c r="OYU815" s="268"/>
      <c r="OYV815" s="268"/>
      <c r="OYW815" s="268"/>
      <c r="OYX815" s="268"/>
      <c r="OYY815" s="268"/>
      <c r="OYZ815" s="268"/>
      <c r="OZA815" s="268"/>
      <c r="OZB815" s="268"/>
      <c r="OZC815" s="268"/>
      <c r="OZD815" s="268"/>
      <c r="OZE815" s="268"/>
      <c r="OZF815" s="268"/>
      <c r="OZG815" s="268"/>
      <c r="OZH815" s="268"/>
      <c r="OZI815" s="268"/>
      <c r="OZJ815" s="268"/>
      <c r="OZK815" s="268"/>
      <c r="OZL815" s="268"/>
      <c r="OZM815" s="268"/>
      <c r="OZN815" s="268"/>
      <c r="OZO815" s="268"/>
      <c r="OZP815" s="268"/>
      <c r="OZQ815" s="268"/>
      <c r="OZR815" s="268"/>
      <c r="OZS815" s="268"/>
      <c r="OZT815" s="268"/>
      <c r="OZU815" s="268"/>
      <c r="OZV815" s="268"/>
      <c r="OZW815" s="268"/>
      <c r="OZX815" s="268"/>
      <c r="OZY815" s="268"/>
      <c r="OZZ815" s="268"/>
      <c r="PAA815" s="268"/>
      <c r="PAB815" s="268"/>
      <c r="PAC815" s="268"/>
      <c r="PAD815" s="268"/>
      <c r="PAE815" s="268"/>
      <c r="PAF815" s="268"/>
      <c r="PAG815" s="268"/>
      <c r="PAH815" s="268"/>
      <c r="PAI815" s="268"/>
      <c r="PAJ815" s="268"/>
      <c r="PAK815" s="268"/>
      <c r="PAL815" s="268"/>
      <c r="PAM815" s="268"/>
      <c r="PAN815" s="268"/>
      <c r="PAO815" s="268"/>
      <c r="PAP815" s="268"/>
      <c r="PAQ815" s="268"/>
      <c r="PAR815" s="268"/>
      <c r="PAS815" s="268"/>
      <c r="PAT815" s="268"/>
      <c r="PAU815" s="268"/>
      <c r="PAV815" s="268"/>
      <c r="PAW815" s="268"/>
      <c r="PAX815" s="268"/>
      <c r="PAY815" s="268"/>
      <c r="PAZ815" s="268"/>
      <c r="PBA815" s="268"/>
      <c r="PBB815" s="268"/>
      <c r="PBC815" s="268"/>
      <c r="PBD815" s="268"/>
      <c r="PBE815" s="268"/>
      <c r="PBF815" s="268"/>
      <c r="PBG815" s="268"/>
      <c r="PBH815" s="268"/>
      <c r="PBI815" s="268"/>
      <c r="PBJ815" s="268"/>
      <c r="PBK815" s="268"/>
      <c r="PBL815" s="268"/>
      <c r="PBM815" s="268"/>
      <c r="PBN815" s="268"/>
      <c r="PBO815" s="268"/>
      <c r="PBP815" s="268"/>
      <c r="PBQ815" s="268"/>
      <c r="PBR815" s="268"/>
      <c r="PBS815" s="268"/>
      <c r="PBT815" s="268"/>
      <c r="PBU815" s="268"/>
      <c r="PBV815" s="268"/>
      <c r="PBW815" s="268"/>
      <c r="PBX815" s="268"/>
      <c r="PBY815" s="268"/>
      <c r="PBZ815" s="268"/>
      <c r="PCA815" s="268"/>
      <c r="PCB815" s="268"/>
      <c r="PCC815" s="268"/>
      <c r="PCD815" s="268"/>
      <c r="PCE815" s="268"/>
      <c r="PCF815" s="268"/>
      <c r="PCG815" s="268"/>
      <c r="PCH815" s="268"/>
      <c r="PCI815" s="268"/>
      <c r="PCJ815" s="268"/>
      <c r="PCK815" s="268"/>
      <c r="PCL815" s="268"/>
      <c r="PCM815" s="268"/>
      <c r="PCN815" s="268"/>
      <c r="PCO815" s="268"/>
      <c r="PCP815" s="268"/>
      <c r="PCQ815" s="268"/>
      <c r="PCR815" s="268"/>
      <c r="PCS815" s="268"/>
      <c r="PCT815" s="268"/>
      <c r="PCU815" s="268"/>
      <c r="PCV815" s="268"/>
      <c r="PCW815" s="268"/>
      <c r="PCX815" s="268"/>
      <c r="PCY815" s="268"/>
      <c r="PCZ815" s="268"/>
      <c r="PDA815" s="268"/>
      <c r="PDB815" s="268"/>
      <c r="PDC815" s="268"/>
      <c r="PDD815" s="268"/>
      <c r="PDE815" s="268"/>
      <c r="PDF815" s="268"/>
      <c r="PDG815" s="268"/>
      <c r="PDH815" s="268"/>
      <c r="PDI815" s="268"/>
      <c r="PDJ815" s="268"/>
      <c r="PDK815" s="268"/>
      <c r="PDL815" s="268"/>
      <c r="PDM815" s="268"/>
      <c r="PDN815" s="268"/>
      <c r="PDO815" s="268"/>
      <c r="PDP815" s="268"/>
      <c r="PDQ815" s="268"/>
      <c r="PDR815" s="268"/>
      <c r="PDS815" s="268"/>
      <c r="PDT815" s="268"/>
      <c r="PDU815" s="268"/>
      <c r="PDV815" s="268"/>
      <c r="PDW815" s="268"/>
      <c r="PDX815" s="268"/>
      <c r="PDY815" s="268"/>
      <c r="PDZ815" s="268"/>
      <c r="PEA815" s="268"/>
      <c r="PEB815" s="268"/>
      <c r="PEC815" s="268"/>
      <c r="PED815" s="268"/>
      <c r="PEE815" s="268"/>
      <c r="PEF815" s="268"/>
      <c r="PEG815" s="268"/>
      <c r="PEH815" s="268"/>
      <c r="PEI815" s="268"/>
      <c r="PEJ815" s="268"/>
      <c r="PEK815" s="268"/>
      <c r="PEL815" s="268"/>
      <c r="PEM815" s="268"/>
      <c r="PEN815" s="268"/>
      <c r="PEO815" s="268"/>
      <c r="PEP815" s="268"/>
      <c r="PEQ815" s="268"/>
      <c r="PER815" s="268"/>
      <c r="PES815" s="268"/>
      <c r="PET815" s="268"/>
      <c r="PEU815" s="268"/>
      <c r="PEV815" s="268"/>
      <c r="PEW815" s="268"/>
      <c r="PEX815" s="268"/>
      <c r="PEY815" s="268"/>
      <c r="PEZ815" s="268"/>
      <c r="PFA815" s="268"/>
      <c r="PFB815" s="268"/>
      <c r="PFC815" s="268"/>
      <c r="PFD815" s="268"/>
      <c r="PFE815" s="268"/>
      <c r="PFF815" s="268"/>
      <c r="PFG815" s="268"/>
      <c r="PFH815" s="268"/>
      <c r="PFI815" s="268"/>
      <c r="PFJ815" s="268"/>
      <c r="PFK815" s="268"/>
      <c r="PFL815" s="268"/>
      <c r="PFM815" s="268"/>
      <c r="PFN815" s="268"/>
      <c r="PFO815" s="268"/>
      <c r="PFP815" s="268"/>
      <c r="PFQ815" s="268"/>
      <c r="PFR815" s="268"/>
      <c r="PFS815" s="268"/>
      <c r="PFT815" s="268"/>
      <c r="PFU815" s="268"/>
      <c r="PFV815" s="268"/>
      <c r="PFW815" s="268"/>
      <c r="PFX815" s="268"/>
      <c r="PFY815" s="268"/>
      <c r="PFZ815" s="268"/>
      <c r="PGA815" s="268"/>
      <c r="PGO815" s="268"/>
      <c r="PGP815" s="268"/>
      <c r="PGQ815" s="268"/>
      <c r="PHE815" s="268"/>
      <c r="PHG815" s="268"/>
      <c r="PHH815" s="268"/>
      <c r="PHI815" s="268"/>
      <c r="PHJ815" s="268"/>
      <c r="PHK815" s="268"/>
      <c r="PHL815" s="268"/>
      <c r="PHM815" s="268"/>
      <c r="PHN815" s="268"/>
      <c r="PHO815" s="268"/>
      <c r="PHP815" s="268"/>
      <c r="PHQ815" s="268"/>
      <c r="PHR815" s="268"/>
      <c r="PHS815" s="268"/>
      <c r="PHT815" s="268"/>
      <c r="PHU815" s="268"/>
      <c r="PHV815" s="268"/>
      <c r="PHW815" s="268"/>
      <c r="PHX815" s="268"/>
      <c r="PHY815" s="268"/>
      <c r="PHZ815" s="268"/>
      <c r="PIA815" s="268"/>
      <c r="PIB815" s="268"/>
      <c r="PIC815" s="268"/>
      <c r="PID815" s="268"/>
      <c r="PIE815" s="268"/>
      <c r="PIF815" s="268"/>
      <c r="PIG815" s="268"/>
      <c r="PIH815" s="268"/>
      <c r="PII815" s="268"/>
      <c r="PIJ815" s="268"/>
      <c r="PIK815" s="268"/>
      <c r="PIL815" s="268"/>
      <c r="PIM815" s="268"/>
      <c r="PIN815" s="268"/>
      <c r="PIO815" s="268"/>
      <c r="PIP815" s="268"/>
      <c r="PIQ815" s="268"/>
      <c r="PIR815" s="268"/>
      <c r="PIS815" s="268"/>
      <c r="PIT815" s="268"/>
      <c r="PIU815" s="268"/>
      <c r="PIV815" s="268"/>
      <c r="PIW815" s="268"/>
      <c r="PIX815" s="268"/>
      <c r="PIY815" s="268"/>
      <c r="PIZ815" s="268"/>
      <c r="PJA815" s="268"/>
      <c r="PJB815" s="268"/>
      <c r="PJC815" s="268"/>
      <c r="PJD815" s="268"/>
      <c r="PJE815" s="268"/>
      <c r="PJF815" s="268"/>
      <c r="PJG815" s="268"/>
      <c r="PJH815" s="268"/>
      <c r="PJI815" s="268"/>
      <c r="PJJ815" s="268"/>
      <c r="PJK815" s="268"/>
      <c r="PJL815" s="268"/>
      <c r="PJM815" s="268"/>
      <c r="PJN815" s="268"/>
      <c r="PJO815" s="268"/>
      <c r="PJP815" s="268"/>
      <c r="PJQ815" s="268"/>
      <c r="PJR815" s="268"/>
      <c r="PJS815" s="268"/>
      <c r="PJT815" s="268"/>
      <c r="PJU815" s="268"/>
      <c r="PJV815" s="268"/>
      <c r="PJW815" s="268"/>
      <c r="PJX815" s="268"/>
      <c r="PJY815" s="268"/>
      <c r="PJZ815" s="268"/>
      <c r="PKA815" s="268"/>
      <c r="PKB815" s="268"/>
      <c r="PKC815" s="268"/>
      <c r="PKD815" s="268"/>
      <c r="PKE815" s="268"/>
      <c r="PKF815" s="268"/>
      <c r="PKG815" s="268"/>
      <c r="PKH815" s="268"/>
      <c r="PKI815" s="268"/>
      <c r="PKJ815" s="268"/>
      <c r="PKK815" s="268"/>
      <c r="PKL815" s="268"/>
      <c r="PKM815" s="268"/>
      <c r="PKN815" s="268"/>
      <c r="PKO815" s="268"/>
      <c r="PKP815" s="268"/>
      <c r="PKQ815" s="268"/>
      <c r="PKR815" s="268"/>
      <c r="PKS815" s="268"/>
      <c r="PKT815" s="268"/>
      <c r="PKU815" s="268"/>
      <c r="PKV815" s="268"/>
      <c r="PKW815" s="268"/>
      <c r="PKX815" s="268"/>
      <c r="PKY815" s="268"/>
      <c r="PKZ815" s="268"/>
      <c r="PLA815" s="268"/>
      <c r="PLB815" s="268"/>
      <c r="PLC815" s="268"/>
      <c r="PLD815" s="268"/>
      <c r="PLE815" s="268"/>
      <c r="PLF815" s="268"/>
      <c r="PLG815" s="268"/>
      <c r="PLH815" s="268"/>
      <c r="PLI815" s="268"/>
      <c r="PLJ815" s="268"/>
      <c r="PLK815" s="268"/>
      <c r="PLL815" s="268"/>
      <c r="PLM815" s="268"/>
      <c r="PLN815" s="268"/>
      <c r="PLO815" s="268"/>
      <c r="PLP815" s="268"/>
      <c r="PLQ815" s="268"/>
      <c r="PLR815" s="268"/>
      <c r="PLS815" s="268"/>
      <c r="PLT815" s="268"/>
      <c r="PLU815" s="268"/>
      <c r="PLV815" s="268"/>
      <c r="PLW815" s="268"/>
      <c r="PLX815" s="268"/>
      <c r="PLY815" s="268"/>
      <c r="PLZ815" s="268"/>
      <c r="PMA815" s="268"/>
      <c r="PMB815" s="268"/>
      <c r="PMC815" s="268"/>
      <c r="PMD815" s="268"/>
      <c r="PME815" s="268"/>
      <c r="PMF815" s="268"/>
      <c r="PMG815" s="268"/>
      <c r="PMH815" s="268"/>
      <c r="PMI815" s="268"/>
      <c r="PMJ815" s="268"/>
      <c r="PMK815" s="268"/>
      <c r="PML815" s="268"/>
      <c r="PMM815" s="268"/>
      <c r="PMN815" s="268"/>
      <c r="PMO815" s="268"/>
      <c r="PMP815" s="268"/>
      <c r="PMQ815" s="268"/>
      <c r="PMR815" s="268"/>
      <c r="PMS815" s="268"/>
      <c r="PMT815" s="268"/>
      <c r="PMU815" s="268"/>
      <c r="PMV815" s="268"/>
      <c r="PMW815" s="268"/>
      <c r="PMX815" s="268"/>
      <c r="PMY815" s="268"/>
      <c r="PMZ815" s="268"/>
      <c r="PNA815" s="268"/>
      <c r="PNB815" s="268"/>
      <c r="PNC815" s="268"/>
      <c r="PND815" s="268"/>
      <c r="PNE815" s="268"/>
      <c r="PNF815" s="268"/>
      <c r="PNG815" s="268"/>
      <c r="PNH815" s="268"/>
      <c r="PNI815" s="268"/>
      <c r="PNJ815" s="268"/>
      <c r="PNK815" s="268"/>
      <c r="PNL815" s="268"/>
      <c r="PNM815" s="268"/>
      <c r="PNN815" s="268"/>
      <c r="PNO815" s="268"/>
      <c r="PNP815" s="268"/>
      <c r="PNQ815" s="268"/>
      <c r="PNR815" s="268"/>
      <c r="PNS815" s="268"/>
      <c r="PNT815" s="268"/>
      <c r="PNU815" s="268"/>
      <c r="PNV815" s="268"/>
      <c r="PNW815" s="268"/>
      <c r="PNX815" s="268"/>
      <c r="PNY815" s="268"/>
      <c r="PNZ815" s="268"/>
      <c r="POA815" s="268"/>
      <c r="POB815" s="268"/>
      <c r="POC815" s="268"/>
      <c r="POD815" s="268"/>
      <c r="POE815" s="268"/>
      <c r="POF815" s="268"/>
      <c r="POG815" s="268"/>
      <c r="POH815" s="268"/>
      <c r="POI815" s="268"/>
      <c r="POJ815" s="268"/>
      <c r="POK815" s="268"/>
      <c r="POL815" s="268"/>
      <c r="POM815" s="268"/>
      <c r="PON815" s="268"/>
      <c r="POO815" s="268"/>
      <c r="POP815" s="268"/>
      <c r="POQ815" s="268"/>
      <c r="POR815" s="268"/>
      <c r="POS815" s="268"/>
      <c r="POT815" s="268"/>
      <c r="POU815" s="268"/>
      <c r="POV815" s="268"/>
      <c r="POW815" s="268"/>
      <c r="POX815" s="268"/>
      <c r="POY815" s="268"/>
      <c r="POZ815" s="268"/>
      <c r="PPA815" s="268"/>
      <c r="PPB815" s="268"/>
      <c r="PPC815" s="268"/>
      <c r="PPD815" s="268"/>
      <c r="PPE815" s="268"/>
      <c r="PPF815" s="268"/>
      <c r="PPG815" s="268"/>
      <c r="PPH815" s="268"/>
      <c r="PPI815" s="268"/>
      <c r="PPJ815" s="268"/>
      <c r="PPK815" s="268"/>
      <c r="PPL815" s="268"/>
      <c r="PPM815" s="268"/>
      <c r="PPN815" s="268"/>
      <c r="PPO815" s="268"/>
      <c r="PPP815" s="268"/>
      <c r="PPQ815" s="268"/>
      <c r="PPR815" s="268"/>
      <c r="PPS815" s="268"/>
      <c r="PPT815" s="268"/>
      <c r="PPU815" s="268"/>
      <c r="PPV815" s="268"/>
      <c r="PPW815" s="268"/>
      <c r="PQK815" s="268"/>
      <c r="PQL815" s="268"/>
      <c r="PQM815" s="268"/>
      <c r="PRA815" s="268"/>
      <c r="PRC815" s="268"/>
      <c r="PRD815" s="268"/>
      <c r="PRE815" s="268"/>
      <c r="PRF815" s="268"/>
      <c r="PRG815" s="268"/>
      <c r="PRH815" s="268"/>
      <c r="PRI815" s="268"/>
      <c r="PRJ815" s="268"/>
      <c r="PRK815" s="268"/>
      <c r="PRL815" s="268"/>
      <c r="PRM815" s="268"/>
      <c r="PRN815" s="268"/>
      <c r="PRO815" s="268"/>
      <c r="PRP815" s="268"/>
      <c r="PRQ815" s="268"/>
      <c r="PRR815" s="268"/>
      <c r="PRS815" s="268"/>
      <c r="PRT815" s="268"/>
      <c r="PRU815" s="268"/>
      <c r="PRV815" s="268"/>
      <c r="PRW815" s="268"/>
      <c r="PRX815" s="268"/>
      <c r="PRY815" s="268"/>
      <c r="PRZ815" s="268"/>
      <c r="PSA815" s="268"/>
      <c r="PSB815" s="268"/>
      <c r="PSC815" s="268"/>
      <c r="PSD815" s="268"/>
      <c r="PSE815" s="268"/>
      <c r="PSF815" s="268"/>
      <c r="PSG815" s="268"/>
      <c r="PSH815" s="268"/>
      <c r="PSI815" s="268"/>
      <c r="PSJ815" s="268"/>
      <c r="PSK815" s="268"/>
      <c r="PSL815" s="268"/>
      <c r="PSM815" s="268"/>
      <c r="PSN815" s="268"/>
      <c r="PSO815" s="268"/>
      <c r="PSP815" s="268"/>
      <c r="PSQ815" s="268"/>
      <c r="PSR815" s="268"/>
      <c r="PSS815" s="268"/>
      <c r="PST815" s="268"/>
      <c r="PSU815" s="268"/>
      <c r="PSV815" s="268"/>
      <c r="PSW815" s="268"/>
      <c r="PSX815" s="268"/>
      <c r="PSY815" s="268"/>
      <c r="PSZ815" s="268"/>
      <c r="PTA815" s="268"/>
      <c r="PTB815" s="268"/>
      <c r="PTC815" s="268"/>
      <c r="PTD815" s="268"/>
      <c r="PTE815" s="268"/>
      <c r="PTF815" s="268"/>
      <c r="PTG815" s="268"/>
      <c r="PTH815" s="268"/>
      <c r="PTI815" s="268"/>
      <c r="PTJ815" s="268"/>
      <c r="PTK815" s="268"/>
      <c r="PTL815" s="268"/>
      <c r="PTM815" s="268"/>
      <c r="PTN815" s="268"/>
      <c r="PTO815" s="268"/>
      <c r="PTP815" s="268"/>
      <c r="PTQ815" s="268"/>
      <c r="PTR815" s="268"/>
      <c r="PTS815" s="268"/>
      <c r="PTT815" s="268"/>
      <c r="PTU815" s="268"/>
      <c r="PTV815" s="268"/>
      <c r="PTW815" s="268"/>
      <c r="PTX815" s="268"/>
      <c r="PTY815" s="268"/>
      <c r="PTZ815" s="268"/>
      <c r="PUA815" s="268"/>
      <c r="PUB815" s="268"/>
      <c r="PUC815" s="268"/>
      <c r="PUD815" s="268"/>
      <c r="PUE815" s="268"/>
      <c r="PUF815" s="268"/>
      <c r="PUG815" s="268"/>
      <c r="PUH815" s="268"/>
      <c r="PUI815" s="268"/>
      <c r="PUJ815" s="268"/>
      <c r="PUK815" s="268"/>
      <c r="PUL815" s="268"/>
      <c r="PUM815" s="268"/>
      <c r="PUN815" s="268"/>
      <c r="PUO815" s="268"/>
      <c r="PUP815" s="268"/>
      <c r="PUQ815" s="268"/>
      <c r="PUR815" s="268"/>
      <c r="PUS815" s="268"/>
      <c r="PUT815" s="268"/>
      <c r="PUU815" s="268"/>
      <c r="PUV815" s="268"/>
      <c r="PUW815" s="268"/>
      <c r="PUX815" s="268"/>
      <c r="PUY815" s="268"/>
      <c r="PUZ815" s="268"/>
      <c r="PVA815" s="268"/>
      <c r="PVB815" s="268"/>
      <c r="PVC815" s="268"/>
      <c r="PVD815" s="268"/>
      <c r="PVE815" s="268"/>
      <c r="PVF815" s="268"/>
      <c r="PVG815" s="268"/>
      <c r="PVH815" s="268"/>
      <c r="PVI815" s="268"/>
      <c r="PVJ815" s="268"/>
      <c r="PVK815" s="268"/>
      <c r="PVL815" s="268"/>
      <c r="PVM815" s="268"/>
      <c r="PVN815" s="268"/>
      <c r="PVO815" s="268"/>
      <c r="PVP815" s="268"/>
      <c r="PVQ815" s="268"/>
      <c r="PVR815" s="268"/>
      <c r="PVS815" s="268"/>
      <c r="PVT815" s="268"/>
      <c r="PVU815" s="268"/>
      <c r="PVV815" s="268"/>
      <c r="PVW815" s="268"/>
      <c r="PVX815" s="268"/>
      <c r="PVY815" s="268"/>
      <c r="PVZ815" s="268"/>
      <c r="PWA815" s="268"/>
      <c r="PWB815" s="268"/>
      <c r="PWC815" s="268"/>
      <c r="PWD815" s="268"/>
      <c r="PWE815" s="268"/>
      <c r="PWF815" s="268"/>
      <c r="PWG815" s="268"/>
      <c r="PWH815" s="268"/>
      <c r="PWI815" s="268"/>
      <c r="PWJ815" s="268"/>
      <c r="PWK815" s="268"/>
      <c r="PWL815" s="268"/>
      <c r="PWM815" s="268"/>
      <c r="PWN815" s="268"/>
      <c r="PWO815" s="268"/>
      <c r="PWP815" s="268"/>
      <c r="PWQ815" s="268"/>
      <c r="PWR815" s="268"/>
      <c r="PWS815" s="268"/>
      <c r="PWT815" s="268"/>
      <c r="PWU815" s="268"/>
      <c r="PWV815" s="268"/>
      <c r="PWW815" s="268"/>
      <c r="PWX815" s="268"/>
      <c r="PWY815" s="268"/>
      <c r="PWZ815" s="268"/>
      <c r="PXA815" s="268"/>
      <c r="PXB815" s="268"/>
      <c r="PXC815" s="268"/>
      <c r="PXD815" s="268"/>
      <c r="PXE815" s="268"/>
      <c r="PXF815" s="268"/>
      <c r="PXG815" s="268"/>
      <c r="PXH815" s="268"/>
      <c r="PXI815" s="268"/>
      <c r="PXJ815" s="268"/>
      <c r="PXK815" s="268"/>
      <c r="PXL815" s="268"/>
      <c r="PXM815" s="268"/>
      <c r="PXN815" s="268"/>
      <c r="PXO815" s="268"/>
      <c r="PXP815" s="268"/>
      <c r="PXQ815" s="268"/>
      <c r="PXR815" s="268"/>
      <c r="PXS815" s="268"/>
      <c r="PXT815" s="268"/>
      <c r="PXU815" s="268"/>
      <c r="PXV815" s="268"/>
      <c r="PXW815" s="268"/>
      <c r="PXX815" s="268"/>
      <c r="PXY815" s="268"/>
      <c r="PXZ815" s="268"/>
      <c r="PYA815" s="268"/>
      <c r="PYB815" s="268"/>
      <c r="PYC815" s="268"/>
      <c r="PYD815" s="268"/>
      <c r="PYE815" s="268"/>
      <c r="PYF815" s="268"/>
      <c r="PYG815" s="268"/>
      <c r="PYH815" s="268"/>
      <c r="PYI815" s="268"/>
      <c r="PYJ815" s="268"/>
      <c r="PYK815" s="268"/>
      <c r="PYL815" s="268"/>
      <c r="PYM815" s="268"/>
      <c r="PYN815" s="268"/>
      <c r="PYO815" s="268"/>
      <c r="PYP815" s="268"/>
      <c r="PYQ815" s="268"/>
      <c r="PYR815" s="268"/>
      <c r="PYS815" s="268"/>
      <c r="PYT815" s="268"/>
      <c r="PYU815" s="268"/>
      <c r="PYV815" s="268"/>
      <c r="PYW815" s="268"/>
      <c r="PYX815" s="268"/>
      <c r="PYY815" s="268"/>
      <c r="PYZ815" s="268"/>
      <c r="PZA815" s="268"/>
      <c r="PZB815" s="268"/>
      <c r="PZC815" s="268"/>
      <c r="PZD815" s="268"/>
      <c r="PZE815" s="268"/>
      <c r="PZF815" s="268"/>
      <c r="PZG815" s="268"/>
      <c r="PZH815" s="268"/>
      <c r="PZI815" s="268"/>
      <c r="PZJ815" s="268"/>
      <c r="PZK815" s="268"/>
      <c r="PZL815" s="268"/>
      <c r="PZM815" s="268"/>
      <c r="PZN815" s="268"/>
      <c r="PZO815" s="268"/>
      <c r="PZP815" s="268"/>
      <c r="PZQ815" s="268"/>
      <c r="PZR815" s="268"/>
      <c r="PZS815" s="268"/>
      <c r="QAG815" s="268"/>
      <c r="QAH815" s="268"/>
      <c r="QAI815" s="268"/>
      <c r="QAW815" s="268"/>
      <c r="QAY815" s="268"/>
      <c r="QAZ815" s="268"/>
      <c r="QBA815" s="268"/>
      <c r="QBB815" s="268"/>
      <c r="QBC815" s="268"/>
      <c r="QBD815" s="268"/>
      <c r="QBE815" s="268"/>
      <c r="QBF815" s="268"/>
      <c r="QBG815" s="268"/>
      <c r="QBH815" s="268"/>
      <c r="QBI815" s="268"/>
      <c r="QBJ815" s="268"/>
      <c r="QBK815" s="268"/>
      <c r="QBL815" s="268"/>
      <c r="QBM815" s="268"/>
      <c r="QBN815" s="268"/>
      <c r="QBO815" s="268"/>
      <c r="QBP815" s="268"/>
      <c r="QBQ815" s="268"/>
      <c r="QBR815" s="268"/>
      <c r="QBS815" s="268"/>
      <c r="QBT815" s="268"/>
      <c r="QBU815" s="268"/>
      <c r="QBV815" s="268"/>
      <c r="QBW815" s="268"/>
      <c r="QBX815" s="268"/>
      <c r="QBY815" s="268"/>
      <c r="QBZ815" s="268"/>
      <c r="QCA815" s="268"/>
      <c r="QCB815" s="268"/>
      <c r="QCC815" s="268"/>
      <c r="QCD815" s="268"/>
      <c r="QCE815" s="268"/>
      <c r="QCF815" s="268"/>
      <c r="QCG815" s="268"/>
      <c r="QCH815" s="268"/>
      <c r="QCI815" s="268"/>
      <c r="QCJ815" s="268"/>
      <c r="QCK815" s="268"/>
      <c r="QCL815" s="268"/>
      <c r="QCM815" s="268"/>
      <c r="QCN815" s="268"/>
      <c r="QCO815" s="268"/>
      <c r="QCP815" s="268"/>
      <c r="QCQ815" s="268"/>
      <c r="QCR815" s="268"/>
      <c r="QCS815" s="268"/>
      <c r="QCT815" s="268"/>
      <c r="QCU815" s="268"/>
      <c r="QCV815" s="268"/>
      <c r="QCW815" s="268"/>
      <c r="QCX815" s="268"/>
      <c r="QCY815" s="268"/>
      <c r="QCZ815" s="268"/>
      <c r="QDA815" s="268"/>
      <c r="QDB815" s="268"/>
      <c r="QDC815" s="268"/>
      <c r="QDD815" s="268"/>
      <c r="QDE815" s="268"/>
      <c r="QDF815" s="268"/>
      <c r="QDG815" s="268"/>
      <c r="QDH815" s="268"/>
      <c r="QDI815" s="268"/>
      <c r="QDJ815" s="268"/>
      <c r="QDK815" s="268"/>
      <c r="QDL815" s="268"/>
      <c r="QDM815" s="268"/>
      <c r="QDN815" s="268"/>
      <c r="QDO815" s="268"/>
      <c r="QDP815" s="268"/>
      <c r="QDQ815" s="268"/>
      <c r="QDR815" s="268"/>
      <c r="QDS815" s="268"/>
      <c r="QDT815" s="268"/>
      <c r="QDU815" s="268"/>
      <c r="QDV815" s="268"/>
      <c r="QDW815" s="268"/>
      <c r="QDX815" s="268"/>
      <c r="QDY815" s="268"/>
      <c r="QDZ815" s="268"/>
      <c r="QEA815" s="268"/>
      <c r="QEB815" s="268"/>
      <c r="QEC815" s="268"/>
      <c r="QED815" s="268"/>
      <c r="QEE815" s="268"/>
      <c r="QEF815" s="268"/>
      <c r="QEG815" s="268"/>
      <c r="QEH815" s="268"/>
      <c r="QEI815" s="268"/>
      <c r="QEJ815" s="268"/>
      <c r="QEK815" s="268"/>
      <c r="QEL815" s="268"/>
      <c r="QEM815" s="268"/>
      <c r="QEN815" s="268"/>
      <c r="QEO815" s="268"/>
      <c r="QEP815" s="268"/>
      <c r="QEQ815" s="268"/>
      <c r="QER815" s="268"/>
      <c r="QES815" s="268"/>
      <c r="QET815" s="268"/>
      <c r="QEU815" s="268"/>
      <c r="QEV815" s="268"/>
      <c r="QEW815" s="268"/>
      <c r="QEX815" s="268"/>
      <c r="QEY815" s="268"/>
      <c r="QEZ815" s="268"/>
      <c r="QFA815" s="268"/>
      <c r="QFB815" s="268"/>
      <c r="QFC815" s="268"/>
      <c r="QFD815" s="268"/>
      <c r="QFE815" s="268"/>
      <c r="QFF815" s="268"/>
      <c r="QFG815" s="268"/>
      <c r="QFH815" s="268"/>
      <c r="QFI815" s="268"/>
      <c r="QFJ815" s="268"/>
      <c r="QFK815" s="268"/>
      <c r="QFL815" s="268"/>
      <c r="QFM815" s="268"/>
      <c r="QFN815" s="268"/>
      <c r="QFO815" s="268"/>
      <c r="QFP815" s="268"/>
      <c r="QFQ815" s="268"/>
      <c r="QFR815" s="268"/>
      <c r="QFS815" s="268"/>
      <c r="QFT815" s="268"/>
      <c r="QFU815" s="268"/>
      <c r="QFV815" s="268"/>
      <c r="QFW815" s="268"/>
      <c r="QFX815" s="268"/>
      <c r="QFY815" s="268"/>
      <c r="QFZ815" s="268"/>
      <c r="QGA815" s="268"/>
      <c r="QGB815" s="268"/>
      <c r="QGC815" s="268"/>
      <c r="QGD815" s="268"/>
      <c r="QGE815" s="268"/>
      <c r="QGF815" s="268"/>
      <c r="QGG815" s="268"/>
      <c r="QGH815" s="268"/>
      <c r="QGI815" s="268"/>
      <c r="QGJ815" s="268"/>
      <c r="QGK815" s="268"/>
      <c r="QGL815" s="268"/>
      <c r="QGM815" s="268"/>
      <c r="QGN815" s="268"/>
      <c r="QGO815" s="268"/>
      <c r="QGP815" s="268"/>
      <c r="QGQ815" s="268"/>
      <c r="QGR815" s="268"/>
      <c r="QGS815" s="268"/>
      <c r="QGT815" s="268"/>
      <c r="QGU815" s="268"/>
      <c r="QGV815" s="268"/>
      <c r="QGW815" s="268"/>
      <c r="QGX815" s="268"/>
      <c r="QGY815" s="268"/>
      <c r="QGZ815" s="268"/>
      <c r="QHA815" s="268"/>
      <c r="QHB815" s="268"/>
      <c r="QHC815" s="268"/>
      <c r="QHD815" s="268"/>
      <c r="QHE815" s="268"/>
      <c r="QHF815" s="268"/>
      <c r="QHG815" s="268"/>
      <c r="QHH815" s="268"/>
      <c r="QHI815" s="268"/>
      <c r="QHJ815" s="268"/>
      <c r="QHK815" s="268"/>
      <c r="QHL815" s="268"/>
      <c r="QHM815" s="268"/>
      <c r="QHN815" s="268"/>
      <c r="QHO815" s="268"/>
      <c r="QHP815" s="268"/>
      <c r="QHQ815" s="268"/>
      <c r="QHR815" s="268"/>
      <c r="QHS815" s="268"/>
      <c r="QHT815" s="268"/>
      <c r="QHU815" s="268"/>
      <c r="QHV815" s="268"/>
      <c r="QHW815" s="268"/>
      <c r="QHX815" s="268"/>
      <c r="QHY815" s="268"/>
      <c r="QHZ815" s="268"/>
      <c r="QIA815" s="268"/>
      <c r="QIB815" s="268"/>
      <c r="QIC815" s="268"/>
      <c r="QID815" s="268"/>
      <c r="QIE815" s="268"/>
      <c r="QIF815" s="268"/>
      <c r="QIG815" s="268"/>
      <c r="QIH815" s="268"/>
      <c r="QII815" s="268"/>
      <c r="QIJ815" s="268"/>
      <c r="QIK815" s="268"/>
      <c r="QIL815" s="268"/>
      <c r="QIM815" s="268"/>
      <c r="QIN815" s="268"/>
      <c r="QIO815" s="268"/>
      <c r="QIP815" s="268"/>
      <c r="QIQ815" s="268"/>
      <c r="QIR815" s="268"/>
      <c r="QIS815" s="268"/>
      <c r="QIT815" s="268"/>
      <c r="QIU815" s="268"/>
      <c r="QIV815" s="268"/>
      <c r="QIW815" s="268"/>
      <c r="QIX815" s="268"/>
      <c r="QIY815" s="268"/>
      <c r="QIZ815" s="268"/>
      <c r="QJA815" s="268"/>
      <c r="QJB815" s="268"/>
      <c r="QJC815" s="268"/>
      <c r="QJD815" s="268"/>
      <c r="QJE815" s="268"/>
      <c r="QJF815" s="268"/>
      <c r="QJG815" s="268"/>
      <c r="QJH815" s="268"/>
      <c r="QJI815" s="268"/>
      <c r="QJJ815" s="268"/>
      <c r="QJK815" s="268"/>
      <c r="QJL815" s="268"/>
      <c r="QJM815" s="268"/>
      <c r="QJN815" s="268"/>
      <c r="QJO815" s="268"/>
      <c r="QKC815" s="268"/>
      <c r="QKD815" s="268"/>
      <c r="QKE815" s="268"/>
      <c r="QKS815" s="268"/>
      <c r="QKU815" s="268"/>
      <c r="QKV815" s="268"/>
      <c r="QKW815" s="268"/>
      <c r="QKX815" s="268"/>
      <c r="QKY815" s="268"/>
      <c r="QKZ815" s="268"/>
      <c r="QLA815" s="268"/>
      <c r="QLB815" s="268"/>
      <c r="QLC815" s="268"/>
      <c r="QLD815" s="268"/>
      <c r="QLE815" s="268"/>
      <c r="QLF815" s="268"/>
      <c r="QLG815" s="268"/>
      <c r="QLH815" s="268"/>
      <c r="QLI815" s="268"/>
      <c r="QLJ815" s="268"/>
      <c r="QLK815" s="268"/>
      <c r="QLL815" s="268"/>
      <c r="QLM815" s="268"/>
      <c r="QLN815" s="268"/>
      <c r="QLO815" s="268"/>
      <c r="QLP815" s="268"/>
      <c r="QLQ815" s="268"/>
      <c r="QLR815" s="268"/>
      <c r="QLS815" s="268"/>
      <c r="QLT815" s="268"/>
      <c r="QLU815" s="268"/>
      <c r="QLV815" s="268"/>
      <c r="QLW815" s="268"/>
      <c r="QLX815" s="268"/>
      <c r="QLY815" s="268"/>
      <c r="QLZ815" s="268"/>
      <c r="QMA815" s="268"/>
      <c r="QMB815" s="268"/>
      <c r="QMC815" s="268"/>
      <c r="QMD815" s="268"/>
      <c r="QME815" s="268"/>
      <c r="QMF815" s="268"/>
      <c r="QMG815" s="268"/>
      <c r="QMH815" s="268"/>
      <c r="QMI815" s="268"/>
      <c r="QMJ815" s="268"/>
      <c r="QMK815" s="268"/>
      <c r="QML815" s="268"/>
      <c r="QMM815" s="268"/>
      <c r="QMN815" s="268"/>
      <c r="QMO815" s="268"/>
      <c r="QMP815" s="268"/>
      <c r="QMQ815" s="268"/>
      <c r="QMR815" s="268"/>
      <c r="QMS815" s="268"/>
      <c r="QMT815" s="268"/>
      <c r="QMU815" s="268"/>
      <c r="QMV815" s="268"/>
      <c r="QMW815" s="268"/>
      <c r="QMX815" s="268"/>
      <c r="QMY815" s="268"/>
      <c r="QMZ815" s="268"/>
      <c r="QNA815" s="268"/>
      <c r="QNB815" s="268"/>
      <c r="QNC815" s="268"/>
      <c r="QND815" s="268"/>
      <c r="QNE815" s="268"/>
      <c r="QNF815" s="268"/>
      <c r="QNG815" s="268"/>
      <c r="QNH815" s="268"/>
      <c r="QNI815" s="268"/>
      <c r="QNJ815" s="268"/>
      <c r="QNK815" s="268"/>
      <c r="QNL815" s="268"/>
      <c r="QNM815" s="268"/>
      <c r="QNN815" s="268"/>
      <c r="QNO815" s="268"/>
      <c r="QNP815" s="268"/>
      <c r="QNQ815" s="268"/>
      <c r="QNR815" s="268"/>
      <c r="QNS815" s="268"/>
      <c r="QNT815" s="268"/>
      <c r="QNU815" s="268"/>
      <c r="QNV815" s="268"/>
      <c r="QNW815" s="268"/>
      <c r="QNX815" s="268"/>
      <c r="QNY815" s="268"/>
      <c r="QNZ815" s="268"/>
      <c r="QOA815" s="268"/>
      <c r="QOB815" s="268"/>
      <c r="QOC815" s="268"/>
      <c r="QOD815" s="268"/>
      <c r="QOE815" s="268"/>
      <c r="QOF815" s="268"/>
      <c r="QOG815" s="268"/>
      <c r="QOH815" s="268"/>
      <c r="QOI815" s="268"/>
      <c r="QOJ815" s="268"/>
      <c r="QOK815" s="268"/>
      <c r="QOL815" s="268"/>
      <c r="QOM815" s="268"/>
      <c r="QON815" s="268"/>
      <c r="QOO815" s="268"/>
      <c r="QOP815" s="268"/>
      <c r="QOQ815" s="268"/>
      <c r="QOR815" s="268"/>
      <c r="QOS815" s="268"/>
      <c r="QOT815" s="268"/>
      <c r="QOU815" s="268"/>
      <c r="QOV815" s="268"/>
      <c r="QOW815" s="268"/>
      <c r="QOX815" s="268"/>
      <c r="QOY815" s="268"/>
      <c r="QOZ815" s="268"/>
      <c r="QPA815" s="268"/>
      <c r="QPB815" s="268"/>
      <c r="QPC815" s="268"/>
      <c r="QPD815" s="268"/>
      <c r="QPE815" s="268"/>
      <c r="QPF815" s="268"/>
      <c r="QPG815" s="268"/>
      <c r="QPH815" s="268"/>
      <c r="QPI815" s="268"/>
      <c r="QPJ815" s="268"/>
      <c r="QPK815" s="268"/>
      <c r="QPL815" s="268"/>
      <c r="QPM815" s="268"/>
      <c r="QPN815" s="268"/>
      <c r="QPO815" s="268"/>
      <c r="QPP815" s="268"/>
      <c r="QPQ815" s="268"/>
      <c r="QPR815" s="268"/>
      <c r="QPS815" s="268"/>
      <c r="QPT815" s="268"/>
      <c r="QPU815" s="268"/>
      <c r="QPV815" s="268"/>
      <c r="QPW815" s="268"/>
      <c r="QPX815" s="268"/>
      <c r="QPY815" s="268"/>
      <c r="QPZ815" s="268"/>
      <c r="QQA815" s="268"/>
      <c r="QQB815" s="268"/>
      <c r="QQC815" s="268"/>
      <c r="QQD815" s="268"/>
      <c r="QQE815" s="268"/>
      <c r="QQF815" s="268"/>
      <c r="QQG815" s="268"/>
      <c r="QQH815" s="268"/>
      <c r="QQI815" s="268"/>
      <c r="QQJ815" s="268"/>
      <c r="QQK815" s="268"/>
      <c r="QQL815" s="268"/>
      <c r="QQM815" s="268"/>
      <c r="QQN815" s="268"/>
      <c r="QQO815" s="268"/>
      <c r="QQP815" s="268"/>
      <c r="QQQ815" s="268"/>
      <c r="QQR815" s="268"/>
      <c r="QQS815" s="268"/>
      <c r="QQT815" s="268"/>
      <c r="QQU815" s="268"/>
      <c r="QQV815" s="268"/>
      <c r="QQW815" s="268"/>
      <c r="QQX815" s="268"/>
      <c r="QQY815" s="268"/>
      <c r="QQZ815" s="268"/>
      <c r="QRA815" s="268"/>
      <c r="QRB815" s="268"/>
      <c r="QRC815" s="268"/>
      <c r="QRD815" s="268"/>
      <c r="QRE815" s="268"/>
      <c r="QRF815" s="268"/>
      <c r="QRG815" s="268"/>
      <c r="QRH815" s="268"/>
      <c r="QRI815" s="268"/>
      <c r="QRJ815" s="268"/>
      <c r="QRK815" s="268"/>
      <c r="QRL815" s="268"/>
      <c r="QRM815" s="268"/>
      <c r="QRN815" s="268"/>
      <c r="QRO815" s="268"/>
      <c r="QRP815" s="268"/>
      <c r="QRQ815" s="268"/>
      <c r="QRR815" s="268"/>
      <c r="QRS815" s="268"/>
      <c r="QRT815" s="268"/>
      <c r="QRU815" s="268"/>
      <c r="QRV815" s="268"/>
      <c r="QRW815" s="268"/>
      <c r="QRX815" s="268"/>
      <c r="QRY815" s="268"/>
      <c r="QRZ815" s="268"/>
      <c r="QSA815" s="268"/>
      <c r="QSB815" s="268"/>
      <c r="QSC815" s="268"/>
      <c r="QSD815" s="268"/>
      <c r="QSE815" s="268"/>
      <c r="QSF815" s="268"/>
      <c r="QSG815" s="268"/>
      <c r="QSH815" s="268"/>
      <c r="QSI815" s="268"/>
      <c r="QSJ815" s="268"/>
      <c r="QSK815" s="268"/>
      <c r="QSL815" s="268"/>
      <c r="QSM815" s="268"/>
      <c r="QSN815" s="268"/>
      <c r="QSO815" s="268"/>
      <c r="QSP815" s="268"/>
      <c r="QSQ815" s="268"/>
      <c r="QSR815" s="268"/>
      <c r="QSS815" s="268"/>
      <c r="QST815" s="268"/>
      <c r="QSU815" s="268"/>
      <c r="QSV815" s="268"/>
      <c r="QSW815" s="268"/>
      <c r="QSX815" s="268"/>
      <c r="QSY815" s="268"/>
      <c r="QSZ815" s="268"/>
      <c r="QTA815" s="268"/>
      <c r="QTB815" s="268"/>
      <c r="QTC815" s="268"/>
      <c r="QTD815" s="268"/>
      <c r="QTE815" s="268"/>
      <c r="QTF815" s="268"/>
      <c r="QTG815" s="268"/>
      <c r="QTH815" s="268"/>
      <c r="QTI815" s="268"/>
      <c r="QTJ815" s="268"/>
      <c r="QTK815" s="268"/>
      <c r="QTY815" s="268"/>
      <c r="QTZ815" s="268"/>
      <c r="QUA815" s="268"/>
      <c r="QUO815" s="268"/>
      <c r="QUQ815" s="268"/>
      <c r="QUR815" s="268"/>
      <c r="QUS815" s="268"/>
      <c r="QUT815" s="268"/>
      <c r="QUU815" s="268"/>
      <c r="QUV815" s="268"/>
      <c r="QUW815" s="268"/>
      <c r="QUX815" s="268"/>
      <c r="QUY815" s="268"/>
      <c r="QUZ815" s="268"/>
      <c r="QVA815" s="268"/>
      <c r="QVB815" s="268"/>
      <c r="QVC815" s="268"/>
      <c r="QVD815" s="268"/>
      <c r="QVE815" s="268"/>
      <c r="QVF815" s="268"/>
      <c r="QVG815" s="268"/>
      <c r="QVH815" s="268"/>
      <c r="QVI815" s="268"/>
      <c r="QVJ815" s="268"/>
      <c r="QVK815" s="268"/>
      <c r="QVL815" s="268"/>
      <c r="QVM815" s="268"/>
      <c r="QVN815" s="268"/>
      <c r="QVO815" s="268"/>
      <c r="QVP815" s="268"/>
      <c r="QVQ815" s="268"/>
      <c r="QVR815" s="268"/>
      <c r="QVS815" s="268"/>
      <c r="QVT815" s="268"/>
      <c r="QVU815" s="268"/>
      <c r="QVV815" s="268"/>
      <c r="QVW815" s="268"/>
      <c r="QVX815" s="268"/>
      <c r="QVY815" s="268"/>
      <c r="QVZ815" s="268"/>
      <c r="QWA815" s="268"/>
      <c r="QWB815" s="268"/>
      <c r="QWC815" s="268"/>
      <c r="QWD815" s="268"/>
      <c r="QWE815" s="268"/>
      <c r="QWF815" s="268"/>
      <c r="QWG815" s="268"/>
      <c r="QWH815" s="268"/>
      <c r="QWI815" s="268"/>
      <c r="QWJ815" s="268"/>
      <c r="QWK815" s="268"/>
      <c r="QWL815" s="268"/>
      <c r="QWM815" s="268"/>
      <c r="QWN815" s="268"/>
      <c r="QWO815" s="268"/>
      <c r="QWP815" s="268"/>
      <c r="QWQ815" s="268"/>
      <c r="QWR815" s="268"/>
      <c r="QWS815" s="268"/>
      <c r="QWT815" s="268"/>
      <c r="QWU815" s="268"/>
      <c r="QWV815" s="268"/>
      <c r="QWW815" s="268"/>
      <c r="QWX815" s="268"/>
      <c r="QWY815" s="268"/>
      <c r="QWZ815" s="268"/>
      <c r="QXA815" s="268"/>
      <c r="QXB815" s="268"/>
      <c r="QXC815" s="268"/>
      <c r="QXD815" s="268"/>
      <c r="QXE815" s="268"/>
      <c r="QXF815" s="268"/>
      <c r="QXG815" s="268"/>
      <c r="QXH815" s="268"/>
      <c r="QXI815" s="268"/>
      <c r="QXJ815" s="268"/>
      <c r="QXK815" s="268"/>
      <c r="QXL815" s="268"/>
      <c r="QXM815" s="268"/>
      <c r="QXN815" s="268"/>
      <c r="QXO815" s="268"/>
      <c r="QXP815" s="268"/>
      <c r="QXQ815" s="268"/>
      <c r="QXR815" s="268"/>
      <c r="QXS815" s="268"/>
      <c r="QXT815" s="268"/>
      <c r="QXU815" s="268"/>
      <c r="QXV815" s="268"/>
      <c r="QXW815" s="268"/>
      <c r="QXX815" s="268"/>
      <c r="QXY815" s="268"/>
      <c r="QXZ815" s="268"/>
      <c r="QYA815" s="268"/>
      <c r="QYB815" s="268"/>
      <c r="QYC815" s="268"/>
      <c r="QYD815" s="268"/>
      <c r="QYE815" s="268"/>
      <c r="QYF815" s="268"/>
      <c r="QYG815" s="268"/>
      <c r="QYH815" s="268"/>
      <c r="QYI815" s="268"/>
      <c r="QYJ815" s="268"/>
      <c r="QYK815" s="268"/>
      <c r="QYL815" s="268"/>
      <c r="QYM815" s="268"/>
      <c r="QYN815" s="268"/>
      <c r="QYO815" s="268"/>
      <c r="QYP815" s="268"/>
      <c r="QYQ815" s="268"/>
      <c r="QYR815" s="268"/>
      <c r="QYS815" s="268"/>
      <c r="QYT815" s="268"/>
      <c r="QYU815" s="268"/>
      <c r="QYV815" s="268"/>
      <c r="QYW815" s="268"/>
      <c r="QYX815" s="268"/>
      <c r="QYY815" s="268"/>
      <c r="QYZ815" s="268"/>
      <c r="QZA815" s="268"/>
      <c r="QZB815" s="268"/>
      <c r="QZC815" s="268"/>
      <c r="QZD815" s="268"/>
      <c r="QZE815" s="268"/>
      <c r="QZF815" s="268"/>
      <c r="QZG815" s="268"/>
      <c r="QZH815" s="268"/>
      <c r="QZI815" s="268"/>
      <c r="QZJ815" s="268"/>
      <c r="QZK815" s="268"/>
      <c r="QZL815" s="268"/>
      <c r="QZM815" s="268"/>
      <c r="QZN815" s="268"/>
      <c r="QZO815" s="268"/>
      <c r="QZP815" s="268"/>
      <c r="QZQ815" s="268"/>
      <c r="QZR815" s="268"/>
      <c r="QZS815" s="268"/>
      <c r="QZT815" s="268"/>
      <c r="QZU815" s="268"/>
      <c r="QZV815" s="268"/>
      <c r="QZW815" s="268"/>
      <c r="QZX815" s="268"/>
      <c r="QZY815" s="268"/>
      <c r="QZZ815" s="268"/>
      <c r="RAA815" s="268"/>
      <c r="RAB815" s="268"/>
      <c r="RAC815" s="268"/>
      <c r="RAD815" s="268"/>
      <c r="RAE815" s="268"/>
      <c r="RAF815" s="268"/>
      <c r="RAG815" s="268"/>
      <c r="RAH815" s="268"/>
      <c r="RAI815" s="268"/>
      <c r="RAJ815" s="268"/>
      <c r="RAK815" s="268"/>
      <c r="RAL815" s="268"/>
      <c r="RAM815" s="268"/>
      <c r="RAN815" s="268"/>
      <c r="RAO815" s="268"/>
      <c r="RAP815" s="268"/>
      <c r="RAQ815" s="268"/>
      <c r="RAR815" s="268"/>
      <c r="RAS815" s="268"/>
      <c r="RAT815" s="268"/>
      <c r="RAU815" s="268"/>
      <c r="RAV815" s="268"/>
      <c r="RAW815" s="268"/>
      <c r="RAX815" s="268"/>
      <c r="RAY815" s="268"/>
      <c r="RAZ815" s="268"/>
      <c r="RBA815" s="268"/>
      <c r="RBB815" s="268"/>
      <c r="RBC815" s="268"/>
      <c r="RBD815" s="268"/>
      <c r="RBE815" s="268"/>
      <c r="RBF815" s="268"/>
      <c r="RBG815" s="268"/>
      <c r="RBH815" s="268"/>
      <c r="RBI815" s="268"/>
      <c r="RBJ815" s="268"/>
      <c r="RBK815" s="268"/>
      <c r="RBL815" s="268"/>
      <c r="RBM815" s="268"/>
      <c r="RBN815" s="268"/>
      <c r="RBO815" s="268"/>
      <c r="RBP815" s="268"/>
      <c r="RBQ815" s="268"/>
      <c r="RBR815" s="268"/>
      <c r="RBS815" s="268"/>
      <c r="RBT815" s="268"/>
      <c r="RBU815" s="268"/>
      <c r="RBV815" s="268"/>
      <c r="RBW815" s="268"/>
      <c r="RBX815" s="268"/>
      <c r="RBY815" s="268"/>
      <c r="RBZ815" s="268"/>
      <c r="RCA815" s="268"/>
      <c r="RCB815" s="268"/>
      <c r="RCC815" s="268"/>
      <c r="RCD815" s="268"/>
      <c r="RCE815" s="268"/>
      <c r="RCF815" s="268"/>
      <c r="RCG815" s="268"/>
      <c r="RCH815" s="268"/>
      <c r="RCI815" s="268"/>
      <c r="RCJ815" s="268"/>
      <c r="RCK815" s="268"/>
      <c r="RCL815" s="268"/>
      <c r="RCM815" s="268"/>
      <c r="RCN815" s="268"/>
      <c r="RCO815" s="268"/>
      <c r="RCP815" s="268"/>
      <c r="RCQ815" s="268"/>
      <c r="RCR815" s="268"/>
      <c r="RCS815" s="268"/>
      <c r="RCT815" s="268"/>
      <c r="RCU815" s="268"/>
      <c r="RCV815" s="268"/>
      <c r="RCW815" s="268"/>
      <c r="RCX815" s="268"/>
      <c r="RCY815" s="268"/>
      <c r="RCZ815" s="268"/>
      <c r="RDA815" s="268"/>
      <c r="RDB815" s="268"/>
      <c r="RDC815" s="268"/>
      <c r="RDD815" s="268"/>
      <c r="RDE815" s="268"/>
      <c r="RDF815" s="268"/>
      <c r="RDG815" s="268"/>
      <c r="RDU815" s="268"/>
      <c r="RDV815" s="268"/>
      <c r="RDW815" s="268"/>
      <c r="REK815" s="268"/>
      <c r="REM815" s="268"/>
      <c r="REN815" s="268"/>
      <c r="REO815" s="268"/>
      <c r="REP815" s="268"/>
      <c r="REQ815" s="268"/>
      <c r="RER815" s="268"/>
      <c r="RES815" s="268"/>
      <c r="RET815" s="268"/>
      <c r="REU815" s="268"/>
      <c r="REV815" s="268"/>
      <c r="REW815" s="268"/>
      <c r="REX815" s="268"/>
      <c r="REY815" s="268"/>
      <c r="REZ815" s="268"/>
      <c r="RFA815" s="268"/>
      <c r="RFB815" s="268"/>
      <c r="RFC815" s="268"/>
      <c r="RFD815" s="268"/>
      <c r="RFE815" s="268"/>
      <c r="RFF815" s="268"/>
      <c r="RFG815" s="268"/>
      <c r="RFH815" s="268"/>
      <c r="RFI815" s="268"/>
      <c r="RFJ815" s="268"/>
      <c r="RFK815" s="268"/>
      <c r="RFL815" s="268"/>
      <c r="RFM815" s="268"/>
      <c r="RFN815" s="268"/>
      <c r="RFO815" s="268"/>
      <c r="RFP815" s="268"/>
      <c r="RFQ815" s="268"/>
      <c r="RFR815" s="268"/>
      <c r="RFS815" s="268"/>
      <c r="RFT815" s="268"/>
      <c r="RFU815" s="268"/>
      <c r="RFV815" s="268"/>
      <c r="RFW815" s="268"/>
      <c r="RFX815" s="268"/>
      <c r="RFY815" s="268"/>
      <c r="RFZ815" s="268"/>
      <c r="RGA815" s="268"/>
      <c r="RGB815" s="268"/>
      <c r="RGC815" s="268"/>
      <c r="RGD815" s="268"/>
      <c r="RGE815" s="268"/>
      <c r="RGF815" s="268"/>
      <c r="RGG815" s="268"/>
      <c r="RGH815" s="268"/>
      <c r="RGI815" s="268"/>
      <c r="RGJ815" s="268"/>
      <c r="RGK815" s="268"/>
      <c r="RGL815" s="268"/>
      <c r="RGM815" s="268"/>
      <c r="RGN815" s="268"/>
      <c r="RGO815" s="268"/>
      <c r="RGP815" s="268"/>
      <c r="RGQ815" s="268"/>
      <c r="RGR815" s="268"/>
      <c r="RGS815" s="268"/>
      <c r="RGT815" s="268"/>
      <c r="RGU815" s="268"/>
      <c r="RGV815" s="268"/>
      <c r="RGW815" s="268"/>
      <c r="RGX815" s="268"/>
      <c r="RGY815" s="268"/>
      <c r="RGZ815" s="268"/>
      <c r="RHA815" s="268"/>
      <c r="RHB815" s="268"/>
      <c r="RHC815" s="268"/>
      <c r="RHD815" s="268"/>
      <c r="RHE815" s="268"/>
      <c r="RHF815" s="268"/>
      <c r="RHG815" s="268"/>
      <c r="RHH815" s="268"/>
      <c r="RHI815" s="268"/>
      <c r="RHJ815" s="268"/>
      <c r="RHK815" s="268"/>
      <c r="RHL815" s="268"/>
      <c r="RHM815" s="268"/>
      <c r="RHN815" s="268"/>
      <c r="RHO815" s="268"/>
      <c r="RHP815" s="268"/>
      <c r="RHQ815" s="268"/>
      <c r="RHR815" s="268"/>
      <c r="RHS815" s="268"/>
      <c r="RHT815" s="268"/>
      <c r="RHU815" s="268"/>
      <c r="RHV815" s="268"/>
      <c r="RHW815" s="268"/>
      <c r="RHX815" s="268"/>
      <c r="RHY815" s="268"/>
      <c r="RHZ815" s="268"/>
      <c r="RIA815" s="268"/>
      <c r="RIB815" s="268"/>
      <c r="RIC815" s="268"/>
      <c r="RID815" s="268"/>
      <c r="RIE815" s="268"/>
      <c r="RIF815" s="268"/>
      <c r="RIG815" s="268"/>
      <c r="RIH815" s="268"/>
      <c r="RII815" s="268"/>
      <c r="RIJ815" s="268"/>
      <c r="RIK815" s="268"/>
      <c r="RIL815" s="268"/>
      <c r="RIM815" s="268"/>
      <c r="RIN815" s="268"/>
      <c r="RIO815" s="268"/>
      <c r="RIP815" s="268"/>
      <c r="RIQ815" s="268"/>
      <c r="RIR815" s="268"/>
      <c r="RIS815" s="268"/>
      <c r="RIT815" s="268"/>
      <c r="RIU815" s="268"/>
      <c r="RIV815" s="268"/>
      <c r="RIW815" s="268"/>
      <c r="RIX815" s="268"/>
      <c r="RIY815" s="268"/>
      <c r="RIZ815" s="268"/>
      <c r="RJA815" s="268"/>
      <c r="RJB815" s="268"/>
      <c r="RJC815" s="268"/>
      <c r="RJD815" s="268"/>
      <c r="RJE815" s="268"/>
      <c r="RJF815" s="268"/>
      <c r="RJG815" s="268"/>
      <c r="RJH815" s="268"/>
      <c r="RJI815" s="268"/>
      <c r="RJJ815" s="268"/>
      <c r="RJK815" s="268"/>
      <c r="RJL815" s="268"/>
      <c r="RJM815" s="268"/>
      <c r="RJN815" s="268"/>
      <c r="RJO815" s="268"/>
      <c r="RJP815" s="268"/>
      <c r="RJQ815" s="268"/>
      <c r="RJR815" s="268"/>
      <c r="RJS815" s="268"/>
      <c r="RJT815" s="268"/>
      <c r="RJU815" s="268"/>
      <c r="RJV815" s="268"/>
      <c r="RJW815" s="268"/>
      <c r="RJX815" s="268"/>
      <c r="RJY815" s="268"/>
      <c r="RJZ815" s="268"/>
      <c r="RKA815" s="268"/>
      <c r="RKB815" s="268"/>
      <c r="RKC815" s="268"/>
      <c r="RKD815" s="268"/>
      <c r="RKE815" s="268"/>
      <c r="RKF815" s="268"/>
      <c r="RKG815" s="268"/>
      <c r="RKH815" s="268"/>
      <c r="RKI815" s="268"/>
      <c r="RKJ815" s="268"/>
      <c r="RKK815" s="268"/>
      <c r="RKL815" s="268"/>
      <c r="RKM815" s="268"/>
      <c r="RKN815" s="268"/>
      <c r="RKO815" s="268"/>
      <c r="RKP815" s="268"/>
      <c r="RKQ815" s="268"/>
      <c r="RKR815" s="268"/>
      <c r="RKS815" s="268"/>
      <c r="RKT815" s="268"/>
      <c r="RKU815" s="268"/>
      <c r="RKV815" s="268"/>
      <c r="RKW815" s="268"/>
      <c r="RKX815" s="268"/>
      <c r="RKY815" s="268"/>
      <c r="RKZ815" s="268"/>
      <c r="RLA815" s="268"/>
      <c r="RLB815" s="268"/>
      <c r="RLC815" s="268"/>
      <c r="RLD815" s="268"/>
      <c r="RLE815" s="268"/>
      <c r="RLF815" s="268"/>
      <c r="RLG815" s="268"/>
      <c r="RLH815" s="268"/>
      <c r="RLI815" s="268"/>
      <c r="RLJ815" s="268"/>
      <c r="RLK815" s="268"/>
      <c r="RLL815" s="268"/>
      <c r="RLM815" s="268"/>
      <c r="RLN815" s="268"/>
      <c r="RLO815" s="268"/>
      <c r="RLP815" s="268"/>
      <c r="RLQ815" s="268"/>
      <c r="RLR815" s="268"/>
      <c r="RLS815" s="268"/>
      <c r="RLT815" s="268"/>
      <c r="RLU815" s="268"/>
      <c r="RLV815" s="268"/>
      <c r="RLW815" s="268"/>
      <c r="RLX815" s="268"/>
      <c r="RLY815" s="268"/>
      <c r="RLZ815" s="268"/>
      <c r="RMA815" s="268"/>
      <c r="RMB815" s="268"/>
      <c r="RMC815" s="268"/>
      <c r="RMD815" s="268"/>
      <c r="RME815" s="268"/>
      <c r="RMF815" s="268"/>
      <c r="RMG815" s="268"/>
      <c r="RMH815" s="268"/>
      <c r="RMI815" s="268"/>
      <c r="RMJ815" s="268"/>
      <c r="RMK815" s="268"/>
      <c r="RML815" s="268"/>
      <c r="RMM815" s="268"/>
      <c r="RMN815" s="268"/>
      <c r="RMO815" s="268"/>
      <c r="RMP815" s="268"/>
      <c r="RMQ815" s="268"/>
      <c r="RMR815" s="268"/>
      <c r="RMS815" s="268"/>
      <c r="RMT815" s="268"/>
      <c r="RMU815" s="268"/>
      <c r="RMV815" s="268"/>
      <c r="RMW815" s="268"/>
      <c r="RMX815" s="268"/>
      <c r="RMY815" s="268"/>
      <c r="RMZ815" s="268"/>
      <c r="RNA815" s="268"/>
      <c r="RNB815" s="268"/>
      <c r="RNC815" s="268"/>
      <c r="RNQ815" s="268"/>
      <c r="RNR815" s="268"/>
      <c r="RNS815" s="268"/>
      <c r="ROG815" s="268"/>
      <c r="ROI815" s="268"/>
      <c r="ROJ815" s="268"/>
      <c r="ROK815" s="268"/>
      <c r="ROL815" s="268"/>
      <c r="ROM815" s="268"/>
      <c r="RON815" s="268"/>
      <c r="ROO815" s="268"/>
      <c r="ROP815" s="268"/>
      <c r="ROQ815" s="268"/>
      <c r="ROR815" s="268"/>
      <c r="ROS815" s="268"/>
      <c r="ROT815" s="268"/>
      <c r="ROU815" s="268"/>
      <c r="ROV815" s="268"/>
      <c r="ROW815" s="268"/>
      <c r="ROX815" s="268"/>
      <c r="ROY815" s="268"/>
      <c r="ROZ815" s="268"/>
      <c r="RPA815" s="268"/>
      <c r="RPB815" s="268"/>
      <c r="RPC815" s="268"/>
      <c r="RPD815" s="268"/>
      <c r="RPE815" s="268"/>
      <c r="RPF815" s="268"/>
      <c r="RPG815" s="268"/>
      <c r="RPH815" s="268"/>
      <c r="RPI815" s="268"/>
      <c r="RPJ815" s="268"/>
      <c r="RPK815" s="268"/>
      <c r="RPL815" s="268"/>
      <c r="RPM815" s="268"/>
      <c r="RPN815" s="268"/>
      <c r="RPO815" s="268"/>
      <c r="RPP815" s="268"/>
      <c r="RPQ815" s="268"/>
      <c r="RPR815" s="268"/>
      <c r="RPS815" s="268"/>
      <c r="RPT815" s="268"/>
      <c r="RPU815" s="268"/>
      <c r="RPV815" s="268"/>
      <c r="RPW815" s="268"/>
      <c r="RPX815" s="268"/>
      <c r="RPY815" s="268"/>
      <c r="RPZ815" s="268"/>
      <c r="RQA815" s="268"/>
      <c r="RQB815" s="268"/>
      <c r="RQC815" s="268"/>
      <c r="RQD815" s="268"/>
      <c r="RQE815" s="268"/>
      <c r="RQF815" s="268"/>
      <c r="RQG815" s="268"/>
      <c r="RQH815" s="268"/>
      <c r="RQI815" s="268"/>
      <c r="RQJ815" s="268"/>
      <c r="RQK815" s="268"/>
      <c r="RQL815" s="268"/>
      <c r="RQM815" s="268"/>
      <c r="RQN815" s="268"/>
      <c r="RQO815" s="268"/>
      <c r="RQP815" s="268"/>
      <c r="RQQ815" s="268"/>
      <c r="RQR815" s="268"/>
      <c r="RQS815" s="268"/>
      <c r="RQT815" s="268"/>
      <c r="RQU815" s="268"/>
      <c r="RQV815" s="268"/>
      <c r="RQW815" s="268"/>
      <c r="RQX815" s="268"/>
      <c r="RQY815" s="268"/>
      <c r="RQZ815" s="268"/>
      <c r="RRA815" s="268"/>
      <c r="RRB815" s="268"/>
      <c r="RRC815" s="268"/>
      <c r="RRD815" s="268"/>
      <c r="RRE815" s="268"/>
      <c r="RRF815" s="268"/>
      <c r="RRG815" s="268"/>
      <c r="RRH815" s="268"/>
      <c r="RRI815" s="268"/>
      <c r="RRJ815" s="268"/>
      <c r="RRK815" s="268"/>
      <c r="RRL815" s="268"/>
      <c r="RRM815" s="268"/>
      <c r="RRN815" s="268"/>
      <c r="RRO815" s="268"/>
      <c r="RRP815" s="268"/>
      <c r="RRQ815" s="268"/>
      <c r="RRR815" s="268"/>
      <c r="RRS815" s="268"/>
      <c r="RRT815" s="268"/>
      <c r="RRU815" s="268"/>
      <c r="RRV815" s="268"/>
      <c r="RRW815" s="268"/>
      <c r="RRX815" s="268"/>
      <c r="RRY815" s="268"/>
      <c r="RRZ815" s="268"/>
      <c r="RSA815" s="268"/>
      <c r="RSB815" s="268"/>
      <c r="RSC815" s="268"/>
      <c r="RSD815" s="268"/>
      <c r="RSE815" s="268"/>
      <c r="RSF815" s="268"/>
      <c r="RSG815" s="268"/>
      <c r="RSH815" s="268"/>
      <c r="RSI815" s="268"/>
      <c r="RSJ815" s="268"/>
      <c r="RSK815" s="268"/>
      <c r="RSL815" s="268"/>
      <c r="RSM815" s="268"/>
      <c r="RSN815" s="268"/>
      <c r="RSO815" s="268"/>
      <c r="RSP815" s="268"/>
      <c r="RSQ815" s="268"/>
      <c r="RSR815" s="268"/>
      <c r="RSS815" s="268"/>
      <c r="RST815" s="268"/>
      <c r="RSU815" s="268"/>
      <c r="RSV815" s="268"/>
      <c r="RSW815" s="268"/>
      <c r="RSX815" s="268"/>
      <c r="RSY815" s="268"/>
      <c r="RSZ815" s="268"/>
      <c r="RTA815" s="268"/>
      <c r="RTB815" s="268"/>
      <c r="RTC815" s="268"/>
      <c r="RTD815" s="268"/>
      <c r="RTE815" s="268"/>
      <c r="RTF815" s="268"/>
      <c r="RTG815" s="268"/>
      <c r="RTH815" s="268"/>
      <c r="RTI815" s="268"/>
      <c r="RTJ815" s="268"/>
      <c r="RTK815" s="268"/>
      <c r="RTL815" s="268"/>
      <c r="RTM815" s="268"/>
      <c r="RTN815" s="268"/>
      <c r="RTO815" s="268"/>
      <c r="RTP815" s="268"/>
      <c r="RTQ815" s="268"/>
      <c r="RTR815" s="268"/>
      <c r="RTS815" s="268"/>
      <c r="RTT815" s="268"/>
      <c r="RTU815" s="268"/>
      <c r="RTV815" s="268"/>
      <c r="RTW815" s="268"/>
      <c r="RTX815" s="268"/>
      <c r="RTY815" s="268"/>
      <c r="RTZ815" s="268"/>
      <c r="RUA815" s="268"/>
      <c r="RUB815" s="268"/>
      <c r="RUC815" s="268"/>
      <c r="RUD815" s="268"/>
      <c r="RUE815" s="268"/>
      <c r="RUF815" s="268"/>
      <c r="RUG815" s="268"/>
      <c r="RUH815" s="268"/>
      <c r="RUI815" s="268"/>
      <c r="RUJ815" s="268"/>
      <c r="RUK815" s="268"/>
      <c r="RUL815" s="268"/>
      <c r="RUM815" s="268"/>
      <c r="RUN815" s="268"/>
      <c r="RUO815" s="268"/>
      <c r="RUP815" s="268"/>
      <c r="RUQ815" s="268"/>
      <c r="RUR815" s="268"/>
      <c r="RUS815" s="268"/>
      <c r="RUT815" s="268"/>
      <c r="RUU815" s="268"/>
      <c r="RUV815" s="268"/>
      <c r="RUW815" s="268"/>
      <c r="RUX815" s="268"/>
      <c r="RUY815" s="268"/>
      <c r="RUZ815" s="268"/>
      <c r="RVA815" s="268"/>
      <c r="RVB815" s="268"/>
      <c r="RVC815" s="268"/>
      <c r="RVD815" s="268"/>
      <c r="RVE815" s="268"/>
      <c r="RVF815" s="268"/>
      <c r="RVG815" s="268"/>
      <c r="RVH815" s="268"/>
      <c r="RVI815" s="268"/>
      <c r="RVJ815" s="268"/>
      <c r="RVK815" s="268"/>
      <c r="RVL815" s="268"/>
      <c r="RVM815" s="268"/>
      <c r="RVN815" s="268"/>
      <c r="RVO815" s="268"/>
      <c r="RVP815" s="268"/>
      <c r="RVQ815" s="268"/>
      <c r="RVR815" s="268"/>
      <c r="RVS815" s="268"/>
      <c r="RVT815" s="268"/>
      <c r="RVU815" s="268"/>
      <c r="RVV815" s="268"/>
      <c r="RVW815" s="268"/>
      <c r="RVX815" s="268"/>
      <c r="RVY815" s="268"/>
      <c r="RVZ815" s="268"/>
      <c r="RWA815" s="268"/>
      <c r="RWB815" s="268"/>
      <c r="RWC815" s="268"/>
      <c r="RWD815" s="268"/>
      <c r="RWE815" s="268"/>
      <c r="RWF815" s="268"/>
      <c r="RWG815" s="268"/>
      <c r="RWH815" s="268"/>
      <c r="RWI815" s="268"/>
      <c r="RWJ815" s="268"/>
      <c r="RWK815" s="268"/>
      <c r="RWL815" s="268"/>
      <c r="RWM815" s="268"/>
      <c r="RWN815" s="268"/>
      <c r="RWO815" s="268"/>
      <c r="RWP815" s="268"/>
      <c r="RWQ815" s="268"/>
      <c r="RWR815" s="268"/>
      <c r="RWS815" s="268"/>
      <c r="RWT815" s="268"/>
      <c r="RWU815" s="268"/>
      <c r="RWV815" s="268"/>
      <c r="RWW815" s="268"/>
      <c r="RWX815" s="268"/>
      <c r="RWY815" s="268"/>
      <c r="RXM815" s="268"/>
      <c r="RXN815" s="268"/>
      <c r="RXO815" s="268"/>
      <c r="RYC815" s="268"/>
      <c r="RYE815" s="268"/>
      <c r="RYF815" s="268"/>
      <c r="RYG815" s="268"/>
      <c r="RYH815" s="268"/>
      <c r="RYI815" s="268"/>
      <c r="RYJ815" s="268"/>
      <c r="RYK815" s="268"/>
      <c r="RYL815" s="268"/>
      <c r="RYM815" s="268"/>
      <c r="RYN815" s="268"/>
      <c r="RYO815" s="268"/>
      <c r="RYP815" s="268"/>
      <c r="RYQ815" s="268"/>
      <c r="RYR815" s="268"/>
      <c r="RYS815" s="268"/>
      <c r="RYT815" s="268"/>
      <c r="RYU815" s="268"/>
      <c r="RYV815" s="268"/>
      <c r="RYW815" s="268"/>
      <c r="RYX815" s="268"/>
      <c r="RYY815" s="268"/>
      <c r="RYZ815" s="268"/>
      <c r="RZA815" s="268"/>
      <c r="RZB815" s="268"/>
      <c r="RZC815" s="268"/>
      <c r="RZD815" s="268"/>
      <c r="RZE815" s="268"/>
      <c r="RZF815" s="268"/>
      <c r="RZG815" s="268"/>
      <c r="RZH815" s="268"/>
      <c r="RZI815" s="268"/>
      <c r="RZJ815" s="268"/>
      <c r="RZK815" s="268"/>
      <c r="RZL815" s="268"/>
      <c r="RZM815" s="268"/>
      <c r="RZN815" s="268"/>
      <c r="RZO815" s="268"/>
      <c r="RZP815" s="268"/>
      <c r="RZQ815" s="268"/>
      <c r="RZR815" s="268"/>
      <c r="RZS815" s="268"/>
      <c r="RZT815" s="268"/>
      <c r="RZU815" s="268"/>
      <c r="RZV815" s="268"/>
      <c r="RZW815" s="268"/>
      <c r="RZX815" s="268"/>
      <c r="RZY815" s="268"/>
      <c r="RZZ815" s="268"/>
      <c r="SAA815" s="268"/>
      <c r="SAB815" s="268"/>
      <c r="SAC815" s="268"/>
      <c r="SAD815" s="268"/>
      <c r="SAE815" s="268"/>
      <c r="SAF815" s="268"/>
      <c r="SAG815" s="268"/>
      <c r="SAH815" s="268"/>
      <c r="SAI815" s="268"/>
      <c r="SAJ815" s="268"/>
      <c r="SAK815" s="268"/>
      <c r="SAL815" s="268"/>
      <c r="SAM815" s="268"/>
      <c r="SAN815" s="268"/>
      <c r="SAO815" s="268"/>
      <c r="SAP815" s="268"/>
      <c r="SAQ815" s="268"/>
      <c r="SAR815" s="268"/>
      <c r="SAS815" s="268"/>
      <c r="SAT815" s="268"/>
      <c r="SAU815" s="268"/>
      <c r="SAV815" s="268"/>
      <c r="SAW815" s="268"/>
      <c r="SAX815" s="268"/>
      <c r="SAY815" s="268"/>
      <c r="SAZ815" s="268"/>
      <c r="SBA815" s="268"/>
      <c r="SBB815" s="268"/>
      <c r="SBC815" s="268"/>
      <c r="SBD815" s="268"/>
      <c r="SBE815" s="268"/>
      <c r="SBF815" s="268"/>
      <c r="SBG815" s="268"/>
      <c r="SBH815" s="268"/>
      <c r="SBI815" s="268"/>
      <c r="SBJ815" s="268"/>
      <c r="SBK815" s="268"/>
      <c r="SBL815" s="268"/>
      <c r="SBM815" s="268"/>
      <c r="SBN815" s="268"/>
      <c r="SBO815" s="268"/>
      <c r="SBP815" s="268"/>
      <c r="SBQ815" s="268"/>
      <c r="SBR815" s="268"/>
      <c r="SBS815" s="268"/>
      <c r="SBT815" s="268"/>
      <c r="SBU815" s="268"/>
      <c r="SBV815" s="268"/>
      <c r="SBW815" s="268"/>
      <c r="SBX815" s="268"/>
      <c r="SBY815" s="268"/>
      <c r="SBZ815" s="268"/>
      <c r="SCA815" s="268"/>
      <c r="SCB815" s="268"/>
      <c r="SCC815" s="268"/>
      <c r="SCD815" s="268"/>
      <c r="SCE815" s="268"/>
      <c r="SCF815" s="268"/>
      <c r="SCG815" s="268"/>
      <c r="SCH815" s="268"/>
      <c r="SCI815" s="268"/>
      <c r="SCJ815" s="268"/>
      <c r="SCK815" s="268"/>
      <c r="SCL815" s="268"/>
      <c r="SCM815" s="268"/>
      <c r="SCN815" s="268"/>
      <c r="SCO815" s="268"/>
      <c r="SCP815" s="268"/>
      <c r="SCQ815" s="268"/>
      <c r="SCR815" s="268"/>
      <c r="SCS815" s="268"/>
      <c r="SCT815" s="268"/>
      <c r="SCU815" s="268"/>
      <c r="SCV815" s="268"/>
      <c r="SCW815" s="268"/>
      <c r="SCX815" s="268"/>
      <c r="SCY815" s="268"/>
      <c r="SCZ815" s="268"/>
      <c r="SDA815" s="268"/>
      <c r="SDB815" s="268"/>
      <c r="SDC815" s="268"/>
      <c r="SDD815" s="268"/>
      <c r="SDE815" s="268"/>
      <c r="SDF815" s="268"/>
      <c r="SDG815" s="268"/>
      <c r="SDH815" s="268"/>
      <c r="SDI815" s="268"/>
      <c r="SDJ815" s="268"/>
      <c r="SDK815" s="268"/>
      <c r="SDL815" s="268"/>
      <c r="SDM815" s="268"/>
      <c r="SDN815" s="268"/>
      <c r="SDO815" s="268"/>
      <c r="SDP815" s="268"/>
      <c r="SDQ815" s="268"/>
      <c r="SDR815" s="268"/>
      <c r="SDS815" s="268"/>
      <c r="SDT815" s="268"/>
      <c r="SDU815" s="268"/>
      <c r="SDV815" s="268"/>
      <c r="SDW815" s="268"/>
      <c r="SDX815" s="268"/>
      <c r="SDY815" s="268"/>
      <c r="SDZ815" s="268"/>
      <c r="SEA815" s="268"/>
      <c r="SEB815" s="268"/>
      <c r="SEC815" s="268"/>
      <c r="SED815" s="268"/>
      <c r="SEE815" s="268"/>
      <c r="SEF815" s="268"/>
      <c r="SEG815" s="268"/>
      <c r="SEH815" s="268"/>
      <c r="SEI815" s="268"/>
      <c r="SEJ815" s="268"/>
      <c r="SEK815" s="268"/>
      <c r="SEL815" s="268"/>
      <c r="SEM815" s="268"/>
      <c r="SEN815" s="268"/>
      <c r="SEO815" s="268"/>
      <c r="SEP815" s="268"/>
      <c r="SEQ815" s="268"/>
      <c r="SER815" s="268"/>
      <c r="SES815" s="268"/>
      <c r="SET815" s="268"/>
      <c r="SEU815" s="268"/>
      <c r="SEV815" s="268"/>
      <c r="SEW815" s="268"/>
      <c r="SEX815" s="268"/>
      <c r="SEY815" s="268"/>
      <c r="SEZ815" s="268"/>
      <c r="SFA815" s="268"/>
      <c r="SFB815" s="268"/>
      <c r="SFC815" s="268"/>
      <c r="SFD815" s="268"/>
      <c r="SFE815" s="268"/>
      <c r="SFF815" s="268"/>
      <c r="SFG815" s="268"/>
      <c r="SFH815" s="268"/>
      <c r="SFI815" s="268"/>
      <c r="SFJ815" s="268"/>
      <c r="SFK815" s="268"/>
      <c r="SFL815" s="268"/>
      <c r="SFM815" s="268"/>
      <c r="SFN815" s="268"/>
      <c r="SFO815" s="268"/>
      <c r="SFP815" s="268"/>
      <c r="SFQ815" s="268"/>
      <c r="SFR815" s="268"/>
      <c r="SFS815" s="268"/>
      <c r="SFT815" s="268"/>
      <c r="SFU815" s="268"/>
      <c r="SFV815" s="268"/>
      <c r="SFW815" s="268"/>
      <c r="SFX815" s="268"/>
      <c r="SFY815" s="268"/>
      <c r="SFZ815" s="268"/>
      <c r="SGA815" s="268"/>
      <c r="SGB815" s="268"/>
      <c r="SGC815" s="268"/>
      <c r="SGD815" s="268"/>
      <c r="SGE815" s="268"/>
      <c r="SGF815" s="268"/>
      <c r="SGG815" s="268"/>
      <c r="SGH815" s="268"/>
      <c r="SGI815" s="268"/>
      <c r="SGJ815" s="268"/>
      <c r="SGK815" s="268"/>
      <c r="SGL815" s="268"/>
      <c r="SGM815" s="268"/>
      <c r="SGN815" s="268"/>
      <c r="SGO815" s="268"/>
      <c r="SGP815" s="268"/>
      <c r="SGQ815" s="268"/>
      <c r="SGR815" s="268"/>
      <c r="SGS815" s="268"/>
      <c r="SGT815" s="268"/>
      <c r="SGU815" s="268"/>
      <c r="SHI815" s="268"/>
      <c r="SHJ815" s="268"/>
      <c r="SHK815" s="268"/>
      <c r="SHY815" s="268"/>
      <c r="SIA815" s="268"/>
      <c r="SIB815" s="268"/>
      <c r="SIC815" s="268"/>
      <c r="SID815" s="268"/>
      <c r="SIE815" s="268"/>
      <c r="SIF815" s="268"/>
      <c r="SIG815" s="268"/>
      <c r="SIH815" s="268"/>
      <c r="SII815" s="268"/>
      <c r="SIJ815" s="268"/>
      <c r="SIK815" s="268"/>
      <c r="SIL815" s="268"/>
      <c r="SIM815" s="268"/>
      <c r="SIN815" s="268"/>
      <c r="SIO815" s="268"/>
      <c r="SIP815" s="268"/>
      <c r="SIQ815" s="268"/>
      <c r="SIR815" s="268"/>
      <c r="SIS815" s="268"/>
      <c r="SIT815" s="268"/>
      <c r="SIU815" s="268"/>
      <c r="SIV815" s="268"/>
      <c r="SIW815" s="268"/>
      <c r="SIX815" s="268"/>
      <c r="SIY815" s="268"/>
      <c r="SIZ815" s="268"/>
      <c r="SJA815" s="268"/>
      <c r="SJB815" s="268"/>
      <c r="SJC815" s="268"/>
      <c r="SJD815" s="268"/>
      <c r="SJE815" s="268"/>
      <c r="SJF815" s="268"/>
      <c r="SJG815" s="268"/>
      <c r="SJH815" s="268"/>
      <c r="SJI815" s="268"/>
      <c r="SJJ815" s="268"/>
      <c r="SJK815" s="268"/>
      <c r="SJL815" s="268"/>
      <c r="SJM815" s="268"/>
      <c r="SJN815" s="268"/>
      <c r="SJO815" s="268"/>
      <c r="SJP815" s="268"/>
      <c r="SJQ815" s="268"/>
      <c r="SJR815" s="268"/>
      <c r="SJS815" s="268"/>
      <c r="SJT815" s="268"/>
      <c r="SJU815" s="268"/>
      <c r="SJV815" s="268"/>
      <c r="SJW815" s="268"/>
      <c r="SJX815" s="268"/>
      <c r="SJY815" s="268"/>
      <c r="SJZ815" s="268"/>
      <c r="SKA815" s="268"/>
      <c r="SKB815" s="268"/>
      <c r="SKC815" s="268"/>
      <c r="SKD815" s="268"/>
      <c r="SKE815" s="268"/>
      <c r="SKF815" s="268"/>
      <c r="SKG815" s="268"/>
      <c r="SKH815" s="268"/>
      <c r="SKI815" s="268"/>
      <c r="SKJ815" s="268"/>
      <c r="SKK815" s="268"/>
      <c r="SKL815" s="268"/>
      <c r="SKM815" s="268"/>
      <c r="SKN815" s="268"/>
      <c r="SKO815" s="268"/>
      <c r="SKP815" s="268"/>
      <c r="SKQ815" s="268"/>
      <c r="SKR815" s="268"/>
      <c r="SKS815" s="268"/>
      <c r="SKT815" s="268"/>
      <c r="SKU815" s="268"/>
      <c r="SKV815" s="268"/>
      <c r="SKW815" s="268"/>
      <c r="SKX815" s="268"/>
      <c r="SKY815" s="268"/>
      <c r="SKZ815" s="268"/>
      <c r="SLA815" s="268"/>
      <c r="SLB815" s="268"/>
      <c r="SLC815" s="268"/>
      <c r="SLD815" s="268"/>
      <c r="SLE815" s="268"/>
      <c r="SLF815" s="268"/>
      <c r="SLG815" s="268"/>
      <c r="SLH815" s="268"/>
      <c r="SLI815" s="268"/>
      <c r="SLJ815" s="268"/>
      <c r="SLK815" s="268"/>
      <c r="SLL815" s="268"/>
      <c r="SLM815" s="268"/>
      <c r="SLN815" s="268"/>
      <c r="SLO815" s="268"/>
      <c r="SLP815" s="268"/>
      <c r="SLQ815" s="268"/>
      <c r="SLR815" s="268"/>
      <c r="SLS815" s="268"/>
      <c r="SLT815" s="268"/>
      <c r="SLU815" s="268"/>
      <c r="SLV815" s="268"/>
      <c r="SLW815" s="268"/>
      <c r="SLX815" s="268"/>
      <c r="SLY815" s="268"/>
      <c r="SLZ815" s="268"/>
      <c r="SMA815" s="268"/>
      <c r="SMB815" s="268"/>
      <c r="SMC815" s="268"/>
      <c r="SMD815" s="268"/>
      <c r="SME815" s="268"/>
      <c r="SMF815" s="268"/>
      <c r="SMG815" s="268"/>
      <c r="SMH815" s="268"/>
      <c r="SMI815" s="268"/>
      <c r="SMJ815" s="268"/>
      <c r="SMK815" s="268"/>
      <c r="SML815" s="268"/>
      <c r="SMM815" s="268"/>
      <c r="SMN815" s="268"/>
      <c r="SMO815" s="268"/>
      <c r="SMP815" s="268"/>
      <c r="SMQ815" s="268"/>
      <c r="SMR815" s="268"/>
      <c r="SMS815" s="268"/>
      <c r="SMT815" s="268"/>
      <c r="SMU815" s="268"/>
      <c r="SMV815" s="268"/>
      <c r="SMW815" s="268"/>
      <c r="SMX815" s="268"/>
      <c r="SMY815" s="268"/>
      <c r="SMZ815" s="268"/>
      <c r="SNA815" s="268"/>
      <c r="SNB815" s="268"/>
      <c r="SNC815" s="268"/>
      <c r="SND815" s="268"/>
      <c r="SNE815" s="268"/>
      <c r="SNF815" s="268"/>
      <c r="SNG815" s="268"/>
      <c r="SNH815" s="268"/>
      <c r="SNI815" s="268"/>
      <c r="SNJ815" s="268"/>
      <c r="SNK815" s="268"/>
      <c r="SNL815" s="268"/>
      <c r="SNM815" s="268"/>
      <c r="SNN815" s="268"/>
      <c r="SNO815" s="268"/>
      <c r="SNP815" s="268"/>
      <c r="SNQ815" s="268"/>
      <c r="SNR815" s="268"/>
      <c r="SNS815" s="268"/>
      <c r="SNT815" s="268"/>
      <c r="SNU815" s="268"/>
      <c r="SNV815" s="268"/>
      <c r="SNW815" s="268"/>
      <c r="SNX815" s="268"/>
      <c r="SNY815" s="268"/>
      <c r="SNZ815" s="268"/>
      <c r="SOA815" s="268"/>
      <c r="SOB815" s="268"/>
      <c r="SOC815" s="268"/>
      <c r="SOD815" s="268"/>
      <c r="SOE815" s="268"/>
      <c r="SOF815" s="268"/>
      <c r="SOG815" s="268"/>
      <c r="SOH815" s="268"/>
      <c r="SOI815" s="268"/>
      <c r="SOJ815" s="268"/>
      <c r="SOK815" s="268"/>
      <c r="SOL815" s="268"/>
      <c r="SOM815" s="268"/>
      <c r="SON815" s="268"/>
      <c r="SOO815" s="268"/>
      <c r="SOP815" s="268"/>
      <c r="SOQ815" s="268"/>
      <c r="SOR815" s="268"/>
      <c r="SOS815" s="268"/>
      <c r="SOT815" s="268"/>
      <c r="SOU815" s="268"/>
      <c r="SOV815" s="268"/>
      <c r="SOW815" s="268"/>
      <c r="SOX815" s="268"/>
      <c r="SOY815" s="268"/>
      <c r="SOZ815" s="268"/>
      <c r="SPA815" s="268"/>
      <c r="SPB815" s="268"/>
      <c r="SPC815" s="268"/>
      <c r="SPD815" s="268"/>
      <c r="SPE815" s="268"/>
      <c r="SPF815" s="268"/>
      <c r="SPG815" s="268"/>
      <c r="SPH815" s="268"/>
      <c r="SPI815" s="268"/>
      <c r="SPJ815" s="268"/>
      <c r="SPK815" s="268"/>
      <c r="SPL815" s="268"/>
      <c r="SPM815" s="268"/>
      <c r="SPN815" s="268"/>
      <c r="SPO815" s="268"/>
      <c r="SPP815" s="268"/>
      <c r="SPQ815" s="268"/>
      <c r="SPR815" s="268"/>
      <c r="SPS815" s="268"/>
      <c r="SPT815" s="268"/>
      <c r="SPU815" s="268"/>
      <c r="SPV815" s="268"/>
      <c r="SPW815" s="268"/>
      <c r="SPX815" s="268"/>
      <c r="SPY815" s="268"/>
      <c r="SPZ815" s="268"/>
      <c r="SQA815" s="268"/>
      <c r="SQB815" s="268"/>
      <c r="SQC815" s="268"/>
      <c r="SQD815" s="268"/>
      <c r="SQE815" s="268"/>
      <c r="SQF815" s="268"/>
      <c r="SQG815" s="268"/>
      <c r="SQH815" s="268"/>
      <c r="SQI815" s="268"/>
      <c r="SQJ815" s="268"/>
      <c r="SQK815" s="268"/>
      <c r="SQL815" s="268"/>
      <c r="SQM815" s="268"/>
      <c r="SQN815" s="268"/>
      <c r="SQO815" s="268"/>
      <c r="SQP815" s="268"/>
      <c r="SQQ815" s="268"/>
      <c r="SRE815" s="268"/>
      <c r="SRF815" s="268"/>
      <c r="SRG815" s="268"/>
      <c r="SRU815" s="268"/>
      <c r="SRW815" s="268"/>
      <c r="SRX815" s="268"/>
      <c r="SRY815" s="268"/>
      <c r="SRZ815" s="268"/>
      <c r="SSA815" s="268"/>
      <c r="SSB815" s="268"/>
      <c r="SSC815" s="268"/>
      <c r="SSD815" s="268"/>
      <c r="SSE815" s="268"/>
      <c r="SSF815" s="268"/>
      <c r="SSG815" s="268"/>
      <c r="SSH815" s="268"/>
      <c r="SSI815" s="268"/>
      <c r="SSJ815" s="268"/>
      <c r="SSK815" s="268"/>
      <c r="SSL815" s="268"/>
      <c r="SSM815" s="268"/>
      <c r="SSN815" s="268"/>
      <c r="SSO815" s="268"/>
      <c r="SSP815" s="268"/>
      <c r="SSQ815" s="268"/>
      <c r="SSR815" s="268"/>
      <c r="SSS815" s="268"/>
      <c r="SST815" s="268"/>
      <c r="SSU815" s="268"/>
      <c r="SSV815" s="268"/>
      <c r="SSW815" s="268"/>
      <c r="SSX815" s="268"/>
      <c r="SSY815" s="268"/>
      <c r="SSZ815" s="268"/>
      <c r="STA815" s="268"/>
      <c r="STB815" s="268"/>
      <c r="STC815" s="268"/>
      <c r="STD815" s="268"/>
      <c r="STE815" s="268"/>
      <c r="STF815" s="268"/>
      <c r="STG815" s="268"/>
      <c r="STH815" s="268"/>
      <c r="STI815" s="268"/>
      <c r="STJ815" s="268"/>
      <c r="STK815" s="268"/>
      <c r="STL815" s="268"/>
      <c r="STM815" s="268"/>
      <c r="STN815" s="268"/>
      <c r="STO815" s="268"/>
      <c r="STP815" s="268"/>
      <c r="STQ815" s="268"/>
      <c r="STR815" s="268"/>
      <c r="STS815" s="268"/>
      <c r="STT815" s="268"/>
      <c r="STU815" s="268"/>
      <c r="STV815" s="268"/>
      <c r="STW815" s="268"/>
      <c r="STX815" s="268"/>
      <c r="STY815" s="268"/>
      <c r="STZ815" s="268"/>
      <c r="SUA815" s="268"/>
      <c r="SUB815" s="268"/>
      <c r="SUC815" s="268"/>
      <c r="SUD815" s="268"/>
      <c r="SUE815" s="268"/>
      <c r="SUF815" s="268"/>
      <c r="SUG815" s="268"/>
      <c r="SUH815" s="268"/>
      <c r="SUI815" s="268"/>
      <c r="SUJ815" s="268"/>
      <c r="SUK815" s="268"/>
      <c r="SUL815" s="268"/>
      <c r="SUM815" s="268"/>
      <c r="SUN815" s="268"/>
      <c r="SUO815" s="268"/>
      <c r="SUP815" s="268"/>
      <c r="SUQ815" s="268"/>
      <c r="SUR815" s="268"/>
      <c r="SUS815" s="268"/>
      <c r="SUT815" s="268"/>
      <c r="SUU815" s="268"/>
      <c r="SUV815" s="268"/>
      <c r="SUW815" s="268"/>
      <c r="SUX815" s="268"/>
      <c r="SUY815" s="268"/>
      <c r="SUZ815" s="268"/>
      <c r="SVA815" s="268"/>
      <c r="SVB815" s="268"/>
      <c r="SVC815" s="268"/>
      <c r="SVD815" s="268"/>
      <c r="SVE815" s="268"/>
      <c r="SVF815" s="268"/>
      <c r="SVG815" s="268"/>
      <c r="SVH815" s="268"/>
      <c r="SVI815" s="268"/>
      <c r="SVJ815" s="268"/>
      <c r="SVK815" s="268"/>
      <c r="SVL815" s="268"/>
      <c r="SVM815" s="268"/>
      <c r="SVN815" s="268"/>
      <c r="SVO815" s="268"/>
      <c r="SVP815" s="268"/>
      <c r="SVQ815" s="268"/>
      <c r="SVR815" s="268"/>
      <c r="SVS815" s="268"/>
      <c r="SVT815" s="268"/>
      <c r="SVU815" s="268"/>
      <c r="SVV815" s="268"/>
      <c r="SVW815" s="268"/>
      <c r="SVX815" s="268"/>
      <c r="SVY815" s="268"/>
      <c r="SVZ815" s="268"/>
      <c r="SWA815" s="268"/>
      <c r="SWB815" s="268"/>
      <c r="SWC815" s="268"/>
      <c r="SWD815" s="268"/>
      <c r="SWE815" s="268"/>
      <c r="SWF815" s="268"/>
      <c r="SWG815" s="268"/>
      <c r="SWH815" s="268"/>
      <c r="SWI815" s="268"/>
      <c r="SWJ815" s="268"/>
      <c r="SWK815" s="268"/>
      <c r="SWL815" s="268"/>
      <c r="SWM815" s="268"/>
      <c r="SWN815" s="268"/>
      <c r="SWO815" s="268"/>
      <c r="SWP815" s="268"/>
      <c r="SWQ815" s="268"/>
      <c r="SWR815" s="268"/>
      <c r="SWS815" s="268"/>
      <c r="SWT815" s="268"/>
      <c r="SWU815" s="268"/>
      <c r="SWV815" s="268"/>
      <c r="SWW815" s="268"/>
      <c r="SWX815" s="268"/>
      <c r="SWY815" s="268"/>
      <c r="SWZ815" s="268"/>
      <c r="SXA815" s="268"/>
      <c r="SXB815" s="268"/>
      <c r="SXC815" s="268"/>
      <c r="SXD815" s="268"/>
      <c r="SXE815" s="268"/>
      <c r="SXF815" s="268"/>
      <c r="SXG815" s="268"/>
      <c r="SXH815" s="268"/>
      <c r="SXI815" s="268"/>
      <c r="SXJ815" s="268"/>
      <c r="SXK815" s="268"/>
      <c r="SXL815" s="268"/>
      <c r="SXM815" s="268"/>
      <c r="SXN815" s="268"/>
      <c r="SXO815" s="268"/>
      <c r="SXP815" s="268"/>
      <c r="SXQ815" s="268"/>
      <c r="SXR815" s="268"/>
      <c r="SXS815" s="268"/>
      <c r="SXT815" s="268"/>
      <c r="SXU815" s="268"/>
      <c r="SXV815" s="268"/>
      <c r="SXW815" s="268"/>
      <c r="SXX815" s="268"/>
      <c r="SXY815" s="268"/>
      <c r="SXZ815" s="268"/>
      <c r="SYA815" s="268"/>
      <c r="SYB815" s="268"/>
      <c r="SYC815" s="268"/>
      <c r="SYD815" s="268"/>
      <c r="SYE815" s="268"/>
      <c r="SYF815" s="268"/>
      <c r="SYG815" s="268"/>
      <c r="SYH815" s="268"/>
      <c r="SYI815" s="268"/>
      <c r="SYJ815" s="268"/>
      <c r="SYK815" s="268"/>
      <c r="SYL815" s="268"/>
      <c r="SYM815" s="268"/>
      <c r="SYN815" s="268"/>
      <c r="SYO815" s="268"/>
      <c r="SYP815" s="268"/>
      <c r="SYQ815" s="268"/>
      <c r="SYR815" s="268"/>
      <c r="SYS815" s="268"/>
      <c r="SYT815" s="268"/>
      <c r="SYU815" s="268"/>
      <c r="SYV815" s="268"/>
      <c r="SYW815" s="268"/>
      <c r="SYX815" s="268"/>
      <c r="SYY815" s="268"/>
      <c r="SYZ815" s="268"/>
      <c r="SZA815" s="268"/>
      <c r="SZB815" s="268"/>
      <c r="SZC815" s="268"/>
      <c r="SZD815" s="268"/>
      <c r="SZE815" s="268"/>
      <c r="SZF815" s="268"/>
      <c r="SZG815" s="268"/>
      <c r="SZH815" s="268"/>
      <c r="SZI815" s="268"/>
      <c r="SZJ815" s="268"/>
      <c r="SZK815" s="268"/>
      <c r="SZL815" s="268"/>
      <c r="SZM815" s="268"/>
      <c r="SZN815" s="268"/>
      <c r="SZO815" s="268"/>
      <c r="SZP815" s="268"/>
      <c r="SZQ815" s="268"/>
      <c r="SZR815" s="268"/>
      <c r="SZS815" s="268"/>
      <c r="SZT815" s="268"/>
      <c r="SZU815" s="268"/>
      <c r="SZV815" s="268"/>
      <c r="SZW815" s="268"/>
      <c r="SZX815" s="268"/>
      <c r="SZY815" s="268"/>
      <c r="SZZ815" s="268"/>
      <c r="TAA815" s="268"/>
      <c r="TAB815" s="268"/>
      <c r="TAC815" s="268"/>
      <c r="TAD815" s="268"/>
      <c r="TAE815" s="268"/>
      <c r="TAF815" s="268"/>
      <c r="TAG815" s="268"/>
      <c r="TAH815" s="268"/>
      <c r="TAI815" s="268"/>
      <c r="TAJ815" s="268"/>
      <c r="TAK815" s="268"/>
      <c r="TAL815" s="268"/>
      <c r="TAM815" s="268"/>
      <c r="TBA815" s="268"/>
      <c r="TBB815" s="268"/>
      <c r="TBC815" s="268"/>
      <c r="TBQ815" s="268"/>
      <c r="TBS815" s="268"/>
      <c r="TBT815" s="268"/>
      <c r="TBU815" s="268"/>
      <c r="TBV815" s="268"/>
      <c r="TBW815" s="268"/>
      <c r="TBX815" s="268"/>
      <c r="TBY815" s="268"/>
      <c r="TBZ815" s="268"/>
      <c r="TCA815" s="268"/>
      <c r="TCB815" s="268"/>
      <c r="TCC815" s="268"/>
      <c r="TCD815" s="268"/>
      <c r="TCE815" s="268"/>
      <c r="TCF815" s="268"/>
      <c r="TCG815" s="268"/>
      <c r="TCH815" s="268"/>
      <c r="TCI815" s="268"/>
      <c r="TCJ815" s="268"/>
      <c r="TCK815" s="268"/>
      <c r="TCL815" s="268"/>
      <c r="TCM815" s="268"/>
      <c r="TCN815" s="268"/>
      <c r="TCO815" s="268"/>
      <c r="TCP815" s="268"/>
      <c r="TCQ815" s="268"/>
      <c r="TCR815" s="268"/>
      <c r="TCS815" s="268"/>
      <c r="TCT815" s="268"/>
      <c r="TCU815" s="268"/>
      <c r="TCV815" s="268"/>
      <c r="TCW815" s="268"/>
      <c r="TCX815" s="268"/>
      <c r="TCY815" s="268"/>
      <c r="TCZ815" s="268"/>
      <c r="TDA815" s="268"/>
      <c r="TDB815" s="268"/>
      <c r="TDC815" s="268"/>
      <c r="TDD815" s="268"/>
      <c r="TDE815" s="268"/>
      <c r="TDF815" s="268"/>
      <c r="TDG815" s="268"/>
      <c r="TDH815" s="268"/>
      <c r="TDI815" s="268"/>
      <c r="TDJ815" s="268"/>
      <c r="TDK815" s="268"/>
      <c r="TDL815" s="268"/>
      <c r="TDM815" s="268"/>
      <c r="TDN815" s="268"/>
      <c r="TDO815" s="268"/>
      <c r="TDP815" s="268"/>
      <c r="TDQ815" s="268"/>
      <c r="TDR815" s="268"/>
      <c r="TDS815" s="268"/>
      <c r="TDT815" s="268"/>
      <c r="TDU815" s="268"/>
      <c r="TDV815" s="268"/>
      <c r="TDW815" s="268"/>
      <c r="TDX815" s="268"/>
      <c r="TDY815" s="268"/>
      <c r="TDZ815" s="268"/>
      <c r="TEA815" s="268"/>
      <c r="TEB815" s="268"/>
      <c r="TEC815" s="268"/>
      <c r="TED815" s="268"/>
      <c r="TEE815" s="268"/>
      <c r="TEF815" s="268"/>
      <c r="TEG815" s="268"/>
      <c r="TEH815" s="268"/>
      <c r="TEI815" s="268"/>
      <c r="TEJ815" s="268"/>
      <c r="TEK815" s="268"/>
      <c r="TEL815" s="268"/>
      <c r="TEM815" s="268"/>
      <c r="TEN815" s="268"/>
      <c r="TEO815" s="268"/>
      <c r="TEP815" s="268"/>
      <c r="TEQ815" s="268"/>
      <c r="TER815" s="268"/>
      <c r="TES815" s="268"/>
      <c r="TET815" s="268"/>
      <c r="TEU815" s="268"/>
      <c r="TEV815" s="268"/>
      <c r="TEW815" s="268"/>
      <c r="TEX815" s="268"/>
      <c r="TEY815" s="268"/>
      <c r="TEZ815" s="268"/>
      <c r="TFA815" s="268"/>
      <c r="TFB815" s="268"/>
      <c r="TFC815" s="268"/>
      <c r="TFD815" s="268"/>
      <c r="TFE815" s="268"/>
      <c r="TFF815" s="268"/>
      <c r="TFG815" s="268"/>
      <c r="TFH815" s="268"/>
      <c r="TFI815" s="268"/>
      <c r="TFJ815" s="268"/>
      <c r="TFK815" s="268"/>
      <c r="TFL815" s="268"/>
      <c r="TFM815" s="268"/>
      <c r="TFN815" s="268"/>
      <c r="TFO815" s="268"/>
      <c r="TFP815" s="268"/>
      <c r="TFQ815" s="268"/>
      <c r="TFR815" s="268"/>
      <c r="TFS815" s="268"/>
      <c r="TFT815" s="268"/>
      <c r="TFU815" s="268"/>
      <c r="TFV815" s="268"/>
      <c r="TFW815" s="268"/>
      <c r="TFX815" s="268"/>
      <c r="TFY815" s="268"/>
      <c r="TFZ815" s="268"/>
      <c r="TGA815" s="268"/>
      <c r="TGB815" s="268"/>
      <c r="TGC815" s="268"/>
      <c r="TGD815" s="268"/>
      <c r="TGE815" s="268"/>
      <c r="TGF815" s="268"/>
      <c r="TGG815" s="268"/>
      <c r="TGH815" s="268"/>
      <c r="TGI815" s="268"/>
      <c r="TGJ815" s="268"/>
      <c r="TGK815" s="268"/>
      <c r="TGL815" s="268"/>
      <c r="TGM815" s="268"/>
      <c r="TGN815" s="268"/>
      <c r="TGO815" s="268"/>
      <c r="TGP815" s="268"/>
      <c r="TGQ815" s="268"/>
      <c r="TGR815" s="268"/>
      <c r="TGS815" s="268"/>
      <c r="TGT815" s="268"/>
      <c r="TGU815" s="268"/>
      <c r="TGV815" s="268"/>
      <c r="TGW815" s="268"/>
      <c r="TGX815" s="268"/>
      <c r="TGY815" s="268"/>
      <c r="TGZ815" s="268"/>
      <c r="THA815" s="268"/>
      <c r="THB815" s="268"/>
      <c r="THC815" s="268"/>
      <c r="THD815" s="268"/>
      <c r="THE815" s="268"/>
      <c r="THF815" s="268"/>
      <c r="THG815" s="268"/>
      <c r="THH815" s="268"/>
      <c r="THI815" s="268"/>
      <c r="THJ815" s="268"/>
      <c r="THK815" s="268"/>
      <c r="THL815" s="268"/>
      <c r="THM815" s="268"/>
      <c r="THN815" s="268"/>
      <c r="THO815" s="268"/>
      <c r="THP815" s="268"/>
      <c r="THQ815" s="268"/>
      <c r="THR815" s="268"/>
      <c r="THS815" s="268"/>
      <c r="THT815" s="268"/>
      <c r="THU815" s="268"/>
      <c r="THV815" s="268"/>
      <c r="THW815" s="268"/>
      <c r="THX815" s="268"/>
      <c r="THY815" s="268"/>
      <c r="THZ815" s="268"/>
      <c r="TIA815" s="268"/>
      <c r="TIB815" s="268"/>
      <c r="TIC815" s="268"/>
      <c r="TID815" s="268"/>
      <c r="TIE815" s="268"/>
      <c r="TIF815" s="268"/>
      <c r="TIG815" s="268"/>
      <c r="TIH815" s="268"/>
      <c r="TII815" s="268"/>
      <c r="TIJ815" s="268"/>
      <c r="TIK815" s="268"/>
      <c r="TIL815" s="268"/>
      <c r="TIM815" s="268"/>
      <c r="TIN815" s="268"/>
      <c r="TIO815" s="268"/>
      <c r="TIP815" s="268"/>
      <c r="TIQ815" s="268"/>
      <c r="TIR815" s="268"/>
      <c r="TIS815" s="268"/>
      <c r="TIT815" s="268"/>
      <c r="TIU815" s="268"/>
      <c r="TIV815" s="268"/>
      <c r="TIW815" s="268"/>
      <c r="TIX815" s="268"/>
      <c r="TIY815" s="268"/>
      <c r="TIZ815" s="268"/>
      <c r="TJA815" s="268"/>
      <c r="TJB815" s="268"/>
      <c r="TJC815" s="268"/>
      <c r="TJD815" s="268"/>
      <c r="TJE815" s="268"/>
      <c r="TJF815" s="268"/>
      <c r="TJG815" s="268"/>
      <c r="TJH815" s="268"/>
      <c r="TJI815" s="268"/>
      <c r="TJJ815" s="268"/>
      <c r="TJK815" s="268"/>
      <c r="TJL815" s="268"/>
      <c r="TJM815" s="268"/>
      <c r="TJN815" s="268"/>
      <c r="TJO815" s="268"/>
      <c r="TJP815" s="268"/>
      <c r="TJQ815" s="268"/>
      <c r="TJR815" s="268"/>
      <c r="TJS815" s="268"/>
      <c r="TJT815" s="268"/>
      <c r="TJU815" s="268"/>
      <c r="TJV815" s="268"/>
      <c r="TJW815" s="268"/>
      <c r="TJX815" s="268"/>
      <c r="TJY815" s="268"/>
      <c r="TJZ815" s="268"/>
      <c r="TKA815" s="268"/>
      <c r="TKB815" s="268"/>
      <c r="TKC815" s="268"/>
      <c r="TKD815" s="268"/>
      <c r="TKE815" s="268"/>
      <c r="TKF815" s="268"/>
      <c r="TKG815" s="268"/>
      <c r="TKH815" s="268"/>
      <c r="TKI815" s="268"/>
      <c r="TKW815" s="268"/>
      <c r="TKX815" s="268"/>
      <c r="TKY815" s="268"/>
      <c r="TLM815" s="268"/>
      <c r="TLO815" s="268"/>
      <c r="TLP815" s="268"/>
      <c r="TLQ815" s="268"/>
      <c r="TLR815" s="268"/>
      <c r="TLS815" s="268"/>
      <c r="TLT815" s="268"/>
      <c r="TLU815" s="268"/>
      <c r="TLV815" s="268"/>
      <c r="TLW815" s="268"/>
      <c r="TLX815" s="268"/>
      <c r="TLY815" s="268"/>
      <c r="TLZ815" s="268"/>
      <c r="TMA815" s="268"/>
      <c r="TMB815" s="268"/>
      <c r="TMC815" s="268"/>
      <c r="TMD815" s="268"/>
      <c r="TME815" s="268"/>
      <c r="TMF815" s="268"/>
      <c r="TMG815" s="268"/>
      <c r="TMH815" s="268"/>
      <c r="TMI815" s="268"/>
      <c r="TMJ815" s="268"/>
      <c r="TMK815" s="268"/>
      <c r="TML815" s="268"/>
      <c r="TMM815" s="268"/>
      <c r="TMN815" s="268"/>
      <c r="TMO815" s="268"/>
      <c r="TMP815" s="268"/>
      <c r="TMQ815" s="268"/>
      <c r="TMR815" s="268"/>
      <c r="TMS815" s="268"/>
      <c r="TMT815" s="268"/>
      <c r="TMU815" s="268"/>
      <c r="TMV815" s="268"/>
      <c r="TMW815" s="268"/>
      <c r="TMX815" s="268"/>
      <c r="TMY815" s="268"/>
      <c r="TMZ815" s="268"/>
      <c r="TNA815" s="268"/>
      <c r="TNB815" s="268"/>
      <c r="TNC815" s="268"/>
      <c r="TND815" s="268"/>
      <c r="TNE815" s="268"/>
      <c r="TNF815" s="268"/>
      <c r="TNG815" s="268"/>
      <c r="TNH815" s="268"/>
      <c r="TNI815" s="268"/>
      <c r="TNJ815" s="268"/>
      <c r="TNK815" s="268"/>
      <c r="TNL815" s="268"/>
      <c r="TNM815" s="268"/>
      <c r="TNN815" s="268"/>
      <c r="TNO815" s="268"/>
      <c r="TNP815" s="268"/>
      <c r="TNQ815" s="268"/>
      <c r="TNR815" s="268"/>
      <c r="TNS815" s="268"/>
      <c r="TNT815" s="268"/>
      <c r="TNU815" s="268"/>
      <c r="TNV815" s="268"/>
      <c r="TNW815" s="268"/>
      <c r="TNX815" s="268"/>
      <c r="TNY815" s="268"/>
      <c r="TNZ815" s="268"/>
      <c r="TOA815" s="268"/>
      <c r="TOB815" s="268"/>
      <c r="TOC815" s="268"/>
      <c r="TOD815" s="268"/>
      <c r="TOE815" s="268"/>
      <c r="TOF815" s="268"/>
      <c r="TOG815" s="268"/>
      <c r="TOH815" s="268"/>
      <c r="TOI815" s="268"/>
      <c r="TOJ815" s="268"/>
      <c r="TOK815" s="268"/>
      <c r="TOL815" s="268"/>
      <c r="TOM815" s="268"/>
      <c r="TON815" s="268"/>
      <c r="TOO815" s="268"/>
      <c r="TOP815" s="268"/>
      <c r="TOQ815" s="268"/>
      <c r="TOR815" s="268"/>
      <c r="TOS815" s="268"/>
      <c r="TOT815" s="268"/>
      <c r="TOU815" s="268"/>
      <c r="TOV815" s="268"/>
      <c r="TOW815" s="268"/>
      <c r="TOX815" s="268"/>
      <c r="TOY815" s="268"/>
      <c r="TOZ815" s="268"/>
      <c r="TPA815" s="268"/>
      <c r="TPB815" s="268"/>
      <c r="TPC815" s="268"/>
      <c r="TPD815" s="268"/>
      <c r="TPE815" s="268"/>
      <c r="TPF815" s="268"/>
      <c r="TPG815" s="268"/>
      <c r="TPH815" s="268"/>
      <c r="TPI815" s="268"/>
      <c r="TPJ815" s="268"/>
      <c r="TPK815" s="268"/>
      <c r="TPL815" s="268"/>
      <c r="TPM815" s="268"/>
      <c r="TPN815" s="268"/>
      <c r="TPO815" s="268"/>
      <c r="TPP815" s="268"/>
      <c r="TPQ815" s="268"/>
      <c r="TPR815" s="268"/>
      <c r="TPS815" s="268"/>
      <c r="TPT815" s="268"/>
      <c r="TPU815" s="268"/>
      <c r="TPV815" s="268"/>
      <c r="TPW815" s="268"/>
      <c r="TPX815" s="268"/>
      <c r="TPY815" s="268"/>
      <c r="TPZ815" s="268"/>
      <c r="TQA815" s="268"/>
      <c r="TQB815" s="268"/>
      <c r="TQC815" s="268"/>
      <c r="TQD815" s="268"/>
      <c r="TQE815" s="268"/>
      <c r="TQF815" s="268"/>
      <c r="TQG815" s="268"/>
      <c r="TQH815" s="268"/>
      <c r="TQI815" s="268"/>
      <c r="TQJ815" s="268"/>
      <c r="TQK815" s="268"/>
      <c r="TQL815" s="268"/>
      <c r="TQM815" s="268"/>
      <c r="TQN815" s="268"/>
      <c r="TQO815" s="268"/>
      <c r="TQP815" s="268"/>
      <c r="TQQ815" s="268"/>
      <c r="TQR815" s="268"/>
      <c r="TQS815" s="268"/>
      <c r="TQT815" s="268"/>
      <c r="TQU815" s="268"/>
      <c r="TQV815" s="268"/>
      <c r="TQW815" s="268"/>
      <c r="TQX815" s="268"/>
      <c r="TQY815" s="268"/>
      <c r="TQZ815" s="268"/>
      <c r="TRA815" s="268"/>
      <c r="TRB815" s="268"/>
      <c r="TRC815" s="268"/>
      <c r="TRD815" s="268"/>
      <c r="TRE815" s="268"/>
      <c r="TRF815" s="268"/>
      <c r="TRG815" s="268"/>
      <c r="TRH815" s="268"/>
      <c r="TRI815" s="268"/>
      <c r="TRJ815" s="268"/>
      <c r="TRK815" s="268"/>
      <c r="TRL815" s="268"/>
      <c r="TRM815" s="268"/>
      <c r="TRN815" s="268"/>
      <c r="TRO815" s="268"/>
      <c r="TRP815" s="268"/>
      <c r="TRQ815" s="268"/>
      <c r="TRR815" s="268"/>
      <c r="TRS815" s="268"/>
      <c r="TRT815" s="268"/>
      <c r="TRU815" s="268"/>
      <c r="TRV815" s="268"/>
      <c r="TRW815" s="268"/>
      <c r="TRX815" s="268"/>
      <c r="TRY815" s="268"/>
      <c r="TRZ815" s="268"/>
      <c r="TSA815" s="268"/>
      <c r="TSB815" s="268"/>
      <c r="TSC815" s="268"/>
      <c r="TSD815" s="268"/>
      <c r="TSE815" s="268"/>
      <c r="TSF815" s="268"/>
      <c r="TSG815" s="268"/>
      <c r="TSH815" s="268"/>
      <c r="TSI815" s="268"/>
      <c r="TSJ815" s="268"/>
      <c r="TSK815" s="268"/>
      <c r="TSL815" s="268"/>
      <c r="TSM815" s="268"/>
      <c r="TSN815" s="268"/>
      <c r="TSO815" s="268"/>
      <c r="TSP815" s="268"/>
      <c r="TSQ815" s="268"/>
      <c r="TSR815" s="268"/>
      <c r="TSS815" s="268"/>
      <c r="TST815" s="268"/>
      <c r="TSU815" s="268"/>
      <c r="TSV815" s="268"/>
      <c r="TSW815" s="268"/>
      <c r="TSX815" s="268"/>
      <c r="TSY815" s="268"/>
      <c r="TSZ815" s="268"/>
      <c r="TTA815" s="268"/>
      <c r="TTB815" s="268"/>
      <c r="TTC815" s="268"/>
      <c r="TTD815" s="268"/>
      <c r="TTE815" s="268"/>
      <c r="TTF815" s="268"/>
      <c r="TTG815" s="268"/>
      <c r="TTH815" s="268"/>
      <c r="TTI815" s="268"/>
      <c r="TTJ815" s="268"/>
      <c r="TTK815" s="268"/>
      <c r="TTL815" s="268"/>
      <c r="TTM815" s="268"/>
      <c r="TTN815" s="268"/>
      <c r="TTO815" s="268"/>
      <c r="TTP815" s="268"/>
      <c r="TTQ815" s="268"/>
      <c r="TTR815" s="268"/>
      <c r="TTS815" s="268"/>
      <c r="TTT815" s="268"/>
      <c r="TTU815" s="268"/>
      <c r="TTV815" s="268"/>
      <c r="TTW815" s="268"/>
      <c r="TTX815" s="268"/>
      <c r="TTY815" s="268"/>
      <c r="TTZ815" s="268"/>
      <c r="TUA815" s="268"/>
      <c r="TUB815" s="268"/>
      <c r="TUC815" s="268"/>
      <c r="TUD815" s="268"/>
      <c r="TUE815" s="268"/>
      <c r="TUS815" s="268"/>
      <c r="TUT815" s="268"/>
      <c r="TUU815" s="268"/>
      <c r="TVI815" s="268"/>
      <c r="TVK815" s="268"/>
      <c r="TVL815" s="268"/>
      <c r="TVM815" s="268"/>
      <c r="TVN815" s="268"/>
      <c r="TVO815" s="268"/>
      <c r="TVP815" s="268"/>
      <c r="TVQ815" s="268"/>
      <c r="TVR815" s="268"/>
      <c r="TVS815" s="268"/>
      <c r="TVT815" s="268"/>
      <c r="TVU815" s="268"/>
      <c r="TVV815" s="268"/>
      <c r="TVW815" s="268"/>
      <c r="TVX815" s="268"/>
      <c r="TVY815" s="268"/>
      <c r="TVZ815" s="268"/>
      <c r="TWA815" s="268"/>
      <c r="TWB815" s="268"/>
      <c r="TWC815" s="268"/>
      <c r="TWD815" s="268"/>
      <c r="TWE815" s="268"/>
      <c r="TWF815" s="268"/>
      <c r="TWG815" s="268"/>
      <c r="TWH815" s="268"/>
      <c r="TWI815" s="268"/>
      <c r="TWJ815" s="268"/>
      <c r="TWK815" s="268"/>
      <c r="TWL815" s="268"/>
      <c r="TWM815" s="268"/>
      <c r="TWN815" s="268"/>
      <c r="TWO815" s="268"/>
      <c r="TWP815" s="268"/>
      <c r="TWQ815" s="268"/>
      <c r="TWR815" s="268"/>
      <c r="TWS815" s="268"/>
      <c r="TWT815" s="268"/>
      <c r="TWU815" s="268"/>
      <c r="TWV815" s="268"/>
      <c r="TWW815" s="268"/>
      <c r="TWX815" s="268"/>
      <c r="TWY815" s="268"/>
      <c r="TWZ815" s="268"/>
      <c r="TXA815" s="268"/>
      <c r="TXB815" s="268"/>
      <c r="TXC815" s="268"/>
      <c r="TXD815" s="268"/>
      <c r="TXE815" s="268"/>
      <c r="TXF815" s="268"/>
      <c r="TXG815" s="268"/>
      <c r="TXH815" s="268"/>
      <c r="TXI815" s="268"/>
      <c r="TXJ815" s="268"/>
      <c r="TXK815" s="268"/>
      <c r="TXL815" s="268"/>
      <c r="TXM815" s="268"/>
      <c r="TXN815" s="268"/>
      <c r="TXO815" s="268"/>
      <c r="TXP815" s="268"/>
      <c r="TXQ815" s="268"/>
      <c r="TXR815" s="268"/>
      <c r="TXS815" s="268"/>
      <c r="TXT815" s="268"/>
      <c r="TXU815" s="268"/>
      <c r="TXV815" s="268"/>
      <c r="TXW815" s="268"/>
      <c r="TXX815" s="268"/>
      <c r="TXY815" s="268"/>
      <c r="TXZ815" s="268"/>
      <c r="TYA815" s="268"/>
      <c r="TYB815" s="268"/>
      <c r="TYC815" s="268"/>
      <c r="TYD815" s="268"/>
      <c r="TYE815" s="268"/>
      <c r="TYF815" s="268"/>
      <c r="TYG815" s="268"/>
      <c r="TYH815" s="268"/>
      <c r="TYI815" s="268"/>
      <c r="TYJ815" s="268"/>
      <c r="TYK815" s="268"/>
      <c r="TYL815" s="268"/>
      <c r="TYM815" s="268"/>
      <c r="TYN815" s="268"/>
      <c r="TYO815" s="268"/>
      <c r="TYP815" s="268"/>
      <c r="TYQ815" s="268"/>
      <c r="TYR815" s="268"/>
      <c r="TYS815" s="268"/>
      <c r="TYT815" s="268"/>
      <c r="TYU815" s="268"/>
      <c r="TYV815" s="268"/>
      <c r="TYW815" s="268"/>
      <c r="TYX815" s="268"/>
      <c r="TYY815" s="268"/>
      <c r="TYZ815" s="268"/>
      <c r="TZA815" s="268"/>
      <c r="TZB815" s="268"/>
      <c r="TZC815" s="268"/>
      <c r="TZD815" s="268"/>
      <c r="TZE815" s="268"/>
      <c r="TZF815" s="268"/>
      <c r="TZG815" s="268"/>
      <c r="TZH815" s="268"/>
      <c r="TZI815" s="268"/>
      <c r="TZJ815" s="268"/>
      <c r="TZK815" s="268"/>
      <c r="TZL815" s="268"/>
      <c r="TZM815" s="268"/>
      <c r="TZN815" s="268"/>
      <c r="TZO815" s="268"/>
      <c r="TZP815" s="268"/>
      <c r="TZQ815" s="268"/>
      <c r="TZR815" s="268"/>
      <c r="TZS815" s="268"/>
      <c r="TZT815" s="268"/>
      <c r="TZU815" s="268"/>
      <c r="TZV815" s="268"/>
      <c r="TZW815" s="268"/>
      <c r="TZX815" s="268"/>
      <c r="TZY815" s="268"/>
      <c r="TZZ815" s="268"/>
      <c r="UAA815" s="268"/>
      <c r="UAB815" s="268"/>
      <c r="UAC815" s="268"/>
      <c r="UAD815" s="268"/>
      <c r="UAE815" s="268"/>
      <c r="UAF815" s="268"/>
      <c r="UAG815" s="268"/>
      <c r="UAH815" s="268"/>
      <c r="UAI815" s="268"/>
      <c r="UAJ815" s="268"/>
      <c r="UAK815" s="268"/>
      <c r="UAL815" s="268"/>
      <c r="UAM815" s="268"/>
      <c r="UAN815" s="268"/>
      <c r="UAO815" s="268"/>
      <c r="UAP815" s="268"/>
      <c r="UAQ815" s="268"/>
      <c r="UAR815" s="268"/>
      <c r="UAS815" s="268"/>
      <c r="UAT815" s="268"/>
      <c r="UAU815" s="268"/>
      <c r="UAV815" s="268"/>
      <c r="UAW815" s="268"/>
      <c r="UAX815" s="268"/>
      <c r="UAY815" s="268"/>
      <c r="UAZ815" s="268"/>
      <c r="UBA815" s="268"/>
      <c r="UBB815" s="268"/>
      <c r="UBC815" s="268"/>
      <c r="UBD815" s="268"/>
      <c r="UBE815" s="268"/>
      <c r="UBF815" s="268"/>
      <c r="UBG815" s="268"/>
      <c r="UBH815" s="268"/>
      <c r="UBI815" s="268"/>
      <c r="UBJ815" s="268"/>
      <c r="UBK815" s="268"/>
      <c r="UBL815" s="268"/>
      <c r="UBM815" s="268"/>
      <c r="UBN815" s="268"/>
      <c r="UBO815" s="268"/>
      <c r="UBP815" s="268"/>
      <c r="UBQ815" s="268"/>
      <c r="UBR815" s="268"/>
      <c r="UBS815" s="268"/>
      <c r="UBT815" s="268"/>
      <c r="UBU815" s="268"/>
      <c r="UBV815" s="268"/>
      <c r="UBW815" s="268"/>
      <c r="UBX815" s="268"/>
      <c r="UBY815" s="268"/>
      <c r="UBZ815" s="268"/>
      <c r="UCA815" s="268"/>
      <c r="UCB815" s="268"/>
      <c r="UCC815" s="268"/>
      <c r="UCD815" s="268"/>
      <c r="UCE815" s="268"/>
      <c r="UCF815" s="268"/>
      <c r="UCG815" s="268"/>
      <c r="UCH815" s="268"/>
      <c r="UCI815" s="268"/>
      <c r="UCJ815" s="268"/>
      <c r="UCK815" s="268"/>
      <c r="UCL815" s="268"/>
      <c r="UCM815" s="268"/>
      <c r="UCN815" s="268"/>
      <c r="UCO815" s="268"/>
      <c r="UCP815" s="268"/>
      <c r="UCQ815" s="268"/>
      <c r="UCR815" s="268"/>
      <c r="UCS815" s="268"/>
      <c r="UCT815" s="268"/>
      <c r="UCU815" s="268"/>
      <c r="UCV815" s="268"/>
      <c r="UCW815" s="268"/>
      <c r="UCX815" s="268"/>
      <c r="UCY815" s="268"/>
      <c r="UCZ815" s="268"/>
      <c r="UDA815" s="268"/>
      <c r="UDB815" s="268"/>
      <c r="UDC815" s="268"/>
      <c r="UDD815" s="268"/>
      <c r="UDE815" s="268"/>
      <c r="UDF815" s="268"/>
      <c r="UDG815" s="268"/>
      <c r="UDH815" s="268"/>
      <c r="UDI815" s="268"/>
      <c r="UDJ815" s="268"/>
      <c r="UDK815" s="268"/>
      <c r="UDL815" s="268"/>
      <c r="UDM815" s="268"/>
      <c r="UDN815" s="268"/>
      <c r="UDO815" s="268"/>
      <c r="UDP815" s="268"/>
      <c r="UDQ815" s="268"/>
      <c r="UDR815" s="268"/>
      <c r="UDS815" s="268"/>
      <c r="UDT815" s="268"/>
      <c r="UDU815" s="268"/>
      <c r="UDV815" s="268"/>
      <c r="UDW815" s="268"/>
      <c r="UDX815" s="268"/>
      <c r="UDY815" s="268"/>
      <c r="UDZ815" s="268"/>
      <c r="UEA815" s="268"/>
      <c r="UEO815" s="268"/>
      <c r="UEP815" s="268"/>
      <c r="UEQ815" s="268"/>
      <c r="UFE815" s="268"/>
      <c r="UFG815" s="268"/>
      <c r="UFH815" s="268"/>
      <c r="UFI815" s="268"/>
      <c r="UFJ815" s="268"/>
      <c r="UFK815" s="268"/>
      <c r="UFL815" s="268"/>
      <c r="UFM815" s="268"/>
      <c r="UFN815" s="268"/>
      <c r="UFO815" s="268"/>
      <c r="UFP815" s="268"/>
      <c r="UFQ815" s="268"/>
      <c r="UFR815" s="268"/>
      <c r="UFS815" s="268"/>
      <c r="UFT815" s="268"/>
      <c r="UFU815" s="268"/>
      <c r="UFV815" s="268"/>
      <c r="UFW815" s="268"/>
      <c r="UFX815" s="268"/>
      <c r="UFY815" s="268"/>
      <c r="UFZ815" s="268"/>
      <c r="UGA815" s="268"/>
      <c r="UGB815" s="268"/>
      <c r="UGC815" s="268"/>
      <c r="UGD815" s="268"/>
      <c r="UGE815" s="268"/>
      <c r="UGF815" s="268"/>
      <c r="UGG815" s="268"/>
      <c r="UGH815" s="268"/>
      <c r="UGI815" s="268"/>
      <c r="UGJ815" s="268"/>
      <c r="UGK815" s="268"/>
      <c r="UGL815" s="268"/>
      <c r="UGM815" s="268"/>
      <c r="UGN815" s="268"/>
      <c r="UGO815" s="268"/>
      <c r="UGP815" s="268"/>
      <c r="UGQ815" s="268"/>
      <c r="UGR815" s="268"/>
      <c r="UGS815" s="268"/>
      <c r="UGT815" s="268"/>
      <c r="UGU815" s="268"/>
      <c r="UGV815" s="268"/>
      <c r="UGW815" s="268"/>
      <c r="UGX815" s="268"/>
      <c r="UGY815" s="268"/>
      <c r="UGZ815" s="268"/>
      <c r="UHA815" s="268"/>
      <c r="UHB815" s="268"/>
      <c r="UHC815" s="268"/>
      <c r="UHD815" s="268"/>
      <c r="UHE815" s="268"/>
      <c r="UHF815" s="268"/>
      <c r="UHG815" s="268"/>
      <c r="UHH815" s="268"/>
      <c r="UHI815" s="268"/>
      <c r="UHJ815" s="268"/>
      <c r="UHK815" s="268"/>
      <c r="UHL815" s="268"/>
      <c r="UHM815" s="268"/>
      <c r="UHN815" s="268"/>
      <c r="UHO815" s="268"/>
      <c r="UHP815" s="268"/>
      <c r="UHQ815" s="268"/>
      <c r="UHR815" s="268"/>
      <c r="UHS815" s="268"/>
      <c r="UHT815" s="268"/>
      <c r="UHU815" s="268"/>
      <c r="UHV815" s="268"/>
      <c r="UHW815" s="268"/>
      <c r="UHX815" s="268"/>
      <c r="UHY815" s="268"/>
      <c r="UHZ815" s="268"/>
      <c r="UIA815" s="268"/>
      <c r="UIB815" s="268"/>
      <c r="UIC815" s="268"/>
      <c r="UID815" s="268"/>
      <c r="UIE815" s="268"/>
      <c r="UIF815" s="268"/>
      <c r="UIG815" s="268"/>
      <c r="UIH815" s="268"/>
      <c r="UII815" s="268"/>
      <c r="UIJ815" s="268"/>
      <c r="UIK815" s="268"/>
      <c r="UIL815" s="268"/>
      <c r="UIM815" s="268"/>
      <c r="UIN815" s="268"/>
      <c r="UIO815" s="268"/>
      <c r="UIP815" s="268"/>
      <c r="UIQ815" s="268"/>
      <c r="UIR815" s="268"/>
      <c r="UIS815" s="268"/>
      <c r="UIT815" s="268"/>
      <c r="UIU815" s="268"/>
      <c r="UIV815" s="268"/>
      <c r="UIW815" s="268"/>
      <c r="UIX815" s="268"/>
      <c r="UIY815" s="268"/>
      <c r="UIZ815" s="268"/>
      <c r="UJA815" s="268"/>
      <c r="UJB815" s="268"/>
      <c r="UJC815" s="268"/>
      <c r="UJD815" s="268"/>
      <c r="UJE815" s="268"/>
      <c r="UJF815" s="268"/>
      <c r="UJG815" s="268"/>
      <c r="UJH815" s="268"/>
      <c r="UJI815" s="268"/>
      <c r="UJJ815" s="268"/>
      <c r="UJK815" s="268"/>
      <c r="UJL815" s="268"/>
      <c r="UJM815" s="268"/>
      <c r="UJN815" s="268"/>
      <c r="UJO815" s="268"/>
      <c r="UJP815" s="268"/>
      <c r="UJQ815" s="268"/>
      <c r="UJR815" s="268"/>
      <c r="UJS815" s="268"/>
      <c r="UJT815" s="268"/>
      <c r="UJU815" s="268"/>
      <c r="UJV815" s="268"/>
      <c r="UJW815" s="268"/>
      <c r="UJX815" s="268"/>
      <c r="UJY815" s="268"/>
      <c r="UJZ815" s="268"/>
      <c r="UKA815" s="268"/>
      <c r="UKB815" s="268"/>
      <c r="UKC815" s="268"/>
      <c r="UKD815" s="268"/>
      <c r="UKE815" s="268"/>
      <c r="UKF815" s="268"/>
      <c r="UKG815" s="268"/>
      <c r="UKH815" s="268"/>
      <c r="UKI815" s="268"/>
      <c r="UKJ815" s="268"/>
      <c r="UKK815" s="268"/>
      <c r="UKL815" s="268"/>
      <c r="UKM815" s="268"/>
      <c r="UKN815" s="268"/>
      <c r="UKO815" s="268"/>
      <c r="UKP815" s="268"/>
      <c r="UKQ815" s="268"/>
      <c r="UKR815" s="268"/>
      <c r="UKS815" s="268"/>
      <c r="UKT815" s="268"/>
      <c r="UKU815" s="268"/>
      <c r="UKV815" s="268"/>
      <c r="UKW815" s="268"/>
      <c r="UKX815" s="268"/>
      <c r="UKY815" s="268"/>
      <c r="UKZ815" s="268"/>
      <c r="ULA815" s="268"/>
      <c r="ULB815" s="268"/>
      <c r="ULC815" s="268"/>
      <c r="ULD815" s="268"/>
      <c r="ULE815" s="268"/>
      <c r="ULF815" s="268"/>
      <c r="ULG815" s="268"/>
      <c r="ULH815" s="268"/>
      <c r="ULI815" s="268"/>
      <c r="ULJ815" s="268"/>
      <c r="ULK815" s="268"/>
      <c r="ULL815" s="268"/>
      <c r="ULM815" s="268"/>
      <c r="ULN815" s="268"/>
      <c r="ULO815" s="268"/>
      <c r="ULP815" s="268"/>
      <c r="ULQ815" s="268"/>
      <c r="ULR815" s="268"/>
      <c r="ULS815" s="268"/>
      <c r="ULT815" s="268"/>
      <c r="ULU815" s="268"/>
      <c r="ULV815" s="268"/>
      <c r="ULW815" s="268"/>
      <c r="ULX815" s="268"/>
      <c r="ULY815" s="268"/>
      <c r="ULZ815" s="268"/>
      <c r="UMA815" s="268"/>
      <c r="UMB815" s="268"/>
      <c r="UMC815" s="268"/>
      <c r="UMD815" s="268"/>
      <c r="UME815" s="268"/>
      <c r="UMF815" s="268"/>
      <c r="UMG815" s="268"/>
      <c r="UMH815" s="268"/>
      <c r="UMI815" s="268"/>
      <c r="UMJ815" s="268"/>
      <c r="UMK815" s="268"/>
      <c r="UML815" s="268"/>
      <c r="UMM815" s="268"/>
      <c r="UMN815" s="268"/>
      <c r="UMO815" s="268"/>
      <c r="UMP815" s="268"/>
      <c r="UMQ815" s="268"/>
      <c r="UMR815" s="268"/>
      <c r="UMS815" s="268"/>
      <c r="UMT815" s="268"/>
      <c r="UMU815" s="268"/>
      <c r="UMV815" s="268"/>
      <c r="UMW815" s="268"/>
      <c r="UMX815" s="268"/>
      <c r="UMY815" s="268"/>
      <c r="UMZ815" s="268"/>
      <c r="UNA815" s="268"/>
      <c r="UNB815" s="268"/>
      <c r="UNC815" s="268"/>
      <c r="UND815" s="268"/>
      <c r="UNE815" s="268"/>
      <c r="UNF815" s="268"/>
      <c r="UNG815" s="268"/>
      <c r="UNH815" s="268"/>
      <c r="UNI815" s="268"/>
      <c r="UNJ815" s="268"/>
      <c r="UNK815" s="268"/>
      <c r="UNL815" s="268"/>
      <c r="UNM815" s="268"/>
      <c r="UNN815" s="268"/>
      <c r="UNO815" s="268"/>
      <c r="UNP815" s="268"/>
      <c r="UNQ815" s="268"/>
      <c r="UNR815" s="268"/>
      <c r="UNS815" s="268"/>
      <c r="UNT815" s="268"/>
      <c r="UNU815" s="268"/>
      <c r="UNV815" s="268"/>
      <c r="UNW815" s="268"/>
      <c r="UOK815" s="268"/>
      <c r="UOL815" s="268"/>
      <c r="UOM815" s="268"/>
      <c r="UPA815" s="268"/>
      <c r="UPC815" s="268"/>
      <c r="UPD815" s="268"/>
      <c r="UPE815" s="268"/>
      <c r="UPF815" s="268"/>
      <c r="UPG815" s="268"/>
      <c r="UPH815" s="268"/>
      <c r="UPI815" s="268"/>
      <c r="UPJ815" s="268"/>
      <c r="UPK815" s="268"/>
      <c r="UPL815" s="268"/>
      <c r="UPM815" s="268"/>
      <c r="UPN815" s="268"/>
      <c r="UPO815" s="268"/>
      <c r="UPP815" s="268"/>
      <c r="UPQ815" s="268"/>
      <c r="UPR815" s="268"/>
      <c r="UPS815" s="268"/>
      <c r="UPT815" s="268"/>
      <c r="UPU815" s="268"/>
      <c r="UPV815" s="268"/>
      <c r="UPW815" s="268"/>
      <c r="UPX815" s="268"/>
      <c r="UPY815" s="268"/>
      <c r="UPZ815" s="268"/>
      <c r="UQA815" s="268"/>
      <c r="UQB815" s="268"/>
      <c r="UQC815" s="268"/>
      <c r="UQD815" s="268"/>
      <c r="UQE815" s="268"/>
      <c r="UQF815" s="268"/>
      <c r="UQG815" s="268"/>
      <c r="UQH815" s="268"/>
      <c r="UQI815" s="268"/>
      <c r="UQJ815" s="268"/>
      <c r="UQK815" s="268"/>
      <c r="UQL815" s="268"/>
      <c r="UQM815" s="268"/>
      <c r="UQN815" s="268"/>
      <c r="UQO815" s="268"/>
      <c r="UQP815" s="268"/>
      <c r="UQQ815" s="268"/>
      <c r="UQR815" s="268"/>
      <c r="UQS815" s="268"/>
      <c r="UQT815" s="268"/>
      <c r="UQU815" s="268"/>
      <c r="UQV815" s="268"/>
      <c r="UQW815" s="268"/>
      <c r="UQX815" s="268"/>
      <c r="UQY815" s="268"/>
      <c r="UQZ815" s="268"/>
      <c r="URA815" s="268"/>
      <c r="URB815" s="268"/>
      <c r="URC815" s="268"/>
      <c r="URD815" s="268"/>
      <c r="URE815" s="268"/>
      <c r="URF815" s="268"/>
      <c r="URG815" s="268"/>
      <c r="URH815" s="268"/>
      <c r="URI815" s="268"/>
      <c r="URJ815" s="268"/>
      <c r="URK815" s="268"/>
      <c r="URL815" s="268"/>
      <c r="URM815" s="268"/>
      <c r="URN815" s="268"/>
      <c r="URO815" s="268"/>
      <c r="URP815" s="268"/>
      <c r="URQ815" s="268"/>
      <c r="URR815" s="268"/>
      <c r="URS815" s="268"/>
      <c r="URT815" s="268"/>
      <c r="URU815" s="268"/>
      <c r="URV815" s="268"/>
      <c r="URW815" s="268"/>
      <c r="URX815" s="268"/>
      <c r="URY815" s="268"/>
      <c r="URZ815" s="268"/>
      <c r="USA815" s="268"/>
      <c r="USB815" s="268"/>
      <c r="USC815" s="268"/>
      <c r="USD815" s="268"/>
      <c r="USE815" s="268"/>
      <c r="USF815" s="268"/>
      <c r="USG815" s="268"/>
      <c r="USH815" s="268"/>
      <c r="USI815" s="268"/>
      <c r="USJ815" s="268"/>
      <c r="USK815" s="268"/>
      <c r="USL815" s="268"/>
      <c r="USM815" s="268"/>
      <c r="USN815" s="268"/>
      <c r="USO815" s="268"/>
      <c r="USP815" s="268"/>
      <c r="USQ815" s="268"/>
      <c r="USR815" s="268"/>
      <c r="USS815" s="268"/>
      <c r="UST815" s="268"/>
      <c r="USU815" s="268"/>
      <c r="USV815" s="268"/>
      <c r="USW815" s="268"/>
      <c r="USX815" s="268"/>
      <c r="USY815" s="268"/>
      <c r="USZ815" s="268"/>
      <c r="UTA815" s="268"/>
      <c r="UTB815" s="268"/>
      <c r="UTC815" s="268"/>
      <c r="UTD815" s="268"/>
      <c r="UTE815" s="268"/>
      <c r="UTF815" s="268"/>
      <c r="UTG815" s="268"/>
      <c r="UTH815" s="268"/>
      <c r="UTI815" s="268"/>
      <c r="UTJ815" s="268"/>
      <c r="UTK815" s="268"/>
      <c r="UTL815" s="268"/>
      <c r="UTM815" s="268"/>
      <c r="UTN815" s="268"/>
      <c r="UTO815" s="268"/>
      <c r="UTP815" s="268"/>
      <c r="UTQ815" s="268"/>
      <c r="UTR815" s="268"/>
      <c r="UTS815" s="268"/>
      <c r="UTT815" s="268"/>
      <c r="UTU815" s="268"/>
      <c r="UTV815" s="268"/>
      <c r="UTW815" s="268"/>
      <c r="UTX815" s="268"/>
      <c r="UTY815" s="268"/>
      <c r="UTZ815" s="268"/>
      <c r="UUA815" s="268"/>
      <c r="UUB815" s="268"/>
      <c r="UUC815" s="268"/>
      <c r="UUD815" s="268"/>
      <c r="UUE815" s="268"/>
      <c r="UUF815" s="268"/>
      <c r="UUG815" s="268"/>
      <c r="UUH815" s="268"/>
      <c r="UUI815" s="268"/>
      <c r="UUJ815" s="268"/>
      <c r="UUK815" s="268"/>
      <c r="UUL815" s="268"/>
      <c r="UUM815" s="268"/>
      <c r="UUN815" s="268"/>
      <c r="UUO815" s="268"/>
      <c r="UUP815" s="268"/>
      <c r="UUQ815" s="268"/>
      <c r="UUR815" s="268"/>
      <c r="UUS815" s="268"/>
      <c r="UUT815" s="268"/>
      <c r="UUU815" s="268"/>
      <c r="UUV815" s="268"/>
      <c r="UUW815" s="268"/>
      <c r="UUX815" s="268"/>
      <c r="UUY815" s="268"/>
      <c r="UUZ815" s="268"/>
      <c r="UVA815" s="268"/>
      <c r="UVB815" s="268"/>
      <c r="UVC815" s="268"/>
      <c r="UVD815" s="268"/>
      <c r="UVE815" s="268"/>
      <c r="UVF815" s="268"/>
      <c r="UVG815" s="268"/>
      <c r="UVH815" s="268"/>
      <c r="UVI815" s="268"/>
      <c r="UVJ815" s="268"/>
      <c r="UVK815" s="268"/>
      <c r="UVL815" s="268"/>
      <c r="UVM815" s="268"/>
      <c r="UVN815" s="268"/>
      <c r="UVO815" s="268"/>
      <c r="UVP815" s="268"/>
      <c r="UVQ815" s="268"/>
      <c r="UVR815" s="268"/>
      <c r="UVS815" s="268"/>
      <c r="UVT815" s="268"/>
      <c r="UVU815" s="268"/>
      <c r="UVV815" s="268"/>
      <c r="UVW815" s="268"/>
      <c r="UVX815" s="268"/>
      <c r="UVY815" s="268"/>
      <c r="UVZ815" s="268"/>
      <c r="UWA815" s="268"/>
      <c r="UWB815" s="268"/>
      <c r="UWC815" s="268"/>
      <c r="UWD815" s="268"/>
      <c r="UWE815" s="268"/>
      <c r="UWF815" s="268"/>
      <c r="UWG815" s="268"/>
      <c r="UWH815" s="268"/>
      <c r="UWI815" s="268"/>
      <c r="UWJ815" s="268"/>
      <c r="UWK815" s="268"/>
      <c r="UWL815" s="268"/>
      <c r="UWM815" s="268"/>
      <c r="UWN815" s="268"/>
      <c r="UWO815" s="268"/>
      <c r="UWP815" s="268"/>
      <c r="UWQ815" s="268"/>
      <c r="UWR815" s="268"/>
      <c r="UWS815" s="268"/>
      <c r="UWT815" s="268"/>
      <c r="UWU815" s="268"/>
      <c r="UWV815" s="268"/>
      <c r="UWW815" s="268"/>
      <c r="UWX815" s="268"/>
      <c r="UWY815" s="268"/>
      <c r="UWZ815" s="268"/>
      <c r="UXA815" s="268"/>
      <c r="UXB815" s="268"/>
      <c r="UXC815" s="268"/>
      <c r="UXD815" s="268"/>
      <c r="UXE815" s="268"/>
      <c r="UXF815" s="268"/>
      <c r="UXG815" s="268"/>
      <c r="UXH815" s="268"/>
      <c r="UXI815" s="268"/>
      <c r="UXJ815" s="268"/>
      <c r="UXK815" s="268"/>
      <c r="UXL815" s="268"/>
      <c r="UXM815" s="268"/>
      <c r="UXN815" s="268"/>
      <c r="UXO815" s="268"/>
      <c r="UXP815" s="268"/>
      <c r="UXQ815" s="268"/>
      <c r="UXR815" s="268"/>
      <c r="UXS815" s="268"/>
      <c r="UYG815" s="268"/>
      <c r="UYH815" s="268"/>
      <c r="UYI815" s="268"/>
      <c r="UYW815" s="268"/>
      <c r="UYY815" s="268"/>
      <c r="UYZ815" s="268"/>
      <c r="UZA815" s="268"/>
      <c r="UZB815" s="268"/>
      <c r="UZC815" s="268"/>
      <c r="UZD815" s="268"/>
      <c r="UZE815" s="268"/>
      <c r="UZF815" s="268"/>
      <c r="UZG815" s="268"/>
      <c r="UZH815" s="268"/>
      <c r="UZI815" s="268"/>
      <c r="UZJ815" s="268"/>
      <c r="UZK815" s="268"/>
      <c r="UZL815" s="268"/>
      <c r="UZM815" s="268"/>
      <c r="UZN815" s="268"/>
      <c r="UZO815" s="268"/>
      <c r="UZP815" s="268"/>
      <c r="UZQ815" s="268"/>
      <c r="UZR815" s="268"/>
      <c r="UZS815" s="268"/>
      <c r="UZT815" s="268"/>
      <c r="UZU815" s="268"/>
      <c r="UZV815" s="268"/>
      <c r="UZW815" s="268"/>
      <c r="UZX815" s="268"/>
      <c r="UZY815" s="268"/>
      <c r="UZZ815" s="268"/>
      <c r="VAA815" s="268"/>
      <c r="VAB815" s="268"/>
      <c r="VAC815" s="268"/>
      <c r="VAD815" s="268"/>
      <c r="VAE815" s="268"/>
      <c r="VAF815" s="268"/>
      <c r="VAG815" s="268"/>
      <c r="VAH815" s="268"/>
      <c r="VAI815" s="268"/>
      <c r="VAJ815" s="268"/>
      <c r="VAK815" s="268"/>
      <c r="VAL815" s="268"/>
      <c r="VAM815" s="268"/>
      <c r="VAN815" s="268"/>
      <c r="VAO815" s="268"/>
      <c r="VAP815" s="268"/>
      <c r="VAQ815" s="268"/>
      <c r="VAR815" s="268"/>
      <c r="VAS815" s="268"/>
      <c r="VAT815" s="268"/>
      <c r="VAU815" s="268"/>
      <c r="VAV815" s="268"/>
      <c r="VAW815" s="268"/>
      <c r="VAX815" s="268"/>
      <c r="VAY815" s="268"/>
      <c r="VAZ815" s="268"/>
      <c r="VBA815" s="268"/>
      <c r="VBB815" s="268"/>
      <c r="VBC815" s="268"/>
      <c r="VBD815" s="268"/>
      <c r="VBE815" s="268"/>
      <c r="VBF815" s="268"/>
      <c r="VBG815" s="268"/>
      <c r="VBH815" s="268"/>
      <c r="VBI815" s="268"/>
      <c r="VBJ815" s="268"/>
      <c r="VBK815" s="268"/>
      <c r="VBL815" s="268"/>
      <c r="VBM815" s="268"/>
      <c r="VBN815" s="268"/>
      <c r="VBO815" s="268"/>
      <c r="VBP815" s="268"/>
      <c r="VBQ815" s="268"/>
      <c r="VBR815" s="268"/>
      <c r="VBS815" s="268"/>
      <c r="VBT815" s="268"/>
      <c r="VBU815" s="268"/>
      <c r="VBV815" s="268"/>
      <c r="VBW815" s="268"/>
      <c r="VBX815" s="268"/>
      <c r="VBY815" s="268"/>
      <c r="VBZ815" s="268"/>
      <c r="VCA815" s="268"/>
      <c r="VCB815" s="268"/>
      <c r="VCC815" s="268"/>
      <c r="VCD815" s="268"/>
      <c r="VCE815" s="268"/>
      <c r="VCF815" s="268"/>
      <c r="VCG815" s="268"/>
      <c r="VCH815" s="268"/>
      <c r="VCI815" s="268"/>
      <c r="VCJ815" s="268"/>
      <c r="VCK815" s="268"/>
      <c r="VCL815" s="268"/>
      <c r="VCM815" s="268"/>
      <c r="VCN815" s="268"/>
      <c r="VCO815" s="268"/>
      <c r="VCP815" s="268"/>
      <c r="VCQ815" s="268"/>
      <c r="VCR815" s="268"/>
      <c r="VCS815" s="268"/>
      <c r="VCT815" s="268"/>
      <c r="VCU815" s="268"/>
      <c r="VCV815" s="268"/>
      <c r="VCW815" s="268"/>
      <c r="VCX815" s="268"/>
      <c r="VCY815" s="268"/>
      <c r="VCZ815" s="268"/>
      <c r="VDA815" s="268"/>
      <c r="VDB815" s="268"/>
      <c r="VDC815" s="268"/>
      <c r="VDD815" s="268"/>
      <c r="VDE815" s="268"/>
      <c r="VDF815" s="268"/>
      <c r="VDG815" s="268"/>
      <c r="VDH815" s="268"/>
      <c r="VDI815" s="268"/>
      <c r="VDJ815" s="268"/>
      <c r="VDK815" s="268"/>
      <c r="VDL815" s="268"/>
      <c r="VDM815" s="268"/>
      <c r="VDN815" s="268"/>
      <c r="VDO815" s="268"/>
      <c r="VDP815" s="268"/>
      <c r="VDQ815" s="268"/>
      <c r="VDR815" s="268"/>
      <c r="VDS815" s="268"/>
      <c r="VDT815" s="268"/>
      <c r="VDU815" s="268"/>
      <c r="VDV815" s="268"/>
      <c r="VDW815" s="268"/>
      <c r="VDX815" s="268"/>
      <c r="VDY815" s="268"/>
      <c r="VDZ815" s="268"/>
      <c r="VEA815" s="268"/>
      <c r="VEB815" s="268"/>
      <c r="VEC815" s="268"/>
      <c r="VED815" s="268"/>
      <c r="VEE815" s="268"/>
      <c r="VEF815" s="268"/>
      <c r="VEG815" s="268"/>
      <c r="VEH815" s="268"/>
      <c r="VEI815" s="268"/>
      <c r="VEJ815" s="268"/>
      <c r="VEK815" s="268"/>
      <c r="VEL815" s="268"/>
      <c r="VEM815" s="268"/>
      <c r="VEN815" s="268"/>
      <c r="VEO815" s="268"/>
      <c r="VEP815" s="268"/>
      <c r="VEQ815" s="268"/>
      <c r="VER815" s="268"/>
      <c r="VES815" s="268"/>
      <c r="VET815" s="268"/>
      <c r="VEU815" s="268"/>
      <c r="VEV815" s="268"/>
      <c r="VEW815" s="268"/>
      <c r="VEX815" s="268"/>
      <c r="VEY815" s="268"/>
      <c r="VEZ815" s="268"/>
      <c r="VFA815" s="268"/>
      <c r="VFB815" s="268"/>
      <c r="VFC815" s="268"/>
      <c r="VFD815" s="268"/>
      <c r="VFE815" s="268"/>
      <c r="VFF815" s="268"/>
      <c r="VFG815" s="268"/>
      <c r="VFH815" s="268"/>
      <c r="VFI815" s="268"/>
      <c r="VFJ815" s="268"/>
      <c r="VFK815" s="268"/>
      <c r="VFL815" s="268"/>
      <c r="VFM815" s="268"/>
      <c r="VFN815" s="268"/>
      <c r="VFO815" s="268"/>
      <c r="VFP815" s="268"/>
      <c r="VFQ815" s="268"/>
      <c r="VFR815" s="268"/>
      <c r="VFS815" s="268"/>
      <c r="VFT815" s="268"/>
      <c r="VFU815" s="268"/>
      <c r="VFV815" s="268"/>
      <c r="VFW815" s="268"/>
      <c r="VFX815" s="268"/>
      <c r="VFY815" s="268"/>
      <c r="VFZ815" s="268"/>
      <c r="VGA815" s="268"/>
      <c r="VGB815" s="268"/>
      <c r="VGC815" s="268"/>
      <c r="VGD815" s="268"/>
      <c r="VGE815" s="268"/>
      <c r="VGF815" s="268"/>
      <c r="VGG815" s="268"/>
      <c r="VGH815" s="268"/>
      <c r="VGI815" s="268"/>
      <c r="VGJ815" s="268"/>
      <c r="VGK815" s="268"/>
      <c r="VGL815" s="268"/>
      <c r="VGM815" s="268"/>
      <c r="VGN815" s="268"/>
      <c r="VGO815" s="268"/>
      <c r="VGP815" s="268"/>
      <c r="VGQ815" s="268"/>
      <c r="VGR815" s="268"/>
      <c r="VGS815" s="268"/>
      <c r="VGT815" s="268"/>
      <c r="VGU815" s="268"/>
      <c r="VGV815" s="268"/>
      <c r="VGW815" s="268"/>
      <c r="VGX815" s="268"/>
      <c r="VGY815" s="268"/>
      <c r="VGZ815" s="268"/>
      <c r="VHA815" s="268"/>
      <c r="VHB815" s="268"/>
      <c r="VHC815" s="268"/>
      <c r="VHD815" s="268"/>
      <c r="VHE815" s="268"/>
      <c r="VHF815" s="268"/>
      <c r="VHG815" s="268"/>
      <c r="VHH815" s="268"/>
      <c r="VHI815" s="268"/>
      <c r="VHJ815" s="268"/>
      <c r="VHK815" s="268"/>
      <c r="VHL815" s="268"/>
      <c r="VHM815" s="268"/>
      <c r="VHN815" s="268"/>
      <c r="VHO815" s="268"/>
      <c r="VIC815" s="268"/>
      <c r="VID815" s="268"/>
      <c r="VIE815" s="268"/>
      <c r="VIS815" s="268"/>
      <c r="VIU815" s="268"/>
      <c r="VIV815" s="268"/>
      <c r="VIW815" s="268"/>
      <c r="VIX815" s="268"/>
      <c r="VIY815" s="268"/>
      <c r="VIZ815" s="268"/>
      <c r="VJA815" s="268"/>
      <c r="VJB815" s="268"/>
      <c r="VJC815" s="268"/>
      <c r="VJD815" s="268"/>
      <c r="VJE815" s="268"/>
      <c r="VJF815" s="268"/>
      <c r="VJG815" s="268"/>
      <c r="VJH815" s="268"/>
      <c r="VJI815" s="268"/>
      <c r="VJJ815" s="268"/>
      <c r="VJK815" s="268"/>
      <c r="VJL815" s="268"/>
      <c r="VJM815" s="268"/>
      <c r="VJN815" s="268"/>
      <c r="VJO815" s="268"/>
      <c r="VJP815" s="268"/>
      <c r="VJQ815" s="268"/>
      <c r="VJR815" s="268"/>
      <c r="VJS815" s="268"/>
      <c r="VJT815" s="268"/>
      <c r="VJU815" s="268"/>
      <c r="VJV815" s="268"/>
      <c r="VJW815" s="268"/>
      <c r="VJX815" s="268"/>
      <c r="VJY815" s="268"/>
      <c r="VJZ815" s="268"/>
      <c r="VKA815" s="268"/>
      <c r="VKB815" s="268"/>
      <c r="VKC815" s="268"/>
      <c r="VKD815" s="268"/>
      <c r="VKE815" s="268"/>
      <c r="VKF815" s="268"/>
      <c r="VKG815" s="268"/>
      <c r="VKH815" s="268"/>
      <c r="VKI815" s="268"/>
      <c r="VKJ815" s="268"/>
      <c r="VKK815" s="268"/>
      <c r="VKL815" s="268"/>
      <c r="VKM815" s="268"/>
      <c r="VKN815" s="268"/>
      <c r="VKO815" s="268"/>
      <c r="VKP815" s="268"/>
      <c r="VKQ815" s="268"/>
      <c r="VKR815" s="268"/>
      <c r="VKS815" s="268"/>
      <c r="VKT815" s="268"/>
      <c r="VKU815" s="268"/>
      <c r="VKV815" s="268"/>
      <c r="VKW815" s="268"/>
      <c r="VKX815" s="268"/>
      <c r="VKY815" s="268"/>
      <c r="VKZ815" s="268"/>
      <c r="VLA815" s="268"/>
      <c r="VLB815" s="268"/>
      <c r="VLC815" s="268"/>
      <c r="VLD815" s="268"/>
      <c r="VLE815" s="268"/>
      <c r="VLF815" s="268"/>
      <c r="VLG815" s="268"/>
      <c r="VLH815" s="268"/>
      <c r="VLI815" s="268"/>
      <c r="VLJ815" s="268"/>
      <c r="VLK815" s="268"/>
      <c r="VLL815" s="268"/>
      <c r="VLM815" s="268"/>
      <c r="VLN815" s="268"/>
      <c r="VLO815" s="268"/>
      <c r="VLP815" s="268"/>
      <c r="VLQ815" s="268"/>
      <c r="VLR815" s="268"/>
      <c r="VLS815" s="268"/>
      <c r="VLT815" s="268"/>
      <c r="VLU815" s="268"/>
      <c r="VLV815" s="268"/>
      <c r="VLW815" s="268"/>
      <c r="VLX815" s="268"/>
      <c r="VLY815" s="268"/>
      <c r="VLZ815" s="268"/>
      <c r="VMA815" s="268"/>
      <c r="VMB815" s="268"/>
      <c r="VMC815" s="268"/>
      <c r="VMD815" s="268"/>
      <c r="VME815" s="268"/>
      <c r="VMF815" s="268"/>
      <c r="VMG815" s="268"/>
      <c r="VMH815" s="268"/>
      <c r="VMI815" s="268"/>
      <c r="VMJ815" s="268"/>
      <c r="VMK815" s="268"/>
      <c r="VML815" s="268"/>
      <c r="VMM815" s="268"/>
      <c r="VMN815" s="268"/>
      <c r="VMO815" s="268"/>
      <c r="VMP815" s="268"/>
      <c r="VMQ815" s="268"/>
      <c r="VMR815" s="268"/>
      <c r="VMS815" s="268"/>
      <c r="VMT815" s="268"/>
      <c r="VMU815" s="268"/>
      <c r="VMV815" s="268"/>
      <c r="VMW815" s="268"/>
      <c r="VMX815" s="268"/>
      <c r="VMY815" s="268"/>
      <c r="VMZ815" s="268"/>
      <c r="VNA815" s="268"/>
      <c r="VNB815" s="268"/>
      <c r="VNC815" s="268"/>
      <c r="VND815" s="268"/>
      <c r="VNE815" s="268"/>
      <c r="VNF815" s="268"/>
      <c r="VNG815" s="268"/>
      <c r="VNH815" s="268"/>
      <c r="VNI815" s="268"/>
      <c r="VNJ815" s="268"/>
      <c r="VNK815" s="268"/>
      <c r="VNL815" s="268"/>
      <c r="VNM815" s="268"/>
      <c r="VNN815" s="268"/>
      <c r="VNO815" s="268"/>
      <c r="VNP815" s="268"/>
      <c r="VNQ815" s="268"/>
      <c r="VNR815" s="268"/>
      <c r="VNS815" s="268"/>
      <c r="VNT815" s="268"/>
      <c r="VNU815" s="268"/>
      <c r="VNV815" s="268"/>
      <c r="VNW815" s="268"/>
      <c r="VNX815" s="268"/>
      <c r="VNY815" s="268"/>
      <c r="VNZ815" s="268"/>
      <c r="VOA815" s="268"/>
      <c r="VOB815" s="268"/>
      <c r="VOC815" s="268"/>
      <c r="VOD815" s="268"/>
      <c r="VOE815" s="268"/>
      <c r="VOF815" s="268"/>
      <c r="VOG815" s="268"/>
      <c r="VOH815" s="268"/>
      <c r="VOI815" s="268"/>
      <c r="VOJ815" s="268"/>
      <c r="VOK815" s="268"/>
      <c r="VOL815" s="268"/>
      <c r="VOM815" s="268"/>
      <c r="VON815" s="268"/>
      <c r="VOO815" s="268"/>
      <c r="VOP815" s="268"/>
      <c r="VOQ815" s="268"/>
      <c r="VOR815" s="268"/>
      <c r="VOS815" s="268"/>
      <c r="VOT815" s="268"/>
      <c r="VOU815" s="268"/>
      <c r="VOV815" s="268"/>
      <c r="VOW815" s="268"/>
      <c r="VOX815" s="268"/>
      <c r="VOY815" s="268"/>
      <c r="VOZ815" s="268"/>
      <c r="VPA815" s="268"/>
      <c r="VPB815" s="268"/>
      <c r="VPC815" s="268"/>
      <c r="VPD815" s="268"/>
      <c r="VPE815" s="268"/>
      <c r="VPF815" s="268"/>
      <c r="VPG815" s="268"/>
      <c r="VPH815" s="268"/>
      <c r="VPI815" s="268"/>
      <c r="VPJ815" s="268"/>
      <c r="VPK815" s="268"/>
      <c r="VPL815" s="268"/>
      <c r="VPM815" s="268"/>
      <c r="VPN815" s="268"/>
      <c r="VPO815" s="268"/>
      <c r="VPP815" s="268"/>
      <c r="VPQ815" s="268"/>
      <c r="VPR815" s="268"/>
      <c r="VPS815" s="268"/>
      <c r="VPT815" s="268"/>
      <c r="VPU815" s="268"/>
      <c r="VPV815" s="268"/>
      <c r="VPW815" s="268"/>
      <c r="VPX815" s="268"/>
      <c r="VPY815" s="268"/>
      <c r="VPZ815" s="268"/>
      <c r="VQA815" s="268"/>
      <c r="VQB815" s="268"/>
      <c r="VQC815" s="268"/>
      <c r="VQD815" s="268"/>
      <c r="VQE815" s="268"/>
      <c r="VQF815" s="268"/>
      <c r="VQG815" s="268"/>
      <c r="VQH815" s="268"/>
      <c r="VQI815" s="268"/>
      <c r="VQJ815" s="268"/>
      <c r="VQK815" s="268"/>
      <c r="VQL815" s="268"/>
      <c r="VQM815" s="268"/>
      <c r="VQN815" s="268"/>
      <c r="VQO815" s="268"/>
      <c r="VQP815" s="268"/>
      <c r="VQQ815" s="268"/>
      <c r="VQR815" s="268"/>
      <c r="VQS815" s="268"/>
      <c r="VQT815" s="268"/>
      <c r="VQU815" s="268"/>
      <c r="VQV815" s="268"/>
      <c r="VQW815" s="268"/>
      <c r="VQX815" s="268"/>
      <c r="VQY815" s="268"/>
      <c r="VQZ815" s="268"/>
      <c r="VRA815" s="268"/>
      <c r="VRB815" s="268"/>
      <c r="VRC815" s="268"/>
      <c r="VRD815" s="268"/>
      <c r="VRE815" s="268"/>
      <c r="VRF815" s="268"/>
      <c r="VRG815" s="268"/>
      <c r="VRH815" s="268"/>
      <c r="VRI815" s="268"/>
      <c r="VRJ815" s="268"/>
      <c r="VRK815" s="268"/>
      <c r="VRY815" s="268"/>
      <c r="VRZ815" s="268"/>
      <c r="VSA815" s="268"/>
      <c r="VSO815" s="268"/>
      <c r="VSQ815" s="268"/>
      <c r="VSR815" s="268"/>
      <c r="VSS815" s="268"/>
      <c r="VST815" s="268"/>
      <c r="VSU815" s="268"/>
      <c r="VSV815" s="268"/>
      <c r="VSW815" s="268"/>
      <c r="VSX815" s="268"/>
      <c r="VSY815" s="268"/>
      <c r="VSZ815" s="268"/>
      <c r="VTA815" s="268"/>
      <c r="VTB815" s="268"/>
      <c r="VTC815" s="268"/>
      <c r="VTD815" s="268"/>
      <c r="VTE815" s="268"/>
      <c r="VTF815" s="268"/>
      <c r="VTG815" s="268"/>
      <c r="VTH815" s="268"/>
      <c r="VTI815" s="268"/>
      <c r="VTJ815" s="268"/>
      <c r="VTK815" s="268"/>
      <c r="VTL815" s="268"/>
      <c r="VTM815" s="268"/>
      <c r="VTN815" s="268"/>
      <c r="VTO815" s="268"/>
      <c r="VTP815" s="268"/>
      <c r="VTQ815" s="268"/>
      <c r="VTR815" s="268"/>
      <c r="VTS815" s="268"/>
      <c r="VTT815" s="268"/>
      <c r="VTU815" s="268"/>
      <c r="VTV815" s="268"/>
      <c r="VTW815" s="268"/>
      <c r="VTX815" s="268"/>
      <c r="VTY815" s="268"/>
      <c r="VTZ815" s="268"/>
      <c r="VUA815" s="268"/>
      <c r="VUB815" s="268"/>
      <c r="VUC815" s="268"/>
      <c r="VUD815" s="268"/>
      <c r="VUE815" s="268"/>
      <c r="VUF815" s="268"/>
      <c r="VUG815" s="268"/>
      <c r="VUH815" s="268"/>
      <c r="VUI815" s="268"/>
      <c r="VUJ815" s="268"/>
      <c r="VUK815" s="268"/>
      <c r="VUL815" s="268"/>
      <c r="VUM815" s="268"/>
      <c r="VUN815" s="268"/>
      <c r="VUO815" s="268"/>
      <c r="VUP815" s="268"/>
      <c r="VUQ815" s="268"/>
      <c r="VUR815" s="268"/>
      <c r="VUS815" s="268"/>
      <c r="VUT815" s="268"/>
      <c r="VUU815" s="268"/>
      <c r="VUV815" s="268"/>
      <c r="VUW815" s="268"/>
      <c r="VUX815" s="268"/>
      <c r="VUY815" s="268"/>
      <c r="VUZ815" s="268"/>
      <c r="VVA815" s="268"/>
      <c r="VVB815" s="268"/>
      <c r="VVC815" s="268"/>
      <c r="VVD815" s="268"/>
      <c r="VVE815" s="268"/>
      <c r="VVF815" s="268"/>
      <c r="VVG815" s="268"/>
      <c r="VVH815" s="268"/>
      <c r="VVI815" s="268"/>
      <c r="VVJ815" s="268"/>
      <c r="VVK815" s="268"/>
      <c r="VVL815" s="268"/>
      <c r="VVM815" s="268"/>
      <c r="VVN815" s="268"/>
      <c r="VVO815" s="268"/>
      <c r="VVP815" s="268"/>
      <c r="VVQ815" s="268"/>
      <c r="VVR815" s="268"/>
      <c r="VVS815" s="268"/>
      <c r="VVT815" s="268"/>
      <c r="VVU815" s="268"/>
      <c r="VVV815" s="268"/>
      <c r="VVW815" s="268"/>
      <c r="VVX815" s="268"/>
      <c r="VVY815" s="268"/>
      <c r="VVZ815" s="268"/>
      <c r="VWA815" s="268"/>
      <c r="VWB815" s="268"/>
      <c r="VWC815" s="268"/>
      <c r="VWD815" s="268"/>
      <c r="VWE815" s="268"/>
      <c r="VWF815" s="268"/>
      <c r="VWG815" s="268"/>
      <c r="VWH815" s="268"/>
      <c r="VWI815" s="268"/>
      <c r="VWJ815" s="268"/>
      <c r="VWK815" s="268"/>
      <c r="VWL815" s="268"/>
      <c r="VWM815" s="268"/>
      <c r="VWN815" s="268"/>
      <c r="VWO815" s="268"/>
      <c r="VWP815" s="268"/>
      <c r="VWQ815" s="268"/>
      <c r="VWR815" s="268"/>
      <c r="VWS815" s="268"/>
      <c r="VWT815" s="268"/>
      <c r="VWU815" s="268"/>
      <c r="VWV815" s="268"/>
      <c r="VWW815" s="268"/>
      <c r="VWX815" s="268"/>
      <c r="VWY815" s="268"/>
      <c r="VWZ815" s="268"/>
      <c r="VXA815" s="268"/>
      <c r="VXB815" s="268"/>
      <c r="VXC815" s="268"/>
      <c r="VXD815" s="268"/>
      <c r="VXE815" s="268"/>
      <c r="VXF815" s="268"/>
      <c r="VXG815" s="268"/>
      <c r="VXH815" s="268"/>
      <c r="VXI815" s="268"/>
      <c r="VXJ815" s="268"/>
      <c r="VXK815" s="268"/>
      <c r="VXL815" s="268"/>
      <c r="VXM815" s="268"/>
      <c r="VXN815" s="268"/>
      <c r="VXO815" s="268"/>
      <c r="VXP815" s="268"/>
      <c r="VXQ815" s="268"/>
      <c r="VXR815" s="268"/>
      <c r="VXS815" s="268"/>
      <c r="VXT815" s="268"/>
      <c r="VXU815" s="268"/>
      <c r="VXV815" s="268"/>
      <c r="VXW815" s="268"/>
      <c r="VXX815" s="268"/>
      <c r="VXY815" s="268"/>
      <c r="VXZ815" s="268"/>
      <c r="VYA815" s="268"/>
      <c r="VYB815" s="268"/>
      <c r="VYC815" s="268"/>
      <c r="VYD815" s="268"/>
      <c r="VYE815" s="268"/>
      <c r="VYF815" s="268"/>
      <c r="VYG815" s="268"/>
      <c r="VYH815" s="268"/>
      <c r="VYI815" s="268"/>
      <c r="VYJ815" s="268"/>
      <c r="VYK815" s="268"/>
      <c r="VYL815" s="268"/>
      <c r="VYM815" s="268"/>
      <c r="VYN815" s="268"/>
      <c r="VYO815" s="268"/>
      <c r="VYP815" s="268"/>
      <c r="VYQ815" s="268"/>
      <c r="VYR815" s="268"/>
      <c r="VYS815" s="268"/>
      <c r="VYT815" s="268"/>
      <c r="VYU815" s="268"/>
      <c r="VYV815" s="268"/>
      <c r="VYW815" s="268"/>
      <c r="VYX815" s="268"/>
      <c r="VYY815" s="268"/>
      <c r="VYZ815" s="268"/>
      <c r="VZA815" s="268"/>
      <c r="VZB815" s="268"/>
      <c r="VZC815" s="268"/>
      <c r="VZD815" s="268"/>
      <c r="VZE815" s="268"/>
      <c r="VZF815" s="268"/>
      <c r="VZG815" s="268"/>
      <c r="VZH815" s="268"/>
      <c r="VZI815" s="268"/>
      <c r="VZJ815" s="268"/>
      <c r="VZK815" s="268"/>
      <c r="VZL815" s="268"/>
      <c r="VZM815" s="268"/>
      <c r="VZN815" s="268"/>
      <c r="VZO815" s="268"/>
      <c r="VZP815" s="268"/>
      <c r="VZQ815" s="268"/>
      <c r="VZR815" s="268"/>
      <c r="VZS815" s="268"/>
      <c r="VZT815" s="268"/>
      <c r="VZU815" s="268"/>
      <c r="VZV815" s="268"/>
      <c r="VZW815" s="268"/>
      <c r="VZX815" s="268"/>
      <c r="VZY815" s="268"/>
      <c r="VZZ815" s="268"/>
      <c r="WAA815" s="268"/>
      <c r="WAB815" s="268"/>
      <c r="WAC815" s="268"/>
      <c r="WAD815" s="268"/>
      <c r="WAE815" s="268"/>
      <c r="WAF815" s="268"/>
      <c r="WAG815" s="268"/>
      <c r="WAH815" s="268"/>
      <c r="WAI815" s="268"/>
      <c r="WAJ815" s="268"/>
      <c r="WAK815" s="268"/>
      <c r="WAL815" s="268"/>
      <c r="WAM815" s="268"/>
      <c r="WAN815" s="268"/>
      <c r="WAO815" s="268"/>
      <c r="WAP815" s="268"/>
      <c r="WAQ815" s="268"/>
      <c r="WAR815" s="268"/>
      <c r="WAS815" s="268"/>
      <c r="WAT815" s="268"/>
      <c r="WAU815" s="268"/>
      <c r="WAV815" s="268"/>
      <c r="WAW815" s="268"/>
      <c r="WAX815" s="268"/>
      <c r="WAY815" s="268"/>
      <c r="WAZ815" s="268"/>
      <c r="WBA815" s="268"/>
      <c r="WBB815" s="268"/>
      <c r="WBC815" s="268"/>
      <c r="WBD815" s="268"/>
      <c r="WBE815" s="268"/>
      <c r="WBF815" s="268"/>
      <c r="WBG815" s="268"/>
      <c r="WBU815" s="268"/>
      <c r="WBV815" s="268"/>
      <c r="WBW815" s="268"/>
      <c r="WCK815" s="268"/>
      <c r="WCM815" s="268"/>
      <c r="WCN815" s="268"/>
      <c r="WCO815" s="268"/>
      <c r="WCP815" s="268"/>
      <c r="WCQ815" s="268"/>
      <c r="WCR815" s="268"/>
      <c r="WCS815" s="268"/>
      <c r="WCT815" s="268"/>
      <c r="WCU815" s="268"/>
      <c r="WCV815" s="268"/>
      <c r="WCW815" s="268"/>
      <c r="WCX815" s="268"/>
      <c r="WCY815" s="268"/>
      <c r="WCZ815" s="268"/>
      <c r="WDA815" s="268"/>
      <c r="WDB815" s="268"/>
      <c r="WDC815" s="268"/>
      <c r="WDD815" s="268"/>
      <c r="WDE815" s="268"/>
      <c r="WDF815" s="268"/>
      <c r="WDG815" s="268"/>
      <c r="WDH815" s="268"/>
      <c r="WDI815" s="268"/>
      <c r="WDJ815" s="268"/>
      <c r="WDK815" s="268"/>
      <c r="WDL815" s="268"/>
      <c r="WDM815" s="268"/>
      <c r="WDN815" s="268"/>
      <c r="WDO815" s="268"/>
      <c r="WDP815" s="268"/>
      <c r="WDQ815" s="268"/>
      <c r="WDR815" s="268"/>
      <c r="WDS815" s="268"/>
      <c r="WDT815" s="268"/>
      <c r="WDU815" s="268"/>
      <c r="WDV815" s="268"/>
      <c r="WDW815" s="268"/>
      <c r="WDX815" s="268"/>
      <c r="WDY815" s="268"/>
      <c r="WDZ815" s="268"/>
      <c r="WEA815" s="268"/>
      <c r="WEB815" s="268"/>
      <c r="WEC815" s="268"/>
      <c r="WED815" s="268"/>
      <c r="WEE815" s="268"/>
      <c r="WEF815" s="268"/>
      <c r="WEG815" s="268"/>
      <c r="WEH815" s="268"/>
      <c r="WEI815" s="268"/>
      <c r="WEJ815" s="268"/>
      <c r="WEK815" s="268"/>
      <c r="WEL815" s="268"/>
      <c r="WEM815" s="268"/>
      <c r="WEN815" s="268"/>
      <c r="WEO815" s="268"/>
      <c r="WEP815" s="268"/>
      <c r="WEQ815" s="268"/>
      <c r="WER815" s="268"/>
      <c r="WES815" s="268"/>
      <c r="WET815" s="268"/>
      <c r="WEU815" s="268"/>
      <c r="WEV815" s="268"/>
      <c r="WEW815" s="268"/>
      <c r="WEX815" s="268"/>
      <c r="WEY815" s="268"/>
      <c r="WEZ815" s="268"/>
      <c r="WFA815" s="268"/>
      <c r="WFB815" s="268"/>
      <c r="WFC815" s="268"/>
      <c r="WFD815" s="268"/>
      <c r="WFE815" s="268"/>
      <c r="WFF815" s="268"/>
      <c r="WFG815" s="268"/>
      <c r="WFH815" s="268"/>
      <c r="WFI815" s="268"/>
      <c r="WFJ815" s="268"/>
      <c r="WFK815" s="268"/>
      <c r="WFL815" s="268"/>
      <c r="WFM815" s="268"/>
      <c r="WFN815" s="268"/>
      <c r="WFO815" s="268"/>
      <c r="WFP815" s="268"/>
      <c r="WFQ815" s="268"/>
      <c r="WFR815" s="268"/>
      <c r="WFS815" s="268"/>
      <c r="WFT815" s="268"/>
      <c r="WFU815" s="268"/>
      <c r="WFV815" s="268"/>
      <c r="WFW815" s="268"/>
      <c r="WFX815" s="268"/>
      <c r="WFY815" s="268"/>
      <c r="WFZ815" s="268"/>
      <c r="WGA815" s="268"/>
      <c r="WGB815" s="268"/>
      <c r="WGC815" s="268"/>
      <c r="WGD815" s="268"/>
      <c r="WGE815" s="268"/>
      <c r="WGF815" s="268"/>
      <c r="WGG815" s="268"/>
      <c r="WGH815" s="268"/>
      <c r="WGI815" s="268"/>
      <c r="WGJ815" s="268"/>
      <c r="WGK815" s="268"/>
      <c r="WGL815" s="268"/>
      <c r="WGM815" s="268"/>
      <c r="WGN815" s="268"/>
      <c r="WGO815" s="268"/>
      <c r="WGP815" s="268"/>
      <c r="WGQ815" s="268"/>
      <c r="WGR815" s="268"/>
      <c r="WGS815" s="268"/>
      <c r="WGT815" s="268"/>
      <c r="WGU815" s="268"/>
      <c r="WGV815" s="268"/>
      <c r="WGW815" s="268"/>
      <c r="WGX815" s="268"/>
      <c r="WGY815" s="268"/>
      <c r="WGZ815" s="268"/>
      <c r="WHA815" s="268"/>
      <c r="WHB815" s="268"/>
      <c r="WHC815" s="268"/>
      <c r="WHD815" s="268"/>
      <c r="WHE815" s="268"/>
      <c r="WHF815" s="268"/>
      <c r="WHG815" s="268"/>
      <c r="WHH815" s="268"/>
      <c r="WHI815" s="268"/>
      <c r="WHJ815" s="268"/>
      <c r="WHK815" s="268"/>
      <c r="WHL815" s="268"/>
      <c r="WHM815" s="268"/>
      <c r="WHN815" s="268"/>
      <c r="WHO815" s="268"/>
      <c r="WHP815" s="268"/>
      <c r="WHQ815" s="268"/>
      <c r="WHR815" s="268"/>
      <c r="WHS815" s="268"/>
      <c r="WHT815" s="268"/>
      <c r="WHU815" s="268"/>
      <c r="WHV815" s="268"/>
      <c r="WHW815" s="268"/>
      <c r="WHX815" s="268"/>
      <c r="WHY815" s="268"/>
      <c r="WHZ815" s="268"/>
      <c r="WIA815" s="268"/>
      <c r="WIB815" s="268"/>
      <c r="WIC815" s="268"/>
      <c r="WID815" s="268"/>
      <c r="WIE815" s="268"/>
      <c r="WIF815" s="268"/>
      <c r="WIG815" s="268"/>
      <c r="WIH815" s="268"/>
      <c r="WII815" s="268"/>
      <c r="WIJ815" s="268"/>
      <c r="WIK815" s="268"/>
      <c r="WIL815" s="268"/>
      <c r="WIM815" s="268"/>
      <c r="WIN815" s="268"/>
      <c r="WIO815" s="268"/>
      <c r="WIP815" s="268"/>
      <c r="WIQ815" s="268"/>
      <c r="WIR815" s="268"/>
      <c r="WIS815" s="268"/>
      <c r="WIT815" s="268"/>
      <c r="WIU815" s="268"/>
      <c r="WIV815" s="268"/>
      <c r="WIW815" s="268"/>
      <c r="WIX815" s="268"/>
      <c r="WIY815" s="268"/>
      <c r="WIZ815" s="268"/>
      <c r="WJA815" s="268"/>
      <c r="WJB815" s="268"/>
      <c r="WJC815" s="268"/>
      <c r="WJD815" s="268"/>
      <c r="WJE815" s="268"/>
      <c r="WJF815" s="268"/>
      <c r="WJG815" s="268"/>
      <c r="WJH815" s="268"/>
      <c r="WJI815" s="268"/>
      <c r="WJJ815" s="268"/>
      <c r="WJK815" s="268"/>
      <c r="WJL815" s="268"/>
      <c r="WJM815" s="268"/>
      <c r="WJN815" s="268"/>
      <c r="WJO815" s="268"/>
      <c r="WJP815" s="268"/>
      <c r="WJQ815" s="268"/>
      <c r="WJR815" s="268"/>
      <c r="WJS815" s="268"/>
      <c r="WJT815" s="268"/>
      <c r="WJU815" s="268"/>
      <c r="WJV815" s="268"/>
      <c r="WJW815" s="268"/>
      <c r="WJX815" s="268"/>
      <c r="WJY815" s="268"/>
      <c r="WJZ815" s="268"/>
      <c r="WKA815" s="268"/>
      <c r="WKB815" s="268"/>
      <c r="WKC815" s="268"/>
      <c r="WKD815" s="268"/>
      <c r="WKE815" s="268"/>
      <c r="WKF815" s="268"/>
      <c r="WKG815" s="268"/>
      <c r="WKH815" s="268"/>
      <c r="WKI815" s="268"/>
      <c r="WKJ815" s="268"/>
      <c r="WKK815" s="268"/>
      <c r="WKL815" s="268"/>
      <c r="WKM815" s="268"/>
      <c r="WKN815" s="268"/>
      <c r="WKO815" s="268"/>
      <c r="WKP815" s="268"/>
      <c r="WKQ815" s="268"/>
      <c r="WKR815" s="268"/>
      <c r="WKS815" s="268"/>
      <c r="WKT815" s="268"/>
      <c r="WKU815" s="268"/>
      <c r="WKV815" s="268"/>
      <c r="WKW815" s="268"/>
      <c r="WKX815" s="268"/>
      <c r="WKY815" s="268"/>
      <c r="WKZ815" s="268"/>
      <c r="WLA815" s="268"/>
      <c r="WLB815" s="268"/>
      <c r="WLC815" s="268"/>
      <c r="WLQ815" s="268"/>
      <c r="WLR815" s="268"/>
      <c r="WLS815" s="268"/>
      <c r="WMG815" s="268"/>
      <c r="WMI815" s="268"/>
      <c r="WMJ815" s="268"/>
      <c r="WMK815" s="268"/>
      <c r="WML815" s="268"/>
      <c r="WMM815" s="268"/>
      <c r="WMN815" s="268"/>
      <c r="WMO815" s="268"/>
      <c r="WMP815" s="268"/>
      <c r="WMQ815" s="268"/>
      <c r="WMR815" s="268"/>
      <c r="WMS815" s="268"/>
      <c r="WMT815" s="268"/>
      <c r="WMU815" s="268"/>
      <c r="WMV815" s="268"/>
      <c r="WMW815" s="268"/>
      <c r="WMX815" s="268"/>
      <c r="WMY815" s="268"/>
      <c r="WMZ815" s="268"/>
      <c r="WNA815" s="268"/>
      <c r="WNB815" s="268"/>
      <c r="WNC815" s="268"/>
      <c r="WND815" s="268"/>
      <c r="WNE815" s="268"/>
      <c r="WNF815" s="268"/>
      <c r="WNG815" s="268"/>
      <c r="WNH815" s="268"/>
      <c r="WNI815" s="268"/>
      <c r="WNJ815" s="268"/>
      <c r="WNK815" s="268"/>
      <c r="WNL815" s="268"/>
      <c r="WNM815" s="268"/>
      <c r="WNN815" s="268"/>
      <c r="WNO815" s="268"/>
      <c r="WNP815" s="268"/>
      <c r="WNQ815" s="268"/>
      <c r="WNR815" s="268"/>
      <c r="WNS815" s="268"/>
      <c r="WNT815" s="268"/>
      <c r="WNU815" s="268"/>
      <c r="WNV815" s="268"/>
      <c r="WNW815" s="268"/>
      <c r="WNX815" s="268"/>
      <c r="WNY815" s="268"/>
      <c r="WNZ815" s="268"/>
      <c r="WOA815" s="268"/>
      <c r="WOB815" s="268"/>
      <c r="WOC815" s="268"/>
      <c r="WOD815" s="268"/>
      <c r="WOE815" s="268"/>
      <c r="WOF815" s="268"/>
      <c r="WOG815" s="268"/>
      <c r="WOH815" s="268"/>
      <c r="WOI815" s="268"/>
      <c r="WOJ815" s="268"/>
      <c r="WOK815" s="268"/>
      <c r="WOL815" s="268"/>
      <c r="WOM815" s="268"/>
      <c r="WON815" s="268"/>
      <c r="WOO815" s="268"/>
      <c r="WOP815" s="268"/>
      <c r="WOQ815" s="268"/>
      <c r="WOR815" s="268"/>
      <c r="WOS815" s="268"/>
      <c r="WOT815" s="268"/>
      <c r="WOU815" s="268"/>
      <c r="WOV815" s="268"/>
      <c r="WOW815" s="268"/>
      <c r="WOX815" s="268"/>
      <c r="WOY815" s="268"/>
      <c r="WOZ815" s="268"/>
      <c r="WPA815" s="268"/>
      <c r="WPB815" s="268"/>
      <c r="WPC815" s="268"/>
      <c r="WPD815" s="268"/>
      <c r="WPE815" s="268"/>
      <c r="WPF815" s="268"/>
      <c r="WPG815" s="268"/>
      <c r="WPH815" s="268"/>
      <c r="WPI815" s="268"/>
      <c r="WPJ815" s="268"/>
      <c r="WPK815" s="268"/>
      <c r="WPL815" s="268"/>
      <c r="WPM815" s="268"/>
      <c r="WPN815" s="268"/>
      <c r="WPO815" s="268"/>
      <c r="WPP815" s="268"/>
      <c r="WPQ815" s="268"/>
      <c r="WPR815" s="268"/>
      <c r="WPS815" s="268"/>
      <c r="WPT815" s="268"/>
      <c r="WPU815" s="268"/>
      <c r="WPV815" s="268"/>
      <c r="WPW815" s="268"/>
      <c r="WPX815" s="268"/>
      <c r="WPY815" s="268"/>
      <c r="WPZ815" s="268"/>
      <c r="WQA815" s="268"/>
      <c r="WQB815" s="268"/>
      <c r="WQC815" s="268"/>
      <c r="WQD815" s="268"/>
      <c r="WQE815" s="268"/>
      <c r="WQF815" s="268"/>
      <c r="WQG815" s="268"/>
      <c r="WQH815" s="268"/>
      <c r="WQI815" s="268"/>
      <c r="WQJ815" s="268"/>
      <c r="WQK815" s="268"/>
      <c r="WQL815" s="268"/>
      <c r="WQM815" s="268"/>
      <c r="WQN815" s="268"/>
      <c r="WQO815" s="268"/>
      <c r="WQP815" s="268"/>
      <c r="WQQ815" s="268"/>
      <c r="WQR815" s="268"/>
      <c r="WQS815" s="268"/>
      <c r="WQT815" s="268"/>
      <c r="WQU815" s="268"/>
      <c r="WQV815" s="268"/>
      <c r="WQW815" s="268"/>
      <c r="WQX815" s="268"/>
      <c r="WQY815" s="268"/>
      <c r="WQZ815" s="268"/>
      <c r="WRA815" s="268"/>
      <c r="WRB815" s="268"/>
      <c r="WRC815" s="268"/>
      <c r="WRD815" s="268"/>
      <c r="WRE815" s="268"/>
      <c r="WRF815" s="268"/>
      <c r="WRG815" s="268"/>
      <c r="WRH815" s="268"/>
      <c r="WRI815" s="268"/>
      <c r="WRJ815" s="268"/>
      <c r="WRK815" s="268"/>
      <c r="WRL815" s="268"/>
      <c r="WRM815" s="268"/>
      <c r="WRN815" s="268"/>
      <c r="WRO815" s="268"/>
      <c r="WRP815" s="268"/>
      <c r="WRQ815" s="268"/>
      <c r="WRR815" s="268"/>
      <c r="WRS815" s="268"/>
      <c r="WRT815" s="268"/>
      <c r="WRU815" s="268"/>
      <c r="WRV815" s="268"/>
      <c r="WRW815" s="268"/>
      <c r="WRX815" s="268"/>
      <c r="WRY815" s="268"/>
      <c r="WRZ815" s="268"/>
      <c r="WSA815" s="268"/>
      <c r="WSB815" s="268"/>
      <c r="WSC815" s="268"/>
      <c r="WSD815" s="268"/>
      <c r="WSE815" s="268"/>
      <c r="WSF815" s="268"/>
      <c r="WSG815" s="268"/>
      <c r="WSH815" s="268"/>
      <c r="WSI815" s="268"/>
      <c r="WSJ815" s="268"/>
      <c r="WSK815" s="268"/>
      <c r="WSL815" s="268"/>
      <c r="WSM815" s="268"/>
      <c r="WSN815" s="268"/>
      <c r="WSO815" s="268"/>
      <c r="WSP815" s="268"/>
      <c r="WSQ815" s="268"/>
      <c r="WSR815" s="268"/>
      <c r="WSS815" s="268"/>
      <c r="WST815" s="268"/>
      <c r="WSU815" s="268"/>
      <c r="WSV815" s="268"/>
      <c r="WSW815" s="268"/>
      <c r="WSX815" s="268"/>
      <c r="WSY815" s="268"/>
      <c r="WSZ815" s="268"/>
      <c r="WTA815" s="268"/>
      <c r="WTB815" s="268"/>
      <c r="WTC815" s="268"/>
      <c r="WTD815" s="268"/>
      <c r="WTE815" s="268"/>
      <c r="WTF815" s="268"/>
      <c r="WTG815" s="268"/>
      <c r="WTH815" s="268"/>
      <c r="WTI815" s="268"/>
      <c r="WTJ815" s="268"/>
      <c r="WTK815" s="268"/>
      <c r="WTL815" s="268"/>
      <c r="WTM815" s="268"/>
      <c r="WTN815" s="268"/>
      <c r="WTO815" s="268"/>
      <c r="WTP815" s="268"/>
      <c r="WTQ815" s="268"/>
      <c r="WTR815" s="268"/>
      <c r="WTS815" s="268"/>
      <c r="WTT815" s="268"/>
      <c r="WTU815" s="268"/>
      <c r="WTV815" s="268"/>
      <c r="WTW815" s="268"/>
      <c r="WTX815" s="268"/>
      <c r="WTY815" s="268"/>
      <c r="WTZ815" s="268"/>
      <c r="WUA815" s="268"/>
      <c r="WUB815" s="268"/>
      <c r="WUC815" s="268"/>
      <c r="WUD815" s="268"/>
      <c r="WUE815" s="268"/>
      <c r="WUF815" s="268"/>
      <c r="WUG815" s="268"/>
      <c r="WUH815" s="268"/>
      <c r="WUI815" s="268"/>
      <c r="WUJ815" s="268"/>
      <c r="WUK815" s="268"/>
      <c r="WUL815" s="268"/>
      <c r="WUM815" s="268"/>
      <c r="WUN815" s="268"/>
      <c r="WUO815" s="268"/>
      <c r="WUP815" s="268"/>
      <c r="WUQ815" s="268"/>
      <c r="WUR815" s="268"/>
      <c r="WUS815" s="268"/>
      <c r="WUT815" s="268"/>
      <c r="WUU815" s="268"/>
      <c r="WUV815" s="268"/>
      <c r="WUW815" s="268"/>
      <c r="WUX815" s="268"/>
      <c r="WUY815" s="268"/>
      <c r="WVM815" s="268"/>
      <c r="WVN815" s="268"/>
      <c r="WVO815" s="268"/>
      <c r="WWC815" s="268"/>
      <c r="WWE815" s="268"/>
      <c r="WWF815" s="268"/>
      <c r="WWG815" s="268"/>
      <c r="WWH815" s="268"/>
      <c r="WWI815" s="268"/>
      <c r="WWJ815" s="268"/>
      <c r="WWK815" s="268"/>
      <c r="WWL815" s="268"/>
      <c r="WWM815" s="268"/>
      <c r="WWN815" s="268"/>
      <c r="WWO815" s="268"/>
      <c r="WWP815" s="268"/>
      <c r="WWQ815" s="268"/>
      <c r="WWR815" s="268"/>
      <c r="WWS815" s="268"/>
      <c r="WWT815" s="268"/>
      <c r="WWU815" s="268"/>
      <c r="WWV815" s="268"/>
      <c r="WWW815" s="268"/>
      <c r="WWX815" s="268"/>
      <c r="WWY815" s="268"/>
      <c r="WWZ815" s="268"/>
      <c r="WXA815" s="268"/>
      <c r="WXB815" s="268"/>
      <c r="WXC815" s="268"/>
      <c r="WXD815" s="268"/>
      <c r="WXE815" s="268"/>
      <c r="WXF815" s="268"/>
      <c r="WXG815" s="268"/>
      <c r="WXH815" s="268"/>
      <c r="WXI815" s="268"/>
      <c r="WXJ815" s="268"/>
      <c r="WXK815" s="268"/>
      <c r="WXL815" s="268"/>
      <c r="WXM815" s="268"/>
      <c r="WXN815" s="268"/>
      <c r="WXO815" s="268"/>
      <c r="WXP815" s="268"/>
      <c r="WXQ815" s="268"/>
      <c r="WXR815" s="268"/>
      <c r="WXS815" s="268"/>
      <c r="WXT815" s="268"/>
      <c r="WXU815" s="268"/>
      <c r="WXV815" s="268"/>
      <c r="WXW815" s="268"/>
      <c r="WXX815" s="268"/>
      <c r="WXY815" s="268"/>
      <c r="WXZ815" s="268"/>
      <c r="WYA815" s="268"/>
      <c r="WYB815" s="268"/>
      <c r="WYC815" s="268"/>
      <c r="WYD815" s="268"/>
      <c r="WYE815" s="268"/>
      <c r="WYF815" s="268"/>
      <c r="WYG815" s="268"/>
      <c r="WYH815" s="268"/>
      <c r="WYI815" s="268"/>
      <c r="WYJ815" s="268"/>
      <c r="WYK815" s="268"/>
      <c r="WYL815" s="268"/>
      <c r="WYM815" s="268"/>
      <c r="WYN815" s="268"/>
      <c r="WYO815" s="268"/>
      <c r="WYP815" s="268"/>
      <c r="WYQ815" s="268"/>
      <c r="WYR815" s="268"/>
      <c r="WYS815" s="268"/>
      <c r="WYT815" s="268"/>
      <c r="WYU815" s="268"/>
      <c r="WYV815" s="268"/>
      <c r="WYW815" s="268"/>
      <c r="WYX815" s="268"/>
      <c r="WYY815" s="268"/>
      <c r="WYZ815" s="268"/>
      <c r="WZA815" s="268"/>
      <c r="WZB815" s="268"/>
      <c r="WZC815" s="268"/>
      <c r="WZD815" s="268"/>
      <c r="WZE815" s="268"/>
      <c r="WZF815" s="268"/>
      <c r="WZG815" s="268"/>
      <c r="WZH815" s="268"/>
      <c r="WZI815" s="268"/>
      <c r="WZJ815" s="268"/>
      <c r="WZK815" s="268"/>
      <c r="WZL815" s="268"/>
      <c r="WZM815" s="268"/>
      <c r="WZN815" s="268"/>
      <c r="WZO815" s="268"/>
      <c r="WZP815" s="268"/>
      <c r="WZQ815" s="268"/>
      <c r="WZR815" s="268"/>
      <c r="WZS815" s="268"/>
      <c r="WZT815" s="268"/>
      <c r="WZU815" s="268"/>
      <c r="WZV815" s="268"/>
      <c r="WZW815" s="268"/>
      <c r="WZX815" s="268"/>
      <c r="WZY815" s="268"/>
      <c r="WZZ815" s="268"/>
      <c r="XAA815" s="268"/>
      <c r="XAB815" s="268"/>
      <c r="XAC815" s="268"/>
      <c r="XAD815" s="268"/>
      <c r="XAE815" s="268"/>
      <c r="XAF815" s="268"/>
      <c r="XAG815" s="268"/>
      <c r="XAH815" s="268"/>
      <c r="XAI815" s="268"/>
      <c r="XAJ815" s="268"/>
      <c r="XAK815" s="268"/>
      <c r="XAL815" s="268"/>
      <c r="XAM815" s="268"/>
      <c r="XAN815" s="268"/>
      <c r="XAO815" s="268"/>
      <c r="XAP815" s="268"/>
      <c r="XAQ815" s="268"/>
      <c r="XAR815" s="268"/>
      <c r="XAS815" s="268"/>
      <c r="XAT815" s="268"/>
      <c r="XAU815" s="268"/>
      <c r="XAV815" s="268"/>
      <c r="XAW815" s="268"/>
      <c r="XAX815" s="268"/>
      <c r="XAY815" s="268"/>
      <c r="XAZ815" s="268"/>
      <c r="XBA815" s="268"/>
      <c r="XBB815" s="268"/>
      <c r="XBC815" s="268"/>
      <c r="XBD815" s="268"/>
      <c r="XBE815" s="268"/>
      <c r="XBF815" s="268"/>
      <c r="XBG815" s="268"/>
      <c r="XBH815" s="268"/>
      <c r="XBI815" s="268"/>
      <c r="XBJ815" s="268"/>
      <c r="XBK815" s="268"/>
      <c r="XBL815" s="268"/>
      <c r="XBM815" s="268"/>
      <c r="XBN815" s="268"/>
      <c r="XBO815" s="268"/>
      <c r="XBP815" s="268"/>
      <c r="XBQ815" s="268"/>
      <c r="XBR815" s="268"/>
      <c r="XBS815" s="268"/>
      <c r="XBT815" s="268"/>
      <c r="XBU815" s="268"/>
      <c r="XBV815" s="268"/>
      <c r="XBW815" s="268"/>
      <c r="XBX815" s="268"/>
      <c r="XBY815" s="268"/>
      <c r="XBZ815" s="268"/>
      <c r="XCA815" s="268"/>
      <c r="XCB815" s="268"/>
      <c r="XCC815" s="268"/>
      <c r="XCD815" s="268"/>
      <c r="XCE815" s="268"/>
      <c r="XCF815" s="268"/>
      <c r="XCG815" s="268"/>
      <c r="XCH815" s="268"/>
      <c r="XCI815" s="268"/>
      <c r="XCJ815" s="268"/>
      <c r="XCK815" s="268"/>
      <c r="XCL815" s="268"/>
      <c r="XCM815" s="268"/>
      <c r="XCN815" s="268"/>
      <c r="XCO815" s="268"/>
      <c r="XCP815" s="268"/>
      <c r="XCQ815" s="268"/>
      <c r="XCR815" s="268"/>
      <c r="XCS815" s="268"/>
      <c r="XCT815" s="268"/>
      <c r="XCU815" s="268"/>
      <c r="XCV815" s="268"/>
      <c r="XCW815" s="268"/>
      <c r="XCX815" s="268"/>
      <c r="XCY815" s="268"/>
      <c r="XCZ815" s="268"/>
      <c r="XDA815" s="268"/>
      <c r="XDB815" s="268"/>
      <c r="XDC815" s="268"/>
      <c r="XDD815" s="268"/>
      <c r="XDE815" s="268"/>
      <c r="XDF815" s="268"/>
      <c r="XDG815" s="268"/>
      <c r="XDH815" s="268"/>
      <c r="XDI815" s="268"/>
      <c r="XDJ815" s="268"/>
      <c r="XDK815" s="268"/>
      <c r="XDL815" s="268"/>
      <c r="XDM815" s="268"/>
      <c r="XDN815" s="268"/>
      <c r="XDO815" s="268"/>
      <c r="XDP815" s="268"/>
      <c r="XDQ815" s="268"/>
      <c r="XDR815" s="268"/>
      <c r="XDS815" s="268"/>
      <c r="XDT815" s="268"/>
      <c r="XDU815" s="268"/>
      <c r="XDV815" s="268"/>
      <c r="XDW815" s="268"/>
      <c r="XDX815" s="268"/>
      <c r="XDY815" s="268"/>
      <c r="XDZ815" s="268"/>
      <c r="XEA815" s="268"/>
      <c r="XEB815" s="268"/>
      <c r="XEC815" s="268"/>
      <c r="XED815" s="268"/>
      <c r="XEE815" s="268"/>
      <c r="XEF815" s="268"/>
      <c r="XEG815" s="268"/>
      <c r="XEH815" s="268"/>
      <c r="XEI815" s="268"/>
      <c r="XEJ815" s="268"/>
      <c r="XEK815" s="268"/>
      <c r="XEL815" s="268"/>
      <c r="XEM815" s="268"/>
      <c r="XEN815" s="268"/>
      <c r="XEO815" s="268"/>
      <c r="XEP815" s="268"/>
      <c r="XEQ815" s="268"/>
      <c r="XER815" s="268"/>
      <c r="XES815" s="268"/>
    </row>
    <row r="816" spans="1:1015 1029:2039 2053:3063 3077:4087 4101:5111 5125:6135 6149:7159 7173:8183 8197:9207 9221:10231 10245:11255 11269:12279 12293:13303 13317:14327 14341:15351 15365:16373" hidden="1" outlineLevel="1" x14ac:dyDescent="0.25">
      <c r="A816" s="3"/>
      <c r="B816" s="62">
        <f>SUM(B811:B815)</f>
        <v>45350</v>
      </c>
      <c r="C816" s="32"/>
      <c r="D816" s="62">
        <f>SUM(D811:D815)</f>
        <v>11860</v>
      </c>
      <c r="E816" s="62">
        <f>SUM(E811:E815)</f>
        <v>33490</v>
      </c>
      <c r="F816" s="62">
        <f>SUM(F811:F815)</f>
        <v>45350</v>
      </c>
      <c r="G816" s="32"/>
      <c r="H816" s="62">
        <f>SUM(H811:H815)</f>
        <v>0</v>
      </c>
      <c r="I816" s="32"/>
      <c r="J816" s="62">
        <f>SUM(J811:J815)</f>
        <v>8640</v>
      </c>
      <c r="K816" s="62">
        <f>SUM(K811:K815)</f>
        <v>36710</v>
      </c>
      <c r="L816" s="62">
        <f>SUM(L811:L815)</f>
        <v>45350</v>
      </c>
      <c r="M816" s="32"/>
      <c r="N816" s="62">
        <f>SUM(N811:N815)</f>
        <v>0</v>
      </c>
      <c r="P816" s="62">
        <f>SUM(P811:P815)</f>
        <v>46149.86</v>
      </c>
      <c r="R816" s="62">
        <f t="shared" ref="R816:Z816" si="477">SUM(R811:R815)</f>
        <v>5483</v>
      </c>
      <c r="S816" s="62">
        <f t="shared" si="477"/>
        <v>40667</v>
      </c>
      <c r="T816" s="62">
        <f t="shared" si="477"/>
        <v>46150</v>
      </c>
      <c r="U816" s="62">
        <f t="shared" si="477"/>
        <v>0.13999999999941792</v>
      </c>
      <c r="V816" s="62">
        <f t="shared" si="477"/>
        <v>8211</v>
      </c>
      <c r="W816" s="62">
        <f t="shared" si="477"/>
        <v>37939</v>
      </c>
      <c r="X816" s="62"/>
      <c r="Y816" s="62">
        <f t="shared" si="477"/>
        <v>46150</v>
      </c>
      <c r="Z816" s="62">
        <f t="shared" si="477"/>
        <v>0</v>
      </c>
      <c r="AC816" s="62">
        <f>SUM(AC811:AC815)</f>
        <v>13092</v>
      </c>
      <c r="AD816" s="62">
        <f>SUM(AD811:AD815)</f>
        <v>33058</v>
      </c>
      <c r="AE816" s="62">
        <f>SUM(AE811:AE815)</f>
        <v>46150</v>
      </c>
      <c r="AF816" s="62">
        <f>SUM(AF811:AF815)</f>
        <v>0</v>
      </c>
      <c r="AG816" s="32"/>
      <c r="AI816" s="62">
        <f>SUM(AI811:AI815)</f>
        <v>46999.5</v>
      </c>
      <c r="AK816" s="62">
        <f>SUM(AK811:AK815)</f>
        <v>47779.485000000001</v>
      </c>
      <c r="AM816" s="62">
        <f>SUM(AM811:AM815)</f>
        <v>48582.869550000003</v>
      </c>
      <c r="AO816" s="62">
        <f>SUM(AO811:AO815)</f>
        <v>49410.355636499997</v>
      </c>
      <c r="AP816" s="32"/>
      <c r="AQ816" s="62">
        <f>SUM(AQ811:AQ815)</f>
        <v>50262.666305595005</v>
      </c>
      <c r="AS816" s="62">
        <f>SUM(AS811:AS815)</f>
        <v>51140.546294762855</v>
      </c>
      <c r="AU816" s="62">
        <f>SUM(AU811:AU815)</f>
        <v>52044.762683605739</v>
      </c>
      <c r="AW816" s="62">
        <f>SUM(AW811:AW815)</f>
        <v>52976.10556411391</v>
      </c>
      <c r="AY816" s="62">
        <f>SUM(AY811:AY815)</f>
        <v>53935.388731037332</v>
      </c>
      <c r="BA816" s="62">
        <f>SUM(BA811:BA815)</f>
        <v>54923.450392968451</v>
      </c>
      <c r="BC816" s="62">
        <f>SUM(BC811:BC815)</f>
        <v>55941.153904757506</v>
      </c>
      <c r="BE816" s="62">
        <f>SUM(BE811:BE815)</f>
        <v>56989.388521900226</v>
      </c>
    </row>
    <row r="817" spans="1:1015 1029:2039 2053:3063 3077:4087 4101:5111 5125:6135 6149:7159 7173:8183 8197:9207 9221:10231 10245:11255 11269:12279 12293:13303 13317:14327 14341:15351 15365:16373" hidden="1" outlineLevel="1" x14ac:dyDescent="0.25">
      <c r="A817" s="7" t="s">
        <v>57</v>
      </c>
      <c r="BC817" s="3"/>
      <c r="BE817" s="3"/>
    </row>
    <row r="818" spans="1:1015 1029:2039 2053:3063 3077:4087 4101:5111 5125:6135 6149:7159 7173:8183 8197:9207 9221:10231 10245:11255 11269:12279 12293:13303 13317:14327 14341:15351 15365:16373" hidden="1" outlineLevel="1" x14ac:dyDescent="0.25">
      <c r="A818" s="3" t="s">
        <v>273</v>
      </c>
      <c r="B818" s="3">
        <v>110000</v>
      </c>
      <c r="D818" s="3">
        <v>48500</v>
      </c>
      <c r="E818" s="3">
        <f t="shared" ref="E818:E829" si="478">F818-D818</f>
        <v>61500</v>
      </c>
      <c r="F818" s="3">
        <v>110000</v>
      </c>
      <c r="H818" s="3">
        <f t="shared" ref="H818:H829" si="479">F818-B818</f>
        <v>0</v>
      </c>
      <c r="J818" s="3">
        <v>75841</v>
      </c>
      <c r="K818" s="4">
        <f t="shared" ref="K818:K829" si="480">L818-J818</f>
        <v>44159</v>
      </c>
      <c r="L818" s="4">
        <v>120000</v>
      </c>
      <c r="N818" s="4">
        <f t="shared" ref="N818:N829" si="481">L818-F818</f>
        <v>10000</v>
      </c>
      <c r="P818" s="3">
        <v>85000</v>
      </c>
      <c r="R818" s="3">
        <v>10845</v>
      </c>
      <c r="S818" s="3">
        <f t="shared" ref="S818:S829" si="482">T818-R818</f>
        <v>74155</v>
      </c>
      <c r="T818" s="3">
        <v>85000</v>
      </c>
      <c r="U818" s="3">
        <f t="shared" ref="U818:U829" si="483">T818-P818</f>
        <v>0</v>
      </c>
      <c r="V818" s="3">
        <v>132160</v>
      </c>
      <c r="W818" s="3">
        <f t="shared" ref="W818:W829" si="484">Y818-V818</f>
        <v>22840</v>
      </c>
      <c r="Y818" s="3">
        <v>155000</v>
      </c>
      <c r="Z818" s="3">
        <f t="shared" ref="Z818:Z829" si="485">Y818-T818</f>
        <v>70000</v>
      </c>
      <c r="AC818" s="3">
        <v>150949</v>
      </c>
      <c r="AD818" s="3">
        <f t="shared" ref="AD818:AD829" si="486">AE818-AC818</f>
        <v>19051</v>
      </c>
      <c r="AE818" s="3">
        <v>170000</v>
      </c>
      <c r="AF818" s="3">
        <f t="shared" ref="AF818:AF829" si="487">AE818-Y818</f>
        <v>15000</v>
      </c>
      <c r="AI818" s="3">
        <v>135000</v>
      </c>
      <c r="AK818" s="3">
        <f>AI818*1.03</f>
        <v>139050</v>
      </c>
      <c r="AM818" s="3">
        <f>AK818*1.03</f>
        <v>143221.5</v>
      </c>
      <c r="AO818" s="3">
        <f>AM818*1.03</f>
        <v>147518.14499999999</v>
      </c>
      <c r="AQ818" s="3">
        <f>AO818*1.03</f>
        <v>151943.68935</v>
      </c>
      <c r="AS818" s="3">
        <f>AQ818*1.03</f>
        <v>156502.0000305</v>
      </c>
      <c r="AU818" s="3">
        <f>AS818*1.03</f>
        <v>161197.06003141499</v>
      </c>
      <c r="AW818" s="3">
        <f>AU818*1.03</f>
        <v>166032.97183235743</v>
      </c>
      <c r="AY818" s="3">
        <f>AW818*1.03</f>
        <v>171013.96098732817</v>
      </c>
      <c r="BA818" s="3">
        <f>AY818*1.03</f>
        <v>176144.37981694803</v>
      </c>
      <c r="BC818" s="3">
        <f>BA818*1.03</f>
        <v>181428.71121145648</v>
      </c>
      <c r="BE818" s="3">
        <f>BC818*1.03</f>
        <v>186871.57254780017</v>
      </c>
    </row>
    <row r="819" spans="1:1015 1029:2039 2053:3063 3077:4087 4101:5111 5125:6135 6149:7159 7173:8183 8197:9207 9221:10231 10245:11255 11269:12279 12293:13303 13317:14327 14341:15351 15365:16373" hidden="1" outlineLevel="1" x14ac:dyDescent="0.25">
      <c r="A819" s="3" t="s">
        <v>590</v>
      </c>
      <c r="D819" s="3">
        <v>23046</v>
      </c>
      <c r="E819" s="3">
        <f t="shared" si="478"/>
        <v>41954</v>
      </c>
      <c r="F819" s="3">
        <v>65000</v>
      </c>
      <c r="H819" s="3">
        <f t="shared" si="479"/>
        <v>65000</v>
      </c>
      <c r="J819" s="3">
        <v>40210</v>
      </c>
      <c r="K819" s="4">
        <f t="shared" si="480"/>
        <v>24790</v>
      </c>
      <c r="L819" s="4">
        <v>65000</v>
      </c>
      <c r="N819" s="4">
        <f t="shared" si="481"/>
        <v>0</v>
      </c>
      <c r="S819" s="3">
        <f t="shared" si="482"/>
        <v>0</v>
      </c>
      <c r="U819" s="3">
        <f t="shared" si="483"/>
        <v>0</v>
      </c>
      <c r="W819" s="3">
        <f t="shared" si="484"/>
        <v>0</v>
      </c>
      <c r="Z819" s="3">
        <f t="shared" si="485"/>
        <v>0</v>
      </c>
      <c r="AD819" s="3">
        <f t="shared" si="486"/>
        <v>0</v>
      </c>
      <c r="AF819" s="3">
        <f t="shared" si="487"/>
        <v>0</v>
      </c>
      <c r="BC819" s="3"/>
      <c r="BE819" s="3"/>
    </row>
    <row r="820" spans="1:1015 1029:2039 2053:3063 3077:4087 4101:5111 5125:6135 6149:7159 7173:8183 8197:9207 9221:10231 10245:11255 11269:12279 12293:13303 13317:14327 14341:15351 15365:16373" hidden="1" outlineLevel="1" x14ac:dyDescent="0.25">
      <c r="A820" s="3" t="s">
        <v>266</v>
      </c>
      <c r="B820" s="3">
        <v>80000</v>
      </c>
      <c r="D820" s="3">
        <v>0</v>
      </c>
      <c r="E820" s="3">
        <f t="shared" si="478"/>
        <v>45000</v>
      </c>
      <c r="F820" s="3">
        <v>45000</v>
      </c>
      <c r="H820" s="3">
        <f t="shared" si="479"/>
        <v>-35000</v>
      </c>
      <c r="J820" s="3">
        <v>0</v>
      </c>
      <c r="K820" s="4">
        <f t="shared" si="480"/>
        <v>20000</v>
      </c>
      <c r="L820" s="4">
        <v>20000</v>
      </c>
      <c r="N820" s="4">
        <f t="shared" si="481"/>
        <v>-25000</v>
      </c>
      <c r="P820" s="3">
        <v>0</v>
      </c>
      <c r="S820" s="3">
        <f t="shared" si="482"/>
        <v>40000</v>
      </c>
      <c r="T820" s="3">
        <v>40000</v>
      </c>
      <c r="U820" s="3">
        <f t="shared" si="483"/>
        <v>40000</v>
      </c>
      <c r="V820" s="3">
        <v>2984</v>
      </c>
      <c r="W820" s="3">
        <f t="shared" si="484"/>
        <v>37016</v>
      </c>
      <c r="Y820" s="3">
        <v>40000</v>
      </c>
      <c r="Z820" s="3">
        <f t="shared" si="485"/>
        <v>0</v>
      </c>
      <c r="AD820" s="3">
        <f t="shared" si="486"/>
        <v>0</v>
      </c>
      <c r="AE820" s="3">
        <v>0</v>
      </c>
      <c r="AF820" s="3">
        <f t="shared" si="487"/>
        <v>-40000</v>
      </c>
      <c r="AR820" s="3"/>
      <c r="AT820" s="3"/>
      <c r="AV820" s="3"/>
      <c r="AX820" s="3"/>
      <c r="BC820" s="3"/>
      <c r="BE820" s="3"/>
    </row>
    <row r="821" spans="1:1015 1029:2039 2053:3063 3077:4087 4101:5111 5125:6135 6149:7159 7173:8183 8197:9207 9221:10231 10245:11255 11269:12279 12293:13303 13317:14327 14341:15351 15365:16373" hidden="1" outlineLevel="1" x14ac:dyDescent="0.25">
      <c r="A821" s="3" t="s">
        <v>591</v>
      </c>
      <c r="B821" s="3">
        <v>15000</v>
      </c>
      <c r="D821" s="3">
        <v>3358</v>
      </c>
      <c r="E821" s="3">
        <f t="shared" si="478"/>
        <v>11642</v>
      </c>
      <c r="F821" s="3">
        <v>15000</v>
      </c>
      <c r="H821" s="3">
        <f t="shared" si="479"/>
        <v>0</v>
      </c>
      <c r="J821" s="3">
        <v>3358</v>
      </c>
      <c r="K821" s="4">
        <f t="shared" si="480"/>
        <v>11642</v>
      </c>
      <c r="L821" s="4">
        <v>15000</v>
      </c>
      <c r="N821" s="4">
        <f t="shared" si="481"/>
        <v>0</v>
      </c>
      <c r="P821" s="3">
        <v>15000</v>
      </c>
      <c r="R821" s="3">
        <v>3366</v>
      </c>
      <c r="S821" s="3">
        <f t="shared" si="482"/>
        <v>4134</v>
      </c>
      <c r="T821" s="3">
        <v>7500</v>
      </c>
      <c r="U821" s="3">
        <f t="shared" si="483"/>
        <v>-7500</v>
      </c>
      <c r="V821" s="3">
        <v>3366</v>
      </c>
      <c r="W821" s="3">
        <f t="shared" si="484"/>
        <v>4134</v>
      </c>
      <c r="Y821" s="3">
        <v>7500</v>
      </c>
      <c r="Z821" s="3">
        <f t="shared" si="485"/>
        <v>0</v>
      </c>
      <c r="AC821" s="3">
        <v>3973</v>
      </c>
      <c r="AD821" s="3">
        <f t="shared" si="486"/>
        <v>3527</v>
      </c>
      <c r="AE821" s="3">
        <v>7500</v>
      </c>
      <c r="AF821" s="3">
        <f t="shared" si="487"/>
        <v>0</v>
      </c>
      <c r="AI821" s="3">
        <f>AE821*1.03+25</f>
        <v>7750</v>
      </c>
      <c r="AK821" s="3">
        <f>AI821-1000</f>
        <v>6750</v>
      </c>
      <c r="AM821" s="3">
        <f>AK821-1000</f>
        <v>5750</v>
      </c>
      <c r="AO821" s="3">
        <f>AM821-1000</f>
        <v>4750</v>
      </c>
      <c r="AQ821" s="3">
        <f>AO821-1000</f>
        <v>3750</v>
      </c>
      <c r="AS821" s="3">
        <f>AQ821-1000</f>
        <v>2750</v>
      </c>
      <c r="AU821" s="3">
        <f>AS821-1000</f>
        <v>1750</v>
      </c>
      <c r="AW821" s="3">
        <f>AU821-1000</f>
        <v>750</v>
      </c>
      <c r="BC821" s="3"/>
      <c r="BE821" s="3"/>
    </row>
    <row r="822" spans="1:1015 1029:2039 2053:3063 3077:4087 4101:5111 5125:6135 6149:7159 7173:8183 8197:9207 9221:10231 10245:11255 11269:12279 12293:13303 13317:14327 14341:15351 15365:16373" hidden="1" outlineLevel="1" x14ac:dyDescent="0.25">
      <c r="A822" s="3" t="s">
        <v>592</v>
      </c>
      <c r="B822" s="3">
        <v>5000</v>
      </c>
      <c r="D822" s="3">
        <v>0</v>
      </c>
      <c r="E822" s="3">
        <f t="shared" si="478"/>
        <v>5000</v>
      </c>
      <c r="F822" s="3">
        <v>5000</v>
      </c>
      <c r="H822" s="3">
        <f t="shared" si="479"/>
        <v>0</v>
      </c>
      <c r="J822" s="3">
        <v>0</v>
      </c>
      <c r="K822" s="4">
        <f t="shared" si="480"/>
        <v>5000</v>
      </c>
      <c r="L822" s="4">
        <v>5000</v>
      </c>
      <c r="N822" s="4">
        <f t="shared" si="481"/>
        <v>0</v>
      </c>
      <c r="P822" s="3">
        <v>5000</v>
      </c>
      <c r="R822" s="3">
        <v>0</v>
      </c>
      <c r="S822" s="3">
        <f t="shared" si="482"/>
        <v>5000</v>
      </c>
      <c r="T822" s="3">
        <v>5000</v>
      </c>
      <c r="U822" s="3">
        <f t="shared" si="483"/>
        <v>0</v>
      </c>
      <c r="V822" s="3">
        <v>0</v>
      </c>
      <c r="W822" s="3">
        <f t="shared" si="484"/>
        <v>5000</v>
      </c>
      <c r="Y822" s="3">
        <v>5000</v>
      </c>
      <c r="Z822" s="3">
        <f t="shared" si="485"/>
        <v>0</v>
      </c>
      <c r="AC822" s="3">
        <v>0</v>
      </c>
      <c r="AD822" s="3">
        <f t="shared" si="486"/>
        <v>5000</v>
      </c>
      <c r="AE822" s="3">
        <v>5000</v>
      </c>
      <c r="AF822" s="3">
        <f t="shared" si="487"/>
        <v>0</v>
      </c>
      <c r="AI822" s="3">
        <v>5000</v>
      </c>
      <c r="AK822" s="3">
        <v>5000</v>
      </c>
      <c r="AM822" s="3">
        <v>5000</v>
      </c>
      <c r="AO822" s="3">
        <v>5000</v>
      </c>
      <c r="AQ822" s="3">
        <v>5000</v>
      </c>
      <c r="AS822" s="3">
        <v>5000</v>
      </c>
      <c r="AU822" s="3">
        <v>5000</v>
      </c>
      <c r="AW822" s="3">
        <v>5000</v>
      </c>
      <c r="AY822" s="3">
        <v>5000</v>
      </c>
      <c r="BA822" s="3">
        <v>5000</v>
      </c>
      <c r="BC822" s="3">
        <v>5000</v>
      </c>
      <c r="BE822" s="3">
        <v>5000</v>
      </c>
    </row>
    <row r="823" spans="1:1015 1029:2039 2053:3063 3077:4087 4101:5111 5125:6135 6149:7159 7173:8183 8197:9207 9221:10231 10245:11255 11269:12279 12293:13303 13317:14327 14341:15351 15365:16373" hidden="1" outlineLevel="1" x14ac:dyDescent="0.25">
      <c r="A823" s="267" t="s">
        <v>593</v>
      </c>
      <c r="B823" s="3">
        <v>15000</v>
      </c>
      <c r="D823" s="3">
        <v>0</v>
      </c>
      <c r="E823" s="3">
        <f t="shared" si="478"/>
        <v>15000</v>
      </c>
      <c r="F823" s="3">
        <v>15000</v>
      </c>
      <c r="H823" s="3">
        <f t="shared" si="479"/>
        <v>0</v>
      </c>
      <c r="J823" s="3">
        <v>0</v>
      </c>
      <c r="K823" s="4">
        <f t="shared" si="480"/>
        <v>15000</v>
      </c>
      <c r="L823" s="4">
        <v>15000</v>
      </c>
      <c r="N823" s="4">
        <f t="shared" si="481"/>
        <v>0</v>
      </c>
      <c r="P823" s="3">
        <v>8000</v>
      </c>
      <c r="R823" s="3">
        <v>0</v>
      </c>
      <c r="S823" s="3">
        <f t="shared" si="482"/>
        <v>8000</v>
      </c>
      <c r="T823" s="3">
        <v>8000</v>
      </c>
      <c r="U823" s="3">
        <f t="shared" si="483"/>
        <v>0</v>
      </c>
      <c r="V823" s="3">
        <v>0</v>
      </c>
      <c r="W823" s="3">
        <f t="shared" si="484"/>
        <v>8000</v>
      </c>
      <c r="Y823" s="3">
        <v>8000</v>
      </c>
      <c r="Z823" s="3">
        <f t="shared" si="485"/>
        <v>0</v>
      </c>
      <c r="AC823" s="3">
        <v>0</v>
      </c>
      <c r="AD823" s="3">
        <f t="shared" si="486"/>
        <v>8000</v>
      </c>
      <c r="AE823" s="3">
        <v>8000</v>
      </c>
      <c r="AF823" s="3">
        <f t="shared" si="487"/>
        <v>0</v>
      </c>
      <c r="AI823" s="3">
        <v>7000</v>
      </c>
      <c r="AK823" s="3">
        <v>6000</v>
      </c>
      <c r="AM823" s="3">
        <v>6000</v>
      </c>
      <c r="AO823" s="3">
        <v>6000</v>
      </c>
      <c r="AQ823" s="3">
        <v>6000</v>
      </c>
      <c r="AS823" s="3">
        <v>6000</v>
      </c>
      <c r="AU823" s="3">
        <v>6000</v>
      </c>
      <c r="AW823" s="3">
        <v>6000</v>
      </c>
      <c r="AY823" s="3">
        <v>6000</v>
      </c>
      <c r="BA823" s="3">
        <v>6000</v>
      </c>
      <c r="BC823" s="3">
        <v>6000</v>
      </c>
      <c r="BE823" s="3">
        <v>6000</v>
      </c>
      <c r="BI823" s="268"/>
      <c r="BJ823" s="268"/>
      <c r="BK823" s="268"/>
      <c r="BL823" s="268"/>
      <c r="BM823" s="268"/>
      <c r="BN823" s="268"/>
      <c r="BO823" s="268"/>
      <c r="BP823" s="268"/>
      <c r="BQ823" s="268"/>
      <c r="BR823" s="268"/>
      <c r="BS823" s="268"/>
      <c r="BT823" s="268"/>
      <c r="BU823" s="268"/>
      <c r="BV823" s="268"/>
      <c r="BW823" s="268"/>
      <c r="BX823" s="268"/>
      <c r="BY823" s="268"/>
      <c r="BZ823" s="268"/>
      <c r="CA823" s="268"/>
      <c r="CB823" s="268"/>
      <c r="CC823" s="268"/>
      <c r="CD823" s="268"/>
      <c r="CE823" s="268"/>
      <c r="CF823" s="268"/>
      <c r="CG823" s="268"/>
      <c r="CH823" s="268"/>
      <c r="CI823" s="268"/>
      <c r="CJ823" s="268"/>
      <c r="CK823" s="268"/>
      <c r="CL823" s="268"/>
      <c r="CM823" s="268"/>
      <c r="CN823" s="268"/>
      <c r="CO823" s="268"/>
      <c r="CP823" s="268"/>
      <c r="CQ823" s="268"/>
      <c r="CR823" s="268"/>
      <c r="CS823" s="268"/>
      <c r="CT823" s="268"/>
      <c r="CU823" s="268"/>
      <c r="CV823" s="268"/>
      <c r="CW823" s="268"/>
      <c r="CX823" s="268"/>
      <c r="CY823" s="268"/>
      <c r="CZ823" s="268"/>
      <c r="DA823" s="268"/>
      <c r="DB823" s="268"/>
      <c r="DC823" s="268"/>
      <c r="DD823" s="268"/>
      <c r="DE823" s="268"/>
      <c r="DF823" s="268"/>
      <c r="DG823" s="268"/>
      <c r="DH823" s="268"/>
      <c r="DI823" s="268"/>
      <c r="DJ823" s="268"/>
      <c r="DK823" s="268"/>
      <c r="DL823" s="268"/>
      <c r="DM823" s="268"/>
      <c r="DN823" s="268"/>
      <c r="DO823" s="268"/>
      <c r="DP823" s="268"/>
      <c r="DQ823" s="268"/>
      <c r="DR823" s="268"/>
      <c r="DS823" s="268"/>
      <c r="DT823" s="268"/>
      <c r="DU823" s="268"/>
      <c r="DV823" s="268"/>
      <c r="DW823" s="268"/>
      <c r="DX823" s="268"/>
      <c r="DY823" s="268"/>
      <c r="DZ823" s="268"/>
      <c r="EA823" s="268"/>
      <c r="EB823" s="268"/>
      <c r="EC823" s="268"/>
      <c r="ED823" s="268"/>
      <c r="EE823" s="268"/>
      <c r="EF823" s="268"/>
      <c r="EG823" s="268"/>
      <c r="EH823" s="268"/>
      <c r="EI823" s="268"/>
      <c r="EJ823" s="268"/>
      <c r="EK823" s="268"/>
      <c r="EL823" s="268"/>
      <c r="EM823" s="268"/>
      <c r="EN823" s="268"/>
      <c r="EO823" s="268"/>
      <c r="EP823" s="268"/>
      <c r="EQ823" s="268"/>
      <c r="ER823" s="268"/>
      <c r="ES823" s="268"/>
      <c r="ET823" s="268"/>
      <c r="EU823" s="268"/>
      <c r="EV823" s="268"/>
      <c r="EW823" s="268"/>
      <c r="EX823" s="268"/>
      <c r="EY823" s="268"/>
      <c r="EZ823" s="268"/>
      <c r="FA823" s="268"/>
      <c r="FB823" s="268"/>
      <c r="FC823" s="268"/>
      <c r="FD823" s="268"/>
      <c r="FE823" s="268"/>
      <c r="FF823" s="268"/>
      <c r="FG823" s="268"/>
      <c r="FH823" s="268"/>
      <c r="FI823" s="268"/>
      <c r="FJ823" s="268"/>
      <c r="FK823" s="268"/>
      <c r="FL823" s="268"/>
      <c r="FM823" s="268"/>
      <c r="FN823" s="268"/>
      <c r="FO823" s="268"/>
      <c r="FP823" s="268"/>
      <c r="FQ823" s="268"/>
      <c r="FR823" s="268"/>
      <c r="FS823" s="268"/>
      <c r="FT823" s="268"/>
      <c r="FU823" s="268"/>
      <c r="FV823" s="268"/>
      <c r="FW823" s="268"/>
      <c r="FX823" s="268"/>
      <c r="FY823" s="268"/>
      <c r="FZ823" s="268"/>
      <c r="GA823" s="268"/>
      <c r="GB823" s="268"/>
      <c r="GC823" s="268"/>
      <c r="GD823" s="268"/>
      <c r="GE823" s="268"/>
      <c r="GF823" s="268"/>
      <c r="GG823" s="268"/>
      <c r="GH823" s="268"/>
      <c r="GI823" s="268"/>
      <c r="GJ823" s="268"/>
      <c r="GK823" s="268"/>
      <c r="GL823" s="268"/>
      <c r="GM823" s="268"/>
      <c r="GN823" s="268"/>
      <c r="GO823" s="268"/>
      <c r="GP823" s="268"/>
      <c r="GQ823" s="268"/>
      <c r="GR823" s="268"/>
      <c r="GS823" s="268"/>
      <c r="GT823" s="268"/>
      <c r="GU823" s="268"/>
      <c r="GV823" s="268"/>
      <c r="GW823" s="268"/>
      <c r="GX823" s="268"/>
      <c r="GY823" s="268"/>
      <c r="GZ823" s="268"/>
      <c r="HA823" s="268"/>
      <c r="HB823" s="268"/>
      <c r="HC823" s="268"/>
      <c r="HD823" s="268"/>
      <c r="HE823" s="268"/>
      <c r="HF823" s="268"/>
      <c r="HG823" s="268"/>
      <c r="HH823" s="268"/>
      <c r="HI823" s="268"/>
      <c r="HJ823" s="268"/>
      <c r="HK823" s="268"/>
      <c r="HL823" s="268"/>
      <c r="HM823" s="268"/>
      <c r="HN823" s="268"/>
      <c r="HO823" s="268"/>
      <c r="HP823" s="268"/>
      <c r="HQ823" s="268"/>
      <c r="HR823" s="268"/>
      <c r="HS823" s="268"/>
      <c r="HT823" s="268"/>
      <c r="HU823" s="268"/>
      <c r="HV823" s="268"/>
      <c r="HW823" s="268"/>
      <c r="HX823" s="268"/>
      <c r="HY823" s="268"/>
      <c r="HZ823" s="268"/>
      <c r="IA823" s="268"/>
      <c r="IB823" s="268"/>
      <c r="IC823" s="268"/>
      <c r="ID823" s="268"/>
      <c r="IE823" s="268"/>
      <c r="IF823" s="268"/>
      <c r="IG823" s="268"/>
      <c r="IH823" s="268"/>
      <c r="II823" s="268"/>
      <c r="IJ823" s="268"/>
      <c r="IK823" s="268"/>
      <c r="IL823" s="268"/>
      <c r="IM823" s="268"/>
      <c r="JA823" s="268"/>
      <c r="JB823" s="268"/>
      <c r="JC823" s="268"/>
      <c r="JQ823" s="268"/>
      <c r="JS823" s="268"/>
      <c r="JT823" s="268"/>
      <c r="JU823" s="268"/>
      <c r="JV823" s="268"/>
      <c r="JW823" s="268"/>
      <c r="JX823" s="268"/>
      <c r="JY823" s="268"/>
      <c r="JZ823" s="268"/>
      <c r="KA823" s="268"/>
      <c r="KB823" s="268"/>
      <c r="KC823" s="268"/>
      <c r="KD823" s="268"/>
      <c r="KE823" s="268"/>
      <c r="KF823" s="268"/>
      <c r="KG823" s="268"/>
      <c r="KH823" s="268"/>
      <c r="KI823" s="268"/>
      <c r="KJ823" s="268"/>
      <c r="KK823" s="268"/>
      <c r="KL823" s="268"/>
      <c r="KM823" s="268"/>
      <c r="KN823" s="268"/>
      <c r="KO823" s="268"/>
      <c r="KP823" s="268"/>
      <c r="KQ823" s="268"/>
      <c r="KR823" s="268"/>
      <c r="KS823" s="268"/>
      <c r="KT823" s="268"/>
      <c r="KU823" s="268"/>
      <c r="KV823" s="268"/>
      <c r="KW823" s="268"/>
      <c r="KX823" s="268"/>
      <c r="KY823" s="268"/>
      <c r="KZ823" s="268"/>
      <c r="LA823" s="268"/>
      <c r="LB823" s="268"/>
      <c r="LC823" s="268"/>
      <c r="LD823" s="268"/>
      <c r="LE823" s="268"/>
      <c r="LF823" s="268"/>
      <c r="LG823" s="268"/>
      <c r="LH823" s="268"/>
      <c r="LI823" s="268"/>
      <c r="LJ823" s="268"/>
      <c r="LK823" s="268"/>
      <c r="LL823" s="268"/>
      <c r="LM823" s="268"/>
      <c r="LN823" s="268"/>
      <c r="LO823" s="268"/>
      <c r="LP823" s="268"/>
      <c r="LQ823" s="268"/>
      <c r="LR823" s="268"/>
      <c r="LS823" s="268"/>
      <c r="LT823" s="268"/>
      <c r="LU823" s="268"/>
      <c r="LV823" s="268"/>
      <c r="LW823" s="268"/>
      <c r="LX823" s="268"/>
      <c r="LY823" s="268"/>
      <c r="LZ823" s="268"/>
      <c r="MA823" s="268"/>
      <c r="MB823" s="268"/>
      <c r="MC823" s="268"/>
      <c r="MD823" s="268"/>
      <c r="ME823" s="268"/>
      <c r="MF823" s="268"/>
      <c r="MG823" s="268"/>
      <c r="MH823" s="268"/>
      <c r="MI823" s="268"/>
      <c r="MJ823" s="268"/>
      <c r="MK823" s="268"/>
      <c r="ML823" s="268"/>
      <c r="MM823" s="268"/>
      <c r="MN823" s="268"/>
      <c r="MO823" s="268"/>
      <c r="MP823" s="268"/>
      <c r="MQ823" s="268"/>
      <c r="MR823" s="268"/>
      <c r="MS823" s="268"/>
      <c r="MT823" s="268"/>
      <c r="MU823" s="268"/>
      <c r="MV823" s="268"/>
      <c r="MW823" s="268"/>
      <c r="MX823" s="268"/>
      <c r="MY823" s="268"/>
      <c r="MZ823" s="268"/>
      <c r="NA823" s="268"/>
      <c r="NB823" s="268"/>
      <c r="NC823" s="268"/>
      <c r="ND823" s="268"/>
      <c r="NE823" s="268"/>
      <c r="NF823" s="268"/>
      <c r="NG823" s="268"/>
      <c r="NH823" s="268"/>
      <c r="NI823" s="268"/>
      <c r="NJ823" s="268"/>
      <c r="NK823" s="268"/>
      <c r="NL823" s="268"/>
      <c r="NM823" s="268"/>
      <c r="NN823" s="268"/>
      <c r="NO823" s="268"/>
      <c r="NP823" s="268"/>
      <c r="NQ823" s="268"/>
      <c r="NR823" s="268"/>
      <c r="NS823" s="268"/>
      <c r="NT823" s="268"/>
      <c r="NU823" s="268"/>
      <c r="NV823" s="268"/>
      <c r="NW823" s="268"/>
      <c r="NX823" s="268"/>
      <c r="NY823" s="268"/>
      <c r="NZ823" s="268"/>
      <c r="OA823" s="268"/>
      <c r="OB823" s="268"/>
      <c r="OC823" s="268"/>
      <c r="OD823" s="268"/>
      <c r="OE823" s="268"/>
      <c r="OF823" s="268"/>
      <c r="OG823" s="268"/>
      <c r="OH823" s="268"/>
      <c r="OI823" s="268"/>
      <c r="OJ823" s="268"/>
      <c r="OK823" s="268"/>
      <c r="OL823" s="268"/>
      <c r="OM823" s="268"/>
      <c r="ON823" s="268"/>
      <c r="OO823" s="268"/>
      <c r="OP823" s="268"/>
      <c r="OQ823" s="268"/>
      <c r="OR823" s="268"/>
      <c r="OS823" s="268"/>
      <c r="OT823" s="268"/>
      <c r="OU823" s="268"/>
      <c r="OV823" s="268"/>
      <c r="OW823" s="268"/>
      <c r="OX823" s="268"/>
      <c r="OY823" s="268"/>
      <c r="OZ823" s="268"/>
      <c r="PA823" s="268"/>
      <c r="PB823" s="268"/>
      <c r="PC823" s="268"/>
      <c r="PD823" s="268"/>
      <c r="PE823" s="268"/>
      <c r="PF823" s="268"/>
      <c r="PG823" s="268"/>
      <c r="PH823" s="268"/>
      <c r="PI823" s="268"/>
      <c r="PJ823" s="268"/>
      <c r="PK823" s="268"/>
      <c r="PL823" s="268"/>
      <c r="PM823" s="268"/>
      <c r="PN823" s="268"/>
      <c r="PO823" s="268"/>
      <c r="PP823" s="268"/>
      <c r="PQ823" s="268"/>
      <c r="PR823" s="268"/>
      <c r="PS823" s="268"/>
      <c r="PT823" s="268"/>
      <c r="PU823" s="268"/>
      <c r="PV823" s="268"/>
      <c r="PW823" s="268"/>
      <c r="PX823" s="268"/>
      <c r="PY823" s="268"/>
      <c r="PZ823" s="268"/>
      <c r="QA823" s="268"/>
      <c r="QB823" s="268"/>
      <c r="QC823" s="268"/>
      <c r="QD823" s="268"/>
      <c r="QE823" s="268"/>
      <c r="QF823" s="268"/>
      <c r="QG823" s="268"/>
      <c r="QH823" s="268"/>
      <c r="QI823" s="268"/>
      <c r="QJ823" s="268"/>
      <c r="QK823" s="268"/>
      <c r="QL823" s="268"/>
      <c r="QM823" s="268"/>
      <c r="QN823" s="268"/>
      <c r="QO823" s="268"/>
      <c r="QP823" s="268"/>
      <c r="QQ823" s="268"/>
      <c r="QR823" s="268"/>
      <c r="QS823" s="268"/>
      <c r="QT823" s="268"/>
      <c r="QU823" s="268"/>
      <c r="QV823" s="268"/>
      <c r="QW823" s="268"/>
      <c r="QX823" s="268"/>
      <c r="QY823" s="268"/>
      <c r="QZ823" s="268"/>
      <c r="RA823" s="268"/>
      <c r="RB823" s="268"/>
      <c r="RC823" s="268"/>
      <c r="RD823" s="268"/>
      <c r="RE823" s="268"/>
      <c r="RF823" s="268"/>
      <c r="RG823" s="268"/>
      <c r="RH823" s="268"/>
      <c r="RI823" s="268"/>
      <c r="RJ823" s="268"/>
      <c r="RK823" s="268"/>
      <c r="RL823" s="268"/>
      <c r="RM823" s="268"/>
      <c r="RN823" s="268"/>
      <c r="RO823" s="268"/>
      <c r="RP823" s="268"/>
      <c r="RQ823" s="268"/>
      <c r="RR823" s="268"/>
      <c r="RS823" s="268"/>
      <c r="RT823" s="268"/>
      <c r="RU823" s="268"/>
      <c r="RV823" s="268"/>
      <c r="RW823" s="268"/>
      <c r="RX823" s="268"/>
      <c r="RY823" s="268"/>
      <c r="RZ823" s="268"/>
      <c r="SA823" s="268"/>
      <c r="SB823" s="268"/>
      <c r="SC823" s="268"/>
      <c r="SD823" s="268"/>
      <c r="SE823" s="268"/>
      <c r="SF823" s="268"/>
      <c r="SG823" s="268"/>
      <c r="SH823" s="268"/>
      <c r="SI823" s="268"/>
      <c r="SW823" s="268"/>
      <c r="SX823" s="268"/>
      <c r="SY823" s="268"/>
      <c r="TM823" s="268"/>
      <c r="TO823" s="268"/>
      <c r="TP823" s="268"/>
      <c r="TQ823" s="268"/>
      <c r="TR823" s="268"/>
      <c r="TS823" s="268"/>
      <c r="TT823" s="268"/>
      <c r="TU823" s="268"/>
      <c r="TV823" s="268"/>
      <c r="TW823" s="268"/>
      <c r="TX823" s="268"/>
      <c r="TY823" s="268"/>
      <c r="TZ823" s="268"/>
      <c r="UA823" s="268"/>
      <c r="UB823" s="268"/>
      <c r="UC823" s="268"/>
      <c r="UD823" s="268"/>
      <c r="UE823" s="268"/>
      <c r="UF823" s="268"/>
      <c r="UG823" s="268"/>
      <c r="UH823" s="268"/>
      <c r="UI823" s="268"/>
      <c r="UJ823" s="268"/>
      <c r="UK823" s="268"/>
      <c r="UL823" s="268"/>
      <c r="UM823" s="268"/>
      <c r="UN823" s="268"/>
      <c r="UO823" s="268"/>
      <c r="UP823" s="268"/>
      <c r="UQ823" s="268"/>
      <c r="UR823" s="268"/>
      <c r="US823" s="268"/>
      <c r="UT823" s="268"/>
      <c r="UU823" s="268"/>
      <c r="UV823" s="268"/>
      <c r="UW823" s="268"/>
      <c r="UX823" s="268"/>
      <c r="UY823" s="268"/>
      <c r="UZ823" s="268"/>
      <c r="VA823" s="268"/>
      <c r="VB823" s="268"/>
      <c r="VC823" s="268"/>
      <c r="VD823" s="268"/>
      <c r="VE823" s="268"/>
      <c r="VF823" s="268"/>
      <c r="VG823" s="268"/>
      <c r="VH823" s="268"/>
      <c r="VI823" s="268"/>
      <c r="VJ823" s="268"/>
      <c r="VK823" s="268"/>
      <c r="VL823" s="268"/>
      <c r="VM823" s="268"/>
      <c r="VN823" s="268"/>
      <c r="VO823" s="268"/>
      <c r="VP823" s="268"/>
      <c r="VQ823" s="268"/>
      <c r="VR823" s="268"/>
      <c r="VS823" s="268"/>
      <c r="VT823" s="268"/>
      <c r="VU823" s="268"/>
      <c r="VV823" s="268"/>
      <c r="VW823" s="268"/>
      <c r="VX823" s="268"/>
      <c r="VY823" s="268"/>
      <c r="VZ823" s="268"/>
      <c r="WA823" s="268"/>
      <c r="WB823" s="268"/>
      <c r="WC823" s="268"/>
      <c r="WD823" s="268"/>
      <c r="WE823" s="268"/>
      <c r="WF823" s="268"/>
      <c r="WG823" s="268"/>
      <c r="WH823" s="268"/>
      <c r="WI823" s="268"/>
      <c r="WJ823" s="268"/>
      <c r="WK823" s="268"/>
      <c r="WL823" s="268"/>
      <c r="WM823" s="268"/>
      <c r="WN823" s="268"/>
      <c r="WO823" s="268"/>
      <c r="WP823" s="268"/>
      <c r="WQ823" s="268"/>
      <c r="WR823" s="268"/>
      <c r="WS823" s="268"/>
      <c r="WT823" s="268"/>
      <c r="WU823" s="268"/>
      <c r="WV823" s="268"/>
      <c r="WW823" s="268"/>
      <c r="WX823" s="268"/>
      <c r="WY823" s="268"/>
      <c r="WZ823" s="268"/>
      <c r="XA823" s="268"/>
      <c r="XB823" s="268"/>
      <c r="XC823" s="268"/>
      <c r="XD823" s="268"/>
      <c r="XE823" s="268"/>
      <c r="XF823" s="268"/>
      <c r="XG823" s="268"/>
      <c r="XH823" s="268"/>
      <c r="XI823" s="268"/>
      <c r="XJ823" s="268"/>
      <c r="XK823" s="268"/>
      <c r="XL823" s="268"/>
      <c r="XM823" s="268"/>
      <c r="XN823" s="268"/>
      <c r="XO823" s="268"/>
      <c r="XP823" s="268"/>
      <c r="XQ823" s="268"/>
      <c r="XR823" s="268"/>
      <c r="XS823" s="268"/>
      <c r="XT823" s="268"/>
      <c r="XU823" s="268"/>
      <c r="XV823" s="268"/>
      <c r="XW823" s="268"/>
      <c r="XX823" s="268"/>
      <c r="XY823" s="268"/>
      <c r="XZ823" s="268"/>
      <c r="YA823" s="268"/>
      <c r="YB823" s="268"/>
      <c r="YC823" s="268"/>
      <c r="YD823" s="268"/>
      <c r="YE823" s="268"/>
      <c r="YF823" s="268"/>
      <c r="YG823" s="268"/>
      <c r="YH823" s="268"/>
      <c r="YI823" s="268"/>
      <c r="YJ823" s="268"/>
      <c r="YK823" s="268"/>
      <c r="YL823" s="268"/>
      <c r="YM823" s="268"/>
      <c r="YN823" s="268"/>
      <c r="YO823" s="268"/>
      <c r="YP823" s="268"/>
      <c r="YQ823" s="268"/>
      <c r="YR823" s="268"/>
      <c r="YS823" s="268"/>
      <c r="YT823" s="268"/>
      <c r="YU823" s="268"/>
      <c r="YV823" s="268"/>
      <c r="YW823" s="268"/>
      <c r="YX823" s="268"/>
      <c r="YY823" s="268"/>
      <c r="YZ823" s="268"/>
      <c r="ZA823" s="268"/>
      <c r="ZB823" s="268"/>
      <c r="ZC823" s="268"/>
      <c r="ZD823" s="268"/>
      <c r="ZE823" s="268"/>
      <c r="ZF823" s="268"/>
      <c r="ZG823" s="268"/>
      <c r="ZH823" s="268"/>
      <c r="ZI823" s="268"/>
      <c r="ZJ823" s="268"/>
      <c r="ZK823" s="268"/>
      <c r="ZL823" s="268"/>
      <c r="ZM823" s="268"/>
      <c r="ZN823" s="268"/>
      <c r="ZO823" s="268"/>
      <c r="ZP823" s="268"/>
      <c r="ZQ823" s="268"/>
      <c r="ZR823" s="268"/>
      <c r="ZS823" s="268"/>
      <c r="ZT823" s="268"/>
      <c r="ZU823" s="268"/>
      <c r="ZV823" s="268"/>
      <c r="ZW823" s="268"/>
      <c r="ZX823" s="268"/>
      <c r="ZY823" s="268"/>
      <c r="ZZ823" s="268"/>
      <c r="AAA823" s="268"/>
      <c r="AAB823" s="268"/>
      <c r="AAC823" s="268"/>
      <c r="AAD823" s="268"/>
      <c r="AAE823" s="268"/>
      <c r="AAF823" s="268"/>
      <c r="AAG823" s="268"/>
      <c r="AAH823" s="268"/>
      <c r="AAI823" s="268"/>
      <c r="AAJ823" s="268"/>
      <c r="AAK823" s="268"/>
      <c r="AAL823" s="268"/>
      <c r="AAM823" s="268"/>
      <c r="AAN823" s="268"/>
      <c r="AAO823" s="268"/>
      <c r="AAP823" s="268"/>
      <c r="AAQ823" s="268"/>
      <c r="AAR823" s="268"/>
      <c r="AAS823" s="268"/>
      <c r="AAT823" s="268"/>
      <c r="AAU823" s="268"/>
      <c r="AAV823" s="268"/>
      <c r="AAW823" s="268"/>
      <c r="AAX823" s="268"/>
      <c r="AAY823" s="268"/>
      <c r="AAZ823" s="268"/>
      <c r="ABA823" s="268"/>
      <c r="ABB823" s="268"/>
      <c r="ABC823" s="268"/>
      <c r="ABD823" s="268"/>
      <c r="ABE823" s="268"/>
      <c r="ABF823" s="268"/>
      <c r="ABG823" s="268"/>
      <c r="ABH823" s="268"/>
      <c r="ABI823" s="268"/>
      <c r="ABJ823" s="268"/>
      <c r="ABK823" s="268"/>
      <c r="ABL823" s="268"/>
      <c r="ABM823" s="268"/>
      <c r="ABN823" s="268"/>
      <c r="ABO823" s="268"/>
      <c r="ABP823" s="268"/>
      <c r="ABQ823" s="268"/>
      <c r="ABR823" s="268"/>
      <c r="ABS823" s="268"/>
      <c r="ABT823" s="268"/>
      <c r="ABU823" s="268"/>
      <c r="ABV823" s="268"/>
      <c r="ABW823" s="268"/>
      <c r="ABX823" s="268"/>
      <c r="ABY823" s="268"/>
      <c r="ABZ823" s="268"/>
      <c r="ACA823" s="268"/>
      <c r="ACB823" s="268"/>
      <c r="ACC823" s="268"/>
      <c r="ACD823" s="268"/>
      <c r="ACE823" s="268"/>
      <c r="ACS823" s="268"/>
      <c r="ACT823" s="268"/>
      <c r="ACU823" s="268"/>
      <c r="ADI823" s="268"/>
      <c r="ADK823" s="268"/>
      <c r="ADL823" s="268"/>
      <c r="ADM823" s="268"/>
      <c r="ADN823" s="268"/>
      <c r="ADO823" s="268"/>
      <c r="ADP823" s="268"/>
      <c r="ADQ823" s="268"/>
      <c r="ADR823" s="268"/>
      <c r="ADS823" s="268"/>
      <c r="ADT823" s="268"/>
      <c r="ADU823" s="268"/>
      <c r="ADV823" s="268"/>
      <c r="ADW823" s="268"/>
      <c r="ADX823" s="268"/>
      <c r="ADY823" s="268"/>
      <c r="ADZ823" s="268"/>
      <c r="AEA823" s="268"/>
      <c r="AEB823" s="268"/>
      <c r="AEC823" s="268"/>
      <c r="AED823" s="268"/>
      <c r="AEE823" s="268"/>
      <c r="AEF823" s="268"/>
      <c r="AEG823" s="268"/>
      <c r="AEH823" s="268"/>
      <c r="AEI823" s="268"/>
      <c r="AEJ823" s="268"/>
      <c r="AEK823" s="268"/>
      <c r="AEL823" s="268"/>
      <c r="AEM823" s="268"/>
      <c r="AEN823" s="268"/>
      <c r="AEO823" s="268"/>
      <c r="AEP823" s="268"/>
      <c r="AEQ823" s="268"/>
      <c r="AER823" s="268"/>
      <c r="AES823" s="268"/>
      <c r="AET823" s="268"/>
      <c r="AEU823" s="268"/>
      <c r="AEV823" s="268"/>
      <c r="AEW823" s="268"/>
      <c r="AEX823" s="268"/>
      <c r="AEY823" s="268"/>
      <c r="AEZ823" s="268"/>
      <c r="AFA823" s="268"/>
      <c r="AFB823" s="268"/>
      <c r="AFC823" s="268"/>
      <c r="AFD823" s="268"/>
      <c r="AFE823" s="268"/>
      <c r="AFF823" s="268"/>
      <c r="AFG823" s="268"/>
      <c r="AFH823" s="268"/>
      <c r="AFI823" s="268"/>
      <c r="AFJ823" s="268"/>
      <c r="AFK823" s="268"/>
      <c r="AFL823" s="268"/>
      <c r="AFM823" s="268"/>
      <c r="AFN823" s="268"/>
      <c r="AFO823" s="268"/>
      <c r="AFP823" s="268"/>
      <c r="AFQ823" s="268"/>
      <c r="AFR823" s="268"/>
      <c r="AFS823" s="268"/>
      <c r="AFT823" s="268"/>
      <c r="AFU823" s="268"/>
      <c r="AFV823" s="268"/>
      <c r="AFW823" s="268"/>
      <c r="AFX823" s="268"/>
      <c r="AFY823" s="268"/>
      <c r="AFZ823" s="268"/>
      <c r="AGA823" s="268"/>
      <c r="AGB823" s="268"/>
      <c r="AGC823" s="268"/>
      <c r="AGD823" s="268"/>
      <c r="AGE823" s="268"/>
      <c r="AGF823" s="268"/>
      <c r="AGG823" s="268"/>
      <c r="AGH823" s="268"/>
      <c r="AGI823" s="268"/>
      <c r="AGJ823" s="268"/>
      <c r="AGK823" s="268"/>
      <c r="AGL823" s="268"/>
      <c r="AGM823" s="268"/>
      <c r="AGN823" s="268"/>
      <c r="AGO823" s="268"/>
      <c r="AGP823" s="268"/>
      <c r="AGQ823" s="268"/>
      <c r="AGR823" s="268"/>
      <c r="AGS823" s="268"/>
      <c r="AGT823" s="268"/>
      <c r="AGU823" s="268"/>
      <c r="AGV823" s="268"/>
      <c r="AGW823" s="268"/>
      <c r="AGX823" s="268"/>
      <c r="AGY823" s="268"/>
      <c r="AGZ823" s="268"/>
      <c r="AHA823" s="268"/>
      <c r="AHB823" s="268"/>
      <c r="AHC823" s="268"/>
      <c r="AHD823" s="268"/>
      <c r="AHE823" s="268"/>
      <c r="AHF823" s="268"/>
      <c r="AHG823" s="268"/>
      <c r="AHH823" s="268"/>
      <c r="AHI823" s="268"/>
      <c r="AHJ823" s="268"/>
      <c r="AHK823" s="268"/>
      <c r="AHL823" s="268"/>
      <c r="AHM823" s="268"/>
      <c r="AHN823" s="268"/>
      <c r="AHO823" s="268"/>
      <c r="AHP823" s="268"/>
      <c r="AHQ823" s="268"/>
      <c r="AHR823" s="268"/>
      <c r="AHS823" s="268"/>
      <c r="AHT823" s="268"/>
      <c r="AHU823" s="268"/>
      <c r="AHV823" s="268"/>
      <c r="AHW823" s="268"/>
      <c r="AHX823" s="268"/>
      <c r="AHY823" s="268"/>
      <c r="AHZ823" s="268"/>
      <c r="AIA823" s="268"/>
      <c r="AIB823" s="268"/>
      <c r="AIC823" s="268"/>
      <c r="AID823" s="268"/>
      <c r="AIE823" s="268"/>
      <c r="AIF823" s="268"/>
      <c r="AIG823" s="268"/>
      <c r="AIH823" s="268"/>
      <c r="AII823" s="268"/>
      <c r="AIJ823" s="268"/>
      <c r="AIK823" s="268"/>
      <c r="AIL823" s="268"/>
      <c r="AIM823" s="268"/>
      <c r="AIN823" s="268"/>
      <c r="AIO823" s="268"/>
      <c r="AIP823" s="268"/>
      <c r="AIQ823" s="268"/>
      <c r="AIR823" s="268"/>
      <c r="AIS823" s="268"/>
      <c r="AIT823" s="268"/>
      <c r="AIU823" s="268"/>
      <c r="AIV823" s="268"/>
      <c r="AIW823" s="268"/>
      <c r="AIX823" s="268"/>
      <c r="AIY823" s="268"/>
      <c r="AIZ823" s="268"/>
      <c r="AJA823" s="268"/>
      <c r="AJB823" s="268"/>
      <c r="AJC823" s="268"/>
      <c r="AJD823" s="268"/>
      <c r="AJE823" s="268"/>
      <c r="AJF823" s="268"/>
      <c r="AJG823" s="268"/>
      <c r="AJH823" s="268"/>
      <c r="AJI823" s="268"/>
      <c r="AJJ823" s="268"/>
      <c r="AJK823" s="268"/>
      <c r="AJL823" s="268"/>
      <c r="AJM823" s="268"/>
      <c r="AJN823" s="268"/>
      <c r="AJO823" s="268"/>
      <c r="AJP823" s="268"/>
      <c r="AJQ823" s="268"/>
      <c r="AJR823" s="268"/>
      <c r="AJS823" s="268"/>
      <c r="AJT823" s="268"/>
      <c r="AJU823" s="268"/>
      <c r="AJV823" s="268"/>
      <c r="AJW823" s="268"/>
      <c r="AJX823" s="268"/>
      <c r="AJY823" s="268"/>
      <c r="AJZ823" s="268"/>
      <c r="AKA823" s="268"/>
      <c r="AKB823" s="268"/>
      <c r="AKC823" s="268"/>
      <c r="AKD823" s="268"/>
      <c r="AKE823" s="268"/>
      <c r="AKF823" s="268"/>
      <c r="AKG823" s="268"/>
      <c r="AKH823" s="268"/>
      <c r="AKI823" s="268"/>
      <c r="AKJ823" s="268"/>
      <c r="AKK823" s="268"/>
      <c r="AKL823" s="268"/>
      <c r="AKM823" s="268"/>
      <c r="AKN823" s="268"/>
      <c r="AKO823" s="268"/>
      <c r="AKP823" s="268"/>
      <c r="AKQ823" s="268"/>
      <c r="AKR823" s="268"/>
      <c r="AKS823" s="268"/>
      <c r="AKT823" s="268"/>
      <c r="AKU823" s="268"/>
      <c r="AKV823" s="268"/>
      <c r="AKW823" s="268"/>
      <c r="AKX823" s="268"/>
      <c r="AKY823" s="268"/>
      <c r="AKZ823" s="268"/>
      <c r="ALA823" s="268"/>
      <c r="ALB823" s="268"/>
      <c r="ALC823" s="268"/>
      <c r="ALD823" s="268"/>
      <c r="ALE823" s="268"/>
      <c r="ALF823" s="268"/>
      <c r="ALG823" s="268"/>
      <c r="ALH823" s="268"/>
      <c r="ALI823" s="268"/>
      <c r="ALJ823" s="268"/>
      <c r="ALK823" s="268"/>
      <c r="ALL823" s="268"/>
      <c r="ALM823" s="268"/>
      <c r="ALN823" s="268"/>
      <c r="ALO823" s="268"/>
      <c r="ALP823" s="268"/>
      <c r="ALQ823" s="268"/>
      <c r="ALR823" s="268"/>
      <c r="ALS823" s="268"/>
      <c r="ALT823" s="268"/>
      <c r="ALU823" s="268"/>
      <c r="ALV823" s="268"/>
      <c r="ALW823" s="268"/>
      <c r="ALX823" s="268"/>
      <c r="ALY823" s="268"/>
      <c r="ALZ823" s="268"/>
      <c r="AMA823" s="268"/>
      <c r="AMO823" s="268"/>
      <c r="AMP823" s="268"/>
      <c r="AMQ823" s="268"/>
      <c r="ANE823" s="268"/>
      <c r="ANG823" s="268"/>
      <c r="ANH823" s="268"/>
      <c r="ANI823" s="268"/>
      <c r="ANJ823" s="268"/>
      <c r="ANK823" s="268"/>
      <c r="ANL823" s="268"/>
      <c r="ANM823" s="268"/>
      <c r="ANN823" s="268"/>
      <c r="ANO823" s="268"/>
      <c r="ANP823" s="268"/>
      <c r="ANQ823" s="268"/>
      <c r="ANR823" s="268"/>
      <c r="ANS823" s="268"/>
      <c r="ANT823" s="268"/>
      <c r="ANU823" s="268"/>
      <c r="ANV823" s="268"/>
      <c r="ANW823" s="268"/>
      <c r="ANX823" s="268"/>
      <c r="ANY823" s="268"/>
      <c r="ANZ823" s="268"/>
      <c r="AOA823" s="268"/>
      <c r="AOB823" s="268"/>
      <c r="AOC823" s="268"/>
      <c r="AOD823" s="268"/>
      <c r="AOE823" s="268"/>
      <c r="AOF823" s="268"/>
      <c r="AOG823" s="268"/>
      <c r="AOH823" s="268"/>
      <c r="AOI823" s="268"/>
      <c r="AOJ823" s="268"/>
      <c r="AOK823" s="268"/>
      <c r="AOL823" s="268"/>
      <c r="AOM823" s="268"/>
      <c r="AON823" s="268"/>
      <c r="AOO823" s="268"/>
      <c r="AOP823" s="268"/>
      <c r="AOQ823" s="268"/>
      <c r="AOR823" s="268"/>
      <c r="AOS823" s="268"/>
      <c r="AOT823" s="268"/>
      <c r="AOU823" s="268"/>
      <c r="AOV823" s="268"/>
      <c r="AOW823" s="268"/>
      <c r="AOX823" s="268"/>
      <c r="AOY823" s="268"/>
      <c r="AOZ823" s="268"/>
      <c r="APA823" s="268"/>
      <c r="APB823" s="268"/>
      <c r="APC823" s="268"/>
      <c r="APD823" s="268"/>
      <c r="APE823" s="268"/>
      <c r="APF823" s="268"/>
      <c r="APG823" s="268"/>
      <c r="APH823" s="268"/>
      <c r="API823" s="268"/>
      <c r="APJ823" s="268"/>
      <c r="APK823" s="268"/>
      <c r="APL823" s="268"/>
      <c r="APM823" s="268"/>
      <c r="APN823" s="268"/>
      <c r="APO823" s="268"/>
      <c r="APP823" s="268"/>
      <c r="APQ823" s="268"/>
      <c r="APR823" s="268"/>
      <c r="APS823" s="268"/>
      <c r="APT823" s="268"/>
      <c r="APU823" s="268"/>
      <c r="APV823" s="268"/>
      <c r="APW823" s="268"/>
      <c r="APX823" s="268"/>
      <c r="APY823" s="268"/>
      <c r="APZ823" s="268"/>
      <c r="AQA823" s="268"/>
      <c r="AQB823" s="268"/>
      <c r="AQC823" s="268"/>
      <c r="AQD823" s="268"/>
      <c r="AQE823" s="268"/>
      <c r="AQF823" s="268"/>
      <c r="AQG823" s="268"/>
      <c r="AQH823" s="268"/>
      <c r="AQI823" s="268"/>
      <c r="AQJ823" s="268"/>
      <c r="AQK823" s="268"/>
      <c r="AQL823" s="268"/>
      <c r="AQM823" s="268"/>
      <c r="AQN823" s="268"/>
      <c r="AQO823" s="268"/>
      <c r="AQP823" s="268"/>
      <c r="AQQ823" s="268"/>
      <c r="AQR823" s="268"/>
      <c r="AQS823" s="268"/>
      <c r="AQT823" s="268"/>
      <c r="AQU823" s="268"/>
      <c r="AQV823" s="268"/>
      <c r="AQW823" s="268"/>
      <c r="AQX823" s="268"/>
      <c r="AQY823" s="268"/>
      <c r="AQZ823" s="268"/>
      <c r="ARA823" s="268"/>
      <c r="ARB823" s="268"/>
      <c r="ARC823" s="268"/>
      <c r="ARD823" s="268"/>
      <c r="ARE823" s="268"/>
      <c r="ARF823" s="268"/>
      <c r="ARG823" s="268"/>
      <c r="ARH823" s="268"/>
      <c r="ARI823" s="268"/>
      <c r="ARJ823" s="268"/>
      <c r="ARK823" s="268"/>
      <c r="ARL823" s="268"/>
      <c r="ARM823" s="268"/>
      <c r="ARN823" s="268"/>
      <c r="ARO823" s="268"/>
      <c r="ARP823" s="268"/>
      <c r="ARQ823" s="268"/>
      <c r="ARR823" s="268"/>
      <c r="ARS823" s="268"/>
      <c r="ART823" s="268"/>
      <c r="ARU823" s="268"/>
      <c r="ARV823" s="268"/>
      <c r="ARW823" s="268"/>
      <c r="ARX823" s="268"/>
      <c r="ARY823" s="268"/>
      <c r="ARZ823" s="268"/>
      <c r="ASA823" s="268"/>
      <c r="ASB823" s="268"/>
      <c r="ASC823" s="268"/>
      <c r="ASD823" s="268"/>
      <c r="ASE823" s="268"/>
      <c r="ASF823" s="268"/>
      <c r="ASG823" s="268"/>
      <c r="ASH823" s="268"/>
      <c r="ASI823" s="268"/>
      <c r="ASJ823" s="268"/>
      <c r="ASK823" s="268"/>
      <c r="ASL823" s="268"/>
      <c r="ASM823" s="268"/>
      <c r="ASN823" s="268"/>
      <c r="ASO823" s="268"/>
      <c r="ASP823" s="268"/>
      <c r="ASQ823" s="268"/>
      <c r="ASR823" s="268"/>
      <c r="ASS823" s="268"/>
      <c r="AST823" s="268"/>
      <c r="ASU823" s="268"/>
      <c r="ASV823" s="268"/>
      <c r="ASW823" s="268"/>
      <c r="ASX823" s="268"/>
      <c r="ASY823" s="268"/>
      <c r="ASZ823" s="268"/>
      <c r="ATA823" s="268"/>
      <c r="ATB823" s="268"/>
      <c r="ATC823" s="268"/>
      <c r="ATD823" s="268"/>
      <c r="ATE823" s="268"/>
      <c r="ATF823" s="268"/>
      <c r="ATG823" s="268"/>
      <c r="ATH823" s="268"/>
      <c r="ATI823" s="268"/>
      <c r="ATJ823" s="268"/>
      <c r="ATK823" s="268"/>
      <c r="ATL823" s="268"/>
      <c r="ATM823" s="268"/>
      <c r="ATN823" s="268"/>
      <c r="ATO823" s="268"/>
      <c r="ATP823" s="268"/>
      <c r="ATQ823" s="268"/>
      <c r="ATR823" s="268"/>
      <c r="ATS823" s="268"/>
      <c r="ATT823" s="268"/>
      <c r="ATU823" s="268"/>
      <c r="ATV823" s="268"/>
      <c r="ATW823" s="268"/>
      <c r="ATX823" s="268"/>
      <c r="ATY823" s="268"/>
      <c r="ATZ823" s="268"/>
      <c r="AUA823" s="268"/>
      <c r="AUB823" s="268"/>
      <c r="AUC823" s="268"/>
      <c r="AUD823" s="268"/>
      <c r="AUE823" s="268"/>
      <c r="AUF823" s="268"/>
      <c r="AUG823" s="268"/>
      <c r="AUH823" s="268"/>
      <c r="AUI823" s="268"/>
      <c r="AUJ823" s="268"/>
      <c r="AUK823" s="268"/>
      <c r="AUL823" s="268"/>
      <c r="AUM823" s="268"/>
      <c r="AUN823" s="268"/>
      <c r="AUO823" s="268"/>
      <c r="AUP823" s="268"/>
      <c r="AUQ823" s="268"/>
      <c r="AUR823" s="268"/>
      <c r="AUS823" s="268"/>
      <c r="AUT823" s="268"/>
      <c r="AUU823" s="268"/>
      <c r="AUV823" s="268"/>
      <c r="AUW823" s="268"/>
      <c r="AUX823" s="268"/>
      <c r="AUY823" s="268"/>
      <c r="AUZ823" s="268"/>
      <c r="AVA823" s="268"/>
      <c r="AVB823" s="268"/>
      <c r="AVC823" s="268"/>
      <c r="AVD823" s="268"/>
      <c r="AVE823" s="268"/>
      <c r="AVF823" s="268"/>
      <c r="AVG823" s="268"/>
      <c r="AVH823" s="268"/>
      <c r="AVI823" s="268"/>
      <c r="AVJ823" s="268"/>
      <c r="AVK823" s="268"/>
      <c r="AVL823" s="268"/>
      <c r="AVM823" s="268"/>
      <c r="AVN823" s="268"/>
      <c r="AVO823" s="268"/>
      <c r="AVP823" s="268"/>
      <c r="AVQ823" s="268"/>
      <c r="AVR823" s="268"/>
      <c r="AVS823" s="268"/>
      <c r="AVT823" s="268"/>
      <c r="AVU823" s="268"/>
      <c r="AVV823" s="268"/>
      <c r="AVW823" s="268"/>
      <c r="AWK823" s="268"/>
      <c r="AWL823" s="268"/>
      <c r="AWM823" s="268"/>
      <c r="AXA823" s="268"/>
      <c r="AXC823" s="268"/>
      <c r="AXD823" s="268"/>
      <c r="AXE823" s="268"/>
      <c r="AXF823" s="268"/>
      <c r="AXG823" s="268"/>
      <c r="AXH823" s="268"/>
      <c r="AXI823" s="268"/>
      <c r="AXJ823" s="268"/>
      <c r="AXK823" s="268"/>
      <c r="AXL823" s="268"/>
      <c r="AXM823" s="268"/>
      <c r="AXN823" s="268"/>
      <c r="AXO823" s="268"/>
      <c r="AXP823" s="268"/>
      <c r="AXQ823" s="268"/>
      <c r="AXR823" s="268"/>
      <c r="AXS823" s="268"/>
      <c r="AXT823" s="268"/>
      <c r="AXU823" s="268"/>
      <c r="AXV823" s="268"/>
      <c r="AXW823" s="268"/>
      <c r="AXX823" s="268"/>
      <c r="AXY823" s="268"/>
      <c r="AXZ823" s="268"/>
      <c r="AYA823" s="268"/>
      <c r="AYB823" s="268"/>
      <c r="AYC823" s="268"/>
      <c r="AYD823" s="268"/>
      <c r="AYE823" s="268"/>
      <c r="AYF823" s="268"/>
      <c r="AYG823" s="268"/>
      <c r="AYH823" s="268"/>
      <c r="AYI823" s="268"/>
      <c r="AYJ823" s="268"/>
      <c r="AYK823" s="268"/>
      <c r="AYL823" s="268"/>
      <c r="AYM823" s="268"/>
      <c r="AYN823" s="268"/>
      <c r="AYO823" s="268"/>
      <c r="AYP823" s="268"/>
      <c r="AYQ823" s="268"/>
      <c r="AYR823" s="268"/>
      <c r="AYS823" s="268"/>
      <c r="AYT823" s="268"/>
      <c r="AYU823" s="268"/>
      <c r="AYV823" s="268"/>
      <c r="AYW823" s="268"/>
      <c r="AYX823" s="268"/>
      <c r="AYY823" s="268"/>
      <c r="AYZ823" s="268"/>
      <c r="AZA823" s="268"/>
      <c r="AZB823" s="268"/>
      <c r="AZC823" s="268"/>
      <c r="AZD823" s="268"/>
      <c r="AZE823" s="268"/>
      <c r="AZF823" s="268"/>
      <c r="AZG823" s="268"/>
      <c r="AZH823" s="268"/>
      <c r="AZI823" s="268"/>
      <c r="AZJ823" s="268"/>
      <c r="AZK823" s="268"/>
      <c r="AZL823" s="268"/>
      <c r="AZM823" s="268"/>
      <c r="AZN823" s="268"/>
      <c r="AZO823" s="268"/>
      <c r="AZP823" s="268"/>
      <c r="AZQ823" s="268"/>
      <c r="AZR823" s="268"/>
      <c r="AZS823" s="268"/>
      <c r="AZT823" s="268"/>
      <c r="AZU823" s="268"/>
      <c r="AZV823" s="268"/>
      <c r="AZW823" s="268"/>
      <c r="AZX823" s="268"/>
      <c r="AZY823" s="268"/>
      <c r="AZZ823" s="268"/>
      <c r="BAA823" s="268"/>
      <c r="BAB823" s="268"/>
      <c r="BAC823" s="268"/>
      <c r="BAD823" s="268"/>
      <c r="BAE823" s="268"/>
      <c r="BAF823" s="268"/>
      <c r="BAG823" s="268"/>
      <c r="BAH823" s="268"/>
      <c r="BAI823" s="268"/>
      <c r="BAJ823" s="268"/>
      <c r="BAK823" s="268"/>
      <c r="BAL823" s="268"/>
      <c r="BAM823" s="268"/>
      <c r="BAN823" s="268"/>
      <c r="BAO823" s="268"/>
      <c r="BAP823" s="268"/>
      <c r="BAQ823" s="268"/>
      <c r="BAR823" s="268"/>
      <c r="BAS823" s="268"/>
      <c r="BAT823" s="268"/>
      <c r="BAU823" s="268"/>
      <c r="BAV823" s="268"/>
      <c r="BAW823" s="268"/>
      <c r="BAX823" s="268"/>
      <c r="BAY823" s="268"/>
      <c r="BAZ823" s="268"/>
      <c r="BBA823" s="268"/>
      <c r="BBB823" s="268"/>
      <c r="BBC823" s="268"/>
      <c r="BBD823" s="268"/>
      <c r="BBE823" s="268"/>
      <c r="BBF823" s="268"/>
      <c r="BBG823" s="268"/>
      <c r="BBH823" s="268"/>
      <c r="BBI823" s="268"/>
      <c r="BBJ823" s="268"/>
      <c r="BBK823" s="268"/>
      <c r="BBL823" s="268"/>
      <c r="BBM823" s="268"/>
      <c r="BBN823" s="268"/>
      <c r="BBO823" s="268"/>
      <c r="BBP823" s="268"/>
      <c r="BBQ823" s="268"/>
      <c r="BBR823" s="268"/>
      <c r="BBS823" s="268"/>
      <c r="BBT823" s="268"/>
      <c r="BBU823" s="268"/>
      <c r="BBV823" s="268"/>
      <c r="BBW823" s="268"/>
      <c r="BBX823" s="268"/>
      <c r="BBY823" s="268"/>
      <c r="BBZ823" s="268"/>
      <c r="BCA823" s="268"/>
      <c r="BCB823" s="268"/>
      <c r="BCC823" s="268"/>
      <c r="BCD823" s="268"/>
      <c r="BCE823" s="268"/>
      <c r="BCF823" s="268"/>
      <c r="BCG823" s="268"/>
      <c r="BCH823" s="268"/>
      <c r="BCI823" s="268"/>
      <c r="BCJ823" s="268"/>
      <c r="BCK823" s="268"/>
      <c r="BCL823" s="268"/>
      <c r="BCM823" s="268"/>
      <c r="BCN823" s="268"/>
      <c r="BCO823" s="268"/>
      <c r="BCP823" s="268"/>
      <c r="BCQ823" s="268"/>
      <c r="BCR823" s="268"/>
      <c r="BCS823" s="268"/>
      <c r="BCT823" s="268"/>
      <c r="BCU823" s="268"/>
      <c r="BCV823" s="268"/>
      <c r="BCW823" s="268"/>
      <c r="BCX823" s="268"/>
      <c r="BCY823" s="268"/>
      <c r="BCZ823" s="268"/>
      <c r="BDA823" s="268"/>
      <c r="BDB823" s="268"/>
      <c r="BDC823" s="268"/>
      <c r="BDD823" s="268"/>
      <c r="BDE823" s="268"/>
      <c r="BDF823" s="268"/>
      <c r="BDG823" s="268"/>
      <c r="BDH823" s="268"/>
      <c r="BDI823" s="268"/>
      <c r="BDJ823" s="268"/>
      <c r="BDK823" s="268"/>
      <c r="BDL823" s="268"/>
      <c r="BDM823" s="268"/>
      <c r="BDN823" s="268"/>
      <c r="BDO823" s="268"/>
      <c r="BDP823" s="268"/>
      <c r="BDQ823" s="268"/>
      <c r="BDR823" s="268"/>
      <c r="BDS823" s="268"/>
      <c r="BDT823" s="268"/>
      <c r="BDU823" s="268"/>
      <c r="BDV823" s="268"/>
      <c r="BDW823" s="268"/>
      <c r="BDX823" s="268"/>
      <c r="BDY823" s="268"/>
      <c r="BDZ823" s="268"/>
      <c r="BEA823" s="268"/>
      <c r="BEB823" s="268"/>
      <c r="BEC823" s="268"/>
      <c r="BED823" s="268"/>
      <c r="BEE823" s="268"/>
      <c r="BEF823" s="268"/>
      <c r="BEG823" s="268"/>
      <c r="BEH823" s="268"/>
      <c r="BEI823" s="268"/>
      <c r="BEJ823" s="268"/>
      <c r="BEK823" s="268"/>
      <c r="BEL823" s="268"/>
      <c r="BEM823" s="268"/>
      <c r="BEN823" s="268"/>
      <c r="BEO823" s="268"/>
      <c r="BEP823" s="268"/>
      <c r="BEQ823" s="268"/>
      <c r="BER823" s="268"/>
      <c r="BES823" s="268"/>
      <c r="BET823" s="268"/>
      <c r="BEU823" s="268"/>
      <c r="BEV823" s="268"/>
      <c r="BEW823" s="268"/>
      <c r="BEX823" s="268"/>
      <c r="BEY823" s="268"/>
      <c r="BEZ823" s="268"/>
      <c r="BFA823" s="268"/>
      <c r="BFB823" s="268"/>
      <c r="BFC823" s="268"/>
      <c r="BFD823" s="268"/>
      <c r="BFE823" s="268"/>
      <c r="BFF823" s="268"/>
      <c r="BFG823" s="268"/>
      <c r="BFH823" s="268"/>
      <c r="BFI823" s="268"/>
      <c r="BFJ823" s="268"/>
      <c r="BFK823" s="268"/>
      <c r="BFL823" s="268"/>
      <c r="BFM823" s="268"/>
      <c r="BFN823" s="268"/>
      <c r="BFO823" s="268"/>
      <c r="BFP823" s="268"/>
      <c r="BFQ823" s="268"/>
      <c r="BFR823" s="268"/>
      <c r="BFS823" s="268"/>
      <c r="BGG823" s="268"/>
      <c r="BGH823" s="268"/>
      <c r="BGI823" s="268"/>
      <c r="BGW823" s="268"/>
      <c r="BGY823" s="268"/>
      <c r="BGZ823" s="268"/>
      <c r="BHA823" s="268"/>
      <c r="BHB823" s="268"/>
      <c r="BHC823" s="268"/>
      <c r="BHD823" s="268"/>
      <c r="BHE823" s="268"/>
      <c r="BHF823" s="268"/>
      <c r="BHG823" s="268"/>
      <c r="BHH823" s="268"/>
      <c r="BHI823" s="268"/>
      <c r="BHJ823" s="268"/>
      <c r="BHK823" s="268"/>
      <c r="BHL823" s="268"/>
      <c r="BHM823" s="268"/>
      <c r="BHN823" s="268"/>
      <c r="BHO823" s="268"/>
      <c r="BHP823" s="268"/>
      <c r="BHQ823" s="268"/>
      <c r="BHR823" s="268"/>
      <c r="BHS823" s="268"/>
      <c r="BHT823" s="268"/>
      <c r="BHU823" s="268"/>
      <c r="BHV823" s="268"/>
      <c r="BHW823" s="268"/>
      <c r="BHX823" s="268"/>
      <c r="BHY823" s="268"/>
      <c r="BHZ823" s="268"/>
      <c r="BIA823" s="268"/>
      <c r="BIB823" s="268"/>
      <c r="BIC823" s="268"/>
      <c r="BID823" s="268"/>
      <c r="BIE823" s="268"/>
      <c r="BIF823" s="268"/>
      <c r="BIG823" s="268"/>
      <c r="BIH823" s="268"/>
      <c r="BII823" s="268"/>
      <c r="BIJ823" s="268"/>
      <c r="BIK823" s="268"/>
      <c r="BIL823" s="268"/>
      <c r="BIM823" s="268"/>
      <c r="BIN823" s="268"/>
      <c r="BIO823" s="268"/>
      <c r="BIP823" s="268"/>
      <c r="BIQ823" s="268"/>
      <c r="BIR823" s="268"/>
      <c r="BIS823" s="268"/>
      <c r="BIT823" s="268"/>
      <c r="BIU823" s="268"/>
      <c r="BIV823" s="268"/>
      <c r="BIW823" s="268"/>
      <c r="BIX823" s="268"/>
      <c r="BIY823" s="268"/>
      <c r="BIZ823" s="268"/>
      <c r="BJA823" s="268"/>
      <c r="BJB823" s="268"/>
      <c r="BJC823" s="268"/>
      <c r="BJD823" s="268"/>
      <c r="BJE823" s="268"/>
      <c r="BJF823" s="268"/>
      <c r="BJG823" s="268"/>
      <c r="BJH823" s="268"/>
      <c r="BJI823" s="268"/>
      <c r="BJJ823" s="268"/>
      <c r="BJK823" s="268"/>
      <c r="BJL823" s="268"/>
      <c r="BJM823" s="268"/>
      <c r="BJN823" s="268"/>
      <c r="BJO823" s="268"/>
      <c r="BJP823" s="268"/>
      <c r="BJQ823" s="268"/>
      <c r="BJR823" s="268"/>
      <c r="BJS823" s="268"/>
      <c r="BJT823" s="268"/>
      <c r="BJU823" s="268"/>
      <c r="BJV823" s="268"/>
      <c r="BJW823" s="268"/>
      <c r="BJX823" s="268"/>
      <c r="BJY823" s="268"/>
      <c r="BJZ823" s="268"/>
      <c r="BKA823" s="268"/>
      <c r="BKB823" s="268"/>
      <c r="BKC823" s="268"/>
      <c r="BKD823" s="268"/>
      <c r="BKE823" s="268"/>
      <c r="BKF823" s="268"/>
      <c r="BKG823" s="268"/>
      <c r="BKH823" s="268"/>
      <c r="BKI823" s="268"/>
      <c r="BKJ823" s="268"/>
      <c r="BKK823" s="268"/>
      <c r="BKL823" s="268"/>
      <c r="BKM823" s="268"/>
      <c r="BKN823" s="268"/>
      <c r="BKO823" s="268"/>
      <c r="BKP823" s="268"/>
      <c r="BKQ823" s="268"/>
      <c r="BKR823" s="268"/>
      <c r="BKS823" s="268"/>
      <c r="BKT823" s="268"/>
      <c r="BKU823" s="268"/>
      <c r="BKV823" s="268"/>
      <c r="BKW823" s="268"/>
      <c r="BKX823" s="268"/>
      <c r="BKY823" s="268"/>
      <c r="BKZ823" s="268"/>
      <c r="BLA823" s="268"/>
      <c r="BLB823" s="268"/>
      <c r="BLC823" s="268"/>
      <c r="BLD823" s="268"/>
      <c r="BLE823" s="268"/>
      <c r="BLF823" s="268"/>
      <c r="BLG823" s="268"/>
      <c r="BLH823" s="268"/>
      <c r="BLI823" s="268"/>
      <c r="BLJ823" s="268"/>
      <c r="BLK823" s="268"/>
      <c r="BLL823" s="268"/>
      <c r="BLM823" s="268"/>
      <c r="BLN823" s="268"/>
      <c r="BLO823" s="268"/>
      <c r="BLP823" s="268"/>
      <c r="BLQ823" s="268"/>
      <c r="BLR823" s="268"/>
      <c r="BLS823" s="268"/>
      <c r="BLT823" s="268"/>
      <c r="BLU823" s="268"/>
      <c r="BLV823" s="268"/>
      <c r="BLW823" s="268"/>
      <c r="BLX823" s="268"/>
      <c r="BLY823" s="268"/>
      <c r="BLZ823" s="268"/>
      <c r="BMA823" s="268"/>
      <c r="BMB823" s="268"/>
      <c r="BMC823" s="268"/>
      <c r="BMD823" s="268"/>
      <c r="BME823" s="268"/>
      <c r="BMF823" s="268"/>
      <c r="BMG823" s="268"/>
      <c r="BMH823" s="268"/>
      <c r="BMI823" s="268"/>
      <c r="BMJ823" s="268"/>
      <c r="BMK823" s="268"/>
      <c r="BML823" s="268"/>
      <c r="BMM823" s="268"/>
      <c r="BMN823" s="268"/>
      <c r="BMO823" s="268"/>
      <c r="BMP823" s="268"/>
      <c r="BMQ823" s="268"/>
      <c r="BMR823" s="268"/>
      <c r="BMS823" s="268"/>
      <c r="BMT823" s="268"/>
      <c r="BMU823" s="268"/>
      <c r="BMV823" s="268"/>
      <c r="BMW823" s="268"/>
      <c r="BMX823" s="268"/>
      <c r="BMY823" s="268"/>
      <c r="BMZ823" s="268"/>
      <c r="BNA823" s="268"/>
      <c r="BNB823" s="268"/>
      <c r="BNC823" s="268"/>
      <c r="BND823" s="268"/>
      <c r="BNE823" s="268"/>
      <c r="BNF823" s="268"/>
      <c r="BNG823" s="268"/>
      <c r="BNH823" s="268"/>
      <c r="BNI823" s="268"/>
      <c r="BNJ823" s="268"/>
      <c r="BNK823" s="268"/>
      <c r="BNL823" s="268"/>
      <c r="BNM823" s="268"/>
      <c r="BNN823" s="268"/>
      <c r="BNO823" s="268"/>
      <c r="BNP823" s="268"/>
      <c r="BNQ823" s="268"/>
      <c r="BNR823" s="268"/>
      <c r="BNS823" s="268"/>
      <c r="BNT823" s="268"/>
      <c r="BNU823" s="268"/>
      <c r="BNV823" s="268"/>
      <c r="BNW823" s="268"/>
      <c r="BNX823" s="268"/>
      <c r="BNY823" s="268"/>
      <c r="BNZ823" s="268"/>
      <c r="BOA823" s="268"/>
      <c r="BOB823" s="268"/>
      <c r="BOC823" s="268"/>
      <c r="BOD823" s="268"/>
      <c r="BOE823" s="268"/>
      <c r="BOF823" s="268"/>
      <c r="BOG823" s="268"/>
      <c r="BOH823" s="268"/>
      <c r="BOI823" s="268"/>
      <c r="BOJ823" s="268"/>
      <c r="BOK823" s="268"/>
      <c r="BOL823" s="268"/>
      <c r="BOM823" s="268"/>
      <c r="BON823" s="268"/>
      <c r="BOO823" s="268"/>
      <c r="BOP823" s="268"/>
      <c r="BOQ823" s="268"/>
      <c r="BOR823" s="268"/>
      <c r="BOS823" s="268"/>
      <c r="BOT823" s="268"/>
      <c r="BOU823" s="268"/>
      <c r="BOV823" s="268"/>
      <c r="BOW823" s="268"/>
      <c r="BOX823" s="268"/>
      <c r="BOY823" s="268"/>
      <c r="BOZ823" s="268"/>
      <c r="BPA823" s="268"/>
      <c r="BPB823" s="268"/>
      <c r="BPC823" s="268"/>
      <c r="BPD823" s="268"/>
      <c r="BPE823" s="268"/>
      <c r="BPF823" s="268"/>
      <c r="BPG823" s="268"/>
      <c r="BPH823" s="268"/>
      <c r="BPI823" s="268"/>
      <c r="BPJ823" s="268"/>
      <c r="BPK823" s="268"/>
      <c r="BPL823" s="268"/>
      <c r="BPM823" s="268"/>
      <c r="BPN823" s="268"/>
      <c r="BPO823" s="268"/>
      <c r="BQC823" s="268"/>
      <c r="BQD823" s="268"/>
      <c r="BQE823" s="268"/>
      <c r="BQS823" s="268"/>
      <c r="BQU823" s="268"/>
      <c r="BQV823" s="268"/>
      <c r="BQW823" s="268"/>
      <c r="BQX823" s="268"/>
      <c r="BQY823" s="268"/>
      <c r="BQZ823" s="268"/>
      <c r="BRA823" s="268"/>
      <c r="BRB823" s="268"/>
      <c r="BRC823" s="268"/>
      <c r="BRD823" s="268"/>
      <c r="BRE823" s="268"/>
      <c r="BRF823" s="268"/>
      <c r="BRG823" s="268"/>
      <c r="BRH823" s="268"/>
      <c r="BRI823" s="268"/>
      <c r="BRJ823" s="268"/>
      <c r="BRK823" s="268"/>
      <c r="BRL823" s="268"/>
      <c r="BRM823" s="268"/>
      <c r="BRN823" s="268"/>
      <c r="BRO823" s="268"/>
      <c r="BRP823" s="268"/>
      <c r="BRQ823" s="268"/>
      <c r="BRR823" s="268"/>
      <c r="BRS823" s="268"/>
      <c r="BRT823" s="268"/>
      <c r="BRU823" s="268"/>
      <c r="BRV823" s="268"/>
      <c r="BRW823" s="268"/>
      <c r="BRX823" s="268"/>
      <c r="BRY823" s="268"/>
      <c r="BRZ823" s="268"/>
      <c r="BSA823" s="268"/>
      <c r="BSB823" s="268"/>
      <c r="BSC823" s="268"/>
      <c r="BSD823" s="268"/>
      <c r="BSE823" s="268"/>
      <c r="BSF823" s="268"/>
      <c r="BSG823" s="268"/>
      <c r="BSH823" s="268"/>
      <c r="BSI823" s="268"/>
      <c r="BSJ823" s="268"/>
      <c r="BSK823" s="268"/>
      <c r="BSL823" s="268"/>
      <c r="BSM823" s="268"/>
      <c r="BSN823" s="268"/>
      <c r="BSO823" s="268"/>
      <c r="BSP823" s="268"/>
      <c r="BSQ823" s="268"/>
      <c r="BSR823" s="268"/>
      <c r="BSS823" s="268"/>
      <c r="BST823" s="268"/>
      <c r="BSU823" s="268"/>
      <c r="BSV823" s="268"/>
      <c r="BSW823" s="268"/>
      <c r="BSX823" s="268"/>
      <c r="BSY823" s="268"/>
      <c r="BSZ823" s="268"/>
      <c r="BTA823" s="268"/>
      <c r="BTB823" s="268"/>
      <c r="BTC823" s="268"/>
      <c r="BTD823" s="268"/>
      <c r="BTE823" s="268"/>
      <c r="BTF823" s="268"/>
      <c r="BTG823" s="268"/>
      <c r="BTH823" s="268"/>
      <c r="BTI823" s="268"/>
      <c r="BTJ823" s="268"/>
      <c r="BTK823" s="268"/>
      <c r="BTL823" s="268"/>
      <c r="BTM823" s="268"/>
      <c r="BTN823" s="268"/>
      <c r="BTO823" s="268"/>
      <c r="BTP823" s="268"/>
      <c r="BTQ823" s="268"/>
      <c r="BTR823" s="268"/>
      <c r="BTS823" s="268"/>
      <c r="BTT823" s="268"/>
      <c r="BTU823" s="268"/>
      <c r="BTV823" s="268"/>
      <c r="BTW823" s="268"/>
      <c r="BTX823" s="268"/>
      <c r="BTY823" s="268"/>
      <c r="BTZ823" s="268"/>
      <c r="BUA823" s="268"/>
      <c r="BUB823" s="268"/>
      <c r="BUC823" s="268"/>
      <c r="BUD823" s="268"/>
      <c r="BUE823" s="268"/>
      <c r="BUF823" s="268"/>
      <c r="BUG823" s="268"/>
      <c r="BUH823" s="268"/>
      <c r="BUI823" s="268"/>
      <c r="BUJ823" s="268"/>
      <c r="BUK823" s="268"/>
      <c r="BUL823" s="268"/>
      <c r="BUM823" s="268"/>
      <c r="BUN823" s="268"/>
      <c r="BUO823" s="268"/>
      <c r="BUP823" s="268"/>
      <c r="BUQ823" s="268"/>
      <c r="BUR823" s="268"/>
      <c r="BUS823" s="268"/>
      <c r="BUT823" s="268"/>
      <c r="BUU823" s="268"/>
      <c r="BUV823" s="268"/>
      <c r="BUW823" s="268"/>
      <c r="BUX823" s="268"/>
      <c r="BUY823" s="268"/>
      <c r="BUZ823" s="268"/>
      <c r="BVA823" s="268"/>
      <c r="BVB823" s="268"/>
      <c r="BVC823" s="268"/>
      <c r="BVD823" s="268"/>
      <c r="BVE823" s="268"/>
      <c r="BVF823" s="268"/>
      <c r="BVG823" s="268"/>
      <c r="BVH823" s="268"/>
      <c r="BVI823" s="268"/>
      <c r="BVJ823" s="268"/>
      <c r="BVK823" s="268"/>
      <c r="BVL823" s="268"/>
      <c r="BVM823" s="268"/>
      <c r="BVN823" s="268"/>
      <c r="BVO823" s="268"/>
      <c r="BVP823" s="268"/>
      <c r="BVQ823" s="268"/>
      <c r="BVR823" s="268"/>
      <c r="BVS823" s="268"/>
      <c r="BVT823" s="268"/>
      <c r="BVU823" s="268"/>
      <c r="BVV823" s="268"/>
      <c r="BVW823" s="268"/>
      <c r="BVX823" s="268"/>
      <c r="BVY823" s="268"/>
      <c r="BVZ823" s="268"/>
      <c r="BWA823" s="268"/>
      <c r="BWB823" s="268"/>
      <c r="BWC823" s="268"/>
      <c r="BWD823" s="268"/>
      <c r="BWE823" s="268"/>
      <c r="BWF823" s="268"/>
      <c r="BWG823" s="268"/>
      <c r="BWH823" s="268"/>
      <c r="BWI823" s="268"/>
      <c r="BWJ823" s="268"/>
      <c r="BWK823" s="268"/>
      <c r="BWL823" s="268"/>
      <c r="BWM823" s="268"/>
      <c r="BWN823" s="268"/>
      <c r="BWO823" s="268"/>
      <c r="BWP823" s="268"/>
      <c r="BWQ823" s="268"/>
      <c r="BWR823" s="268"/>
      <c r="BWS823" s="268"/>
      <c r="BWT823" s="268"/>
      <c r="BWU823" s="268"/>
      <c r="BWV823" s="268"/>
      <c r="BWW823" s="268"/>
      <c r="BWX823" s="268"/>
      <c r="BWY823" s="268"/>
      <c r="BWZ823" s="268"/>
      <c r="BXA823" s="268"/>
      <c r="BXB823" s="268"/>
      <c r="BXC823" s="268"/>
      <c r="BXD823" s="268"/>
      <c r="BXE823" s="268"/>
      <c r="BXF823" s="268"/>
      <c r="BXG823" s="268"/>
      <c r="BXH823" s="268"/>
      <c r="BXI823" s="268"/>
      <c r="BXJ823" s="268"/>
      <c r="BXK823" s="268"/>
      <c r="BXL823" s="268"/>
      <c r="BXM823" s="268"/>
      <c r="BXN823" s="268"/>
      <c r="BXO823" s="268"/>
      <c r="BXP823" s="268"/>
      <c r="BXQ823" s="268"/>
      <c r="BXR823" s="268"/>
      <c r="BXS823" s="268"/>
      <c r="BXT823" s="268"/>
      <c r="BXU823" s="268"/>
      <c r="BXV823" s="268"/>
      <c r="BXW823" s="268"/>
      <c r="BXX823" s="268"/>
      <c r="BXY823" s="268"/>
      <c r="BXZ823" s="268"/>
      <c r="BYA823" s="268"/>
      <c r="BYB823" s="268"/>
      <c r="BYC823" s="268"/>
      <c r="BYD823" s="268"/>
      <c r="BYE823" s="268"/>
      <c r="BYF823" s="268"/>
      <c r="BYG823" s="268"/>
      <c r="BYH823" s="268"/>
      <c r="BYI823" s="268"/>
      <c r="BYJ823" s="268"/>
      <c r="BYK823" s="268"/>
      <c r="BYL823" s="268"/>
      <c r="BYM823" s="268"/>
      <c r="BYN823" s="268"/>
      <c r="BYO823" s="268"/>
      <c r="BYP823" s="268"/>
      <c r="BYQ823" s="268"/>
      <c r="BYR823" s="268"/>
      <c r="BYS823" s="268"/>
      <c r="BYT823" s="268"/>
      <c r="BYU823" s="268"/>
      <c r="BYV823" s="268"/>
      <c r="BYW823" s="268"/>
      <c r="BYX823" s="268"/>
      <c r="BYY823" s="268"/>
      <c r="BYZ823" s="268"/>
      <c r="BZA823" s="268"/>
      <c r="BZB823" s="268"/>
      <c r="BZC823" s="268"/>
      <c r="BZD823" s="268"/>
      <c r="BZE823" s="268"/>
      <c r="BZF823" s="268"/>
      <c r="BZG823" s="268"/>
      <c r="BZH823" s="268"/>
      <c r="BZI823" s="268"/>
      <c r="BZJ823" s="268"/>
      <c r="BZK823" s="268"/>
      <c r="BZY823" s="268"/>
      <c r="BZZ823" s="268"/>
      <c r="CAA823" s="268"/>
      <c r="CAO823" s="268"/>
      <c r="CAQ823" s="268"/>
      <c r="CAR823" s="268"/>
      <c r="CAS823" s="268"/>
      <c r="CAT823" s="268"/>
      <c r="CAU823" s="268"/>
      <c r="CAV823" s="268"/>
      <c r="CAW823" s="268"/>
      <c r="CAX823" s="268"/>
      <c r="CAY823" s="268"/>
      <c r="CAZ823" s="268"/>
      <c r="CBA823" s="268"/>
      <c r="CBB823" s="268"/>
      <c r="CBC823" s="268"/>
      <c r="CBD823" s="268"/>
      <c r="CBE823" s="268"/>
      <c r="CBF823" s="268"/>
      <c r="CBG823" s="268"/>
      <c r="CBH823" s="268"/>
      <c r="CBI823" s="268"/>
      <c r="CBJ823" s="268"/>
      <c r="CBK823" s="268"/>
      <c r="CBL823" s="268"/>
      <c r="CBM823" s="268"/>
      <c r="CBN823" s="268"/>
      <c r="CBO823" s="268"/>
      <c r="CBP823" s="268"/>
      <c r="CBQ823" s="268"/>
      <c r="CBR823" s="268"/>
      <c r="CBS823" s="268"/>
      <c r="CBT823" s="268"/>
      <c r="CBU823" s="268"/>
      <c r="CBV823" s="268"/>
      <c r="CBW823" s="268"/>
      <c r="CBX823" s="268"/>
      <c r="CBY823" s="268"/>
      <c r="CBZ823" s="268"/>
      <c r="CCA823" s="268"/>
      <c r="CCB823" s="268"/>
      <c r="CCC823" s="268"/>
      <c r="CCD823" s="268"/>
      <c r="CCE823" s="268"/>
      <c r="CCF823" s="268"/>
      <c r="CCG823" s="268"/>
      <c r="CCH823" s="268"/>
      <c r="CCI823" s="268"/>
      <c r="CCJ823" s="268"/>
      <c r="CCK823" s="268"/>
      <c r="CCL823" s="268"/>
      <c r="CCM823" s="268"/>
      <c r="CCN823" s="268"/>
      <c r="CCO823" s="268"/>
      <c r="CCP823" s="268"/>
      <c r="CCQ823" s="268"/>
      <c r="CCR823" s="268"/>
      <c r="CCS823" s="268"/>
      <c r="CCT823" s="268"/>
      <c r="CCU823" s="268"/>
      <c r="CCV823" s="268"/>
      <c r="CCW823" s="268"/>
      <c r="CCX823" s="268"/>
      <c r="CCY823" s="268"/>
      <c r="CCZ823" s="268"/>
      <c r="CDA823" s="268"/>
      <c r="CDB823" s="268"/>
      <c r="CDC823" s="268"/>
      <c r="CDD823" s="268"/>
      <c r="CDE823" s="268"/>
      <c r="CDF823" s="268"/>
      <c r="CDG823" s="268"/>
      <c r="CDH823" s="268"/>
      <c r="CDI823" s="268"/>
      <c r="CDJ823" s="268"/>
      <c r="CDK823" s="268"/>
      <c r="CDL823" s="268"/>
      <c r="CDM823" s="268"/>
      <c r="CDN823" s="268"/>
      <c r="CDO823" s="268"/>
      <c r="CDP823" s="268"/>
      <c r="CDQ823" s="268"/>
      <c r="CDR823" s="268"/>
      <c r="CDS823" s="268"/>
      <c r="CDT823" s="268"/>
      <c r="CDU823" s="268"/>
      <c r="CDV823" s="268"/>
      <c r="CDW823" s="268"/>
      <c r="CDX823" s="268"/>
      <c r="CDY823" s="268"/>
      <c r="CDZ823" s="268"/>
      <c r="CEA823" s="268"/>
      <c r="CEB823" s="268"/>
      <c r="CEC823" s="268"/>
      <c r="CED823" s="268"/>
      <c r="CEE823" s="268"/>
      <c r="CEF823" s="268"/>
      <c r="CEG823" s="268"/>
      <c r="CEH823" s="268"/>
      <c r="CEI823" s="268"/>
      <c r="CEJ823" s="268"/>
      <c r="CEK823" s="268"/>
      <c r="CEL823" s="268"/>
      <c r="CEM823" s="268"/>
      <c r="CEN823" s="268"/>
      <c r="CEO823" s="268"/>
      <c r="CEP823" s="268"/>
      <c r="CEQ823" s="268"/>
      <c r="CER823" s="268"/>
      <c r="CES823" s="268"/>
      <c r="CET823" s="268"/>
      <c r="CEU823" s="268"/>
      <c r="CEV823" s="268"/>
      <c r="CEW823" s="268"/>
      <c r="CEX823" s="268"/>
      <c r="CEY823" s="268"/>
      <c r="CEZ823" s="268"/>
      <c r="CFA823" s="268"/>
      <c r="CFB823" s="268"/>
      <c r="CFC823" s="268"/>
      <c r="CFD823" s="268"/>
      <c r="CFE823" s="268"/>
      <c r="CFF823" s="268"/>
      <c r="CFG823" s="268"/>
      <c r="CFH823" s="268"/>
      <c r="CFI823" s="268"/>
      <c r="CFJ823" s="268"/>
      <c r="CFK823" s="268"/>
      <c r="CFL823" s="268"/>
      <c r="CFM823" s="268"/>
      <c r="CFN823" s="268"/>
      <c r="CFO823" s="268"/>
      <c r="CFP823" s="268"/>
      <c r="CFQ823" s="268"/>
      <c r="CFR823" s="268"/>
      <c r="CFS823" s="268"/>
      <c r="CFT823" s="268"/>
      <c r="CFU823" s="268"/>
      <c r="CFV823" s="268"/>
      <c r="CFW823" s="268"/>
      <c r="CFX823" s="268"/>
      <c r="CFY823" s="268"/>
      <c r="CFZ823" s="268"/>
      <c r="CGA823" s="268"/>
      <c r="CGB823" s="268"/>
      <c r="CGC823" s="268"/>
      <c r="CGD823" s="268"/>
      <c r="CGE823" s="268"/>
      <c r="CGF823" s="268"/>
      <c r="CGG823" s="268"/>
      <c r="CGH823" s="268"/>
      <c r="CGI823" s="268"/>
      <c r="CGJ823" s="268"/>
      <c r="CGK823" s="268"/>
      <c r="CGL823" s="268"/>
      <c r="CGM823" s="268"/>
      <c r="CGN823" s="268"/>
      <c r="CGO823" s="268"/>
      <c r="CGP823" s="268"/>
      <c r="CGQ823" s="268"/>
      <c r="CGR823" s="268"/>
      <c r="CGS823" s="268"/>
      <c r="CGT823" s="268"/>
      <c r="CGU823" s="268"/>
      <c r="CGV823" s="268"/>
      <c r="CGW823" s="268"/>
      <c r="CGX823" s="268"/>
      <c r="CGY823" s="268"/>
      <c r="CGZ823" s="268"/>
      <c r="CHA823" s="268"/>
      <c r="CHB823" s="268"/>
      <c r="CHC823" s="268"/>
      <c r="CHD823" s="268"/>
      <c r="CHE823" s="268"/>
      <c r="CHF823" s="268"/>
      <c r="CHG823" s="268"/>
      <c r="CHH823" s="268"/>
      <c r="CHI823" s="268"/>
      <c r="CHJ823" s="268"/>
      <c r="CHK823" s="268"/>
      <c r="CHL823" s="268"/>
      <c r="CHM823" s="268"/>
      <c r="CHN823" s="268"/>
      <c r="CHO823" s="268"/>
      <c r="CHP823" s="268"/>
      <c r="CHQ823" s="268"/>
      <c r="CHR823" s="268"/>
      <c r="CHS823" s="268"/>
      <c r="CHT823" s="268"/>
      <c r="CHU823" s="268"/>
      <c r="CHV823" s="268"/>
      <c r="CHW823" s="268"/>
      <c r="CHX823" s="268"/>
      <c r="CHY823" s="268"/>
      <c r="CHZ823" s="268"/>
      <c r="CIA823" s="268"/>
      <c r="CIB823" s="268"/>
      <c r="CIC823" s="268"/>
      <c r="CID823" s="268"/>
      <c r="CIE823" s="268"/>
      <c r="CIF823" s="268"/>
      <c r="CIG823" s="268"/>
      <c r="CIH823" s="268"/>
      <c r="CII823" s="268"/>
      <c r="CIJ823" s="268"/>
      <c r="CIK823" s="268"/>
      <c r="CIL823" s="268"/>
      <c r="CIM823" s="268"/>
      <c r="CIN823" s="268"/>
      <c r="CIO823" s="268"/>
      <c r="CIP823" s="268"/>
      <c r="CIQ823" s="268"/>
      <c r="CIR823" s="268"/>
      <c r="CIS823" s="268"/>
      <c r="CIT823" s="268"/>
      <c r="CIU823" s="268"/>
      <c r="CIV823" s="268"/>
      <c r="CIW823" s="268"/>
      <c r="CIX823" s="268"/>
      <c r="CIY823" s="268"/>
      <c r="CIZ823" s="268"/>
      <c r="CJA823" s="268"/>
      <c r="CJB823" s="268"/>
      <c r="CJC823" s="268"/>
      <c r="CJD823" s="268"/>
      <c r="CJE823" s="268"/>
      <c r="CJF823" s="268"/>
      <c r="CJG823" s="268"/>
      <c r="CJU823" s="268"/>
      <c r="CJV823" s="268"/>
      <c r="CJW823" s="268"/>
      <c r="CKK823" s="268"/>
      <c r="CKM823" s="268"/>
      <c r="CKN823" s="268"/>
      <c r="CKO823" s="268"/>
      <c r="CKP823" s="268"/>
      <c r="CKQ823" s="268"/>
      <c r="CKR823" s="268"/>
      <c r="CKS823" s="268"/>
      <c r="CKT823" s="268"/>
      <c r="CKU823" s="268"/>
      <c r="CKV823" s="268"/>
      <c r="CKW823" s="268"/>
      <c r="CKX823" s="268"/>
      <c r="CKY823" s="268"/>
      <c r="CKZ823" s="268"/>
      <c r="CLA823" s="268"/>
      <c r="CLB823" s="268"/>
      <c r="CLC823" s="268"/>
      <c r="CLD823" s="268"/>
      <c r="CLE823" s="268"/>
      <c r="CLF823" s="268"/>
      <c r="CLG823" s="268"/>
      <c r="CLH823" s="268"/>
      <c r="CLI823" s="268"/>
      <c r="CLJ823" s="268"/>
      <c r="CLK823" s="268"/>
      <c r="CLL823" s="268"/>
      <c r="CLM823" s="268"/>
      <c r="CLN823" s="268"/>
      <c r="CLO823" s="268"/>
      <c r="CLP823" s="268"/>
      <c r="CLQ823" s="268"/>
      <c r="CLR823" s="268"/>
      <c r="CLS823" s="268"/>
      <c r="CLT823" s="268"/>
      <c r="CLU823" s="268"/>
      <c r="CLV823" s="268"/>
      <c r="CLW823" s="268"/>
      <c r="CLX823" s="268"/>
      <c r="CLY823" s="268"/>
      <c r="CLZ823" s="268"/>
      <c r="CMA823" s="268"/>
      <c r="CMB823" s="268"/>
      <c r="CMC823" s="268"/>
      <c r="CMD823" s="268"/>
      <c r="CME823" s="268"/>
      <c r="CMF823" s="268"/>
      <c r="CMG823" s="268"/>
      <c r="CMH823" s="268"/>
      <c r="CMI823" s="268"/>
      <c r="CMJ823" s="268"/>
      <c r="CMK823" s="268"/>
      <c r="CML823" s="268"/>
      <c r="CMM823" s="268"/>
      <c r="CMN823" s="268"/>
      <c r="CMO823" s="268"/>
      <c r="CMP823" s="268"/>
      <c r="CMQ823" s="268"/>
      <c r="CMR823" s="268"/>
      <c r="CMS823" s="268"/>
      <c r="CMT823" s="268"/>
      <c r="CMU823" s="268"/>
      <c r="CMV823" s="268"/>
      <c r="CMW823" s="268"/>
      <c r="CMX823" s="268"/>
      <c r="CMY823" s="268"/>
      <c r="CMZ823" s="268"/>
      <c r="CNA823" s="268"/>
      <c r="CNB823" s="268"/>
      <c r="CNC823" s="268"/>
      <c r="CND823" s="268"/>
      <c r="CNE823" s="268"/>
      <c r="CNF823" s="268"/>
      <c r="CNG823" s="268"/>
      <c r="CNH823" s="268"/>
      <c r="CNI823" s="268"/>
      <c r="CNJ823" s="268"/>
      <c r="CNK823" s="268"/>
      <c r="CNL823" s="268"/>
      <c r="CNM823" s="268"/>
      <c r="CNN823" s="268"/>
      <c r="CNO823" s="268"/>
      <c r="CNP823" s="268"/>
      <c r="CNQ823" s="268"/>
      <c r="CNR823" s="268"/>
      <c r="CNS823" s="268"/>
      <c r="CNT823" s="268"/>
      <c r="CNU823" s="268"/>
      <c r="CNV823" s="268"/>
      <c r="CNW823" s="268"/>
      <c r="CNX823" s="268"/>
      <c r="CNY823" s="268"/>
      <c r="CNZ823" s="268"/>
      <c r="COA823" s="268"/>
      <c r="COB823" s="268"/>
      <c r="COC823" s="268"/>
      <c r="COD823" s="268"/>
      <c r="COE823" s="268"/>
      <c r="COF823" s="268"/>
      <c r="COG823" s="268"/>
      <c r="COH823" s="268"/>
      <c r="COI823" s="268"/>
      <c r="COJ823" s="268"/>
      <c r="COK823" s="268"/>
      <c r="COL823" s="268"/>
      <c r="COM823" s="268"/>
      <c r="CON823" s="268"/>
      <c r="COO823" s="268"/>
      <c r="COP823" s="268"/>
      <c r="COQ823" s="268"/>
      <c r="COR823" s="268"/>
      <c r="COS823" s="268"/>
      <c r="COT823" s="268"/>
      <c r="COU823" s="268"/>
      <c r="COV823" s="268"/>
      <c r="COW823" s="268"/>
      <c r="COX823" s="268"/>
      <c r="COY823" s="268"/>
      <c r="COZ823" s="268"/>
      <c r="CPA823" s="268"/>
      <c r="CPB823" s="268"/>
      <c r="CPC823" s="268"/>
      <c r="CPD823" s="268"/>
      <c r="CPE823" s="268"/>
      <c r="CPF823" s="268"/>
      <c r="CPG823" s="268"/>
      <c r="CPH823" s="268"/>
      <c r="CPI823" s="268"/>
      <c r="CPJ823" s="268"/>
      <c r="CPK823" s="268"/>
      <c r="CPL823" s="268"/>
      <c r="CPM823" s="268"/>
      <c r="CPN823" s="268"/>
      <c r="CPO823" s="268"/>
      <c r="CPP823" s="268"/>
      <c r="CPQ823" s="268"/>
      <c r="CPR823" s="268"/>
      <c r="CPS823" s="268"/>
      <c r="CPT823" s="268"/>
      <c r="CPU823" s="268"/>
      <c r="CPV823" s="268"/>
      <c r="CPW823" s="268"/>
      <c r="CPX823" s="268"/>
      <c r="CPY823" s="268"/>
      <c r="CPZ823" s="268"/>
      <c r="CQA823" s="268"/>
      <c r="CQB823" s="268"/>
      <c r="CQC823" s="268"/>
      <c r="CQD823" s="268"/>
      <c r="CQE823" s="268"/>
      <c r="CQF823" s="268"/>
      <c r="CQG823" s="268"/>
      <c r="CQH823" s="268"/>
      <c r="CQI823" s="268"/>
      <c r="CQJ823" s="268"/>
      <c r="CQK823" s="268"/>
      <c r="CQL823" s="268"/>
      <c r="CQM823" s="268"/>
      <c r="CQN823" s="268"/>
      <c r="CQO823" s="268"/>
      <c r="CQP823" s="268"/>
      <c r="CQQ823" s="268"/>
      <c r="CQR823" s="268"/>
      <c r="CQS823" s="268"/>
      <c r="CQT823" s="268"/>
      <c r="CQU823" s="268"/>
      <c r="CQV823" s="268"/>
      <c r="CQW823" s="268"/>
      <c r="CQX823" s="268"/>
      <c r="CQY823" s="268"/>
      <c r="CQZ823" s="268"/>
      <c r="CRA823" s="268"/>
      <c r="CRB823" s="268"/>
      <c r="CRC823" s="268"/>
      <c r="CRD823" s="268"/>
      <c r="CRE823" s="268"/>
      <c r="CRF823" s="268"/>
      <c r="CRG823" s="268"/>
      <c r="CRH823" s="268"/>
      <c r="CRI823" s="268"/>
      <c r="CRJ823" s="268"/>
      <c r="CRK823" s="268"/>
      <c r="CRL823" s="268"/>
      <c r="CRM823" s="268"/>
      <c r="CRN823" s="268"/>
      <c r="CRO823" s="268"/>
      <c r="CRP823" s="268"/>
      <c r="CRQ823" s="268"/>
      <c r="CRR823" s="268"/>
      <c r="CRS823" s="268"/>
      <c r="CRT823" s="268"/>
      <c r="CRU823" s="268"/>
      <c r="CRV823" s="268"/>
      <c r="CRW823" s="268"/>
      <c r="CRX823" s="268"/>
      <c r="CRY823" s="268"/>
      <c r="CRZ823" s="268"/>
      <c r="CSA823" s="268"/>
      <c r="CSB823" s="268"/>
      <c r="CSC823" s="268"/>
      <c r="CSD823" s="268"/>
      <c r="CSE823" s="268"/>
      <c r="CSF823" s="268"/>
      <c r="CSG823" s="268"/>
      <c r="CSH823" s="268"/>
      <c r="CSI823" s="268"/>
      <c r="CSJ823" s="268"/>
      <c r="CSK823" s="268"/>
      <c r="CSL823" s="268"/>
      <c r="CSM823" s="268"/>
      <c r="CSN823" s="268"/>
      <c r="CSO823" s="268"/>
      <c r="CSP823" s="268"/>
      <c r="CSQ823" s="268"/>
      <c r="CSR823" s="268"/>
      <c r="CSS823" s="268"/>
      <c r="CST823" s="268"/>
      <c r="CSU823" s="268"/>
      <c r="CSV823" s="268"/>
      <c r="CSW823" s="268"/>
      <c r="CSX823" s="268"/>
      <c r="CSY823" s="268"/>
      <c r="CSZ823" s="268"/>
      <c r="CTA823" s="268"/>
      <c r="CTB823" s="268"/>
      <c r="CTC823" s="268"/>
      <c r="CTQ823" s="268"/>
      <c r="CTR823" s="268"/>
      <c r="CTS823" s="268"/>
      <c r="CUG823" s="268"/>
      <c r="CUI823" s="268"/>
      <c r="CUJ823" s="268"/>
      <c r="CUK823" s="268"/>
      <c r="CUL823" s="268"/>
      <c r="CUM823" s="268"/>
      <c r="CUN823" s="268"/>
      <c r="CUO823" s="268"/>
      <c r="CUP823" s="268"/>
      <c r="CUQ823" s="268"/>
      <c r="CUR823" s="268"/>
      <c r="CUS823" s="268"/>
      <c r="CUT823" s="268"/>
      <c r="CUU823" s="268"/>
      <c r="CUV823" s="268"/>
      <c r="CUW823" s="268"/>
      <c r="CUX823" s="268"/>
      <c r="CUY823" s="268"/>
      <c r="CUZ823" s="268"/>
      <c r="CVA823" s="268"/>
      <c r="CVB823" s="268"/>
      <c r="CVC823" s="268"/>
      <c r="CVD823" s="268"/>
      <c r="CVE823" s="268"/>
      <c r="CVF823" s="268"/>
      <c r="CVG823" s="268"/>
      <c r="CVH823" s="268"/>
      <c r="CVI823" s="268"/>
      <c r="CVJ823" s="268"/>
      <c r="CVK823" s="268"/>
      <c r="CVL823" s="268"/>
      <c r="CVM823" s="268"/>
      <c r="CVN823" s="268"/>
      <c r="CVO823" s="268"/>
      <c r="CVP823" s="268"/>
      <c r="CVQ823" s="268"/>
      <c r="CVR823" s="268"/>
      <c r="CVS823" s="268"/>
      <c r="CVT823" s="268"/>
      <c r="CVU823" s="268"/>
      <c r="CVV823" s="268"/>
      <c r="CVW823" s="268"/>
      <c r="CVX823" s="268"/>
      <c r="CVY823" s="268"/>
      <c r="CVZ823" s="268"/>
      <c r="CWA823" s="268"/>
      <c r="CWB823" s="268"/>
      <c r="CWC823" s="268"/>
      <c r="CWD823" s="268"/>
      <c r="CWE823" s="268"/>
      <c r="CWF823" s="268"/>
      <c r="CWG823" s="268"/>
      <c r="CWH823" s="268"/>
      <c r="CWI823" s="268"/>
      <c r="CWJ823" s="268"/>
      <c r="CWK823" s="268"/>
      <c r="CWL823" s="268"/>
      <c r="CWM823" s="268"/>
      <c r="CWN823" s="268"/>
      <c r="CWO823" s="268"/>
      <c r="CWP823" s="268"/>
      <c r="CWQ823" s="268"/>
      <c r="CWR823" s="268"/>
      <c r="CWS823" s="268"/>
      <c r="CWT823" s="268"/>
      <c r="CWU823" s="268"/>
      <c r="CWV823" s="268"/>
      <c r="CWW823" s="268"/>
      <c r="CWX823" s="268"/>
      <c r="CWY823" s="268"/>
      <c r="CWZ823" s="268"/>
      <c r="CXA823" s="268"/>
      <c r="CXB823" s="268"/>
      <c r="CXC823" s="268"/>
      <c r="CXD823" s="268"/>
      <c r="CXE823" s="268"/>
      <c r="CXF823" s="268"/>
      <c r="CXG823" s="268"/>
      <c r="CXH823" s="268"/>
      <c r="CXI823" s="268"/>
      <c r="CXJ823" s="268"/>
      <c r="CXK823" s="268"/>
      <c r="CXL823" s="268"/>
      <c r="CXM823" s="268"/>
      <c r="CXN823" s="268"/>
      <c r="CXO823" s="268"/>
      <c r="CXP823" s="268"/>
      <c r="CXQ823" s="268"/>
      <c r="CXR823" s="268"/>
      <c r="CXS823" s="268"/>
      <c r="CXT823" s="268"/>
      <c r="CXU823" s="268"/>
      <c r="CXV823" s="268"/>
      <c r="CXW823" s="268"/>
      <c r="CXX823" s="268"/>
      <c r="CXY823" s="268"/>
      <c r="CXZ823" s="268"/>
      <c r="CYA823" s="268"/>
      <c r="CYB823" s="268"/>
      <c r="CYC823" s="268"/>
      <c r="CYD823" s="268"/>
      <c r="CYE823" s="268"/>
      <c r="CYF823" s="268"/>
      <c r="CYG823" s="268"/>
      <c r="CYH823" s="268"/>
      <c r="CYI823" s="268"/>
      <c r="CYJ823" s="268"/>
      <c r="CYK823" s="268"/>
      <c r="CYL823" s="268"/>
      <c r="CYM823" s="268"/>
      <c r="CYN823" s="268"/>
      <c r="CYO823" s="268"/>
      <c r="CYP823" s="268"/>
      <c r="CYQ823" s="268"/>
      <c r="CYR823" s="268"/>
      <c r="CYS823" s="268"/>
      <c r="CYT823" s="268"/>
      <c r="CYU823" s="268"/>
      <c r="CYV823" s="268"/>
      <c r="CYW823" s="268"/>
      <c r="CYX823" s="268"/>
      <c r="CYY823" s="268"/>
      <c r="CYZ823" s="268"/>
      <c r="CZA823" s="268"/>
      <c r="CZB823" s="268"/>
      <c r="CZC823" s="268"/>
      <c r="CZD823" s="268"/>
      <c r="CZE823" s="268"/>
      <c r="CZF823" s="268"/>
      <c r="CZG823" s="268"/>
      <c r="CZH823" s="268"/>
      <c r="CZI823" s="268"/>
      <c r="CZJ823" s="268"/>
      <c r="CZK823" s="268"/>
      <c r="CZL823" s="268"/>
      <c r="CZM823" s="268"/>
      <c r="CZN823" s="268"/>
      <c r="CZO823" s="268"/>
      <c r="CZP823" s="268"/>
      <c r="CZQ823" s="268"/>
      <c r="CZR823" s="268"/>
      <c r="CZS823" s="268"/>
      <c r="CZT823" s="268"/>
      <c r="CZU823" s="268"/>
      <c r="CZV823" s="268"/>
      <c r="CZW823" s="268"/>
      <c r="CZX823" s="268"/>
      <c r="CZY823" s="268"/>
      <c r="CZZ823" s="268"/>
      <c r="DAA823" s="268"/>
      <c r="DAB823" s="268"/>
      <c r="DAC823" s="268"/>
      <c r="DAD823" s="268"/>
      <c r="DAE823" s="268"/>
      <c r="DAF823" s="268"/>
      <c r="DAG823" s="268"/>
      <c r="DAH823" s="268"/>
      <c r="DAI823" s="268"/>
      <c r="DAJ823" s="268"/>
      <c r="DAK823" s="268"/>
      <c r="DAL823" s="268"/>
      <c r="DAM823" s="268"/>
      <c r="DAN823" s="268"/>
      <c r="DAO823" s="268"/>
      <c r="DAP823" s="268"/>
      <c r="DAQ823" s="268"/>
      <c r="DAR823" s="268"/>
      <c r="DAS823" s="268"/>
      <c r="DAT823" s="268"/>
      <c r="DAU823" s="268"/>
      <c r="DAV823" s="268"/>
      <c r="DAW823" s="268"/>
      <c r="DAX823" s="268"/>
      <c r="DAY823" s="268"/>
      <c r="DAZ823" s="268"/>
      <c r="DBA823" s="268"/>
      <c r="DBB823" s="268"/>
      <c r="DBC823" s="268"/>
      <c r="DBD823" s="268"/>
      <c r="DBE823" s="268"/>
      <c r="DBF823" s="268"/>
      <c r="DBG823" s="268"/>
      <c r="DBH823" s="268"/>
      <c r="DBI823" s="268"/>
      <c r="DBJ823" s="268"/>
      <c r="DBK823" s="268"/>
      <c r="DBL823" s="268"/>
      <c r="DBM823" s="268"/>
      <c r="DBN823" s="268"/>
      <c r="DBO823" s="268"/>
      <c r="DBP823" s="268"/>
      <c r="DBQ823" s="268"/>
      <c r="DBR823" s="268"/>
      <c r="DBS823" s="268"/>
      <c r="DBT823" s="268"/>
      <c r="DBU823" s="268"/>
      <c r="DBV823" s="268"/>
      <c r="DBW823" s="268"/>
      <c r="DBX823" s="268"/>
      <c r="DBY823" s="268"/>
      <c r="DBZ823" s="268"/>
      <c r="DCA823" s="268"/>
      <c r="DCB823" s="268"/>
      <c r="DCC823" s="268"/>
      <c r="DCD823" s="268"/>
      <c r="DCE823" s="268"/>
      <c r="DCF823" s="268"/>
      <c r="DCG823" s="268"/>
      <c r="DCH823" s="268"/>
      <c r="DCI823" s="268"/>
      <c r="DCJ823" s="268"/>
      <c r="DCK823" s="268"/>
      <c r="DCL823" s="268"/>
      <c r="DCM823" s="268"/>
      <c r="DCN823" s="268"/>
      <c r="DCO823" s="268"/>
      <c r="DCP823" s="268"/>
      <c r="DCQ823" s="268"/>
      <c r="DCR823" s="268"/>
      <c r="DCS823" s="268"/>
      <c r="DCT823" s="268"/>
      <c r="DCU823" s="268"/>
      <c r="DCV823" s="268"/>
      <c r="DCW823" s="268"/>
      <c r="DCX823" s="268"/>
      <c r="DCY823" s="268"/>
      <c r="DDM823" s="268"/>
      <c r="DDN823" s="268"/>
      <c r="DDO823" s="268"/>
      <c r="DEC823" s="268"/>
      <c r="DEE823" s="268"/>
      <c r="DEF823" s="268"/>
      <c r="DEG823" s="268"/>
      <c r="DEH823" s="268"/>
      <c r="DEI823" s="268"/>
      <c r="DEJ823" s="268"/>
      <c r="DEK823" s="268"/>
      <c r="DEL823" s="268"/>
      <c r="DEM823" s="268"/>
      <c r="DEN823" s="268"/>
      <c r="DEO823" s="268"/>
      <c r="DEP823" s="268"/>
      <c r="DEQ823" s="268"/>
      <c r="DER823" s="268"/>
      <c r="DES823" s="268"/>
      <c r="DET823" s="268"/>
      <c r="DEU823" s="268"/>
      <c r="DEV823" s="268"/>
      <c r="DEW823" s="268"/>
      <c r="DEX823" s="268"/>
      <c r="DEY823" s="268"/>
      <c r="DEZ823" s="268"/>
      <c r="DFA823" s="268"/>
      <c r="DFB823" s="268"/>
      <c r="DFC823" s="268"/>
      <c r="DFD823" s="268"/>
      <c r="DFE823" s="268"/>
      <c r="DFF823" s="268"/>
      <c r="DFG823" s="268"/>
      <c r="DFH823" s="268"/>
      <c r="DFI823" s="268"/>
      <c r="DFJ823" s="268"/>
      <c r="DFK823" s="268"/>
      <c r="DFL823" s="268"/>
      <c r="DFM823" s="268"/>
      <c r="DFN823" s="268"/>
      <c r="DFO823" s="268"/>
      <c r="DFP823" s="268"/>
      <c r="DFQ823" s="268"/>
      <c r="DFR823" s="268"/>
      <c r="DFS823" s="268"/>
      <c r="DFT823" s="268"/>
      <c r="DFU823" s="268"/>
      <c r="DFV823" s="268"/>
      <c r="DFW823" s="268"/>
      <c r="DFX823" s="268"/>
      <c r="DFY823" s="268"/>
      <c r="DFZ823" s="268"/>
      <c r="DGA823" s="268"/>
      <c r="DGB823" s="268"/>
      <c r="DGC823" s="268"/>
      <c r="DGD823" s="268"/>
      <c r="DGE823" s="268"/>
      <c r="DGF823" s="268"/>
      <c r="DGG823" s="268"/>
      <c r="DGH823" s="268"/>
      <c r="DGI823" s="268"/>
      <c r="DGJ823" s="268"/>
      <c r="DGK823" s="268"/>
      <c r="DGL823" s="268"/>
      <c r="DGM823" s="268"/>
      <c r="DGN823" s="268"/>
      <c r="DGO823" s="268"/>
      <c r="DGP823" s="268"/>
      <c r="DGQ823" s="268"/>
      <c r="DGR823" s="268"/>
      <c r="DGS823" s="268"/>
      <c r="DGT823" s="268"/>
      <c r="DGU823" s="268"/>
      <c r="DGV823" s="268"/>
      <c r="DGW823" s="268"/>
      <c r="DGX823" s="268"/>
      <c r="DGY823" s="268"/>
      <c r="DGZ823" s="268"/>
      <c r="DHA823" s="268"/>
      <c r="DHB823" s="268"/>
      <c r="DHC823" s="268"/>
      <c r="DHD823" s="268"/>
      <c r="DHE823" s="268"/>
      <c r="DHF823" s="268"/>
      <c r="DHG823" s="268"/>
      <c r="DHH823" s="268"/>
      <c r="DHI823" s="268"/>
      <c r="DHJ823" s="268"/>
      <c r="DHK823" s="268"/>
      <c r="DHL823" s="268"/>
      <c r="DHM823" s="268"/>
      <c r="DHN823" s="268"/>
      <c r="DHO823" s="268"/>
      <c r="DHP823" s="268"/>
      <c r="DHQ823" s="268"/>
      <c r="DHR823" s="268"/>
      <c r="DHS823" s="268"/>
      <c r="DHT823" s="268"/>
      <c r="DHU823" s="268"/>
      <c r="DHV823" s="268"/>
      <c r="DHW823" s="268"/>
      <c r="DHX823" s="268"/>
      <c r="DHY823" s="268"/>
      <c r="DHZ823" s="268"/>
      <c r="DIA823" s="268"/>
      <c r="DIB823" s="268"/>
      <c r="DIC823" s="268"/>
      <c r="DID823" s="268"/>
      <c r="DIE823" s="268"/>
      <c r="DIF823" s="268"/>
      <c r="DIG823" s="268"/>
      <c r="DIH823" s="268"/>
      <c r="DII823" s="268"/>
      <c r="DIJ823" s="268"/>
      <c r="DIK823" s="268"/>
      <c r="DIL823" s="268"/>
      <c r="DIM823" s="268"/>
      <c r="DIN823" s="268"/>
      <c r="DIO823" s="268"/>
      <c r="DIP823" s="268"/>
      <c r="DIQ823" s="268"/>
      <c r="DIR823" s="268"/>
      <c r="DIS823" s="268"/>
      <c r="DIT823" s="268"/>
      <c r="DIU823" s="268"/>
      <c r="DIV823" s="268"/>
      <c r="DIW823" s="268"/>
      <c r="DIX823" s="268"/>
      <c r="DIY823" s="268"/>
      <c r="DIZ823" s="268"/>
      <c r="DJA823" s="268"/>
      <c r="DJB823" s="268"/>
      <c r="DJC823" s="268"/>
      <c r="DJD823" s="268"/>
      <c r="DJE823" s="268"/>
      <c r="DJF823" s="268"/>
      <c r="DJG823" s="268"/>
      <c r="DJH823" s="268"/>
      <c r="DJI823" s="268"/>
      <c r="DJJ823" s="268"/>
      <c r="DJK823" s="268"/>
      <c r="DJL823" s="268"/>
      <c r="DJM823" s="268"/>
      <c r="DJN823" s="268"/>
      <c r="DJO823" s="268"/>
      <c r="DJP823" s="268"/>
      <c r="DJQ823" s="268"/>
      <c r="DJR823" s="268"/>
      <c r="DJS823" s="268"/>
      <c r="DJT823" s="268"/>
      <c r="DJU823" s="268"/>
      <c r="DJV823" s="268"/>
      <c r="DJW823" s="268"/>
      <c r="DJX823" s="268"/>
      <c r="DJY823" s="268"/>
      <c r="DJZ823" s="268"/>
      <c r="DKA823" s="268"/>
      <c r="DKB823" s="268"/>
      <c r="DKC823" s="268"/>
      <c r="DKD823" s="268"/>
      <c r="DKE823" s="268"/>
      <c r="DKF823" s="268"/>
      <c r="DKG823" s="268"/>
      <c r="DKH823" s="268"/>
      <c r="DKI823" s="268"/>
      <c r="DKJ823" s="268"/>
      <c r="DKK823" s="268"/>
      <c r="DKL823" s="268"/>
      <c r="DKM823" s="268"/>
      <c r="DKN823" s="268"/>
      <c r="DKO823" s="268"/>
      <c r="DKP823" s="268"/>
      <c r="DKQ823" s="268"/>
      <c r="DKR823" s="268"/>
      <c r="DKS823" s="268"/>
      <c r="DKT823" s="268"/>
      <c r="DKU823" s="268"/>
      <c r="DKV823" s="268"/>
      <c r="DKW823" s="268"/>
      <c r="DKX823" s="268"/>
      <c r="DKY823" s="268"/>
      <c r="DKZ823" s="268"/>
      <c r="DLA823" s="268"/>
      <c r="DLB823" s="268"/>
      <c r="DLC823" s="268"/>
      <c r="DLD823" s="268"/>
      <c r="DLE823" s="268"/>
      <c r="DLF823" s="268"/>
      <c r="DLG823" s="268"/>
      <c r="DLH823" s="268"/>
      <c r="DLI823" s="268"/>
      <c r="DLJ823" s="268"/>
      <c r="DLK823" s="268"/>
      <c r="DLL823" s="268"/>
      <c r="DLM823" s="268"/>
      <c r="DLN823" s="268"/>
      <c r="DLO823" s="268"/>
      <c r="DLP823" s="268"/>
      <c r="DLQ823" s="268"/>
      <c r="DLR823" s="268"/>
      <c r="DLS823" s="268"/>
      <c r="DLT823" s="268"/>
      <c r="DLU823" s="268"/>
      <c r="DLV823" s="268"/>
      <c r="DLW823" s="268"/>
      <c r="DLX823" s="268"/>
      <c r="DLY823" s="268"/>
      <c r="DLZ823" s="268"/>
      <c r="DMA823" s="268"/>
      <c r="DMB823" s="268"/>
      <c r="DMC823" s="268"/>
      <c r="DMD823" s="268"/>
      <c r="DME823" s="268"/>
      <c r="DMF823" s="268"/>
      <c r="DMG823" s="268"/>
      <c r="DMH823" s="268"/>
      <c r="DMI823" s="268"/>
      <c r="DMJ823" s="268"/>
      <c r="DMK823" s="268"/>
      <c r="DML823" s="268"/>
      <c r="DMM823" s="268"/>
      <c r="DMN823" s="268"/>
      <c r="DMO823" s="268"/>
      <c r="DMP823" s="268"/>
      <c r="DMQ823" s="268"/>
      <c r="DMR823" s="268"/>
      <c r="DMS823" s="268"/>
      <c r="DMT823" s="268"/>
      <c r="DMU823" s="268"/>
      <c r="DNI823" s="268"/>
      <c r="DNJ823" s="268"/>
      <c r="DNK823" s="268"/>
      <c r="DNY823" s="268"/>
      <c r="DOA823" s="268"/>
      <c r="DOB823" s="268"/>
      <c r="DOC823" s="268"/>
      <c r="DOD823" s="268"/>
      <c r="DOE823" s="268"/>
      <c r="DOF823" s="268"/>
      <c r="DOG823" s="268"/>
      <c r="DOH823" s="268"/>
      <c r="DOI823" s="268"/>
      <c r="DOJ823" s="268"/>
      <c r="DOK823" s="268"/>
      <c r="DOL823" s="268"/>
      <c r="DOM823" s="268"/>
      <c r="DON823" s="268"/>
      <c r="DOO823" s="268"/>
      <c r="DOP823" s="268"/>
      <c r="DOQ823" s="268"/>
      <c r="DOR823" s="268"/>
      <c r="DOS823" s="268"/>
      <c r="DOT823" s="268"/>
      <c r="DOU823" s="268"/>
      <c r="DOV823" s="268"/>
      <c r="DOW823" s="268"/>
      <c r="DOX823" s="268"/>
      <c r="DOY823" s="268"/>
      <c r="DOZ823" s="268"/>
      <c r="DPA823" s="268"/>
      <c r="DPB823" s="268"/>
      <c r="DPC823" s="268"/>
      <c r="DPD823" s="268"/>
      <c r="DPE823" s="268"/>
      <c r="DPF823" s="268"/>
      <c r="DPG823" s="268"/>
      <c r="DPH823" s="268"/>
      <c r="DPI823" s="268"/>
      <c r="DPJ823" s="268"/>
      <c r="DPK823" s="268"/>
      <c r="DPL823" s="268"/>
      <c r="DPM823" s="268"/>
      <c r="DPN823" s="268"/>
      <c r="DPO823" s="268"/>
      <c r="DPP823" s="268"/>
      <c r="DPQ823" s="268"/>
      <c r="DPR823" s="268"/>
      <c r="DPS823" s="268"/>
      <c r="DPT823" s="268"/>
      <c r="DPU823" s="268"/>
      <c r="DPV823" s="268"/>
      <c r="DPW823" s="268"/>
      <c r="DPX823" s="268"/>
      <c r="DPY823" s="268"/>
      <c r="DPZ823" s="268"/>
      <c r="DQA823" s="268"/>
      <c r="DQB823" s="268"/>
      <c r="DQC823" s="268"/>
      <c r="DQD823" s="268"/>
      <c r="DQE823" s="268"/>
      <c r="DQF823" s="268"/>
      <c r="DQG823" s="268"/>
      <c r="DQH823" s="268"/>
      <c r="DQI823" s="268"/>
      <c r="DQJ823" s="268"/>
      <c r="DQK823" s="268"/>
      <c r="DQL823" s="268"/>
      <c r="DQM823" s="268"/>
      <c r="DQN823" s="268"/>
      <c r="DQO823" s="268"/>
      <c r="DQP823" s="268"/>
      <c r="DQQ823" s="268"/>
      <c r="DQR823" s="268"/>
      <c r="DQS823" s="268"/>
      <c r="DQT823" s="268"/>
      <c r="DQU823" s="268"/>
      <c r="DQV823" s="268"/>
      <c r="DQW823" s="268"/>
      <c r="DQX823" s="268"/>
      <c r="DQY823" s="268"/>
      <c r="DQZ823" s="268"/>
      <c r="DRA823" s="268"/>
      <c r="DRB823" s="268"/>
      <c r="DRC823" s="268"/>
      <c r="DRD823" s="268"/>
      <c r="DRE823" s="268"/>
      <c r="DRF823" s="268"/>
      <c r="DRG823" s="268"/>
      <c r="DRH823" s="268"/>
      <c r="DRI823" s="268"/>
      <c r="DRJ823" s="268"/>
      <c r="DRK823" s="268"/>
      <c r="DRL823" s="268"/>
      <c r="DRM823" s="268"/>
      <c r="DRN823" s="268"/>
      <c r="DRO823" s="268"/>
      <c r="DRP823" s="268"/>
      <c r="DRQ823" s="268"/>
      <c r="DRR823" s="268"/>
      <c r="DRS823" s="268"/>
      <c r="DRT823" s="268"/>
      <c r="DRU823" s="268"/>
      <c r="DRV823" s="268"/>
      <c r="DRW823" s="268"/>
      <c r="DRX823" s="268"/>
      <c r="DRY823" s="268"/>
      <c r="DRZ823" s="268"/>
      <c r="DSA823" s="268"/>
      <c r="DSB823" s="268"/>
      <c r="DSC823" s="268"/>
      <c r="DSD823" s="268"/>
      <c r="DSE823" s="268"/>
      <c r="DSF823" s="268"/>
      <c r="DSG823" s="268"/>
      <c r="DSH823" s="268"/>
      <c r="DSI823" s="268"/>
      <c r="DSJ823" s="268"/>
      <c r="DSK823" s="268"/>
      <c r="DSL823" s="268"/>
      <c r="DSM823" s="268"/>
      <c r="DSN823" s="268"/>
      <c r="DSO823" s="268"/>
      <c r="DSP823" s="268"/>
      <c r="DSQ823" s="268"/>
      <c r="DSR823" s="268"/>
      <c r="DSS823" s="268"/>
      <c r="DST823" s="268"/>
      <c r="DSU823" s="268"/>
      <c r="DSV823" s="268"/>
      <c r="DSW823" s="268"/>
      <c r="DSX823" s="268"/>
      <c r="DSY823" s="268"/>
      <c r="DSZ823" s="268"/>
      <c r="DTA823" s="268"/>
      <c r="DTB823" s="268"/>
      <c r="DTC823" s="268"/>
      <c r="DTD823" s="268"/>
      <c r="DTE823" s="268"/>
      <c r="DTF823" s="268"/>
      <c r="DTG823" s="268"/>
      <c r="DTH823" s="268"/>
      <c r="DTI823" s="268"/>
      <c r="DTJ823" s="268"/>
      <c r="DTK823" s="268"/>
      <c r="DTL823" s="268"/>
      <c r="DTM823" s="268"/>
      <c r="DTN823" s="268"/>
      <c r="DTO823" s="268"/>
      <c r="DTP823" s="268"/>
      <c r="DTQ823" s="268"/>
      <c r="DTR823" s="268"/>
      <c r="DTS823" s="268"/>
      <c r="DTT823" s="268"/>
      <c r="DTU823" s="268"/>
      <c r="DTV823" s="268"/>
      <c r="DTW823" s="268"/>
      <c r="DTX823" s="268"/>
      <c r="DTY823" s="268"/>
      <c r="DTZ823" s="268"/>
      <c r="DUA823" s="268"/>
      <c r="DUB823" s="268"/>
      <c r="DUC823" s="268"/>
      <c r="DUD823" s="268"/>
      <c r="DUE823" s="268"/>
      <c r="DUF823" s="268"/>
      <c r="DUG823" s="268"/>
      <c r="DUH823" s="268"/>
      <c r="DUI823" s="268"/>
      <c r="DUJ823" s="268"/>
      <c r="DUK823" s="268"/>
      <c r="DUL823" s="268"/>
      <c r="DUM823" s="268"/>
      <c r="DUN823" s="268"/>
      <c r="DUO823" s="268"/>
      <c r="DUP823" s="268"/>
      <c r="DUQ823" s="268"/>
      <c r="DUR823" s="268"/>
      <c r="DUS823" s="268"/>
      <c r="DUT823" s="268"/>
      <c r="DUU823" s="268"/>
      <c r="DUV823" s="268"/>
      <c r="DUW823" s="268"/>
      <c r="DUX823" s="268"/>
      <c r="DUY823" s="268"/>
      <c r="DUZ823" s="268"/>
      <c r="DVA823" s="268"/>
      <c r="DVB823" s="268"/>
      <c r="DVC823" s="268"/>
      <c r="DVD823" s="268"/>
      <c r="DVE823" s="268"/>
      <c r="DVF823" s="268"/>
      <c r="DVG823" s="268"/>
      <c r="DVH823" s="268"/>
      <c r="DVI823" s="268"/>
      <c r="DVJ823" s="268"/>
      <c r="DVK823" s="268"/>
      <c r="DVL823" s="268"/>
      <c r="DVM823" s="268"/>
      <c r="DVN823" s="268"/>
      <c r="DVO823" s="268"/>
      <c r="DVP823" s="268"/>
      <c r="DVQ823" s="268"/>
      <c r="DVR823" s="268"/>
      <c r="DVS823" s="268"/>
      <c r="DVT823" s="268"/>
      <c r="DVU823" s="268"/>
      <c r="DVV823" s="268"/>
      <c r="DVW823" s="268"/>
      <c r="DVX823" s="268"/>
      <c r="DVY823" s="268"/>
      <c r="DVZ823" s="268"/>
      <c r="DWA823" s="268"/>
      <c r="DWB823" s="268"/>
      <c r="DWC823" s="268"/>
      <c r="DWD823" s="268"/>
      <c r="DWE823" s="268"/>
      <c r="DWF823" s="268"/>
      <c r="DWG823" s="268"/>
      <c r="DWH823" s="268"/>
      <c r="DWI823" s="268"/>
      <c r="DWJ823" s="268"/>
      <c r="DWK823" s="268"/>
      <c r="DWL823" s="268"/>
      <c r="DWM823" s="268"/>
      <c r="DWN823" s="268"/>
      <c r="DWO823" s="268"/>
      <c r="DWP823" s="268"/>
      <c r="DWQ823" s="268"/>
      <c r="DXE823" s="268"/>
      <c r="DXF823" s="268"/>
      <c r="DXG823" s="268"/>
      <c r="DXU823" s="268"/>
      <c r="DXW823" s="268"/>
      <c r="DXX823" s="268"/>
      <c r="DXY823" s="268"/>
      <c r="DXZ823" s="268"/>
      <c r="DYA823" s="268"/>
      <c r="DYB823" s="268"/>
      <c r="DYC823" s="268"/>
      <c r="DYD823" s="268"/>
      <c r="DYE823" s="268"/>
      <c r="DYF823" s="268"/>
      <c r="DYG823" s="268"/>
      <c r="DYH823" s="268"/>
      <c r="DYI823" s="268"/>
      <c r="DYJ823" s="268"/>
      <c r="DYK823" s="268"/>
      <c r="DYL823" s="268"/>
      <c r="DYM823" s="268"/>
      <c r="DYN823" s="268"/>
      <c r="DYO823" s="268"/>
      <c r="DYP823" s="268"/>
      <c r="DYQ823" s="268"/>
      <c r="DYR823" s="268"/>
      <c r="DYS823" s="268"/>
      <c r="DYT823" s="268"/>
      <c r="DYU823" s="268"/>
      <c r="DYV823" s="268"/>
      <c r="DYW823" s="268"/>
      <c r="DYX823" s="268"/>
      <c r="DYY823" s="268"/>
      <c r="DYZ823" s="268"/>
      <c r="DZA823" s="268"/>
      <c r="DZB823" s="268"/>
      <c r="DZC823" s="268"/>
      <c r="DZD823" s="268"/>
      <c r="DZE823" s="268"/>
      <c r="DZF823" s="268"/>
      <c r="DZG823" s="268"/>
      <c r="DZH823" s="268"/>
      <c r="DZI823" s="268"/>
      <c r="DZJ823" s="268"/>
      <c r="DZK823" s="268"/>
      <c r="DZL823" s="268"/>
      <c r="DZM823" s="268"/>
      <c r="DZN823" s="268"/>
      <c r="DZO823" s="268"/>
      <c r="DZP823" s="268"/>
      <c r="DZQ823" s="268"/>
      <c r="DZR823" s="268"/>
      <c r="DZS823" s="268"/>
      <c r="DZT823" s="268"/>
      <c r="DZU823" s="268"/>
      <c r="DZV823" s="268"/>
      <c r="DZW823" s="268"/>
      <c r="DZX823" s="268"/>
      <c r="DZY823" s="268"/>
      <c r="DZZ823" s="268"/>
      <c r="EAA823" s="268"/>
      <c r="EAB823" s="268"/>
      <c r="EAC823" s="268"/>
      <c r="EAD823" s="268"/>
      <c r="EAE823" s="268"/>
      <c r="EAF823" s="268"/>
      <c r="EAG823" s="268"/>
      <c r="EAH823" s="268"/>
      <c r="EAI823" s="268"/>
      <c r="EAJ823" s="268"/>
      <c r="EAK823" s="268"/>
      <c r="EAL823" s="268"/>
      <c r="EAM823" s="268"/>
      <c r="EAN823" s="268"/>
      <c r="EAO823" s="268"/>
      <c r="EAP823" s="268"/>
      <c r="EAQ823" s="268"/>
      <c r="EAR823" s="268"/>
      <c r="EAS823" s="268"/>
      <c r="EAT823" s="268"/>
      <c r="EAU823" s="268"/>
      <c r="EAV823" s="268"/>
      <c r="EAW823" s="268"/>
      <c r="EAX823" s="268"/>
      <c r="EAY823" s="268"/>
      <c r="EAZ823" s="268"/>
      <c r="EBA823" s="268"/>
      <c r="EBB823" s="268"/>
      <c r="EBC823" s="268"/>
      <c r="EBD823" s="268"/>
      <c r="EBE823" s="268"/>
      <c r="EBF823" s="268"/>
      <c r="EBG823" s="268"/>
      <c r="EBH823" s="268"/>
      <c r="EBI823" s="268"/>
      <c r="EBJ823" s="268"/>
      <c r="EBK823" s="268"/>
      <c r="EBL823" s="268"/>
      <c r="EBM823" s="268"/>
      <c r="EBN823" s="268"/>
      <c r="EBO823" s="268"/>
      <c r="EBP823" s="268"/>
      <c r="EBQ823" s="268"/>
      <c r="EBR823" s="268"/>
      <c r="EBS823" s="268"/>
      <c r="EBT823" s="268"/>
      <c r="EBU823" s="268"/>
      <c r="EBV823" s="268"/>
      <c r="EBW823" s="268"/>
      <c r="EBX823" s="268"/>
      <c r="EBY823" s="268"/>
      <c r="EBZ823" s="268"/>
      <c r="ECA823" s="268"/>
      <c r="ECB823" s="268"/>
      <c r="ECC823" s="268"/>
      <c r="ECD823" s="268"/>
      <c r="ECE823" s="268"/>
      <c r="ECF823" s="268"/>
      <c r="ECG823" s="268"/>
      <c r="ECH823" s="268"/>
      <c r="ECI823" s="268"/>
      <c r="ECJ823" s="268"/>
      <c r="ECK823" s="268"/>
      <c r="ECL823" s="268"/>
      <c r="ECM823" s="268"/>
      <c r="ECN823" s="268"/>
      <c r="ECO823" s="268"/>
      <c r="ECP823" s="268"/>
      <c r="ECQ823" s="268"/>
      <c r="ECR823" s="268"/>
      <c r="ECS823" s="268"/>
      <c r="ECT823" s="268"/>
      <c r="ECU823" s="268"/>
      <c r="ECV823" s="268"/>
      <c r="ECW823" s="268"/>
      <c r="ECX823" s="268"/>
      <c r="ECY823" s="268"/>
      <c r="ECZ823" s="268"/>
      <c r="EDA823" s="268"/>
      <c r="EDB823" s="268"/>
      <c r="EDC823" s="268"/>
      <c r="EDD823" s="268"/>
      <c r="EDE823" s="268"/>
      <c r="EDF823" s="268"/>
      <c r="EDG823" s="268"/>
      <c r="EDH823" s="268"/>
      <c r="EDI823" s="268"/>
      <c r="EDJ823" s="268"/>
      <c r="EDK823" s="268"/>
      <c r="EDL823" s="268"/>
      <c r="EDM823" s="268"/>
      <c r="EDN823" s="268"/>
      <c r="EDO823" s="268"/>
      <c r="EDP823" s="268"/>
      <c r="EDQ823" s="268"/>
      <c r="EDR823" s="268"/>
      <c r="EDS823" s="268"/>
      <c r="EDT823" s="268"/>
      <c r="EDU823" s="268"/>
      <c r="EDV823" s="268"/>
      <c r="EDW823" s="268"/>
      <c r="EDX823" s="268"/>
      <c r="EDY823" s="268"/>
      <c r="EDZ823" s="268"/>
      <c r="EEA823" s="268"/>
      <c r="EEB823" s="268"/>
      <c r="EEC823" s="268"/>
      <c r="EED823" s="268"/>
      <c r="EEE823" s="268"/>
      <c r="EEF823" s="268"/>
      <c r="EEG823" s="268"/>
      <c r="EEH823" s="268"/>
      <c r="EEI823" s="268"/>
      <c r="EEJ823" s="268"/>
      <c r="EEK823" s="268"/>
      <c r="EEL823" s="268"/>
      <c r="EEM823" s="268"/>
      <c r="EEN823" s="268"/>
      <c r="EEO823" s="268"/>
      <c r="EEP823" s="268"/>
      <c r="EEQ823" s="268"/>
      <c r="EER823" s="268"/>
      <c r="EES823" s="268"/>
      <c r="EET823" s="268"/>
      <c r="EEU823" s="268"/>
      <c r="EEV823" s="268"/>
      <c r="EEW823" s="268"/>
      <c r="EEX823" s="268"/>
      <c r="EEY823" s="268"/>
      <c r="EEZ823" s="268"/>
      <c r="EFA823" s="268"/>
      <c r="EFB823" s="268"/>
      <c r="EFC823" s="268"/>
      <c r="EFD823" s="268"/>
      <c r="EFE823" s="268"/>
      <c r="EFF823" s="268"/>
      <c r="EFG823" s="268"/>
      <c r="EFH823" s="268"/>
      <c r="EFI823" s="268"/>
      <c r="EFJ823" s="268"/>
      <c r="EFK823" s="268"/>
      <c r="EFL823" s="268"/>
      <c r="EFM823" s="268"/>
      <c r="EFN823" s="268"/>
      <c r="EFO823" s="268"/>
      <c r="EFP823" s="268"/>
      <c r="EFQ823" s="268"/>
      <c r="EFR823" s="268"/>
      <c r="EFS823" s="268"/>
      <c r="EFT823" s="268"/>
      <c r="EFU823" s="268"/>
      <c r="EFV823" s="268"/>
      <c r="EFW823" s="268"/>
      <c r="EFX823" s="268"/>
      <c r="EFY823" s="268"/>
      <c r="EFZ823" s="268"/>
      <c r="EGA823" s="268"/>
      <c r="EGB823" s="268"/>
      <c r="EGC823" s="268"/>
      <c r="EGD823" s="268"/>
      <c r="EGE823" s="268"/>
      <c r="EGF823" s="268"/>
      <c r="EGG823" s="268"/>
      <c r="EGH823" s="268"/>
      <c r="EGI823" s="268"/>
      <c r="EGJ823" s="268"/>
      <c r="EGK823" s="268"/>
      <c r="EGL823" s="268"/>
      <c r="EGM823" s="268"/>
      <c r="EHA823" s="268"/>
      <c r="EHB823" s="268"/>
      <c r="EHC823" s="268"/>
      <c r="EHQ823" s="268"/>
      <c r="EHS823" s="268"/>
      <c r="EHT823" s="268"/>
      <c r="EHU823" s="268"/>
      <c r="EHV823" s="268"/>
      <c r="EHW823" s="268"/>
      <c r="EHX823" s="268"/>
      <c r="EHY823" s="268"/>
      <c r="EHZ823" s="268"/>
      <c r="EIA823" s="268"/>
      <c r="EIB823" s="268"/>
      <c r="EIC823" s="268"/>
      <c r="EID823" s="268"/>
      <c r="EIE823" s="268"/>
      <c r="EIF823" s="268"/>
      <c r="EIG823" s="268"/>
      <c r="EIH823" s="268"/>
      <c r="EII823" s="268"/>
      <c r="EIJ823" s="268"/>
      <c r="EIK823" s="268"/>
      <c r="EIL823" s="268"/>
      <c r="EIM823" s="268"/>
      <c r="EIN823" s="268"/>
      <c r="EIO823" s="268"/>
      <c r="EIP823" s="268"/>
      <c r="EIQ823" s="268"/>
      <c r="EIR823" s="268"/>
      <c r="EIS823" s="268"/>
      <c r="EIT823" s="268"/>
      <c r="EIU823" s="268"/>
      <c r="EIV823" s="268"/>
      <c r="EIW823" s="268"/>
      <c r="EIX823" s="268"/>
      <c r="EIY823" s="268"/>
      <c r="EIZ823" s="268"/>
      <c r="EJA823" s="268"/>
      <c r="EJB823" s="268"/>
      <c r="EJC823" s="268"/>
      <c r="EJD823" s="268"/>
      <c r="EJE823" s="268"/>
      <c r="EJF823" s="268"/>
      <c r="EJG823" s="268"/>
      <c r="EJH823" s="268"/>
      <c r="EJI823" s="268"/>
      <c r="EJJ823" s="268"/>
      <c r="EJK823" s="268"/>
      <c r="EJL823" s="268"/>
      <c r="EJM823" s="268"/>
      <c r="EJN823" s="268"/>
      <c r="EJO823" s="268"/>
      <c r="EJP823" s="268"/>
      <c r="EJQ823" s="268"/>
      <c r="EJR823" s="268"/>
      <c r="EJS823" s="268"/>
      <c r="EJT823" s="268"/>
      <c r="EJU823" s="268"/>
      <c r="EJV823" s="268"/>
      <c r="EJW823" s="268"/>
      <c r="EJX823" s="268"/>
      <c r="EJY823" s="268"/>
      <c r="EJZ823" s="268"/>
      <c r="EKA823" s="268"/>
      <c r="EKB823" s="268"/>
      <c r="EKC823" s="268"/>
      <c r="EKD823" s="268"/>
      <c r="EKE823" s="268"/>
      <c r="EKF823" s="268"/>
      <c r="EKG823" s="268"/>
      <c r="EKH823" s="268"/>
      <c r="EKI823" s="268"/>
      <c r="EKJ823" s="268"/>
      <c r="EKK823" s="268"/>
      <c r="EKL823" s="268"/>
      <c r="EKM823" s="268"/>
      <c r="EKN823" s="268"/>
      <c r="EKO823" s="268"/>
      <c r="EKP823" s="268"/>
      <c r="EKQ823" s="268"/>
      <c r="EKR823" s="268"/>
      <c r="EKS823" s="268"/>
      <c r="EKT823" s="268"/>
      <c r="EKU823" s="268"/>
      <c r="EKV823" s="268"/>
      <c r="EKW823" s="268"/>
      <c r="EKX823" s="268"/>
      <c r="EKY823" s="268"/>
      <c r="EKZ823" s="268"/>
      <c r="ELA823" s="268"/>
      <c r="ELB823" s="268"/>
      <c r="ELC823" s="268"/>
      <c r="ELD823" s="268"/>
      <c r="ELE823" s="268"/>
      <c r="ELF823" s="268"/>
      <c r="ELG823" s="268"/>
      <c r="ELH823" s="268"/>
      <c r="ELI823" s="268"/>
      <c r="ELJ823" s="268"/>
      <c r="ELK823" s="268"/>
      <c r="ELL823" s="268"/>
      <c r="ELM823" s="268"/>
      <c r="ELN823" s="268"/>
      <c r="ELO823" s="268"/>
      <c r="ELP823" s="268"/>
      <c r="ELQ823" s="268"/>
      <c r="ELR823" s="268"/>
      <c r="ELS823" s="268"/>
      <c r="ELT823" s="268"/>
      <c r="ELU823" s="268"/>
      <c r="ELV823" s="268"/>
      <c r="ELW823" s="268"/>
      <c r="ELX823" s="268"/>
      <c r="ELY823" s="268"/>
      <c r="ELZ823" s="268"/>
      <c r="EMA823" s="268"/>
      <c r="EMB823" s="268"/>
      <c r="EMC823" s="268"/>
      <c r="EMD823" s="268"/>
      <c r="EME823" s="268"/>
      <c r="EMF823" s="268"/>
      <c r="EMG823" s="268"/>
      <c r="EMH823" s="268"/>
      <c r="EMI823" s="268"/>
      <c r="EMJ823" s="268"/>
      <c r="EMK823" s="268"/>
      <c r="EML823" s="268"/>
      <c r="EMM823" s="268"/>
      <c r="EMN823" s="268"/>
      <c r="EMO823" s="268"/>
      <c r="EMP823" s="268"/>
      <c r="EMQ823" s="268"/>
      <c r="EMR823" s="268"/>
      <c r="EMS823" s="268"/>
      <c r="EMT823" s="268"/>
      <c r="EMU823" s="268"/>
      <c r="EMV823" s="268"/>
      <c r="EMW823" s="268"/>
      <c r="EMX823" s="268"/>
      <c r="EMY823" s="268"/>
      <c r="EMZ823" s="268"/>
      <c r="ENA823" s="268"/>
      <c r="ENB823" s="268"/>
      <c r="ENC823" s="268"/>
      <c r="END823" s="268"/>
      <c r="ENE823" s="268"/>
      <c r="ENF823" s="268"/>
      <c r="ENG823" s="268"/>
      <c r="ENH823" s="268"/>
      <c r="ENI823" s="268"/>
      <c r="ENJ823" s="268"/>
      <c r="ENK823" s="268"/>
      <c r="ENL823" s="268"/>
      <c r="ENM823" s="268"/>
      <c r="ENN823" s="268"/>
      <c r="ENO823" s="268"/>
      <c r="ENP823" s="268"/>
      <c r="ENQ823" s="268"/>
      <c r="ENR823" s="268"/>
      <c r="ENS823" s="268"/>
      <c r="ENT823" s="268"/>
      <c r="ENU823" s="268"/>
      <c r="ENV823" s="268"/>
      <c r="ENW823" s="268"/>
      <c r="ENX823" s="268"/>
      <c r="ENY823" s="268"/>
      <c r="ENZ823" s="268"/>
      <c r="EOA823" s="268"/>
      <c r="EOB823" s="268"/>
      <c r="EOC823" s="268"/>
      <c r="EOD823" s="268"/>
      <c r="EOE823" s="268"/>
      <c r="EOF823" s="268"/>
      <c r="EOG823" s="268"/>
      <c r="EOH823" s="268"/>
      <c r="EOI823" s="268"/>
      <c r="EOJ823" s="268"/>
      <c r="EOK823" s="268"/>
      <c r="EOL823" s="268"/>
      <c r="EOM823" s="268"/>
      <c r="EON823" s="268"/>
      <c r="EOO823" s="268"/>
      <c r="EOP823" s="268"/>
      <c r="EOQ823" s="268"/>
      <c r="EOR823" s="268"/>
      <c r="EOS823" s="268"/>
      <c r="EOT823" s="268"/>
      <c r="EOU823" s="268"/>
      <c r="EOV823" s="268"/>
      <c r="EOW823" s="268"/>
      <c r="EOX823" s="268"/>
      <c r="EOY823" s="268"/>
      <c r="EOZ823" s="268"/>
      <c r="EPA823" s="268"/>
      <c r="EPB823" s="268"/>
      <c r="EPC823" s="268"/>
      <c r="EPD823" s="268"/>
      <c r="EPE823" s="268"/>
      <c r="EPF823" s="268"/>
      <c r="EPG823" s="268"/>
      <c r="EPH823" s="268"/>
      <c r="EPI823" s="268"/>
      <c r="EPJ823" s="268"/>
      <c r="EPK823" s="268"/>
      <c r="EPL823" s="268"/>
      <c r="EPM823" s="268"/>
      <c r="EPN823" s="268"/>
      <c r="EPO823" s="268"/>
      <c r="EPP823" s="268"/>
      <c r="EPQ823" s="268"/>
      <c r="EPR823" s="268"/>
      <c r="EPS823" s="268"/>
      <c r="EPT823" s="268"/>
      <c r="EPU823" s="268"/>
      <c r="EPV823" s="268"/>
      <c r="EPW823" s="268"/>
      <c r="EPX823" s="268"/>
      <c r="EPY823" s="268"/>
      <c r="EPZ823" s="268"/>
      <c r="EQA823" s="268"/>
      <c r="EQB823" s="268"/>
      <c r="EQC823" s="268"/>
      <c r="EQD823" s="268"/>
      <c r="EQE823" s="268"/>
      <c r="EQF823" s="268"/>
      <c r="EQG823" s="268"/>
      <c r="EQH823" s="268"/>
      <c r="EQI823" s="268"/>
      <c r="EQW823" s="268"/>
      <c r="EQX823" s="268"/>
      <c r="EQY823" s="268"/>
      <c r="ERM823" s="268"/>
      <c r="ERO823" s="268"/>
      <c r="ERP823" s="268"/>
      <c r="ERQ823" s="268"/>
      <c r="ERR823" s="268"/>
      <c r="ERS823" s="268"/>
      <c r="ERT823" s="268"/>
      <c r="ERU823" s="268"/>
      <c r="ERV823" s="268"/>
      <c r="ERW823" s="268"/>
      <c r="ERX823" s="268"/>
      <c r="ERY823" s="268"/>
      <c r="ERZ823" s="268"/>
      <c r="ESA823" s="268"/>
      <c r="ESB823" s="268"/>
      <c r="ESC823" s="268"/>
      <c r="ESD823" s="268"/>
      <c r="ESE823" s="268"/>
      <c r="ESF823" s="268"/>
      <c r="ESG823" s="268"/>
      <c r="ESH823" s="268"/>
      <c r="ESI823" s="268"/>
      <c r="ESJ823" s="268"/>
      <c r="ESK823" s="268"/>
      <c r="ESL823" s="268"/>
      <c r="ESM823" s="268"/>
      <c r="ESN823" s="268"/>
      <c r="ESO823" s="268"/>
      <c r="ESP823" s="268"/>
      <c r="ESQ823" s="268"/>
      <c r="ESR823" s="268"/>
      <c r="ESS823" s="268"/>
      <c r="EST823" s="268"/>
      <c r="ESU823" s="268"/>
      <c r="ESV823" s="268"/>
      <c r="ESW823" s="268"/>
      <c r="ESX823" s="268"/>
      <c r="ESY823" s="268"/>
      <c r="ESZ823" s="268"/>
      <c r="ETA823" s="268"/>
      <c r="ETB823" s="268"/>
      <c r="ETC823" s="268"/>
      <c r="ETD823" s="268"/>
      <c r="ETE823" s="268"/>
      <c r="ETF823" s="268"/>
      <c r="ETG823" s="268"/>
      <c r="ETH823" s="268"/>
      <c r="ETI823" s="268"/>
      <c r="ETJ823" s="268"/>
      <c r="ETK823" s="268"/>
      <c r="ETL823" s="268"/>
      <c r="ETM823" s="268"/>
      <c r="ETN823" s="268"/>
      <c r="ETO823" s="268"/>
      <c r="ETP823" s="268"/>
      <c r="ETQ823" s="268"/>
      <c r="ETR823" s="268"/>
      <c r="ETS823" s="268"/>
      <c r="ETT823" s="268"/>
      <c r="ETU823" s="268"/>
      <c r="ETV823" s="268"/>
      <c r="ETW823" s="268"/>
      <c r="ETX823" s="268"/>
      <c r="ETY823" s="268"/>
      <c r="ETZ823" s="268"/>
      <c r="EUA823" s="268"/>
      <c r="EUB823" s="268"/>
      <c r="EUC823" s="268"/>
      <c r="EUD823" s="268"/>
      <c r="EUE823" s="268"/>
      <c r="EUF823" s="268"/>
      <c r="EUG823" s="268"/>
      <c r="EUH823" s="268"/>
      <c r="EUI823" s="268"/>
      <c r="EUJ823" s="268"/>
      <c r="EUK823" s="268"/>
      <c r="EUL823" s="268"/>
      <c r="EUM823" s="268"/>
      <c r="EUN823" s="268"/>
      <c r="EUO823" s="268"/>
      <c r="EUP823" s="268"/>
      <c r="EUQ823" s="268"/>
      <c r="EUR823" s="268"/>
      <c r="EUS823" s="268"/>
      <c r="EUT823" s="268"/>
      <c r="EUU823" s="268"/>
      <c r="EUV823" s="268"/>
      <c r="EUW823" s="268"/>
      <c r="EUX823" s="268"/>
      <c r="EUY823" s="268"/>
      <c r="EUZ823" s="268"/>
      <c r="EVA823" s="268"/>
      <c r="EVB823" s="268"/>
      <c r="EVC823" s="268"/>
      <c r="EVD823" s="268"/>
      <c r="EVE823" s="268"/>
      <c r="EVF823" s="268"/>
      <c r="EVG823" s="268"/>
      <c r="EVH823" s="268"/>
      <c r="EVI823" s="268"/>
      <c r="EVJ823" s="268"/>
      <c r="EVK823" s="268"/>
      <c r="EVL823" s="268"/>
      <c r="EVM823" s="268"/>
      <c r="EVN823" s="268"/>
      <c r="EVO823" s="268"/>
      <c r="EVP823" s="268"/>
      <c r="EVQ823" s="268"/>
      <c r="EVR823" s="268"/>
      <c r="EVS823" s="268"/>
      <c r="EVT823" s="268"/>
      <c r="EVU823" s="268"/>
      <c r="EVV823" s="268"/>
      <c r="EVW823" s="268"/>
      <c r="EVX823" s="268"/>
      <c r="EVY823" s="268"/>
      <c r="EVZ823" s="268"/>
      <c r="EWA823" s="268"/>
      <c r="EWB823" s="268"/>
      <c r="EWC823" s="268"/>
      <c r="EWD823" s="268"/>
      <c r="EWE823" s="268"/>
      <c r="EWF823" s="268"/>
      <c r="EWG823" s="268"/>
      <c r="EWH823" s="268"/>
      <c r="EWI823" s="268"/>
      <c r="EWJ823" s="268"/>
      <c r="EWK823" s="268"/>
      <c r="EWL823" s="268"/>
      <c r="EWM823" s="268"/>
      <c r="EWN823" s="268"/>
      <c r="EWO823" s="268"/>
      <c r="EWP823" s="268"/>
      <c r="EWQ823" s="268"/>
      <c r="EWR823" s="268"/>
      <c r="EWS823" s="268"/>
      <c r="EWT823" s="268"/>
      <c r="EWU823" s="268"/>
      <c r="EWV823" s="268"/>
      <c r="EWW823" s="268"/>
      <c r="EWX823" s="268"/>
      <c r="EWY823" s="268"/>
      <c r="EWZ823" s="268"/>
      <c r="EXA823" s="268"/>
      <c r="EXB823" s="268"/>
      <c r="EXC823" s="268"/>
      <c r="EXD823" s="268"/>
      <c r="EXE823" s="268"/>
      <c r="EXF823" s="268"/>
      <c r="EXG823" s="268"/>
      <c r="EXH823" s="268"/>
      <c r="EXI823" s="268"/>
      <c r="EXJ823" s="268"/>
      <c r="EXK823" s="268"/>
      <c r="EXL823" s="268"/>
      <c r="EXM823" s="268"/>
      <c r="EXN823" s="268"/>
      <c r="EXO823" s="268"/>
      <c r="EXP823" s="268"/>
      <c r="EXQ823" s="268"/>
      <c r="EXR823" s="268"/>
      <c r="EXS823" s="268"/>
      <c r="EXT823" s="268"/>
      <c r="EXU823" s="268"/>
      <c r="EXV823" s="268"/>
      <c r="EXW823" s="268"/>
      <c r="EXX823" s="268"/>
      <c r="EXY823" s="268"/>
      <c r="EXZ823" s="268"/>
      <c r="EYA823" s="268"/>
      <c r="EYB823" s="268"/>
      <c r="EYC823" s="268"/>
      <c r="EYD823" s="268"/>
      <c r="EYE823" s="268"/>
      <c r="EYF823" s="268"/>
      <c r="EYG823" s="268"/>
      <c r="EYH823" s="268"/>
      <c r="EYI823" s="268"/>
      <c r="EYJ823" s="268"/>
      <c r="EYK823" s="268"/>
      <c r="EYL823" s="268"/>
      <c r="EYM823" s="268"/>
      <c r="EYN823" s="268"/>
      <c r="EYO823" s="268"/>
      <c r="EYP823" s="268"/>
      <c r="EYQ823" s="268"/>
      <c r="EYR823" s="268"/>
      <c r="EYS823" s="268"/>
      <c r="EYT823" s="268"/>
      <c r="EYU823" s="268"/>
      <c r="EYV823" s="268"/>
      <c r="EYW823" s="268"/>
      <c r="EYX823" s="268"/>
      <c r="EYY823" s="268"/>
      <c r="EYZ823" s="268"/>
      <c r="EZA823" s="268"/>
      <c r="EZB823" s="268"/>
      <c r="EZC823" s="268"/>
      <c r="EZD823" s="268"/>
      <c r="EZE823" s="268"/>
      <c r="EZF823" s="268"/>
      <c r="EZG823" s="268"/>
      <c r="EZH823" s="268"/>
      <c r="EZI823" s="268"/>
      <c r="EZJ823" s="268"/>
      <c r="EZK823" s="268"/>
      <c r="EZL823" s="268"/>
      <c r="EZM823" s="268"/>
      <c r="EZN823" s="268"/>
      <c r="EZO823" s="268"/>
      <c r="EZP823" s="268"/>
      <c r="EZQ823" s="268"/>
      <c r="EZR823" s="268"/>
      <c r="EZS823" s="268"/>
      <c r="EZT823" s="268"/>
      <c r="EZU823" s="268"/>
      <c r="EZV823" s="268"/>
      <c r="EZW823" s="268"/>
      <c r="EZX823" s="268"/>
      <c r="EZY823" s="268"/>
      <c r="EZZ823" s="268"/>
      <c r="FAA823" s="268"/>
      <c r="FAB823" s="268"/>
      <c r="FAC823" s="268"/>
      <c r="FAD823" s="268"/>
      <c r="FAE823" s="268"/>
      <c r="FAS823" s="268"/>
      <c r="FAT823" s="268"/>
      <c r="FAU823" s="268"/>
      <c r="FBI823" s="268"/>
      <c r="FBK823" s="268"/>
      <c r="FBL823" s="268"/>
      <c r="FBM823" s="268"/>
      <c r="FBN823" s="268"/>
      <c r="FBO823" s="268"/>
      <c r="FBP823" s="268"/>
      <c r="FBQ823" s="268"/>
      <c r="FBR823" s="268"/>
      <c r="FBS823" s="268"/>
      <c r="FBT823" s="268"/>
      <c r="FBU823" s="268"/>
      <c r="FBV823" s="268"/>
      <c r="FBW823" s="268"/>
      <c r="FBX823" s="268"/>
      <c r="FBY823" s="268"/>
      <c r="FBZ823" s="268"/>
      <c r="FCA823" s="268"/>
      <c r="FCB823" s="268"/>
      <c r="FCC823" s="268"/>
      <c r="FCD823" s="268"/>
      <c r="FCE823" s="268"/>
      <c r="FCF823" s="268"/>
      <c r="FCG823" s="268"/>
      <c r="FCH823" s="268"/>
      <c r="FCI823" s="268"/>
      <c r="FCJ823" s="268"/>
      <c r="FCK823" s="268"/>
      <c r="FCL823" s="268"/>
      <c r="FCM823" s="268"/>
      <c r="FCN823" s="268"/>
      <c r="FCO823" s="268"/>
      <c r="FCP823" s="268"/>
      <c r="FCQ823" s="268"/>
      <c r="FCR823" s="268"/>
      <c r="FCS823" s="268"/>
      <c r="FCT823" s="268"/>
      <c r="FCU823" s="268"/>
      <c r="FCV823" s="268"/>
      <c r="FCW823" s="268"/>
      <c r="FCX823" s="268"/>
      <c r="FCY823" s="268"/>
      <c r="FCZ823" s="268"/>
      <c r="FDA823" s="268"/>
      <c r="FDB823" s="268"/>
      <c r="FDC823" s="268"/>
      <c r="FDD823" s="268"/>
      <c r="FDE823" s="268"/>
      <c r="FDF823" s="268"/>
      <c r="FDG823" s="268"/>
      <c r="FDH823" s="268"/>
      <c r="FDI823" s="268"/>
      <c r="FDJ823" s="268"/>
      <c r="FDK823" s="268"/>
      <c r="FDL823" s="268"/>
      <c r="FDM823" s="268"/>
      <c r="FDN823" s="268"/>
      <c r="FDO823" s="268"/>
      <c r="FDP823" s="268"/>
      <c r="FDQ823" s="268"/>
      <c r="FDR823" s="268"/>
      <c r="FDS823" s="268"/>
      <c r="FDT823" s="268"/>
      <c r="FDU823" s="268"/>
      <c r="FDV823" s="268"/>
      <c r="FDW823" s="268"/>
      <c r="FDX823" s="268"/>
      <c r="FDY823" s="268"/>
      <c r="FDZ823" s="268"/>
      <c r="FEA823" s="268"/>
      <c r="FEB823" s="268"/>
      <c r="FEC823" s="268"/>
      <c r="FED823" s="268"/>
      <c r="FEE823" s="268"/>
      <c r="FEF823" s="268"/>
      <c r="FEG823" s="268"/>
      <c r="FEH823" s="268"/>
      <c r="FEI823" s="268"/>
      <c r="FEJ823" s="268"/>
      <c r="FEK823" s="268"/>
      <c r="FEL823" s="268"/>
      <c r="FEM823" s="268"/>
      <c r="FEN823" s="268"/>
      <c r="FEO823" s="268"/>
      <c r="FEP823" s="268"/>
      <c r="FEQ823" s="268"/>
      <c r="FER823" s="268"/>
      <c r="FES823" s="268"/>
      <c r="FET823" s="268"/>
      <c r="FEU823" s="268"/>
      <c r="FEV823" s="268"/>
      <c r="FEW823" s="268"/>
      <c r="FEX823" s="268"/>
      <c r="FEY823" s="268"/>
      <c r="FEZ823" s="268"/>
      <c r="FFA823" s="268"/>
      <c r="FFB823" s="268"/>
      <c r="FFC823" s="268"/>
      <c r="FFD823" s="268"/>
      <c r="FFE823" s="268"/>
      <c r="FFF823" s="268"/>
      <c r="FFG823" s="268"/>
      <c r="FFH823" s="268"/>
      <c r="FFI823" s="268"/>
      <c r="FFJ823" s="268"/>
      <c r="FFK823" s="268"/>
      <c r="FFL823" s="268"/>
      <c r="FFM823" s="268"/>
      <c r="FFN823" s="268"/>
      <c r="FFO823" s="268"/>
      <c r="FFP823" s="268"/>
      <c r="FFQ823" s="268"/>
      <c r="FFR823" s="268"/>
      <c r="FFS823" s="268"/>
      <c r="FFT823" s="268"/>
      <c r="FFU823" s="268"/>
      <c r="FFV823" s="268"/>
      <c r="FFW823" s="268"/>
      <c r="FFX823" s="268"/>
      <c r="FFY823" s="268"/>
      <c r="FFZ823" s="268"/>
      <c r="FGA823" s="268"/>
      <c r="FGB823" s="268"/>
      <c r="FGC823" s="268"/>
      <c r="FGD823" s="268"/>
      <c r="FGE823" s="268"/>
      <c r="FGF823" s="268"/>
      <c r="FGG823" s="268"/>
      <c r="FGH823" s="268"/>
      <c r="FGI823" s="268"/>
      <c r="FGJ823" s="268"/>
      <c r="FGK823" s="268"/>
      <c r="FGL823" s="268"/>
      <c r="FGM823" s="268"/>
      <c r="FGN823" s="268"/>
      <c r="FGO823" s="268"/>
      <c r="FGP823" s="268"/>
      <c r="FGQ823" s="268"/>
      <c r="FGR823" s="268"/>
      <c r="FGS823" s="268"/>
      <c r="FGT823" s="268"/>
      <c r="FGU823" s="268"/>
      <c r="FGV823" s="268"/>
      <c r="FGW823" s="268"/>
      <c r="FGX823" s="268"/>
      <c r="FGY823" s="268"/>
      <c r="FGZ823" s="268"/>
      <c r="FHA823" s="268"/>
      <c r="FHB823" s="268"/>
      <c r="FHC823" s="268"/>
      <c r="FHD823" s="268"/>
      <c r="FHE823" s="268"/>
      <c r="FHF823" s="268"/>
      <c r="FHG823" s="268"/>
      <c r="FHH823" s="268"/>
      <c r="FHI823" s="268"/>
      <c r="FHJ823" s="268"/>
      <c r="FHK823" s="268"/>
      <c r="FHL823" s="268"/>
      <c r="FHM823" s="268"/>
      <c r="FHN823" s="268"/>
      <c r="FHO823" s="268"/>
      <c r="FHP823" s="268"/>
      <c r="FHQ823" s="268"/>
      <c r="FHR823" s="268"/>
      <c r="FHS823" s="268"/>
      <c r="FHT823" s="268"/>
      <c r="FHU823" s="268"/>
      <c r="FHV823" s="268"/>
      <c r="FHW823" s="268"/>
      <c r="FHX823" s="268"/>
      <c r="FHY823" s="268"/>
      <c r="FHZ823" s="268"/>
      <c r="FIA823" s="268"/>
      <c r="FIB823" s="268"/>
      <c r="FIC823" s="268"/>
      <c r="FID823" s="268"/>
      <c r="FIE823" s="268"/>
      <c r="FIF823" s="268"/>
      <c r="FIG823" s="268"/>
      <c r="FIH823" s="268"/>
      <c r="FII823" s="268"/>
      <c r="FIJ823" s="268"/>
      <c r="FIK823" s="268"/>
      <c r="FIL823" s="268"/>
      <c r="FIM823" s="268"/>
      <c r="FIN823" s="268"/>
      <c r="FIO823" s="268"/>
      <c r="FIP823" s="268"/>
      <c r="FIQ823" s="268"/>
      <c r="FIR823" s="268"/>
      <c r="FIS823" s="268"/>
      <c r="FIT823" s="268"/>
      <c r="FIU823" s="268"/>
      <c r="FIV823" s="268"/>
      <c r="FIW823" s="268"/>
      <c r="FIX823" s="268"/>
      <c r="FIY823" s="268"/>
      <c r="FIZ823" s="268"/>
      <c r="FJA823" s="268"/>
      <c r="FJB823" s="268"/>
      <c r="FJC823" s="268"/>
      <c r="FJD823" s="268"/>
      <c r="FJE823" s="268"/>
      <c r="FJF823" s="268"/>
      <c r="FJG823" s="268"/>
      <c r="FJH823" s="268"/>
      <c r="FJI823" s="268"/>
      <c r="FJJ823" s="268"/>
      <c r="FJK823" s="268"/>
      <c r="FJL823" s="268"/>
      <c r="FJM823" s="268"/>
      <c r="FJN823" s="268"/>
      <c r="FJO823" s="268"/>
      <c r="FJP823" s="268"/>
      <c r="FJQ823" s="268"/>
      <c r="FJR823" s="268"/>
      <c r="FJS823" s="268"/>
      <c r="FJT823" s="268"/>
      <c r="FJU823" s="268"/>
      <c r="FJV823" s="268"/>
      <c r="FJW823" s="268"/>
      <c r="FJX823" s="268"/>
      <c r="FJY823" s="268"/>
      <c r="FJZ823" s="268"/>
      <c r="FKA823" s="268"/>
      <c r="FKO823" s="268"/>
      <c r="FKP823" s="268"/>
      <c r="FKQ823" s="268"/>
      <c r="FLE823" s="268"/>
      <c r="FLG823" s="268"/>
      <c r="FLH823" s="268"/>
      <c r="FLI823" s="268"/>
      <c r="FLJ823" s="268"/>
      <c r="FLK823" s="268"/>
      <c r="FLL823" s="268"/>
      <c r="FLM823" s="268"/>
      <c r="FLN823" s="268"/>
      <c r="FLO823" s="268"/>
      <c r="FLP823" s="268"/>
      <c r="FLQ823" s="268"/>
      <c r="FLR823" s="268"/>
      <c r="FLS823" s="268"/>
      <c r="FLT823" s="268"/>
      <c r="FLU823" s="268"/>
      <c r="FLV823" s="268"/>
      <c r="FLW823" s="268"/>
      <c r="FLX823" s="268"/>
      <c r="FLY823" s="268"/>
      <c r="FLZ823" s="268"/>
      <c r="FMA823" s="268"/>
      <c r="FMB823" s="268"/>
      <c r="FMC823" s="268"/>
      <c r="FMD823" s="268"/>
      <c r="FME823" s="268"/>
      <c r="FMF823" s="268"/>
      <c r="FMG823" s="268"/>
      <c r="FMH823" s="268"/>
      <c r="FMI823" s="268"/>
      <c r="FMJ823" s="268"/>
      <c r="FMK823" s="268"/>
      <c r="FML823" s="268"/>
      <c r="FMM823" s="268"/>
      <c r="FMN823" s="268"/>
      <c r="FMO823" s="268"/>
      <c r="FMP823" s="268"/>
      <c r="FMQ823" s="268"/>
      <c r="FMR823" s="268"/>
      <c r="FMS823" s="268"/>
      <c r="FMT823" s="268"/>
      <c r="FMU823" s="268"/>
      <c r="FMV823" s="268"/>
      <c r="FMW823" s="268"/>
      <c r="FMX823" s="268"/>
      <c r="FMY823" s="268"/>
      <c r="FMZ823" s="268"/>
      <c r="FNA823" s="268"/>
      <c r="FNB823" s="268"/>
      <c r="FNC823" s="268"/>
      <c r="FND823" s="268"/>
      <c r="FNE823" s="268"/>
      <c r="FNF823" s="268"/>
      <c r="FNG823" s="268"/>
      <c r="FNH823" s="268"/>
      <c r="FNI823" s="268"/>
      <c r="FNJ823" s="268"/>
      <c r="FNK823" s="268"/>
      <c r="FNL823" s="268"/>
      <c r="FNM823" s="268"/>
      <c r="FNN823" s="268"/>
      <c r="FNO823" s="268"/>
      <c r="FNP823" s="268"/>
      <c r="FNQ823" s="268"/>
      <c r="FNR823" s="268"/>
      <c r="FNS823" s="268"/>
      <c r="FNT823" s="268"/>
      <c r="FNU823" s="268"/>
      <c r="FNV823" s="268"/>
      <c r="FNW823" s="268"/>
      <c r="FNX823" s="268"/>
      <c r="FNY823" s="268"/>
      <c r="FNZ823" s="268"/>
      <c r="FOA823" s="268"/>
      <c r="FOB823" s="268"/>
      <c r="FOC823" s="268"/>
      <c r="FOD823" s="268"/>
      <c r="FOE823" s="268"/>
      <c r="FOF823" s="268"/>
      <c r="FOG823" s="268"/>
      <c r="FOH823" s="268"/>
      <c r="FOI823" s="268"/>
      <c r="FOJ823" s="268"/>
      <c r="FOK823" s="268"/>
      <c r="FOL823" s="268"/>
      <c r="FOM823" s="268"/>
      <c r="FON823" s="268"/>
      <c r="FOO823" s="268"/>
      <c r="FOP823" s="268"/>
      <c r="FOQ823" s="268"/>
      <c r="FOR823" s="268"/>
      <c r="FOS823" s="268"/>
      <c r="FOT823" s="268"/>
      <c r="FOU823" s="268"/>
      <c r="FOV823" s="268"/>
      <c r="FOW823" s="268"/>
      <c r="FOX823" s="268"/>
      <c r="FOY823" s="268"/>
      <c r="FOZ823" s="268"/>
      <c r="FPA823" s="268"/>
      <c r="FPB823" s="268"/>
      <c r="FPC823" s="268"/>
      <c r="FPD823" s="268"/>
      <c r="FPE823" s="268"/>
      <c r="FPF823" s="268"/>
      <c r="FPG823" s="268"/>
      <c r="FPH823" s="268"/>
      <c r="FPI823" s="268"/>
      <c r="FPJ823" s="268"/>
      <c r="FPK823" s="268"/>
      <c r="FPL823" s="268"/>
      <c r="FPM823" s="268"/>
      <c r="FPN823" s="268"/>
      <c r="FPO823" s="268"/>
      <c r="FPP823" s="268"/>
      <c r="FPQ823" s="268"/>
      <c r="FPR823" s="268"/>
      <c r="FPS823" s="268"/>
      <c r="FPT823" s="268"/>
      <c r="FPU823" s="268"/>
      <c r="FPV823" s="268"/>
      <c r="FPW823" s="268"/>
      <c r="FPX823" s="268"/>
      <c r="FPY823" s="268"/>
      <c r="FPZ823" s="268"/>
      <c r="FQA823" s="268"/>
      <c r="FQB823" s="268"/>
      <c r="FQC823" s="268"/>
      <c r="FQD823" s="268"/>
      <c r="FQE823" s="268"/>
      <c r="FQF823" s="268"/>
      <c r="FQG823" s="268"/>
      <c r="FQH823" s="268"/>
      <c r="FQI823" s="268"/>
      <c r="FQJ823" s="268"/>
      <c r="FQK823" s="268"/>
      <c r="FQL823" s="268"/>
      <c r="FQM823" s="268"/>
      <c r="FQN823" s="268"/>
      <c r="FQO823" s="268"/>
      <c r="FQP823" s="268"/>
      <c r="FQQ823" s="268"/>
      <c r="FQR823" s="268"/>
      <c r="FQS823" s="268"/>
      <c r="FQT823" s="268"/>
      <c r="FQU823" s="268"/>
      <c r="FQV823" s="268"/>
      <c r="FQW823" s="268"/>
      <c r="FQX823" s="268"/>
      <c r="FQY823" s="268"/>
      <c r="FQZ823" s="268"/>
      <c r="FRA823" s="268"/>
      <c r="FRB823" s="268"/>
      <c r="FRC823" s="268"/>
      <c r="FRD823" s="268"/>
      <c r="FRE823" s="268"/>
      <c r="FRF823" s="268"/>
      <c r="FRG823" s="268"/>
      <c r="FRH823" s="268"/>
      <c r="FRI823" s="268"/>
      <c r="FRJ823" s="268"/>
      <c r="FRK823" s="268"/>
      <c r="FRL823" s="268"/>
      <c r="FRM823" s="268"/>
      <c r="FRN823" s="268"/>
      <c r="FRO823" s="268"/>
      <c r="FRP823" s="268"/>
      <c r="FRQ823" s="268"/>
      <c r="FRR823" s="268"/>
      <c r="FRS823" s="268"/>
      <c r="FRT823" s="268"/>
      <c r="FRU823" s="268"/>
      <c r="FRV823" s="268"/>
      <c r="FRW823" s="268"/>
      <c r="FRX823" s="268"/>
      <c r="FRY823" s="268"/>
      <c r="FRZ823" s="268"/>
      <c r="FSA823" s="268"/>
      <c r="FSB823" s="268"/>
      <c r="FSC823" s="268"/>
      <c r="FSD823" s="268"/>
      <c r="FSE823" s="268"/>
      <c r="FSF823" s="268"/>
      <c r="FSG823" s="268"/>
      <c r="FSH823" s="268"/>
      <c r="FSI823" s="268"/>
      <c r="FSJ823" s="268"/>
      <c r="FSK823" s="268"/>
      <c r="FSL823" s="268"/>
      <c r="FSM823" s="268"/>
      <c r="FSN823" s="268"/>
      <c r="FSO823" s="268"/>
      <c r="FSP823" s="268"/>
      <c r="FSQ823" s="268"/>
      <c r="FSR823" s="268"/>
      <c r="FSS823" s="268"/>
      <c r="FST823" s="268"/>
      <c r="FSU823" s="268"/>
      <c r="FSV823" s="268"/>
      <c r="FSW823" s="268"/>
      <c r="FSX823" s="268"/>
      <c r="FSY823" s="268"/>
      <c r="FSZ823" s="268"/>
      <c r="FTA823" s="268"/>
      <c r="FTB823" s="268"/>
      <c r="FTC823" s="268"/>
      <c r="FTD823" s="268"/>
      <c r="FTE823" s="268"/>
      <c r="FTF823" s="268"/>
      <c r="FTG823" s="268"/>
      <c r="FTH823" s="268"/>
      <c r="FTI823" s="268"/>
      <c r="FTJ823" s="268"/>
      <c r="FTK823" s="268"/>
      <c r="FTL823" s="268"/>
      <c r="FTM823" s="268"/>
      <c r="FTN823" s="268"/>
      <c r="FTO823" s="268"/>
      <c r="FTP823" s="268"/>
      <c r="FTQ823" s="268"/>
      <c r="FTR823" s="268"/>
      <c r="FTS823" s="268"/>
      <c r="FTT823" s="268"/>
      <c r="FTU823" s="268"/>
      <c r="FTV823" s="268"/>
      <c r="FTW823" s="268"/>
      <c r="FUK823" s="268"/>
      <c r="FUL823" s="268"/>
      <c r="FUM823" s="268"/>
      <c r="FVA823" s="268"/>
      <c r="FVC823" s="268"/>
      <c r="FVD823" s="268"/>
      <c r="FVE823" s="268"/>
      <c r="FVF823" s="268"/>
      <c r="FVG823" s="268"/>
      <c r="FVH823" s="268"/>
      <c r="FVI823" s="268"/>
      <c r="FVJ823" s="268"/>
      <c r="FVK823" s="268"/>
      <c r="FVL823" s="268"/>
      <c r="FVM823" s="268"/>
      <c r="FVN823" s="268"/>
      <c r="FVO823" s="268"/>
      <c r="FVP823" s="268"/>
      <c r="FVQ823" s="268"/>
      <c r="FVR823" s="268"/>
      <c r="FVS823" s="268"/>
      <c r="FVT823" s="268"/>
      <c r="FVU823" s="268"/>
      <c r="FVV823" s="268"/>
      <c r="FVW823" s="268"/>
      <c r="FVX823" s="268"/>
      <c r="FVY823" s="268"/>
      <c r="FVZ823" s="268"/>
      <c r="FWA823" s="268"/>
      <c r="FWB823" s="268"/>
      <c r="FWC823" s="268"/>
      <c r="FWD823" s="268"/>
      <c r="FWE823" s="268"/>
      <c r="FWF823" s="268"/>
      <c r="FWG823" s="268"/>
      <c r="FWH823" s="268"/>
      <c r="FWI823" s="268"/>
      <c r="FWJ823" s="268"/>
      <c r="FWK823" s="268"/>
      <c r="FWL823" s="268"/>
      <c r="FWM823" s="268"/>
      <c r="FWN823" s="268"/>
      <c r="FWO823" s="268"/>
      <c r="FWP823" s="268"/>
      <c r="FWQ823" s="268"/>
      <c r="FWR823" s="268"/>
      <c r="FWS823" s="268"/>
      <c r="FWT823" s="268"/>
      <c r="FWU823" s="268"/>
      <c r="FWV823" s="268"/>
      <c r="FWW823" s="268"/>
      <c r="FWX823" s="268"/>
      <c r="FWY823" s="268"/>
      <c r="FWZ823" s="268"/>
      <c r="FXA823" s="268"/>
      <c r="FXB823" s="268"/>
      <c r="FXC823" s="268"/>
      <c r="FXD823" s="268"/>
      <c r="FXE823" s="268"/>
      <c r="FXF823" s="268"/>
      <c r="FXG823" s="268"/>
      <c r="FXH823" s="268"/>
      <c r="FXI823" s="268"/>
      <c r="FXJ823" s="268"/>
      <c r="FXK823" s="268"/>
      <c r="FXL823" s="268"/>
      <c r="FXM823" s="268"/>
      <c r="FXN823" s="268"/>
      <c r="FXO823" s="268"/>
      <c r="FXP823" s="268"/>
      <c r="FXQ823" s="268"/>
      <c r="FXR823" s="268"/>
      <c r="FXS823" s="268"/>
      <c r="FXT823" s="268"/>
      <c r="FXU823" s="268"/>
      <c r="FXV823" s="268"/>
      <c r="FXW823" s="268"/>
      <c r="FXX823" s="268"/>
      <c r="FXY823" s="268"/>
      <c r="FXZ823" s="268"/>
      <c r="FYA823" s="268"/>
      <c r="FYB823" s="268"/>
      <c r="FYC823" s="268"/>
      <c r="FYD823" s="268"/>
      <c r="FYE823" s="268"/>
      <c r="FYF823" s="268"/>
      <c r="FYG823" s="268"/>
      <c r="FYH823" s="268"/>
      <c r="FYI823" s="268"/>
      <c r="FYJ823" s="268"/>
      <c r="FYK823" s="268"/>
      <c r="FYL823" s="268"/>
      <c r="FYM823" s="268"/>
      <c r="FYN823" s="268"/>
      <c r="FYO823" s="268"/>
      <c r="FYP823" s="268"/>
      <c r="FYQ823" s="268"/>
      <c r="FYR823" s="268"/>
      <c r="FYS823" s="268"/>
      <c r="FYT823" s="268"/>
      <c r="FYU823" s="268"/>
      <c r="FYV823" s="268"/>
      <c r="FYW823" s="268"/>
      <c r="FYX823" s="268"/>
      <c r="FYY823" s="268"/>
      <c r="FYZ823" s="268"/>
      <c r="FZA823" s="268"/>
      <c r="FZB823" s="268"/>
      <c r="FZC823" s="268"/>
      <c r="FZD823" s="268"/>
      <c r="FZE823" s="268"/>
      <c r="FZF823" s="268"/>
      <c r="FZG823" s="268"/>
      <c r="FZH823" s="268"/>
      <c r="FZI823" s="268"/>
      <c r="FZJ823" s="268"/>
      <c r="FZK823" s="268"/>
      <c r="FZL823" s="268"/>
      <c r="FZM823" s="268"/>
      <c r="FZN823" s="268"/>
      <c r="FZO823" s="268"/>
      <c r="FZP823" s="268"/>
      <c r="FZQ823" s="268"/>
      <c r="FZR823" s="268"/>
      <c r="FZS823" s="268"/>
      <c r="FZT823" s="268"/>
      <c r="FZU823" s="268"/>
      <c r="FZV823" s="268"/>
      <c r="FZW823" s="268"/>
      <c r="FZX823" s="268"/>
      <c r="FZY823" s="268"/>
      <c r="FZZ823" s="268"/>
      <c r="GAA823" s="268"/>
      <c r="GAB823" s="268"/>
      <c r="GAC823" s="268"/>
      <c r="GAD823" s="268"/>
      <c r="GAE823" s="268"/>
      <c r="GAF823" s="268"/>
      <c r="GAG823" s="268"/>
      <c r="GAH823" s="268"/>
      <c r="GAI823" s="268"/>
      <c r="GAJ823" s="268"/>
      <c r="GAK823" s="268"/>
      <c r="GAL823" s="268"/>
      <c r="GAM823" s="268"/>
      <c r="GAN823" s="268"/>
      <c r="GAO823" s="268"/>
      <c r="GAP823" s="268"/>
      <c r="GAQ823" s="268"/>
      <c r="GAR823" s="268"/>
      <c r="GAS823" s="268"/>
      <c r="GAT823" s="268"/>
      <c r="GAU823" s="268"/>
      <c r="GAV823" s="268"/>
      <c r="GAW823" s="268"/>
      <c r="GAX823" s="268"/>
      <c r="GAY823" s="268"/>
      <c r="GAZ823" s="268"/>
      <c r="GBA823" s="268"/>
      <c r="GBB823" s="268"/>
      <c r="GBC823" s="268"/>
      <c r="GBD823" s="268"/>
      <c r="GBE823" s="268"/>
      <c r="GBF823" s="268"/>
      <c r="GBG823" s="268"/>
      <c r="GBH823" s="268"/>
      <c r="GBI823" s="268"/>
      <c r="GBJ823" s="268"/>
      <c r="GBK823" s="268"/>
      <c r="GBL823" s="268"/>
      <c r="GBM823" s="268"/>
      <c r="GBN823" s="268"/>
      <c r="GBO823" s="268"/>
      <c r="GBP823" s="268"/>
      <c r="GBQ823" s="268"/>
      <c r="GBR823" s="268"/>
      <c r="GBS823" s="268"/>
      <c r="GBT823" s="268"/>
      <c r="GBU823" s="268"/>
      <c r="GBV823" s="268"/>
      <c r="GBW823" s="268"/>
      <c r="GBX823" s="268"/>
      <c r="GBY823" s="268"/>
      <c r="GBZ823" s="268"/>
      <c r="GCA823" s="268"/>
      <c r="GCB823" s="268"/>
      <c r="GCC823" s="268"/>
      <c r="GCD823" s="268"/>
      <c r="GCE823" s="268"/>
      <c r="GCF823" s="268"/>
      <c r="GCG823" s="268"/>
      <c r="GCH823" s="268"/>
      <c r="GCI823" s="268"/>
      <c r="GCJ823" s="268"/>
      <c r="GCK823" s="268"/>
      <c r="GCL823" s="268"/>
      <c r="GCM823" s="268"/>
      <c r="GCN823" s="268"/>
      <c r="GCO823" s="268"/>
      <c r="GCP823" s="268"/>
      <c r="GCQ823" s="268"/>
      <c r="GCR823" s="268"/>
      <c r="GCS823" s="268"/>
      <c r="GCT823" s="268"/>
      <c r="GCU823" s="268"/>
      <c r="GCV823" s="268"/>
      <c r="GCW823" s="268"/>
      <c r="GCX823" s="268"/>
      <c r="GCY823" s="268"/>
      <c r="GCZ823" s="268"/>
      <c r="GDA823" s="268"/>
      <c r="GDB823" s="268"/>
      <c r="GDC823" s="268"/>
      <c r="GDD823" s="268"/>
      <c r="GDE823" s="268"/>
      <c r="GDF823" s="268"/>
      <c r="GDG823" s="268"/>
      <c r="GDH823" s="268"/>
      <c r="GDI823" s="268"/>
      <c r="GDJ823" s="268"/>
      <c r="GDK823" s="268"/>
      <c r="GDL823" s="268"/>
      <c r="GDM823" s="268"/>
      <c r="GDN823" s="268"/>
      <c r="GDO823" s="268"/>
      <c r="GDP823" s="268"/>
      <c r="GDQ823" s="268"/>
      <c r="GDR823" s="268"/>
      <c r="GDS823" s="268"/>
      <c r="GEG823" s="268"/>
      <c r="GEH823" s="268"/>
      <c r="GEI823" s="268"/>
      <c r="GEW823" s="268"/>
      <c r="GEY823" s="268"/>
      <c r="GEZ823" s="268"/>
      <c r="GFA823" s="268"/>
      <c r="GFB823" s="268"/>
      <c r="GFC823" s="268"/>
      <c r="GFD823" s="268"/>
      <c r="GFE823" s="268"/>
      <c r="GFF823" s="268"/>
      <c r="GFG823" s="268"/>
      <c r="GFH823" s="268"/>
      <c r="GFI823" s="268"/>
      <c r="GFJ823" s="268"/>
      <c r="GFK823" s="268"/>
      <c r="GFL823" s="268"/>
      <c r="GFM823" s="268"/>
      <c r="GFN823" s="268"/>
      <c r="GFO823" s="268"/>
      <c r="GFP823" s="268"/>
      <c r="GFQ823" s="268"/>
      <c r="GFR823" s="268"/>
      <c r="GFS823" s="268"/>
      <c r="GFT823" s="268"/>
      <c r="GFU823" s="268"/>
      <c r="GFV823" s="268"/>
      <c r="GFW823" s="268"/>
      <c r="GFX823" s="268"/>
      <c r="GFY823" s="268"/>
      <c r="GFZ823" s="268"/>
      <c r="GGA823" s="268"/>
      <c r="GGB823" s="268"/>
      <c r="GGC823" s="268"/>
      <c r="GGD823" s="268"/>
      <c r="GGE823" s="268"/>
      <c r="GGF823" s="268"/>
      <c r="GGG823" s="268"/>
      <c r="GGH823" s="268"/>
      <c r="GGI823" s="268"/>
      <c r="GGJ823" s="268"/>
      <c r="GGK823" s="268"/>
      <c r="GGL823" s="268"/>
      <c r="GGM823" s="268"/>
      <c r="GGN823" s="268"/>
      <c r="GGO823" s="268"/>
      <c r="GGP823" s="268"/>
      <c r="GGQ823" s="268"/>
      <c r="GGR823" s="268"/>
      <c r="GGS823" s="268"/>
      <c r="GGT823" s="268"/>
      <c r="GGU823" s="268"/>
      <c r="GGV823" s="268"/>
      <c r="GGW823" s="268"/>
      <c r="GGX823" s="268"/>
      <c r="GGY823" s="268"/>
      <c r="GGZ823" s="268"/>
      <c r="GHA823" s="268"/>
      <c r="GHB823" s="268"/>
      <c r="GHC823" s="268"/>
      <c r="GHD823" s="268"/>
      <c r="GHE823" s="268"/>
      <c r="GHF823" s="268"/>
      <c r="GHG823" s="268"/>
      <c r="GHH823" s="268"/>
      <c r="GHI823" s="268"/>
      <c r="GHJ823" s="268"/>
      <c r="GHK823" s="268"/>
      <c r="GHL823" s="268"/>
      <c r="GHM823" s="268"/>
      <c r="GHN823" s="268"/>
      <c r="GHO823" s="268"/>
      <c r="GHP823" s="268"/>
      <c r="GHQ823" s="268"/>
      <c r="GHR823" s="268"/>
      <c r="GHS823" s="268"/>
      <c r="GHT823" s="268"/>
      <c r="GHU823" s="268"/>
      <c r="GHV823" s="268"/>
      <c r="GHW823" s="268"/>
      <c r="GHX823" s="268"/>
      <c r="GHY823" s="268"/>
      <c r="GHZ823" s="268"/>
      <c r="GIA823" s="268"/>
      <c r="GIB823" s="268"/>
      <c r="GIC823" s="268"/>
      <c r="GID823" s="268"/>
      <c r="GIE823" s="268"/>
      <c r="GIF823" s="268"/>
      <c r="GIG823" s="268"/>
      <c r="GIH823" s="268"/>
      <c r="GII823" s="268"/>
      <c r="GIJ823" s="268"/>
      <c r="GIK823" s="268"/>
      <c r="GIL823" s="268"/>
      <c r="GIM823" s="268"/>
      <c r="GIN823" s="268"/>
      <c r="GIO823" s="268"/>
      <c r="GIP823" s="268"/>
      <c r="GIQ823" s="268"/>
      <c r="GIR823" s="268"/>
      <c r="GIS823" s="268"/>
      <c r="GIT823" s="268"/>
      <c r="GIU823" s="268"/>
      <c r="GIV823" s="268"/>
      <c r="GIW823" s="268"/>
      <c r="GIX823" s="268"/>
      <c r="GIY823" s="268"/>
      <c r="GIZ823" s="268"/>
      <c r="GJA823" s="268"/>
      <c r="GJB823" s="268"/>
      <c r="GJC823" s="268"/>
      <c r="GJD823" s="268"/>
      <c r="GJE823" s="268"/>
      <c r="GJF823" s="268"/>
      <c r="GJG823" s="268"/>
      <c r="GJH823" s="268"/>
      <c r="GJI823" s="268"/>
      <c r="GJJ823" s="268"/>
      <c r="GJK823" s="268"/>
      <c r="GJL823" s="268"/>
      <c r="GJM823" s="268"/>
      <c r="GJN823" s="268"/>
      <c r="GJO823" s="268"/>
      <c r="GJP823" s="268"/>
      <c r="GJQ823" s="268"/>
      <c r="GJR823" s="268"/>
      <c r="GJS823" s="268"/>
      <c r="GJT823" s="268"/>
      <c r="GJU823" s="268"/>
      <c r="GJV823" s="268"/>
      <c r="GJW823" s="268"/>
      <c r="GJX823" s="268"/>
      <c r="GJY823" s="268"/>
      <c r="GJZ823" s="268"/>
      <c r="GKA823" s="268"/>
      <c r="GKB823" s="268"/>
      <c r="GKC823" s="268"/>
      <c r="GKD823" s="268"/>
      <c r="GKE823" s="268"/>
      <c r="GKF823" s="268"/>
      <c r="GKG823" s="268"/>
      <c r="GKH823" s="268"/>
      <c r="GKI823" s="268"/>
      <c r="GKJ823" s="268"/>
      <c r="GKK823" s="268"/>
      <c r="GKL823" s="268"/>
      <c r="GKM823" s="268"/>
      <c r="GKN823" s="268"/>
      <c r="GKO823" s="268"/>
      <c r="GKP823" s="268"/>
      <c r="GKQ823" s="268"/>
      <c r="GKR823" s="268"/>
      <c r="GKS823" s="268"/>
      <c r="GKT823" s="268"/>
      <c r="GKU823" s="268"/>
      <c r="GKV823" s="268"/>
      <c r="GKW823" s="268"/>
      <c r="GKX823" s="268"/>
      <c r="GKY823" s="268"/>
      <c r="GKZ823" s="268"/>
      <c r="GLA823" s="268"/>
      <c r="GLB823" s="268"/>
      <c r="GLC823" s="268"/>
      <c r="GLD823" s="268"/>
      <c r="GLE823" s="268"/>
      <c r="GLF823" s="268"/>
      <c r="GLG823" s="268"/>
      <c r="GLH823" s="268"/>
      <c r="GLI823" s="268"/>
      <c r="GLJ823" s="268"/>
      <c r="GLK823" s="268"/>
      <c r="GLL823" s="268"/>
      <c r="GLM823" s="268"/>
      <c r="GLN823" s="268"/>
      <c r="GLO823" s="268"/>
      <c r="GLP823" s="268"/>
      <c r="GLQ823" s="268"/>
      <c r="GLR823" s="268"/>
      <c r="GLS823" s="268"/>
      <c r="GLT823" s="268"/>
      <c r="GLU823" s="268"/>
      <c r="GLV823" s="268"/>
      <c r="GLW823" s="268"/>
      <c r="GLX823" s="268"/>
      <c r="GLY823" s="268"/>
      <c r="GLZ823" s="268"/>
      <c r="GMA823" s="268"/>
      <c r="GMB823" s="268"/>
      <c r="GMC823" s="268"/>
      <c r="GMD823" s="268"/>
      <c r="GME823" s="268"/>
      <c r="GMF823" s="268"/>
      <c r="GMG823" s="268"/>
      <c r="GMH823" s="268"/>
      <c r="GMI823" s="268"/>
      <c r="GMJ823" s="268"/>
      <c r="GMK823" s="268"/>
      <c r="GML823" s="268"/>
      <c r="GMM823" s="268"/>
      <c r="GMN823" s="268"/>
      <c r="GMO823" s="268"/>
      <c r="GMP823" s="268"/>
      <c r="GMQ823" s="268"/>
      <c r="GMR823" s="268"/>
      <c r="GMS823" s="268"/>
      <c r="GMT823" s="268"/>
      <c r="GMU823" s="268"/>
      <c r="GMV823" s="268"/>
      <c r="GMW823" s="268"/>
      <c r="GMX823" s="268"/>
      <c r="GMY823" s="268"/>
      <c r="GMZ823" s="268"/>
      <c r="GNA823" s="268"/>
      <c r="GNB823" s="268"/>
      <c r="GNC823" s="268"/>
      <c r="GND823" s="268"/>
      <c r="GNE823" s="268"/>
      <c r="GNF823" s="268"/>
      <c r="GNG823" s="268"/>
      <c r="GNH823" s="268"/>
      <c r="GNI823" s="268"/>
      <c r="GNJ823" s="268"/>
      <c r="GNK823" s="268"/>
      <c r="GNL823" s="268"/>
      <c r="GNM823" s="268"/>
      <c r="GNN823" s="268"/>
      <c r="GNO823" s="268"/>
      <c r="GOC823" s="268"/>
      <c r="GOD823" s="268"/>
      <c r="GOE823" s="268"/>
      <c r="GOS823" s="268"/>
      <c r="GOU823" s="268"/>
      <c r="GOV823" s="268"/>
      <c r="GOW823" s="268"/>
      <c r="GOX823" s="268"/>
      <c r="GOY823" s="268"/>
      <c r="GOZ823" s="268"/>
      <c r="GPA823" s="268"/>
      <c r="GPB823" s="268"/>
      <c r="GPC823" s="268"/>
      <c r="GPD823" s="268"/>
      <c r="GPE823" s="268"/>
      <c r="GPF823" s="268"/>
      <c r="GPG823" s="268"/>
      <c r="GPH823" s="268"/>
      <c r="GPI823" s="268"/>
      <c r="GPJ823" s="268"/>
      <c r="GPK823" s="268"/>
      <c r="GPL823" s="268"/>
      <c r="GPM823" s="268"/>
      <c r="GPN823" s="268"/>
      <c r="GPO823" s="268"/>
      <c r="GPP823" s="268"/>
      <c r="GPQ823" s="268"/>
      <c r="GPR823" s="268"/>
      <c r="GPS823" s="268"/>
      <c r="GPT823" s="268"/>
      <c r="GPU823" s="268"/>
      <c r="GPV823" s="268"/>
      <c r="GPW823" s="268"/>
      <c r="GPX823" s="268"/>
      <c r="GPY823" s="268"/>
      <c r="GPZ823" s="268"/>
      <c r="GQA823" s="268"/>
      <c r="GQB823" s="268"/>
      <c r="GQC823" s="268"/>
      <c r="GQD823" s="268"/>
      <c r="GQE823" s="268"/>
      <c r="GQF823" s="268"/>
      <c r="GQG823" s="268"/>
      <c r="GQH823" s="268"/>
      <c r="GQI823" s="268"/>
      <c r="GQJ823" s="268"/>
      <c r="GQK823" s="268"/>
      <c r="GQL823" s="268"/>
      <c r="GQM823" s="268"/>
      <c r="GQN823" s="268"/>
      <c r="GQO823" s="268"/>
      <c r="GQP823" s="268"/>
      <c r="GQQ823" s="268"/>
      <c r="GQR823" s="268"/>
      <c r="GQS823" s="268"/>
      <c r="GQT823" s="268"/>
      <c r="GQU823" s="268"/>
      <c r="GQV823" s="268"/>
      <c r="GQW823" s="268"/>
      <c r="GQX823" s="268"/>
      <c r="GQY823" s="268"/>
      <c r="GQZ823" s="268"/>
      <c r="GRA823" s="268"/>
      <c r="GRB823" s="268"/>
      <c r="GRC823" s="268"/>
      <c r="GRD823" s="268"/>
      <c r="GRE823" s="268"/>
      <c r="GRF823" s="268"/>
      <c r="GRG823" s="268"/>
      <c r="GRH823" s="268"/>
      <c r="GRI823" s="268"/>
      <c r="GRJ823" s="268"/>
      <c r="GRK823" s="268"/>
      <c r="GRL823" s="268"/>
      <c r="GRM823" s="268"/>
      <c r="GRN823" s="268"/>
      <c r="GRO823" s="268"/>
      <c r="GRP823" s="268"/>
      <c r="GRQ823" s="268"/>
      <c r="GRR823" s="268"/>
      <c r="GRS823" s="268"/>
      <c r="GRT823" s="268"/>
      <c r="GRU823" s="268"/>
      <c r="GRV823" s="268"/>
      <c r="GRW823" s="268"/>
      <c r="GRX823" s="268"/>
      <c r="GRY823" s="268"/>
      <c r="GRZ823" s="268"/>
      <c r="GSA823" s="268"/>
      <c r="GSB823" s="268"/>
      <c r="GSC823" s="268"/>
      <c r="GSD823" s="268"/>
      <c r="GSE823" s="268"/>
      <c r="GSF823" s="268"/>
      <c r="GSG823" s="268"/>
      <c r="GSH823" s="268"/>
      <c r="GSI823" s="268"/>
      <c r="GSJ823" s="268"/>
      <c r="GSK823" s="268"/>
      <c r="GSL823" s="268"/>
      <c r="GSM823" s="268"/>
      <c r="GSN823" s="268"/>
      <c r="GSO823" s="268"/>
      <c r="GSP823" s="268"/>
      <c r="GSQ823" s="268"/>
      <c r="GSR823" s="268"/>
      <c r="GSS823" s="268"/>
      <c r="GST823" s="268"/>
      <c r="GSU823" s="268"/>
      <c r="GSV823" s="268"/>
      <c r="GSW823" s="268"/>
      <c r="GSX823" s="268"/>
      <c r="GSY823" s="268"/>
      <c r="GSZ823" s="268"/>
      <c r="GTA823" s="268"/>
      <c r="GTB823" s="268"/>
      <c r="GTC823" s="268"/>
      <c r="GTD823" s="268"/>
      <c r="GTE823" s="268"/>
      <c r="GTF823" s="268"/>
      <c r="GTG823" s="268"/>
      <c r="GTH823" s="268"/>
      <c r="GTI823" s="268"/>
      <c r="GTJ823" s="268"/>
      <c r="GTK823" s="268"/>
      <c r="GTL823" s="268"/>
      <c r="GTM823" s="268"/>
      <c r="GTN823" s="268"/>
      <c r="GTO823" s="268"/>
      <c r="GTP823" s="268"/>
      <c r="GTQ823" s="268"/>
      <c r="GTR823" s="268"/>
      <c r="GTS823" s="268"/>
      <c r="GTT823" s="268"/>
      <c r="GTU823" s="268"/>
      <c r="GTV823" s="268"/>
      <c r="GTW823" s="268"/>
      <c r="GTX823" s="268"/>
      <c r="GTY823" s="268"/>
      <c r="GTZ823" s="268"/>
      <c r="GUA823" s="268"/>
      <c r="GUB823" s="268"/>
      <c r="GUC823" s="268"/>
      <c r="GUD823" s="268"/>
      <c r="GUE823" s="268"/>
      <c r="GUF823" s="268"/>
      <c r="GUG823" s="268"/>
      <c r="GUH823" s="268"/>
      <c r="GUI823" s="268"/>
      <c r="GUJ823" s="268"/>
      <c r="GUK823" s="268"/>
      <c r="GUL823" s="268"/>
      <c r="GUM823" s="268"/>
      <c r="GUN823" s="268"/>
      <c r="GUO823" s="268"/>
      <c r="GUP823" s="268"/>
      <c r="GUQ823" s="268"/>
      <c r="GUR823" s="268"/>
      <c r="GUS823" s="268"/>
      <c r="GUT823" s="268"/>
      <c r="GUU823" s="268"/>
      <c r="GUV823" s="268"/>
      <c r="GUW823" s="268"/>
      <c r="GUX823" s="268"/>
      <c r="GUY823" s="268"/>
      <c r="GUZ823" s="268"/>
      <c r="GVA823" s="268"/>
      <c r="GVB823" s="268"/>
      <c r="GVC823" s="268"/>
      <c r="GVD823" s="268"/>
      <c r="GVE823" s="268"/>
      <c r="GVF823" s="268"/>
      <c r="GVG823" s="268"/>
      <c r="GVH823" s="268"/>
      <c r="GVI823" s="268"/>
      <c r="GVJ823" s="268"/>
      <c r="GVK823" s="268"/>
      <c r="GVL823" s="268"/>
      <c r="GVM823" s="268"/>
      <c r="GVN823" s="268"/>
      <c r="GVO823" s="268"/>
      <c r="GVP823" s="268"/>
      <c r="GVQ823" s="268"/>
      <c r="GVR823" s="268"/>
      <c r="GVS823" s="268"/>
      <c r="GVT823" s="268"/>
      <c r="GVU823" s="268"/>
      <c r="GVV823" s="268"/>
      <c r="GVW823" s="268"/>
      <c r="GVX823" s="268"/>
      <c r="GVY823" s="268"/>
      <c r="GVZ823" s="268"/>
      <c r="GWA823" s="268"/>
      <c r="GWB823" s="268"/>
      <c r="GWC823" s="268"/>
      <c r="GWD823" s="268"/>
      <c r="GWE823" s="268"/>
      <c r="GWF823" s="268"/>
      <c r="GWG823" s="268"/>
      <c r="GWH823" s="268"/>
      <c r="GWI823" s="268"/>
      <c r="GWJ823" s="268"/>
      <c r="GWK823" s="268"/>
      <c r="GWL823" s="268"/>
      <c r="GWM823" s="268"/>
      <c r="GWN823" s="268"/>
      <c r="GWO823" s="268"/>
      <c r="GWP823" s="268"/>
      <c r="GWQ823" s="268"/>
      <c r="GWR823" s="268"/>
      <c r="GWS823" s="268"/>
      <c r="GWT823" s="268"/>
      <c r="GWU823" s="268"/>
      <c r="GWV823" s="268"/>
      <c r="GWW823" s="268"/>
      <c r="GWX823" s="268"/>
      <c r="GWY823" s="268"/>
      <c r="GWZ823" s="268"/>
      <c r="GXA823" s="268"/>
      <c r="GXB823" s="268"/>
      <c r="GXC823" s="268"/>
      <c r="GXD823" s="268"/>
      <c r="GXE823" s="268"/>
      <c r="GXF823" s="268"/>
      <c r="GXG823" s="268"/>
      <c r="GXH823" s="268"/>
      <c r="GXI823" s="268"/>
      <c r="GXJ823" s="268"/>
      <c r="GXK823" s="268"/>
      <c r="GXY823" s="268"/>
      <c r="GXZ823" s="268"/>
      <c r="GYA823" s="268"/>
      <c r="GYO823" s="268"/>
      <c r="GYQ823" s="268"/>
      <c r="GYR823" s="268"/>
      <c r="GYS823" s="268"/>
      <c r="GYT823" s="268"/>
      <c r="GYU823" s="268"/>
      <c r="GYV823" s="268"/>
      <c r="GYW823" s="268"/>
      <c r="GYX823" s="268"/>
      <c r="GYY823" s="268"/>
      <c r="GYZ823" s="268"/>
      <c r="GZA823" s="268"/>
      <c r="GZB823" s="268"/>
      <c r="GZC823" s="268"/>
      <c r="GZD823" s="268"/>
      <c r="GZE823" s="268"/>
      <c r="GZF823" s="268"/>
      <c r="GZG823" s="268"/>
      <c r="GZH823" s="268"/>
      <c r="GZI823" s="268"/>
      <c r="GZJ823" s="268"/>
      <c r="GZK823" s="268"/>
      <c r="GZL823" s="268"/>
      <c r="GZM823" s="268"/>
      <c r="GZN823" s="268"/>
      <c r="GZO823" s="268"/>
      <c r="GZP823" s="268"/>
      <c r="GZQ823" s="268"/>
      <c r="GZR823" s="268"/>
      <c r="GZS823" s="268"/>
      <c r="GZT823" s="268"/>
      <c r="GZU823" s="268"/>
      <c r="GZV823" s="268"/>
      <c r="GZW823" s="268"/>
      <c r="GZX823" s="268"/>
      <c r="GZY823" s="268"/>
      <c r="GZZ823" s="268"/>
      <c r="HAA823" s="268"/>
      <c r="HAB823" s="268"/>
      <c r="HAC823" s="268"/>
      <c r="HAD823" s="268"/>
      <c r="HAE823" s="268"/>
      <c r="HAF823" s="268"/>
      <c r="HAG823" s="268"/>
      <c r="HAH823" s="268"/>
      <c r="HAI823" s="268"/>
      <c r="HAJ823" s="268"/>
      <c r="HAK823" s="268"/>
      <c r="HAL823" s="268"/>
      <c r="HAM823" s="268"/>
      <c r="HAN823" s="268"/>
      <c r="HAO823" s="268"/>
      <c r="HAP823" s="268"/>
      <c r="HAQ823" s="268"/>
      <c r="HAR823" s="268"/>
      <c r="HAS823" s="268"/>
      <c r="HAT823" s="268"/>
      <c r="HAU823" s="268"/>
      <c r="HAV823" s="268"/>
      <c r="HAW823" s="268"/>
      <c r="HAX823" s="268"/>
      <c r="HAY823" s="268"/>
      <c r="HAZ823" s="268"/>
      <c r="HBA823" s="268"/>
      <c r="HBB823" s="268"/>
      <c r="HBC823" s="268"/>
      <c r="HBD823" s="268"/>
      <c r="HBE823" s="268"/>
      <c r="HBF823" s="268"/>
      <c r="HBG823" s="268"/>
      <c r="HBH823" s="268"/>
      <c r="HBI823" s="268"/>
      <c r="HBJ823" s="268"/>
      <c r="HBK823" s="268"/>
      <c r="HBL823" s="268"/>
      <c r="HBM823" s="268"/>
      <c r="HBN823" s="268"/>
      <c r="HBO823" s="268"/>
      <c r="HBP823" s="268"/>
      <c r="HBQ823" s="268"/>
      <c r="HBR823" s="268"/>
      <c r="HBS823" s="268"/>
      <c r="HBT823" s="268"/>
      <c r="HBU823" s="268"/>
      <c r="HBV823" s="268"/>
      <c r="HBW823" s="268"/>
      <c r="HBX823" s="268"/>
      <c r="HBY823" s="268"/>
      <c r="HBZ823" s="268"/>
      <c r="HCA823" s="268"/>
      <c r="HCB823" s="268"/>
      <c r="HCC823" s="268"/>
      <c r="HCD823" s="268"/>
      <c r="HCE823" s="268"/>
      <c r="HCF823" s="268"/>
      <c r="HCG823" s="268"/>
      <c r="HCH823" s="268"/>
      <c r="HCI823" s="268"/>
      <c r="HCJ823" s="268"/>
      <c r="HCK823" s="268"/>
      <c r="HCL823" s="268"/>
      <c r="HCM823" s="268"/>
      <c r="HCN823" s="268"/>
      <c r="HCO823" s="268"/>
      <c r="HCP823" s="268"/>
      <c r="HCQ823" s="268"/>
      <c r="HCR823" s="268"/>
      <c r="HCS823" s="268"/>
      <c r="HCT823" s="268"/>
      <c r="HCU823" s="268"/>
      <c r="HCV823" s="268"/>
      <c r="HCW823" s="268"/>
      <c r="HCX823" s="268"/>
      <c r="HCY823" s="268"/>
      <c r="HCZ823" s="268"/>
      <c r="HDA823" s="268"/>
      <c r="HDB823" s="268"/>
      <c r="HDC823" s="268"/>
      <c r="HDD823" s="268"/>
      <c r="HDE823" s="268"/>
      <c r="HDF823" s="268"/>
      <c r="HDG823" s="268"/>
      <c r="HDH823" s="268"/>
      <c r="HDI823" s="268"/>
      <c r="HDJ823" s="268"/>
      <c r="HDK823" s="268"/>
      <c r="HDL823" s="268"/>
      <c r="HDM823" s="268"/>
      <c r="HDN823" s="268"/>
      <c r="HDO823" s="268"/>
      <c r="HDP823" s="268"/>
      <c r="HDQ823" s="268"/>
      <c r="HDR823" s="268"/>
      <c r="HDS823" s="268"/>
      <c r="HDT823" s="268"/>
      <c r="HDU823" s="268"/>
      <c r="HDV823" s="268"/>
      <c r="HDW823" s="268"/>
      <c r="HDX823" s="268"/>
      <c r="HDY823" s="268"/>
      <c r="HDZ823" s="268"/>
      <c r="HEA823" s="268"/>
      <c r="HEB823" s="268"/>
      <c r="HEC823" s="268"/>
      <c r="HED823" s="268"/>
      <c r="HEE823" s="268"/>
      <c r="HEF823" s="268"/>
      <c r="HEG823" s="268"/>
      <c r="HEH823" s="268"/>
      <c r="HEI823" s="268"/>
      <c r="HEJ823" s="268"/>
      <c r="HEK823" s="268"/>
      <c r="HEL823" s="268"/>
      <c r="HEM823" s="268"/>
      <c r="HEN823" s="268"/>
      <c r="HEO823" s="268"/>
      <c r="HEP823" s="268"/>
      <c r="HEQ823" s="268"/>
      <c r="HER823" s="268"/>
      <c r="HES823" s="268"/>
      <c r="HET823" s="268"/>
      <c r="HEU823" s="268"/>
      <c r="HEV823" s="268"/>
      <c r="HEW823" s="268"/>
      <c r="HEX823" s="268"/>
      <c r="HEY823" s="268"/>
      <c r="HEZ823" s="268"/>
      <c r="HFA823" s="268"/>
      <c r="HFB823" s="268"/>
      <c r="HFC823" s="268"/>
      <c r="HFD823" s="268"/>
      <c r="HFE823" s="268"/>
      <c r="HFF823" s="268"/>
      <c r="HFG823" s="268"/>
      <c r="HFH823" s="268"/>
      <c r="HFI823" s="268"/>
      <c r="HFJ823" s="268"/>
      <c r="HFK823" s="268"/>
      <c r="HFL823" s="268"/>
      <c r="HFM823" s="268"/>
      <c r="HFN823" s="268"/>
      <c r="HFO823" s="268"/>
      <c r="HFP823" s="268"/>
      <c r="HFQ823" s="268"/>
      <c r="HFR823" s="268"/>
      <c r="HFS823" s="268"/>
      <c r="HFT823" s="268"/>
      <c r="HFU823" s="268"/>
      <c r="HFV823" s="268"/>
      <c r="HFW823" s="268"/>
      <c r="HFX823" s="268"/>
      <c r="HFY823" s="268"/>
      <c r="HFZ823" s="268"/>
      <c r="HGA823" s="268"/>
      <c r="HGB823" s="268"/>
      <c r="HGC823" s="268"/>
      <c r="HGD823" s="268"/>
      <c r="HGE823" s="268"/>
      <c r="HGF823" s="268"/>
      <c r="HGG823" s="268"/>
      <c r="HGH823" s="268"/>
      <c r="HGI823" s="268"/>
      <c r="HGJ823" s="268"/>
      <c r="HGK823" s="268"/>
      <c r="HGL823" s="268"/>
      <c r="HGM823" s="268"/>
      <c r="HGN823" s="268"/>
      <c r="HGO823" s="268"/>
      <c r="HGP823" s="268"/>
      <c r="HGQ823" s="268"/>
      <c r="HGR823" s="268"/>
      <c r="HGS823" s="268"/>
      <c r="HGT823" s="268"/>
      <c r="HGU823" s="268"/>
      <c r="HGV823" s="268"/>
      <c r="HGW823" s="268"/>
      <c r="HGX823" s="268"/>
      <c r="HGY823" s="268"/>
      <c r="HGZ823" s="268"/>
      <c r="HHA823" s="268"/>
      <c r="HHB823" s="268"/>
      <c r="HHC823" s="268"/>
      <c r="HHD823" s="268"/>
      <c r="HHE823" s="268"/>
      <c r="HHF823" s="268"/>
      <c r="HHG823" s="268"/>
      <c r="HHU823" s="268"/>
      <c r="HHV823" s="268"/>
      <c r="HHW823" s="268"/>
      <c r="HIK823" s="268"/>
      <c r="HIM823" s="268"/>
      <c r="HIN823" s="268"/>
      <c r="HIO823" s="268"/>
      <c r="HIP823" s="268"/>
      <c r="HIQ823" s="268"/>
      <c r="HIR823" s="268"/>
      <c r="HIS823" s="268"/>
      <c r="HIT823" s="268"/>
      <c r="HIU823" s="268"/>
      <c r="HIV823" s="268"/>
      <c r="HIW823" s="268"/>
      <c r="HIX823" s="268"/>
      <c r="HIY823" s="268"/>
      <c r="HIZ823" s="268"/>
      <c r="HJA823" s="268"/>
      <c r="HJB823" s="268"/>
      <c r="HJC823" s="268"/>
      <c r="HJD823" s="268"/>
      <c r="HJE823" s="268"/>
      <c r="HJF823" s="268"/>
      <c r="HJG823" s="268"/>
      <c r="HJH823" s="268"/>
      <c r="HJI823" s="268"/>
      <c r="HJJ823" s="268"/>
      <c r="HJK823" s="268"/>
      <c r="HJL823" s="268"/>
      <c r="HJM823" s="268"/>
      <c r="HJN823" s="268"/>
      <c r="HJO823" s="268"/>
      <c r="HJP823" s="268"/>
      <c r="HJQ823" s="268"/>
      <c r="HJR823" s="268"/>
      <c r="HJS823" s="268"/>
      <c r="HJT823" s="268"/>
      <c r="HJU823" s="268"/>
      <c r="HJV823" s="268"/>
      <c r="HJW823" s="268"/>
      <c r="HJX823" s="268"/>
      <c r="HJY823" s="268"/>
      <c r="HJZ823" s="268"/>
      <c r="HKA823" s="268"/>
      <c r="HKB823" s="268"/>
      <c r="HKC823" s="268"/>
      <c r="HKD823" s="268"/>
      <c r="HKE823" s="268"/>
      <c r="HKF823" s="268"/>
      <c r="HKG823" s="268"/>
      <c r="HKH823" s="268"/>
      <c r="HKI823" s="268"/>
      <c r="HKJ823" s="268"/>
      <c r="HKK823" s="268"/>
      <c r="HKL823" s="268"/>
      <c r="HKM823" s="268"/>
      <c r="HKN823" s="268"/>
      <c r="HKO823" s="268"/>
      <c r="HKP823" s="268"/>
      <c r="HKQ823" s="268"/>
      <c r="HKR823" s="268"/>
      <c r="HKS823" s="268"/>
      <c r="HKT823" s="268"/>
      <c r="HKU823" s="268"/>
      <c r="HKV823" s="268"/>
      <c r="HKW823" s="268"/>
      <c r="HKX823" s="268"/>
      <c r="HKY823" s="268"/>
      <c r="HKZ823" s="268"/>
      <c r="HLA823" s="268"/>
      <c r="HLB823" s="268"/>
      <c r="HLC823" s="268"/>
      <c r="HLD823" s="268"/>
      <c r="HLE823" s="268"/>
      <c r="HLF823" s="268"/>
      <c r="HLG823" s="268"/>
      <c r="HLH823" s="268"/>
      <c r="HLI823" s="268"/>
      <c r="HLJ823" s="268"/>
      <c r="HLK823" s="268"/>
      <c r="HLL823" s="268"/>
      <c r="HLM823" s="268"/>
      <c r="HLN823" s="268"/>
      <c r="HLO823" s="268"/>
      <c r="HLP823" s="268"/>
      <c r="HLQ823" s="268"/>
      <c r="HLR823" s="268"/>
      <c r="HLS823" s="268"/>
      <c r="HLT823" s="268"/>
      <c r="HLU823" s="268"/>
      <c r="HLV823" s="268"/>
      <c r="HLW823" s="268"/>
      <c r="HLX823" s="268"/>
      <c r="HLY823" s="268"/>
      <c r="HLZ823" s="268"/>
      <c r="HMA823" s="268"/>
      <c r="HMB823" s="268"/>
      <c r="HMC823" s="268"/>
      <c r="HMD823" s="268"/>
      <c r="HME823" s="268"/>
      <c r="HMF823" s="268"/>
      <c r="HMG823" s="268"/>
      <c r="HMH823" s="268"/>
      <c r="HMI823" s="268"/>
      <c r="HMJ823" s="268"/>
      <c r="HMK823" s="268"/>
      <c r="HML823" s="268"/>
      <c r="HMM823" s="268"/>
      <c r="HMN823" s="268"/>
      <c r="HMO823" s="268"/>
      <c r="HMP823" s="268"/>
      <c r="HMQ823" s="268"/>
      <c r="HMR823" s="268"/>
      <c r="HMS823" s="268"/>
      <c r="HMT823" s="268"/>
      <c r="HMU823" s="268"/>
      <c r="HMV823" s="268"/>
      <c r="HMW823" s="268"/>
      <c r="HMX823" s="268"/>
      <c r="HMY823" s="268"/>
      <c r="HMZ823" s="268"/>
      <c r="HNA823" s="268"/>
      <c r="HNB823" s="268"/>
      <c r="HNC823" s="268"/>
      <c r="HND823" s="268"/>
      <c r="HNE823" s="268"/>
      <c r="HNF823" s="268"/>
      <c r="HNG823" s="268"/>
      <c r="HNH823" s="268"/>
      <c r="HNI823" s="268"/>
      <c r="HNJ823" s="268"/>
      <c r="HNK823" s="268"/>
      <c r="HNL823" s="268"/>
      <c r="HNM823" s="268"/>
      <c r="HNN823" s="268"/>
      <c r="HNO823" s="268"/>
      <c r="HNP823" s="268"/>
      <c r="HNQ823" s="268"/>
      <c r="HNR823" s="268"/>
      <c r="HNS823" s="268"/>
      <c r="HNT823" s="268"/>
      <c r="HNU823" s="268"/>
      <c r="HNV823" s="268"/>
      <c r="HNW823" s="268"/>
      <c r="HNX823" s="268"/>
      <c r="HNY823" s="268"/>
      <c r="HNZ823" s="268"/>
      <c r="HOA823" s="268"/>
      <c r="HOB823" s="268"/>
      <c r="HOC823" s="268"/>
      <c r="HOD823" s="268"/>
      <c r="HOE823" s="268"/>
      <c r="HOF823" s="268"/>
      <c r="HOG823" s="268"/>
      <c r="HOH823" s="268"/>
      <c r="HOI823" s="268"/>
      <c r="HOJ823" s="268"/>
      <c r="HOK823" s="268"/>
      <c r="HOL823" s="268"/>
      <c r="HOM823" s="268"/>
      <c r="HON823" s="268"/>
      <c r="HOO823" s="268"/>
      <c r="HOP823" s="268"/>
      <c r="HOQ823" s="268"/>
      <c r="HOR823" s="268"/>
      <c r="HOS823" s="268"/>
      <c r="HOT823" s="268"/>
      <c r="HOU823" s="268"/>
      <c r="HOV823" s="268"/>
      <c r="HOW823" s="268"/>
      <c r="HOX823" s="268"/>
      <c r="HOY823" s="268"/>
      <c r="HOZ823" s="268"/>
      <c r="HPA823" s="268"/>
      <c r="HPB823" s="268"/>
      <c r="HPC823" s="268"/>
      <c r="HPD823" s="268"/>
      <c r="HPE823" s="268"/>
      <c r="HPF823" s="268"/>
      <c r="HPG823" s="268"/>
      <c r="HPH823" s="268"/>
      <c r="HPI823" s="268"/>
      <c r="HPJ823" s="268"/>
      <c r="HPK823" s="268"/>
      <c r="HPL823" s="268"/>
      <c r="HPM823" s="268"/>
      <c r="HPN823" s="268"/>
      <c r="HPO823" s="268"/>
      <c r="HPP823" s="268"/>
      <c r="HPQ823" s="268"/>
      <c r="HPR823" s="268"/>
      <c r="HPS823" s="268"/>
      <c r="HPT823" s="268"/>
      <c r="HPU823" s="268"/>
      <c r="HPV823" s="268"/>
      <c r="HPW823" s="268"/>
      <c r="HPX823" s="268"/>
      <c r="HPY823" s="268"/>
      <c r="HPZ823" s="268"/>
      <c r="HQA823" s="268"/>
      <c r="HQB823" s="268"/>
      <c r="HQC823" s="268"/>
      <c r="HQD823" s="268"/>
      <c r="HQE823" s="268"/>
      <c r="HQF823" s="268"/>
      <c r="HQG823" s="268"/>
      <c r="HQH823" s="268"/>
      <c r="HQI823" s="268"/>
      <c r="HQJ823" s="268"/>
      <c r="HQK823" s="268"/>
      <c r="HQL823" s="268"/>
      <c r="HQM823" s="268"/>
      <c r="HQN823" s="268"/>
      <c r="HQO823" s="268"/>
      <c r="HQP823" s="268"/>
      <c r="HQQ823" s="268"/>
      <c r="HQR823" s="268"/>
      <c r="HQS823" s="268"/>
      <c r="HQT823" s="268"/>
      <c r="HQU823" s="268"/>
      <c r="HQV823" s="268"/>
      <c r="HQW823" s="268"/>
      <c r="HQX823" s="268"/>
      <c r="HQY823" s="268"/>
      <c r="HQZ823" s="268"/>
      <c r="HRA823" s="268"/>
      <c r="HRB823" s="268"/>
      <c r="HRC823" s="268"/>
      <c r="HRQ823" s="268"/>
      <c r="HRR823" s="268"/>
      <c r="HRS823" s="268"/>
      <c r="HSG823" s="268"/>
      <c r="HSI823" s="268"/>
      <c r="HSJ823" s="268"/>
      <c r="HSK823" s="268"/>
      <c r="HSL823" s="268"/>
      <c r="HSM823" s="268"/>
      <c r="HSN823" s="268"/>
      <c r="HSO823" s="268"/>
      <c r="HSP823" s="268"/>
      <c r="HSQ823" s="268"/>
      <c r="HSR823" s="268"/>
      <c r="HSS823" s="268"/>
      <c r="HST823" s="268"/>
      <c r="HSU823" s="268"/>
      <c r="HSV823" s="268"/>
      <c r="HSW823" s="268"/>
      <c r="HSX823" s="268"/>
      <c r="HSY823" s="268"/>
      <c r="HSZ823" s="268"/>
      <c r="HTA823" s="268"/>
      <c r="HTB823" s="268"/>
      <c r="HTC823" s="268"/>
      <c r="HTD823" s="268"/>
      <c r="HTE823" s="268"/>
      <c r="HTF823" s="268"/>
      <c r="HTG823" s="268"/>
      <c r="HTH823" s="268"/>
      <c r="HTI823" s="268"/>
      <c r="HTJ823" s="268"/>
      <c r="HTK823" s="268"/>
      <c r="HTL823" s="268"/>
      <c r="HTM823" s="268"/>
      <c r="HTN823" s="268"/>
      <c r="HTO823" s="268"/>
      <c r="HTP823" s="268"/>
      <c r="HTQ823" s="268"/>
      <c r="HTR823" s="268"/>
      <c r="HTS823" s="268"/>
      <c r="HTT823" s="268"/>
      <c r="HTU823" s="268"/>
      <c r="HTV823" s="268"/>
      <c r="HTW823" s="268"/>
      <c r="HTX823" s="268"/>
      <c r="HTY823" s="268"/>
      <c r="HTZ823" s="268"/>
      <c r="HUA823" s="268"/>
      <c r="HUB823" s="268"/>
      <c r="HUC823" s="268"/>
      <c r="HUD823" s="268"/>
      <c r="HUE823" s="268"/>
      <c r="HUF823" s="268"/>
      <c r="HUG823" s="268"/>
      <c r="HUH823" s="268"/>
      <c r="HUI823" s="268"/>
      <c r="HUJ823" s="268"/>
      <c r="HUK823" s="268"/>
      <c r="HUL823" s="268"/>
      <c r="HUM823" s="268"/>
      <c r="HUN823" s="268"/>
      <c r="HUO823" s="268"/>
      <c r="HUP823" s="268"/>
      <c r="HUQ823" s="268"/>
      <c r="HUR823" s="268"/>
      <c r="HUS823" s="268"/>
      <c r="HUT823" s="268"/>
      <c r="HUU823" s="268"/>
      <c r="HUV823" s="268"/>
      <c r="HUW823" s="268"/>
      <c r="HUX823" s="268"/>
      <c r="HUY823" s="268"/>
      <c r="HUZ823" s="268"/>
      <c r="HVA823" s="268"/>
      <c r="HVB823" s="268"/>
      <c r="HVC823" s="268"/>
      <c r="HVD823" s="268"/>
      <c r="HVE823" s="268"/>
      <c r="HVF823" s="268"/>
      <c r="HVG823" s="268"/>
      <c r="HVH823" s="268"/>
      <c r="HVI823" s="268"/>
      <c r="HVJ823" s="268"/>
      <c r="HVK823" s="268"/>
      <c r="HVL823" s="268"/>
      <c r="HVM823" s="268"/>
      <c r="HVN823" s="268"/>
      <c r="HVO823" s="268"/>
      <c r="HVP823" s="268"/>
      <c r="HVQ823" s="268"/>
      <c r="HVR823" s="268"/>
      <c r="HVS823" s="268"/>
      <c r="HVT823" s="268"/>
      <c r="HVU823" s="268"/>
      <c r="HVV823" s="268"/>
      <c r="HVW823" s="268"/>
      <c r="HVX823" s="268"/>
      <c r="HVY823" s="268"/>
      <c r="HVZ823" s="268"/>
      <c r="HWA823" s="268"/>
      <c r="HWB823" s="268"/>
      <c r="HWC823" s="268"/>
      <c r="HWD823" s="268"/>
      <c r="HWE823" s="268"/>
      <c r="HWF823" s="268"/>
      <c r="HWG823" s="268"/>
      <c r="HWH823" s="268"/>
      <c r="HWI823" s="268"/>
      <c r="HWJ823" s="268"/>
      <c r="HWK823" s="268"/>
      <c r="HWL823" s="268"/>
      <c r="HWM823" s="268"/>
      <c r="HWN823" s="268"/>
      <c r="HWO823" s="268"/>
      <c r="HWP823" s="268"/>
      <c r="HWQ823" s="268"/>
      <c r="HWR823" s="268"/>
      <c r="HWS823" s="268"/>
      <c r="HWT823" s="268"/>
      <c r="HWU823" s="268"/>
      <c r="HWV823" s="268"/>
      <c r="HWW823" s="268"/>
      <c r="HWX823" s="268"/>
      <c r="HWY823" s="268"/>
      <c r="HWZ823" s="268"/>
      <c r="HXA823" s="268"/>
      <c r="HXB823" s="268"/>
      <c r="HXC823" s="268"/>
      <c r="HXD823" s="268"/>
      <c r="HXE823" s="268"/>
      <c r="HXF823" s="268"/>
      <c r="HXG823" s="268"/>
      <c r="HXH823" s="268"/>
      <c r="HXI823" s="268"/>
      <c r="HXJ823" s="268"/>
      <c r="HXK823" s="268"/>
      <c r="HXL823" s="268"/>
      <c r="HXM823" s="268"/>
      <c r="HXN823" s="268"/>
      <c r="HXO823" s="268"/>
      <c r="HXP823" s="268"/>
      <c r="HXQ823" s="268"/>
      <c r="HXR823" s="268"/>
      <c r="HXS823" s="268"/>
      <c r="HXT823" s="268"/>
      <c r="HXU823" s="268"/>
      <c r="HXV823" s="268"/>
      <c r="HXW823" s="268"/>
      <c r="HXX823" s="268"/>
      <c r="HXY823" s="268"/>
      <c r="HXZ823" s="268"/>
      <c r="HYA823" s="268"/>
      <c r="HYB823" s="268"/>
      <c r="HYC823" s="268"/>
      <c r="HYD823" s="268"/>
      <c r="HYE823" s="268"/>
      <c r="HYF823" s="268"/>
      <c r="HYG823" s="268"/>
      <c r="HYH823" s="268"/>
      <c r="HYI823" s="268"/>
      <c r="HYJ823" s="268"/>
      <c r="HYK823" s="268"/>
      <c r="HYL823" s="268"/>
      <c r="HYM823" s="268"/>
      <c r="HYN823" s="268"/>
      <c r="HYO823" s="268"/>
      <c r="HYP823" s="268"/>
      <c r="HYQ823" s="268"/>
      <c r="HYR823" s="268"/>
      <c r="HYS823" s="268"/>
      <c r="HYT823" s="268"/>
      <c r="HYU823" s="268"/>
      <c r="HYV823" s="268"/>
      <c r="HYW823" s="268"/>
      <c r="HYX823" s="268"/>
      <c r="HYY823" s="268"/>
      <c r="HYZ823" s="268"/>
      <c r="HZA823" s="268"/>
      <c r="HZB823" s="268"/>
      <c r="HZC823" s="268"/>
      <c r="HZD823" s="268"/>
      <c r="HZE823" s="268"/>
      <c r="HZF823" s="268"/>
      <c r="HZG823" s="268"/>
      <c r="HZH823" s="268"/>
      <c r="HZI823" s="268"/>
      <c r="HZJ823" s="268"/>
      <c r="HZK823" s="268"/>
      <c r="HZL823" s="268"/>
      <c r="HZM823" s="268"/>
      <c r="HZN823" s="268"/>
      <c r="HZO823" s="268"/>
      <c r="HZP823" s="268"/>
      <c r="HZQ823" s="268"/>
      <c r="HZR823" s="268"/>
      <c r="HZS823" s="268"/>
      <c r="HZT823" s="268"/>
      <c r="HZU823" s="268"/>
      <c r="HZV823" s="268"/>
      <c r="HZW823" s="268"/>
      <c r="HZX823" s="268"/>
      <c r="HZY823" s="268"/>
      <c r="HZZ823" s="268"/>
      <c r="IAA823" s="268"/>
      <c r="IAB823" s="268"/>
      <c r="IAC823" s="268"/>
      <c r="IAD823" s="268"/>
      <c r="IAE823" s="268"/>
      <c r="IAF823" s="268"/>
      <c r="IAG823" s="268"/>
      <c r="IAH823" s="268"/>
      <c r="IAI823" s="268"/>
      <c r="IAJ823" s="268"/>
      <c r="IAK823" s="268"/>
      <c r="IAL823" s="268"/>
      <c r="IAM823" s="268"/>
      <c r="IAN823" s="268"/>
      <c r="IAO823" s="268"/>
      <c r="IAP823" s="268"/>
      <c r="IAQ823" s="268"/>
      <c r="IAR823" s="268"/>
      <c r="IAS823" s="268"/>
      <c r="IAT823" s="268"/>
      <c r="IAU823" s="268"/>
      <c r="IAV823" s="268"/>
      <c r="IAW823" s="268"/>
      <c r="IAX823" s="268"/>
      <c r="IAY823" s="268"/>
      <c r="IBM823" s="268"/>
      <c r="IBN823" s="268"/>
      <c r="IBO823" s="268"/>
      <c r="ICC823" s="268"/>
      <c r="ICE823" s="268"/>
      <c r="ICF823" s="268"/>
      <c r="ICG823" s="268"/>
      <c r="ICH823" s="268"/>
      <c r="ICI823" s="268"/>
      <c r="ICJ823" s="268"/>
      <c r="ICK823" s="268"/>
      <c r="ICL823" s="268"/>
      <c r="ICM823" s="268"/>
      <c r="ICN823" s="268"/>
      <c r="ICO823" s="268"/>
      <c r="ICP823" s="268"/>
      <c r="ICQ823" s="268"/>
      <c r="ICR823" s="268"/>
      <c r="ICS823" s="268"/>
      <c r="ICT823" s="268"/>
      <c r="ICU823" s="268"/>
      <c r="ICV823" s="268"/>
      <c r="ICW823" s="268"/>
      <c r="ICX823" s="268"/>
      <c r="ICY823" s="268"/>
      <c r="ICZ823" s="268"/>
      <c r="IDA823" s="268"/>
      <c r="IDB823" s="268"/>
      <c r="IDC823" s="268"/>
      <c r="IDD823" s="268"/>
      <c r="IDE823" s="268"/>
      <c r="IDF823" s="268"/>
      <c r="IDG823" s="268"/>
      <c r="IDH823" s="268"/>
      <c r="IDI823" s="268"/>
      <c r="IDJ823" s="268"/>
      <c r="IDK823" s="268"/>
      <c r="IDL823" s="268"/>
      <c r="IDM823" s="268"/>
      <c r="IDN823" s="268"/>
      <c r="IDO823" s="268"/>
      <c r="IDP823" s="268"/>
      <c r="IDQ823" s="268"/>
      <c r="IDR823" s="268"/>
      <c r="IDS823" s="268"/>
      <c r="IDT823" s="268"/>
      <c r="IDU823" s="268"/>
      <c r="IDV823" s="268"/>
      <c r="IDW823" s="268"/>
      <c r="IDX823" s="268"/>
      <c r="IDY823" s="268"/>
      <c r="IDZ823" s="268"/>
      <c r="IEA823" s="268"/>
      <c r="IEB823" s="268"/>
      <c r="IEC823" s="268"/>
      <c r="IED823" s="268"/>
      <c r="IEE823" s="268"/>
      <c r="IEF823" s="268"/>
      <c r="IEG823" s="268"/>
      <c r="IEH823" s="268"/>
      <c r="IEI823" s="268"/>
      <c r="IEJ823" s="268"/>
      <c r="IEK823" s="268"/>
      <c r="IEL823" s="268"/>
      <c r="IEM823" s="268"/>
      <c r="IEN823" s="268"/>
      <c r="IEO823" s="268"/>
      <c r="IEP823" s="268"/>
      <c r="IEQ823" s="268"/>
      <c r="IER823" s="268"/>
      <c r="IES823" s="268"/>
      <c r="IET823" s="268"/>
      <c r="IEU823" s="268"/>
      <c r="IEV823" s="268"/>
      <c r="IEW823" s="268"/>
      <c r="IEX823" s="268"/>
      <c r="IEY823" s="268"/>
      <c r="IEZ823" s="268"/>
      <c r="IFA823" s="268"/>
      <c r="IFB823" s="268"/>
      <c r="IFC823" s="268"/>
      <c r="IFD823" s="268"/>
      <c r="IFE823" s="268"/>
      <c r="IFF823" s="268"/>
      <c r="IFG823" s="268"/>
      <c r="IFH823" s="268"/>
      <c r="IFI823" s="268"/>
      <c r="IFJ823" s="268"/>
      <c r="IFK823" s="268"/>
      <c r="IFL823" s="268"/>
      <c r="IFM823" s="268"/>
      <c r="IFN823" s="268"/>
      <c r="IFO823" s="268"/>
      <c r="IFP823" s="268"/>
      <c r="IFQ823" s="268"/>
      <c r="IFR823" s="268"/>
      <c r="IFS823" s="268"/>
      <c r="IFT823" s="268"/>
      <c r="IFU823" s="268"/>
      <c r="IFV823" s="268"/>
      <c r="IFW823" s="268"/>
      <c r="IFX823" s="268"/>
      <c r="IFY823" s="268"/>
      <c r="IFZ823" s="268"/>
      <c r="IGA823" s="268"/>
      <c r="IGB823" s="268"/>
      <c r="IGC823" s="268"/>
      <c r="IGD823" s="268"/>
      <c r="IGE823" s="268"/>
      <c r="IGF823" s="268"/>
      <c r="IGG823" s="268"/>
      <c r="IGH823" s="268"/>
      <c r="IGI823" s="268"/>
      <c r="IGJ823" s="268"/>
      <c r="IGK823" s="268"/>
      <c r="IGL823" s="268"/>
      <c r="IGM823" s="268"/>
      <c r="IGN823" s="268"/>
      <c r="IGO823" s="268"/>
      <c r="IGP823" s="268"/>
      <c r="IGQ823" s="268"/>
      <c r="IGR823" s="268"/>
      <c r="IGS823" s="268"/>
      <c r="IGT823" s="268"/>
      <c r="IGU823" s="268"/>
      <c r="IGV823" s="268"/>
      <c r="IGW823" s="268"/>
      <c r="IGX823" s="268"/>
      <c r="IGY823" s="268"/>
      <c r="IGZ823" s="268"/>
      <c r="IHA823" s="268"/>
      <c r="IHB823" s="268"/>
      <c r="IHC823" s="268"/>
      <c r="IHD823" s="268"/>
      <c r="IHE823" s="268"/>
      <c r="IHF823" s="268"/>
      <c r="IHG823" s="268"/>
      <c r="IHH823" s="268"/>
      <c r="IHI823" s="268"/>
      <c r="IHJ823" s="268"/>
      <c r="IHK823" s="268"/>
      <c r="IHL823" s="268"/>
      <c r="IHM823" s="268"/>
      <c r="IHN823" s="268"/>
      <c r="IHO823" s="268"/>
      <c r="IHP823" s="268"/>
      <c r="IHQ823" s="268"/>
      <c r="IHR823" s="268"/>
      <c r="IHS823" s="268"/>
      <c r="IHT823" s="268"/>
      <c r="IHU823" s="268"/>
      <c r="IHV823" s="268"/>
      <c r="IHW823" s="268"/>
      <c r="IHX823" s="268"/>
      <c r="IHY823" s="268"/>
      <c r="IHZ823" s="268"/>
      <c r="IIA823" s="268"/>
      <c r="IIB823" s="268"/>
      <c r="IIC823" s="268"/>
      <c r="IID823" s="268"/>
      <c r="IIE823" s="268"/>
      <c r="IIF823" s="268"/>
      <c r="IIG823" s="268"/>
      <c r="IIH823" s="268"/>
      <c r="III823" s="268"/>
      <c r="IIJ823" s="268"/>
      <c r="IIK823" s="268"/>
      <c r="IIL823" s="268"/>
      <c r="IIM823" s="268"/>
      <c r="IIN823" s="268"/>
      <c r="IIO823" s="268"/>
      <c r="IIP823" s="268"/>
      <c r="IIQ823" s="268"/>
      <c r="IIR823" s="268"/>
      <c r="IIS823" s="268"/>
      <c r="IIT823" s="268"/>
      <c r="IIU823" s="268"/>
      <c r="IIV823" s="268"/>
      <c r="IIW823" s="268"/>
      <c r="IIX823" s="268"/>
      <c r="IIY823" s="268"/>
      <c r="IIZ823" s="268"/>
      <c r="IJA823" s="268"/>
      <c r="IJB823" s="268"/>
      <c r="IJC823" s="268"/>
      <c r="IJD823" s="268"/>
      <c r="IJE823" s="268"/>
      <c r="IJF823" s="268"/>
      <c r="IJG823" s="268"/>
      <c r="IJH823" s="268"/>
      <c r="IJI823" s="268"/>
      <c r="IJJ823" s="268"/>
      <c r="IJK823" s="268"/>
      <c r="IJL823" s="268"/>
      <c r="IJM823" s="268"/>
      <c r="IJN823" s="268"/>
      <c r="IJO823" s="268"/>
      <c r="IJP823" s="268"/>
      <c r="IJQ823" s="268"/>
      <c r="IJR823" s="268"/>
      <c r="IJS823" s="268"/>
      <c r="IJT823" s="268"/>
      <c r="IJU823" s="268"/>
      <c r="IJV823" s="268"/>
      <c r="IJW823" s="268"/>
      <c r="IJX823" s="268"/>
      <c r="IJY823" s="268"/>
      <c r="IJZ823" s="268"/>
      <c r="IKA823" s="268"/>
      <c r="IKB823" s="268"/>
      <c r="IKC823" s="268"/>
      <c r="IKD823" s="268"/>
      <c r="IKE823" s="268"/>
      <c r="IKF823" s="268"/>
      <c r="IKG823" s="268"/>
      <c r="IKH823" s="268"/>
      <c r="IKI823" s="268"/>
      <c r="IKJ823" s="268"/>
      <c r="IKK823" s="268"/>
      <c r="IKL823" s="268"/>
      <c r="IKM823" s="268"/>
      <c r="IKN823" s="268"/>
      <c r="IKO823" s="268"/>
      <c r="IKP823" s="268"/>
      <c r="IKQ823" s="268"/>
      <c r="IKR823" s="268"/>
      <c r="IKS823" s="268"/>
      <c r="IKT823" s="268"/>
      <c r="IKU823" s="268"/>
      <c r="ILI823" s="268"/>
      <c r="ILJ823" s="268"/>
      <c r="ILK823" s="268"/>
      <c r="ILY823" s="268"/>
      <c r="IMA823" s="268"/>
      <c r="IMB823" s="268"/>
      <c r="IMC823" s="268"/>
      <c r="IMD823" s="268"/>
      <c r="IME823" s="268"/>
      <c r="IMF823" s="268"/>
      <c r="IMG823" s="268"/>
      <c r="IMH823" s="268"/>
      <c r="IMI823" s="268"/>
      <c r="IMJ823" s="268"/>
      <c r="IMK823" s="268"/>
      <c r="IML823" s="268"/>
      <c r="IMM823" s="268"/>
      <c r="IMN823" s="268"/>
      <c r="IMO823" s="268"/>
      <c r="IMP823" s="268"/>
      <c r="IMQ823" s="268"/>
      <c r="IMR823" s="268"/>
      <c r="IMS823" s="268"/>
      <c r="IMT823" s="268"/>
      <c r="IMU823" s="268"/>
      <c r="IMV823" s="268"/>
      <c r="IMW823" s="268"/>
      <c r="IMX823" s="268"/>
      <c r="IMY823" s="268"/>
      <c r="IMZ823" s="268"/>
      <c r="INA823" s="268"/>
      <c r="INB823" s="268"/>
      <c r="INC823" s="268"/>
      <c r="IND823" s="268"/>
      <c r="INE823" s="268"/>
      <c r="INF823" s="268"/>
      <c r="ING823" s="268"/>
      <c r="INH823" s="268"/>
      <c r="INI823" s="268"/>
      <c r="INJ823" s="268"/>
      <c r="INK823" s="268"/>
      <c r="INL823" s="268"/>
      <c r="INM823" s="268"/>
      <c r="INN823" s="268"/>
      <c r="INO823" s="268"/>
      <c r="INP823" s="268"/>
      <c r="INQ823" s="268"/>
      <c r="INR823" s="268"/>
      <c r="INS823" s="268"/>
      <c r="INT823" s="268"/>
      <c r="INU823" s="268"/>
      <c r="INV823" s="268"/>
      <c r="INW823" s="268"/>
      <c r="INX823" s="268"/>
      <c r="INY823" s="268"/>
      <c r="INZ823" s="268"/>
      <c r="IOA823" s="268"/>
      <c r="IOB823" s="268"/>
      <c r="IOC823" s="268"/>
      <c r="IOD823" s="268"/>
      <c r="IOE823" s="268"/>
      <c r="IOF823" s="268"/>
      <c r="IOG823" s="268"/>
      <c r="IOH823" s="268"/>
      <c r="IOI823" s="268"/>
      <c r="IOJ823" s="268"/>
      <c r="IOK823" s="268"/>
      <c r="IOL823" s="268"/>
      <c r="IOM823" s="268"/>
      <c r="ION823" s="268"/>
      <c r="IOO823" s="268"/>
      <c r="IOP823" s="268"/>
      <c r="IOQ823" s="268"/>
      <c r="IOR823" s="268"/>
      <c r="IOS823" s="268"/>
      <c r="IOT823" s="268"/>
      <c r="IOU823" s="268"/>
      <c r="IOV823" s="268"/>
      <c r="IOW823" s="268"/>
      <c r="IOX823" s="268"/>
      <c r="IOY823" s="268"/>
      <c r="IOZ823" s="268"/>
      <c r="IPA823" s="268"/>
      <c r="IPB823" s="268"/>
      <c r="IPC823" s="268"/>
      <c r="IPD823" s="268"/>
      <c r="IPE823" s="268"/>
      <c r="IPF823" s="268"/>
      <c r="IPG823" s="268"/>
      <c r="IPH823" s="268"/>
      <c r="IPI823" s="268"/>
      <c r="IPJ823" s="268"/>
      <c r="IPK823" s="268"/>
      <c r="IPL823" s="268"/>
      <c r="IPM823" s="268"/>
      <c r="IPN823" s="268"/>
      <c r="IPO823" s="268"/>
      <c r="IPP823" s="268"/>
      <c r="IPQ823" s="268"/>
      <c r="IPR823" s="268"/>
      <c r="IPS823" s="268"/>
      <c r="IPT823" s="268"/>
      <c r="IPU823" s="268"/>
      <c r="IPV823" s="268"/>
      <c r="IPW823" s="268"/>
      <c r="IPX823" s="268"/>
      <c r="IPY823" s="268"/>
      <c r="IPZ823" s="268"/>
      <c r="IQA823" s="268"/>
      <c r="IQB823" s="268"/>
      <c r="IQC823" s="268"/>
      <c r="IQD823" s="268"/>
      <c r="IQE823" s="268"/>
      <c r="IQF823" s="268"/>
      <c r="IQG823" s="268"/>
      <c r="IQH823" s="268"/>
      <c r="IQI823" s="268"/>
      <c r="IQJ823" s="268"/>
      <c r="IQK823" s="268"/>
      <c r="IQL823" s="268"/>
      <c r="IQM823" s="268"/>
      <c r="IQN823" s="268"/>
      <c r="IQO823" s="268"/>
      <c r="IQP823" s="268"/>
      <c r="IQQ823" s="268"/>
      <c r="IQR823" s="268"/>
      <c r="IQS823" s="268"/>
      <c r="IQT823" s="268"/>
      <c r="IQU823" s="268"/>
      <c r="IQV823" s="268"/>
      <c r="IQW823" s="268"/>
      <c r="IQX823" s="268"/>
      <c r="IQY823" s="268"/>
      <c r="IQZ823" s="268"/>
      <c r="IRA823" s="268"/>
      <c r="IRB823" s="268"/>
      <c r="IRC823" s="268"/>
      <c r="IRD823" s="268"/>
      <c r="IRE823" s="268"/>
      <c r="IRF823" s="268"/>
      <c r="IRG823" s="268"/>
      <c r="IRH823" s="268"/>
      <c r="IRI823" s="268"/>
      <c r="IRJ823" s="268"/>
      <c r="IRK823" s="268"/>
      <c r="IRL823" s="268"/>
      <c r="IRM823" s="268"/>
      <c r="IRN823" s="268"/>
      <c r="IRO823" s="268"/>
      <c r="IRP823" s="268"/>
      <c r="IRQ823" s="268"/>
      <c r="IRR823" s="268"/>
      <c r="IRS823" s="268"/>
      <c r="IRT823" s="268"/>
      <c r="IRU823" s="268"/>
      <c r="IRV823" s="268"/>
      <c r="IRW823" s="268"/>
      <c r="IRX823" s="268"/>
      <c r="IRY823" s="268"/>
      <c r="IRZ823" s="268"/>
      <c r="ISA823" s="268"/>
      <c r="ISB823" s="268"/>
      <c r="ISC823" s="268"/>
      <c r="ISD823" s="268"/>
      <c r="ISE823" s="268"/>
      <c r="ISF823" s="268"/>
      <c r="ISG823" s="268"/>
      <c r="ISH823" s="268"/>
      <c r="ISI823" s="268"/>
      <c r="ISJ823" s="268"/>
      <c r="ISK823" s="268"/>
      <c r="ISL823" s="268"/>
      <c r="ISM823" s="268"/>
      <c r="ISN823" s="268"/>
      <c r="ISO823" s="268"/>
      <c r="ISP823" s="268"/>
      <c r="ISQ823" s="268"/>
      <c r="ISR823" s="268"/>
      <c r="ISS823" s="268"/>
      <c r="IST823" s="268"/>
      <c r="ISU823" s="268"/>
      <c r="ISV823" s="268"/>
      <c r="ISW823" s="268"/>
      <c r="ISX823" s="268"/>
      <c r="ISY823" s="268"/>
      <c r="ISZ823" s="268"/>
      <c r="ITA823" s="268"/>
      <c r="ITB823" s="268"/>
      <c r="ITC823" s="268"/>
      <c r="ITD823" s="268"/>
      <c r="ITE823" s="268"/>
      <c r="ITF823" s="268"/>
      <c r="ITG823" s="268"/>
      <c r="ITH823" s="268"/>
      <c r="ITI823" s="268"/>
      <c r="ITJ823" s="268"/>
      <c r="ITK823" s="268"/>
      <c r="ITL823" s="268"/>
      <c r="ITM823" s="268"/>
      <c r="ITN823" s="268"/>
      <c r="ITO823" s="268"/>
      <c r="ITP823" s="268"/>
      <c r="ITQ823" s="268"/>
      <c r="ITR823" s="268"/>
      <c r="ITS823" s="268"/>
      <c r="ITT823" s="268"/>
      <c r="ITU823" s="268"/>
      <c r="ITV823" s="268"/>
      <c r="ITW823" s="268"/>
      <c r="ITX823" s="268"/>
      <c r="ITY823" s="268"/>
      <c r="ITZ823" s="268"/>
      <c r="IUA823" s="268"/>
      <c r="IUB823" s="268"/>
      <c r="IUC823" s="268"/>
      <c r="IUD823" s="268"/>
      <c r="IUE823" s="268"/>
      <c r="IUF823" s="268"/>
      <c r="IUG823" s="268"/>
      <c r="IUH823" s="268"/>
      <c r="IUI823" s="268"/>
      <c r="IUJ823" s="268"/>
      <c r="IUK823" s="268"/>
      <c r="IUL823" s="268"/>
      <c r="IUM823" s="268"/>
      <c r="IUN823" s="268"/>
      <c r="IUO823" s="268"/>
      <c r="IUP823" s="268"/>
      <c r="IUQ823" s="268"/>
      <c r="IVE823" s="268"/>
      <c r="IVF823" s="268"/>
      <c r="IVG823" s="268"/>
      <c r="IVU823" s="268"/>
      <c r="IVW823" s="268"/>
      <c r="IVX823" s="268"/>
      <c r="IVY823" s="268"/>
      <c r="IVZ823" s="268"/>
      <c r="IWA823" s="268"/>
      <c r="IWB823" s="268"/>
      <c r="IWC823" s="268"/>
      <c r="IWD823" s="268"/>
      <c r="IWE823" s="268"/>
      <c r="IWF823" s="268"/>
      <c r="IWG823" s="268"/>
      <c r="IWH823" s="268"/>
      <c r="IWI823" s="268"/>
      <c r="IWJ823" s="268"/>
      <c r="IWK823" s="268"/>
      <c r="IWL823" s="268"/>
      <c r="IWM823" s="268"/>
      <c r="IWN823" s="268"/>
      <c r="IWO823" s="268"/>
      <c r="IWP823" s="268"/>
      <c r="IWQ823" s="268"/>
      <c r="IWR823" s="268"/>
      <c r="IWS823" s="268"/>
      <c r="IWT823" s="268"/>
      <c r="IWU823" s="268"/>
      <c r="IWV823" s="268"/>
      <c r="IWW823" s="268"/>
      <c r="IWX823" s="268"/>
      <c r="IWY823" s="268"/>
      <c r="IWZ823" s="268"/>
      <c r="IXA823" s="268"/>
      <c r="IXB823" s="268"/>
      <c r="IXC823" s="268"/>
      <c r="IXD823" s="268"/>
      <c r="IXE823" s="268"/>
      <c r="IXF823" s="268"/>
      <c r="IXG823" s="268"/>
      <c r="IXH823" s="268"/>
      <c r="IXI823" s="268"/>
      <c r="IXJ823" s="268"/>
      <c r="IXK823" s="268"/>
      <c r="IXL823" s="268"/>
      <c r="IXM823" s="268"/>
      <c r="IXN823" s="268"/>
      <c r="IXO823" s="268"/>
      <c r="IXP823" s="268"/>
      <c r="IXQ823" s="268"/>
      <c r="IXR823" s="268"/>
      <c r="IXS823" s="268"/>
      <c r="IXT823" s="268"/>
      <c r="IXU823" s="268"/>
      <c r="IXV823" s="268"/>
      <c r="IXW823" s="268"/>
      <c r="IXX823" s="268"/>
      <c r="IXY823" s="268"/>
      <c r="IXZ823" s="268"/>
      <c r="IYA823" s="268"/>
      <c r="IYB823" s="268"/>
      <c r="IYC823" s="268"/>
      <c r="IYD823" s="268"/>
      <c r="IYE823" s="268"/>
      <c r="IYF823" s="268"/>
      <c r="IYG823" s="268"/>
      <c r="IYH823" s="268"/>
      <c r="IYI823" s="268"/>
      <c r="IYJ823" s="268"/>
      <c r="IYK823" s="268"/>
      <c r="IYL823" s="268"/>
      <c r="IYM823" s="268"/>
      <c r="IYN823" s="268"/>
      <c r="IYO823" s="268"/>
      <c r="IYP823" s="268"/>
      <c r="IYQ823" s="268"/>
      <c r="IYR823" s="268"/>
      <c r="IYS823" s="268"/>
      <c r="IYT823" s="268"/>
      <c r="IYU823" s="268"/>
      <c r="IYV823" s="268"/>
      <c r="IYW823" s="268"/>
      <c r="IYX823" s="268"/>
      <c r="IYY823" s="268"/>
      <c r="IYZ823" s="268"/>
      <c r="IZA823" s="268"/>
      <c r="IZB823" s="268"/>
      <c r="IZC823" s="268"/>
      <c r="IZD823" s="268"/>
      <c r="IZE823" s="268"/>
      <c r="IZF823" s="268"/>
      <c r="IZG823" s="268"/>
      <c r="IZH823" s="268"/>
      <c r="IZI823" s="268"/>
      <c r="IZJ823" s="268"/>
      <c r="IZK823" s="268"/>
      <c r="IZL823" s="268"/>
      <c r="IZM823" s="268"/>
      <c r="IZN823" s="268"/>
      <c r="IZO823" s="268"/>
      <c r="IZP823" s="268"/>
      <c r="IZQ823" s="268"/>
      <c r="IZR823" s="268"/>
      <c r="IZS823" s="268"/>
      <c r="IZT823" s="268"/>
      <c r="IZU823" s="268"/>
      <c r="IZV823" s="268"/>
      <c r="IZW823" s="268"/>
      <c r="IZX823" s="268"/>
      <c r="IZY823" s="268"/>
      <c r="IZZ823" s="268"/>
      <c r="JAA823" s="268"/>
      <c r="JAB823" s="268"/>
      <c r="JAC823" s="268"/>
      <c r="JAD823" s="268"/>
      <c r="JAE823" s="268"/>
      <c r="JAF823" s="268"/>
      <c r="JAG823" s="268"/>
      <c r="JAH823" s="268"/>
      <c r="JAI823" s="268"/>
      <c r="JAJ823" s="268"/>
      <c r="JAK823" s="268"/>
      <c r="JAL823" s="268"/>
      <c r="JAM823" s="268"/>
      <c r="JAN823" s="268"/>
      <c r="JAO823" s="268"/>
      <c r="JAP823" s="268"/>
      <c r="JAQ823" s="268"/>
      <c r="JAR823" s="268"/>
      <c r="JAS823" s="268"/>
      <c r="JAT823" s="268"/>
      <c r="JAU823" s="268"/>
      <c r="JAV823" s="268"/>
      <c r="JAW823" s="268"/>
      <c r="JAX823" s="268"/>
      <c r="JAY823" s="268"/>
      <c r="JAZ823" s="268"/>
      <c r="JBA823" s="268"/>
      <c r="JBB823" s="268"/>
      <c r="JBC823" s="268"/>
      <c r="JBD823" s="268"/>
      <c r="JBE823" s="268"/>
      <c r="JBF823" s="268"/>
      <c r="JBG823" s="268"/>
      <c r="JBH823" s="268"/>
      <c r="JBI823" s="268"/>
      <c r="JBJ823" s="268"/>
      <c r="JBK823" s="268"/>
      <c r="JBL823" s="268"/>
      <c r="JBM823" s="268"/>
      <c r="JBN823" s="268"/>
      <c r="JBO823" s="268"/>
      <c r="JBP823" s="268"/>
      <c r="JBQ823" s="268"/>
      <c r="JBR823" s="268"/>
      <c r="JBS823" s="268"/>
      <c r="JBT823" s="268"/>
      <c r="JBU823" s="268"/>
      <c r="JBV823" s="268"/>
      <c r="JBW823" s="268"/>
      <c r="JBX823" s="268"/>
      <c r="JBY823" s="268"/>
      <c r="JBZ823" s="268"/>
      <c r="JCA823" s="268"/>
      <c r="JCB823" s="268"/>
      <c r="JCC823" s="268"/>
      <c r="JCD823" s="268"/>
      <c r="JCE823" s="268"/>
      <c r="JCF823" s="268"/>
      <c r="JCG823" s="268"/>
      <c r="JCH823" s="268"/>
      <c r="JCI823" s="268"/>
      <c r="JCJ823" s="268"/>
      <c r="JCK823" s="268"/>
      <c r="JCL823" s="268"/>
      <c r="JCM823" s="268"/>
      <c r="JCN823" s="268"/>
      <c r="JCO823" s="268"/>
      <c r="JCP823" s="268"/>
      <c r="JCQ823" s="268"/>
      <c r="JCR823" s="268"/>
      <c r="JCS823" s="268"/>
      <c r="JCT823" s="268"/>
      <c r="JCU823" s="268"/>
      <c r="JCV823" s="268"/>
      <c r="JCW823" s="268"/>
      <c r="JCX823" s="268"/>
      <c r="JCY823" s="268"/>
      <c r="JCZ823" s="268"/>
      <c r="JDA823" s="268"/>
      <c r="JDB823" s="268"/>
      <c r="JDC823" s="268"/>
      <c r="JDD823" s="268"/>
      <c r="JDE823" s="268"/>
      <c r="JDF823" s="268"/>
      <c r="JDG823" s="268"/>
      <c r="JDH823" s="268"/>
      <c r="JDI823" s="268"/>
      <c r="JDJ823" s="268"/>
      <c r="JDK823" s="268"/>
      <c r="JDL823" s="268"/>
      <c r="JDM823" s="268"/>
      <c r="JDN823" s="268"/>
      <c r="JDO823" s="268"/>
      <c r="JDP823" s="268"/>
      <c r="JDQ823" s="268"/>
      <c r="JDR823" s="268"/>
      <c r="JDS823" s="268"/>
      <c r="JDT823" s="268"/>
      <c r="JDU823" s="268"/>
      <c r="JDV823" s="268"/>
      <c r="JDW823" s="268"/>
      <c r="JDX823" s="268"/>
      <c r="JDY823" s="268"/>
      <c r="JDZ823" s="268"/>
      <c r="JEA823" s="268"/>
      <c r="JEB823" s="268"/>
      <c r="JEC823" s="268"/>
      <c r="JED823" s="268"/>
      <c r="JEE823" s="268"/>
      <c r="JEF823" s="268"/>
      <c r="JEG823" s="268"/>
      <c r="JEH823" s="268"/>
      <c r="JEI823" s="268"/>
      <c r="JEJ823" s="268"/>
      <c r="JEK823" s="268"/>
      <c r="JEL823" s="268"/>
      <c r="JEM823" s="268"/>
      <c r="JFA823" s="268"/>
      <c r="JFB823" s="268"/>
      <c r="JFC823" s="268"/>
      <c r="JFQ823" s="268"/>
      <c r="JFS823" s="268"/>
      <c r="JFT823" s="268"/>
      <c r="JFU823" s="268"/>
      <c r="JFV823" s="268"/>
      <c r="JFW823" s="268"/>
      <c r="JFX823" s="268"/>
      <c r="JFY823" s="268"/>
      <c r="JFZ823" s="268"/>
      <c r="JGA823" s="268"/>
      <c r="JGB823" s="268"/>
      <c r="JGC823" s="268"/>
      <c r="JGD823" s="268"/>
      <c r="JGE823" s="268"/>
      <c r="JGF823" s="268"/>
      <c r="JGG823" s="268"/>
      <c r="JGH823" s="268"/>
      <c r="JGI823" s="268"/>
      <c r="JGJ823" s="268"/>
      <c r="JGK823" s="268"/>
      <c r="JGL823" s="268"/>
      <c r="JGM823" s="268"/>
      <c r="JGN823" s="268"/>
      <c r="JGO823" s="268"/>
      <c r="JGP823" s="268"/>
      <c r="JGQ823" s="268"/>
      <c r="JGR823" s="268"/>
      <c r="JGS823" s="268"/>
      <c r="JGT823" s="268"/>
      <c r="JGU823" s="268"/>
      <c r="JGV823" s="268"/>
      <c r="JGW823" s="268"/>
      <c r="JGX823" s="268"/>
      <c r="JGY823" s="268"/>
      <c r="JGZ823" s="268"/>
      <c r="JHA823" s="268"/>
      <c r="JHB823" s="268"/>
      <c r="JHC823" s="268"/>
      <c r="JHD823" s="268"/>
      <c r="JHE823" s="268"/>
      <c r="JHF823" s="268"/>
      <c r="JHG823" s="268"/>
      <c r="JHH823" s="268"/>
      <c r="JHI823" s="268"/>
      <c r="JHJ823" s="268"/>
      <c r="JHK823" s="268"/>
      <c r="JHL823" s="268"/>
      <c r="JHM823" s="268"/>
      <c r="JHN823" s="268"/>
      <c r="JHO823" s="268"/>
      <c r="JHP823" s="268"/>
      <c r="JHQ823" s="268"/>
      <c r="JHR823" s="268"/>
      <c r="JHS823" s="268"/>
      <c r="JHT823" s="268"/>
      <c r="JHU823" s="268"/>
      <c r="JHV823" s="268"/>
      <c r="JHW823" s="268"/>
      <c r="JHX823" s="268"/>
      <c r="JHY823" s="268"/>
      <c r="JHZ823" s="268"/>
      <c r="JIA823" s="268"/>
      <c r="JIB823" s="268"/>
      <c r="JIC823" s="268"/>
      <c r="JID823" s="268"/>
      <c r="JIE823" s="268"/>
      <c r="JIF823" s="268"/>
      <c r="JIG823" s="268"/>
      <c r="JIH823" s="268"/>
      <c r="JII823" s="268"/>
      <c r="JIJ823" s="268"/>
      <c r="JIK823" s="268"/>
      <c r="JIL823" s="268"/>
      <c r="JIM823" s="268"/>
      <c r="JIN823" s="268"/>
      <c r="JIO823" s="268"/>
      <c r="JIP823" s="268"/>
      <c r="JIQ823" s="268"/>
      <c r="JIR823" s="268"/>
      <c r="JIS823" s="268"/>
      <c r="JIT823" s="268"/>
      <c r="JIU823" s="268"/>
      <c r="JIV823" s="268"/>
      <c r="JIW823" s="268"/>
      <c r="JIX823" s="268"/>
      <c r="JIY823" s="268"/>
      <c r="JIZ823" s="268"/>
      <c r="JJA823" s="268"/>
      <c r="JJB823" s="268"/>
      <c r="JJC823" s="268"/>
      <c r="JJD823" s="268"/>
      <c r="JJE823" s="268"/>
      <c r="JJF823" s="268"/>
      <c r="JJG823" s="268"/>
      <c r="JJH823" s="268"/>
      <c r="JJI823" s="268"/>
      <c r="JJJ823" s="268"/>
      <c r="JJK823" s="268"/>
      <c r="JJL823" s="268"/>
      <c r="JJM823" s="268"/>
      <c r="JJN823" s="268"/>
      <c r="JJO823" s="268"/>
      <c r="JJP823" s="268"/>
      <c r="JJQ823" s="268"/>
      <c r="JJR823" s="268"/>
      <c r="JJS823" s="268"/>
      <c r="JJT823" s="268"/>
      <c r="JJU823" s="268"/>
      <c r="JJV823" s="268"/>
      <c r="JJW823" s="268"/>
      <c r="JJX823" s="268"/>
      <c r="JJY823" s="268"/>
      <c r="JJZ823" s="268"/>
      <c r="JKA823" s="268"/>
      <c r="JKB823" s="268"/>
      <c r="JKC823" s="268"/>
      <c r="JKD823" s="268"/>
      <c r="JKE823" s="268"/>
      <c r="JKF823" s="268"/>
      <c r="JKG823" s="268"/>
      <c r="JKH823" s="268"/>
      <c r="JKI823" s="268"/>
      <c r="JKJ823" s="268"/>
      <c r="JKK823" s="268"/>
      <c r="JKL823" s="268"/>
      <c r="JKM823" s="268"/>
      <c r="JKN823" s="268"/>
      <c r="JKO823" s="268"/>
      <c r="JKP823" s="268"/>
      <c r="JKQ823" s="268"/>
      <c r="JKR823" s="268"/>
      <c r="JKS823" s="268"/>
      <c r="JKT823" s="268"/>
      <c r="JKU823" s="268"/>
      <c r="JKV823" s="268"/>
      <c r="JKW823" s="268"/>
      <c r="JKX823" s="268"/>
      <c r="JKY823" s="268"/>
      <c r="JKZ823" s="268"/>
      <c r="JLA823" s="268"/>
      <c r="JLB823" s="268"/>
      <c r="JLC823" s="268"/>
      <c r="JLD823" s="268"/>
      <c r="JLE823" s="268"/>
      <c r="JLF823" s="268"/>
      <c r="JLG823" s="268"/>
      <c r="JLH823" s="268"/>
      <c r="JLI823" s="268"/>
      <c r="JLJ823" s="268"/>
      <c r="JLK823" s="268"/>
      <c r="JLL823" s="268"/>
      <c r="JLM823" s="268"/>
      <c r="JLN823" s="268"/>
      <c r="JLO823" s="268"/>
      <c r="JLP823" s="268"/>
      <c r="JLQ823" s="268"/>
      <c r="JLR823" s="268"/>
      <c r="JLS823" s="268"/>
      <c r="JLT823" s="268"/>
      <c r="JLU823" s="268"/>
      <c r="JLV823" s="268"/>
      <c r="JLW823" s="268"/>
      <c r="JLX823" s="268"/>
      <c r="JLY823" s="268"/>
      <c r="JLZ823" s="268"/>
      <c r="JMA823" s="268"/>
      <c r="JMB823" s="268"/>
      <c r="JMC823" s="268"/>
      <c r="JMD823" s="268"/>
      <c r="JME823" s="268"/>
      <c r="JMF823" s="268"/>
      <c r="JMG823" s="268"/>
      <c r="JMH823" s="268"/>
      <c r="JMI823" s="268"/>
      <c r="JMJ823" s="268"/>
      <c r="JMK823" s="268"/>
      <c r="JML823" s="268"/>
      <c r="JMM823" s="268"/>
      <c r="JMN823" s="268"/>
      <c r="JMO823" s="268"/>
      <c r="JMP823" s="268"/>
      <c r="JMQ823" s="268"/>
      <c r="JMR823" s="268"/>
      <c r="JMS823" s="268"/>
      <c r="JMT823" s="268"/>
      <c r="JMU823" s="268"/>
      <c r="JMV823" s="268"/>
      <c r="JMW823" s="268"/>
      <c r="JMX823" s="268"/>
      <c r="JMY823" s="268"/>
      <c r="JMZ823" s="268"/>
      <c r="JNA823" s="268"/>
      <c r="JNB823" s="268"/>
      <c r="JNC823" s="268"/>
      <c r="JND823" s="268"/>
      <c r="JNE823" s="268"/>
      <c r="JNF823" s="268"/>
      <c r="JNG823" s="268"/>
      <c r="JNH823" s="268"/>
      <c r="JNI823" s="268"/>
      <c r="JNJ823" s="268"/>
      <c r="JNK823" s="268"/>
      <c r="JNL823" s="268"/>
      <c r="JNM823" s="268"/>
      <c r="JNN823" s="268"/>
      <c r="JNO823" s="268"/>
      <c r="JNP823" s="268"/>
      <c r="JNQ823" s="268"/>
      <c r="JNR823" s="268"/>
      <c r="JNS823" s="268"/>
      <c r="JNT823" s="268"/>
      <c r="JNU823" s="268"/>
      <c r="JNV823" s="268"/>
      <c r="JNW823" s="268"/>
      <c r="JNX823" s="268"/>
      <c r="JNY823" s="268"/>
      <c r="JNZ823" s="268"/>
      <c r="JOA823" s="268"/>
      <c r="JOB823" s="268"/>
      <c r="JOC823" s="268"/>
      <c r="JOD823" s="268"/>
      <c r="JOE823" s="268"/>
      <c r="JOF823" s="268"/>
      <c r="JOG823" s="268"/>
      <c r="JOH823" s="268"/>
      <c r="JOI823" s="268"/>
      <c r="JOW823" s="268"/>
      <c r="JOX823" s="268"/>
      <c r="JOY823" s="268"/>
      <c r="JPM823" s="268"/>
      <c r="JPO823" s="268"/>
      <c r="JPP823" s="268"/>
      <c r="JPQ823" s="268"/>
      <c r="JPR823" s="268"/>
      <c r="JPS823" s="268"/>
      <c r="JPT823" s="268"/>
      <c r="JPU823" s="268"/>
      <c r="JPV823" s="268"/>
      <c r="JPW823" s="268"/>
      <c r="JPX823" s="268"/>
      <c r="JPY823" s="268"/>
      <c r="JPZ823" s="268"/>
      <c r="JQA823" s="268"/>
      <c r="JQB823" s="268"/>
      <c r="JQC823" s="268"/>
      <c r="JQD823" s="268"/>
      <c r="JQE823" s="268"/>
      <c r="JQF823" s="268"/>
      <c r="JQG823" s="268"/>
      <c r="JQH823" s="268"/>
      <c r="JQI823" s="268"/>
      <c r="JQJ823" s="268"/>
      <c r="JQK823" s="268"/>
      <c r="JQL823" s="268"/>
      <c r="JQM823" s="268"/>
      <c r="JQN823" s="268"/>
      <c r="JQO823" s="268"/>
      <c r="JQP823" s="268"/>
      <c r="JQQ823" s="268"/>
      <c r="JQR823" s="268"/>
      <c r="JQS823" s="268"/>
      <c r="JQT823" s="268"/>
      <c r="JQU823" s="268"/>
      <c r="JQV823" s="268"/>
      <c r="JQW823" s="268"/>
      <c r="JQX823" s="268"/>
      <c r="JQY823" s="268"/>
      <c r="JQZ823" s="268"/>
      <c r="JRA823" s="268"/>
      <c r="JRB823" s="268"/>
      <c r="JRC823" s="268"/>
      <c r="JRD823" s="268"/>
      <c r="JRE823" s="268"/>
      <c r="JRF823" s="268"/>
      <c r="JRG823" s="268"/>
      <c r="JRH823" s="268"/>
      <c r="JRI823" s="268"/>
      <c r="JRJ823" s="268"/>
      <c r="JRK823" s="268"/>
      <c r="JRL823" s="268"/>
      <c r="JRM823" s="268"/>
      <c r="JRN823" s="268"/>
      <c r="JRO823" s="268"/>
      <c r="JRP823" s="268"/>
      <c r="JRQ823" s="268"/>
      <c r="JRR823" s="268"/>
      <c r="JRS823" s="268"/>
      <c r="JRT823" s="268"/>
      <c r="JRU823" s="268"/>
      <c r="JRV823" s="268"/>
      <c r="JRW823" s="268"/>
      <c r="JRX823" s="268"/>
      <c r="JRY823" s="268"/>
      <c r="JRZ823" s="268"/>
      <c r="JSA823" s="268"/>
      <c r="JSB823" s="268"/>
      <c r="JSC823" s="268"/>
      <c r="JSD823" s="268"/>
      <c r="JSE823" s="268"/>
      <c r="JSF823" s="268"/>
      <c r="JSG823" s="268"/>
      <c r="JSH823" s="268"/>
      <c r="JSI823" s="268"/>
      <c r="JSJ823" s="268"/>
      <c r="JSK823" s="268"/>
      <c r="JSL823" s="268"/>
      <c r="JSM823" s="268"/>
      <c r="JSN823" s="268"/>
      <c r="JSO823" s="268"/>
      <c r="JSP823" s="268"/>
      <c r="JSQ823" s="268"/>
      <c r="JSR823" s="268"/>
      <c r="JSS823" s="268"/>
      <c r="JST823" s="268"/>
      <c r="JSU823" s="268"/>
      <c r="JSV823" s="268"/>
      <c r="JSW823" s="268"/>
      <c r="JSX823" s="268"/>
      <c r="JSY823" s="268"/>
      <c r="JSZ823" s="268"/>
      <c r="JTA823" s="268"/>
      <c r="JTB823" s="268"/>
      <c r="JTC823" s="268"/>
      <c r="JTD823" s="268"/>
      <c r="JTE823" s="268"/>
      <c r="JTF823" s="268"/>
      <c r="JTG823" s="268"/>
      <c r="JTH823" s="268"/>
      <c r="JTI823" s="268"/>
      <c r="JTJ823" s="268"/>
      <c r="JTK823" s="268"/>
      <c r="JTL823" s="268"/>
      <c r="JTM823" s="268"/>
      <c r="JTN823" s="268"/>
      <c r="JTO823" s="268"/>
      <c r="JTP823" s="268"/>
      <c r="JTQ823" s="268"/>
      <c r="JTR823" s="268"/>
      <c r="JTS823" s="268"/>
      <c r="JTT823" s="268"/>
      <c r="JTU823" s="268"/>
      <c r="JTV823" s="268"/>
      <c r="JTW823" s="268"/>
      <c r="JTX823" s="268"/>
      <c r="JTY823" s="268"/>
      <c r="JTZ823" s="268"/>
      <c r="JUA823" s="268"/>
      <c r="JUB823" s="268"/>
      <c r="JUC823" s="268"/>
      <c r="JUD823" s="268"/>
      <c r="JUE823" s="268"/>
      <c r="JUF823" s="268"/>
      <c r="JUG823" s="268"/>
      <c r="JUH823" s="268"/>
      <c r="JUI823" s="268"/>
      <c r="JUJ823" s="268"/>
      <c r="JUK823" s="268"/>
      <c r="JUL823" s="268"/>
      <c r="JUM823" s="268"/>
      <c r="JUN823" s="268"/>
      <c r="JUO823" s="268"/>
      <c r="JUP823" s="268"/>
      <c r="JUQ823" s="268"/>
      <c r="JUR823" s="268"/>
      <c r="JUS823" s="268"/>
      <c r="JUT823" s="268"/>
      <c r="JUU823" s="268"/>
      <c r="JUV823" s="268"/>
      <c r="JUW823" s="268"/>
      <c r="JUX823" s="268"/>
      <c r="JUY823" s="268"/>
      <c r="JUZ823" s="268"/>
      <c r="JVA823" s="268"/>
      <c r="JVB823" s="268"/>
      <c r="JVC823" s="268"/>
      <c r="JVD823" s="268"/>
      <c r="JVE823" s="268"/>
      <c r="JVF823" s="268"/>
      <c r="JVG823" s="268"/>
      <c r="JVH823" s="268"/>
      <c r="JVI823" s="268"/>
      <c r="JVJ823" s="268"/>
      <c r="JVK823" s="268"/>
      <c r="JVL823" s="268"/>
      <c r="JVM823" s="268"/>
      <c r="JVN823" s="268"/>
      <c r="JVO823" s="268"/>
      <c r="JVP823" s="268"/>
      <c r="JVQ823" s="268"/>
      <c r="JVR823" s="268"/>
      <c r="JVS823" s="268"/>
      <c r="JVT823" s="268"/>
      <c r="JVU823" s="268"/>
      <c r="JVV823" s="268"/>
      <c r="JVW823" s="268"/>
      <c r="JVX823" s="268"/>
      <c r="JVY823" s="268"/>
      <c r="JVZ823" s="268"/>
      <c r="JWA823" s="268"/>
      <c r="JWB823" s="268"/>
      <c r="JWC823" s="268"/>
      <c r="JWD823" s="268"/>
      <c r="JWE823" s="268"/>
      <c r="JWF823" s="268"/>
      <c r="JWG823" s="268"/>
      <c r="JWH823" s="268"/>
      <c r="JWI823" s="268"/>
      <c r="JWJ823" s="268"/>
      <c r="JWK823" s="268"/>
      <c r="JWL823" s="268"/>
      <c r="JWM823" s="268"/>
      <c r="JWN823" s="268"/>
      <c r="JWO823" s="268"/>
      <c r="JWP823" s="268"/>
      <c r="JWQ823" s="268"/>
      <c r="JWR823" s="268"/>
      <c r="JWS823" s="268"/>
      <c r="JWT823" s="268"/>
      <c r="JWU823" s="268"/>
      <c r="JWV823" s="268"/>
      <c r="JWW823" s="268"/>
      <c r="JWX823" s="268"/>
      <c r="JWY823" s="268"/>
      <c r="JWZ823" s="268"/>
      <c r="JXA823" s="268"/>
      <c r="JXB823" s="268"/>
      <c r="JXC823" s="268"/>
      <c r="JXD823" s="268"/>
      <c r="JXE823" s="268"/>
      <c r="JXF823" s="268"/>
      <c r="JXG823" s="268"/>
      <c r="JXH823" s="268"/>
      <c r="JXI823" s="268"/>
      <c r="JXJ823" s="268"/>
      <c r="JXK823" s="268"/>
      <c r="JXL823" s="268"/>
      <c r="JXM823" s="268"/>
      <c r="JXN823" s="268"/>
      <c r="JXO823" s="268"/>
      <c r="JXP823" s="268"/>
      <c r="JXQ823" s="268"/>
      <c r="JXR823" s="268"/>
      <c r="JXS823" s="268"/>
      <c r="JXT823" s="268"/>
      <c r="JXU823" s="268"/>
      <c r="JXV823" s="268"/>
      <c r="JXW823" s="268"/>
      <c r="JXX823" s="268"/>
      <c r="JXY823" s="268"/>
      <c r="JXZ823" s="268"/>
      <c r="JYA823" s="268"/>
      <c r="JYB823" s="268"/>
      <c r="JYC823" s="268"/>
      <c r="JYD823" s="268"/>
      <c r="JYE823" s="268"/>
      <c r="JYS823" s="268"/>
      <c r="JYT823" s="268"/>
      <c r="JYU823" s="268"/>
      <c r="JZI823" s="268"/>
      <c r="JZK823" s="268"/>
      <c r="JZL823" s="268"/>
      <c r="JZM823" s="268"/>
      <c r="JZN823" s="268"/>
      <c r="JZO823" s="268"/>
      <c r="JZP823" s="268"/>
      <c r="JZQ823" s="268"/>
      <c r="JZR823" s="268"/>
      <c r="JZS823" s="268"/>
      <c r="JZT823" s="268"/>
      <c r="JZU823" s="268"/>
      <c r="JZV823" s="268"/>
      <c r="JZW823" s="268"/>
      <c r="JZX823" s="268"/>
      <c r="JZY823" s="268"/>
      <c r="JZZ823" s="268"/>
      <c r="KAA823" s="268"/>
      <c r="KAB823" s="268"/>
      <c r="KAC823" s="268"/>
      <c r="KAD823" s="268"/>
      <c r="KAE823" s="268"/>
      <c r="KAF823" s="268"/>
      <c r="KAG823" s="268"/>
      <c r="KAH823" s="268"/>
      <c r="KAI823" s="268"/>
      <c r="KAJ823" s="268"/>
      <c r="KAK823" s="268"/>
      <c r="KAL823" s="268"/>
      <c r="KAM823" s="268"/>
      <c r="KAN823" s="268"/>
      <c r="KAO823" s="268"/>
      <c r="KAP823" s="268"/>
      <c r="KAQ823" s="268"/>
      <c r="KAR823" s="268"/>
      <c r="KAS823" s="268"/>
      <c r="KAT823" s="268"/>
      <c r="KAU823" s="268"/>
      <c r="KAV823" s="268"/>
      <c r="KAW823" s="268"/>
      <c r="KAX823" s="268"/>
      <c r="KAY823" s="268"/>
      <c r="KAZ823" s="268"/>
      <c r="KBA823" s="268"/>
      <c r="KBB823" s="268"/>
      <c r="KBC823" s="268"/>
      <c r="KBD823" s="268"/>
      <c r="KBE823" s="268"/>
      <c r="KBF823" s="268"/>
      <c r="KBG823" s="268"/>
      <c r="KBH823" s="268"/>
      <c r="KBI823" s="268"/>
      <c r="KBJ823" s="268"/>
      <c r="KBK823" s="268"/>
      <c r="KBL823" s="268"/>
      <c r="KBM823" s="268"/>
      <c r="KBN823" s="268"/>
      <c r="KBO823" s="268"/>
      <c r="KBP823" s="268"/>
      <c r="KBQ823" s="268"/>
      <c r="KBR823" s="268"/>
      <c r="KBS823" s="268"/>
      <c r="KBT823" s="268"/>
      <c r="KBU823" s="268"/>
      <c r="KBV823" s="268"/>
      <c r="KBW823" s="268"/>
      <c r="KBX823" s="268"/>
      <c r="KBY823" s="268"/>
      <c r="KBZ823" s="268"/>
      <c r="KCA823" s="268"/>
      <c r="KCB823" s="268"/>
      <c r="KCC823" s="268"/>
      <c r="KCD823" s="268"/>
      <c r="KCE823" s="268"/>
      <c r="KCF823" s="268"/>
      <c r="KCG823" s="268"/>
      <c r="KCH823" s="268"/>
      <c r="KCI823" s="268"/>
      <c r="KCJ823" s="268"/>
      <c r="KCK823" s="268"/>
      <c r="KCL823" s="268"/>
      <c r="KCM823" s="268"/>
      <c r="KCN823" s="268"/>
      <c r="KCO823" s="268"/>
      <c r="KCP823" s="268"/>
      <c r="KCQ823" s="268"/>
      <c r="KCR823" s="268"/>
      <c r="KCS823" s="268"/>
      <c r="KCT823" s="268"/>
      <c r="KCU823" s="268"/>
      <c r="KCV823" s="268"/>
      <c r="KCW823" s="268"/>
      <c r="KCX823" s="268"/>
      <c r="KCY823" s="268"/>
      <c r="KCZ823" s="268"/>
      <c r="KDA823" s="268"/>
      <c r="KDB823" s="268"/>
      <c r="KDC823" s="268"/>
      <c r="KDD823" s="268"/>
      <c r="KDE823" s="268"/>
      <c r="KDF823" s="268"/>
      <c r="KDG823" s="268"/>
      <c r="KDH823" s="268"/>
      <c r="KDI823" s="268"/>
      <c r="KDJ823" s="268"/>
      <c r="KDK823" s="268"/>
      <c r="KDL823" s="268"/>
      <c r="KDM823" s="268"/>
      <c r="KDN823" s="268"/>
      <c r="KDO823" s="268"/>
      <c r="KDP823" s="268"/>
      <c r="KDQ823" s="268"/>
      <c r="KDR823" s="268"/>
      <c r="KDS823" s="268"/>
      <c r="KDT823" s="268"/>
      <c r="KDU823" s="268"/>
      <c r="KDV823" s="268"/>
      <c r="KDW823" s="268"/>
      <c r="KDX823" s="268"/>
      <c r="KDY823" s="268"/>
      <c r="KDZ823" s="268"/>
      <c r="KEA823" s="268"/>
      <c r="KEB823" s="268"/>
      <c r="KEC823" s="268"/>
      <c r="KED823" s="268"/>
      <c r="KEE823" s="268"/>
      <c r="KEF823" s="268"/>
      <c r="KEG823" s="268"/>
      <c r="KEH823" s="268"/>
      <c r="KEI823" s="268"/>
      <c r="KEJ823" s="268"/>
      <c r="KEK823" s="268"/>
      <c r="KEL823" s="268"/>
      <c r="KEM823" s="268"/>
      <c r="KEN823" s="268"/>
      <c r="KEO823" s="268"/>
      <c r="KEP823" s="268"/>
      <c r="KEQ823" s="268"/>
      <c r="KER823" s="268"/>
      <c r="KES823" s="268"/>
      <c r="KET823" s="268"/>
      <c r="KEU823" s="268"/>
      <c r="KEV823" s="268"/>
      <c r="KEW823" s="268"/>
      <c r="KEX823" s="268"/>
      <c r="KEY823" s="268"/>
      <c r="KEZ823" s="268"/>
      <c r="KFA823" s="268"/>
      <c r="KFB823" s="268"/>
      <c r="KFC823" s="268"/>
      <c r="KFD823" s="268"/>
      <c r="KFE823" s="268"/>
      <c r="KFF823" s="268"/>
      <c r="KFG823" s="268"/>
      <c r="KFH823" s="268"/>
      <c r="KFI823" s="268"/>
      <c r="KFJ823" s="268"/>
      <c r="KFK823" s="268"/>
      <c r="KFL823" s="268"/>
      <c r="KFM823" s="268"/>
      <c r="KFN823" s="268"/>
      <c r="KFO823" s="268"/>
      <c r="KFP823" s="268"/>
      <c r="KFQ823" s="268"/>
      <c r="KFR823" s="268"/>
      <c r="KFS823" s="268"/>
      <c r="KFT823" s="268"/>
      <c r="KFU823" s="268"/>
      <c r="KFV823" s="268"/>
      <c r="KFW823" s="268"/>
      <c r="KFX823" s="268"/>
      <c r="KFY823" s="268"/>
      <c r="KFZ823" s="268"/>
      <c r="KGA823" s="268"/>
      <c r="KGB823" s="268"/>
      <c r="KGC823" s="268"/>
      <c r="KGD823" s="268"/>
      <c r="KGE823" s="268"/>
      <c r="KGF823" s="268"/>
      <c r="KGG823" s="268"/>
      <c r="KGH823" s="268"/>
      <c r="KGI823" s="268"/>
      <c r="KGJ823" s="268"/>
      <c r="KGK823" s="268"/>
      <c r="KGL823" s="268"/>
      <c r="KGM823" s="268"/>
      <c r="KGN823" s="268"/>
      <c r="KGO823" s="268"/>
      <c r="KGP823" s="268"/>
      <c r="KGQ823" s="268"/>
      <c r="KGR823" s="268"/>
      <c r="KGS823" s="268"/>
      <c r="KGT823" s="268"/>
      <c r="KGU823" s="268"/>
      <c r="KGV823" s="268"/>
      <c r="KGW823" s="268"/>
      <c r="KGX823" s="268"/>
      <c r="KGY823" s="268"/>
      <c r="KGZ823" s="268"/>
      <c r="KHA823" s="268"/>
      <c r="KHB823" s="268"/>
      <c r="KHC823" s="268"/>
      <c r="KHD823" s="268"/>
      <c r="KHE823" s="268"/>
      <c r="KHF823" s="268"/>
      <c r="KHG823" s="268"/>
      <c r="KHH823" s="268"/>
      <c r="KHI823" s="268"/>
      <c r="KHJ823" s="268"/>
      <c r="KHK823" s="268"/>
      <c r="KHL823" s="268"/>
      <c r="KHM823" s="268"/>
      <c r="KHN823" s="268"/>
      <c r="KHO823" s="268"/>
      <c r="KHP823" s="268"/>
      <c r="KHQ823" s="268"/>
      <c r="KHR823" s="268"/>
      <c r="KHS823" s="268"/>
      <c r="KHT823" s="268"/>
      <c r="KHU823" s="268"/>
      <c r="KHV823" s="268"/>
      <c r="KHW823" s="268"/>
      <c r="KHX823" s="268"/>
      <c r="KHY823" s="268"/>
      <c r="KHZ823" s="268"/>
      <c r="KIA823" s="268"/>
      <c r="KIO823" s="268"/>
      <c r="KIP823" s="268"/>
      <c r="KIQ823" s="268"/>
      <c r="KJE823" s="268"/>
      <c r="KJG823" s="268"/>
      <c r="KJH823" s="268"/>
      <c r="KJI823" s="268"/>
      <c r="KJJ823" s="268"/>
      <c r="KJK823" s="268"/>
      <c r="KJL823" s="268"/>
      <c r="KJM823" s="268"/>
      <c r="KJN823" s="268"/>
      <c r="KJO823" s="268"/>
      <c r="KJP823" s="268"/>
      <c r="KJQ823" s="268"/>
      <c r="KJR823" s="268"/>
      <c r="KJS823" s="268"/>
      <c r="KJT823" s="268"/>
      <c r="KJU823" s="268"/>
      <c r="KJV823" s="268"/>
      <c r="KJW823" s="268"/>
      <c r="KJX823" s="268"/>
      <c r="KJY823" s="268"/>
      <c r="KJZ823" s="268"/>
      <c r="KKA823" s="268"/>
      <c r="KKB823" s="268"/>
      <c r="KKC823" s="268"/>
      <c r="KKD823" s="268"/>
      <c r="KKE823" s="268"/>
      <c r="KKF823" s="268"/>
      <c r="KKG823" s="268"/>
      <c r="KKH823" s="268"/>
      <c r="KKI823" s="268"/>
      <c r="KKJ823" s="268"/>
      <c r="KKK823" s="268"/>
      <c r="KKL823" s="268"/>
      <c r="KKM823" s="268"/>
      <c r="KKN823" s="268"/>
      <c r="KKO823" s="268"/>
      <c r="KKP823" s="268"/>
      <c r="KKQ823" s="268"/>
      <c r="KKR823" s="268"/>
      <c r="KKS823" s="268"/>
      <c r="KKT823" s="268"/>
      <c r="KKU823" s="268"/>
      <c r="KKV823" s="268"/>
      <c r="KKW823" s="268"/>
      <c r="KKX823" s="268"/>
      <c r="KKY823" s="268"/>
      <c r="KKZ823" s="268"/>
      <c r="KLA823" s="268"/>
      <c r="KLB823" s="268"/>
      <c r="KLC823" s="268"/>
      <c r="KLD823" s="268"/>
      <c r="KLE823" s="268"/>
      <c r="KLF823" s="268"/>
      <c r="KLG823" s="268"/>
      <c r="KLH823" s="268"/>
      <c r="KLI823" s="268"/>
      <c r="KLJ823" s="268"/>
      <c r="KLK823" s="268"/>
      <c r="KLL823" s="268"/>
      <c r="KLM823" s="268"/>
      <c r="KLN823" s="268"/>
      <c r="KLO823" s="268"/>
      <c r="KLP823" s="268"/>
      <c r="KLQ823" s="268"/>
      <c r="KLR823" s="268"/>
      <c r="KLS823" s="268"/>
      <c r="KLT823" s="268"/>
      <c r="KLU823" s="268"/>
      <c r="KLV823" s="268"/>
      <c r="KLW823" s="268"/>
      <c r="KLX823" s="268"/>
      <c r="KLY823" s="268"/>
      <c r="KLZ823" s="268"/>
      <c r="KMA823" s="268"/>
      <c r="KMB823" s="268"/>
      <c r="KMC823" s="268"/>
      <c r="KMD823" s="268"/>
      <c r="KME823" s="268"/>
      <c r="KMF823" s="268"/>
      <c r="KMG823" s="268"/>
      <c r="KMH823" s="268"/>
      <c r="KMI823" s="268"/>
      <c r="KMJ823" s="268"/>
      <c r="KMK823" s="268"/>
      <c r="KML823" s="268"/>
      <c r="KMM823" s="268"/>
      <c r="KMN823" s="268"/>
      <c r="KMO823" s="268"/>
      <c r="KMP823" s="268"/>
      <c r="KMQ823" s="268"/>
      <c r="KMR823" s="268"/>
      <c r="KMS823" s="268"/>
      <c r="KMT823" s="268"/>
      <c r="KMU823" s="268"/>
      <c r="KMV823" s="268"/>
      <c r="KMW823" s="268"/>
      <c r="KMX823" s="268"/>
      <c r="KMY823" s="268"/>
      <c r="KMZ823" s="268"/>
      <c r="KNA823" s="268"/>
      <c r="KNB823" s="268"/>
      <c r="KNC823" s="268"/>
      <c r="KND823" s="268"/>
      <c r="KNE823" s="268"/>
      <c r="KNF823" s="268"/>
      <c r="KNG823" s="268"/>
      <c r="KNH823" s="268"/>
      <c r="KNI823" s="268"/>
      <c r="KNJ823" s="268"/>
      <c r="KNK823" s="268"/>
      <c r="KNL823" s="268"/>
      <c r="KNM823" s="268"/>
      <c r="KNN823" s="268"/>
      <c r="KNO823" s="268"/>
      <c r="KNP823" s="268"/>
      <c r="KNQ823" s="268"/>
      <c r="KNR823" s="268"/>
      <c r="KNS823" s="268"/>
      <c r="KNT823" s="268"/>
      <c r="KNU823" s="268"/>
      <c r="KNV823" s="268"/>
      <c r="KNW823" s="268"/>
      <c r="KNX823" s="268"/>
      <c r="KNY823" s="268"/>
      <c r="KNZ823" s="268"/>
      <c r="KOA823" s="268"/>
      <c r="KOB823" s="268"/>
      <c r="KOC823" s="268"/>
      <c r="KOD823" s="268"/>
      <c r="KOE823" s="268"/>
      <c r="KOF823" s="268"/>
      <c r="KOG823" s="268"/>
      <c r="KOH823" s="268"/>
      <c r="KOI823" s="268"/>
      <c r="KOJ823" s="268"/>
      <c r="KOK823" s="268"/>
      <c r="KOL823" s="268"/>
      <c r="KOM823" s="268"/>
      <c r="KON823" s="268"/>
      <c r="KOO823" s="268"/>
      <c r="KOP823" s="268"/>
      <c r="KOQ823" s="268"/>
      <c r="KOR823" s="268"/>
      <c r="KOS823" s="268"/>
      <c r="KOT823" s="268"/>
      <c r="KOU823" s="268"/>
      <c r="KOV823" s="268"/>
      <c r="KOW823" s="268"/>
      <c r="KOX823" s="268"/>
      <c r="KOY823" s="268"/>
      <c r="KOZ823" s="268"/>
      <c r="KPA823" s="268"/>
      <c r="KPB823" s="268"/>
      <c r="KPC823" s="268"/>
      <c r="KPD823" s="268"/>
      <c r="KPE823" s="268"/>
      <c r="KPF823" s="268"/>
      <c r="KPG823" s="268"/>
      <c r="KPH823" s="268"/>
      <c r="KPI823" s="268"/>
      <c r="KPJ823" s="268"/>
      <c r="KPK823" s="268"/>
      <c r="KPL823" s="268"/>
      <c r="KPM823" s="268"/>
      <c r="KPN823" s="268"/>
      <c r="KPO823" s="268"/>
      <c r="KPP823" s="268"/>
      <c r="KPQ823" s="268"/>
      <c r="KPR823" s="268"/>
      <c r="KPS823" s="268"/>
      <c r="KPT823" s="268"/>
      <c r="KPU823" s="268"/>
      <c r="KPV823" s="268"/>
      <c r="KPW823" s="268"/>
      <c r="KPX823" s="268"/>
      <c r="KPY823" s="268"/>
      <c r="KPZ823" s="268"/>
      <c r="KQA823" s="268"/>
      <c r="KQB823" s="268"/>
      <c r="KQC823" s="268"/>
      <c r="KQD823" s="268"/>
      <c r="KQE823" s="268"/>
      <c r="KQF823" s="268"/>
      <c r="KQG823" s="268"/>
      <c r="KQH823" s="268"/>
      <c r="KQI823" s="268"/>
      <c r="KQJ823" s="268"/>
      <c r="KQK823" s="268"/>
      <c r="KQL823" s="268"/>
      <c r="KQM823" s="268"/>
      <c r="KQN823" s="268"/>
      <c r="KQO823" s="268"/>
      <c r="KQP823" s="268"/>
      <c r="KQQ823" s="268"/>
      <c r="KQR823" s="268"/>
      <c r="KQS823" s="268"/>
      <c r="KQT823" s="268"/>
      <c r="KQU823" s="268"/>
      <c r="KQV823" s="268"/>
      <c r="KQW823" s="268"/>
      <c r="KQX823" s="268"/>
      <c r="KQY823" s="268"/>
      <c r="KQZ823" s="268"/>
      <c r="KRA823" s="268"/>
      <c r="KRB823" s="268"/>
      <c r="KRC823" s="268"/>
      <c r="KRD823" s="268"/>
      <c r="KRE823" s="268"/>
      <c r="KRF823" s="268"/>
      <c r="KRG823" s="268"/>
      <c r="KRH823" s="268"/>
      <c r="KRI823" s="268"/>
      <c r="KRJ823" s="268"/>
      <c r="KRK823" s="268"/>
      <c r="KRL823" s="268"/>
      <c r="KRM823" s="268"/>
      <c r="KRN823" s="268"/>
      <c r="KRO823" s="268"/>
      <c r="KRP823" s="268"/>
      <c r="KRQ823" s="268"/>
      <c r="KRR823" s="268"/>
      <c r="KRS823" s="268"/>
      <c r="KRT823" s="268"/>
      <c r="KRU823" s="268"/>
      <c r="KRV823" s="268"/>
      <c r="KRW823" s="268"/>
      <c r="KSK823" s="268"/>
      <c r="KSL823" s="268"/>
      <c r="KSM823" s="268"/>
      <c r="KTA823" s="268"/>
      <c r="KTC823" s="268"/>
      <c r="KTD823" s="268"/>
      <c r="KTE823" s="268"/>
      <c r="KTF823" s="268"/>
      <c r="KTG823" s="268"/>
      <c r="KTH823" s="268"/>
      <c r="KTI823" s="268"/>
      <c r="KTJ823" s="268"/>
      <c r="KTK823" s="268"/>
      <c r="KTL823" s="268"/>
      <c r="KTM823" s="268"/>
      <c r="KTN823" s="268"/>
      <c r="KTO823" s="268"/>
      <c r="KTP823" s="268"/>
      <c r="KTQ823" s="268"/>
      <c r="KTR823" s="268"/>
      <c r="KTS823" s="268"/>
      <c r="KTT823" s="268"/>
      <c r="KTU823" s="268"/>
      <c r="KTV823" s="268"/>
      <c r="KTW823" s="268"/>
      <c r="KTX823" s="268"/>
      <c r="KTY823" s="268"/>
      <c r="KTZ823" s="268"/>
      <c r="KUA823" s="268"/>
      <c r="KUB823" s="268"/>
      <c r="KUC823" s="268"/>
      <c r="KUD823" s="268"/>
      <c r="KUE823" s="268"/>
      <c r="KUF823" s="268"/>
      <c r="KUG823" s="268"/>
      <c r="KUH823" s="268"/>
      <c r="KUI823" s="268"/>
      <c r="KUJ823" s="268"/>
      <c r="KUK823" s="268"/>
      <c r="KUL823" s="268"/>
      <c r="KUM823" s="268"/>
      <c r="KUN823" s="268"/>
      <c r="KUO823" s="268"/>
      <c r="KUP823" s="268"/>
      <c r="KUQ823" s="268"/>
      <c r="KUR823" s="268"/>
      <c r="KUS823" s="268"/>
      <c r="KUT823" s="268"/>
      <c r="KUU823" s="268"/>
      <c r="KUV823" s="268"/>
      <c r="KUW823" s="268"/>
      <c r="KUX823" s="268"/>
      <c r="KUY823" s="268"/>
      <c r="KUZ823" s="268"/>
      <c r="KVA823" s="268"/>
      <c r="KVB823" s="268"/>
      <c r="KVC823" s="268"/>
      <c r="KVD823" s="268"/>
      <c r="KVE823" s="268"/>
      <c r="KVF823" s="268"/>
      <c r="KVG823" s="268"/>
      <c r="KVH823" s="268"/>
      <c r="KVI823" s="268"/>
      <c r="KVJ823" s="268"/>
      <c r="KVK823" s="268"/>
      <c r="KVL823" s="268"/>
      <c r="KVM823" s="268"/>
      <c r="KVN823" s="268"/>
      <c r="KVO823" s="268"/>
      <c r="KVP823" s="268"/>
      <c r="KVQ823" s="268"/>
      <c r="KVR823" s="268"/>
      <c r="KVS823" s="268"/>
      <c r="KVT823" s="268"/>
      <c r="KVU823" s="268"/>
      <c r="KVV823" s="268"/>
      <c r="KVW823" s="268"/>
      <c r="KVX823" s="268"/>
      <c r="KVY823" s="268"/>
      <c r="KVZ823" s="268"/>
      <c r="KWA823" s="268"/>
      <c r="KWB823" s="268"/>
      <c r="KWC823" s="268"/>
      <c r="KWD823" s="268"/>
      <c r="KWE823" s="268"/>
      <c r="KWF823" s="268"/>
      <c r="KWG823" s="268"/>
      <c r="KWH823" s="268"/>
      <c r="KWI823" s="268"/>
      <c r="KWJ823" s="268"/>
      <c r="KWK823" s="268"/>
      <c r="KWL823" s="268"/>
      <c r="KWM823" s="268"/>
      <c r="KWN823" s="268"/>
      <c r="KWO823" s="268"/>
      <c r="KWP823" s="268"/>
      <c r="KWQ823" s="268"/>
      <c r="KWR823" s="268"/>
      <c r="KWS823" s="268"/>
      <c r="KWT823" s="268"/>
      <c r="KWU823" s="268"/>
      <c r="KWV823" s="268"/>
      <c r="KWW823" s="268"/>
      <c r="KWX823" s="268"/>
      <c r="KWY823" s="268"/>
      <c r="KWZ823" s="268"/>
      <c r="KXA823" s="268"/>
      <c r="KXB823" s="268"/>
      <c r="KXC823" s="268"/>
      <c r="KXD823" s="268"/>
      <c r="KXE823" s="268"/>
      <c r="KXF823" s="268"/>
      <c r="KXG823" s="268"/>
      <c r="KXH823" s="268"/>
      <c r="KXI823" s="268"/>
      <c r="KXJ823" s="268"/>
      <c r="KXK823" s="268"/>
      <c r="KXL823" s="268"/>
      <c r="KXM823" s="268"/>
      <c r="KXN823" s="268"/>
      <c r="KXO823" s="268"/>
      <c r="KXP823" s="268"/>
      <c r="KXQ823" s="268"/>
      <c r="KXR823" s="268"/>
      <c r="KXS823" s="268"/>
      <c r="KXT823" s="268"/>
      <c r="KXU823" s="268"/>
      <c r="KXV823" s="268"/>
      <c r="KXW823" s="268"/>
      <c r="KXX823" s="268"/>
      <c r="KXY823" s="268"/>
      <c r="KXZ823" s="268"/>
      <c r="KYA823" s="268"/>
      <c r="KYB823" s="268"/>
      <c r="KYC823" s="268"/>
      <c r="KYD823" s="268"/>
      <c r="KYE823" s="268"/>
      <c r="KYF823" s="268"/>
      <c r="KYG823" s="268"/>
      <c r="KYH823" s="268"/>
      <c r="KYI823" s="268"/>
      <c r="KYJ823" s="268"/>
      <c r="KYK823" s="268"/>
      <c r="KYL823" s="268"/>
      <c r="KYM823" s="268"/>
      <c r="KYN823" s="268"/>
      <c r="KYO823" s="268"/>
      <c r="KYP823" s="268"/>
      <c r="KYQ823" s="268"/>
      <c r="KYR823" s="268"/>
      <c r="KYS823" s="268"/>
      <c r="KYT823" s="268"/>
      <c r="KYU823" s="268"/>
      <c r="KYV823" s="268"/>
      <c r="KYW823" s="268"/>
      <c r="KYX823" s="268"/>
      <c r="KYY823" s="268"/>
      <c r="KYZ823" s="268"/>
      <c r="KZA823" s="268"/>
      <c r="KZB823" s="268"/>
      <c r="KZC823" s="268"/>
      <c r="KZD823" s="268"/>
      <c r="KZE823" s="268"/>
      <c r="KZF823" s="268"/>
      <c r="KZG823" s="268"/>
      <c r="KZH823" s="268"/>
      <c r="KZI823" s="268"/>
      <c r="KZJ823" s="268"/>
      <c r="KZK823" s="268"/>
      <c r="KZL823" s="268"/>
      <c r="KZM823" s="268"/>
      <c r="KZN823" s="268"/>
      <c r="KZO823" s="268"/>
      <c r="KZP823" s="268"/>
      <c r="KZQ823" s="268"/>
      <c r="KZR823" s="268"/>
      <c r="KZS823" s="268"/>
      <c r="KZT823" s="268"/>
      <c r="KZU823" s="268"/>
      <c r="KZV823" s="268"/>
      <c r="KZW823" s="268"/>
      <c r="KZX823" s="268"/>
      <c r="KZY823" s="268"/>
      <c r="KZZ823" s="268"/>
      <c r="LAA823" s="268"/>
      <c r="LAB823" s="268"/>
      <c r="LAC823" s="268"/>
      <c r="LAD823" s="268"/>
      <c r="LAE823" s="268"/>
      <c r="LAF823" s="268"/>
      <c r="LAG823" s="268"/>
      <c r="LAH823" s="268"/>
      <c r="LAI823" s="268"/>
      <c r="LAJ823" s="268"/>
      <c r="LAK823" s="268"/>
      <c r="LAL823" s="268"/>
      <c r="LAM823" s="268"/>
      <c r="LAN823" s="268"/>
      <c r="LAO823" s="268"/>
      <c r="LAP823" s="268"/>
      <c r="LAQ823" s="268"/>
      <c r="LAR823" s="268"/>
      <c r="LAS823" s="268"/>
      <c r="LAT823" s="268"/>
      <c r="LAU823" s="268"/>
      <c r="LAV823" s="268"/>
      <c r="LAW823" s="268"/>
      <c r="LAX823" s="268"/>
      <c r="LAY823" s="268"/>
      <c r="LAZ823" s="268"/>
      <c r="LBA823" s="268"/>
      <c r="LBB823" s="268"/>
      <c r="LBC823" s="268"/>
      <c r="LBD823" s="268"/>
      <c r="LBE823" s="268"/>
      <c r="LBF823" s="268"/>
      <c r="LBG823" s="268"/>
      <c r="LBH823" s="268"/>
      <c r="LBI823" s="268"/>
      <c r="LBJ823" s="268"/>
      <c r="LBK823" s="268"/>
      <c r="LBL823" s="268"/>
      <c r="LBM823" s="268"/>
      <c r="LBN823" s="268"/>
      <c r="LBO823" s="268"/>
      <c r="LBP823" s="268"/>
      <c r="LBQ823" s="268"/>
      <c r="LBR823" s="268"/>
      <c r="LBS823" s="268"/>
      <c r="LCG823" s="268"/>
      <c r="LCH823" s="268"/>
      <c r="LCI823" s="268"/>
      <c r="LCW823" s="268"/>
      <c r="LCY823" s="268"/>
      <c r="LCZ823" s="268"/>
      <c r="LDA823" s="268"/>
      <c r="LDB823" s="268"/>
      <c r="LDC823" s="268"/>
      <c r="LDD823" s="268"/>
      <c r="LDE823" s="268"/>
      <c r="LDF823" s="268"/>
      <c r="LDG823" s="268"/>
      <c r="LDH823" s="268"/>
      <c r="LDI823" s="268"/>
      <c r="LDJ823" s="268"/>
      <c r="LDK823" s="268"/>
      <c r="LDL823" s="268"/>
      <c r="LDM823" s="268"/>
      <c r="LDN823" s="268"/>
      <c r="LDO823" s="268"/>
      <c r="LDP823" s="268"/>
      <c r="LDQ823" s="268"/>
      <c r="LDR823" s="268"/>
      <c r="LDS823" s="268"/>
      <c r="LDT823" s="268"/>
      <c r="LDU823" s="268"/>
      <c r="LDV823" s="268"/>
      <c r="LDW823" s="268"/>
      <c r="LDX823" s="268"/>
      <c r="LDY823" s="268"/>
      <c r="LDZ823" s="268"/>
      <c r="LEA823" s="268"/>
      <c r="LEB823" s="268"/>
      <c r="LEC823" s="268"/>
      <c r="LED823" s="268"/>
      <c r="LEE823" s="268"/>
      <c r="LEF823" s="268"/>
      <c r="LEG823" s="268"/>
      <c r="LEH823" s="268"/>
      <c r="LEI823" s="268"/>
      <c r="LEJ823" s="268"/>
      <c r="LEK823" s="268"/>
      <c r="LEL823" s="268"/>
      <c r="LEM823" s="268"/>
      <c r="LEN823" s="268"/>
      <c r="LEO823" s="268"/>
      <c r="LEP823" s="268"/>
      <c r="LEQ823" s="268"/>
      <c r="LER823" s="268"/>
      <c r="LES823" s="268"/>
      <c r="LET823" s="268"/>
      <c r="LEU823" s="268"/>
      <c r="LEV823" s="268"/>
      <c r="LEW823" s="268"/>
      <c r="LEX823" s="268"/>
      <c r="LEY823" s="268"/>
      <c r="LEZ823" s="268"/>
      <c r="LFA823" s="268"/>
      <c r="LFB823" s="268"/>
      <c r="LFC823" s="268"/>
      <c r="LFD823" s="268"/>
      <c r="LFE823" s="268"/>
      <c r="LFF823" s="268"/>
      <c r="LFG823" s="268"/>
      <c r="LFH823" s="268"/>
      <c r="LFI823" s="268"/>
      <c r="LFJ823" s="268"/>
      <c r="LFK823" s="268"/>
      <c r="LFL823" s="268"/>
      <c r="LFM823" s="268"/>
      <c r="LFN823" s="268"/>
      <c r="LFO823" s="268"/>
      <c r="LFP823" s="268"/>
      <c r="LFQ823" s="268"/>
      <c r="LFR823" s="268"/>
      <c r="LFS823" s="268"/>
      <c r="LFT823" s="268"/>
      <c r="LFU823" s="268"/>
      <c r="LFV823" s="268"/>
      <c r="LFW823" s="268"/>
      <c r="LFX823" s="268"/>
      <c r="LFY823" s="268"/>
      <c r="LFZ823" s="268"/>
      <c r="LGA823" s="268"/>
      <c r="LGB823" s="268"/>
      <c r="LGC823" s="268"/>
      <c r="LGD823" s="268"/>
      <c r="LGE823" s="268"/>
      <c r="LGF823" s="268"/>
      <c r="LGG823" s="268"/>
      <c r="LGH823" s="268"/>
      <c r="LGI823" s="268"/>
      <c r="LGJ823" s="268"/>
      <c r="LGK823" s="268"/>
      <c r="LGL823" s="268"/>
      <c r="LGM823" s="268"/>
      <c r="LGN823" s="268"/>
      <c r="LGO823" s="268"/>
      <c r="LGP823" s="268"/>
      <c r="LGQ823" s="268"/>
      <c r="LGR823" s="268"/>
      <c r="LGS823" s="268"/>
      <c r="LGT823" s="268"/>
      <c r="LGU823" s="268"/>
      <c r="LGV823" s="268"/>
      <c r="LGW823" s="268"/>
      <c r="LGX823" s="268"/>
      <c r="LGY823" s="268"/>
      <c r="LGZ823" s="268"/>
      <c r="LHA823" s="268"/>
      <c r="LHB823" s="268"/>
      <c r="LHC823" s="268"/>
      <c r="LHD823" s="268"/>
      <c r="LHE823" s="268"/>
      <c r="LHF823" s="268"/>
      <c r="LHG823" s="268"/>
      <c r="LHH823" s="268"/>
      <c r="LHI823" s="268"/>
      <c r="LHJ823" s="268"/>
      <c r="LHK823" s="268"/>
      <c r="LHL823" s="268"/>
      <c r="LHM823" s="268"/>
      <c r="LHN823" s="268"/>
      <c r="LHO823" s="268"/>
      <c r="LHP823" s="268"/>
      <c r="LHQ823" s="268"/>
      <c r="LHR823" s="268"/>
      <c r="LHS823" s="268"/>
      <c r="LHT823" s="268"/>
      <c r="LHU823" s="268"/>
      <c r="LHV823" s="268"/>
      <c r="LHW823" s="268"/>
      <c r="LHX823" s="268"/>
      <c r="LHY823" s="268"/>
      <c r="LHZ823" s="268"/>
      <c r="LIA823" s="268"/>
      <c r="LIB823" s="268"/>
      <c r="LIC823" s="268"/>
      <c r="LID823" s="268"/>
      <c r="LIE823" s="268"/>
      <c r="LIF823" s="268"/>
      <c r="LIG823" s="268"/>
      <c r="LIH823" s="268"/>
      <c r="LII823" s="268"/>
      <c r="LIJ823" s="268"/>
      <c r="LIK823" s="268"/>
      <c r="LIL823" s="268"/>
      <c r="LIM823" s="268"/>
      <c r="LIN823" s="268"/>
      <c r="LIO823" s="268"/>
      <c r="LIP823" s="268"/>
      <c r="LIQ823" s="268"/>
      <c r="LIR823" s="268"/>
      <c r="LIS823" s="268"/>
      <c r="LIT823" s="268"/>
      <c r="LIU823" s="268"/>
      <c r="LIV823" s="268"/>
      <c r="LIW823" s="268"/>
      <c r="LIX823" s="268"/>
      <c r="LIY823" s="268"/>
      <c r="LIZ823" s="268"/>
      <c r="LJA823" s="268"/>
      <c r="LJB823" s="268"/>
      <c r="LJC823" s="268"/>
      <c r="LJD823" s="268"/>
      <c r="LJE823" s="268"/>
      <c r="LJF823" s="268"/>
      <c r="LJG823" s="268"/>
      <c r="LJH823" s="268"/>
      <c r="LJI823" s="268"/>
      <c r="LJJ823" s="268"/>
      <c r="LJK823" s="268"/>
      <c r="LJL823" s="268"/>
      <c r="LJM823" s="268"/>
      <c r="LJN823" s="268"/>
      <c r="LJO823" s="268"/>
      <c r="LJP823" s="268"/>
      <c r="LJQ823" s="268"/>
      <c r="LJR823" s="268"/>
      <c r="LJS823" s="268"/>
      <c r="LJT823" s="268"/>
      <c r="LJU823" s="268"/>
      <c r="LJV823" s="268"/>
      <c r="LJW823" s="268"/>
      <c r="LJX823" s="268"/>
      <c r="LJY823" s="268"/>
      <c r="LJZ823" s="268"/>
      <c r="LKA823" s="268"/>
      <c r="LKB823" s="268"/>
      <c r="LKC823" s="268"/>
      <c r="LKD823" s="268"/>
      <c r="LKE823" s="268"/>
      <c r="LKF823" s="268"/>
      <c r="LKG823" s="268"/>
      <c r="LKH823" s="268"/>
      <c r="LKI823" s="268"/>
      <c r="LKJ823" s="268"/>
      <c r="LKK823" s="268"/>
      <c r="LKL823" s="268"/>
      <c r="LKM823" s="268"/>
      <c r="LKN823" s="268"/>
      <c r="LKO823" s="268"/>
      <c r="LKP823" s="268"/>
      <c r="LKQ823" s="268"/>
      <c r="LKR823" s="268"/>
      <c r="LKS823" s="268"/>
      <c r="LKT823" s="268"/>
      <c r="LKU823" s="268"/>
      <c r="LKV823" s="268"/>
      <c r="LKW823" s="268"/>
      <c r="LKX823" s="268"/>
      <c r="LKY823" s="268"/>
      <c r="LKZ823" s="268"/>
      <c r="LLA823" s="268"/>
      <c r="LLB823" s="268"/>
      <c r="LLC823" s="268"/>
      <c r="LLD823" s="268"/>
      <c r="LLE823" s="268"/>
      <c r="LLF823" s="268"/>
      <c r="LLG823" s="268"/>
      <c r="LLH823" s="268"/>
      <c r="LLI823" s="268"/>
      <c r="LLJ823" s="268"/>
      <c r="LLK823" s="268"/>
      <c r="LLL823" s="268"/>
      <c r="LLM823" s="268"/>
      <c r="LLN823" s="268"/>
      <c r="LLO823" s="268"/>
      <c r="LMC823" s="268"/>
      <c r="LMD823" s="268"/>
      <c r="LME823" s="268"/>
      <c r="LMS823" s="268"/>
      <c r="LMU823" s="268"/>
      <c r="LMV823" s="268"/>
      <c r="LMW823" s="268"/>
      <c r="LMX823" s="268"/>
      <c r="LMY823" s="268"/>
      <c r="LMZ823" s="268"/>
      <c r="LNA823" s="268"/>
      <c r="LNB823" s="268"/>
      <c r="LNC823" s="268"/>
      <c r="LND823" s="268"/>
      <c r="LNE823" s="268"/>
      <c r="LNF823" s="268"/>
      <c r="LNG823" s="268"/>
      <c r="LNH823" s="268"/>
      <c r="LNI823" s="268"/>
      <c r="LNJ823" s="268"/>
      <c r="LNK823" s="268"/>
      <c r="LNL823" s="268"/>
      <c r="LNM823" s="268"/>
      <c r="LNN823" s="268"/>
      <c r="LNO823" s="268"/>
      <c r="LNP823" s="268"/>
      <c r="LNQ823" s="268"/>
      <c r="LNR823" s="268"/>
      <c r="LNS823" s="268"/>
      <c r="LNT823" s="268"/>
      <c r="LNU823" s="268"/>
      <c r="LNV823" s="268"/>
      <c r="LNW823" s="268"/>
      <c r="LNX823" s="268"/>
      <c r="LNY823" s="268"/>
      <c r="LNZ823" s="268"/>
      <c r="LOA823" s="268"/>
      <c r="LOB823" s="268"/>
      <c r="LOC823" s="268"/>
      <c r="LOD823" s="268"/>
      <c r="LOE823" s="268"/>
      <c r="LOF823" s="268"/>
      <c r="LOG823" s="268"/>
      <c r="LOH823" s="268"/>
      <c r="LOI823" s="268"/>
      <c r="LOJ823" s="268"/>
      <c r="LOK823" s="268"/>
      <c r="LOL823" s="268"/>
      <c r="LOM823" s="268"/>
      <c r="LON823" s="268"/>
      <c r="LOO823" s="268"/>
      <c r="LOP823" s="268"/>
      <c r="LOQ823" s="268"/>
      <c r="LOR823" s="268"/>
      <c r="LOS823" s="268"/>
      <c r="LOT823" s="268"/>
      <c r="LOU823" s="268"/>
      <c r="LOV823" s="268"/>
      <c r="LOW823" s="268"/>
      <c r="LOX823" s="268"/>
      <c r="LOY823" s="268"/>
      <c r="LOZ823" s="268"/>
      <c r="LPA823" s="268"/>
      <c r="LPB823" s="268"/>
      <c r="LPC823" s="268"/>
      <c r="LPD823" s="268"/>
      <c r="LPE823" s="268"/>
      <c r="LPF823" s="268"/>
      <c r="LPG823" s="268"/>
      <c r="LPH823" s="268"/>
      <c r="LPI823" s="268"/>
      <c r="LPJ823" s="268"/>
      <c r="LPK823" s="268"/>
      <c r="LPL823" s="268"/>
      <c r="LPM823" s="268"/>
      <c r="LPN823" s="268"/>
      <c r="LPO823" s="268"/>
      <c r="LPP823" s="268"/>
      <c r="LPQ823" s="268"/>
      <c r="LPR823" s="268"/>
      <c r="LPS823" s="268"/>
      <c r="LPT823" s="268"/>
      <c r="LPU823" s="268"/>
      <c r="LPV823" s="268"/>
      <c r="LPW823" s="268"/>
      <c r="LPX823" s="268"/>
      <c r="LPY823" s="268"/>
      <c r="LPZ823" s="268"/>
      <c r="LQA823" s="268"/>
      <c r="LQB823" s="268"/>
      <c r="LQC823" s="268"/>
      <c r="LQD823" s="268"/>
      <c r="LQE823" s="268"/>
      <c r="LQF823" s="268"/>
      <c r="LQG823" s="268"/>
      <c r="LQH823" s="268"/>
      <c r="LQI823" s="268"/>
      <c r="LQJ823" s="268"/>
      <c r="LQK823" s="268"/>
      <c r="LQL823" s="268"/>
      <c r="LQM823" s="268"/>
      <c r="LQN823" s="268"/>
      <c r="LQO823" s="268"/>
      <c r="LQP823" s="268"/>
      <c r="LQQ823" s="268"/>
      <c r="LQR823" s="268"/>
      <c r="LQS823" s="268"/>
      <c r="LQT823" s="268"/>
      <c r="LQU823" s="268"/>
      <c r="LQV823" s="268"/>
      <c r="LQW823" s="268"/>
      <c r="LQX823" s="268"/>
      <c r="LQY823" s="268"/>
      <c r="LQZ823" s="268"/>
      <c r="LRA823" s="268"/>
      <c r="LRB823" s="268"/>
      <c r="LRC823" s="268"/>
      <c r="LRD823" s="268"/>
      <c r="LRE823" s="268"/>
      <c r="LRF823" s="268"/>
      <c r="LRG823" s="268"/>
      <c r="LRH823" s="268"/>
      <c r="LRI823" s="268"/>
      <c r="LRJ823" s="268"/>
      <c r="LRK823" s="268"/>
      <c r="LRL823" s="268"/>
      <c r="LRM823" s="268"/>
      <c r="LRN823" s="268"/>
      <c r="LRO823" s="268"/>
      <c r="LRP823" s="268"/>
      <c r="LRQ823" s="268"/>
      <c r="LRR823" s="268"/>
      <c r="LRS823" s="268"/>
      <c r="LRT823" s="268"/>
      <c r="LRU823" s="268"/>
      <c r="LRV823" s="268"/>
      <c r="LRW823" s="268"/>
      <c r="LRX823" s="268"/>
      <c r="LRY823" s="268"/>
      <c r="LRZ823" s="268"/>
      <c r="LSA823" s="268"/>
      <c r="LSB823" s="268"/>
      <c r="LSC823" s="268"/>
      <c r="LSD823" s="268"/>
      <c r="LSE823" s="268"/>
      <c r="LSF823" s="268"/>
      <c r="LSG823" s="268"/>
      <c r="LSH823" s="268"/>
      <c r="LSI823" s="268"/>
      <c r="LSJ823" s="268"/>
      <c r="LSK823" s="268"/>
      <c r="LSL823" s="268"/>
      <c r="LSM823" s="268"/>
      <c r="LSN823" s="268"/>
      <c r="LSO823" s="268"/>
      <c r="LSP823" s="268"/>
      <c r="LSQ823" s="268"/>
      <c r="LSR823" s="268"/>
      <c r="LSS823" s="268"/>
      <c r="LST823" s="268"/>
      <c r="LSU823" s="268"/>
      <c r="LSV823" s="268"/>
      <c r="LSW823" s="268"/>
      <c r="LSX823" s="268"/>
      <c r="LSY823" s="268"/>
      <c r="LSZ823" s="268"/>
      <c r="LTA823" s="268"/>
      <c r="LTB823" s="268"/>
      <c r="LTC823" s="268"/>
      <c r="LTD823" s="268"/>
      <c r="LTE823" s="268"/>
      <c r="LTF823" s="268"/>
      <c r="LTG823" s="268"/>
      <c r="LTH823" s="268"/>
      <c r="LTI823" s="268"/>
      <c r="LTJ823" s="268"/>
      <c r="LTK823" s="268"/>
      <c r="LTL823" s="268"/>
      <c r="LTM823" s="268"/>
      <c r="LTN823" s="268"/>
      <c r="LTO823" s="268"/>
      <c r="LTP823" s="268"/>
      <c r="LTQ823" s="268"/>
      <c r="LTR823" s="268"/>
      <c r="LTS823" s="268"/>
      <c r="LTT823" s="268"/>
      <c r="LTU823" s="268"/>
      <c r="LTV823" s="268"/>
      <c r="LTW823" s="268"/>
      <c r="LTX823" s="268"/>
      <c r="LTY823" s="268"/>
      <c r="LTZ823" s="268"/>
      <c r="LUA823" s="268"/>
      <c r="LUB823" s="268"/>
      <c r="LUC823" s="268"/>
      <c r="LUD823" s="268"/>
      <c r="LUE823" s="268"/>
      <c r="LUF823" s="268"/>
      <c r="LUG823" s="268"/>
      <c r="LUH823" s="268"/>
      <c r="LUI823" s="268"/>
      <c r="LUJ823" s="268"/>
      <c r="LUK823" s="268"/>
      <c r="LUL823" s="268"/>
      <c r="LUM823" s="268"/>
      <c r="LUN823" s="268"/>
      <c r="LUO823" s="268"/>
      <c r="LUP823" s="268"/>
      <c r="LUQ823" s="268"/>
      <c r="LUR823" s="268"/>
      <c r="LUS823" s="268"/>
      <c r="LUT823" s="268"/>
      <c r="LUU823" s="268"/>
      <c r="LUV823" s="268"/>
      <c r="LUW823" s="268"/>
      <c r="LUX823" s="268"/>
      <c r="LUY823" s="268"/>
      <c r="LUZ823" s="268"/>
      <c r="LVA823" s="268"/>
      <c r="LVB823" s="268"/>
      <c r="LVC823" s="268"/>
      <c r="LVD823" s="268"/>
      <c r="LVE823" s="268"/>
      <c r="LVF823" s="268"/>
      <c r="LVG823" s="268"/>
      <c r="LVH823" s="268"/>
      <c r="LVI823" s="268"/>
      <c r="LVJ823" s="268"/>
      <c r="LVK823" s="268"/>
      <c r="LVY823" s="268"/>
      <c r="LVZ823" s="268"/>
      <c r="LWA823" s="268"/>
      <c r="LWO823" s="268"/>
      <c r="LWQ823" s="268"/>
      <c r="LWR823" s="268"/>
      <c r="LWS823" s="268"/>
      <c r="LWT823" s="268"/>
      <c r="LWU823" s="268"/>
      <c r="LWV823" s="268"/>
      <c r="LWW823" s="268"/>
      <c r="LWX823" s="268"/>
      <c r="LWY823" s="268"/>
      <c r="LWZ823" s="268"/>
      <c r="LXA823" s="268"/>
      <c r="LXB823" s="268"/>
      <c r="LXC823" s="268"/>
      <c r="LXD823" s="268"/>
      <c r="LXE823" s="268"/>
      <c r="LXF823" s="268"/>
      <c r="LXG823" s="268"/>
      <c r="LXH823" s="268"/>
      <c r="LXI823" s="268"/>
      <c r="LXJ823" s="268"/>
      <c r="LXK823" s="268"/>
      <c r="LXL823" s="268"/>
      <c r="LXM823" s="268"/>
      <c r="LXN823" s="268"/>
      <c r="LXO823" s="268"/>
      <c r="LXP823" s="268"/>
      <c r="LXQ823" s="268"/>
      <c r="LXR823" s="268"/>
      <c r="LXS823" s="268"/>
      <c r="LXT823" s="268"/>
      <c r="LXU823" s="268"/>
      <c r="LXV823" s="268"/>
      <c r="LXW823" s="268"/>
      <c r="LXX823" s="268"/>
      <c r="LXY823" s="268"/>
      <c r="LXZ823" s="268"/>
      <c r="LYA823" s="268"/>
      <c r="LYB823" s="268"/>
      <c r="LYC823" s="268"/>
      <c r="LYD823" s="268"/>
      <c r="LYE823" s="268"/>
      <c r="LYF823" s="268"/>
      <c r="LYG823" s="268"/>
      <c r="LYH823" s="268"/>
      <c r="LYI823" s="268"/>
      <c r="LYJ823" s="268"/>
      <c r="LYK823" s="268"/>
      <c r="LYL823" s="268"/>
      <c r="LYM823" s="268"/>
      <c r="LYN823" s="268"/>
      <c r="LYO823" s="268"/>
      <c r="LYP823" s="268"/>
      <c r="LYQ823" s="268"/>
      <c r="LYR823" s="268"/>
      <c r="LYS823" s="268"/>
      <c r="LYT823" s="268"/>
      <c r="LYU823" s="268"/>
      <c r="LYV823" s="268"/>
      <c r="LYW823" s="268"/>
      <c r="LYX823" s="268"/>
      <c r="LYY823" s="268"/>
      <c r="LYZ823" s="268"/>
      <c r="LZA823" s="268"/>
      <c r="LZB823" s="268"/>
      <c r="LZC823" s="268"/>
      <c r="LZD823" s="268"/>
      <c r="LZE823" s="268"/>
      <c r="LZF823" s="268"/>
      <c r="LZG823" s="268"/>
      <c r="LZH823" s="268"/>
      <c r="LZI823" s="268"/>
      <c r="LZJ823" s="268"/>
      <c r="LZK823" s="268"/>
      <c r="LZL823" s="268"/>
      <c r="LZM823" s="268"/>
      <c r="LZN823" s="268"/>
      <c r="LZO823" s="268"/>
      <c r="LZP823" s="268"/>
      <c r="LZQ823" s="268"/>
      <c r="LZR823" s="268"/>
      <c r="LZS823" s="268"/>
      <c r="LZT823" s="268"/>
      <c r="LZU823" s="268"/>
      <c r="LZV823" s="268"/>
      <c r="LZW823" s="268"/>
      <c r="LZX823" s="268"/>
      <c r="LZY823" s="268"/>
      <c r="LZZ823" s="268"/>
      <c r="MAA823" s="268"/>
      <c r="MAB823" s="268"/>
      <c r="MAC823" s="268"/>
      <c r="MAD823" s="268"/>
      <c r="MAE823" s="268"/>
      <c r="MAF823" s="268"/>
      <c r="MAG823" s="268"/>
      <c r="MAH823" s="268"/>
      <c r="MAI823" s="268"/>
      <c r="MAJ823" s="268"/>
      <c r="MAK823" s="268"/>
      <c r="MAL823" s="268"/>
      <c r="MAM823" s="268"/>
      <c r="MAN823" s="268"/>
      <c r="MAO823" s="268"/>
      <c r="MAP823" s="268"/>
      <c r="MAQ823" s="268"/>
      <c r="MAR823" s="268"/>
      <c r="MAS823" s="268"/>
      <c r="MAT823" s="268"/>
      <c r="MAU823" s="268"/>
      <c r="MAV823" s="268"/>
      <c r="MAW823" s="268"/>
      <c r="MAX823" s="268"/>
      <c r="MAY823" s="268"/>
      <c r="MAZ823" s="268"/>
      <c r="MBA823" s="268"/>
      <c r="MBB823" s="268"/>
      <c r="MBC823" s="268"/>
      <c r="MBD823" s="268"/>
      <c r="MBE823" s="268"/>
      <c r="MBF823" s="268"/>
      <c r="MBG823" s="268"/>
      <c r="MBH823" s="268"/>
      <c r="MBI823" s="268"/>
      <c r="MBJ823" s="268"/>
      <c r="MBK823" s="268"/>
      <c r="MBL823" s="268"/>
      <c r="MBM823" s="268"/>
      <c r="MBN823" s="268"/>
      <c r="MBO823" s="268"/>
      <c r="MBP823" s="268"/>
      <c r="MBQ823" s="268"/>
      <c r="MBR823" s="268"/>
      <c r="MBS823" s="268"/>
      <c r="MBT823" s="268"/>
      <c r="MBU823" s="268"/>
      <c r="MBV823" s="268"/>
      <c r="MBW823" s="268"/>
      <c r="MBX823" s="268"/>
      <c r="MBY823" s="268"/>
      <c r="MBZ823" s="268"/>
      <c r="MCA823" s="268"/>
      <c r="MCB823" s="268"/>
      <c r="MCC823" s="268"/>
      <c r="MCD823" s="268"/>
      <c r="MCE823" s="268"/>
      <c r="MCF823" s="268"/>
      <c r="MCG823" s="268"/>
      <c r="MCH823" s="268"/>
      <c r="MCI823" s="268"/>
      <c r="MCJ823" s="268"/>
      <c r="MCK823" s="268"/>
      <c r="MCL823" s="268"/>
      <c r="MCM823" s="268"/>
      <c r="MCN823" s="268"/>
      <c r="MCO823" s="268"/>
      <c r="MCP823" s="268"/>
      <c r="MCQ823" s="268"/>
      <c r="MCR823" s="268"/>
      <c r="MCS823" s="268"/>
      <c r="MCT823" s="268"/>
      <c r="MCU823" s="268"/>
      <c r="MCV823" s="268"/>
      <c r="MCW823" s="268"/>
      <c r="MCX823" s="268"/>
      <c r="MCY823" s="268"/>
      <c r="MCZ823" s="268"/>
      <c r="MDA823" s="268"/>
      <c r="MDB823" s="268"/>
      <c r="MDC823" s="268"/>
      <c r="MDD823" s="268"/>
      <c r="MDE823" s="268"/>
      <c r="MDF823" s="268"/>
      <c r="MDG823" s="268"/>
      <c r="MDH823" s="268"/>
      <c r="MDI823" s="268"/>
      <c r="MDJ823" s="268"/>
      <c r="MDK823" s="268"/>
      <c r="MDL823" s="268"/>
      <c r="MDM823" s="268"/>
      <c r="MDN823" s="268"/>
      <c r="MDO823" s="268"/>
      <c r="MDP823" s="268"/>
      <c r="MDQ823" s="268"/>
      <c r="MDR823" s="268"/>
      <c r="MDS823" s="268"/>
      <c r="MDT823" s="268"/>
      <c r="MDU823" s="268"/>
      <c r="MDV823" s="268"/>
      <c r="MDW823" s="268"/>
      <c r="MDX823" s="268"/>
      <c r="MDY823" s="268"/>
      <c r="MDZ823" s="268"/>
      <c r="MEA823" s="268"/>
      <c r="MEB823" s="268"/>
      <c r="MEC823" s="268"/>
      <c r="MED823" s="268"/>
      <c r="MEE823" s="268"/>
      <c r="MEF823" s="268"/>
      <c r="MEG823" s="268"/>
      <c r="MEH823" s="268"/>
      <c r="MEI823" s="268"/>
      <c r="MEJ823" s="268"/>
      <c r="MEK823" s="268"/>
      <c r="MEL823" s="268"/>
      <c r="MEM823" s="268"/>
      <c r="MEN823" s="268"/>
      <c r="MEO823" s="268"/>
      <c r="MEP823" s="268"/>
      <c r="MEQ823" s="268"/>
      <c r="MER823" s="268"/>
      <c r="MES823" s="268"/>
      <c r="MET823" s="268"/>
      <c r="MEU823" s="268"/>
      <c r="MEV823" s="268"/>
      <c r="MEW823" s="268"/>
      <c r="MEX823" s="268"/>
      <c r="MEY823" s="268"/>
      <c r="MEZ823" s="268"/>
      <c r="MFA823" s="268"/>
      <c r="MFB823" s="268"/>
      <c r="MFC823" s="268"/>
      <c r="MFD823" s="268"/>
      <c r="MFE823" s="268"/>
      <c r="MFF823" s="268"/>
      <c r="MFG823" s="268"/>
      <c r="MFU823" s="268"/>
      <c r="MFV823" s="268"/>
      <c r="MFW823" s="268"/>
      <c r="MGK823" s="268"/>
      <c r="MGM823" s="268"/>
      <c r="MGN823" s="268"/>
      <c r="MGO823" s="268"/>
      <c r="MGP823" s="268"/>
      <c r="MGQ823" s="268"/>
      <c r="MGR823" s="268"/>
      <c r="MGS823" s="268"/>
      <c r="MGT823" s="268"/>
      <c r="MGU823" s="268"/>
      <c r="MGV823" s="268"/>
      <c r="MGW823" s="268"/>
      <c r="MGX823" s="268"/>
      <c r="MGY823" s="268"/>
      <c r="MGZ823" s="268"/>
      <c r="MHA823" s="268"/>
      <c r="MHB823" s="268"/>
      <c r="MHC823" s="268"/>
      <c r="MHD823" s="268"/>
      <c r="MHE823" s="268"/>
      <c r="MHF823" s="268"/>
      <c r="MHG823" s="268"/>
      <c r="MHH823" s="268"/>
      <c r="MHI823" s="268"/>
      <c r="MHJ823" s="268"/>
      <c r="MHK823" s="268"/>
      <c r="MHL823" s="268"/>
      <c r="MHM823" s="268"/>
      <c r="MHN823" s="268"/>
      <c r="MHO823" s="268"/>
      <c r="MHP823" s="268"/>
      <c r="MHQ823" s="268"/>
      <c r="MHR823" s="268"/>
      <c r="MHS823" s="268"/>
      <c r="MHT823" s="268"/>
      <c r="MHU823" s="268"/>
      <c r="MHV823" s="268"/>
      <c r="MHW823" s="268"/>
      <c r="MHX823" s="268"/>
      <c r="MHY823" s="268"/>
      <c r="MHZ823" s="268"/>
      <c r="MIA823" s="268"/>
      <c r="MIB823" s="268"/>
      <c r="MIC823" s="268"/>
      <c r="MID823" s="268"/>
      <c r="MIE823" s="268"/>
      <c r="MIF823" s="268"/>
      <c r="MIG823" s="268"/>
      <c r="MIH823" s="268"/>
      <c r="MII823" s="268"/>
      <c r="MIJ823" s="268"/>
      <c r="MIK823" s="268"/>
      <c r="MIL823" s="268"/>
      <c r="MIM823" s="268"/>
      <c r="MIN823" s="268"/>
      <c r="MIO823" s="268"/>
      <c r="MIP823" s="268"/>
      <c r="MIQ823" s="268"/>
      <c r="MIR823" s="268"/>
      <c r="MIS823" s="268"/>
      <c r="MIT823" s="268"/>
      <c r="MIU823" s="268"/>
      <c r="MIV823" s="268"/>
      <c r="MIW823" s="268"/>
      <c r="MIX823" s="268"/>
      <c r="MIY823" s="268"/>
      <c r="MIZ823" s="268"/>
      <c r="MJA823" s="268"/>
      <c r="MJB823" s="268"/>
      <c r="MJC823" s="268"/>
      <c r="MJD823" s="268"/>
      <c r="MJE823" s="268"/>
      <c r="MJF823" s="268"/>
      <c r="MJG823" s="268"/>
      <c r="MJH823" s="268"/>
      <c r="MJI823" s="268"/>
      <c r="MJJ823" s="268"/>
      <c r="MJK823" s="268"/>
      <c r="MJL823" s="268"/>
      <c r="MJM823" s="268"/>
      <c r="MJN823" s="268"/>
      <c r="MJO823" s="268"/>
      <c r="MJP823" s="268"/>
      <c r="MJQ823" s="268"/>
      <c r="MJR823" s="268"/>
      <c r="MJS823" s="268"/>
      <c r="MJT823" s="268"/>
      <c r="MJU823" s="268"/>
      <c r="MJV823" s="268"/>
      <c r="MJW823" s="268"/>
      <c r="MJX823" s="268"/>
      <c r="MJY823" s="268"/>
      <c r="MJZ823" s="268"/>
      <c r="MKA823" s="268"/>
      <c r="MKB823" s="268"/>
      <c r="MKC823" s="268"/>
      <c r="MKD823" s="268"/>
      <c r="MKE823" s="268"/>
      <c r="MKF823" s="268"/>
      <c r="MKG823" s="268"/>
      <c r="MKH823" s="268"/>
      <c r="MKI823" s="268"/>
      <c r="MKJ823" s="268"/>
      <c r="MKK823" s="268"/>
      <c r="MKL823" s="268"/>
      <c r="MKM823" s="268"/>
      <c r="MKN823" s="268"/>
      <c r="MKO823" s="268"/>
      <c r="MKP823" s="268"/>
      <c r="MKQ823" s="268"/>
      <c r="MKR823" s="268"/>
      <c r="MKS823" s="268"/>
      <c r="MKT823" s="268"/>
      <c r="MKU823" s="268"/>
      <c r="MKV823" s="268"/>
      <c r="MKW823" s="268"/>
      <c r="MKX823" s="268"/>
      <c r="MKY823" s="268"/>
      <c r="MKZ823" s="268"/>
      <c r="MLA823" s="268"/>
      <c r="MLB823" s="268"/>
      <c r="MLC823" s="268"/>
      <c r="MLD823" s="268"/>
      <c r="MLE823" s="268"/>
      <c r="MLF823" s="268"/>
      <c r="MLG823" s="268"/>
      <c r="MLH823" s="268"/>
      <c r="MLI823" s="268"/>
      <c r="MLJ823" s="268"/>
      <c r="MLK823" s="268"/>
      <c r="MLL823" s="268"/>
      <c r="MLM823" s="268"/>
      <c r="MLN823" s="268"/>
      <c r="MLO823" s="268"/>
      <c r="MLP823" s="268"/>
      <c r="MLQ823" s="268"/>
      <c r="MLR823" s="268"/>
      <c r="MLS823" s="268"/>
      <c r="MLT823" s="268"/>
      <c r="MLU823" s="268"/>
      <c r="MLV823" s="268"/>
      <c r="MLW823" s="268"/>
      <c r="MLX823" s="268"/>
      <c r="MLY823" s="268"/>
      <c r="MLZ823" s="268"/>
      <c r="MMA823" s="268"/>
      <c r="MMB823" s="268"/>
      <c r="MMC823" s="268"/>
      <c r="MMD823" s="268"/>
      <c r="MME823" s="268"/>
      <c r="MMF823" s="268"/>
      <c r="MMG823" s="268"/>
      <c r="MMH823" s="268"/>
      <c r="MMI823" s="268"/>
      <c r="MMJ823" s="268"/>
      <c r="MMK823" s="268"/>
      <c r="MML823" s="268"/>
      <c r="MMM823" s="268"/>
      <c r="MMN823" s="268"/>
      <c r="MMO823" s="268"/>
      <c r="MMP823" s="268"/>
      <c r="MMQ823" s="268"/>
      <c r="MMR823" s="268"/>
      <c r="MMS823" s="268"/>
      <c r="MMT823" s="268"/>
      <c r="MMU823" s="268"/>
      <c r="MMV823" s="268"/>
      <c r="MMW823" s="268"/>
      <c r="MMX823" s="268"/>
      <c r="MMY823" s="268"/>
      <c r="MMZ823" s="268"/>
      <c r="MNA823" s="268"/>
      <c r="MNB823" s="268"/>
      <c r="MNC823" s="268"/>
      <c r="MND823" s="268"/>
      <c r="MNE823" s="268"/>
      <c r="MNF823" s="268"/>
      <c r="MNG823" s="268"/>
      <c r="MNH823" s="268"/>
      <c r="MNI823" s="268"/>
      <c r="MNJ823" s="268"/>
      <c r="MNK823" s="268"/>
      <c r="MNL823" s="268"/>
      <c r="MNM823" s="268"/>
      <c r="MNN823" s="268"/>
      <c r="MNO823" s="268"/>
      <c r="MNP823" s="268"/>
      <c r="MNQ823" s="268"/>
      <c r="MNR823" s="268"/>
      <c r="MNS823" s="268"/>
      <c r="MNT823" s="268"/>
      <c r="MNU823" s="268"/>
      <c r="MNV823" s="268"/>
      <c r="MNW823" s="268"/>
      <c r="MNX823" s="268"/>
      <c r="MNY823" s="268"/>
      <c r="MNZ823" s="268"/>
      <c r="MOA823" s="268"/>
      <c r="MOB823" s="268"/>
      <c r="MOC823" s="268"/>
      <c r="MOD823" s="268"/>
      <c r="MOE823" s="268"/>
      <c r="MOF823" s="268"/>
      <c r="MOG823" s="268"/>
      <c r="MOH823" s="268"/>
      <c r="MOI823" s="268"/>
      <c r="MOJ823" s="268"/>
      <c r="MOK823" s="268"/>
      <c r="MOL823" s="268"/>
      <c r="MOM823" s="268"/>
      <c r="MON823" s="268"/>
      <c r="MOO823" s="268"/>
      <c r="MOP823" s="268"/>
      <c r="MOQ823" s="268"/>
      <c r="MOR823" s="268"/>
      <c r="MOS823" s="268"/>
      <c r="MOT823" s="268"/>
      <c r="MOU823" s="268"/>
      <c r="MOV823" s="268"/>
      <c r="MOW823" s="268"/>
      <c r="MOX823" s="268"/>
      <c r="MOY823" s="268"/>
      <c r="MOZ823" s="268"/>
      <c r="MPA823" s="268"/>
      <c r="MPB823" s="268"/>
      <c r="MPC823" s="268"/>
      <c r="MPQ823" s="268"/>
      <c r="MPR823" s="268"/>
      <c r="MPS823" s="268"/>
      <c r="MQG823" s="268"/>
      <c r="MQI823" s="268"/>
      <c r="MQJ823" s="268"/>
      <c r="MQK823" s="268"/>
      <c r="MQL823" s="268"/>
      <c r="MQM823" s="268"/>
      <c r="MQN823" s="268"/>
      <c r="MQO823" s="268"/>
      <c r="MQP823" s="268"/>
      <c r="MQQ823" s="268"/>
      <c r="MQR823" s="268"/>
      <c r="MQS823" s="268"/>
      <c r="MQT823" s="268"/>
      <c r="MQU823" s="268"/>
      <c r="MQV823" s="268"/>
      <c r="MQW823" s="268"/>
      <c r="MQX823" s="268"/>
      <c r="MQY823" s="268"/>
      <c r="MQZ823" s="268"/>
      <c r="MRA823" s="268"/>
      <c r="MRB823" s="268"/>
      <c r="MRC823" s="268"/>
      <c r="MRD823" s="268"/>
      <c r="MRE823" s="268"/>
      <c r="MRF823" s="268"/>
      <c r="MRG823" s="268"/>
      <c r="MRH823" s="268"/>
      <c r="MRI823" s="268"/>
      <c r="MRJ823" s="268"/>
      <c r="MRK823" s="268"/>
      <c r="MRL823" s="268"/>
      <c r="MRM823" s="268"/>
      <c r="MRN823" s="268"/>
      <c r="MRO823" s="268"/>
      <c r="MRP823" s="268"/>
      <c r="MRQ823" s="268"/>
      <c r="MRR823" s="268"/>
      <c r="MRS823" s="268"/>
      <c r="MRT823" s="268"/>
      <c r="MRU823" s="268"/>
      <c r="MRV823" s="268"/>
      <c r="MRW823" s="268"/>
      <c r="MRX823" s="268"/>
      <c r="MRY823" s="268"/>
      <c r="MRZ823" s="268"/>
      <c r="MSA823" s="268"/>
      <c r="MSB823" s="268"/>
      <c r="MSC823" s="268"/>
      <c r="MSD823" s="268"/>
      <c r="MSE823" s="268"/>
      <c r="MSF823" s="268"/>
      <c r="MSG823" s="268"/>
      <c r="MSH823" s="268"/>
      <c r="MSI823" s="268"/>
      <c r="MSJ823" s="268"/>
      <c r="MSK823" s="268"/>
      <c r="MSL823" s="268"/>
      <c r="MSM823" s="268"/>
      <c r="MSN823" s="268"/>
      <c r="MSO823" s="268"/>
      <c r="MSP823" s="268"/>
      <c r="MSQ823" s="268"/>
      <c r="MSR823" s="268"/>
      <c r="MSS823" s="268"/>
      <c r="MST823" s="268"/>
      <c r="MSU823" s="268"/>
      <c r="MSV823" s="268"/>
      <c r="MSW823" s="268"/>
      <c r="MSX823" s="268"/>
      <c r="MSY823" s="268"/>
      <c r="MSZ823" s="268"/>
      <c r="MTA823" s="268"/>
      <c r="MTB823" s="268"/>
      <c r="MTC823" s="268"/>
      <c r="MTD823" s="268"/>
      <c r="MTE823" s="268"/>
      <c r="MTF823" s="268"/>
      <c r="MTG823" s="268"/>
      <c r="MTH823" s="268"/>
      <c r="MTI823" s="268"/>
      <c r="MTJ823" s="268"/>
      <c r="MTK823" s="268"/>
      <c r="MTL823" s="268"/>
      <c r="MTM823" s="268"/>
      <c r="MTN823" s="268"/>
      <c r="MTO823" s="268"/>
      <c r="MTP823" s="268"/>
      <c r="MTQ823" s="268"/>
      <c r="MTR823" s="268"/>
      <c r="MTS823" s="268"/>
      <c r="MTT823" s="268"/>
      <c r="MTU823" s="268"/>
      <c r="MTV823" s="268"/>
      <c r="MTW823" s="268"/>
      <c r="MTX823" s="268"/>
      <c r="MTY823" s="268"/>
      <c r="MTZ823" s="268"/>
      <c r="MUA823" s="268"/>
      <c r="MUB823" s="268"/>
      <c r="MUC823" s="268"/>
      <c r="MUD823" s="268"/>
      <c r="MUE823" s="268"/>
      <c r="MUF823" s="268"/>
      <c r="MUG823" s="268"/>
      <c r="MUH823" s="268"/>
      <c r="MUI823" s="268"/>
      <c r="MUJ823" s="268"/>
      <c r="MUK823" s="268"/>
      <c r="MUL823" s="268"/>
      <c r="MUM823" s="268"/>
      <c r="MUN823" s="268"/>
      <c r="MUO823" s="268"/>
      <c r="MUP823" s="268"/>
      <c r="MUQ823" s="268"/>
      <c r="MUR823" s="268"/>
      <c r="MUS823" s="268"/>
      <c r="MUT823" s="268"/>
      <c r="MUU823" s="268"/>
      <c r="MUV823" s="268"/>
      <c r="MUW823" s="268"/>
      <c r="MUX823" s="268"/>
      <c r="MUY823" s="268"/>
      <c r="MUZ823" s="268"/>
      <c r="MVA823" s="268"/>
      <c r="MVB823" s="268"/>
      <c r="MVC823" s="268"/>
      <c r="MVD823" s="268"/>
      <c r="MVE823" s="268"/>
      <c r="MVF823" s="268"/>
      <c r="MVG823" s="268"/>
      <c r="MVH823" s="268"/>
      <c r="MVI823" s="268"/>
      <c r="MVJ823" s="268"/>
      <c r="MVK823" s="268"/>
      <c r="MVL823" s="268"/>
      <c r="MVM823" s="268"/>
      <c r="MVN823" s="268"/>
      <c r="MVO823" s="268"/>
      <c r="MVP823" s="268"/>
      <c r="MVQ823" s="268"/>
      <c r="MVR823" s="268"/>
      <c r="MVS823" s="268"/>
      <c r="MVT823" s="268"/>
      <c r="MVU823" s="268"/>
      <c r="MVV823" s="268"/>
      <c r="MVW823" s="268"/>
      <c r="MVX823" s="268"/>
      <c r="MVY823" s="268"/>
      <c r="MVZ823" s="268"/>
      <c r="MWA823" s="268"/>
      <c r="MWB823" s="268"/>
      <c r="MWC823" s="268"/>
      <c r="MWD823" s="268"/>
      <c r="MWE823" s="268"/>
      <c r="MWF823" s="268"/>
      <c r="MWG823" s="268"/>
      <c r="MWH823" s="268"/>
      <c r="MWI823" s="268"/>
      <c r="MWJ823" s="268"/>
      <c r="MWK823" s="268"/>
      <c r="MWL823" s="268"/>
      <c r="MWM823" s="268"/>
      <c r="MWN823" s="268"/>
      <c r="MWO823" s="268"/>
      <c r="MWP823" s="268"/>
      <c r="MWQ823" s="268"/>
      <c r="MWR823" s="268"/>
      <c r="MWS823" s="268"/>
      <c r="MWT823" s="268"/>
      <c r="MWU823" s="268"/>
      <c r="MWV823" s="268"/>
      <c r="MWW823" s="268"/>
      <c r="MWX823" s="268"/>
      <c r="MWY823" s="268"/>
      <c r="MWZ823" s="268"/>
      <c r="MXA823" s="268"/>
      <c r="MXB823" s="268"/>
      <c r="MXC823" s="268"/>
      <c r="MXD823" s="268"/>
      <c r="MXE823" s="268"/>
      <c r="MXF823" s="268"/>
      <c r="MXG823" s="268"/>
      <c r="MXH823" s="268"/>
      <c r="MXI823" s="268"/>
      <c r="MXJ823" s="268"/>
      <c r="MXK823" s="268"/>
      <c r="MXL823" s="268"/>
      <c r="MXM823" s="268"/>
      <c r="MXN823" s="268"/>
      <c r="MXO823" s="268"/>
      <c r="MXP823" s="268"/>
      <c r="MXQ823" s="268"/>
      <c r="MXR823" s="268"/>
      <c r="MXS823" s="268"/>
      <c r="MXT823" s="268"/>
      <c r="MXU823" s="268"/>
      <c r="MXV823" s="268"/>
      <c r="MXW823" s="268"/>
      <c r="MXX823" s="268"/>
      <c r="MXY823" s="268"/>
      <c r="MXZ823" s="268"/>
      <c r="MYA823" s="268"/>
      <c r="MYB823" s="268"/>
      <c r="MYC823" s="268"/>
      <c r="MYD823" s="268"/>
      <c r="MYE823" s="268"/>
      <c r="MYF823" s="268"/>
      <c r="MYG823" s="268"/>
      <c r="MYH823" s="268"/>
      <c r="MYI823" s="268"/>
      <c r="MYJ823" s="268"/>
      <c r="MYK823" s="268"/>
      <c r="MYL823" s="268"/>
      <c r="MYM823" s="268"/>
      <c r="MYN823" s="268"/>
      <c r="MYO823" s="268"/>
      <c r="MYP823" s="268"/>
      <c r="MYQ823" s="268"/>
      <c r="MYR823" s="268"/>
      <c r="MYS823" s="268"/>
      <c r="MYT823" s="268"/>
      <c r="MYU823" s="268"/>
      <c r="MYV823" s="268"/>
      <c r="MYW823" s="268"/>
      <c r="MYX823" s="268"/>
      <c r="MYY823" s="268"/>
      <c r="MZM823" s="268"/>
      <c r="MZN823" s="268"/>
      <c r="MZO823" s="268"/>
      <c r="NAC823" s="268"/>
      <c r="NAE823" s="268"/>
      <c r="NAF823" s="268"/>
      <c r="NAG823" s="268"/>
      <c r="NAH823" s="268"/>
      <c r="NAI823" s="268"/>
      <c r="NAJ823" s="268"/>
      <c r="NAK823" s="268"/>
      <c r="NAL823" s="268"/>
      <c r="NAM823" s="268"/>
      <c r="NAN823" s="268"/>
      <c r="NAO823" s="268"/>
      <c r="NAP823" s="268"/>
      <c r="NAQ823" s="268"/>
      <c r="NAR823" s="268"/>
      <c r="NAS823" s="268"/>
      <c r="NAT823" s="268"/>
      <c r="NAU823" s="268"/>
      <c r="NAV823" s="268"/>
      <c r="NAW823" s="268"/>
      <c r="NAX823" s="268"/>
      <c r="NAY823" s="268"/>
      <c r="NAZ823" s="268"/>
      <c r="NBA823" s="268"/>
      <c r="NBB823" s="268"/>
      <c r="NBC823" s="268"/>
      <c r="NBD823" s="268"/>
      <c r="NBE823" s="268"/>
      <c r="NBF823" s="268"/>
      <c r="NBG823" s="268"/>
      <c r="NBH823" s="268"/>
      <c r="NBI823" s="268"/>
      <c r="NBJ823" s="268"/>
      <c r="NBK823" s="268"/>
      <c r="NBL823" s="268"/>
      <c r="NBM823" s="268"/>
      <c r="NBN823" s="268"/>
      <c r="NBO823" s="268"/>
      <c r="NBP823" s="268"/>
      <c r="NBQ823" s="268"/>
      <c r="NBR823" s="268"/>
      <c r="NBS823" s="268"/>
      <c r="NBT823" s="268"/>
      <c r="NBU823" s="268"/>
      <c r="NBV823" s="268"/>
      <c r="NBW823" s="268"/>
      <c r="NBX823" s="268"/>
      <c r="NBY823" s="268"/>
      <c r="NBZ823" s="268"/>
      <c r="NCA823" s="268"/>
      <c r="NCB823" s="268"/>
      <c r="NCC823" s="268"/>
      <c r="NCD823" s="268"/>
      <c r="NCE823" s="268"/>
      <c r="NCF823" s="268"/>
      <c r="NCG823" s="268"/>
      <c r="NCH823" s="268"/>
      <c r="NCI823" s="268"/>
      <c r="NCJ823" s="268"/>
      <c r="NCK823" s="268"/>
      <c r="NCL823" s="268"/>
      <c r="NCM823" s="268"/>
      <c r="NCN823" s="268"/>
      <c r="NCO823" s="268"/>
      <c r="NCP823" s="268"/>
      <c r="NCQ823" s="268"/>
      <c r="NCR823" s="268"/>
      <c r="NCS823" s="268"/>
      <c r="NCT823" s="268"/>
      <c r="NCU823" s="268"/>
      <c r="NCV823" s="268"/>
      <c r="NCW823" s="268"/>
      <c r="NCX823" s="268"/>
      <c r="NCY823" s="268"/>
      <c r="NCZ823" s="268"/>
      <c r="NDA823" s="268"/>
      <c r="NDB823" s="268"/>
      <c r="NDC823" s="268"/>
      <c r="NDD823" s="268"/>
      <c r="NDE823" s="268"/>
      <c r="NDF823" s="268"/>
      <c r="NDG823" s="268"/>
      <c r="NDH823" s="268"/>
      <c r="NDI823" s="268"/>
      <c r="NDJ823" s="268"/>
      <c r="NDK823" s="268"/>
      <c r="NDL823" s="268"/>
      <c r="NDM823" s="268"/>
      <c r="NDN823" s="268"/>
      <c r="NDO823" s="268"/>
      <c r="NDP823" s="268"/>
      <c r="NDQ823" s="268"/>
      <c r="NDR823" s="268"/>
      <c r="NDS823" s="268"/>
      <c r="NDT823" s="268"/>
      <c r="NDU823" s="268"/>
      <c r="NDV823" s="268"/>
      <c r="NDW823" s="268"/>
      <c r="NDX823" s="268"/>
      <c r="NDY823" s="268"/>
      <c r="NDZ823" s="268"/>
      <c r="NEA823" s="268"/>
      <c r="NEB823" s="268"/>
      <c r="NEC823" s="268"/>
      <c r="NED823" s="268"/>
      <c r="NEE823" s="268"/>
      <c r="NEF823" s="268"/>
      <c r="NEG823" s="268"/>
      <c r="NEH823" s="268"/>
      <c r="NEI823" s="268"/>
      <c r="NEJ823" s="268"/>
      <c r="NEK823" s="268"/>
      <c r="NEL823" s="268"/>
      <c r="NEM823" s="268"/>
      <c r="NEN823" s="268"/>
      <c r="NEO823" s="268"/>
      <c r="NEP823" s="268"/>
      <c r="NEQ823" s="268"/>
      <c r="NER823" s="268"/>
      <c r="NES823" s="268"/>
      <c r="NET823" s="268"/>
      <c r="NEU823" s="268"/>
      <c r="NEV823" s="268"/>
      <c r="NEW823" s="268"/>
      <c r="NEX823" s="268"/>
      <c r="NEY823" s="268"/>
      <c r="NEZ823" s="268"/>
      <c r="NFA823" s="268"/>
      <c r="NFB823" s="268"/>
      <c r="NFC823" s="268"/>
      <c r="NFD823" s="268"/>
      <c r="NFE823" s="268"/>
      <c r="NFF823" s="268"/>
      <c r="NFG823" s="268"/>
      <c r="NFH823" s="268"/>
      <c r="NFI823" s="268"/>
      <c r="NFJ823" s="268"/>
      <c r="NFK823" s="268"/>
      <c r="NFL823" s="268"/>
      <c r="NFM823" s="268"/>
      <c r="NFN823" s="268"/>
      <c r="NFO823" s="268"/>
      <c r="NFP823" s="268"/>
      <c r="NFQ823" s="268"/>
      <c r="NFR823" s="268"/>
      <c r="NFS823" s="268"/>
      <c r="NFT823" s="268"/>
      <c r="NFU823" s="268"/>
      <c r="NFV823" s="268"/>
      <c r="NFW823" s="268"/>
      <c r="NFX823" s="268"/>
      <c r="NFY823" s="268"/>
      <c r="NFZ823" s="268"/>
      <c r="NGA823" s="268"/>
      <c r="NGB823" s="268"/>
      <c r="NGC823" s="268"/>
      <c r="NGD823" s="268"/>
      <c r="NGE823" s="268"/>
      <c r="NGF823" s="268"/>
      <c r="NGG823" s="268"/>
      <c r="NGH823" s="268"/>
      <c r="NGI823" s="268"/>
      <c r="NGJ823" s="268"/>
      <c r="NGK823" s="268"/>
      <c r="NGL823" s="268"/>
      <c r="NGM823" s="268"/>
      <c r="NGN823" s="268"/>
      <c r="NGO823" s="268"/>
      <c r="NGP823" s="268"/>
      <c r="NGQ823" s="268"/>
      <c r="NGR823" s="268"/>
      <c r="NGS823" s="268"/>
      <c r="NGT823" s="268"/>
      <c r="NGU823" s="268"/>
      <c r="NGV823" s="268"/>
      <c r="NGW823" s="268"/>
      <c r="NGX823" s="268"/>
      <c r="NGY823" s="268"/>
      <c r="NGZ823" s="268"/>
      <c r="NHA823" s="268"/>
      <c r="NHB823" s="268"/>
      <c r="NHC823" s="268"/>
      <c r="NHD823" s="268"/>
      <c r="NHE823" s="268"/>
      <c r="NHF823" s="268"/>
      <c r="NHG823" s="268"/>
      <c r="NHH823" s="268"/>
      <c r="NHI823" s="268"/>
      <c r="NHJ823" s="268"/>
      <c r="NHK823" s="268"/>
      <c r="NHL823" s="268"/>
      <c r="NHM823" s="268"/>
      <c r="NHN823" s="268"/>
      <c r="NHO823" s="268"/>
      <c r="NHP823" s="268"/>
      <c r="NHQ823" s="268"/>
      <c r="NHR823" s="268"/>
      <c r="NHS823" s="268"/>
      <c r="NHT823" s="268"/>
      <c r="NHU823" s="268"/>
      <c r="NHV823" s="268"/>
      <c r="NHW823" s="268"/>
      <c r="NHX823" s="268"/>
      <c r="NHY823" s="268"/>
      <c r="NHZ823" s="268"/>
      <c r="NIA823" s="268"/>
      <c r="NIB823" s="268"/>
      <c r="NIC823" s="268"/>
      <c r="NID823" s="268"/>
      <c r="NIE823" s="268"/>
      <c r="NIF823" s="268"/>
      <c r="NIG823" s="268"/>
      <c r="NIH823" s="268"/>
      <c r="NII823" s="268"/>
      <c r="NIJ823" s="268"/>
      <c r="NIK823" s="268"/>
      <c r="NIL823" s="268"/>
      <c r="NIM823" s="268"/>
      <c r="NIN823" s="268"/>
      <c r="NIO823" s="268"/>
      <c r="NIP823" s="268"/>
      <c r="NIQ823" s="268"/>
      <c r="NIR823" s="268"/>
      <c r="NIS823" s="268"/>
      <c r="NIT823" s="268"/>
      <c r="NIU823" s="268"/>
      <c r="NJI823" s="268"/>
      <c r="NJJ823" s="268"/>
      <c r="NJK823" s="268"/>
      <c r="NJY823" s="268"/>
      <c r="NKA823" s="268"/>
      <c r="NKB823" s="268"/>
      <c r="NKC823" s="268"/>
      <c r="NKD823" s="268"/>
      <c r="NKE823" s="268"/>
      <c r="NKF823" s="268"/>
      <c r="NKG823" s="268"/>
      <c r="NKH823" s="268"/>
      <c r="NKI823" s="268"/>
      <c r="NKJ823" s="268"/>
      <c r="NKK823" s="268"/>
      <c r="NKL823" s="268"/>
      <c r="NKM823" s="268"/>
      <c r="NKN823" s="268"/>
      <c r="NKO823" s="268"/>
      <c r="NKP823" s="268"/>
      <c r="NKQ823" s="268"/>
      <c r="NKR823" s="268"/>
      <c r="NKS823" s="268"/>
      <c r="NKT823" s="268"/>
      <c r="NKU823" s="268"/>
      <c r="NKV823" s="268"/>
      <c r="NKW823" s="268"/>
      <c r="NKX823" s="268"/>
      <c r="NKY823" s="268"/>
      <c r="NKZ823" s="268"/>
      <c r="NLA823" s="268"/>
      <c r="NLB823" s="268"/>
      <c r="NLC823" s="268"/>
      <c r="NLD823" s="268"/>
      <c r="NLE823" s="268"/>
      <c r="NLF823" s="268"/>
      <c r="NLG823" s="268"/>
      <c r="NLH823" s="268"/>
      <c r="NLI823" s="268"/>
      <c r="NLJ823" s="268"/>
      <c r="NLK823" s="268"/>
      <c r="NLL823" s="268"/>
      <c r="NLM823" s="268"/>
      <c r="NLN823" s="268"/>
      <c r="NLO823" s="268"/>
      <c r="NLP823" s="268"/>
      <c r="NLQ823" s="268"/>
      <c r="NLR823" s="268"/>
      <c r="NLS823" s="268"/>
      <c r="NLT823" s="268"/>
      <c r="NLU823" s="268"/>
      <c r="NLV823" s="268"/>
      <c r="NLW823" s="268"/>
      <c r="NLX823" s="268"/>
      <c r="NLY823" s="268"/>
      <c r="NLZ823" s="268"/>
      <c r="NMA823" s="268"/>
      <c r="NMB823" s="268"/>
      <c r="NMC823" s="268"/>
      <c r="NMD823" s="268"/>
      <c r="NME823" s="268"/>
      <c r="NMF823" s="268"/>
      <c r="NMG823" s="268"/>
      <c r="NMH823" s="268"/>
      <c r="NMI823" s="268"/>
      <c r="NMJ823" s="268"/>
      <c r="NMK823" s="268"/>
      <c r="NML823" s="268"/>
      <c r="NMM823" s="268"/>
      <c r="NMN823" s="268"/>
      <c r="NMO823" s="268"/>
      <c r="NMP823" s="268"/>
      <c r="NMQ823" s="268"/>
      <c r="NMR823" s="268"/>
      <c r="NMS823" s="268"/>
      <c r="NMT823" s="268"/>
      <c r="NMU823" s="268"/>
      <c r="NMV823" s="268"/>
      <c r="NMW823" s="268"/>
      <c r="NMX823" s="268"/>
      <c r="NMY823" s="268"/>
      <c r="NMZ823" s="268"/>
      <c r="NNA823" s="268"/>
      <c r="NNB823" s="268"/>
      <c r="NNC823" s="268"/>
      <c r="NND823" s="268"/>
      <c r="NNE823" s="268"/>
      <c r="NNF823" s="268"/>
      <c r="NNG823" s="268"/>
      <c r="NNH823" s="268"/>
      <c r="NNI823" s="268"/>
      <c r="NNJ823" s="268"/>
      <c r="NNK823" s="268"/>
      <c r="NNL823" s="268"/>
      <c r="NNM823" s="268"/>
      <c r="NNN823" s="268"/>
      <c r="NNO823" s="268"/>
      <c r="NNP823" s="268"/>
      <c r="NNQ823" s="268"/>
      <c r="NNR823" s="268"/>
      <c r="NNS823" s="268"/>
      <c r="NNT823" s="268"/>
      <c r="NNU823" s="268"/>
      <c r="NNV823" s="268"/>
      <c r="NNW823" s="268"/>
      <c r="NNX823" s="268"/>
      <c r="NNY823" s="268"/>
      <c r="NNZ823" s="268"/>
      <c r="NOA823" s="268"/>
      <c r="NOB823" s="268"/>
      <c r="NOC823" s="268"/>
      <c r="NOD823" s="268"/>
      <c r="NOE823" s="268"/>
      <c r="NOF823" s="268"/>
      <c r="NOG823" s="268"/>
      <c r="NOH823" s="268"/>
      <c r="NOI823" s="268"/>
      <c r="NOJ823" s="268"/>
      <c r="NOK823" s="268"/>
      <c r="NOL823" s="268"/>
      <c r="NOM823" s="268"/>
      <c r="NON823" s="268"/>
      <c r="NOO823" s="268"/>
      <c r="NOP823" s="268"/>
      <c r="NOQ823" s="268"/>
      <c r="NOR823" s="268"/>
      <c r="NOS823" s="268"/>
      <c r="NOT823" s="268"/>
      <c r="NOU823" s="268"/>
      <c r="NOV823" s="268"/>
      <c r="NOW823" s="268"/>
      <c r="NOX823" s="268"/>
      <c r="NOY823" s="268"/>
      <c r="NOZ823" s="268"/>
      <c r="NPA823" s="268"/>
      <c r="NPB823" s="268"/>
      <c r="NPC823" s="268"/>
      <c r="NPD823" s="268"/>
      <c r="NPE823" s="268"/>
      <c r="NPF823" s="268"/>
      <c r="NPG823" s="268"/>
      <c r="NPH823" s="268"/>
      <c r="NPI823" s="268"/>
      <c r="NPJ823" s="268"/>
      <c r="NPK823" s="268"/>
      <c r="NPL823" s="268"/>
      <c r="NPM823" s="268"/>
      <c r="NPN823" s="268"/>
      <c r="NPO823" s="268"/>
      <c r="NPP823" s="268"/>
      <c r="NPQ823" s="268"/>
      <c r="NPR823" s="268"/>
      <c r="NPS823" s="268"/>
      <c r="NPT823" s="268"/>
      <c r="NPU823" s="268"/>
      <c r="NPV823" s="268"/>
      <c r="NPW823" s="268"/>
      <c r="NPX823" s="268"/>
      <c r="NPY823" s="268"/>
      <c r="NPZ823" s="268"/>
      <c r="NQA823" s="268"/>
      <c r="NQB823" s="268"/>
      <c r="NQC823" s="268"/>
      <c r="NQD823" s="268"/>
      <c r="NQE823" s="268"/>
      <c r="NQF823" s="268"/>
      <c r="NQG823" s="268"/>
      <c r="NQH823" s="268"/>
      <c r="NQI823" s="268"/>
      <c r="NQJ823" s="268"/>
      <c r="NQK823" s="268"/>
      <c r="NQL823" s="268"/>
      <c r="NQM823" s="268"/>
      <c r="NQN823" s="268"/>
      <c r="NQO823" s="268"/>
      <c r="NQP823" s="268"/>
      <c r="NQQ823" s="268"/>
      <c r="NQR823" s="268"/>
      <c r="NQS823" s="268"/>
      <c r="NQT823" s="268"/>
      <c r="NQU823" s="268"/>
      <c r="NQV823" s="268"/>
      <c r="NQW823" s="268"/>
      <c r="NQX823" s="268"/>
      <c r="NQY823" s="268"/>
      <c r="NQZ823" s="268"/>
      <c r="NRA823" s="268"/>
      <c r="NRB823" s="268"/>
      <c r="NRC823" s="268"/>
      <c r="NRD823" s="268"/>
      <c r="NRE823" s="268"/>
      <c r="NRF823" s="268"/>
      <c r="NRG823" s="268"/>
      <c r="NRH823" s="268"/>
      <c r="NRI823" s="268"/>
      <c r="NRJ823" s="268"/>
      <c r="NRK823" s="268"/>
      <c r="NRL823" s="268"/>
      <c r="NRM823" s="268"/>
      <c r="NRN823" s="268"/>
      <c r="NRO823" s="268"/>
      <c r="NRP823" s="268"/>
      <c r="NRQ823" s="268"/>
      <c r="NRR823" s="268"/>
      <c r="NRS823" s="268"/>
      <c r="NRT823" s="268"/>
      <c r="NRU823" s="268"/>
      <c r="NRV823" s="268"/>
      <c r="NRW823" s="268"/>
      <c r="NRX823" s="268"/>
      <c r="NRY823" s="268"/>
      <c r="NRZ823" s="268"/>
      <c r="NSA823" s="268"/>
      <c r="NSB823" s="268"/>
      <c r="NSC823" s="268"/>
      <c r="NSD823" s="268"/>
      <c r="NSE823" s="268"/>
      <c r="NSF823" s="268"/>
      <c r="NSG823" s="268"/>
      <c r="NSH823" s="268"/>
      <c r="NSI823" s="268"/>
      <c r="NSJ823" s="268"/>
      <c r="NSK823" s="268"/>
      <c r="NSL823" s="268"/>
      <c r="NSM823" s="268"/>
      <c r="NSN823" s="268"/>
      <c r="NSO823" s="268"/>
      <c r="NSP823" s="268"/>
      <c r="NSQ823" s="268"/>
      <c r="NTE823" s="268"/>
      <c r="NTF823" s="268"/>
      <c r="NTG823" s="268"/>
      <c r="NTU823" s="268"/>
      <c r="NTW823" s="268"/>
      <c r="NTX823" s="268"/>
      <c r="NTY823" s="268"/>
      <c r="NTZ823" s="268"/>
      <c r="NUA823" s="268"/>
      <c r="NUB823" s="268"/>
      <c r="NUC823" s="268"/>
      <c r="NUD823" s="268"/>
      <c r="NUE823" s="268"/>
      <c r="NUF823" s="268"/>
      <c r="NUG823" s="268"/>
      <c r="NUH823" s="268"/>
      <c r="NUI823" s="268"/>
      <c r="NUJ823" s="268"/>
      <c r="NUK823" s="268"/>
      <c r="NUL823" s="268"/>
      <c r="NUM823" s="268"/>
      <c r="NUN823" s="268"/>
      <c r="NUO823" s="268"/>
      <c r="NUP823" s="268"/>
      <c r="NUQ823" s="268"/>
      <c r="NUR823" s="268"/>
      <c r="NUS823" s="268"/>
      <c r="NUT823" s="268"/>
      <c r="NUU823" s="268"/>
      <c r="NUV823" s="268"/>
      <c r="NUW823" s="268"/>
      <c r="NUX823" s="268"/>
      <c r="NUY823" s="268"/>
      <c r="NUZ823" s="268"/>
      <c r="NVA823" s="268"/>
      <c r="NVB823" s="268"/>
      <c r="NVC823" s="268"/>
      <c r="NVD823" s="268"/>
      <c r="NVE823" s="268"/>
      <c r="NVF823" s="268"/>
      <c r="NVG823" s="268"/>
      <c r="NVH823" s="268"/>
      <c r="NVI823" s="268"/>
      <c r="NVJ823" s="268"/>
      <c r="NVK823" s="268"/>
      <c r="NVL823" s="268"/>
      <c r="NVM823" s="268"/>
      <c r="NVN823" s="268"/>
      <c r="NVO823" s="268"/>
      <c r="NVP823" s="268"/>
      <c r="NVQ823" s="268"/>
      <c r="NVR823" s="268"/>
      <c r="NVS823" s="268"/>
      <c r="NVT823" s="268"/>
      <c r="NVU823" s="268"/>
      <c r="NVV823" s="268"/>
      <c r="NVW823" s="268"/>
      <c r="NVX823" s="268"/>
      <c r="NVY823" s="268"/>
      <c r="NVZ823" s="268"/>
      <c r="NWA823" s="268"/>
      <c r="NWB823" s="268"/>
      <c r="NWC823" s="268"/>
      <c r="NWD823" s="268"/>
      <c r="NWE823" s="268"/>
      <c r="NWF823" s="268"/>
      <c r="NWG823" s="268"/>
      <c r="NWH823" s="268"/>
      <c r="NWI823" s="268"/>
      <c r="NWJ823" s="268"/>
      <c r="NWK823" s="268"/>
      <c r="NWL823" s="268"/>
      <c r="NWM823" s="268"/>
      <c r="NWN823" s="268"/>
      <c r="NWO823" s="268"/>
      <c r="NWP823" s="268"/>
      <c r="NWQ823" s="268"/>
      <c r="NWR823" s="268"/>
      <c r="NWS823" s="268"/>
      <c r="NWT823" s="268"/>
      <c r="NWU823" s="268"/>
      <c r="NWV823" s="268"/>
      <c r="NWW823" s="268"/>
      <c r="NWX823" s="268"/>
      <c r="NWY823" s="268"/>
      <c r="NWZ823" s="268"/>
      <c r="NXA823" s="268"/>
      <c r="NXB823" s="268"/>
      <c r="NXC823" s="268"/>
      <c r="NXD823" s="268"/>
      <c r="NXE823" s="268"/>
      <c r="NXF823" s="268"/>
      <c r="NXG823" s="268"/>
      <c r="NXH823" s="268"/>
      <c r="NXI823" s="268"/>
      <c r="NXJ823" s="268"/>
      <c r="NXK823" s="268"/>
      <c r="NXL823" s="268"/>
      <c r="NXM823" s="268"/>
      <c r="NXN823" s="268"/>
      <c r="NXO823" s="268"/>
      <c r="NXP823" s="268"/>
      <c r="NXQ823" s="268"/>
      <c r="NXR823" s="268"/>
      <c r="NXS823" s="268"/>
      <c r="NXT823" s="268"/>
      <c r="NXU823" s="268"/>
      <c r="NXV823" s="268"/>
      <c r="NXW823" s="268"/>
      <c r="NXX823" s="268"/>
      <c r="NXY823" s="268"/>
      <c r="NXZ823" s="268"/>
      <c r="NYA823" s="268"/>
      <c r="NYB823" s="268"/>
      <c r="NYC823" s="268"/>
      <c r="NYD823" s="268"/>
      <c r="NYE823" s="268"/>
      <c r="NYF823" s="268"/>
      <c r="NYG823" s="268"/>
      <c r="NYH823" s="268"/>
      <c r="NYI823" s="268"/>
      <c r="NYJ823" s="268"/>
      <c r="NYK823" s="268"/>
      <c r="NYL823" s="268"/>
      <c r="NYM823" s="268"/>
      <c r="NYN823" s="268"/>
      <c r="NYO823" s="268"/>
      <c r="NYP823" s="268"/>
      <c r="NYQ823" s="268"/>
      <c r="NYR823" s="268"/>
      <c r="NYS823" s="268"/>
      <c r="NYT823" s="268"/>
      <c r="NYU823" s="268"/>
      <c r="NYV823" s="268"/>
      <c r="NYW823" s="268"/>
      <c r="NYX823" s="268"/>
      <c r="NYY823" s="268"/>
      <c r="NYZ823" s="268"/>
      <c r="NZA823" s="268"/>
      <c r="NZB823" s="268"/>
      <c r="NZC823" s="268"/>
      <c r="NZD823" s="268"/>
      <c r="NZE823" s="268"/>
      <c r="NZF823" s="268"/>
      <c r="NZG823" s="268"/>
      <c r="NZH823" s="268"/>
      <c r="NZI823" s="268"/>
      <c r="NZJ823" s="268"/>
      <c r="NZK823" s="268"/>
      <c r="NZL823" s="268"/>
      <c r="NZM823" s="268"/>
      <c r="NZN823" s="268"/>
      <c r="NZO823" s="268"/>
      <c r="NZP823" s="268"/>
      <c r="NZQ823" s="268"/>
      <c r="NZR823" s="268"/>
      <c r="NZS823" s="268"/>
      <c r="NZT823" s="268"/>
      <c r="NZU823" s="268"/>
      <c r="NZV823" s="268"/>
      <c r="NZW823" s="268"/>
      <c r="NZX823" s="268"/>
      <c r="NZY823" s="268"/>
      <c r="NZZ823" s="268"/>
      <c r="OAA823" s="268"/>
      <c r="OAB823" s="268"/>
      <c r="OAC823" s="268"/>
      <c r="OAD823" s="268"/>
      <c r="OAE823" s="268"/>
      <c r="OAF823" s="268"/>
      <c r="OAG823" s="268"/>
      <c r="OAH823" s="268"/>
      <c r="OAI823" s="268"/>
      <c r="OAJ823" s="268"/>
      <c r="OAK823" s="268"/>
      <c r="OAL823" s="268"/>
      <c r="OAM823" s="268"/>
      <c r="OAN823" s="268"/>
      <c r="OAO823" s="268"/>
      <c r="OAP823" s="268"/>
      <c r="OAQ823" s="268"/>
      <c r="OAR823" s="268"/>
      <c r="OAS823" s="268"/>
      <c r="OAT823" s="268"/>
      <c r="OAU823" s="268"/>
      <c r="OAV823" s="268"/>
      <c r="OAW823" s="268"/>
      <c r="OAX823" s="268"/>
      <c r="OAY823" s="268"/>
      <c r="OAZ823" s="268"/>
      <c r="OBA823" s="268"/>
      <c r="OBB823" s="268"/>
      <c r="OBC823" s="268"/>
      <c r="OBD823" s="268"/>
      <c r="OBE823" s="268"/>
      <c r="OBF823" s="268"/>
      <c r="OBG823" s="268"/>
      <c r="OBH823" s="268"/>
      <c r="OBI823" s="268"/>
      <c r="OBJ823" s="268"/>
      <c r="OBK823" s="268"/>
      <c r="OBL823" s="268"/>
      <c r="OBM823" s="268"/>
      <c r="OBN823" s="268"/>
      <c r="OBO823" s="268"/>
      <c r="OBP823" s="268"/>
      <c r="OBQ823" s="268"/>
      <c r="OBR823" s="268"/>
      <c r="OBS823" s="268"/>
      <c r="OBT823" s="268"/>
      <c r="OBU823" s="268"/>
      <c r="OBV823" s="268"/>
      <c r="OBW823" s="268"/>
      <c r="OBX823" s="268"/>
      <c r="OBY823" s="268"/>
      <c r="OBZ823" s="268"/>
      <c r="OCA823" s="268"/>
      <c r="OCB823" s="268"/>
      <c r="OCC823" s="268"/>
      <c r="OCD823" s="268"/>
      <c r="OCE823" s="268"/>
      <c r="OCF823" s="268"/>
      <c r="OCG823" s="268"/>
      <c r="OCH823" s="268"/>
      <c r="OCI823" s="268"/>
      <c r="OCJ823" s="268"/>
      <c r="OCK823" s="268"/>
      <c r="OCL823" s="268"/>
      <c r="OCM823" s="268"/>
      <c r="ODA823" s="268"/>
      <c r="ODB823" s="268"/>
      <c r="ODC823" s="268"/>
      <c r="ODQ823" s="268"/>
      <c r="ODS823" s="268"/>
      <c r="ODT823" s="268"/>
      <c r="ODU823" s="268"/>
      <c r="ODV823" s="268"/>
      <c r="ODW823" s="268"/>
      <c r="ODX823" s="268"/>
      <c r="ODY823" s="268"/>
      <c r="ODZ823" s="268"/>
      <c r="OEA823" s="268"/>
      <c r="OEB823" s="268"/>
      <c r="OEC823" s="268"/>
      <c r="OED823" s="268"/>
      <c r="OEE823" s="268"/>
      <c r="OEF823" s="268"/>
      <c r="OEG823" s="268"/>
      <c r="OEH823" s="268"/>
      <c r="OEI823" s="268"/>
      <c r="OEJ823" s="268"/>
      <c r="OEK823" s="268"/>
      <c r="OEL823" s="268"/>
      <c r="OEM823" s="268"/>
      <c r="OEN823" s="268"/>
      <c r="OEO823" s="268"/>
      <c r="OEP823" s="268"/>
      <c r="OEQ823" s="268"/>
      <c r="OER823" s="268"/>
      <c r="OES823" s="268"/>
      <c r="OET823" s="268"/>
      <c r="OEU823" s="268"/>
      <c r="OEV823" s="268"/>
      <c r="OEW823" s="268"/>
      <c r="OEX823" s="268"/>
      <c r="OEY823" s="268"/>
      <c r="OEZ823" s="268"/>
      <c r="OFA823" s="268"/>
      <c r="OFB823" s="268"/>
      <c r="OFC823" s="268"/>
      <c r="OFD823" s="268"/>
      <c r="OFE823" s="268"/>
      <c r="OFF823" s="268"/>
      <c r="OFG823" s="268"/>
      <c r="OFH823" s="268"/>
      <c r="OFI823" s="268"/>
      <c r="OFJ823" s="268"/>
      <c r="OFK823" s="268"/>
      <c r="OFL823" s="268"/>
      <c r="OFM823" s="268"/>
      <c r="OFN823" s="268"/>
      <c r="OFO823" s="268"/>
      <c r="OFP823" s="268"/>
      <c r="OFQ823" s="268"/>
      <c r="OFR823" s="268"/>
      <c r="OFS823" s="268"/>
      <c r="OFT823" s="268"/>
      <c r="OFU823" s="268"/>
      <c r="OFV823" s="268"/>
      <c r="OFW823" s="268"/>
      <c r="OFX823" s="268"/>
      <c r="OFY823" s="268"/>
      <c r="OFZ823" s="268"/>
      <c r="OGA823" s="268"/>
      <c r="OGB823" s="268"/>
      <c r="OGC823" s="268"/>
      <c r="OGD823" s="268"/>
      <c r="OGE823" s="268"/>
      <c r="OGF823" s="268"/>
      <c r="OGG823" s="268"/>
      <c r="OGH823" s="268"/>
      <c r="OGI823" s="268"/>
      <c r="OGJ823" s="268"/>
      <c r="OGK823" s="268"/>
      <c r="OGL823" s="268"/>
      <c r="OGM823" s="268"/>
      <c r="OGN823" s="268"/>
      <c r="OGO823" s="268"/>
      <c r="OGP823" s="268"/>
      <c r="OGQ823" s="268"/>
      <c r="OGR823" s="268"/>
      <c r="OGS823" s="268"/>
      <c r="OGT823" s="268"/>
      <c r="OGU823" s="268"/>
      <c r="OGV823" s="268"/>
      <c r="OGW823" s="268"/>
      <c r="OGX823" s="268"/>
      <c r="OGY823" s="268"/>
      <c r="OGZ823" s="268"/>
      <c r="OHA823" s="268"/>
      <c r="OHB823" s="268"/>
      <c r="OHC823" s="268"/>
      <c r="OHD823" s="268"/>
      <c r="OHE823" s="268"/>
      <c r="OHF823" s="268"/>
      <c r="OHG823" s="268"/>
      <c r="OHH823" s="268"/>
      <c r="OHI823" s="268"/>
      <c r="OHJ823" s="268"/>
      <c r="OHK823" s="268"/>
      <c r="OHL823" s="268"/>
      <c r="OHM823" s="268"/>
      <c r="OHN823" s="268"/>
      <c r="OHO823" s="268"/>
      <c r="OHP823" s="268"/>
      <c r="OHQ823" s="268"/>
      <c r="OHR823" s="268"/>
      <c r="OHS823" s="268"/>
      <c r="OHT823" s="268"/>
      <c r="OHU823" s="268"/>
      <c r="OHV823" s="268"/>
      <c r="OHW823" s="268"/>
      <c r="OHX823" s="268"/>
      <c r="OHY823" s="268"/>
      <c r="OHZ823" s="268"/>
      <c r="OIA823" s="268"/>
      <c r="OIB823" s="268"/>
      <c r="OIC823" s="268"/>
      <c r="OID823" s="268"/>
      <c r="OIE823" s="268"/>
      <c r="OIF823" s="268"/>
      <c r="OIG823" s="268"/>
      <c r="OIH823" s="268"/>
      <c r="OII823" s="268"/>
      <c r="OIJ823" s="268"/>
      <c r="OIK823" s="268"/>
      <c r="OIL823" s="268"/>
      <c r="OIM823" s="268"/>
      <c r="OIN823" s="268"/>
      <c r="OIO823" s="268"/>
      <c r="OIP823" s="268"/>
      <c r="OIQ823" s="268"/>
      <c r="OIR823" s="268"/>
      <c r="OIS823" s="268"/>
      <c r="OIT823" s="268"/>
      <c r="OIU823" s="268"/>
      <c r="OIV823" s="268"/>
      <c r="OIW823" s="268"/>
      <c r="OIX823" s="268"/>
      <c r="OIY823" s="268"/>
      <c r="OIZ823" s="268"/>
      <c r="OJA823" s="268"/>
      <c r="OJB823" s="268"/>
      <c r="OJC823" s="268"/>
      <c r="OJD823" s="268"/>
      <c r="OJE823" s="268"/>
      <c r="OJF823" s="268"/>
      <c r="OJG823" s="268"/>
      <c r="OJH823" s="268"/>
      <c r="OJI823" s="268"/>
      <c r="OJJ823" s="268"/>
      <c r="OJK823" s="268"/>
      <c r="OJL823" s="268"/>
      <c r="OJM823" s="268"/>
      <c r="OJN823" s="268"/>
      <c r="OJO823" s="268"/>
      <c r="OJP823" s="268"/>
      <c r="OJQ823" s="268"/>
      <c r="OJR823" s="268"/>
      <c r="OJS823" s="268"/>
      <c r="OJT823" s="268"/>
      <c r="OJU823" s="268"/>
      <c r="OJV823" s="268"/>
      <c r="OJW823" s="268"/>
      <c r="OJX823" s="268"/>
      <c r="OJY823" s="268"/>
      <c r="OJZ823" s="268"/>
      <c r="OKA823" s="268"/>
      <c r="OKB823" s="268"/>
      <c r="OKC823" s="268"/>
      <c r="OKD823" s="268"/>
      <c r="OKE823" s="268"/>
      <c r="OKF823" s="268"/>
      <c r="OKG823" s="268"/>
      <c r="OKH823" s="268"/>
      <c r="OKI823" s="268"/>
      <c r="OKJ823" s="268"/>
      <c r="OKK823" s="268"/>
      <c r="OKL823" s="268"/>
      <c r="OKM823" s="268"/>
      <c r="OKN823" s="268"/>
      <c r="OKO823" s="268"/>
      <c r="OKP823" s="268"/>
      <c r="OKQ823" s="268"/>
      <c r="OKR823" s="268"/>
      <c r="OKS823" s="268"/>
      <c r="OKT823" s="268"/>
      <c r="OKU823" s="268"/>
      <c r="OKV823" s="268"/>
      <c r="OKW823" s="268"/>
      <c r="OKX823" s="268"/>
      <c r="OKY823" s="268"/>
      <c r="OKZ823" s="268"/>
      <c r="OLA823" s="268"/>
      <c r="OLB823" s="268"/>
      <c r="OLC823" s="268"/>
      <c r="OLD823" s="268"/>
      <c r="OLE823" s="268"/>
      <c r="OLF823" s="268"/>
      <c r="OLG823" s="268"/>
      <c r="OLH823" s="268"/>
      <c r="OLI823" s="268"/>
      <c r="OLJ823" s="268"/>
      <c r="OLK823" s="268"/>
      <c r="OLL823" s="268"/>
      <c r="OLM823" s="268"/>
      <c r="OLN823" s="268"/>
      <c r="OLO823" s="268"/>
      <c r="OLP823" s="268"/>
      <c r="OLQ823" s="268"/>
      <c r="OLR823" s="268"/>
      <c r="OLS823" s="268"/>
      <c r="OLT823" s="268"/>
      <c r="OLU823" s="268"/>
      <c r="OLV823" s="268"/>
      <c r="OLW823" s="268"/>
      <c r="OLX823" s="268"/>
      <c r="OLY823" s="268"/>
      <c r="OLZ823" s="268"/>
      <c r="OMA823" s="268"/>
      <c r="OMB823" s="268"/>
      <c r="OMC823" s="268"/>
      <c r="OMD823" s="268"/>
      <c r="OME823" s="268"/>
      <c r="OMF823" s="268"/>
      <c r="OMG823" s="268"/>
      <c r="OMH823" s="268"/>
      <c r="OMI823" s="268"/>
      <c r="OMW823" s="268"/>
      <c r="OMX823" s="268"/>
      <c r="OMY823" s="268"/>
      <c r="ONM823" s="268"/>
      <c r="ONO823" s="268"/>
      <c r="ONP823" s="268"/>
      <c r="ONQ823" s="268"/>
      <c r="ONR823" s="268"/>
      <c r="ONS823" s="268"/>
      <c r="ONT823" s="268"/>
      <c r="ONU823" s="268"/>
      <c r="ONV823" s="268"/>
      <c r="ONW823" s="268"/>
      <c r="ONX823" s="268"/>
      <c r="ONY823" s="268"/>
      <c r="ONZ823" s="268"/>
      <c r="OOA823" s="268"/>
      <c r="OOB823" s="268"/>
      <c r="OOC823" s="268"/>
      <c r="OOD823" s="268"/>
      <c r="OOE823" s="268"/>
      <c r="OOF823" s="268"/>
      <c r="OOG823" s="268"/>
      <c r="OOH823" s="268"/>
      <c r="OOI823" s="268"/>
      <c r="OOJ823" s="268"/>
      <c r="OOK823" s="268"/>
      <c r="OOL823" s="268"/>
      <c r="OOM823" s="268"/>
      <c r="OON823" s="268"/>
      <c r="OOO823" s="268"/>
      <c r="OOP823" s="268"/>
      <c r="OOQ823" s="268"/>
      <c r="OOR823" s="268"/>
      <c r="OOS823" s="268"/>
      <c r="OOT823" s="268"/>
      <c r="OOU823" s="268"/>
      <c r="OOV823" s="268"/>
      <c r="OOW823" s="268"/>
      <c r="OOX823" s="268"/>
      <c r="OOY823" s="268"/>
      <c r="OOZ823" s="268"/>
      <c r="OPA823" s="268"/>
      <c r="OPB823" s="268"/>
      <c r="OPC823" s="268"/>
      <c r="OPD823" s="268"/>
      <c r="OPE823" s="268"/>
      <c r="OPF823" s="268"/>
      <c r="OPG823" s="268"/>
      <c r="OPH823" s="268"/>
      <c r="OPI823" s="268"/>
      <c r="OPJ823" s="268"/>
      <c r="OPK823" s="268"/>
      <c r="OPL823" s="268"/>
      <c r="OPM823" s="268"/>
      <c r="OPN823" s="268"/>
      <c r="OPO823" s="268"/>
      <c r="OPP823" s="268"/>
      <c r="OPQ823" s="268"/>
      <c r="OPR823" s="268"/>
      <c r="OPS823" s="268"/>
      <c r="OPT823" s="268"/>
      <c r="OPU823" s="268"/>
      <c r="OPV823" s="268"/>
      <c r="OPW823" s="268"/>
      <c r="OPX823" s="268"/>
      <c r="OPY823" s="268"/>
      <c r="OPZ823" s="268"/>
      <c r="OQA823" s="268"/>
      <c r="OQB823" s="268"/>
      <c r="OQC823" s="268"/>
      <c r="OQD823" s="268"/>
      <c r="OQE823" s="268"/>
      <c r="OQF823" s="268"/>
      <c r="OQG823" s="268"/>
      <c r="OQH823" s="268"/>
      <c r="OQI823" s="268"/>
      <c r="OQJ823" s="268"/>
      <c r="OQK823" s="268"/>
      <c r="OQL823" s="268"/>
      <c r="OQM823" s="268"/>
      <c r="OQN823" s="268"/>
      <c r="OQO823" s="268"/>
      <c r="OQP823" s="268"/>
      <c r="OQQ823" s="268"/>
      <c r="OQR823" s="268"/>
      <c r="OQS823" s="268"/>
      <c r="OQT823" s="268"/>
      <c r="OQU823" s="268"/>
      <c r="OQV823" s="268"/>
      <c r="OQW823" s="268"/>
      <c r="OQX823" s="268"/>
      <c r="OQY823" s="268"/>
      <c r="OQZ823" s="268"/>
      <c r="ORA823" s="268"/>
      <c r="ORB823" s="268"/>
      <c r="ORC823" s="268"/>
      <c r="ORD823" s="268"/>
      <c r="ORE823" s="268"/>
      <c r="ORF823" s="268"/>
      <c r="ORG823" s="268"/>
      <c r="ORH823" s="268"/>
      <c r="ORI823" s="268"/>
      <c r="ORJ823" s="268"/>
      <c r="ORK823" s="268"/>
      <c r="ORL823" s="268"/>
      <c r="ORM823" s="268"/>
      <c r="ORN823" s="268"/>
      <c r="ORO823" s="268"/>
      <c r="ORP823" s="268"/>
      <c r="ORQ823" s="268"/>
      <c r="ORR823" s="268"/>
      <c r="ORS823" s="268"/>
      <c r="ORT823" s="268"/>
      <c r="ORU823" s="268"/>
      <c r="ORV823" s="268"/>
      <c r="ORW823" s="268"/>
      <c r="ORX823" s="268"/>
      <c r="ORY823" s="268"/>
      <c r="ORZ823" s="268"/>
      <c r="OSA823" s="268"/>
      <c r="OSB823" s="268"/>
      <c r="OSC823" s="268"/>
      <c r="OSD823" s="268"/>
      <c r="OSE823" s="268"/>
      <c r="OSF823" s="268"/>
      <c r="OSG823" s="268"/>
      <c r="OSH823" s="268"/>
      <c r="OSI823" s="268"/>
      <c r="OSJ823" s="268"/>
      <c r="OSK823" s="268"/>
      <c r="OSL823" s="268"/>
      <c r="OSM823" s="268"/>
      <c r="OSN823" s="268"/>
      <c r="OSO823" s="268"/>
      <c r="OSP823" s="268"/>
      <c r="OSQ823" s="268"/>
      <c r="OSR823" s="268"/>
      <c r="OSS823" s="268"/>
      <c r="OST823" s="268"/>
      <c r="OSU823" s="268"/>
      <c r="OSV823" s="268"/>
      <c r="OSW823" s="268"/>
      <c r="OSX823" s="268"/>
      <c r="OSY823" s="268"/>
      <c r="OSZ823" s="268"/>
      <c r="OTA823" s="268"/>
      <c r="OTB823" s="268"/>
      <c r="OTC823" s="268"/>
      <c r="OTD823" s="268"/>
      <c r="OTE823" s="268"/>
      <c r="OTF823" s="268"/>
      <c r="OTG823" s="268"/>
      <c r="OTH823" s="268"/>
      <c r="OTI823" s="268"/>
      <c r="OTJ823" s="268"/>
      <c r="OTK823" s="268"/>
      <c r="OTL823" s="268"/>
      <c r="OTM823" s="268"/>
      <c r="OTN823" s="268"/>
      <c r="OTO823" s="268"/>
      <c r="OTP823" s="268"/>
      <c r="OTQ823" s="268"/>
      <c r="OTR823" s="268"/>
      <c r="OTS823" s="268"/>
      <c r="OTT823" s="268"/>
      <c r="OTU823" s="268"/>
      <c r="OTV823" s="268"/>
      <c r="OTW823" s="268"/>
      <c r="OTX823" s="268"/>
      <c r="OTY823" s="268"/>
      <c r="OTZ823" s="268"/>
      <c r="OUA823" s="268"/>
      <c r="OUB823" s="268"/>
      <c r="OUC823" s="268"/>
      <c r="OUD823" s="268"/>
      <c r="OUE823" s="268"/>
      <c r="OUF823" s="268"/>
      <c r="OUG823" s="268"/>
      <c r="OUH823" s="268"/>
      <c r="OUI823" s="268"/>
      <c r="OUJ823" s="268"/>
      <c r="OUK823" s="268"/>
      <c r="OUL823" s="268"/>
      <c r="OUM823" s="268"/>
      <c r="OUN823" s="268"/>
      <c r="OUO823" s="268"/>
      <c r="OUP823" s="268"/>
      <c r="OUQ823" s="268"/>
      <c r="OUR823" s="268"/>
      <c r="OUS823" s="268"/>
      <c r="OUT823" s="268"/>
      <c r="OUU823" s="268"/>
      <c r="OUV823" s="268"/>
      <c r="OUW823" s="268"/>
      <c r="OUX823" s="268"/>
      <c r="OUY823" s="268"/>
      <c r="OUZ823" s="268"/>
      <c r="OVA823" s="268"/>
      <c r="OVB823" s="268"/>
      <c r="OVC823" s="268"/>
      <c r="OVD823" s="268"/>
      <c r="OVE823" s="268"/>
      <c r="OVF823" s="268"/>
      <c r="OVG823" s="268"/>
      <c r="OVH823" s="268"/>
      <c r="OVI823" s="268"/>
      <c r="OVJ823" s="268"/>
      <c r="OVK823" s="268"/>
      <c r="OVL823" s="268"/>
      <c r="OVM823" s="268"/>
      <c r="OVN823" s="268"/>
      <c r="OVO823" s="268"/>
      <c r="OVP823" s="268"/>
      <c r="OVQ823" s="268"/>
      <c r="OVR823" s="268"/>
      <c r="OVS823" s="268"/>
      <c r="OVT823" s="268"/>
      <c r="OVU823" s="268"/>
      <c r="OVV823" s="268"/>
      <c r="OVW823" s="268"/>
      <c r="OVX823" s="268"/>
      <c r="OVY823" s="268"/>
      <c r="OVZ823" s="268"/>
      <c r="OWA823" s="268"/>
      <c r="OWB823" s="268"/>
      <c r="OWC823" s="268"/>
      <c r="OWD823" s="268"/>
      <c r="OWE823" s="268"/>
      <c r="OWS823" s="268"/>
      <c r="OWT823" s="268"/>
      <c r="OWU823" s="268"/>
      <c r="OXI823" s="268"/>
      <c r="OXK823" s="268"/>
      <c r="OXL823" s="268"/>
      <c r="OXM823" s="268"/>
      <c r="OXN823" s="268"/>
      <c r="OXO823" s="268"/>
      <c r="OXP823" s="268"/>
      <c r="OXQ823" s="268"/>
      <c r="OXR823" s="268"/>
      <c r="OXS823" s="268"/>
      <c r="OXT823" s="268"/>
      <c r="OXU823" s="268"/>
      <c r="OXV823" s="268"/>
      <c r="OXW823" s="268"/>
      <c r="OXX823" s="268"/>
      <c r="OXY823" s="268"/>
      <c r="OXZ823" s="268"/>
      <c r="OYA823" s="268"/>
      <c r="OYB823" s="268"/>
      <c r="OYC823" s="268"/>
      <c r="OYD823" s="268"/>
      <c r="OYE823" s="268"/>
      <c r="OYF823" s="268"/>
      <c r="OYG823" s="268"/>
      <c r="OYH823" s="268"/>
      <c r="OYI823" s="268"/>
      <c r="OYJ823" s="268"/>
      <c r="OYK823" s="268"/>
      <c r="OYL823" s="268"/>
      <c r="OYM823" s="268"/>
      <c r="OYN823" s="268"/>
      <c r="OYO823" s="268"/>
      <c r="OYP823" s="268"/>
      <c r="OYQ823" s="268"/>
      <c r="OYR823" s="268"/>
      <c r="OYS823" s="268"/>
      <c r="OYT823" s="268"/>
      <c r="OYU823" s="268"/>
      <c r="OYV823" s="268"/>
      <c r="OYW823" s="268"/>
      <c r="OYX823" s="268"/>
      <c r="OYY823" s="268"/>
      <c r="OYZ823" s="268"/>
      <c r="OZA823" s="268"/>
      <c r="OZB823" s="268"/>
      <c r="OZC823" s="268"/>
      <c r="OZD823" s="268"/>
      <c r="OZE823" s="268"/>
      <c r="OZF823" s="268"/>
      <c r="OZG823" s="268"/>
      <c r="OZH823" s="268"/>
      <c r="OZI823" s="268"/>
      <c r="OZJ823" s="268"/>
      <c r="OZK823" s="268"/>
      <c r="OZL823" s="268"/>
      <c r="OZM823" s="268"/>
      <c r="OZN823" s="268"/>
      <c r="OZO823" s="268"/>
      <c r="OZP823" s="268"/>
      <c r="OZQ823" s="268"/>
      <c r="OZR823" s="268"/>
      <c r="OZS823" s="268"/>
      <c r="OZT823" s="268"/>
      <c r="OZU823" s="268"/>
      <c r="OZV823" s="268"/>
      <c r="OZW823" s="268"/>
      <c r="OZX823" s="268"/>
      <c r="OZY823" s="268"/>
      <c r="OZZ823" s="268"/>
      <c r="PAA823" s="268"/>
      <c r="PAB823" s="268"/>
      <c r="PAC823" s="268"/>
      <c r="PAD823" s="268"/>
      <c r="PAE823" s="268"/>
      <c r="PAF823" s="268"/>
      <c r="PAG823" s="268"/>
      <c r="PAH823" s="268"/>
      <c r="PAI823" s="268"/>
      <c r="PAJ823" s="268"/>
      <c r="PAK823" s="268"/>
      <c r="PAL823" s="268"/>
      <c r="PAM823" s="268"/>
      <c r="PAN823" s="268"/>
      <c r="PAO823" s="268"/>
      <c r="PAP823" s="268"/>
      <c r="PAQ823" s="268"/>
      <c r="PAR823" s="268"/>
      <c r="PAS823" s="268"/>
      <c r="PAT823" s="268"/>
      <c r="PAU823" s="268"/>
      <c r="PAV823" s="268"/>
      <c r="PAW823" s="268"/>
      <c r="PAX823" s="268"/>
      <c r="PAY823" s="268"/>
      <c r="PAZ823" s="268"/>
      <c r="PBA823" s="268"/>
      <c r="PBB823" s="268"/>
      <c r="PBC823" s="268"/>
      <c r="PBD823" s="268"/>
      <c r="PBE823" s="268"/>
      <c r="PBF823" s="268"/>
      <c r="PBG823" s="268"/>
      <c r="PBH823" s="268"/>
      <c r="PBI823" s="268"/>
      <c r="PBJ823" s="268"/>
      <c r="PBK823" s="268"/>
      <c r="PBL823" s="268"/>
      <c r="PBM823" s="268"/>
      <c r="PBN823" s="268"/>
      <c r="PBO823" s="268"/>
      <c r="PBP823" s="268"/>
      <c r="PBQ823" s="268"/>
      <c r="PBR823" s="268"/>
      <c r="PBS823" s="268"/>
      <c r="PBT823" s="268"/>
      <c r="PBU823" s="268"/>
      <c r="PBV823" s="268"/>
      <c r="PBW823" s="268"/>
      <c r="PBX823" s="268"/>
      <c r="PBY823" s="268"/>
      <c r="PBZ823" s="268"/>
      <c r="PCA823" s="268"/>
      <c r="PCB823" s="268"/>
      <c r="PCC823" s="268"/>
      <c r="PCD823" s="268"/>
      <c r="PCE823" s="268"/>
      <c r="PCF823" s="268"/>
      <c r="PCG823" s="268"/>
      <c r="PCH823" s="268"/>
      <c r="PCI823" s="268"/>
      <c r="PCJ823" s="268"/>
      <c r="PCK823" s="268"/>
      <c r="PCL823" s="268"/>
      <c r="PCM823" s="268"/>
      <c r="PCN823" s="268"/>
      <c r="PCO823" s="268"/>
      <c r="PCP823" s="268"/>
      <c r="PCQ823" s="268"/>
      <c r="PCR823" s="268"/>
      <c r="PCS823" s="268"/>
      <c r="PCT823" s="268"/>
      <c r="PCU823" s="268"/>
      <c r="PCV823" s="268"/>
      <c r="PCW823" s="268"/>
      <c r="PCX823" s="268"/>
      <c r="PCY823" s="268"/>
      <c r="PCZ823" s="268"/>
      <c r="PDA823" s="268"/>
      <c r="PDB823" s="268"/>
      <c r="PDC823" s="268"/>
      <c r="PDD823" s="268"/>
      <c r="PDE823" s="268"/>
      <c r="PDF823" s="268"/>
      <c r="PDG823" s="268"/>
      <c r="PDH823" s="268"/>
      <c r="PDI823" s="268"/>
      <c r="PDJ823" s="268"/>
      <c r="PDK823" s="268"/>
      <c r="PDL823" s="268"/>
      <c r="PDM823" s="268"/>
      <c r="PDN823" s="268"/>
      <c r="PDO823" s="268"/>
      <c r="PDP823" s="268"/>
      <c r="PDQ823" s="268"/>
      <c r="PDR823" s="268"/>
      <c r="PDS823" s="268"/>
      <c r="PDT823" s="268"/>
      <c r="PDU823" s="268"/>
      <c r="PDV823" s="268"/>
      <c r="PDW823" s="268"/>
      <c r="PDX823" s="268"/>
      <c r="PDY823" s="268"/>
      <c r="PDZ823" s="268"/>
      <c r="PEA823" s="268"/>
      <c r="PEB823" s="268"/>
      <c r="PEC823" s="268"/>
      <c r="PED823" s="268"/>
      <c r="PEE823" s="268"/>
      <c r="PEF823" s="268"/>
      <c r="PEG823" s="268"/>
      <c r="PEH823" s="268"/>
      <c r="PEI823" s="268"/>
      <c r="PEJ823" s="268"/>
      <c r="PEK823" s="268"/>
      <c r="PEL823" s="268"/>
      <c r="PEM823" s="268"/>
      <c r="PEN823" s="268"/>
      <c r="PEO823" s="268"/>
      <c r="PEP823" s="268"/>
      <c r="PEQ823" s="268"/>
      <c r="PER823" s="268"/>
      <c r="PES823" s="268"/>
      <c r="PET823" s="268"/>
      <c r="PEU823" s="268"/>
      <c r="PEV823" s="268"/>
      <c r="PEW823" s="268"/>
      <c r="PEX823" s="268"/>
      <c r="PEY823" s="268"/>
      <c r="PEZ823" s="268"/>
      <c r="PFA823" s="268"/>
      <c r="PFB823" s="268"/>
      <c r="PFC823" s="268"/>
      <c r="PFD823" s="268"/>
      <c r="PFE823" s="268"/>
      <c r="PFF823" s="268"/>
      <c r="PFG823" s="268"/>
      <c r="PFH823" s="268"/>
      <c r="PFI823" s="268"/>
      <c r="PFJ823" s="268"/>
      <c r="PFK823" s="268"/>
      <c r="PFL823" s="268"/>
      <c r="PFM823" s="268"/>
      <c r="PFN823" s="268"/>
      <c r="PFO823" s="268"/>
      <c r="PFP823" s="268"/>
      <c r="PFQ823" s="268"/>
      <c r="PFR823" s="268"/>
      <c r="PFS823" s="268"/>
      <c r="PFT823" s="268"/>
      <c r="PFU823" s="268"/>
      <c r="PFV823" s="268"/>
      <c r="PFW823" s="268"/>
      <c r="PFX823" s="268"/>
      <c r="PFY823" s="268"/>
      <c r="PFZ823" s="268"/>
      <c r="PGA823" s="268"/>
      <c r="PGO823" s="268"/>
      <c r="PGP823" s="268"/>
      <c r="PGQ823" s="268"/>
      <c r="PHE823" s="268"/>
      <c r="PHG823" s="268"/>
      <c r="PHH823" s="268"/>
      <c r="PHI823" s="268"/>
      <c r="PHJ823" s="268"/>
      <c r="PHK823" s="268"/>
      <c r="PHL823" s="268"/>
      <c r="PHM823" s="268"/>
      <c r="PHN823" s="268"/>
      <c r="PHO823" s="268"/>
      <c r="PHP823" s="268"/>
      <c r="PHQ823" s="268"/>
      <c r="PHR823" s="268"/>
      <c r="PHS823" s="268"/>
      <c r="PHT823" s="268"/>
      <c r="PHU823" s="268"/>
      <c r="PHV823" s="268"/>
      <c r="PHW823" s="268"/>
      <c r="PHX823" s="268"/>
      <c r="PHY823" s="268"/>
      <c r="PHZ823" s="268"/>
      <c r="PIA823" s="268"/>
      <c r="PIB823" s="268"/>
      <c r="PIC823" s="268"/>
      <c r="PID823" s="268"/>
      <c r="PIE823" s="268"/>
      <c r="PIF823" s="268"/>
      <c r="PIG823" s="268"/>
      <c r="PIH823" s="268"/>
      <c r="PII823" s="268"/>
      <c r="PIJ823" s="268"/>
      <c r="PIK823" s="268"/>
      <c r="PIL823" s="268"/>
      <c r="PIM823" s="268"/>
      <c r="PIN823" s="268"/>
      <c r="PIO823" s="268"/>
      <c r="PIP823" s="268"/>
      <c r="PIQ823" s="268"/>
      <c r="PIR823" s="268"/>
      <c r="PIS823" s="268"/>
      <c r="PIT823" s="268"/>
      <c r="PIU823" s="268"/>
      <c r="PIV823" s="268"/>
      <c r="PIW823" s="268"/>
      <c r="PIX823" s="268"/>
      <c r="PIY823" s="268"/>
      <c r="PIZ823" s="268"/>
      <c r="PJA823" s="268"/>
      <c r="PJB823" s="268"/>
      <c r="PJC823" s="268"/>
      <c r="PJD823" s="268"/>
      <c r="PJE823" s="268"/>
      <c r="PJF823" s="268"/>
      <c r="PJG823" s="268"/>
      <c r="PJH823" s="268"/>
      <c r="PJI823" s="268"/>
      <c r="PJJ823" s="268"/>
      <c r="PJK823" s="268"/>
      <c r="PJL823" s="268"/>
      <c r="PJM823" s="268"/>
      <c r="PJN823" s="268"/>
      <c r="PJO823" s="268"/>
      <c r="PJP823" s="268"/>
      <c r="PJQ823" s="268"/>
      <c r="PJR823" s="268"/>
      <c r="PJS823" s="268"/>
      <c r="PJT823" s="268"/>
      <c r="PJU823" s="268"/>
      <c r="PJV823" s="268"/>
      <c r="PJW823" s="268"/>
      <c r="PJX823" s="268"/>
      <c r="PJY823" s="268"/>
      <c r="PJZ823" s="268"/>
      <c r="PKA823" s="268"/>
      <c r="PKB823" s="268"/>
      <c r="PKC823" s="268"/>
      <c r="PKD823" s="268"/>
      <c r="PKE823" s="268"/>
      <c r="PKF823" s="268"/>
      <c r="PKG823" s="268"/>
      <c r="PKH823" s="268"/>
      <c r="PKI823" s="268"/>
      <c r="PKJ823" s="268"/>
      <c r="PKK823" s="268"/>
      <c r="PKL823" s="268"/>
      <c r="PKM823" s="268"/>
      <c r="PKN823" s="268"/>
      <c r="PKO823" s="268"/>
      <c r="PKP823" s="268"/>
      <c r="PKQ823" s="268"/>
      <c r="PKR823" s="268"/>
      <c r="PKS823" s="268"/>
      <c r="PKT823" s="268"/>
      <c r="PKU823" s="268"/>
      <c r="PKV823" s="268"/>
      <c r="PKW823" s="268"/>
      <c r="PKX823" s="268"/>
      <c r="PKY823" s="268"/>
      <c r="PKZ823" s="268"/>
      <c r="PLA823" s="268"/>
      <c r="PLB823" s="268"/>
      <c r="PLC823" s="268"/>
      <c r="PLD823" s="268"/>
      <c r="PLE823" s="268"/>
      <c r="PLF823" s="268"/>
      <c r="PLG823" s="268"/>
      <c r="PLH823" s="268"/>
      <c r="PLI823" s="268"/>
      <c r="PLJ823" s="268"/>
      <c r="PLK823" s="268"/>
      <c r="PLL823" s="268"/>
      <c r="PLM823" s="268"/>
      <c r="PLN823" s="268"/>
      <c r="PLO823" s="268"/>
      <c r="PLP823" s="268"/>
      <c r="PLQ823" s="268"/>
      <c r="PLR823" s="268"/>
      <c r="PLS823" s="268"/>
      <c r="PLT823" s="268"/>
      <c r="PLU823" s="268"/>
      <c r="PLV823" s="268"/>
      <c r="PLW823" s="268"/>
      <c r="PLX823" s="268"/>
      <c r="PLY823" s="268"/>
      <c r="PLZ823" s="268"/>
      <c r="PMA823" s="268"/>
      <c r="PMB823" s="268"/>
      <c r="PMC823" s="268"/>
      <c r="PMD823" s="268"/>
      <c r="PME823" s="268"/>
      <c r="PMF823" s="268"/>
      <c r="PMG823" s="268"/>
      <c r="PMH823" s="268"/>
      <c r="PMI823" s="268"/>
      <c r="PMJ823" s="268"/>
      <c r="PMK823" s="268"/>
      <c r="PML823" s="268"/>
      <c r="PMM823" s="268"/>
      <c r="PMN823" s="268"/>
      <c r="PMO823" s="268"/>
      <c r="PMP823" s="268"/>
      <c r="PMQ823" s="268"/>
      <c r="PMR823" s="268"/>
      <c r="PMS823" s="268"/>
      <c r="PMT823" s="268"/>
      <c r="PMU823" s="268"/>
      <c r="PMV823" s="268"/>
      <c r="PMW823" s="268"/>
      <c r="PMX823" s="268"/>
      <c r="PMY823" s="268"/>
      <c r="PMZ823" s="268"/>
      <c r="PNA823" s="268"/>
      <c r="PNB823" s="268"/>
      <c r="PNC823" s="268"/>
      <c r="PND823" s="268"/>
      <c r="PNE823" s="268"/>
      <c r="PNF823" s="268"/>
      <c r="PNG823" s="268"/>
      <c r="PNH823" s="268"/>
      <c r="PNI823" s="268"/>
      <c r="PNJ823" s="268"/>
      <c r="PNK823" s="268"/>
      <c r="PNL823" s="268"/>
      <c r="PNM823" s="268"/>
      <c r="PNN823" s="268"/>
      <c r="PNO823" s="268"/>
      <c r="PNP823" s="268"/>
      <c r="PNQ823" s="268"/>
      <c r="PNR823" s="268"/>
      <c r="PNS823" s="268"/>
      <c r="PNT823" s="268"/>
      <c r="PNU823" s="268"/>
      <c r="PNV823" s="268"/>
      <c r="PNW823" s="268"/>
      <c r="PNX823" s="268"/>
      <c r="PNY823" s="268"/>
      <c r="PNZ823" s="268"/>
      <c r="POA823" s="268"/>
      <c r="POB823" s="268"/>
      <c r="POC823" s="268"/>
      <c r="POD823" s="268"/>
      <c r="POE823" s="268"/>
      <c r="POF823" s="268"/>
      <c r="POG823" s="268"/>
      <c r="POH823" s="268"/>
      <c r="POI823" s="268"/>
      <c r="POJ823" s="268"/>
      <c r="POK823" s="268"/>
      <c r="POL823" s="268"/>
      <c r="POM823" s="268"/>
      <c r="PON823" s="268"/>
      <c r="POO823" s="268"/>
      <c r="POP823" s="268"/>
      <c r="POQ823" s="268"/>
      <c r="POR823" s="268"/>
      <c r="POS823" s="268"/>
      <c r="POT823" s="268"/>
      <c r="POU823" s="268"/>
      <c r="POV823" s="268"/>
      <c r="POW823" s="268"/>
      <c r="POX823" s="268"/>
      <c r="POY823" s="268"/>
      <c r="POZ823" s="268"/>
      <c r="PPA823" s="268"/>
      <c r="PPB823" s="268"/>
      <c r="PPC823" s="268"/>
      <c r="PPD823" s="268"/>
      <c r="PPE823" s="268"/>
      <c r="PPF823" s="268"/>
      <c r="PPG823" s="268"/>
      <c r="PPH823" s="268"/>
      <c r="PPI823" s="268"/>
      <c r="PPJ823" s="268"/>
      <c r="PPK823" s="268"/>
      <c r="PPL823" s="268"/>
      <c r="PPM823" s="268"/>
      <c r="PPN823" s="268"/>
      <c r="PPO823" s="268"/>
      <c r="PPP823" s="268"/>
      <c r="PPQ823" s="268"/>
      <c r="PPR823" s="268"/>
      <c r="PPS823" s="268"/>
      <c r="PPT823" s="268"/>
      <c r="PPU823" s="268"/>
      <c r="PPV823" s="268"/>
      <c r="PPW823" s="268"/>
      <c r="PQK823" s="268"/>
      <c r="PQL823" s="268"/>
      <c r="PQM823" s="268"/>
      <c r="PRA823" s="268"/>
      <c r="PRC823" s="268"/>
      <c r="PRD823" s="268"/>
      <c r="PRE823" s="268"/>
      <c r="PRF823" s="268"/>
      <c r="PRG823" s="268"/>
      <c r="PRH823" s="268"/>
      <c r="PRI823" s="268"/>
      <c r="PRJ823" s="268"/>
      <c r="PRK823" s="268"/>
      <c r="PRL823" s="268"/>
      <c r="PRM823" s="268"/>
      <c r="PRN823" s="268"/>
      <c r="PRO823" s="268"/>
      <c r="PRP823" s="268"/>
      <c r="PRQ823" s="268"/>
      <c r="PRR823" s="268"/>
      <c r="PRS823" s="268"/>
      <c r="PRT823" s="268"/>
      <c r="PRU823" s="268"/>
      <c r="PRV823" s="268"/>
      <c r="PRW823" s="268"/>
      <c r="PRX823" s="268"/>
      <c r="PRY823" s="268"/>
      <c r="PRZ823" s="268"/>
      <c r="PSA823" s="268"/>
      <c r="PSB823" s="268"/>
      <c r="PSC823" s="268"/>
      <c r="PSD823" s="268"/>
      <c r="PSE823" s="268"/>
      <c r="PSF823" s="268"/>
      <c r="PSG823" s="268"/>
      <c r="PSH823" s="268"/>
      <c r="PSI823" s="268"/>
      <c r="PSJ823" s="268"/>
      <c r="PSK823" s="268"/>
      <c r="PSL823" s="268"/>
      <c r="PSM823" s="268"/>
      <c r="PSN823" s="268"/>
      <c r="PSO823" s="268"/>
      <c r="PSP823" s="268"/>
      <c r="PSQ823" s="268"/>
      <c r="PSR823" s="268"/>
      <c r="PSS823" s="268"/>
      <c r="PST823" s="268"/>
      <c r="PSU823" s="268"/>
      <c r="PSV823" s="268"/>
      <c r="PSW823" s="268"/>
      <c r="PSX823" s="268"/>
      <c r="PSY823" s="268"/>
      <c r="PSZ823" s="268"/>
      <c r="PTA823" s="268"/>
      <c r="PTB823" s="268"/>
      <c r="PTC823" s="268"/>
      <c r="PTD823" s="268"/>
      <c r="PTE823" s="268"/>
      <c r="PTF823" s="268"/>
      <c r="PTG823" s="268"/>
      <c r="PTH823" s="268"/>
      <c r="PTI823" s="268"/>
      <c r="PTJ823" s="268"/>
      <c r="PTK823" s="268"/>
      <c r="PTL823" s="268"/>
      <c r="PTM823" s="268"/>
      <c r="PTN823" s="268"/>
      <c r="PTO823" s="268"/>
      <c r="PTP823" s="268"/>
      <c r="PTQ823" s="268"/>
      <c r="PTR823" s="268"/>
      <c r="PTS823" s="268"/>
      <c r="PTT823" s="268"/>
      <c r="PTU823" s="268"/>
      <c r="PTV823" s="268"/>
      <c r="PTW823" s="268"/>
      <c r="PTX823" s="268"/>
      <c r="PTY823" s="268"/>
      <c r="PTZ823" s="268"/>
      <c r="PUA823" s="268"/>
      <c r="PUB823" s="268"/>
      <c r="PUC823" s="268"/>
      <c r="PUD823" s="268"/>
      <c r="PUE823" s="268"/>
      <c r="PUF823" s="268"/>
      <c r="PUG823" s="268"/>
      <c r="PUH823" s="268"/>
      <c r="PUI823" s="268"/>
      <c r="PUJ823" s="268"/>
      <c r="PUK823" s="268"/>
      <c r="PUL823" s="268"/>
      <c r="PUM823" s="268"/>
      <c r="PUN823" s="268"/>
      <c r="PUO823" s="268"/>
      <c r="PUP823" s="268"/>
      <c r="PUQ823" s="268"/>
      <c r="PUR823" s="268"/>
      <c r="PUS823" s="268"/>
      <c r="PUT823" s="268"/>
      <c r="PUU823" s="268"/>
      <c r="PUV823" s="268"/>
      <c r="PUW823" s="268"/>
      <c r="PUX823" s="268"/>
      <c r="PUY823" s="268"/>
      <c r="PUZ823" s="268"/>
      <c r="PVA823" s="268"/>
      <c r="PVB823" s="268"/>
      <c r="PVC823" s="268"/>
      <c r="PVD823" s="268"/>
      <c r="PVE823" s="268"/>
      <c r="PVF823" s="268"/>
      <c r="PVG823" s="268"/>
      <c r="PVH823" s="268"/>
      <c r="PVI823" s="268"/>
      <c r="PVJ823" s="268"/>
      <c r="PVK823" s="268"/>
      <c r="PVL823" s="268"/>
      <c r="PVM823" s="268"/>
      <c r="PVN823" s="268"/>
      <c r="PVO823" s="268"/>
      <c r="PVP823" s="268"/>
      <c r="PVQ823" s="268"/>
      <c r="PVR823" s="268"/>
      <c r="PVS823" s="268"/>
      <c r="PVT823" s="268"/>
      <c r="PVU823" s="268"/>
      <c r="PVV823" s="268"/>
      <c r="PVW823" s="268"/>
      <c r="PVX823" s="268"/>
      <c r="PVY823" s="268"/>
      <c r="PVZ823" s="268"/>
      <c r="PWA823" s="268"/>
      <c r="PWB823" s="268"/>
      <c r="PWC823" s="268"/>
      <c r="PWD823" s="268"/>
      <c r="PWE823" s="268"/>
      <c r="PWF823" s="268"/>
      <c r="PWG823" s="268"/>
      <c r="PWH823" s="268"/>
      <c r="PWI823" s="268"/>
      <c r="PWJ823" s="268"/>
      <c r="PWK823" s="268"/>
      <c r="PWL823" s="268"/>
      <c r="PWM823" s="268"/>
      <c r="PWN823" s="268"/>
      <c r="PWO823" s="268"/>
      <c r="PWP823" s="268"/>
      <c r="PWQ823" s="268"/>
      <c r="PWR823" s="268"/>
      <c r="PWS823" s="268"/>
      <c r="PWT823" s="268"/>
      <c r="PWU823" s="268"/>
      <c r="PWV823" s="268"/>
      <c r="PWW823" s="268"/>
      <c r="PWX823" s="268"/>
      <c r="PWY823" s="268"/>
      <c r="PWZ823" s="268"/>
      <c r="PXA823" s="268"/>
      <c r="PXB823" s="268"/>
      <c r="PXC823" s="268"/>
      <c r="PXD823" s="268"/>
      <c r="PXE823" s="268"/>
      <c r="PXF823" s="268"/>
      <c r="PXG823" s="268"/>
      <c r="PXH823" s="268"/>
      <c r="PXI823" s="268"/>
      <c r="PXJ823" s="268"/>
      <c r="PXK823" s="268"/>
      <c r="PXL823" s="268"/>
      <c r="PXM823" s="268"/>
      <c r="PXN823" s="268"/>
      <c r="PXO823" s="268"/>
      <c r="PXP823" s="268"/>
      <c r="PXQ823" s="268"/>
      <c r="PXR823" s="268"/>
      <c r="PXS823" s="268"/>
      <c r="PXT823" s="268"/>
      <c r="PXU823" s="268"/>
      <c r="PXV823" s="268"/>
      <c r="PXW823" s="268"/>
      <c r="PXX823" s="268"/>
      <c r="PXY823" s="268"/>
      <c r="PXZ823" s="268"/>
      <c r="PYA823" s="268"/>
      <c r="PYB823" s="268"/>
      <c r="PYC823" s="268"/>
      <c r="PYD823" s="268"/>
      <c r="PYE823" s="268"/>
      <c r="PYF823" s="268"/>
      <c r="PYG823" s="268"/>
      <c r="PYH823" s="268"/>
      <c r="PYI823" s="268"/>
      <c r="PYJ823" s="268"/>
      <c r="PYK823" s="268"/>
      <c r="PYL823" s="268"/>
      <c r="PYM823" s="268"/>
      <c r="PYN823" s="268"/>
      <c r="PYO823" s="268"/>
      <c r="PYP823" s="268"/>
      <c r="PYQ823" s="268"/>
      <c r="PYR823" s="268"/>
      <c r="PYS823" s="268"/>
      <c r="PYT823" s="268"/>
      <c r="PYU823" s="268"/>
      <c r="PYV823" s="268"/>
      <c r="PYW823" s="268"/>
      <c r="PYX823" s="268"/>
      <c r="PYY823" s="268"/>
      <c r="PYZ823" s="268"/>
      <c r="PZA823" s="268"/>
      <c r="PZB823" s="268"/>
      <c r="PZC823" s="268"/>
      <c r="PZD823" s="268"/>
      <c r="PZE823" s="268"/>
      <c r="PZF823" s="268"/>
      <c r="PZG823" s="268"/>
      <c r="PZH823" s="268"/>
      <c r="PZI823" s="268"/>
      <c r="PZJ823" s="268"/>
      <c r="PZK823" s="268"/>
      <c r="PZL823" s="268"/>
      <c r="PZM823" s="268"/>
      <c r="PZN823" s="268"/>
      <c r="PZO823" s="268"/>
      <c r="PZP823" s="268"/>
      <c r="PZQ823" s="268"/>
      <c r="PZR823" s="268"/>
      <c r="PZS823" s="268"/>
      <c r="QAG823" s="268"/>
      <c r="QAH823" s="268"/>
      <c r="QAI823" s="268"/>
      <c r="QAW823" s="268"/>
      <c r="QAY823" s="268"/>
      <c r="QAZ823" s="268"/>
      <c r="QBA823" s="268"/>
      <c r="QBB823" s="268"/>
      <c r="QBC823" s="268"/>
      <c r="QBD823" s="268"/>
      <c r="QBE823" s="268"/>
      <c r="QBF823" s="268"/>
      <c r="QBG823" s="268"/>
      <c r="QBH823" s="268"/>
      <c r="QBI823" s="268"/>
      <c r="QBJ823" s="268"/>
      <c r="QBK823" s="268"/>
      <c r="QBL823" s="268"/>
      <c r="QBM823" s="268"/>
      <c r="QBN823" s="268"/>
      <c r="QBO823" s="268"/>
      <c r="QBP823" s="268"/>
      <c r="QBQ823" s="268"/>
      <c r="QBR823" s="268"/>
      <c r="QBS823" s="268"/>
      <c r="QBT823" s="268"/>
      <c r="QBU823" s="268"/>
      <c r="QBV823" s="268"/>
      <c r="QBW823" s="268"/>
      <c r="QBX823" s="268"/>
      <c r="QBY823" s="268"/>
      <c r="QBZ823" s="268"/>
      <c r="QCA823" s="268"/>
      <c r="QCB823" s="268"/>
      <c r="QCC823" s="268"/>
      <c r="QCD823" s="268"/>
      <c r="QCE823" s="268"/>
      <c r="QCF823" s="268"/>
      <c r="QCG823" s="268"/>
      <c r="QCH823" s="268"/>
      <c r="QCI823" s="268"/>
      <c r="QCJ823" s="268"/>
      <c r="QCK823" s="268"/>
      <c r="QCL823" s="268"/>
      <c r="QCM823" s="268"/>
      <c r="QCN823" s="268"/>
      <c r="QCO823" s="268"/>
      <c r="QCP823" s="268"/>
      <c r="QCQ823" s="268"/>
      <c r="QCR823" s="268"/>
      <c r="QCS823" s="268"/>
      <c r="QCT823" s="268"/>
      <c r="QCU823" s="268"/>
      <c r="QCV823" s="268"/>
      <c r="QCW823" s="268"/>
      <c r="QCX823" s="268"/>
      <c r="QCY823" s="268"/>
      <c r="QCZ823" s="268"/>
      <c r="QDA823" s="268"/>
      <c r="QDB823" s="268"/>
      <c r="QDC823" s="268"/>
      <c r="QDD823" s="268"/>
      <c r="QDE823" s="268"/>
      <c r="QDF823" s="268"/>
      <c r="QDG823" s="268"/>
      <c r="QDH823" s="268"/>
      <c r="QDI823" s="268"/>
      <c r="QDJ823" s="268"/>
      <c r="QDK823" s="268"/>
      <c r="QDL823" s="268"/>
      <c r="QDM823" s="268"/>
      <c r="QDN823" s="268"/>
      <c r="QDO823" s="268"/>
      <c r="QDP823" s="268"/>
      <c r="QDQ823" s="268"/>
      <c r="QDR823" s="268"/>
      <c r="QDS823" s="268"/>
      <c r="QDT823" s="268"/>
      <c r="QDU823" s="268"/>
      <c r="QDV823" s="268"/>
      <c r="QDW823" s="268"/>
      <c r="QDX823" s="268"/>
      <c r="QDY823" s="268"/>
      <c r="QDZ823" s="268"/>
      <c r="QEA823" s="268"/>
      <c r="QEB823" s="268"/>
      <c r="QEC823" s="268"/>
      <c r="QED823" s="268"/>
      <c r="QEE823" s="268"/>
      <c r="QEF823" s="268"/>
      <c r="QEG823" s="268"/>
      <c r="QEH823" s="268"/>
      <c r="QEI823" s="268"/>
      <c r="QEJ823" s="268"/>
      <c r="QEK823" s="268"/>
      <c r="QEL823" s="268"/>
      <c r="QEM823" s="268"/>
      <c r="QEN823" s="268"/>
      <c r="QEO823" s="268"/>
      <c r="QEP823" s="268"/>
      <c r="QEQ823" s="268"/>
      <c r="QER823" s="268"/>
      <c r="QES823" s="268"/>
      <c r="QET823" s="268"/>
      <c r="QEU823" s="268"/>
      <c r="QEV823" s="268"/>
      <c r="QEW823" s="268"/>
      <c r="QEX823" s="268"/>
      <c r="QEY823" s="268"/>
      <c r="QEZ823" s="268"/>
      <c r="QFA823" s="268"/>
      <c r="QFB823" s="268"/>
      <c r="QFC823" s="268"/>
      <c r="QFD823" s="268"/>
      <c r="QFE823" s="268"/>
      <c r="QFF823" s="268"/>
      <c r="QFG823" s="268"/>
      <c r="QFH823" s="268"/>
      <c r="QFI823" s="268"/>
      <c r="QFJ823" s="268"/>
      <c r="QFK823" s="268"/>
      <c r="QFL823" s="268"/>
      <c r="QFM823" s="268"/>
      <c r="QFN823" s="268"/>
      <c r="QFO823" s="268"/>
      <c r="QFP823" s="268"/>
      <c r="QFQ823" s="268"/>
      <c r="QFR823" s="268"/>
      <c r="QFS823" s="268"/>
      <c r="QFT823" s="268"/>
      <c r="QFU823" s="268"/>
      <c r="QFV823" s="268"/>
      <c r="QFW823" s="268"/>
      <c r="QFX823" s="268"/>
      <c r="QFY823" s="268"/>
      <c r="QFZ823" s="268"/>
      <c r="QGA823" s="268"/>
      <c r="QGB823" s="268"/>
      <c r="QGC823" s="268"/>
      <c r="QGD823" s="268"/>
      <c r="QGE823" s="268"/>
      <c r="QGF823" s="268"/>
      <c r="QGG823" s="268"/>
      <c r="QGH823" s="268"/>
      <c r="QGI823" s="268"/>
      <c r="QGJ823" s="268"/>
      <c r="QGK823" s="268"/>
      <c r="QGL823" s="268"/>
      <c r="QGM823" s="268"/>
      <c r="QGN823" s="268"/>
      <c r="QGO823" s="268"/>
      <c r="QGP823" s="268"/>
      <c r="QGQ823" s="268"/>
      <c r="QGR823" s="268"/>
      <c r="QGS823" s="268"/>
      <c r="QGT823" s="268"/>
      <c r="QGU823" s="268"/>
      <c r="QGV823" s="268"/>
      <c r="QGW823" s="268"/>
      <c r="QGX823" s="268"/>
      <c r="QGY823" s="268"/>
      <c r="QGZ823" s="268"/>
      <c r="QHA823" s="268"/>
      <c r="QHB823" s="268"/>
      <c r="QHC823" s="268"/>
      <c r="QHD823" s="268"/>
      <c r="QHE823" s="268"/>
      <c r="QHF823" s="268"/>
      <c r="QHG823" s="268"/>
      <c r="QHH823" s="268"/>
      <c r="QHI823" s="268"/>
      <c r="QHJ823" s="268"/>
      <c r="QHK823" s="268"/>
      <c r="QHL823" s="268"/>
      <c r="QHM823" s="268"/>
      <c r="QHN823" s="268"/>
      <c r="QHO823" s="268"/>
      <c r="QHP823" s="268"/>
      <c r="QHQ823" s="268"/>
      <c r="QHR823" s="268"/>
      <c r="QHS823" s="268"/>
      <c r="QHT823" s="268"/>
      <c r="QHU823" s="268"/>
      <c r="QHV823" s="268"/>
      <c r="QHW823" s="268"/>
      <c r="QHX823" s="268"/>
      <c r="QHY823" s="268"/>
      <c r="QHZ823" s="268"/>
      <c r="QIA823" s="268"/>
      <c r="QIB823" s="268"/>
      <c r="QIC823" s="268"/>
      <c r="QID823" s="268"/>
      <c r="QIE823" s="268"/>
      <c r="QIF823" s="268"/>
      <c r="QIG823" s="268"/>
      <c r="QIH823" s="268"/>
      <c r="QII823" s="268"/>
      <c r="QIJ823" s="268"/>
      <c r="QIK823" s="268"/>
      <c r="QIL823" s="268"/>
      <c r="QIM823" s="268"/>
      <c r="QIN823" s="268"/>
      <c r="QIO823" s="268"/>
      <c r="QIP823" s="268"/>
      <c r="QIQ823" s="268"/>
      <c r="QIR823" s="268"/>
      <c r="QIS823" s="268"/>
      <c r="QIT823" s="268"/>
      <c r="QIU823" s="268"/>
      <c r="QIV823" s="268"/>
      <c r="QIW823" s="268"/>
      <c r="QIX823" s="268"/>
      <c r="QIY823" s="268"/>
      <c r="QIZ823" s="268"/>
      <c r="QJA823" s="268"/>
      <c r="QJB823" s="268"/>
      <c r="QJC823" s="268"/>
      <c r="QJD823" s="268"/>
      <c r="QJE823" s="268"/>
      <c r="QJF823" s="268"/>
      <c r="QJG823" s="268"/>
      <c r="QJH823" s="268"/>
      <c r="QJI823" s="268"/>
      <c r="QJJ823" s="268"/>
      <c r="QJK823" s="268"/>
      <c r="QJL823" s="268"/>
      <c r="QJM823" s="268"/>
      <c r="QJN823" s="268"/>
      <c r="QJO823" s="268"/>
      <c r="QKC823" s="268"/>
      <c r="QKD823" s="268"/>
      <c r="QKE823" s="268"/>
      <c r="QKS823" s="268"/>
      <c r="QKU823" s="268"/>
      <c r="QKV823" s="268"/>
      <c r="QKW823" s="268"/>
      <c r="QKX823" s="268"/>
      <c r="QKY823" s="268"/>
      <c r="QKZ823" s="268"/>
      <c r="QLA823" s="268"/>
      <c r="QLB823" s="268"/>
      <c r="QLC823" s="268"/>
      <c r="QLD823" s="268"/>
      <c r="QLE823" s="268"/>
      <c r="QLF823" s="268"/>
      <c r="QLG823" s="268"/>
      <c r="QLH823" s="268"/>
      <c r="QLI823" s="268"/>
      <c r="QLJ823" s="268"/>
      <c r="QLK823" s="268"/>
      <c r="QLL823" s="268"/>
      <c r="QLM823" s="268"/>
      <c r="QLN823" s="268"/>
      <c r="QLO823" s="268"/>
      <c r="QLP823" s="268"/>
      <c r="QLQ823" s="268"/>
      <c r="QLR823" s="268"/>
      <c r="QLS823" s="268"/>
      <c r="QLT823" s="268"/>
      <c r="QLU823" s="268"/>
      <c r="QLV823" s="268"/>
      <c r="QLW823" s="268"/>
      <c r="QLX823" s="268"/>
      <c r="QLY823" s="268"/>
      <c r="QLZ823" s="268"/>
      <c r="QMA823" s="268"/>
      <c r="QMB823" s="268"/>
      <c r="QMC823" s="268"/>
      <c r="QMD823" s="268"/>
      <c r="QME823" s="268"/>
      <c r="QMF823" s="268"/>
      <c r="QMG823" s="268"/>
      <c r="QMH823" s="268"/>
      <c r="QMI823" s="268"/>
      <c r="QMJ823" s="268"/>
      <c r="QMK823" s="268"/>
      <c r="QML823" s="268"/>
      <c r="QMM823" s="268"/>
      <c r="QMN823" s="268"/>
      <c r="QMO823" s="268"/>
      <c r="QMP823" s="268"/>
      <c r="QMQ823" s="268"/>
      <c r="QMR823" s="268"/>
      <c r="QMS823" s="268"/>
      <c r="QMT823" s="268"/>
      <c r="QMU823" s="268"/>
      <c r="QMV823" s="268"/>
      <c r="QMW823" s="268"/>
      <c r="QMX823" s="268"/>
      <c r="QMY823" s="268"/>
      <c r="QMZ823" s="268"/>
      <c r="QNA823" s="268"/>
      <c r="QNB823" s="268"/>
      <c r="QNC823" s="268"/>
      <c r="QND823" s="268"/>
      <c r="QNE823" s="268"/>
      <c r="QNF823" s="268"/>
      <c r="QNG823" s="268"/>
      <c r="QNH823" s="268"/>
      <c r="QNI823" s="268"/>
      <c r="QNJ823" s="268"/>
      <c r="QNK823" s="268"/>
      <c r="QNL823" s="268"/>
      <c r="QNM823" s="268"/>
      <c r="QNN823" s="268"/>
      <c r="QNO823" s="268"/>
      <c r="QNP823" s="268"/>
      <c r="QNQ823" s="268"/>
      <c r="QNR823" s="268"/>
      <c r="QNS823" s="268"/>
      <c r="QNT823" s="268"/>
      <c r="QNU823" s="268"/>
      <c r="QNV823" s="268"/>
      <c r="QNW823" s="268"/>
      <c r="QNX823" s="268"/>
      <c r="QNY823" s="268"/>
      <c r="QNZ823" s="268"/>
      <c r="QOA823" s="268"/>
      <c r="QOB823" s="268"/>
      <c r="QOC823" s="268"/>
      <c r="QOD823" s="268"/>
      <c r="QOE823" s="268"/>
      <c r="QOF823" s="268"/>
      <c r="QOG823" s="268"/>
      <c r="QOH823" s="268"/>
      <c r="QOI823" s="268"/>
      <c r="QOJ823" s="268"/>
      <c r="QOK823" s="268"/>
      <c r="QOL823" s="268"/>
      <c r="QOM823" s="268"/>
      <c r="QON823" s="268"/>
      <c r="QOO823" s="268"/>
      <c r="QOP823" s="268"/>
      <c r="QOQ823" s="268"/>
      <c r="QOR823" s="268"/>
      <c r="QOS823" s="268"/>
      <c r="QOT823" s="268"/>
      <c r="QOU823" s="268"/>
      <c r="QOV823" s="268"/>
      <c r="QOW823" s="268"/>
      <c r="QOX823" s="268"/>
      <c r="QOY823" s="268"/>
      <c r="QOZ823" s="268"/>
      <c r="QPA823" s="268"/>
      <c r="QPB823" s="268"/>
      <c r="QPC823" s="268"/>
      <c r="QPD823" s="268"/>
      <c r="QPE823" s="268"/>
      <c r="QPF823" s="268"/>
      <c r="QPG823" s="268"/>
      <c r="QPH823" s="268"/>
      <c r="QPI823" s="268"/>
      <c r="QPJ823" s="268"/>
      <c r="QPK823" s="268"/>
      <c r="QPL823" s="268"/>
      <c r="QPM823" s="268"/>
      <c r="QPN823" s="268"/>
      <c r="QPO823" s="268"/>
      <c r="QPP823" s="268"/>
      <c r="QPQ823" s="268"/>
      <c r="QPR823" s="268"/>
      <c r="QPS823" s="268"/>
      <c r="QPT823" s="268"/>
      <c r="QPU823" s="268"/>
      <c r="QPV823" s="268"/>
      <c r="QPW823" s="268"/>
      <c r="QPX823" s="268"/>
      <c r="QPY823" s="268"/>
      <c r="QPZ823" s="268"/>
      <c r="QQA823" s="268"/>
      <c r="QQB823" s="268"/>
      <c r="QQC823" s="268"/>
      <c r="QQD823" s="268"/>
      <c r="QQE823" s="268"/>
      <c r="QQF823" s="268"/>
      <c r="QQG823" s="268"/>
      <c r="QQH823" s="268"/>
      <c r="QQI823" s="268"/>
      <c r="QQJ823" s="268"/>
      <c r="QQK823" s="268"/>
      <c r="QQL823" s="268"/>
      <c r="QQM823" s="268"/>
      <c r="QQN823" s="268"/>
      <c r="QQO823" s="268"/>
      <c r="QQP823" s="268"/>
      <c r="QQQ823" s="268"/>
      <c r="QQR823" s="268"/>
      <c r="QQS823" s="268"/>
      <c r="QQT823" s="268"/>
      <c r="QQU823" s="268"/>
      <c r="QQV823" s="268"/>
      <c r="QQW823" s="268"/>
      <c r="QQX823" s="268"/>
      <c r="QQY823" s="268"/>
      <c r="QQZ823" s="268"/>
      <c r="QRA823" s="268"/>
      <c r="QRB823" s="268"/>
      <c r="QRC823" s="268"/>
      <c r="QRD823" s="268"/>
      <c r="QRE823" s="268"/>
      <c r="QRF823" s="268"/>
      <c r="QRG823" s="268"/>
      <c r="QRH823" s="268"/>
      <c r="QRI823" s="268"/>
      <c r="QRJ823" s="268"/>
      <c r="QRK823" s="268"/>
      <c r="QRL823" s="268"/>
      <c r="QRM823" s="268"/>
      <c r="QRN823" s="268"/>
      <c r="QRO823" s="268"/>
      <c r="QRP823" s="268"/>
      <c r="QRQ823" s="268"/>
      <c r="QRR823" s="268"/>
      <c r="QRS823" s="268"/>
      <c r="QRT823" s="268"/>
      <c r="QRU823" s="268"/>
      <c r="QRV823" s="268"/>
      <c r="QRW823" s="268"/>
      <c r="QRX823" s="268"/>
      <c r="QRY823" s="268"/>
      <c r="QRZ823" s="268"/>
      <c r="QSA823" s="268"/>
      <c r="QSB823" s="268"/>
      <c r="QSC823" s="268"/>
      <c r="QSD823" s="268"/>
      <c r="QSE823" s="268"/>
      <c r="QSF823" s="268"/>
      <c r="QSG823" s="268"/>
      <c r="QSH823" s="268"/>
      <c r="QSI823" s="268"/>
      <c r="QSJ823" s="268"/>
      <c r="QSK823" s="268"/>
      <c r="QSL823" s="268"/>
      <c r="QSM823" s="268"/>
      <c r="QSN823" s="268"/>
      <c r="QSO823" s="268"/>
      <c r="QSP823" s="268"/>
      <c r="QSQ823" s="268"/>
      <c r="QSR823" s="268"/>
      <c r="QSS823" s="268"/>
      <c r="QST823" s="268"/>
      <c r="QSU823" s="268"/>
      <c r="QSV823" s="268"/>
      <c r="QSW823" s="268"/>
      <c r="QSX823" s="268"/>
      <c r="QSY823" s="268"/>
      <c r="QSZ823" s="268"/>
      <c r="QTA823" s="268"/>
      <c r="QTB823" s="268"/>
      <c r="QTC823" s="268"/>
      <c r="QTD823" s="268"/>
      <c r="QTE823" s="268"/>
      <c r="QTF823" s="268"/>
      <c r="QTG823" s="268"/>
      <c r="QTH823" s="268"/>
      <c r="QTI823" s="268"/>
      <c r="QTJ823" s="268"/>
      <c r="QTK823" s="268"/>
      <c r="QTY823" s="268"/>
      <c r="QTZ823" s="268"/>
      <c r="QUA823" s="268"/>
      <c r="QUO823" s="268"/>
      <c r="QUQ823" s="268"/>
      <c r="QUR823" s="268"/>
      <c r="QUS823" s="268"/>
      <c r="QUT823" s="268"/>
      <c r="QUU823" s="268"/>
      <c r="QUV823" s="268"/>
      <c r="QUW823" s="268"/>
      <c r="QUX823" s="268"/>
      <c r="QUY823" s="268"/>
      <c r="QUZ823" s="268"/>
      <c r="QVA823" s="268"/>
      <c r="QVB823" s="268"/>
      <c r="QVC823" s="268"/>
      <c r="QVD823" s="268"/>
      <c r="QVE823" s="268"/>
      <c r="QVF823" s="268"/>
      <c r="QVG823" s="268"/>
      <c r="QVH823" s="268"/>
      <c r="QVI823" s="268"/>
      <c r="QVJ823" s="268"/>
      <c r="QVK823" s="268"/>
      <c r="QVL823" s="268"/>
      <c r="QVM823" s="268"/>
      <c r="QVN823" s="268"/>
      <c r="QVO823" s="268"/>
      <c r="QVP823" s="268"/>
      <c r="QVQ823" s="268"/>
      <c r="QVR823" s="268"/>
      <c r="QVS823" s="268"/>
      <c r="QVT823" s="268"/>
      <c r="QVU823" s="268"/>
      <c r="QVV823" s="268"/>
      <c r="QVW823" s="268"/>
      <c r="QVX823" s="268"/>
      <c r="QVY823" s="268"/>
      <c r="QVZ823" s="268"/>
      <c r="QWA823" s="268"/>
      <c r="QWB823" s="268"/>
      <c r="QWC823" s="268"/>
      <c r="QWD823" s="268"/>
      <c r="QWE823" s="268"/>
      <c r="QWF823" s="268"/>
      <c r="QWG823" s="268"/>
      <c r="QWH823" s="268"/>
      <c r="QWI823" s="268"/>
      <c r="QWJ823" s="268"/>
      <c r="QWK823" s="268"/>
      <c r="QWL823" s="268"/>
      <c r="QWM823" s="268"/>
      <c r="QWN823" s="268"/>
      <c r="QWO823" s="268"/>
      <c r="QWP823" s="268"/>
      <c r="QWQ823" s="268"/>
      <c r="QWR823" s="268"/>
      <c r="QWS823" s="268"/>
      <c r="QWT823" s="268"/>
      <c r="QWU823" s="268"/>
      <c r="QWV823" s="268"/>
      <c r="QWW823" s="268"/>
      <c r="QWX823" s="268"/>
      <c r="QWY823" s="268"/>
      <c r="QWZ823" s="268"/>
      <c r="QXA823" s="268"/>
      <c r="QXB823" s="268"/>
      <c r="QXC823" s="268"/>
      <c r="QXD823" s="268"/>
      <c r="QXE823" s="268"/>
      <c r="QXF823" s="268"/>
      <c r="QXG823" s="268"/>
      <c r="QXH823" s="268"/>
      <c r="QXI823" s="268"/>
      <c r="QXJ823" s="268"/>
      <c r="QXK823" s="268"/>
      <c r="QXL823" s="268"/>
      <c r="QXM823" s="268"/>
      <c r="QXN823" s="268"/>
      <c r="QXO823" s="268"/>
      <c r="QXP823" s="268"/>
      <c r="QXQ823" s="268"/>
      <c r="QXR823" s="268"/>
      <c r="QXS823" s="268"/>
      <c r="QXT823" s="268"/>
      <c r="QXU823" s="268"/>
      <c r="QXV823" s="268"/>
      <c r="QXW823" s="268"/>
      <c r="QXX823" s="268"/>
      <c r="QXY823" s="268"/>
      <c r="QXZ823" s="268"/>
      <c r="QYA823" s="268"/>
      <c r="QYB823" s="268"/>
      <c r="QYC823" s="268"/>
      <c r="QYD823" s="268"/>
      <c r="QYE823" s="268"/>
      <c r="QYF823" s="268"/>
      <c r="QYG823" s="268"/>
      <c r="QYH823" s="268"/>
      <c r="QYI823" s="268"/>
      <c r="QYJ823" s="268"/>
      <c r="QYK823" s="268"/>
      <c r="QYL823" s="268"/>
      <c r="QYM823" s="268"/>
      <c r="QYN823" s="268"/>
      <c r="QYO823" s="268"/>
      <c r="QYP823" s="268"/>
      <c r="QYQ823" s="268"/>
      <c r="QYR823" s="268"/>
      <c r="QYS823" s="268"/>
      <c r="QYT823" s="268"/>
      <c r="QYU823" s="268"/>
      <c r="QYV823" s="268"/>
      <c r="QYW823" s="268"/>
      <c r="QYX823" s="268"/>
      <c r="QYY823" s="268"/>
      <c r="QYZ823" s="268"/>
      <c r="QZA823" s="268"/>
      <c r="QZB823" s="268"/>
      <c r="QZC823" s="268"/>
      <c r="QZD823" s="268"/>
      <c r="QZE823" s="268"/>
      <c r="QZF823" s="268"/>
      <c r="QZG823" s="268"/>
      <c r="QZH823" s="268"/>
      <c r="QZI823" s="268"/>
      <c r="QZJ823" s="268"/>
      <c r="QZK823" s="268"/>
      <c r="QZL823" s="268"/>
      <c r="QZM823" s="268"/>
      <c r="QZN823" s="268"/>
      <c r="QZO823" s="268"/>
      <c r="QZP823" s="268"/>
      <c r="QZQ823" s="268"/>
      <c r="QZR823" s="268"/>
      <c r="QZS823" s="268"/>
      <c r="QZT823" s="268"/>
      <c r="QZU823" s="268"/>
      <c r="QZV823" s="268"/>
      <c r="QZW823" s="268"/>
      <c r="QZX823" s="268"/>
      <c r="QZY823" s="268"/>
      <c r="QZZ823" s="268"/>
      <c r="RAA823" s="268"/>
      <c r="RAB823" s="268"/>
      <c r="RAC823" s="268"/>
      <c r="RAD823" s="268"/>
      <c r="RAE823" s="268"/>
      <c r="RAF823" s="268"/>
      <c r="RAG823" s="268"/>
      <c r="RAH823" s="268"/>
      <c r="RAI823" s="268"/>
      <c r="RAJ823" s="268"/>
      <c r="RAK823" s="268"/>
      <c r="RAL823" s="268"/>
      <c r="RAM823" s="268"/>
      <c r="RAN823" s="268"/>
      <c r="RAO823" s="268"/>
      <c r="RAP823" s="268"/>
      <c r="RAQ823" s="268"/>
      <c r="RAR823" s="268"/>
      <c r="RAS823" s="268"/>
      <c r="RAT823" s="268"/>
      <c r="RAU823" s="268"/>
      <c r="RAV823" s="268"/>
      <c r="RAW823" s="268"/>
      <c r="RAX823" s="268"/>
      <c r="RAY823" s="268"/>
      <c r="RAZ823" s="268"/>
      <c r="RBA823" s="268"/>
      <c r="RBB823" s="268"/>
      <c r="RBC823" s="268"/>
      <c r="RBD823" s="268"/>
      <c r="RBE823" s="268"/>
      <c r="RBF823" s="268"/>
      <c r="RBG823" s="268"/>
      <c r="RBH823" s="268"/>
      <c r="RBI823" s="268"/>
      <c r="RBJ823" s="268"/>
      <c r="RBK823" s="268"/>
      <c r="RBL823" s="268"/>
      <c r="RBM823" s="268"/>
      <c r="RBN823" s="268"/>
      <c r="RBO823" s="268"/>
      <c r="RBP823" s="268"/>
      <c r="RBQ823" s="268"/>
      <c r="RBR823" s="268"/>
      <c r="RBS823" s="268"/>
      <c r="RBT823" s="268"/>
      <c r="RBU823" s="268"/>
      <c r="RBV823" s="268"/>
      <c r="RBW823" s="268"/>
      <c r="RBX823" s="268"/>
      <c r="RBY823" s="268"/>
      <c r="RBZ823" s="268"/>
      <c r="RCA823" s="268"/>
      <c r="RCB823" s="268"/>
      <c r="RCC823" s="268"/>
      <c r="RCD823" s="268"/>
      <c r="RCE823" s="268"/>
      <c r="RCF823" s="268"/>
      <c r="RCG823" s="268"/>
      <c r="RCH823" s="268"/>
      <c r="RCI823" s="268"/>
      <c r="RCJ823" s="268"/>
      <c r="RCK823" s="268"/>
      <c r="RCL823" s="268"/>
      <c r="RCM823" s="268"/>
      <c r="RCN823" s="268"/>
      <c r="RCO823" s="268"/>
      <c r="RCP823" s="268"/>
      <c r="RCQ823" s="268"/>
      <c r="RCR823" s="268"/>
      <c r="RCS823" s="268"/>
      <c r="RCT823" s="268"/>
      <c r="RCU823" s="268"/>
      <c r="RCV823" s="268"/>
      <c r="RCW823" s="268"/>
      <c r="RCX823" s="268"/>
      <c r="RCY823" s="268"/>
      <c r="RCZ823" s="268"/>
      <c r="RDA823" s="268"/>
      <c r="RDB823" s="268"/>
      <c r="RDC823" s="268"/>
      <c r="RDD823" s="268"/>
      <c r="RDE823" s="268"/>
      <c r="RDF823" s="268"/>
      <c r="RDG823" s="268"/>
      <c r="RDU823" s="268"/>
      <c r="RDV823" s="268"/>
      <c r="RDW823" s="268"/>
      <c r="REK823" s="268"/>
      <c r="REM823" s="268"/>
      <c r="REN823" s="268"/>
      <c r="REO823" s="268"/>
      <c r="REP823" s="268"/>
      <c r="REQ823" s="268"/>
      <c r="RER823" s="268"/>
      <c r="RES823" s="268"/>
      <c r="RET823" s="268"/>
      <c r="REU823" s="268"/>
      <c r="REV823" s="268"/>
      <c r="REW823" s="268"/>
      <c r="REX823" s="268"/>
      <c r="REY823" s="268"/>
      <c r="REZ823" s="268"/>
      <c r="RFA823" s="268"/>
      <c r="RFB823" s="268"/>
      <c r="RFC823" s="268"/>
      <c r="RFD823" s="268"/>
      <c r="RFE823" s="268"/>
      <c r="RFF823" s="268"/>
      <c r="RFG823" s="268"/>
      <c r="RFH823" s="268"/>
      <c r="RFI823" s="268"/>
      <c r="RFJ823" s="268"/>
      <c r="RFK823" s="268"/>
      <c r="RFL823" s="268"/>
      <c r="RFM823" s="268"/>
      <c r="RFN823" s="268"/>
      <c r="RFO823" s="268"/>
      <c r="RFP823" s="268"/>
      <c r="RFQ823" s="268"/>
      <c r="RFR823" s="268"/>
      <c r="RFS823" s="268"/>
      <c r="RFT823" s="268"/>
      <c r="RFU823" s="268"/>
      <c r="RFV823" s="268"/>
      <c r="RFW823" s="268"/>
      <c r="RFX823" s="268"/>
      <c r="RFY823" s="268"/>
      <c r="RFZ823" s="268"/>
      <c r="RGA823" s="268"/>
      <c r="RGB823" s="268"/>
      <c r="RGC823" s="268"/>
      <c r="RGD823" s="268"/>
      <c r="RGE823" s="268"/>
      <c r="RGF823" s="268"/>
      <c r="RGG823" s="268"/>
      <c r="RGH823" s="268"/>
      <c r="RGI823" s="268"/>
      <c r="RGJ823" s="268"/>
      <c r="RGK823" s="268"/>
      <c r="RGL823" s="268"/>
      <c r="RGM823" s="268"/>
      <c r="RGN823" s="268"/>
      <c r="RGO823" s="268"/>
      <c r="RGP823" s="268"/>
      <c r="RGQ823" s="268"/>
      <c r="RGR823" s="268"/>
      <c r="RGS823" s="268"/>
      <c r="RGT823" s="268"/>
      <c r="RGU823" s="268"/>
      <c r="RGV823" s="268"/>
      <c r="RGW823" s="268"/>
      <c r="RGX823" s="268"/>
      <c r="RGY823" s="268"/>
      <c r="RGZ823" s="268"/>
      <c r="RHA823" s="268"/>
      <c r="RHB823" s="268"/>
      <c r="RHC823" s="268"/>
      <c r="RHD823" s="268"/>
      <c r="RHE823" s="268"/>
      <c r="RHF823" s="268"/>
      <c r="RHG823" s="268"/>
      <c r="RHH823" s="268"/>
      <c r="RHI823" s="268"/>
      <c r="RHJ823" s="268"/>
      <c r="RHK823" s="268"/>
      <c r="RHL823" s="268"/>
      <c r="RHM823" s="268"/>
      <c r="RHN823" s="268"/>
      <c r="RHO823" s="268"/>
      <c r="RHP823" s="268"/>
      <c r="RHQ823" s="268"/>
      <c r="RHR823" s="268"/>
      <c r="RHS823" s="268"/>
      <c r="RHT823" s="268"/>
      <c r="RHU823" s="268"/>
      <c r="RHV823" s="268"/>
      <c r="RHW823" s="268"/>
      <c r="RHX823" s="268"/>
      <c r="RHY823" s="268"/>
      <c r="RHZ823" s="268"/>
      <c r="RIA823" s="268"/>
      <c r="RIB823" s="268"/>
      <c r="RIC823" s="268"/>
      <c r="RID823" s="268"/>
      <c r="RIE823" s="268"/>
      <c r="RIF823" s="268"/>
      <c r="RIG823" s="268"/>
      <c r="RIH823" s="268"/>
      <c r="RII823" s="268"/>
      <c r="RIJ823" s="268"/>
      <c r="RIK823" s="268"/>
      <c r="RIL823" s="268"/>
      <c r="RIM823" s="268"/>
      <c r="RIN823" s="268"/>
      <c r="RIO823" s="268"/>
      <c r="RIP823" s="268"/>
      <c r="RIQ823" s="268"/>
      <c r="RIR823" s="268"/>
      <c r="RIS823" s="268"/>
      <c r="RIT823" s="268"/>
      <c r="RIU823" s="268"/>
      <c r="RIV823" s="268"/>
      <c r="RIW823" s="268"/>
      <c r="RIX823" s="268"/>
      <c r="RIY823" s="268"/>
      <c r="RIZ823" s="268"/>
      <c r="RJA823" s="268"/>
      <c r="RJB823" s="268"/>
      <c r="RJC823" s="268"/>
      <c r="RJD823" s="268"/>
      <c r="RJE823" s="268"/>
      <c r="RJF823" s="268"/>
      <c r="RJG823" s="268"/>
      <c r="RJH823" s="268"/>
      <c r="RJI823" s="268"/>
      <c r="RJJ823" s="268"/>
      <c r="RJK823" s="268"/>
      <c r="RJL823" s="268"/>
      <c r="RJM823" s="268"/>
      <c r="RJN823" s="268"/>
      <c r="RJO823" s="268"/>
      <c r="RJP823" s="268"/>
      <c r="RJQ823" s="268"/>
      <c r="RJR823" s="268"/>
      <c r="RJS823" s="268"/>
      <c r="RJT823" s="268"/>
      <c r="RJU823" s="268"/>
      <c r="RJV823" s="268"/>
      <c r="RJW823" s="268"/>
      <c r="RJX823" s="268"/>
      <c r="RJY823" s="268"/>
      <c r="RJZ823" s="268"/>
      <c r="RKA823" s="268"/>
      <c r="RKB823" s="268"/>
      <c r="RKC823" s="268"/>
      <c r="RKD823" s="268"/>
      <c r="RKE823" s="268"/>
      <c r="RKF823" s="268"/>
      <c r="RKG823" s="268"/>
      <c r="RKH823" s="268"/>
      <c r="RKI823" s="268"/>
      <c r="RKJ823" s="268"/>
      <c r="RKK823" s="268"/>
      <c r="RKL823" s="268"/>
      <c r="RKM823" s="268"/>
      <c r="RKN823" s="268"/>
      <c r="RKO823" s="268"/>
      <c r="RKP823" s="268"/>
      <c r="RKQ823" s="268"/>
      <c r="RKR823" s="268"/>
      <c r="RKS823" s="268"/>
      <c r="RKT823" s="268"/>
      <c r="RKU823" s="268"/>
      <c r="RKV823" s="268"/>
      <c r="RKW823" s="268"/>
      <c r="RKX823" s="268"/>
      <c r="RKY823" s="268"/>
      <c r="RKZ823" s="268"/>
      <c r="RLA823" s="268"/>
      <c r="RLB823" s="268"/>
      <c r="RLC823" s="268"/>
      <c r="RLD823" s="268"/>
      <c r="RLE823" s="268"/>
      <c r="RLF823" s="268"/>
      <c r="RLG823" s="268"/>
      <c r="RLH823" s="268"/>
      <c r="RLI823" s="268"/>
      <c r="RLJ823" s="268"/>
      <c r="RLK823" s="268"/>
      <c r="RLL823" s="268"/>
      <c r="RLM823" s="268"/>
      <c r="RLN823" s="268"/>
      <c r="RLO823" s="268"/>
      <c r="RLP823" s="268"/>
      <c r="RLQ823" s="268"/>
      <c r="RLR823" s="268"/>
      <c r="RLS823" s="268"/>
      <c r="RLT823" s="268"/>
      <c r="RLU823" s="268"/>
      <c r="RLV823" s="268"/>
      <c r="RLW823" s="268"/>
      <c r="RLX823" s="268"/>
      <c r="RLY823" s="268"/>
      <c r="RLZ823" s="268"/>
      <c r="RMA823" s="268"/>
      <c r="RMB823" s="268"/>
      <c r="RMC823" s="268"/>
      <c r="RMD823" s="268"/>
      <c r="RME823" s="268"/>
      <c r="RMF823" s="268"/>
      <c r="RMG823" s="268"/>
      <c r="RMH823" s="268"/>
      <c r="RMI823" s="268"/>
      <c r="RMJ823" s="268"/>
      <c r="RMK823" s="268"/>
      <c r="RML823" s="268"/>
      <c r="RMM823" s="268"/>
      <c r="RMN823" s="268"/>
      <c r="RMO823" s="268"/>
      <c r="RMP823" s="268"/>
      <c r="RMQ823" s="268"/>
      <c r="RMR823" s="268"/>
      <c r="RMS823" s="268"/>
      <c r="RMT823" s="268"/>
      <c r="RMU823" s="268"/>
      <c r="RMV823" s="268"/>
      <c r="RMW823" s="268"/>
      <c r="RMX823" s="268"/>
      <c r="RMY823" s="268"/>
      <c r="RMZ823" s="268"/>
      <c r="RNA823" s="268"/>
      <c r="RNB823" s="268"/>
      <c r="RNC823" s="268"/>
      <c r="RNQ823" s="268"/>
      <c r="RNR823" s="268"/>
      <c r="RNS823" s="268"/>
      <c r="ROG823" s="268"/>
      <c r="ROI823" s="268"/>
      <c r="ROJ823" s="268"/>
      <c r="ROK823" s="268"/>
      <c r="ROL823" s="268"/>
      <c r="ROM823" s="268"/>
      <c r="RON823" s="268"/>
      <c r="ROO823" s="268"/>
      <c r="ROP823" s="268"/>
      <c r="ROQ823" s="268"/>
      <c r="ROR823" s="268"/>
      <c r="ROS823" s="268"/>
      <c r="ROT823" s="268"/>
      <c r="ROU823" s="268"/>
      <c r="ROV823" s="268"/>
      <c r="ROW823" s="268"/>
      <c r="ROX823" s="268"/>
      <c r="ROY823" s="268"/>
      <c r="ROZ823" s="268"/>
      <c r="RPA823" s="268"/>
      <c r="RPB823" s="268"/>
      <c r="RPC823" s="268"/>
      <c r="RPD823" s="268"/>
      <c r="RPE823" s="268"/>
      <c r="RPF823" s="268"/>
      <c r="RPG823" s="268"/>
      <c r="RPH823" s="268"/>
      <c r="RPI823" s="268"/>
      <c r="RPJ823" s="268"/>
      <c r="RPK823" s="268"/>
      <c r="RPL823" s="268"/>
      <c r="RPM823" s="268"/>
      <c r="RPN823" s="268"/>
      <c r="RPO823" s="268"/>
      <c r="RPP823" s="268"/>
      <c r="RPQ823" s="268"/>
      <c r="RPR823" s="268"/>
      <c r="RPS823" s="268"/>
      <c r="RPT823" s="268"/>
      <c r="RPU823" s="268"/>
      <c r="RPV823" s="268"/>
      <c r="RPW823" s="268"/>
      <c r="RPX823" s="268"/>
      <c r="RPY823" s="268"/>
      <c r="RPZ823" s="268"/>
      <c r="RQA823" s="268"/>
      <c r="RQB823" s="268"/>
      <c r="RQC823" s="268"/>
      <c r="RQD823" s="268"/>
      <c r="RQE823" s="268"/>
      <c r="RQF823" s="268"/>
      <c r="RQG823" s="268"/>
      <c r="RQH823" s="268"/>
      <c r="RQI823" s="268"/>
      <c r="RQJ823" s="268"/>
      <c r="RQK823" s="268"/>
      <c r="RQL823" s="268"/>
      <c r="RQM823" s="268"/>
      <c r="RQN823" s="268"/>
      <c r="RQO823" s="268"/>
      <c r="RQP823" s="268"/>
      <c r="RQQ823" s="268"/>
      <c r="RQR823" s="268"/>
      <c r="RQS823" s="268"/>
      <c r="RQT823" s="268"/>
      <c r="RQU823" s="268"/>
      <c r="RQV823" s="268"/>
      <c r="RQW823" s="268"/>
      <c r="RQX823" s="268"/>
      <c r="RQY823" s="268"/>
      <c r="RQZ823" s="268"/>
      <c r="RRA823" s="268"/>
      <c r="RRB823" s="268"/>
      <c r="RRC823" s="268"/>
      <c r="RRD823" s="268"/>
      <c r="RRE823" s="268"/>
      <c r="RRF823" s="268"/>
      <c r="RRG823" s="268"/>
      <c r="RRH823" s="268"/>
      <c r="RRI823" s="268"/>
      <c r="RRJ823" s="268"/>
      <c r="RRK823" s="268"/>
      <c r="RRL823" s="268"/>
      <c r="RRM823" s="268"/>
      <c r="RRN823" s="268"/>
      <c r="RRO823" s="268"/>
      <c r="RRP823" s="268"/>
      <c r="RRQ823" s="268"/>
      <c r="RRR823" s="268"/>
      <c r="RRS823" s="268"/>
      <c r="RRT823" s="268"/>
      <c r="RRU823" s="268"/>
      <c r="RRV823" s="268"/>
      <c r="RRW823" s="268"/>
      <c r="RRX823" s="268"/>
      <c r="RRY823" s="268"/>
      <c r="RRZ823" s="268"/>
      <c r="RSA823" s="268"/>
      <c r="RSB823" s="268"/>
      <c r="RSC823" s="268"/>
      <c r="RSD823" s="268"/>
      <c r="RSE823" s="268"/>
      <c r="RSF823" s="268"/>
      <c r="RSG823" s="268"/>
      <c r="RSH823" s="268"/>
      <c r="RSI823" s="268"/>
      <c r="RSJ823" s="268"/>
      <c r="RSK823" s="268"/>
      <c r="RSL823" s="268"/>
      <c r="RSM823" s="268"/>
      <c r="RSN823" s="268"/>
      <c r="RSO823" s="268"/>
      <c r="RSP823" s="268"/>
      <c r="RSQ823" s="268"/>
      <c r="RSR823" s="268"/>
      <c r="RSS823" s="268"/>
      <c r="RST823" s="268"/>
      <c r="RSU823" s="268"/>
      <c r="RSV823" s="268"/>
      <c r="RSW823" s="268"/>
      <c r="RSX823" s="268"/>
      <c r="RSY823" s="268"/>
      <c r="RSZ823" s="268"/>
      <c r="RTA823" s="268"/>
      <c r="RTB823" s="268"/>
      <c r="RTC823" s="268"/>
      <c r="RTD823" s="268"/>
      <c r="RTE823" s="268"/>
      <c r="RTF823" s="268"/>
      <c r="RTG823" s="268"/>
      <c r="RTH823" s="268"/>
      <c r="RTI823" s="268"/>
      <c r="RTJ823" s="268"/>
      <c r="RTK823" s="268"/>
      <c r="RTL823" s="268"/>
      <c r="RTM823" s="268"/>
      <c r="RTN823" s="268"/>
      <c r="RTO823" s="268"/>
      <c r="RTP823" s="268"/>
      <c r="RTQ823" s="268"/>
      <c r="RTR823" s="268"/>
      <c r="RTS823" s="268"/>
      <c r="RTT823" s="268"/>
      <c r="RTU823" s="268"/>
      <c r="RTV823" s="268"/>
      <c r="RTW823" s="268"/>
      <c r="RTX823" s="268"/>
      <c r="RTY823" s="268"/>
      <c r="RTZ823" s="268"/>
      <c r="RUA823" s="268"/>
      <c r="RUB823" s="268"/>
      <c r="RUC823" s="268"/>
      <c r="RUD823" s="268"/>
      <c r="RUE823" s="268"/>
      <c r="RUF823" s="268"/>
      <c r="RUG823" s="268"/>
      <c r="RUH823" s="268"/>
      <c r="RUI823" s="268"/>
      <c r="RUJ823" s="268"/>
      <c r="RUK823" s="268"/>
      <c r="RUL823" s="268"/>
      <c r="RUM823" s="268"/>
      <c r="RUN823" s="268"/>
      <c r="RUO823" s="268"/>
      <c r="RUP823" s="268"/>
      <c r="RUQ823" s="268"/>
      <c r="RUR823" s="268"/>
      <c r="RUS823" s="268"/>
      <c r="RUT823" s="268"/>
      <c r="RUU823" s="268"/>
      <c r="RUV823" s="268"/>
      <c r="RUW823" s="268"/>
      <c r="RUX823" s="268"/>
      <c r="RUY823" s="268"/>
      <c r="RUZ823" s="268"/>
      <c r="RVA823" s="268"/>
      <c r="RVB823" s="268"/>
      <c r="RVC823" s="268"/>
      <c r="RVD823" s="268"/>
      <c r="RVE823" s="268"/>
      <c r="RVF823" s="268"/>
      <c r="RVG823" s="268"/>
      <c r="RVH823" s="268"/>
      <c r="RVI823" s="268"/>
      <c r="RVJ823" s="268"/>
      <c r="RVK823" s="268"/>
      <c r="RVL823" s="268"/>
      <c r="RVM823" s="268"/>
      <c r="RVN823" s="268"/>
      <c r="RVO823" s="268"/>
      <c r="RVP823" s="268"/>
      <c r="RVQ823" s="268"/>
      <c r="RVR823" s="268"/>
      <c r="RVS823" s="268"/>
      <c r="RVT823" s="268"/>
      <c r="RVU823" s="268"/>
      <c r="RVV823" s="268"/>
      <c r="RVW823" s="268"/>
      <c r="RVX823" s="268"/>
      <c r="RVY823" s="268"/>
      <c r="RVZ823" s="268"/>
      <c r="RWA823" s="268"/>
      <c r="RWB823" s="268"/>
      <c r="RWC823" s="268"/>
      <c r="RWD823" s="268"/>
      <c r="RWE823" s="268"/>
      <c r="RWF823" s="268"/>
      <c r="RWG823" s="268"/>
      <c r="RWH823" s="268"/>
      <c r="RWI823" s="268"/>
      <c r="RWJ823" s="268"/>
      <c r="RWK823" s="268"/>
      <c r="RWL823" s="268"/>
      <c r="RWM823" s="268"/>
      <c r="RWN823" s="268"/>
      <c r="RWO823" s="268"/>
      <c r="RWP823" s="268"/>
      <c r="RWQ823" s="268"/>
      <c r="RWR823" s="268"/>
      <c r="RWS823" s="268"/>
      <c r="RWT823" s="268"/>
      <c r="RWU823" s="268"/>
      <c r="RWV823" s="268"/>
      <c r="RWW823" s="268"/>
      <c r="RWX823" s="268"/>
      <c r="RWY823" s="268"/>
      <c r="RXM823" s="268"/>
      <c r="RXN823" s="268"/>
      <c r="RXO823" s="268"/>
      <c r="RYC823" s="268"/>
      <c r="RYE823" s="268"/>
      <c r="RYF823" s="268"/>
      <c r="RYG823" s="268"/>
      <c r="RYH823" s="268"/>
      <c r="RYI823" s="268"/>
      <c r="RYJ823" s="268"/>
      <c r="RYK823" s="268"/>
      <c r="RYL823" s="268"/>
      <c r="RYM823" s="268"/>
      <c r="RYN823" s="268"/>
      <c r="RYO823" s="268"/>
      <c r="RYP823" s="268"/>
      <c r="RYQ823" s="268"/>
      <c r="RYR823" s="268"/>
      <c r="RYS823" s="268"/>
      <c r="RYT823" s="268"/>
      <c r="RYU823" s="268"/>
      <c r="RYV823" s="268"/>
      <c r="RYW823" s="268"/>
      <c r="RYX823" s="268"/>
      <c r="RYY823" s="268"/>
      <c r="RYZ823" s="268"/>
      <c r="RZA823" s="268"/>
      <c r="RZB823" s="268"/>
      <c r="RZC823" s="268"/>
      <c r="RZD823" s="268"/>
      <c r="RZE823" s="268"/>
      <c r="RZF823" s="268"/>
      <c r="RZG823" s="268"/>
      <c r="RZH823" s="268"/>
      <c r="RZI823" s="268"/>
      <c r="RZJ823" s="268"/>
      <c r="RZK823" s="268"/>
      <c r="RZL823" s="268"/>
      <c r="RZM823" s="268"/>
      <c r="RZN823" s="268"/>
      <c r="RZO823" s="268"/>
      <c r="RZP823" s="268"/>
      <c r="RZQ823" s="268"/>
      <c r="RZR823" s="268"/>
      <c r="RZS823" s="268"/>
      <c r="RZT823" s="268"/>
      <c r="RZU823" s="268"/>
      <c r="RZV823" s="268"/>
      <c r="RZW823" s="268"/>
      <c r="RZX823" s="268"/>
      <c r="RZY823" s="268"/>
      <c r="RZZ823" s="268"/>
      <c r="SAA823" s="268"/>
      <c r="SAB823" s="268"/>
      <c r="SAC823" s="268"/>
      <c r="SAD823" s="268"/>
      <c r="SAE823" s="268"/>
      <c r="SAF823" s="268"/>
      <c r="SAG823" s="268"/>
      <c r="SAH823" s="268"/>
      <c r="SAI823" s="268"/>
      <c r="SAJ823" s="268"/>
      <c r="SAK823" s="268"/>
      <c r="SAL823" s="268"/>
      <c r="SAM823" s="268"/>
      <c r="SAN823" s="268"/>
      <c r="SAO823" s="268"/>
      <c r="SAP823" s="268"/>
      <c r="SAQ823" s="268"/>
      <c r="SAR823" s="268"/>
      <c r="SAS823" s="268"/>
      <c r="SAT823" s="268"/>
      <c r="SAU823" s="268"/>
      <c r="SAV823" s="268"/>
      <c r="SAW823" s="268"/>
      <c r="SAX823" s="268"/>
      <c r="SAY823" s="268"/>
      <c r="SAZ823" s="268"/>
      <c r="SBA823" s="268"/>
      <c r="SBB823" s="268"/>
      <c r="SBC823" s="268"/>
      <c r="SBD823" s="268"/>
      <c r="SBE823" s="268"/>
      <c r="SBF823" s="268"/>
      <c r="SBG823" s="268"/>
      <c r="SBH823" s="268"/>
      <c r="SBI823" s="268"/>
      <c r="SBJ823" s="268"/>
      <c r="SBK823" s="268"/>
      <c r="SBL823" s="268"/>
      <c r="SBM823" s="268"/>
      <c r="SBN823" s="268"/>
      <c r="SBO823" s="268"/>
      <c r="SBP823" s="268"/>
      <c r="SBQ823" s="268"/>
      <c r="SBR823" s="268"/>
      <c r="SBS823" s="268"/>
      <c r="SBT823" s="268"/>
      <c r="SBU823" s="268"/>
      <c r="SBV823" s="268"/>
      <c r="SBW823" s="268"/>
      <c r="SBX823" s="268"/>
      <c r="SBY823" s="268"/>
      <c r="SBZ823" s="268"/>
      <c r="SCA823" s="268"/>
      <c r="SCB823" s="268"/>
      <c r="SCC823" s="268"/>
      <c r="SCD823" s="268"/>
      <c r="SCE823" s="268"/>
      <c r="SCF823" s="268"/>
      <c r="SCG823" s="268"/>
      <c r="SCH823" s="268"/>
      <c r="SCI823" s="268"/>
      <c r="SCJ823" s="268"/>
      <c r="SCK823" s="268"/>
      <c r="SCL823" s="268"/>
      <c r="SCM823" s="268"/>
      <c r="SCN823" s="268"/>
      <c r="SCO823" s="268"/>
      <c r="SCP823" s="268"/>
      <c r="SCQ823" s="268"/>
      <c r="SCR823" s="268"/>
      <c r="SCS823" s="268"/>
      <c r="SCT823" s="268"/>
      <c r="SCU823" s="268"/>
      <c r="SCV823" s="268"/>
      <c r="SCW823" s="268"/>
      <c r="SCX823" s="268"/>
      <c r="SCY823" s="268"/>
      <c r="SCZ823" s="268"/>
      <c r="SDA823" s="268"/>
      <c r="SDB823" s="268"/>
      <c r="SDC823" s="268"/>
      <c r="SDD823" s="268"/>
      <c r="SDE823" s="268"/>
      <c r="SDF823" s="268"/>
      <c r="SDG823" s="268"/>
      <c r="SDH823" s="268"/>
      <c r="SDI823" s="268"/>
      <c r="SDJ823" s="268"/>
      <c r="SDK823" s="268"/>
      <c r="SDL823" s="268"/>
      <c r="SDM823" s="268"/>
      <c r="SDN823" s="268"/>
      <c r="SDO823" s="268"/>
      <c r="SDP823" s="268"/>
      <c r="SDQ823" s="268"/>
      <c r="SDR823" s="268"/>
      <c r="SDS823" s="268"/>
      <c r="SDT823" s="268"/>
      <c r="SDU823" s="268"/>
      <c r="SDV823" s="268"/>
      <c r="SDW823" s="268"/>
      <c r="SDX823" s="268"/>
      <c r="SDY823" s="268"/>
      <c r="SDZ823" s="268"/>
      <c r="SEA823" s="268"/>
      <c r="SEB823" s="268"/>
      <c r="SEC823" s="268"/>
      <c r="SED823" s="268"/>
      <c r="SEE823" s="268"/>
      <c r="SEF823" s="268"/>
      <c r="SEG823" s="268"/>
      <c r="SEH823" s="268"/>
      <c r="SEI823" s="268"/>
      <c r="SEJ823" s="268"/>
      <c r="SEK823" s="268"/>
      <c r="SEL823" s="268"/>
      <c r="SEM823" s="268"/>
      <c r="SEN823" s="268"/>
      <c r="SEO823" s="268"/>
      <c r="SEP823" s="268"/>
      <c r="SEQ823" s="268"/>
      <c r="SER823" s="268"/>
      <c r="SES823" s="268"/>
      <c r="SET823" s="268"/>
      <c r="SEU823" s="268"/>
      <c r="SEV823" s="268"/>
      <c r="SEW823" s="268"/>
      <c r="SEX823" s="268"/>
      <c r="SEY823" s="268"/>
      <c r="SEZ823" s="268"/>
      <c r="SFA823" s="268"/>
      <c r="SFB823" s="268"/>
      <c r="SFC823" s="268"/>
      <c r="SFD823" s="268"/>
      <c r="SFE823" s="268"/>
      <c r="SFF823" s="268"/>
      <c r="SFG823" s="268"/>
      <c r="SFH823" s="268"/>
      <c r="SFI823" s="268"/>
      <c r="SFJ823" s="268"/>
      <c r="SFK823" s="268"/>
      <c r="SFL823" s="268"/>
      <c r="SFM823" s="268"/>
      <c r="SFN823" s="268"/>
      <c r="SFO823" s="268"/>
      <c r="SFP823" s="268"/>
      <c r="SFQ823" s="268"/>
      <c r="SFR823" s="268"/>
      <c r="SFS823" s="268"/>
      <c r="SFT823" s="268"/>
      <c r="SFU823" s="268"/>
      <c r="SFV823" s="268"/>
      <c r="SFW823" s="268"/>
      <c r="SFX823" s="268"/>
      <c r="SFY823" s="268"/>
      <c r="SFZ823" s="268"/>
      <c r="SGA823" s="268"/>
      <c r="SGB823" s="268"/>
      <c r="SGC823" s="268"/>
      <c r="SGD823" s="268"/>
      <c r="SGE823" s="268"/>
      <c r="SGF823" s="268"/>
      <c r="SGG823" s="268"/>
      <c r="SGH823" s="268"/>
      <c r="SGI823" s="268"/>
      <c r="SGJ823" s="268"/>
      <c r="SGK823" s="268"/>
      <c r="SGL823" s="268"/>
      <c r="SGM823" s="268"/>
      <c r="SGN823" s="268"/>
      <c r="SGO823" s="268"/>
      <c r="SGP823" s="268"/>
      <c r="SGQ823" s="268"/>
      <c r="SGR823" s="268"/>
      <c r="SGS823" s="268"/>
      <c r="SGT823" s="268"/>
      <c r="SGU823" s="268"/>
      <c r="SHI823" s="268"/>
      <c r="SHJ823" s="268"/>
      <c r="SHK823" s="268"/>
      <c r="SHY823" s="268"/>
      <c r="SIA823" s="268"/>
      <c r="SIB823" s="268"/>
      <c r="SIC823" s="268"/>
      <c r="SID823" s="268"/>
      <c r="SIE823" s="268"/>
      <c r="SIF823" s="268"/>
      <c r="SIG823" s="268"/>
      <c r="SIH823" s="268"/>
      <c r="SII823" s="268"/>
      <c r="SIJ823" s="268"/>
      <c r="SIK823" s="268"/>
      <c r="SIL823" s="268"/>
      <c r="SIM823" s="268"/>
      <c r="SIN823" s="268"/>
      <c r="SIO823" s="268"/>
      <c r="SIP823" s="268"/>
      <c r="SIQ823" s="268"/>
      <c r="SIR823" s="268"/>
      <c r="SIS823" s="268"/>
      <c r="SIT823" s="268"/>
      <c r="SIU823" s="268"/>
      <c r="SIV823" s="268"/>
      <c r="SIW823" s="268"/>
      <c r="SIX823" s="268"/>
      <c r="SIY823" s="268"/>
      <c r="SIZ823" s="268"/>
      <c r="SJA823" s="268"/>
      <c r="SJB823" s="268"/>
      <c r="SJC823" s="268"/>
      <c r="SJD823" s="268"/>
      <c r="SJE823" s="268"/>
      <c r="SJF823" s="268"/>
      <c r="SJG823" s="268"/>
      <c r="SJH823" s="268"/>
      <c r="SJI823" s="268"/>
      <c r="SJJ823" s="268"/>
      <c r="SJK823" s="268"/>
      <c r="SJL823" s="268"/>
      <c r="SJM823" s="268"/>
      <c r="SJN823" s="268"/>
      <c r="SJO823" s="268"/>
      <c r="SJP823" s="268"/>
      <c r="SJQ823" s="268"/>
      <c r="SJR823" s="268"/>
      <c r="SJS823" s="268"/>
      <c r="SJT823" s="268"/>
      <c r="SJU823" s="268"/>
      <c r="SJV823" s="268"/>
      <c r="SJW823" s="268"/>
      <c r="SJX823" s="268"/>
      <c r="SJY823" s="268"/>
      <c r="SJZ823" s="268"/>
      <c r="SKA823" s="268"/>
      <c r="SKB823" s="268"/>
      <c r="SKC823" s="268"/>
      <c r="SKD823" s="268"/>
      <c r="SKE823" s="268"/>
      <c r="SKF823" s="268"/>
      <c r="SKG823" s="268"/>
      <c r="SKH823" s="268"/>
      <c r="SKI823" s="268"/>
      <c r="SKJ823" s="268"/>
      <c r="SKK823" s="268"/>
      <c r="SKL823" s="268"/>
      <c r="SKM823" s="268"/>
      <c r="SKN823" s="268"/>
      <c r="SKO823" s="268"/>
      <c r="SKP823" s="268"/>
      <c r="SKQ823" s="268"/>
      <c r="SKR823" s="268"/>
      <c r="SKS823" s="268"/>
      <c r="SKT823" s="268"/>
      <c r="SKU823" s="268"/>
      <c r="SKV823" s="268"/>
      <c r="SKW823" s="268"/>
      <c r="SKX823" s="268"/>
      <c r="SKY823" s="268"/>
      <c r="SKZ823" s="268"/>
      <c r="SLA823" s="268"/>
      <c r="SLB823" s="268"/>
      <c r="SLC823" s="268"/>
      <c r="SLD823" s="268"/>
      <c r="SLE823" s="268"/>
      <c r="SLF823" s="268"/>
      <c r="SLG823" s="268"/>
      <c r="SLH823" s="268"/>
      <c r="SLI823" s="268"/>
      <c r="SLJ823" s="268"/>
      <c r="SLK823" s="268"/>
      <c r="SLL823" s="268"/>
      <c r="SLM823" s="268"/>
      <c r="SLN823" s="268"/>
      <c r="SLO823" s="268"/>
      <c r="SLP823" s="268"/>
      <c r="SLQ823" s="268"/>
      <c r="SLR823" s="268"/>
      <c r="SLS823" s="268"/>
      <c r="SLT823" s="268"/>
      <c r="SLU823" s="268"/>
      <c r="SLV823" s="268"/>
      <c r="SLW823" s="268"/>
      <c r="SLX823" s="268"/>
      <c r="SLY823" s="268"/>
      <c r="SLZ823" s="268"/>
      <c r="SMA823" s="268"/>
      <c r="SMB823" s="268"/>
      <c r="SMC823" s="268"/>
      <c r="SMD823" s="268"/>
      <c r="SME823" s="268"/>
      <c r="SMF823" s="268"/>
      <c r="SMG823" s="268"/>
      <c r="SMH823" s="268"/>
      <c r="SMI823" s="268"/>
      <c r="SMJ823" s="268"/>
      <c r="SMK823" s="268"/>
      <c r="SML823" s="268"/>
      <c r="SMM823" s="268"/>
      <c r="SMN823" s="268"/>
      <c r="SMO823" s="268"/>
      <c r="SMP823" s="268"/>
      <c r="SMQ823" s="268"/>
      <c r="SMR823" s="268"/>
      <c r="SMS823" s="268"/>
      <c r="SMT823" s="268"/>
      <c r="SMU823" s="268"/>
      <c r="SMV823" s="268"/>
      <c r="SMW823" s="268"/>
      <c r="SMX823" s="268"/>
      <c r="SMY823" s="268"/>
      <c r="SMZ823" s="268"/>
      <c r="SNA823" s="268"/>
      <c r="SNB823" s="268"/>
      <c r="SNC823" s="268"/>
      <c r="SND823" s="268"/>
      <c r="SNE823" s="268"/>
      <c r="SNF823" s="268"/>
      <c r="SNG823" s="268"/>
      <c r="SNH823" s="268"/>
      <c r="SNI823" s="268"/>
      <c r="SNJ823" s="268"/>
      <c r="SNK823" s="268"/>
      <c r="SNL823" s="268"/>
      <c r="SNM823" s="268"/>
      <c r="SNN823" s="268"/>
      <c r="SNO823" s="268"/>
      <c r="SNP823" s="268"/>
      <c r="SNQ823" s="268"/>
      <c r="SNR823" s="268"/>
      <c r="SNS823" s="268"/>
      <c r="SNT823" s="268"/>
      <c r="SNU823" s="268"/>
      <c r="SNV823" s="268"/>
      <c r="SNW823" s="268"/>
      <c r="SNX823" s="268"/>
      <c r="SNY823" s="268"/>
      <c r="SNZ823" s="268"/>
      <c r="SOA823" s="268"/>
      <c r="SOB823" s="268"/>
      <c r="SOC823" s="268"/>
      <c r="SOD823" s="268"/>
      <c r="SOE823" s="268"/>
      <c r="SOF823" s="268"/>
      <c r="SOG823" s="268"/>
      <c r="SOH823" s="268"/>
      <c r="SOI823" s="268"/>
      <c r="SOJ823" s="268"/>
      <c r="SOK823" s="268"/>
      <c r="SOL823" s="268"/>
      <c r="SOM823" s="268"/>
      <c r="SON823" s="268"/>
      <c r="SOO823" s="268"/>
      <c r="SOP823" s="268"/>
      <c r="SOQ823" s="268"/>
      <c r="SOR823" s="268"/>
      <c r="SOS823" s="268"/>
      <c r="SOT823" s="268"/>
      <c r="SOU823" s="268"/>
      <c r="SOV823" s="268"/>
      <c r="SOW823" s="268"/>
      <c r="SOX823" s="268"/>
      <c r="SOY823" s="268"/>
      <c r="SOZ823" s="268"/>
      <c r="SPA823" s="268"/>
      <c r="SPB823" s="268"/>
      <c r="SPC823" s="268"/>
      <c r="SPD823" s="268"/>
      <c r="SPE823" s="268"/>
      <c r="SPF823" s="268"/>
      <c r="SPG823" s="268"/>
      <c r="SPH823" s="268"/>
      <c r="SPI823" s="268"/>
      <c r="SPJ823" s="268"/>
      <c r="SPK823" s="268"/>
      <c r="SPL823" s="268"/>
      <c r="SPM823" s="268"/>
      <c r="SPN823" s="268"/>
      <c r="SPO823" s="268"/>
      <c r="SPP823" s="268"/>
      <c r="SPQ823" s="268"/>
      <c r="SPR823" s="268"/>
      <c r="SPS823" s="268"/>
      <c r="SPT823" s="268"/>
      <c r="SPU823" s="268"/>
      <c r="SPV823" s="268"/>
      <c r="SPW823" s="268"/>
      <c r="SPX823" s="268"/>
      <c r="SPY823" s="268"/>
      <c r="SPZ823" s="268"/>
      <c r="SQA823" s="268"/>
      <c r="SQB823" s="268"/>
      <c r="SQC823" s="268"/>
      <c r="SQD823" s="268"/>
      <c r="SQE823" s="268"/>
      <c r="SQF823" s="268"/>
      <c r="SQG823" s="268"/>
      <c r="SQH823" s="268"/>
      <c r="SQI823" s="268"/>
      <c r="SQJ823" s="268"/>
      <c r="SQK823" s="268"/>
      <c r="SQL823" s="268"/>
      <c r="SQM823" s="268"/>
      <c r="SQN823" s="268"/>
      <c r="SQO823" s="268"/>
      <c r="SQP823" s="268"/>
      <c r="SQQ823" s="268"/>
      <c r="SRE823" s="268"/>
      <c r="SRF823" s="268"/>
      <c r="SRG823" s="268"/>
      <c r="SRU823" s="268"/>
      <c r="SRW823" s="268"/>
      <c r="SRX823" s="268"/>
      <c r="SRY823" s="268"/>
      <c r="SRZ823" s="268"/>
      <c r="SSA823" s="268"/>
      <c r="SSB823" s="268"/>
      <c r="SSC823" s="268"/>
      <c r="SSD823" s="268"/>
      <c r="SSE823" s="268"/>
      <c r="SSF823" s="268"/>
      <c r="SSG823" s="268"/>
      <c r="SSH823" s="268"/>
      <c r="SSI823" s="268"/>
      <c r="SSJ823" s="268"/>
      <c r="SSK823" s="268"/>
      <c r="SSL823" s="268"/>
      <c r="SSM823" s="268"/>
      <c r="SSN823" s="268"/>
      <c r="SSO823" s="268"/>
      <c r="SSP823" s="268"/>
      <c r="SSQ823" s="268"/>
      <c r="SSR823" s="268"/>
      <c r="SSS823" s="268"/>
      <c r="SST823" s="268"/>
      <c r="SSU823" s="268"/>
      <c r="SSV823" s="268"/>
      <c r="SSW823" s="268"/>
      <c r="SSX823" s="268"/>
      <c r="SSY823" s="268"/>
      <c r="SSZ823" s="268"/>
      <c r="STA823" s="268"/>
      <c r="STB823" s="268"/>
      <c r="STC823" s="268"/>
      <c r="STD823" s="268"/>
      <c r="STE823" s="268"/>
      <c r="STF823" s="268"/>
      <c r="STG823" s="268"/>
      <c r="STH823" s="268"/>
      <c r="STI823" s="268"/>
      <c r="STJ823" s="268"/>
      <c r="STK823" s="268"/>
      <c r="STL823" s="268"/>
      <c r="STM823" s="268"/>
      <c r="STN823" s="268"/>
      <c r="STO823" s="268"/>
      <c r="STP823" s="268"/>
      <c r="STQ823" s="268"/>
      <c r="STR823" s="268"/>
      <c r="STS823" s="268"/>
      <c r="STT823" s="268"/>
      <c r="STU823" s="268"/>
      <c r="STV823" s="268"/>
      <c r="STW823" s="268"/>
      <c r="STX823" s="268"/>
      <c r="STY823" s="268"/>
      <c r="STZ823" s="268"/>
      <c r="SUA823" s="268"/>
      <c r="SUB823" s="268"/>
      <c r="SUC823" s="268"/>
      <c r="SUD823" s="268"/>
      <c r="SUE823" s="268"/>
      <c r="SUF823" s="268"/>
      <c r="SUG823" s="268"/>
      <c r="SUH823" s="268"/>
      <c r="SUI823" s="268"/>
      <c r="SUJ823" s="268"/>
      <c r="SUK823" s="268"/>
      <c r="SUL823" s="268"/>
      <c r="SUM823" s="268"/>
      <c r="SUN823" s="268"/>
      <c r="SUO823" s="268"/>
      <c r="SUP823" s="268"/>
      <c r="SUQ823" s="268"/>
      <c r="SUR823" s="268"/>
      <c r="SUS823" s="268"/>
      <c r="SUT823" s="268"/>
      <c r="SUU823" s="268"/>
      <c r="SUV823" s="268"/>
      <c r="SUW823" s="268"/>
      <c r="SUX823" s="268"/>
      <c r="SUY823" s="268"/>
      <c r="SUZ823" s="268"/>
      <c r="SVA823" s="268"/>
      <c r="SVB823" s="268"/>
      <c r="SVC823" s="268"/>
      <c r="SVD823" s="268"/>
      <c r="SVE823" s="268"/>
      <c r="SVF823" s="268"/>
      <c r="SVG823" s="268"/>
      <c r="SVH823" s="268"/>
      <c r="SVI823" s="268"/>
      <c r="SVJ823" s="268"/>
      <c r="SVK823" s="268"/>
      <c r="SVL823" s="268"/>
      <c r="SVM823" s="268"/>
      <c r="SVN823" s="268"/>
      <c r="SVO823" s="268"/>
      <c r="SVP823" s="268"/>
      <c r="SVQ823" s="268"/>
      <c r="SVR823" s="268"/>
      <c r="SVS823" s="268"/>
      <c r="SVT823" s="268"/>
      <c r="SVU823" s="268"/>
      <c r="SVV823" s="268"/>
      <c r="SVW823" s="268"/>
      <c r="SVX823" s="268"/>
      <c r="SVY823" s="268"/>
      <c r="SVZ823" s="268"/>
      <c r="SWA823" s="268"/>
      <c r="SWB823" s="268"/>
      <c r="SWC823" s="268"/>
      <c r="SWD823" s="268"/>
      <c r="SWE823" s="268"/>
      <c r="SWF823" s="268"/>
      <c r="SWG823" s="268"/>
      <c r="SWH823" s="268"/>
      <c r="SWI823" s="268"/>
      <c r="SWJ823" s="268"/>
      <c r="SWK823" s="268"/>
      <c r="SWL823" s="268"/>
      <c r="SWM823" s="268"/>
      <c r="SWN823" s="268"/>
      <c r="SWO823" s="268"/>
      <c r="SWP823" s="268"/>
      <c r="SWQ823" s="268"/>
      <c r="SWR823" s="268"/>
      <c r="SWS823" s="268"/>
      <c r="SWT823" s="268"/>
      <c r="SWU823" s="268"/>
      <c r="SWV823" s="268"/>
      <c r="SWW823" s="268"/>
      <c r="SWX823" s="268"/>
      <c r="SWY823" s="268"/>
      <c r="SWZ823" s="268"/>
      <c r="SXA823" s="268"/>
      <c r="SXB823" s="268"/>
      <c r="SXC823" s="268"/>
      <c r="SXD823" s="268"/>
      <c r="SXE823" s="268"/>
      <c r="SXF823" s="268"/>
      <c r="SXG823" s="268"/>
      <c r="SXH823" s="268"/>
      <c r="SXI823" s="268"/>
      <c r="SXJ823" s="268"/>
      <c r="SXK823" s="268"/>
      <c r="SXL823" s="268"/>
      <c r="SXM823" s="268"/>
      <c r="SXN823" s="268"/>
      <c r="SXO823" s="268"/>
      <c r="SXP823" s="268"/>
      <c r="SXQ823" s="268"/>
      <c r="SXR823" s="268"/>
      <c r="SXS823" s="268"/>
      <c r="SXT823" s="268"/>
      <c r="SXU823" s="268"/>
      <c r="SXV823" s="268"/>
      <c r="SXW823" s="268"/>
      <c r="SXX823" s="268"/>
      <c r="SXY823" s="268"/>
      <c r="SXZ823" s="268"/>
      <c r="SYA823" s="268"/>
      <c r="SYB823" s="268"/>
      <c r="SYC823" s="268"/>
      <c r="SYD823" s="268"/>
      <c r="SYE823" s="268"/>
      <c r="SYF823" s="268"/>
      <c r="SYG823" s="268"/>
      <c r="SYH823" s="268"/>
      <c r="SYI823" s="268"/>
      <c r="SYJ823" s="268"/>
      <c r="SYK823" s="268"/>
      <c r="SYL823" s="268"/>
      <c r="SYM823" s="268"/>
      <c r="SYN823" s="268"/>
      <c r="SYO823" s="268"/>
      <c r="SYP823" s="268"/>
      <c r="SYQ823" s="268"/>
      <c r="SYR823" s="268"/>
      <c r="SYS823" s="268"/>
      <c r="SYT823" s="268"/>
      <c r="SYU823" s="268"/>
      <c r="SYV823" s="268"/>
      <c r="SYW823" s="268"/>
      <c r="SYX823" s="268"/>
      <c r="SYY823" s="268"/>
      <c r="SYZ823" s="268"/>
      <c r="SZA823" s="268"/>
      <c r="SZB823" s="268"/>
      <c r="SZC823" s="268"/>
      <c r="SZD823" s="268"/>
      <c r="SZE823" s="268"/>
      <c r="SZF823" s="268"/>
      <c r="SZG823" s="268"/>
      <c r="SZH823" s="268"/>
      <c r="SZI823" s="268"/>
      <c r="SZJ823" s="268"/>
      <c r="SZK823" s="268"/>
      <c r="SZL823" s="268"/>
      <c r="SZM823" s="268"/>
      <c r="SZN823" s="268"/>
      <c r="SZO823" s="268"/>
      <c r="SZP823" s="268"/>
      <c r="SZQ823" s="268"/>
      <c r="SZR823" s="268"/>
      <c r="SZS823" s="268"/>
      <c r="SZT823" s="268"/>
      <c r="SZU823" s="268"/>
      <c r="SZV823" s="268"/>
      <c r="SZW823" s="268"/>
      <c r="SZX823" s="268"/>
      <c r="SZY823" s="268"/>
      <c r="SZZ823" s="268"/>
      <c r="TAA823" s="268"/>
      <c r="TAB823" s="268"/>
      <c r="TAC823" s="268"/>
      <c r="TAD823" s="268"/>
      <c r="TAE823" s="268"/>
      <c r="TAF823" s="268"/>
      <c r="TAG823" s="268"/>
      <c r="TAH823" s="268"/>
      <c r="TAI823" s="268"/>
      <c r="TAJ823" s="268"/>
      <c r="TAK823" s="268"/>
      <c r="TAL823" s="268"/>
      <c r="TAM823" s="268"/>
      <c r="TBA823" s="268"/>
      <c r="TBB823" s="268"/>
      <c r="TBC823" s="268"/>
      <c r="TBQ823" s="268"/>
      <c r="TBS823" s="268"/>
      <c r="TBT823" s="268"/>
      <c r="TBU823" s="268"/>
      <c r="TBV823" s="268"/>
      <c r="TBW823" s="268"/>
      <c r="TBX823" s="268"/>
      <c r="TBY823" s="268"/>
      <c r="TBZ823" s="268"/>
      <c r="TCA823" s="268"/>
      <c r="TCB823" s="268"/>
      <c r="TCC823" s="268"/>
      <c r="TCD823" s="268"/>
      <c r="TCE823" s="268"/>
      <c r="TCF823" s="268"/>
      <c r="TCG823" s="268"/>
      <c r="TCH823" s="268"/>
      <c r="TCI823" s="268"/>
      <c r="TCJ823" s="268"/>
      <c r="TCK823" s="268"/>
      <c r="TCL823" s="268"/>
      <c r="TCM823" s="268"/>
      <c r="TCN823" s="268"/>
      <c r="TCO823" s="268"/>
      <c r="TCP823" s="268"/>
      <c r="TCQ823" s="268"/>
      <c r="TCR823" s="268"/>
      <c r="TCS823" s="268"/>
      <c r="TCT823" s="268"/>
      <c r="TCU823" s="268"/>
      <c r="TCV823" s="268"/>
      <c r="TCW823" s="268"/>
      <c r="TCX823" s="268"/>
      <c r="TCY823" s="268"/>
      <c r="TCZ823" s="268"/>
      <c r="TDA823" s="268"/>
      <c r="TDB823" s="268"/>
      <c r="TDC823" s="268"/>
      <c r="TDD823" s="268"/>
      <c r="TDE823" s="268"/>
      <c r="TDF823" s="268"/>
      <c r="TDG823" s="268"/>
      <c r="TDH823" s="268"/>
      <c r="TDI823" s="268"/>
      <c r="TDJ823" s="268"/>
      <c r="TDK823" s="268"/>
      <c r="TDL823" s="268"/>
      <c r="TDM823" s="268"/>
      <c r="TDN823" s="268"/>
      <c r="TDO823" s="268"/>
      <c r="TDP823" s="268"/>
      <c r="TDQ823" s="268"/>
      <c r="TDR823" s="268"/>
      <c r="TDS823" s="268"/>
      <c r="TDT823" s="268"/>
      <c r="TDU823" s="268"/>
      <c r="TDV823" s="268"/>
      <c r="TDW823" s="268"/>
      <c r="TDX823" s="268"/>
      <c r="TDY823" s="268"/>
      <c r="TDZ823" s="268"/>
      <c r="TEA823" s="268"/>
      <c r="TEB823" s="268"/>
      <c r="TEC823" s="268"/>
      <c r="TED823" s="268"/>
      <c r="TEE823" s="268"/>
      <c r="TEF823" s="268"/>
      <c r="TEG823" s="268"/>
      <c r="TEH823" s="268"/>
      <c r="TEI823" s="268"/>
      <c r="TEJ823" s="268"/>
      <c r="TEK823" s="268"/>
      <c r="TEL823" s="268"/>
      <c r="TEM823" s="268"/>
      <c r="TEN823" s="268"/>
      <c r="TEO823" s="268"/>
      <c r="TEP823" s="268"/>
      <c r="TEQ823" s="268"/>
      <c r="TER823" s="268"/>
      <c r="TES823" s="268"/>
      <c r="TET823" s="268"/>
      <c r="TEU823" s="268"/>
      <c r="TEV823" s="268"/>
      <c r="TEW823" s="268"/>
      <c r="TEX823" s="268"/>
      <c r="TEY823" s="268"/>
      <c r="TEZ823" s="268"/>
      <c r="TFA823" s="268"/>
      <c r="TFB823" s="268"/>
      <c r="TFC823" s="268"/>
      <c r="TFD823" s="268"/>
      <c r="TFE823" s="268"/>
      <c r="TFF823" s="268"/>
      <c r="TFG823" s="268"/>
      <c r="TFH823" s="268"/>
      <c r="TFI823" s="268"/>
      <c r="TFJ823" s="268"/>
      <c r="TFK823" s="268"/>
      <c r="TFL823" s="268"/>
      <c r="TFM823" s="268"/>
      <c r="TFN823" s="268"/>
      <c r="TFO823" s="268"/>
      <c r="TFP823" s="268"/>
      <c r="TFQ823" s="268"/>
      <c r="TFR823" s="268"/>
      <c r="TFS823" s="268"/>
      <c r="TFT823" s="268"/>
      <c r="TFU823" s="268"/>
      <c r="TFV823" s="268"/>
      <c r="TFW823" s="268"/>
      <c r="TFX823" s="268"/>
      <c r="TFY823" s="268"/>
      <c r="TFZ823" s="268"/>
      <c r="TGA823" s="268"/>
      <c r="TGB823" s="268"/>
      <c r="TGC823" s="268"/>
      <c r="TGD823" s="268"/>
      <c r="TGE823" s="268"/>
      <c r="TGF823" s="268"/>
      <c r="TGG823" s="268"/>
      <c r="TGH823" s="268"/>
      <c r="TGI823" s="268"/>
      <c r="TGJ823" s="268"/>
      <c r="TGK823" s="268"/>
      <c r="TGL823" s="268"/>
      <c r="TGM823" s="268"/>
      <c r="TGN823" s="268"/>
      <c r="TGO823" s="268"/>
      <c r="TGP823" s="268"/>
      <c r="TGQ823" s="268"/>
      <c r="TGR823" s="268"/>
      <c r="TGS823" s="268"/>
      <c r="TGT823" s="268"/>
      <c r="TGU823" s="268"/>
      <c r="TGV823" s="268"/>
      <c r="TGW823" s="268"/>
      <c r="TGX823" s="268"/>
      <c r="TGY823" s="268"/>
      <c r="TGZ823" s="268"/>
      <c r="THA823" s="268"/>
      <c r="THB823" s="268"/>
      <c r="THC823" s="268"/>
      <c r="THD823" s="268"/>
      <c r="THE823" s="268"/>
      <c r="THF823" s="268"/>
      <c r="THG823" s="268"/>
      <c r="THH823" s="268"/>
      <c r="THI823" s="268"/>
      <c r="THJ823" s="268"/>
      <c r="THK823" s="268"/>
      <c r="THL823" s="268"/>
      <c r="THM823" s="268"/>
      <c r="THN823" s="268"/>
      <c r="THO823" s="268"/>
      <c r="THP823" s="268"/>
      <c r="THQ823" s="268"/>
      <c r="THR823" s="268"/>
      <c r="THS823" s="268"/>
      <c r="THT823" s="268"/>
      <c r="THU823" s="268"/>
      <c r="THV823" s="268"/>
      <c r="THW823" s="268"/>
      <c r="THX823" s="268"/>
      <c r="THY823" s="268"/>
      <c r="THZ823" s="268"/>
      <c r="TIA823" s="268"/>
      <c r="TIB823" s="268"/>
      <c r="TIC823" s="268"/>
      <c r="TID823" s="268"/>
      <c r="TIE823" s="268"/>
      <c r="TIF823" s="268"/>
      <c r="TIG823" s="268"/>
      <c r="TIH823" s="268"/>
      <c r="TII823" s="268"/>
      <c r="TIJ823" s="268"/>
      <c r="TIK823" s="268"/>
      <c r="TIL823" s="268"/>
      <c r="TIM823" s="268"/>
      <c r="TIN823" s="268"/>
      <c r="TIO823" s="268"/>
      <c r="TIP823" s="268"/>
      <c r="TIQ823" s="268"/>
      <c r="TIR823" s="268"/>
      <c r="TIS823" s="268"/>
      <c r="TIT823" s="268"/>
      <c r="TIU823" s="268"/>
      <c r="TIV823" s="268"/>
      <c r="TIW823" s="268"/>
      <c r="TIX823" s="268"/>
      <c r="TIY823" s="268"/>
      <c r="TIZ823" s="268"/>
      <c r="TJA823" s="268"/>
      <c r="TJB823" s="268"/>
      <c r="TJC823" s="268"/>
      <c r="TJD823" s="268"/>
      <c r="TJE823" s="268"/>
      <c r="TJF823" s="268"/>
      <c r="TJG823" s="268"/>
      <c r="TJH823" s="268"/>
      <c r="TJI823" s="268"/>
      <c r="TJJ823" s="268"/>
      <c r="TJK823" s="268"/>
      <c r="TJL823" s="268"/>
      <c r="TJM823" s="268"/>
      <c r="TJN823" s="268"/>
      <c r="TJO823" s="268"/>
      <c r="TJP823" s="268"/>
      <c r="TJQ823" s="268"/>
      <c r="TJR823" s="268"/>
      <c r="TJS823" s="268"/>
      <c r="TJT823" s="268"/>
      <c r="TJU823" s="268"/>
      <c r="TJV823" s="268"/>
      <c r="TJW823" s="268"/>
      <c r="TJX823" s="268"/>
      <c r="TJY823" s="268"/>
      <c r="TJZ823" s="268"/>
      <c r="TKA823" s="268"/>
      <c r="TKB823" s="268"/>
      <c r="TKC823" s="268"/>
      <c r="TKD823" s="268"/>
      <c r="TKE823" s="268"/>
      <c r="TKF823" s="268"/>
      <c r="TKG823" s="268"/>
      <c r="TKH823" s="268"/>
      <c r="TKI823" s="268"/>
      <c r="TKW823" s="268"/>
      <c r="TKX823" s="268"/>
      <c r="TKY823" s="268"/>
      <c r="TLM823" s="268"/>
      <c r="TLO823" s="268"/>
      <c r="TLP823" s="268"/>
      <c r="TLQ823" s="268"/>
      <c r="TLR823" s="268"/>
      <c r="TLS823" s="268"/>
      <c r="TLT823" s="268"/>
      <c r="TLU823" s="268"/>
      <c r="TLV823" s="268"/>
      <c r="TLW823" s="268"/>
      <c r="TLX823" s="268"/>
      <c r="TLY823" s="268"/>
      <c r="TLZ823" s="268"/>
      <c r="TMA823" s="268"/>
      <c r="TMB823" s="268"/>
      <c r="TMC823" s="268"/>
      <c r="TMD823" s="268"/>
      <c r="TME823" s="268"/>
      <c r="TMF823" s="268"/>
      <c r="TMG823" s="268"/>
      <c r="TMH823" s="268"/>
      <c r="TMI823" s="268"/>
      <c r="TMJ823" s="268"/>
      <c r="TMK823" s="268"/>
      <c r="TML823" s="268"/>
      <c r="TMM823" s="268"/>
      <c r="TMN823" s="268"/>
      <c r="TMO823" s="268"/>
      <c r="TMP823" s="268"/>
      <c r="TMQ823" s="268"/>
      <c r="TMR823" s="268"/>
      <c r="TMS823" s="268"/>
      <c r="TMT823" s="268"/>
      <c r="TMU823" s="268"/>
      <c r="TMV823" s="268"/>
      <c r="TMW823" s="268"/>
      <c r="TMX823" s="268"/>
      <c r="TMY823" s="268"/>
      <c r="TMZ823" s="268"/>
      <c r="TNA823" s="268"/>
      <c r="TNB823" s="268"/>
      <c r="TNC823" s="268"/>
      <c r="TND823" s="268"/>
      <c r="TNE823" s="268"/>
      <c r="TNF823" s="268"/>
      <c r="TNG823" s="268"/>
      <c r="TNH823" s="268"/>
      <c r="TNI823" s="268"/>
      <c r="TNJ823" s="268"/>
      <c r="TNK823" s="268"/>
      <c r="TNL823" s="268"/>
      <c r="TNM823" s="268"/>
      <c r="TNN823" s="268"/>
      <c r="TNO823" s="268"/>
      <c r="TNP823" s="268"/>
      <c r="TNQ823" s="268"/>
      <c r="TNR823" s="268"/>
      <c r="TNS823" s="268"/>
      <c r="TNT823" s="268"/>
      <c r="TNU823" s="268"/>
      <c r="TNV823" s="268"/>
      <c r="TNW823" s="268"/>
      <c r="TNX823" s="268"/>
      <c r="TNY823" s="268"/>
      <c r="TNZ823" s="268"/>
      <c r="TOA823" s="268"/>
      <c r="TOB823" s="268"/>
      <c r="TOC823" s="268"/>
      <c r="TOD823" s="268"/>
      <c r="TOE823" s="268"/>
      <c r="TOF823" s="268"/>
      <c r="TOG823" s="268"/>
      <c r="TOH823" s="268"/>
      <c r="TOI823" s="268"/>
      <c r="TOJ823" s="268"/>
      <c r="TOK823" s="268"/>
      <c r="TOL823" s="268"/>
      <c r="TOM823" s="268"/>
      <c r="TON823" s="268"/>
      <c r="TOO823" s="268"/>
      <c r="TOP823" s="268"/>
      <c r="TOQ823" s="268"/>
      <c r="TOR823" s="268"/>
      <c r="TOS823" s="268"/>
      <c r="TOT823" s="268"/>
      <c r="TOU823" s="268"/>
      <c r="TOV823" s="268"/>
      <c r="TOW823" s="268"/>
      <c r="TOX823" s="268"/>
      <c r="TOY823" s="268"/>
      <c r="TOZ823" s="268"/>
      <c r="TPA823" s="268"/>
      <c r="TPB823" s="268"/>
      <c r="TPC823" s="268"/>
      <c r="TPD823" s="268"/>
      <c r="TPE823" s="268"/>
      <c r="TPF823" s="268"/>
      <c r="TPG823" s="268"/>
      <c r="TPH823" s="268"/>
      <c r="TPI823" s="268"/>
      <c r="TPJ823" s="268"/>
      <c r="TPK823" s="268"/>
      <c r="TPL823" s="268"/>
      <c r="TPM823" s="268"/>
      <c r="TPN823" s="268"/>
      <c r="TPO823" s="268"/>
      <c r="TPP823" s="268"/>
      <c r="TPQ823" s="268"/>
      <c r="TPR823" s="268"/>
      <c r="TPS823" s="268"/>
      <c r="TPT823" s="268"/>
      <c r="TPU823" s="268"/>
      <c r="TPV823" s="268"/>
      <c r="TPW823" s="268"/>
      <c r="TPX823" s="268"/>
      <c r="TPY823" s="268"/>
      <c r="TPZ823" s="268"/>
      <c r="TQA823" s="268"/>
      <c r="TQB823" s="268"/>
      <c r="TQC823" s="268"/>
      <c r="TQD823" s="268"/>
      <c r="TQE823" s="268"/>
      <c r="TQF823" s="268"/>
      <c r="TQG823" s="268"/>
      <c r="TQH823" s="268"/>
      <c r="TQI823" s="268"/>
      <c r="TQJ823" s="268"/>
      <c r="TQK823" s="268"/>
      <c r="TQL823" s="268"/>
      <c r="TQM823" s="268"/>
      <c r="TQN823" s="268"/>
      <c r="TQO823" s="268"/>
      <c r="TQP823" s="268"/>
      <c r="TQQ823" s="268"/>
      <c r="TQR823" s="268"/>
      <c r="TQS823" s="268"/>
      <c r="TQT823" s="268"/>
      <c r="TQU823" s="268"/>
      <c r="TQV823" s="268"/>
      <c r="TQW823" s="268"/>
      <c r="TQX823" s="268"/>
      <c r="TQY823" s="268"/>
      <c r="TQZ823" s="268"/>
      <c r="TRA823" s="268"/>
      <c r="TRB823" s="268"/>
      <c r="TRC823" s="268"/>
      <c r="TRD823" s="268"/>
      <c r="TRE823" s="268"/>
      <c r="TRF823" s="268"/>
      <c r="TRG823" s="268"/>
      <c r="TRH823" s="268"/>
      <c r="TRI823" s="268"/>
      <c r="TRJ823" s="268"/>
      <c r="TRK823" s="268"/>
      <c r="TRL823" s="268"/>
      <c r="TRM823" s="268"/>
      <c r="TRN823" s="268"/>
      <c r="TRO823" s="268"/>
      <c r="TRP823" s="268"/>
      <c r="TRQ823" s="268"/>
      <c r="TRR823" s="268"/>
      <c r="TRS823" s="268"/>
      <c r="TRT823" s="268"/>
      <c r="TRU823" s="268"/>
      <c r="TRV823" s="268"/>
      <c r="TRW823" s="268"/>
      <c r="TRX823" s="268"/>
      <c r="TRY823" s="268"/>
      <c r="TRZ823" s="268"/>
      <c r="TSA823" s="268"/>
      <c r="TSB823" s="268"/>
      <c r="TSC823" s="268"/>
      <c r="TSD823" s="268"/>
      <c r="TSE823" s="268"/>
      <c r="TSF823" s="268"/>
      <c r="TSG823" s="268"/>
      <c r="TSH823" s="268"/>
      <c r="TSI823" s="268"/>
      <c r="TSJ823" s="268"/>
      <c r="TSK823" s="268"/>
      <c r="TSL823" s="268"/>
      <c r="TSM823" s="268"/>
      <c r="TSN823" s="268"/>
      <c r="TSO823" s="268"/>
      <c r="TSP823" s="268"/>
      <c r="TSQ823" s="268"/>
      <c r="TSR823" s="268"/>
      <c r="TSS823" s="268"/>
      <c r="TST823" s="268"/>
      <c r="TSU823" s="268"/>
      <c r="TSV823" s="268"/>
      <c r="TSW823" s="268"/>
      <c r="TSX823" s="268"/>
      <c r="TSY823" s="268"/>
      <c r="TSZ823" s="268"/>
      <c r="TTA823" s="268"/>
      <c r="TTB823" s="268"/>
      <c r="TTC823" s="268"/>
      <c r="TTD823" s="268"/>
      <c r="TTE823" s="268"/>
      <c r="TTF823" s="268"/>
      <c r="TTG823" s="268"/>
      <c r="TTH823" s="268"/>
      <c r="TTI823" s="268"/>
      <c r="TTJ823" s="268"/>
      <c r="TTK823" s="268"/>
      <c r="TTL823" s="268"/>
      <c r="TTM823" s="268"/>
      <c r="TTN823" s="268"/>
      <c r="TTO823" s="268"/>
      <c r="TTP823" s="268"/>
      <c r="TTQ823" s="268"/>
      <c r="TTR823" s="268"/>
      <c r="TTS823" s="268"/>
      <c r="TTT823" s="268"/>
      <c r="TTU823" s="268"/>
      <c r="TTV823" s="268"/>
      <c r="TTW823" s="268"/>
      <c r="TTX823" s="268"/>
      <c r="TTY823" s="268"/>
      <c r="TTZ823" s="268"/>
      <c r="TUA823" s="268"/>
      <c r="TUB823" s="268"/>
      <c r="TUC823" s="268"/>
      <c r="TUD823" s="268"/>
      <c r="TUE823" s="268"/>
      <c r="TUS823" s="268"/>
      <c r="TUT823" s="268"/>
      <c r="TUU823" s="268"/>
      <c r="TVI823" s="268"/>
      <c r="TVK823" s="268"/>
      <c r="TVL823" s="268"/>
      <c r="TVM823" s="268"/>
      <c r="TVN823" s="268"/>
      <c r="TVO823" s="268"/>
      <c r="TVP823" s="268"/>
      <c r="TVQ823" s="268"/>
      <c r="TVR823" s="268"/>
      <c r="TVS823" s="268"/>
      <c r="TVT823" s="268"/>
      <c r="TVU823" s="268"/>
      <c r="TVV823" s="268"/>
      <c r="TVW823" s="268"/>
      <c r="TVX823" s="268"/>
      <c r="TVY823" s="268"/>
      <c r="TVZ823" s="268"/>
      <c r="TWA823" s="268"/>
      <c r="TWB823" s="268"/>
      <c r="TWC823" s="268"/>
      <c r="TWD823" s="268"/>
      <c r="TWE823" s="268"/>
      <c r="TWF823" s="268"/>
      <c r="TWG823" s="268"/>
      <c r="TWH823" s="268"/>
      <c r="TWI823" s="268"/>
      <c r="TWJ823" s="268"/>
      <c r="TWK823" s="268"/>
      <c r="TWL823" s="268"/>
      <c r="TWM823" s="268"/>
      <c r="TWN823" s="268"/>
      <c r="TWO823" s="268"/>
      <c r="TWP823" s="268"/>
      <c r="TWQ823" s="268"/>
      <c r="TWR823" s="268"/>
      <c r="TWS823" s="268"/>
      <c r="TWT823" s="268"/>
      <c r="TWU823" s="268"/>
      <c r="TWV823" s="268"/>
      <c r="TWW823" s="268"/>
      <c r="TWX823" s="268"/>
      <c r="TWY823" s="268"/>
      <c r="TWZ823" s="268"/>
      <c r="TXA823" s="268"/>
      <c r="TXB823" s="268"/>
      <c r="TXC823" s="268"/>
      <c r="TXD823" s="268"/>
      <c r="TXE823" s="268"/>
      <c r="TXF823" s="268"/>
      <c r="TXG823" s="268"/>
      <c r="TXH823" s="268"/>
      <c r="TXI823" s="268"/>
      <c r="TXJ823" s="268"/>
      <c r="TXK823" s="268"/>
      <c r="TXL823" s="268"/>
      <c r="TXM823" s="268"/>
      <c r="TXN823" s="268"/>
      <c r="TXO823" s="268"/>
      <c r="TXP823" s="268"/>
      <c r="TXQ823" s="268"/>
      <c r="TXR823" s="268"/>
      <c r="TXS823" s="268"/>
      <c r="TXT823" s="268"/>
      <c r="TXU823" s="268"/>
      <c r="TXV823" s="268"/>
      <c r="TXW823" s="268"/>
      <c r="TXX823" s="268"/>
      <c r="TXY823" s="268"/>
      <c r="TXZ823" s="268"/>
      <c r="TYA823" s="268"/>
      <c r="TYB823" s="268"/>
      <c r="TYC823" s="268"/>
      <c r="TYD823" s="268"/>
      <c r="TYE823" s="268"/>
      <c r="TYF823" s="268"/>
      <c r="TYG823" s="268"/>
      <c r="TYH823" s="268"/>
      <c r="TYI823" s="268"/>
      <c r="TYJ823" s="268"/>
      <c r="TYK823" s="268"/>
      <c r="TYL823" s="268"/>
      <c r="TYM823" s="268"/>
      <c r="TYN823" s="268"/>
      <c r="TYO823" s="268"/>
      <c r="TYP823" s="268"/>
      <c r="TYQ823" s="268"/>
      <c r="TYR823" s="268"/>
      <c r="TYS823" s="268"/>
      <c r="TYT823" s="268"/>
      <c r="TYU823" s="268"/>
      <c r="TYV823" s="268"/>
      <c r="TYW823" s="268"/>
      <c r="TYX823" s="268"/>
      <c r="TYY823" s="268"/>
      <c r="TYZ823" s="268"/>
      <c r="TZA823" s="268"/>
      <c r="TZB823" s="268"/>
      <c r="TZC823" s="268"/>
      <c r="TZD823" s="268"/>
      <c r="TZE823" s="268"/>
      <c r="TZF823" s="268"/>
      <c r="TZG823" s="268"/>
      <c r="TZH823" s="268"/>
      <c r="TZI823" s="268"/>
      <c r="TZJ823" s="268"/>
      <c r="TZK823" s="268"/>
      <c r="TZL823" s="268"/>
      <c r="TZM823" s="268"/>
      <c r="TZN823" s="268"/>
      <c r="TZO823" s="268"/>
      <c r="TZP823" s="268"/>
      <c r="TZQ823" s="268"/>
      <c r="TZR823" s="268"/>
      <c r="TZS823" s="268"/>
      <c r="TZT823" s="268"/>
      <c r="TZU823" s="268"/>
      <c r="TZV823" s="268"/>
      <c r="TZW823" s="268"/>
      <c r="TZX823" s="268"/>
      <c r="TZY823" s="268"/>
      <c r="TZZ823" s="268"/>
      <c r="UAA823" s="268"/>
      <c r="UAB823" s="268"/>
      <c r="UAC823" s="268"/>
      <c r="UAD823" s="268"/>
      <c r="UAE823" s="268"/>
      <c r="UAF823" s="268"/>
      <c r="UAG823" s="268"/>
      <c r="UAH823" s="268"/>
      <c r="UAI823" s="268"/>
      <c r="UAJ823" s="268"/>
      <c r="UAK823" s="268"/>
      <c r="UAL823" s="268"/>
      <c r="UAM823" s="268"/>
      <c r="UAN823" s="268"/>
      <c r="UAO823" s="268"/>
      <c r="UAP823" s="268"/>
      <c r="UAQ823" s="268"/>
      <c r="UAR823" s="268"/>
      <c r="UAS823" s="268"/>
      <c r="UAT823" s="268"/>
      <c r="UAU823" s="268"/>
      <c r="UAV823" s="268"/>
      <c r="UAW823" s="268"/>
      <c r="UAX823" s="268"/>
      <c r="UAY823" s="268"/>
      <c r="UAZ823" s="268"/>
      <c r="UBA823" s="268"/>
      <c r="UBB823" s="268"/>
      <c r="UBC823" s="268"/>
      <c r="UBD823" s="268"/>
      <c r="UBE823" s="268"/>
      <c r="UBF823" s="268"/>
      <c r="UBG823" s="268"/>
      <c r="UBH823" s="268"/>
      <c r="UBI823" s="268"/>
      <c r="UBJ823" s="268"/>
      <c r="UBK823" s="268"/>
      <c r="UBL823" s="268"/>
      <c r="UBM823" s="268"/>
      <c r="UBN823" s="268"/>
      <c r="UBO823" s="268"/>
      <c r="UBP823" s="268"/>
      <c r="UBQ823" s="268"/>
      <c r="UBR823" s="268"/>
      <c r="UBS823" s="268"/>
      <c r="UBT823" s="268"/>
      <c r="UBU823" s="268"/>
      <c r="UBV823" s="268"/>
      <c r="UBW823" s="268"/>
      <c r="UBX823" s="268"/>
      <c r="UBY823" s="268"/>
      <c r="UBZ823" s="268"/>
      <c r="UCA823" s="268"/>
      <c r="UCB823" s="268"/>
      <c r="UCC823" s="268"/>
      <c r="UCD823" s="268"/>
      <c r="UCE823" s="268"/>
      <c r="UCF823" s="268"/>
      <c r="UCG823" s="268"/>
      <c r="UCH823" s="268"/>
      <c r="UCI823" s="268"/>
      <c r="UCJ823" s="268"/>
      <c r="UCK823" s="268"/>
      <c r="UCL823" s="268"/>
      <c r="UCM823" s="268"/>
      <c r="UCN823" s="268"/>
      <c r="UCO823" s="268"/>
      <c r="UCP823" s="268"/>
      <c r="UCQ823" s="268"/>
      <c r="UCR823" s="268"/>
      <c r="UCS823" s="268"/>
      <c r="UCT823" s="268"/>
      <c r="UCU823" s="268"/>
      <c r="UCV823" s="268"/>
      <c r="UCW823" s="268"/>
      <c r="UCX823" s="268"/>
      <c r="UCY823" s="268"/>
      <c r="UCZ823" s="268"/>
      <c r="UDA823" s="268"/>
      <c r="UDB823" s="268"/>
      <c r="UDC823" s="268"/>
      <c r="UDD823" s="268"/>
      <c r="UDE823" s="268"/>
      <c r="UDF823" s="268"/>
      <c r="UDG823" s="268"/>
      <c r="UDH823" s="268"/>
      <c r="UDI823" s="268"/>
      <c r="UDJ823" s="268"/>
      <c r="UDK823" s="268"/>
      <c r="UDL823" s="268"/>
      <c r="UDM823" s="268"/>
      <c r="UDN823" s="268"/>
      <c r="UDO823" s="268"/>
      <c r="UDP823" s="268"/>
      <c r="UDQ823" s="268"/>
      <c r="UDR823" s="268"/>
      <c r="UDS823" s="268"/>
      <c r="UDT823" s="268"/>
      <c r="UDU823" s="268"/>
      <c r="UDV823" s="268"/>
      <c r="UDW823" s="268"/>
      <c r="UDX823" s="268"/>
      <c r="UDY823" s="268"/>
      <c r="UDZ823" s="268"/>
      <c r="UEA823" s="268"/>
      <c r="UEO823" s="268"/>
      <c r="UEP823" s="268"/>
      <c r="UEQ823" s="268"/>
      <c r="UFE823" s="268"/>
      <c r="UFG823" s="268"/>
      <c r="UFH823" s="268"/>
      <c r="UFI823" s="268"/>
      <c r="UFJ823" s="268"/>
      <c r="UFK823" s="268"/>
      <c r="UFL823" s="268"/>
      <c r="UFM823" s="268"/>
      <c r="UFN823" s="268"/>
      <c r="UFO823" s="268"/>
      <c r="UFP823" s="268"/>
      <c r="UFQ823" s="268"/>
      <c r="UFR823" s="268"/>
      <c r="UFS823" s="268"/>
      <c r="UFT823" s="268"/>
      <c r="UFU823" s="268"/>
      <c r="UFV823" s="268"/>
      <c r="UFW823" s="268"/>
      <c r="UFX823" s="268"/>
      <c r="UFY823" s="268"/>
      <c r="UFZ823" s="268"/>
      <c r="UGA823" s="268"/>
      <c r="UGB823" s="268"/>
      <c r="UGC823" s="268"/>
      <c r="UGD823" s="268"/>
      <c r="UGE823" s="268"/>
      <c r="UGF823" s="268"/>
      <c r="UGG823" s="268"/>
      <c r="UGH823" s="268"/>
      <c r="UGI823" s="268"/>
      <c r="UGJ823" s="268"/>
      <c r="UGK823" s="268"/>
      <c r="UGL823" s="268"/>
      <c r="UGM823" s="268"/>
      <c r="UGN823" s="268"/>
      <c r="UGO823" s="268"/>
      <c r="UGP823" s="268"/>
      <c r="UGQ823" s="268"/>
      <c r="UGR823" s="268"/>
      <c r="UGS823" s="268"/>
      <c r="UGT823" s="268"/>
      <c r="UGU823" s="268"/>
      <c r="UGV823" s="268"/>
      <c r="UGW823" s="268"/>
      <c r="UGX823" s="268"/>
      <c r="UGY823" s="268"/>
      <c r="UGZ823" s="268"/>
      <c r="UHA823" s="268"/>
      <c r="UHB823" s="268"/>
      <c r="UHC823" s="268"/>
      <c r="UHD823" s="268"/>
      <c r="UHE823" s="268"/>
      <c r="UHF823" s="268"/>
      <c r="UHG823" s="268"/>
      <c r="UHH823" s="268"/>
      <c r="UHI823" s="268"/>
      <c r="UHJ823" s="268"/>
      <c r="UHK823" s="268"/>
      <c r="UHL823" s="268"/>
      <c r="UHM823" s="268"/>
      <c r="UHN823" s="268"/>
      <c r="UHO823" s="268"/>
      <c r="UHP823" s="268"/>
      <c r="UHQ823" s="268"/>
      <c r="UHR823" s="268"/>
      <c r="UHS823" s="268"/>
      <c r="UHT823" s="268"/>
      <c r="UHU823" s="268"/>
      <c r="UHV823" s="268"/>
      <c r="UHW823" s="268"/>
      <c r="UHX823" s="268"/>
      <c r="UHY823" s="268"/>
      <c r="UHZ823" s="268"/>
      <c r="UIA823" s="268"/>
      <c r="UIB823" s="268"/>
      <c r="UIC823" s="268"/>
      <c r="UID823" s="268"/>
      <c r="UIE823" s="268"/>
      <c r="UIF823" s="268"/>
      <c r="UIG823" s="268"/>
      <c r="UIH823" s="268"/>
      <c r="UII823" s="268"/>
      <c r="UIJ823" s="268"/>
      <c r="UIK823" s="268"/>
      <c r="UIL823" s="268"/>
      <c r="UIM823" s="268"/>
      <c r="UIN823" s="268"/>
      <c r="UIO823" s="268"/>
      <c r="UIP823" s="268"/>
      <c r="UIQ823" s="268"/>
      <c r="UIR823" s="268"/>
      <c r="UIS823" s="268"/>
      <c r="UIT823" s="268"/>
      <c r="UIU823" s="268"/>
      <c r="UIV823" s="268"/>
      <c r="UIW823" s="268"/>
      <c r="UIX823" s="268"/>
      <c r="UIY823" s="268"/>
      <c r="UIZ823" s="268"/>
      <c r="UJA823" s="268"/>
      <c r="UJB823" s="268"/>
      <c r="UJC823" s="268"/>
      <c r="UJD823" s="268"/>
      <c r="UJE823" s="268"/>
      <c r="UJF823" s="268"/>
      <c r="UJG823" s="268"/>
      <c r="UJH823" s="268"/>
      <c r="UJI823" s="268"/>
      <c r="UJJ823" s="268"/>
      <c r="UJK823" s="268"/>
      <c r="UJL823" s="268"/>
      <c r="UJM823" s="268"/>
      <c r="UJN823" s="268"/>
      <c r="UJO823" s="268"/>
      <c r="UJP823" s="268"/>
      <c r="UJQ823" s="268"/>
      <c r="UJR823" s="268"/>
      <c r="UJS823" s="268"/>
      <c r="UJT823" s="268"/>
      <c r="UJU823" s="268"/>
      <c r="UJV823" s="268"/>
      <c r="UJW823" s="268"/>
      <c r="UJX823" s="268"/>
      <c r="UJY823" s="268"/>
      <c r="UJZ823" s="268"/>
      <c r="UKA823" s="268"/>
      <c r="UKB823" s="268"/>
      <c r="UKC823" s="268"/>
      <c r="UKD823" s="268"/>
      <c r="UKE823" s="268"/>
      <c r="UKF823" s="268"/>
      <c r="UKG823" s="268"/>
      <c r="UKH823" s="268"/>
      <c r="UKI823" s="268"/>
      <c r="UKJ823" s="268"/>
      <c r="UKK823" s="268"/>
      <c r="UKL823" s="268"/>
      <c r="UKM823" s="268"/>
      <c r="UKN823" s="268"/>
      <c r="UKO823" s="268"/>
      <c r="UKP823" s="268"/>
      <c r="UKQ823" s="268"/>
      <c r="UKR823" s="268"/>
      <c r="UKS823" s="268"/>
      <c r="UKT823" s="268"/>
      <c r="UKU823" s="268"/>
      <c r="UKV823" s="268"/>
      <c r="UKW823" s="268"/>
      <c r="UKX823" s="268"/>
      <c r="UKY823" s="268"/>
      <c r="UKZ823" s="268"/>
      <c r="ULA823" s="268"/>
      <c r="ULB823" s="268"/>
      <c r="ULC823" s="268"/>
      <c r="ULD823" s="268"/>
      <c r="ULE823" s="268"/>
      <c r="ULF823" s="268"/>
      <c r="ULG823" s="268"/>
      <c r="ULH823" s="268"/>
      <c r="ULI823" s="268"/>
      <c r="ULJ823" s="268"/>
      <c r="ULK823" s="268"/>
      <c r="ULL823" s="268"/>
      <c r="ULM823" s="268"/>
      <c r="ULN823" s="268"/>
      <c r="ULO823" s="268"/>
      <c r="ULP823" s="268"/>
      <c r="ULQ823" s="268"/>
      <c r="ULR823" s="268"/>
      <c r="ULS823" s="268"/>
      <c r="ULT823" s="268"/>
      <c r="ULU823" s="268"/>
      <c r="ULV823" s="268"/>
      <c r="ULW823" s="268"/>
      <c r="ULX823" s="268"/>
      <c r="ULY823" s="268"/>
      <c r="ULZ823" s="268"/>
      <c r="UMA823" s="268"/>
      <c r="UMB823" s="268"/>
      <c r="UMC823" s="268"/>
      <c r="UMD823" s="268"/>
      <c r="UME823" s="268"/>
      <c r="UMF823" s="268"/>
      <c r="UMG823" s="268"/>
      <c r="UMH823" s="268"/>
      <c r="UMI823" s="268"/>
      <c r="UMJ823" s="268"/>
      <c r="UMK823" s="268"/>
      <c r="UML823" s="268"/>
      <c r="UMM823" s="268"/>
      <c r="UMN823" s="268"/>
      <c r="UMO823" s="268"/>
      <c r="UMP823" s="268"/>
      <c r="UMQ823" s="268"/>
      <c r="UMR823" s="268"/>
      <c r="UMS823" s="268"/>
      <c r="UMT823" s="268"/>
      <c r="UMU823" s="268"/>
      <c r="UMV823" s="268"/>
      <c r="UMW823" s="268"/>
      <c r="UMX823" s="268"/>
      <c r="UMY823" s="268"/>
      <c r="UMZ823" s="268"/>
      <c r="UNA823" s="268"/>
      <c r="UNB823" s="268"/>
      <c r="UNC823" s="268"/>
      <c r="UND823" s="268"/>
      <c r="UNE823" s="268"/>
      <c r="UNF823" s="268"/>
      <c r="UNG823" s="268"/>
      <c r="UNH823" s="268"/>
      <c r="UNI823" s="268"/>
      <c r="UNJ823" s="268"/>
      <c r="UNK823" s="268"/>
      <c r="UNL823" s="268"/>
      <c r="UNM823" s="268"/>
      <c r="UNN823" s="268"/>
      <c r="UNO823" s="268"/>
      <c r="UNP823" s="268"/>
      <c r="UNQ823" s="268"/>
      <c r="UNR823" s="268"/>
      <c r="UNS823" s="268"/>
      <c r="UNT823" s="268"/>
      <c r="UNU823" s="268"/>
      <c r="UNV823" s="268"/>
      <c r="UNW823" s="268"/>
      <c r="UOK823" s="268"/>
      <c r="UOL823" s="268"/>
      <c r="UOM823" s="268"/>
      <c r="UPA823" s="268"/>
      <c r="UPC823" s="268"/>
      <c r="UPD823" s="268"/>
      <c r="UPE823" s="268"/>
      <c r="UPF823" s="268"/>
      <c r="UPG823" s="268"/>
      <c r="UPH823" s="268"/>
      <c r="UPI823" s="268"/>
      <c r="UPJ823" s="268"/>
      <c r="UPK823" s="268"/>
      <c r="UPL823" s="268"/>
      <c r="UPM823" s="268"/>
      <c r="UPN823" s="268"/>
      <c r="UPO823" s="268"/>
      <c r="UPP823" s="268"/>
      <c r="UPQ823" s="268"/>
      <c r="UPR823" s="268"/>
      <c r="UPS823" s="268"/>
      <c r="UPT823" s="268"/>
      <c r="UPU823" s="268"/>
      <c r="UPV823" s="268"/>
      <c r="UPW823" s="268"/>
      <c r="UPX823" s="268"/>
      <c r="UPY823" s="268"/>
      <c r="UPZ823" s="268"/>
      <c r="UQA823" s="268"/>
      <c r="UQB823" s="268"/>
      <c r="UQC823" s="268"/>
      <c r="UQD823" s="268"/>
      <c r="UQE823" s="268"/>
      <c r="UQF823" s="268"/>
      <c r="UQG823" s="268"/>
      <c r="UQH823" s="268"/>
      <c r="UQI823" s="268"/>
      <c r="UQJ823" s="268"/>
      <c r="UQK823" s="268"/>
      <c r="UQL823" s="268"/>
      <c r="UQM823" s="268"/>
      <c r="UQN823" s="268"/>
      <c r="UQO823" s="268"/>
      <c r="UQP823" s="268"/>
      <c r="UQQ823" s="268"/>
      <c r="UQR823" s="268"/>
      <c r="UQS823" s="268"/>
      <c r="UQT823" s="268"/>
      <c r="UQU823" s="268"/>
      <c r="UQV823" s="268"/>
      <c r="UQW823" s="268"/>
      <c r="UQX823" s="268"/>
      <c r="UQY823" s="268"/>
      <c r="UQZ823" s="268"/>
      <c r="URA823" s="268"/>
      <c r="URB823" s="268"/>
      <c r="URC823" s="268"/>
      <c r="URD823" s="268"/>
      <c r="URE823" s="268"/>
      <c r="URF823" s="268"/>
      <c r="URG823" s="268"/>
      <c r="URH823" s="268"/>
      <c r="URI823" s="268"/>
      <c r="URJ823" s="268"/>
      <c r="URK823" s="268"/>
      <c r="URL823" s="268"/>
      <c r="URM823" s="268"/>
      <c r="URN823" s="268"/>
      <c r="URO823" s="268"/>
      <c r="URP823" s="268"/>
      <c r="URQ823" s="268"/>
      <c r="URR823" s="268"/>
      <c r="URS823" s="268"/>
      <c r="URT823" s="268"/>
      <c r="URU823" s="268"/>
      <c r="URV823" s="268"/>
      <c r="URW823" s="268"/>
      <c r="URX823" s="268"/>
      <c r="URY823" s="268"/>
      <c r="URZ823" s="268"/>
      <c r="USA823" s="268"/>
      <c r="USB823" s="268"/>
      <c r="USC823" s="268"/>
      <c r="USD823" s="268"/>
      <c r="USE823" s="268"/>
      <c r="USF823" s="268"/>
      <c r="USG823" s="268"/>
      <c r="USH823" s="268"/>
      <c r="USI823" s="268"/>
      <c r="USJ823" s="268"/>
      <c r="USK823" s="268"/>
      <c r="USL823" s="268"/>
      <c r="USM823" s="268"/>
      <c r="USN823" s="268"/>
      <c r="USO823" s="268"/>
      <c r="USP823" s="268"/>
      <c r="USQ823" s="268"/>
      <c r="USR823" s="268"/>
      <c r="USS823" s="268"/>
      <c r="UST823" s="268"/>
      <c r="USU823" s="268"/>
      <c r="USV823" s="268"/>
      <c r="USW823" s="268"/>
      <c r="USX823" s="268"/>
      <c r="USY823" s="268"/>
      <c r="USZ823" s="268"/>
      <c r="UTA823" s="268"/>
      <c r="UTB823" s="268"/>
      <c r="UTC823" s="268"/>
      <c r="UTD823" s="268"/>
      <c r="UTE823" s="268"/>
      <c r="UTF823" s="268"/>
      <c r="UTG823" s="268"/>
      <c r="UTH823" s="268"/>
      <c r="UTI823" s="268"/>
      <c r="UTJ823" s="268"/>
      <c r="UTK823" s="268"/>
      <c r="UTL823" s="268"/>
      <c r="UTM823" s="268"/>
      <c r="UTN823" s="268"/>
      <c r="UTO823" s="268"/>
      <c r="UTP823" s="268"/>
      <c r="UTQ823" s="268"/>
      <c r="UTR823" s="268"/>
      <c r="UTS823" s="268"/>
      <c r="UTT823" s="268"/>
      <c r="UTU823" s="268"/>
      <c r="UTV823" s="268"/>
      <c r="UTW823" s="268"/>
      <c r="UTX823" s="268"/>
      <c r="UTY823" s="268"/>
      <c r="UTZ823" s="268"/>
      <c r="UUA823" s="268"/>
      <c r="UUB823" s="268"/>
      <c r="UUC823" s="268"/>
      <c r="UUD823" s="268"/>
      <c r="UUE823" s="268"/>
      <c r="UUF823" s="268"/>
      <c r="UUG823" s="268"/>
      <c r="UUH823" s="268"/>
      <c r="UUI823" s="268"/>
      <c r="UUJ823" s="268"/>
      <c r="UUK823" s="268"/>
      <c r="UUL823" s="268"/>
      <c r="UUM823" s="268"/>
      <c r="UUN823" s="268"/>
      <c r="UUO823" s="268"/>
      <c r="UUP823" s="268"/>
      <c r="UUQ823" s="268"/>
      <c r="UUR823" s="268"/>
      <c r="UUS823" s="268"/>
      <c r="UUT823" s="268"/>
      <c r="UUU823" s="268"/>
      <c r="UUV823" s="268"/>
      <c r="UUW823" s="268"/>
      <c r="UUX823" s="268"/>
      <c r="UUY823" s="268"/>
      <c r="UUZ823" s="268"/>
      <c r="UVA823" s="268"/>
      <c r="UVB823" s="268"/>
      <c r="UVC823" s="268"/>
      <c r="UVD823" s="268"/>
      <c r="UVE823" s="268"/>
      <c r="UVF823" s="268"/>
      <c r="UVG823" s="268"/>
      <c r="UVH823" s="268"/>
      <c r="UVI823" s="268"/>
      <c r="UVJ823" s="268"/>
      <c r="UVK823" s="268"/>
      <c r="UVL823" s="268"/>
      <c r="UVM823" s="268"/>
      <c r="UVN823" s="268"/>
      <c r="UVO823" s="268"/>
      <c r="UVP823" s="268"/>
      <c r="UVQ823" s="268"/>
      <c r="UVR823" s="268"/>
      <c r="UVS823" s="268"/>
      <c r="UVT823" s="268"/>
      <c r="UVU823" s="268"/>
      <c r="UVV823" s="268"/>
      <c r="UVW823" s="268"/>
      <c r="UVX823" s="268"/>
      <c r="UVY823" s="268"/>
      <c r="UVZ823" s="268"/>
      <c r="UWA823" s="268"/>
      <c r="UWB823" s="268"/>
      <c r="UWC823" s="268"/>
      <c r="UWD823" s="268"/>
      <c r="UWE823" s="268"/>
      <c r="UWF823" s="268"/>
      <c r="UWG823" s="268"/>
      <c r="UWH823" s="268"/>
      <c r="UWI823" s="268"/>
      <c r="UWJ823" s="268"/>
      <c r="UWK823" s="268"/>
      <c r="UWL823" s="268"/>
      <c r="UWM823" s="268"/>
      <c r="UWN823" s="268"/>
      <c r="UWO823" s="268"/>
      <c r="UWP823" s="268"/>
      <c r="UWQ823" s="268"/>
      <c r="UWR823" s="268"/>
      <c r="UWS823" s="268"/>
      <c r="UWT823" s="268"/>
      <c r="UWU823" s="268"/>
      <c r="UWV823" s="268"/>
      <c r="UWW823" s="268"/>
      <c r="UWX823" s="268"/>
      <c r="UWY823" s="268"/>
      <c r="UWZ823" s="268"/>
      <c r="UXA823" s="268"/>
      <c r="UXB823" s="268"/>
      <c r="UXC823" s="268"/>
      <c r="UXD823" s="268"/>
      <c r="UXE823" s="268"/>
      <c r="UXF823" s="268"/>
      <c r="UXG823" s="268"/>
      <c r="UXH823" s="268"/>
      <c r="UXI823" s="268"/>
      <c r="UXJ823" s="268"/>
      <c r="UXK823" s="268"/>
      <c r="UXL823" s="268"/>
      <c r="UXM823" s="268"/>
      <c r="UXN823" s="268"/>
      <c r="UXO823" s="268"/>
      <c r="UXP823" s="268"/>
      <c r="UXQ823" s="268"/>
      <c r="UXR823" s="268"/>
      <c r="UXS823" s="268"/>
      <c r="UYG823" s="268"/>
      <c r="UYH823" s="268"/>
      <c r="UYI823" s="268"/>
      <c r="UYW823" s="268"/>
      <c r="UYY823" s="268"/>
      <c r="UYZ823" s="268"/>
      <c r="UZA823" s="268"/>
      <c r="UZB823" s="268"/>
      <c r="UZC823" s="268"/>
      <c r="UZD823" s="268"/>
      <c r="UZE823" s="268"/>
      <c r="UZF823" s="268"/>
      <c r="UZG823" s="268"/>
      <c r="UZH823" s="268"/>
      <c r="UZI823" s="268"/>
      <c r="UZJ823" s="268"/>
      <c r="UZK823" s="268"/>
      <c r="UZL823" s="268"/>
      <c r="UZM823" s="268"/>
      <c r="UZN823" s="268"/>
      <c r="UZO823" s="268"/>
      <c r="UZP823" s="268"/>
      <c r="UZQ823" s="268"/>
      <c r="UZR823" s="268"/>
      <c r="UZS823" s="268"/>
      <c r="UZT823" s="268"/>
      <c r="UZU823" s="268"/>
      <c r="UZV823" s="268"/>
      <c r="UZW823" s="268"/>
      <c r="UZX823" s="268"/>
      <c r="UZY823" s="268"/>
      <c r="UZZ823" s="268"/>
      <c r="VAA823" s="268"/>
      <c r="VAB823" s="268"/>
      <c r="VAC823" s="268"/>
      <c r="VAD823" s="268"/>
      <c r="VAE823" s="268"/>
      <c r="VAF823" s="268"/>
      <c r="VAG823" s="268"/>
      <c r="VAH823" s="268"/>
      <c r="VAI823" s="268"/>
      <c r="VAJ823" s="268"/>
      <c r="VAK823" s="268"/>
      <c r="VAL823" s="268"/>
      <c r="VAM823" s="268"/>
      <c r="VAN823" s="268"/>
      <c r="VAO823" s="268"/>
      <c r="VAP823" s="268"/>
      <c r="VAQ823" s="268"/>
      <c r="VAR823" s="268"/>
      <c r="VAS823" s="268"/>
      <c r="VAT823" s="268"/>
      <c r="VAU823" s="268"/>
      <c r="VAV823" s="268"/>
      <c r="VAW823" s="268"/>
      <c r="VAX823" s="268"/>
      <c r="VAY823" s="268"/>
      <c r="VAZ823" s="268"/>
      <c r="VBA823" s="268"/>
      <c r="VBB823" s="268"/>
      <c r="VBC823" s="268"/>
      <c r="VBD823" s="268"/>
      <c r="VBE823" s="268"/>
      <c r="VBF823" s="268"/>
      <c r="VBG823" s="268"/>
      <c r="VBH823" s="268"/>
      <c r="VBI823" s="268"/>
      <c r="VBJ823" s="268"/>
      <c r="VBK823" s="268"/>
      <c r="VBL823" s="268"/>
      <c r="VBM823" s="268"/>
      <c r="VBN823" s="268"/>
      <c r="VBO823" s="268"/>
      <c r="VBP823" s="268"/>
      <c r="VBQ823" s="268"/>
      <c r="VBR823" s="268"/>
      <c r="VBS823" s="268"/>
      <c r="VBT823" s="268"/>
      <c r="VBU823" s="268"/>
      <c r="VBV823" s="268"/>
      <c r="VBW823" s="268"/>
      <c r="VBX823" s="268"/>
      <c r="VBY823" s="268"/>
      <c r="VBZ823" s="268"/>
      <c r="VCA823" s="268"/>
      <c r="VCB823" s="268"/>
      <c r="VCC823" s="268"/>
      <c r="VCD823" s="268"/>
      <c r="VCE823" s="268"/>
      <c r="VCF823" s="268"/>
      <c r="VCG823" s="268"/>
      <c r="VCH823" s="268"/>
      <c r="VCI823" s="268"/>
      <c r="VCJ823" s="268"/>
      <c r="VCK823" s="268"/>
      <c r="VCL823" s="268"/>
      <c r="VCM823" s="268"/>
      <c r="VCN823" s="268"/>
      <c r="VCO823" s="268"/>
      <c r="VCP823" s="268"/>
      <c r="VCQ823" s="268"/>
      <c r="VCR823" s="268"/>
      <c r="VCS823" s="268"/>
      <c r="VCT823" s="268"/>
      <c r="VCU823" s="268"/>
      <c r="VCV823" s="268"/>
      <c r="VCW823" s="268"/>
      <c r="VCX823" s="268"/>
      <c r="VCY823" s="268"/>
      <c r="VCZ823" s="268"/>
      <c r="VDA823" s="268"/>
      <c r="VDB823" s="268"/>
      <c r="VDC823" s="268"/>
      <c r="VDD823" s="268"/>
      <c r="VDE823" s="268"/>
      <c r="VDF823" s="268"/>
      <c r="VDG823" s="268"/>
      <c r="VDH823" s="268"/>
      <c r="VDI823" s="268"/>
      <c r="VDJ823" s="268"/>
      <c r="VDK823" s="268"/>
      <c r="VDL823" s="268"/>
      <c r="VDM823" s="268"/>
      <c r="VDN823" s="268"/>
      <c r="VDO823" s="268"/>
      <c r="VDP823" s="268"/>
      <c r="VDQ823" s="268"/>
      <c r="VDR823" s="268"/>
      <c r="VDS823" s="268"/>
      <c r="VDT823" s="268"/>
      <c r="VDU823" s="268"/>
      <c r="VDV823" s="268"/>
      <c r="VDW823" s="268"/>
      <c r="VDX823" s="268"/>
      <c r="VDY823" s="268"/>
      <c r="VDZ823" s="268"/>
      <c r="VEA823" s="268"/>
      <c r="VEB823" s="268"/>
      <c r="VEC823" s="268"/>
      <c r="VED823" s="268"/>
      <c r="VEE823" s="268"/>
      <c r="VEF823" s="268"/>
      <c r="VEG823" s="268"/>
      <c r="VEH823" s="268"/>
      <c r="VEI823" s="268"/>
      <c r="VEJ823" s="268"/>
      <c r="VEK823" s="268"/>
      <c r="VEL823" s="268"/>
      <c r="VEM823" s="268"/>
      <c r="VEN823" s="268"/>
      <c r="VEO823" s="268"/>
      <c r="VEP823" s="268"/>
      <c r="VEQ823" s="268"/>
      <c r="VER823" s="268"/>
      <c r="VES823" s="268"/>
      <c r="VET823" s="268"/>
      <c r="VEU823" s="268"/>
      <c r="VEV823" s="268"/>
      <c r="VEW823" s="268"/>
      <c r="VEX823" s="268"/>
      <c r="VEY823" s="268"/>
      <c r="VEZ823" s="268"/>
      <c r="VFA823" s="268"/>
      <c r="VFB823" s="268"/>
      <c r="VFC823" s="268"/>
      <c r="VFD823" s="268"/>
      <c r="VFE823" s="268"/>
      <c r="VFF823" s="268"/>
      <c r="VFG823" s="268"/>
      <c r="VFH823" s="268"/>
      <c r="VFI823" s="268"/>
      <c r="VFJ823" s="268"/>
      <c r="VFK823" s="268"/>
      <c r="VFL823" s="268"/>
      <c r="VFM823" s="268"/>
      <c r="VFN823" s="268"/>
      <c r="VFO823" s="268"/>
      <c r="VFP823" s="268"/>
      <c r="VFQ823" s="268"/>
      <c r="VFR823" s="268"/>
      <c r="VFS823" s="268"/>
      <c r="VFT823" s="268"/>
      <c r="VFU823" s="268"/>
      <c r="VFV823" s="268"/>
      <c r="VFW823" s="268"/>
      <c r="VFX823" s="268"/>
      <c r="VFY823" s="268"/>
      <c r="VFZ823" s="268"/>
      <c r="VGA823" s="268"/>
      <c r="VGB823" s="268"/>
      <c r="VGC823" s="268"/>
      <c r="VGD823" s="268"/>
      <c r="VGE823" s="268"/>
      <c r="VGF823" s="268"/>
      <c r="VGG823" s="268"/>
      <c r="VGH823" s="268"/>
      <c r="VGI823" s="268"/>
      <c r="VGJ823" s="268"/>
      <c r="VGK823" s="268"/>
      <c r="VGL823" s="268"/>
      <c r="VGM823" s="268"/>
      <c r="VGN823" s="268"/>
      <c r="VGO823" s="268"/>
      <c r="VGP823" s="268"/>
      <c r="VGQ823" s="268"/>
      <c r="VGR823" s="268"/>
      <c r="VGS823" s="268"/>
      <c r="VGT823" s="268"/>
      <c r="VGU823" s="268"/>
      <c r="VGV823" s="268"/>
      <c r="VGW823" s="268"/>
      <c r="VGX823" s="268"/>
      <c r="VGY823" s="268"/>
      <c r="VGZ823" s="268"/>
      <c r="VHA823" s="268"/>
      <c r="VHB823" s="268"/>
      <c r="VHC823" s="268"/>
      <c r="VHD823" s="268"/>
      <c r="VHE823" s="268"/>
      <c r="VHF823" s="268"/>
      <c r="VHG823" s="268"/>
      <c r="VHH823" s="268"/>
      <c r="VHI823" s="268"/>
      <c r="VHJ823" s="268"/>
      <c r="VHK823" s="268"/>
      <c r="VHL823" s="268"/>
      <c r="VHM823" s="268"/>
      <c r="VHN823" s="268"/>
      <c r="VHO823" s="268"/>
      <c r="VIC823" s="268"/>
      <c r="VID823" s="268"/>
      <c r="VIE823" s="268"/>
      <c r="VIS823" s="268"/>
      <c r="VIU823" s="268"/>
      <c r="VIV823" s="268"/>
      <c r="VIW823" s="268"/>
      <c r="VIX823" s="268"/>
      <c r="VIY823" s="268"/>
      <c r="VIZ823" s="268"/>
      <c r="VJA823" s="268"/>
      <c r="VJB823" s="268"/>
      <c r="VJC823" s="268"/>
      <c r="VJD823" s="268"/>
      <c r="VJE823" s="268"/>
      <c r="VJF823" s="268"/>
      <c r="VJG823" s="268"/>
      <c r="VJH823" s="268"/>
      <c r="VJI823" s="268"/>
      <c r="VJJ823" s="268"/>
      <c r="VJK823" s="268"/>
      <c r="VJL823" s="268"/>
      <c r="VJM823" s="268"/>
      <c r="VJN823" s="268"/>
      <c r="VJO823" s="268"/>
      <c r="VJP823" s="268"/>
      <c r="VJQ823" s="268"/>
      <c r="VJR823" s="268"/>
      <c r="VJS823" s="268"/>
      <c r="VJT823" s="268"/>
      <c r="VJU823" s="268"/>
      <c r="VJV823" s="268"/>
      <c r="VJW823" s="268"/>
      <c r="VJX823" s="268"/>
      <c r="VJY823" s="268"/>
      <c r="VJZ823" s="268"/>
      <c r="VKA823" s="268"/>
      <c r="VKB823" s="268"/>
      <c r="VKC823" s="268"/>
      <c r="VKD823" s="268"/>
      <c r="VKE823" s="268"/>
      <c r="VKF823" s="268"/>
      <c r="VKG823" s="268"/>
      <c r="VKH823" s="268"/>
      <c r="VKI823" s="268"/>
      <c r="VKJ823" s="268"/>
      <c r="VKK823" s="268"/>
      <c r="VKL823" s="268"/>
      <c r="VKM823" s="268"/>
      <c r="VKN823" s="268"/>
      <c r="VKO823" s="268"/>
      <c r="VKP823" s="268"/>
      <c r="VKQ823" s="268"/>
      <c r="VKR823" s="268"/>
      <c r="VKS823" s="268"/>
      <c r="VKT823" s="268"/>
      <c r="VKU823" s="268"/>
      <c r="VKV823" s="268"/>
      <c r="VKW823" s="268"/>
      <c r="VKX823" s="268"/>
      <c r="VKY823" s="268"/>
      <c r="VKZ823" s="268"/>
      <c r="VLA823" s="268"/>
      <c r="VLB823" s="268"/>
      <c r="VLC823" s="268"/>
      <c r="VLD823" s="268"/>
      <c r="VLE823" s="268"/>
      <c r="VLF823" s="268"/>
      <c r="VLG823" s="268"/>
      <c r="VLH823" s="268"/>
      <c r="VLI823" s="268"/>
      <c r="VLJ823" s="268"/>
      <c r="VLK823" s="268"/>
      <c r="VLL823" s="268"/>
      <c r="VLM823" s="268"/>
      <c r="VLN823" s="268"/>
      <c r="VLO823" s="268"/>
      <c r="VLP823" s="268"/>
      <c r="VLQ823" s="268"/>
      <c r="VLR823" s="268"/>
      <c r="VLS823" s="268"/>
      <c r="VLT823" s="268"/>
      <c r="VLU823" s="268"/>
      <c r="VLV823" s="268"/>
      <c r="VLW823" s="268"/>
      <c r="VLX823" s="268"/>
      <c r="VLY823" s="268"/>
      <c r="VLZ823" s="268"/>
      <c r="VMA823" s="268"/>
      <c r="VMB823" s="268"/>
      <c r="VMC823" s="268"/>
      <c r="VMD823" s="268"/>
      <c r="VME823" s="268"/>
      <c r="VMF823" s="268"/>
      <c r="VMG823" s="268"/>
      <c r="VMH823" s="268"/>
      <c r="VMI823" s="268"/>
      <c r="VMJ823" s="268"/>
      <c r="VMK823" s="268"/>
      <c r="VML823" s="268"/>
      <c r="VMM823" s="268"/>
      <c r="VMN823" s="268"/>
      <c r="VMO823" s="268"/>
      <c r="VMP823" s="268"/>
      <c r="VMQ823" s="268"/>
      <c r="VMR823" s="268"/>
      <c r="VMS823" s="268"/>
      <c r="VMT823" s="268"/>
      <c r="VMU823" s="268"/>
      <c r="VMV823" s="268"/>
      <c r="VMW823" s="268"/>
      <c r="VMX823" s="268"/>
      <c r="VMY823" s="268"/>
      <c r="VMZ823" s="268"/>
      <c r="VNA823" s="268"/>
      <c r="VNB823" s="268"/>
      <c r="VNC823" s="268"/>
      <c r="VND823" s="268"/>
      <c r="VNE823" s="268"/>
      <c r="VNF823" s="268"/>
      <c r="VNG823" s="268"/>
      <c r="VNH823" s="268"/>
      <c r="VNI823" s="268"/>
      <c r="VNJ823" s="268"/>
      <c r="VNK823" s="268"/>
      <c r="VNL823" s="268"/>
      <c r="VNM823" s="268"/>
      <c r="VNN823" s="268"/>
      <c r="VNO823" s="268"/>
      <c r="VNP823" s="268"/>
      <c r="VNQ823" s="268"/>
      <c r="VNR823" s="268"/>
      <c r="VNS823" s="268"/>
      <c r="VNT823" s="268"/>
      <c r="VNU823" s="268"/>
      <c r="VNV823" s="268"/>
      <c r="VNW823" s="268"/>
      <c r="VNX823" s="268"/>
      <c r="VNY823" s="268"/>
      <c r="VNZ823" s="268"/>
      <c r="VOA823" s="268"/>
      <c r="VOB823" s="268"/>
      <c r="VOC823" s="268"/>
      <c r="VOD823" s="268"/>
      <c r="VOE823" s="268"/>
      <c r="VOF823" s="268"/>
      <c r="VOG823" s="268"/>
      <c r="VOH823" s="268"/>
      <c r="VOI823" s="268"/>
      <c r="VOJ823" s="268"/>
      <c r="VOK823" s="268"/>
      <c r="VOL823" s="268"/>
      <c r="VOM823" s="268"/>
      <c r="VON823" s="268"/>
      <c r="VOO823" s="268"/>
      <c r="VOP823" s="268"/>
      <c r="VOQ823" s="268"/>
      <c r="VOR823" s="268"/>
      <c r="VOS823" s="268"/>
      <c r="VOT823" s="268"/>
      <c r="VOU823" s="268"/>
      <c r="VOV823" s="268"/>
      <c r="VOW823" s="268"/>
      <c r="VOX823" s="268"/>
      <c r="VOY823" s="268"/>
      <c r="VOZ823" s="268"/>
      <c r="VPA823" s="268"/>
      <c r="VPB823" s="268"/>
      <c r="VPC823" s="268"/>
      <c r="VPD823" s="268"/>
      <c r="VPE823" s="268"/>
      <c r="VPF823" s="268"/>
      <c r="VPG823" s="268"/>
      <c r="VPH823" s="268"/>
      <c r="VPI823" s="268"/>
      <c r="VPJ823" s="268"/>
      <c r="VPK823" s="268"/>
      <c r="VPL823" s="268"/>
      <c r="VPM823" s="268"/>
      <c r="VPN823" s="268"/>
      <c r="VPO823" s="268"/>
      <c r="VPP823" s="268"/>
      <c r="VPQ823" s="268"/>
      <c r="VPR823" s="268"/>
      <c r="VPS823" s="268"/>
      <c r="VPT823" s="268"/>
      <c r="VPU823" s="268"/>
      <c r="VPV823" s="268"/>
      <c r="VPW823" s="268"/>
      <c r="VPX823" s="268"/>
      <c r="VPY823" s="268"/>
      <c r="VPZ823" s="268"/>
      <c r="VQA823" s="268"/>
      <c r="VQB823" s="268"/>
      <c r="VQC823" s="268"/>
      <c r="VQD823" s="268"/>
      <c r="VQE823" s="268"/>
      <c r="VQF823" s="268"/>
      <c r="VQG823" s="268"/>
      <c r="VQH823" s="268"/>
      <c r="VQI823" s="268"/>
      <c r="VQJ823" s="268"/>
      <c r="VQK823" s="268"/>
      <c r="VQL823" s="268"/>
      <c r="VQM823" s="268"/>
      <c r="VQN823" s="268"/>
      <c r="VQO823" s="268"/>
      <c r="VQP823" s="268"/>
      <c r="VQQ823" s="268"/>
      <c r="VQR823" s="268"/>
      <c r="VQS823" s="268"/>
      <c r="VQT823" s="268"/>
      <c r="VQU823" s="268"/>
      <c r="VQV823" s="268"/>
      <c r="VQW823" s="268"/>
      <c r="VQX823" s="268"/>
      <c r="VQY823" s="268"/>
      <c r="VQZ823" s="268"/>
      <c r="VRA823" s="268"/>
      <c r="VRB823" s="268"/>
      <c r="VRC823" s="268"/>
      <c r="VRD823" s="268"/>
      <c r="VRE823" s="268"/>
      <c r="VRF823" s="268"/>
      <c r="VRG823" s="268"/>
      <c r="VRH823" s="268"/>
      <c r="VRI823" s="268"/>
      <c r="VRJ823" s="268"/>
      <c r="VRK823" s="268"/>
      <c r="VRY823" s="268"/>
      <c r="VRZ823" s="268"/>
      <c r="VSA823" s="268"/>
      <c r="VSO823" s="268"/>
      <c r="VSQ823" s="268"/>
      <c r="VSR823" s="268"/>
      <c r="VSS823" s="268"/>
      <c r="VST823" s="268"/>
      <c r="VSU823" s="268"/>
      <c r="VSV823" s="268"/>
      <c r="VSW823" s="268"/>
      <c r="VSX823" s="268"/>
      <c r="VSY823" s="268"/>
      <c r="VSZ823" s="268"/>
      <c r="VTA823" s="268"/>
      <c r="VTB823" s="268"/>
      <c r="VTC823" s="268"/>
      <c r="VTD823" s="268"/>
      <c r="VTE823" s="268"/>
      <c r="VTF823" s="268"/>
      <c r="VTG823" s="268"/>
      <c r="VTH823" s="268"/>
      <c r="VTI823" s="268"/>
      <c r="VTJ823" s="268"/>
      <c r="VTK823" s="268"/>
      <c r="VTL823" s="268"/>
      <c r="VTM823" s="268"/>
      <c r="VTN823" s="268"/>
      <c r="VTO823" s="268"/>
      <c r="VTP823" s="268"/>
      <c r="VTQ823" s="268"/>
      <c r="VTR823" s="268"/>
      <c r="VTS823" s="268"/>
      <c r="VTT823" s="268"/>
      <c r="VTU823" s="268"/>
      <c r="VTV823" s="268"/>
      <c r="VTW823" s="268"/>
      <c r="VTX823" s="268"/>
      <c r="VTY823" s="268"/>
      <c r="VTZ823" s="268"/>
      <c r="VUA823" s="268"/>
      <c r="VUB823" s="268"/>
      <c r="VUC823" s="268"/>
      <c r="VUD823" s="268"/>
      <c r="VUE823" s="268"/>
      <c r="VUF823" s="268"/>
      <c r="VUG823" s="268"/>
      <c r="VUH823" s="268"/>
      <c r="VUI823" s="268"/>
      <c r="VUJ823" s="268"/>
      <c r="VUK823" s="268"/>
      <c r="VUL823" s="268"/>
      <c r="VUM823" s="268"/>
      <c r="VUN823" s="268"/>
      <c r="VUO823" s="268"/>
      <c r="VUP823" s="268"/>
      <c r="VUQ823" s="268"/>
      <c r="VUR823" s="268"/>
      <c r="VUS823" s="268"/>
      <c r="VUT823" s="268"/>
      <c r="VUU823" s="268"/>
      <c r="VUV823" s="268"/>
      <c r="VUW823" s="268"/>
      <c r="VUX823" s="268"/>
      <c r="VUY823" s="268"/>
      <c r="VUZ823" s="268"/>
      <c r="VVA823" s="268"/>
      <c r="VVB823" s="268"/>
      <c r="VVC823" s="268"/>
      <c r="VVD823" s="268"/>
      <c r="VVE823" s="268"/>
      <c r="VVF823" s="268"/>
      <c r="VVG823" s="268"/>
      <c r="VVH823" s="268"/>
      <c r="VVI823" s="268"/>
      <c r="VVJ823" s="268"/>
      <c r="VVK823" s="268"/>
      <c r="VVL823" s="268"/>
      <c r="VVM823" s="268"/>
      <c r="VVN823" s="268"/>
      <c r="VVO823" s="268"/>
      <c r="VVP823" s="268"/>
      <c r="VVQ823" s="268"/>
      <c r="VVR823" s="268"/>
      <c r="VVS823" s="268"/>
      <c r="VVT823" s="268"/>
      <c r="VVU823" s="268"/>
      <c r="VVV823" s="268"/>
      <c r="VVW823" s="268"/>
      <c r="VVX823" s="268"/>
      <c r="VVY823" s="268"/>
      <c r="VVZ823" s="268"/>
      <c r="VWA823" s="268"/>
      <c r="VWB823" s="268"/>
      <c r="VWC823" s="268"/>
      <c r="VWD823" s="268"/>
      <c r="VWE823" s="268"/>
      <c r="VWF823" s="268"/>
      <c r="VWG823" s="268"/>
      <c r="VWH823" s="268"/>
      <c r="VWI823" s="268"/>
      <c r="VWJ823" s="268"/>
      <c r="VWK823" s="268"/>
      <c r="VWL823" s="268"/>
      <c r="VWM823" s="268"/>
      <c r="VWN823" s="268"/>
      <c r="VWO823" s="268"/>
      <c r="VWP823" s="268"/>
      <c r="VWQ823" s="268"/>
      <c r="VWR823" s="268"/>
      <c r="VWS823" s="268"/>
      <c r="VWT823" s="268"/>
      <c r="VWU823" s="268"/>
      <c r="VWV823" s="268"/>
      <c r="VWW823" s="268"/>
      <c r="VWX823" s="268"/>
      <c r="VWY823" s="268"/>
      <c r="VWZ823" s="268"/>
      <c r="VXA823" s="268"/>
      <c r="VXB823" s="268"/>
      <c r="VXC823" s="268"/>
      <c r="VXD823" s="268"/>
      <c r="VXE823" s="268"/>
      <c r="VXF823" s="268"/>
      <c r="VXG823" s="268"/>
      <c r="VXH823" s="268"/>
      <c r="VXI823" s="268"/>
      <c r="VXJ823" s="268"/>
      <c r="VXK823" s="268"/>
      <c r="VXL823" s="268"/>
      <c r="VXM823" s="268"/>
      <c r="VXN823" s="268"/>
      <c r="VXO823" s="268"/>
      <c r="VXP823" s="268"/>
      <c r="VXQ823" s="268"/>
      <c r="VXR823" s="268"/>
      <c r="VXS823" s="268"/>
      <c r="VXT823" s="268"/>
      <c r="VXU823" s="268"/>
      <c r="VXV823" s="268"/>
      <c r="VXW823" s="268"/>
      <c r="VXX823" s="268"/>
      <c r="VXY823" s="268"/>
      <c r="VXZ823" s="268"/>
      <c r="VYA823" s="268"/>
      <c r="VYB823" s="268"/>
      <c r="VYC823" s="268"/>
      <c r="VYD823" s="268"/>
      <c r="VYE823" s="268"/>
      <c r="VYF823" s="268"/>
      <c r="VYG823" s="268"/>
      <c r="VYH823" s="268"/>
      <c r="VYI823" s="268"/>
      <c r="VYJ823" s="268"/>
      <c r="VYK823" s="268"/>
      <c r="VYL823" s="268"/>
      <c r="VYM823" s="268"/>
      <c r="VYN823" s="268"/>
      <c r="VYO823" s="268"/>
      <c r="VYP823" s="268"/>
      <c r="VYQ823" s="268"/>
      <c r="VYR823" s="268"/>
      <c r="VYS823" s="268"/>
      <c r="VYT823" s="268"/>
      <c r="VYU823" s="268"/>
      <c r="VYV823" s="268"/>
      <c r="VYW823" s="268"/>
      <c r="VYX823" s="268"/>
      <c r="VYY823" s="268"/>
      <c r="VYZ823" s="268"/>
      <c r="VZA823" s="268"/>
      <c r="VZB823" s="268"/>
      <c r="VZC823" s="268"/>
      <c r="VZD823" s="268"/>
      <c r="VZE823" s="268"/>
      <c r="VZF823" s="268"/>
      <c r="VZG823" s="268"/>
      <c r="VZH823" s="268"/>
      <c r="VZI823" s="268"/>
      <c r="VZJ823" s="268"/>
      <c r="VZK823" s="268"/>
      <c r="VZL823" s="268"/>
      <c r="VZM823" s="268"/>
      <c r="VZN823" s="268"/>
      <c r="VZO823" s="268"/>
      <c r="VZP823" s="268"/>
      <c r="VZQ823" s="268"/>
      <c r="VZR823" s="268"/>
      <c r="VZS823" s="268"/>
      <c r="VZT823" s="268"/>
      <c r="VZU823" s="268"/>
      <c r="VZV823" s="268"/>
      <c r="VZW823" s="268"/>
      <c r="VZX823" s="268"/>
      <c r="VZY823" s="268"/>
      <c r="VZZ823" s="268"/>
      <c r="WAA823" s="268"/>
      <c r="WAB823" s="268"/>
      <c r="WAC823" s="268"/>
      <c r="WAD823" s="268"/>
      <c r="WAE823" s="268"/>
      <c r="WAF823" s="268"/>
      <c r="WAG823" s="268"/>
      <c r="WAH823" s="268"/>
      <c r="WAI823" s="268"/>
      <c r="WAJ823" s="268"/>
      <c r="WAK823" s="268"/>
      <c r="WAL823" s="268"/>
      <c r="WAM823" s="268"/>
      <c r="WAN823" s="268"/>
      <c r="WAO823" s="268"/>
      <c r="WAP823" s="268"/>
      <c r="WAQ823" s="268"/>
      <c r="WAR823" s="268"/>
      <c r="WAS823" s="268"/>
      <c r="WAT823" s="268"/>
      <c r="WAU823" s="268"/>
      <c r="WAV823" s="268"/>
      <c r="WAW823" s="268"/>
      <c r="WAX823" s="268"/>
      <c r="WAY823" s="268"/>
      <c r="WAZ823" s="268"/>
      <c r="WBA823" s="268"/>
      <c r="WBB823" s="268"/>
      <c r="WBC823" s="268"/>
      <c r="WBD823" s="268"/>
      <c r="WBE823" s="268"/>
      <c r="WBF823" s="268"/>
      <c r="WBG823" s="268"/>
      <c r="WBU823" s="268"/>
      <c r="WBV823" s="268"/>
      <c r="WBW823" s="268"/>
      <c r="WCK823" s="268"/>
      <c r="WCM823" s="268"/>
      <c r="WCN823" s="268"/>
      <c r="WCO823" s="268"/>
      <c r="WCP823" s="268"/>
      <c r="WCQ823" s="268"/>
      <c r="WCR823" s="268"/>
      <c r="WCS823" s="268"/>
      <c r="WCT823" s="268"/>
      <c r="WCU823" s="268"/>
      <c r="WCV823" s="268"/>
      <c r="WCW823" s="268"/>
      <c r="WCX823" s="268"/>
      <c r="WCY823" s="268"/>
      <c r="WCZ823" s="268"/>
      <c r="WDA823" s="268"/>
      <c r="WDB823" s="268"/>
      <c r="WDC823" s="268"/>
      <c r="WDD823" s="268"/>
      <c r="WDE823" s="268"/>
      <c r="WDF823" s="268"/>
      <c r="WDG823" s="268"/>
      <c r="WDH823" s="268"/>
      <c r="WDI823" s="268"/>
      <c r="WDJ823" s="268"/>
      <c r="WDK823" s="268"/>
      <c r="WDL823" s="268"/>
      <c r="WDM823" s="268"/>
      <c r="WDN823" s="268"/>
      <c r="WDO823" s="268"/>
      <c r="WDP823" s="268"/>
      <c r="WDQ823" s="268"/>
      <c r="WDR823" s="268"/>
      <c r="WDS823" s="268"/>
      <c r="WDT823" s="268"/>
      <c r="WDU823" s="268"/>
      <c r="WDV823" s="268"/>
      <c r="WDW823" s="268"/>
      <c r="WDX823" s="268"/>
      <c r="WDY823" s="268"/>
      <c r="WDZ823" s="268"/>
      <c r="WEA823" s="268"/>
      <c r="WEB823" s="268"/>
      <c r="WEC823" s="268"/>
      <c r="WED823" s="268"/>
      <c r="WEE823" s="268"/>
      <c r="WEF823" s="268"/>
      <c r="WEG823" s="268"/>
      <c r="WEH823" s="268"/>
      <c r="WEI823" s="268"/>
      <c r="WEJ823" s="268"/>
      <c r="WEK823" s="268"/>
      <c r="WEL823" s="268"/>
      <c r="WEM823" s="268"/>
      <c r="WEN823" s="268"/>
      <c r="WEO823" s="268"/>
      <c r="WEP823" s="268"/>
      <c r="WEQ823" s="268"/>
      <c r="WER823" s="268"/>
      <c r="WES823" s="268"/>
      <c r="WET823" s="268"/>
      <c r="WEU823" s="268"/>
      <c r="WEV823" s="268"/>
      <c r="WEW823" s="268"/>
      <c r="WEX823" s="268"/>
      <c r="WEY823" s="268"/>
      <c r="WEZ823" s="268"/>
      <c r="WFA823" s="268"/>
      <c r="WFB823" s="268"/>
      <c r="WFC823" s="268"/>
      <c r="WFD823" s="268"/>
      <c r="WFE823" s="268"/>
      <c r="WFF823" s="268"/>
      <c r="WFG823" s="268"/>
      <c r="WFH823" s="268"/>
      <c r="WFI823" s="268"/>
      <c r="WFJ823" s="268"/>
      <c r="WFK823" s="268"/>
      <c r="WFL823" s="268"/>
      <c r="WFM823" s="268"/>
      <c r="WFN823" s="268"/>
      <c r="WFO823" s="268"/>
      <c r="WFP823" s="268"/>
      <c r="WFQ823" s="268"/>
      <c r="WFR823" s="268"/>
      <c r="WFS823" s="268"/>
      <c r="WFT823" s="268"/>
      <c r="WFU823" s="268"/>
      <c r="WFV823" s="268"/>
      <c r="WFW823" s="268"/>
      <c r="WFX823" s="268"/>
      <c r="WFY823" s="268"/>
      <c r="WFZ823" s="268"/>
      <c r="WGA823" s="268"/>
      <c r="WGB823" s="268"/>
      <c r="WGC823" s="268"/>
      <c r="WGD823" s="268"/>
      <c r="WGE823" s="268"/>
      <c r="WGF823" s="268"/>
      <c r="WGG823" s="268"/>
      <c r="WGH823" s="268"/>
      <c r="WGI823" s="268"/>
      <c r="WGJ823" s="268"/>
      <c r="WGK823" s="268"/>
      <c r="WGL823" s="268"/>
      <c r="WGM823" s="268"/>
      <c r="WGN823" s="268"/>
      <c r="WGO823" s="268"/>
      <c r="WGP823" s="268"/>
      <c r="WGQ823" s="268"/>
      <c r="WGR823" s="268"/>
      <c r="WGS823" s="268"/>
      <c r="WGT823" s="268"/>
      <c r="WGU823" s="268"/>
      <c r="WGV823" s="268"/>
      <c r="WGW823" s="268"/>
      <c r="WGX823" s="268"/>
      <c r="WGY823" s="268"/>
      <c r="WGZ823" s="268"/>
      <c r="WHA823" s="268"/>
      <c r="WHB823" s="268"/>
      <c r="WHC823" s="268"/>
      <c r="WHD823" s="268"/>
      <c r="WHE823" s="268"/>
      <c r="WHF823" s="268"/>
      <c r="WHG823" s="268"/>
      <c r="WHH823" s="268"/>
      <c r="WHI823" s="268"/>
      <c r="WHJ823" s="268"/>
      <c r="WHK823" s="268"/>
      <c r="WHL823" s="268"/>
      <c r="WHM823" s="268"/>
      <c r="WHN823" s="268"/>
      <c r="WHO823" s="268"/>
      <c r="WHP823" s="268"/>
      <c r="WHQ823" s="268"/>
      <c r="WHR823" s="268"/>
      <c r="WHS823" s="268"/>
      <c r="WHT823" s="268"/>
      <c r="WHU823" s="268"/>
      <c r="WHV823" s="268"/>
      <c r="WHW823" s="268"/>
      <c r="WHX823" s="268"/>
      <c r="WHY823" s="268"/>
      <c r="WHZ823" s="268"/>
      <c r="WIA823" s="268"/>
      <c r="WIB823" s="268"/>
      <c r="WIC823" s="268"/>
      <c r="WID823" s="268"/>
      <c r="WIE823" s="268"/>
      <c r="WIF823" s="268"/>
      <c r="WIG823" s="268"/>
      <c r="WIH823" s="268"/>
      <c r="WII823" s="268"/>
      <c r="WIJ823" s="268"/>
      <c r="WIK823" s="268"/>
      <c r="WIL823" s="268"/>
      <c r="WIM823" s="268"/>
      <c r="WIN823" s="268"/>
      <c r="WIO823" s="268"/>
      <c r="WIP823" s="268"/>
      <c r="WIQ823" s="268"/>
      <c r="WIR823" s="268"/>
      <c r="WIS823" s="268"/>
      <c r="WIT823" s="268"/>
      <c r="WIU823" s="268"/>
      <c r="WIV823" s="268"/>
      <c r="WIW823" s="268"/>
      <c r="WIX823" s="268"/>
      <c r="WIY823" s="268"/>
      <c r="WIZ823" s="268"/>
      <c r="WJA823" s="268"/>
      <c r="WJB823" s="268"/>
      <c r="WJC823" s="268"/>
      <c r="WJD823" s="268"/>
      <c r="WJE823" s="268"/>
      <c r="WJF823" s="268"/>
      <c r="WJG823" s="268"/>
      <c r="WJH823" s="268"/>
      <c r="WJI823" s="268"/>
      <c r="WJJ823" s="268"/>
      <c r="WJK823" s="268"/>
      <c r="WJL823" s="268"/>
      <c r="WJM823" s="268"/>
      <c r="WJN823" s="268"/>
      <c r="WJO823" s="268"/>
      <c r="WJP823" s="268"/>
      <c r="WJQ823" s="268"/>
      <c r="WJR823" s="268"/>
      <c r="WJS823" s="268"/>
      <c r="WJT823" s="268"/>
      <c r="WJU823" s="268"/>
      <c r="WJV823" s="268"/>
      <c r="WJW823" s="268"/>
      <c r="WJX823" s="268"/>
      <c r="WJY823" s="268"/>
      <c r="WJZ823" s="268"/>
      <c r="WKA823" s="268"/>
      <c r="WKB823" s="268"/>
      <c r="WKC823" s="268"/>
      <c r="WKD823" s="268"/>
      <c r="WKE823" s="268"/>
      <c r="WKF823" s="268"/>
      <c r="WKG823" s="268"/>
      <c r="WKH823" s="268"/>
      <c r="WKI823" s="268"/>
      <c r="WKJ823" s="268"/>
      <c r="WKK823" s="268"/>
      <c r="WKL823" s="268"/>
      <c r="WKM823" s="268"/>
      <c r="WKN823" s="268"/>
      <c r="WKO823" s="268"/>
      <c r="WKP823" s="268"/>
      <c r="WKQ823" s="268"/>
      <c r="WKR823" s="268"/>
      <c r="WKS823" s="268"/>
      <c r="WKT823" s="268"/>
      <c r="WKU823" s="268"/>
      <c r="WKV823" s="268"/>
      <c r="WKW823" s="268"/>
      <c r="WKX823" s="268"/>
      <c r="WKY823" s="268"/>
      <c r="WKZ823" s="268"/>
      <c r="WLA823" s="268"/>
      <c r="WLB823" s="268"/>
      <c r="WLC823" s="268"/>
      <c r="WLQ823" s="268"/>
      <c r="WLR823" s="268"/>
      <c r="WLS823" s="268"/>
      <c r="WMG823" s="268"/>
      <c r="WMI823" s="268"/>
      <c r="WMJ823" s="268"/>
      <c r="WMK823" s="268"/>
      <c r="WML823" s="268"/>
      <c r="WMM823" s="268"/>
      <c r="WMN823" s="268"/>
      <c r="WMO823" s="268"/>
      <c r="WMP823" s="268"/>
      <c r="WMQ823" s="268"/>
      <c r="WMR823" s="268"/>
      <c r="WMS823" s="268"/>
      <c r="WMT823" s="268"/>
      <c r="WMU823" s="268"/>
      <c r="WMV823" s="268"/>
      <c r="WMW823" s="268"/>
      <c r="WMX823" s="268"/>
      <c r="WMY823" s="268"/>
      <c r="WMZ823" s="268"/>
      <c r="WNA823" s="268"/>
      <c r="WNB823" s="268"/>
      <c r="WNC823" s="268"/>
      <c r="WND823" s="268"/>
      <c r="WNE823" s="268"/>
      <c r="WNF823" s="268"/>
      <c r="WNG823" s="268"/>
      <c r="WNH823" s="268"/>
      <c r="WNI823" s="268"/>
      <c r="WNJ823" s="268"/>
      <c r="WNK823" s="268"/>
      <c r="WNL823" s="268"/>
      <c r="WNM823" s="268"/>
      <c r="WNN823" s="268"/>
      <c r="WNO823" s="268"/>
      <c r="WNP823" s="268"/>
      <c r="WNQ823" s="268"/>
      <c r="WNR823" s="268"/>
      <c r="WNS823" s="268"/>
      <c r="WNT823" s="268"/>
      <c r="WNU823" s="268"/>
      <c r="WNV823" s="268"/>
      <c r="WNW823" s="268"/>
      <c r="WNX823" s="268"/>
      <c r="WNY823" s="268"/>
      <c r="WNZ823" s="268"/>
      <c r="WOA823" s="268"/>
      <c r="WOB823" s="268"/>
      <c r="WOC823" s="268"/>
      <c r="WOD823" s="268"/>
      <c r="WOE823" s="268"/>
      <c r="WOF823" s="268"/>
      <c r="WOG823" s="268"/>
      <c r="WOH823" s="268"/>
      <c r="WOI823" s="268"/>
      <c r="WOJ823" s="268"/>
      <c r="WOK823" s="268"/>
      <c r="WOL823" s="268"/>
      <c r="WOM823" s="268"/>
      <c r="WON823" s="268"/>
      <c r="WOO823" s="268"/>
      <c r="WOP823" s="268"/>
      <c r="WOQ823" s="268"/>
      <c r="WOR823" s="268"/>
      <c r="WOS823" s="268"/>
      <c r="WOT823" s="268"/>
      <c r="WOU823" s="268"/>
      <c r="WOV823" s="268"/>
      <c r="WOW823" s="268"/>
      <c r="WOX823" s="268"/>
      <c r="WOY823" s="268"/>
      <c r="WOZ823" s="268"/>
      <c r="WPA823" s="268"/>
      <c r="WPB823" s="268"/>
      <c r="WPC823" s="268"/>
      <c r="WPD823" s="268"/>
      <c r="WPE823" s="268"/>
      <c r="WPF823" s="268"/>
      <c r="WPG823" s="268"/>
      <c r="WPH823" s="268"/>
      <c r="WPI823" s="268"/>
      <c r="WPJ823" s="268"/>
      <c r="WPK823" s="268"/>
      <c r="WPL823" s="268"/>
      <c r="WPM823" s="268"/>
      <c r="WPN823" s="268"/>
      <c r="WPO823" s="268"/>
      <c r="WPP823" s="268"/>
      <c r="WPQ823" s="268"/>
      <c r="WPR823" s="268"/>
      <c r="WPS823" s="268"/>
      <c r="WPT823" s="268"/>
      <c r="WPU823" s="268"/>
      <c r="WPV823" s="268"/>
      <c r="WPW823" s="268"/>
      <c r="WPX823" s="268"/>
      <c r="WPY823" s="268"/>
      <c r="WPZ823" s="268"/>
      <c r="WQA823" s="268"/>
      <c r="WQB823" s="268"/>
      <c r="WQC823" s="268"/>
      <c r="WQD823" s="268"/>
      <c r="WQE823" s="268"/>
      <c r="WQF823" s="268"/>
      <c r="WQG823" s="268"/>
      <c r="WQH823" s="268"/>
      <c r="WQI823" s="268"/>
      <c r="WQJ823" s="268"/>
      <c r="WQK823" s="268"/>
      <c r="WQL823" s="268"/>
      <c r="WQM823" s="268"/>
      <c r="WQN823" s="268"/>
      <c r="WQO823" s="268"/>
      <c r="WQP823" s="268"/>
      <c r="WQQ823" s="268"/>
      <c r="WQR823" s="268"/>
      <c r="WQS823" s="268"/>
      <c r="WQT823" s="268"/>
      <c r="WQU823" s="268"/>
      <c r="WQV823" s="268"/>
      <c r="WQW823" s="268"/>
      <c r="WQX823" s="268"/>
      <c r="WQY823" s="268"/>
      <c r="WQZ823" s="268"/>
      <c r="WRA823" s="268"/>
      <c r="WRB823" s="268"/>
      <c r="WRC823" s="268"/>
      <c r="WRD823" s="268"/>
      <c r="WRE823" s="268"/>
      <c r="WRF823" s="268"/>
      <c r="WRG823" s="268"/>
      <c r="WRH823" s="268"/>
      <c r="WRI823" s="268"/>
      <c r="WRJ823" s="268"/>
      <c r="WRK823" s="268"/>
      <c r="WRL823" s="268"/>
      <c r="WRM823" s="268"/>
      <c r="WRN823" s="268"/>
      <c r="WRO823" s="268"/>
      <c r="WRP823" s="268"/>
      <c r="WRQ823" s="268"/>
      <c r="WRR823" s="268"/>
      <c r="WRS823" s="268"/>
      <c r="WRT823" s="268"/>
      <c r="WRU823" s="268"/>
      <c r="WRV823" s="268"/>
      <c r="WRW823" s="268"/>
      <c r="WRX823" s="268"/>
      <c r="WRY823" s="268"/>
      <c r="WRZ823" s="268"/>
      <c r="WSA823" s="268"/>
      <c r="WSB823" s="268"/>
      <c r="WSC823" s="268"/>
      <c r="WSD823" s="268"/>
      <c r="WSE823" s="268"/>
      <c r="WSF823" s="268"/>
      <c r="WSG823" s="268"/>
      <c r="WSH823" s="268"/>
      <c r="WSI823" s="268"/>
      <c r="WSJ823" s="268"/>
      <c r="WSK823" s="268"/>
      <c r="WSL823" s="268"/>
      <c r="WSM823" s="268"/>
      <c r="WSN823" s="268"/>
      <c r="WSO823" s="268"/>
      <c r="WSP823" s="268"/>
      <c r="WSQ823" s="268"/>
      <c r="WSR823" s="268"/>
      <c r="WSS823" s="268"/>
      <c r="WST823" s="268"/>
      <c r="WSU823" s="268"/>
      <c r="WSV823" s="268"/>
      <c r="WSW823" s="268"/>
      <c r="WSX823" s="268"/>
      <c r="WSY823" s="268"/>
      <c r="WSZ823" s="268"/>
      <c r="WTA823" s="268"/>
      <c r="WTB823" s="268"/>
      <c r="WTC823" s="268"/>
      <c r="WTD823" s="268"/>
      <c r="WTE823" s="268"/>
      <c r="WTF823" s="268"/>
      <c r="WTG823" s="268"/>
      <c r="WTH823" s="268"/>
      <c r="WTI823" s="268"/>
      <c r="WTJ823" s="268"/>
      <c r="WTK823" s="268"/>
      <c r="WTL823" s="268"/>
      <c r="WTM823" s="268"/>
      <c r="WTN823" s="268"/>
      <c r="WTO823" s="268"/>
      <c r="WTP823" s="268"/>
      <c r="WTQ823" s="268"/>
      <c r="WTR823" s="268"/>
      <c r="WTS823" s="268"/>
      <c r="WTT823" s="268"/>
      <c r="WTU823" s="268"/>
      <c r="WTV823" s="268"/>
      <c r="WTW823" s="268"/>
      <c r="WTX823" s="268"/>
      <c r="WTY823" s="268"/>
      <c r="WTZ823" s="268"/>
      <c r="WUA823" s="268"/>
      <c r="WUB823" s="268"/>
      <c r="WUC823" s="268"/>
      <c r="WUD823" s="268"/>
      <c r="WUE823" s="268"/>
      <c r="WUF823" s="268"/>
      <c r="WUG823" s="268"/>
      <c r="WUH823" s="268"/>
      <c r="WUI823" s="268"/>
      <c r="WUJ823" s="268"/>
      <c r="WUK823" s="268"/>
      <c r="WUL823" s="268"/>
      <c r="WUM823" s="268"/>
      <c r="WUN823" s="268"/>
      <c r="WUO823" s="268"/>
      <c r="WUP823" s="268"/>
      <c r="WUQ823" s="268"/>
      <c r="WUR823" s="268"/>
      <c r="WUS823" s="268"/>
      <c r="WUT823" s="268"/>
      <c r="WUU823" s="268"/>
      <c r="WUV823" s="268"/>
      <c r="WUW823" s="268"/>
      <c r="WUX823" s="268"/>
      <c r="WUY823" s="268"/>
      <c r="WVM823" s="268"/>
      <c r="WVN823" s="268"/>
      <c r="WVO823" s="268"/>
      <c r="WWC823" s="268"/>
      <c r="WWE823" s="268"/>
      <c r="WWF823" s="268"/>
      <c r="WWG823" s="268"/>
      <c r="WWH823" s="268"/>
      <c r="WWI823" s="268"/>
      <c r="WWJ823" s="268"/>
      <c r="WWK823" s="268"/>
      <c r="WWL823" s="268"/>
      <c r="WWM823" s="268"/>
      <c r="WWN823" s="268"/>
      <c r="WWO823" s="268"/>
      <c r="WWP823" s="268"/>
      <c r="WWQ823" s="268"/>
      <c r="WWR823" s="268"/>
      <c r="WWS823" s="268"/>
      <c r="WWT823" s="268"/>
      <c r="WWU823" s="268"/>
      <c r="WWV823" s="268"/>
      <c r="WWW823" s="268"/>
      <c r="WWX823" s="268"/>
      <c r="WWY823" s="268"/>
      <c r="WWZ823" s="268"/>
      <c r="WXA823" s="268"/>
      <c r="WXB823" s="268"/>
      <c r="WXC823" s="268"/>
      <c r="WXD823" s="268"/>
      <c r="WXE823" s="268"/>
      <c r="WXF823" s="268"/>
      <c r="WXG823" s="268"/>
      <c r="WXH823" s="268"/>
      <c r="WXI823" s="268"/>
      <c r="WXJ823" s="268"/>
      <c r="WXK823" s="268"/>
      <c r="WXL823" s="268"/>
      <c r="WXM823" s="268"/>
      <c r="WXN823" s="268"/>
      <c r="WXO823" s="268"/>
      <c r="WXP823" s="268"/>
      <c r="WXQ823" s="268"/>
      <c r="WXR823" s="268"/>
      <c r="WXS823" s="268"/>
      <c r="WXT823" s="268"/>
      <c r="WXU823" s="268"/>
      <c r="WXV823" s="268"/>
      <c r="WXW823" s="268"/>
      <c r="WXX823" s="268"/>
      <c r="WXY823" s="268"/>
      <c r="WXZ823" s="268"/>
      <c r="WYA823" s="268"/>
      <c r="WYB823" s="268"/>
      <c r="WYC823" s="268"/>
      <c r="WYD823" s="268"/>
      <c r="WYE823" s="268"/>
      <c r="WYF823" s="268"/>
      <c r="WYG823" s="268"/>
      <c r="WYH823" s="268"/>
      <c r="WYI823" s="268"/>
      <c r="WYJ823" s="268"/>
      <c r="WYK823" s="268"/>
      <c r="WYL823" s="268"/>
      <c r="WYM823" s="268"/>
      <c r="WYN823" s="268"/>
      <c r="WYO823" s="268"/>
      <c r="WYP823" s="268"/>
      <c r="WYQ823" s="268"/>
      <c r="WYR823" s="268"/>
      <c r="WYS823" s="268"/>
      <c r="WYT823" s="268"/>
      <c r="WYU823" s="268"/>
      <c r="WYV823" s="268"/>
      <c r="WYW823" s="268"/>
      <c r="WYX823" s="268"/>
      <c r="WYY823" s="268"/>
      <c r="WYZ823" s="268"/>
      <c r="WZA823" s="268"/>
      <c r="WZB823" s="268"/>
      <c r="WZC823" s="268"/>
      <c r="WZD823" s="268"/>
      <c r="WZE823" s="268"/>
      <c r="WZF823" s="268"/>
      <c r="WZG823" s="268"/>
      <c r="WZH823" s="268"/>
      <c r="WZI823" s="268"/>
      <c r="WZJ823" s="268"/>
      <c r="WZK823" s="268"/>
      <c r="WZL823" s="268"/>
      <c r="WZM823" s="268"/>
      <c r="WZN823" s="268"/>
      <c r="WZO823" s="268"/>
      <c r="WZP823" s="268"/>
      <c r="WZQ823" s="268"/>
      <c r="WZR823" s="268"/>
      <c r="WZS823" s="268"/>
      <c r="WZT823" s="268"/>
      <c r="WZU823" s="268"/>
      <c r="WZV823" s="268"/>
      <c r="WZW823" s="268"/>
      <c r="WZX823" s="268"/>
      <c r="WZY823" s="268"/>
      <c r="WZZ823" s="268"/>
      <c r="XAA823" s="268"/>
      <c r="XAB823" s="268"/>
      <c r="XAC823" s="268"/>
      <c r="XAD823" s="268"/>
      <c r="XAE823" s="268"/>
      <c r="XAF823" s="268"/>
      <c r="XAG823" s="268"/>
      <c r="XAH823" s="268"/>
      <c r="XAI823" s="268"/>
      <c r="XAJ823" s="268"/>
      <c r="XAK823" s="268"/>
      <c r="XAL823" s="268"/>
      <c r="XAM823" s="268"/>
      <c r="XAN823" s="268"/>
      <c r="XAO823" s="268"/>
      <c r="XAP823" s="268"/>
      <c r="XAQ823" s="268"/>
      <c r="XAR823" s="268"/>
      <c r="XAS823" s="268"/>
      <c r="XAT823" s="268"/>
      <c r="XAU823" s="268"/>
      <c r="XAV823" s="268"/>
      <c r="XAW823" s="268"/>
      <c r="XAX823" s="268"/>
      <c r="XAY823" s="268"/>
      <c r="XAZ823" s="268"/>
      <c r="XBA823" s="268"/>
      <c r="XBB823" s="268"/>
      <c r="XBC823" s="268"/>
      <c r="XBD823" s="268"/>
      <c r="XBE823" s="268"/>
      <c r="XBF823" s="268"/>
      <c r="XBG823" s="268"/>
      <c r="XBH823" s="268"/>
      <c r="XBI823" s="268"/>
      <c r="XBJ823" s="268"/>
      <c r="XBK823" s="268"/>
      <c r="XBL823" s="268"/>
      <c r="XBM823" s="268"/>
      <c r="XBN823" s="268"/>
      <c r="XBO823" s="268"/>
      <c r="XBP823" s="268"/>
      <c r="XBQ823" s="268"/>
      <c r="XBR823" s="268"/>
      <c r="XBS823" s="268"/>
      <c r="XBT823" s="268"/>
      <c r="XBU823" s="268"/>
      <c r="XBV823" s="268"/>
      <c r="XBW823" s="268"/>
      <c r="XBX823" s="268"/>
      <c r="XBY823" s="268"/>
      <c r="XBZ823" s="268"/>
      <c r="XCA823" s="268"/>
      <c r="XCB823" s="268"/>
      <c r="XCC823" s="268"/>
      <c r="XCD823" s="268"/>
      <c r="XCE823" s="268"/>
      <c r="XCF823" s="268"/>
      <c r="XCG823" s="268"/>
      <c r="XCH823" s="268"/>
      <c r="XCI823" s="268"/>
      <c r="XCJ823" s="268"/>
      <c r="XCK823" s="268"/>
      <c r="XCL823" s="268"/>
      <c r="XCM823" s="268"/>
      <c r="XCN823" s="268"/>
      <c r="XCO823" s="268"/>
      <c r="XCP823" s="268"/>
      <c r="XCQ823" s="268"/>
      <c r="XCR823" s="268"/>
      <c r="XCS823" s="268"/>
      <c r="XCT823" s="268"/>
      <c r="XCU823" s="268"/>
      <c r="XCV823" s="268"/>
      <c r="XCW823" s="268"/>
      <c r="XCX823" s="268"/>
      <c r="XCY823" s="268"/>
      <c r="XCZ823" s="268"/>
      <c r="XDA823" s="268"/>
      <c r="XDB823" s="268"/>
      <c r="XDC823" s="268"/>
      <c r="XDD823" s="268"/>
      <c r="XDE823" s="268"/>
      <c r="XDF823" s="268"/>
      <c r="XDG823" s="268"/>
      <c r="XDH823" s="268"/>
      <c r="XDI823" s="268"/>
      <c r="XDJ823" s="268"/>
      <c r="XDK823" s="268"/>
      <c r="XDL823" s="268"/>
      <c r="XDM823" s="268"/>
      <c r="XDN823" s="268"/>
      <c r="XDO823" s="268"/>
      <c r="XDP823" s="268"/>
      <c r="XDQ823" s="268"/>
      <c r="XDR823" s="268"/>
      <c r="XDS823" s="268"/>
      <c r="XDT823" s="268"/>
      <c r="XDU823" s="268"/>
      <c r="XDV823" s="268"/>
      <c r="XDW823" s="268"/>
      <c r="XDX823" s="268"/>
      <c r="XDY823" s="268"/>
      <c r="XDZ823" s="268"/>
      <c r="XEA823" s="268"/>
      <c r="XEB823" s="268"/>
      <c r="XEC823" s="268"/>
      <c r="XED823" s="268"/>
      <c r="XEE823" s="268"/>
      <c r="XEF823" s="268"/>
      <c r="XEG823" s="268"/>
      <c r="XEH823" s="268"/>
      <c r="XEI823" s="268"/>
      <c r="XEJ823" s="268"/>
      <c r="XEK823" s="268"/>
      <c r="XEL823" s="268"/>
      <c r="XEM823" s="268"/>
      <c r="XEN823" s="268"/>
      <c r="XEO823" s="268"/>
      <c r="XEP823" s="268"/>
      <c r="XEQ823" s="268"/>
      <c r="XER823" s="268"/>
      <c r="XES823" s="268"/>
    </row>
    <row r="824" spans="1:1015 1029:2039 2053:3063 3077:4087 4101:5111 5125:6135 6149:7159 7173:8183 8197:9207 9221:10231 10245:11255 11269:12279 12293:13303 13317:14327 14341:15351 15365:16373" hidden="1" outlineLevel="1" x14ac:dyDescent="0.25">
      <c r="A824" s="3" t="s">
        <v>594</v>
      </c>
      <c r="B824" s="3">
        <v>7000</v>
      </c>
      <c r="D824" s="3">
        <v>5000</v>
      </c>
      <c r="E824" s="3">
        <f t="shared" si="478"/>
        <v>3500</v>
      </c>
      <c r="F824" s="3">
        <v>8500</v>
      </c>
      <c r="H824" s="3">
        <f t="shared" si="479"/>
        <v>1500</v>
      </c>
      <c r="J824" s="3">
        <v>9944</v>
      </c>
      <c r="K824" s="4">
        <f t="shared" si="480"/>
        <v>3056</v>
      </c>
      <c r="L824" s="4">
        <v>13000</v>
      </c>
      <c r="N824" s="4">
        <f t="shared" si="481"/>
        <v>4500</v>
      </c>
      <c r="P824" s="3">
        <v>5000</v>
      </c>
      <c r="R824" s="3">
        <v>6675</v>
      </c>
      <c r="S824" s="3">
        <f t="shared" si="482"/>
        <v>1325</v>
      </c>
      <c r="T824" s="3">
        <v>8000</v>
      </c>
      <c r="U824" s="3">
        <f t="shared" si="483"/>
        <v>3000</v>
      </c>
      <c r="V824" s="3">
        <v>7707</v>
      </c>
      <c r="W824" s="3">
        <f t="shared" si="484"/>
        <v>293</v>
      </c>
      <c r="Y824" s="3">
        <v>8000</v>
      </c>
      <c r="Z824" s="3">
        <f t="shared" si="485"/>
        <v>0</v>
      </c>
      <c r="AC824" s="3">
        <v>30347</v>
      </c>
      <c r="AD824" s="3">
        <f t="shared" si="486"/>
        <v>4653</v>
      </c>
      <c r="AE824" s="3">
        <v>35000</v>
      </c>
      <c r="AF824" s="3">
        <f t="shared" si="487"/>
        <v>27000</v>
      </c>
      <c r="AI824" s="3">
        <v>30000</v>
      </c>
      <c r="AK824" s="3">
        <v>12500</v>
      </c>
      <c r="AM824" s="3">
        <f>AK824*1.03</f>
        <v>12875</v>
      </c>
      <c r="AO824" s="3">
        <f>AM824*1.03</f>
        <v>13261.25</v>
      </c>
      <c r="AQ824" s="3">
        <f>AO824*1.03</f>
        <v>13659.0875</v>
      </c>
      <c r="AS824" s="3">
        <f>AQ824*1.03</f>
        <v>14068.860124999999</v>
      </c>
      <c r="AU824" s="3">
        <f>AS824*1.03</f>
        <v>14490.925928749999</v>
      </c>
      <c r="AW824" s="3">
        <f>AU824*1.03</f>
        <v>14925.6537066125</v>
      </c>
      <c r="AY824" s="3">
        <f>AW824*1.03</f>
        <v>15373.423317810875</v>
      </c>
      <c r="BA824" s="3">
        <f>AY824*1.03</f>
        <v>15834.626017345201</v>
      </c>
      <c r="BC824" s="3">
        <f>BA824*1.03</f>
        <v>16309.664797865558</v>
      </c>
      <c r="BE824" s="3">
        <f>BC824*1.03</f>
        <v>16798.954741801525</v>
      </c>
    </row>
    <row r="825" spans="1:1015 1029:2039 2053:3063 3077:4087 4101:5111 5125:6135 6149:7159 7173:8183 8197:9207 9221:10231 10245:11255 11269:12279 12293:13303 13317:14327 14341:15351 15365:16373" hidden="1" outlineLevel="1" x14ac:dyDescent="0.25">
      <c r="A825" s="3" t="s">
        <v>595</v>
      </c>
      <c r="E825" s="3">
        <f t="shared" si="478"/>
        <v>0</v>
      </c>
      <c r="H825" s="3">
        <f t="shared" si="479"/>
        <v>0</v>
      </c>
      <c r="K825" s="4">
        <f t="shared" si="480"/>
        <v>0</v>
      </c>
      <c r="L825" s="4"/>
      <c r="N825" s="4">
        <f t="shared" si="481"/>
        <v>0</v>
      </c>
      <c r="S825" s="3">
        <f t="shared" si="482"/>
        <v>0</v>
      </c>
      <c r="U825" s="3">
        <f t="shared" si="483"/>
        <v>0</v>
      </c>
      <c r="W825" s="3">
        <f t="shared" si="484"/>
        <v>0</v>
      </c>
      <c r="Z825" s="3">
        <f t="shared" si="485"/>
        <v>0</v>
      </c>
      <c r="AD825" s="3">
        <f t="shared" si="486"/>
        <v>0</v>
      </c>
      <c r="AF825" s="3">
        <f t="shared" si="487"/>
        <v>0</v>
      </c>
      <c r="BC825" s="3"/>
      <c r="BE825" s="3"/>
    </row>
    <row r="826" spans="1:1015 1029:2039 2053:3063 3077:4087 4101:5111 5125:6135 6149:7159 7173:8183 8197:9207 9221:10231 10245:11255 11269:12279 12293:13303 13317:14327 14341:15351 15365:16373" hidden="1" outlineLevel="1" x14ac:dyDescent="0.25">
      <c r="A826" s="3" t="s">
        <v>596</v>
      </c>
      <c r="B826" s="3">
        <v>3000</v>
      </c>
      <c r="D826" s="3">
        <v>3449</v>
      </c>
      <c r="E826" s="3">
        <f t="shared" si="478"/>
        <v>1051</v>
      </c>
      <c r="F826" s="3">
        <v>4500</v>
      </c>
      <c r="H826" s="3">
        <f t="shared" si="479"/>
        <v>1500</v>
      </c>
      <c r="J826" s="3">
        <v>3499</v>
      </c>
      <c r="K826" s="4">
        <f t="shared" si="480"/>
        <v>1001</v>
      </c>
      <c r="L826" s="4">
        <v>4500</v>
      </c>
      <c r="N826" s="4">
        <f t="shared" si="481"/>
        <v>0</v>
      </c>
      <c r="P826" s="3">
        <f>L826*1.0281+24</f>
        <v>4650.45</v>
      </c>
      <c r="R826" s="3">
        <v>2225</v>
      </c>
      <c r="S826" s="3">
        <f t="shared" si="482"/>
        <v>1425</v>
      </c>
      <c r="T826" s="3">
        <v>3650</v>
      </c>
      <c r="U826" s="3">
        <f t="shared" si="483"/>
        <v>-1000.4499999999998</v>
      </c>
      <c r="V826" s="3">
        <v>5455</v>
      </c>
      <c r="W826" s="3">
        <f t="shared" si="484"/>
        <v>-1805</v>
      </c>
      <c r="Y826" s="3">
        <v>3650</v>
      </c>
      <c r="Z826" s="3">
        <f t="shared" si="485"/>
        <v>0</v>
      </c>
      <c r="AD826" s="3">
        <f t="shared" si="486"/>
        <v>0</v>
      </c>
      <c r="AE826" s="3">
        <v>0</v>
      </c>
      <c r="AF826" s="3">
        <f t="shared" si="487"/>
        <v>-3650</v>
      </c>
      <c r="AI826" s="3">
        <v>2500</v>
      </c>
      <c r="AK826" s="3">
        <f>AI826*1.03</f>
        <v>2575</v>
      </c>
      <c r="AM826" s="3">
        <f>AK826*1.03</f>
        <v>2652.25</v>
      </c>
      <c r="AO826" s="3">
        <f>AM826*1.03</f>
        <v>2731.8175000000001</v>
      </c>
      <c r="AQ826" s="3">
        <f>AO826*1.03</f>
        <v>2813.7720250000002</v>
      </c>
      <c r="AS826" s="3">
        <f>AQ826*1.03</f>
        <v>2898.1851857500001</v>
      </c>
      <c r="AU826" s="3">
        <f>AS826*1.03</f>
        <v>2985.1307413224999</v>
      </c>
      <c r="AW826" s="3">
        <f>AU826*1.03</f>
        <v>3074.684663562175</v>
      </c>
      <c r="AY826" s="3">
        <f>AW826*1.03</f>
        <v>3166.9252034690403</v>
      </c>
      <c r="BA826" s="3">
        <f>AY826*1.03</f>
        <v>3261.9329595731115</v>
      </c>
      <c r="BC826" s="3">
        <f>BA826*1.03</f>
        <v>3359.7909483603048</v>
      </c>
      <c r="BE826" s="3">
        <f>BC826*1.03</f>
        <v>3460.5846768111142</v>
      </c>
    </row>
    <row r="827" spans="1:1015 1029:2039 2053:3063 3077:4087 4101:5111 5125:6135 6149:7159 7173:8183 8197:9207 9221:10231 10245:11255 11269:12279 12293:13303 13317:14327 14341:15351 15365:16373" hidden="1" outlineLevel="1" x14ac:dyDescent="0.25">
      <c r="A827" s="3" t="s">
        <v>597</v>
      </c>
      <c r="E827" s="3">
        <f t="shared" si="478"/>
        <v>0</v>
      </c>
      <c r="H827" s="3">
        <f t="shared" si="479"/>
        <v>0</v>
      </c>
      <c r="K827" s="4">
        <f t="shared" si="480"/>
        <v>0</v>
      </c>
      <c r="L827" s="4"/>
      <c r="N827" s="4">
        <f t="shared" si="481"/>
        <v>0</v>
      </c>
      <c r="S827" s="3">
        <f t="shared" si="482"/>
        <v>0</v>
      </c>
      <c r="U827" s="3">
        <f t="shared" si="483"/>
        <v>0</v>
      </c>
      <c r="W827" s="3">
        <f t="shared" si="484"/>
        <v>0</v>
      </c>
      <c r="Z827" s="3">
        <f t="shared" si="485"/>
        <v>0</v>
      </c>
      <c r="AD827" s="3">
        <f t="shared" si="486"/>
        <v>0</v>
      </c>
      <c r="AF827" s="3">
        <f t="shared" si="487"/>
        <v>0</v>
      </c>
      <c r="BC827" s="3"/>
      <c r="BE827" s="3"/>
    </row>
    <row r="828" spans="1:1015 1029:2039 2053:3063 3077:4087 4101:5111 5125:6135 6149:7159 7173:8183 8197:9207 9221:10231 10245:11255 11269:12279 12293:13303 13317:14327 14341:15351 15365:16373" hidden="1" outlineLevel="1" x14ac:dyDescent="0.25">
      <c r="A828" s="3" t="s">
        <v>598</v>
      </c>
      <c r="E828" s="3">
        <f t="shared" si="478"/>
        <v>0</v>
      </c>
      <c r="H828" s="3">
        <f t="shared" si="479"/>
        <v>0</v>
      </c>
      <c r="K828" s="4">
        <f t="shared" si="480"/>
        <v>0</v>
      </c>
      <c r="L828" s="4"/>
      <c r="N828" s="4">
        <f t="shared" si="481"/>
        <v>0</v>
      </c>
      <c r="S828" s="3">
        <f t="shared" si="482"/>
        <v>0</v>
      </c>
      <c r="U828" s="3">
        <f t="shared" si="483"/>
        <v>0</v>
      </c>
      <c r="W828" s="3">
        <f t="shared" si="484"/>
        <v>0</v>
      </c>
      <c r="Z828" s="3">
        <f t="shared" si="485"/>
        <v>0</v>
      </c>
      <c r="AD828" s="3">
        <f t="shared" si="486"/>
        <v>0</v>
      </c>
      <c r="AF828" s="3">
        <f t="shared" si="487"/>
        <v>0</v>
      </c>
      <c r="BC828" s="3"/>
      <c r="BE828" s="3"/>
    </row>
    <row r="829" spans="1:1015 1029:2039 2053:3063 3077:4087 4101:5111 5125:6135 6149:7159 7173:8183 8197:9207 9221:10231 10245:11255 11269:12279 12293:13303 13317:14327 14341:15351 15365:16373" hidden="1" outlineLevel="1" x14ac:dyDescent="0.25">
      <c r="A829" s="3" t="s">
        <v>599</v>
      </c>
      <c r="B829" s="3">
        <v>1500</v>
      </c>
      <c r="D829" s="3">
        <v>0</v>
      </c>
      <c r="E829" s="3">
        <f t="shared" si="478"/>
        <v>1500</v>
      </c>
      <c r="F829" s="3">
        <v>1500</v>
      </c>
      <c r="H829" s="3">
        <f t="shared" si="479"/>
        <v>0</v>
      </c>
      <c r="J829" s="3">
        <v>0</v>
      </c>
      <c r="K829" s="4">
        <f t="shared" si="480"/>
        <v>1500</v>
      </c>
      <c r="L829" s="4">
        <v>1500</v>
      </c>
      <c r="N829" s="4">
        <f t="shared" si="481"/>
        <v>0</v>
      </c>
      <c r="P829" s="3">
        <v>0</v>
      </c>
      <c r="S829" s="3">
        <f t="shared" si="482"/>
        <v>0</v>
      </c>
      <c r="U829" s="3">
        <f t="shared" si="483"/>
        <v>0</v>
      </c>
      <c r="W829" s="3">
        <f t="shared" si="484"/>
        <v>1500</v>
      </c>
      <c r="Y829" s="3">
        <v>1500</v>
      </c>
      <c r="Z829" s="3">
        <f t="shared" si="485"/>
        <v>1500</v>
      </c>
      <c r="AD829" s="3">
        <f t="shared" si="486"/>
        <v>3000</v>
      </c>
      <c r="AE829" s="3">
        <v>3000</v>
      </c>
      <c r="AF829" s="3">
        <f t="shared" si="487"/>
        <v>1500</v>
      </c>
      <c r="AK829" s="3">
        <v>3000</v>
      </c>
      <c r="AO829" s="3">
        <v>3000</v>
      </c>
      <c r="AS829" s="3">
        <v>3000</v>
      </c>
      <c r="AW829" s="3">
        <v>3000</v>
      </c>
      <c r="BA829" s="3">
        <v>3000</v>
      </c>
      <c r="BC829" s="3">
        <v>3000</v>
      </c>
      <c r="BE829" s="3">
        <v>3000</v>
      </c>
    </row>
    <row r="830" spans="1:1015 1029:2039 2053:3063 3077:4087 4101:5111 5125:6135 6149:7159 7173:8183 8197:9207 9221:10231 10245:11255 11269:12279 12293:13303 13317:14327 14341:15351 15365:16373" hidden="1" outlineLevel="1" x14ac:dyDescent="0.25">
      <c r="A830" s="3"/>
      <c r="B830" s="62">
        <f>SUM(B818:B829)</f>
        <v>236500</v>
      </c>
      <c r="C830" s="32"/>
      <c r="D830" s="62">
        <f>SUM(D818:D829)</f>
        <v>83353</v>
      </c>
      <c r="E830" s="62">
        <f>SUM(E818:E829)</f>
        <v>186147</v>
      </c>
      <c r="F830" s="62">
        <f>SUM(F818:F829)</f>
        <v>269500</v>
      </c>
      <c r="G830" s="32"/>
      <c r="H830" s="62">
        <f>SUM(H818:H829)</f>
        <v>33000</v>
      </c>
      <c r="I830" s="32"/>
      <c r="J830" s="62">
        <f>SUM(J818:J829)</f>
        <v>132852</v>
      </c>
      <c r="K830" s="62">
        <f>SUM(K818:K829)</f>
        <v>126148</v>
      </c>
      <c r="L830" s="62">
        <f>SUM(L818:L829)</f>
        <v>259000</v>
      </c>
      <c r="M830" s="32"/>
      <c r="N830" s="62">
        <f>SUM(N818:N829)</f>
        <v>-10500</v>
      </c>
      <c r="P830" s="62">
        <f>SUM(P818:P829)</f>
        <v>122650.45</v>
      </c>
      <c r="R830" s="62">
        <f t="shared" ref="R830:Z830" si="488">SUM(R818:R829)</f>
        <v>23111</v>
      </c>
      <c r="S830" s="62">
        <f t="shared" si="488"/>
        <v>134039</v>
      </c>
      <c r="T830" s="62">
        <f t="shared" si="488"/>
        <v>157150</v>
      </c>
      <c r="U830" s="62">
        <f t="shared" si="488"/>
        <v>34499.550000000003</v>
      </c>
      <c r="V830" s="62">
        <f t="shared" si="488"/>
        <v>151672</v>
      </c>
      <c r="W830" s="62">
        <f t="shared" si="488"/>
        <v>76978</v>
      </c>
      <c r="X830" s="62"/>
      <c r="Y830" s="62">
        <f t="shared" si="488"/>
        <v>228650</v>
      </c>
      <c r="Z830" s="62">
        <f t="shared" si="488"/>
        <v>71500</v>
      </c>
      <c r="AC830" s="62">
        <f>SUM(AC818:AC829)</f>
        <v>185269</v>
      </c>
      <c r="AD830" s="62">
        <f>SUM(AD818:AD829)</f>
        <v>43231</v>
      </c>
      <c r="AE830" s="62">
        <f>SUM(AE818:AE829)</f>
        <v>228500</v>
      </c>
      <c r="AF830" s="62">
        <f>SUM(AF818:AF829)</f>
        <v>-150</v>
      </c>
      <c r="AG830" s="32"/>
      <c r="AI830" s="62">
        <f>SUM(AI818:AI829)</f>
        <v>187250</v>
      </c>
      <c r="AK830" s="62">
        <f>SUM(AK818:AK829)</f>
        <v>174875</v>
      </c>
      <c r="AM830" s="62">
        <f>SUM(AM818:AM829)</f>
        <v>175498.75</v>
      </c>
      <c r="AO830" s="62">
        <f>SUM(AO818:AO829)</f>
        <v>182261.21249999999</v>
      </c>
      <c r="AP830" s="32"/>
      <c r="AQ830" s="62">
        <f>SUM(AQ818:AQ829)</f>
        <v>183166.54887500001</v>
      </c>
      <c r="AS830" s="62">
        <f>SUM(AS818:AS829)</f>
        <v>190219.04534124999</v>
      </c>
      <c r="AU830" s="62">
        <f>SUM(AU818:AU829)</f>
        <v>191423.11670148748</v>
      </c>
      <c r="AW830" s="62">
        <f>SUM(AW818:AW829)</f>
        <v>198783.3102025321</v>
      </c>
      <c r="AY830" s="62">
        <f>SUM(AY818:AY829)</f>
        <v>200554.30950860807</v>
      </c>
      <c r="BA830" s="62">
        <f>SUM(BA818:BA829)</f>
        <v>209240.93879386634</v>
      </c>
      <c r="BC830" s="62">
        <f>SUM(BC818:BC829)</f>
        <v>215098.16695768235</v>
      </c>
      <c r="BE830" s="62">
        <f>SUM(BE818:BE829)</f>
        <v>221131.11196641281</v>
      </c>
    </row>
    <row r="831" spans="1:1015 1029:2039 2053:3063 3077:4087 4101:5111 5125:6135 6149:7159 7173:8183 8197:9207 9221:10231 10245:11255 11269:12279 12293:13303 13317:14327 14341:15351 15365:16373" ht="15.75" collapsed="1" thickBot="1" x14ac:dyDescent="0.3">
      <c r="A831" s="7" t="s">
        <v>1176</v>
      </c>
      <c r="B831" s="44">
        <f>B830+B816+B809+B783</f>
        <v>646899</v>
      </c>
      <c r="C831" s="32"/>
      <c r="D831" s="44">
        <f>D830+D816+D809+D783</f>
        <v>150021</v>
      </c>
      <c r="E831" s="44">
        <f>E830+E816+E809+E783</f>
        <v>494777</v>
      </c>
      <c r="F831" s="44">
        <f>F830+F816+F809+F783</f>
        <v>644799</v>
      </c>
      <c r="G831" s="32"/>
      <c r="H831" s="44">
        <f>H830+H816+H809+H783</f>
        <v>-2101</v>
      </c>
      <c r="I831" s="32"/>
      <c r="J831" s="44">
        <f>J830+J816+J809+J783</f>
        <v>246894</v>
      </c>
      <c r="K831" s="44">
        <f>K830+K816+K809+K783</f>
        <v>362404</v>
      </c>
      <c r="L831" s="44">
        <f>L830+L816+L809+L783</f>
        <v>609299</v>
      </c>
      <c r="M831" s="32"/>
      <c r="N831" s="44">
        <f>N830+N816+N809+N783</f>
        <v>-35501</v>
      </c>
      <c r="P831" s="44">
        <f>P830+P816+P809+P783</f>
        <v>471301.47</v>
      </c>
      <c r="R831" s="44">
        <f t="shared" ref="R831:Z831" si="489">R830+R816+R809+R783</f>
        <v>114889</v>
      </c>
      <c r="S831" s="44">
        <f t="shared" si="489"/>
        <v>412161</v>
      </c>
      <c r="T831" s="44">
        <f t="shared" si="489"/>
        <v>527050</v>
      </c>
      <c r="U831" s="44">
        <f t="shared" si="489"/>
        <v>55748.53</v>
      </c>
      <c r="V831" s="44">
        <f t="shared" si="489"/>
        <v>304234</v>
      </c>
      <c r="W831" s="44">
        <f t="shared" si="489"/>
        <v>283316</v>
      </c>
      <c r="X831" s="44"/>
      <c r="Y831" s="44">
        <f t="shared" si="489"/>
        <v>587550</v>
      </c>
      <c r="Z831" s="44">
        <f t="shared" si="489"/>
        <v>60500</v>
      </c>
      <c r="AC831" s="44">
        <f>AC830+AC816+AC809+AC783</f>
        <v>404182</v>
      </c>
      <c r="AD831" s="44">
        <f>AD830+AD816+AD809+AD783</f>
        <v>229568</v>
      </c>
      <c r="AE831" s="44">
        <f>AE830+AE816+AE809+AE783</f>
        <v>633750</v>
      </c>
      <c r="AF831" s="44">
        <f>AF830+AF816+AF809+AF783</f>
        <v>46200</v>
      </c>
      <c r="AG831" s="32"/>
      <c r="AI831" s="44">
        <f>AI830+AI816+AI809+AI783</f>
        <v>616549.56180000002</v>
      </c>
      <c r="AK831" s="44">
        <f>AK830+AK816+AK809+AK783</f>
        <v>619349.97865399998</v>
      </c>
      <c r="AM831" s="44">
        <f>AM830+AM816+AM809+AM783</f>
        <v>627219.06751362002</v>
      </c>
      <c r="AO831" s="44">
        <f>AO830+AO816+AO809+AO783</f>
        <v>640844.43351402867</v>
      </c>
      <c r="AP831" s="32"/>
      <c r="AQ831" s="44">
        <f>AQ830+AQ816+AQ809+AQ783</f>
        <v>654777.84019319946</v>
      </c>
      <c r="AS831" s="44">
        <f>AS830+AS816+AS809+AS783</f>
        <v>675281.777756433</v>
      </c>
      <c r="AU831" s="44">
        <f>AU830+AU816+AU809+AU783</f>
        <v>690374.98856443551</v>
      </c>
      <c r="AW831" s="44">
        <f>AW830+AW816+AW809+AW783</f>
        <v>712076.85857044335</v>
      </c>
      <c r="AY831" s="44">
        <f>AY830+AY816+AY809+AY783</f>
        <v>728657.44069408521</v>
      </c>
      <c r="BA831" s="44">
        <f>BA830+BA816+BA809+BA783</f>
        <v>752637.47909976286</v>
      </c>
      <c r="BC831" s="44">
        <f>BC830+BC816+BC809+BC783</f>
        <v>774288.43441685359</v>
      </c>
      <c r="BE831" s="44">
        <f>BE830+BE816+BE809+BE783</f>
        <v>796632.50994066184</v>
      </c>
    </row>
    <row r="832" spans="1:1015 1029:2039 2053:3063 3077:4087 4101:5111 5125:6135 6149:7159 7173:8183 8197:9207 9221:10231 10245:11255 11269:12279 12293:13303 13317:14327 14341:15351 15365:16373" ht="16.5" thickTop="1" thickBot="1" x14ac:dyDescent="0.3">
      <c r="A832" s="3"/>
      <c r="BC832" s="3"/>
      <c r="BE832" s="3"/>
    </row>
    <row r="833" spans="1:57" s="272" customFormat="1" ht="16.5" thickTop="1" thickBot="1" x14ac:dyDescent="0.3">
      <c r="A833" s="266" t="s">
        <v>1137</v>
      </c>
      <c r="B833" s="269">
        <f>B831+B777+B667+B663+B596+B541+B515+B488+B455</f>
        <v>9432799</v>
      </c>
      <c r="C833" s="270"/>
      <c r="D833" s="269">
        <f>D831+D777+D667+D663+D596+D541+D515+D488+D455</f>
        <v>2149817</v>
      </c>
      <c r="E833" s="269">
        <f>E831+E777+E667+E663+E596+E541+E515+E488+E455</f>
        <v>8187132</v>
      </c>
      <c r="F833" s="269">
        <f>F831+F777+F667+F663+F596+F541+F515+F488+F455</f>
        <v>10336946</v>
      </c>
      <c r="G833" s="270"/>
      <c r="H833" s="269">
        <f>H831+H777+H667+H663+H596+H541+H515+H488+H455</f>
        <v>906145</v>
      </c>
      <c r="I833" s="270"/>
      <c r="J833" s="269">
        <f>J831+J777+J667+J663+J596+J541+J515+J488+J455</f>
        <v>4922292</v>
      </c>
      <c r="K833" s="269">
        <f>K831+K777+K667+K663+K596+K541+K515+K488+K455</f>
        <v>5102687</v>
      </c>
      <c r="L833" s="269">
        <f>L831+L777+L667+L663+L596+L541+L515+L488+L455</f>
        <v>10112378</v>
      </c>
      <c r="M833" s="270"/>
      <c r="N833" s="269">
        <f>N831+N777+N667+N663+N596+N541+N515+N488+N455</f>
        <v>-84018</v>
      </c>
      <c r="O833" s="271"/>
      <c r="P833" s="269">
        <f>P831+P777+P667+P663+P596+P541+P515+P488+P455</f>
        <v>9583693.9279999994</v>
      </c>
      <c r="Q833" s="271"/>
      <c r="R833" s="269">
        <f t="shared" ref="R833:W833" si="490">R831+R777+R667+R663+R596+R541+R515+R488+R455</f>
        <v>2066467</v>
      </c>
      <c r="S833" s="269">
        <f t="shared" si="490"/>
        <v>7703180.5571074998</v>
      </c>
      <c r="T833" s="269">
        <f t="shared" si="490"/>
        <v>9769648.5571075007</v>
      </c>
      <c r="U833" s="269" t="e">
        <f t="shared" si="490"/>
        <v>#VALUE!</v>
      </c>
      <c r="V833" s="269">
        <f t="shared" si="490"/>
        <v>4357450</v>
      </c>
      <c r="W833" s="269">
        <f t="shared" si="490"/>
        <v>5748263</v>
      </c>
      <c r="X833" s="269"/>
      <c r="Y833" s="269">
        <f>Y831+Y777+Y667+Y663+Y596+Y541+Y515+Y488+Y455</f>
        <v>10106764</v>
      </c>
      <c r="Z833" s="269">
        <f>Z831+Z777+Z667+Z663+Z596+Z541+Z515+Z488+Z455</f>
        <v>337114.44289250002</v>
      </c>
      <c r="AA833" s="271"/>
      <c r="AB833" s="271"/>
      <c r="AC833" s="269">
        <f>AC831+AC777+AC667+AC663+AC596+AC541+AC515+AC488+AC455</f>
        <v>6158898</v>
      </c>
      <c r="AD833" s="269">
        <f>AD831+AD777+AD667+AD663+AD596+AD541+AD515+AD488+AD455</f>
        <v>3968115</v>
      </c>
      <c r="AE833" s="269">
        <f>AE831+AE777+AE667+AE663+AE596+AE541+AE515+AE488+AE455</f>
        <v>10127014</v>
      </c>
      <c r="AF833" s="269">
        <f>AF831+AF777+AF667+AF663+AF596+AF541+AF515+AF488+AF455</f>
        <v>20249</v>
      </c>
      <c r="AG833" s="32"/>
      <c r="AH833" s="4"/>
      <c r="AI833" s="83">
        <f>AI831+AI777+AI667+AI663+AI596+AI541+AI515+AI488+AI455</f>
        <v>11179806.910800001</v>
      </c>
      <c r="AJ833" s="3"/>
      <c r="AK833" s="83">
        <f>AK831+AK777+AK667+AK663+AK596+AK541+AK515+AK488+AK455</f>
        <v>7398326.5693990011</v>
      </c>
      <c r="AL833" s="3"/>
      <c r="AM833" s="83">
        <f>AM831+AM777+AM667+AM663+AM596+AM541+AM515+AM488+AM455</f>
        <v>7649554.2615115466</v>
      </c>
      <c r="AN833" s="3"/>
      <c r="AO833" s="83">
        <f>AO831+AO777+AO667+AO663+AO596+AO541+AO515+AO488+AO455</f>
        <v>7814214.0318514518</v>
      </c>
      <c r="AP833" s="32"/>
      <c r="AQ833" s="83">
        <f>AQ831+AQ777+AQ667+AQ663+AQ596+AQ541+AQ515+AQ488+AQ455</f>
        <v>7937934.9903156627</v>
      </c>
      <c r="AR833" s="42"/>
      <c r="AS833" s="83">
        <f>AS831+AS777+AS667+AS663+AS596+AS541+AS515+AS488+AS455</f>
        <v>8213432.9309608378</v>
      </c>
      <c r="AT833" s="42"/>
      <c r="AU833" s="83">
        <f>AU831+AU777+AU667+AU663+AU596+AU541+AU515+AU488+AU455</f>
        <v>8359465.7640073895</v>
      </c>
      <c r="AV833" s="42"/>
      <c r="AW833" s="83">
        <f>AW831+AW777+AW667+AW663+AW596+AW541+AW515+AW488+AW455</f>
        <v>8643985.1541638952</v>
      </c>
      <c r="AX833" s="42"/>
      <c r="AY833" s="83">
        <f>AY831+AY777+AY667+AY663+AY596+AY541+AY515+AY488+AY455</f>
        <v>8725925.2829754166</v>
      </c>
      <c r="AZ833" s="42"/>
      <c r="BA833" s="83">
        <f>BA831+BA777+BA667+BA663+BA596+BA541+BA515+BA488+BA455</f>
        <v>8960343.8061719574</v>
      </c>
      <c r="BB833" s="42"/>
      <c r="BC833" s="83">
        <f>BC831+BC777+BC667+BC663+BC596+BC541+BC515+BC488+BC455</f>
        <v>9122571.787039578</v>
      </c>
      <c r="BD833" s="42"/>
      <c r="BE833" s="83">
        <f>BE831+BE777+BE667+BE663+BE596+BE541+BE515+BE488+BE455</f>
        <v>9367206.2004392501</v>
      </c>
    </row>
    <row r="834" spans="1:57" s="42" customFormat="1" ht="16.5" thickTop="1" thickBot="1" x14ac:dyDescent="0.3">
      <c r="A834" s="7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"/>
      <c r="P834" s="32"/>
      <c r="Q834" s="3"/>
      <c r="R834" s="32"/>
      <c r="S834" s="32"/>
      <c r="T834" s="32"/>
      <c r="U834" s="32"/>
      <c r="V834" s="32"/>
      <c r="W834" s="32"/>
      <c r="X834" s="32"/>
      <c r="Y834" s="32"/>
      <c r="Z834" s="32"/>
      <c r="AA834" s="3"/>
      <c r="AB834" s="3"/>
      <c r="AC834" s="32"/>
      <c r="AD834" s="32"/>
      <c r="AE834" s="32"/>
      <c r="AF834" s="32"/>
      <c r="AG834" s="32"/>
      <c r="AH834" s="4"/>
      <c r="AI834" s="32"/>
      <c r="AJ834" s="3"/>
      <c r="AK834" s="32"/>
      <c r="AL834" s="3"/>
      <c r="AM834" s="32"/>
      <c r="AN834" s="3"/>
      <c r="AO834" s="32"/>
      <c r="AP834" s="32"/>
      <c r="AQ834" s="32"/>
      <c r="AS834" s="32"/>
      <c r="AU834" s="32"/>
      <c r="AW834" s="32"/>
      <c r="AY834" s="32"/>
      <c r="BA834" s="32"/>
      <c r="BC834" s="32"/>
      <c r="BE834" s="32"/>
    </row>
    <row r="835" spans="1:57" s="42" customFormat="1" ht="16.5" thickTop="1" thickBot="1" x14ac:dyDescent="0.3">
      <c r="A835" s="286" t="s">
        <v>1246</v>
      </c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"/>
      <c r="P835" s="32"/>
      <c r="Q835" s="3"/>
      <c r="R835" s="32"/>
      <c r="S835" s="32"/>
      <c r="T835" s="32"/>
      <c r="U835" s="32"/>
      <c r="V835" s="32"/>
      <c r="W835" s="32"/>
      <c r="X835" s="32"/>
      <c r="Y835" s="32"/>
      <c r="Z835" s="32"/>
      <c r="AA835" s="3"/>
      <c r="AB835" s="3"/>
      <c r="AC835" s="32"/>
      <c r="AD835" s="32"/>
      <c r="AE835" s="32"/>
      <c r="AF835" s="32"/>
      <c r="AG835" s="32"/>
      <c r="AH835" s="3"/>
      <c r="AI835" s="83">
        <f>+AI356-AI833</f>
        <v>568384.06357499771</v>
      </c>
      <c r="AJ835" s="3"/>
      <c r="AK835" s="83">
        <f>+AK356-AK833</f>
        <v>-267918.74747712538</v>
      </c>
      <c r="AL835" s="3"/>
      <c r="AM835" s="83">
        <f>+AM356-AM833</f>
        <v>-487089.19504115637</v>
      </c>
      <c r="AN835" s="3"/>
      <c r="AO835" s="83">
        <f>+AO356-AO833</f>
        <v>-494317.98272391316</v>
      </c>
      <c r="AP835" s="32"/>
      <c r="AQ835" s="83">
        <f>+AQ356-AQ833</f>
        <v>-57695.369501134381</v>
      </c>
      <c r="AS835" s="83">
        <f>+AS356-AS833</f>
        <v>-298391.42279880866</v>
      </c>
      <c r="AU835" s="83">
        <f>+AU356-AU833</f>
        <v>-478419.58869695291</v>
      </c>
      <c r="AW835" s="83">
        <f>+AW356-AW833</f>
        <v>-303397.86690434813</v>
      </c>
      <c r="AY835" s="83">
        <f>+AY356-AY833</f>
        <v>-410483.48112073168</v>
      </c>
      <c r="BA835" s="83">
        <f>+BA356-BA833</f>
        <v>-113801.51033925638</v>
      </c>
      <c r="BC835" s="83">
        <f>+BC356-BC833</f>
        <v>-32194.482540262863</v>
      </c>
      <c r="BE835" s="83">
        <f>+BE356-BE833</f>
        <v>-25208.524801563472</v>
      </c>
    </row>
    <row r="836" spans="1:57" s="42" customFormat="1" ht="15.75" thickTop="1" x14ac:dyDescent="0.25">
      <c r="A836" s="7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"/>
      <c r="P836" s="32"/>
      <c r="Q836" s="3"/>
      <c r="R836" s="32"/>
      <c r="S836" s="32"/>
      <c r="T836" s="32"/>
      <c r="U836" s="32"/>
      <c r="V836" s="32"/>
      <c r="W836" s="32"/>
      <c r="X836" s="32"/>
      <c r="Y836" s="32"/>
      <c r="Z836" s="32"/>
      <c r="AA836" s="3"/>
      <c r="AB836" s="3"/>
      <c r="AC836" s="32"/>
      <c r="AD836" s="32"/>
      <c r="AE836" s="32"/>
      <c r="AF836" s="32"/>
      <c r="AG836" s="32"/>
      <c r="AH836" s="4"/>
      <c r="AI836" s="32"/>
      <c r="AJ836" s="3"/>
      <c r="AK836" s="32"/>
      <c r="AL836" s="3"/>
      <c r="AM836" s="32"/>
      <c r="AN836" s="3"/>
      <c r="AO836" s="32"/>
      <c r="AP836" s="32"/>
      <c r="AQ836" s="32"/>
      <c r="AS836" s="32"/>
      <c r="AU836" s="32"/>
      <c r="AW836" s="32"/>
      <c r="AY836" s="32"/>
      <c r="BA836" s="32"/>
      <c r="BC836" s="32"/>
      <c r="BE836" s="32"/>
    </row>
    <row r="837" spans="1:57" s="42" customFormat="1" x14ac:dyDescent="0.25">
      <c r="A837" s="7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"/>
      <c r="P837" s="32"/>
      <c r="Q837" s="3"/>
      <c r="R837" s="32"/>
      <c r="S837" s="32"/>
      <c r="T837" s="32"/>
      <c r="U837" s="32"/>
      <c r="V837" s="32"/>
      <c r="W837" s="32"/>
      <c r="X837" s="32"/>
      <c r="Y837" s="32"/>
      <c r="Z837" s="32"/>
      <c r="AA837" s="3"/>
      <c r="AB837" s="3"/>
      <c r="AC837" s="32"/>
      <c r="AD837" s="32"/>
      <c r="AE837" s="32"/>
      <c r="AF837" s="32"/>
      <c r="AG837" s="32"/>
      <c r="AH837" s="4"/>
      <c r="AI837" s="32"/>
      <c r="AJ837" s="3"/>
      <c r="AK837" s="32"/>
      <c r="AL837" s="3"/>
      <c r="AM837" s="32"/>
      <c r="AN837" s="3"/>
      <c r="AO837" s="32"/>
      <c r="AP837" s="32"/>
      <c r="AQ837" s="32"/>
      <c r="AS837" s="32"/>
      <c r="AU837" s="32"/>
      <c r="AW837" s="32"/>
      <c r="AY837" s="32"/>
      <c r="BA837" s="32"/>
      <c r="BC837" s="32"/>
      <c r="BE837" s="32"/>
    </row>
    <row r="838" spans="1:57" x14ac:dyDescent="0.25">
      <c r="A838" s="266" t="s">
        <v>601</v>
      </c>
      <c r="BC838" s="3"/>
      <c r="BE838" s="3"/>
    </row>
    <row r="839" spans="1:57" hidden="1" outlineLevel="1" x14ac:dyDescent="0.25">
      <c r="A839" s="3" t="s">
        <v>396</v>
      </c>
      <c r="B839" s="3">
        <v>500000</v>
      </c>
      <c r="D839" s="3">
        <v>331616</v>
      </c>
      <c r="E839" s="3">
        <f t="shared" ref="E839:E902" si="491">F839-D839</f>
        <v>168384</v>
      </c>
      <c r="F839" s="3">
        <v>500000</v>
      </c>
      <c r="H839" s="3">
        <f t="shared" ref="H839:H902" si="492">F839-B839</f>
        <v>0</v>
      </c>
      <c r="J839" s="3">
        <v>347646</v>
      </c>
      <c r="K839" s="4">
        <f t="shared" ref="K839:K902" si="493">L839-J839</f>
        <v>152354</v>
      </c>
      <c r="L839" s="4">
        <v>500000</v>
      </c>
      <c r="N839" s="4">
        <f t="shared" ref="N839:N902" si="494">L839-F839</f>
        <v>0</v>
      </c>
      <c r="P839" s="3">
        <v>467000</v>
      </c>
      <c r="R839" s="3">
        <v>81259</v>
      </c>
      <c r="S839" s="3">
        <f t="shared" ref="S839:S905" si="495">T839-R839</f>
        <v>385741</v>
      </c>
      <c r="T839" s="3">
        <v>467000</v>
      </c>
      <c r="U839" s="3">
        <f t="shared" ref="U839:U905" si="496">T839-P839</f>
        <v>0</v>
      </c>
      <c r="V839" s="3">
        <f>443915-174912</f>
        <v>269003</v>
      </c>
      <c r="W839" s="3">
        <f t="shared" ref="W839:W905" si="497">Y839-V839</f>
        <v>197997</v>
      </c>
      <c r="Y839" s="3">
        <v>467000</v>
      </c>
      <c r="Z839" s="3">
        <f t="shared" ref="Z839:Z902" si="498">Y839-T839</f>
        <v>0</v>
      </c>
      <c r="AC839" s="3">
        <v>343965</v>
      </c>
      <c r="AD839" s="3">
        <f t="shared" ref="AD839:AD905" si="499">AE839-AC839</f>
        <v>123035</v>
      </c>
      <c r="AE839" s="3">
        <v>467000</v>
      </c>
      <c r="AF839" s="3">
        <f t="shared" ref="AF839:AF905" si="500">AE839-Y839</f>
        <v>0</v>
      </c>
      <c r="AI839" s="3">
        <v>407512</v>
      </c>
      <c r="AK839" s="3">
        <v>474066</v>
      </c>
      <c r="AM839" s="3">
        <v>176664</v>
      </c>
      <c r="AO839" s="3">
        <v>338307</v>
      </c>
      <c r="AQ839" s="3">
        <v>440779</v>
      </c>
      <c r="AS839" s="3">
        <v>493321</v>
      </c>
      <c r="AU839" s="3">
        <v>245934</v>
      </c>
      <c r="AW839" s="3">
        <v>548620</v>
      </c>
      <c r="AY839" s="3">
        <v>361382</v>
      </c>
      <c r="BA839" s="3">
        <v>361382</v>
      </c>
      <c r="BC839" s="3">
        <v>361382</v>
      </c>
      <c r="BE839" s="3">
        <v>361382</v>
      </c>
    </row>
    <row r="840" spans="1:57" s="77" customFormat="1" hidden="1" outlineLevel="1" x14ac:dyDescent="0.25">
      <c r="A840" s="3" t="s">
        <v>602</v>
      </c>
      <c r="B840" s="3"/>
      <c r="C840" s="3"/>
      <c r="D840" s="3"/>
      <c r="E840" s="3">
        <f t="shared" si="491"/>
        <v>0</v>
      </c>
      <c r="F840" s="3"/>
      <c r="G840" s="3"/>
      <c r="H840" s="3">
        <f t="shared" si="492"/>
        <v>0</v>
      </c>
      <c r="I840" s="3"/>
      <c r="J840" s="3"/>
      <c r="K840" s="4">
        <f t="shared" si="493"/>
        <v>0</v>
      </c>
      <c r="L840" s="4"/>
      <c r="M840" s="4"/>
      <c r="N840" s="4">
        <f t="shared" si="494"/>
        <v>0</v>
      </c>
      <c r="O840" s="3"/>
      <c r="P840" s="3"/>
      <c r="Q840" s="3"/>
      <c r="R840" s="3"/>
      <c r="S840" s="3">
        <f t="shared" si="495"/>
        <v>0</v>
      </c>
      <c r="T840" s="3"/>
      <c r="U840" s="3">
        <f t="shared" si="496"/>
        <v>0</v>
      </c>
      <c r="V840" s="3"/>
      <c r="W840" s="3">
        <f t="shared" si="497"/>
        <v>0</v>
      </c>
      <c r="X840" s="3"/>
      <c r="Y840" s="3"/>
      <c r="Z840" s="3">
        <f t="shared" si="498"/>
        <v>0</v>
      </c>
      <c r="AA840" s="3"/>
      <c r="AB840" s="3"/>
      <c r="AC840" s="3"/>
      <c r="AD840" s="3">
        <f t="shared" si="499"/>
        <v>0</v>
      </c>
      <c r="AE840" s="3"/>
      <c r="AF840" s="3">
        <f t="shared" si="500"/>
        <v>0</v>
      </c>
      <c r="AG840" s="4"/>
      <c r="AH840" s="4"/>
      <c r="AI840" s="3"/>
      <c r="AJ840" s="3"/>
      <c r="AK840" s="3"/>
      <c r="AL840" s="3"/>
      <c r="AM840" s="3"/>
      <c r="AN840" s="3"/>
      <c r="AO840" s="3"/>
      <c r="AP840" s="4"/>
      <c r="AQ840" s="3"/>
      <c r="AR840" s="42"/>
      <c r="AS840" s="3"/>
      <c r="AT840" s="42"/>
      <c r="AU840" s="3"/>
      <c r="AV840" s="42"/>
      <c r="AW840" s="3"/>
      <c r="AX840" s="42"/>
      <c r="AY840" s="3"/>
      <c r="AZ840" s="42"/>
      <c r="BA840" s="3"/>
      <c r="BB840" s="42"/>
      <c r="BC840" s="3"/>
      <c r="BD840" s="42"/>
      <c r="BE840" s="3"/>
    </row>
    <row r="841" spans="1:57" hidden="1" outlineLevel="1" x14ac:dyDescent="0.25">
      <c r="A841" s="3" t="s">
        <v>603</v>
      </c>
      <c r="E841" s="3">
        <f t="shared" si="491"/>
        <v>0</v>
      </c>
      <c r="H841" s="3">
        <f t="shared" si="492"/>
        <v>0</v>
      </c>
      <c r="K841" s="4">
        <f t="shared" si="493"/>
        <v>0</v>
      </c>
      <c r="L841" s="4"/>
      <c r="N841" s="4">
        <f t="shared" si="494"/>
        <v>0</v>
      </c>
      <c r="S841" s="3">
        <f t="shared" si="495"/>
        <v>0</v>
      </c>
      <c r="U841" s="3">
        <f t="shared" si="496"/>
        <v>0</v>
      </c>
      <c r="W841" s="3">
        <f t="shared" si="497"/>
        <v>0</v>
      </c>
      <c r="Z841" s="3">
        <f t="shared" si="498"/>
        <v>0</v>
      </c>
      <c r="AD841" s="3">
        <f t="shared" si="499"/>
        <v>0</v>
      </c>
      <c r="AF841" s="3">
        <f t="shared" si="500"/>
        <v>0</v>
      </c>
      <c r="BC841" s="3"/>
      <c r="BE841" s="3"/>
    </row>
    <row r="842" spans="1:57" s="77" customFormat="1" hidden="1" outlineLevel="1" x14ac:dyDescent="0.25">
      <c r="A842" s="3" t="s">
        <v>604</v>
      </c>
      <c r="B842" s="3"/>
      <c r="C842" s="3"/>
      <c r="D842" s="3"/>
      <c r="E842" s="3">
        <f t="shared" si="491"/>
        <v>0</v>
      </c>
      <c r="F842" s="3"/>
      <c r="G842" s="3"/>
      <c r="H842" s="3">
        <f t="shared" si="492"/>
        <v>0</v>
      </c>
      <c r="I842" s="3"/>
      <c r="J842" s="3"/>
      <c r="K842" s="4">
        <f t="shared" si="493"/>
        <v>0</v>
      </c>
      <c r="L842" s="4"/>
      <c r="M842" s="4"/>
      <c r="N842" s="4">
        <f t="shared" si="494"/>
        <v>0</v>
      </c>
      <c r="O842" s="3"/>
      <c r="P842" s="3"/>
      <c r="Q842" s="3"/>
      <c r="R842" s="3"/>
      <c r="S842" s="3">
        <f t="shared" si="495"/>
        <v>0</v>
      </c>
      <c r="T842" s="3"/>
      <c r="U842" s="3">
        <f t="shared" si="496"/>
        <v>0</v>
      </c>
      <c r="V842" s="3"/>
      <c r="W842" s="3">
        <f t="shared" si="497"/>
        <v>0</v>
      </c>
      <c r="X842" s="3"/>
      <c r="Y842" s="3"/>
      <c r="Z842" s="3">
        <f t="shared" si="498"/>
        <v>0</v>
      </c>
      <c r="AA842" s="3"/>
      <c r="AB842" s="3"/>
      <c r="AC842" s="3"/>
      <c r="AD842" s="3">
        <f t="shared" si="499"/>
        <v>0</v>
      </c>
      <c r="AE842" s="3"/>
      <c r="AF842" s="3">
        <f t="shared" si="500"/>
        <v>0</v>
      </c>
      <c r="AG842" s="4"/>
      <c r="AH842" s="4"/>
      <c r="AI842" s="3"/>
      <c r="AJ842" s="3"/>
      <c r="AK842" s="3"/>
      <c r="AL842" s="3"/>
      <c r="AM842" s="3"/>
      <c r="AN842" s="3"/>
      <c r="AO842" s="3"/>
      <c r="AP842" s="4"/>
      <c r="AQ842" s="3"/>
      <c r="AR842" s="42"/>
      <c r="AS842" s="3"/>
      <c r="AT842" s="42"/>
      <c r="AU842" s="3"/>
      <c r="AV842" s="42"/>
      <c r="AW842" s="3"/>
      <c r="AX842" s="42"/>
      <c r="AY842" s="3"/>
      <c r="AZ842" s="42"/>
      <c r="BA842" s="3"/>
      <c r="BB842" s="42"/>
      <c r="BC842" s="3"/>
      <c r="BD842" s="42"/>
      <c r="BE842" s="3"/>
    </row>
    <row r="843" spans="1:57" s="77" customFormat="1" hidden="1" outlineLevel="1" x14ac:dyDescent="0.25">
      <c r="A843" s="3" t="s">
        <v>605</v>
      </c>
      <c r="B843" s="3"/>
      <c r="C843" s="3"/>
      <c r="D843" s="3"/>
      <c r="E843" s="3"/>
      <c r="F843" s="3"/>
      <c r="G843" s="3"/>
      <c r="H843" s="3"/>
      <c r="I843" s="3"/>
      <c r="J843" s="3"/>
      <c r="K843" s="4"/>
      <c r="L843" s="4"/>
      <c r="M843" s="4"/>
      <c r="N843" s="4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4"/>
      <c r="AH843" s="4"/>
      <c r="AI843" s="3">
        <v>25000</v>
      </c>
      <c r="AJ843" s="3"/>
      <c r="AK843" s="3"/>
      <c r="AL843" s="3"/>
      <c r="AM843" s="3"/>
      <c r="AN843" s="3"/>
      <c r="AO843" s="3">
        <v>25000</v>
      </c>
      <c r="AP843" s="4"/>
      <c r="AQ843" s="3"/>
      <c r="AR843" s="42"/>
      <c r="AS843" s="3"/>
      <c r="AT843" s="42"/>
      <c r="AU843" s="3">
        <v>25000</v>
      </c>
      <c r="AV843" s="42"/>
      <c r="AW843" s="3"/>
      <c r="AX843" s="42"/>
      <c r="AY843" s="3"/>
      <c r="AZ843" s="42"/>
      <c r="BA843" s="3"/>
      <c r="BB843" s="42"/>
      <c r="BC843" s="3"/>
      <c r="BD843" s="42"/>
      <c r="BE843" s="3"/>
    </row>
    <row r="844" spans="1:57" hidden="1" outlineLevel="1" x14ac:dyDescent="0.25">
      <c r="A844" s="3" t="s">
        <v>606</v>
      </c>
      <c r="E844" s="3">
        <f t="shared" si="491"/>
        <v>0</v>
      </c>
      <c r="H844" s="3">
        <f t="shared" si="492"/>
        <v>0</v>
      </c>
      <c r="K844" s="4">
        <f t="shared" si="493"/>
        <v>0</v>
      </c>
      <c r="L844" s="4"/>
      <c r="N844" s="4">
        <f t="shared" si="494"/>
        <v>0</v>
      </c>
      <c r="S844" s="3">
        <f t="shared" si="495"/>
        <v>0</v>
      </c>
      <c r="U844" s="3">
        <f t="shared" si="496"/>
        <v>0</v>
      </c>
      <c r="W844" s="3">
        <f t="shared" si="497"/>
        <v>0</v>
      </c>
      <c r="Z844" s="3">
        <f t="shared" si="498"/>
        <v>0</v>
      </c>
      <c r="AD844" s="3">
        <f t="shared" si="499"/>
        <v>0</v>
      </c>
      <c r="AF844" s="3">
        <f t="shared" si="500"/>
        <v>0</v>
      </c>
      <c r="AI844" s="3">
        <v>15000</v>
      </c>
      <c r="AO844" s="3">
        <v>15000</v>
      </c>
      <c r="AU844" s="3">
        <v>15000</v>
      </c>
      <c r="BC844" s="3"/>
      <c r="BE844" s="3"/>
    </row>
    <row r="845" spans="1:57" s="77" customFormat="1" hidden="1" outlineLevel="1" x14ac:dyDescent="0.25">
      <c r="A845" s="3" t="s">
        <v>607</v>
      </c>
      <c r="B845" s="3"/>
      <c r="C845" s="3"/>
      <c r="D845" s="3"/>
      <c r="E845" s="3">
        <f t="shared" si="491"/>
        <v>0</v>
      </c>
      <c r="F845" s="3"/>
      <c r="G845" s="3"/>
      <c r="H845" s="3">
        <f t="shared" si="492"/>
        <v>0</v>
      </c>
      <c r="I845" s="3"/>
      <c r="J845" s="3"/>
      <c r="K845" s="4">
        <f t="shared" si="493"/>
        <v>0</v>
      </c>
      <c r="L845" s="4"/>
      <c r="M845" s="4"/>
      <c r="N845" s="4">
        <f t="shared" si="494"/>
        <v>0</v>
      </c>
      <c r="O845" s="3"/>
      <c r="P845" s="3"/>
      <c r="Q845" s="3"/>
      <c r="R845" s="3"/>
      <c r="S845" s="3">
        <f t="shared" si="495"/>
        <v>0</v>
      </c>
      <c r="T845" s="3"/>
      <c r="U845" s="3">
        <f t="shared" si="496"/>
        <v>0</v>
      </c>
      <c r="V845" s="3"/>
      <c r="W845" s="3">
        <f t="shared" si="497"/>
        <v>0</v>
      </c>
      <c r="X845" s="3"/>
      <c r="Y845" s="3"/>
      <c r="Z845" s="3">
        <f t="shared" si="498"/>
        <v>0</v>
      </c>
      <c r="AA845" s="3"/>
      <c r="AB845" s="3"/>
      <c r="AC845" s="3"/>
      <c r="AD845" s="3">
        <f t="shared" si="499"/>
        <v>0</v>
      </c>
      <c r="AE845" s="3"/>
      <c r="AF845" s="3">
        <f t="shared" si="500"/>
        <v>0</v>
      </c>
      <c r="AG845" s="4"/>
      <c r="AH845" s="4"/>
      <c r="AI845" s="3"/>
      <c r="AJ845" s="3"/>
      <c r="AK845" s="3"/>
      <c r="AL845" s="3"/>
      <c r="AM845" s="3"/>
      <c r="AN845" s="3"/>
      <c r="AO845" s="3"/>
      <c r="AP845" s="4"/>
      <c r="AQ845" s="3"/>
      <c r="AR845" s="42"/>
      <c r="AS845" s="3"/>
      <c r="AT845" s="42"/>
      <c r="AU845" s="3"/>
      <c r="AV845" s="42"/>
      <c r="AW845" s="3"/>
      <c r="AX845" s="42"/>
      <c r="AY845" s="3"/>
      <c r="AZ845" s="42"/>
      <c r="BA845" s="3"/>
      <c r="BB845" s="42"/>
      <c r="BC845" s="3"/>
      <c r="BD845" s="42"/>
      <c r="BE845" s="3"/>
    </row>
    <row r="846" spans="1:57" hidden="1" outlineLevel="1" x14ac:dyDescent="0.25">
      <c r="A846" s="3" t="s">
        <v>608</v>
      </c>
      <c r="B846" s="3">
        <v>24000</v>
      </c>
      <c r="E846" s="3">
        <f t="shared" si="491"/>
        <v>24000</v>
      </c>
      <c r="F846" s="3">
        <v>24000</v>
      </c>
      <c r="H846" s="3">
        <f t="shared" si="492"/>
        <v>0</v>
      </c>
      <c r="J846" s="3">
        <v>0</v>
      </c>
      <c r="K846" s="4">
        <f t="shared" si="493"/>
        <v>24000</v>
      </c>
      <c r="L846" s="4">
        <v>24000</v>
      </c>
      <c r="N846" s="4">
        <f t="shared" si="494"/>
        <v>0</v>
      </c>
      <c r="S846" s="3">
        <f t="shared" si="495"/>
        <v>0</v>
      </c>
      <c r="U846" s="3">
        <f t="shared" si="496"/>
        <v>0</v>
      </c>
      <c r="W846" s="3">
        <f t="shared" si="497"/>
        <v>0</v>
      </c>
      <c r="Z846" s="3">
        <f t="shared" si="498"/>
        <v>0</v>
      </c>
      <c r="AD846" s="3">
        <f t="shared" si="499"/>
        <v>0</v>
      </c>
      <c r="AF846" s="3">
        <f t="shared" si="500"/>
        <v>0</v>
      </c>
      <c r="AM846" s="3">
        <v>25000</v>
      </c>
      <c r="AU846" s="3">
        <v>27000</v>
      </c>
      <c r="BC846" s="3"/>
      <c r="BE846" s="3"/>
    </row>
    <row r="847" spans="1:57" hidden="1" outlineLevel="1" x14ac:dyDescent="0.25">
      <c r="A847" s="3" t="s">
        <v>609</v>
      </c>
      <c r="B847" s="3">
        <v>6000</v>
      </c>
      <c r="E847" s="3">
        <f t="shared" si="491"/>
        <v>6000</v>
      </c>
      <c r="F847" s="3">
        <v>6000</v>
      </c>
      <c r="H847" s="3">
        <f t="shared" si="492"/>
        <v>0</v>
      </c>
      <c r="J847" s="3">
        <v>0</v>
      </c>
      <c r="K847" s="4">
        <f t="shared" si="493"/>
        <v>6000</v>
      </c>
      <c r="L847" s="4">
        <v>6000</v>
      </c>
      <c r="N847" s="4">
        <f t="shared" si="494"/>
        <v>0</v>
      </c>
      <c r="S847" s="3">
        <f t="shared" si="495"/>
        <v>0</v>
      </c>
      <c r="U847" s="3">
        <f t="shared" si="496"/>
        <v>0</v>
      </c>
      <c r="W847" s="3">
        <f t="shared" si="497"/>
        <v>0</v>
      </c>
      <c r="Z847" s="3">
        <f t="shared" si="498"/>
        <v>0</v>
      </c>
      <c r="AD847" s="3">
        <f t="shared" si="499"/>
        <v>0</v>
      </c>
      <c r="AF847" s="3">
        <f t="shared" si="500"/>
        <v>0</v>
      </c>
      <c r="BC847" s="3"/>
      <c r="BE847" s="3"/>
    </row>
    <row r="848" spans="1:57" s="77" customFormat="1" hidden="1" outlineLevel="1" x14ac:dyDescent="0.25">
      <c r="A848" s="3" t="s">
        <v>610</v>
      </c>
      <c r="B848" s="3"/>
      <c r="C848" s="3"/>
      <c r="D848" s="3"/>
      <c r="E848" s="3">
        <f t="shared" si="491"/>
        <v>0</v>
      </c>
      <c r="F848" s="3"/>
      <c r="G848" s="3"/>
      <c r="H848" s="3">
        <f t="shared" si="492"/>
        <v>0</v>
      </c>
      <c r="I848" s="3"/>
      <c r="J848" s="3"/>
      <c r="K848" s="4">
        <f t="shared" si="493"/>
        <v>0</v>
      </c>
      <c r="L848" s="4"/>
      <c r="M848" s="4"/>
      <c r="N848" s="4">
        <f t="shared" si="494"/>
        <v>0</v>
      </c>
      <c r="O848" s="3"/>
      <c r="P848" s="3"/>
      <c r="Q848" s="3"/>
      <c r="R848" s="3"/>
      <c r="S848" s="3">
        <f t="shared" si="495"/>
        <v>0</v>
      </c>
      <c r="T848" s="3"/>
      <c r="U848" s="3">
        <f t="shared" si="496"/>
        <v>0</v>
      </c>
      <c r="V848" s="3"/>
      <c r="W848" s="3">
        <f t="shared" si="497"/>
        <v>0</v>
      </c>
      <c r="X848" s="3"/>
      <c r="Y848" s="3"/>
      <c r="Z848" s="3">
        <f t="shared" si="498"/>
        <v>0</v>
      </c>
      <c r="AA848" s="3"/>
      <c r="AB848" s="3"/>
      <c r="AC848" s="3"/>
      <c r="AD848" s="3">
        <f t="shared" si="499"/>
        <v>0</v>
      </c>
      <c r="AE848" s="3"/>
      <c r="AF848" s="3">
        <f t="shared" si="500"/>
        <v>0</v>
      </c>
      <c r="AG848" s="4"/>
      <c r="AH848" s="4"/>
      <c r="AI848" s="3"/>
      <c r="AJ848" s="3"/>
      <c r="AK848" s="3"/>
      <c r="AL848" s="3"/>
      <c r="AM848" s="3"/>
      <c r="AN848" s="3"/>
      <c r="AO848" s="3"/>
      <c r="AP848" s="4"/>
      <c r="AQ848" s="3"/>
      <c r="AR848" s="42"/>
      <c r="AS848" s="3"/>
      <c r="AT848" s="42"/>
      <c r="AU848" s="3"/>
      <c r="AV848" s="42"/>
      <c r="AW848" s="3"/>
      <c r="AX848" s="42"/>
      <c r="AY848" s="3"/>
      <c r="AZ848" s="42"/>
      <c r="BA848" s="3"/>
      <c r="BB848" s="42"/>
      <c r="BC848" s="3"/>
      <c r="BD848" s="42"/>
      <c r="BE848" s="3"/>
    </row>
    <row r="849" spans="1:57" hidden="1" outlineLevel="1" x14ac:dyDescent="0.25">
      <c r="A849" s="3" t="s">
        <v>611</v>
      </c>
      <c r="E849" s="3">
        <f t="shared" si="491"/>
        <v>0</v>
      </c>
      <c r="H849" s="3">
        <f t="shared" si="492"/>
        <v>0</v>
      </c>
      <c r="K849" s="4">
        <f t="shared" si="493"/>
        <v>0</v>
      </c>
      <c r="L849" s="4"/>
      <c r="N849" s="4">
        <f t="shared" si="494"/>
        <v>0</v>
      </c>
      <c r="P849" s="3">
        <v>20000</v>
      </c>
      <c r="S849" s="3">
        <f t="shared" si="495"/>
        <v>20000</v>
      </c>
      <c r="T849" s="3">
        <v>20000</v>
      </c>
      <c r="U849" s="3">
        <f t="shared" si="496"/>
        <v>0</v>
      </c>
      <c r="W849" s="3">
        <f t="shared" si="497"/>
        <v>20000</v>
      </c>
      <c r="Y849" s="3">
        <v>20000</v>
      </c>
      <c r="Z849" s="3">
        <f t="shared" si="498"/>
        <v>0</v>
      </c>
      <c r="AC849" s="3">
        <v>0</v>
      </c>
      <c r="AD849" s="3">
        <f t="shared" si="499"/>
        <v>20000</v>
      </c>
      <c r="AE849" s="3">
        <v>20000</v>
      </c>
      <c r="AF849" s="3">
        <f t="shared" si="500"/>
        <v>0</v>
      </c>
      <c r="AM849" s="3">
        <v>22000</v>
      </c>
      <c r="AS849" s="3">
        <v>24000</v>
      </c>
      <c r="AY849" s="3">
        <v>26000</v>
      </c>
      <c r="BC849" s="3"/>
      <c r="BE849" s="3">
        <v>28000</v>
      </c>
    </row>
    <row r="850" spans="1:57" hidden="1" outlineLevel="1" x14ac:dyDescent="0.25">
      <c r="A850" s="3" t="s">
        <v>612</v>
      </c>
      <c r="E850" s="3">
        <f t="shared" si="491"/>
        <v>0</v>
      </c>
      <c r="H850" s="3">
        <f t="shared" si="492"/>
        <v>0</v>
      </c>
      <c r="K850" s="4">
        <f t="shared" si="493"/>
        <v>0</v>
      </c>
      <c r="L850" s="4"/>
      <c r="N850" s="4">
        <f t="shared" si="494"/>
        <v>0</v>
      </c>
      <c r="S850" s="3">
        <f t="shared" si="495"/>
        <v>0</v>
      </c>
      <c r="U850" s="3">
        <f t="shared" si="496"/>
        <v>0</v>
      </c>
      <c r="W850" s="3">
        <f t="shared" si="497"/>
        <v>0</v>
      </c>
      <c r="Z850" s="3">
        <f t="shared" si="498"/>
        <v>0</v>
      </c>
      <c r="AD850" s="3">
        <f t="shared" si="499"/>
        <v>0</v>
      </c>
      <c r="AF850" s="3">
        <f t="shared" si="500"/>
        <v>0</v>
      </c>
      <c r="BC850" s="3"/>
      <c r="BE850" s="3"/>
    </row>
    <row r="851" spans="1:57" s="77" customFormat="1" hidden="1" outlineLevel="1" x14ac:dyDescent="0.25">
      <c r="A851" s="3" t="s">
        <v>613</v>
      </c>
      <c r="B851" s="3"/>
      <c r="C851" s="3"/>
      <c r="D851" s="3"/>
      <c r="E851" s="3">
        <f t="shared" si="491"/>
        <v>0</v>
      </c>
      <c r="F851" s="3"/>
      <c r="G851" s="3"/>
      <c r="H851" s="3">
        <f t="shared" si="492"/>
        <v>0</v>
      </c>
      <c r="I851" s="3"/>
      <c r="J851" s="3"/>
      <c r="K851" s="4">
        <f t="shared" si="493"/>
        <v>0</v>
      </c>
      <c r="L851" s="4"/>
      <c r="M851" s="4"/>
      <c r="N851" s="4">
        <f t="shared" si="494"/>
        <v>0</v>
      </c>
      <c r="O851" s="3"/>
      <c r="P851" s="3">
        <v>10000</v>
      </c>
      <c r="Q851" s="3"/>
      <c r="R851" s="3"/>
      <c r="S851" s="3">
        <f t="shared" si="495"/>
        <v>10000</v>
      </c>
      <c r="T851" s="3">
        <v>10000</v>
      </c>
      <c r="U851" s="3">
        <f t="shared" si="496"/>
        <v>0</v>
      </c>
      <c r="V851" s="3"/>
      <c r="W851" s="3">
        <f t="shared" si="497"/>
        <v>10000</v>
      </c>
      <c r="X851" s="3"/>
      <c r="Y851" s="3">
        <v>10000</v>
      </c>
      <c r="Z851" s="3">
        <f t="shared" si="498"/>
        <v>0</v>
      </c>
      <c r="AA851" s="3"/>
      <c r="AB851" s="3"/>
      <c r="AC851" s="3">
        <v>0</v>
      </c>
      <c r="AD851" s="3">
        <f t="shared" si="499"/>
        <v>0</v>
      </c>
      <c r="AE851" s="3">
        <v>0</v>
      </c>
      <c r="AF851" s="3">
        <f t="shared" si="500"/>
        <v>-10000</v>
      </c>
      <c r="AG851" s="4"/>
      <c r="AH851" s="4"/>
      <c r="AI851" s="3">
        <f>P851*1.03</f>
        <v>10300</v>
      </c>
      <c r="AJ851" s="3"/>
      <c r="AK851" s="3">
        <f>AI851*1.0281</f>
        <v>10589.43</v>
      </c>
      <c r="AL851" s="3"/>
      <c r="AM851" s="3">
        <f>AK851*1.0281</f>
        <v>10886.992983</v>
      </c>
      <c r="AN851" s="3"/>
      <c r="AO851" s="3">
        <f>AM851*1.0281</f>
        <v>11192.9174858223</v>
      </c>
      <c r="AP851" s="4"/>
      <c r="AQ851" s="3">
        <f>AO851*1.0281</f>
        <v>11507.438467173906</v>
      </c>
      <c r="AR851" s="42"/>
      <c r="AS851" s="3">
        <f>AQ851*1.0281</f>
        <v>11830.797488101492</v>
      </c>
      <c r="AT851" s="42"/>
      <c r="AU851" s="3">
        <f>AS851*1.0281</f>
        <v>12163.242897517144</v>
      </c>
      <c r="AV851" s="42"/>
      <c r="AW851" s="3">
        <f>AU851*1.0281</f>
        <v>12505.030022937377</v>
      </c>
      <c r="AX851" s="42"/>
      <c r="AY851" s="3">
        <f>AW851*1.0281</f>
        <v>12856.421366581917</v>
      </c>
      <c r="AZ851" s="42"/>
      <c r="BA851" s="3">
        <f>AY851*1.0281</f>
        <v>13217.686806982869</v>
      </c>
      <c r="BB851" s="42"/>
      <c r="BC851" s="3">
        <f>BA851*1.0281</f>
        <v>13589.103806259087</v>
      </c>
      <c r="BD851" s="42"/>
      <c r="BE851" s="3">
        <f>BC851*1.0281</f>
        <v>13970.957623214967</v>
      </c>
    </row>
    <row r="852" spans="1:57" hidden="1" outlineLevel="1" x14ac:dyDescent="0.25">
      <c r="A852" s="3" t="s">
        <v>614</v>
      </c>
      <c r="B852" s="3">
        <v>250000</v>
      </c>
      <c r="E852" s="3">
        <f t="shared" si="491"/>
        <v>266000</v>
      </c>
      <c r="F852" s="3">
        <v>266000</v>
      </c>
      <c r="H852" s="3">
        <f t="shared" si="492"/>
        <v>16000</v>
      </c>
      <c r="K852" s="4">
        <f t="shared" si="493"/>
        <v>266000</v>
      </c>
      <c r="L852" s="4">
        <v>266000</v>
      </c>
      <c r="N852" s="4">
        <f t="shared" si="494"/>
        <v>0</v>
      </c>
      <c r="S852" s="3">
        <f t="shared" si="495"/>
        <v>0</v>
      </c>
      <c r="U852" s="3">
        <f t="shared" si="496"/>
        <v>0</v>
      </c>
      <c r="W852" s="3">
        <f t="shared" si="497"/>
        <v>0</v>
      </c>
      <c r="Z852" s="3">
        <f t="shared" si="498"/>
        <v>0</v>
      </c>
      <c r="AD852" s="3">
        <f t="shared" si="499"/>
        <v>0</v>
      </c>
      <c r="AF852" s="3">
        <f t="shared" si="500"/>
        <v>0</v>
      </c>
      <c r="AQ852" s="3">
        <v>135000</v>
      </c>
      <c r="BA852" s="3">
        <v>135000</v>
      </c>
      <c r="BC852" s="3"/>
      <c r="BE852" s="3"/>
    </row>
    <row r="853" spans="1:57" s="77" customFormat="1" hidden="1" outlineLevel="1" x14ac:dyDescent="0.25">
      <c r="A853" s="3" t="s">
        <v>615</v>
      </c>
      <c r="B853" s="3"/>
      <c r="C853" s="3"/>
      <c r="D853" s="3"/>
      <c r="E853" s="3">
        <f t="shared" si="491"/>
        <v>0</v>
      </c>
      <c r="F853" s="3"/>
      <c r="G853" s="3"/>
      <c r="H853" s="3">
        <f t="shared" si="492"/>
        <v>0</v>
      </c>
      <c r="I853" s="3"/>
      <c r="J853" s="3"/>
      <c r="K853" s="4">
        <f t="shared" si="493"/>
        <v>0</v>
      </c>
      <c r="L853" s="4"/>
      <c r="M853" s="4"/>
      <c r="N853" s="4">
        <f t="shared" si="494"/>
        <v>0</v>
      </c>
      <c r="O853" s="3"/>
      <c r="P853" s="3"/>
      <c r="Q853" s="3"/>
      <c r="R853" s="3"/>
      <c r="S853" s="3">
        <f t="shared" si="495"/>
        <v>0</v>
      </c>
      <c r="T853" s="3"/>
      <c r="U853" s="3">
        <f t="shared" si="496"/>
        <v>0</v>
      </c>
      <c r="V853" s="3"/>
      <c r="W853" s="3">
        <f t="shared" si="497"/>
        <v>0</v>
      </c>
      <c r="X853" s="3"/>
      <c r="Y853" s="3"/>
      <c r="Z853" s="3">
        <f t="shared" si="498"/>
        <v>0</v>
      </c>
      <c r="AA853" s="3"/>
      <c r="AB853" s="3"/>
      <c r="AC853" s="3"/>
      <c r="AD853" s="3">
        <f t="shared" si="499"/>
        <v>0</v>
      </c>
      <c r="AE853" s="3"/>
      <c r="AF853" s="3">
        <f t="shared" si="500"/>
        <v>0</v>
      </c>
      <c r="AG853" s="4"/>
      <c r="AH853" s="4"/>
      <c r="AI853" s="3"/>
      <c r="AJ853" s="3"/>
      <c r="AK853" s="3"/>
      <c r="AL853" s="3"/>
      <c r="AM853" s="3"/>
      <c r="AN853" s="3"/>
      <c r="AO853" s="3"/>
      <c r="AP853" s="4"/>
      <c r="AQ853" s="3"/>
      <c r="AR853" s="42"/>
      <c r="AS853" s="3"/>
      <c r="AT853" s="42"/>
      <c r="AU853" s="3"/>
      <c r="AV853" s="42"/>
      <c r="AW853" s="3"/>
      <c r="AX853" s="42"/>
      <c r="AY853" s="3"/>
      <c r="AZ853" s="42"/>
      <c r="BA853" s="3"/>
      <c r="BB853" s="42"/>
      <c r="BC853" s="3"/>
      <c r="BD853" s="42"/>
      <c r="BE853" s="3"/>
    </row>
    <row r="854" spans="1:57" hidden="1" outlineLevel="1" x14ac:dyDescent="0.25">
      <c r="A854" s="78" t="s">
        <v>616</v>
      </c>
      <c r="E854" s="3">
        <f t="shared" si="491"/>
        <v>0</v>
      </c>
      <c r="H854" s="3">
        <f t="shared" si="492"/>
        <v>0</v>
      </c>
      <c r="K854" s="4">
        <f t="shared" si="493"/>
        <v>0</v>
      </c>
      <c r="L854" s="4"/>
      <c r="N854" s="4">
        <f t="shared" si="494"/>
        <v>0</v>
      </c>
      <c r="S854" s="3">
        <f t="shared" si="495"/>
        <v>0</v>
      </c>
      <c r="U854" s="3">
        <f t="shared" si="496"/>
        <v>0</v>
      </c>
      <c r="W854" s="3">
        <f t="shared" si="497"/>
        <v>0</v>
      </c>
      <c r="Z854" s="3">
        <f t="shared" si="498"/>
        <v>0</v>
      </c>
      <c r="AD854" s="3">
        <f t="shared" si="499"/>
        <v>0</v>
      </c>
      <c r="AF854" s="3">
        <f t="shared" si="500"/>
        <v>0</v>
      </c>
      <c r="AK854" s="3">
        <v>2000</v>
      </c>
      <c r="AM854" s="3">
        <v>2000</v>
      </c>
      <c r="AQ854" s="3">
        <v>2000</v>
      </c>
      <c r="AU854" s="3">
        <v>2000</v>
      </c>
      <c r="AY854" s="3">
        <v>2000</v>
      </c>
      <c r="BA854" s="3">
        <v>2000</v>
      </c>
      <c r="BC854" s="3"/>
      <c r="BE854" s="3">
        <v>2000</v>
      </c>
    </row>
    <row r="855" spans="1:57" s="77" customFormat="1" hidden="1" outlineLevel="1" x14ac:dyDescent="0.25">
      <c r="A855" s="3" t="s">
        <v>617</v>
      </c>
      <c r="B855" s="3"/>
      <c r="C855" s="3"/>
      <c r="D855" s="3"/>
      <c r="E855" s="3">
        <f t="shared" si="491"/>
        <v>0</v>
      </c>
      <c r="F855" s="3"/>
      <c r="G855" s="3"/>
      <c r="H855" s="3">
        <f t="shared" si="492"/>
        <v>0</v>
      </c>
      <c r="I855" s="3"/>
      <c r="J855" s="3"/>
      <c r="K855" s="4">
        <f t="shared" si="493"/>
        <v>0</v>
      </c>
      <c r="L855" s="4"/>
      <c r="M855" s="4"/>
      <c r="N855" s="4">
        <f t="shared" si="494"/>
        <v>0</v>
      </c>
      <c r="O855" s="3"/>
      <c r="P855" s="3"/>
      <c r="Q855" s="3"/>
      <c r="R855" s="3"/>
      <c r="S855" s="3">
        <f t="shared" si="495"/>
        <v>0</v>
      </c>
      <c r="T855" s="3"/>
      <c r="U855" s="3">
        <f t="shared" si="496"/>
        <v>0</v>
      </c>
      <c r="V855" s="3"/>
      <c r="W855" s="3">
        <f t="shared" si="497"/>
        <v>0</v>
      </c>
      <c r="X855" s="3"/>
      <c r="Y855" s="3"/>
      <c r="Z855" s="3">
        <f t="shared" si="498"/>
        <v>0</v>
      </c>
      <c r="AA855" s="3"/>
      <c r="AB855" s="3"/>
      <c r="AC855" s="3"/>
      <c r="AD855" s="3">
        <f t="shared" si="499"/>
        <v>0</v>
      </c>
      <c r="AE855" s="3"/>
      <c r="AF855" s="3">
        <f t="shared" si="500"/>
        <v>0</v>
      </c>
      <c r="AG855" s="4"/>
      <c r="AH855" s="4"/>
      <c r="AI855" s="3"/>
      <c r="AJ855" s="3"/>
      <c r="AK855" s="3"/>
      <c r="AL855" s="3"/>
      <c r="AM855" s="3"/>
      <c r="AN855" s="3"/>
      <c r="AO855" s="3"/>
      <c r="AP855" s="4"/>
      <c r="AQ855" s="3"/>
      <c r="AR855" s="42"/>
      <c r="AS855" s="3"/>
      <c r="AT855" s="42"/>
      <c r="AU855" s="3"/>
      <c r="AV855" s="42"/>
      <c r="AW855" s="3"/>
      <c r="AX855" s="42"/>
      <c r="AY855" s="3"/>
      <c r="AZ855" s="42"/>
      <c r="BA855" s="3"/>
      <c r="BB855" s="42"/>
      <c r="BC855" s="3"/>
      <c r="BD855" s="42"/>
      <c r="BE855" s="3"/>
    </row>
    <row r="856" spans="1:57" s="77" customFormat="1" hidden="1" outlineLevel="1" x14ac:dyDescent="0.25">
      <c r="A856" s="3" t="s">
        <v>618</v>
      </c>
      <c r="B856" s="3">
        <v>10000</v>
      </c>
      <c r="C856" s="3"/>
      <c r="D856" s="3"/>
      <c r="E856" s="3">
        <f t="shared" si="491"/>
        <v>10000</v>
      </c>
      <c r="F856" s="3">
        <v>10000</v>
      </c>
      <c r="G856" s="3"/>
      <c r="H856" s="3">
        <f t="shared" si="492"/>
        <v>0</v>
      </c>
      <c r="I856" s="3"/>
      <c r="J856" s="3">
        <v>9090</v>
      </c>
      <c r="K856" s="4">
        <f t="shared" si="493"/>
        <v>0</v>
      </c>
      <c r="L856" s="4">
        <v>9090</v>
      </c>
      <c r="M856" s="4"/>
      <c r="N856" s="4">
        <f t="shared" si="494"/>
        <v>-910</v>
      </c>
      <c r="O856" s="3"/>
      <c r="P856" s="3"/>
      <c r="Q856" s="3"/>
      <c r="R856" s="3"/>
      <c r="S856" s="3">
        <f t="shared" si="495"/>
        <v>0</v>
      </c>
      <c r="T856" s="3"/>
      <c r="U856" s="3">
        <f t="shared" si="496"/>
        <v>0</v>
      </c>
      <c r="V856" s="3"/>
      <c r="W856" s="3">
        <f t="shared" si="497"/>
        <v>0</v>
      </c>
      <c r="X856" s="3"/>
      <c r="Y856" s="3"/>
      <c r="Z856" s="3">
        <f t="shared" si="498"/>
        <v>0</v>
      </c>
      <c r="AA856" s="3"/>
      <c r="AB856" s="3"/>
      <c r="AC856" s="3"/>
      <c r="AD856" s="3">
        <f t="shared" si="499"/>
        <v>0</v>
      </c>
      <c r="AE856" s="3"/>
      <c r="AF856" s="3">
        <f t="shared" si="500"/>
        <v>0</v>
      </c>
      <c r="AG856" s="4"/>
      <c r="AH856" s="4"/>
      <c r="AI856" s="3"/>
      <c r="AJ856" s="3"/>
      <c r="AK856" s="3">
        <v>2500</v>
      </c>
      <c r="AL856" s="3"/>
      <c r="AM856" s="3"/>
      <c r="AN856" s="3"/>
      <c r="AO856" s="3"/>
      <c r="AP856" s="4"/>
      <c r="AQ856" s="3"/>
      <c r="AR856" s="42"/>
      <c r="AS856" s="3"/>
      <c r="AT856" s="42"/>
      <c r="AU856" s="3"/>
      <c r="AV856" s="42"/>
      <c r="AW856" s="3"/>
      <c r="AX856" s="42"/>
      <c r="AY856" s="3"/>
      <c r="AZ856" s="42"/>
      <c r="BA856" s="3"/>
      <c r="BB856" s="42"/>
      <c r="BC856" s="3"/>
      <c r="BD856" s="42"/>
      <c r="BE856" s="3"/>
    </row>
    <row r="857" spans="1:57" hidden="1" outlineLevel="1" x14ac:dyDescent="0.25">
      <c r="A857" s="3" t="s">
        <v>619</v>
      </c>
      <c r="E857" s="3">
        <f t="shared" si="491"/>
        <v>0</v>
      </c>
      <c r="H857" s="3">
        <f t="shared" si="492"/>
        <v>0</v>
      </c>
      <c r="K857" s="4">
        <f t="shared" si="493"/>
        <v>0</v>
      </c>
      <c r="L857" s="4"/>
      <c r="N857" s="4">
        <f t="shared" si="494"/>
        <v>0</v>
      </c>
      <c r="P857" s="3">
        <v>10000</v>
      </c>
      <c r="S857" s="3">
        <f t="shared" si="495"/>
        <v>5000</v>
      </c>
      <c r="T857" s="3">
        <v>5000</v>
      </c>
      <c r="U857" s="3">
        <f t="shared" si="496"/>
        <v>-5000</v>
      </c>
      <c r="W857" s="3">
        <f t="shared" si="497"/>
        <v>5000</v>
      </c>
      <c r="Y857" s="3">
        <v>5000</v>
      </c>
      <c r="Z857" s="3">
        <f t="shared" si="498"/>
        <v>0</v>
      </c>
      <c r="AD857" s="3">
        <f t="shared" si="499"/>
        <v>5000</v>
      </c>
      <c r="AE857" s="3">
        <v>5000</v>
      </c>
      <c r="AF857" s="3">
        <f t="shared" si="500"/>
        <v>0</v>
      </c>
      <c r="AK857" s="3">
        <v>10000</v>
      </c>
      <c r="BC857" s="3"/>
      <c r="BE857" s="3"/>
    </row>
    <row r="858" spans="1:57" s="77" customFormat="1" hidden="1" outlineLevel="1" x14ac:dyDescent="0.25">
      <c r="A858" s="3" t="s">
        <v>620</v>
      </c>
      <c r="B858" s="3"/>
      <c r="C858" s="3"/>
      <c r="D858" s="3"/>
      <c r="E858" s="3">
        <f t="shared" si="491"/>
        <v>0</v>
      </c>
      <c r="F858" s="3"/>
      <c r="G858" s="3"/>
      <c r="H858" s="3">
        <f t="shared" si="492"/>
        <v>0</v>
      </c>
      <c r="I858" s="3"/>
      <c r="J858" s="3"/>
      <c r="K858" s="4">
        <f t="shared" si="493"/>
        <v>0</v>
      </c>
      <c r="L858" s="4"/>
      <c r="M858" s="4"/>
      <c r="N858" s="4">
        <f t="shared" si="494"/>
        <v>0</v>
      </c>
      <c r="O858" s="3"/>
      <c r="P858" s="3"/>
      <c r="Q858" s="3"/>
      <c r="R858" s="3"/>
      <c r="S858" s="3">
        <f t="shared" si="495"/>
        <v>0</v>
      </c>
      <c r="T858" s="3"/>
      <c r="U858" s="3">
        <f t="shared" si="496"/>
        <v>0</v>
      </c>
      <c r="V858" s="3"/>
      <c r="W858" s="3">
        <f t="shared" si="497"/>
        <v>0</v>
      </c>
      <c r="X858" s="3"/>
      <c r="Y858" s="3"/>
      <c r="Z858" s="3">
        <f t="shared" si="498"/>
        <v>0</v>
      </c>
      <c r="AA858" s="3"/>
      <c r="AB858" s="3"/>
      <c r="AC858" s="3"/>
      <c r="AD858" s="3">
        <f t="shared" si="499"/>
        <v>0</v>
      </c>
      <c r="AE858" s="3"/>
      <c r="AF858" s="3">
        <f t="shared" si="500"/>
        <v>0</v>
      </c>
      <c r="AG858" s="4"/>
      <c r="AH858" s="4"/>
      <c r="AI858" s="3"/>
      <c r="AJ858" s="3"/>
      <c r="AK858" s="3">
        <v>10000</v>
      </c>
      <c r="AL858" s="3"/>
      <c r="AM858" s="3"/>
      <c r="AN858" s="3"/>
      <c r="AO858" s="3"/>
      <c r="AP858" s="4"/>
      <c r="AQ858" s="3"/>
      <c r="AR858" s="42"/>
      <c r="AS858" s="3"/>
      <c r="AT858" s="42"/>
      <c r="AU858" s="3"/>
      <c r="AV858" s="42"/>
      <c r="AW858" s="3"/>
      <c r="AX858" s="42"/>
      <c r="AY858" s="3"/>
      <c r="AZ858" s="42"/>
      <c r="BA858" s="3"/>
      <c r="BB858" s="42"/>
      <c r="BC858" s="3"/>
      <c r="BD858" s="42"/>
      <c r="BE858" s="3"/>
    </row>
    <row r="859" spans="1:57" hidden="1" outlineLevel="1" x14ac:dyDescent="0.25">
      <c r="A859" s="3" t="s">
        <v>621</v>
      </c>
      <c r="B859" s="3">
        <v>10000</v>
      </c>
      <c r="E859" s="3">
        <f t="shared" si="491"/>
        <v>10000</v>
      </c>
      <c r="F859" s="3">
        <v>10000</v>
      </c>
      <c r="H859" s="3">
        <f t="shared" si="492"/>
        <v>0</v>
      </c>
      <c r="K859" s="4">
        <f t="shared" si="493"/>
        <v>10000</v>
      </c>
      <c r="L859" s="4">
        <v>10000</v>
      </c>
      <c r="N859" s="4">
        <f t="shared" si="494"/>
        <v>0</v>
      </c>
      <c r="P859" s="3">
        <v>15000</v>
      </c>
      <c r="S859" s="3">
        <f t="shared" si="495"/>
        <v>5000</v>
      </c>
      <c r="T859" s="3">
        <v>5000</v>
      </c>
      <c r="U859" s="3">
        <f t="shared" si="496"/>
        <v>-10000</v>
      </c>
      <c r="W859" s="3">
        <f t="shared" si="497"/>
        <v>10000</v>
      </c>
      <c r="Y859" s="3">
        <v>10000</v>
      </c>
      <c r="Z859" s="3">
        <f t="shared" si="498"/>
        <v>5000</v>
      </c>
      <c r="AD859" s="3">
        <f t="shared" si="499"/>
        <v>10000</v>
      </c>
      <c r="AE859" s="3">
        <v>10000</v>
      </c>
      <c r="AF859" s="3">
        <f t="shared" si="500"/>
        <v>0</v>
      </c>
      <c r="BC859" s="3"/>
      <c r="BE859" s="3"/>
    </row>
    <row r="860" spans="1:57" hidden="1" outlineLevel="1" x14ac:dyDescent="0.25">
      <c r="A860" s="3" t="s">
        <v>622</v>
      </c>
      <c r="B860" s="3">
        <v>10000</v>
      </c>
      <c r="E860" s="3">
        <f t="shared" si="491"/>
        <v>10000</v>
      </c>
      <c r="F860" s="3">
        <v>10000</v>
      </c>
      <c r="H860" s="3">
        <f t="shared" si="492"/>
        <v>0</v>
      </c>
      <c r="K860" s="4">
        <f t="shared" si="493"/>
        <v>10000</v>
      </c>
      <c r="L860" s="4">
        <v>10000</v>
      </c>
      <c r="N860" s="4">
        <f t="shared" si="494"/>
        <v>0</v>
      </c>
      <c r="P860" s="3">
        <v>10000</v>
      </c>
      <c r="S860" s="3">
        <f t="shared" si="495"/>
        <v>5000</v>
      </c>
      <c r="T860" s="3">
        <v>5000</v>
      </c>
      <c r="U860" s="3">
        <f t="shared" si="496"/>
        <v>-5000</v>
      </c>
      <c r="V860" s="3">
        <v>2940</v>
      </c>
      <c r="W860" s="3">
        <f t="shared" si="497"/>
        <v>60</v>
      </c>
      <c r="Y860" s="3">
        <v>3000</v>
      </c>
      <c r="Z860" s="3">
        <f t="shared" si="498"/>
        <v>-2000</v>
      </c>
      <c r="AC860" s="3">
        <v>2940</v>
      </c>
      <c r="AD860" s="3">
        <f t="shared" si="499"/>
        <v>60</v>
      </c>
      <c r="AE860" s="3">
        <v>3000</v>
      </c>
      <c r="AF860" s="3">
        <f t="shared" si="500"/>
        <v>0</v>
      </c>
      <c r="BC860" s="3"/>
      <c r="BE860" s="3"/>
    </row>
    <row r="861" spans="1:57" hidden="1" outlineLevel="1" x14ac:dyDescent="0.25">
      <c r="A861" s="3" t="s">
        <v>623</v>
      </c>
      <c r="B861" s="3">
        <v>5500</v>
      </c>
      <c r="E861" s="3">
        <f t="shared" si="491"/>
        <v>5500</v>
      </c>
      <c r="F861" s="3">
        <v>5500</v>
      </c>
      <c r="H861" s="3">
        <f t="shared" si="492"/>
        <v>0</v>
      </c>
      <c r="K861" s="4">
        <f t="shared" si="493"/>
        <v>5500</v>
      </c>
      <c r="L861" s="4">
        <v>5500</v>
      </c>
      <c r="N861" s="4">
        <f t="shared" si="494"/>
        <v>0</v>
      </c>
      <c r="S861" s="3">
        <f t="shared" si="495"/>
        <v>0</v>
      </c>
      <c r="U861" s="3">
        <f t="shared" si="496"/>
        <v>0</v>
      </c>
      <c r="W861" s="3">
        <f t="shared" si="497"/>
        <v>0</v>
      </c>
      <c r="Z861" s="3">
        <f t="shared" si="498"/>
        <v>0</v>
      </c>
      <c r="AD861" s="3">
        <f t="shared" si="499"/>
        <v>0</v>
      </c>
      <c r="AF861" s="3">
        <f t="shared" si="500"/>
        <v>0</v>
      </c>
      <c r="BC861" s="3"/>
      <c r="BE861" s="3"/>
    </row>
    <row r="862" spans="1:57" s="77" customFormat="1" hidden="1" outlineLevel="1" x14ac:dyDescent="0.25">
      <c r="A862" s="3" t="s">
        <v>624</v>
      </c>
      <c r="B862" s="3"/>
      <c r="C862" s="3"/>
      <c r="D862" s="3"/>
      <c r="E862" s="3">
        <f t="shared" si="491"/>
        <v>0</v>
      </c>
      <c r="F862" s="3"/>
      <c r="G862" s="3"/>
      <c r="H862" s="3">
        <f t="shared" si="492"/>
        <v>0</v>
      </c>
      <c r="I862" s="3"/>
      <c r="J862" s="3"/>
      <c r="K862" s="4">
        <f t="shared" si="493"/>
        <v>0</v>
      </c>
      <c r="L862" s="4"/>
      <c r="M862" s="4"/>
      <c r="N862" s="4">
        <f t="shared" si="494"/>
        <v>0</v>
      </c>
      <c r="O862" s="3"/>
      <c r="P862" s="3"/>
      <c r="Q862" s="3"/>
      <c r="R862" s="3"/>
      <c r="S862" s="3">
        <f t="shared" si="495"/>
        <v>0</v>
      </c>
      <c r="T862" s="3"/>
      <c r="U862" s="3">
        <f t="shared" si="496"/>
        <v>0</v>
      </c>
      <c r="V862" s="3"/>
      <c r="W862" s="3">
        <f t="shared" si="497"/>
        <v>0</v>
      </c>
      <c r="X862" s="3"/>
      <c r="Y862" s="3"/>
      <c r="Z862" s="3">
        <f t="shared" si="498"/>
        <v>0</v>
      </c>
      <c r="AA862" s="3"/>
      <c r="AB862" s="3"/>
      <c r="AC862" s="3"/>
      <c r="AD862" s="3">
        <f t="shared" si="499"/>
        <v>0</v>
      </c>
      <c r="AE862" s="3"/>
      <c r="AF862" s="3">
        <f t="shared" si="500"/>
        <v>0</v>
      </c>
      <c r="AG862" s="4"/>
      <c r="AH862" s="4"/>
      <c r="AI862" s="3"/>
      <c r="AJ862" s="3"/>
      <c r="AK862" s="3"/>
      <c r="AL862" s="3"/>
      <c r="AM862" s="3"/>
      <c r="AN862" s="3"/>
      <c r="AO862" s="3">
        <v>25000</v>
      </c>
      <c r="AP862" s="4"/>
      <c r="AQ862" s="3"/>
      <c r="AR862" s="42"/>
      <c r="AS862" s="3"/>
      <c r="AT862" s="42"/>
      <c r="AU862" s="3"/>
      <c r="AV862" s="42"/>
      <c r="AW862" s="3"/>
      <c r="AX862" s="42"/>
      <c r="AY862" s="3"/>
      <c r="AZ862" s="42"/>
      <c r="BA862" s="3"/>
      <c r="BB862" s="42"/>
      <c r="BC862" s="3"/>
      <c r="BD862" s="42"/>
      <c r="BE862" s="3"/>
    </row>
    <row r="863" spans="1:57" hidden="1" outlineLevel="1" x14ac:dyDescent="0.25">
      <c r="A863" s="3" t="s">
        <v>625</v>
      </c>
      <c r="E863" s="3">
        <f t="shared" si="491"/>
        <v>0</v>
      </c>
      <c r="H863" s="3">
        <f t="shared" si="492"/>
        <v>0</v>
      </c>
      <c r="K863" s="4">
        <f t="shared" si="493"/>
        <v>0</v>
      </c>
      <c r="L863" s="4"/>
      <c r="N863" s="4">
        <f t="shared" si="494"/>
        <v>0</v>
      </c>
      <c r="S863" s="3">
        <f t="shared" si="495"/>
        <v>0</v>
      </c>
      <c r="U863" s="3">
        <f t="shared" si="496"/>
        <v>0</v>
      </c>
      <c r="W863" s="3">
        <f t="shared" si="497"/>
        <v>0</v>
      </c>
      <c r="Z863" s="3">
        <f t="shared" si="498"/>
        <v>0</v>
      </c>
      <c r="AD863" s="3">
        <f t="shared" si="499"/>
        <v>0</v>
      </c>
      <c r="AF863" s="3">
        <f t="shared" si="500"/>
        <v>0</v>
      </c>
      <c r="BC863" s="3"/>
      <c r="BE863" s="3"/>
    </row>
    <row r="864" spans="1:57" s="77" customFormat="1" hidden="1" outlineLevel="1" x14ac:dyDescent="0.25">
      <c r="A864" s="3" t="s">
        <v>626</v>
      </c>
      <c r="B864" s="3"/>
      <c r="C864" s="3"/>
      <c r="D864" s="3"/>
      <c r="E864" s="3">
        <f t="shared" si="491"/>
        <v>0</v>
      </c>
      <c r="F864" s="3"/>
      <c r="G864" s="3"/>
      <c r="H864" s="3">
        <f t="shared" si="492"/>
        <v>0</v>
      </c>
      <c r="I864" s="3"/>
      <c r="J864" s="3"/>
      <c r="K864" s="4">
        <f t="shared" si="493"/>
        <v>0</v>
      </c>
      <c r="L864" s="4"/>
      <c r="M864" s="4"/>
      <c r="N864" s="4">
        <f t="shared" si="494"/>
        <v>0</v>
      </c>
      <c r="O864" s="3"/>
      <c r="P864" s="3"/>
      <c r="Q864" s="3"/>
      <c r="R864" s="3"/>
      <c r="S864" s="3">
        <f t="shared" si="495"/>
        <v>0</v>
      </c>
      <c r="T864" s="3"/>
      <c r="U864" s="3">
        <f t="shared" si="496"/>
        <v>0</v>
      </c>
      <c r="V864" s="3"/>
      <c r="W864" s="3">
        <f t="shared" si="497"/>
        <v>0</v>
      </c>
      <c r="X864" s="3"/>
      <c r="Y864" s="3"/>
      <c r="Z864" s="3">
        <f t="shared" si="498"/>
        <v>0</v>
      </c>
      <c r="AA864" s="3"/>
      <c r="AB864" s="3"/>
      <c r="AC864" s="3"/>
      <c r="AD864" s="3">
        <f t="shared" si="499"/>
        <v>0</v>
      </c>
      <c r="AE864" s="3"/>
      <c r="AF864" s="3">
        <f t="shared" si="500"/>
        <v>0</v>
      </c>
      <c r="AG864" s="4"/>
      <c r="AH864" s="4"/>
      <c r="AI864" s="3"/>
      <c r="AJ864" s="3"/>
      <c r="AK864" s="3"/>
      <c r="AL864" s="3"/>
      <c r="AM864" s="3"/>
      <c r="AN864" s="3"/>
      <c r="AO864" s="3"/>
      <c r="AP864" s="4"/>
      <c r="AQ864" s="3"/>
      <c r="AR864" s="42"/>
      <c r="AS864" s="3"/>
      <c r="AT864" s="42"/>
      <c r="AU864" s="3"/>
      <c r="AV864" s="42"/>
      <c r="AW864" s="3"/>
      <c r="AX864" s="42"/>
      <c r="AY864" s="3"/>
      <c r="AZ864" s="42"/>
      <c r="BA864" s="3"/>
      <c r="BB864" s="42"/>
      <c r="BC864" s="3"/>
      <c r="BD864" s="42"/>
      <c r="BE864" s="3"/>
    </row>
    <row r="865" spans="1:57" s="77" customFormat="1" hidden="1" outlineLevel="1" x14ac:dyDescent="0.25">
      <c r="A865" s="3" t="s">
        <v>627</v>
      </c>
      <c r="B865" s="3"/>
      <c r="C865" s="3"/>
      <c r="D865" s="3"/>
      <c r="E865" s="3"/>
      <c r="F865" s="3"/>
      <c r="G865" s="3"/>
      <c r="H865" s="3"/>
      <c r="I865" s="3"/>
      <c r="J865" s="3"/>
      <c r="K865" s="4"/>
      <c r="L865" s="4"/>
      <c r="M865" s="4"/>
      <c r="N865" s="4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4"/>
      <c r="AH865" s="4"/>
      <c r="AI865" s="3">
        <v>25000</v>
      </c>
      <c r="AJ865" s="3"/>
      <c r="AK865" s="3"/>
      <c r="AL865" s="3"/>
      <c r="AM865" s="3"/>
      <c r="AN865" s="3"/>
      <c r="AO865" s="3"/>
      <c r="AP865" s="4"/>
      <c r="AQ865" s="3"/>
      <c r="AR865" s="42"/>
      <c r="AS865" s="3"/>
      <c r="AT865" s="42"/>
      <c r="AU865" s="3"/>
      <c r="AV865" s="42"/>
      <c r="AW865" s="3"/>
      <c r="AX865" s="42"/>
      <c r="AY865" s="3"/>
      <c r="AZ865" s="42"/>
      <c r="BA865" s="3"/>
      <c r="BB865" s="42"/>
      <c r="BC865" s="3"/>
      <c r="BD865" s="42"/>
      <c r="BE865" s="3"/>
    </row>
    <row r="866" spans="1:57" hidden="1" outlineLevel="1" x14ac:dyDescent="0.25">
      <c r="A866" s="3" t="s">
        <v>628</v>
      </c>
      <c r="E866" s="3">
        <f t="shared" si="491"/>
        <v>0</v>
      </c>
      <c r="H866" s="3">
        <f t="shared" si="492"/>
        <v>0</v>
      </c>
      <c r="K866" s="4">
        <f t="shared" si="493"/>
        <v>0</v>
      </c>
      <c r="L866" s="4"/>
      <c r="N866" s="4">
        <f t="shared" si="494"/>
        <v>0</v>
      </c>
      <c r="S866" s="3">
        <f t="shared" si="495"/>
        <v>0</v>
      </c>
      <c r="U866" s="3">
        <f t="shared" si="496"/>
        <v>0</v>
      </c>
      <c r="W866" s="3">
        <f t="shared" si="497"/>
        <v>0</v>
      </c>
      <c r="Z866" s="3">
        <f t="shared" si="498"/>
        <v>0</v>
      </c>
      <c r="AD866" s="3">
        <f t="shared" si="499"/>
        <v>0</v>
      </c>
      <c r="AF866" s="3">
        <f t="shared" si="500"/>
        <v>0</v>
      </c>
      <c r="AI866" s="3">
        <v>1000</v>
      </c>
      <c r="AK866" s="3">
        <v>1000</v>
      </c>
      <c r="AM866" s="3">
        <v>1000</v>
      </c>
      <c r="AO866" s="3">
        <v>1000</v>
      </c>
      <c r="AQ866" s="3">
        <v>1000</v>
      </c>
      <c r="AS866" s="3">
        <v>1000</v>
      </c>
      <c r="AT866" s="3"/>
      <c r="AU866" s="3">
        <v>1000</v>
      </c>
      <c r="AW866" s="3">
        <v>1000</v>
      </c>
      <c r="AX866" s="3"/>
      <c r="AY866" s="3">
        <v>1000</v>
      </c>
      <c r="BA866" s="3">
        <v>1000</v>
      </c>
      <c r="BC866" s="3">
        <v>1000</v>
      </c>
      <c r="BE866" s="3">
        <v>1000</v>
      </c>
    </row>
    <row r="867" spans="1:57" hidden="1" outlineLevel="1" x14ac:dyDescent="0.25">
      <c r="A867" s="3"/>
      <c r="K867" s="4"/>
      <c r="L867" s="4"/>
      <c r="N867" s="4"/>
      <c r="S867" s="3">
        <f t="shared" si="495"/>
        <v>0</v>
      </c>
      <c r="U867" s="3">
        <f t="shared" si="496"/>
        <v>0</v>
      </c>
      <c r="W867" s="3">
        <f t="shared" si="497"/>
        <v>0</v>
      </c>
      <c r="Z867" s="3">
        <f t="shared" si="498"/>
        <v>0</v>
      </c>
      <c r="AD867" s="3">
        <f t="shared" si="499"/>
        <v>0</v>
      </c>
      <c r="AF867" s="3">
        <f t="shared" si="500"/>
        <v>0</v>
      </c>
      <c r="AT867" s="3"/>
      <c r="AX867" s="3"/>
      <c r="BC867" s="3"/>
      <c r="BE867" s="3"/>
    </row>
    <row r="868" spans="1:57" hidden="1" outlineLevel="1" x14ac:dyDescent="0.25">
      <c r="A868" s="3" t="s">
        <v>629</v>
      </c>
      <c r="E868" s="3">
        <f t="shared" si="491"/>
        <v>34000</v>
      </c>
      <c r="F868" s="3">
        <v>34000</v>
      </c>
      <c r="H868" s="3">
        <f t="shared" si="492"/>
        <v>34000</v>
      </c>
      <c r="K868" s="4">
        <f t="shared" si="493"/>
        <v>34000</v>
      </c>
      <c r="L868" s="4">
        <v>34000</v>
      </c>
      <c r="N868" s="4">
        <f t="shared" si="494"/>
        <v>0</v>
      </c>
      <c r="S868" s="3">
        <f t="shared" si="495"/>
        <v>0</v>
      </c>
      <c r="U868" s="3">
        <f t="shared" si="496"/>
        <v>0</v>
      </c>
      <c r="W868" s="3">
        <f t="shared" si="497"/>
        <v>0</v>
      </c>
      <c r="Z868" s="3">
        <f t="shared" si="498"/>
        <v>0</v>
      </c>
      <c r="AD868" s="3">
        <f t="shared" si="499"/>
        <v>0</v>
      </c>
      <c r="AF868" s="3">
        <f t="shared" si="500"/>
        <v>0</v>
      </c>
      <c r="BC868" s="3"/>
      <c r="BE868" s="3"/>
    </row>
    <row r="869" spans="1:57" s="77" customFormat="1" hidden="1" outlineLevel="1" x14ac:dyDescent="0.25">
      <c r="A869" s="3" t="s">
        <v>630</v>
      </c>
      <c r="B869" s="3"/>
      <c r="C869" s="3"/>
      <c r="D869" s="3"/>
      <c r="E869" s="3">
        <f t="shared" si="491"/>
        <v>0</v>
      </c>
      <c r="F869" s="3"/>
      <c r="G869" s="3"/>
      <c r="H869" s="3">
        <f t="shared" si="492"/>
        <v>0</v>
      </c>
      <c r="I869" s="3"/>
      <c r="J869" s="3"/>
      <c r="K869" s="4">
        <f t="shared" si="493"/>
        <v>0</v>
      </c>
      <c r="L869" s="4"/>
      <c r="M869" s="4"/>
      <c r="N869" s="4">
        <f t="shared" si="494"/>
        <v>0</v>
      </c>
      <c r="O869" s="3"/>
      <c r="P869" s="3"/>
      <c r="Q869" s="3"/>
      <c r="R869" s="3"/>
      <c r="S869" s="3">
        <f t="shared" si="495"/>
        <v>0</v>
      </c>
      <c r="T869" s="3"/>
      <c r="U869" s="3">
        <f t="shared" si="496"/>
        <v>0</v>
      </c>
      <c r="V869" s="3"/>
      <c r="W869" s="3">
        <f t="shared" si="497"/>
        <v>0</v>
      </c>
      <c r="X869" s="3"/>
      <c r="Y869" s="3"/>
      <c r="Z869" s="3">
        <f t="shared" si="498"/>
        <v>0</v>
      </c>
      <c r="AA869" s="3"/>
      <c r="AB869" s="3"/>
      <c r="AC869" s="3"/>
      <c r="AD869" s="3">
        <f t="shared" si="499"/>
        <v>0</v>
      </c>
      <c r="AE869" s="3"/>
      <c r="AF869" s="3">
        <f t="shared" si="500"/>
        <v>0</v>
      </c>
      <c r="AG869" s="4"/>
      <c r="AH869" s="4"/>
      <c r="AI869" s="3"/>
      <c r="AJ869" s="3"/>
      <c r="AK869" s="3"/>
      <c r="AL869" s="3"/>
      <c r="AM869" s="3"/>
      <c r="AN869" s="3"/>
      <c r="AO869" s="3"/>
      <c r="AP869" s="4"/>
      <c r="AQ869" s="3"/>
      <c r="AR869" s="42"/>
      <c r="AS869" s="3"/>
      <c r="AT869" s="42"/>
      <c r="AU869" s="3"/>
      <c r="AV869" s="42"/>
      <c r="AW869" s="3"/>
      <c r="AX869" s="42"/>
      <c r="AY869" s="3"/>
      <c r="AZ869" s="42"/>
      <c r="BA869" s="3"/>
      <c r="BB869" s="42"/>
      <c r="BC869" s="3"/>
      <c r="BD869" s="42"/>
      <c r="BE869" s="3"/>
    </row>
    <row r="870" spans="1:57" hidden="1" outlineLevel="1" x14ac:dyDescent="0.25">
      <c r="A870" s="3" t="s">
        <v>631</v>
      </c>
      <c r="E870" s="3">
        <f t="shared" si="491"/>
        <v>0</v>
      </c>
      <c r="H870" s="3">
        <f t="shared" si="492"/>
        <v>0</v>
      </c>
      <c r="K870" s="4">
        <f t="shared" si="493"/>
        <v>0</v>
      </c>
      <c r="L870" s="4"/>
      <c r="N870" s="4">
        <f t="shared" si="494"/>
        <v>0</v>
      </c>
      <c r="P870" s="3">
        <v>5000</v>
      </c>
      <c r="S870" s="3">
        <f t="shared" si="495"/>
        <v>6200</v>
      </c>
      <c r="T870" s="3">
        <v>6200</v>
      </c>
      <c r="U870" s="3">
        <f t="shared" si="496"/>
        <v>1200</v>
      </c>
      <c r="W870" s="3">
        <f t="shared" si="497"/>
        <v>9900</v>
      </c>
      <c r="Y870" s="3">
        <v>9900</v>
      </c>
      <c r="Z870" s="3">
        <f t="shared" si="498"/>
        <v>3700</v>
      </c>
      <c r="AC870" s="3">
        <v>10750</v>
      </c>
      <c r="AD870" s="3">
        <f t="shared" si="499"/>
        <v>0</v>
      </c>
      <c r="AE870" s="3">
        <v>10750</v>
      </c>
      <c r="AF870" s="3">
        <f t="shared" si="500"/>
        <v>850</v>
      </c>
      <c r="BC870" s="3"/>
      <c r="BE870" s="3"/>
    </row>
    <row r="871" spans="1:57" s="77" customFormat="1" hidden="1" outlineLevel="1" x14ac:dyDescent="0.25">
      <c r="A871" s="3" t="s">
        <v>632</v>
      </c>
      <c r="B871" s="3"/>
      <c r="C871" s="3"/>
      <c r="D871" s="3"/>
      <c r="E871" s="3">
        <f t="shared" si="491"/>
        <v>0</v>
      </c>
      <c r="F871" s="3"/>
      <c r="G871" s="3"/>
      <c r="H871" s="3">
        <f t="shared" si="492"/>
        <v>0</v>
      </c>
      <c r="I871" s="3"/>
      <c r="J871" s="3"/>
      <c r="K871" s="4">
        <f t="shared" si="493"/>
        <v>0</v>
      </c>
      <c r="L871" s="4"/>
      <c r="M871" s="4"/>
      <c r="N871" s="4">
        <f t="shared" si="494"/>
        <v>0</v>
      </c>
      <c r="O871" s="3"/>
      <c r="P871" s="3"/>
      <c r="Q871" s="3"/>
      <c r="R871" s="3"/>
      <c r="S871" s="3">
        <f t="shared" si="495"/>
        <v>0</v>
      </c>
      <c r="T871" s="3"/>
      <c r="U871" s="3">
        <f t="shared" si="496"/>
        <v>0</v>
      </c>
      <c r="V871" s="3"/>
      <c r="W871" s="3">
        <f t="shared" si="497"/>
        <v>0</v>
      </c>
      <c r="X871" s="3"/>
      <c r="Y871" s="3"/>
      <c r="Z871" s="3">
        <f t="shared" si="498"/>
        <v>0</v>
      </c>
      <c r="AA871" s="3"/>
      <c r="AB871" s="3"/>
      <c r="AC871" s="3"/>
      <c r="AD871" s="3">
        <f t="shared" si="499"/>
        <v>0</v>
      </c>
      <c r="AE871" s="3"/>
      <c r="AF871" s="3">
        <f t="shared" si="500"/>
        <v>0</v>
      </c>
      <c r="AG871" s="4"/>
      <c r="AH871" s="4"/>
      <c r="AI871" s="3"/>
      <c r="AJ871" s="3"/>
      <c r="AK871" s="3"/>
      <c r="AL871" s="3"/>
      <c r="AM871" s="3"/>
      <c r="AN871" s="3"/>
      <c r="AO871" s="3"/>
      <c r="AP871" s="4"/>
      <c r="AQ871" s="3"/>
      <c r="AR871" s="42"/>
      <c r="AS871" s="3"/>
      <c r="AT871" s="42"/>
      <c r="AU871" s="3"/>
      <c r="AV871" s="42"/>
      <c r="AW871" s="3"/>
      <c r="AX871" s="42"/>
      <c r="AY871" s="3"/>
      <c r="AZ871" s="42"/>
      <c r="BA871" s="3"/>
      <c r="BB871" s="42"/>
      <c r="BC871" s="3"/>
      <c r="BD871" s="42"/>
      <c r="BE871" s="3"/>
    </row>
    <row r="872" spans="1:57" hidden="1" outlineLevel="1" x14ac:dyDescent="0.25">
      <c r="A872" s="3" t="s">
        <v>633</v>
      </c>
      <c r="E872" s="3">
        <f t="shared" si="491"/>
        <v>0</v>
      </c>
      <c r="H872" s="3">
        <f t="shared" si="492"/>
        <v>0</v>
      </c>
      <c r="K872" s="4">
        <f t="shared" si="493"/>
        <v>0</v>
      </c>
      <c r="L872" s="4"/>
      <c r="N872" s="4">
        <f t="shared" si="494"/>
        <v>0</v>
      </c>
      <c r="S872" s="3">
        <f t="shared" si="495"/>
        <v>0</v>
      </c>
      <c r="U872" s="3">
        <f t="shared" si="496"/>
        <v>0</v>
      </c>
      <c r="W872" s="3">
        <f t="shared" si="497"/>
        <v>0</v>
      </c>
      <c r="Z872" s="3">
        <f t="shared" si="498"/>
        <v>0</v>
      </c>
      <c r="AC872" s="3">
        <v>1540</v>
      </c>
      <c r="AD872" s="3">
        <f t="shared" si="499"/>
        <v>10</v>
      </c>
      <c r="AE872" s="3">
        <v>1550</v>
      </c>
      <c r="AF872" s="3">
        <f t="shared" si="500"/>
        <v>1550</v>
      </c>
      <c r="AI872" s="3">
        <v>10000</v>
      </c>
      <c r="AK872" s="3">
        <v>10000</v>
      </c>
      <c r="BC872" s="3"/>
      <c r="BE872" s="3"/>
    </row>
    <row r="873" spans="1:57" hidden="1" outlineLevel="1" x14ac:dyDescent="0.25">
      <c r="A873" s="3" t="s">
        <v>634</v>
      </c>
      <c r="E873" s="3">
        <f t="shared" si="491"/>
        <v>0</v>
      </c>
      <c r="H873" s="3">
        <f t="shared" si="492"/>
        <v>0</v>
      </c>
      <c r="K873" s="4">
        <f t="shared" si="493"/>
        <v>0</v>
      </c>
      <c r="L873" s="4"/>
      <c r="N873" s="4">
        <f t="shared" si="494"/>
        <v>0</v>
      </c>
      <c r="S873" s="3">
        <f t="shared" si="495"/>
        <v>0</v>
      </c>
      <c r="U873" s="3">
        <f t="shared" si="496"/>
        <v>0</v>
      </c>
      <c r="W873" s="3">
        <f t="shared" si="497"/>
        <v>0</v>
      </c>
      <c r="Z873" s="3">
        <f t="shared" si="498"/>
        <v>0</v>
      </c>
      <c r="AD873" s="3">
        <f t="shared" si="499"/>
        <v>0</v>
      </c>
      <c r="AF873" s="3">
        <f t="shared" si="500"/>
        <v>0</v>
      </c>
      <c r="BC873" s="3"/>
      <c r="BE873" s="3"/>
    </row>
    <row r="874" spans="1:57" hidden="1" outlineLevel="1" x14ac:dyDescent="0.25">
      <c r="A874" s="3" t="s">
        <v>635</v>
      </c>
      <c r="K874" s="4"/>
      <c r="L874" s="4"/>
      <c r="N874" s="4"/>
      <c r="P874" s="3">
        <v>40000</v>
      </c>
      <c r="S874" s="3">
        <f t="shared" si="495"/>
        <v>45000</v>
      </c>
      <c r="T874" s="3">
        <v>45000</v>
      </c>
      <c r="U874" s="3">
        <f t="shared" si="496"/>
        <v>5000</v>
      </c>
      <c r="W874" s="3">
        <f t="shared" si="497"/>
        <v>45000</v>
      </c>
      <c r="Y874" s="3">
        <v>45000</v>
      </c>
      <c r="Z874" s="3">
        <f t="shared" si="498"/>
        <v>0</v>
      </c>
      <c r="AC874" s="3">
        <v>0</v>
      </c>
      <c r="AD874" s="3">
        <f t="shared" si="499"/>
        <v>0</v>
      </c>
      <c r="AE874" s="3">
        <v>0</v>
      </c>
      <c r="AF874" s="3">
        <f t="shared" si="500"/>
        <v>-45000</v>
      </c>
      <c r="BC874" s="3"/>
      <c r="BE874" s="3"/>
    </row>
    <row r="875" spans="1:57" s="77" customFormat="1" hidden="1" outlineLevel="1" x14ac:dyDescent="0.25">
      <c r="A875" s="3" t="s">
        <v>636</v>
      </c>
      <c r="B875" s="3"/>
      <c r="C875" s="3"/>
      <c r="D875" s="3"/>
      <c r="E875" s="3">
        <f t="shared" si="491"/>
        <v>0</v>
      </c>
      <c r="F875" s="3"/>
      <c r="G875" s="3"/>
      <c r="H875" s="3">
        <f t="shared" si="492"/>
        <v>0</v>
      </c>
      <c r="I875" s="3"/>
      <c r="J875" s="3"/>
      <c r="K875" s="4">
        <f t="shared" si="493"/>
        <v>0</v>
      </c>
      <c r="L875" s="4"/>
      <c r="M875" s="4"/>
      <c r="N875" s="4">
        <f t="shared" si="494"/>
        <v>0</v>
      </c>
      <c r="O875" s="3"/>
      <c r="P875" s="3"/>
      <c r="Q875" s="3"/>
      <c r="R875" s="3"/>
      <c r="S875" s="3">
        <f t="shared" si="495"/>
        <v>0</v>
      </c>
      <c r="T875" s="3"/>
      <c r="U875" s="3">
        <f t="shared" si="496"/>
        <v>0</v>
      </c>
      <c r="V875" s="3"/>
      <c r="W875" s="3">
        <f t="shared" si="497"/>
        <v>0</v>
      </c>
      <c r="X875" s="3"/>
      <c r="Y875" s="3"/>
      <c r="Z875" s="3">
        <f t="shared" si="498"/>
        <v>0</v>
      </c>
      <c r="AA875" s="3"/>
      <c r="AB875" s="3"/>
      <c r="AC875" s="3"/>
      <c r="AD875" s="3">
        <f t="shared" si="499"/>
        <v>0</v>
      </c>
      <c r="AE875" s="3"/>
      <c r="AF875" s="3">
        <f t="shared" si="500"/>
        <v>0</v>
      </c>
      <c r="AG875" s="4"/>
      <c r="AH875" s="4"/>
      <c r="AI875" s="3"/>
      <c r="AJ875" s="3"/>
      <c r="AK875" s="3"/>
      <c r="AL875" s="3"/>
      <c r="AM875" s="3"/>
      <c r="AN875" s="3"/>
      <c r="AO875" s="3"/>
      <c r="AP875" s="4"/>
      <c r="AQ875" s="3"/>
      <c r="AR875" s="42"/>
      <c r="AS875" s="3"/>
      <c r="AT875" s="42"/>
      <c r="AU875" s="3"/>
      <c r="AV875" s="42"/>
      <c r="AW875" s="3"/>
      <c r="AX875" s="42"/>
      <c r="AY875" s="3"/>
      <c r="AZ875" s="42"/>
      <c r="BA875" s="3"/>
      <c r="BB875" s="42"/>
      <c r="BC875" s="3"/>
      <c r="BD875" s="42"/>
      <c r="BE875" s="3"/>
    </row>
    <row r="876" spans="1:57" hidden="1" outlineLevel="1" x14ac:dyDescent="0.25">
      <c r="A876" s="3" t="s">
        <v>637</v>
      </c>
      <c r="E876" s="3">
        <f t="shared" si="491"/>
        <v>0</v>
      </c>
      <c r="H876" s="3">
        <f t="shared" si="492"/>
        <v>0</v>
      </c>
      <c r="K876" s="4">
        <f t="shared" si="493"/>
        <v>0</v>
      </c>
      <c r="L876" s="4"/>
      <c r="N876" s="4">
        <f t="shared" si="494"/>
        <v>0</v>
      </c>
      <c r="S876" s="3">
        <f t="shared" si="495"/>
        <v>0</v>
      </c>
      <c r="U876" s="3">
        <f t="shared" si="496"/>
        <v>0</v>
      </c>
      <c r="W876" s="3">
        <f t="shared" si="497"/>
        <v>0</v>
      </c>
      <c r="Z876" s="3">
        <f t="shared" si="498"/>
        <v>0</v>
      </c>
      <c r="AD876" s="3">
        <f t="shared" si="499"/>
        <v>0</v>
      </c>
      <c r="AF876" s="3">
        <f t="shared" si="500"/>
        <v>0</v>
      </c>
      <c r="BC876" s="3"/>
      <c r="BE876" s="3"/>
    </row>
    <row r="877" spans="1:57" s="77" customFormat="1" hidden="1" outlineLevel="1" x14ac:dyDescent="0.25">
      <c r="A877" s="3" t="s">
        <v>638</v>
      </c>
      <c r="B877" s="3">
        <v>5000</v>
      </c>
      <c r="C877" s="3"/>
      <c r="D877" s="3"/>
      <c r="E877" s="3">
        <f t="shared" si="491"/>
        <v>5000</v>
      </c>
      <c r="F877" s="3">
        <v>5000</v>
      </c>
      <c r="G877" s="3"/>
      <c r="H877" s="3">
        <f t="shared" si="492"/>
        <v>0</v>
      </c>
      <c r="I877" s="3"/>
      <c r="J877" s="3"/>
      <c r="K877" s="4">
        <f t="shared" si="493"/>
        <v>5000</v>
      </c>
      <c r="L877" s="4">
        <v>5000</v>
      </c>
      <c r="M877" s="4"/>
      <c r="N877" s="4">
        <f t="shared" si="494"/>
        <v>0</v>
      </c>
      <c r="O877" s="3"/>
      <c r="P877" s="3"/>
      <c r="Q877" s="3"/>
      <c r="R877" s="3"/>
      <c r="S877" s="3">
        <f t="shared" si="495"/>
        <v>0</v>
      </c>
      <c r="T877" s="3"/>
      <c r="U877" s="3">
        <f t="shared" si="496"/>
        <v>0</v>
      </c>
      <c r="V877" s="3"/>
      <c r="W877" s="3">
        <f t="shared" si="497"/>
        <v>0</v>
      </c>
      <c r="X877" s="3"/>
      <c r="Y877" s="3"/>
      <c r="Z877" s="3">
        <f t="shared" si="498"/>
        <v>0</v>
      </c>
      <c r="AA877" s="3"/>
      <c r="AB877" s="3"/>
      <c r="AC877" s="3"/>
      <c r="AD877" s="3">
        <f t="shared" si="499"/>
        <v>0</v>
      </c>
      <c r="AE877" s="3"/>
      <c r="AF877" s="3">
        <f t="shared" si="500"/>
        <v>0</v>
      </c>
      <c r="AG877" s="4"/>
      <c r="AH877" s="4"/>
      <c r="AI877" s="3"/>
      <c r="AJ877" s="3"/>
      <c r="AK877" s="3"/>
      <c r="AL877" s="3"/>
      <c r="AM877" s="3"/>
      <c r="AN877" s="3"/>
      <c r="AO877" s="3"/>
      <c r="AP877" s="4"/>
      <c r="AQ877" s="3"/>
      <c r="AR877" s="42"/>
      <c r="AS877" s="3"/>
      <c r="AT877" s="42"/>
      <c r="AU877" s="3"/>
      <c r="AV877" s="42"/>
      <c r="AW877" s="3"/>
      <c r="AX877" s="42"/>
      <c r="AY877" s="3"/>
      <c r="AZ877" s="42"/>
      <c r="BA877" s="3"/>
      <c r="BB877" s="42"/>
      <c r="BC877" s="3"/>
      <c r="BD877" s="42"/>
      <c r="BE877" s="3"/>
    </row>
    <row r="878" spans="1:57" hidden="1" outlineLevel="1" x14ac:dyDescent="0.25">
      <c r="A878" s="3" t="s">
        <v>639</v>
      </c>
      <c r="B878" s="3">
        <v>10600</v>
      </c>
      <c r="E878" s="3">
        <f t="shared" si="491"/>
        <v>10600</v>
      </c>
      <c r="F878" s="3">
        <v>10600</v>
      </c>
      <c r="H878" s="3">
        <f t="shared" si="492"/>
        <v>0</v>
      </c>
      <c r="J878" s="3">
        <v>2210</v>
      </c>
      <c r="K878" s="4">
        <f t="shared" si="493"/>
        <v>8390</v>
      </c>
      <c r="L878" s="4">
        <v>10600</v>
      </c>
      <c r="N878" s="4">
        <f t="shared" si="494"/>
        <v>0</v>
      </c>
      <c r="P878" s="3">
        <v>5000</v>
      </c>
      <c r="S878" s="3">
        <f t="shared" si="495"/>
        <v>5000</v>
      </c>
      <c r="T878" s="3">
        <v>5000</v>
      </c>
      <c r="U878" s="3">
        <f t="shared" si="496"/>
        <v>0</v>
      </c>
      <c r="W878" s="3">
        <f t="shared" si="497"/>
        <v>5000</v>
      </c>
      <c r="Y878" s="3">
        <v>5000</v>
      </c>
      <c r="Z878" s="3">
        <f t="shared" si="498"/>
        <v>0</v>
      </c>
      <c r="AC878" s="3">
        <v>0</v>
      </c>
      <c r="AD878" s="3">
        <f t="shared" si="499"/>
        <v>5000</v>
      </c>
      <c r="AE878" s="3">
        <v>5000</v>
      </c>
      <c r="AF878" s="3">
        <f t="shared" si="500"/>
        <v>0</v>
      </c>
      <c r="AI878" s="3">
        <v>0</v>
      </c>
      <c r="AK878" s="3">
        <v>5000</v>
      </c>
      <c r="AM878" s="3">
        <v>5000</v>
      </c>
      <c r="AO878" s="3">
        <v>5000</v>
      </c>
      <c r="AQ878" s="3">
        <v>5000</v>
      </c>
      <c r="AS878" s="3">
        <v>5000</v>
      </c>
      <c r="AU878" s="3">
        <v>5000</v>
      </c>
      <c r="AW878" s="3">
        <v>5000</v>
      </c>
      <c r="AY878" s="3">
        <v>5000</v>
      </c>
      <c r="BA878" s="3">
        <v>5000</v>
      </c>
      <c r="BC878" s="3">
        <v>5000</v>
      </c>
      <c r="BE878" s="3">
        <v>5000</v>
      </c>
    </row>
    <row r="879" spans="1:57" hidden="1" outlineLevel="1" x14ac:dyDescent="0.25">
      <c r="A879" s="3" t="s">
        <v>640</v>
      </c>
      <c r="B879" s="3">
        <v>15000</v>
      </c>
      <c r="E879" s="3">
        <f t="shared" si="491"/>
        <v>15000</v>
      </c>
      <c r="F879" s="3">
        <v>15000</v>
      </c>
      <c r="H879" s="3">
        <f t="shared" si="492"/>
        <v>0</v>
      </c>
      <c r="K879" s="4">
        <f t="shared" si="493"/>
        <v>15000</v>
      </c>
      <c r="L879" s="4">
        <v>15000</v>
      </c>
      <c r="N879" s="4">
        <f t="shared" si="494"/>
        <v>0</v>
      </c>
      <c r="S879" s="3">
        <f t="shared" si="495"/>
        <v>0</v>
      </c>
      <c r="U879" s="3">
        <f t="shared" si="496"/>
        <v>0</v>
      </c>
      <c r="W879" s="3">
        <f t="shared" si="497"/>
        <v>0</v>
      </c>
      <c r="Z879" s="3">
        <f t="shared" si="498"/>
        <v>0</v>
      </c>
      <c r="AD879" s="3">
        <f t="shared" si="499"/>
        <v>0</v>
      </c>
      <c r="AF879" s="3">
        <f t="shared" si="500"/>
        <v>0</v>
      </c>
      <c r="BC879" s="3"/>
      <c r="BE879" s="3"/>
    </row>
    <row r="880" spans="1:57" hidden="1" outlineLevel="1" x14ac:dyDescent="0.25">
      <c r="A880" s="3" t="s">
        <v>641</v>
      </c>
      <c r="E880" s="3">
        <f t="shared" si="491"/>
        <v>0</v>
      </c>
      <c r="H880" s="3">
        <f t="shared" si="492"/>
        <v>0</v>
      </c>
      <c r="K880" s="4">
        <f t="shared" si="493"/>
        <v>0</v>
      </c>
      <c r="L880" s="4"/>
      <c r="N880" s="4">
        <f t="shared" si="494"/>
        <v>0</v>
      </c>
      <c r="S880" s="3">
        <f t="shared" si="495"/>
        <v>0</v>
      </c>
      <c r="U880" s="3">
        <f t="shared" si="496"/>
        <v>0</v>
      </c>
      <c r="W880" s="3">
        <f t="shared" si="497"/>
        <v>0</v>
      </c>
      <c r="Z880" s="3">
        <f t="shared" si="498"/>
        <v>0</v>
      </c>
      <c r="AD880" s="3">
        <f t="shared" si="499"/>
        <v>0</v>
      </c>
      <c r="AF880" s="3">
        <f t="shared" si="500"/>
        <v>0</v>
      </c>
      <c r="BC880" s="3"/>
      <c r="BE880" s="3"/>
    </row>
    <row r="881" spans="1:57" s="77" customFormat="1" hidden="1" outlineLevel="1" x14ac:dyDescent="0.25">
      <c r="A881" s="3" t="s">
        <v>642</v>
      </c>
      <c r="B881" s="3"/>
      <c r="C881" s="3"/>
      <c r="D881" s="3"/>
      <c r="E881" s="3">
        <f t="shared" si="491"/>
        <v>0</v>
      </c>
      <c r="F881" s="3"/>
      <c r="G881" s="3"/>
      <c r="H881" s="3">
        <f t="shared" si="492"/>
        <v>0</v>
      </c>
      <c r="I881" s="3"/>
      <c r="J881" s="3"/>
      <c r="K881" s="4">
        <f t="shared" si="493"/>
        <v>0</v>
      </c>
      <c r="L881" s="4"/>
      <c r="M881" s="4"/>
      <c r="N881" s="4">
        <f t="shared" si="494"/>
        <v>0</v>
      </c>
      <c r="O881" s="3"/>
      <c r="P881" s="3">
        <v>2500</v>
      </c>
      <c r="Q881" s="3"/>
      <c r="R881" s="3"/>
      <c r="S881" s="3">
        <f t="shared" si="495"/>
        <v>0</v>
      </c>
      <c r="T881" s="3">
        <v>0</v>
      </c>
      <c r="U881" s="3">
        <f t="shared" si="496"/>
        <v>-2500</v>
      </c>
      <c r="V881" s="3"/>
      <c r="W881" s="3">
        <f t="shared" si="497"/>
        <v>0</v>
      </c>
      <c r="X881" s="3"/>
      <c r="Y881" s="3"/>
      <c r="Z881" s="3">
        <f t="shared" si="498"/>
        <v>0</v>
      </c>
      <c r="AA881" s="3"/>
      <c r="AB881" s="3"/>
      <c r="AC881" s="3"/>
      <c r="AD881" s="3">
        <f t="shared" si="499"/>
        <v>0</v>
      </c>
      <c r="AE881" s="3"/>
      <c r="AF881" s="3">
        <f t="shared" si="500"/>
        <v>0</v>
      </c>
      <c r="AG881" s="4"/>
      <c r="AH881" s="4"/>
      <c r="AI881" s="3">
        <v>2500</v>
      </c>
      <c r="AJ881" s="3"/>
      <c r="AK881" s="3">
        <v>2500</v>
      </c>
      <c r="AL881" s="3"/>
      <c r="AM881" s="3">
        <v>2500</v>
      </c>
      <c r="AN881" s="3"/>
      <c r="AO881" s="3">
        <v>2500</v>
      </c>
      <c r="AP881" s="4"/>
      <c r="AQ881" s="3">
        <v>2500</v>
      </c>
      <c r="AR881" s="42"/>
      <c r="AS881" s="3">
        <v>2500</v>
      </c>
      <c r="AT881" s="42"/>
      <c r="AU881" s="3">
        <v>2500</v>
      </c>
      <c r="AV881" s="42"/>
      <c r="AW881" s="3">
        <v>2500</v>
      </c>
      <c r="AX881" s="42"/>
      <c r="AY881" s="3">
        <v>2500</v>
      </c>
      <c r="AZ881" s="42"/>
      <c r="BA881" s="3">
        <v>2500</v>
      </c>
      <c r="BB881" s="42"/>
      <c r="BC881" s="3">
        <v>2500</v>
      </c>
      <c r="BD881" s="42"/>
      <c r="BE881" s="3">
        <v>2500</v>
      </c>
    </row>
    <row r="882" spans="1:57" hidden="1" outlineLevel="1" x14ac:dyDescent="0.25">
      <c r="A882" s="3" t="s">
        <v>643</v>
      </c>
      <c r="E882" s="3">
        <f t="shared" si="491"/>
        <v>0</v>
      </c>
      <c r="H882" s="3">
        <f t="shared" si="492"/>
        <v>0</v>
      </c>
      <c r="K882" s="4">
        <f t="shared" si="493"/>
        <v>0</v>
      </c>
      <c r="L882" s="4"/>
      <c r="N882" s="4">
        <f t="shared" si="494"/>
        <v>0</v>
      </c>
      <c r="S882" s="3">
        <f t="shared" si="495"/>
        <v>0</v>
      </c>
      <c r="U882" s="3">
        <f t="shared" si="496"/>
        <v>0</v>
      </c>
      <c r="W882" s="3">
        <f t="shared" si="497"/>
        <v>0</v>
      </c>
      <c r="Z882" s="3">
        <f t="shared" si="498"/>
        <v>0</v>
      </c>
      <c r="AD882" s="3">
        <f t="shared" si="499"/>
        <v>0</v>
      </c>
      <c r="AF882" s="3">
        <f t="shared" si="500"/>
        <v>0</v>
      </c>
      <c r="AK882" s="3">
        <v>25000</v>
      </c>
      <c r="BC882" s="3"/>
      <c r="BE882" s="3"/>
    </row>
    <row r="883" spans="1:57" hidden="1" outlineLevel="1" x14ac:dyDescent="0.25">
      <c r="A883" s="3" t="s">
        <v>644</v>
      </c>
      <c r="E883" s="3">
        <f t="shared" si="491"/>
        <v>0</v>
      </c>
      <c r="H883" s="3">
        <f t="shared" si="492"/>
        <v>0</v>
      </c>
      <c r="K883" s="4">
        <f t="shared" si="493"/>
        <v>0</v>
      </c>
      <c r="L883" s="4"/>
      <c r="N883" s="4">
        <f t="shared" si="494"/>
        <v>0</v>
      </c>
      <c r="S883" s="3">
        <f t="shared" si="495"/>
        <v>0</v>
      </c>
      <c r="U883" s="3">
        <f t="shared" si="496"/>
        <v>0</v>
      </c>
      <c r="W883" s="3">
        <f t="shared" si="497"/>
        <v>0</v>
      </c>
      <c r="Z883" s="3">
        <f t="shared" si="498"/>
        <v>0</v>
      </c>
      <c r="AD883" s="3">
        <f t="shared" si="499"/>
        <v>0</v>
      </c>
      <c r="AF883" s="3">
        <f t="shared" si="500"/>
        <v>0</v>
      </c>
      <c r="BC883" s="3"/>
      <c r="BE883" s="3"/>
    </row>
    <row r="884" spans="1:57" s="77" customFormat="1" hidden="1" outlineLevel="1" x14ac:dyDescent="0.25">
      <c r="A884" s="3" t="s">
        <v>645</v>
      </c>
      <c r="B884" s="3"/>
      <c r="C884" s="3"/>
      <c r="D884" s="3"/>
      <c r="E884" s="3">
        <f t="shared" si="491"/>
        <v>0</v>
      </c>
      <c r="F884" s="3"/>
      <c r="G884" s="3"/>
      <c r="H884" s="3">
        <f t="shared" si="492"/>
        <v>0</v>
      </c>
      <c r="I884" s="3"/>
      <c r="J884" s="3"/>
      <c r="K884" s="4">
        <f t="shared" si="493"/>
        <v>0</v>
      </c>
      <c r="L884" s="4"/>
      <c r="M884" s="4"/>
      <c r="N884" s="4">
        <f t="shared" si="494"/>
        <v>0</v>
      </c>
      <c r="O884" s="3"/>
      <c r="P884" s="3"/>
      <c r="Q884" s="3"/>
      <c r="R884" s="3"/>
      <c r="S884" s="3">
        <f t="shared" si="495"/>
        <v>0</v>
      </c>
      <c r="T884" s="3"/>
      <c r="U884" s="3">
        <f t="shared" si="496"/>
        <v>0</v>
      </c>
      <c r="V884" s="3"/>
      <c r="W884" s="3">
        <f t="shared" si="497"/>
        <v>0</v>
      </c>
      <c r="X884" s="3"/>
      <c r="Y884" s="3"/>
      <c r="Z884" s="3">
        <f t="shared" si="498"/>
        <v>0</v>
      </c>
      <c r="AA884" s="3"/>
      <c r="AB884" s="3"/>
      <c r="AC884" s="3"/>
      <c r="AD884" s="3">
        <f t="shared" si="499"/>
        <v>0</v>
      </c>
      <c r="AE884" s="3"/>
      <c r="AF884" s="3">
        <f t="shared" si="500"/>
        <v>0</v>
      </c>
      <c r="AG884" s="4"/>
      <c r="AH884" s="4"/>
      <c r="AI884" s="3"/>
      <c r="AJ884" s="3"/>
      <c r="AK884" s="3"/>
      <c r="AL884" s="3"/>
      <c r="AM884" s="3"/>
      <c r="AN884" s="3"/>
      <c r="AO884" s="3"/>
      <c r="AP884" s="4"/>
      <c r="AQ884" s="3"/>
      <c r="AR884" s="42"/>
      <c r="AS884" s="3"/>
      <c r="AT884" s="42"/>
      <c r="AU884" s="3"/>
      <c r="AV884" s="42"/>
      <c r="AW884" s="3"/>
      <c r="AX884" s="42"/>
      <c r="AY884" s="3"/>
      <c r="AZ884" s="42"/>
      <c r="BA884" s="3"/>
      <c r="BB884" s="42"/>
      <c r="BC884" s="3"/>
      <c r="BD884" s="42"/>
      <c r="BE884" s="3"/>
    </row>
    <row r="885" spans="1:57" hidden="1" outlineLevel="1" x14ac:dyDescent="0.25">
      <c r="A885" s="3" t="s">
        <v>646</v>
      </c>
      <c r="E885" s="3">
        <f t="shared" si="491"/>
        <v>0</v>
      </c>
      <c r="H885" s="3">
        <f t="shared" si="492"/>
        <v>0</v>
      </c>
      <c r="K885" s="4">
        <f t="shared" si="493"/>
        <v>0</v>
      </c>
      <c r="L885" s="4"/>
      <c r="N885" s="4">
        <f t="shared" si="494"/>
        <v>0</v>
      </c>
      <c r="P885" s="3">
        <v>25000</v>
      </c>
      <c r="S885" s="3">
        <f t="shared" si="495"/>
        <v>25000</v>
      </c>
      <c r="T885" s="3">
        <v>25000</v>
      </c>
      <c r="U885" s="3">
        <f t="shared" si="496"/>
        <v>0</v>
      </c>
      <c r="W885" s="3">
        <f t="shared" si="497"/>
        <v>0</v>
      </c>
      <c r="Y885" s="3">
        <v>0</v>
      </c>
      <c r="Z885" s="3">
        <f t="shared" si="498"/>
        <v>-25000</v>
      </c>
      <c r="AD885" s="3">
        <f t="shared" si="499"/>
        <v>0</v>
      </c>
      <c r="AF885" s="3">
        <f t="shared" si="500"/>
        <v>0</v>
      </c>
      <c r="AI885" s="3">
        <f>AA885-V885</f>
        <v>0</v>
      </c>
      <c r="BC885" s="3"/>
      <c r="BE885" s="3"/>
    </row>
    <row r="886" spans="1:57" s="77" customFormat="1" hidden="1" outlineLevel="1" x14ac:dyDescent="0.25">
      <c r="A886" s="3" t="s">
        <v>647</v>
      </c>
      <c r="B886" s="3"/>
      <c r="C886" s="3"/>
      <c r="D886" s="3"/>
      <c r="E886" s="3">
        <f t="shared" si="491"/>
        <v>0</v>
      </c>
      <c r="F886" s="3"/>
      <c r="G886" s="3"/>
      <c r="H886" s="3">
        <f t="shared" si="492"/>
        <v>0</v>
      </c>
      <c r="I886" s="3"/>
      <c r="J886" s="3"/>
      <c r="K886" s="4">
        <f t="shared" si="493"/>
        <v>0</v>
      </c>
      <c r="L886" s="4"/>
      <c r="M886" s="4"/>
      <c r="N886" s="4">
        <f t="shared" si="494"/>
        <v>0</v>
      </c>
      <c r="O886" s="3"/>
      <c r="P886" s="3">
        <v>5000</v>
      </c>
      <c r="Q886" s="3"/>
      <c r="R886" s="3"/>
      <c r="S886" s="3">
        <f t="shared" si="495"/>
        <v>5000</v>
      </c>
      <c r="T886" s="3">
        <v>5000</v>
      </c>
      <c r="U886" s="3">
        <f t="shared" si="496"/>
        <v>0</v>
      </c>
      <c r="V886" s="3"/>
      <c r="W886" s="3">
        <f t="shared" si="497"/>
        <v>0</v>
      </c>
      <c r="X886" s="3"/>
      <c r="Y886" s="3">
        <v>0</v>
      </c>
      <c r="Z886" s="3">
        <f t="shared" si="498"/>
        <v>-5000</v>
      </c>
      <c r="AA886" s="3"/>
      <c r="AB886" s="3"/>
      <c r="AC886" s="3"/>
      <c r="AD886" s="3">
        <f t="shared" si="499"/>
        <v>0</v>
      </c>
      <c r="AE886" s="3"/>
      <c r="AF886" s="3">
        <f t="shared" si="500"/>
        <v>0</v>
      </c>
      <c r="AG886" s="4"/>
      <c r="AH886" s="4"/>
      <c r="AI886" s="3">
        <f>AA886-V886</f>
        <v>0</v>
      </c>
      <c r="AJ886" s="3"/>
      <c r="AK886" s="3"/>
      <c r="AL886" s="3"/>
      <c r="AM886" s="3"/>
      <c r="AN886" s="3"/>
      <c r="AO886" s="3"/>
      <c r="AP886" s="4"/>
      <c r="AQ886" s="3"/>
      <c r="AR886" s="42"/>
      <c r="AS886" s="3"/>
      <c r="AT886" s="42"/>
      <c r="AU886" s="3"/>
      <c r="AV886" s="42"/>
      <c r="AW886" s="3"/>
      <c r="AX886" s="42"/>
      <c r="AY886" s="3"/>
      <c r="AZ886" s="42"/>
      <c r="BA886" s="3"/>
      <c r="BB886" s="42"/>
      <c r="BC886" s="3"/>
      <c r="BD886" s="42"/>
      <c r="BE886" s="3"/>
    </row>
    <row r="887" spans="1:57" s="77" customFormat="1" hidden="1" outlineLevel="1" x14ac:dyDescent="0.25">
      <c r="A887" s="3" t="s">
        <v>648</v>
      </c>
      <c r="B887" s="3"/>
      <c r="C887" s="3"/>
      <c r="D887" s="3"/>
      <c r="E887" s="3"/>
      <c r="F887" s="3"/>
      <c r="G887" s="3"/>
      <c r="H887" s="3"/>
      <c r="I887" s="3"/>
      <c r="J887" s="3"/>
      <c r="K887" s="4"/>
      <c r="L887" s="4"/>
      <c r="M887" s="4"/>
      <c r="N887" s="4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4"/>
      <c r="AH887" s="4"/>
      <c r="AI887" s="3">
        <v>240000</v>
      </c>
      <c r="AJ887" s="3"/>
      <c r="AK887" s="3"/>
      <c r="AL887" s="3"/>
      <c r="AM887" s="3"/>
      <c r="AN887" s="3"/>
      <c r="AO887" s="3"/>
      <c r="AP887" s="4"/>
      <c r="AQ887" s="3"/>
      <c r="AR887" s="42"/>
      <c r="AS887" s="3"/>
      <c r="AT887" s="42"/>
      <c r="AU887" s="3"/>
      <c r="AV887" s="42"/>
      <c r="AW887" s="3"/>
      <c r="AX887" s="42"/>
      <c r="AY887" s="3"/>
      <c r="AZ887" s="42"/>
      <c r="BA887" s="3"/>
      <c r="BB887" s="42"/>
      <c r="BC887" s="3"/>
      <c r="BD887" s="42"/>
      <c r="BE887" s="3"/>
    </row>
    <row r="888" spans="1:57" hidden="1" outlineLevel="1" x14ac:dyDescent="0.25">
      <c r="A888" s="3" t="s">
        <v>649</v>
      </c>
      <c r="D888" s="3">
        <v>4727</v>
      </c>
      <c r="E888" s="3">
        <f t="shared" si="491"/>
        <v>5273</v>
      </c>
      <c r="F888" s="3">
        <v>10000</v>
      </c>
      <c r="H888" s="3">
        <f t="shared" si="492"/>
        <v>10000</v>
      </c>
      <c r="K888" s="4">
        <f t="shared" si="493"/>
        <v>10000</v>
      </c>
      <c r="L888" s="4">
        <v>10000</v>
      </c>
      <c r="N888" s="4">
        <f t="shared" si="494"/>
        <v>0</v>
      </c>
      <c r="S888" s="3">
        <f t="shared" si="495"/>
        <v>0</v>
      </c>
      <c r="U888" s="3">
        <f t="shared" si="496"/>
        <v>0</v>
      </c>
      <c r="W888" s="3">
        <f t="shared" si="497"/>
        <v>0</v>
      </c>
      <c r="Z888" s="3">
        <f t="shared" si="498"/>
        <v>0</v>
      </c>
      <c r="AD888" s="3">
        <f t="shared" si="499"/>
        <v>0</v>
      </c>
      <c r="AF888" s="3">
        <f t="shared" si="500"/>
        <v>0</v>
      </c>
      <c r="BC888" s="3"/>
      <c r="BE888" s="3"/>
    </row>
    <row r="889" spans="1:57" s="77" customFormat="1" hidden="1" outlineLevel="1" x14ac:dyDescent="0.25">
      <c r="A889" s="3" t="s">
        <v>650</v>
      </c>
      <c r="B889" s="3"/>
      <c r="C889" s="3"/>
      <c r="D889" s="3"/>
      <c r="E889" s="3">
        <f t="shared" si="491"/>
        <v>0</v>
      </c>
      <c r="F889" s="3"/>
      <c r="G889" s="3"/>
      <c r="H889" s="3">
        <f t="shared" si="492"/>
        <v>0</v>
      </c>
      <c r="I889" s="3"/>
      <c r="J889" s="3"/>
      <c r="K889" s="4">
        <f t="shared" si="493"/>
        <v>0</v>
      </c>
      <c r="L889" s="4"/>
      <c r="M889" s="4"/>
      <c r="N889" s="4">
        <f t="shared" si="494"/>
        <v>0</v>
      </c>
      <c r="O889" s="3"/>
      <c r="P889" s="3"/>
      <c r="Q889" s="3"/>
      <c r="R889" s="3"/>
      <c r="S889" s="3">
        <f t="shared" si="495"/>
        <v>0</v>
      </c>
      <c r="T889" s="3"/>
      <c r="U889" s="3">
        <f t="shared" si="496"/>
        <v>0</v>
      </c>
      <c r="V889" s="3"/>
      <c r="W889" s="3">
        <f t="shared" si="497"/>
        <v>0</v>
      </c>
      <c r="X889" s="3"/>
      <c r="Y889" s="3"/>
      <c r="Z889" s="3">
        <f t="shared" si="498"/>
        <v>0</v>
      </c>
      <c r="AA889" s="3"/>
      <c r="AB889" s="3"/>
      <c r="AC889" s="3"/>
      <c r="AD889" s="3">
        <f t="shared" si="499"/>
        <v>0</v>
      </c>
      <c r="AE889" s="3"/>
      <c r="AF889" s="3">
        <f t="shared" si="500"/>
        <v>0</v>
      </c>
      <c r="AG889" s="4"/>
      <c r="AH889" s="4"/>
      <c r="AI889" s="3"/>
      <c r="AJ889" s="3"/>
      <c r="AK889" s="3"/>
      <c r="AL889" s="3"/>
      <c r="AM889" s="3"/>
      <c r="AN889" s="3"/>
      <c r="AO889" s="3"/>
      <c r="AP889" s="4"/>
      <c r="AQ889" s="3"/>
      <c r="AR889" s="42"/>
      <c r="AS889" s="3"/>
      <c r="AT889" s="42"/>
      <c r="AU889" s="3"/>
      <c r="AV889" s="42"/>
      <c r="AW889" s="3"/>
      <c r="AX889" s="42"/>
      <c r="AY889" s="3"/>
      <c r="AZ889" s="42"/>
      <c r="BA889" s="3"/>
      <c r="BB889" s="42"/>
      <c r="BC889" s="3"/>
      <c r="BD889" s="42"/>
      <c r="BE889" s="3"/>
    </row>
    <row r="890" spans="1:57" hidden="1" outlineLevel="1" x14ac:dyDescent="0.25">
      <c r="A890" s="3" t="s">
        <v>651</v>
      </c>
      <c r="E890" s="3">
        <f t="shared" si="491"/>
        <v>0</v>
      </c>
      <c r="H890" s="3">
        <f t="shared" si="492"/>
        <v>0</v>
      </c>
      <c r="K890" s="4">
        <f t="shared" si="493"/>
        <v>0</v>
      </c>
      <c r="L890" s="4"/>
      <c r="N890" s="4">
        <f t="shared" si="494"/>
        <v>0</v>
      </c>
      <c r="S890" s="3">
        <f t="shared" si="495"/>
        <v>0</v>
      </c>
      <c r="U890" s="3">
        <f t="shared" si="496"/>
        <v>0</v>
      </c>
      <c r="W890" s="3">
        <f t="shared" si="497"/>
        <v>0</v>
      </c>
      <c r="Z890" s="3">
        <f t="shared" si="498"/>
        <v>0</v>
      </c>
      <c r="AD890" s="3">
        <f t="shared" si="499"/>
        <v>0</v>
      </c>
      <c r="AF890" s="3">
        <f t="shared" si="500"/>
        <v>0</v>
      </c>
      <c r="BC890" s="3"/>
      <c r="BE890" s="3"/>
    </row>
    <row r="891" spans="1:57" s="77" customFormat="1" hidden="1" outlineLevel="1" x14ac:dyDescent="0.25">
      <c r="A891" s="3" t="s">
        <v>652</v>
      </c>
      <c r="B891" s="3"/>
      <c r="C891" s="3"/>
      <c r="D891" s="3"/>
      <c r="E891" s="3">
        <f t="shared" si="491"/>
        <v>0</v>
      </c>
      <c r="F891" s="3"/>
      <c r="G891" s="3"/>
      <c r="H891" s="3">
        <f t="shared" si="492"/>
        <v>0</v>
      </c>
      <c r="I891" s="3"/>
      <c r="J891" s="3"/>
      <c r="K891" s="4">
        <f t="shared" si="493"/>
        <v>0</v>
      </c>
      <c r="L891" s="4"/>
      <c r="M891" s="4"/>
      <c r="N891" s="4">
        <f t="shared" si="494"/>
        <v>0</v>
      </c>
      <c r="O891" s="3"/>
      <c r="P891" s="3"/>
      <c r="Q891" s="3"/>
      <c r="R891" s="3"/>
      <c r="S891" s="3">
        <f t="shared" si="495"/>
        <v>0</v>
      </c>
      <c r="T891" s="3"/>
      <c r="U891" s="3">
        <f t="shared" si="496"/>
        <v>0</v>
      </c>
      <c r="V891" s="3"/>
      <c r="W891" s="3">
        <f t="shared" si="497"/>
        <v>0</v>
      </c>
      <c r="X891" s="3"/>
      <c r="Y891" s="3"/>
      <c r="Z891" s="3">
        <f t="shared" si="498"/>
        <v>0</v>
      </c>
      <c r="AA891" s="3"/>
      <c r="AB891" s="3"/>
      <c r="AC891" s="3"/>
      <c r="AD891" s="3">
        <f t="shared" si="499"/>
        <v>0</v>
      </c>
      <c r="AE891" s="3"/>
      <c r="AF891" s="3">
        <f t="shared" si="500"/>
        <v>0</v>
      </c>
      <c r="AG891" s="4"/>
      <c r="AH891" s="4"/>
      <c r="AI891" s="3"/>
      <c r="AJ891" s="3"/>
      <c r="AK891" s="3"/>
      <c r="AL891" s="3"/>
      <c r="AM891" s="3"/>
      <c r="AN891" s="3"/>
      <c r="AO891" s="3"/>
      <c r="AP891" s="4"/>
      <c r="AQ891" s="3"/>
      <c r="AR891" s="42"/>
      <c r="AS891" s="3"/>
      <c r="AT891" s="42"/>
      <c r="AU891" s="3"/>
      <c r="AV891" s="42"/>
      <c r="AW891" s="3"/>
      <c r="AX891" s="42"/>
      <c r="AY891" s="3"/>
      <c r="AZ891" s="42"/>
      <c r="BA891" s="3"/>
      <c r="BB891" s="42"/>
      <c r="BC891" s="3"/>
      <c r="BD891" s="42"/>
      <c r="BE891" s="3"/>
    </row>
    <row r="892" spans="1:57" hidden="1" outlineLevel="1" x14ac:dyDescent="0.25">
      <c r="A892" s="3" t="s">
        <v>653</v>
      </c>
      <c r="B892" s="3">
        <v>20000</v>
      </c>
      <c r="E892" s="3">
        <f t="shared" si="491"/>
        <v>10000</v>
      </c>
      <c r="F892" s="3">
        <v>10000</v>
      </c>
      <c r="H892" s="3">
        <f t="shared" si="492"/>
        <v>-10000</v>
      </c>
      <c r="J892" s="3">
        <v>3418</v>
      </c>
      <c r="K892" s="4">
        <f t="shared" si="493"/>
        <v>6582</v>
      </c>
      <c r="L892" s="4">
        <v>10000</v>
      </c>
      <c r="N892" s="4">
        <f t="shared" si="494"/>
        <v>0</v>
      </c>
      <c r="P892" s="3">
        <v>55000</v>
      </c>
      <c r="R892" s="3">
        <v>2940</v>
      </c>
      <c r="S892" s="3">
        <f t="shared" si="495"/>
        <v>52060</v>
      </c>
      <c r="T892" s="3">
        <v>55000</v>
      </c>
      <c r="U892" s="3">
        <f t="shared" si="496"/>
        <v>0</v>
      </c>
      <c r="W892" s="3">
        <f t="shared" si="497"/>
        <v>0</v>
      </c>
      <c r="Y892" s="3">
        <v>0</v>
      </c>
      <c r="Z892" s="3">
        <f t="shared" si="498"/>
        <v>-55000</v>
      </c>
      <c r="AD892" s="3">
        <f t="shared" si="499"/>
        <v>0</v>
      </c>
      <c r="AF892" s="3">
        <f t="shared" si="500"/>
        <v>0</v>
      </c>
      <c r="BC892" s="3"/>
      <c r="BE892" s="3"/>
    </row>
    <row r="893" spans="1:57" s="77" customFormat="1" hidden="1" outlineLevel="1" x14ac:dyDescent="0.25">
      <c r="A893" s="3" t="s">
        <v>654</v>
      </c>
      <c r="B893" s="3"/>
      <c r="C893" s="3"/>
      <c r="D893" s="3"/>
      <c r="E893" s="3">
        <f t="shared" si="491"/>
        <v>0</v>
      </c>
      <c r="F893" s="3"/>
      <c r="G893" s="3"/>
      <c r="H893" s="3">
        <f t="shared" si="492"/>
        <v>0</v>
      </c>
      <c r="I893" s="3"/>
      <c r="J893" s="3"/>
      <c r="K893" s="4">
        <f t="shared" si="493"/>
        <v>0</v>
      </c>
      <c r="L893" s="4"/>
      <c r="M893" s="4"/>
      <c r="N893" s="4">
        <f t="shared" si="494"/>
        <v>0</v>
      </c>
      <c r="O893" s="3"/>
      <c r="P893" s="3">
        <v>15000</v>
      </c>
      <c r="Q893" s="3"/>
      <c r="R893" s="3"/>
      <c r="S893" s="3">
        <f t="shared" si="495"/>
        <v>15000</v>
      </c>
      <c r="T893" s="3">
        <v>15000</v>
      </c>
      <c r="U893" s="3">
        <f t="shared" si="496"/>
        <v>0</v>
      </c>
      <c r="V893" s="3"/>
      <c r="W893" s="3">
        <f t="shared" si="497"/>
        <v>0</v>
      </c>
      <c r="X893" s="3"/>
      <c r="Y893" s="3">
        <v>0</v>
      </c>
      <c r="Z893" s="3">
        <f t="shared" si="498"/>
        <v>-15000</v>
      </c>
      <c r="AA893" s="3"/>
      <c r="AB893" s="3"/>
      <c r="AC893" s="3"/>
      <c r="AD893" s="3">
        <f t="shared" si="499"/>
        <v>0</v>
      </c>
      <c r="AE893" s="3"/>
      <c r="AF893" s="3">
        <f t="shared" si="500"/>
        <v>0</v>
      </c>
      <c r="AG893" s="4"/>
      <c r="AH893" s="4"/>
      <c r="AI893" s="3"/>
      <c r="AJ893" s="3"/>
      <c r="AK893" s="3"/>
      <c r="AL893" s="3"/>
      <c r="AM893" s="3"/>
      <c r="AN893" s="3"/>
      <c r="AO893" s="3"/>
      <c r="AP893" s="4"/>
      <c r="AQ893" s="3"/>
      <c r="AR893" s="42"/>
      <c r="AS893" s="3"/>
      <c r="AT893" s="42"/>
      <c r="AU893" s="3"/>
      <c r="AV893" s="42"/>
      <c r="AW893" s="3"/>
      <c r="AX893" s="42"/>
      <c r="AY893" s="3"/>
      <c r="AZ893" s="42"/>
      <c r="BA893" s="3"/>
      <c r="BB893" s="42"/>
      <c r="BC893" s="3"/>
      <c r="BD893" s="42"/>
      <c r="BE893" s="3"/>
    </row>
    <row r="894" spans="1:57" hidden="1" outlineLevel="1" x14ac:dyDescent="0.25">
      <c r="A894" s="3" t="s">
        <v>655</v>
      </c>
      <c r="E894" s="3">
        <f t="shared" si="491"/>
        <v>0</v>
      </c>
      <c r="H894" s="3">
        <f t="shared" si="492"/>
        <v>0</v>
      </c>
      <c r="K894" s="4">
        <f t="shared" si="493"/>
        <v>0</v>
      </c>
      <c r="L894" s="4"/>
      <c r="N894" s="4">
        <f t="shared" si="494"/>
        <v>0</v>
      </c>
      <c r="S894" s="3">
        <f t="shared" si="495"/>
        <v>0</v>
      </c>
      <c r="U894" s="3">
        <f t="shared" si="496"/>
        <v>0</v>
      </c>
      <c r="W894" s="3">
        <f t="shared" si="497"/>
        <v>0</v>
      </c>
      <c r="Z894" s="3">
        <f t="shared" si="498"/>
        <v>0</v>
      </c>
      <c r="AD894" s="3">
        <f t="shared" si="499"/>
        <v>0</v>
      </c>
      <c r="AF894" s="3">
        <f t="shared" si="500"/>
        <v>0</v>
      </c>
      <c r="BC894" s="3"/>
      <c r="BE894" s="3"/>
    </row>
    <row r="895" spans="1:57" hidden="1" outlineLevel="1" x14ac:dyDescent="0.25">
      <c r="A895" s="3" t="s">
        <v>656</v>
      </c>
      <c r="E895" s="3">
        <f t="shared" si="491"/>
        <v>0</v>
      </c>
      <c r="H895" s="3">
        <f t="shared" si="492"/>
        <v>0</v>
      </c>
      <c r="K895" s="4">
        <f t="shared" si="493"/>
        <v>0</v>
      </c>
      <c r="L895" s="4"/>
      <c r="N895" s="4">
        <f t="shared" si="494"/>
        <v>0</v>
      </c>
      <c r="S895" s="3">
        <f t="shared" si="495"/>
        <v>0</v>
      </c>
      <c r="U895" s="3">
        <f t="shared" si="496"/>
        <v>0</v>
      </c>
      <c r="W895" s="3">
        <f t="shared" si="497"/>
        <v>0</v>
      </c>
      <c r="Z895" s="3">
        <f t="shared" si="498"/>
        <v>0</v>
      </c>
      <c r="AD895" s="3">
        <f t="shared" si="499"/>
        <v>0</v>
      </c>
      <c r="AF895" s="3">
        <f t="shared" si="500"/>
        <v>0</v>
      </c>
      <c r="BC895" s="3"/>
      <c r="BE895" s="3"/>
    </row>
    <row r="896" spans="1:57" hidden="1" outlineLevel="1" x14ac:dyDescent="0.25">
      <c r="A896" s="3" t="s">
        <v>657</v>
      </c>
      <c r="E896" s="3">
        <f t="shared" si="491"/>
        <v>0</v>
      </c>
      <c r="H896" s="3">
        <f t="shared" si="492"/>
        <v>0</v>
      </c>
      <c r="K896" s="4">
        <f t="shared" si="493"/>
        <v>0</v>
      </c>
      <c r="L896" s="4"/>
      <c r="N896" s="4">
        <f t="shared" si="494"/>
        <v>0</v>
      </c>
      <c r="S896" s="3">
        <f t="shared" si="495"/>
        <v>0</v>
      </c>
      <c r="U896" s="3">
        <f t="shared" si="496"/>
        <v>0</v>
      </c>
      <c r="W896" s="3">
        <f t="shared" si="497"/>
        <v>0</v>
      </c>
      <c r="Z896" s="3">
        <f t="shared" si="498"/>
        <v>0</v>
      </c>
      <c r="AD896" s="3">
        <f t="shared" si="499"/>
        <v>0</v>
      </c>
      <c r="AF896" s="3">
        <f t="shared" si="500"/>
        <v>0</v>
      </c>
      <c r="BC896" s="3"/>
      <c r="BE896" s="3"/>
    </row>
    <row r="897" spans="1:57" s="77" customFormat="1" hidden="1" outlineLevel="1" x14ac:dyDescent="0.25">
      <c r="A897" s="3" t="s">
        <v>658</v>
      </c>
      <c r="B897" s="3"/>
      <c r="C897" s="3"/>
      <c r="D897" s="3"/>
      <c r="E897" s="3">
        <f t="shared" si="491"/>
        <v>0</v>
      </c>
      <c r="F897" s="3"/>
      <c r="G897" s="3"/>
      <c r="H897" s="3">
        <f t="shared" si="492"/>
        <v>0</v>
      </c>
      <c r="I897" s="3"/>
      <c r="J897" s="3"/>
      <c r="K897" s="4">
        <f t="shared" si="493"/>
        <v>0</v>
      </c>
      <c r="L897" s="4"/>
      <c r="M897" s="4"/>
      <c r="N897" s="4">
        <f t="shared" si="494"/>
        <v>0</v>
      </c>
      <c r="O897" s="3"/>
      <c r="P897" s="3"/>
      <c r="Q897" s="3"/>
      <c r="R897" s="3"/>
      <c r="S897" s="3">
        <f t="shared" si="495"/>
        <v>0</v>
      </c>
      <c r="T897" s="3"/>
      <c r="U897" s="3">
        <f t="shared" si="496"/>
        <v>0</v>
      </c>
      <c r="V897" s="3"/>
      <c r="W897" s="3">
        <f t="shared" si="497"/>
        <v>0</v>
      </c>
      <c r="X897" s="3"/>
      <c r="Y897" s="3"/>
      <c r="Z897" s="3">
        <f t="shared" si="498"/>
        <v>0</v>
      </c>
      <c r="AA897" s="3"/>
      <c r="AB897" s="3"/>
      <c r="AC897" s="3"/>
      <c r="AD897" s="3">
        <f t="shared" si="499"/>
        <v>0</v>
      </c>
      <c r="AE897" s="3"/>
      <c r="AF897" s="3">
        <f t="shared" si="500"/>
        <v>0</v>
      </c>
      <c r="AG897" s="4"/>
      <c r="AH897" s="4"/>
      <c r="AI897" s="3"/>
      <c r="AJ897" s="3"/>
      <c r="AK897" s="3"/>
      <c r="AL897" s="3"/>
      <c r="AM897" s="3"/>
      <c r="AN897" s="3"/>
      <c r="AO897" s="3"/>
      <c r="AP897" s="4"/>
      <c r="AQ897" s="3"/>
      <c r="AR897" s="42"/>
      <c r="AS897" s="3"/>
      <c r="AT897" s="42"/>
      <c r="AU897" s="3"/>
      <c r="AV897" s="42"/>
      <c r="AW897" s="3"/>
      <c r="AX897" s="42"/>
      <c r="AY897" s="3"/>
      <c r="AZ897" s="42"/>
      <c r="BA897" s="3"/>
      <c r="BB897" s="42"/>
      <c r="BC897" s="3"/>
      <c r="BD897" s="42"/>
      <c r="BE897" s="3"/>
    </row>
    <row r="898" spans="1:57" hidden="1" outlineLevel="1" x14ac:dyDescent="0.25">
      <c r="A898" s="3" t="s">
        <v>659</v>
      </c>
      <c r="E898" s="3">
        <f t="shared" si="491"/>
        <v>0</v>
      </c>
      <c r="H898" s="3">
        <f t="shared" si="492"/>
        <v>0</v>
      </c>
      <c r="K898" s="4">
        <f t="shared" si="493"/>
        <v>0</v>
      </c>
      <c r="L898" s="4"/>
      <c r="N898" s="4">
        <f t="shared" si="494"/>
        <v>0</v>
      </c>
      <c r="S898" s="3">
        <f t="shared" si="495"/>
        <v>0</v>
      </c>
      <c r="U898" s="3">
        <f t="shared" si="496"/>
        <v>0</v>
      </c>
      <c r="W898" s="3">
        <f t="shared" si="497"/>
        <v>0</v>
      </c>
      <c r="Z898" s="3">
        <f t="shared" si="498"/>
        <v>0</v>
      </c>
      <c r="AD898" s="3">
        <f t="shared" si="499"/>
        <v>0</v>
      </c>
      <c r="AF898" s="3">
        <f t="shared" si="500"/>
        <v>0</v>
      </c>
      <c r="BC898" s="3"/>
      <c r="BE898" s="3"/>
    </row>
    <row r="899" spans="1:57" s="77" customFormat="1" hidden="1" outlineLevel="1" x14ac:dyDescent="0.25">
      <c r="A899" s="3" t="s">
        <v>660</v>
      </c>
      <c r="B899" s="3"/>
      <c r="C899" s="3"/>
      <c r="D899" s="3"/>
      <c r="E899" s="3">
        <f t="shared" si="491"/>
        <v>0</v>
      </c>
      <c r="F899" s="3"/>
      <c r="G899" s="3"/>
      <c r="H899" s="3">
        <f t="shared" si="492"/>
        <v>0</v>
      </c>
      <c r="I899" s="3"/>
      <c r="J899" s="3"/>
      <c r="K899" s="4">
        <f t="shared" si="493"/>
        <v>0</v>
      </c>
      <c r="L899" s="4"/>
      <c r="M899" s="4"/>
      <c r="N899" s="4">
        <f t="shared" si="494"/>
        <v>0</v>
      </c>
      <c r="O899" s="3"/>
      <c r="P899" s="3"/>
      <c r="Q899" s="3"/>
      <c r="R899" s="3"/>
      <c r="S899" s="3">
        <f t="shared" si="495"/>
        <v>0</v>
      </c>
      <c r="T899" s="3"/>
      <c r="U899" s="3">
        <f t="shared" si="496"/>
        <v>0</v>
      </c>
      <c r="V899" s="3"/>
      <c r="W899" s="3">
        <f t="shared" si="497"/>
        <v>0</v>
      </c>
      <c r="X899" s="3"/>
      <c r="Y899" s="3"/>
      <c r="Z899" s="3">
        <f t="shared" si="498"/>
        <v>0</v>
      </c>
      <c r="AA899" s="3"/>
      <c r="AB899" s="3"/>
      <c r="AC899" s="3"/>
      <c r="AD899" s="3">
        <f t="shared" si="499"/>
        <v>0</v>
      </c>
      <c r="AE899" s="3"/>
      <c r="AF899" s="3">
        <f t="shared" si="500"/>
        <v>0</v>
      </c>
      <c r="AG899" s="4"/>
      <c r="AH899" s="4"/>
      <c r="AI899" s="3"/>
      <c r="AJ899" s="3"/>
      <c r="AK899" s="3"/>
      <c r="AL899" s="3"/>
      <c r="AM899" s="3"/>
      <c r="AN899" s="3"/>
      <c r="AO899" s="3"/>
      <c r="AP899" s="4"/>
      <c r="AQ899" s="3"/>
      <c r="AR899" s="42"/>
      <c r="AS899" s="3"/>
      <c r="AT899" s="42"/>
      <c r="AU899" s="3"/>
      <c r="AV899" s="42"/>
      <c r="AW899" s="3"/>
      <c r="AX899" s="42"/>
      <c r="AY899" s="3"/>
      <c r="AZ899" s="42"/>
      <c r="BA899" s="3"/>
      <c r="BB899" s="42"/>
      <c r="BC899" s="3"/>
      <c r="BD899" s="42"/>
      <c r="BE899" s="3"/>
    </row>
    <row r="900" spans="1:57" hidden="1" outlineLevel="1" x14ac:dyDescent="0.25">
      <c r="A900" s="3" t="s">
        <v>661</v>
      </c>
      <c r="B900" s="3">
        <v>15000</v>
      </c>
      <c r="E900" s="3">
        <f t="shared" si="491"/>
        <v>15000</v>
      </c>
      <c r="F900" s="3">
        <v>15000</v>
      </c>
      <c r="H900" s="3">
        <f t="shared" si="492"/>
        <v>0</v>
      </c>
      <c r="J900" s="3">
        <v>4862</v>
      </c>
      <c r="K900" s="4">
        <f t="shared" si="493"/>
        <v>10138</v>
      </c>
      <c r="L900" s="4">
        <v>15000</v>
      </c>
      <c r="N900" s="4">
        <f t="shared" si="494"/>
        <v>0</v>
      </c>
      <c r="S900" s="3">
        <f t="shared" si="495"/>
        <v>0</v>
      </c>
      <c r="U900" s="3">
        <f t="shared" si="496"/>
        <v>0</v>
      </c>
      <c r="W900" s="3">
        <f t="shared" si="497"/>
        <v>0</v>
      </c>
      <c r="Z900" s="3">
        <f t="shared" si="498"/>
        <v>0</v>
      </c>
      <c r="AD900" s="3">
        <f t="shared" si="499"/>
        <v>0</v>
      </c>
      <c r="AF900" s="3">
        <f t="shared" si="500"/>
        <v>0</v>
      </c>
      <c r="BC900" s="3"/>
      <c r="BE900" s="3"/>
    </row>
    <row r="901" spans="1:57" s="77" customFormat="1" hidden="1" outlineLevel="1" x14ac:dyDescent="0.25">
      <c r="A901" s="3" t="s">
        <v>662</v>
      </c>
      <c r="B901" s="3"/>
      <c r="C901" s="3"/>
      <c r="D901" s="3"/>
      <c r="E901" s="3">
        <f t="shared" si="491"/>
        <v>0</v>
      </c>
      <c r="F901" s="3"/>
      <c r="G901" s="3"/>
      <c r="H901" s="3">
        <f t="shared" si="492"/>
        <v>0</v>
      </c>
      <c r="I901" s="3"/>
      <c r="J901" s="3"/>
      <c r="K901" s="4">
        <f t="shared" si="493"/>
        <v>0</v>
      </c>
      <c r="L901" s="4"/>
      <c r="M901" s="4"/>
      <c r="N901" s="4">
        <f t="shared" si="494"/>
        <v>0</v>
      </c>
      <c r="O901" s="3"/>
      <c r="P901" s="3"/>
      <c r="Q901" s="3"/>
      <c r="R901" s="3"/>
      <c r="S901" s="3">
        <f t="shared" si="495"/>
        <v>0</v>
      </c>
      <c r="T901" s="3"/>
      <c r="U901" s="3">
        <f t="shared" si="496"/>
        <v>0</v>
      </c>
      <c r="V901" s="3"/>
      <c r="W901" s="3">
        <f t="shared" si="497"/>
        <v>0</v>
      </c>
      <c r="X901" s="3"/>
      <c r="Y901" s="3"/>
      <c r="Z901" s="3">
        <f t="shared" si="498"/>
        <v>0</v>
      </c>
      <c r="AA901" s="3"/>
      <c r="AB901" s="3"/>
      <c r="AC901" s="3"/>
      <c r="AD901" s="3">
        <f t="shared" si="499"/>
        <v>0</v>
      </c>
      <c r="AE901" s="3"/>
      <c r="AF901" s="3">
        <f t="shared" si="500"/>
        <v>0</v>
      </c>
      <c r="AG901" s="4"/>
      <c r="AH901" s="4"/>
      <c r="AI901" s="3"/>
      <c r="AJ901" s="3"/>
      <c r="AK901" s="3"/>
      <c r="AL901" s="3"/>
      <c r="AM901" s="3"/>
      <c r="AN901" s="3"/>
      <c r="AO901" s="3"/>
      <c r="AP901" s="4"/>
      <c r="AQ901" s="3"/>
      <c r="AR901" s="42"/>
      <c r="AS901" s="3"/>
      <c r="AT901" s="42"/>
      <c r="AU901" s="3"/>
      <c r="AV901" s="42"/>
      <c r="AW901" s="3"/>
      <c r="AX901" s="42"/>
      <c r="AY901" s="3"/>
      <c r="AZ901" s="42"/>
      <c r="BA901" s="3"/>
      <c r="BB901" s="42"/>
      <c r="BC901" s="3"/>
      <c r="BD901" s="42"/>
      <c r="BE901" s="3"/>
    </row>
    <row r="902" spans="1:57" hidden="1" outlineLevel="1" x14ac:dyDescent="0.25">
      <c r="A902" s="3" t="s">
        <v>663</v>
      </c>
      <c r="E902" s="3">
        <f t="shared" si="491"/>
        <v>0</v>
      </c>
      <c r="H902" s="3">
        <f t="shared" si="492"/>
        <v>0</v>
      </c>
      <c r="K902" s="4">
        <f t="shared" si="493"/>
        <v>0</v>
      </c>
      <c r="L902" s="4"/>
      <c r="N902" s="4">
        <f t="shared" si="494"/>
        <v>0</v>
      </c>
      <c r="S902" s="3">
        <f t="shared" si="495"/>
        <v>0</v>
      </c>
      <c r="U902" s="3">
        <f t="shared" si="496"/>
        <v>0</v>
      </c>
      <c r="W902" s="3">
        <f t="shared" si="497"/>
        <v>0</v>
      </c>
      <c r="Z902" s="3">
        <f t="shared" si="498"/>
        <v>0</v>
      </c>
      <c r="AD902" s="3">
        <f t="shared" si="499"/>
        <v>0</v>
      </c>
      <c r="AF902" s="3">
        <f t="shared" si="500"/>
        <v>0</v>
      </c>
      <c r="BC902" s="3"/>
      <c r="BE902" s="3"/>
    </row>
    <row r="903" spans="1:57" s="77" customFormat="1" hidden="1" outlineLevel="1" x14ac:dyDescent="0.25">
      <c r="A903" s="3" t="s">
        <v>664</v>
      </c>
      <c r="B903" s="3"/>
      <c r="C903" s="3"/>
      <c r="D903" s="3"/>
      <c r="E903" s="3">
        <f t="shared" ref="E903:E928" si="501">F903-D903</f>
        <v>0</v>
      </c>
      <c r="F903" s="3"/>
      <c r="G903" s="3"/>
      <c r="H903" s="3">
        <f t="shared" ref="H903:H928" si="502">F903-B903</f>
        <v>0</v>
      </c>
      <c r="I903" s="3"/>
      <c r="J903" s="3"/>
      <c r="K903" s="4">
        <f t="shared" ref="K903:K973" si="503">L903-J903</f>
        <v>0</v>
      </c>
      <c r="L903" s="4"/>
      <c r="M903" s="4"/>
      <c r="N903" s="4">
        <f t="shared" ref="N903:N973" si="504">L903-F903</f>
        <v>0</v>
      </c>
      <c r="O903" s="3"/>
      <c r="P903" s="3"/>
      <c r="Q903" s="3"/>
      <c r="R903" s="3"/>
      <c r="S903" s="3">
        <f t="shared" si="495"/>
        <v>0</v>
      </c>
      <c r="T903" s="3"/>
      <c r="U903" s="3">
        <f t="shared" si="496"/>
        <v>0</v>
      </c>
      <c r="V903" s="3"/>
      <c r="W903" s="3">
        <f t="shared" si="497"/>
        <v>0</v>
      </c>
      <c r="X903" s="3"/>
      <c r="Y903" s="3"/>
      <c r="Z903" s="3">
        <f t="shared" ref="Z903:Z966" si="505">Y903-T903</f>
        <v>0</v>
      </c>
      <c r="AA903" s="3"/>
      <c r="AB903" s="3"/>
      <c r="AC903" s="3"/>
      <c r="AD903" s="3">
        <f t="shared" si="499"/>
        <v>0</v>
      </c>
      <c r="AE903" s="3"/>
      <c r="AF903" s="3">
        <f t="shared" si="500"/>
        <v>0</v>
      </c>
      <c r="AG903" s="4"/>
      <c r="AH903" s="4"/>
      <c r="AI903" s="3"/>
      <c r="AJ903" s="3"/>
      <c r="AK903" s="3"/>
      <c r="AL903" s="3"/>
      <c r="AM903" s="3"/>
      <c r="AN903" s="3"/>
      <c r="AO903" s="3"/>
      <c r="AP903" s="4"/>
      <c r="AQ903" s="3"/>
      <c r="AR903" s="42"/>
      <c r="AS903" s="3"/>
      <c r="AT903" s="42"/>
      <c r="AU903" s="3"/>
      <c r="AV903" s="42"/>
      <c r="AW903" s="3"/>
      <c r="AX903" s="42"/>
      <c r="AY903" s="3"/>
      <c r="AZ903" s="42"/>
      <c r="BA903" s="3"/>
      <c r="BB903" s="42"/>
      <c r="BC903" s="3"/>
      <c r="BD903" s="42"/>
      <c r="BE903" s="3"/>
    </row>
    <row r="904" spans="1:57" hidden="1" outlineLevel="1" x14ac:dyDescent="0.25">
      <c r="A904" s="3" t="s">
        <v>665</v>
      </c>
      <c r="E904" s="3">
        <f t="shared" si="501"/>
        <v>0</v>
      </c>
      <c r="H904" s="3">
        <f t="shared" si="502"/>
        <v>0</v>
      </c>
      <c r="K904" s="4">
        <f t="shared" si="503"/>
        <v>0</v>
      </c>
      <c r="L904" s="4"/>
      <c r="N904" s="4">
        <f t="shared" si="504"/>
        <v>0</v>
      </c>
      <c r="P904" s="3">
        <v>10000</v>
      </c>
      <c r="S904" s="3">
        <f t="shared" si="495"/>
        <v>5000</v>
      </c>
      <c r="T904" s="3">
        <v>5000</v>
      </c>
      <c r="U904" s="3">
        <f t="shared" si="496"/>
        <v>-5000</v>
      </c>
      <c r="W904" s="3">
        <f t="shared" si="497"/>
        <v>5000</v>
      </c>
      <c r="Y904" s="3">
        <v>5000</v>
      </c>
      <c r="Z904" s="3">
        <f t="shared" si="505"/>
        <v>0</v>
      </c>
      <c r="AD904" s="3">
        <f t="shared" si="499"/>
        <v>5000</v>
      </c>
      <c r="AE904" s="3">
        <v>5000</v>
      </c>
      <c r="AF904" s="3">
        <f t="shared" si="500"/>
        <v>0</v>
      </c>
      <c r="BC904" s="3"/>
      <c r="BE904" s="3"/>
    </row>
    <row r="905" spans="1:57" s="77" customFormat="1" hidden="1" outlineLevel="1" x14ac:dyDescent="0.25">
      <c r="A905" s="3" t="s">
        <v>666</v>
      </c>
      <c r="B905" s="3"/>
      <c r="C905" s="3"/>
      <c r="D905" s="3"/>
      <c r="E905" s="3">
        <f t="shared" si="501"/>
        <v>0</v>
      </c>
      <c r="F905" s="3"/>
      <c r="G905" s="3"/>
      <c r="H905" s="3">
        <f t="shared" si="502"/>
        <v>0</v>
      </c>
      <c r="I905" s="3"/>
      <c r="J905" s="3"/>
      <c r="K905" s="4">
        <f t="shared" si="503"/>
        <v>0</v>
      </c>
      <c r="L905" s="4"/>
      <c r="M905" s="4"/>
      <c r="N905" s="4">
        <f t="shared" si="504"/>
        <v>0</v>
      </c>
      <c r="O905" s="3"/>
      <c r="P905" s="3">
        <v>4000</v>
      </c>
      <c r="Q905" s="3"/>
      <c r="R905" s="3"/>
      <c r="S905" s="3">
        <f t="shared" si="495"/>
        <v>2000</v>
      </c>
      <c r="T905" s="3">
        <v>2000</v>
      </c>
      <c r="U905" s="3">
        <f t="shared" si="496"/>
        <v>-2000</v>
      </c>
      <c r="V905" s="3"/>
      <c r="W905" s="3">
        <f t="shared" si="497"/>
        <v>2000</v>
      </c>
      <c r="X905" s="3"/>
      <c r="Y905" s="3">
        <v>2000</v>
      </c>
      <c r="Z905" s="3">
        <f t="shared" si="505"/>
        <v>0</v>
      </c>
      <c r="AA905" s="3"/>
      <c r="AB905" s="3"/>
      <c r="AC905" s="3"/>
      <c r="AD905" s="3">
        <f t="shared" si="499"/>
        <v>2000</v>
      </c>
      <c r="AE905" s="3">
        <v>2000</v>
      </c>
      <c r="AF905" s="3">
        <f t="shared" si="500"/>
        <v>0</v>
      </c>
      <c r="AG905" s="4"/>
      <c r="AH905" s="4"/>
      <c r="AI905" s="3"/>
      <c r="AJ905" s="3"/>
      <c r="AK905" s="3"/>
      <c r="AL905" s="3"/>
      <c r="AM905" s="3"/>
      <c r="AN905" s="3"/>
      <c r="AO905" s="3"/>
      <c r="AP905" s="4"/>
      <c r="AQ905" s="3"/>
      <c r="AR905" s="42"/>
      <c r="AS905" s="3"/>
      <c r="AT905" s="42"/>
      <c r="AU905" s="3"/>
      <c r="AV905" s="42"/>
      <c r="AW905" s="3"/>
      <c r="AX905" s="42"/>
      <c r="AY905" s="3"/>
      <c r="AZ905" s="42"/>
      <c r="BA905" s="3"/>
      <c r="BB905" s="42"/>
      <c r="BC905" s="3"/>
      <c r="BD905" s="42"/>
      <c r="BE905" s="3"/>
    </row>
    <row r="906" spans="1:57" s="77" customFormat="1" hidden="1" outlineLevel="1" x14ac:dyDescent="0.25">
      <c r="A906" s="3" t="s">
        <v>667</v>
      </c>
      <c r="B906" s="3"/>
      <c r="C906" s="3"/>
      <c r="D906" s="3">
        <v>8436</v>
      </c>
      <c r="E906" s="3">
        <f t="shared" si="501"/>
        <v>11564</v>
      </c>
      <c r="F906" s="3">
        <v>20000</v>
      </c>
      <c r="G906" s="3"/>
      <c r="H906" s="3">
        <f t="shared" si="502"/>
        <v>20000</v>
      </c>
      <c r="I906" s="3"/>
      <c r="J906" s="3">
        <v>20000</v>
      </c>
      <c r="K906" s="4">
        <f t="shared" si="503"/>
        <v>0</v>
      </c>
      <c r="L906" s="4">
        <v>20000</v>
      </c>
      <c r="M906" s="4"/>
      <c r="N906" s="4">
        <f t="shared" si="504"/>
        <v>0</v>
      </c>
      <c r="O906" s="3"/>
      <c r="P906" s="3"/>
      <c r="Q906" s="3"/>
      <c r="R906" s="3"/>
      <c r="S906" s="3">
        <f t="shared" ref="S906:S973" si="506">T906-R906</f>
        <v>0</v>
      </c>
      <c r="T906" s="3"/>
      <c r="U906" s="3">
        <f t="shared" ref="U906:U973" si="507">T906-P906</f>
        <v>0</v>
      </c>
      <c r="V906" s="3"/>
      <c r="W906" s="3">
        <f t="shared" ref="W906:W973" si="508">Y906-V906</f>
        <v>0</v>
      </c>
      <c r="X906" s="3"/>
      <c r="Y906" s="3"/>
      <c r="Z906" s="3">
        <f t="shared" si="505"/>
        <v>0</v>
      </c>
      <c r="AA906" s="3"/>
      <c r="AB906" s="3"/>
      <c r="AC906" s="3"/>
      <c r="AD906" s="3">
        <f t="shared" ref="AD906:AD973" si="509">AE906-AC906</f>
        <v>0</v>
      </c>
      <c r="AE906" s="3"/>
      <c r="AF906" s="3">
        <f t="shared" ref="AF906:AF973" si="510">AE906-Y906</f>
        <v>0</v>
      </c>
      <c r="AG906" s="4"/>
      <c r="AH906" s="4"/>
      <c r="AI906" s="3"/>
      <c r="AJ906" s="3"/>
      <c r="AK906" s="3"/>
      <c r="AL906" s="3"/>
      <c r="AM906" s="3"/>
      <c r="AN906" s="3"/>
      <c r="AO906" s="3"/>
      <c r="AP906" s="4"/>
      <c r="AQ906" s="3"/>
      <c r="AR906" s="42"/>
      <c r="AS906" s="3"/>
      <c r="AT906" s="42"/>
      <c r="AU906" s="3"/>
      <c r="AV906" s="42"/>
      <c r="AW906" s="3"/>
      <c r="AX906" s="42"/>
      <c r="AY906" s="3"/>
      <c r="AZ906" s="42"/>
      <c r="BA906" s="3"/>
      <c r="BB906" s="42"/>
      <c r="BC906" s="3"/>
      <c r="BD906" s="42"/>
      <c r="BE906" s="3"/>
    </row>
    <row r="907" spans="1:57" hidden="1" outlineLevel="1" x14ac:dyDescent="0.25">
      <c r="A907" s="3" t="s">
        <v>668</v>
      </c>
      <c r="E907" s="3">
        <f t="shared" si="501"/>
        <v>0</v>
      </c>
      <c r="H907" s="3">
        <f t="shared" si="502"/>
        <v>0</v>
      </c>
      <c r="K907" s="4">
        <f t="shared" si="503"/>
        <v>0</v>
      </c>
      <c r="L907" s="4"/>
      <c r="N907" s="4">
        <f t="shared" si="504"/>
        <v>0</v>
      </c>
      <c r="S907" s="3">
        <f t="shared" si="506"/>
        <v>0</v>
      </c>
      <c r="U907" s="3">
        <f t="shared" si="507"/>
        <v>0</v>
      </c>
      <c r="W907" s="3">
        <f t="shared" si="508"/>
        <v>0</v>
      </c>
      <c r="Z907" s="3">
        <f t="shared" si="505"/>
        <v>0</v>
      </c>
      <c r="AD907" s="3">
        <f t="shared" si="509"/>
        <v>0</v>
      </c>
      <c r="AF907" s="3">
        <f t="shared" si="510"/>
        <v>0</v>
      </c>
      <c r="AI907" s="3">
        <v>5000</v>
      </c>
      <c r="BC907" s="3"/>
      <c r="BE907" s="3"/>
    </row>
    <row r="908" spans="1:57" s="77" customFormat="1" hidden="1" outlineLevel="1" x14ac:dyDescent="0.25">
      <c r="A908" s="3" t="s">
        <v>669</v>
      </c>
      <c r="B908" s="3"/>
      <c r="C908" s="3"/>
      <c r="D908" s="3"/>
      <c r="E908" s="3">
        <f t="shared" si="501"/>
        <v>0</v>
      </c>
      <c r="F908" s="3"/>
      <c r="G908" s="3"/>
      <c r="H908" s="3">
        <f t="shared" si="502"/>
        <v>0</v>
      </c>
      <c r="I908" s="3"/>
      <c r="J908" s="3"/>
      <c r="K908" s="4">
        <f t="shared" si="503"/>
        <v>0</v>
      </c>
      <c r="L908" s="4"/>
      <c r="M908" s="4"/>
      <c r="N908" s="4">
        <f t="shared" si="504"/>
        <v>0</v>
      </c>
      <c r="O908" s="3"/>
      <c r="P908" s="3"/>
      <c r="Q908" s="3"/>
      <c r="R908" s="3"/>
      <c r="S908" s="3">
        <f t="shared" si="506"/>
        <v>0</v>
      </c>
      <c r="T908" s="3"/>
      <c r="U908" s="3">
        <f t="shared" si="507"/>
        <v>0</v>
      </c>
      <c r="V908" s="3"/>
      <c r="W908" s="3">
        <f t="shared" si="508"/>
        <v>0</v>
      </c>
      <c r="X908" s="3"/>
      <c r="Y908" s="3"/>
      <c r="Z908" s="3">
        <f t="shared" si="505"/>
        <v>0</v>
      </c>
      <c r="AA908" s="3"/>
      <c r="AB908" s="3"/>
      <c r="AC908" s="3"/>
      <c r="AD908" s="3">
        <f t="shared" si="509"/>
        <v>0</v>
      </c>
      <c r="AE908" s="3"/>
      <c r="AF908" s="3">
        <f t="shared" si="510"/>
        <v>0</v>
      </c>
      <c r="AG908" s="4"/>
      <c r="AH908" s="4"/>
      <c r="AI908" s="3"/>
      <c r="AJ908" s="3"/>
      <c r="AK908" s="3"/>
      <c r="AL908" s="3"/>
      <c r="AM908" s="3"/>
      <c r="AN908" s="3"/>
      <c r="AO908" s="3"/>
      <c r="AP908" s="4"/>
      <c r="AQ908" s="3"/>
      <c r="AR908" s="42"/>
      <c r="AS908" s="3"/>
      <c r="AT908" s="42"/>
      <c r="AU908" s="3"/>
      <c r="AV908" s="42"/>
      <c r="AW908" s="3"/>
      <c r="AX908" s="42"/>
      <c r="AY908" s="3"/>
      <c r="AZ908" s="42"/>
      <c r="BA908" s="3"/>
      <c r="BB908" s="42"/>
      <c r="BC908" s="3"/>
      <c r="BD908" s="42"/>
      <c r="BE908" s="3"/>
    </row>
    <row r="909" spans="1:57" hidden="1" outlineLevel="1" x14ac:dyDescent="0.25">
      <c r="A909" s="3" t="s">
        <v>670</v>
      </c>
      <c r="E909" s="3">
        <f t="shared" si="501"/>
        <v>0</v>
      </c>
      <c r="H909" s="3">
        <f t="shared" si="502"/>
        <v>0</v>
      </c>
      <c r="K909" s="4">
        <f t="shared" si="503"/>
        <v>0</v>
      </c>
      <c r="L909" s="4"/>
      <c r="N909" s="4">
        <f t="shared" si="504"/>
        <v>0</v>
      </c>
      <c r="S909" s="3">
        <f t="shared" si="506"/>
        <v>0</v>
      </c>
      <c r="U909" s="3">
        <f t="shared" si="507"/>
        <v>0</v>
      </c>
      <c r="W909" s="3">
        <f t="shared" si="508"/>
        <v>0</v>
      </c>
      <c r="Z909" s="3">
        <f t="shared" si="505"/>
        <v>0</v>
      </c>
      <c r="AD909" s="3">
        <f t="shared" si="509"/>
        <v>0</v>
      </c>
      <c r="AF909" s="3">
        <f t="shared" si="510"/>
        <v>0</v>
      </c>
      <c r="BC909" s="3"/>
      <c r="BE909" s="3"/>
    </row>
    <row r="910" spans="1:57" s="77" customFormat="1" hidden="1" outlineLevel="1" x14ac:dyDescent="0.25">
      <c r="A910" s="3" t="s">
        <v>671</v>
      </c>
      <c r="B910" s="3"/>
      <c r="C910" s="3"/>
      <c r="D910" s="3">
        <v>30000</v>
      </c>
      <c r="E910" s="3">
        <f t="shared" si="501"/>
        <v>0</v>
      </c>
      <c r="F910" s="3">
        <v>30000</v>
      </c>
      <c r="G910" s="3"/>
      <c r="H910" s="3">
        <f t="shared" si="502"/>
        <v>30000</v>
      </c>
      <c r="I910" s="3"/>
      <c r="J910" s="3">
        <v>30000</v>
      </c>
      <c r="K910" s="4">
        <f t="shared" si="503"/>
        <v>0</v>
      </c>
      <c r="L910" s="4">
        <v>30000</v>
      </c>
      <c r="M910" s="4"/>
      <c r="N910" s="4">
        <f t="shared" si="504"/>
        <v>0</v>
      </c>
      <c r="O910" s="3"/>
      <c r="P910" s="3"/>
      <c r="Q910" s="3"/>
      <c r="R910" s="3"/>
      <c r="S910" s="3">
        <f t="shared" si="506"/>
        <v>0</v>
      </c>
      <c r="T910" s="3"/>
      <c r="U910" s="3">
        <f t="shared" si="507"/>
        <v>0</v>
      </c>
      <c r="V910" s="3"/>
      <c r="W910" s="3">
        <f t="shared" si="508"/>
        <v>0</v>
      </c>
      <c r="X910" s="3"/>
      <c r="Y910" s="3"/>
      <c r="Z910" s="3">
        <f t="shared" si="505"/>
        <v>0</v>
      </c>
      <c r="AA910" s="3"/>
      <c r="AB910" s="3"/>
      <c r="AC910" s="3"/>
      <c r="AD910" s="3">
        <f t="shared" si="509"/>
        <v>0</v>
      </c>
      <c r="AE910" s="3"/>
      <c r="AF910" s="3">
        <f t="shared" si="510"/>
        <v>0</v>
      </c>
      <c r="AG910" s="4"/>
      <c r="AH910" s="4"/>
      <c r="AI910" s="3"/>
      <c r="AJ910" s="3"/>
      <c r="AK910" s="3"/>
      <c r="AL910" s="3"/>
      <c r="AM910" s="3"/>
      <c r="AN910" s="3"/>
      <c r="AO910" s="3"/>
      <c r="AP910" s="4"/>
      <c r="AQ910" s="3"/>
      <c r="AR910" s="42"/>
      <c r="AS910" s="3"/>
      <c r="AT910" s="42"/>
      <c r="AU910" s="3"/>
      <c r="AV910" s="42"/>
      <c r="AW910" s="3"/>
      <c r="AX910" s="42"/>
      <c r="AY910" s="3"/>
      <c r="AZ910" s="42"/>
      <c r="BA910" s="3"/>
      <c r="BB910" s="42"/>
      <c r="BC910" s="3"/>
      <c r="BD910" s="42"/>
      <c r="BE910" s="3"/>
    </row>
    <row r="911" spans="1:57" hidden="1" outlineLevel="1" x14ac:dyDescent="0.25">
      <c r="A911" s="3" t="s">
        <v>672</v>
      </c>
      <c r="E911" s="3">
        <f t="shared" si="501"/>
        <v>0</v>
      </c>
      <c r="H911" s="3">
        <f t="shared" si="502"/>
        <v>0</v>
      </c>
      <c r="K911" s="4">
        <f t="shared" si="503"/>
        <v>0</v>
      </c>
      <c r="L911" s="4"/>
      <c r="N911" s="4">
        <f t="shared" si="504"/>
        <v>0</v>
      </c>
      <c r="S911" s="3">
        <f t="shared" si="506"/>
        <v>0</v>
      </c>
      <c r="U911" s="3">
        <f t="shared" si="507"/>
        <v>0</v>
      </c>
      <c r="W911" s="3">
        <f t="shared" si="508"/>
        <v>0</v>
      </c>
      <c r="Z911" s="3">
        <f t="shared" si="505"/>
        <v>0</v>
      </c>
      <c r="AD911" s="3">
        <f t="shared" si="509"/>
        <v>0</v>
      </c>
      <c r="AF911" s="3">
        <f t="shared" si="510"/>
        <v>0</v>
      </c>
      <c r="BC911" s="3"/>
      <c r="BE911" s="3"/>
    </row>
    <row r="912" spans="1:57" s="77" customFormat="1" hidden="1" outlineLevel="1" x14ac:dyDescent="0.25">
      <c r="A912" s="3" t="s">
        <v>673</v>
      </c>
      <c r="B912" s="3"/>
      <c r="C912" s="3"/>
      <c r="D912" s="3"/>
      <c r="E912" s="3">
        <f t="shared" si="501"/>
        <v>0</v>
      </c>
      <c r="F912" s="3"/>
      <c r="G912" s="3"/>
      <c r="H912" s="3">
        <f t="shared" si="502"/>
        <v>0</v>
      </c>
      <c r="I912" s="3"/>
      <c r="J912" s="3"/>
      <c r="K912" s="4">
        <f t="shared" si="503"/>
        <v>0</v>
      </c>
      <c r="L912" s="4"/>
      <c r="M912" s="4"/>
      <c r="N912" s="4">
        <f t="shared" si="504"/>
        <v>0</v>
      </c>
      <c r="O912" s="3"/>
      <c r="P912" s="3"/>
      <c r="Q912" s="3"/>
      <c r="R912" s="3"/>
      <c r="S912" s="3">
        <f t="shared" si="506"/>
        <v>0</v>
      </c>
      <c r="T912" s="3"/>
      <c r="U912" s="3">
        <f t="shared" si="507"/>
        <v>0</v>
      </c>
      <c r="V912" s="3"/>
      <c r="W912" s="3">
        <f t="shared" si="508"/>
        <v>0</v>
      </c>
      <c r="X912" s="3"/>
      <c r="Y912" s="3"/>
      <c r="Z912" s="3">
        <f t="shared" si="505"/>
        <v>0</v>
      </c>
      <c r="AA912" s="3"/>
      <c r="AB912" s="3"/>
      <c r="AC912" s="3"/>
      <c r="AD912" s="3">
        <f t="shared" si="509"/>
        <v>0</v>
      </c>
      <c r="AE912" s="3"/>
      <c r="AF912" s="3">
        <f t="shared" si="510"/>
        <v>0</v>
      </c>
      <c r="AG912" s="4"/>
      <c r="AH912" s="4"/>
      <c r="AI912" s="3"/>
      <c r="AJ912" s="3"/>
      <c r="AK912" s="3"/>
      <c r="AL912" s="3"/>
      <c r="AM912" s="3">
        <v>45000</v>
      </c>
      <c r="AN912" s="3"/>
      <c r="AO912" s="3"/>
      <c r="AP912" s="4"/>
      <c r="AQ912" s="3">
        <v>37500</v>
      </c>
      <c r="AR912" s="42"/>
      <c r="AS912" s="3"/>
      <c r="AT912" s="42"/>
      <c r="AU912" s="3"/>
      <c r="AV912" s="42"/>
      <c r="AW912" s="3"/>
      <c r="AX912" s="42"/>
      <c r="AY912" s="3"/>
      <c r="AZ912" s="42"/>
      <c r="BA912" s="3"/>
      <c r="BB912" s="42"/>
      <c r="BC912" s="3"/>
      <c r="BD912" s="42"/>
      <c r="BE912" s="3"/>
    </row>
    <row r="913" spans="1:57" s="77" customFormat="1" hidden="1" outlineLevel="1" x14ac:dyDescent="0.25">
      <c r="A913" s="3" t="s">
        <v>674</v>
      </c>
      <c r="B913" s="3">
        <v>5000</v>
      </c>
      <c r="C913" s="3"/>
      <c r="D913" s="3"/>
      <c r="E913" s="3">
        <f t="shared" si="501"/>
        <v>5000</v>
      </c>
      <c r="F913" s="3">
        <v>5000</v>
      </c>
      <c r="G913" s="3"/>
      <c r="H913" s="3">
        <f t="shared" si="502"/>
        <v>0</v>
      </c>
      <c r="I913" s="3"/>
      <c r="J913" s="3">
        <v>1517</v>
      </c>
      <c r="K913" s="4">
        <f t="shared" si="503"/>
        <v>483</v>
      </c>
      <c r="L913" s="4">
        <v>2000</v>
      </c>
      <c r="M913" s="4"/>
      <c r="N913" s="4">
        <f t="shared" si="504"/>
        <v>-3000</v>
      </c>
      <c r="O913" s="3"/>
      <c r="P913" s="3">
        <v>3000</v>
      </c>
      <c r="Q913" s="3"/>
      <c r="R913" s="3"/>
      <c r="S913" s="3">
        <f t="shared" si="506"/>
        <v>3000</v>
      </c>
      <c r="T913" s="3">
        <v>3000</v>
      </c>
      <c r="U913" s="3">
        <f t="shared" si="507"/>
        <v>0</v>
      </c>
      <c r="V913" s="3"/>
      <c r="W913" s="3">
        <f t="shared" si="508"/>
        <v>3000</v>
      </c>
      <c r="X913" s="3"/>
      <c r="Y913" s="3">
        <v>3000</v>
      </c>
      <c r="Z913" s="3">
        <f t="shared" si="505"/>
        <v>0</v>
      </c>
      <c r="AA913" s="3"/>
      <c r="AB913" s="3"/>
      <c r="AC913" s="3"/>
      <c r="AD913" s="3">
        <f t="shared" si="509"/>
        <v>3000</v>
      </c>
      <c r="AE913" s="3">
        <v>3000</v>
      </c>
      <c r="AF913" s="3">
        <f t="shared" si="510"/>
        <v>0</v>
      </c>
      <c r="AG913" s="4"/>
      <c r="AH913" s="4"/>
      <c r="AI913" s="3"/>
      <c r="AJ913" s="3"/>
      <c r="AK913" s="3"/>
      <c r="AL913" s="3"/>
      <c r="AM913" s="3"/>
      <c r="AN913" s="3"/>
      <c r="AO913" s="3"/>
      <c r="AP913" s="4"/>
      <c r="AQ913" s="3"/>
      <c r="AR913" s="42"/>
      <c r="AS913" s="3"/>
      <c r="AT913" s="42"/>
      <c r="AU913" s="3"/>
      <c r="AV913" s="42"/>
      <c r="AW913" s="3"/>
      <c r="AX913" s="42"/>
      <c r="AY913" s="3"/>
      <c r="AZ913" s="42"/>
      <c r="BA913" s="3"/>
      <c r="BB913" s="42"/>
      <c r="BC913" s="3"/>
      <c r="BD913" s="42"/>
      <c r="BE913" s="3"/>
    </row>
    <row r="914" spans="1:57" hidden="1" outlineLevel="1" x14ac:dyDescent="0.25">
      <c r="A914" s="3" t="s">
        <v>675</v>
      </c>
      <c r="E914" s="3">
        <f t="shared" si="501"/>
        <v>0</v>
      </c>
      <c r="H914" s="3">
        <f t="shared" si="502"/>
        <v>0</v>
      </c>
      <c r="K914" s="4">
        <f t="shared" si="503"/>
        <v>0</v>
      </c>
      <c r="L914" s="4"/>
      <c r="N914" s="4">
        <f t="shared" si="504"/>
        <v>0</v>
      </c>
      <c r="S914" s="3">
        <f t="shared" si="506"/>
        <v>0</v>
      </c>
      <c r="U914" s="3">
        <f t="shared" si="507"/>
        <v>0</v>
      </c>
      <c r="W914" s="3">
        <f t="shared" si="508"/>
        <v>0</v>
      </c>
      <c r="Z914" s="3">
        <f t="shared" si="505"/>
        <v>0</v>
      </c>
      <c r="AD914" s="3">
        <f t="shared" si="509"/>
        <v>0</v>
      </c>
      <c r="AF914" s="3">
        <f t="shared" si="510"/>
        <v>0</v>
      </c>
      <c r="BC914" s="3"/>
      <c r="BE914" s="3"/>
    </row>
    <row r="915" spans="1:57" s="77" customFormat="1" hidden="1" outlineLevel="1" x14ac:dyDescent="0.25">
      <c r="A915" s="3" t="s">
        <v>676</v>
      </c>
      <c r="B915" s="3"/>
      <c r="C915" s="3"/>
      <c r="D915" s="3"/>
      <c r="E915" s="3">
        <f t="shared" si="501"/>
        <v>0</v>
      </c>
      <c r="F915" s="3"/>
      <c r="G915" s="3"/>
      <c r="H915" s="3">
        <f t="shared" si="502"/>
        <v>0</v>
      </c>
      <c r="I915" s="3"/>
      <c r="J915" s="3"/>
      <c r="K915" s="4">
        <f t="shared" si="503"/>
        <v>0</v>
      </c>
      <c r="L915" s="4"/>
      <c r="M915" s="4"/>
      <c r="N915" s="4">
        <f t="shared" si="504"/>
        <v>0</v>
      </c>
      <c r="O915" s="3"/>
      <c r="P915" s="3"/>
      <c r="Q915" s="3"/>
      <c r="R915" s="3"/>
      <c r="S915" s="3">
        <f t="shared" si="506"/>
        <v>0</v>
      </c>
      <c r="T915" s="3"/>
      <c r="U915" s="3">
        <f t="shared" si="507"/>
        <v>0</v>
      </c>
      <c r="V915" s="3"/>
      <c r="W915" s="3">
        <f t="shared" si="508"/>
        <v>0</v>
      </c>
      <c r="X915" s="3"/>
      <c r="Y915" s="3"/>
      <c r="Z915" s="3">
        <f t="shared" si="505"/>
        <v>0</v>
      </c>
      <c r="AA915" s="3"/>
      <c r="AB915" s="3"/>
      <c r="AC915" s="3"/>
      <c r="AD915" s="3">
        <f t="shared" si="509"/>
        <v>0</v>
      </c>
      <c r="AE915" s="3"/>
      <c r="AF915" s="3">
        <f t="shared" si="510"/>
        <v>0</v>
      </c>
      <c r="AG915" s="4"/>
      <c r="AH915" s="4"/>
      <c r="AI915" s="3"/>
      <c r="AJ915" s="3"/>
      <c r="AK915" s="3"/>
      <c r="AL915" s="3"/>
      <c r="AM915" s="3"/>
      <c r="AN915" s="3"/>
      <c r="AO915" s="3"/>
      <c r="AP915" s="4"/>
      <c r="AQ915" s="3"/>
      <c r="AR915" s="42"/>
      <c r="AS915" s="3"/>
      <c r="AT915" s="42"/>
      <c r="AU915" s="3"/>
      <c r="AV915" s="42"/>
      <c r="AW915" s="3"/>
      <c r="AX915" s="42"/>
      <c r="AY915" s="3"/>
      <c r="AZ915" s="42"/>
      <c r="BA915" s="3"/>
      <c r="BB915" s="42"/>
      <c r="BC915" s="3"/>
      <c r="BD915" s="42"/>
      <c r="BE915" s="3"/>
    </row>
    <row r="916" spans="1:57" s="77" customFormat="1" hidden="1" outlineLevel="1" x14ac:dyDescent="0.25">
      <c r="A916" s="3" t="s">
        <v>677</v>
      </c>
      <c r="B916" s="3"/>
      <c r="C916" s="3"/>
      <c r="D916" s="3"/>
      <c r="E916" s="3"/>
      <c r="F916" s="3"/>
      <c r="G916" s="3"/>
      <c r="H916" s="3"/>
      <c r="I916" s="3"/>
      <c r="J916" s="3"/>
      <c r="K916" s="4"/>
      <c r="L916" s="4"/>
      <c r="M916" s="4"/>
      <c r="N916" s="4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4"/>
      <c r="AH916" s="4"/>
      <c r="AI916" s="3"/>
      <c r="AJ916" s="3"/>
      <c r="AK916" s="3"/>
      <c r="AL916" s="3"/>
      <c r="AM916" s="3"/>
      <c r="AN916" s="3"/>
      <c r="AO916" s="3"/>
      <c r="AP916" s="4"/>
      <c r="AQ916" s="3"/>
      <c r="AR916" s="42"/>
      <c r="AS916" s="3"/>
      <c r="AT916" s="42"/>
      <c r="AU916" s="3"/>
      <c r="AV916" s="42"/>
      <c r="AW916" s="3"/>
      <c r="AX916" s="42"/>
      <c r="AY916" s="3"/>
      <c r="AZ916" s="42"/>
      <c r="BA916" s="3"/>
      <c r="BB916" s="42"/>
      <c r="BC916" s="3"/>
      <c r="BD916" s="42"/>
      <c r="BE916" s="3"/>
    </row>
    <row r="917" spans="1:57" s="77" customFormat="1" hidden="1" outlineLevel="1" x14ac:dyDescent="0.25">
      <c r="A917" s="3" t="s">
        <v>678</v>
      </c>
      <c r="B917" s="3"/>
      <c r="C917" s="3"/>
      <c r="D917" s="3"/>
      <c r="E917" s="3"/>
      <c r="F917" s="3"/>
      <c r="G917" s="3"/>
      <c r="H917" s="3"/>
      <c r="I917" s="3"/>
      <c r="J917" s="3"/>
      <c r="K917" s="4"/>
      <c r="L917" s="4"/>
      <c r="M917" s="4"/>
      <c r="N917" s="4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4"/>
      <c r="AH917" s="4"/>
      <c r="AI917" s="3">
        <v>100000</v>
      </c>
      <c r="AJ917" s="3"/>
      <c r="AK917" s="3"/>
      <c r="AL917" s="3"/>
      <c r="AM917" s="3"/>
      <c r="AN917" s="3"/>
      <c r="AO917" s="3"/>
      <c r="AP917" s="4"/>
      <c r="AQ917" s="3"/>
      <c r="AR917" s="42"/>
      <c r="AS917" s="3"/>
      <c r="AT917" s="42"/>
      <c r="AU917" s="3"/>
      <c r="AV917" s="42"/>
      <c r="AW917" s="3"/>
      <c r="AX917" s="42"/>
      <c r="AY917" s="3"/>
      <c r="AZ917" s="42"/>
      <c r="BA917" s="3"/>
      <c r="BB917" s="42"/>
      <c r="BC917" s="3"/>
      <c r="BD917" s="42"/>
      <c r="BE917" s="3"/>
    </row>
    <row r="918" spans="1:57" hidden="1" outlineLevel="1" x14ac:dyDescent="0.25">
      <c r="A918" s="3" t="s">
        <v>679</v>
      </c>
      <c r="E918" s="3">
        <f t="shared" si="501"/>
        <v>0</v>
      </c>
      <c r="H918" s="3">
        <f t="shared" si="502"/>
        <v>0</v>
      </c>
      <c r="K918" s="4">
        <f t="shared" si="503"/>
        <v>0</v>
      </c>
      <c r="L918" s="4"/>
      <c r="N918" s="4">
        <f t="shared" si="504"/>
        <v>0</v>
      </c>
      <c r="P918" s="3">
        <v>3000</v>
      </c>
      <c r="S918" s="3">
        <f t="shared" si="506"/>
        <v>3000</v>
      </c>
      <c r="T918" s="3">
        <v>3000</v>
      </c>
      <c r="U918" s="3">
        <f t="shared" si="507"/>
        <v>0</v>
      </c>
      <c r="W918" s="3">
        <f t="shared" si="508"/>
        <v>3000</v>
      </c>
      <c r="Y918" s="3">
        <v>3000</v>
      </c>
      <c r="Z918" s="3">
        <f t="shared" si="505"/>
        <v>0</v>
      </c>
      <c r="AD918" s="3">
        <f t="shared" si="509"/>
        <v>3000</v>
      </c>
      <c r="AE918" s="3">
        <v>3000</v>
      </c>
      <c r="AF918" s="3">
        <f t="shared" si="510"/>
        <v>0</v>
      </c>
      <c r="BC918" s="3"/>
      <c r="BE918" s="3"/>
    </row>
    <row r="919" spans="1:57" s="77" customFormat="1" hidden="1" outlineLevel="1" x14ac:dyDescent="0.25">
      <c r="A919" s="3" t="s">
        <v>680</v>
      </c>
      <c r="B919" s="3"/>
      <c r="C919" s="3"/>
      <c r="D919" s="3"/>
      <c r="E919" s="3">
        <f t="shared" si="501"/>
        <v>0</v>
      </c>
      <c r="F919" s="3"/>
      <c r="G919" s="3"/>
      <c r="H919" s="3">
        <f t="shared" si="502"/>
        <v>0</v>
      </c>
      <c r="I919" s="3"/>
      <c r="J919" s="3"/>
      <c r="K919" s="4">
        <f t="shared" si="503"/>
        <v>0</v>
      </c>
      <c r="L919" s="4"/>
      <c r="M919" s="4"/>
      <c r="N919" s="4">
        <f t="shared" si="504"/>
        <v>0</v>
      </c>
      <c r="O919" s="3"/>
      <c r="P919" s="3"/>
      <c r="Q919" s="3"/>
      <c r="R919" s="3"/>
      <c r="S919" s="3">
        <f t="shared" si="506"/>
        <v>0</v>
      </c>
      <c r="T919" s="3"/>
      <c r="U919" s="3">
        <f t="shared" si="507"/>
        <v>0</v>
      </c>
      <c r="V919" s="3"/>
      <c r="W919" s="3">
        <f t="shared" si="508"/>
        <v>0</v>
      </c>
      <c r="X919" s="3"/>
      <c r="Y919" s="3"/>
      <c r="Z919" s="3">
        <f t="shared" si="505"/>
        <v>0</v>
      </c>
      <c r="AA919" s="3"/>
      <c r="AB919" s="3"/>
      <c r="AC919" s="3"/>
      <c r="AD919" s="3">
        <f t="shared" si="509"/>
        <v>0</v>
      </c>
      <c r="AE919" s="3"/>
      <c r="AF919" s="3">
        <f t="shared" si="510"/>
        <v>0</v>
      </c>
      <c r="AG919" s="4"/>
      <c r="AH919" s="4"/>
      <c r="AI919" s="3"/>
      <c r="AJ919" s="3"/>
      <c r="AK919" s="3"/>
      <c r="AL919" s="3"/>
      <c r="AM919" s="3"/>
      <c r="AN919" s="3"/>
      <c r="AO919" s="3"/>
      <c r="AP919" s="4"/>
      <c r="AQ919" s="3"/>
      <c r="AR919" s="42"/>
      <c r="AS919" s="3"/>
      <c r="AT919" s="42"/>
      <c r="AU919" s="3"/>
      <c r="AV919" s="42"/>
      <c r="AW919" s="3"/>
      <c r="AX919" s="42"/>
      <c r="AY919" s="3"/>
      <c r="AZ919" s="42"/>
      <c r="BA919" s="3"/>
      <c r="BB919" s="42"/>
      <c r="BC919" s="3"/>
      <c r="BD919" s="42"/>
      <c r="BE919" s="3"/>
    </row>
    <row r="920" spans="1:57" hidden="1" outlineLevel="1" x14ac:dyDescent="0.25">
      <c r="A920" s="3" t="s">
        <v>681</v>
      </c>
      <c r="E920" s="3">
        <f t="shared" si="501"/>
        <v>0</v>
      </c>
      <c r="H920" s="3">
        <f t="shared" si="502"/>
        <v>0</v>
      </c>
      <c r="K920" s="4">
        <f t="shared" si="503"/>
        <v>0</v>
      </c>
      <c r="L920" s="4"/>
      <c r="N920" s="4">
        <f t="shared" si="504"/>
        <v>0</v>
      </c>
      <c r="S920" s="3">
        <f t="shared" si="506"/>
        <v>0</v>
      </c>
      <c r="U920" s="3">
        <f t="shared" si="507"/>
        <v>0</v>
      </c>
      <c r="W920" s="3">
        <f t="shared" si="508"/>
        <v>0</v>
      </c>
      <c r="Z920" s="3">
        <f t="shared" si="505"/>
        <v>0</v>
      </c>
      <c r="AD920" s="3">
        <f t="shared" si="509"/>
        <v>0</v>
      </c>
      <c r="AF920" s="3">
        <f t="shared" si="510"/>
        <v>0</v>
      </c>
      <c r="BC920" s="3"/>
      <c r="BE920" s="3"/>
    </row>
    <row r="921" spans="1:57" s="77" customFormat="1" hidden="1" outlineLevel="1" x14ac:dyDescent="0.25">
      <c r="A921" s="3" t="s">
        <v>682</v>
      </c>
      <c r="B921" s="3"/>
      <c r="C921" s="3"/>
      <c r="D921" s="3"/>
      <c r="E921" s="3">
        <f t="shared" si="501"/>
        <v>0</v>
      </c>
      <c r="F921" s="3"/>
      <c r="G921" s="3"/>
      <c r="H921" s="3">
        <f t="shared" si="502"/>
        <v>0</v>
      </c>
      <c r="I921" s="3"/>
      <c r="J921" s="3"/>
      <c r="K921" s="4">
        <f t="shared" si="503"/>
        <v>0</v>
      </c>
      <c r="L921" s="4"/>
      <c r="M921" s="4"/>
      <c r="N921" s="4">
        <f t="shared" si="504"/>
        <v>0</v>
      </c>
      <c r="O921" s="3"/>
      <c r="P921" s="3"/>
      <c r="Q921" s="3"/>
      <c r="R921" s="3"/>
      <c r="S921" s="3">
        <f t="shared" si="506"/>
        <v>0</v>
      </c>
      <c r="T921" s="3"/>
      <c r="U921" s="3">
        <f t="shared" si="507"/>
        <v>0</v>
      </c>
      <c r="V921" s="3"/>
      <c r="W921" s="3">
        <f t="shared" si="508"/>
        <v>0</v>
      </c>
      <c r="X921" s="3"/>
      <c r="Y921" s="3"/>
      <c r="Z921" s="3">
        <f t="shared" si="505"/>
        <v>0</v>
      </c>
      <c r="AA921" s="3"/>
      <c r="AB921" s="3"/>
      <c r="AC921" s="3"/>
      <c r="AD921" s="3">
        <f t="shared" si="509"/>
        <v>0</v>
      </c>
      <c r="AE921" s="3"/>
      <c r="AF921" s="3">
        <f t="shared" si="510"/>
        <v>0</v>
      </c>
      <c r="AG921" s="4"/>
      <c r="AH921" s="4"/>
      <c r="AI921" s="3"/>
      <c r="AJ921" s="3"/>
      <c r="AK921" s="3"/>
      <c r="AL921" s="3"/>
      <c r="AM921" s="3"/>
      <c r="AN921" s="3"/>
      <c r="AO921" s="3"/>
      <c r="AP921" s="4"/>
      <c r="AQ921" s="3"/>
      <c r="AR921" s="42"/>
      <c r="AS921" s="3"/>
      <c r="AT921" s="42"/>
      <c r="AU921" s="3"/>
      <c r="AV921" s="42"/>
      <c r="AW921" s="3"/>
      <c r="AX921" s="42"/>
      <c r="AY921" s="3"/>
      <c r="AZ921" s="42"/>
      <c r="BA921" s="3"/>
      <c r="BB921" s="42"/>
      <c r="BC921" s="3"/>
      <c r="BD921" s="42"/>
      <c r="BE921" s="3"/>
    </row>
    <row r="922" spans="1:57" hidden="1" outlineLevel="1" x14ac:dyDescent="0.25">
      <c r="A922" s="3" t="s">
        <v>683</v>
      </c>
      <c r="E922" s="3">
        <f t="shared" si="501"/>
        <v>0</v>
      </c>
      <c r="H922" s="3">
        <f t="shared" si="502"/>
        <v>0</v>
      </c>
      <c r="K922" s="4">
        <f t="shared" si="503"/>
        <v>0</v>
      </c>
      <c r="L922" s="4"/>
      <c r="N922" s="4">
        <f t="shared" si="504"/>
        <v>0</v>
      </c>
      <c r="S922" s="3">
        <f t="shared" si="506"/>
        <v>0</v>
      </c>
      <c r="U922" s="3">
        <f t="shared" si="507"/>
        <v>0</v>
      </c>
      <c r="W922" s="3">
        <f t="shared" si="508"/>
        <v>0</v>
      </c>
      <c r="Z922" s="3">
        <f t="shared" si="505"/>
        <v>0</v>
      </c>
      <c r="AD922" s="3">
        <f t="shared" si="509"/>
        <v>0</v>
      </c>
      <c r="AF922" s="3">
        <f t="shared" si="510"/>
        <v>0</v>
      </c>
      <c r="BC922" s="3"/>
      <c r="BE922" s="3"/>
    </row>
    <row r="923" spans="1:57" s="77" customFormat="1" hidden="1" outlineLevel="1" x14ac:dyDescent="0.25">
      <c r="A923" s="3" t="s">
        <v>684</v>
      </c>
      <c r="B923" s="3">
        <v>500</v>
      </c>
      <c r="C923" s="3"/>
      <c r="D923" s="3"/>
      <c r="E923" s="3">
        <f t="shared" si="501"/>
        <v>500</v>
      </c>
      <c r="F923" s="3">
        <v>500</v>
      </c>
      <c r="G923" s="3"/>
      <c r="H923" s="3">
        <f t="shared" si="502"/>
        <v>0</v>
      </c>
      <c r="I923" s="3"/>
      <c r="J923" s="3"/>
      <c r="K923" s="4">
        <f t="shared" si="503"/>
        <v>500</v>
      </c>
      <c r="L923" s="4">
        <v>500</v>
      </c>
      <c r="M923" s="4"/>
      <c r="N923" s="4">
        <f t="shared" si="504"/>
        <v>0</v>
      </c>
      <c r="O923" s="3"/>
      <c r="P923" s="3">
        <v>1000</v>
      </c>
      <c r="Q923" s="3"/>
      <c r="R923" s="3"/>
      <c r="S923" s="3">
        <f t="shared" si="506"/>
        <v>1000</v>
      </c>
      <c r="T923" s="3">
        <v>1000</v>
      </c>
      <c r="U923" s="3">
        <f t="shared" si="507"/>
        <v>0</v>
      </c>
      <c r="V923" s="3"/>
      <c r="W923" s="3">
        <f t="shared" si="508"/>
        <v>1000</v>
      </c>
      <c r="X923" s="3"/>
      <c r="Y923" s="3">
        <v>1000</v>
      </c>
      <c r="Z923" s="3">
        <f t="shared" si="505"/>
        <v>0</v>
      </c>
      <c r="AA923" s="3"/>
      <c r="AB923" s="3"/>
      <c r="AC923" s="3"/>
      <c r="AD923" s="3">
        <f t="shared" si="509"/>
        <v>1000</v>
      </c>
      <c r="AE923" s="3">
        <v>1000</v>
      </c>
      <c r="AF923" s="3">
        <f t="shared" si="510"/>
        <v>0</v>
      </c>
      <c r="AG923" s="4"/>
      <c r="AH923" s="4"/>
      <c r="AI923" s="3">
        <v>1000</v>
      </c>
      <c r="AJ923" s="3"/>
      <c r="AK923" s="3">
        <v>1000</v>
      </c>
      <c r="AL923" s="3"/>
      <c r="AM923" s="3">
        <v>1000</v>
      </c>
      <c r="AN923" s="3"/>
      <c r="AO923" s="3">
        <v>1000</v>
      </c>
      <c r="AP923" s="4"/>
      <c r="AQ923" s="3">
        <v>1000</v>
      </c>
      <c r="AR923" s="42"/>
      <c r="AS923" s="3">
        <v>1000</v>
      </c>
      <c r="AT923" s="42"/>
      <c r="AU923" s="3">
        <v>1000</v>
      </c>
      <c r="AV923" s="42"/>
      <c r="AW923" s="3">
        <v>1000</v>
      </c>
      <c r="AX923" s="42"/>
      <c r="AY923" s="3">
        <v>1000</v>
      </c>
      <c r="AZ923" s="42"/>
      <c r="BA923" s="3">
        <v>1000</v>
      </c>
      <c r="BB923" s="42"/>
      <c r="BC923" s="3">
        <v>1000</v>
      </c>
      <c r="BD923" s="42"/>
      <c r="BE923" s="3">
        <v>1000</v>
      </c>
    </row>
    <row r="924" spans="1:57" hidden="1" outlineLevel="1" x14ac:dyDescent="0.25">
      <c r="A924" s="3" t="s">
        <v>685</v>
      </c>
      <c r="E924" s="3">
        <f t="shared" si="501"/>
        <v>0</v>
      </c>
      <c r="H924" s="3">
        <f t="shared" si="502"/>
        <v>0</v>
      </c>
      <c r="K924" s="4">
        <f t="shared" si="503"/>
        <v>0</v>
      </c>
      <c r="L924" s="4"/>
      <c r="N924" s="4">
        <f t="shared" si="504"/>
        <v>0</v>
      </c>
      <c r="S924" s="3">
        <f t="shared" si="506"/>
        <v>0</v>
      </c>
      <c r="U924" s="3">
        <f t="shared" si="507"/>
        <v>0</v>
      </c>
      <c r="W924" s="3">
        <f t="shared" si="508"/>
        <v>0</v>
      </c>
      <c r="Z924" s="3">
        <f t="shared" si="505"/>
        <v>0</v>
      </c>
      <c r="AD924" s="3">
        <f t="shared" si="509"/>
        <v>0</v>
      </c>
      <c r="AF924" s="3">
        <f t="shared" si="510"/>
        <v>0</v>
      </c>
      <c r="BC924" s="3"/>
      <c r="BE924" s="3"/>
    </row>
    <row r="925" spans="1:57" hidden="1" outlineLevel="1" x14ac:dyDescent="0.25">
      <c r="A925" s="3" t="s">
        <v>686</v>
      </c>
      <c r="E925" s="3">
        <f t="shared" si="501"/>
        <v>0</v>
      </c>
      <c r="H925" s="3">
        <f t="shared" si="502"/>
        <v>0</v>
      </c>
      <c r="K925" s="4">
        <f t="shared" si="503"/>
        <v>0</v>
      </c>
      <c r="L925" s="4"/>
      <c r="N925" s="4">
        <f t="shared" si="504"/>
        <v>0</v>
      </c>
      <c r="S925" s="3">
        <f t="shared" si="506"/>
        <v>0</v>
      </c>
      <c r="U925" s="3">
        <f t="shared" si="507"/>
        <v>0</v>
      </c>
      <c r="W925" s="3">
        <f t="shared" si="508"/>
        <v>0</v>
      </c>
      <c r="Z925" s="3">
        <f t="shared" si="505"/>
        <v>0</v>
      </c>
      <c r="AD925" s="3">
        <f t="shared" si="509"/>
        <v>0</v>
      </c>
      <c r="AF925" s="3">
        <f t="shared" si="510"/>
        <v>0</v>
      </c>
      <c r="BC925" s="3"/>
      <c r="BE925" s="3"/>
    </row>
    <row r="926" spans="1:57" hidden="1" outlineLevel="1" x14ac:dyDescent="0.25">
      <c r="A926" s="3" t="s">
        <v>687</v>
      </c>
      <c r="E926" s="3">
        <f t="shared" si="501"/>
        <v>0</v>
      </c>
      <c r="H926" s="3">
        <f t="shared" si="502"/>
        <v>0</v>
      </c>
      <c r="K926" s="4">
        <f t="shared" si="503"/>
        <v>0</v>
      </c>
      <c r="L926" s="4"/>
      <c r="N926" s="4">
        <f t="shared" si="504"/>
        <v>0</v>
      </c>
      <c r="S926" s="3">
        <f t="shared" si="506"/>
        <v>0</v>
      </c>
      <c r="U926" s="3">
        <f t="shared" si="507"/>
        <v>0</v>
      </c>
      <c r="W926" s="3">
        <f t="shared" si="508"/>
        <v>0</v>
      </c>
      <c r="Z926" s="3">
        <f t="shared" si="505"/>
        <v>0</v>
      </c>
      <c r="AD926" s="3">
        <f t="shared" si="509"/>
        <v>0</v>
      </c>
      <c r="AF926" s="3">
        <f t="shared" si="510"/>
        <v>0</v>
      </c>
      <c r="BC926" s="3"/>
      <c r="BE926" s="3"/>
    </row>
    <row r="927" spans="1:57" s="77" customFormat="1" hidden="1" outlineLevel="1" x14ac:dyDescent="0.25">
      <c r="A927" s="3" t="s">
        <v>688</v>
      </c>
      <c r="B927" s="3"/>
      <c r="C927" s="3"/>
      <c r="D927" s="3"/>
      <c r="E927" s="3">
        <f t="shared" si="501"/>
        <v>0</v>
      </c>
      <c r="F927" s="3"/>
      <c r="G927" s="3"/>
      <c r="H927" s="3">
        <f t="shared" si="502"/>
        <v>0</v>
      </c>
      <c r="I927" s="3"/>
      <c r="J927" s="3"/>
      <c r="K927" s="4">
        <f t="shared" si="503"/>
        <v>0</v>
      </c>
      <c r="L927" s="4"/>
      <c r="M927" s="4"/>
      <c r="N927" s="4">
        <f t="shared" si="504"/>
        <v>0</v>
      </c>
      <c r="O927" s="3"/>
      <c r="P927" s="3"/>
      <c r="Q927" s="3"/>
      <c r="R927" s="3"/>
      <c r="S927" s="3">
        <f t="shared" si="506"/>
        <v>0</v>
      </c>
      <c r="T927" s="3"/>
      <c r="U927" s="3">
        <f t="shared" si="507"/>
        <v>0</v>
      </c>
      <c r="V927" s="3"/>
      <c r="W927" s="3">
        <f t="shared" si="508"/>
        <v>0</v>
      </c>
      <c r="X927" s="3"/>
      <c r="Y927" s="3"/>
      <c r="Z927" s="3">
        <f t="shared" si="505"/>
        <v>0</v>
      </c>
      <c r="AA927" s="3"/>
      <c r="AB927" s="3"/>
      <c r="AC927" s="3"/>
      <c r="AD927" s="3">
        <f t="shared" si="509"/>
        <v>0</v>
      </c>
      <c r="AE927" s="3"/>
      <c r="AF927" s="3">
        <f t="shared" si="510"/>
        <v>0</v>
      </c>
      <c r="AG927" s="4"/>
      <c r="AH927" s="4"/>
      <c r="AI927" s="3"/>
      <c r="AJ927" s="3"/>
      <c r="AK927" s="3"/>
      <c r="AL927" s="3"/>
      <c r="AM927" s="3"/>
      <c r="AN927" s="3"/>
      <c r="AO927" s="3"/>
      <c r="AP927" s="4"/>
      <c r="AQ927" s="3"/>
      <c r="AR927" s="42"/>
      <c r="AS927" s="3"/>
      <c r="AT927" s="42"/>
      <c r="AU927" s="3"/>
      <c r="AV927" s="42"/>
      <c r="AW927" s="3"/>
      <c r="AX927" s="42"/>
      <c r="AY927" s="3"/>
      <c r="AZ927" s="42"/>
      <c r="BA927" s="3"/>
      <c r="BB927" s="42"/>
      <c r="BC927" s="3"/>
      <c r="BD927" s="42"/>
      <c r="BE927" s="3"/>
    </row>
    <row r="928" spans="1:57" hidden="1" outlineLevel="1" x14ac:dyDescent="0.25">
      <c r="A928" s="3" t="s">
        <v>689</v>
      </c>
      <c r="E928" s="3">
        <f t="shared" si="501"/>
        <v>0</v>
      </c>
      <c r="H928" s="3">
        <f t="shared" si="502"/>
        <v>0</v>
      </c>
      <c r="K928" s="4">
        <f t="shared" si="503"/>
        <v>0</v>
      </c>
      <c r="L928" s="4"/>
      <c r="N928" s="4">
        <f t="shared" si="504"/>
        <v>0</v>
      </c>
      <c r="S928" s="3">
        <f t="shared" si="506"/>
        <v>0</v>
      </c>
      <c r="U928" s="3">
        <f t="shared" si="507"/>
        <v>0</v>
      </c>
      <c r="W928" s="3">
        <f t="shared" si="508"/>
        <v>0</v>
      </c>
      <c r="Z928" s="3">
        <f t="shared" si="505"/>
        <v>0</v>
      </c>
      <c r="AD928" s="3">
        <f t="shared" si="509"/>
        <v>0</v>
      </c>
      <c r="AF928" s="3">
        <f t="shared" si="510"/>
        <v>0</v>
      </c>
      <c r="BC928" s="3"/>
      <c r="BE928" s="3"/>
    </row>
    <row r="929" spans="1:57" hidden="1" outlineLevel="1" x14ac:dyDescent="0.25">
      <c r="A929" s="3" t="s">
        <v>690</v>
      </c>
      <c r="K929" s="4">
        <f t="shared" si="503"/>
        <v>0</v>
      </c>
      <c r="L929" s="4"/>
      <c r="N929" s="4">
        <f t="shared" si="504"/>
        <v>0</v>
      </c>
      <c r="S929" s="3">
        <f t="shared" si="506"/>
        <v>0</v>
      </c>
      <c r="U929" s="3">
        <f t="shared" si="507"/>
        <v>0</v>
      </c>
      <c r="W929" s="3">
        <f t="shared" si="508"/>
        <v>0</v>
      </c>
      <c r="Z929" s="3">
        <f t="shared" si="505"/>
        <v>0</v>
      </c>
      <c r="AD929" s="3">
        <f t="shared" si="509"/>
        <v>0</v>
      </c>
      <c r="AF929" s="3">
        <f t="shared" si="510"/>
        <v>0</v>
      </c>
      <c r="BC929" s="3"/>
      <c r="BE929" s="3"/>
    </row>
    <row r="930" spans="1:57" s="77" customFormat="1" hidden="1" outlineLevel="1" x14ac:dyDescent="0.25">
      <c r="A930" s="3" t="s">
        <v>691</v>
      </c>
      <c r="B930" s="3">
        <v>5000</v>
      </c>
      <c r="C930" s="3"/>
      <c r="D930" s="3"/>
      <c r="E930" s="3">
        <f>F930-D930</f>
        <v>5000</v>
      </c>
      <c r="F930" s="3">
        <v>5000</v>
      </c>
      <c r="G930" s="3"/>
      <c r="H930" s="3">
        <f t="shared" ref="H930:H992" si="511">F930-B930</f>
        <v>0</v>
      </c>
      <c r="I930" s="3"/>
      <c r="J930" s="3"/>
      <c r="K930" s="4">
        <f t="shared" si="503"/>
        <v>4000</v>
      </c>
      <c r="L930" s="4">
        <v>4000</v>
      </c>
      <c r="M930" s="4"/>
      <c r="N930" s="4">
        <f t="shared" si="504"/>
        <v>-1000</v>
      </c>
      <c r="O930" s="3"/>
      <c r="P930" s="3"/>
      <c r="Q930" s="3"/>
      <c r="R930" s="3"/>
      <c r="S930" s="3">
        <f t="shared" si="506"/>
        <v>0</v>
      </c>
      <c r="T930" s="3"/>
      <c r="U930" s="3">
        <f t="shared" si="507"/>
        <v>0</v>
      </c>
      <c r="V930" s="3"/>
      <c r="W930" s="3">
        <f t="shared" si="508"/>
        <v>0</v>
      </c>
      <c r="X930" s="3"/>
      <c r="Y930" s="3"/>
      <c r="Z930" s="3">
        <f t="shared" si="505"/>
        <v>0</v>
      </c>
      <c r="AA930" s="3"/>
      <c r="AB930" s="3"/>
      <c r="AC930" s="3"/>
      <c r="AD930" s="3">
        <f t="shared" si="509"/>
        <v>0</v>
      </c>
      <c r="AE930" s="3"/>
      <c r="AF930" s="3">
        <f t="shared" si="510"/>
        <v>0</v>
      </c>
      <c r="AG930" s="4"/>
      <c r="AH930" s="4"/>
      <c r="AI930" s="3"/>
      <c r="AJ930" s="3"/>
      <c r="AK930" s="3">
        <v>5000</v>
      </c>
      <c r="AL930" s="3"/>
      <c r="AM930" s="3"/>
      <c r="AN930" s="3"/>
      <c r="AO930" s="3"/>
      <c r="AP930" s="4"/>
      <c r="AQ930" s="3"/>
      <c r="AR930" s="42"/>
      <c r="AS930" s="3"/>
      <c r="AT930" s="42"/>
      <c r="AU930" s="3"/>
      <c r="AV930" s="42"/>
      <c r="AW930" s="3"/>
      <c r="AX930" s="42"/>
      <c r="AY930" s="3"/>
      <c r="AZ930" s="42"/>
      <c r="BA930" s="3"/>
      <c r="BB930" s="42"/>
      <c r="BC930" s="3"/>
      <c r="BD930" s="42"/>
      <c r="BE930" s="3"/>
    </row>
    <row r="931" spans="1:57" hidden="1" outlineLevel="1" x14ac:dyDescent="0.25">
      <c r="A931" s="3" t="s">
        <v>692</v>
      </c>
      <c r="H931" s="3">
        <f t="shared" si="511"/>
        <v>0</v>
      </c>
      <c r="K931" s="4">
        <f t="shared" si="503"/>
        <v>0</v>
      </c>
      <c r="L931" s="4"/>
      <c r="N931" s="4">
        <f t="shared" si="504"/>
        <v>0</v>
      </c>
      <c r="S931" s="3">
        <f t="shared" si="506"/>
        <v>0</v>
      </c>
      <c r="U931" s="3">
        <f t="shared" si="507"/>
        <v>0</v>
      </c>
      <c r="W931" s="3">
        <f t="shared" si="508"/>
        <v>0</v>
      </c>
      <c r="Z931" s="3">
        <f t="shared" si="505"/>
        <v>0</v>
      </c>
      <c r="AD931" s="3">
        <f t="shared" si="509"/>
        <v>0</v>
      </c>
      <c r="AF931" s="3">
        <f t="shared" si="510"/>
        <v>0</v>
      </c>
      <c r="BC931" s="3"/>
      <c r="BE931" s="3"/>
    </row>
    <row r="932" spans="1:57" s="77" customFormat="1" hidden="1" outlineLevel="1" x14ac:dyDescent="0.25">
      <c r="A932" s="3" t="s">
        <v>693</v>
      </c>
      <c r="B932" s="3"/>
      <c r="C932" s="3"/>
      <c r="D932" s="3"/>
      <c r="E932" s="3">
        <f t="shared" ref="E932:E992" si="512">F932-D932</f>
        <v>0</v>
      </c>
      <c r="F932" s="3"/>
      <c r="G932" s="3"/>
      <c r="H932" s="3">
        <f t="shared" si="511"/>
        <v>0</v>
      </c>
      <c r="I932" s="3"/>
      <c r="J932" s="3"/>
      <c r="K932" s="4">
        <f t="shared" si="503"/>
        <v>0</v>
      </c>
      <c r="L932" s="4"/>
      <c r="M932" s="4"/>
      <c r="N932" s="4">
        <f t="shared" si="504"/>
        <v>0</v>
      </c>
      <c r="O932" s="3"/>
      <c r="P932" s="3"/>
      <c r="Q932" s="3"/>
      <c r="R932" s="3"/>
      <c r="S932" s="3">
        <f t="shared" si="506"/>
        <v>0</v>
      </c>
      <c r="T932" s="3"/>
      <c r="U932" s="3">
        <f t="shared" si="507"/>
        <v>0</v>
      </c>
      <c r="V932" s="3"/>
      <c r="W932" s="3">
        <f t="shared" si="508"/>
        <v>0</v>
      </c>
      <c r="X932" s="3"/>
      <c r="Y932" s="3"/>
      <c r="Z932" s="3">
        <f t="shared" si="505"/>
        <v>0</v>
      </c>
      <c r="AA932" s="3"/>
      <c r="AB932" s="3"/>
      <c r="AC932" s="3"/>
      <c r="AD932" s="3">
        <f t="shared" si="509"/>
        <v>0</v>
      </c>
      <c r="AE932" s="3"/>
      <c r="AF932" s="3">
        <f t="shared" si="510"/>
        <v>0</v>
      </c>
      <c r="AG932" s="4"/>
      <c r="AH932" s="4"/>
      <c r="AI932" s="3"/>
      <c r="AJ932" s="3"/>
      <c r="AK932" s="3"/>
      <c r="AL932" s="3"/>
      <c r="AM932" s="3"/>
      <c r="AN932" s="3"/>
      <c r="AO932" s="3"/>
      <c r="AP932" s="4"/>
      <c r="AQ932" s="3"/>
      <c r="AR932" s="42"/>
      <c r="AS932" s="3"/>
      <c r="AT932" s="42"/>
      <c r="AU932" s="3"/>
      <c r="AV932" s="42"/>
      <c r="AW932" s="3"/>
      <c r="AX932" s="42"/>
      <c r="AY932" s="3"/>
      <c r="AZ932" s="42"/>
      <c r="BA932" s="3"/>
      <c r="BB932" s="42"/>
      <c r="BC932" s="3"/>
      <c r="BD932" s="42"/>
      <c r="BE932" s="3"/>
    </row>
    <row r="933" spans="1:57" hidden="1" outlineLevel="1" x14ac:dyDescent="0.25">
      <c r="A933" s="3" t="s">
        <v>694</v>
      </c>
      <c r="E933" s="3">
        <f t="shared" si="512"/>
        <v>0</v>
      </c>
      <c r="H933" s="3">
        <f t="shared" si="511"/>
        <v>0</v>
      </c>
      <c r="K933" s="4">
        <f t="shared" si="503"/>
        <v>0</v>
      </c>
      <c r="L933" s="4"/>
      <c r="N933" s="4">
        <f t="shared" si="504"/>
        <v>0</v>
      </c>
      <c r="S933" s="3">
        <f t="shared" si="506"/>
        <v>0</v>
      </c>
      <c r="U933" s="3">
        <f t="shared" si="507"/>
        <v>0</v>
      </c>
      <c r="W933" s="3">
        <f t="shared" si="508"/>
        <v>0</v>
      </c>
      <c r="Z933" s="3">
        <f t="shared" si="505"/>
        <v>0</v>
      </c>
      <c r="AD933" s="3">
        <f t="shared" si="509"/>
        <v>0</v>
      </c>
      <c r="AF933" s="3">
        <f t="shared" si="510"/>
        <v>0</v>
      </c>
      <c r="BC933" s="3"/>
      <c r="BE933" s="3"/>
    </row>
    <row r="934" spans="1:57" s="77" customFormat="1" hidden="1" outlineLevel="1" x14ac:dyDescent="0.25">
      <c r="A934" s="3" t="s">
        <v>695</v>
      </c>
      <c r="B934" s="3"/>
      <c r="C934" s="3"/>
      <c r="D934" s="3"/>
      <c r="E934" s="3">
        <f t="shared" si="512"/>
        <v>0</v>
      </c>
      <c r="F934" s="3"/>
      <c r="G934" s="3"/>
      <c r="H934" s="3">
        <f t="shared" si="511"/>
        <v>0</v>
      </c>
      <c r="I934" s="3"/>
      <c r="J934" s="3"/>
      <c r="K934" s="4">
        <f t="shared" si="503"/>
        <v>0</v>
      </c>
      <c r="L934" s="4"/>
      <c r="M934" s="4"/>
      <c r="N934" s="4">
        <f t="shared" si="504"/>
        <v>0</v>
      </c>
      <c r="O934" s="3"/>
      <c r="P934" s="3">
        <v>20000</v>
      </c>
      <c r="Q934" s="3"/>
      <c r="R934" s="3"/>
      <c r="S934" s="3">
        <f t="shared" si="506"/>
        <v>20000</v>
      </c>
      <c r="T934" s="3">
        <v>20000</v>
      </c>
      <c r="U934" s="3">
        <f t="shared" si="507"/>
        <v>0</v>
      </c>
      <c r="V934" s="3"/>
      <c r="W934" s="3">
        <f t="shared" si="508"/>
        <v>20000</v>
      </c>
      <c r="X934" s="3"/>
      <c r="Y934" s="3">
        <v>20000</v>
      </c>
      <c r="Z934" s="3">
        <f t="shared" si="505"/>
        <v>0</v>
      </c>
      <c r="AA934" s="3"/>
      <c r="AB934" s="3"/>
      <c r="AC934" s="3"/>
      <c r="AD934" s="3">
        <f t="shared" si="509"/>
        <v>20000</v>
      </c>
      <c r="AE934" s="3">
        <v>20000</v>
      </c>
      <c r="AF934" s="3">
        <f t="shared" si="510"/>
        <v>0</v>
      </c>
      <c r="AG934" s="4"/>
      <c r="AH934" s="4"/>
      <c r="AI934" s="3"/>
      <c r="AJ934" s="3"/>
      <c r="AK934" s="3"/>
      <c r="AL934" s="3"/>
      <c r="AM934" s="3"/>
      <c r="AN934" s="3"/>
      <c r="AO934" s="3"/>
      <c r="AP934" s="4"/>
      <c r="AQ934" s="3"/>
      <c r="AR934" s="42"/>
      <c r="AS934" s="3"/>
      <c r="AT934" s="42"/>
      <c r="AU934" s="3"/>
      <c r="AV934" s="42"/>
      <c r="AW934" s="3"/>
      <c r="AX934" s="42"/>
      <c r="AY934" s="3"/>
      <c r="AZ934" s="42"/>
      <c r="BA934" s="3"/>
      <c r="BB934" s="42"/>
      <c r="BC934" s="3"/>
      <c r="BD934" s="42"/>
      <c r="BE934" s="3"/>
    </row>
    <row r="935" spans="1:57" hidden="1" outlineLevel="1" x14ac:dyDescent="0.25">
      <c r="A935" s="3" t="s">
        <v>696</v>
      </c>
      <c r="B935" s="3">
        <f>26800+200</f>
        <v>27000</v>
      </c>
      <c r="D935" s="3">
        <f>14263+1548</f>
        <v>15811</v>
      </c>
      <c r="E935" s="3">
        <f t="shared" si="512"/>
        <v>11189</v>
      </c>
      <c r="F935" s="3">
        <v>27000</v>
      </c>
      <c r="H935" s="3">
        <f t="shared" si="511"/>
        <v>0</v>
      </c>
      <c r="J935" s="3">
        <f>3733</f>
        <v>3733</v>
      </c>
      <c r="K935" s="4">
        <f t="shared" si="503"/>
        <v>3267</v>
      </c>
      <c r="L935" s="4">
        <v>7000</v>
      </c>
      <c r="N935" s="4">
        <f t="shared" si="504"/>
        <v>-20000</v>
      </c>
      <c r="P935" s="3">
        <f>29300+10500</f>
        <v>39800</v>
      </c>
      <c r="S935" s="3">
        <f t="shared" si="506"/>
        <v>39800</v>
      </c>
      <c r="T935" s="3">
        <v>39800</v>
      </c>
      <c r="U935" s="3">
        <f t="shared" si="507"/>
        <v>0</v>
      </c>
      <c r="V935" s="3">
        <f>20468-V947</f>
        <v>16028</v>
      </c>
      <c r="W935" s="3">
        <f t="shared" si="508"/>
        <v>23772</v>
      </c>
      <c r="Y935" s="3">
        <v>39800</v>
      </c>
      <c r="Z935" s="3">
        <f t="shared" si="505"/>
        <v>0</v>
      </c>
      <c r="AC935" s="3">
        <v>40336</v>
      </c>
      <c r="AD935" s="3">
        <f t="shared" si="509"/>
        <v>664</v>
      </c>
      <c r="AE935" s="3">
        <v>41000</v>
      </c>
      <c r="AF935" s="3">
        <f>AE935-Y935</f>
        <v>1200</v>
      </c>
      <c r="AI935" s="3">
        <v>25000</v>
      </c>
      <c r="AK935" s="3">
        <v>24000</v>
      </c>
      <c r="AM935" s="3">
        <v>9000</v>
      </c>
      <c r="AO935" s="3">
        <v>28000</v>
      </c>
      <c r="AQ935" s="3">
        <v>28000</v>
      </c>
      <c r="AS935" s="3">
        <v>28000</v>
      </c>
      <c r="AU935" s="3">
        <v>28000</v>
      </c>
      <c r="AW935" s="3">
        <v>28000</v>
      </c>
      <c r="AY935" s="3">
        <v>28000</v>
      </c>
      <c r="BA935" s="3">
        <v>28000</v>
      </c>
      <c r="BC935" s="3">
        <v>28000</v>
      </c>
      <c r="BE935" s="3">
        <v>28000</v>
      </c>
    </row>
    <row r="936" spans="1:57" hidden="1" outlineLevel="1" x14ac:dyDescent="0.25">
      <c r="A936" s="3" t="s">
        <v>697</v>
      </c>
      <c r="J936" s="3">
        <v>3733</v>
      </c>
      <c r="K936" s="4">
        <f>L936-J936</f>
        <v>29267</v>
      </c>
      <c r="L936" s="4">
        <v>33000</v>
      </c>
      <c r="N936" s="4">
        <f>L936-F936</f>
        <v>33000</v>
      </c>
      <c r="S936" s="3">
        <f t="shared" si="506"/>
        <v>0</v>
      </c>
      <c r="U936" s="3">
        <f t="shared" si="507"/>
        <v>0</v>
      </c>
      <c r="W936" s="3">
        <f t="shared" si="508"/>
        <v>0</v>
      </c>
      <c r="Z936" s="3">
        <f t="shared" si="505"/>
        <v>0</v>
      </c>
      <c r="AD936" s="3">
        <f>AE936-AC936</f>
        <v>0</v>
      </c>
      <c r="AF936" s="3">
        <f>AE936-Y936</f>
        <v>0</v>
      </c>
      <c r="AI936" s="3">
        <v>25000</v>
      </c>
      <c r="BC936" s="3"/>
      <c r="BE936" s="3"/>
    </row>
    <row r="937" spans="1:57" s="77" customFormat="1" hidden="1" outlineLevel="1" x14ac:dyDescent="0.25">
      <c r="A937" s="3" t="s">
        <v>698</v>
      </c>
      <c r="B937" s="3"/>
      <c r="C937" s="3"/>
      <c r="D937" s="3"/>
      <c r="E937" s="3">
        <f t="shared" si="512"/>
        <v>0</v>
      </c>
      <c r="F937" s="3"/>
      <c r="G937" s="3"/>
      <c r="H937" s="3">
        <f t="shared" si="511"/>
        <v>0</v>
      </c>
      <c r="I937" s="3"/>
      <c r="J937" s="3"/>
      <c r="K937" s="4">
        <f t="shared" si="503"/>
        <v>0</v>
      </c>
      <c r="L937" s="4"/>
      <c r="M937" s="4"/>
      <c r="N937" s="4">
        <f t="shared" si="504"/>
        <v>0</v>
      </c>
      <c r="O937" s="3"/>
      <c r="P937" s="3"/>
      <c r="Q937" s="3"/>
      <c r="R937" s="3"/>
      <c r="S937" s="3">
        <f t="shared" si="506"/>
        <v>0</v>
      </c>
      <c r="T937" s="3"/>
      <c r="U937" s="3">
        <f t="shared" si="507"/>
        <v>0</v>
      </c>
      <c r="V937" s="3"/>
      <c r="W937" s="3">
        <f t="shared" si="508"/>
        <v>0</v>
      </c>
      <c r="X937" s="3"/>
      <c r="Y937" s="3"/>
      <c r="Z937" s="3">
        <f t="shared" si="505"/>
        <v>0</v>
      </c>
      <c r="AA937" s="3"/>
      <c r="AB937" s="3"/>
      <c r="AC937" s="3"/>
      <c r="AD937" s="3">
        <f t="shared" si="509"/>
        <v>0</v>
      </c>
      <c r="AE937" s="3"/>
      <c r="AF937" s="3">
        <f t="shared" si="510"/>
        <v>0</v>
      </c>
      <c r="AG937" s="4"/>
      <c r="AH937" s="4"/>
      <c r="AI937" s="3"/>
      <c r="AJ937" s="3"/>
      <c r="AK937" s="3"/>
      <c r="AL937" s="3"/>
      <c r="AM937" s="3"/>
      <c r="AN937" s="3"/>
      <c r="AO937" s="3"/>
      <c r="AP937" s="4"/>
      <c r="AQ937" s="3"/>
      <c r="AR937" s="42"/>
      <c r="AS937" s="3"/>
      <c r="AT937" s="42"/>
      <c r="AU937" s="3"/>
      <c r="AV937" s="42"/>
      <c r="AW937" s="3"/>
      <c r="AX937" s="42"/>
      <c r="AY937" s="3"/>
      <c r="AZ937" s="42"/>
      <c r="BA937" s="3"/>
      <c r="BB937" s="42"/>
      <c r="BC937" s="3"/>
      <c r="BD937" s="42"/>
      <c r="BE937" s="3"/>
    </row>
    <row r="938" spans="1:57" hidden="1" outlineLevel="1" x14ac:dyDescent="0.25">
      <c r="A938" s="3" t="s">
        <v>699</v>
      </c>
      <c r="E938" s="3">
        <f t="shared" si="512"/>
        <v>0</v>
      </c>
      <c r="H938" s="3">
        <f t="shared" si="511"/>
        <v>0</v>
      </c>
      <c r="K938" s="4">
        <f t="shared" si="503"/>
        <v>0</v>
      </c>
      <c r="L938" s="4"/>
      <c r="N938" s="4">
        <f t="shared" si="504"/>
        <v>0</v>
      </c>
      <c r="S938" s="3">
        <f t="shared" si="506"/>
        <v>0</v>
      </c>
      <c r="U938" s="3">
        <f t="shared" si="507"/>
        <v>0</v>
      </c>
      <c r="W938" s="3">
        <f t="shared" si="508"/>
        <v>0</v>
      </c>
      <c r="Z938" s="3">
        <f t="shared" si="505"/>
        <v>0</v>
      </c>
      <c r="AD938" s="3">
        <f t="shared" si="509"/>
        <v>0</v>
      </c>
      <c r="AF938" s="3">
        <f t="shared" si="510"/>
        <v>0</v>
      </c>
      <c r="BC938" s="3"/>
      <c r="BE938" s="3"/>
    </row>
    <row r="939" spans="1:57" s="77" customFormat="1" hidden="1" outlineLevel="1" x14ac:dyDescent="0.25">
      <c r="A939" s="3" t="s">
        <v>700</v>
      </c>
      <c r="B939" s="3"/>
      <c r="C939" s="3"/>
      <c r="D939" s="3"/>
      <c r="E939" s="3">
        <f t="shared" si="512"/>
        <v>0</v>
      </c>
      <c r="F939" s="3"/>
      <c r="G939" s="3"/>
      <c r="H939" s="3">
        <f t="shared" si="511"/>
        <v>0</v>
      </c>
      <c r="I939" s="3"/>
      <c r="J939" s="3"/>
      <c r="K939" s="4">
        <f t="shared" si="503"/>
        <v>0</v>
      </c>
      <c r="L939" s="4"/>
      <c r="M939" s="4"/>
      <c r="N939" s="4">
        <f t="shared" si="504"/>
        <v>0</v>
      </c>
      <c r="O939" s="3"/>
      <c r="P939" s="3"/>
      <c r="Q939" s="3"/>
      <c r="R939" s="3"/>
      <c r="S939" s="3">
        <f t="shared" si="506"/>
        <v>0</v>
      </c>
      <c r="T939" s="3"/>
      <c r="U939" s="3">
        <f t="shared" si="507"/>
        <v>0</v>
      </c>
      <c r="V939" s="3"/>
      <c r="W939" s="3">
        <f t="shared" si="508"/>
        <v>0</v>
      </c>
      <c r="X939" s="3"/>
      <c r="Y939" s="3"/>
      <c r="Z939" s="3">
        <f t="shared" si="505"/>
        <v>0</v>
      </c>
      <c r="AA939" s="3"/>
      <c r="AB939" s="3"/>
      <c r="AC939" s="3"/>
      <c r="AD939" s="3">
        <f t="shared" si="509"/>
        <v>0</v>
      </c>
      <c r="AE939" s="3"/>
      <c r="AF939" s="3">
        <f t="shared" si="510"/>
        <v>0</v>
      </c>
      <c r="AG939" s="4"/>
      <c r="AH939" s="4"/>
      <c r="AI939" s="3"/>
      <c r="AJ939" s="3"/>
      <c r="AK939" s="3"/>
      <c r="AL939" s="3"/>
      <c r="AM939" s="3"/>
      <c r="AN939" s="3"/>
      <c r="AO939" s="3"/>
      <c r="AP939" s="4"/>
      <c r="AQ939" s="3"/>
      <c r="AR939" s="42"/>
      <c r="AS939" s="3"/>
      <c r="AT939" s="42"/>
      <c r="AU939" s="3"/>
      <c r="AV939" s="42"/>
      <c r="AW939" s="3"/>
      <c r="AX939" s="42"/>
      <c r="AY939" s="3"/>
      <c r="AZ939" s="42"/>
      <c r="BA939" s="3"/>
      <c r="BB939" s="42"/>
      <c r="BC939" s="3"/>
      <c r="BD939" s="42"/>
      <c r="BE939" s="3"/>
    </row>
    <row r="940" spans="1:57" hidden="1" outlineLevel="1" x14ac:dyDescent="0.25">
      <c r="A940" s="3" t="s">
        <v>701</v>
      </c>
      <c r="E940" s="3">
        <f t="shared" si="512"/>
        <v>0</v>
      </c>
      <c r="H940" s="3">
        <f t="shared" si="511"/>
        <v>0</v>
      </c>
      <c r="K940" s="4">
        <f t="shared" si="503"/>
        <v>0</v>
      </c>
      <c r="L940" s="4"/>
      <c r="N940" s="4">
        <f t="shared" si="504"/>
        <v>0</v>
      </c>
      <c r="S940" s="3">
        <f t="shared" si="506"/>
        <v>0</v>
      </c>
      <c r="U940" s="3">
        <f t="shared" si="507"/>
        <v>0</v>
      </c>
      <c r="W940" s="3">
        <f t="shared" si="508"/>
        <v>0</v>
      </c>
      <c r="Z940" s="3">
        <f t="shared" si="505"/>
        <v>0</v>
      </c>
      <c r="AD940" s="3">
        <f t="shared" si="509"/>
        <v>0</v>
      </c>
      <c r="AF940" s="3">
        <f t="shared" si="510"/>
        <v>0</v>
      </c>
      <c r="BC940" s="3"/>
      <c r="BE940" s="3"/>
    </row>
    <row r="941" spans="1:57" hidden="1" outlineLevel="1" x14ac:dyDescent="0.25">
      <c r="A941" s="3" t="s">
        <v>702</v>
      </c>
      <c r="K941" s="4"/>
      <c r="L941" s="4"/>
      <c r="N941" s="4"/>
      <c r="AI941" s="3">
        <v>80000</v>
      </c>
      <c r="BC941" s="3"/>
      <c r="BE941" s="3"/>
    </row>
    <row r="942" spans="1:57" hidden="1" outlineLevel="1" x14ac:dyDescent="0.25">
      <c r="A942" s="3" t="s">
        <v>703</v>
      </c>
      <c r="K942" s="4"/>
      <c r="L942" s="4"/>
      <c r="N942" s="4"/>
      <c r="AI942" s="3">
        <v>20000</v>
      </c>
      <c r="BC942" s="3"/>
      <c r="BE942" s="3"/>
    </row>
    <row r="943" spans="1:57" s="77" customFormat="1" hidden="1" outlineLevel="1" x14ac:dyDescent="0.25">
      <c r="A943" s="3" t="s">
        <v>704</v>
      </c>
      <c r="B943" s="3">
        <v>2000</v>
      </c>
      <c r="C943" s="3"/>
      <c r="D943" s="3"/>
      <c r="E943" s="3">
        <f t="shared" si="512"/>
        <v>2000</v>
      </c>
      <c r="F943" s="3">
        <v>2000</v>
      </c>
      <c r="G943" s="3"/>
      <c r="H943" s="3">
        <f t="shared" si="511"/>
        <v>0</v>
      </c>
      <c r="I943" s="3"/>
      <c r="J943" s="3"/>
      <c r="K943" s="4">
        <f t="shared" si="503"/>
        <v>0</v>
      </c>
      <c r="L943" s="4"/>
      <c r="M943" s="4"/>
      <c r="N943" s="4">
        <f t="shared" si="504"/>
        <v>-2000</v>
      </c>
      <c r="O943" s="3"/>
      <c r="P943" s="3">
        <v>2000</v>
      </c>
      <c r="Q943" s="3"/>
      <c r="R943" s="3"/>
      <c r="S943" s="3">
        <f t="shared" si="506"/>
        <v>2000</v>
      </c>
      <c r="T943" s="3">
        <v>2000</v>
      </c>
      <c r="U943" s="3">
        <f t="shared" si="507"/>
        <v>0</v>
      </c>
      <c r="V943" s="3"/>
      <c r="W943" s="3">
        <f t="shared" si="508"/>
        <v>2000</v>
      </c>
      <c r="X943" s="3"/>
      <c r="Y943" s="3">
        <v>2000</v>
      </c>
      <c r="Z943" s="3">
        <f t="shared" si="505"/>
        <v>0</v>
      </c>
      <c r="AA943" s="3"/>
      <c r="AB943" s="3"/>
      <c r="AC943" s="3"/>
      <c r="AD943" s="3">
        <f>AE943-AC943</f>
        <v>2000</v>
      </c>
      <c r="AE943" s="3">
        <v>2000</v>
      </c>
      <c r="AF943" s="3">
        <f t="shared" si="510"/>
        <v>0</v>
      </c>
      <c r="AG943" s="4"/>
      <c r="AH943" s="4"/>
      <c r="AI943" s="3">
        <v>2000</v>
      </c>
      <c r="AJ943" s="3"/>
      <c r="AK943" s="3">
        <v>2000</v>
      </c>
      <c r="AL943" s="3"/>
      <c r="AM943" s="3">
        <v>2000</v>
      </c>
      <c r="AN943" s="3"/>
      <c r="AO943" s="3">
        <v>2000</v>
      </c>
      <c r="AP943" s="4"/>
      <c r="AQ943" s="3">
        <v>2000</v>
      </c>
      <c r="AR943" s="42"/>
      <c r="AS943" s="3">
        <v>2000</v>
      </c>
      <c r="AT943" s="42"/>
      <c r="AU943" s="3">
        <v>2000</v>
      </c>
      <c r="AV943" s="42"/>
      <c r="AW943" s="3">
        <v>2000</v>
      </c>
      <c r="AX943" s="42"/>
      <c r="AY943" s="3">
        <v>2000</v>
      </c>
      <c r="AZ943" s="42"/>
      <c r="BA943" s="3">
        <v>2000</v>
      </c>
      <c r="BB943" s="42"/>
      <c r="BC943" s="3">
        <v>2000</v>
      </c>
      <c r="BD943" s="42"/>
      <c r="BE943" s="3">
        <v>2000</v>
      </c>
    </row>
    <row r="944" spans="1:57" hidden="1" outlineLevel="1" x14ac:dyDescent="0.25">
      <c r="A944" s="3" t="s">
        <v>705</v>
      </c>
      <c r="E944" s="3">
        <f t="shared" si="512"/>
        <v>2000</v>
      </c>
      <c r="F944" s="3">
        <v>2000</v>
      </c>
      <c r="H944" s="3">
        <f t="shared" si="511"/>
        <v>2000</v>
      </c>
      <c r="K944" s="4">
        <f t="shared" si="503"/>
        <v>2000</v>
      </c>
      <c r="L944" s="4">
        <v>2000</v>
      </c>
      <c r="N944" s="4">
        <f t="shared" si="504"/>
        <v>0</v>
      </c>
      <c r="P944" s="3">
        <v>80000</v>
      </c>
      <c r="S944" s="3">
        <f t="shared" si="506"/>
        <v>80000</v>
      </c>
      <c r="T944" s="3">
        <v>80000</v>
      </c>
      <c r="U944" s="3">
        <f t="shared" si="507"/>
        <v>0</v>
      </c>
      <c r="W944" s="3">
        <f t="shared" si="508"/>
        <v>80000</v>
      </c>
      <c r="Y944" s="3">
        <v>80000</v>
      </c>
      <c r="Z944" s="3">
        <f t="shared" si="505"/>
        <v>0</v>
      </c>
      <c r="AC944" s="3">
        <v>0</v>
      </c>
      <c r="AD944" s="3">
        <f>AE944-AC944</f>
        <v>80000</v>
      </c>
      <c r="AE944" s="3">
        <v>80000</v>
      </c>
      <c r="AF944" s="3">
        <f>AE944-Y944</f>
        <v>0</v>
      </c>
      <c r="BC944" s="3"/>
      <c r="BE944" s="3"/>
    </row>
    <row r="945" spans="1:57" hidden="1" outlineLevel="1" x14ac:dyDescent="0.25">
      <c r="A945" s="3" t="s">
        <v>706</v>
      </c>
      <c r="E945" s="3">
        <f t="shared" si="512"/>
        <v>0</v>
      </c>
      <c r="H945" s="3">
        <f t="shared" si="511"/>
        <v>0</v>
      </c>
      <c r="K945" s="4">
        <f t="shared" si="503"/>
        <v>0</v>
      </c>
      <c r="L945" s="4"/>
      <c r="N945" s="4">
        <f t="shared" si="504"/>
        <v>0</v>
      </c>
      <c r="S945" s="3">
        <f t="shared" si="506"/>
        <v>0</v>
      </c>
      <c r="U945" s="3">
        <f t="shared" si="507"/>
        <v>0</v>
      </c>
      <c r="W945" s="3">
        <f t="shared" si="508"/>
        <v>0</v>
      </c>
      <c r="Z945" s="3">
        <f t="shared" si="505"/>
        <v>0</v>
      </c>
      <c r="AD945" s="3">
        <f t="shared" si="509"/>
        <v>0</v>
      </c>
      <c r="BC945" s="3"/>
      <c r="BE945" s="3"/>
    </row>
    <row r="946" spans="1:57" s="77" customFormat="1" hidden="1" outlineLevel="1" x14ac:dyDescent="0.25">
      <c r="A946" s="3" t="s">
        <v>707</v>
      </c>
      <c r="B946" s="3"/>
      <c r="C946" s="3"/>
      <c r="D946" s="3"/>
      <c r="E946" s="3">
        <f t="shared" si="512"/>
        <v>0</v>
      </c>
      <c r="F946" s="3"/>
      <c r="G946" s="3"/>
      <c r="H946" s="3">
        <f t="shared" si="511"/>
        <v>0</v>
      </c>
      <c r="I946" s="3"/>
      <c r="J946" s="3"/>
      <c r="K946" s="4">
        <f t="shared" si="503"/>
        <v>0</v>
      </c>
      <c r="L946" s="4"/>
      <c r="M946" s="4"/>
      <c r="N946" s="4">
        <f t="shared" si="504"/>
        <v>0</v>
      </c>
      <c r="O946" s="3"/>
      <c r="P946" s="3"/>
      <c r="Q946" s="3"/>
      <c r="R946" s="3"/>
      <c r="S946" s="3">
        <f t="shared" si="506"/>
        <v>0</v>
      </c>
      <c r="T946" s="3"/>
      <c r="U946" s="3">
        <f t="shared" si="507"/>
        <v>0</v>
      </c>
      <c r="V946" s="3"/>
      <c r="W946" s="3">
        <f t="shared" si="508"/>
        <v>0</v>
      </c>
      <c r="X946" s="3"/>
      <c r="Y946" s="3"/>
      <c r="Z946" s="3">
        <f t="shared" si="505"/>
        <v>0</v>
      </c>
      <c r="AA946" s="3"/>
      <c r="AB946" s="3"/>
      <c r="AC946" s="3"/>
      <c r="AD946" s="3">
        <f t="shared" si="509"/>
        <v>0</v>
      </c>
      <c r="AE946" s="3"/>
      <c r="AF946" s="3"/>
      <c r="AG946" s="4"/>
      <c r="AH946" s="4"/>
      <c r="AI946" s="3"/>
      <c r="AJ946" s="3"/>
      <c r="AK946" s="3"/>
      <c r="AL946" s="3"/>
      <c r="AM946" s="3"/>
      <c r="AN946" s="3"/>
      <c r="AO946" s="3"/>
      <c r="AP946" s="4"/>
      <c r="AQ946" s="3"/>
      <c r="AR946" s="42"/>
      <c r="AS946" s="3"/>
      <c r="AT946" s="42"/>
      <c r="AU946" s="3"/>
      <c r="AV946" s="42"/>
      <c r="AW946" s="3"/>
      <c r="AX946" s="42"/>
      <c r="AY946" s="3"/>
      <c r="AZ946" s="42"/>
      <c r="BA946" s="3"/>
      <c r="BB946" s="42"/>
      <c r="BC946" s="3"/>
      <c r="BD946" s="42"/>
      <c r="BE946" s="3"/>
    </row>
    <row r="947" spans="1:57" hidden="1" outlineLevel="1" x14ac:dyDescent="0.25">
      <c r="A947" s="3" t="s">
        <v>708</v>
      </c>
      <c r="B947" s="3">
        <v>5500</v>
      </c>
      <c r="E947" s="3">
        <f t="shared" si="512"/>
        <v>5500</v>
      </c>
      <c r="F947" s="3">
        <v>5500</v>
      </c>
      <c r="H947" s="3">
        <f t="shared" si="511"/>
        <v>0</v>
      </c>
      <c r="K947" s="4">
        <f t="shared" si="503"/>
        <v>5500</v>
      </c>
      <c r="L947" s="4">
        <v>5500</v>
      </c>
      <c r="N947" s="4">
        <f t="shared" si="504"/>
        <v>0</v>
      </c>
      <c r="P947" s="3">
        <f>B947*1.02-10</f>
        <v>5600</v>
      </c>
      <c r="S947" s="3">
        <f t="shared" si="506"/>
        <v>5600</v>
      </c>
      <c r="T947" s="3">
        <v>5600</v>
      </c>
      <c r="U947" s="3">
        <f t="shared" si="507"/>
        <v>0</v>
      </c>
      <c r="V947" s="3">
        <v>4440</v>
      </c>
      <c r="W947" s="3">
        <f t="shared" si="508"/>
        <v>4440</v>
      </c>
      <c r="Y947" s="3">
        <v>8880</v>
      </c>
      <c r="Z947" s="3">
        <f t="shared" si="505"/>
        <v>3280</v>
      </c>
      <c r="AC947" s="3">
        <v>11068</v>
      </c>
      <c r="AD947" s="3">
        <f>AE947-AC947</f>
        <v>2</v>
      </c>
      <c r="AE947" s="3">
        <v>11070</v>
      </c>
      <c r="AF947" s="3">
        <f>AE947-Y947</f>
        <v>2190</v>
      </c>
      <c r="AI947" s="3">
        <v>5500</v>
      </c>
      <c r="AK947" s="3">
        <f>AI947*1.02</f>
        <v>5610</v>
      </c>
      <c r="AM947" s="3">
        <f>AK947*1.02</f>
        <v>5722.2</v>
      </c>
      <c r="AO947" s="3">
        <f>AM947*1.02</f>
        <v>5836.6440000000002</v>
      </c>
      <c r="AQ947" s="3">
        <f>AO947*1.02</f>
        <v>5953.3768800000007</v>
      </c>
      <c r="AS947" s="3">
        <f>AQ947*1.02</f>
        <v>6072.4444176000006</v>
      </c>
      <c r="AU947" s="3">
        <f>AS947*1.02</f>
        <v>6193.8933059520004</v>
      </c>
      <c r="AW947" s="3">
        <f>AU947*1.02</f>
        <v>6317.7711720710404</v>
      </c>
      <c r="AY947" s="3">
        <f>AW947*1.02</f>
        <v>6444.1265955124609</v>
      </c>
      <c r="BA947" s="3">
        <f>AY947*1.02</f>
        <v>6573.0091274227107</v>
      </c>
      <c r="BC947" s="3">
        <f>BA947*1.02</f>
        <v>6704.4693099711649</v>
      </c>
      <c r="BE947" s="3">
        <f>BC947*1.02</f>
        <v>6838.5586961705885</v>
      </c>
    </row>
    <row r="948" spans="1:57" s="77" customFormat="1" hidden="1" outlineLevel="1" x14ac:dyDescent="0.25">
      <c r="A948" s="3" t="s">
        <v>709</v>
      </c>
      <c r="B948" s="3"/>
      <c r="C948" s="3"/>
      <c r="D948" s="3"/>
      <c r="E948" s="3">
        <f t="shared" si="512"/>
        <v>0</v>
      </c>
      <c r="F948" s="3"/>
      <c r="G948" s="3"/>
      <c r="H948" s="3">
        <f t="shared" si="511"/>
        <v>0</v>
      </c>
      <c r="I948" s="3"/>
      <c r="J948" s="3"/>
      <c r="K948" s="4">
        <f t="shared" si="503"/>
        <v>0</v>
      </c>
      <c r="L948" s="4"/>
      <c r="M948" s="4"/>
      <c r="N948" s="4">
        <f t="shared" si="504"/>
        <v>0</v>
      </c>
      <c r="O948" s="3"/>
      <c r="P948" s="3"/>
      <c r="Q948" s="3"/>
      <c r="R948" s="3"/>
      <c r="S948" s="3">
        <f t="shared" si="506"/>
        <v>0</v>
      </c>
      <c r="T948" s="3"/>
      <c r="U948" s="3">
        <f t="shared" si="507"/>
        <v>0</v>
      </c>
      <c r="V948" s="3"/>
      <c r="W948" s="3">
        <f t="shared" si="508"/>
        <v>0</v>
      </c>
      <c r="X948" s="3"/>
      <c r="Y948" s="3"/>
      <c r="Z948" s="3">
        <f t="shared" si="505"/>
        <v>0</v>
      </c>
      <c r="AA948" s="3"/>
      <c r="AB948" s="3"/>
      <c r="AC948" s="3"/>
      <c r="AD948" s="3">
        <f t="shared" si="509"/>
        <v>0</v>
      </c>
      <c r="AE948" s="3"/>
      <c r="AF948" s="3">
        <f t="shared" si="510"/>
        <v>0</v>
      </c>
      <c r="AG948" s="4"/>
      <c r="AH948" s="4"/>
      <c r="AI948" s="3"/>
      <c r="AJ948" s="3"/>
      <c r="AK948" s="3"/>
      <c r="AL948" s="3"/>
      <c r="AM948" s="3">
        <v>4000</v>
      </c>
      <c r="AN948" s="3"/>
      <c r="AO948" s="3"/>
      <c r="AP948" s="4"/>
      <c r="AQ948" s="3"/>
      <c r="AR948" s="42"/>
      <c r="AS948" s="3"/>
      <c r="AT948" s="42"/>
      <c r="AU948" s="3"/>
      <c r="AV948" s="42"/>
      <c r="AW948" s="3"/>
      <c r="AX948" s="42"/>
      <c r="AY948" s="3"/>
      <c r="AZ948" s="42"/>
      <c r="BA948" s="3"/>
      <c r="BB948" s="42"/>
      <c r="BC948" s="3"/>
      <c r="BD948" s="42"/>
      <c r="BE948" s="3"/>
    </row>
    <row r="949" spans="1:57" hidden="1" outlineLevel="1" x14ac:dyDescent="0.25">
      <c r="A949" s="3" t="s">
        <v>710</v>
      </c>
      <c r="B949" s="3">
        <v>3000</v>
      </c>
      <c r="E949" s="3">
        <f>F949-D949</f>
        <v>3000</v>
      </c>
      <c r="F949" s="3">
        <v>3000</v>
      </c>
      <c r="H949" s="3">
        <f t="shared" si="511"/>
        <v>0</v>
      </c>
      <c r="K949" s="4">
        <f t="shared" si="503"/>
        <v>3000</v>
      </c>
      <c r="L949" s="4">
        <v>3000</v>
      </c>
      <c r="N949" s="4">
        <f t="shared" si="504"/>
        <v>0</v>
      </c>
      <c r="S949" s="3">
        <f t="shared" si="506"/>
        <v>0</v>
      </c>
      <c r="U949" s="3">
        <f t="shared" si="507"/>
        <v>0</v>
      </c>
      <c r="W949" s="3">
        <f t="shared" si="508"/>
        <v>0</v>
      </c>
      <c r="Z949" s="3">
        <f t="shared" si="505"/>
        <v>0</v>
      </c>
      <c r="AD949" s="3">
        <f t="shared" si="509"/>
        <v>0</v>
      </c>
      <c r="AF949" s="3">
        <f t="shared" si="510"/>
        <v>0</v>
      </c>
      <c r="BC949" s="3"/>
      <c r="BE949" s="3"/>
    </row>
    <row r="950" spans="1:57" s="77" customFormat="1" hidden="1" outlineLevel="1" x14ac:dyDescent="0.25">
      <c r="A950" s="3" t="s">
        <v>711</v>
      </c>
      <c r="B950" s="3"/>
      <c r="C950" s="3"/>
      <c r="D950" s="3"/>
      <c r="E950" s="3">
        <f>F950-D950</f>
        <v>0</v>
      </c>
      <c r="F950" s="3"/>
      <c r="G950" s="3"/>
      <c r="H950" s="3">
        <f t="shared" si="511"/>
        <v>0</v>
      </c>
      <c r="I950" s="3"/>
      <c r="J950" s="3"/>
      <c r="K950" s="4">
        <f t="shared" si="503"/>
        <v>0</v>
      </c>
      <c r="L950" s="4"/>
      <c r="M950" s="4"/>
      <c r="N950" s="4">
        <f t="shared" si="504"/>
        <v>0</v>
      </c>
      <c r="O950" s="3"/>
      <c r="P950" s="3"/>
      <c r="Q950" s="3"/>
      <c r="R950" s="3"/>
      <c r="S950" s="3">
        <f t="shared" si="506"/>
        <v>0</v>
      </c>
      <c r="T950" s="3"/>
      <c r="U950" s="3">
        <f t="shared" si="507"/>
        <v>0</v>
      </c>
      <c r="V950" s="3"/>
      <c r="W950" s="3">
        <f t="shared" si="508"/>
        <v>0</v>
      </c>
      <c r="X950" s="3"/>
      <c r="Y950" s="3"/>
      <c r="Z950" s="3">
        <f t="shared" si="505"/>
        <v>0</v>
      </c>
      <c r="AA950" s="3"/>
      <c r="AB950" s="3"/>
      <c r="AC950" s="3"/>
      <c r="AD950" s="3">
        <f t="shared" si="509"/>
        <v>0</v>
      </c>
      <c r="AE950" s="3"/>
      <c r="AF950" s="3">
        <f t="shared" si="510"/>
        <v>0</v>
      </c>
      <c r="AG950" s="4"/>
      <c r="AH950" s="4"/>
      <c r="AI950" s="3"/>
      <c r="AJ950" s="3"/>
      <c r="AK950" s="3"/>
      <c r="AL950" s="3"/>
      <c r="AM950" s="3"/>
      <c r="AN950" s="3"/>
      <c r="AO950" s="3"/>
      <c r="AP950" s="4"/>
      <c r="AQ950" s="3"/>
      <c r="AR950" s="42"/>
      <c r="AS950" s="3"/>
      <c r="AT950" s="42"/>
      <c r="AU950" s="3"/>
      <c r="AV950" s="42"/>
      <c r="AW950" s="3"/>
      <c r="AX950" s="42"/>
      <c r="AY950" s="3"/>
      <c r="AZ950" s="42"/>
      <c r="BA950" s="3"/>
      <c r="BB950" s="42"/>
      <c r="BC950" s="3"/>
      <c r="BD950" s="42"/>
      <c r="BE950" s="3"/>
    </row>
    <row r="951" spans="1:57" s="77" customFormat="1" hidden="1" outlineLevel="1" x14ac:dyDescent="0.25">
      <c r="A951" s="3" t="s">
        <v>712</v>
      </c>
      <c r="B951" s="3">
        <v>25000</v>
      </c>
      <c r="C951" s="3"/>
      <c r="D951" s="3"/>
      <c r="E951" s="3">
        <f>F951-D951</f>
        <v>25000</v>
      </c>
      <c r="F951" s="3">
        <v>25000</v>
      </c>
      <c r="G951" s="3"/>
      <c r="H951" s="3">
        <f t="shared" si="511"/>
        <v>0</v>
      </c>
      <c r="I951" s="3"/>
      <c r="J951" s="3">
        <v>0</v>
      </c>
      <c r="K951" s="4">
        <f t="shared" si="503"/>
        <v>25000</v>
      </c>
      <c r="L951" s="4">
        <v>25000</v>
      </c>
      <c r="M951" s="4"/>
      <c r="N951" s="4"/>
      <c r="O951" s="3"/>
      <c r="P951" s="3">
        <v>25000</v>
      </c>
      <c r="Q951" s="3"/>
      <c r="R951" s="3">
        <v>2348</v>
      </c>
      <c r="S951" s="3">
        <f t="shared" si="506"/>
        <v>49652</v>
      </c>
      <c r="T951" s="3">
        <v>52000</v>
      </c>
      <c r="U951" s="3">
        <f t="shared" si="507"/>
        <v>27000</v>
      </c>
      <c r="V951" s="3">
        <v>16670</v>
      </c>
      <c r="W951" s="3">
        <f t="shared" si="508"/>
        <v>35330</v>
      </c>
      <c r="X951" s="3"/>
      <c r="Y951" s="3">
        <v>52000</v>
      </c>
      <c r="Z951" s="3">
        <f t="shared" si="505"/>
        <v>0</v>
      </c>
      <c r="AA951" s="3"/>
      <c r="AB951" s="3"/>
      <c r="AC951" s="3">
        <v>62148</v>
      </c>
      <c r="AD951" s="3">
        <f t="shared" si="509"/>
        <v>52</v>
      </c>
      <c r="AE951" s="3">
        <v>62200</v>
      </c>
      <c r="AF951" s="3">
        <f t="shared" si="510"/>
        <v>10200</v>
      </c>
      <c r="AG951" s="4"/>
      <c r="AH951" s="4"/>
      <c r="AI951" s="3"/>
      <c r="AJ951" s="3"/>
      <c r="AK951" s="3"/>
      <c r="AL951" s="3"/>
      <c r="AM951" s="3"/>
      <c r="AN951" s="3"/>
      <c r="AO951" s="3"/>
      <c r="AP951" s="4"/>
      <c r="AQ951" s="3"/>
      <c r="AR951" s="42"/>
      <c r="AS951" s="3"/>
      <c r="AT951" s="42"/>
      <c r="AU951" s="3"/>
      <c r="AV951" s="42"/>
      <c r="AW951" s="3"/>
      <c r="AX951" s="42"/>
      <c r="AY951" s="3"/>
      <c r="AZ951" s="42"/>
      <c r="BA951" s="3"/>
      <c r="BB951" s="42"/>
      <c r="BC951" s="3"/>
      <c r="BD951" s="42"/>
      <c r="BE951" s="3"/>
    </row>
    <row r="952" spans="1:57" hidden="1" outlineLevel="1" x14ac:dyDescent="0.25">
      <c r="A952" s="3" t="s">
        <v>713</v>
      </c>
      <c r="E952" s="3">
        <f>F952-D952</f>
        <v>0</v>
      </c>
      <c r="H952" s="3">
        <f t="shared" si="511"/>
        <v>0</v>
      </c>
      <c r="K952" s="4">
        <f t="shared" si="503"/>
        <v>0</v>
      </c>
      <c r="L952" s="4"/>
      <c r="N952" s="4">
        <f t="shared" si="504"/>
        <v>0</v>
      </c>
      <c r="P952" s="3">
        <v>10000</v>
      </c>
      <c r="S952" s="3">
        <f t="shared" si="506"/>
        <v>7000</v>
      </c>
      <c r="T952" s="3">
        <v>7000</v>
      </c>
      <c r="U952" s="3">
        <f t="shared" si="507"/>
        <v>-3000</v>
      </c>
      <c r="W952" s="3">
        <f t="shared" si="508"/>
        <v>7000</v>
      </c>
      <c r="Y952" s="3">
        <v>7000</v>
      </c>
      <c r="Z952" s="3">
        <f t="shared" si="505"/>
        <v>0</v>
      </c>
      <c r="AD952" s="3">
        <f t="shared" si="509"/>
        <v>5000</v>
      </c>
      <c r="AE952" s="3">
        <v>5000</v>
      </c>
      <c r="AF952" s="3">
        <f t="shared" si="510"/>
        <v>-2000</v>
      </c>
      <c r="BC952" s="3"/>
      <c r="BE952" s="3"/>
    </row>
    <row r="953" spans="1:57" s="77" customFormat="1" hidden="1" outlineLevel="1" x14ac:dyDescent="0.25">
      <c r="A953" s="3" t="s">
        <v>714</v>
      </c>
      <c r="B953" s="3"/>
      <c r="C953" s="3"/>
      <c r="D953" s="3"/>
      <c r="E953" s="3">
        <f>F953-D953</f>
        <v>0</v>
      </c>
      <c r="F953" s="3"/>
      <c r="G953" s="3"/>
      <c r="H953" s="3">
        <f t="shared" si="511"/>
        <v>0</v>
      </c>
      <c r="I953" s="3"/>
      <c r="J953" s="3"/>
      <c r="K953" s="4">
        <f t="shared" si="503"/>
        <v>0</v>
      </c>
      <c r="L953" s="4"/>
      <c r="M953" s="4"/>
      <c r="N953" s="4">
        <f t="shared" si="504"/>
        <v>0</v>
      </c>
      <c r="O953" s="3"/>
      <c r="P953" s="3"/>
      <c r="Q953" s="3"/>
      <c r="R953" s="3"/>
      <c r="S953" s="3">
        <f t="shared" si="506"/>
        <v>0</v>
      </c>
      <c r="T953" s="3"/>
      <c r="U953" s="3">
        <f t="shared" si="507"/>
        <v>0</v>
      </c>
      <c r="V953" s="3"/>
      <c r="W953" s="3">
        <f t="shared" si="508"/>
        <v>0</v>
      </c>
      <c r="X953" s="3"/>
      <c r="Y953" s="3"/>
      <c r="Z953" s="3">
        <f t="shared" si="505"/>
        <v>0</v>
      </c>
      <c r="AA953" s="3"/>
      <c r="AB953" s="3"/>
      <c r="AC953" s="3"/>
      <c r="AD953" s="3">
        <f t="shared" si="509"/>
        <v>0</v>
      </c>
      <c r="AE953" s="3"/>
      <c r="AF953" s="3">
        <f t="shared" si="510"/>
        <v>0</v>
      </c>
      <c r="AG953" s="4"/>
      <c r="AH953" s="4"/>
      <c r="AI953" s="3">
        <v>5000</v>
      </c>
      <c r="AJ953" s="3"/>
      <c r="AK953" s="3">
        <v>5000</v>
      </c>
      <c r="AL953" s="3"/>
      <c r="AM953" s="3">
        <v>5000</v>
      </c>
      <c r="AN953" s="3"/>
      <c r="AO953" s="3"/>
      <c r="AP953" s="4"/>
      <c r="AQ953" s="3"/>
      <c r="AR953" s="42"/>
      <c r="AS953" s="3"/>
      <c r="AT953" s="42"/>
      <c r="AU953" s="3"/>
      <c r="AV953" s="42"/>
      <c r="AW953" s="3"/>
      <c r="AX953" s="42"/>
      <c r="AY953" s="3"/>
      <c r="AZ953" s="42"/>
      <c r="BA953" s="3"/>
      <c r="BB953" s="42"/>
      <c r="BC953" s="3"/>
      <c r="BD953" s="42"/>
      <c r="BE953" s="3"/>
    </row>
    <row r="954" spans="1:57" hidden="1" outlineLevel="1" x14ac:dyDescent="0.25">
      <c r="A954" s="3" t="s">
        <v>715</v>
      </c>
      <c r="E954" s="3">
        <f t="shared" si="512"/>
        <v>0</v>
      </c>
      <c r="H954" s="3">
        <f t="shared" si="511"/>
        <v>0</v>
      </c>
      <c r="K954" s="4">
        <f t="shared" si="503"/>
        <v>0</v>
      </c>
      <c r="L954" s="4"/>
      <c r="N954" s="4">
        <f t="shared" si="504"/>
        <v>0</v>
      </c>
      <c r="S954" s="3">
        <f t="shared" si="506"/>
        <v>0</v>
      </c>
      <c r="U954" s="3">
        <f t="shared" si="507"/>
        <v>0</v>
      </c>
      <c r="W954" s="3">
        <f t="shared" si="508"/>
        <v>0</v>
      </c>
      <c r="Z954" s="3">
        <f t="shared" si="505"/>
        <v>0</v>
      </c>
      <c r="AD954" s="3">
        <f t="shared" si="509"/>
        <v>0</v>
      </c>
      <c r="AF954" s="3">
        <f t="shared" si="510"/>
        <v>0</v>
      </c>
      <c r="BC954" s="3"/>
      <c r="BE954" s="3"/>
    </row>
    <row r="955" spans="1:57" s="77" customFormat="1" hidden="1" outlineLevel="1" x14ac:dyDescent="0.25">
      <c r="A955" s="3" t="s">
        <v>716</v>
      </c>
      <c r="B955" s="3"/>
      <c r="C955" s="3"/>
      <c r="D955" s="3"/>
      <c r="E955" s="3">
        <f t="shared" si="512"/>
        <v>0</v>
      </c>
      <c r="F955" s="3"/>
      <c r="G955" s="3"/>
      <c r="H955" s="3">
        <f t="shared" si="511"/>
        <v>0</v>
      </c>
      <c r="I955" s="3"/>
      <c r="J955" s="3"/>
      <c r="K955" s="4">
        <f t="shared" si="503"/>
        <v>0</v>
      </c>
      <c r="L955" s="4"/>
      <c r="M955" s="4"/>
      <c r="N955" s="4">
        <f t="shared" si="504"/>
        <v>0</v>
      </c>
      <c r="O955" s="3"/>
      <c r="P955" s="3"/>
      <c r="Q955" s="3"/>
      <c r="R955" s="3"/>
      <c r="S955" s="3">
        <f t="shared" si="506"/>
        <v>0</v>
      </c>
      <c r="T955" s="3"/>
      <c r="U955" s="3">
        <f t="shared" si="507"/>
        <v>0</v>
      </c>
      <c r="V955" s="3"/>
      <c r="W955" s="3">
        <f t="shared" si="508"/>
        <v>0</v>
      </c>
      <c r="X955" s="3"/>
      <c r="Y955" s="3"/>
      <c r="Z955" s="3">
        <f t="shared" si="505"/>
        <v>0</v>
      </c>
      <c r="AA955" s="3"/>
      <c r="AB955" s="3"/>
      <c r="AC955" s="3"/>
      <c r="AD955" s="3">
        <f t="shared" si="509"/>
        <v>0</v>
      </c>
      <c r="AE955" s="3"/>
      <c r="AF955" s="3">
        <f t="shared" si="510"/>
        <v>0</v>
      </c>
      <c r="AG955" s="4"/>
      <c r="AH955" s="4"/>
      <c r="AI955" s="3"/>
      <c r="AJ955" s="3"/>
      <c r="AK955" s="3"/>
      <c r="AL955" s="3"/>
      <c r="AM955" s="3"/>
      <c r="AN955" s="3"/>
      <c r="AO955" s="3"/>
      <c r="AP955" s="4"/>
      <c r="AQ955" s="3"/>
      <c r="AR955" s="42"/>
      <c r="AS955" s="3"/>
      <c r="AT955" s="42"/>
      <c r="AU955" s="3"/>
      <c r="AV955" s="42"/>
      <c r="AW955" s="3"/>
      <c r="AX955" s="42"/>
      <c r="AY955" s="3"/>
      <c r="AZ955" s="42"/>
      <c r="BA955" s="3"/>
      <c r="BB955" s="42"/>
      <c r="BC955" s="3"/>
      <c r="BD955" s="42"/>
      <c r="BE955" s="3"/>
    </row>
    <row r="956" spans="1:57" hidden="1" outlineLevel="1" x14ac:dyDescent="0.25">
      <c r="A956" s="3" t="s">
        <v>717</v>
      </c>
      <c r="E956" s="3">
        <f t="shared" si="512"/>
        <v>0</v>
      </c>
      <c r="H956" s="3">
        <f t="shared" si="511"/>
        <v>0</v>
      </c>
      <c r="K956" s="4">
        <f t="shared" si="503"/>
        <v>0</v>
      </c>
      <c r="L956" s="4"/>
      <c r="N956" s="4">
        <f t="shared" si="504"/>
        <v>0</v>
      </c>
      <c r="S956" s="3">
        <f t="shared" si="506"/>
        <v>0</v>
      </c>
      <c r="U956" s="3">
        <f t="shared" si="507"/>
        <v>0</v>
      </c>
      <c r="W956" s="3">
        <f t="shared" si="508"/>
        <v>0</v>
      </c>
      <c r="Z956" s="3">
        <f t="shared" si="505"/>
        <v>0</v>
      </c>
      <c r="AD956" s="3">
        <f t="shared" si="509"/>
        <v>0</v>
      </c>
      <c r="AF956" s="3">
        <f t="shared" si="510"/>
        <v>0</v>
      </c>
      <c r="BC956" s="3"/>
      <c r="BE956" s="3"/>
    </row>
    <row r="957" spans="1:57" s="77" customFormat="1" hidden="1" outlineLevel="1" x14ac:dyDescent="0.25">
      <c r="A957" s="3" t="s">
        <v>718</v>
      </c>
      <c r="B957" s="3">
        <v>20000</v>
      </c>
      <c r="C957" s="3"/>
      <c r="D957" s="3"/>
      <c r="E957" s="3">
        <f>F957-D957</f>
        <v>20000</v>
      </c>
      <c r="F957" s="3">
        <v>20000</v>
      </c>
      <c r="G957" s="3"/>
      <c r="H957" s="3">
        <f t="shared" si="511"/>
        <v>0</v>
      </c>
      <c r="I957" s="3"/>
      <c r="J957" s="3"/>
      <c r="K957" s="4">
        <f t="shared" si="503"/>
        <v>20000</v>
      </c>
      <c r="L957" s="4">
        <v>20000</v>
      </c>
      <c r="M957" s="4"/>
      <c r="N957" s="4">
        <f t="shared" si="504"/>
        <v>0</v>
      </c>
      <c r="O957" s="3"/>
      <c r="P957" s="3">
        <v>20000</v>
      </c>
      <c r="Q957" s="3"/>
      <c r="R957" s="3"/>
      <c r="S957" s="3">
        <f t="shared" si="506"/>
        <v>20000</v>
      </c>
      <c r="T957" s="3">
        <v>20000</v>
      </c>
      <c r="U957" s="3">
        <f t="shared" si="507"/>
        <v>0</v>
      </c>
      <c r="V957" s="3">
        <v>7550</v>
      </c>
      <c r="W957" s="3">
        <f t="shared" si="508"/>
        <v>12450</v>
      </c>
      <c r="X957" s="3"/>
      <c r="Y957" s="3">
        <v>20000</v>
      </c>
      <c r="Z957" s="3">
        <f t="shared" si="505"/>
        <v>0</v>
      </c>
      <c r="AA957" s="3"/>
      <c r="AB957" s="3"/>
      <c r="AC957" s="3">
        <v>8550</v>
      </c>
      <c r="AD957" s="3">
        <f t="shared" si="509"/>
        <v>11450</v>
      </c>
      <c r="AE957" s="3">
        <v>20000</v>
      </c>
      <c r="AF957" s="3">
        <f t="shared" si="510"/>
        <v>0</v>
      </c>
      <c r="AG957" s="4"/>
      <c r="AH957" s="4"/>
      <c r="AI957" s="3"/>
      <c r="AJ957" s="3"/>
      <c r="AK957" s="3"/>
      <c r="AL957" s="3"/>
      <c r="AM957" s="3"/>
      <c r="AN957" s="3"/>
      <c r="AO957" s="3"/>
      <c r="AP957" s="4"/>
      <c r="AQ957" s="3"/>
      <c r="AR957" s="42"/>
      <c r="AS957" s="3"/>
      <c r="AT957" s="42"/>
      <c r="AU957" s="3"/>
      <c r="AV957" s="42"/>
      <c r="AW957" s="3"/>
      <c r="AX957" s="42"/>
      <c r="AY957" s="3"/>
      <c r="AZ957" s="42"/>
      <c r="BA957" s="3"/>
      <c r="BB957" s="42"/>
      <c r="BC957" s="3"/>
      <c r="BD957" s="42"/>
      <c r="BE957" s="3"/>
    </row>
    <row r="958" spans="1:57" s="42" customFormat="1" hidden="1" outlineLevel="1" x14ac:dyDescent="0.25">
      <c r="A958" s="3" t="s">
        <v>719</v>
      </c>
      <c r="B958" s="3">
        <v>2000</v>
      </c>
      <c r="C958" s="3"/>
      <c r="D958" s="3"/>
      <c r="E958" s="3">
        <f>F958-D958</f>
        <v>2000</v>
      </c>
      <c r="F958" s="3">
        <v>2000</v>
      </c>
      <c r="G958" s="3"/>
      <c r="H958" s="3">
        <f t="shared" si="511"/>
        <v>0</v>
      </c>
      <c r="I958" s="3"/>
      <c r="J958" s="3"/>
      <c r="K958" s="4">
        <f t="shared" si="503"/>
        <v>2000</v>
      </c>
      <c r="L958" s="4">
        <v>2000</v>
      </c>
      <c r="M958" s="4"/>
      <c r="N958" s="4">
        <f t="shared" si="504"/>
        <v>0</v>
      </c>
      <c r="O958" s="3"/>
      <c r="P958" s="3">
        <v>2000</v>
      </c>
      <c r="Q958" s="3"/>
      <c r="R958" s="3"/>
      <c r="S958" s="3">
        <f t="shared" si="506"/>
        <v>2000</v>
      </c>
      <c r="T958" s="3">
        <v>2000</v>
      </c>
      <c r="U958" s="3">
        <f t="shared" si="507"/>
        <v>0</v>
      </c>
      <c r="V958" s="3"/>
      <c r="W958" s="3">
        <f t="shared" si="508"/>
        <v>2000</v>
      </c>
      <c r="X958" s="3"/>
      <c r="Y958" s="3">
        <v>2000</v>
      </c>
      <c r="Z958" s="3">
        <f t="shared" si="505"/>
        <v>0</v>
      </c>
      <c r="AA958" s="3"/>
      <c r="AB958" s="3"/>
      <c r="AC958" s="3">
        <v>0</v>
      </c>
      <c r="AD958" s="3">
        <f t="shared" si="509"/>
        <v>1000</v>
      </c>
      <c r="AE958" s="3">
        <v>1000</v>
      </c>
      <c r="AF958" s="3">
        <f t="shared" si="510"/>
        <v>-1000</v>
      </c>
      <c r="AG958" s="4"/>
      <c r="AH958" s="4"/>
      <c r="AI958" s="3">
        <v>2000</v>
      </c>
      <c r="AJ958" s="3"/>
      <c r="AK958" s="3"/>
      <c r="AL958" s="3"/>
      <c r="AM958" s="3"/>
      <c r="AN958" s="3"/>
      <c r="AO958" s="3"/>
      <c r="AP958" s="4"/>
      <c r="AQ958" s="3"/>
      <c r="AS958" s="3"/>
      <c r="AU958" s="3"/>
      <c r="AW958" s="3"/>
      <c r="AY958" s="3"/>
      <c r="BA958" s="3"/>
      <c r="BC958" s="3"/>
      <c r="BE958" s="3"/>
    </row>
    <row r="959" spans="1:57" s="77" customFormat="1" hidden="1" outlineLevel="1" x14ac:dyDescent="0.25">
      <c r="A959" s="3" t="s">
        <v>460</v>
      </c>
      <c r="B959" s="3"/>
      <c r="C959" s="3"/>
      <c r="D959" s="3"/>
      <c r="E959" s="3"/>
      <c r="F959" s="3"/>
      <c r="G959" s="3"/>
      <c r="H959" s="3">
        <f t="shared" si="511"/>
        <v>0</v>
      </c>
      <c r="I959" s="3"/>
      <c r="J959" s="3"/>
      <c r="K959" s="4">
        <f t="shared" si="503"/>
        <v>0</v>
      </c>
      <c r="L959" s="4"/>
      <c r="M959" s="4"/>
      <c r="N959" s="4">
        <f t="shared" si="504"/>
        <v>0</v>
      </c>
      <c r="O959" s="3"/>
      <c r="P959" s="3"/>
      <c r="Q959" s="3"/>
      <c r="R959" s="3"/>
      <c r="S959" s="3">
        <f t="shared" si="506"/>
        <v>0</v>
      </c>
      <c r="T959" s="3"/>
      <c r="U959" s="3">
        <f t="shared" si="507"/>
        <v>0</v>
      </c>
      <c r="V959" s="3"/>
      <c r="W959" s="3">
        <f t="shared" si="508"/>
        <v>0</v>
      </c>
      <c r="X959" s="3"/>
      <c r="Y959" s="3"/>
      <c r="Z959" s="3">
        <f t="shared" si="505"/>
        <v>0</v>
      </c>
      <c r="AA959" s="3"/>
      <c r="AB959" s="3"/>
      <c r="AC959" s="3"/>
      <c r="AD959" s="3">
        <f t="shared" si="509"/>
        <v>0</v>
      </c>
      <c r="AE959" s="3"/>
      <c r="AF959" s="3">
        <f t="shared" si="510"/>
        <v>0</v>
      </c>
      <c r="AG959" s="4"/>
      <c r="AH959" s="4"/>
      <c r="AI959" s="3"/>
      <c r="AJ959" s="3"/>
      <c r="AK959" s="3"/>
      <c r="AL959" s="3"/>
      <c r="AM959" s="3"/>
      <c r="AN959" s="3"/>
      <c r="AO959" s="3"/>
      <c r="AP959" s="4"/>
      <c r="AQ959" s="3"/>
      <c r="AR959" s="42"/>
      <c r="AS959" s="3"/>
      <c r="AT959" s="42"/>
      <c r="AU959" s="3"/>
      <c r="AV959" s="42"/>
      <c r="AW959" s="3"/>
      <c r="AX959" s="42"/>
      <c r="AY959" s="3"/>
      <c r="AZ959" s="42"/>
      <c r="BA959" s="3"/>
      <c r="BB959" s="42"/>
      <c r="BC959" s="3"/>
      <c r="BD959" s="42"/>
      <c r="BE959" s="3"/>
    </row>
    <row r="960" spans="1:57" hidden="1" outlineLevel="1" x14ac:dyDescent="0.25">
      <c r="A960" s="3" t="s">
        <v>720</v>
      </c>
      <c r="E960" s="3">
        <f t="shared" si="512"/>
        <v>0</v>
      </c>
      <c r="H960" s="3">
        <f t="shared" si="511"/>
        <v>0</v>
      </c>
      <c r="K960" s="4">
        <f t="shared" si="503"/>
        <v>0</v>
      </c>
      <c r="L960" s="4"/>
      <c r="N960" s="4">
        <f t="shared" si="504"/>
        <v>0</v>
      </c>
      <c r="S960" s="3">
        <f t="shared" si="506"/>
        <v>0</v>
      </c>
      <c r="U960" s="3">
        <f t="shared" si="507"/>
        <v>0</v>
      </c>
      <c r="W960" s="3">
        <f t="shared" si="508"/>
        <v>0</v>
      </c>
      <c r="Z960" s="3">
        <f t="shared" si="505"/>
        <v>0</v>
      </c>
      <c r="AD960" s="3">
        <f t="shared" si="509"/>
        <v>0</v>
      </c>
      <c r="AF960" s="3">
        <f t="shared" si="510"/>
        <v>0</v>
      </c>
      <c r="BC960" s="3"/>
      <c r="BE960" s="3"/>
    </row>
    <row r="961" spans="1:57" s="77" customFormat="1" hidden="1" outlineLevel="1" x14ac:dyDescent="0.25">
      <c r="A961" s="3" t="s">
        <v>721</v>
      </c>
      <c r="B961" s="3"/>
      <c r="C961" s="3"/>
      <c r="D961" s="3"/>
      <c r="E961" s="3">
        <f t="shared" si="512"/>
        <v>0</v>
      </c>
      <c r="F961" s="3"/>
      <c r="G961" s="3"/>
      <c r="H961" s="3">
        <f t="shared" si="511"/>
        <v>0</v>
      </c>
      <c r="I961" s="3"/>
      <c r="J961" s="3"/>
      <c r="K961" s="4">
        <f t="shared" si="503"/>
        <v>0</v>
      </c>
      <c r="L961" s="4"/>
      <c r="M961" s="4"/>
      <c r="N961" s="4">
        <f t="shared" si="504"/>
        <v>0</v>
      </c>
      <c r="O961" s="3"/>
      <c r="P961" s="3"/>
      <c r="Q961" s="3"/>
      <c r="R961" s="3"/>
      <c r="S961" s="3">
        <f t="shared" si="506"/>
        <v>0</v>
      </c>
      <c r="T961" s="3"/>
      <c r="U961" s="3">
        <f t="shared" si="507"/>
        <v>0</v>
      </c>
      <c r="V961" s="3"/>
      <c r="W961" s="3">
        <f t="shared" si="508"/>
        <v>0</v>
      </c>
      <c r="X961" s="3"/>
      <c r="Y961" s="3"/>
      <c r="Z961" s="3">
        <f t="shared" si="505"/>
        <v>0</v>
      </c>
      <c r="AA961" s="3"/>
      <c r="AB961" s="3"/>
      <c r="AC961" s="3"/>
      <c r="AD961" s="3">
        <f t="shared" si="509"/>
        <v>0</v>
      </c>
      <c r="AE961" s="3"/>
      <c r="AF961" s="3">
        <f t="shared" si="510"/>
        <v>0</v>
      </c>
      <c r="AG961" s="4"/>
      <c r="AH961" s="4"/>
      <c r="AI961" s="3"/>
      <c r="AJ961" s="3"/>
      <c r="AK961" s="3"/>
      <c r="AL961" s="3"/>
      <c r="AM961" s="3"/>
      <c r="AN961" s="3"/>
      <c r="AO961" s="3"/>
      <c r="AP961" s="4"/>
      <c r="AQ961" s="3"/>
      <c r="AR961" s="42"/>
      <c r="AS961" s="3"/>
      <c r="AT961" s="42"/>
      <c r="AU961" s="3"/>
      <c r="AV961" s="42"/>
      <c r="AW961" s="3"/>
      <c r="AX961" s="42"/>
      <c r="AY961" s="3"/>
      <c r="AZ961" s="42"/>
      <c r="BA961" s="3"/>
      <c r="BB961" s="42"/>
      <c r="BC961" s="3"/>
      <c r="BD961" s="42"/>
      <c r="BE961" s="3"/>
    </row>
    <row r="962" spans="1:57" hidden="1" outlineLevel="1" x14ac:dyDescent="0.25">
      <c r="A962" s="3" t="s">
        <v>722</v>
      </c>
      <c r="E962" s="3">
        <f t="shared" si="512"/>
        <v>0</v>
      </c>
      <c r="H962" s="3">
        <f t="shared" si="511"/>
        <v>0</v>
      </c>
      <c r="K962" s="4">
        <f t="shared" si="503"/>
        <v>0</v>
      </c>
      <c r="L962" s="4"/>
      <c r="N962" s="4">
        <f t="shared" si="504"/>
        <v>0</v>
      </c>
      <c r="S962" s="3">
        <f t="shared" si="506"/>
        <v>0</v>
      </c>
      <c r="U962" s="3">
        <f t="shared" si="507"/>
        <v>0</v>
      </c>
      <c r="W962" s="3">
        <f t="shared" si="508"/>
        <v>0</v>
      </c>
      <c r="Z962" s="3">
        <f t="shared" si="505"/>
        <v>0</v>
      </c>
      <c r="AD962" s="3">
        <f t="shared" si="509"/>
        <v>0</v>
      </c>
      <c r="AF962" s="3">
        <f t="shared" si="510"/>
        <v>0</v>
      </c>
      <c r="BC962" s="3"/>
      <c r="BE962" s="3"/>
    </row>
    <row r="963" spans="1:57" s="77" customFormat="1" hidden="1" outlineLevel="1" x14ac:dyDescent="0.25">
      <c r="A963" s="3" t="s">
        <v>723</v>
      </c>
      <c r="B963" s="3"/>
      <c r="C963" s="3"/>
      <c r="D963" s="3"/>
      <c r="E963" s="3">
        <f t="shared" si="512"/>
        <v>0</v>
      </c>
      <c r="F963" s="3"/>
      <c r="G963" s="3"/>
      <c r="H963" s="3">
        <f t="shared" si="511"/>
        <v>0</v>
      </c>
      <c r="I963" s="3"/>
      <c r="J963" s="3"/>
      <c r="K963" s="4">
        <f t="shared" si="503"/>
        <v>0</v>
      </c>
      <c r="L963" s="4"/>
      <c r="M963" s="4"/>
      <c r="N963" s="4">
        <f t="shared" si="504"/>
        <v>0</v>
      </c>
      <c r="O963" s="3"/>
      <c r="P963" s="3"/>
      <c r="Q963" s="3"/>
      <c r="R963" s="3"/>
      <c r="S963" s="3">
        <f t="shared" si="506"/>
        <v>0</v>
      </c>
      <c r="T963" s="3"/>
      <c r="U963" s="3">
        <f t="shared" si="507"/>
        <v>0</v>
      </c>
      <c r="V963" s="3"/>
      <c r="W963" s="3">
        <f t="shared" si="508"/>
        <v>0</v>
      </c>
      <c r="X963" s="3"/>
      <c r="Y963" s="3"/>
      <c r="Z963" s="3">
        <f t="shared" si="505"/>
        <v>0</v>
      </c>
      <c r="AA963" s="3"/>
      <c r="AB963" s="3"/>
      <c r="AC963" s="3"/>
      <c r="AD963" s="3">
        <f t="shared" si="509"/>
        <v>0</v>
      </c>
      <c r="AE963" s="3"/>
      <c r="AF963" s="3">
        <f t="shared" si="510"/>
        <v>0</v>
      </c>
      <c r="AG963" s="4"/>
      <c r="AH963" s="4"/>
      <c r="AI963" s="3"/>
      <c r="AJ963" s="3"/>
      <c r="AK963" s="3"/>
      <c r="AL963" s="3"/>
      <c r="AM963" s="3"/>
      <c r="AN963" s="3"/>
      <c r="AO963" s="3"/>
      <c r="AP963" s="4"/>
      <c r="AQ963" s="3"/>
      <c r="AR963" s="42"/>
      <c r="AS963" s="3"/>
      <c r="AT963" s="42"/>
      <c r="AU963" s="3"/>
      <c r="AV963" s="42"/>
      <c r="AW963" s="3"/>
      <c r="AX963" s="42"/>
      <c r="AY963" s="3"/>
      <c r="AZ963" s="42"/>
      <c r="BA963" s="3"/>
      <c r="BB963" s="42"/>
      <c r="BC963" s="3"/>
      <c r="BD963" s="42"/>
      <c r="BE963" s="3"/>
    </row>
    <row r="964" spans="1:57" hidden="1" outlineLevel="1" x14ac:dyDescent="0.25">
      <c r="A964" s="3" t="s">
        <v>724</v>
      </c>
      <c r="B964" s="3">
        <v>1000</v>
      </c>
      <c r="E964" s="3">
        <f>F964-D964</f>
        <v>1000</v>
      </c>
      <c r="F964" s="3">
        <v>1000</v>
      </c>
      <c r="H964" s="3">
        <f t="shared" si="511"/>
        <v>0</v>
      </c>
      <c r="K964" s="4">
        <f t="shared" si="503"/>
        <v>1000</v>
      </c>
      <c r="L964" s="4">
        <v>1000</v>
      </c>
      <c r="N964" s="4">
        <f t="shared" si="504"/>
        <v>0</v>
      </c>
      <c r="S964" s="3">
        <f t="shared" si="506"/>
        <v>0</v>
      </c>
      <c r="U964" s="3">
        <f t="shared" si="507"/>
        <v>0</v>
      </c>
      <c r="W964" s="3">
        <f t="shared" si="508"/>
        <v>0</v>
      </c>
      <c r="Z964" s="3">
        <f t="shared" si="505"/>
        <v>0</v>
      </c>
      <c r="AD964" s="3">
        <f t="shared" si="509"/>
        <v>0</v>
      </c>
      <c r="AF964" s="3">
        <f t="shared" si="510"/>
        <v>0</v>
      </c>
      <c r="AI964" s="3">
        <v>1000</v>
      </c>
      <c r="AM964" s="3">
        <v>1000</v>
      </c>
      <c r="AQ964" s="3">
        <v>1000</v>
      </c>
      <c r="AS964" s="3">
        <v>1000</v>
      </c>
      <c r="AU964" s="3">
        <v>1000</v>
      </c>
      <c r="AW964" s="3">
        <v>1000</v>
      </c>
      <c r="AY964" s="3">
        <v>1000</v>
      </c>
      <c r="BA964" s="3">
        <v>1000</v>
      </c>
      <c r="BC964" s="3">
        <v>1000</v>
      </c>
      <c r="BE964" s="3">
        <v>1000</v>
      </c>
    </row>
    <row r="965" spans="1:57" hidden="1" outlineLevel="1" x14ac:dyDescent="0.25">
      <c r="A965" s="3" t="s">
        <v>725</v>
      </c>
      <c r="E965" s="3">
        <f t="shared" si="512"/>
        <v>0</v>
      </c>
      <c r="H965" s="3">
        <f t="shared" si="511"/>
        <v>0</v>
      </c>
      <c r="K965" s="4">
        <f t="shared" si="503"/>
        <v>0</v>
      </c>
      <c r="L965" s="4"/>
      <c r="N965" s="4">
        <f t="shared" si="504"/>
        <v>0</v>
      </c>
      <c r="S965" s="3">
        <f t="shared" si="506"/>
        <v>0</v>
      </c>
      <c r="U965" s="3">
        <f t="shared" si="507"/>
        <v>0</v>
      </c>
      <c r="W965" s="3">
        <f t="shared" si="508"/>
        <v>0</v>
      </c>
      <c r="Z965" s="3">
        <f t="shared" si="505"/>
        <v>0</v>
      </c>
      <c r="AD965" s="3">
        <f t="shared" si="509"/>
        <v>0</v>
      </c>
      <c r="AF965" s="3">
        <f t="shared" si="510"/>
        <v>0</v>
      </c>
      <c r="BC965" s="3"/>
      <c r="BE965" s="3"/>
    </row>
    <row r="966" spans="1:57" hidden="1" outlineLevel="1" x14ac:dyDescent="0.25">
      <c r="A966" s="3" t="s">
        <v>726</v>
      </c>
      <c r="E966" s="3">
        <f t="shared" si="512"/>
        <v>0</v>
      </c>
      <c r="H966" s="3">
        <f t="shared" si="511"/>
        <v>0</v>
      </c>
      <c r="K966" s="4">
        <f t="shared" si="503"/>
        <v>0</v>
      </c>
      <c r="L966" s="4"/>
      <c r="N966" s="4">
        <f t="shared" si="504"/>
        <v>0</v>
      </c>
      <c r="S966" s="3">
        <f t="shared" si="506"/>
        <v>0</v>
      </c>
      <c r="U966" s="3">
        <f t="shared" si="507"/>
        <v>0</v>
      </c>
      <c r="W966" s="3">
        <f t="shared" si="508"/>
        <v>0</v>
      </c>
      <c r="Z966" s="3">
        <f t="shared" si="505"/>
        <v>0</v>
      </c>
      <c r="AD966" s="3">
        <f t="shared" si="509"/>
        <v>0</v>
      </c>
      <c r="AF966" s="3">
        <f t="shared" si="510"/>
        <v>0</v>
      </c>
      <c r="BC966" s="3"/>
      <c r="BE966" s="3"/>
    </row>
    <row r="967" spans="1:57" hidden="1" outlineLevel="1" x14ac:dyDescent="0.25">
      <c r="A967" s="3" t="s">
        <v>727</v>
      </c>
      <c r="E967" s="3">
        <f t="shared" si="512"/>
        <v>0</v>
      </c>
      <c r="H967" s="3">
        <f t="shared" si="511"/>
        <v>0</v>
      </c>
      <c r="K967" s="4">
        <f t="shared" si="503"/>
        <v>0</v>
      </c>
      <c r="L967" s="4"/>
      <c r="N967" s="4">
        <f t="shared" si="504"/>
        <v>0</v>
      </c>
      <c r="S967" s="3">
        <f t="shared" si="506"/>
        <v>0</v>
      </c>
      <c r="U967" s="3">
        <f t="shared" si="507"/>
        <v>0</v>
      </c>
      <c r="W967" s="3">
        <f t="shared" si="508"/>
        <v>0</v>
      </c>
      <c r="Z967" s="3">
        <f t="shared" ref="Z967:Z1034" si="513">Y967-T967</f>
        <v>0</v>
      </c>
      <c r="AD967" s="3">
        <f t="shared" si="509"/>
        <v>0</v>
      </c>
      <c r="AF967" s="3">
        <f t="shared" si="510"/>
        <v>0</v>
      </c>
      <c r="BC967" s="3"/>
      <c r="BE967" s="3"/>
    </row>
    <row r="968" spans="1:57" s="77" customFormat="1" hidden="1" outlineLevel="1" x14ac:dyDescent="0.25">
      <c r="A968" s="3" t="s">
        <v>728</v>
      </c>
      <c r="B968" s="3"/>
      <c r="C968" s="3"/>
      <c r="D968" s="3"/>
      <c r="E968" s="3">
        <f t="shared" si="512"/>
        <v>0</v>
      </c>
      <c r="F968" s="3"/>
      <c r="G968" s="3"/>
      <c r="H968" s="3">
        <f t="shared" si="511"/>
        <v>0</v>
      </c>
      <c r="I968" s="3"/>
      <c r="J968" s="3"/>
      <c r="K968" s="4">
        <f t="shared" si="503"/>
        <v>0</v>
      </c>
      <c r="L968" s="4"/>
      <c r="M968" s="4"/>
      <c r="N968" s="4">
        <f t="shared" si="504"/>
        <v>0</v>
      </c>
      <c r="O968" s="3"/>
      <c r="P968" s="3"/>
      <c r="Q968" s="3"/>
      <c r="R968" s="3"/>
      <c r="S968" s="3">
        <f t="shared" si="506"/>
        <v>0</v>
      </c>
      <c r="T968" s="3"/>
      <c r="U968" s="3">
        <f t="shared" si="507"/>
        <v>0</v>
      </c>
      <c r="V968" s="3"/>
      <c r="W968" s="3">
        <f t="shared" si="508"/>
        <v>0</v>
      </c>
      <c r="X968" s="3"/>
      <c r="Y968" s="3"/>
      <c r="Z968" s="3">
        <f t="shared" si="513"/>
        <v>0</v>
      </c>
      <c r="AA968" s="3"/>
      <c r="AB968" s="3"/>
      <c r="AC968" s="3"/>
      <c r="AD968" s="3">
        <f t="shared" si="509"/>
        <v>0</v>
      </c>
      <c r="AE968" s="3"/>
      <c r="AF968" s="3">
        <f t="shared" si="510"/>
        <v>0</v>
      </c>
      <c r="AG968" s="4"/>
      <c r="AH968" s="4"/>
      <c r="AI968" s="3"/>
      <c r="AJ968" s="3"/>
      <c r="AK968" s="3"/>
      <c r="AL968" s="3"/>
      <c r="AM968" s="3"/>
      <c r="AN968" s="3"/>
      <c r="AO968" s="3"/>
      <c r="AP968" s="4"/>
      <c r="AQ968" s="3"/>
      <c r="AR968" s="42"/>
      <c r="AS968" s="3"/>
      <c r="AT968" s="42"/>
      <c r="AU968" s="3"/>
      <c r="AV968" s="42"/>
      <c r="AW968" s="3"/>
      <c r="AX968" s="42"/>
      <c r="AY968" s="3"/>
      <c r="AZ968" s="42"/>
      <c r="BA968" s="3"/>
      <c r="BB968" s="42"/>
      <c r="BC968" s="3"/>
      <c r="BD968" s="42"/>
      <c r="BE968" s="3"/>
    </row>
    <row r="969" spans="1:57" hidden="1" outlineLevel="1" x14ac:dyDescent="0.25">
      <c r="A969" s="3" t="s">
        <v>729</v>
      </c>
      <c r="E969" s="3">
        <f t="shared" si="512"/>
        <v>0</v>
      </c>
      <c r="H969" s="3">
        <f t="shared" si="511"/>
        <v>0</v>
      </c>
      <c r="K969" s="4">
        <f t="shared" si="503"/>
        <v>0</v>
      </c>
      <c r="L969" s="4"/>
      <c r="N969" s="4">
        <f t="shared" si="504"/>
        <v>0</v>
      </c>
      <c r="S969" s="3">
        <f t="shared" si="506"/>
        <v>0</v>
      </c>
      <c r="U969" s="3">
        <f t="shared" si="507"/>
        <v>0</v>
      </c>
      <c r="W969" s="3">
        <f t="shared" si="508"/>
        <v>0</v>
      </c>
      <c r="Z969" s="3">
        <f t="shared" si="513"/>
        <v>0</v>
      </c>
      <c r="AD969" s="3">
        <f t="shared" si="509"/>
        <v>0</v>
      </c>
      <c r="AF969" s="3">
        <f t="shared" si="510"/>
        <v>0</v>
      </c>
      <c r="BC969" s="3"/>
      <c r="BE969" s="3"/>
    </row>
    <row r="970" spans="1:57" s="77" customFormat="1" hidden="1" outlineLevel="1" x14ac:dyDescent="0.25">
      <c r="A970" s="3" t="s">
        <v>730</v>
      </c>
      <c r="B970" s="3"/>
      <c r="C970" s="3"/>
      <c r="D970" s="3"/>
      <c r="E970" s="3">
        <f t="shared" si="512"/>
        <v>0</v>
      </c>
      <c r="F970" s="3"/>
      <c r="G970" s="3"/>
      <c r="H970" s="3">
        <f t="shared" si="511"/>
        <v>0</v>
      </c>
      <c r="I970" s="3"/>
      <c r="J970" s="3"/>
      <c r="K970" s="4">
        <f t="shared" si="503"/>
        <v>0</v>
      </c>
      <c r="L970" s="4"/>
      <c r="M970" s="4"/>
      <c r="N970" s="4">
        <f t="shared" si="504"/>
        <v>0</v>
      </c>
      <c r="O970" s="3"/>
      <c r="P970" s="3"/>
      <c r="Q970" s="3"/>
      <c r="R970" s="3"/>
      <c r="S970" s="3">
        <f t="shared" si="506"/>
        <v>0</v>
      </c>
      <c r="T970" s="3"/>
      <c r="U970" s="3">
        <f t="shared" si="507"/>
        <v>0</v>
      </c>
      <c r="V970" s="3"/>
      <c r="W970" s="3">
        <f t="shared" si="508"/>
        <v>0</v>
      </c>
      <c r="X970" s="3"/>
      <c r="Y970" s="3"/>
      <c r="Z970" s="3">
        <f t="shared" si="513"/>
        <v>0</v>
      </c>
      <c r="AA970" s="3"/>
      <c r="AB970" s="3"/>
      <c r="AC970" s="3"/>
      <c r="AD970" s="3">
        <f t="shared" si="509"/>
        <v>0</v>
      </c>
      <c r="AE970" s="3"/>
      <c r="AF970" s="3">
        <f t="shared" si="510"/>
        <v>0</v>
      </c>
      <c r="AG970" s="4"/>
      <c r="AH970" s="4"/>
      <c r="AI970" s="3"/>
      <c r="AJ970" s="3"/>
      <c r="AK970" s="3"/>
      <c r="AL970" s="3"/>
      <c r="AM970" s="3"/>
      <c r="AN970" s="3"/>
      <c r="AO970" s="3"/>
      <c r="AP970" s="4"/>
      <c r="AQ970" s="3"/>
      <c r="AR970" s="42"/>
      <c r="AS970" s="3"/>
      <c r="AT970" s="42"/>
      <c r="AU970" s="3"/>
      <c r="AV970" s="42"/>
      <c r="AW970" s="3"/>
      <c r="AX970" s="42"/>
      <c r="AY970" s="3"/>
      <c r="AZ970" s="42"/>
      <c r="BA970" s="3"/>
      <c r="BB970" s="42"/>
      <c r="BC970" s="3"/>
      <c r="BD970" s="42"/>
      <c r="BE970" s="3"/>
    </row>
    <row r="971" spans="1:57" hidden="1" outlineLevel="1" x14ac:dyDescent="0.25">
      <c r="A971" s="3" t="s">
        <v>731</v>
      </c>
      <c r="B971" s="3">
        <v>99000</v>
      </c>
      <c r="E971" s="3">
        <f>F971-D971</f>
        <v>99000</v>
      </c>
      <c r="F971" s="3">
        <v>99000</v>
      </c>
      <c r="H971" s="3">
        <f t="shared" si="511"/>
        <v>0</v>
      </c>
      <c r="J971" s="3">
        <v>99000</v>
      </c>
      <c r="K971" s="4">
        <f t="shared" si="503"/>
        <v>0</v>
      </c>
      <c r="L971" s="4">
        <v>99000</v>
      </c>
      <c r="N971" s="4">
        <f t="shared" si="504"/>
        <v>0</v>
      </c>
      <c r="P971" s="3">
        <v>149900</v>
      </c>
      <c r="R971" s="3">
        <v>0</v>
      </c>
      <c r="S971" s="3">
        <f t="shared" si="506"/>
        <v>149900</v>
      </c>
      <c r="T971" s="3">
        <v>149900</v>
      </c>
      <c r="U971" s="3">
        <f t="shared" si="507"/>
        <v>0</v>
      </c>
      <c r="W971" s="3">
        <f t="shared" si="508"/>
        <v>149900</v>
      </c>
      <c r="Y971" s="3">
        <v>149900</v>
      </c>
      <c r="Z971" s="3">
        <f t="shared" si="513"/>
        <v>0</v>
      </c>
      <c r="AD971" s="3">
        <f t="shared" si="509"/>
        <v>149900</v>
      </c>
      <c r="AE971" s="3">
        <v>149900</v>
      </c>
      <c r="AF971" s="3">
        <f t="shared" si="510"/>
        <v>0</v>
      </c>
      <c r="AI971" s="3">
        <v>114000</v>
      </c>
      <c r="BC971" s="3"/>
      <c r="BE971" s="3"/>
    </row>
    <row r="972" spans="1:57" s="77" customFormat="1" hidden="1" outlineLevel="1" x14ac:dyDescent="0.25">
      <c r="A972" s="3" t="s">
        <v>732</v>
      </c>
      <c r="B972" s="3"/>
      <c r="C972" s="3"/>
      <c r="D972" s="3"/>
      <c r="E972" s="3"/>
      <c r="F972" s="3"/>
      <c r="G972" s="3"/>
      <c r="H972" s="3">
        <f t="shared" si="511"/>
        <v>0</v>
      </c>
      <c r="I972" s="3"/>
      <c r="J972" s="3"/>
      <c r="K972" s="4">
        <f t="shared" si="503"/>
        <v>0</v>
      </c>
      <c r="L972" s="4"/>
      <c r="M972" s="4"/>
      <c r="N972" s="4">
        <f t="shared" si="504"/>
        <v>0</v>
      </c>
      <c r="O972" s="3"/>
      <c r="P972" s="3"/>
      <c r="Q972" s="3"/>
      <c r="R972" s="3"/>
      <c r="S972" s="3">
        <f t="shared" si="506"/>
        <v>0</v>
      </c>
      <c r="T972" s="3"/>
      <c r="U972" s="3">
        <f t="shared" si="507"/>
        <v>0</v>
      </c>
      <c r="V972" s="3"/>
      <c r="W972" s="3">
        <f t="shared" si="508"/>
        <v>0</v>
      </c>
      <c r="X972" s="3"/>
      <c r="Y972" s="3"/>
      <c r="Z972" s="3">
        <f t="shared" si="513"/>
        <v>0</v>
      </c>
      <c r="AA972" s="3"/>
      <c r="AB972" s="3"/>
      <c r="AC972" s="3"/>
      <c r="AD972" s="3">
        <f t="shared" si="509"/>
        <v>0</v>
      </c>
      <c r="AE972" s="3"/>
      <c r="AF972" s="3">
        <f t="shared" si="510"/>
        <v>0</v>
      </c>
      <c r="AG972" s="4"/>
      <c r="AH972" s="4"/>
      <c r="AI972" s="3"/>
      <c r="AJ972" s="3"/>
      <c r="AK972" s="3"/>
      <c r="AL972" s="3"/>
      <c r="AM972" s="3"/>
      <c r="AN972" s="3"/>
      <c r="AO972" s="3"/>
      <c r="AP972" s="4"/>
      <c r="AQ972" s="3"/>
      <c r="AR972" s="42"/>
      <c r="AS972" s="3"/>
      <c r="AT972" s="42"/>
      <c r="AU972" s="3"/>
      <c r="AV972" s="42"/>
      <c r="AW972" s="3"/>
      <c r="AX972" s="42"/>
      <c r="AY972" s="3"/>
      <c r="AZ972" s="42"/>
      <c r="BA972" s="3"/>
      <c r="BB972" s="42"/>
      <c r="BC972" s="3"/>
      <c r="BD972" s="42"/>
      <c r="BE972" s="3"/>
    </row>
    <row r="973" spans="1:57" hidden="1" outlineLevel="1" x14ac:dyDescent="0.25">
      <c r="A973" s="3" t="s">
        <v>733</v>
      </c>
      <c r="E973" s="3">
        <f t="shared" si="512"/>
        <v>0</v>
      </c>
      <c r="H973" s="3">
        <f t="shared" si="511"/>
        <v>0</v>
      </c>
      <c r="K973" s="4">
        <f t="shared" si="503"/>
        <v>0</v>
      </c>
      <c r="L973" s="4"/>
      <c r="N973" s="4">
        <f t="shared" si="504"/>
        <v>0</v>
      </c>
      <c r="S973" s="3">
        <f t="shared" si="506"/>
        <v>0</v>
      </c>
      <c r="U973" s="3">
        <f t="shared" si="507"/>
        <v>0</v>
      </c>
      <c r="W973" s="3">
        <f t="shared" si="508"/>
        <v>0</v>
      </c>
      <c r="Z973" s="3">
        <f t="shared" si="513"/>
        <v>0</v>
      </c>
      <c r="AD973" s="3">
        <f t="shared" si="509"/>
        <v>0</v>
      </c>
      <c r="AF973" s="3">
        <f t="shared" si="510"/>
        <v>0</v>
      </c>
      <c r="BC973" s="3"/>
      <c r="BE973" s="3"/>
    </row>
    <row r="974" spans="1:57" s="77" customFormat="1" hidden="1" outlineLevel="1" x14ac:dyDescent="0.25">
      <c r="A974" s="3" t="s">
        <v>734</v>
      </c>
      <c r="B974" s="3"/>
      <c r="C974" s="3"/>
      <c r="D974" s="3"/>
      <c r="E974" s="3">
        <f t="shared" si="512"/>
        <v>0</v>
      </c>
      <c r="F974" s="3"/>
      <c r="G974" s="3"/>
      <c r="H974" s="3">
        <f t="shared" si="511"/>
        <v>0</v>
      </c>
      <c r="I974" s="3"/>
      <c r="J974" s="3"/>
      <c r="K974" s="4">
        <f t="shared" ref="K974:K1031" si="514">L974-J974</f>
        <v>0</v>
      </c>
      <c r="L974" s="4"/>
      <c r="M974" s="4"/>
      <c r="N974" s="4">
        <f t="shared" ref="N974:N1031" si="515">L974-F974</f>
        <v>0</v>
      </c>
      <c r="O974" s="3"/>
      <c r="P974" s="3"/>
      <c r="Q974" s="3"/>
      <c r="R974" s="3"/>
      <c r="S974" s="3">
        <f t="shared" ref="S974:S1039" si="516">T974-R974</f>
        <v>0</v>
      </c>
      <c r="T974" s="3"/>
      <c r="U974" s="3">
        <f t="shared" ref="U974:U1039" si="517">T974-P974</f>
        <v>0</v>
      </c>
      <c r="V974" s="3"/>
      <c r="W974" s="3">
        <f t="shared" ref="W974:W1039" si="518">Y974-V974</f>
        <v>0</v>
      </c>
      <c r="X974" s="3"/>
      <c r="Y974" s="3"/>
      <c r="Z974" s="3">
        <f t="shared" si="513"/>
        <v>0</v>
      </c>
      <c r="AA974" s="3"/>
      <c r="AB974" s="3"/>
      <c r="AC974" s="3"/>
      <c r="AD974" s="3">
        <f t="shared" ref="AD974:AD1039" si="519">AE974-AC974</f>
        <v>0</v>
      </c>
      <c r="AE974" s="3"/>
      <c r="AF974" s="3">
        <f t="shared" ref="AF974:AF1039" si="520">AE974-Y974</f>
        <v>0</v>
      </c>
      <c r="AG974" s="4"/>
      <c r="AH974" s="4"/>
      <c r="AI974" s="3"/>
      <c r="AJ974" s="3"/>
      <c r="AK974" s="3"/>
      <c r="AL974" s="3"/>
      <c r="AM974" s="3"/>
      <c r="AN974" s="3"/>
      <c r="AO974" s="3"/>
      <c r="AP974" s="4"/>
      <c r="AQ974" s="3"/>
      <c r="AR974" s="42"/>
      <c r="AS974" s="3"/>
      <c r="AT974" s="42"/>
      <c r="AU974" s="3"/>
      <c r="AV974" s="42"/>
      <c r="AW974" s="3"/>
      <c r="AX974" s="42"/>
      <c r="AY974" s="3"/>
      <c r="AZ974" s="42"/>
      <c r="BA974" s="3"/>
      <c r="BB974" s="42"/>
      <c r="BC974" s="3"/>
      <c r="BD974" s="42"/>
      <c r="BE974" s="3"/>
    </row>
    <row r="975" spans="1:57" s="77" customFormat="1" hidden="1" outlineLevel="1" x14ac:dyDescent="0.25">
      <c r="A975" s="3" t="s">
        <v>735</v>
      </c>
      <c r="B975" s="3"/>
      <c r="C975" s="3"/>
      <c r="D975" s="3"/>
      <c r="E975" s="3">
        <f t="shared" si="512"/>
        <v>0</v>
      </c>
      <c r="F975" s="3"/>
      <c r="G975" s="3"/>
      <c r="H975" s="3">
        <f t="shared" si="511"/>
        <v>0</v>
      </c>
      <c r="I975" s="3"/>
      <c r="J975" s="3"/>
      <c r="K975" s="4">
        <f t="shared" si="514"/>
        <v>0</v>
      </c>
      <c r="L975" s="4"/>
      <c r="M975" s="4"/>
      <c r="N975" s="4">
        <f t="shared" si="515"/>
        <v>0</v>
      </c>
      <c r="O975" s="3"/>
      <c r="P975" s="3">
        <v>45000</v>
      </c>
      <c r="Q975" s="3"/>
      <c r="R975" s="3">
        <v>0</v>
      </c>
      <c r="S975" s="3">
        <f t="shared" si="516"/>
        <v>45000</v>
      </c>
      <c r="T975" s="3">
        <v>45000</v>
      </c>
      <c r="U975" s="3">
        <f t="shared" si="517"/>
        <v>0</v>
      </c>
      <c r="V975" s="3"/>
      <c r="W975" s="3">
        <f t="shared" si="518"/>
        <v>45000</v>
      </c>
      <c r="X975" s="3"/>
      <c r="Y975" s="3">
        <v>45000</v>
      </c>
      <c r="Z975" s="3">
        <f t="shared" si="513"/>
        <v>0</v>
      </c>
      <c r="AA975" s="3"/>
      <c r="AB975" s="3"/>
      <c r="AC975" s="3"/>
      <c r="AD975" s="3">
        <f t="shared" si="519"/>
        <v>45000</v>
      </c>
      <c r="AE975" s="3">
        <v>45000</v>
      </c>
      <c r="AF975" s="3">
        <f t="shared" si="520"/>
        <v>0</v>
      </c>
      <c r="AG975" s="4"/>
      <c r="AH975" s="4"/>
      <c r="AI975" s="3">
        <v>30000</v>
      </c>
      <c r="AJ975" s="3"/>
      <c r="AK975" s="3"/>
      <c r="AL975" s="3"/>
      <c r="AM975" s="3"/>
      <c r="AN975" s="3"/>
      <c r="AO975" s="3"/>
      <c r="AP975" s="4"/>
      <c r="AQ975" s="3"/>
      <c r="AR975" s="42"/>
      <c r="AS975" s="3"/>
      <c r="AT975" s="42"/>
      <c r="AU975" s="3"/>
      <c r="AV975" s="42"/>
      <c r="AW975" s="3"/>
      <c r="AX975" s="42"/>
      <c r="AY975" s="3"/>
      <c r="AZ975" s="42"/>
      <c r="BA975" s="3"/>
      <c r="BB975" s="42"/>
      <c r="BC975" s="3"/>
      <c r="BD975" s="42"/>
      <c r="BE975" s="3"/>
    </row>
    <row r="976" spans="1:57" hidden="1" outlineLevel="1" x14ac:dyDescent="0.25">
      <c r="A976" s="3" t="s">
        <v>736</v>
      </c>
      <c r="B976" s="3">
        <v>45000</v>
      </c>
      <c r="D976" s="3">
        <v>22505</v>
      </c>
      <c r="E976" s="3">
        <f t="shared" si="512"/>
        <v>22495</v>
      </c>
      <c r="F976" s="3">
        <v>45000</v>
      </c>
      <c r="H976" s="3">
        <f t="shared" si="511"/>
        <v>0</v>
      </c>
      <c r="J976" s="3">
        <v>27596</v>
      </c>
      <c r="K976" s="4">
        <f t="shared" si="514"/>
        <v>15859</v>
      </c>
      <c r="L976" s="4">
        <v>43455</v>
      </c>
      <c r="N976" s="4">
        <f t="shared" si="515"/>
        <v>-1545</v>
      </c>
      <c r="S976" s="3">
        <f t="shared" si="516"/>
        <v>0</v>
      </c>
      <c r="U976" s="3">
        <f t="shared" si="517"/>
        <v>0</v>
      </c>
      <c r="W976" s="3">
        <f t="shared" si="518"/>
        <v>0</v>
      </c>
      <c r="Z976" s="3">
        <f t="shared" si="513"/>
        <v>0</v>
      </c>
      <c r="AD976" s="3">
        <f t="shared" si="519"/>
        <v>0</v>
      </c>
      <c r="AF976" s="3">
        <f t="shared" si="520"/>
        <v>0</v>
      </c>
      <c r="BC976" s="3"/>
      <c r="BE976" s="3"/>
    </row>
    <row r="977" spans="1:57" s="77" customFormat="1" hidden="1" outlineLevel="1" x14ac:dyDescent="0.25">
      <c r="A977" s="3" t="s">
        <v>737</v>
      </c>
      <c r="B977" s="3"/>
      <c r="C977" s="3"/>
      <c r="D977" s="3"/>
      <c r="E977" s="3">
        <f t="shared" si="512"/>
        <v>0</v>
      </c>
      <c r="F977" s="3"/>
      <c r="G977" s="3"/>
      <c r="H977" s="3">
        <f t="shared" si="511"/>
        <v>0</v>
      </c>
      <c r="I977" s="3"/>
      <c r="J977" s="3"/>
      <c r="K977" s="4">
        <f t="shared" si="514"/>
        <v>0</v>
      </c>
      <c r="L977" s="4"/>
      <c r="M977" s="4"/>
      <c r="N977" s="4">
        <f t="shared" si="515"/>
        <v>0</v>
      </c>
      <c r="O977" s="3"/>
      <c r="P977" s="3"/>
      <c r="Q977" s="3"/>
      <c r="R977" s="3"/>
      <c r="S977" s="3">
        <f t="shared" si="516"/>
        <v>0</v>
      </c>
      <c r="T977" s="3"/>
      <c r="U977" s="3">
        <f t="shared" si="517"/>
        <v>0</v>
      </c>
      <c r="V977" s="3"/>
      <c r="W977" s="3">
        <f t="shared" si="518"/>
        <v>0</v>
      </c>
      <c r="X977" s="3"/>
      <c r="Y977" s="3"/>
      <c r="Z977" s="3">
        <f t="shared" si="513"/>
        <v>0</v>
      </c>
      <c r="AA977" s="3"/>
      <c r="AB977" s="3"/>
      <c r="AC977" s="3"/>
      <c r="AD977" s="3">
        <f t="shared" si="519"/>
        <v>0</v>
      </c>
      <c r="AE977" s="3"/>
      <c r="AF977" s="3">
        <f t="shared" si="520"/>
        <v>0</v>
      </c>
      <c r="AG977" s="4"/>
      <c r="AH977" s="4"/>
      <c r="AI977" s="3"/>
      <c r="AJ977" s="3"/>
      <c r="AK977" s="3"/>
      <c r="AL977" s="3"/>
      <c r="AM977" s="3"/>
      <c r="AN977" s="3"/>
      <c r="AO977" s="3"/>
      <c r="AP977" s="4"/>
      <c r="AQ977" s="3"/>
      <c r="AR977" s="42"/>
      <c r="AS977" s="3"/>
      <c r="AT977" s="42"/>
      <c r="AU977" s="3"/>
      <c r="AV977" s="42"/>
      <c r="AW977" s="3"/>
      <c r="AX977" s="42"/>
      <c r="AY977" s="3"/>
      <c r="AZ977" s="42"/>
      <c r="BA977" s="3"/>
      <c r="BB977" s="42"/>
      <c r="BC977" s="3"/>
      <c r="BD977" s="42"/>
      <c r="BE977" s="3"/>
    </row>
    <row r="978" spans="1:57" hidden="1" outlineLevel="1" x14ac:dyDescent="0.25">
      <c r="A978" s="3" t="s">
        <v>738</v>
      </c>
      <c r="E978" s="3">
        <f t="shared" si="512"/>
        <v>0</v>
      </c>
      <c r="H978" s="3">
        <f t="shared" si="511"/>
        <v>0</v>
      </c>
      <c r="K978" s="4">
        <f t="shared" si="514"/>
        <v>0</v>
      </c>
      <c r="L978" s="4"/>
      <c r="N978" s="4">
        <f t="shared" si="515"/>
        <v>0</v>
      </c>
      <c r="S978" s="3">
        <f t="shared" si="516"/>
        <v>0</v>
      </c>
      <c r="U978" s="3">
        <f t="shared" si="517"/>
        <v>0</v>
      </c>
      <c r="W978" s="3">
        <f t="shared" si="518"/>
        <v>0</v>
      </c>
      <c r="Z978" s="3">
        <f t="shared" si="513"/>
        <v>0</v>
      </c>
      <c r="AD978" s="3">
        <f t="shared" si="519"/>
        <v>0</v>
      </c>
      <c r="AF978" s="3">
        <f t="shared" si="520"/>
        <v>0</v>
      </c>
      <c r="BC978" s="3"/>
      <c r="BE978" s="3"/>
    </row>
    <row r="979" spans="1:57" hidden="1" outlineLevel="1" x14ac:dyDescent="0.25">
      <c r="A979" s="3" t="s">
        <v>739</v>
      </c>
      <c r="E979" s="3">
        <f t="shared" si="512"/>
        <v>0</v>
      </c>
      <c r="H979" s="3">
        <f t="shared" si="511"/>
        <v>0</v>
      </c>
      <c r="K979" s="4">
        <f t="shared" si="514"/>
        <v>0</v>
      </c>
      <c r="L979" s="4"/>
      <c r="N979" s="4">
        <f t="shared" si="515"/>
        <v>0</v>
      </c>
      <c r="S979" s="3">
        <f t="shared" si="516"/>
        <v>0</v>
      </c>
      <c r="U979" s="3">
        <f t="shared" si="517"/>
        <v>0</v>
      </c>
      <c r="W979" s="3">
        <f t="shared" si="518"/>
        <v>0</v>
      </c>
      <c r="Z979" s="3">
        <f t="shared" si="513"/>
        <v>0</v>
      </c>
      <c r="AD979" s="3">
        <f t="shared" si="519"/>
        <v>0</v>
      </c>
      <c r="AF979" s="3">
        <f t="shared" si="520"/>
        <v>0</v>
      </c>
      <c r="BC979" s="3"/>
      <c r="BE979" s="3"/>
    </row>
    <row r="980" spans="1:57" s="77" customFormat="1" hidden="1" outlineLevel="1" x14ac:dyDescent="0.25">
      <c r="A980" s="3" t="s">
        <v>686</v>
      </c>
      <c r="B980" s="3"/>
      <c r="C980" s="3"/>
      <c r="D980" s="3"/>
      <c r="E980" s="3">
        <f t="shared" si="512"/>
        <v>0</v>
      </c>
      <c r="F980" s="3"/>
      <c r="G980" s="3"/>
      <c r="H980" s="3">
        <f t="shared" si="511"/>
        <v>0</v>
      </c>
      <c r="I980" s="3"/>
      <c r="J980" s="3"/>
      <c r="K980" s="4">
        <f t="shared" si="514"/>
        <v>0</v>
      </c>
      <c r="L980" s="4"/>
      <c r="M980" s="4"/>
      <c r="N980" s="4">
        <f t="shared" si="515"/>
        <v>0</v>
      </c>
      <c r="O980" s="3"/>
      <c r="P980" s="3"/>
      <c r="Q980" s="3"/>
      <c r="R980" s="3"/>
      <c r="S980" s="3">
        <f t="shared" si="516"/>
        <v>0</v>
      </c>
      <c r="T980" s="3"/>
      <c r="U980" s="3">
        <f t="shared" si="517"/>
        <v>0</v>
      </c>
      <c r="V980" s="3"/>
      <c r="W980" s="3">
        <f t="shared" si="518"/>
        <v>0</v>
      </c>
      <c r="X980" s="3"/>
      <c r="Y980" s="3"/>
      <c r="Z980" s="3">
        <f t="shared" si="513"/>
        <v>0</v>
      </c>
      <c r="AA980" s="3"/>
      <c r="AB980" s="3"/>
      <c r="AC980" s="3"/>
      <c r="AD980" s="3">
        <f t="shared" si="519"/>
        <v>0</v>
      </c>
      <c r="AE980" s="3"/>
      <c r="AF980" s="3">
        <f t="shared" si="520"/>
        <v>0</v>
      </c>
      <c r="AG980" s="4"/>
      <c r="AH980" s="4"/>
      <c r="AI980" s="3"/>
      <c r="AJ980" s="3"/>
      <c r="AK980" s="3"/>
      <c r="AL980" s="3"/>
      <c r="AM980" s="3"/>
      <c r="AN980" s="3"/>
      <c r="AO980" s="3"/>
      <c r="AP980" s="4"/>
      <c r="AQ980" s="3"/>
      <c r="AR980" s="42"/>
      <c r="AS980" s="3"/>
      <c r="AT980" s="42"/>
      <c r="AU980" s="3"/>
      <c r="AV980" s="42"/>
      <c r="AW980" s="3"/>
      <c r="AX980" s="42"/>
      <c r="AY980" s="3"/>
      <c r="AZ980" s="42"/>
      <c r="BA980" s="3"/>
      <c r="BB980" s="42"/>
      <c r="BC980" s="3"/>
      <c r="BD980" s="42"/>
      <c r="BE980" s="3"/>
    </row>
    <row r="981" spans="1:57" hidden="1" outlineLevel="1" x14ac:dyDescent="0.25">
      <c r="A981" s="3" t="s">
        <v>740</v>
      </c>
      <c r="E981" s="3">
        <f t="shared" si="512"/>
        <v>0</v>
      </c>
      <c r="H981" s="3">
        <f t="shared" si="511"/>
        <v>0</v>
      </c>
      <c r="K981" s="4">
        <f t="shared" si="514"/>
        <v>0</v>
      </c>
      <c r="L981" s="4"/>
      <c r="N981" s="4">
        <f t="shared" si="515"/>
        <v>0</v>
      </c>
      <c r="S981" s="3">
        <f t="shared" si="516"/>
        <v>0</v>
      </c>
      <c r="U981" s="3">
        <f t="shared" si="517"/>
        <v>0</v>
      </c>
      <c r="W981" s="3">
        <f t="shared" si="518"/>
        <v>0</v>
      </c>
      <c r="Z981" s="3">
        <f t="shared" si="513"/>
        <v>0</v>
      </c>
      <c r="AD981" s="3">
        <f t="shared" si="519"/>
        <v>0</v>
      </c>
      <c r="AF981" s="3">
        <f t="shared" si="520"/>
        <v>0</v>
      </c>
      <c r="BC981" s="3"/>
      <c r="BE981" s="3"/>
    </row>
    <row r="982" spans="1:57" hidden="1" outlineLevel="1" x14ac:dyDescent="0.25">
      <c r="A982" s="3" t="s">
        <v>741</v>
      </c>
      <c r="E982" s="3">
        <f t="shared" si="512"/>
        <v>0</v>
      </c>
      <c r="H982" s="3">
        <f t="shared" si="511"/>
        <v>0</v>
      </c>
      <c r="K982" s="4">
        <f t="shared" si="514"/>
        <v>0</v>
      </c>
      <c r="L982" s="4"/>
      <c r="N982" s="4">
        <f t="shared" si="515"/>
        <v>0</v>
      </c>
      <c r="S982" s="3">
        <f t="shared" si="516"/>
        <v>0</v>
      </c>
      <c r="U982" s="3">
        <f t="shared" si="517"/>
        <v>0</v>
      </c>
      <c r="W982" s="3">
        <f t="shared" si="518"/>
        <v>0</v>
      </c>
      <c r="Z982" s="3">
        <f t="shared" si="513"/>
        <v>0</v>
      </c>
      <c r="AD982" s="3">
        <f t="shared" si="519"/>
        <v>0</v>
      </c>
      <c r="AF982" s="3">
        <f t="shared" si="520"/>
        <v>0</v>
      </c>
      <c r="BC982" s="3"/>
      <c r="BE982" s="3"/>
    </row>
    <row r="983" spans="1:57" s="77" customFormat="1" hidden="1" outlineLevel="1" x14ac:dyDescent="0.25">
      <c r="A983" s="3" t="s">
        <v>742</v>
      </c>
      <c r="B983" s="3">
        <v>3500</v>
      </c>
      <c r="C983" s="3"/>
      <c r="D983" s="3"/>
      <c r="E983" s="3">
        <f t="shared" si="512"/>
        <v>3500</v>
      </c>
      <c r="F983" s="3">
        <v>3500</v>
      </c>
      <c r="G983" s="3"/>
      <c r="H983" s="3">
        <f t="shared" si="511"/>
        <v>0</v>
      </c>
      <c r="I983" s="3"/>
      <c r="J983" s="3">
        <v>566</v>
      </c>
      <c r="K983" s="4">
        <f t="shared" si="514"/>
        <v>2934</v>
      </c>
      <c r="L983" s="4">
        <v>3500</v>
      </c>
      <c r="M983" s="4"/>
      <c r="N983" s="4">
        <f t="shared" si="515"/>
        <v>0</v>
      </c>
      <c r="O983" s="3"/>
      <c r="P983" s="3">
        <v>3000</v>
      </c>
      <c r="Q983" s="3"/>
      <c r="R983" s="3">
        <v>594</v>
      </c>
      <c r="S983" s="3">
        <f t="shared" si="516"/>
        <v>2406</v>
      </c>
      <c r="T983" s="3">
        <v>3000</v>
      </c>
      <c r="U983" s="3">
        <f t="shared" si="517"/>
        <v>0</v>
      </c>
      <c r="V983" s="3">
        <v>1567</v>
      </c>
      <c r="W983" s="3">
        <f t="shared" si="518"/>
        <v>1433</v>
      </c>
      <c r="X983" s="3"/>
      <c r="Y983" s="3">
        <v>3000</v>
      </c>
      <c r="Z983" s="3">
        <f t="shared" si="513"/>
        <v>0</v>
      </c>
      <c r="AA983" s="3"/>
      <c r="AB983" s="3"/>
      <c r="AC983" s="3">
        <v>1920</v>
      </c>
      <c r="AD983" s="3">
        <f t="shared" si="519"/>
        <v>1080</v>
      </c>
      <c r="AE983" s="3">
        <v>3000</v>
      </c>
      <c r="AF983" s="3">
        <f t="shared" si="520"/>
        <v>0</v>
      </c>
      <c r="AG983" s="4"/>
      <c r="AH983" s="4"/>
      <c r="AI983" s="3">
        <v>2600</v>
      </c>
      <c r="AJ983" s="3"/>
      <c r="AK983" s="3">
        <v>3000</v>
      </c>
      <c r="AL983" s="3"/>
      <c r="AM983" s="3">
        <v>2600</v>
      </c>
      <c r="AN983" s="3"/>
      <c r="AO983" s="3">
        <v>3000</v>
      </c>
      <c r="AP983" s="4"/>
      <c r="AQ983" s="3">
        <v>2600</v>
      </c>
      <c r="AR983" s="42"/>
      <c r="AS983" s="3">
        <v>3000</v>
      </c>
      <c r="AT983" s="3"/>
      <c r="AU983" s="3">
        <v>2600</v>
      </c>
      <c r="AV983" s="42"/>
      <c r="AW983" s="3">
        <v>3000</v>
      </c>
      <c r="AX983" s="42"/>
      <c r="AY983" s="3">
        <v>3000</v>
      </c>
      <c r="AZ983" s="42"/>
      <c r="BA983" s="3">
        <v>3000</v>
      </c>
      <c r="BB983" s="42"/>
      <c r="BC983" s="3">
        <v>3000</v>
      </c>
      <c r="BD983" s="42"/>
      <c r="BE983" s="3">
        <v>3000</v>
      </c>
    </row>
    <row r="984" spans="1:57" hidden="1" outlineLevel="1" x14ac:dyDescent="0.25">
      <c r="A984" s="3" t="s">
        <v>743</v>
      </c>
      <c r="E984" s="3">
        <f t="shared" si="512"/>
        <v>0</v>
      </c>
      <c r="H984" s="3">
        <f t="shared" si="511"/>
        <v>0</v>
      </c>
      <c r="K984" s="4">
        <f t="shared" si="514"/>
        <v>0</v>
      </c>
      <c r="L984" s="4"/>
      <c r="N984" s="4">
        <f t="shared" si="515"/>
        <v>0</v>
      </c>
      <c r="S984" s="3">
        <f t="shared" si="516"/>
        <v>0</v>
      </c>
      <c r="U984" s="3">
        <f t="shared" si="517"/>
        <v>0</v>
      </c>
      <c r="W984" s="3">
        <f t="shared" si="518"/>
        <v>0</v>
      </c>
      <c r="Z984" s="3">
        <f t="shared" si="513"/>
        <v>0</v>
      </c>
      <c r="AD984" s="3">
        <f t="shared" si="519"/>
        <v>0</v>
      </c>
      <c r="AF984" s="3">
        <f t="shared" si="520"/>
        <v>0</v>
      </c>
      <c r="BC984" s="3"/>
      <c r="BE984" s="3"/>
    </row>
    <row r="985" spans="1:57" s="77" customFormat="1" hidden="1" outlineLevel="1" x14ac:dyDescent="0.25">
      <c r="A985" s="3" t="s">
        <v>744</v>
      </c>
      <c r="B985" s="3"/>
      <c r="C985" s="3"/>
      <c r="D985" s="3"/>
      <c r="E985" s="3">
        <f t="shared" si="512"/>
        <v>0</v>
      </c>
      <c r="F985" s="3"/>
      <c r="G985" s="3"/>
      <c r="H985" s="3">
        <f t="shared" si="511"/>
        <v>0</v>
      </c>
      <c r="I985" s="3"/>
      <c r="J985" s="3"/>
      <c r="K985" s="4">
        <f t="shared" si="514"/>
        <v>0</v>
      </c>
      <c r="L985" s="4"/>
      <c r="M985" s="4"/>
      <c r="N985" s="4">
        <f t="shared" si="515"/>
        <v>0</v>
      </c>
      <c r="O985" s="3"/>
      <c r="P985" s="3"/>
      <c r="Q985" s="3"/>
      <c r="R985" s="3"/>
      <c r="S985" s="3">
        <f t="shared" si="516"/>
        <v>0</v>
      </c>
      <c r="T985" s="3"/>
      <c r="U985" s="3">
        <f t="shared" si="517"/>
        <v>0</v>
      </c>
      <c r="V985" s="3"/>
      <c r="W985" s="3">
        <f t="shared" si="518"/>
        <v>0</v>
      </c>
      <c r="X985" s="3"/>
      <c r="Y985" s="3"/>
      <c r="Z985" s="3">
        <f t="shared" si="513"/>
        <v>0</v>
      </c>
      <c r="AA985" s="3"/>
      <c r="AB985" s="3"/>
      <c r="AC985" s="3"/>
      <c r="AD985" s="3">
        <f t="shared" si="519"/>
        <v>0</v>
      </c>
      <c r="AE985" s="3"/>
      <c r="AF985" s="3">
        <f t="shared" si="520"/>
        <v>0</v>
      </c>
      <c r="AG985" s="4"/>
      <c r="AH985" s="4"/>
      <c r="AI985" s="3"/>
      <c r="AJ985" s="3"/>
      <c r="AK985" s="3"/>
      <c r="AL985" s="3"/>
      <c r="AM985" s="3"/>
      <c r="AN985" s="3"/>
      <c r="AO985" s="3"/>
      <c r="AP985" s="4"/>
      <c r="AQ985" s="3"/>
      <c r="AR985" s="42"/>
      <c r="AS985" s="3"/>
      <c r="AT985" s="42"/>
      <c r="AU985" s="3"/>
      <c r="AV985" s="42"/>
      <c r="AW985" s="3"/>
      <c r="AX985" s="42"/>
      <c r="AY985" s="3"/>
      <c r="AZ985" s="42"/>
      <c r="BA985" s="3"/>
      <c r="BB985" s="42"/>
      <c r="BC985" s="3"/>
      <c r="BD985" s="42"/>
      <c r="BE985" s="3"/>
    </row>
    <row r="986" spans="1:57" hidden="1" outlineLevel="1" x14ac:dyDescent="0.25">
      <c r="A986" s="3" t="s">
        <v>745</v>
      </c>
      <c r="E986" s="3">
        <f t="shared" si="512"/>
        <v>0</v>
      </c>
      <c r="H986" s="3">
        <f t="shared" si="511"/>
        <v>0</v>
      </c>
      <c r="K986" s="4">
        <f t="shared" si="514"/>
        <v>0</v>
      </c>
      <c r="L986" s="4"/>
      <c r="N986" s="4">
        <f t="shared" si="515"/>
        <v>0</v>
      </c>
      <c r="S986" s="3">
        <f t="shared" si="516"/>
        <v>0</v>
      </c>
      <c r="U986" s="3">
        <f t="shared" si="517"/>
        <v>0</v>
      </c>
      <c r="W986" s="3">
        <f t="shared" si="518"/>
        <v>0</v>
      </c>
      <c r="Z986" s="3">
        <f t="shared" si="513"/>
        <v>0</v>
      </c>
      <c r="AD986" s="3">
        <f t="shared" si="519"/>
        <v>0</v>
      </c>
      <c r="AF986" s="3">
        <f t="shared" si="520"/>
        <v>0</v>
      </c>
      <c r="BC986" s="3"/>
      <c r="BE986" s="3"/>
    </row>
    <row r="987" spans="1:57" s="77" customFormat="1" hidden="1" outlineLevel="1" x14ac:dyDescent="0.25">
      <c r="A987" s="3" t="s">
        <v>746</v>
      </c>
      <c r="B987" s="3"/>
      <c r="C987" s="3"/>
      <c r="D987" s="3"/>
      <c r="E987" s="3">
        <f t="shared" si="512"/>
        <v>0</v>
      </c>
      <c r="F987" s="3"/>
      <c r="G987" s="3"/>
      <c r="H987" s="3">
        <f t="shared" si="511"/>
        <v>0</v>
      </c>
      <c r="I987" s="3"/>
      <c r="J987" s="3"/>
      <c r="K987" s="4">
        <f t="shared" si="514"/>
        <v>0</v>
      </c>
      <c r="L987" s="4"/>
      <c r="M987" s="4"/>
      <c r="N987" s="4">
        <f t="shared" si="515"/>
        <v>0</v>
      </c>
      <c r="O987" s="3"/>
      <c r="P987" s="3"/>
      <c r="Q987" s="3"/>
      <c r="R987" s="3"/>
      <c r="S987" s="3">
        <f t="shared" si="516"/>
        <v>0</v>
      </c>
      <c r="T987" s="3"/>
      <c r="U987" s="3">
        <f t="shared" si="517"/>
        <v>0</v>
      </c>
      <c r="V987" s="3"/>
      <c r="W987" s="3">
        <f t="shared" si="518"/>
        <v>0</v>
      </c>
      <c r="X987" s="3"/>
      <c r="Y987" s="3"/>
      <c r="Z987" s="3">
        <f t="shared" si="513"/>
        <v>0</v>
      </c>
      <c r="AA987" s="3"/>
      <c r="AB987" s="3"/>
      <c r="AC987" s="3"/>
      <c r="AD987" s="3">
        <f t="shared" si="519"/>
        <v>0</v>
      </c>
      <c r="AE987" s="3"/>
      <c r="AF987" s="3">
        <f t="shared" si="520"/>
        <v>0</v>
      </c>
      <c r="AG987" s="4"/>
      <c r="AH987" s="4"/>
      <c r="AI987" s="3"/>
      <c r="AJ987" s="3"/>
      <c r="AK987" s="3"/>
      <c r="AL987" s="3"/>
      <c r="AM987" s="3"/>
      <c r="AN987" s="3"/>
      <c r="AO987" s="3"/>
      <c r="AP987" s="4"/>
      <c r="AQ987" s="3"/>
      <c r="AR987" s="42"/>
      <c r="AS987" s="3"/>
      <c r="AT987" s="42"/>
      <c r="AU987" s="3"/>
      <c r="AV987" s="42"/>
      <c r="AW987" s="3"/>
      <c r="AX987" s="42"/>
      <c r="AY987" s="3"/>
      <c r="AZ987" s="42"/>
      <c r="BA987" s="3"/>
      <c r="BB987" s="42"/>
      <c r="BC987" s="3"/>
      <c r="BD987" s="42"/>
      <c r="BE987" s="3"/>
    </row>
    <row r="988" spans="1:57" hidden="1" outlineLevel="1" x14ac:dyDescent="0.25">
      <c r="A988" s="3" t="s">
        <v>747</v>
      </c>
      <c r="E988" s="3">
        <f t="shared" si="512"/>
        <v>0</v>
      </c>
      <c r="H988" s="3">
        <f t="shared" si="511"/>
        <v>0</v>
      </c>
      <c r="K988" s="4">
        <f t="shared" si="514"/>
        <v>0</v>
      </c>
      <c r="L988" s="4"/>
      <c r="N988" s="4">
        <f t="shared" si="515"/>
        <v>0</v>
      </c>
      <c r="S988" s="3">
        <f t="shared" si="516"/>
        <v>0</v>
      </c>
      <c r="U988" s="3">
        <f t="shared" si="517"/>
        <v>0</v>
      </c>
      <c r="W988" s="3">
        <f t="shared" si="518"/>
        <v>0</v>
      </c>
      <c r="Z988" s="3">
        <f t="shared" si="513"/>
        <v>0</v>
      </c>
      <c r="AD988" s="3">
        <f t="shared" si="519"/>
        <v>0</v>
      </c>
      <c r="AF988" s="3">
        <f t="shared" si="520"/>
        <v>0</v>
      </c>
      <c r="BC988" s="3"/>
      <c r="BE988" s="3"/>
    </row>
    <row r="989" spans="1:57" hidden="1" outlineLevel="1" x14ac:dyDescent="0.25">
      <c r="A989" s="3" t="s">
        <v>748</v>
      </c>
      <c r="K989" s="4"/>
      <c r="L989" s="4"/>
      <c r="N989" s="4"/>
      <c r="AI989" s="3">
        <v>10000</v>
      </c>
      <c r="AM989" s="3">
        <v>2000</v>
      </c>
      <c r="AQ989" s="3">
        <v>2000</v>
      </c>
      <c r="AU989" s="3">
        <v>2000</v>
      </c>
      <c r="AY989" s="3">
        <v>2000</v>
      </c>
      <c r="BC989" s="3"/>
      <c r="BE989" s="3"/>
    </row>
    <row r="990" spans="1:57" hidden="1" outlineLevel="1" x14ac:dyDescent="0.25">
      <c r="A990" s="3" t="s">
        <v>749</v>
      </c>
      <c r="B990" s="3">
        <v>12000</v>
      </c>
      <c r="E990" s="3">
        <f t="shared" si="512"/>
        <v>12000</v>
      </c>
      <c r="F990" s="3">
        <v>12000</v>
      </c>
      <c r="H990" s="3">
        <f t="shared" si="511"/>
        <v>0</v>
      </c>
      <c r="J990" s="3">
        <v>0</v>
      </c>
      <c r="K990" s="4">
        <f t="shared" si="514"/>
        <v>12000</v>
      </c>
      <c r="L990" s="4">
        <v>12000</v>
      </c>
      <c r="N990" s="4">
        <f t="shared" si="515"/>
        <v>0</v>
      </c>
      <c r="S990" s="3">
        <f t="shared" si="516"/>
        <v>0</v>
      </c>
      <c r="U990" s="3">
        <f t="shared" si="517"/>
        <v>0</v>
      </c>
      <c r="W990" s="3">
        <f t="shared" si="518"/>
        <v>0</v>
      </c>
      <c r="Z990" s="3">
        <f t="shared" si="513"/>
        <v>0</v>
      </c>
      <c r="AD990" s="3">
        <f t="shared" si="519"/>
        <v>0</v>
      </c>
      <c r="AF990" s="3">
        <f t="shared" si="520"/>
        <v>0</v>
      </c>
      <c r="BC990" s="3"/>
      <c r="BE990" s="3"/>
    </row>
    <row r="991" spans="1:57" s="77" customFormat="1" hidden="1" outlineLevel="1" x14ac:dyDescent="0.25">
      <c r="A991" s="3" t="s">
        <v>750</v>
      </c>
      <c r="B991" s="3"/>
      <c r="C991" s="3"/>
      <c r="D991" s="3"/>
      <c r="E991" s="3">
        <f t="shared" si="512"/>
        <v>0</v>
      </c>
      <c r="F991" s="3"/>
      <c r="G991" s="3"/>
      <c r="H991" s="3">
        <f t="shared" si="511"/>
        <v>0</v>
      </c>
      <c r="I991" s="3"/>
      <c r="J991" s="3"/>
      <c r="K991" s="4">
        <f t="shared" si="514"/>
        <v>0</v>
      </c>
      <c r="L991" s="4"/>
      <c r="M991" s="4"/>
      <c r="N991" s="4">
        <f t="shared" si="515"/>
        <v>0</v>
      </c>
      <c r="O991" s="3"/>
      <c r="P991" s="3"/>
      <c r="Q991" s="3"/>
      <c r="R991" s="3"/>
      <c r="S991" s="3">
        <f t="shared" si="516"/>
        <v>0</v>
      </c>
      <c r="T991" s="3"/>
      <c r="U991" s="3">
        <f t="shared" si="517"/>
        <v>0</v>
      </c>
      <c r="V991" s="3"/>
      <c r="W991" s="3">
        <f t="shared" si="518"/>
        <v>0</v>
      </c>
      <c r="X991" s="3"/>
      <c r="Y991" s="3"/>
      <c r="Z991" s="3">
        <f t="shared" si="513"/>
        <v>0</v>
      </c>
      <c r="AA991" s="3"/>
      <c r="AB991" s="3"/>
      <c r="AC991" s="3"/>
      <c r="AD991" s="3">
        <f t="shared" si="519"/>
        <v>0</v>
      </c>
      <c r="AE991" s="3"/>
      <c r="AF991" s="3">
        <f t="shared" si="520"/>
        <v>0</v>
      </c>
      <c r="AG991" s="4"/>
      <c r="AH991" s="4"/>
      <c r="AI991" s="3"/>
      <c r="AJ991" s="3"/>
      <c r="AK991" s="3"/>
      <c r="AL991" s="3"/>
      <c r="AM991" s="3"/>
      <c r="AN991" s="3"/>
      <c r="AO991" s="3"/>
      <c r="AP991" s="4"/>
      <c r="AQ991" s="3"/>
      <c r="AR991" s="42"/>
      <c r="AS991" s="3"/>
      <c r="AT991" s="42"/>
      <c r="AU991" s="3"/>
      <c r="AV991" s="42"/>
      <c r="AW991" s="3"/>
      <c r="AX991" s="42"/>
      <c r="AY991" s="3"/>
      <c r="AZ991" s="42"/>
      <c r="BA991" s="3"/>
      <c r="BB991" s="42"/>
      <c r="BC991" s="3"/>
      <c r="BD991" s="42"/>
      <c r="BE991" s="3"/>
    </row>
    <row r="992" spans="1:57" hidden="1" outlineLevel="1" x14ac:dyDescent="0.25">
      <c r="A992" s="3" t="s">
        <v>751</v>
      </c>
      <c r="E992" s="3">
        <f t="shared" si="512"/>
        <v>0</v>
      </c>
      <c r="H992" s="3">
        <f t="shared" si="511"/>
        <v>0</v>
      </c>
      <c r="K992" s="4">
        <f t="shared" si="514"/>
        <v>0</v>
      </c>
      <c r="L992" s="4"/>
      <c r="N992" s="4">
        <f t="shared" si="515"/>
        <v>0</v>
      </c>
      <c r="S992" s="3">
        <f t="shared" si="516"/>
        <v>0</v>
      </c>
      <c r="U992" s="3">
        <f t="shared" si="517"/>
        <v>0</v>
      </c>
      <c r="W992" s="3">
        <f t="shared" si="518"/>
        <v>0</v>
      </c>
      <c r="Z992" s="3">
        <f t="shared" si="513"/>
        <v>0</v>
      </c>
      <c r="AD992" s="3">
        <f t="shared" si="519"/>
        <v>0</v>
      </c>
      <c r="AF992" s="3">
        <f t="shared" si="520"/>
        <v>0</v>
      </c>
      <c r="BC992" s="3"/>
      <c r="BE992" s="3"/>
    </row>
    <row r="993" spans="1:57" hidden="1" outlineLevel="1" x14ac:dyDescent="0.25">
      <c r="A993" s="3" t="s">
        <v>752</v>
      </c>
      <c r="H993" s="3">
        <f>F993-B993</f>
        <v>0</v>
      </c>
      <c r="K993" s="4">
        <f t="shared" si="514"/>
        <v>0</v>
      </c>
      <c r="L993" s="4"/>
      <c r="N993" s="4">
        <f t="shared" si="515"/>
        <v>0</v>
      </c>
      <c r="S993" s="3">
        <f t="shared" si="516"/>
        <v>0</v>
      </c>
      <c r="U993" s="3">
        <f t="shared" si="517"/>
        <v>0</v>
      </c>
      <c r="W993" s="3">
        <f t="shared" si="518"/>
        <v>0</v>
      </c>
      <c r="Z993" s="3">
        <f t="shared" si="513"/>
        <v>0</v>
      </c>
      <c r="AD993" s="3">
        <f t="shared" si="519"/>
        <v>0</v>
      </c>
      <c r="AF993" s="3">
        <f t="shared" si="520"/>
        <v>0</v>
      </c>
      <c r="BC993" s="3"/>
      <c r="BE993" s="3"/>
    </row>
    <row r="994" spans="1:57" hidden="1" outlineLevel="1" x14ac:dyDescent="0.25">
      <c r="A994" s="3" t="s">
        <v>753</v>
      </c>
      <c r="B994" s="3">
        <v>6200</v>
      </c>
      <c r="D994" s="3">
        <v>2146</v>
      </c>
      <c r="E994" s="3">
        <f t="shared" ref="E994:E1039" si="521">F994-D994</f>
        <v>4054</v>
      </c>
      <c r="F994" s="3">
        <v>6200</v>
      </c>
      <c r="H994" s="3">
        <f t="shared" ref="H994:H1039" si="522">F994-B994</f>
        <v>0</v>
      </c>
      <c r="J994" s="3">
        <v>3065</v>
      </c>
      <c r="K994" s="4">
        <f t="shared" si="514"/>
        <v>3135</v>
      </c>
      <c r="L994" s="4">
        <v>6200</v>
      </c>
      <c r="N994" s="4">
        <f t="shared" si="515"/>
        <v>0</v>
      </c>
      <c r="P994" s="3">
        <f>B994*1.0281+26</f>
        <v>6400.22</v>
      </c>
      <c r="R994" s="3">
        <v>100</v>
      </c>
      <c r="S994" s="3">
        <f t="shared" si="516"/>
        <v>6300</v>
      </c>
      <c r="T994" s="3">
        <v>6400</v>
      </c>
      <c r="U994" s="3">
        <f t="shared" si="517"/>
        <v>-0.22000000000025466</v>
      </c>
      <c r="W994" s="3">
        <f t="shared" si="518"/>
        <v>6400</v>
      </c>
      <c r="Y994" s="3">
        <v>6400</v>
      </c>
      <c r="Z994" s="3">
        <f t="shared" si="513"/>
        <v>0</v>
      </c>
      <c r="AD994" s="3">
        <f t="shared" si="519"/>
        <v>4000</v>
      </c>
      <c r="AE994" s="3">
        <v>4000</v>
      </c>
      <c r="AF994" s="3">
        <f t="shared" si="520"/>
        <v>-2400</v>
      </c>
      <c r="AI994" s="3">
        <f>P994*1.03+8</f>
        <v>6600.2266000000009</v>
      </c>
      <c r="AK994" s="3">
        <f>AI994*1.03</f>
        <v>6798.2333980000012</v>
      </c>
      <c r="AM994" s="3">
        <f>AK994*1.03</f>
        <v>7002.1803999400017</v>
      </c>
      <c r="AO994" s="3">
        <f>AM994*1.03</f>
        <v>7212.2458119382018</v>
      </c>
      <c r="AQ994" s="3">
        <f>AO994*1.03</f>
        <v>7428.6131862963484</v>
      </c>
      <c r="AS994" s="3">
        <f>AQ994*1.03</f>
        <v>7651.4715818852392</v>
      </c>
      <c r="AU994" s="3">
        <f>AS994*1.03</f>
        <v>7881.0157293417969</v>
      </c>
      <c r="AW994" s="3">
        <f>AU994*1.03</f>
        <v>8117.4462012220511</v>
      </c>
      <c r="AY994" s="3">
        <f>AW994*1.03</f>
        <v>8360.9695872587126</v>
      </c>
      <c r="BA994" s="3">
        <f>AY994*1.03</f>
        <v>8611.7986748764743</v>
      </c>
      <c r="BC994" s="3">
        <f>BA994*1.03</f>
        <v>8870.1526351227694</v>
      </c>
      <c r="BE994" s="3">
        <f>BC994*1.03</f>
        <v>9136.2572141764522</v>
      </c>
    </row>
    <row r="995" spans="1:57" hidden="1" outlineLevel="1" x14ac:dyDescent="0.25">
      <c r="A995" s="3" t="s">
        <v>754</v>
      </c>
      <c r="K995" s="4"/>
      <c r="L995" s="4"/>
      <c r="N995" s="4"/>
      <c r="S995" s="3">
        <f>T995-R995</f>
        <v>7900</v>
      </c>
      <c r="T995" s="3">
        <v>7900</v>
      </c>
      <c r="U995" s="3">
        <f>T995-P995</f>
        <v>7900</v>
      </c>
      <c r="W995" s="3">
        <f t="shared" si="518"/>
        <v>7900</v>
      </c>
      <c r="Y995" s="3">
        <v>7900</v>
      </c>
      <c r="Z995" s="3">
        <f t="shared" si="513"/>
        <v>0</v>
      </c>
      <c r="AC995" s="3">
        <v>10389</v>
      </c>
      <c r="AD995" s="3">
        <f t="shared" si="519"/>
        <v>1</v>
      </c>
      <c r="AE995" s="3">
        <v>10390</v>
      </c>
      <c r="AF995" s="3">
        <f t="shared" si="520"/>
        <v>2490</v>
      </c>
      <c r="BC995" s="3"/>
      <c r="BE995" s="3"/>
    </row>
    <row r="996" spans="1:57" hidden="1" outlineLevel="1" x14ac:dyDescent="0.25">
      <c r="A996" s="3" t="s">
        <v>755</v>
      </c>
      <c r="K996" s="4"/>
      <c r="L996" s="4"/>
      <c r="N996" s="4"/>
      <c r="AI996" s="3">
        <v>20000</v>
      </c>
      <c r="BC996" s="3"/>
      <c r="BE996" s="3"/>
    </row>
    <row r="997" spans="1:57" hidden="1" outlineLevel="1" x14ac:dyDescent="0.25">
      <c r="A997" s="3" t="s">
        <v>756</v>
      </c>
      <c r="B997" s="3">
        <v>2000</v>
      </c>
      <c r="E997" s="3">
        <f t="shared" si="521"/>
        <v>2000</v>
      </c>
      <c r="F997" s="3">
        <v>2000</v>
      </c>
      <c r="H997" s="3">
        <f t="shared" si="522"/>
        <v>0</v>
      </c>
      <c r="K997" s="4">
        <f t="shared" si="514"/>
        <v>2000</v>
      </c>
      <c r="L997" s="4">
        <v>2000</v>
      </c>
      <c r="N997" s="4">
        <f t="shared" si="515"/>
        <v>0</v>
      </c>
      <c r="S997" s="3">
        <f t="shared" si="516"/>
        <v>0</v>
      </c>
      <c r="U997" s="3">
        <f t="shared" si="517"/>
        <v>0</v>
      </c>
      <c r="W997" s="3">
        <f t="shared" si="518"/>
        <v>0</v>
      </c>
      <c r="Z997" s="3">
        <f t="shared" si="513"/>
        <v>0</v>
      </c>
      <c r="AD997" s="3">
        <f t="shared" si="519"/>
        <v>7500</v>
      </c>
      <c r="AE997" s="3">
        <v>7500</v>
      </c>
      <c r="AF997" s="3">
        <f t="shared" si="520"/>
        <v>7500</v>
      </c>
      <c r="BC997" s="3"/>
      <c r="BE997" s="3"/>
    </row>
    <row r="998" spans="1:57" s="77" customFormat="1" hidden="1" outlineLevel="1" x14ac:dyDescent="0.25">
      <c r="A998" s="3" t="s">
        <v>757</v>
      </c>
      <c r="B998" s="3"/>
      <c r="C998" s="3"/>
      <c r="D998" s="3"/>
      <c r="E998" s="3">
        <f t="shared" si="521"/>
        <v>0</v>
      </c>
      <c r="F998" s="3"/>
      <c r="G998" s="3"/>
      <c r="H998" s="3">
        <f t="shared" si="522"/>
        <v>0</v>
      </c>
      <c r="I998" s="3"/>
      <c r="J998" s="3"/>
      <c r="K998" s="4">
        <f t="shared" si="514"/>
        <v>0</v>
      </c>
      <c r="L998" s="4"/>
      <c r="M998" s="4"/>
      <c r="N998" s="4">
        <f t="shared" si="515"/>
        <v>0</v>
      </c>
      <c r="O998" s="3"/>
      <c r="P998" s="3"/>
      <c r="Q998" s="3"/>
      <c r="R998" s="3"/>
      <c r="S998" s="3">
        <f t="shared" si="516"/>
        <v>0</v>
      </c>
      <c r="T998" s="3"/>
      <c r="U998" s="3">
        <f t="shared" si="517"/>
        <v>0</v>
      </c>
      <c r="V998" s="3"/>
      <c r="W998" s="3">
        <f t="shared" si="518"/>
        <v>0</v>
      </c>
      <c r="X998" s="3"/>
      <c r="Y998" s="3"/>
      <c r="Z998" s="3">
        <f t="shared" si="513"/>
        <v>0</v>
      </c>
      <c r="AA998" s="3"/>
      <c r="AB998" s="3"/>
      <c r="AC998" s="3"/>
      <c r="AD998" s="3">
        <f t="shared" si="519"/>
        <v>0</v>
      </c>
      <c r="AE998" s="3"/>
      <c r="AF998" s="3">
        <f t="shared" si="520"/>
        <v>0</v>
      </c>
      <c r="AG998" s="4"/>
      <c r="AH998" s="4"/>
      <c r="AI998" s="3"/>
      <c r="AJ998" s="3"/>
      <c r="AK998" s="3"/>
      <c r="AL998" s="3"/>
      <c r="AM998" s="3"/>
      <c r="AN998" s="3"/>
      <c r="AO998" s="3"/>
      <c r="AP998" s="4"/>
      <c r="AQ998" s="3"/>
      <c r="AR998" s="42"/>
      <c r="AS998" s="3"/>
      <c r="AT998" s="42"/>
      <c r="AU998" s="3"/>
      <c r="AV998" s="42"/>
      <c r="AW998" s="3"/>
      <c r="AX998" s="42"/>
      <c r="AY998" s="3"/>
      <c r="AZ998" s="42"/>
      <c r="BA998" s="3"/>
      <c r="BB998" s="42"/>
      <c r="BC998" s="3"/>
      <c r="BD998" s="42"/>
      <c r="BE998" s="3"/>
    </row>
    <row r="999" spans="1:57" hidden="1" outlineLevel="1" x14ac:dyDescent="0.25">
      <c r="A999" s="3" t="s">
        <v>758</v>
      </c>
      <c r="E999" s="3">
        <f t="shared" si="521"/>
        <v>0</v>
      </c>
      <c r="H999" s="3">
        <f t="shared" si="522"/>
        <v>0</v>
      </c>
      <c r="K999" s="4">
        <f t="shared" si="514"/>
        <v>0</v>
      </c>
      <c r="L999" s="4"/>
      <c r="N999" s="4">
        <f t="shared" si="515"/>
        <v>0</v>
      </c>
      <c r="S999" s="3">
        <f t="shared" si="516"/>
        <v>0</v>
      </c>
      <c r="U999" s="3">
        <f t="shared" si="517"/>
        <v>0</v>
      </c>
      <c r="W999" s="3">
        <f t="shared" si="518"/>
        <v>0</v>
      </c>
      <c r="Z999" s="3">
        <f t="shared" si="513"/>
        <v>0</v>
      </c>
      <c r="AD999" s="3">
        <f t="shared" si="519"/>
        <v>0</v>
      </c>
      <c r="AF999" s="3">
        <f t="shared" si="520"/>
        <v>0</v>
      </c>
      <c r="BC999" s="3"/>
      <c r="BE999" s="3"/>
    </row>
    <row r="1000" spans="1:57" s="77" customFormat="1" hidden="1" outlineLevel="1" x14ac:dyDescent="0.25">
      <c r="A1000" s="3" t="s">
        <v>759</v>
      </c>
      <c r="B1000" s="3"/>
      <c r="C1000" s="3"/>
      <c r="D1000" s="3"/>
      <c r="E1000" s="3">
        <f t="shared" si="521"/>
        <v>0</v>
      </c>
      <c r="F1000" s="3"/>
      <c r="G1000" s="3"/>
      <c r="H1000" s="3">
        <f t="shared" si="522"/>
        <v>0</v>
      </c>
      <c r="I1000" s="3"/>
      <c r="J1000" s="3"/>
      <c r="K1000" s="4">
        <f t="shared" si="514"/>
        <v>0</v>
      </c>
      <c r="L1000" s="4"/>
      <c r="M1000" s="4"/>
      <c r="N1000" s="4">
        <f t="shared" si="515"/>
        <v>0</v>
      </c>
      <c r="O1000" s="3"/>
      <c r="P1000" s="3"/>
      <c r="Q1000" s="3"/>
      <c r="R1000" s="3"/>
      <c r="S1000" s="3">
        <f t="shared" si="516"/>
        <v>0</v>
      </c>
      <c r="T1000" s="3"/>
      <c r="U1000" s="3">
        <f t="shared" si="517"/>
        <v>0</v>
      </c>
      <c r="V1000" s="3"/>
      <c r="W1000" s="3">
        <f t="shared" si="518"/>
        <v>0</v>
      </c>
      <c r="X1000" s="3"/>
      <c r="Y1000" s="3"/>
      <c r="Z1000" s="3">
        <f t="shared" si="513"/>
        <v>0</v>
      </c>
      <c r="AA1000" s="3"/>
      <c r="AB1000" s="3"/>
      <c r="AC1000" s="3"/>
      <c r="AD1000" s="3">
        <f t="shared" si="519"/>
        <v>0</v>
      </c>
      <c r="AE1000" s="3"/>
      <c r="AF1000" s="3">
        <f t="shared" si="520"/>
        <v>0</v>
      </c>
      <c r="AG1000" s="4"/>
      <c r="AH1000" s="4"/>
      <c r="AI1000" s="3"/>
      <c r="AJ1000" s="3"/>
      <c r="AK1000" s="3"/>
      <c r="AL1000" s="3"/>
      <c r="AM1000" s="3"/>
      <c r="AN1000" s="3"/>
      <c r="AO1000" s="3"/>
      <c r="AP1000" s="4"/>
      <c r="AQ1000" s="3"/>
      <c r="AR1000" s="42"/>
      <c r="AS1000" s="3"/>
      <c r="AT1000" s="42"/>
      <c r="AU1000" s="3"/>
      <c r="AV1000" s="42"/>
      <c r="AW1000" s="3"/>
      <c r="AX1000" s="42"/>
      <c r="AY1000" s="3"/>
      <c r="AZ1000" s="42"/>
      <c r="BA1000" s="3"/>
      <c r="BB1000" s="42"/>
      <c r="BC1000" s="3"/>
      <c r="BD1000" s="42"/>
      <c r="BE1000" s="3"/>
    </row>
    <row r="1001" spans="1:57" hidden="1" outlineLevel="1" x14ac:dyDescent="0.25">
      <c r="A1001" s="3" t="s">
        <v>760</v>
      </c>
      <c r="E1001" s="3">
        <f t="shared" si="521"/>
        <v>0</v>
      </c>
      <c r="H1001" s="3">
        <f t="shared" si="522"/>
        <v>0</v>
      </c>
      <c r="K1001" s="4">
        <f t="shared" si="514"/>
        <v>0</v>
      </c>
      <c r="L1001" s="4"/>
      <c r="N1001" s="4">
        <f t="shared" si="515"/>
        <v>0</v>
      </c>
      <c r="S1001" s="3">
        <f t="shared" si="516"/>
        <v>0</v>
      </c>
      <c r="U1001" s="3">
        <f t="shared" si="517"/>
        <v>0</v>
      </c>
      <c r="W1001" s="3">
        <f t="shared" si="518"/>
        <v>0</v>
      </c>
      <c r="Z1001" s="3">
        <f t="shared" si="513"/>
        <v>0</v>
      </c>
      <c r="AD1001" s="3">
        <f t="shared" si="519"/>
        <v>0</v>
      </c>
      <c r="AF1001" s="3">
        <f t="shared" si="520"/>
        <v>0</v>
      </c>
      <c r="BC1001" s="3"/>
      <c r="BE1001" s="3"/>
    </row>
    <row r="1002" spans="1:57" s="77" customFormat="1" hidden="1" outlineLevel="1" x14ac:dyDescent="0.25">
      <c r="A1002" s="3" t="s">
        <v>761</v>
      </c>
      <c r="B1002" s="3"/>
      <c r="C1002" s="3"/>
      <c r="D1002" s="3"/>
      <c r="E1002" s="3">
        <f t="shared" si="521"/>
        <v>0</v>
      </c>
      <c r="F1002" s="3"/>
      <c r="G1002" s="3"/>
      <c r="H1002" s="3">
        <f t="shared" si="522"/>
        <v>0</v>
      </c>
      <c r="I1002" s="3"/>
      <c r="J1002" s="3"/>
      <c r="K1002" s="4">
        <f t="shared" si="514"/>
        <v>0</v>
      </c>
      <c r="L1002" s="4"/>
      <c r="M1002" s="4"/>
      <c r="N1002" s="4">
        <f t="shared" si="515"/>
        <v>0</v>
      </c>
      <c r="O1002" s="3"/>
      <c r="P1002" s="3"/>
      <c r="Q1002" s="3"/>
      <c r="R1002" s="3"/>
      <c r="S1002" s="3">
        <f t="shared" si="516"/>
        <v>0</v>
      </c>
      <c r="T1002" s="3"/>
      <c r="U1002" s="3">
        <f t="shared" si="517"/>
        <v>0</v>
      </c>
      <c r="V1002" s="3"/>
      <c r="W1002" s="3">
        <f t="shared" si="518"/>
        <v>0</v>
      </c>
      <c r="X1002" s="3"/>
      <c r="Y1002" s="3"/>
      <c r="Z1002" s="3">
        <f t="shared" si="513"/>
        <v>0</v>
      </c>
      <c r="AA1002" s="3"/>
      <c r="AB1002" s="3"/>
      <c r="AC1002" s="3"/>
      <c r="AD1002" s="3">
        <f t="shared" si="519"/>
        <v>0</v>
      </c>
      <c r="AE1002" s="3"/>
      <c r="AF1002" s="3">
        <f t="shared" si="520"/>
        <v>0</v>
      </c>
      <c r="AG1002" s="4"/>
      <c r="AH1002" s="4"/>
      <c r="AI1002" s="3"/>
      <c r="AJ1002" s="3"/>
      <c r="AK1002" s="3"/>
      <c r="AL1002" s="3"/>
      <c r="AM1002" s="3"/>
      <c r="AN1002" s="3"/>
      <c r="AO1002" s="3"/>
      <c r="AP1002" s="4"/>
      <c r="AQ1002" s="3"/>
      <c r="AR1002" s="42"/>
      <c r="AS1002" s="3"/>
      <c r="AT1002" s="42"/>
      <c r="AU1002" s="3"/>
      <c r="AV1002" s="42"/>
      <c r="AW1002" s="3"/>
      <c r="AX1002" s="42"/>
      <c r="AY1002" s="3"/>
      <c r="AZ1002" s="42"/>
      <c r="BA1002" s="3"/>
      <c r="BB1002" s="42"/>
      <c r="BC1002" s="3"/>
      <c r="BD1002" s="42"/>
      <c r="BE1002" s="3"/>
    </row>
    <row r="1003" spans="1:57" hidden="1" outlineLevel="1" x14ac:dyDescent="0.25">
      <c r="A1003" s="3" t="s">
        <v>762</v>
      </c>
      <c r="E1003" s="3">
        <f t="shared" si="521"/>
        <v>0</v>
      </c>
      <c r="H1003" s="3">
        <f t="shared" si="522"/>
        <v>0</v>
      </c>
      <c r="K1003" s="4">
        <f t="shared" si="514"/>
        <v>0</v>
      </c>
      <c r="L1003" s="4"/>
      <c r="N1003" s="4">
        <f t="shared" si="515"/>
        <v>0</v>
      </c>
      <c r="P1003" s="3">
        <v>2500</v>
      </c>
      <c r="S1003" s="3">
        <f t="shared" si="516"/>
        <v>2500</v>
      </c>
      <c r="T1003" s="3">
        <v>2500</v>
      </c>
      <c r="U1003" s="3">
        <f t="shared" si="517"/>
        <v>0</v>
      </c>
      <c r="W1003" s="3">
        <f t="shared" si="518"/>
        <v>2500</v>
      </c>
      <c r="Y1003" s="3">
        <v>2500</v>
      </c>
      <c r="Z1003" s="3">
        <f t="shared" si="513"/>
        <v>0</v>
      </c>
      <c r="AD1003" s="3">
        <f t="shared" si="519"/>
        <v>500</v>
      </c>
      <c r="AE1003" s="3">
        <v>500</v>
      </c>
      <c r="AF1003" s="3">
        <f t="shared" si="520"/>
        <v>-2000</v>
      </c>
      <c r="AO1003" s="3">
        <v>2500</v>
      </c>
      <c r="BC1003" s="3"/>
      <c r="BE1003" s="3"/>
    </row>
    <row r="1004" spans="1:57" hidden="1" outlineLevel="1" x14ac:dyDescent="0.25">
      <c r="A1004" s="3" t="s">
        <v>763</v>
      </c>
      <c r="E1004" s="3">
        <f t="shared" si="521"/>
        <v>0</v>
      </c>
      <c r="H1004" s="3">
        <f t="shared" si="522"/>
        <v>0</v>
      </c>
      <c r="K1004" s="4">
        <f t="shared" si="514"/>
        <v>0</v>
      </c>
      <c r="L1004" s="4"/>
      <c r="N1004" s="4">
        <f t="shared" si="515"/>
        <v>0</v>
      </c>
      <c r="S1004" s="3">
        <f t="shared" si="516"/>
        <v>0</v>
      </c>
      <c r="U1004" s="3">
        <f t="shared" si="517"/>
        <v>0</v>
      </c>
      <c r="W1004" s="3">
        <f t="shared" si="518"/>
        <v>0</v>
      </c>
      <c r="Z1004" s="3">
        <f t="shared" si="513"/>
        <v>0</v>
      </c>
      <c r="AD1004" s="3">
        <f t="shared" si="519"/>
        <v>0</v>
      </c>
      <c r="AF1004" s="3">
        <f t="shared" si="520"/>
        <v>0</v>
      </c>
      <c r="BC1004" s="3"/>
      <c r="BE1004" s="3"/>
    </row>
    <row r="1005" spans="1:57" hidden="1" outlineLevel="1" x14ac:dyDescent="0.25">
      <c r="A1005" s="3" t="s">
        <v>764</v>
      </c>
      <c r="E1005" s="3">
        <f t="shared" si="521"/>
        <v>0</v>
      </c>
      <c r="H1005" s="3">
        <f t="shared" si="522"/>
        <v>0</v>
      </c>
      <c r="K1005" s="4">
        <f t="shared" si="514"/>
        <v>0</v>
      </c>
      <c r="L1005" s="4"/>
      <c r="N1005" s="4">
        <f t="shared" si="515"/>
        <v>0</v>
      </c>
      <c r="S1005" s="3">
        <f t="shared" si="516"/>
        <v>0</v>
      </c>
      <c r="U1005" s="3">
        <f t="shared" si="517"/>
        <v>0</v>
      </c>
      <c r="W1005" s="3">
        <f t="shared" si="518"/>
        <v>0</v>
      </c>
      <c r="Z1005" s="3">
        <f t="shared" si="513"/>
        <v>0</v>
      </c>
      <c r="AD1005" s="3">
        <f t="shared" si="519"/>
        <v>0</v>
      </c>
      <c r="AF1005" s="3">
        <f t="shared" si="520"/>
        <v>0</v>
      </c>
      <c r="BC1005" s="3"/>
      <c r="BE1005" s="3"/>
    </row>
    <row r="1006" spans="1:57" s="77" customFormat="1" hidden="1" outlineLevel="1" x14ac:dyDescent="0.25">
      <c r="A1006" s="3" t="s">
        <v>765</v>
      </c>
      <c r="B1006" s="3"/>
      <c r="C1006" s="3"/>
      <c r="D1006" s="3"/>
      <c r="E1006" s="3">
        <f t="shared" si="521"/>
        <v>0</v>
      </c>
      <c r="F1006" s="3"/>
      <c r="G1006" s="3"/>
      <c r="H1006" s="3">
        <f t="shared" si="522"/>
        <v>0</v>
      </c>
      <c r="I1006" s="3"/>
      <c r="J1006" s="3"/>
      <c r="K1006" s="4">
        <f t="shared" si="514"/>
        <v>0</v>
      </c>
      <c r="L1006" s="4"/>
      <c r="M1006" s="4"/>
      <c r="N1006" s="4">
        <f t="shared" si="515"/>
        <v>0</v>
      </c>
      <c r="O1006" s="3"/>
      <c r="P1006" s="3"/>
      <c r="Q1006" s="3"/>
      <c r="R1006" s="3"/>
      <c r="S1006" s="3">
        <f t="shared" si="516"/>
        <v>0</v>
      </c>
      <c r="T1006" s="3"/>
      <c r="U1006" s="3">
        <f t="shared" si="517"/>
        <v>0</v>
      </c>
      <c r="V1006" s="3"/>
      <c r="W1006" s="3">
        <f t="shared" si="518"/>
        <v>0</v>
      </c>
      <c r="X1006" s="3"/>
      <c r="Y1006" s="3"/>
      <c r="Z1006" s="3">
        <f t="shared" si="513"/>
        <v>0</v>
      </c>
      <c r="AA1006" s="3"/>
      <c r="AB1006" s="3"/>
      <c r="AC1006" s="3"/>
      <c r="AD1006" s="3">
        <f t="shared" si="519"/>
        <v>0</v>
      </c>
      <c r="AE1006" s="3"/>
      <c r="AF1006" s="3">
        <f t="shared" si="520"/>
        <v>0</v>
      </c>
      <c r="AG1006" s="4"/>
      <c r="AH1006" s="4"/>
      <c r="AI1006" s="3"/>
      <c r="AJ1006" s="3"/>
      <c r="AK1006" s="3"/>
      <c r="AL1006" s="3"/>
      <c r="AM1006" s="3"/>
      <c r="AN1006" s="3"/>
      <c r="AO1006" s="3"/>
      <c r="AP1006" s="4"/>
      <c r="AQ1006" s="3"/>
      <c r="AR1006" s="42"/>
      <c r="AS1006" s="3"/>
      <c r="AT1006" s="42"/>
      <c r="AU1006" s="3"/>
      <c r="AV1006" s="42"/>
      <c r="AW1006" s="3"/>
      <c r="AX1006" s="42"/>
      <c r="AY1006" s="3"/>
      <c r="AZ1006" s="42"/>
      <c r="BA1006" s="3"/>
      <c r="BB1006" s="42"/>
      <c r="BC1006" s="3"/>
      <c r="BD1006" s="42"/>
      <c r="BE1006" s="3"/>
    </row>
    <row r="1007" spans="1:57" hidden="1" outlineLevel="1" x14ac:dyDescent="0.25">
      <c r="A1007" s="3" t="s">
        <v>766</v>
      </c>
      <c r="E1007" s="3">
        <f t="shared" si="521"/>
        <v>0</v>
      </c>
      <c r="H1007" s="3">
        <f t="shared" si="522"/>
        <v>0</v>
      </c>
      <c r="K1007" s="4">
        <f t="shared" si="514"/>
        <v>0</v>
      </c>
      <c r="L1007" s="4"/>
      <c r="N1007" s="4">
        <f t="shared" si="515"/>
        <v>0</v>
      </c>
      <c r="P1007" s="3">
        <v>40000</v>
      </c>
      <c r="S1007" s="3">
        <f t="shared" si="516"/>
        <v>40000</v>
      </c>
      <c r="T1007" s="3">
        <v>40000</v>
      </c>
      <c r="U1007" s="3">
        <f t="shared" si="517"/>
        <v>0</v>
      </c>
      <c r="W1007" s="3">
        <f t="shared" si="518"/>
        <v>40000</v>
      </c>
      <c r="Y1007" s="3">
        <v>40000</v>
      </c>
      <c r="Z1007" s="3">
        <f t="shared" si="513"/>
        <v>0</v>
      </c>
      <c r="AC1007" s="3">
        <v>9592</v>
      </c>
      <c r="AD1007" s="3">
        <f t="shared" si="519"/>
        <v>30408</v>
      </c>
      <c r="AE1007" s="3">
        <v>40000</v>
      </c>
      <c r="AF1007" s="3">
        <f t="shared" si="520"/>
        <v>0</v>
      </c>
      <c r="BC1007" s="3"/>
      <c r="BE1007" s="3"/>
    </row>
    <row r="1008" spans="1:57" s="77" customFormat="1" hidden="1" outlineLevel="1" x14ac:dyDescent="0.25">
      <c r="A1008" s="3" t="s">
        <v>767</v>
      </c>
      <c r="B1008" s="3"/>
      <c r="C1008" s="3"/>
      <c r="D1008" s="3"/>
      <c r="E1008" s="3">
        <f t="shared" si="521"/>
        <v>0</v>
      </c>
      <c r="F1008" s="3"/>
      <c r="G1008" s="3"/>
      <c r="H1008" s="3">
        <f t="shared" si="522"/>
        <v>0</v>
      </c>
      <c r="I1008" s="3"/>
      <c r="J1008" s="3"/>
      <c r="K1008" s="4">
        <f t="shared" si="514"/>
        <v>0</v>
      </c>
      <c r="L1008" s="4"/>
      <c r="M1008" s="4"/>
      <c r="N1008" s="4">
        <f t="shared" si="515"/>
        <v>0</v>
      </c>
      <c r="O1008" s="3"/>
      <c r="P1008" s="3"/>
      <c r="Q1008" s="3"/>
      <c r="R1008" s="3"/>
      <c r="S1008" s="3">
        <f t="shared" si="516"/>
        <v>0</v>
      </c>
      <c r="T1008" s="3"/>
      <c r="U1008" s="3">
        <f t="shared" si="517"/>
        <v>0</v>
      </c>
      <c r="V1008" s="3"/>
      <c r="W1008" s="3">
        <f t="shared" si="518"/>
        <v>0</v>
      </c>
      <c r="X1008" s="3"/>
      <c r="Y1008" s="3"/>
      <c r="Z1008" s="3">
        <f t="shared" si="513"/>
        <v>0</v>
      </c>
      <c r="AA1008" s="3"/>
      <c r="AB1008" s="3"/>
      <c r="AC1008" s="3"/>
      <c r="AD1008" s="3">
        <f t="shared" si="519"/>
        <v>0</v>
      </c>
      <c r="AE1008" s="3"/>
      <c r="AF1008" s="3">
        <f t="shared" si="520"/>
        <v>0</v>
      </c>
      <c r="AG1008" s="4"/>
      <c r="AH1008" s="4"/>
      <c r="AI1008" s="3"/>
      <c r="AJ1008" s="3"/>
      <c r="AK1008" s="3"/>
      <c r="AL1008" s="3"/>
      <c r="AM1008" s="3"/>
      <c r="AN1008" s="3"/>
      <c r="AO1008" s="3"/>
      <c r="AP1008" s="4"/>
      <c r="AQ1008" s="3"/>
      <c r="AR1008" s="42"/>
      <c r="AS1008" s="3"/>
      <c r="AT1008" s="42"/>
      <c r="AU1008" s="3"/>
      <c r="AV1008" s="42"/>
      <c r="AW1008" s="3"/>
      <c r="AX1008" s="42"/>
      <c r="AY1008" s="3"/>
      <c r="AZ1008" s="42"/>
      <c r="BA1008" s="3"/>
      <c r="BB1008" s="42"/>
      <c r="BC1008" s="3"/>
      <c r="BD1008" s="42"/>
      <c r="BE1008" s="3"/>
    </row>
    <row r="1009" spans="1:57" hidden="1" outlineLevel="1" x14ac:dyDescent="0.25">
      <c r="A1009" s="3" t="s">
        <v>768</v>
      </c>
      <c r="E1009" s="3">
        <f t="shared" si="521"/>
        <v>0</v>
      </c>
      <c r="H1009" s="3">
        <f t="shared" si="522"/>
        <v>0</v>
      </c>
      <c r="K1009" s="4">
        <f t="shared" si="514"/>
        <v>0</v>
      </c>
      <c r="L1009" s="4"/>
      <c r="N1009" s="4">
        <f t="shared" si="515"/>
        <v>0</v>
      </c>
      <c r="S1009" s="3">
        <f t="shared" si="516"/>
        <v>0</v>
      </c>
      <c r="U1009" s="3">
        <f t="shared" si="517"/>
        <v>0</v>
      </c>
      <c r="W1009" s="3">
        <f t="shared" si="518"/>
        <v>0</v>
      </c>
      <c r="Z1009" s="3">
        <f t="shared" si="513"/>
        <v>0</v>
      </c>
      <c r="AD1009" s="3">
        <f t="shared" si="519"/>
        <v>0</v>
      </c>
      <c r="AF1009" s="3">
        <f t="shared" si="520"/>
        <v>0</v>
      </c>
      <c r="BC1009" s="3"/>
      <c r="BE1009" s="3"/>
    </row>
    <row r="1010" spans="1:57" s="77" customFormat="1" hidden="1" outlineLevel="1" x14ac:dyDescent="0.25">
      <c r="A1010" s="3" t="s">
        <v>769</v>
      </c>
      <c r="B1010" s="3"/>
      <c r="C1010" s="3"/>
      <c r="D1010" s="3"/>
      <c r="E1010" s="3">
        <f t="shared" si="521"/>
        <v>0</v>
      </c>
      <c r="F1010" s="3"/>
      <c r="G1010" s="3"/>
      <c r="H1010" s="3">
        <f t="shared" si="522"/>
        <v>0</v>
      </c>
      <c r="I1010" s="3"/>
      <c r="J1010" s="3"/>
      <c r="K1010" s="4">
        <f t="shared" si="514"/>
        <v>0</v>
      </c>
      <c r="L1010" s="4"/>
      <c r="M1010" s="4"/>
      <c r="N1010" s="4">
        <f t="shared" si="515"/>
        <v>0</v>
      </c>
      <c r="O1010" s="3"/>
      <c r="P1010" s="3"/>
      <c r="Q1010" s="3"/>
      <c r="R1010" s="3"/>
      <c r="S1010" s="3">
        <f t="shared" si="516"/>
        <v>0</v>
      </c>
      <c r="T1010" s="3"/>
      <c r="U1010" s="3">
        <f t="shared" si="517"/>
        <v>0</v>
      </c>
      <c r="V1010" s="3"/>
      <c r="W1010" s="3">
        <f t="shared" si="518"/>
        <v>0</v>
      </c>
      <c r="X1010" s="3"/>
      <c r="Y1010" s="3"/>
      <c r="Z1010" s="3">
        <f t="shared" si="513"/>
        <v>0</v>
      </c>
      <c r="AA1010" s="3"/>
      <c r="AB1010" s="3"/>
      <c r="AC1010" s="3"/>
      <c r="AD1010" s="3">
        <f t="shared" si="519"/>
        <v>0</v>
      </c>
      <c r="AE1010" s="3"/>
      <c r="AF1010" s="3">
        <f t="shared" si="520"/>
        <v>0</v>
      </c>
      <c r="AG1010" s="4"/>
      <c r="AH1010" s="4"/>
      <c r="AI1010" s="3"/>
      <c r="AJ1010" s="3"/>
      <c r="AK1010" s="3"/>
      <c r="AL1010" s="3"/>
      <c r="AM1010" s="3"/>
      <c r="AN1010" s="3"/>
      <c r="AO1010" s="3"/>
      <c r="AP1010" s="4"/>
      <c r="AQ1010" s="3"/>
      <c r="AR1010" s="42"/>
      <c r="AS1010" s="3"/>
      <c r="AT1010" s="42"/>
      <c r="AU1010" s="3"/>
      <c r="AV1010" s="42"/>
      <c r="AW1010" s="3"/>
      <c r="AX1010" s="42"/>
      <c r="AY1010" s="3"/>
      <c r="AZ1010" s="42"/>
      <c r="BA1010" s="3"/>
      <c r="BB1010" s="42"/>
      <c r="BC1010" s="3"/>
      <c r="BD1010" s="42"/>
      <c r="BE1010" s="3"/>
    </row>
    <row r="1011" spans="1:57" hidden="1" outlineLevel="1" x14ac:dyDescent="0.25">
      <c r="A1011" s="3" t="s">
        <v>770</v>
      </c>
      <c r="B1011" s="3">
        <v>10000</v>
      </c>
      <c r="E1011" s="3">
        <f t="shared" si="521"/>
        <v>10000</v>
      </c>
      <c r="F1011" s="3">
        <v>10000</v>
      </c>
      <c r="H1011" s="3">
        <f t="shared" si="522"/>
        <v>0</v>
      </c>
      <c r="J1011" s="3">
        <v>0</v>
      </c>
      <c r="K1011" s="4">
        <f t="shared" si="514"/>
        <v>10000</v>
      </c>
      <c r="L1011" s="4">
        <v>10000</v>
      </c>
      <c r="N1011" s="4">
        <f t="shared" si="515"/>
        <v>0</v>
      </c>
      <c r="P1011" s="3">
        <v>10000</v>
      </c>
      <c r="S1011" s="3">
        <f t="shared" si="516"/>
        <v>10000</v>
      </c>
      <c r="T1011" s="3">
        <v>10000</v>
      </c>
      <c r="U1011" s="3">
        <f t="shared" si="517"/>
        <v>0</v>
      </c>
      <c r="W1011" s="3">
        <f t="shared" si="518"/>
        <v>10000</v>
      </c>
      <c r="Y1011" s="3">
        <v>10000</v>
      </c>
      <c r="Z1011" s="3">
        <f t="shared" si="513"/>
        <v>0</v>
      </c>
      <c r="AD1011" s="3">
        <f t="shared" si="519"/>
        <v>10000</v>
      </c>
      <c r="AE1011" s="3">
        <v>10000</v>
      </c>
      <c r="AF1011" s="3">
        <f t="shared" si="520"/>
        <v>0</v>
      </c>
      <c r="BC1011" s="3"/>
      <c r="BE1011" s="3"/>
    </row>
    <row r="1012" spans="1:57" hidden="1" outlineLevel="1" x14ac:dyDescent="0.25">
      <c r="A1012" s="3" t="s">
        <v>771</v>
      </c>
      <c r="K1012" s="4"/>
      <c r="L1012" s="4"/>
      <c r="N1012" s="4"/>
      <c r="Y1012" s="3">
        <v>0</v>
      </c>
      <c r="Z1012" s="3">
        <f>Y1012-T1012</f>
        <v>0</v>
      </c>
      <c r="AC1012" s="3">
        <v>3045</v>
      </c>
      <c r="AD1012" s="3">
        <f>AE1012-AC1012</f>
        <v>0</v>
      </c>
      <c r="AE1012" s="3">
        <v>3045</v>
      </c>
      <c r="AF1012" s="3">
        <f>AE1012-Y1012</f>
        <v>3045</v>
      </c>
      <c r="BC1012" s="3"/>
      <c r="BE1012" s="3"/>
    </row>
    <row r="1013" spans="1:57" s="77" customFormat="1" hidden="1" outlineLevel="1" x14ac:dyDescent="0.25">
      <c r="A1013" s="3" t="s">
        <v>772</v>
      </c>
      <c r="B1013" s="3"/>
      <c r="C1013" s="3"/>
      <c r="D1013" s="3"/>
      <c r="E1013" s="3">
        <f t="shared" si="521"/>
        <v>0</v>
      </c>
      <c r="F1013" s="3"/>
      <c r="G1013" s="3"/>
      <c r="H1013" s="3">
        <f t="shared" si="522"/>
        <v>0</v>
      </c>
      <c r="I1013" s="3"/>
      <c r="J1013" s="3"/>
      <c r="K1013" s="4">
        <f t="shared" si="514"/>
        <v>0</v>
      </c>
      <c r="L1013" s="4"/>
      <c r="M1013" s="4"/>
      <c r="N1013" s="4">
        <f t="shared" si="515"/>
        <v>0</v>
      </c>
      <c r="O1013" s="3"/>
      <c r="P1013" s="3"/>
      <c r="Q1013" s="3"/>
      <c r="R1013" s="3"/>
      <c r="S1013" s="3">
        <f t="shared" si="516"/>
        <v>0</v>
      </c>
      <c r="T1013" s="3"/>
      <c r="U1013" s="3">
        <f t="shared" si="517"/>
        <v>0</v>
      </c>
      <c r="V1013" s="3"/>
      <c r="W1013" s="3">
        <f t="shared" si="518"/>
        <v>0</v>
      </c>
      <c r="X1013" s="3"/>
      <c r="Y1013" s="3"/>
      <c r="Z1013" s="3">
        <f t="shared" si="513"/>
        <v>0</v>
      </c>
      <c r="AA1013" s="3"/>
      <c r="AB1013" s="3"/>
      <c r="AC1013" s="3"/>
      <c r="AD1013" s="3">
        <f t="shared" si="519"/>
        <v>0</v>
      </c>
      <c r="AE1013" s="3"/>
      <c r="AF1013" s="3">
        <f t="shared" si="520"/>
        <v>0</v>
      </c>
      <c r="AG1013" s="4"/>
      <c r="AH1013" s="4"/>
      <c r="AI1013" s="3"/>
      <c r="AJ1013" s="3"/>
      <c r="AK1013" s="3">
        <v>10000</v>
      </c>
      <c r="AL1013" s="3"/>
      <c r="AM1013" s="3">
        <v>10000</v>
      </c>
      <c r="AN1013" s="3"/>
      <c r="AO1013" s="3"/>
      <c r="AP1013" s="4"/>
      <c r="AQ1013" s="3"/>
      <c r="AR1013" s="42"/>
      <c r="AS1013" s="3"/>
      <c r="AT1013" s="42"/>
      <c r="AU1013" s="3"/>
      <c r="AV1013" s="42"/>
      <c r="AW1013" s="3"/>
      <c r="AX1013" s="42"/>
      <c r="AY1013" s="3"/>
      <c r="AZ1013" s="42"/>
      <c r="BA1013" s="3"/>
      <c r="BB1013" s="42"/>
      <c r="BC1013" s="3"/>
      <c r="BD1013" s="42"/>
      <c r="BE1013" s="3"/>
    </row>
    <row r="1014" spans="1:57" hidden="1" outlineLevel="1" x14ac:dyDescent="0.25">
      <c r="A1014" s="3" t="s">
        <v>773</v>
      </c>
      <c r="E1014" s="3">
        <f t="shared" si="521"/>
        <v>0</v>
      </c>
      <c r="H1014" s="3">
        <f t="shared" si="522"/>
        <v>0</v>
      </c>
      <c r="K1014" s="4">
        <f t="shared" si="514"/>
        <v>0</v>
      </c>
      <c r="L1014" s="4"/>
      <c r="N1014" s="4">
        <f t="shared" si="515"/>
        <v>0</v>
      </c>
      <c r="S1014" s="3">
        <f t="shared" si="516"/>
        <v>0</v>
      </c>
      <c r="U1014" s="3">
        <f t="shared" si="517"/>
        <v>0</v>
      </c>
      <c r="W1014" s="3">
        <f t="shared" si="518"/>
        <v>0</v>
      </c>
      <c r="Z1014" s="3">
        <f t="shared" si="513"/>
        <v>0</v>
      </c>
      <c r="AD1014" s="3">
        <f t="shared" si="519"/>
        <v>0</v>
      </c>
      <c r="AF1014" s="3">
        <f t="shared" si="520"/>
        <v>0</v>
      </c>
      <c r="AQ1014" s="3">
        <v>135000</v>
      </c>
      <c r="AT1014" s="3"/>
      <c r="BC1014" s="3"/>
      <c r="BE1014" s="3"/>
    </row>
    <row r="1015" spans="1:57" s="77" customFormat="1" hidden="1" outlineLevel="1" x14ac:dyDescent="0.25">
      <c r="A1015" s="3" t="s">
        <v>774</v>
      </c>
      <c r="B1015" s="3"/>
      <c r="C1015" s="3"/>
      <c r="D1015" s="3"/>
      <c r="E1015" s="3">
        <f t="shared" si="521"/>
        <v>0</v>
      </c>
      <c r="F1015" s="3"/>
      <c r="G1015" s="3"/>
      <c r="H1015" s="3">
        <f t="shared" si="522"/>
        <v>0</v>
      </c>
      <c r="I1015" s="3"/>
      <c r="J1015" s="3"/>
      <c r="K1015" s="4">
        <f t="shared" si="514"/>
        <v>0</v>
      </c>
      <c r="L1015" s="4"/>
      <c r="M1015" s="4"/>
      <c r="N1015" s="4">
        <f t="shared" si="515"/>
        <v>0</v>
      </c>
      <c r="O1015" s="3"/>
      <c r="P1015" s="3"/>
      <c r="Q1015" s="3"/>
      <c r="R1015" s="3"/>
      <c r="S1015" s="3">
        <f t="shared" si="516"/>
        <v>0</v>
      </c>
      <c r="T1015" s="3"/>
      <c r="U1015" s="3">
        <f t="shared" si="517"/>
        <v>0</v>
      </c>
      <c r="V1015" s="3"/>
      <c r="W1015" s="3">
        <f t="shared" si="518"/>
        <v>0</v>
      </c>
      <c r="X1015" s="3"/>
      <c r="Y1015" s="3"/>
      <c r="Z1015" s="3">
        <f t="shared" si="513"/>
        <v>0</v>
      </c>
      <c r="AA1015" s="3"/>
      <c r="AB1015" s="3"/>
      <c r="AC1015" s="3"/>
      <c r="AD1015" s="3">
        <f t="shared" si="519"/>
        <v>0</v>
      </c>
      <c r="AE1015" s="3"/>
      <c r="AF1015" s="3">
        <f t="shared" si="520"/>
        <v>0</v>
      </c>
      <c r="AG1015" s="4"/>
      <c r="AH1015" s="4"/>
      <c r="AI1015" s="3"/>
      <c r="AJ1015" s="3"/>
      <c r="AK1015" s="3"/>
      <c r="AL1015" s="3"/>
      <c r="AM1015" s="3"/>
      <c r="AN1015" s="3"/>
      <c r="AO1015" s="3"/>
      <c r="AP1015" s="4"/>
      <c r="AQ1015" s="3"/>
      <c r="AR1015" s="42"/>
      <c r="AS1015" s="3"/>
      <c r="AT1015" s="3"/>
      <c r="AU1015" s="3"/>
      <c r="AV1015" s="42"/>
      <c r="AW1015" s="3"/>
      <c r="AX1015" s="42"/>
      <c r="AY1015" s="3"/>
      <c r="AZ1015" s="42"/>
      <c r="BA1015" s="3"/>
      <c r="BB1015" s="42"/>
      <c r="BC1015" s="3"/>
      <c r="BD1015" s="42"/>
      <c r="BE1015" s="3"/>
    </row>
    <row r="1016" spans="1:57" hidden="1" outlineLevel="1" x14ac:dyDescent="0.25">
      <c r="A1016" s="3" t="s">
        <v>775</v>
      </c>
      <c r="E1016" s="3">
        <f t="shared" si="521"/>
        <v>0</v>
      </c>
      <c r="H1016" s="3">
        <f t="shared" si="522"/>
        <v>0</v>
      </c>
      <c r="K1016" s="4">
        <f t="shared" si="514"/>
        <v>0</v>
      </c>
      <c r="L1016" s="4"/>
      <c r="N1016" s="4">
        <f t="shared" si="515"/>
        <v>0</v>
      </c>
      <c r="S1016" s="3">
        <f t="shared" si="516"/>
        <v>0</v>
      </c>
      <c r="U1016" s="3">
        <f t="shared" si="517"/>
        <v>0</v>
      </c>
      <c r="W1016" s="3">
        <f t="shared" si="518"/>
        <v>0</v>
      </c>
      <c r="Z1016" s="3">
        <f t="shared" si="513"/>
        <v>0</v>
      </c>
      <c r="AD1016" s="3">
        <f t="shared" si="519"/>
        <v>0</v>
      </c>
      <c r="AF1016" s="3">
        <f t="shared" si="520"/>
        <v>0</v>
      </c>
      <c r="BC1016" s="3"/>
      <c r="BE1016" s="3"/>
    </row>
    <row r="1017" spans="1:57" s="77" customFormat="1" hidden="1" outlineLevel="1" x14ac:dyDescent="0.25">
      <c r="A1017" s="3" t="s">
        <v>776</v>
      </c>
      <c r="B1017" s="3"/>
      <c r="C1017" s="3"/>
      <c r="D1017" s="3"/>
      <c r="E1017" s="3">
        <f t="shared" si="521"/>
        <v>0</v>
      </c>
      <c r="F1017" s="3"/>
      <c r="G1017" s="3"/>
      <c r="H1017" s="3">
        <f t="shared" si="522"/>
        <v>0</v>
      </c>
      <c r="I1017" s="3"/>
      <c r="J1017" s="3"/>
      <c r="K1017" s="4">
        <f t="shared" si="514"/>
        <v>0</v>
      </c>
      <c r="L1017" s="4"/>
      <c r="M1017" s="4"/>
      <c r="N1017" s="4">
        <f t="shared" si="515"/>
        <v>0</v>
      </c>
      <c r="O1017" s="3"/>
      <c r="P1017" s="3"/>
      <c r="Q1017" s="3"/>
      <c r="R1017" s="3"/>
      <c r="S1017" s="3">
        <f t="shared" si="516"/>
        <v>0</v>
      </c>
      <c r="T1017" s="3"/>
      <c r="U1017" s="3">
        <f t="shared" si="517"/>
        <v>0</v>
      </c>
      <c r="V1017" s="3"/>
      <c r="W1017" s="3">
        <f t="shared" si="518"/>
        <v>0</v>
      </c>
      <c r="X1017" s="3"/>
      <c r="Y1017" s="3"/>
      <c r="Z1017" s="3">
        <f t="shared" si="513"/>
        <v>0</v>
      </c>
      <c r="AA1017" s="3"/>
      <c r="AB1017" s="3"/>
      <c r="AC1017" s="3"/>
      <c r="AD1017" s="3">
        <f t="shared" si="519"/>
        <v>0</v>
      </c>
      <c r="AE1017" s="3"/>
      <c r="AF1017" s="3">
        <f t="shared" si="520"/>
        <v>0</v>
      </c>
      <c r="AG1017" s="4"/>
      <c r="AH1017" s="4"/>
      <c r="AI1017" s="3"/>
      <c r="AJ1017" s="3"/>
      <c r="AK1017" s="3"/>
      <c r="AL1017" s="3"/>
      <c r="AM1017" s="3"/>
      <c r="AN1017" s="3"/>
      <c r="AO1017" s="3"/>
      <c r="AP1017" s="4"/>
      <c r="AQ1017" s="3"/>
      <c r="AR1017" s="42"/>
      <c r="AS1017" s="3"/>
      <c r="AT1017" s="42"/>
      <c r="AU1017" s="3"/>
      <c r="AV1017" s="42"/>
      <c r="AW1017" s="3"/>
      <c r="AX1017" s="42"/>
      <c r="AY1017" s="3"/>
      <c r="AZ1017" s="42"/>
      <c r="BA1017" s="3"/>
      <c r="BB1017" s="42"/>
      <c r="BC1017" s="3"/>
      <c r="BD1017" s="42"/>
      <c r="BE1017" s="3"/>
    </row>
    <row r="1018" spans="1:57" hidden="1" outlineLevel="1" x14ac:dyDescent="0.25">
      <c r="A1018" s="3" t="s">
        <v>777</v>
      </c>
      <c r="E1018" s="3">
        <f t="shared" si="521"/>
        <v>0</v>
      </c>
      <c r="H1018" s="3">
        <f t="shared" si="522"/>
        <v>0</v>
      </c>
      <c r="K1018" s="4">
        <f t="shared" si="514"/>
        <v>0</v>
      </c>
      <c r="L1018" s="4"/>
      <c r="N1018" s="4">
        <f t="shared" si="515"/>
        <v>0</v>
      </c>
      <c r="S1018" s="3">
        <f t="shared" si="516"/>
        <v>0</v>
      </c>
      <c r="U1018" s="3">
        <f t="shared" si="517"/>
        <v>0</v>
      </c>
      <c r="W1018" s="3">
        <f t="shared" si="518"/>
        <v>0</v>
      </c>
      <c r="Z1018" s="3">
        <f t="shared" si="513"/>
        <v>0</v>
      </c>
      <c r="AD1018" s="3">
        <f t="shared" si="519"/>
        <v>0</v>
      </c>
      <c r="AF1018" s="3">
        <f t="shared" si="520"/>
        <v>0</v>
      </c>
      <c r="BC1018" s="3"/>
      <c r="BE1018" s="3"/>
    </row>
    <row r="1019" spans="1:57" s="77" customFormat="1" hidden="1" outlineLevel="1" x14ac:dyDescent="0.25">
      <c r="A1019" s="3" t="s">
        <v>778</v>
      </c>
      <c r="B1019" s="3"/>
      <c r="C1019" s="3"/>
      <c r="D1019" s="3"/>
      <c r="E1019" s="3">
        <f t="shared" si="521"/>
        <v>0</v>
      </c>
      <c r="F1019" s="3"/>
      <c r="G1019" s="3"/>
      <c r="H1019" s="3">
        <f t="shared" si="522"/>
        <v>0</v>
      </c>
      <c r="I1019" s="3"/>
      <c r="J1019" s="3"/>
      <c r="K1019" s="4">
        <f t="shared" si="514"/>
        <v>0</v>
      </c>
      <c r="L1019" s="4"/>
      <c r="M1019" s="4"/>
      <c r="N1019" s="4">
        <f t="shared" si="515"/>
        <v>0</v>
      </c>
      <c r="O1019" s="3"/>
      <c r="P1019" s="3"/>
      <c r="Q1019" s="3"/>
      <c r="R1019" s="3"/>
      <c r="S1019" s="3">
        <f t="shared" si="516"/>
        <v>0</v>
      </c>
      <c r="T1019" s="3"/>
      <c r="U1019" s="3">
        <f t="shared" si="517"/>
        <v>0</v>
      </c>
      <c r="V1019" s="3"/>
      <c r="W1019" s="3">
        <f t="shared" si="518"/>
        <v>0</v>
      </c>
      <c r="X1019" s="3"/>
      <c r="Y1019" s="3"/>
      <c r="Z1019" s="3">
        <f t="shared" si="513"/>
        <v>0</v>
      </c>
      <c r="AA1019" s="3"/>
      <c r="AB1019" s="3"/>
      <c r="AC1019" s="3"/>
      <c r="AD1019" s="3">
        <f t="shared" si="519"/>
        <v>0</v>
      </c>
      <c r="AE1019" s="3"/>
      <c r="AF1019" s="3">
        <f t="shared" si="520"/>
        <v>0</v>
      </c>
      <c r="AG1019" s="4"/>
      <c r="AH1019" s="4"/>
      <c r="AI1019" s="3"/>
      <c r="AJ1019" s="3"/>
      <c r="AK1019" s="3"/>
      <c r="AL1019" s="3"/>
      <c r="AM1019" s="3"/>
      <c r="AN1019" s="3"/>
      <c r="AO1019" s="3"/>
      <c r="AP1019" s="4"/>
      <c r="AQ1019" s="3"/>
      <c r="AR1019" s="42"/>
      <c r="AS1019" s="3"/>
      <c r="AT1019" s="42"/>
      <c r="AU1019" s="3"/>
      <c r="AV1019" s="42"/>
      <c r="AW1019" s="3"/>
      <c r="AX1019" s="42"/>
      <c r="AY1019" s="3"/>
      <c r="AZ1019" s="42"/>
      <c r="BA1019" s="3"/>
      <c r="BB1019" s="42"/>
      <c r="BC1019" s="3"/>
      <c r="BD1019" s="42"/>
      <c r="BE1019" s="3"/>
    </row>
    <row r="1020" spans="1:57" s="77" customFormat="1" hidden="1" outlineLevel="1" x14ac:dyDescent="0.25">
      <c r="A1020" s="3" t="s">
        <v>779</v>
      </c>
      <c r="B1020" s="3"/>
      <c r="C1020" s="3"/>
      <c r="D1020" s="3"/>
      <c r="E1020" s="3"/>
      <c r="F1020" s="3"/>
      <c r="G1020" s="3"/>
      <c r="H1020" s="3"/>
      <c r="I1020" s="3"/>
      <c r="J1020" s="3"/>
      <c r="K1020" s="4"/>
      <c r="L1020" s="4"/>
      <c r="M1020" s="4"/>
      <c r="N1020" s="4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4"/>
      <c r="AH1020" s="4"/>
      <c r="AI1020" s="3">
        <v>30000</v>
      </c>
      <c r="AJ1020" s="3"/>
      <c r="AK1020" s="3"/>
      <c r="AL1020" s="3"/>
      <c r="AM1020" s="3"/>
      <c r="AN1020" s="3"/>
      <c r="AO1020" s="3"/>
      <c r="AP1020" s="4"/>
      <c r="AQ1020" s="3"/>
      <c r="AR1020" s="42"/>
      <c r="AS1020" s="3"/>
      <c r="AT1020" s="42"/>
      <c r="AU1020" s="3"/>
      <c r="AV1020" s="42"/>
      <c r="AW1020" s="3"/>
      <c r="AX1020" s="42"/>
      <c r="AY1020" s="3"/>
      <c r="AZ1020" s="42"/>
      <c r="BA1020" s="3"/>
      <c r="BB1020" s="42"/>
      <c r="BC1020" s="3"/>
      <c r="BD1020" s="42"/>
      <c r="BE1020" s="3"/>
    </row>
    <row r="1021" spans="1:57" hidden="1" outlineLevel="1" x14ac:dyDescent="0.25">
      <c r="A1021" s="3" t="s">
        <v>780</v>
      </c>
      <c r="E1021" s="3">
        <f t="shared" si="521"/>
        <v>0</v>
      </c>
      <c r="H1021" s="3">
        <f t="shared" si="522"/>
        <v>0</v>
      </c>
      <c r="K1021" s="4">
        <f t="shared" si="514"/>
        <v>0</v>
      </c>
      <c r="L1021" s="4"/>
      <c r="N1021" s="4">
        <f t="shared" si="515"/>
        <v>0</v>
      </c>
      <c r="S1021" s="3">
        <f t="shared" si="516"/>
        <v>0</v>
      </c>
      <c r="U1021" s="3">
        <f t="shared" si="517"/>
        <v>0</v>
      </c>
      <c r="W1021" s="3">
        <f t="shared" si="518"/>
        <v>0</v>
      </c>
      <c r="Z1021" s="3">
        <f t="shared" si="513"/>
        <v>0</v>
      </c>
      <c r="AD1021" s="3">
        <f t="shared" si="519"/>
        <v>0</v>
      </c>
      <c r="AF1021" s="3">
        <f t="shared" si="520"/>
        <v>0</v>
      </c>
      <c r="BC1021" s="3"/>
      <c r="BE1021" s="3"/>
    </row>
    <row r="1022" spans="1:57" s="77" customFormat="1" hidden="1" outlineLevel="1" x14ac:dyDescent="0.25">
      <c r="A1022" s="3" t="s">
        <v>781</v>
      </c>
      <c r="B1022" s="3">
        <v>368450</v>
      </c>
      <c r="C1022" s="3"/>
      <c r="D1022" s="3">
        <v>75077</v>
      </c>
      <c r="E1022" s="3">
        <f t="shared" si="521"/>
        <v>293373</v>
      </c>
      <c r="F1022" s="3">
        <v>368450</v>
      </c>
      <c r="G1022" s="3"/>
      <c r="H1022" s="3">
        <f t="shared" si="522"/>
        <v>0</v>
      </c>
      <c r="I1022" s="3"/>
      <c r="J1022" s="3">
        <v>175606</v>
      </c>
      <c r="K1022" s="4">
        <f t="shared" si="514"/>
        <v>192844</v>
      </c>
      <c r="L1022" s="4">
        <v>368450</v>
      </c>
      <c r="M1022" s="4"/>
      <c r="N1022" s="4">
        <f t="shared" si="515"/>
        <v>0</v>
      </c>
      <c r="O1022" s="3"/>
      <c r="P1022" s="3"/>
      <c r="Q1022" s="3"/>
      <c r="R1022" s="3">
        <v>47893</v>
      </c>
      <c r="S1022" s="3">
        <f t="shared" si="516"/>
        <v>62107</v>
      </c>
      <c r="T1022" s="3">
        <v>110000</v>
      </c>
      <c r="U1022" s="3">
        <f t="shared" si="517"/>
        <v>110000</v>
      </c>
      <c r="V1022" s="3">
        <v>81001</v>
      </c>
      <c r="W1022" s="3">
        <f t="shared" si="518"/>
        <v>28999</v>
      </c>
      <c r="X1022" s="3"/>
      <c r="Y1022" s="3">
        <v>110000</v>
      </c>
      <c r="Z1022" s="3">
        <f t="shared" si="513"/>
        <v>0</v>
      </c>
      <c r="AA1022" s="3"/>
      <c r="AB1022" s="3"/>
      <c r="AC1022" s="3">
        <v>110642</v>
      </c>
      <c r="AD1022" s="3">
        <f t="shared" si="519"/>
        <v>7358</v>
      </c>
      <c r="AE1022" s="3">
        <v>118000</v>
      </c>
      <c r="AF1022" s="3">
        <f t="shared" si="520"/>
        <v>8000</v>
      </c>
      <c r="AG1022" s="4"/>
      <c r="AH1022" s="4"/>
      <c r="AI1022" s="3"/>
      <c r="AJ1022" s="3"/>
      <c r="AK1022" s="3"/>
      <c r="AL1022" s="3"/>
      <c r="AM1022" s="3"/>
      <c r="AN1022" s="3"/>
      <c r="AO1022" s="3"/>
      <c r="AP1022" s="4"/>
      <c r="AQ1022" s="3"/>
      <c r="AR1022" s="42"/>
      <c r="AS1022" s="3"/>
      <c r="AT1022" s="42"/>
      <c r="AU1022" s="3"/>
      <c r="AV1022" s="42"/>
      <c r="AW1022" s="3"/>
      <c r="AX1022" s="42"/>
      <c r="AY1022" s="3"/>
      <c r="AZ1022" s="42"/>
      <c r="BA1022" s="3"/>
      <c r="BB1022" s="42"/>
      <c r="BC1022" s="3"/>
      <c r="BD1022" s="42"/>
      <c r="BE1022" s="3"/>
    </row>
    <row r="1023" spans="1:57" hidden="1" outlineLevel="1" x14ac:dyDescent="0.25">
      <c r="A1023" s="3" t="s">
        <v>782</v>
      </c>
      <c r="E1023" s="3">
        <f t="shared" si="521"/>
        <v>0</v>
      </c>
      <c r="H1023" s="3">
        <f t="shared" si="522"/>
        <v>0</v>
      </c>
      <c r="K1023" s="4">
        <f t="shared" si="514"/>
        <v>0</v>
      </c>
      <c r="L1023" s="4"/>
      <c r="N1023" s="4">
        <f t="shared" si="515"/>
        <v>0</v>
      </c>
      <c r="S1023" s="3">
        <f t="shared" si="516"/>
        <v>0</v>
      </c>
      <c r="U1023" s="3">
        <f t="shared" si="517"/>
        <v>0</v>
      </c>
      <c r="W1023" s="3">
        <f t="shared" si="518"/>
        <v>0</v>
      </c>
      <c r="Z1023" s="3">
        <f t="shared" si="513"/>
        <v>0</v>
      </c>
      <c r="AD1023" s="3">
        <f t="shared" si="519"/>
        <v>0</v>
      </c>
      <c r="AF1023" s="3">
        <f t="shared" si="520"/>
        <v>0</v>
      </c>
      <c r="BC1023" s="3"/>
      <c r="BE1023" s="3"/>
    </row>
    <row r="1024" spans="1:57" s="77" customFormat="1" hidden="1" outlineLevel="1" x14ac:dyDescent="0.25">
      <c r="A1024" s="3" t="s">
        <v>783</v>
      </c>
      <c r="B1024" s="3"/>
      <c r="C1024" s="3"/>
      <c r="D1024" s="3"/>
      <c r="E1024" s="3">
        <f t="shared" si="521"/>
        <v>0</v>
      </c>
      <c r="F1024" s="3"/>
      <c r="G1024" s="3"/>
      <c r="H1024" s="3">
        <f t="shared" si="522"/>
        <v>0</v>
      </c>
      <c r="I1024" s="3"/>
      <c r="J1024" s="3"/>
      <c r="K1024" s="4">
        <f t="shared" si="514"/>
        <v>0</v>
      </c>
      <c r="L1024" s="4"/>
      <c r="M1024" s="4"/>
      <c r="N1024" s="4">
        <f t="shared" si="515"/>
        <v>0</v>
      </c>
      <c r="O1024" s="3"/>
      <c r="P1024" s="3"/>
      <c r="Q1024" s="3"/>
      <c r="R1024" s="3"/>
      <c r="S1024" s="3">
        <f t="shared" si="516"/>
        <v>0</v>
      </c>
      <c r="T1024" s="3"/>
      <c r="U1024" s="3">
        <f t="shared" si="517"/>
        <v>0</v>
      </c>
      <c r="V1024" s="3"/>
      <c r="W1024" s="3">
        <f t="shared" si="518"/>
        <v>0</v>
      </c>
      <c r="X1024" s="3"/>
      <c r="Y1024" s="3"/>
      <c r="Z1024" s="3">
        <f t="shared" si="513"/>
        <v>0</v>
      </c>
      <c r="AA1024" s="3"/>
      <c r="AB1024" s="3"/>
      <c r="AC1024" s="3"/>
      <c r="AD1024" s="3">
        <f t="shared" si="519"/>
        <v>0</v>
      </c>
      <c r="AE1024" s="3"/>
      <c r="AF1024" s="3">
        <f t="shared" si="520"/>
        <v>0</v>
      </c>
      <c r="AG1024" s="4"/>
      <c r="AH1024" s="4"/>
      <c r="AI1024" s="3">
        <v>5000</v>
      </c>
      <c r="AJ1024" s="3"/>
      <c r="AK1024" s="3"/>
      <c r="AL1024" s="3"/>
      <c r="AM1024" s="3"/>
      <c r="AN1024" s="3"/>
      <c r="AO1024" s="3"/>
      <c r="AP1024" s="4"/>
      <c r="AQ1024" s="3"/>
      <c r="AR1024" s="42"/>
      <c r="AS1024" s="3"/>
      <c r="AT1024" s="42"/>
      <c r="AU1024" s="3"/>
      <c r="AV1024" s="42"/>
      <c r="AW1024" s="3"/>
      <c r="AX1024" s="42"/>
      <c r="AY1024" s="3"/>
      <c r="AZ1024" s="42"/>
      <c r="BA1024" s="3"/>
      <c r="BB1024" s="42"/>
      <c r="BC1024" s="3"/>
      <c r="BD1024" s="42"/>
      <c r="BE1024" s="3"/>
    </row>
    <row r="1025" spans="1:57" hidden="1" outlineLevel="1" x14ac:dyDescent="0.25">
      <c r="A1025" s="3" t="s">
        <v>784</v>
      </c>
      <c r="E1025" s="3">
        <f t="shared" si="521"/>
        <v>0</v>
      </c>
      <c r="H1025" s="3">
        <f t="shared" si="522"/>
        <v>0</v>
      </c>
      <c r="K1025" s="4">
        <f t="shared" si="514"/>
        <v>0</v>
      </c>
      <c r="L1025" s="4"/>
      <c r="N1025" s="4">
        <f t="shared" si="515"/>
        <v>0</v>
      </c>
      <c r="S1025" s="3">
        <f t="shared" si="516"/>
        <v>0</v>
      </c>
      <c r="U1025" s="3">
        <f t="shared" si="517"/>
        <v>0</v>
      </c>
      <c r="W1025" s="3">
        <f t="shared" si="518"/>
        <v>0</v>
      </c>
      <c r="Z1025" s="3">
        <f t="shared" si="513"/>
        <v>0</v>
      </c>
      <c r="AD1025" s="3">
        <f t="shared" si="519"/>
        <v>0</v>
      </c>
      <c r="AF1025" s="3">
        <f t="shared" si="520"/>
        <v>0</v>
      </c>
      <c r="BC1025" s="3"/>
      <c r="BE1025" s="3"/>
    </row>
    <row r="1026" spans="1:57" hidden="1" outlineLevel="1" x14ac:dyDescent="0.25">
      <c r="A1026" s="3" t="s">
        <v>785</v>
      </c>
      <c r="E1026" s="3">
        <f t="shared" si="521"/>
        <v>0</v>
      </c>
      <c r="H1026" s="3">
        <f t="shared" si="522"/>
        <v>0</v>
      </c>
      <c r="K1026" s="4">
        <f t="shared" si="514"/>
        <v>0</v>
      </c>
      <c r="L1026" s="4"/>
      <c r="N1026" s="4">
        <f t="shared" si="515"/>
        <v>0</v>
      </c>
      <c r="S1026" s="3">
        <f t="shared" si="516"/>
        <v>0</v>
      </c>
      <c r="U1026" s="3">
        <f t="shared" si="517"/>
        <v>0</v>
      </c>
      <c r="W1026" s="3">
        <f t="shared" si="518"/>
        <v>0</v>
      </c>
      <c r="Z1026" s="3">
        <f t="shared" si="513"/>
        <v>0</v>
      </c>
      <c r="AD1026" s="3">
        <f t="shared" si="519"/>
        <v>0</v>
      </c>
      <c r="AF1026" s="3">
        <f t="shared" si="520"/>
        <v>0</v>
      </c>
      <c r="BC1026" s="3"/>
      <c r="BE1026" s="3"/>
    </row>
    <row r="1027" spans="1:57" hidden="1" outlineLevel="1" x14ac:dyDescent="0.25">
      <c r="A1027" s="3" t="s">
        <v>786</v>
      </c>
      <c r="E1027" s="3">
        <f t="shared" si="521"/>
        <v>0</v>
      </c>
      <c r="H1027" s="3">
        <f t="shared" si="522"/>
        <v>0</v>
      </c>
      <c r="K1027" s="4">
        <f t="shared" si="514"/>
        <v>0</v>
      </c>
      <c r="L1027" s="4"/>
      <c r="N1027" s="4">
        <f t="shared" si="515"/>
        <v>0</v>
      </c>
      <c r="S1027" s="3">
        <f t="shared" si="516"/>
        <v>0</v>
      </c>
      <c r="U1027" s="3">
        <f t="shared" si="517"/>
        <v>0</v>
      </c>
      <c r="W1027" s="3">
        <f t="shared" si="518"/>
        <v>0</v>
      </c>
      <c r="Z1027" s="3">
        <f t="shared" si="513"/>
        <v>0</v>
      </c>
      <c r="AD1027" s="3">
        <f t="shared" si="519"/>
        <v>0</v>
      </c>
      <c r="AF1027" s="3">
        <f t="shared" si="520"/>
        <v>0</v>
      </c>
      <c r="BC1027" s="3"/>
      <c r="BE1027" s="3"/>
    </row>
    <row r="1028" spans="1:57" hidden="1" outlineLevel="1" x14ac:dyDescent="0.25">
      <c r="A1028" s="3" t="s">
        <v>787</v>
      </c>
      <c r="E1028" s="3">
        <f t="shared" si="521"/>
        <v>0</v>
      </c>
      <c r="H1028" s="3">
        <f t="shared" si="522"/>
        <v>0</v>
      </c>
      <c r="K1028" s="4">
        <f t="shared" si="514"/>
        <v>0</v>
      </c>
      <c r="L1028" s="4"/>
      <c r="N1028" s="4">
        <f t="shared" si="515"/>
        <v>0</v>
      </c>
      <c r="S1028" s="3">
        <f t="shared" si="516"/>
        <v>0</v>
      </c>
      <c r="U1028" s="3">
        <f t="shared" si="517"/>
        <v>0</v>
      </c>
      <c r="W1028" s="3">
        <f t="shared" si="518"/>
        <v>0</v>
      </c>
      <c r="Z1028" s="3">
        <f t="shared" si="513"/>
        <v>0</v>
      </c>
      <c r="AD1028" s="3">
        <f t="shared" si="519"/>
        <v>0</v>
      </c>
      <c r="AF1028" s="3">
        <f t="shared" si="520"/>
        <v>0</v>
      </c>
      <c r="BC1028" s="3"/>
      <c r="BE1028" s="3"/>
    </row>
    <row r="1029" spans="1:57" hidden="1" outlineLevel="1" x14ac:dyDescent="0.25">
      <c r="A1029" s="3" t="s">
        <v>788</v>
      </c>
      <c r="B1029" s="3">
        <v>10000</v>
      </c>
      <c r="E1029" s="3">
        <f t="shared" si="521"/>
        <v>10000</v>
      </c>
      <c r="F1029" s="3">
        <v>10000</v>
      </c>
      <c r="H1029" s="3">
        <f t="shared" si="522"/>
        <v>0</v>
      </c>
      <c r="K1029" s="4">
        <f t="shared" si="514"/>
        <v>10000</v>
      </c>
      <c r="L1029" s="3">
        <v>10000</v>
      </c>
      <c r="N1029" s="4">
        <f t="shared" si="515"/>
        <v>0</v>
      </c>
      <c r="S1029" s="3">
        <f t="shared" si="516"/>
        <v>0</v>
      </c>
      <c r="U1029" s="3">
        <f t="shared" si="517"/>
        <v>0</v>
      </c>
      <c r="W1029" s="3">
        <f t="shared" si="518"/>
        <v>0</v>
      </c>
      <c r="Z1029" s="3">
        <f t="shared" si="513"/>
        <v>0</v>
      </c>
      <c r="AD1029" s="3">
        <f t="shared" si="519"/>
        <v>0</v>
      </c>
      <c r="AF1029" s="3">
        <f t="shared" si="520"/>
        <v>0</v>
      </c>
      <c r="BC1029" s="3"/>
      <c r="BE1029" s="3"/>
    </row>
    <row r="1030" spans="1:57" hidden="1" outlineLevel="1" x14ac:dyDescent="0.25">
      <c r="A1030" s="3" t="s">
        <v>789</v>
      </c>
      <c r="B1030" s="3">
        <v>10000</v>
      </c>
      <c r="E1030" s="3">
        <f t="shared" si="521"/>
        <v>10000</v>
      </c>
      <c r="F1030" s="3">
        <v>10000</v>
      </c>
      <c r="H1030" s="3">
        <f t="shared" si="522"/>
        <v>0</v>
      </c>
      <c r="K1030" s="4">
        <f t="shared" si="514"/>
        <v>10000</v>
      </c>
      <c r="L1030" s="3">
        <v>10000</v>
      </c>
      <c r="N1030" s="4">
        <f t="shared" si="515"/>
        <v>0</v>
      </c>
      <c r="R1030" s="3">
        <v>6466</v>
      </c>
      <c r="S1030" s="3">
        <f t="shared" si="516"/>
        <v>534</v>
      </c>
      <c r="T1030" s="3">
        <v>7000</v>
      </c>
      <c r="U1030" s="3">
        <f t="shared" si="517"/>
        <v>7000</v>
      </c>
      <c r="V1030" s="3">
        <v>7010</v>
      </c>
      <c r="W1030" s="3">
        <f t="shared" si="518"/>
        <v>-10</v>
      </c>
      <c r="Y1030" s="3">
        <v>7000</v>
      </c>
      <c r="Z1030" s="3">
        <f t="shared" si="513"/>
        <v>0</v>
      </c>
      <c r="AC1030" s="3">
        <v>9296</v>
      </c>
      <c r="AD1030" s="3">
        <f t="shared" si="519"/>
        <v>4</v>
      </c>
      <c r="AE1030" s="3">
        <v>9300</v>
      </c>
      <c r="AF1030" s="3">
        <f t="shared" si="520"/>
        <v>2300</v>
      </c>
      <c r="BC1030" s="3"/>
      <c r="BE1030" s="3"/>
    </row>
    <row r="1031" spans="1:57" hidden="1" outlineLevel="1" x14ac:dyDescent="0.25">
      <c r="A1031" s="3" t="s">
        <v>790</v>
      </c>
      <c r="B1031" s="3">
        <v>20000</v>
      </c>
      <c r="E1031" s="3">
        <f t="shared" si="521"/>
        <v>20000</v>
      </c>
      <c r="F1031" s="3">
        <v>20000</v>
      </c>
      <c r="H1031" s="3">
        <f t="shared" si="522"/>
        <v>0</v>
      </c>
      <c r="K1031" s="4">
        <f t="shared" si="514"/>
        <v>20000</v>
      </c>
      <c r="L1031" s="3">
        <v>20000</v>
      </c>
      <c r="N1031" s="4">
        <f t="shared" si="515"/>
        <v>0</v>
      </c>
      <c r="S1031" s="3">
        <f t="shared" si="516"/>
        <v>0</v>
      </c>
      <c r="U1031" s="3">
        <f t="shared" si="517"/>
        <v>0</v>
      </c>
      <c r="V1031" s="3">
        <v>7010</v>
      </c>
      <c r="W1031" s="3">
        <f t="shared" si="518"/>
        <v>-10</v>
      </c>
      <c r="Y1031" s="3">
        <v>7000</v>
      </c>
      <c r="Z1031" s="3">
        <f t="shared" si="513"/>
        <v>7000</v>
      </c>
      <c r="AC1031" s="3">
        <v>9296</v>
      </c>
      <c r="AD1031" s="3">
        <f t="shared" si="519"/>
        <v>4</v>
      </c>
      <c r="AE1031" s="3">
        <v>9300</v>
      </c>
      <c r="AF1031" s="3">
        <f t="shared" si="520"/>
        <v>2300</v>
      </c>
      <c r="BC1031" s="3"/>
      <c r="BE1031" s="3"/>
    </row>
    <row r="1032" spans="1:57" hidden="1" outlineLevel="1" x14ac:dyDescent="0.25">
      <c r="A1032" s="3" t="s">
        <v>791</v>
      </c>
      <c r="B1032" s="3">
        <v>40000</v>
      </c>
      <c r="E1032" s="3">
        <f t="shared" si="521"/>
        <v>40000</v>
      </c>
      <c r="F1032" s="3">
        <v>40000</v>
      </c>
      <c r="H1032" s="3">
        <f t="shared" si="522"/>
        <v>0</v>
      </c>
      <c r="K1032" s="4">
        <f>L1032-J1032</f>
        <v>40000</v>
      </c>
      <c r="L1032" s="3">
        <v>40000</v>
      </c>
      <c r="N1032" s="4">
        <f>L1032-F1032</f>
        <v>0</v>
      </c>
      <c r="R1032" s="3">
        <v>204</v>
      </c>
      <c r="S1032" s="3">
        <f t="shared" si="516"/>
        <v>39796</v>
      </c>
      <c r="T1032" s="3">
        <v>40000</v>
      </c>
      <c r="U1032" s="3">
        <f t="shared" si="517"/>
        <v>40000</v>
      </c>
      <c r="V1032" s="3">
        <v>204</v>
      </c>
      <c r="W1032" s="3">
        <f t="shared" si="518"/>
        <v>39796</v>
      </c>
      <c r="Y1032" s="3">
        <v>40000</v>
      </c>
      <c r="Z1032" s="3">
        <f t="shared" si="513"/>
        <v>0</v>
      </c>
      <c r="AC1032" s="3">
        <v>204</v>
      </c>
      <c r="AD1032" s="3">
        <f t="shared" si="519"/>
        <v>39796</v>
      </c>
      <c r="AE1032" s="3">
        <v>40000</v>
      </c>
      <c r="AF1032" s="3">
        <f t="shared" si="520"/>
        <v>0</v>
      </c>
      <c r="BC1032" s="3"/>
      <c r="BE1032" s="3"/>
    </row>
    <row r="1033" spans="1:57" hidden="1" outlineLevel="1" x14ac:dyDescent="0.25">
      <c r="A1033" s="3" t="s">
        <v>792</v>
      </c>
      <c r="E1033" s="3">
        <f t="shared" si="521"/>
        <v>0</v>
      </c>
      <c r="H1033" s="3">
        <f t="shared" si="522"/>
        <v>0</v>
      </c>
      <c r="K1033" s="4">
        <f>L1033-J1033</f>
        <v>0</v>
      </c>
      <c r="L1033" s="4"/>
      <c r="N1033" s="4">
        <f>L1033-F1033</f>
        <v>0</v>
      </c>
      <c r="S1033" s="3">
        <f t="shared" si="516"/>
        <v>0</v>
      </c>
      <c r="U1033" s="3">
        <f t="shared" si="517"/>
        <v>0</v>
      </c>
      <c r="W1033" s="3">
        <f t="shared" si="518"/>
        <v>0</v>
      </c>
      <c r="Z1033" s="3">
        <f t="shared" si="513"/>
        <v>0</v>
      </c>
      <c r="AD1033" s="3">
        <f t="shared" si="519"/>
        <v>0</v>
      </c>
      <c r="AF1033" s="3">
        <f t="shared" si="520"/>
        <v>0</v>
      </c>
      <c r="BC1033" s="3"/>
      <c r="BE1033" s="3"/>
    </row>
    <row r="1034" spans="1:57" s="77" customFormat="1" hidden="1" outlineLevel="1" x14ac:dyDescent="0.25">
      <c r="A1034" s="3" t="s">
        <v>793</v>
      </c>
      <c r="B1034" s="3"/>
      <c r="C1034" s="3"/>
      <c r="D1034" s="3"/>
      <c r="E1034" s="3">
        <f t="shared" si="521"/>
        <v>0</v>
      </c>
      <c r="F1034" s="3"/>
      <c r="G1034" s="3"/>
      <c r="H1034" s="3">
        <f t="shared" si="522"/>
        <v>0</v>
      </c>
      <c r="I1034" s="3"/>
      <c r="J1034" s="3"/>
      <c r="K1034" s="4">
        <f>L1034-J1034</f>
        <v>0</v>
      </c>
      <c r="L1034" s="4"/>
      <c r="M1034" s="4"/>
      <c r="N1034" s="4">
        <f>L1034-F1034</f>
        <v>0</v>
      </c>
      <c r="O1034" s="3"/>
      <c r="P1034" s="3"/>
      <c r="Q1034" s="3"/>
      <c r="R1034" s="3"/>
      <c r="S1034" s="3">
        <f t="shared" si="516"/>
        <v>0</v>
      </c>
      <c r="T1034" s="3"/>
      <c r="U1034" s="3">
        <f t="shared" si="517"/>
        <v>0</v>
      </c>
      <c r="V1034" s="3"/>
      <c r="W1034" s="3">
        <f t="shared" si="518"/>
        <v>0</v>
      </c>
      <c r="X1034" s="3"/>
      <c r="Y1034" s="3"/>
      <c r="Z1034" s="3">
        <f t="shared" si="513"/>
        <v>0</v>
      </c>
      <c r="AA1034" s="3"/>
      <c r="AB1034" s="3"/>
      <c r="AC1034" s="3"/>
      <c r="AD1034" s="3">
        <f t="shared" si="519"/>
        <v>0</v>
      </c>
      <c r="AE1034" s="3"/>
      <c r="AF1034" s="3">
        <f t="shared" si="520"/>
        <v>0</v>
      </c>
      <c r="AG1034" s="4"/>
      <c r="AH1034" s="4"/>
      <c r="AI1034" s="3"/>
      <c r="AJ1034" s="3"/>
      <c r="AK1034" s="3"/>
      <c r="AL1034" s="3"/>
      <c r="AM1034" s="3"/>
      <c r="AN1034" s="3"/>
      <c r="AO1034" s="3"/>
      <c r="AP1034" s="4"/>
      <c r="AQ1034" s="3"/>
      <c r="AR1034" s="42"/>
      <c r="AS1034" s="3"/>
      <c r="AT1034" s="42"/>
      <c r="AU1034" s="3"/>
      <c r="AV1034" s="42"/>
      <c r="AW1034" s="3"/>
      <c r="AX1034" s="42"/>
      <c r="AY1034" s="3"/>
      <c r="AZ1034" s="42"/>
      <c r="BA1034" s="3"/>
      <c r="BB1034" s="42"/>
      <c r="BC1034" s="3"/>
      <c r="BD1034" s="42"/>
      <c r="BE1034" s="3"/>
    </row>
    <row r="1035" spans="1:57" s="77" customFormat="1" hidden="1" outlineLevel="1" x14ac:dyDescent="0.25">
      <c r="A1035" s="3" t="s">
        <v>794</v>
      </c>
      <c r="B1035" s="3"/>
      <c r="C1035" s="3"/>
      <c r="D1035" s="3"/>
      <c r="E1035" s="3"/>
      <c r="F1035" s="3"/>
      <c r="G1035" s="3"/>
      <c r="H1035" s="3"/>
      <c r="I1035" s="3"/>
      <c r="J1035" s="3"/>
      <c r="K1035" s="4"/>
      <c r="L1035" s="4"/>
      <c r="M1035" s="4"/>
      <c r="N1035" s="4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>
        <v>0</v>
      </c>
      <c r="Z1035" s="3"/>
      <c r="AA1035" s="3"/>
      <c r="AB1035" s="3"/>
      <c r="AC1035" s="3">
        <v>0</v>
      </c>
      <c r="AD1035" s="3">
        <f>AE1035-AC1035</f>
        <v>12000</v>
      </c>
      <c r="AE1035" s="3">
        <v>12000</v>
      </c>
      <c r="AF1035" s="3">
        <f>AE1035-Y1035</f>
        <v>12000</v>
      </c>
      <c r="AG1035" s="4"/>
      <c r="AH1035" s="4"/>
      <c r="AI1035" s="3"/>
      <c r="AJ1035" s="3"/>
      <c r="AK1035" s="3"/>
      <c r="AL1035" s="3"/>
      <c r="AM1035" s="3"/>
      <c r="AN1035" s="3"/>
      <c r="AO1035" s="3"/>
      <c r="AP1035" s="4"/>
      <c r="AQ1035" s="3"/>
      <c r="AR1035" s="42"/>
      <c r="AS1035" s="3"/>
      <c r="AT1035" s="42"/>
      <c r="AU1035" s="3"/>
      <c r="AV1035" s="42"/>
      <c r="AW1035" s="3"/>
      <c r="AX1035" s="42"/>
      <c r="AY1035" s="3"/>
      <c r="AZ1035" s="42"/>
      <c r="BA1035" s="3"/>
      <c r="BB1035" s="42"/>
      <c r="BC1035" s="3"/>
      <c r="BD1035" s="42"/>
      <c r="BE1035" s="3"/>
    </row>
    <row r="1036" spans="1:57" s="77" customFormat="1" hidden="1" outlineLevel="1" x14ac:dyDescent="0.25">
      <c r="A1036" s="3" t="s">
        <v>795</v>
      </c>
      <c r="B1036" s="3">
        <v>1900</v>
      </c>
      <c r="C1036" s="3"/>
      <c r="D1036" s="3"/>
      <c r="E1036" s="3">
        <f t="shared" si="521"/>
        <v>1900</v>
      </c>
      <c r="F1036" s="3">
        <v>1900</v>
      </c>
      <c r="G1036" s="3"/>
      <c r="H1036" s="3">
        <f t="shared" si="522"/>
        <v>0</v>
      </c>
      <c r="I1036" s="3"/>
      <c r="J1036" s="3">
        <v>0</v>
      </c>
      <c r="K1036" s="4">
        <f>L1036-J1036</f>
        <v>1900</v>
      </c>
      <c r="L1036" s="4">
        <v>1900</v>
      </c>
      <c r="M1036" s="4"/>
      <c r="N1036" s="4">
        <f>L1036-F1036</f>
        <v>0</v>
      </c>
      <c r="O1036" s="3"/>
      <c r="P1036" s="3">
        <v>1900</v>
      </c>
      <c r="Q1036" s="3"/>
      <c r="R1036" s="3"/>
      <c r="S1036" s="3">
        <f t="shared" si="516"/>
        <v>1900</v>
      </c>
      <c r="T1036" s="3">
        <v>1900</v>
      </c>
      <c r="U1036" s="3">
        <f t="shared" si="517"/>
        <v>0</v>
      </c>
      <c r="V1036" s="3"/>
      <c r="W1036" s="3">
        <f t="shared" si="518"/>
        <v>1900</v>
      </c>
      <c r="X1036" s="3"/>
      <c r="Y1036" s="3">
        <v>1900</v>
      </c>
      <c r="Z1036" s="3">
        <f>Y1036-T1036</f>
        <v>0</v>
      </c>
      <c r="AA1036" s="3"/>
      <c r="AB1036" s="3"/>
      <c r="AC1036" s="3">
        <v>1900</v>
      </c>
      <c r="AD1036" s="3">
        <f t="shared" si="519"/>
        <v>0</v>
      </c>
      <c r="AE1036" s="3">
        <v>1900</v>
      </c>
      <c r="AF1036" s="3">
        <f t="shared" si="520"/>
        <v>0</v>
      </c>
      <c r="AG1036" s="4"/>
      <c r="AH1036" s="4"/>
      <c r="AI1036" s="3">
        <v>1900</v>
      </c>
      <c r="AJ1036" s="3"/>
      <c r="AK1036" s="3">
        <v>1900</v>
      </c>
      <c r="AL1036" s="3"/>
      <c r="AM1036" s="3">
        <v>1900</v>
      </c>
      <c r="AN1036" s="3"/>
      <c r="AO1036" s="3"/>
      <c r="AP1036" s="4"/>
      <c r="AQ1036" s="3"/>
      <c r="AR1036" s="42"/>
      <c r="AS1036" s="3"/>
      <c r="AT1036" s="42"/>
      <c r="AU1036" s="3"/>
      <c r="AV1036" s="42"/>
      <c r="AW1036" s="3"/>
      <c r="AX1036" s="42"/>
      <c r="AY1036" s="3"/>
      <c r="AZ1036" s="42"/>
      <c r="BA1036" s="3"/>
      <c r="BB1036" s="42"/>
      <c r="BC1036" s="3"/>
      <c r="BD1036" s="42"/>
      <c r="BE1036" s="3"/>
    </row>
    <row r="1037" spans="1:57" s="77" customFormat="1" hidden="1" outlineLevel="1" x14ac:dyDescent="0.25">
      <c r="A1037" s="3" t="s">
        <v>796</v>
      </c>
      <c r="B1037" s="3"/>
      <c r="C1037" s="3"/>
      <c r="D1037" s="3"/>
      <c r="E1037" s="3"/>
      <c r="F1037" s="3"/>
      <c r="G1037" s="3"/>
      <c r="H1037" s="3"/>
      <c r="I1037" s="3"/>
      <c r="J1037" s="3"/>
      <c r="K1037" s="4"/>
      <c r="L1037" s="4"/>
      <c r="M1037" s="4"/>
      <c r="N1037" s="4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4"/>
      <c r="AH1037" s="4"/>
      <c r="AI1037" s="3">
        <v>60000</v>
      </c>
      <c r="AJ1037" s="3"/>
      <c r="AK1037" s="3"/>
      <c r="AL1037" s="3"/>
      <c r="AM1037" s="3"/>
      <c r="AN1037" s="3"/>
      <c r="AO1037" s="3"/>
      <c r="AP1037" s="4"/>
      <c r="AQ1037" s="3"/>
      <c r="AR1037" s="42"/>
      <c r="AS1037" s="3"/>
      <c r="AT1037" s="42"/>
      <c r="AU1037" s="3"/>
      <c r="AV1037" s="42"/>
      <c r="AW1037" s="3"/>
      <c r="AX1037" s="42"/>
      <c r="AY1037" s="3"/>
      <c r="AZ1037" s="42"/>
      <c r="BA1037" s="3"/>
      <c r="BB1037" s="42"/>
      <c r="BC1037" s="3"/>
      <c r="BD1037" s="42"/>
      <c r="BE1037" s="3"/>
    </row>
    <row r="1038" spans="1:57" s="77" customFormat="1" hidden="1" outlineLevel="1" x14ac:dyDescent="0.25">
      <c r="A1038" s="3" t="s">
        <v>797</v>
      </c>
      <c r="B1038" s="3"/>
      <c r="C1038" s="3"/>
      <c r="D1038" s="3"/>
      <c r="E1038" s="3"/>
      <c r="F1038" s="3"/>
      <c r="G1038" s="3"/>
      <c r="H1038" s="3"/>
      <c r="I1038" s="3"/>
      <c r="J1038" s="3"/>
      <c r="K1038" s="4"/>
      <c r="L1038" s="4"/>
      <c r="M1038" s="4"/>
      <c r="N1038" s="4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4"/>
      <c r="AH1038" s="4"/>
      <c r="AI1038" s="3"/>
      <c r="AJ1038" s="3"/>
      <c r="AK1038" s="3"/>
      <c r="AL1038" s="3"/>
      <c r="AM1038" s="3"/>
      <c r="AN1038" s="3"/>
      <c r="AO1038" s="3"/>
      <c r="AP1038" s="4"/>
      <c r="AQ1038" s="3"/>
      <c r="AR1038" s="42"/>
      <c r="AS1038" s="3"/>
      <c r="AT1038" s="42"/>
      <c r="AU1038" s="3"/>
      <c r="AV1038" s="42"/>
      <c r="AW1038" s="3"/>
      <c r="AX1038" s="42"/>
      <c r="AY1038" s="3"/>
      <c r="AZ1038" s="42"/>
      <c r="BA1038" s="3"/>
      <c r="BB1038" s="42"/>
      <c r="BC1038" s="3"/>
      <c r="BD1038" s="42"/>
      <c r="BE1038" s="3"/>
    </row>
    <row r="1039" spans="1:57" hidden="1" outlineLevel="1" x14ac:dyDescent="0.25">
      <c r="A1039" s="3" t="s">
        <v>798</v>
      </c>
      <c r="E1039" s="3">
        <f t="shared" si="521"/>
        <v>0</v>
      </c>
      <c r="H1039" s="3">
        <f t="shared" si="522"/>
        <v>0</v>
      </c>
      <c r="K1039" s="4">
        <f>L1039-J1039</f>
        <v>0</v>
      </c>
      <c r="L1039" s="4"/>
      <c r="N1039" s="4">
        <f>L1039-F1039</f>
        <v>0</v>
      </c>
      <c r="S1039" s="3">
        <f t="shared" si="516"/>
        <v>0</v>
      </c>
      <c r="U1039" s="3">
        <f t="shared" si="517"/>
        <v>0</v>
      </c>
      <c r="W1039" s="3">
        <f t="shared" si="518"/>
        <v>0</v>
      </c>
      <c r="Z1039" s="3">
        <f>Y1039-T1039</f>
        <v>0</v>
      </c>
      <c r="AD1039" s="3">
        <f t="shared" si="519"/>
        <v>0</v>
      </c>
      <c r="AF1039" s="3">
        <f t="shared" si="520"/>
        <v>0</v>
      </c>
      <c r="BC1039" s="3"/>
      <c r="BE1039" s="3"/>
    </row>
    <row r="1040" spans="1:57" s="272" customFormat="1" ht="15.75" collapsed="1" thickBot="1" x14ac:dyDescent="0.3">
      <c r="A1040" s="266" t="s">
        <v>1177</v>
      </c>
      <c r="B1040" s="273">
        <f>SUM(B839:B1039)</f>
        <v>1605150</v>
      </c>
      <c r="C1040" s="270"/>
      <c r="D1040" s="273">
        <f>SUM(D839:D1039)</f>
        <v>490318</v>
      </c>
      <c r="E1040" s="273">
        <f>SUM(E839:E1039)</f>
        <v>1216832</v>
      </c>
      <c r="F1040" s="273">
        <f>SUM(F839:F1039)</f>
        <v>1707150</v>
      </c>
      <c r="G1040" s="270"/>
      <c r="H1040" s="273">
        <f>SUM(H839:H1039)</f>
        <v>102000</v>
      </c>
      <c r="I1040" s="270"/>
      <c r="J1040" s="273">
        <f>SUM(J839:J1039)</f>
        <v>732042</v>
      </c>
      <c r="K1040" s="273">
        <f>SUM(K839:K1039)</f>
        <v>979653</v>
      </c>
      <c r="L1040" s="273">
        <f>SUM(L839:L1039)</f>
        <v>1711695</v>
      </c>
      <c r="M1040" s="270"/>
      <c r="N1040" s="273">
        <f>SUM(N839:N1039)</f>
        <v>4545</v>
      </c>
      <c r="O1040" s="271"/>
      <c r="P1040" s="273">
        <f>SUM(P839:P1039)</f>
        <v>1168600.22</v>
      </c>
      <c r="Q1040" s="271"/>
      <c r="R1040" s="273">
        <f t="shared" ref="R1040:Z1040" si="523">SUM(R839:R1039)</f>
        <v>141804</v>
      </c>
      <c r="S1040" s="273">
        <f t="shared" si="523"/>
        <v>1192396</v>
      </c>
      <c r="T1040" s="273">
        <f t="shared" si="523"/>
        <v>1334200</v>
      </c>
      <c r="U1040" s="273">
        <f t="shared" si="523"/>
        <v>165599.78</v>
      </c>
      <c r="V1040" s="273">
        <f t="shared" si="523"/>
        <v>413423</v>
      </c>
      <c r="W1040" s="273">
        <f t="shared" si="523"/>
        <v>837757</v>
      </c>
      <c r="X1040" s="273"/>
      <c r="Y1040" s="273">
        <f t="shared" si="523"/>
        <v>1251180</v>
      </c>
      <c r="Z1040" s="273">
        <f t="shared" si="523"/>
        <v>-83020</v>
      </c>
      <c r="AA1040" s="271"/>
      <c r="AB1040" s="271"/>
      <c r="AC1040" s="273">
        <f>SUM(AC839:AC1039)</f>
        <v>637581</v>
      </c>
      <c r="AD1040" s="273">
        <f>SUM(AD839:AD1039)</f>
        <v>604824</v>
      </c>
      <c r="AE1040" s="273">
        <f>SUM(AE839:AE1039)</f>
        <v>1242405</v>
      </c>
      <c r="AF1040" s="273">
        <f>SUM(AF839:AF1039)</f>
        <v>-8775</v>
      </c>
      <c r="AG1040" s="32"/>
      <c r="AH1040" s="4"/>
      <c r="AI1040" s="44">
        <f>SUM(AI839:AI1039)</f>
        <v>1287912.2265999999</v>
      </c>
      <c r="AJ1040" s="3"/>
      <c r="AK1040" s="44">
        <f>SUM(AK839:AK1039)</f>
        <v>616963.66339799995</v>
      </c>
      <c r="AL1040" s="3"/>
      <c r="AM1040" s="44">
        <f>SUM(AM839:AM1039)</f>
        <v>341275.37338294002</v>
      </c>
      <c r="AN1040" s="3"/>
      <c r="AO1040" s="44">
        <f>SUM(AO839:AO1039)</f>
        <v>472548.8072977605</v>
      </c>
      <c r="AP1040" s="32"/>
      <c r="AQ1040" s="44">
        <f>SUM(AQ839:AQ1039)</f>
        <v>820268.42853347014</v>
      </c>
      <c r="AR1040" s="42"/>
      <c r="AS1040" s="44">
        <f>SUM(AS839:AS1039)</f>
        <v>586375.71348758682</v>
      </c>
      <c r="AT1040" s="42"/>
      <c r="AU1040" s="44">
        <f>SUM(AU839:AU1039)</f>
        <v>386272.15193281096</v>
      </c>
      <c r="AV1040" s="42"/>
      <c r="AW1040" s="44">
        <f>SUM(AW839:AW1039)</f>
        <v>619060.24739623035</v>
      </c>
      <c r="AX1040" s="42"/>
      <c r="AY1040" s="44">
        <f>SUM(AY839:AY1039)</f>
        <v>462543.51754935307</v>
      </c>
      <c r="AZ1040" s="42"/>
      <c r="BA1040" s="44">
        <f>SUM(BA839:BA1039)</f>
        <v>570284.494609282</v>
      </c>
      <c r="BB1040" s="42"/>
      <c r="BC1040" s="44">
        <f>SUM(BC839:BC1039)</f>
        <v>434045.72575135302</v>
      </c>
      <c r="BD1040" s="42"/>
      <c r="BE1040" s="44">
        <f>SUM(BE839:BE1039)</f>
        <v>464827.77353356202</v>
      </c>
    </row>
    <row r="1041" spans="1:58" ht="16.5" thickTop="1" thickBot="1" x14ac:dyDescent="0.3">
      <c r="A1041" s="7"/>
      <c r="B1041" s="7"/>
      <c r="C1041" s="7"/>
      <c r="D1041" s="7"/>
      <c r="E1041" s="7"/>
      <c r="F1041" s="7"/>
      <c r="G1041" s="7"/>
      <c r="H1041" s="7"/>
      <c r="I1041" s="7"/>
      <c r="J1041" s="7"/>
      <c r="K1041" s="7"/>
      <c r="L1041" s="7"/>
      <c r="M1041" s="32"/>
      <c r="N1041" s="7"/>
      <c r="P1041" s="7"/>
      <c r="AI1041" s="7"/>
      <c r="AK1041" s="7"/>
      <c r="AM1041" s="7"/>
      <c r="AO1041" s="7"/>
      <c r="AP1041" s="32"/>
      <c r="AQ1041" s="7"/>
      <c r="AS1041" s="7"/>
      <c r="AU1041" s="7"/>
      <c r="AW1041" s="7"/>
      <c r="AY1041" s="7"/>
      <c r="BA1041" s="7"/>
      <c r="BC1041" s="7"/>
      <c r="BE1041" s="7"/>
    </row>
    <row r="1042" spans="1:58" s="42" customFormat="1" ht="16.5" thickTop="1" thickBot="1" x14ac:dyDescent="0.3">
      <c r="A1042" s="286" t="s">
        <v>1247</v>
      </c>
      <c r="B1042" s="83">
        <f>B1040+B997</f>
        <v>1607150</v>
      </c>
      <c r="C1042" s="32"/>
      <c r="D1042" s="83">
        <f>D1040+D997</f>
        <v>490318</v>
      </c>
      <c r="E1042" s="83">
        <f>E1040+E997</f>
        <v>1218832</v>
      </c>
      <c r="F1042" s="83">
        <f>F1040+F997</f>
        <v>1709150</v>
      </c>
      <c r="G1042" s="83"/>
      <c r="H1042" s="83">
        <f>H1040+H997</f>
        <v>102000</v>
      </c>
      <c r="I1042" s="32"/>
      <c r="J1042" s="83">
        <f>J1040+J997</f>
        <v>732042</v>
      </c>
      <c r="K1042" s="83">
        <f>K1040+K997</f>
        <v>981653</v>
      </c>
      <c r="L1042" s="83">
        <f>L1040+L997</f>
        <v>1713695</v>
      </c>
      <c r="M1042" s="32"/>
      <c r="N1042" s="83">
        <f>N1040+N997</f>
        <v>4545</v>
      </c>
      <c r="O1042" s="3"/>
      <c r="P1042" s="83">
        <f>P1040+P997</f>
        <v>1168600.22</v>
      </c>
      <c r="Q1042" s="3"/>
      <c r="R1042" s="83">
        <f t="shared" ref="R1042:W1042" si="524">R1040+R997</f>
        <v>141804</v>
      </c>
      <c r="S1042" s="83">
        <f t="shared" si="524"/>
        <v>1192396</v>
      </c>
      <c r="T1042" s="83">
        <f t="shared" si="524"/>
        <v>1334200</v>
      </c>
      <c r="U1042" s="83">
        <f t="shared" si="524"/>
        <v>165599.78</v>
      </c>
      <c r="V1042" s="83">
        <f t="shared" si="524"/>
        <v>413423</v>
      </c>
      <c r="W1042" s="83">
        <f t="shared" si="524"/>
        <v>837757</v>
      </c>
      <c r="X1042" s="83"/>
      <c r="Y1042" s="83">
        <f>Y1040+Y997</f>
        <v>1251180</v>
      </c>
      <c r="Z1042" s="83">
        <f>Z1040+Z997</f>
        <v>-83020</v>
      </c>
      <c r="AA1042" s="3"/>
      <c r="AB1042" s="3"/>
      <c r="AC1042" s="83">
        <f>AC1040+AC997</f>
        <v>637581</v>
      </c>
      <c r="AD1042" s="83">
        <f>AD1040+AD997</f>
        <v>612324</v>
      </c>
      <c r="AE1042" s="83">
        <f>AE1040+AE997</f>
        <v>1249905</v>
      </c>
      <c r="AF1042" s="83">
        <f>AF1040+AF997</f>
        <v>-1275</v>
      </c>
      <c r="AG1042" s="32"/>
      <c r="AH1042" s="3"/>
      <c r="AI1042" s="44">
        <f>+AI835-AI1040</f>
        <v>-719528.16302500223</v>
      </c>
      <c r="AJ1042" s="3"/>
      <c r="AK1042" s="44">
        <f>+AK835-AK1040</f>
        <v>-884882.41087512532</v>
      </c>
      <c r="AL1042" s="3"/>
      <c r="AM1042" s="44">
        <f>+AM835-AM1040</f>
        <v>-828364.56842409633</v>
      </c>
      <c r="AN1042" s="3"/>
      <c r="AO1042" s="44">
        <f>+AO835-AO1040</f>
        <v>-966866.79002167366</v>
      </c>
      <c r="AP1042" s="83"/>
      <c r="AQ1042" s="44">
        <f>+AQ835-AQ1040</f>
        <v>-877963.79803460452</v>
      </c>
      <c r="AS1042" s="44">
        <f>+AS835-AS1040</f>
        <v>-884767.13628639549</v>
      </c>
      <c r="AU1042" s="44">
        <f>+AU835-AU1040</f>
        <v>-864691.74062976381</v>
      </c>
      <c r="AW1042" s="44">
        <f>+AW835-AW1040</f>
        <v>-922458.11430057848</v>
      </c>
      <c r="AY1042" s="44">
        <f>+AY835-AY1040</f>
        <v>-873026.99867008475</v>
      </c>
      <c r="BA1042" s="44">
        <f>+BA835-BA1040</f>
        <v>-684086.00494853838</v>
      </c>
      <c r="BC1042" s="44">
        <f>+BC835-BC1040</f>
        <v>-466240.20829161588</v>
      </c>
      <c r="BE1042" s="44">
        <f>+BE835-BE1040</f>
        <v>-490036.2983351255</v>
      </c>
    </row>
    <row r="1043" spans="1:58" s="42" customFormat="1" ht="15.75" thickTop="1" x14ac:dyDescent="0.25">
      <c r="A1043" s="3"/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"/>
      <c r="P1043" s="32"/>
      <c r="Q1043" s="3"/>
      <c r="R1043" s="32"/>
      <c r="S1043" s="32"/>
      <c r="T1043" s="32"/>
      <c r="U1043" s="32"/>
      <c r="V1043" s="32"/>
      <c r="W1043" s="32"/>
      <c r="X1043" s="32"/>
      <c r="Y1043" s="32"/>
      <c r="Z1043" s="32"/>
      <c r="AA1043" s="3"/>
      <c r="AB1043" s="3"/>
      <c r="AC1043" s="32"/>
      <c r="AD1043" s="32"/>
      <c r="AE1043" s="32"/>
      <c r="AF1043" s="32"/>
      <c r="AG1043" s="32"/>
      <c r="AH1043" s="3"/>
      <c r="AI1043" s="32"/>
      <c r="AJ1043" s="3"/>
      <c r="AK1043" s="32"/>
      <c r="AL1043" s="3"/>
      <c r="AM1043" s="32"/>
      <c r="AN1043" s="3"/>
      <c r="AO1043" s="32"/>
      <c r="AP1043" s="32"/>
      <c r="AQ1043" s="32"/>
      <c r="AS1043" s="32"/>
      <c r="AU1043" s="32"/>
      <c r="AW1043" s="32"/>
      <c r="AY1043" s="32"/>
      <c r="BA1043" s="32"/>
      <c r="BC1043" s="32"/>
      <c r="BE1043" s="32"/>
    </row>
    <row r="1044" spans="1:58" s="42" customFormat="1" x14ac:dyDescent="0.25">
      <c r="A1044" s="3" t="s">
        <v>1244</v>
      </c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"/>
      <c r="P1044" s="32"/>
      <c r="Q1044" s="3"/>
      <c r="R1044" s="32"/>
      <c r="S1044" s="32"/>
      <c r="T1044" s="32"/>
      <c r="U1044" s="32"/>
      <c r="V1044" s="32"/>
      <c r="W1044" s="32"/>
      <c r="X1044" s="32"/>
      <c r="Y1044" s="32"/>
      <c r="Z1044" s="32"/>
      <c r="AA1044" s="3"/>
      <c r="AB1044" s="3"/>
      <c r="AC1044" s="32"/>
      <c r="AD1044" s="32"/>
      <c r="AE1044" s="32"/>
      <c r="AF1044" s="32"/>
      <c r="AG1044" s="32"/>
      <c r="AH1044" s="3"/>
      <c r="AI1044" s="4">
        <f>+AI352</f>
        <v>725000</v>
      </c>
      <c r="AJ1044" s="3"/>
      <c r="AK1044" s="4">
        <f>+AK352</f>
        <v>725000</v>
      </c>
      <c r="AL1044" s="3"/>
      <c r="AM1044" s="4">
        <f>+AM352</f>
        <v>725000</v>
      </c>
      <c r="AN1044" s="3"/>
      <c r="AO1044" s="4">
        <f>+AO352</f>
        <v>725000</v>
      </c>
      <c r="AP1044" s="32"/>
      <c r="AQ1044" s="4">
        <f>+AQ352</f>
        <v>725000</v>
      </c>
      <c r="AS1044" s="4">
        <f>+AS352</f>
        <v>725000</v>
      </c>
      <c r="AU1044" s="4">
        <f>+AU352</f>
        <v>725000</v>
      </c>
      <c r="AW1044" s="4">
        <f>+AW352</f>
        <v>725000</v>
      </c>
      <c r="AY1044" s="4">
        <f>+AY352</f>
        <v>725000</v>
      </c>
      <c r="BA1044" s="4">
        <f>+BA352</f>
        <v>725000</v>
      </c>
      <c r="BC1044" s="4">
        <f>+BC352</f>
        <v>725000</v>
      </c>
      <c r="BE1044" s="4">
        <f>+BE352</f>
        <v>725000</v>
      </c>
    </row>
    <row r="1045" spans="1:58" s="42" customFormat="1" x14ac:dyDescent="0.25">
      <c r="A1045" s="3"/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"/>
      <c r="P1045" s="32"/>
      <c r="Q1045" s="3"/>
      <c r="R1045" s="32"/>
      <c r="S1045" s="32"/>
      <c r="T1045" s="32"/>
      <c r="U1045" s="32"/>
      <c r="V1045" s="32"/>
      <c r="W1045" s="32"/>
      <c r="X1045" s="32"/>
      <c r="Y1045" s="32"/>
      <c r="Z1045" s="32"/>
      <c r="AA1045" s="3"/>
      <c r="AB1045" s="3"/>
      <c r="AC1045" s="32"/>
      <c r="AD1045" s="32"/>
      <c r="AE1045" s="32"/>
      <c r="AF1045" s="32"/>
      <c r="AG1045" s="32"/>
      <c r="AH1045" s="3"/>
      <c r="AI1045" s="32"/>
      <c r="AJ1045" s="3"/>
      <c r="AK1045" s="32"/>
      <c r="AL1045" s="3"/>
      <c r="AM1045" s="32"/>
      <c r="AN1045" s="3"/>
      <c r="AO1045" s="32"/>
      <c r="AP1045" s="32"/>
      <c r="AQ1045" s="32"/>
      <c r="AS1045" s="32"/>
      <c r="AU1045" s="32"/>
      <c r="AW1045" s="32"/>
      <c r="AY1045" s="32"/>
      <c r="BA1045" s="32"/>
      <c r="BC1045" s="32"/>
      <c r="BE1045" s="32"/>
    </row>
    <row r="1046" spans="1:58" s="42" customFormat="1" x14ac:dyDescent="0.25">
      <c r="A1046" s="286" t="s">
        <v>1248</v>
      </c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"/>
      <c r="P1046" s="32"/>
      <c r="Q1046" s="3"/>
      <c r="R1046" s="32"/>
      <c r="S1046" s="32"/>
      <c r="T1046" s="32"/>
      <c r="U1046" s="32"/>
      <c r="V1046" s="32"/>
      <c r="W1046" s="32"/>
      <c r="X1046" s="32"/>
      <c r="Y1046" s="32"/>
      <c r="Z1046" s="32"/>
      <c r="AA1046" s="3"/>
      <c r="AB1046" s="3"/>
      <c r="AC1046" s="32"/>
      <c r="AD1046" s="32"/>
      <c r="AE1046" s="32"/>
      <c r="AF1046" s="32"/>
      <c r="AG1046" s="32"/>
      <c r="AH1046" s="3"/>
      <c r="AI1046" s="32">
        <f>+AI1042+AI1044</f>
        <v>5471.8369749977719</v>
      </c>
      <c r="AJ1046" s="3"/>
      <c r="AK1046" s="32">
        <f>+AK1042+AK1044</f>
        <v>-159882.41087512532</v>
      </c>
      <c r="AL1046" s="3"/>
      <c r="AM1046" s="32">
        <f>+AM1042+AM1044</f>
        <v>-103364.56842409633</v>
      </c>
      <c r="AN1046" s="3"/>
      <c r="AO1046" s="32">
        <f>+AO1042+AO1044</f>
        <v>-241866.79002167366</v>
      </c>
      <c r="AP1046" s="32"/>
      <c r="AQ1046" s="32">
        <f>+AQ1042+AQ1044</f>
        <v>-152963.79803460452</v>
      </c>
      <c r="AS1046" s="32">
        <f>+AS1042+AS1044</f>
        <v>-159767.13628639549</v>
      </c>
      <c r="AU1046" s="32">
        <f>+AU1042+AU1044</f>
        <v>-139691.74062976381</v>
      </c>
      <c r="AW1046" s="32">
        <f>+AW1042+AW1044</f>
        <v>-197458.11430057848</v>
      </c>
      <c r="AY1046" s="32">
        <f>+AY1042+AY1044</f>
        <v>-148026.99867008475</v>
      </c>
      <c r="BA1046" s="32">
        <f>+BA1042+BA1044</f>
        <v>40913.995051461621</v>
      </c>
      <c r="BC1046" s="32">
        <f>+BC1042+BC1044</f>
        <v>258759.79170838412</v>
      </c>
      <c r="BE1046" s="32">
        <f>+BE1042+BE1044</f>
        <v>234963.7016648745</v>
      </c>
    </row>
    <row r="1047" spans="1:58" s="42" customFormat="1" x14ac:dyDescent="0.25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"/>
      <c r="P1047" s="32"/>
      <c r="Q1047" s="3"/>
      <c r="R1047" s="32"/>
      <c r="S1047" s="32"/>
      <c r="T1047" s="32"/>
      <c r="U1047" s="32"/>
      <c r="V1047" s="32"/>
      <c r="W1047" s="32"/>
      <c r="X1047" s="32"/>
      <c r="Y1047" s="32"/>
      <c r="Z1047" s="32"/>
      <c r="AA1047" s="3"/>
      <c r="AB1047" s="3"/>
      <c r="AC1047" s="32"/>
      <c r="AD1047" s="32"/>
      <c r="AE1047" s="32"/>
      <c r="AF1047" s="32"/>
      <c r="AG1047" s="32"/>
      <c r="AH1047" s="3"/>
      <c r="AI1047" s="32"/>
      <c r="AJ1047" s="3"/>
      <c r="AK1047" s="32"/>
      <c r="AL1047" s="3"/>
      <c r="AM1047" s="32"/>
      <c r="AN1047" s="3"/>
      <c r="AO1047" s="32"/>
      <c r="AP1047" s="32"/>
      <c r="AQ1047" s="32"/>
      <c r="AS1047" s="32"/>
      <c r="AU1047" s="32"/>
      <c r="AW1047" s="32"/>
      <c r="AY1047" s="32"/>
      <c r="BA1047" s="32"/>
      <c r="BC1047" s="32"/>
      <c r="BE1047" s="32"/>
    </row>
    <row r="1048" spans="1:58" x14ac:dyDescent="0.25">
      <c r="B1048" s="42"/>
      <c r="C1048" s="42"/>
      <c r="D1048" s="42"/>
      <c r="E1048" s="42"/>
      <c r="F1048" s="42"/>
      <c r="G1048" s="42"/>
      <c r="H1048" s="42"/>
      <c r="I1048" s="42"/>
      <c r="J1048" s="42"/>
      <c r="K1048" s="42"/>
      <c r="L1048" s="42"/>
      <c r="M1048" s="42"/>
      <c r="N1048" s="42"/>
      <c r="O1048" s="42"/>
      <c r="P1048" s="42"/>
      <c r="Q1048" s="42"/>
      <c r="R1048" s="42"/>
      <c r="S1048" s="42"/>
      <c r="T1048" s="42"/>
      <c r="U1048" s="42"/>
      <c r="V1048" s="42"/>
      <c r="W1048" s="42"/>
      <c r="X1048" s="42"/>
      <c r="Y1048" s="42"/>
      <c r="Z1048" s="42"/>
      <c r="AA1048" s="42"/>
      <c r="AB1048" s="42"/>
      <c r="AC1048" s="42"/>
      <c r="AD1048" s="42"/>
      <c r="AE1048" s="42"/>
      <c r="AR1048" s="3"/>
      <c r="AT1048" s="3"/>
      <c r="AV1048" s="3"/>
      <c r="AX1048" s="3"/>
      <c r="BC1048" s="3"/>
      <c r="BE1048" s="3"/>
    </row>
    <row r="1049" spans="1:58" s="42" customFormat="1" x14ac:dyDescent="0.25">
      <c r="A1049" s="461" t="s">
        <v>1249</v>
      </c>
      <c r="B1049" s="461"/>
      <c r="C1049" s="461"/>
      <c r="D1049" s="461"/>
      <c r="E1049" s="461"/>
      <c r="F1049" s="461"/>
      <c r="G1049" s="461"/>
      <c r="H1049" s="461"/>
      <c r="I1049" s="461"/>
      <c r="J1049" s="461"/>
      <c r="K1049" s="461"/>
      <c r="L1049" s="461"/>
      <c r="M1049" s="461"/>
      <c r="N1049" s="461"/>
      <c r="O1049" s="461"/>
      <c r="P1049" s="461"/>
      <c r="Q1049" s="461"/>
      <c r="R1049" s="461"/>
      <c r="S1049" s="461"/>
      <c r="T1049" s="461"/>
      <c r="U1049" s="461"/>
      <c r="V1049" s="461"/>
      <c r="W1049" s="461"/>
      <c r="X1049" s="461"/>
      <c r="Y1049" s="461"/>
      <c r="Z1049" s="461"/>
      <c r="AA1049" s="461"/>
      <c r="AB1049" s="461"/>
      <c r="AC1049" s="461"/>
      <c r="AD1049" s="461"/>
      <c r="AE1049" s="461"/>
      <c r="AF1049" s="461"/>
      <c r="AG1049" s="461"/>
      <c r="AH1049" s="461"/>
      <c r="AI1049" s="461"/>
      <c r="AJ1049" s="461"/>
      <c r="AK1049" s="461"/>
      <c r="AL1049" s="461"/>
      <c r="AM1049" s="461"/>
      <c r="AN1049" s="461"/>
      <c r="AO1049" s="461"/>
      <c r="AP1049" s="461"/>
      <c r="AQ1049" s="461"/>
      <c r="AR1049" s="461"/>
      <c r="AS1049" s="461"/>
      <c r="AT1049" s="461"/>
      <c r="AU1049" s="461"/>
      <c r="AV1049" s="461"/>
      <c r="AW1049" s="461"/>
      <c r="AX1049" s="461"/>
      <c r="AY1049" s="461"/>
      <c r="AZ1049" s="461"/>
      <c r="BA1049" s="461"/>
      <c r="BB1049" s="461"/>
      <c r="BC1049" s="461"/>
      <c r="BD1049" s="461"/>
      <c r="BE1049" s="461"/>
      <c r="BF1049" s="461"/>
    </row>
    <row r="1050" spans="1:58" x14ac:dyDescent="0.25">
      <c r="B1050" s="42"/>
      <c r="C1050" s="42"/>
      <c r="D1050" s="42"/>
      <c r="E1050" s="42"/>
      <c r="F1050" s="42"/>
      <c r="G1050" s="42"/>
      <c r="H1050" s="42"/>
      <c r="I1050" s="42"/>
      <c r="J1050" s="42"/>
      <c r="K1050" s="42"/>
      <c r="L1050" s="42"/>
      <c r="M1050" s="42"/>
      <c r="N1050" s="42"/>
      <c r="O1050" s="42"/>
      <c r="P1050" s="42"/>
      <c r="Q1050" s="42"/>
      <c r="R1050" s="42"/>
      <c r="S1050" s="42"/>
      <c r="T1050" s="42"/>
      <c r="U1050" s="42"/>
      <c r="V1050" s="42"/>
      <c r="W1050" s="42"/>
      <c r="X1050" s="42"/>
      <c r="Y1050" s="42"/>
      <c r="Z1050" s="42"/>
      <c r="AA1050" s="42"/>
      <c r="AB1050" s="42"/>
      <c r="AC1050" s="42"/>
      <c r="AD1050" s="42"/>
      <c r="AE1050" s="42"/>
      <c r="AR1050" s="3"/>
      <c r="AT1050" s="3"/>
      <c r="AV1050" s="3"/>
      <c r="AX1050" s="3"/>
    </row>
    <row r="1051" spans="1:58" x14ac:dyDescent="0.25">
      <c r="A1051" s="274" t="s">
        <v>1179</v>
      </c>
      <c r="B1051" s="42"/>
      <c r="C1051" s="42"/>
      <c r="D1051" s="42"/>
      <c r="E1051" s="42"/>
      <c r="F1051" s="42"/>
      <c r="G1051" s="42"/>
      <c r="H1051" s="42"/>
      <c r="I1051" s="42"/>
      <c r="J1051" s="42"/>
      <c r="K1051" s="42"/>
      <c r="L1051" s="42"/>
      <c r="M1051" s="42"/>
      <c r="N1051" s="42"/>
      <c r="O1051" s="42"/>
      <c r="P1051" s="42"/>
      <c r="Q1051" s="42"/>
      <c r="R1051" s="42"/>
      <c r="S1051" s="42"/>
      <c r="T1051" s="42"/>
      <c r="U1051" s="42"/>
      <c r="V1051" s="42"/>
      <c r="W1051" s="42"/>
      <c r="X1051" s="42"/>
      <c r="Y1051" s="42"/>
      <c r="Z1051" s="42"/>
      <c r="AA1051" s="42"/>
      <c r="AB1051" s="42"/>
      <c r="AC1051" s="42"/>
      <c r="AD1051" s="42"/>
      <c r="AE1051" s="42"/>
      <c r="AR1051" s="3"/>
      <c r="AT1051" s="3"/>
      <c r="AV1051" s="3"/>
      <c r="AX1051" s="3"/>
    </row>
    <row r="1052" spans="1:58" x14ac:dyDescent="0.25">
      <c r="A1052" s="275" t="s">
        <v>1180</v>
      </c>
      <c r="B1052" s="42"/>
      <c r="C1052" s="42"/>
      <c r="D1052" s="42"/>
      <c r="E1052" s="42"/>
      <c r="F1052" s="42"/>
      <c r="G1052" s="42"/>
      <c r="H1052" s="42"/>
      <c r="I1052" s="42"/>
      <c r="J1052" s="42"/>
      <c r="K1052" s="42"/>
      <c r="L1052" s="42"/>
      <c r="M1052" s="42"/>
      <c r="N1052" s="42"/>
      <c r="O1052" s="42"/>
      <c r="P1052" s="42"/>
      <c r="Q1052" s="42"/>
      <c r="R1052" s="42"/>
      <c r="S1052" s="42"/>
      <c r="T1052" s="42"/>
      <c r="U1052" s="42"/>
      <c r="V1052" s="42"/>
      <c r="W1052" s="42"/>
      <c r="X1052" s="42"/>
      <c r="Y1052" s="42"/>
      <c r="Z1052" s="42"/>
      <c r="AA1052" s="42"/>
      <c r="AB1052" s="42"/>
      <c r="AC1052" s="42"/>
      <c r="AD1052" s="42"/>
      <c r="AE1052" s="42"/>
      <c r="AR1052" s="3"/>
      <c r="AT1052" s="3"/>
      <c r="AV1052" s="3"/>
      <c r="AX1052" s="3"/>
    </row>
    <row r="1053" spans="1:58" x14ac:dyDescent="0.25">
      <c r="A1053" s="276" t="s">
        <v>1181</v>
      </c>
      <c r="B1053" s="42"/>
      <c r="C1053" s="42"/>
      <c r="D1053" s="42"/>
      <c r="E1053" s="42"/>
      <c r="F1053" s="42"/>
      <c r="G1053" s="42"/>
      <c r="H1053" s="42"/>
      <c r="I1053" s="42"/>
      <c r="J1053" s="42"/>
      <c r="K1053" s="42"/>
      <c r="L1053" s="42"/>
      <c r="M1053" s="42"/>
      <c r="N1053" s="42"/>
      <c r="O1053" s="42"/>
      <c r="P1053" s="42"/>
      <c r="Q1053" s="42"/>
      <c r="R1053" s="42"/>
      <c r="S1053" s="42"/>
      <c r="T1053" s="42"/>
      <c r="U1053" s="42"/>
      <c r="V1053" s="42"/>
      <c r="W1053" s="42"/>
      <c r="X1053" s="42"/>
      <c r="Y1053" s="42"/>
      <c r="Z1053" s="42"/>
      <c r="AA1053" s="42"/>
      <c r="AB1053" s="42"/>
      <c r="AC1053" s="42"/>
      <c r="AD1053" s="42"/>
      <c r="AE1053" s="42"/>
      <c r="AI1053" s="324">
        <f>+AI39+AI46+AI144+AI145</f>
        <v>2802099.8</v>
      </c>
      <c r="AK1053" s="3">
        <f>+AK39+AK46+AK144+AK145</f>
        <v>2877605.7960000001</v>
      </c>
      <c r="AM1053" s="3">
        <f>+AM39+AM46+AM144+AM145</f>
        <v>2979485.8579199999</v>
      </c>
      <c r="AO1053" s="3">
        <f>+AO39+AO46+AO144+AO145</f>
        <v>3085087.7189963995</v>
      </c>
      <c r="AQ1053" s="3">
        <f>+AQ39+AQ46+AQ144+AQ145</f>
        <v>3194552.4625286218</v>
      </c>
      <c r="AR1053" s="3"/>
      <c r="AS1053" s="3">
        <f>+AS39+AS46+AS144+AS145</f>
        <v>3308026.7462827642</v>
      </c>
      <c r="AT1053" s="3"/>
      <c r="AU1053" s="3">
        <f>+AU39+AU46+AU144+AU145</f>
        <v>3425663.0324953189</v>
      </c>
      <c r="AV1053" s="3"/>
      <c r="AW1053" s="3">
        <f>+AW39+AW46+AW144+AW145</f>
        <v>3547619.8277715412</v>
      </c>
      <c r="AX1053" s="3"/>
      <c r="AY1053" s="3">
        <f>+AY39+AY46+AY144+AY145</f>
        <v>3674061.9333202513</v>
      </c>
      <c r="BA1053" s="3">
        <f>+BA39+BA46+BA144+BA145</f>
        <v>3805160.7059872244</v>
      </c>
      <c r="BC1053" s="3">
        <f>+BC39+BC46+BC144+BC145</f>
        <v>3941094.3305705911</v>
      </c>
      <c r="BE1053" s="3">
        <f>+BE39+BE46+BE144+BE145</f>
        <v>4082048.1039240127</v>
      </c>
    </row>
    <row r="1054" spans="1:58" x14ac:dyDescent="0.25">
      <c r="A1054" s="276" t="s">
        <v>1217</v>
      </c>
      <c r="B1054" s="42"/>
      <c r="C1054" s="42"/>
      <c r="D1054" s="42"/>
      <c r="E1054" s="42"/>
      <c r="F1054" s="42"/>
      <c r="G1054" s="42"/>
      <c r="H1054" s="42"/>
      <c r="I1054" s="42"/>
      <c r="J1054" s="42"/>
      <c r="K1054" s="42"/>
      <c r="L1054" s="42"/>
      <c r="M1054" s="42"/>
      <c r="N1054" s="42"/>
      <c r="O1054" s="42"/>
      <c r="P1054" s="42"/>
      <c r="Q1054" s="42"/>
      <c r="R1054" s="42"/>
      <c r="S1054" s="42"/>
      <c r="T1054" s="42"/>
      <c r="U1054" s="42"/>
      <c r="V1054" s="42"/>
      <c r="W1054" s="42"/>
      <c r="X1054" s="42"/>
      <c r="Y1054" s="42"/>
      <c r="Z1054" s="42"/>
      <c r="AA1054" s="42"/>
      <c r="AB1054" s="42"/>
      <c r="AC1054" s="42"/>
      <c r="AD1054" s="42"/>
      <c r="AE1054" s="42"/>
      <c r="AI1054" s="325">
        <f>+AI53+AI90+AI104+AI110+AI111+AI117+AI131+AI136+AI137+AI141+AI146+AI147+AI148+AI149+AI150+AI151+AI156+AI157+AI164+AI170+AI173+AI177+AI207+AI224+AI225+AI227+AI303+AI304+AI319+AI320+AI327+AI328+AI329+AI330</f>
        <v>289908.75624999998</v>
      </c>
      <c r="AK1054" s="3">
        <f>+AK53+AK90+AK104+AK110+AK111+AK117+AK131+AK136+AK137+AK141+AK146+AK147+AK148+AK149+AK150+AK151+AK156+AK157+AK164+AK170+AK173+AK177+AK207+AK224+AK225+AK227+AK303+AK304+AK319+AK320+AK327+AK328+AK329+AK330</f>
        <v>374514.22515625</v>
      </c>
      <c r="AM1054" s="3">
        <f>+AM53+AM90+AM104+AM110+AM111+AM117+AM131+AM136+AM137+AM141+AM146+AM147+AM148+AM149+AM150+AM151+AM156+AM157+AM164+AM170+AM173+AM177+AM207+AM224+AM225+AM227+AM303+AM304+AM319+AM320+AM327+AM328+AM329+AM330</f>
        <v>385813.26328515622</v>
      </c>
      <c r="AO1054" s="3">
        <f>+AO53+AO90+AO104+AO110+AO111+AO117+AO131+AO136+AO137+AO141+AO146+AO147+AO148+AO149+AO150+AO151+AO156+AO157+AO164+AO170+AO173+AO177+AO207+AO224+AO225+AO227+AO303+AO304+AO319+AO320+AO327+AO328+AO329+AO330</f>
        <v>397489.94634228508</v>
      </c>
      <c r="AQ1054" s="3">
        <f>+AQ53+AQ90+AQ104+AQ110+AQ111+AQ117+AQ131+AQ136+AQ137+AQ141+AQ146+AQ147+AQ148+AQ149+AQ150+AQ151+AQ156+AQ157+AQ164+AQ170+AQ173+AQ177+AQ207+AQ224+AQ225+AQ227+AQ303+AQ304+AQ319+AQ320+AQ327+AQ328+AQ329+AQ330</f>
        <v>409558.45404009218</v>
      </c>
      <c r="AR1054" s="3"/>
      <c r="AS1054" s="3">
        <f>+AS53+AS90+AS104+AS110+AS111+AS117+AS131+AS136+AS137+AS141+AS146+AS147+AS148+AS149+AS150+AS151+AS156+AS157+AS164+AS170+AS173+AS177+AS207+AS224+AS225+AS227+AS303+AS304+AS319+AS320+AS327+AS328+AS329+AS330</f>
        <v>422023.55651192192</v>
      </c>
      <c r="AT1054" s="3"/>
      <c r="AU1054" s="3">
        <f>+AU53+AU90+AU104+AU110+AU111+AU117+AU131+AU136+AU137+AU141+AU146+AU147+AU148+AU149+AU150+AU151+AU156+AU157+AU164+AU170+AU173+AU177+AU207+AU224+AU225+AU227+AU303+AU304+AU319+AU320+AU327+AU328+AU329+AU330</f>
        <v>434910.64083828032</v>
      </c>
      <c r="AV1054" s="3"/>
      <c r="AW1054" s="3">
        <f>+AW53+AW90+AW104+AW110+AW111+AW117+AW131+AW136+AW137+AW141+AW146+AW147+AW148+AW149+AW150+AW151+AW156+AW157+AW164+AW170+AW173+AW177+AW207+AW224+AW225+AW227+AW303+AW304+AW319+AW320+AW327+AW328+AW329+AW330</f>
        <v>448235.7388236195</v>
      </c>
      <c r="AX1054" s="3"/>
      <c r="AY1054" s="3">
        <f>+AY53+AY90+AY104+AY110+AY111+AY117+AY131+AY136+AY137+AY141+AY146+AY147+AY148+AY149+AY150+AY151+AY156+AY157+AY164+AY170+AY173+AY177+AY207+AY224+AY225+AY227+AY303+AY304+AY319+AY320+AY327+AY328+AY329+AY330</f>
        <v>462015.55608423852</v>
      </c>
      <c r="BA1054" s="3">
        <f>+BA53+BA90+BA104+BA110+BA111+BA117+BA131+BA136+BA137+BA141+BA146+BA147+BA148+BA149+BA150+BA151+BA156+BA157+BA164+BA170+BA173+BA177+BA207+BA224+BA225+BA227+BA303+BA304+BA319+BA320+BA327+BA328+BA329+BA330</f>
        <v>476267.50251088064</v>
      </c>
      <c r="BC1054" s="3">
        <f>+BC53+BC90+BC104+BC110+BC111+BC117+BC131+BC136+BC137+BC141+BC146+BC147+BC148+BC149+BC150+BC151+BC156+BC157+BC164+BC170+BC173+BC177+BC207+BC224+BC225+BC227+BC303+BC304+BC319+BC320+BC327+BC328+BC329+BC330</f>
        <v>491009.72417274344</v>
      </c>
      <c r="BE1054" s="3">
        <f>+BE53+BE90+BE104+BE110+BE111+BE117+BE131+BE136+BE137+BE141+BE146+BE147+BE148+BE149+BE150+BE151+BE156+BE157+BE164+BE170+BE173+BE177+BE207+BE224+BE225+BE227+BE303+BE304+BE319+BE320+BE327+BE328+BE329+BE330</f>
        <v>506261.13673289621</v>
      </c>
    </row>
    <row r="1055" spans="1:58" x14ac:dyDescent="0.25">
      <c r="A1055" s="276" t="s">
        <v>1218</v>
      </c>
      <c r="B1055" s="42"/>
      <c r="C1055" s="42"/>
      <c r="D1055" s="42"/>
      <c r="E1055" s="42"/>
      <c r="F1055" s="42"/>
      <c r="G1055" s="42"/>
      <c r="H1055" s="42"/>
      <c r="I1055" s="42"/>
      <c r="J1055" s="42"/>
      <c r="K1055" s="42"/>
      <c r="L1055" s="42"/>
      <c r="M1055" s="42"/>
      <c r="N1055" s="42"/>
      <c r="O1055" s="42"/>
      <c r="P1055" s="42"/>
      <c r="Q1055" s="42"/>
      <c r="R1055" s="42"/>
      <c r="S1055" s="42"/>
      <c r="T1055" s="42"/>
      <c r="U1055" s="42"/>
      <c r="V1055" s="42"/>
      <c r="W1055" s="42"/>
      <c r="X1055" s="42"/>
      <c r="Y1055" s="42"/>
      <c r="Z1055" s="42"/>
      <c r="AA1055" s="42"/>
      <c r="AB1055" s="42"/>
      <c r="AC1055" s="42"/>
      <c r="AD1055" s="42"/>
      <c r="AE1055" s="42"/>
      <c r="AI1055" s="3">
        <f>+AI47</f>
        <v>160000</v>
      </c>
      <c r="AK1055" s="3">
        <f>+AK47</f>
        <v>160000</v>
      </c>
      <c r="AM1055" s="3">
        <f>+AM47</f>
        <v>165000</v>
      </c>
      <c r="AO1055" s="3">
        <f>+AO47</f>
        <v>170000</v>
      </c>
      <c r="AQ1055" s="3">
        <f>+AQ47</f>
        <v>175000</v>
      </c>
      <c r="AR1055" s="3"/>
      <c r="AS1055" s="3">
        <f>+AS47</f>
        <v>180000</v>
      </c>
      <c r="AT1055" s="3"/>
      <c r="AU1055" s="3">
        <f>+AU47</f>
        <v>185000</v>
      </c>
      <c r="AV1055" s="3"/>
      <c r="AW1055" s="3">
        <f>+AW47</f>
        <v>190000</v>
      </c>
      <c r="AX1055" s="3"/>
      <c r="AY1055" s="3">
        <f>+AY47</f>
        <v>195000</v>
      </c>
      <c r="BA1055" s="3">
        <f>+BA47</f>
        <v>200000</v>
      </c>
      <c r="BC1055" s="3">
        <f>+BC47</f>
        <v>205000</v>
      </c>
      <c r="BE1055" s="3">
        <f>+BE47</f>
        <v>210000</v>
      </c>
    </row>
    <row r="1056" spans="1:58" x14ac:dyDescent="0.25">
      <c r="A1056" s="276" t="s">
        <v>1182</v>
      </c>
      <c r="AI1056" s="321">
        <f>+AI41+AI42+AI43+AI44+AI45+AI57+AI58+AI70+AI78+AI79+AI80+AI81+AI82+AI83+AI84+AI96+AI97+AI98+AI105+AI108+AI109+AI112+AI120+AI124+AI125+AI126+AI139+AI140+AI155+AI162+AI163+AI168+AI174+AI180+AI181+AI182+AI183+AI185+AI186+AI187+AI188+AI194+AI199+AI200+AI201+AI202+AI203+AI204+AI205+AI206+AI208+AI209+AI210+AI211+AI212+AI213+AI214+AI215+AI216+AI217+AI243+AI246+AI247+AI250+AI251+AI252+AI253+AI254+AI255+AI256+AI257+AI258+AI259+AI260+AI261+AI262+AI263+AI264+AI267+AI268+AI269+AI270+AI272+AI272+AI271+AI273+AI274+AI275+AI276+AI277+AI278+AI279+AI280+AI281+AI282+AI283+AI284+AI285+AI286+AI287+AI288+AI289+AI290+AI291+AI292+AI293+AI294+AI295+AI296+AI307+AI308+AI312+AI318+AI324+AI325</f>
        <v>6930459.4431250002</v>
      </c>
      <c r="AK1056" s="3">
        <f>+AK41+AK42+AK43+AK44+AK45+AK57+AK58+AK70+AK78+AK79+AK80+AK81+AK82+AK83+AK84+AK96+AK97+AK98+AK105+AK108+AK109+AK112+AK120+AK124+AK125+AK126+AK139+AK140+AK155+AK162+AK163+AK168+AK174+AK180+AK181+AK182+AK183+AK185+AK186+AK187+AK188+AK194+AK199+AK200+AK201+AK202+AK203+AK204+AK205+AK206+AK208+AK209+AK210+AK211+AK212+AK213+AK214+AK215+AK216+AK217+AK243+AK246+AK247+AK250+AK251+AK252+AK253+AK254+AK255+AK256+AK257+AK258+AK259+AK260+AK261+AK262+AK263+AK264+AK267+AK268+AK269+AK270+AK272+AK272+AK271+AK273+AK274+AK275+AK276+AK277+AK278+AK279+AK280+AK281+AK282+AK283+AK284+AK285+AK286+AK287+AK288+AK289+AK290+AK291+AK292+AK293+AK294+AK295+AK296+AK307+AK308+AK312+AK318+AK324+AK325</f>
        <v>3164312.9267031243</v>
      </c>
      <c r="AM1056" s="3">
        <f>+AM41+AM42+AM43+AM44+AM45+AM57+AM58+AM70+AM78+AM79+AM80+AM81+AM82+AM83+AM84+AM96+AM97+AM98+AM105+AM108+AM109+AM112+AM120+AM124+AM125+AM126+AM139+AM140+AM155+AM162+AM163+AM168+AM174+AM180+AM181+AM182+AM183+AM185+AM186+AM187+AM188+AM194+AM199+AM200+AM201+AM202+AM203+AM204+AM205+AM206+AM208+AM209+AM210+AM211+AM212+AM213+AM214+AM215+AM216+AM217+AM243+AM246+AM247+AM250+AM251+AM252+AM253+AM254+AM255+AM256+AM257+AM258+AM259+AM260+AM261+AM262+AM263+AM264+AM267+AM268+AM269+AM270+AM272+AM272+AM271+AM273+AM274+AM275+AM276+AM277+AM278+AM279+AM280+AM281+AM282+AM283+AM284+AM285+AM286+AM287+AM288+AM289+AM290+AM291+AM292+AM293+AM294+AM295+AM296+AM307+AM308+AM312+AM318+AM324+AM325</f>
        <v>3378202.8997957027</v>
      </c>
      <c r="AO1056" s="3">
        <f>+AO41+AO42+AO43+AO44+AO45+AO57+AO58+AO70+AO78+AO79+AO80+AO81+AO82+AO83+AO84+AO96+AO97+AO98+AO105+AO108+AO109+AO112+AO120+AO124+AO125+AO126+AO139+AO140+AO155+AO162+AO163+AO168+AO174+AO180+AO181+AO182+AO183+AO185+AO186+AO187+AO188+AO194+AO199+AO200+AO201+AO202+AO203+AO204+AO205+AO206+AO208+AO209+AO210+AO211+AO212+AO213+AO214+AO215+AO216+AO217+AO243+AO246+AO247+AO250+AO251+AO252+AO253+AO254+AO255+AO256+AO257+AO258+AO259+AO260+AO261+AO262+AO263+AO264+AO267+AO268+AO269+AO270+AO272+AO272+AO271+AO273+AO274+AO275+AO276+AO277+AO278+AO279+AO280+AO281+AO282+AO283+AO284+AO285+AO286+AO287+AO288+AO289+AO290+AO291+AO292+AO293+AO294+AO295+AO296+AO307+AO308+AO312+AO318+AO324+AO325</f>
        <v>3455071.4221633449</v>
      </c>
      <c r="AQ1056" s="3">
        <f>+AQ41+AQ42+AQ43+AQ44+AQ45+AQ57+AQ58+AQ70+AQ78+AQ79+AQ80+AQ81+AQ82+AQ83+AQ84+AQ96+AQ97+AQ98+AQ105+AQ108+AQ109+AQ112+AQ120+AQ124+AQ125+AQ126+AQ139+AQ140+AQ155+AQ162+AQ163+AQ168+AQ174+AQ180+AQ181+AQ182+AQ183+AQ185+AQ186+AQ187+AQ188+AQ194+AQ199+AQ200+AQ201+AQ202+AQ203+AQ204+AQ205+AQ206+AQ208+AQ209+AQ210+AQ211+AQ212+AQ213+AQ214+AQ215+AQ216+AQ217+AQ243+AQ246+AQ247+AQ250+AQ251+AQ252+AQ253+AQ254+AQ255+AQ256+AQ257+AQ258+AQ259+AQ260+AQ261+AQ262+AQ263+AQ264+AQ267+AQ268+AQ269+AQ270+AQ272+AQ272+AQ271+AQ273+AQ274+AQ275+AQ276+AQ277+AQ278+AQ279+AQ280+AQ281+AQ282+AQ283+AQ284+AQ285+AQ286+AQ287+AQ288+AQ289+AQ290+AQ291+AQ292+AQ293+AQ294+AQ295+AQ296+AQ307+AQ308+AQ312+AQ318+AQ324+AQ325</f>
        <v>3536731.3543453603</v>
      </c>
      <c r="AS1056" s="3">
        <f>+AS41+AS42+AS43+AS44+AS45+AS57+AS58+AS70+AS78+AS79+AS80+AS81+AS82+AS83+AS84+AS96+AS97+AS98+AS105+AS108+AS109+AS112+AS120+AS124+AS125+AS126+AS139+AS140+AS155+AS162+AS163+AS168+AS174+AS180+AS181+AS182+AS183+AS185+AS186+AS187+AS188+AS194+AS199+AS200+AS201+AS202+AS203+AS204+AS205+AS206+AS208+AS209+AS210+AS211+AS212+AS213+AS214+AS215+AS216+AS217+AS243+AS246+AS247+AS250+AS251+AS252+AS253+AS254+AS255+AS256+AS257+AS258+AS259+AS260+AS261+AS262+AS263+AS264+AS267+AS268+AS269+AS270+AS272+AS272+AS271+AS273+AS274+AS275+AS276+AS277+AS278+AS279+AS280+AS281+AS282+AS283+AS284+AS285+AS286+AS287+AS288+AS289+AS290+AS291+AS292+AS293+AS294+AS295+AS296+AS307+AS308+AS312+AS318+AS324+AS325</f>
        <v>3610076.3777049449</v>
      </c>
      <c r="AU1056" s="3">
        <f>+AU41+AU42+AU43+AU44+AU45+AU57+AU58+AU70+AU78+AU79+AU80+AU81+AU82+AU83+AU84+AU96+AU97+AU98+AU105+AU108+AU109+AU112+AU120+AU124+AU125+AU126+AU139+AU140+AU155+AU162+AU163+AU168+AU174+AU180+AU181+AU182+AU183+AU185+AU186+AU187+AU188+AU194+AU199+AU200+AU201+AU202+AU203+AU204+AU205+AU206+AU208+AU209+AU210+AU211+AU212+AU213+AU214+AU215+AU216+AU217+AU243+AU246+AU247+AU250+AU251+AU252+AU253+AU254+AU255+AU256+AU257+AU258+AU259+AU260+AU261+AU262+AU263+AU264+AU267+AU268+AU269+AU270+AU272+AU272+AU271+AU273+AU274+AU275+AU276+AU277+AU278+AU279+AU280+AU281+AU282+AU283+AU284+AU285+AU286+AU287+AU288+AU289+AU290+AU291+AU292+AU293+AU294+AU295+AU296+AU307+AU308+AU312+AU318+AU324+AU325</f>
        <v>3634241.0149772116</v>
      </c>
      <c r="AW1056" s="3">
        <f>+AW41+AW42+AW43+AW44+AW45+AW57+AW58+AW70+AW78+AW79+AW80+AW81+AW82+AW83+AW84+AW96+AW97+AW98+AW105+AW108+AW109+AW112+AW120+AW124+AW125+AW126+AW139+AW140+AW155+AW162+AW163+AW168+AW174+AW180+AW181+AW182+AW183+AW185+AW186+AW187+AW188+AW194+AW199+AW200+AW201+AW202+AW203+AW204+AW205+AW206+AW208+AW209+AW210+AW211+AW212+AW213+AW214+AW215+AW216+AW217+AW243+AW246+AW247+AW250+AW251+AW252+AW253+AW254+AW255+AW256+AW257+AW258+AW259+AW260+AW261+AW262+AW263+AW264+AW267+AW268+AW269+AW270+AW272+AW272+AW271+AW273+AW274+AW275+AW276+AW277+AW278+AW279+AW280+AW281+AW282+AW283+AW284+AW285+AW286+AW287+AW288+AW289+AW290+AW291+AW292+AW293+AW294+AW295+AW296+AW307+AW308+AW312+AW318+AW324+AW325</f>
        <v>3668930.6513327095</v>
      </c>
      <c r="AY1056" s="3">
        <f>+AY41+AY42+AY43+AY44+AY45+AY57+AY58+AY70+AY78+AY79+AY80+AY81+AY82+AY83+AY84+AY96+AY97+AY98+AY105+AY108+AY109+AY112+AY120+AY124+AY125+AY126+AY139+AY140+AY155+AY162+AY163+AY168+AY174+AY180+AY181+AY182+AY183+AY185+AY186+AY187+AY188+AY194+AY199+AY200+AY201+AY202+AY203+AY204+AY205+AY206+AY208+AY209+AY210+AY211+AY212+AY213+AY214+AY215+AY216+AY217+AY243+AY246+AY247+AY250+AY251+AY252+AY253+AY254+AY255+AY256+AY257+AY258+AY259+AY260+AY261+AY262+AY263+AY264+AY267+AY268+AY269+AY270+AY272+AY272+AY271+AY273+AY274+AY275+AY276+AY277+AY278+AY279+AY280+AY281+AY282+AY283+AY284+AY285+AY286+AY287+AY288+AY289+AY290+AY291+AY292+AY293+AY294+AY295+AY296+AY307+AY308+AY312+AY318+AY324+AY325</f>
        <v>3578601.5559693957</v>
      </c>
      <c r="BA1056" s="3">
        <f>+BA41+BA42+BA43+BA44+BA45+BA57+BA58+BA70+BA78+BA79+BA80+BA81+BA82+BA83+BA84+BA96+BA97+BA98+BA105+BA108+BA109+BA112+BA120+BA124+BA125+BA126+BA139+BA140+BA155+BA162+BA163+BA168+BA174+BA180+BA181+BA182+BA183+BA185+BA186+BA187+BA188+BA194+BA199+BA200+BA201+BA202+BA203+BA204+BA205+BA206+BA208+BA209+BA210+BA211+BA212+BA213+BA214+BA215+BA216+BA217+BA243+BA246+BA247+BA250+BA251+BA252+BA253+BA254+BA255+BA256+BA257+BA258+BA259+BA260+BA261+BA262+BA263+BA264+BA267+BA268+BA269+BA270+BA272+BA272+BA271+BA273+BA274+BA275+BA276+BA277+BA278+BA279+BA280+BA281+BA282+BA283+BA284+BA285+BA286+BA287+BA288+BA289+BA290+BA291+BA292+BA293+BA294+BA295+BA296+BA307+BA308+BA312+BA318+BA324+BA325</f>
        <v>3641590.9042463261</v>
      </c>
      <c r="BC1056" s="3">
        <f>+BC41+BC42+BC43+BC44+BC45+BC57+BC58+BC70+BC78+BC79+BC80+BC81+BC82+BC83+BC84+BC96+BC97+BC98+BC105+BC108+BC109+BC112+BC120+BC124+BC125+BC126+BC139+BC140+BC155+BC162+BC163+BC168+BC174+BC180+BC181+BC182+BC183+BC185+BC186+BC187+BC188+BC194+BC199+BC200+BC201+BC202+BC203+BC204+BC205+BC206+BC208+BC209+BC210+BC211+BC212+BC213+BC214+BC215+BC216+BC217+BC243+BC246+BC247+BC250+BC251+BC252+BC253+BC254+BC255+BC256+BC257+BC258+BC259+BC260+BC261+BC262+BC263+BC264+BC267+BC268+BC269+BC270+BC272+BC272+BC271+BC273+BC274+BC275+BC276+BC277+BC278+BC279+BC280+BC281+BC282+BC283+BC284+BC285+BC286+BC287+BC288+BC289+BC290+BC291+BC292+BC293+BC294+BC295+BC296+BC307+BC308+BC312+BC318+BC324+BC325</f>
        <v>3706146.8003727081</v>
      </c>
      <c r="BE1056" s="3">
        <f>+BE41+BE42+BE43+BE44+BE45+BE57+BE58+BE70+BE78+BE79+BE80+BE81+BE82+BE83+BE84+BE96+BE97+BE98+BE105+BE108+BE109+BE112+BE120+BE124+BE125+BE126+BE139+BE140+BE155+BE162+BE163+BE168+BE174+BE180+BE181+BE182+BE183+BE185+BE186+BE187+BE188+BE194+BE199+BE200+BE201+BE202+BE203+BE204+BE205+BE206+BE208+BE209+BE210+BE211+BE212+BE213+BE214+BE215+BE216+BE217+BE243+BE246+BE247+BE250+BE251+BE252+BE253+BE254+BE255+BE256+BE257+BE258+BE259+BE260+BE261+BE262+BE263+BE264+BE267+BE268+BE269+BE270+BE272+BE272+BE271+BE273+BE274+BE275+BE276+BE277+BE278+BE279+BE280+BE281+BE282+BE283+BE284+BE285+BE286+BE287+BE288+BE289+BE290+BE291+BE292+BE293+BE294+BE295+BE296+BE307+BE308+BE312+BE318+BE324+BE325</f>
        <v>3772308.300666281</v>
      </c>
    </row>
    <row r="1057" spans="1:57" x14ac:dyDescent="0.25">
      <c r="A1057" s="276" t="s">
        <v>1183</v>
      </c>
      <c r="AI1057" s="326">
        <f>+AI54+AI55+AI56+AI59+AI63+AI66+AI67+AI68+AI69+AI71+AI72+AI85+AI86+AI91+AI92+AI113+AI116+AI133+AI138+AI152+AI165+AI192+AI193+AI195+AI218+AI226+AI228+AI235+AI236+AI237+AI238+AI241+AI242+AI297+AI309+AI310+AI311+AI313+AI314+AI326+AI331+AI332</f>
        <v>831169.97499999998</v>
      </c>
      <c r="AK1057" s="3">
        <f>+AK54+AK55+AK56+AK59+AK63+AK66+AK67+AK68+AK69+AK71+AK72+AK85+AK86+AK91+AK92+AK113+AK116+AK133+AK138+AK152+AK165+AK192+AK193+AK195+AK218+AK226+AK228+AK235+AK236+AK237+AK238+AK241+AK242+AK297+AK309+AK310+AK311+AK313+AK314+AK326+AK331+AK332</f>
        <v>831481.87406249996</v>
      </c>
      <c r="AM1057" s="3">
        <f>+AM54+AM55+AM56+AM59+AM63+AM66+AM67+AM68+AM69+AM71+AM72+AM85+AM86+AM91+AM92+AM113+AM116+AM133+AM138+AM152+AM165+AM192+AM193+AM195+AM218+AM226+AM228+AM235+AM236+AM237+AM238+AM241+AM242+AM297+AM309+AM310+AM311+AM313+AM314+AM326+AM331+AM332</f>
        <v>853138.04546953132</v>
      </c>
      <c r="AO1057" s="3">
        <f>+AO54+AO55+AO56+AO59+AO63+AO66+AO67+AO68+AO69+AO71+AO72+AO85+AO86+AO91+AO92+AO113+AO116+AO133+AO138+AO152+AO165+AO192+AO193+AO195+AO218+AO226+AO228+AO235+AO236+AO237+AO238+AO241+AO242+AO297+AO309+AO310+AO311+AO313+AO314+AO326+AO331+AO332</f>
        <v>875424.9616255099</v>
      </c>
      <c r="AQ1057" s="3">
        <f>+AQ54+AQ55+AQ56+AQ59+AQ63+AQ66+AQ67+AQ68+AQ69+AQ71+AQ72+AQ85+AQ86+AQ91+AQ92+AQ113+AQ116+AQ133+AQ138+AQ152+AQ165+AQ192+AQ193+AQ195+AQ218+AQ226+AQ228+AQ235+AQ236+AQ237+AQ238+AQ241+AQ242+AQ297+AQ309+AQ310+AQ311+AQ313+AQ314+AQ326+AQ331+AQ332</f>
        <v>898362.34990045335</v>
      </c>
      <c r="AS1057" s="3">
        <f>+AS54+AS55+AS56+AS59+AS63+AS66+AS67+AS68+AS69+AS71+AS72+AS85+AS86+AS91+AS92+AS113+AS116+AS133+AS138+AS152+AS165+AS192+AS193+AS195+AS218+AS226+AS228+AS235+AS236+AS237+AS238+AS241+AS242+AS297+AS309+AS310+AS311+AS313+AS314+AS326+AS331+AS332</f>
        <v>918967.82766239694</v>
      </c>
      <c r="AU1057" s="3">
        <f>+AU54+AU55+AU56+AU59+AU63+AU66+AU67+AU68+AU69+AU71+AU72+AU85+AU86+AU91+AU92+AU113+AU116+AU133+AU138+AU152+AU165+AU192+AU193+AU195+AU218+AU226+AU228+AU235+AU236+AU237+AU238+AU241+AU242+AU297+AU309+AU310+AU311+AU313+AU314+AU326+AU331+AU332</f>
        <v>940140.48699962662</v>
      </c>
      <c r="AW1057" s="3">
        <f>+AW54+AW55+AW56+AW59+AW63+AW66+AW67+AW68+AW69+AW71+AW72+AW85+AW86+AW91+AW92+AW113+AW116+AW133+AW138+AW152+AW165+AW192+AW193+AW195+AW218+AW226+AW228+AW235+AW236+AW237+AW238+AW241+AW242+AW297+AW309+AW310+AW311+AW313+AW314+AW326+AW331+AW332</f>
        <v>961896.06933167716</v>
      </c>
      <c r="AY1057" s="3">
        <f>+AY54+AY55+AY56+AY59+AY63+AY66+AY67+AY68+AY69+AY71+AY72+AY85+AY86+AY91+AY92+AY113+AY116+AY133+AY138+AY152+AY165+AY192+AY193+AY195+AY218+AY226+AY228+AY235+AY236+AY237+AY238+AY241+AY242+AY297+AY309+AY310+AY311+AY313+AY314+AY326+AY331+AY332</f>
        <v>984250.75648080057</v>
      </c>
      <c r="BA1057" s="3">
        <f>+BA54+BA55+BA56+BA59+BA63+BA66+BA67+BA68+BA69+BA71+BA72+BA85+BA86+BA91+BA92+BA113+BA116+BA133+BA138+BA152+BA165+BA192+BA193+BA195+BA218+BA226+BA228+BA235+BA236+BA237+BA238+BA241+BA242+BA297+BA309+BA310+BA311+BA313+BA314+BA326+BA331+BA332</f>
        <v>1007221.1830882694</v>
      </c>
      <c r="BC1057" s="3">
        <f>+BC54+BC55+BC56+BC59+BC63+BC66+BC67+BC68+BC69+BC71+BC72+BC85+BC86+BC91+BC92+BC113+BC116+BC133+BC138+BC152+BC165+BC192+BC193+BC195+BC218+BC226+BC228+BC235+BC236+BC237+BC238+BC241+BC242+BC297+BC309+BC310+BC311+BC313+BC314+BC326+BC331+BC332</f>
        <v>1030824.4493832728</v>
      </c>
      <c r="BE1057" s="3">
        <f>+BE54+BE55+BE56+BE59+BE63+BE66+BE67+BE68+BE69+BE71+BE72+BE85+BE86+BE91+BE92+BE113+BE116+BE133+BE138+BE152+BE165+BE192+BE193+BE195+BE218+BE226+BE228+BE235+BE236+BE237+BE238+BE241+BE242+BE297+BE309+BE310+BE311+BE313+BE314+BE326+BE331+BE332</f>
        <v>1055078.1343144991</v>
      </c>
    </row>
    <row r="1058" spans="1:57" x14ac:dyDescent="0.25">
      <c r="A1058" s="277" t="s">
        <v>1184</v>
      </c>
      <c r="BC1058" s="3"/>
      <c r="BE1058" s="3"/>
    </row>
    <row r="1059" spans="1:57" x14ac:dyDescent="0.25">
      <c r="A1059" s="3" t="s">
        <v>1219</v>
      </c>
      <c r="AI1059" s="3">
        <f>-((AI381+AI382)/9.28*100)</f>
        <v>-3582974.1379310349</v>
      </c>
      <c r="AK1059" s="3">
        <f>-((AK381+AK382)/9.28*100)</f>
        <v>-3693976.5625000009</v>
      </c>
      <c r="AM1059" s="3">
        <f>-((AM381+AM382)/9.28*100)</f>
        <v>-3824373.9351562508</v>
      </c>
      <c r="AO1059" s="3">
        <f>-((AO381+AO382)/9.28*100)</f>
        <v>-3958227.0228867196</v>
      </c>
      <c r="AQ1059" s="3">
        <f>-((AQ381+AQ382)/9.28*100)</f>
        <v>-4094785.8551763105</v>
      </c>
      <c r="AS1059" s="3">
        <f>-((AS381+AS382)/9.28*100)</f>
        <v>-4236055.9671798935</v>
      </c>
      <c r="AU1059" s="3">
        <f>-((AU381+AU382)/9.28*100)</f>
        <v>-4370071.7990005845</v>
      </c>
      <c r="AW1059" s="3">
        <f>-((AW381+AW382)/9.28*100)</f>
        <v>-4508347.3340476789</v>
      </c>
      <c r="AY1059" s="3">
        <f>-((AY381+AY382)/9.28*100)</f>
        <v>-4651018.6167933457</v>
      </c>
      <c r="BA1059" s="3">
        <f>-((BA381+BA382)/9.28*100)</f>
        <v>-4798226.0577853685</v>
      </c>
      <c r="BC1059" s="3">
        <f>-((BC381+BC382)/9.28*100)</f>
        <v>-4950114.5744529963</v>
      </c>
      <c r="BE1059" s="3">
        <f>-((BE381+BE382)/9.28*100)</f>
        <v>-5106833.7364758765</v>
      </c>
    </row>
    <row r="1060" spans="1:57" x14ac:dyDescent="0.25">
      <c r="A1060" s="279" t="s">
        <v>1220</v>
      </c>
      <c r="AI1060" s="3">
        <f>-AI833-AI1059-AI1061-AI1062-AI1063+AI352+1</f>
        <v>-5145343.5485689659</v>
      </c>
      <c r="AK1060" s="3">
        <f>-AK833-AK1059-AK1061-AK1062-AK1063+AK352-1</f>
        <v>-1121602.1739699999</v>
      </c>
      <c r="AM1060" s="3">
        <f>-AM833-AM1059-AM1061-AM1062-AM1063+AM352-2</f>
        <v>-1221975.2125420358</v>
      </c>
      <c r="AO1060" s="3">
        <f>-AO833-AO1059-AO1061-AO1062-AO1063+AO352-1</f>
        <v>-1194848.5598379453</v>
      </c>
      <c r="AQ1060" s="3">
        <f>-AQ833-AQ1059-AQ1061-AQ1062-AQ1063+AQ352</f>
        <v>-1180944.3917452092</v>
      </c>
      <c r="AS1060" s="3">
        <f>-AS833-AS1059-AS1061-AS1062-AS1063+AS352-1</f>
        <v>-1257298.6095951654</v>
      </c>
      <c r="AU1060" s="3">
        <f>-AU833-AU1059-AU1061-AU1062-AU1063+AU352-1</f>
        <v>-1207221.5750528574</v>
      </c>
      <c r="AW1060" s="3">
        <f>-AW833-AW1059-AW1061-AW1062-AW1063+AW352-1</f>
        <v>-1258795.0122679193</v>
      </c>
      <c r="AY1060" s="3">
        <f>-AY833-AY1059-AY1061-AY1062-AY1063+AY352-1</f>
        <v>-1182422.0530018145</v>
      </c>
      <c r="BA1060" s="3">
        <f>-BA833-BA1059-BA1061-BA1062-BA1063+BA352-1</f>
        <v>-1203440.667184738</v>
      </c>
      <c r="BC1060" s="3">
        <f>-BC833-BC1059-BC1061-BC1062-BC1063+BC352-1</f>
        <v>-1148637.1339609381</v>
      </c>
      <c r="BE1060" s="3">
        <f>-BE833-BE1059-BE1061-BE1062-BE1063+BE352-1</f>
        <v>-1169397.8944318839</v>
      </c>
    </row>
    <row r="1061" spans="1:57" x14ac:dyDescent="0.25">
      <c r="A1061" s="279" t="s">
        <v>1221</v>
      </c>
      <c r="BC1061" s="3"/>
      <c r="BE1061" s="3"/>
    </row>
    <row r="1062" spans="1:57" x14ac:dyDescent="0.25">
      <c r="A1062" s="278" t="s">
        <v>1222</v>
      </c>
      <c r="BC1062" s="3"/>
      <c r="BE1062" s="3"/>
    </row>
    <row r="1063" spans="1:57" x14ac:dyDescent="0.25">
      <c r="A1063" s="278" t="s">
        <v>1223</v>
      </c>
      <c r="AI1063" s="3">
        <f>(-AI455+AI451+AI449+AI447+AI446+AI445+AI442+AI440+AI424+AI411+AI409+AI408+AI401+AI400+AI396+AI395+AI382+AI381+AI376+AI367)+(-AI488+AI479+AI476+AI471+AI467+AI465+AI464)+(-AI515+AI508+AI507+AI506+AI505+AI504+AI503)+(-AI541+AI541)+(-AI596+AI596)+(-AI663+AI663)+(-AI667)+(-AI831)</f>
        <v>-1726488.2243000001</v>
      </c>
      <c r="AK1063" s="3">
        <f>(-AK455+AK451+AK449+AK447+AK446+AK445+AK442+AK440+AK424+AK411+AK409+AK408+AK401+AK400+AK396+AK395+AK382+AK381+AK376+AK367)+(-AK488+AK479+AK476+AK471+AK467+AK465+AK464)+(-AK515+AK508+AK507+AK506+AK505+AK504+AK503)+(-AK541+AK541)+(-AK596+AK596)+(-AK663+AK663)+(-AK667)+(-AK831)</f>
        <v>-1857748.8329290003</v>
      </c>
      <c r="AM1063" s="3">
        <f>(-AM455+AM451+AM449+AM447+AM446+AM445+AM442+AM440+AM424+AM411+AM409+AM408+AM401+AM400+AM396+AM395+AM382+AM381+AM376+AM367)+(-AM488+AM479+AM476+AM471+AM467+AM465+AM464)+(-AM515+AM508+AM507+AM506+AM505+AM504+AM503)+(-AM541+AM541)+(-AM596+AM596)+(-AM663+AM663)+(-AM667)+(-AM831)</f>
        <v>-1878207.1138132599</v>
      </c>
      <c r="AO1063" s="3">
        <f>(-AO455+AO451+AO449+AO447+AO446+AO445+AO442+AO440+AO424+AO411+AO409+AO408+AO401+AO400+AO396+AO395+AO382+AO381+AO376+AO367)+(-AO488+AO479+AO476+AO471+AO467+AO465+AO464)+(-AO515+AO508+AO507+AO506+AO505+AO504+AO503)+(-AO541+AO541)+(-AO596+AO596)+(-AO663+AO663)+(-AO667)+(-AO831)</f>
        <v>-1936139.449126787</v>
      </c>
      <c r="AQ1063" s="3">
        <f>(-AQ455+AQ451+AQ449+AQ447+AQ446+AQ445+AQ442+AQ440+AQ424+AQ411+AQ409+AQ408+AQ401+AQ400+AQ396+AQ395+AQ382+AQ381+AQ376+AQ367)+(-AQ488+AQ479+AQ476+AQ471+AQ467+AQ465+AQ464)+(-AQ515+AQ508+AQ507+AQ506+AQ505+AQ504+AQ503)+(-AQ541+AQ541)+(-AQ596+AQ596)+(-AQ663+AQ663)+(-AQ667)+(-AQ831)</f>
        <v>-1937204.7433941429</v>
      </c>
      <c r="AS1063" s="3">
        <f>(-AS455+AS451+AS449+AS447+AS446+AS445+AS442+AS440+AS424+AS411+AS409+AS408+AS401+AS400+AS396+AS395+AS382+AS381+AS376+AS367)+(-AS488+AS479+AS476+AS471+AS467+AS465+AS464)+(-AS515+AS508+AS507+AS506+AS505+AS504+AS503)+(-AS541+AS541)+(-AS596+AS596)+(-AS663+AS663)+(-AS667)+(-AS831)</f>
        <v>-1995079.3541857789</v>
      </c>
      <c r="AU1063" s="3">
        <f>(-AU455+AU451+AU449+AU447+AU446+AU445+AU442+AU440+AU424+AU411+AU409+AU408+AU401+AU400+AU396+AU395+AU382+AU381+AU376+AU367)+(-AU488+AU479+AU476+AU471+AU467+AU465+AU464)+(-AU515+AU508+AU507+AU506+AU505+AU504+AU503)+(-AU541+AU541)+(-AU596+AU596)+(-AU663+AU663)+(-AU667)+(-AU831)</f>
        <v>-2057173.3899539476</v>
      </c>
      <c r="AW1063" s="3">
        <f>(-AW455+AW451+AW449+AW447+AW446+AW445+AW442+AW440+AW424+AW411+AW409+AW408+AW401+AW400+AW396+AW395+AW382+AW381+AW376+AW367)+(-AW488+AW479+AW476+AW471+AW467+AW465+AW464)+(-AW515+AW508+AW507+AW506+AW505+AW504+AW503)+(-AW541+AW541)+(-AW596+AW596)+(-AW663+AW663)+(-AW667)+(-AW831)</f>
        <v>-2151843.8078482971</v>
      </c>
      <c r="AY1063" s="3">
        <f>(-AY455+AY451+AY449+AY447+AY446+AY445+AY442+AY440+AY424+AY411+AY409+AY408+AY401+AY400+AY396+AY395+AY382+AY381+AY376+AY367)+(-AY488+AY479+AY476+AY471+AY467+AY465+AY464)+(-AY515+AY508+AY507+AY506+AY505+AY504+AY503)+(-AY541+AY541)+(-AY596+AY596)+(-AY663+AY663)+(-AY667)+(-AY831)</f>
        <v>-2167485.6131802564</v>
      </c>
      <c r="BA1063" s="3">
        <f>(-BA455+BA451+BA449+BA447+BA446+BA445+BA442+BA440+BA424+BA411+BA409+BA408+BA401+BA400+BA396+BA395+BA382+BA381+BA376+BA367)+(-BA488+BA479+BA476+BA471+BA467+BA465+BA464)+(-BA515+BA508+BA507+BA506+BA505+BA504+BA503)+(-BA541+BA541)+(-BA596+BA596)+(-BA663+BA663)+(-BA667)+(-BA831)</f>
        <v>-2233678.0812018509</v>
      </c>
      <c r="BC1063" s="3">
        <f>(-BC455+BC451+BC449+BC447+BC446+BC445+BC442+BC440+BC424+BC411+BC409+BC408+BC401+BC400+BC396+BC395+BC382+BC381+BC376+BC367)+(-BC488+BC479+BC476+BC471+BC467+BC465+BC464)+(-BC515+BC508+BC507+BC506+BC505+BC504+BC503)+(-BC541+BC541)+(-BC596+BC596)+(-BC663+BC663)+(-BC667)+(-BC831)</f>
        <v>-2298821.0786256436</v>
      </c>
      <c r="BE1063" s="3">
        <f>(-BE455+BE451+BE449+BE447+BE446+BE445+BE442+BE440+BE424+BE411+BE409+BE408+BE401+BE400+BE396+BE395+BE382+BE381+BE376+BE367)+(-BE488+BE479+BE476+BE471+BE467+BE465+BE464)+(-BE515+BE508+BE507+BE506+BE505+BE504+BE503)+(-BE541+BE541)+(-BE596+BE596)+(-BE663+BE663)+(-BE667)+(-BE831)</f>
        <v>-2365975.5695314896</v>
      </c>
    </row>
    <row r="1064" spans="1:57" x14ac:dyDescent="0.25">
      <c r="A1064" s="279"/>
      <c r="BC1064" s="3"/>
      <c r="BE1064" s="3"/>
    </row>
    <row r="1065" spans="1:57" x14ac:dyDescent="0.25">
      <c r="A1065" s="274" t="s">
        <v>1179</v>
      </c>
      <c r="AG1065" s="3"/>
      <c r="AI1065" s="3">
        <f>SUM(AI1053:AI1064)</f>
        <v>558832.06357499934</v>
      </c>
      <c r="AK1065" s="3">
        <f>SUM(AK1053:AK1064)</f>
        <v>734587.25252287369</v>
      </c>
      <c r="AM1065" s="3">
        <f>SUM(AM1053:AM1064)</f>
        <v>837083.80495884339</v>
      </c>
      <c r="AO1065" s="3">
        <f>SUM(AO1053:AO1064)</f>
        <v>893859.01727608778</v>
      </c>
      <c r="AQ1065" s="3">
        <f>SUM(AQ1053:AQ1064)</f>
        <v>1001269.6304988647</v>
      </c>
      <c r="AS1065" s="3">
        <f>SUM(AS1053:AS1064)</f>
        <v>950660.57720118924</v>
      </c>
      <c r="AU1065" s="3">
        <f>SUM(AU1053:AU1064)</f>
        <v>985488.41130304895</v>
      </c>
      <c r="AW1065" s="3">
        <f>SUM(AW1053:AW1064)</f>
        <v>897696.13309565187</v>
      </c>
      <c r="AY1065" s="3">
        <f>SUM(AY1053:AY1064)</f>
        <v>893003.51887927018</v>
      </c>
      <c r="BA1065" s="3">
        <f>SUM(BA1053:BA1064)</f>
        <v>894895.48966074362</v>
      </c>
      <c r="BC1065" s="3">
        <f>SUM(BC1053:BC1064)</f>
        <v>976502.517459739</v>
      </c>
      <c r="BE1065" s="3">
        <f>SUM(BE1053:BE1064)</f>
        <v>983488.47519843839</v>
      </c>
    </row>
    <row r="1066" spans="1:57" x14ac:dyDescent="0.25">
      <c r="A1066" s="280"/>
      <c r="BC1066" s="3"/>
      <c r="BE1066" s="3"/>
    </row>
    <row r="1067" spans="1:57" x14ac:dyDescent="0.25">
      <c r="A1067" s="274" t="s">
        <v>1185</v>
      </c>
      <c r="BC1067" s="3"/>
      <c r="BE1067" s="3"/>
    </row>
    <row r="1068" spans="1:57" x14ac:dyDescent="0.25">
      <c r="A1068" s="280" t="s">
        <v>1180</v>
      </c>
      <c r="BC1068" s="3"/>
      <c r="BE1068" s="3"/>
    </row>
    <row r="1069" spans="1:57" x14ac:dyDescent="0.25">
      <c r="A1069" s="276" t="s">
        <v>1186</v>
      </c>
      <c r="BC1069" s="3"/>
      <c r="BE1069" s="3"/>
    </row>
    <row r="1070" spans="1:57" x14ac:dyDescent="0.25">
      <c r="A1070" s="276" t="s">
        <v>1224</v>
      </c>
      <c r="BC1070" s="3"/>
      <c r="BE1070" s="3"/>
    </row>
    <row r="1071" spans="1:57" x14ac:dyDescent="0.25">
      <c r="A1071" s="276" t="s">
        <v>1187</v>
      </c>
      <c r="BC1071" s="3"/>
      <c r="BE1071" s="3"/>
    </row>
    <row r="1072" spans="1:57" x14ac:dyDescent="0.25">
      <c r="A1072" s="276" t="s">
        <v>1225</v>
      </c>
      <c r="AI1072" s="88">
        <f>+AI340</f>
        <v>6400</v>
      </c>
      <c r="AK1072" s="3">
        <f>+AK340</f>
        <v>6650</v>
      </c>
      <c r="AM1072" s="3">
        <f>+AM340</f>
        <v>6900</v>
      </c>
      <c r="AO1072" s="3">
        <f>+AO340</f>
        <v>7150</v>
      </c>
      <c r="AQ1072" s="3">
        <f>+AQ340</f>
        <v>7400</v>
      </c>
      <c r="AS1072" s="3">
        <f>+AS340</f>
        <v>2840</v>
      </c>
      <c r="AU1072" s="3">
        <f>+AU340</f>
        <v>2960</v>
      </c>
      <c r="AW1072" s="3">
        <f>+AW340</f>
        <v>3100</v>
      </c>
      <c r="AY1072" s="3">
        <f>+AY340</f>
        <v>3350</v>
      </c>
      <c r="BA1072" s="3">
        <f>+BA340</f>
        <v>3350</v>
      </c>
      <c r="BC1072" s="3">
        <f>+BC340</f>
        <v>3350</v>
      </c>
      <c r="BE1072" s="3">
        <f>+BE340</f>
        <v>3350</v>
      </c>
    </row>
    <row r="1073" spans="1:57" x14ac:dyDescent="0.25">
      <c r="A1073" s="281" t="s">
        <v>1184</v>
      </c>
      <c r="BC1073" s="3"/>
      <c r="BE1073" s="3"/>
    </row>
    <row r="1074" spans="1:57" x14ac:dyDescent="0.25">
      <c r="A1074" s="281" t="s">
        <v>1226</v>
      </c>
      <c r="BC1074" s="3"/>
      <c r="BE1074" s="3"/>
    </row>
    <row r="1075" spans="1:57" x14ac:dyDescent="0.25">
      <c r="A1075" s="276" t="s">
        <v>1258</v>
      </c>
      <c r="AI1075" s="3">
        <f>-AI1040+AI1038+AI1036</f>
        <v>-1286012.2265999999</v>
      </c>
      <c r="AK1075" s="3">
        <f>-AK1040+AK1038+AK1036</f>
        <v>-615063.66339799995</v>
      </c>
      <c r="AM1075" s="3">
        <f>-AM1040+AM1038+AM1036</f>
        <v>-339375.37338294002</v>
      </c>
      <c r="AO1075" s="3">
        <f>-AO1040+AO1038+AO1036</f>
        <v>-472548.8072977605</v>
      </c>
      <c r="AQ1075" s="3">
        <f>-AQ1040+AQ1038+AQ1036</f>
        <v>-820268.42853347014</v>
      </c>
      <c r="AS1075" s="3">
        <f>-AS1040+AS1038+AS1036</f>
        <v>-586375.71348758682</v>
      </c>
      <c r="AU1075" s="3">
        <f>-AU1040+AU1038+AU1036</f>
        <v>-386272.15193281096</v>
      </c>
      <c r="AW1075" s="3">
        <f>-AW1040+AW1038+AW1036</f>
        <v>-619060.24739623035</v>
      </c>
      <c r="AY1075" s="3">
        <f>-AY1040+AY1038+AY1036</f>
        <v>-462543.51754935307</v>
      </c>
      <c r="BA1075" s="3">
        <f>-BA1040+BA1038+BA1036</f>
        <v>-570284.494609282</v>
      </c>
      <c r="BC1075" s="3">
        <f>-BC1040+BC1038+BC1036</f>
        <v>-434045.72575135302</v>
      </c>
      <c r="BE1075" s="3">
        <f>-BE1040+BE1038+BE1036</f>
        <v>-464827.77353356202</v>
      </c>
    </row>
    <row r="1076" spans="1:57" x14ac:dyDescent="0.25">
      <c r="A1076" s="276" t="s">
        <v>1259</v>
      </c>
      <c r="BC1076" s="3"/>
      <c r="BE1076" s="3"/>
    </row>
    <row r="1077" spans="1:57" x14ac:dyDescent="0.25">
      <c r="A1077" s="276"/>
      <c r="BC1077" s="3"/>
      <c r="BE1077" s="3"/>
    </row>
    <row r="1078" spans="1:57" x14ac:dyDescent="0.25">
      <c r="A1078" s="274" t="s">
        <v>1185</v>
      </c>
      <c r="AG1078" s="3"/>
      <c r="AI1078" s="3">
        <f>SUM(AI1069:AI1077)</f>
        <v>-1279612.2265999999</v>
      </c>
      <c r="AK1078" s="3">
        <f>SUM(AK1069:AK1077)</f>
        <v>-608413.66339799995</v>
      </c>
      <c r="AM1078" s="3">
        <f>SUM(AM1069:AM1077)</f>
        <v>-332475.37338294002</v>
      </c>
      <c r="AO1078" s="3">
        <f>SUM(AO1069:AO1077)</f>
        <v>-465398.8072977605</v>
      </c>
      <c r="AQ1078" s="3">
        <f>SUM(AQ1069:AQ1077)</f>
        <v>-812868.42853347014</v>
      </c>
      <c r="AS1078" s="3">
        <f>SUM(AS1069:AS1077)</f>
        <v>-583535.71348758682</v>
      </c>
      <c r="AU1078" s="3">
        <f>SUM(AU1069:AU1077)</f>
        <v>-383312.15193281096</v>
      </c>
      <c r="AW1078" s="3">
        <f>SUM(AW1069:AW1077)</f>
        <v>-615960.24739623035</v>
      </c>
      <c r="AY1078" s="3">
        <f>SUM(AY1069:AY1077)</f>
        <v>-459193.51754935307</v>
      </c>
      <c r="BA1078" s="3">
        <f>SUM(BA1069:BA1077)</f>
        <v>-566934.494609282</v>
      </c>
      <c r="BC1078" s="3">
        <f>SUM(BC1069:BC1077)</f>
        <v>-430695.72575135302</v>
      </c>
      <c r="BE1078" s="3">
        <f>SUM(BE1069:BE1077)</f>
        <v>-461477.77353356202</v>
      </c>
    </row>
    <row r="1079" spans="1:57" x14ac:dyDescent="0.25">
      <c r="A1079" s="280"/>
      <c r="BC1079" s="3"/>
      <c r="BE1079" s="3"/>
    </row>
    <row r="1080" spans="1:57" x14ac:dyDescent="0.25">
      <c r="A1080" s="282" t="s">
        <v>1188</v>
      </c>
      <c r="BC1080" s="3"/>
      <c r="BE1080" s="3"/>
    </row>
    <row r="1081" spans="1:57" x14ac:dyDescent="0.25">
      <c r="A1081" s="277" t="s">
        <v>1180</v>
      </c>
      <c r="BC1081" s="3"/>
      <c r="BE1081" s="3"/>
    </row>
    <row r="1082" spans="1:57" x14ac:dyDescent="0.25">
      <c r="A1082" s="276" t="s">
        <v>1189</v>
      </c>
      <c r="AI1082" s="3">
        <f>+AI341+AI342+AI343</f>
        <v>0</v>
      </c>
      <c r="AK1082" s="3">
        <f>+AK341+AK342+AK343</f>
        <v>0</v>
      </c>
      <c r="AM1082" s="3">
        <f>+AM341+AM342+AM343</f>
        <v>0</v>
      </c>
      <c r="AO1082" s="3">
        <f>+AO341+AO342+AO343</f>
        <v>0</v>
      </c>
      <c r="AQ1082" s="3">
        <f>+AQ341+AQ342+AQ343</f>
        <v>0</v>
      </c>
      <c r="AS1082" s="3">
        <f>+AS341+AS342+AS343</f>
        <v>0</v>
      </c>
      <c r="AU1082" s="3">
        <f>+AU341+AU342+AU343</f>
        <v>0</v>
      </c>
      <c r="AW1082" s="3">
        <f>+AW341+AW342+AW343</f>
        <v>0</v>
      </c>
      <c r="AY1082" s="3">
        <f>+AY341+AY342+AY343</f>
        <v>0</v>
      </c>
      <c r="BA1082" s="3">
        <f>+BA341+BA342+BA343</f>
        <v>0</v>
      </c>
      <c r="BC1082" s="3">
        <f>+BC341+BC342+BC343</f>
        <v>0</v>
      </c>
      <c r="BE1082" s="3">
        <f>+BE341+BE342+BE343</f>
        <v>0</v>
      </c>
    </row>
    <row r="1083" spans="1:57" x14ac:dyDescent="0.25">
      <c r="A1083" s="277" t="s">
        <v>1184</v>
      </c>
      <c r="BC1083" s="3"/>
      <c r="BE1083" s="3"/>
    </row>
    <row r="1084" spans="1:57" x14ac:dyDescent="0.25">
      <c r="A1084" s="276" t="s">
        <v>1190</v>
      </c>
      <c r="AI1084" s="3">
        <f>-AI1036-AI1038</f>
        <v>-1900</v>
      </c>
      <c r="AK1084" s="3">
        <f>-AK1036-AK1038</f>
        <v>-1900</v>
      </c>
      <c r="AM1084" s="3">
        <f>-AM1036-AM1038</f>
        <v>-1900</v>
      </c>
      <c r="AO1084" s="3">
        <f>-AO1036-AO1038</f>
        <v>0</v>
      </c>
      <c r="AQ1084" s="3">
        <f>-AQ1036-AQ1038</f>
        <v>0</v>
      </c>
      <c r="AS1084" s="3">
        <f>-AS1036-AS1038</f>
        <v>0</v>
      </c>
      <c r="AU1084" s="3">
        <f>-AU1036-AU1038</f>
        <v>0</v>
      </c>
      <c r="AW1084" s="3">
        <f>-AW1036-AW1038</f>
        <v>0</v>
      </c>
      <c r="AY1084" s="3">
        <f>-AY1036-AY1038</f>
        <v>0</v>
      </c>
      <c r="BA1084" s="3">
        <f>-BA1036-BA1038</f>
        <v>0</v>
      </c>
      <c r="BC1084" s="3">
        <f>-BC1036-BC1038</f>
        <v>0</v>
      </c>
      <c r="BE1084" s="3">
        <f>-BE1036-BE1038</f>
        <v>0</v>
      </c>
    </row>
    <row r="1085" spans="1:57" x14ac:dyDescent="0.25">
      <c r="A1085" s="282" t="s">
        <v>1188</v>
      </c>
      <c r="AG1085" s="3"/>
      <c r="AI1085" s="3">
        <f>SUM(AI1081:AI1084)</f>
        <v>-1900</v>
      </c>
      <c r="AK1085" s="3">
        <f>SUM(AK1081:AK1084)</f>
        <v>-1900</v>
      </c>
      <c r="AM1085" s="3">
        <f>SUM(AM1081:AM1084)</f>
        <v>-1900</v>
      </c>
      <c r="AO1085" s="3">
        <f>SUM(AO1081:AO1084)</f>
        <v>0</v>
      </c>
      <c r="AQ1085" s="3">
        <f>SUM(AQ1081:AQ1084)</f>
        <v>0</v>
      </c>
      <c r="AS1085" s="3">
        <f>SUM(AS1081:AS1084)</f>
        <v>0</v>
      </c>
      <c r="AU1085" s="3">
        <f>SUM(AU1081:AU1084)</f>
        <v>0</v>
      </c>
      <c r="AW1085" s="3">
        <f>SUM(AW1081:AW1084)</f>
        <v>0</v>
      </c>
      <c r="AY1085" s="3">
        <f>SUM(AY1081:AY1084)</f>
        <v>0</v>
      </c>
      <c r="BA1085" s="3">
        <f>SUM(BA1081:BA1084)</f>
        <v>0</v>
      </c>
      <c r="BC1085" s="3">
        <f>SUM(BC1081:BC1084)</f>
        <v>0</v>
      </c>
      <c r="BE1085" s="3">
        <f>SUM(BE1081:BE1084)</f>
        <v>0</v>
      </c>
    </row>
    <row r="1086" spans="1:57" x14ac:dyDescent="0.25">
      <c r="A1086" s="280"/>
      <c r="AG1086" s="3"/>
      <c r="BC1086" s="3"/>
      <c r="BE1086" s="3"/>
    </row>
    <row r="1087" spans="1:57" x14ac:dyDescent="0.25">
      <c r="A1087" s="282" t="s">
        <v>1191</v>
      </c>
      <c r="AG1087" s="32"/>
      <c r="AI1087" s="32">
        <f>+AI1065+AI1078+AI1085</f>
        <v>-722680.1630250006</v>
      </c>
      <c r="AK1087" s="32">
        <f>+AK1065+AK1078+AK1085</f>
        <v>124273.58912487375</v>
      </c>
      <c r="AM1087" s="32">
        <f>+AM1065+AM1078+AM1085</f>
        <v>502708.43157590338</v>
      </c>
      <c r="AO1087" s="32">
        <f>+AO1065+AO1078+AO1085</f>
        <v>428460.20997832727</v>
      </c>
      <c r="AQ1087" s="32">
        <f>+AQ1065+AQ1078+AQ1085</f>
        <v>188401.20196539455</v>
      </c>
      <c r="AS1087" s="32">
        <f>+AS1065+AS1078+AS1085</f>
        <v>367124.86371360242</v>
      </c>
      <c r="AU1087" s="32">
        <f>+AU1065+AU1078+AU1085</f>
        <v>602176.25937023805</v>
      </c>
      <c r="AW1087" s="32">
        <f>+AW1065+AW1078+AW1085</f>
        <v>281735.88569942152</v>
      </c>
      <c r="AY1087" s="32">
        <f>+AY1065+AY1078+AY1085</f>
        <v>433810.00132991711</v>
      </c>
      <c r="BA1087" s="32">
        <f>+BA1065+BA1078+BA1085</f>
        <v>327960.99505146162</v>
      </c>
      <c r="BC1087" s="32">
        <f>+BC1065+BC1078+BC1085</f>
        <v>545806.79170838604</v>
      </c>
      <c r="BE1087" s="32">
        <f>+BE1065+BE1078+BE1085</f>
        <v>522010.70166487637</v>
      </c>
    </row>
    <row r="1088" spans="1:57" x14ac:dyDescent="0.25">
      <c r="A1088" s="282"/>
      <c r="BC1088" s="3"/>
      <c r="BE1088" s="3"/>
    </row>
    <row r="1089" spans="1:58" x14ac:dyDescent="0.25">
      <c r="A1089" s="277" t="s">
        <v>1229</v>
      </c>
      <c r="AI1089" s="3">
        <f>+AG1105*1000</f>
        <v>3206911.58</v>
      </c>
      <c r="AK1089" s="3">
        <f>+AI1105*1000</f>
        <v>2484231.4169749995</v>
      </c>
      <c r="AM1089" s="3">
        <f>+AK1105*1000</f>
        <v>1808505.0060998732</v>
      </c>
      <c r="AO1089" s="3">
        <f>+AM1105*1000</f>
        <v>3111213.4376757764</v>
      </c>
      <c r="AQ1089" s="3">
        <f>+AO1105*1000</f>
        <v>3539673.6476541036</v>
      </c>
      <c r="AS1089" s="3">
        <f>+AQ1105*1000</f>
        <v>3328074.849619498</v>
      </c>
      <c r="AU1089" s="3">
        <f>+AS1105*1000</f>
        <v>2995199.7133331005</v>
      </c>
      <c r="AW1089" s="3">
        <f>+AU1105*1000</f>
        <v>2697375.9727033386</v>
      </c>
      <c r="AY1089" s="3">
        <f>+AW1105*1000</f>
        <v>2279111.8584027602</v>
      </c>
      <c r="BA1089" s="3">
        <f>+AY1105*1000</f>
        <v>1912921.8597326772</v>
      </c>
      <c r="BC1089" s="3">
        <f>+BA1105*1000</f>
        <v>1440882.854784139</v>
      </c>
      <c r="BE1089" s="3">
        <f>+BC1105*1000</f>
        <v>1986689.646492525</v>
      </c>
    </row>
    <row r="1090" spans="1:58" x14ac:dyDescent="0.25">
      <c r="A1090" s="282" t="s">
        <v>1230</v>
      </c>
      <c r="AG1090" s="32"/>
      <c r="AI1090" s="32">
        <f>+AI1087+AI1089</f>
        <v>2484231.4169749995</v>
      </c>
      <c r="AK1090" s="32">
        <f>+AK1087+AK1089</f>
        <v>2608505.0060998732</v>
      </c>
      <c r="AM1090" s="32">
        <f>+AM1087+AM1089</f>
        <v>2311213.4376757764</v>
      </c>
      <c r="AO1090" s="32">
        <f>+AO1087+AO1089</f>
        <v>3539673.6476541036</v>
      </c>
      <c r="AQ1090" s="32">
        <f>+AQ1087+AQ1089</f>
        <v>3728074.849619498</v>
      </c>
      <c r="AS1090" s="32">
        <f>+AS1087+AS1089</f>
        <v>3695199.7133331005</v>
      </c>
      <c r="AU1090" s="32">
        <f>+AU1087+AU1089</f>
        <v>3597375.9727033386</v>
      </c>
      <c r="AW1090" s="32">
        <f>+AW1087+AW1089</f>
        <v>2979111.8584027602</v>
      </c>
      <c r="AY1090" s="32">
        <f>+AY1087+AY1089</f>
        <v>2712921.8597326772</v>
      </c>
      <c r="BA1090" s="32">
        <f>+BA1087+BA1089</f>
        <v>2240882.854784139</v>
      </c>
      <c r="BC1090" s="32">
        <f>+BC1087+BC1089</f>
        <v>1986689.646492525</v>
      </c>
      <c r="BE1090" s="32">
        <f>+BE1087+BE1089</f>
        <v>2508700.3481574012</v>
      </c>
    </row>
    <row r="1091" spans="1:58" s="42" customFormat="1" x14ac:dyDescent="0.25">
      <c r="A1091" s="42" t="s">
        <v>1257</v>
      </c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4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2"/>
      <c r="AI1091" s="3">
        <f>+AI1090-(AI1105*1000)</f>
        <v>0</v>
      </c>
      <c r="AJ1091" s="3"/>
      <c r="AK1091" s="3">
        <f>+AK1090-(AK1105*1000)</f>
        <v>800000</v>
      </c>
      <c r="AL1091" s="3"/>
      <c r="AM1091" s="3">
        <f>+AM1090-(AM1105*1000)</f>
        <v>-800000</v>
      </c>
      <c r="AN1091" s="3"/>
      <c r="AO1091" s="3">
        <f>+AO1090-(AO1105*1000)</f>
        <v>0</v>
      </c>
      <c r="AP1091" s="3"/>
      <c r="AQ1091" s="3">
        <f>+AQ1090-(AQ1105*1000)</f>
        <v>400000</v>
      </c>
      <c r="AR1091" s="3"/>
      <c r="AS1091" s="3">
        <f>+AS1090-(AS1105*1000)</f>
        <v>700000</v>
      </c>
      <c r="AT1091" s="3"/>
      <c r="AU1091" s="3">
        <f>+AU1090-(AU1105*1000)</f>
        <v>900000</v>
      </c>
      <c r="AV1091" s="3"/>
      <c r="AW1091" s="3">
        <f>+AW1090-(AW1105*1000)</f>
        <v>700000</v>
      </c>
      <c r="AX1091" s="3"/>
      <c r="AY1091" s="3">
        <f>+AY1090-(AY1105*1000)</f>
        <v>800000</v>
      </c>
      <c r="AZ1091" s="3"/>
      <c r="BA1091" s="3">
        <f>+BA1090-(BA1105*1000)</f>
        <v>800000</v>
      </c>
      <c r="BC1091" s="3">
        <f>+BC1090-(BC1105*1000)</f>
        <v>0</v>
      </c>
      <c r="BE1091" s="3">
        <f>+BE1090-(BE1105*1000)</f>
        <v>0</v>
      </c>
    </row>
    <row r="1092" spans="1:58" s="42" customFormat="1" x14ac:dyDescent="0.25">
      <c r="A1092" s="282" t="s">
        <v>1252</v>
      </c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4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2"/>
      <c r="AI1092" s="3">
        <f>+AI1090-AI1091</f>
        <v>2484231.4169749995</v>
      </c>
      <c r="AJ1092" s="3"/>
      <c r="AK1092" s="3">
        <f>+AK1090-AK1091</f>
        <v>1808505.0060998732</v>
      </c>
      <c r="AL1092" s="3"/>
      <c r="AM1092" s="3">
        <f>+AM1090-AM1091</f>
        <v>3111213.4376757764</v>
      </c>
      <c r="AN1092" s="3"/>
      <c r="AO1092" s="3">
        <f>+AO1090-AO1091</f>
        <v>3539673.6476541036</v>
      </c>
      <c r="AP1092" s="3"/>
      <c r="AQ1092" s="3">
        <f>+AQ1090-AQ1091</f>
        <v>3328074.849619498</v>
      </c>
      <c r="AS1092" s="3">
        <f>+AS1090-AS1091</f>
        <v>2995199.7133331005</v>
      </c>
      <c r="AU1092" s="3">
        <f>+AU1090-AU1091</f>
        <v>2697375.9727033386</v>
      </c>
      <c r="AW1092" s="3">
        <f>+AW1090-AW1091</f>
        <v>2279111.8584027602</v>
      </c>
      <c r="AY1092" s="3">
        <f>+AY1090-AY1091</f>
        <v>1912921.8597326772</v>
      </c>
      <c r="BA1092" s="3">
        <f>+BA1090-BA1091</f>
        <v>1440882.854784139</v>
      </c>
      <c r="BC1092" s="3">
        <f>+BC1090-BC1091</f>
        <v>1986689.646492525</v>
      </c>
      <c r="BE1092" s="3">
        <f>+BE1090-BE1091</f>
        <v>2508700.3481574012</v>
      </c>
    </row>
    <row r="1093" spans="1:58" x14ac:dyDescent="0.25">
      <c r="BC1093" s="3"/>
      <c r="BE1093" s="3"/>
    </row>
    <row r="1094" spans="1:58" s="51" customFormat="1" hidden="1" x14ac:dyDescent="0.25">
      <c r="A1094" s="306" t="s">
        <v>1240</v>
      </c>
      <c r="B1094" s="307"/>
      <c r="C1094" s="307"/>
      <c r="D1094" s="307"/>
      <c r="E1094" s="307"/>
      <c r="F1094" s="307"/>
      <c r="G1094" s="307"/>
      <c r="H1094" s="307"/>
      <c r="I1094" s="307"/>
      <c r="J1094" s="307"/>
      <c r="K1094" s="307"/>
      <c r="L1094" s="307"/>
      <c r="M1094" s="307"/>
      <c r="N1094" s="307"/>
      <c r="O1094" s="307"/>
      <c r="P1094" s="307"/>
      <c r="Q1094" s="307"/>
      <c r="R1094" s="307"/>
      <c r="S1094" s="307"/>
      <c r="T1094" s="307"/>
      <c r="U1094" s="307"/>
      <c r="V1094" s="307"/>
      <c r="W1094" s="307"/>
      <c r="X1094" s="307"/>
      <c r="Y1094" s="307"/>
      <c r="Z1094" s="307"/>
      <c r="AA1094" s="307"/>
      <c r="AB1094" s="307"/>
      <c r="AC1094" s="307"/>
      <c r="AD1094" s="307"/>
      <c r="AE1094" s="307"/>
      <c r="AF1094" s="307"/>
      <c r="AG1094" s="307"/>
      <c r="AH1094" s="307"/>
      <c r="AI1094" s="307"/>
      <c r="AJ1094" s="307"/>
      <c r="AK1094" s="307"/>
      <c r="AL1094" s="307"/>
      <c r="AM1094" s="307"/>
      <c r="AN1094" s="307"/>
      <c r="AO1094" s="307"/>
      <c r="AP1094" s="307"/>
      <c r="AQ1094" s="307"/>
      <c r="AR1094" s="308"/>
      <c r="AS1094" s="307"/>
      <c r="AT1094" s="308"/>
      <c r="AU1094" s="307"/>
      <c r="AV1094" s="308"/>
      <c r="AW1094" s="307"/>
      <c r="AX1094" s="308"/>
      <c r="AY1094" s="307"/>
      <c r="AZ1094" s="308"/>
      <c r="BA1094" s="307"/>
      <c r="BB1094" s="308"/>
      <c r="BC1094" s="307"/>
      <c r="BD1094" s="308"/>
      <c r="BE1094" s="309"/>
    </row>
    <row r="1095" spans="1:58" s="51" customFormat="1" hidden="1" x14ac:dyDescent="0.25">
      <c r="A1095" s="310" t="s">
        <v>1241</v>
      </c>
      <c r="B1095" s="4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4"/>
      <c r="AD1095" s="4"/>
      <c r="AE1095" s="4"/>
      <c r="AF1095" s="4"/>
      <c r="AG1095" s="4"/>
      <c r="AH1095" s="4"/>
      <c r="AI1095" s="4">
        <f>+AI17</f>
        <v>5471.8369749970734</v>
      </c>
      <c r="AJ1095" s="4"/>
      <c r="AK1095" s="4">
        <f>+AK17</f>
        <v>-159882.41087512486</v>
      </c>
      <c r="AL1095" s="4"/>
      <c r="AM1095" s="4">
        <f>+AM17</f>
        <v>-103364.56842409633</v>
      </c>
      <c r="AN1095" s="4"/>
      <c r="AO1095" s="4">
        <f>+AO17</f>
        <v>-241866.79002167378</v>
      </c>
      <c r="AP1095" s="4"/>
      <c r="AQ1095" s="4">
        <f>+AQ17</f>
        <v>-152963.79803460464</v>
      </c>
      <c r="AR1095" s="4"/>
      <c r="AS1095" s="4">
        <f>+AS17</f>
        <v>-159767.13628639467</v>
      </c>
      <c r="AT1095" s="4"/>
      <c r="AU1095" s="4">
        <f>+AU17</f>
        <v>-139691.74062976427</v>
      </c>
      <c r="AV1095" s="4"/>
      <c r="AW1095" s="4">
        <f>+AW17</f>
        <v>-197458.11430057883</v>
      </c>
      <c r="AX1095" s="4"/>
      <c r="AY1095" s="4">
        <f>+AY17</f>
        <v>-148026.9986700844</v>
      </c>
      <c r="AZ1095" s="4"/>
      <c r="BA1095" s="4">
        <f>+BA17</f>
        <v>40913.995051462203</v>
      </c>
      <c r="BC1095" s="4">
        <f>+BC17</f>
        <v>0</v>
      </c>
      <c r="BE1095" s="311">
        <f>+BE17</f>
        <v>0</v>
      </c>
    </row>
    <row r="1096" spans="1:58" s="51" customFormat="1" hidden="1" x14ac:dyDescent="0.25">
      <c r="A1096" s="310" t="s">
        <v>1242</v>
      </c>
      <c r="B1096" s="4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4"/>
      <c r="AD1096" s="4"/>
      <c r="AE1096" s="4"/>
      <c r="AF1096" s="4"/>
      <c r="AG1096" s="4"/>
      <c r="AH1096" s="4"/>
      <c r="AI1096" s="4">
        <f>+AI1087-AI1095</f>
        <v>-728151.99999999767</v>
      </c>
      <c r="AJ1096" s="4"/>
      <c r="AK1096" s="4">
        <f>+AK1087-AK1095</f>
        <v>284155.9999999986</v>
      </c>
      <c r="AL1096" s="4"/>
      <c r="AM1096" s="4">
        <f>+AM1087-AM1095</f>
        <v>606072.99999999977</v>
      </c>
      <c r="AN1096" s="4"/>
      <c r="AO1096" s="4">
        <f>+AO1087-AO1095</f>
        <v>670327.00000000105</v>
      </c>
      <c r="AP1096" s="4"/>
      <c r="AQ1096" s="4">
        <f>+AQ1087-AQ1095</f>
        <v>341364.99999999919</v>
      </c>
      <c r="AS1096" s="4">
        <f>+AS1087-AS1095</f>
        <v>526891.99999999709</v>
      </c>
      <c r="AU1096" s="4">
        <f>+AU1087-AU1095</f>
        <v>741868.00000000233</v>
      </c>
      <c r="AW1096" s="4">
        <f>+AW1087-AW1095</f>
        <v>479194.00000000035</v>
      </c>
      <c r="AY1096" s="4">
        <f>+AY1087-AY1095</f>
        <v>581837.00000000151</v>
      </c>
      <c r="BA1096" s="4">
        <f>+BA1087-BA1095</f>
        <v>287046.99999999942</v>
      </c>
      <c r="BC1096" s="4">
        <f>+BC1087-BC1095</f>
        <v>545806.79170838604</v>
      </c>
      <c r="BE1096" s="311">
        <f>+BE1087-BE1095</f>
        <v>522010.70166487637</v>
      </c>
    </row>
    <row r="1097" spans="1:58" s="51" customFormat="1" hidden="1" x14ac:dyDescent="0.25">
      <c r="A1097" s="310" t="s">
        <v>1256</v>
      </c>
      <c r="B1097" s="4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4"/>
      <c r="AD1097" s="4"/>
      <c r="AE1097" s="4"/>
      <c r="AF1097" s="4"/>
      <c r="AG1097" s="4"/>
      <c r="AH1097" s="4"/>
      <c r="AI1097" s="330">
        <f>+AI329+AI339-AI705-AI1018</f>
        <v>728152</v>
      </c>
      <c r="AJ1097" s="4"/>
      <c r="AK1097" s="4">
        <f>+AK329+AK339-AK705-AK1018</f>
        <v>-284156</v>
      </c>
      <c r="AL1097" s="4"/>
      <c r="AM1097" s="4">
        <f>+AM329+AM339-AM705-AM1018</f>
        <v>-606073</v>
      </c>
      <c r="AN1097" s="4"/>
      <c r="AO1097" s="4">
        <f>+AO329+AO339-AO705-AO1018</f>
        <v>-670327</v>
      </c>
      <c r="AP1097" s="4"/>
      <c r="AQ1097" s="4">
        <f>+AQ329+AQ339-AQ705-AQ1018</f>
        <v>-341365</v>
      </c>
      <c r="AS1097" s="4">
        <f>+AS329+AS339-AS705-AS1018</f>
        <v>-526892</v>
      </c>
      <c r="AU1097" s="4">
        <f>+AU329+AU339-AU705-AU1018</f>
        <v>-741868</v>
      </c>
      <c r="AW1097" s="4">
        <f>+AW329+AW339-AW705-AW1018</f>
        <v>-479194</v>
      </c>
      <c r="AY1097" s="4">
        <f>+AY329+AY339-AY705-AY1018</f>
        <v>-581837</v>
      </c>
      <c r="BA1097" s="4">
        <f>+BA329+BA339-BA705-BA1018</f>
        <v>-287047</v>
      </c>
      <c r="BC1097" s="4">
        <f>+BC329+BC339-BC705-BC1018</f>
        <v>-287047</v>
      </c>
      <c r="BE1097" s="311">
        <f>+BE329+BE339-BE705-BE1018</f>
        <v>-287047</v>
      </c>
    </row>
    <row r="1098" spans="1:58" s="51" customFormat="1" ht="15.75" hidden="1" thickBot="1" x14ac:dyDescent="0.3">
      <c r="A1098" s="312" t="s">
        <v>1243</v>
      </c>
      <c r="B1098" s="313"/>
      <c r="C1098" s="313"/>
      <c r="D1098" s="313"/>
      <c r="E1098" s="313"/>
      <c r="F1098" s="313"/>
      <c r="G1098" s="313"/>
      <c r="H1098" s="313"/>
      <c r="I1098" s="313"/>
      <c r="J1098" s="313"/>
      <c r="K1098" s="313"/>
      <c r="L1098" s="313"/>
      <c r="M1098" s="313"/>
      <c r="N1098" s="313"/>
      <c r="O1098" s="313"/>
      <c r="P1098" s="313"/>
      <c r="Q1098" s="313"/>
      <c r="R1098" s="313"/>
      <c r="S1098" s="313"/>
      <c r="T1098" s="313"/>
      <c r="U1098" s="313"/>
      <c r="V1098" s="313"/>
      <c r="W1098" s="313"/>
      <c r="X1098" s="313"/>
      <c r="Y1098" s="313"/>
      <c r="Z1098" s="313"/>
      <c r="AA1098" s="313"/>
      <c r="AB1098" s="313"/>
      <c r="AC1098" s="313"/>
      <c r="AD1098" s="313"/>
      <c r="AE1098" s="313"/>
      <c r="AF1098" s="313"/>
      <c r="AG1098" s="313"/>
      <c r="AH1098" s="313"/>
      <c r="AI1098" s="313">
        <f>+AI1096+AI1097</f>
        <v>2.3283064365386963E-9</v>
      </c>
      <c r="AJ1098" s="313"/>
      <c r="AK1098" s="313">
        <f>+AK1096+AK1097</f>
        <v>-1.3969838619232178E-9</v>
      </c>
      <c r="AL1098" s="313"/>
      <c r="AM1098" s="313">
        <f>+AM1096+AM1097</f>
        <v>0</v>
      </c>
      <c r="AN1098" s="313"/>
      <c r="AO1098" s="313">
        <f>+AO1096+AO1097</f>
        <v>1.0477378964424133E-9</v>
      </c>
      <c r="AP1098" s="313"/>
      <c r="AQ1098" s="313">
        <f>+AQ1096+AQ1097</f>
        <v>-8.149072527885437E-10</v>
      </c>
      <c r="AR1098" s="314"/>
      <c r="AS1098" s="313">
        <f>+AS1096+AS1097</f>
        <v>-2.9103830456733704E-9</v>
      </c>
      <c r="AT1098" s="314"/>
      <c r="AU1098" s="313">
        <f>+AU1096+AU1097</f>
        <v>2.3283064365386963E-9</v>
      </c>
      <c r="AV1098" s="314"/>
      <c r="AW1098" s="313">
        <f>+AW1096+AW1097</f>
        <v>0</v>
      </c>
      <c r="AX1098" s="314"/>
      <c r="AY1098" s="313">
        <f>+AY1096+AY1097</f>
        <v>1.5133991837501526E-9</v>
      </c>
      <c r="AZ1098" s="314"/>
      <c r="BA1098" s="313">
        <f>+BA1096+BA1097</f>
        <v>-5.8207660913467407E-10</v>
      </c>
      <c r="BB1098" s="314"/>
      <c r="BC1098" s="313">
        <f>+BC1096+BC1097</f>
        <v>258759.79170838604</v>
      </c>
      <c r="BD1098" s="314"/>
      <c r="BE1098" s="315">
        <f>+BE1096+BE1097</f>
        <v>234963.70166487637</v>
      </c>
    </row>
    <row r="1099" spans="1:58" hidden="1" x14ac:dyDescent="0.25"/>
    <row r="1100" spans="1:58" s="42" customFormat="1" x14ac:dyDescent="0.25">
      <c r="A1100" s="461" t="s">
        <v>1253</v>
      </c>
      <c r="B1100" s="461"/>
      <c r="C1100" s="461"/>
      <c r="D1100" s="461"/>
      <c r="E1100" s="461"/>
      <c r="F1100" s="461"/>
      <c r="G1100" s="461"/>
      <c r="H1100" s="461"/>
      <c r="I1100" s="461"/>
      <c r="J1100" s="461"/>
      <c r="K1100" s="461"/>
      <c r="L1100" s="461"/>
      <c r="M1100" s="461"/>
      <c r="N1100" s="461"/>
      <c r="O1100" s="461"/>
      <c r="P1100" s="461"/>
      <c r="Q1100" s="461"/>
      <c r="R1100" s="461"/>
      <c r="S1100" s="461"/>
      <c r="T1100" s="461"/>
      <c r="U1100" s="461"/>
      <c r="V1100" s="461"/>
      <c r="W1100" s="461"/>
      <c r="X1100" s="461"/>
      <c r="Y1100" s="461"/>
      <c r="Z1100" s="461"/>
      <c r="AA1100" s="461"/>
      <c r="AB1100" s="461"/>
      <c r="AC1100" s="461"/>
      <c r="AD1100" s="461"/>
      <c r="AE1100" s="461"/>
      <c r="AF1100" s="461"/>
      <c r="AG1100" s="461"/>
      <c r="AH1100" s="461"/>
      <c r="AI1100" s="461"/>
      <c r="AJ1100" s="461"/>
      <c r="AK1100" s="461"/>
      <c r="AL1100" s="461"/>
      <c r="AM1100" s="461"/>
      <c r="AN1100" s="461"/>
      <c r="AO1100" s="461"/>
      <c r="AP1100" s="461"/>
      <c r="AQ1100" s="461"/>
      <c r="AR1100" s="461"/>
      <c r="AS1100" s="461"/>
      <c r="AT1100" s="461"/>
      <c r="AU1100" s="461"/>
      <c r="AV1100" s="461"/>
      <c r="AW1100" s="461"/>
      <c r="AX1100" s="461"/>
      <c r="AY1100" s="461"/>
      <c r="AZ1100" s="461"/>
      <c r="BA1100" s="461"/>
      <c r="BB1100" s="461"/>
      <c r="BC1100" s="461"/>
      <c r="BD1100" s="461"/>
      <c r="BE1100" s="461"/>
      <c r="BF1100" s="461"/>
    </row>
    <row r="1101" spans="1:58" s="42" customFormat="1" x14ac:dyDescent="0.25">
      <c r="A1101" s="455" t="s">
        <v>1377</v>
      </c>
      <c r="B1101" s="317"/>
      <c r="C1101" s="317"/>
      <c r="D1101" s="317"/>
      <c r="E1101" s="317"/>
      <c r="F1101" s="317"/>
      <c r="G1101" s="317"/>
      <c r="H1101" s="317"/>
      <c r="I1101" s="317"/>
      <c r="J1101" s="317"/>
      <c r="K1101" s="317"/>
      <c r="L1101" s="317"/>
      <c r="M1101" s="317"/>
      <c r="N1101" s="317"/>
      <c r="O1101" s="317"/>
      <c r="P1101" s="317"/>
      <c r="Q1101" s="317"/>
      <c r="R1101" s="317"/>
      <c r="S1101" s="317"/>
      <c r="T1101" s="317"/>
      <c r="U1101" s="317"/>
      <c r="V1101" s="317"/>
      <c r="W1101" s="317"/>
      <c r="X1101" s="317"/>
      <c r="Y1101" s="317"/>
      <c r="Z1101" s="317"/>
      <c r="AA1101" s="317"/>
      <c r="AB1101" s="317"/>
      <c r="AC1101" s="317"/>
      <c r="AD1101" s="317"/>
      <c r="AE1101" s="317"/>
      <c r="AF1101" s="317"/>
      <c r="AG1101" s="317"/>
      <c r="AH1101" s="317"/>
      <c r="AI1101" s="317"/>
      <c r="AJ1101" s="317"/>
      <c r="AK1101" s="317"/>
      <c r="AL1101" s="317"/>
      <c r="AM1101" s="317"/>
      <c r="AN1101" s="317"/>
      <c r="AO1101" s="317"/>
      <c r="AP1101" s="317"/>
      <c r="AQ1101" s="317"/>
      <c r="AR1101" s="317"/>
      <c r="AS1101" s="317"/>
      <c r="AT1101" s="317"/>
      <c r="AU1101" s="317"/>
      <c r="AV1101" s="317"/>
      <c r="AW1101" s="317"/>
      <c r="AX1101" s="317"/>
      <c r="AY1101" s="317"/>
      <c r="AZ1101" s="317"/>
      <c r="BA1101" s="317"/>
      <c r="BB1101" s="317"/>
      <c r="BC1101" s="317"/>
      <c r="BD1101" s="317"/>
      <c r="BE1101" s="317"/>
    </row>
    <row r="1102" spans="1:58" s="42" customFormat="1" x14ac:dyDescent="0.25">
      <c r="A1102" s="254" t="s">
        <v>1378</v>
      </c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4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4"/>
      <c r="AH1102" s="4"/>
      <c r="AI1102" s="3"/>
      <c r="AJ1102" s="3"/>
      <c r="AK1102" s="3"/>
      <c r="AL1102" s="3"/>
      <c r="AM1102" s="3"/>
      <c r="AN1102" s="3"/>
      <c r="AO1102" s="3"/>
      <c r="AP1102" s="4"/>
      <c r="AQ1102" s="3"/>
      <c r="AS1102" s="3"/>
      <c r="AU1102" s="3"/>
      <c r="AW1102" s="3"/>
      <c r="AY1102" s="3"/>
      <c r="BA1102" s="3"/>
    </row>
    <row r="1103" spans="1:58" s="42" customFormat="1" x14ac:dyDescent="0.25">
      <c r="A1103" s="282" t="s">
        <v>1192</v>
      </c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4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4"/>
      <c r="AH1103" s="4"/>
      <c r="AI1103" s="3"/>
      <c r="AJ1103" s="3"/>
      <c r="AK1103" s="3"/>
      <c r="AL1103" s="3"/>
      <c r="AM1103" s="3"/>
      <c r="AN1103" s="3"/>
      <c r="AO1103" s="3"/>
      <c r="AP1103" s="4"/>
      <c r="AQ1103" s="3"/>
      <c r="AS1103" s="3"/>
      <c r="AU1103" s="3"/>
      <c r="AW1103" s="3"/>
      <c r="AY1103" s="3"/>
      <c r="BA1103" s="3"/>
    </row>
    <row r="1104" spans="1:58" s="42" customFormat="1" x14ac:dyDescent="0.25">
      <c r="A1104" s="285" t="s">
        <v>1193</v>
      </c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4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4"/>
      <c r="AH1104" s="4"/>
      <c r="AI1104" s="3"/>
      <c r="AJ1104" s="3"/>
      <c r="AK1104" s="3"/>
      <c r="AL1104" s="3"/>
      <c r="AM1104" s="3"/>
      <c r="AN1104" s="3"/>
      <c r="AO1104" s="3"/>
      <c r="AP1104" s="4"/>
      <c r="AQ1104" s="3"/>
      <c r="AS1104" s="3"/>
      <c r="AU1104" s="3"/>
      <c r="AW1104" s="3"/>
      <c r="AY1104" s="3"/>
      <c r="BA1104" s="3"/>
    </row>
    <row r="1105" spans="1:57" s="42" customFormat="1" x14ac:dyDescent="0.25">
      <c r="A1105" s="279" t="s">
        <v>1194</v>
      </c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4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4">
        <v>3206.91158</v>
      </c>
      <c r="AH1105" s="4"/>
      <c r="AI1105" s="3">
        <f>+AI1090/1000</f>
        <v>2484.2314169749993</v>
      </c>
      <c r="AJ1105" s="3"/>
      <c r="AK1105" s="3">
        <f>(AK1090/1000)-800</f>
        <v>1808.5050060998733</v>
      </c>
      <c r="AL1105" s="3"/>
      <c r="AM1105" s="3">
        <f>(AM1090/1000)+800</f>
        <v>3111.2134376757763</v>
      </c>
      <c r="AN1105" s="3"/>
      <c r="AO1105" s="3">
        <f>(AO1090/1000)</f>
        <v>3539.6736476541037</v>
      </c>
      <c r="AP1105" s="4"/>
      <c r="AQ1105" s="3">
        <f>(AQ1090/1000)-400</f>
        <v>3328.0748496194979</v>
      </c>
      <c r="AS1105" s="3">
        <f>(AS1090/1000)-700</f>
        <v>2995.1997133331006</v>
      </c>
      <c r="AU1105" s="3">
        <f>(AU1090/1000)-900</f>
        <v>2697.3759727033384</v>
      </c>
      <c r="AW1105" s="3">
        <f>(AW1090/1000)-700</f>
        <v>2279.1118584027604</v>
      </c>
      <c r="AY1105" s="3">
        <f>(AY1090/1000)-800</f>
        <v>1912.9218597326771</v>
      </c>
      <c r="BA1105" s="3">
        <f>(BA1090/1000)-800</f>
        <v>1440.882854784139</v>
      </c>
      <c r="BC1105" s="3">
        <f>(BC1090/1000)</f>
        <v>1986.6896464925251</v>
      </c>
      <c r="BE1105" s="3">
        <f>(BE1090/1000)</f>
        <v>2508.7003481574011</v>
      </c>
    </row>
    <row r="1106" spans="1:57" s="42" customFormat="1" ht="15" hidden="1" customHeight="1" outlineLevel="1" x14ac:dyDescent="0.25">
      <c r="A1106" s="276" t="s">
        <v>1362</v>
      </c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4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4">
        <v>1051.991</v>
      </c>
      <c r="AH1106" s="4"/>
      <c r="AI1106" s="3">
        <f>+AG1106</f>
        <v>1051.991</v>
      </c>
      <c r="AJ1106" s="3"/>
      <c r="AK1106" s="3">
        <f>+AI1106+800</f>
        <v>1851.991</v>
      </c>
      <c r="AL1106" s="3"/>
      <c r="AM1106" s="3">
        <f>+AK1106-800</f>
        <v>1051.991</v>
      </c>
      <c r="AN1106" s="3"/>
      <c r="AO1106" s="3">
        <f>+AM1106</f>
        <v>1051.991</v>
      </c>
      <c r="AP1106" s="4"/>
      <c r="AQ1106" s="3">
        <f>+AO1106+400</f>
        <v>1451.991</v>
      </c>
      <c r="AS1106" s="3">
        <f>AQ1106+700</f>
        <v>2151.991</v>
      </c>
      <c r="AU1106" s="3">
        <f>+AS1106+900</f>
        <v>3051.991</v>
      </c>
      <c r="AW1106" s="3">
        <f>+AU1106+700</f>
        <v>3751.991</v>
      </c>
      <c r="AY1106" s="3">
        <f>+AW1106+800</f>
        <v>4551.991</v>
      </c>
      <c r="BA1106" s="3">
        <f>+AY1106+800</f>
        <v>5351.991</v>
      </c>
      <c r="BC1106" s="3">
        <f>+BA1106</f>
        <v>5351.991</v>
      </c>
      <c r="BE1106" s="3">
        <f>+BC1106</f>
        <v>5351.991</v>
      </c>
    </row>
    <row r="1107" spans="1:57" s="42" customFormat="1" ht="15" hidden="1" customHeight="1" outlineLevel="1" x14ac:dyDescent="0.25">
      <c r="A1107" s="276" t="s">
        <v>1360</v>
      </c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4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4">
        <v>0</v>
      </c>
      <c r="AH1107" s="4"/>
      <c r="AI1107" s="3">
        <f>-(AI329/1000)+(AI339/1000)-(AI705/1000)-(AI1018/1000)</f>
        <v>728.15200000000004</v>
      </c>
      <c r="AJ1107" s="3"/>
      <c r="AK1107" s="3">
        <f>AI1107-(AK329/1000)+(AK339/1000)-(AK705/1000)-(AK1018/1000)</f>
        <v>443.99600000000004</v>
      </c>
      <c r="AL1107" s="3"/>
      <c r="AM1107" s="3">
        <f>AK1107-(AM329/1000)+(AM339/1000)-(AM705/1000)-(AM1018/1000)</f>
        <v>-162.07699999999994</v>
      </c>
      <c r="AN1107" s="3"/>
      <c r="AO1107" s="3">
        <f>AM1107-(AO329/1000)+(AO339/1000)-(AO705/1000)-(AO1018/1000)</f>
        <v>-832.404</v>
      </c>
      <c r="AP1107" s="4"/>
      <c r="AQ1107" s="3">
        <f>AO1107-(AQ329/1000)+(AQ339/1000)-(AQ705/1000)-(AQ1018/1000)</f>
        <v>-1173.769</v>
      </c>
      <c r="AS1107" s="3">
        <f>AQ1107-(AS329/1000)+(AS339/1000)-(AS705/1000)-(AS1018/1000)</f>
        <v>-1700.6610000000001</v>
      </c>
      <c r="AU1107" s="3">
        <f>AS1107-(AU329/1000)+(AU339/1000)-(AU705/1000)-(AU1018/1000)</f>
        <v>-2442.529</v>
      </c>
      <c r="AW1107" s="3">
        <f>AU1107-(AW329/1000)+(AW339/1000)-(AW705/1000)-(AW1018/1000)</f>
        <v>-2921.723</v>
      </c>
      <c r="AY1107" s="3">
        <f>AW1107-(AY329/1000)+(AY339/1000)-(AY705/1000)-(AY1018/1000)</f>
        <v>-3503.56</v>
      </c>
      <c r="BA1107" s="3">
        <f>AY1107-(BA329/1000)+(BA339/1000)-(BA705/1000)-(BA1018/1000)</f>
        <v>-3790.607</v>
      </c>
      <c r="BC1107" s="3">
        <f>BA1107-(BC329/1000)+(BC339/1000)-(BC705/1000)-(BC1018/1000)</f>
        <v>-4077.654</v>
      </c>
      <c r="BE1107" s="3">
        <f>BC1107-(BE329/1000)+(BE339/1000)-(BE705/1000)-(BE1018/1000)+7</f>
        <v>-4357.701</v>
      </c>
    </row>
    <row r="1108" spans="1:57" s="42" customFormat="1" collapsed="1" x14ac:dyDescent="0.25">
      <c r="A1108" s="276" t="s">
        <v>1361</v>
      </c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4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4">
        <f>SUM(AG1106:AG1107)</f>
        <v>1051.991</v>
      </c>
      <c r="AH1108" s="4"/>
      <c r="AI1108" s="3">
        <f>AI1106+AI1107</f>
        <v>1780.143</v>
      </c>
      <c r="AJ1108" s="3"/>
      <c r="AK1108" s="3">
        <f>AK1106+AK1107</f>
        <v>2295.9870000000001</v>
      </c>
      <c r="AL1108" s="3"/>
      <c r="AM1108" s="3">
        <f>AM1106+AM1107</f>
        <v>889.91399999999999</v>
      </c>
      <c r="AN1108" s="3"/>
      <c r="AO1108" s="3">
        <f>AO1106+AO1107</f>
        <v>219.58699999999999</v>
      </c>
      <c r="AP1108" s="4"/>
      <c r="AQ1108" s="3">
        <f>AQ1106+AQ1107</f>
        <v>278.22199999999998</v>
      </c>
      <c r="AS1108" s="3">
        <f>AS1106+AS1107</f>
        <v>451.32999999999993</v>
      </c>
      <c r="AU1108" s="3">
        <f>AU1106+AU1107</f>
        <v>609.46199999999999</v>
      </c>
      <c r="AW1108" s="3">
        <f>AW1106+AW1107</f>
        <v>830.26800000000003</v>
      </c>
      <c r="AY1108" s="3">
        <f>AY1106+AY1107</f>
        <v>1048.431</v>
      </c>
      <c r="BA1108" s="3">
        <f>BA1106+BA1107</f>
        <v>1561.384</v>
      </c>
      <c r="BC1108" s="3">
        <f>+BC1106+BC1107</f>
        <v>1274.337</v>
      </c>
      <c r="BE1108" s="3">
        <f>+BE1106+BE1107</f>
        <v>994.29</v>
      </c>
    </row>
    <row r="1109" spans="1:57" s="42" customFormat="1" x14ac:dyDescent="0.25">
      <c r="A1109" s="449" t="s">
        <v>1366</v>
      </c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4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4">
        <f>+AG1105+AG1108</f>
        <v>4258.9025799999999</v>
      </c>
      <c r="AH1109" s="4"/>
      <c r="AI1109" s="4">
        <f>+AI1105+AI1108</f>
        <v>4264.3744169749989</v>
      </c>
      <c r="AJ1109" s="3"/>
      <c r="AK1109" s="4">
        <f>+AK1105+AK1108</f>
        <v>4104.4920060998738</v>
      </c>
      <c r="AL1109" s="3"/>
      <c r="AM1109" s="4">
        <f>+AM1105+AM1108</f>
        <v>4001.1274376757765</v>
      </c>
      <c r="AN1109" s="3"/>
      <c r="AO1109" s="4">
        <f>+AO1105+AO1108</f>
        <v>3759.2606476541036</v>
      </c>
      <c r="AP1109" s="4"/>
      <c r="AQ1109" s="4">
        <f>+AQ1105+AQ1108</f>
        <v>3606.2968496194981</v>
      </c>
      <c r="AS1109" s="4">
        <f>+AS1105+AS1108</f>
        <v>3446.5297133331005</v>
      </c>
      <c r="AU1109" s="4">
        <f>+AU1105+AU1108</f>
        <v>3306.8379727033384</v>
      </c>
      <c r="AW1109" s="4">
        <f>+AW1105+AW1108</f>
        <v>3109.3798584027604</v>
      </c>
      <c r="AY1109" s="4">
        <f>+AY1105+AY1108</f>
        <v>2961.3528597326772</v>
      </c>
      <c r="BA1109" s="4">
        <f>+BA1105+BA1108</f>
        <v>3002.266854784139</v>
      </c>
      <c r="BC1109" s="4">
        <f>+BC1105+BC1108</f>
        <v>3261.0266464925253</v>
      </c>
      <c r="BD1109" s="3"/>
      <c r="BE1109" s="4">
        <f>+BE1105+BE1108</f>
        <v>3502.9903481574011</v>
      </c>
    </row>
    <row r="1110" spans="1:57" s="42" customFormat="1" x14ac:dyDescent="0.25">
      <c r="A1110" s="279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4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4"/>
      <c r="AH1110" s="4"/>
      <c r="AI1110" s="3"/>
      <c r="AJ1110" s="3"/>
      <c r="AK1110" s="3"/>
      <c r="AL1110" s="3"/>
      <c r="AM1110" s="3"/>
      <c r="AN1110" s="3"/>
      <c r="AO1110" s="3"/>
      <c r="AP1110" s="4"/>
      <c r="AQ1110" s="3"/>
      <c r="AS1110" s="3"/>
      <c r="AU1110" s="3"/>
      <c r="AW1110" s="3"/>
      <c r="AY1110" s="3"/>
      <c r="BA1110" s="3"/>
      <c r="BC1110" s="3"/>
      <c r="BE1110" s="3"/>
    </row>
    <row r="1111" spans="1:57" s="42" customFormat="1" x14ac:dyDescent="0.25">
      <c r="A1111" s="279" t="s">
        <v>1196</v>
      </c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4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4"/>
      <c r="AH1111" s="4"/>
      <c r="AI1111" s="3">
        <v>0</v>
      </c>
      <c r="AJ1111" s="3"/>
      <c r="AK1111" s="3">
        <f>+AI1111</f>
        <v>0</v>
      </c>
      <c r="AL1111" s="3"/>
      <c r="AM1111" s="3">
        <f>+AK1111</f>
        <v>0</v>
      </c>
      <c r="AN1111" s="3"/>
      <c r="AO1111" s="3">
        <f>+AM1111</f>
        <v>0</v>
      </c>
      <c r="AP1111" s="4"/>
      <c r="AQ1111" s="3">
        <f>+AO1111</f>
        <v>0</v>
      </c>
      <c r="AS1111" s="3">
        <f>+AQ1111</f>
        <v>0</v>
      </c>
      <c r="AU1111" s="3">
        <f>+AS1111</f>
        <v>0</v>
      </c>
      <c r="AW1111" s="3">
        <f>+AU1111</f>
        <v>0</v>
      </c>
      <c r="AY1111" s="3">
        <f>+AW1111</f>
        <v>0</v>
      </c>
      <c r="BA1111" s="3">
        <f>+AY1111</f>
        <v>0</v>
      </c>
      <c r="BC1111" s="3">
        <f>+BA1111</f>
        <v>0</v>
      </c>
      <c r="BE1111" s="3">
        <f>+BC1111</f>
        <v>0</v>
      </c>
    </row>
    <row r="1112" spans="1:57" s="42" customFormat="1" x14ac:dyDescent="0.25">
      <c r="A1112" s="279" t="s">
        <v>1197</v>
      </c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4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4"/>
      <c r="AH1112" s="4"/>
      <c r="AI1112" s="3">
        <v>0</v>
      </c>
      <c r="AJ1112" s="3"/>
      <c r="AK1112" s="3">
        <f>+AI1112</f>
        <v>0</v>
      </c>
      <c r="AL1112" s="3"/>
      <c r="AM1112" s="3">
        <f>+AK1112</f>
        <v>0</v>
      </c>
      <c r="AN1112" s="3"/>
      <c r="AO1112" s="3">
        <f>+AM1112</f>
        <v>0</v>
      </c>
      <c r="AP1112" s="4"/>
      <c r="AQ1112" s="3">
        <f>+AO1112</f>
        <v>0</v>
      </c>
      <c r="AS1112" s="3">
        <f>+AQ1112</f>
        <v>0</v>
      </c>
      <c r="AU1112" s="3">
        <f>+AS1112</f>
        <v>0</v>
      </c>
      <c r="AW1112" s="3">
        <f>+AU1112</f>
        <v>0</v>
      </c>
      <c r="AY1112" s="3">
        <f>+AW1112</f>
        <v>0</v>
      </c>
      <c r="BA1112" s="3">
        <f>+AY1112</f>
        <v>0</v>
      </c>
      <c r="BC1112" s="3">
        <f>+BA1112</f>
        <v>0</v>
      </c>
      <c r="BE1112" s="3">
        <f>+BC1112</f>
        <v>0</v>
      </c>
    </row>
    <row r="1113" spans="1:57" s="42" customFormat="1" x14ac:dyDescent="0.25">
      <c r="A1113" s="279" t="s">
        <v>1198</v>
      </c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4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4"/>
      <c r="AH1113" s="4"/>
      <c r="AI1113" s="3">
        <v>0</v>
      </c>
      <c r="AJ1113" s="3"/>
      <c r="AK1113" s="3">
        <f>+AI1113</f>
        <v>0</v>
      </c>
      <c r="AL1113" s="3"/>
      <c r="AM1113" s="3">
        <f>+AK1113</f>
        <v>0</v>
      </c>
      <c r="AN1113" s="3"/>
      <c r="AO1113" s="3">
        <f>+AM1113</f>
        <v>0</v>
      </c>
      <c r="AP1113" s="4"/>
      <c r="AQ1113" s="3">
        <f>+AO1113</f>
        <v>0</v>
      </c>
      <c r="AS1113" s="3">
        <f>+AQ1113</f>
        <v>0</v>
      </c>
      <c r="AU1113" s="3">
        <f>+AS1113</f>
        <v>0</v>
      </c>
      <c r="AW1113" s="3">
        <f>+AU1113</f>
        <v>0</v>
      </c>
      <c r="AY1113" s="3">
        <f>+AW1113</f>
        <v>0</v>
      </c>
      <c r="BA1113" s="3">
        <f>+AY1113</f>
        <v>0</v>
      </c>
      <c r="BC1113" s="3">
        <f>+BA1113</f>
        <v>0</v>
      </c>
      <c r="BE1113" s="3">
        <f>+BC1113</f>
        <v>0</v>
      </c>
    </row>
    <row r="1114" spans="1:57" s="254" customFormat="1" x14ac:dyDescent="0.25">
      <c r="A1114" s="282" t="s">
        <v>1199</v>
      </c>
      <c r="B1114" s="7"/>
      <c r="C1114" s="7"/>
      <c r="D1114" s="7"/>
      <c r="E1114" s="7"/>
      <c r="F1114" s="7"/>
      <c r="G1114" s="7"/>
      <c r="H1114" s="7"/>
      <c r="I1114" s="7"/>
      <c r="J1114" s="7"/>
      <c r="K1114" s="7"/>
      <c r="L1114" s="7"/>
      <c r="M1114" s="32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32">
        <f>+AG1105+AG1108+AG1111+AG1112+AG1113</f>
        <v>4258.9025799999999</v>
      </c>
      <c r="AH1114" s="32"/>
      <c r="AI1114" s="32">
        <f>+AI1105+AI1108+AI1111+AI1112+AI1113</f>
        <v>4264.3744169749989</v>
      </c>
      <c r="AJ1114" s="7"/>
      <c r="AK1114" s="32">
        <f>+AK1105+AK1108+AK1111+AK1112+AK1113</f>
        <v>4104.4920060998738</v>
      </c>
      <c r="AL1114" s="7"/>
      <c r="AM1114" s="32">
        <f>+AM1105+AM1108+AM1111+AM1112+AM1113</f>
        <v>4001.1274376757765</v>
      </c>
      <c r="AN1114" s="7"/>
      <c r="AO1114" s="32">
        <f>+AO1105+AO1108+AO1111+AO1112+AO1113</f>
        <v>3759.2606476541036</v>
      </c>
      <c r="AP1114" s="32"/>
      <c r="AQ1114" s="32">
        <f>+AQ1105+AQ1108+AQ1111+AQ1112+AQ1113</f>
        <v>3606.2968496194981</v>
      </c>
      <c r="AS1114" s="32">
        <f>+AS1105+AS1108+AS1111+AS1112+AS1113</f>
        <v>3446.5297133331005</v>
      </c>
      <c r="AU1114" s="32">
        <f>+AU1105+AU1108+AU1111+AU1112+AU1113</f>
        <v>3306.8379727033384</v>
      </c>
      <c r="AW1114" s="32">
        <f>+AW1105+AW1108+AW1111+AW1112+AW1113</f>
        <v>3109.3798584027604</v>
      </c>
      <c r="AY1114" s="32">
        <f>+AY1105+AY1108+AY1111+AY1112+AY1113</f>
        <v>2961.3528597326772</v>
      </c>
      <c r="BA1114" s="32">
        <f>+BA1105+BA1108+BA1111+BA1112+BA1113</f>
        <v>3002.266854784139</v>
      </c>
      <c r="BC1114" s="32">
        <f>+BC1105+BC1108+BC1111+BC1112+BC1113</f>
        <v>3261.0266464925253</v>
      </c>
      <c r="BE1114" s="32">
        <f>+BE1105+BE1108+BE1111+BE1112+BE1113</f>
        <v>3502.9903481574011</v>
      </c>
    </row>
    <row r="1115" spans="1:57" s="42" customFormat="1" x14ac:dyDescent="0.25">
      <c r="A1115" s="284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4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4"/>
      <c r="AH1115" s="4"/>
      <c r="AI1115" s="3"/>
      <c r="AJ1115" s="3"/>
      <c r="AK1115" s="3"/>
      <c r="AL1115" s="3"/>
      <c r="AM1115" s="3"/>
      <c r="AN1115" s="3"/>
      <c r="AO1115" s="3"/>
      <c r="AP1115" s="4"/>
      <c r="AQ1115" s="3"/>
      <c r="AS1115" s="3"/>
      <c r="AU1115" s="3"/>
      <c r="AW1115" s="3"/>
      <c r="AY1115" s="3"/>
      <c r="BA1115" s="3"/>
      <c r="BC1115" s="3"/>
      <c r="BE1115" s="3"/>
    </row>
    <row r="1116" spans="1:57" s="42" customFormat="1" x14ac:dyDescent="0.25">
      <c r="A1116" s="282" t="s">
        <v>1200</v>
      </c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4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4"/>
      <c r="AH1116" s="4"/>
      <c r="AI1116" s="3"/>
      <c r="AJ1116" s="3"/>
      <c r="AK1116" s="3"/>
      <c r="AL1116" s="3"/>
      <c r="AM1116" s="3"/>
      <c r="AN1116" s="3"/>
      <c r="AO1116" s="3"/>
      <c r="AP1116" s="4"/>
      <c r="AQ1116" s="3"/>
      <c r="AS1116" s="3"/>
      <c r="AU1116" s="3"/>
      <c r="AW1116" s="3"/>
      <c r="AY1116" s="3"/>
      <c r="BA1116" s="3"/>
      <c r="BC1116" s="3"/>
      <c r="BE1116" s="3"/>
    </row>
    <row r="1117" spans="1:57" s="42" customFormat="1" x14ac:dyDescent="0.25">
      <c r="A1117" s="279" t="s">
        <v>1196</v>
      </c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4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4"/>
      <c r="AH1117" s="4"/>
      <c r="AI1117" s="3">
        <v>0</v>
      </c>
      <c r="AJ1117" s="3"/>
      <c r="AK1117" s="3">
        <f>+AI1117</f>
        <v>0</v>
      </c>
      <c r="AL1117" s="3"/>
      <c r="AM1117" s="3">
        <f>+AK1117</f>
        <v>0</v>
      </c>
      <c r="AN1117" s="3"/>
      <c r="AO1117" s="3">
        <f>+AM1117</f>
        <v>0</v>
      </c>
      <c r="AP1117" s="4"/>
      <c r="AQ1117" s="3">
        <f>+AO1117</f>
        <v>0</v>
      </c>
      <c r="AS1117" s="3">
        <f>+AQ1117</f>
        <v>0</v>
      </c>
      <c r="AU1117" s="3">
        <f>+AS1117</f>
        <v>0</v>
      </c>
      <c r="AW1117" s="3">
        <f>+AU1117</f>
        <v>0</v>
      </c>
      <c r="AY1117" s="3">
        <f>+AW1117</f>
        <v>0</v>
      </c>
      <c r="BA1117" s="3">
        <f>+AY1117</f>
        <v>0</v>
      </c>
      <c r="BC1117" s="3">
        <f>+BA1117</f>
        <v>0</v>
      </c>
      <c r="BE1117" s="3">
        <f>+BC1117</f>
        <v>0</v>
      </c>
    </row>
    <row r="1118" spans="1:57" s="42" customFormat="1" x14ac:dyDescent="0.25">
      <c r="A1118" s="279" t="s">
        <v>1201</v>
      </c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4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4"/>
      <c r="AH1118" s="4"/>
      <c r="AI1118" s="3">
        <f>+(AI1040/1000)-((AI1038+AI1036)/1000)-(AI352/1000)</f>
        <v>561.01222659999985</v>
      </c>
      <c r="AJ1118" s="3"/>
      <c r="AK1118" s="3">
        <f>+AI1118+(AK1040/1000)-((AK1038+AK1036)/1000)-(AK352/1000)</f>
        <v>451.07588999799964</v>
      </c>
      <c r="AL1118" s="3"/>
      <c r="AM1118" s="3">
        <f>+AK1118+(AM1040/1000)-((AM1038+AM1036)/1000)-(AM352/1000)</f>
        <v>65.451263380939622</v>
      </c>
      <c r="AN1118" s="3"/>
      <c r="AO1118" s="3">
        <f>+AM1118+(AO1040/1000)-((AO1038+AO1036)/1000)-(AO352/1000)</f>
        <v>-186.99992932129987</v>
      </c>
      <c r="AP1118" s="4"/>
      <c r="AQ1118" s="3">
        <f>+AO1118+(AQ1040/1000)-((AQ1038+AQ1036)/1000)-(AQ352/1000)</f>
        <v>-91.731500787829759</v>
      </c>
      <c r="AS1118" s="3">
        <f>+AQ1118+(AS1040/1000)-((AS1038+AS1036)/1000)-(AS352/1000)</f>
        <v>-230.35578730024292</v>
      </c>
      <c r="AU1118" s="3">
        <f>+AS1118+(AU1040/1000)-((AU1038+AU1036)/1000)-(AU352/1000)</f>
        <v>-569.08363536743195</v>
      </c>
      <c r="AW1118" s="3">
        <f>+AU1118+(AW1040/1000)-((AW1038+AW1036)/1000)-(AW352/1000)</f>
        <v>-675.0233879712016</v>
      </c>
      <c r="AY1118" s="3">
        <f>+AW1118+(AY1040/1000)-((AY1038+AY1036)/1000)-(AY352/1000)</f>
        <v>-937.47987042184855</v>
      </c>
      <c r="BA1118" s="3">
        <f>+AY1118+(BA1040/1000)-((BA1038+BA1036)/1000)-(BA352/1000)</f>
        <v>-1092.1953758125665</v>
      </c>
      <c r="BC1118" s="3">
        <f>+BA1118+(BC1040/1000)-((BC1038+BC1036)/1000)-(BC352/1000)</f>
        <v>-1383.1496500612134</v>
      </c>
      <c r="BE1118" s="3">
        <f>+BC1118+(BE1040/1000)-((BE1038+BE1036)/1000)-(BE352/1000)</f>
        <v>-1643.3218765276513</v>
      </c>
    </row>
    <row r="1119" spans="1:57" s="254" customFormat="1" x14ac:dyDescent="0.25">
      <c r="A1119" s="282" t="s">
        <v>1202</v>
      </c>
      <c r="B1119" s="7"/>
      <c r="C1119" s="7"/>
      <c r="D1119" s="7"/>
      <c r="E1119" s="7"/>
      <c r="F1119" s="7"/>
      <c r="G1119" s="7"/>
      <c r="H1119" s="7"/>
      <c r="I1119" s="7"/>
      <c r="J1119" s="7"/>
      <c r="K1119" s="7"/>
      <c r="L1119" s="7"/>
      <c r="M1119" s="32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32">
        <f>SUM(AG1117:AG1118)</f>
        <v>0</v>
      </c>
      <c r="AH1119" s="32"/>
      <c r="AI1119" s="32">
        <f>SUM(AI1117:AI1118)</f>
        <v>561.01222659999985</v>
      </c>
      <c r="AJ1119" s="7"/>
      <c r="AK1119" s="32">
        <f>SUM(AK1117:AK1118)</f>
        <v>451.07588999799964</v>
      </c>
      <c r="AL1119" s="7"/>
      <c r="AM1119" s="32">
        <f>SUM(AM1117:AM1118)</f>
        <v>65.451263380939622</v>
      </c>
      <c r="AN1119" s="7"/>
      <c r="AO1119" s="32">
        <f>SUM(AO1117:AO1118)</f>
        <v>-186.99992932129987</v>
      </c>
      <c r="AP1119" s="32"/>
      <c r="AQ1119" s="32">
        <f>SUM(AQ1117:AQ1118)</f>
        <v>-91.731500787829759</v>
      </c>
      <c r="AS1119" s="32">
        <f>SUM(AS1117:AS1118)</f>
        <v>-230.35578730024292</v>
      </c>
      <c r="AU1119" s="32">
        <f>SUM(AU1117:AU1118)</f>
        <v>-569.08363536743195</v>
      </c>
      <c r="AW1119" s="32">
        <f>SUM(AW1117:AW1118)</f>
        <v>-675.0233879712016</v>
      </c>
      <c r="AY1119" s="32">
        <f>SUM(AY1117:AY1118)</f>
        <v>-937.47987042184855</v>
      </c>
      <c r="BA1119" s="32">
        <f>SUM(BA1117:BA1118)</f>
        <v>-1092.1953758125665</v>
      </c>
      <c r="BC1119" s="32">
        <f>SUM(BC1117:BC1118)</f>
        <v>-1383.1496500612134</v>
      </c>
      <c r="BE1119" s="32">
        <f>SUM(BE1117:BE1118)</f>
        <v>-1643.3218765276513</v>
      </c>
    </row>
    <row r="1120" spans="1:57" s="42" customFormat="1" x14ac:dyDescent="0.25">
      <c r="A1120" s="281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4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4"/>
      <c r="AH1120" s="4"/>
      <c r="AI1120" s="4"/>
      <c r="AJ1120" s="3"/>
      <c r="AK1120" s="4"/>
      <c r="AL1120" s="3"/>
      <c r="AM1120" s="4"/>
      <c r="AN1120" s="3"/>
      <c r="AO1120" s="4"/>
      <c r="AP1120" s="4"/>
      <c r="AQ1120" s="4"/>
      <c r="AS1120" s="4"/>
      <c r="AU1120" s="4"/>
      <c r="AW1120" s="4"/>
      <c r="AY1120" s="4"/>
      <c r="BA1120" s="4"/>
      <c r="BC1120" s="4"/>
      <c r="BE1120" s="4"/>
    </row>
    <row r="1121" spans="1:57" s="254" customFormat="1" x14ac:dyDescent="0.25">
      <c r="A1121" s="282" t="s">
        <v>1203</v>
      </c>
      <c r="B1121" s="7"/>
      <c r="C1121" s="7"/>
      <c r="D1121" s="7"/>
      <c r="E1121" s="7"/>
      <c r="F1121" s="7"/>
      <c r="G1121" s="7"/>
      <c r="H1121" s="7"/>
      <c r="I1121" s="7"/>
      <c r="J1121" s="7"/>
      <c r="K1121" s="7"/>
      <c r="L1121" s="7"/>
      <c r="M1121" s="32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32">
        <f>+AG1114+AG1119</f>
        <v>4258.9025799999999</v>
      </c>
      <c r="AH1121" s="32"/>
      <c r="AI1121" s="32">
        <f>+AI1114+AI1119</f>
        <v>4825.3866435749987</v>
      </c>
      <c r="AJ1121" s="7"/>
      <c r="AK1121" s="32">
        <f>+AK1114+AK1119</f>
        <v>4555.567896097873</v>
      </c>
      <c r="AL1121" s="7"/>
      <c r="AM1121" s="32">
        <f>+AM1114+AM1119</f>
        <v>4066.578701056716</v>
      </c>
      <c r="AN1121" s="7"/>
      <c r="AO1121" s="32">
        <f>+AO1114+AO1119</f>
        <v>3572.2607183328037</v>
      </c>
      <c r="AP1121" s="32"/>
      <c r="AQ1121" s="32">
        <f>+AQ1114+AQ1119</f>
        <v>3514.5653488316684</v>
      </c>
      <c r="AS1121" s="32">
        <f>+AS1114+AS1119</f>
        <v>3216.1739260328577</v>
      </c>
      <c r="AU1121" s="32">
        <f>+AU1114+AU1119</f>
        <v>2737.7543373359067</v>
      </c>
      <c r="AW1121" s="32">
        <f>+AW1114+AW1119</f>
        <v>2434.3564704315586</v>
      </c>
      <c r="AY1121" s="32">
        <f>+AY1114+AY1119</f>
        <v>2023.8729893108286</v>
      </c>
      <c r="BA1121" s="32">
        <f>+BA1114+BA1119</f>
        <v>1910.0714789715726</v>
      </c>
      <c r="BC1121" s="32">
        <f>+BC1114+BC1119</f>
        <v>1877.8769964313119</v>
      </c>
      <c r="BE1121" s="32">
        <f>+BE1114+BE1119</f>
        <v>1859.6684716297498</v>
      </c>
    </row>
    <row r="1122" spans="1:57" s="42" customFormat="1" x14ac:dyDescent="0.25">
      <c r="A1122" s="281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4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4"/>
      <c r="AH1122" s="4"/>
      <c r="AI1122" s="3"/>
      <c r="AJ1122" s="3"/>
      <c r="AK1122" s="3"/>
      <c r="AL1122" s="3"/>
      <c r="AM1122" s="3"/>
      <c r="AN1122" s="3"/>
      <c r="AO1122" s="3"/>
      <c r="AP1122" s="4"/>
      <c r="AQ1122" s="3"/>
      <c r="AS1122" s="3"/>
      <c r="AU1122" s="3"/>
      <c r="AW1122" s="3"/>
      <c r="AY1122" s="3"/>
      <c r="BA1122" s="3"/>
      <c r="BC1122" s="3"/>
      <c r="BE1122" s="3"/>
    </row>
    <row r="1123" spans="1:57" s="42" customFormat="1" x14ac:dyDescent="0.25">
      <c r="A1123" s="282" t="s">
        <v>1204</v>
      </c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4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4"/>
      <c r="AH1123" s="4"/>
      <c r="AI1123" s="3"/>
      <c r="AJ1123" s="3"/>
      <c r="AK1123" s="3"/>
      <c r="AL1123" s="3"/>
      <c r="AM1123" s="3"/>
      <c r="AN1123" s="3"/>
      <c r="AO1123" s="3"/>
      <c r="AP1123" s="4"/>
      <c r="AQ1123" s="3"/>
      <c r="AS1123" s="3"/>
      <c r="AU1123" s="3"/>
      <c r="AW1123" s="3"/>
      <c r="AY1123" s="3"/>
      <c r="BA1123" s="3"/>
      <c r="BC1123" s="3"/>
      <c r="BE1123" s="3"/>
    </row>
    <row r="1124" spans="1:57" s="42" customFormat="1" x14ac:dyDescent="0.25">
      <c r="A1124" s="279" t="s">
        <v>1205</v>
      </c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4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4"/>
      <c r="AH1124" s="4"/>
      <c r="AI1124" s="3">
        <v>0</v>
      </c>
      <c r="AJ1124" s="3"/>
      <c r="AK1124" s="3">
        <f>+AI1124</f>
        <v>0</v>
      </c>
      <c r="AL1124" s="3"/>
      <c r="AM1124" s="3">
        <f>+AK1124</f>
        <v>0</v>
      </c>
      <c r="AN1124" s="3"/>
      <c r="AO1124" s="3">
        <f>+AM1124</f>
        <v>0</v>
      </c>
      <c r="AP1124" s="4"/>
      <c r="AQ1124" s="3">
        <f>+AO1124</f>
        <v>0</v>
      </c>
      <c r="AS1124" s="3">
        <f>+AQ1124</f>
        <v>0</v>
      </c>
      <c r="AU1124" s="3">
        <f>+AS1124</f>
        <v>0</v>
      </c>
      <c r="AW1124" s="3">
        <f>+AU1124</f>
        <v>0</v>
      </c>
      <c r="AY1124" s="3">
        <f>+AW1124</f>
        <v>0</v>
      </c>
      <c r="BA1124" s="3">
        <f>+AY1124</f>
        <v>0</v>
      </c>
      <c r="BC1124" s="3">
        <f>+BA1124</f>
        <v>0</v>
      </c>
      <c r="BE1124" s="3">
        <f>+BC1124</f>
        <v>0</v>
      </c>
    </row>
    <row r="1125" spans="1:57" s="42" customFormat="1" x14ac:dyDescent="0.25">
      <c r="A1125" s="279" t="s">
        <v>1216</v>
      </c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4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4"/>
      <c r="AH1125" s="4"/>
      <c r="AI1125" s="3">
        <v>0</v>
      </c>
      <c r="AJ1125" s="3"/>
      <c r="AK1125" s="3">
        <f>-AK1084/1000</f>
        <v>1.9</v>
      </c>
      <c r="AL1125" s="3"/>
      <c r="AM1125" s="3">
        <f>-AM1084/1000</f>
        <v>1.9</v>
      </c>
      <c r="AN1125" s="3"/>
      <c r="AO1125" s="3">
        <f>-AO1084/1000</f>
        <v>0</v>
      </c>
      <c r="AP1125" s="4"/>
      <c r="AQ1125" s="3">
        <f>-AQ1084/1000</f>
        <v>0</v>
      </c>
      <c r="AS1125" s="3">
        <f>-AS1084/1000</f>
        <v>0</v>
      </c>
      <c r="AU1125" s="3">
        <f>-AU1084/1000</f>
        <v>0</v>
      </c>
      <c r="AW1125" s="3">
        <f>-AW1084/1000</f>
        <v>0</v>
      </c>
      <c r="AY1125" s="3">
        <f>-AY1084/1000</f>
        <v>0</v>
      </c>
      <c r="BA1125" s="3">
        <f>-BA1084/1000</f>
        <v>0</v>
      </c>
      <c r="BC1125" s="3">
        <v>0</v>
      </c>
      <c r="BE1125" s="3">
        <f>-BE1084/1000</f>
        <v>0</v>
      </c>
    </row>
    <row r="1126" spans="1:57" s="42" customFormat="1" x14ac:dyDescent="0.25">
      <c r="A1126" s="279" t="s">
        <v>1178</v>
      </c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4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4"/>
      <c r="AH1126" s="4"/>
      <c r="AI1126" s="3">
        <v>0</v>
      </c>
      <c r="AJ1126" s="3"/>
      <c r="AK1126" s="3">
        <f t="shared" ref="AK1126:BE1126" si="525">+AI1126</f>
        <v>0</v>
      </c>
      <c r="AL1126" s="3"/>
      <c r="AM1126" s="3">
        <f t="shared" si="525"/>
        <v>0</v>
      </c>
      <c r="AN1126" s="3"/>
      <c r="AO1126" s="3">
        <f t="shared" si="525"/>
        <v>0</v>
      </c>
      <c r="AP1126" s="4"/>
      <c r="AQ1126" s="3">
        <f t="shared" si="525"/>
        <v>0</v>
      </c>
      <c r="AS1126" s="3">
        <f t="shared" si="525"/>
        <v>0</v>
      </c>
      <c r="AU1126" s="3">
        <f t="shared" si="525"/>
        <v>0</v>
      </c>
      <c r="AW1126" s="3">
        <f t="shared" si="525"/>
        <v>0</v>
      </c>
      <c r="AY1126" s="3">
        <f t="shared" si="525"/>
        <v>0</v>
      </c>
      <c r="BA1126" s="3">
        <f t="shared" si="525"/>
        <v>0</v>
      </c>
      <c r="BC1126" s="3">
        <f t="shared" si="525"/>
        <v>0</v>
      </c>
      <c r="BE1126" s="3">
        <f t="shared" si="525"/>
        <v>0</v>
      </c>
    </row>
    <row r="1127" spans="1:57" s="254" customFormat="1" x14ac:dyDescent="0.25">
      <c r="A1127" s="282" t="s">
        <v>1206</v>
      </c>
      <c r="B1127" s="7"/>
      <c r="C1127" s="7"/>
      <c r="D1127" s="7"/>
      <c r="E1127" s="7"/>
      <c r="F1127" s="7"/>
      <c r="G1127" s="7"/>
      <c r="H1127" s="7"/>
      <c r="I1127" s="7"/>
      <c r="J1127" s="7"/>
      <c r="K1127" s="7"/>
      <c r="L1127" s="7"/>
      <c r="M1127" s="32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32">
        <f>SUM(AG1124:AG1126)</f>
        <v>0</v>
      </c>
      <c r="AH1127" s="32"/>
      <c r="AI1127" s="32">
        <f>SUM(AI1124:AI1126)</f>
        <v>0</v>
      </c>
      <c r="AJ1127" s="7"/>
      <c r="AK1127" s="32">
        <f>SUM(AK1124:AK1126)</f>
        <v>1.9</v>
      </c>
      <c r="AL1127" s="7"/>
      <c r="AM1127" s="32">
        <f>SUM(AM1124:AM1126)</f>
        <v>1.9</v>
      </c>
      <c r="AN1127" s="7"/>
      <c r="AO1127" s="32">
        <f>SUM(AO1124:AO1126)</f>
        <v>0</v>
      </c>
      <c r="AP1127" s="32"/>
      <c r="AQ1127" s="32">
        <f>SUM(AQ1124:AQ1126)</f>
        <v>0</v>
      </c>
      <c r="AS1127" s="32">
        <f>SUM(AS1124:AS1126)</f>
        <v>0</v>
      </c>
      <c r="AU1127" s="32">
        <f>SUM(AU1124:AU1126)</f>
        <v>0</v>
      </c>
      <c r="AW1127" s="32">
        <f>SUM(AW1124:AW1126)</f>
        <v>0</v>
      </c>
      <c r="AY1127" s="32">
        <f>SUM(AY1124:AY1126)</f>
        <v>0</v>
      </c>
      <c r="BA1127" s="32">
        <f>SUM(BA1124:BA1126)</f>
        <v>0</v>
      </c>
      <c r="BC1127" s="32">
        <f>SUM(BC1124:BC1126)</f>
        <v>0</v>
      </c>
      <c r="BE1127" s="32">
        <f>SUM(BE1124:BE1126)</f>
        <v>0</v>
      </c>
    </row>
    <row r="1128" spans="1:57" s="42" customFormat="1" x14ac:dyDescent="0.25">
      <c r="A1128" s="281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4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4"/>
      <c r="AH1128" s="4"/>
      <c r="AI1128" s="3"/>
      <c r="AJ1128" s="3"/>
      <c r="AK1128" s="3"/>
      <c r="AL1128" s="3"/>
      <c r="AM1128" s="3"/>
      <c r="AN1128" s="3"/>
      <c r="AO1128" s="3"/>
      <c r="AP1128" s="4"/>
      <c r="AQ1128" s="3"/>
      <c r="AS1128" s="3"/>
      <c r="AU1128" s="3"/>
      <c r="AW1128" s="3"/>
      <c r="AY1128" s="3"/>
      <c r="BA1128" s="3"/>
      <c r="BC1128" s="3"/>
      <c r="BE1128" s="3"/>
    </row>
    <row r="1129" spans="1:57" s="42" customFormat="1" x14ac:dyDescent="0.25">
      <c r="A1129" s="282" t="s">
        <v>1207</v>
      </c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4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4"/>
      <c r="AH1129" s="4"/>
      <c r="AI1129" s="3"/>
      <c r="AJ1129" s="3"/>
      <c r="AK1129" s="3"/>
      <c r="AL1129" s="3"/>
      <c r="AM1129" s="3"/>
      <c r="AN1129" s="3"/>
      <c r="AO1129" s="3"/>
      <c r="AP1129" s="4"/>
      <c r="AQ1129" s="3"/>
      <c r="AS1129" s="3"/>
      <c r="AU1129" s="3"/>
      <c r="AW1129" s="3"/>
      <c r="AY1129" s="3"/>
      <c r="BA1129" s="3"/>
      <c r="BC1129" s="3"/>
      <c r="BE1129" s="3"/>
    </row>
    <row r="1130" spans="1:57" s="42" customFormat="1" x14ac:dyDescent="0.25">
      <c r="A1130" s="279" t="s">
        <v>1216</v>
      </c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4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4"/>
      <c r="AH1130" s="4"/>
      <c r="AI1130" s="448">
        <f>(AI1084/1000)+(AI1082/1000)</f>
        <v>-1.9</v>
      </c>
      <c r="AJ1130" s="3"/>
      <c r="AK1130" s="3">
        <f>+(AI1130+(AK1084/1000)+(AK1082/1000))-AK1125</f>
        <v>-5.6999999999999993</v>
      </c>
      <c r="AL1130" s="3"/>
      <c r="AM1130" s="3">
        <f>+AK1130+(AM1084/1000)+(AM1082/1000)-AM1125+AK1125</f>
        <v>-7.6</v>
      </c>
      <c r="AN1130" s="3"/>
      <c r="AO1130" s="3">
        <f>+AM1130+(AO1084/1000)+(AO1082/1000)-AO1125+AM1125</f>
        <v>-5.6999999999999993</v>
      </c>
      <c r="AP1130" s="4"/>
      <c r="AQ1130" s="3">
        <f>+AO1130+(AQ1084/1000)+(AQ1082/1000)-AQ1125+AO1125</f>
        <v>-5.6999999999999993</v>
      </c>
      <c r="AS1130" s="3">
        <f>+AQ1130+(AS1084/1000)+(AS1082/1000)-AS1125+AQ1125</f>
        <v>-5.6999999999999993</v>
      </c>
      <c r="AU1130" s="3">
        <f>+AS1130+(AU1084/1000)+(AU1082/1000)-AU1125+AS1125</f>
        <v>-5.6999999999999993</v>
      </c>
      <c r="AW1130" s="3">
        <f>+AU1130+(AW1084/1000)+(AW1082/1000)-AW1125+AU1125</f>
        <v>-5.6999999999999993</v>
      </c>
      <c r="AY1130" s="3">
        <f>+AW1130+(AY1084/1000)+(AY1082/1000)-AY1125+AW1125</f>
        <v>-5.6999999999999993</v>
      </c>
      <c r="BA1130" s="3">
        <f>+AY1130+(BA1084/1000)+(BA1082/1000)-BA1125+AY1125</f>
        <v>-5.6999999999999993</v>
      </c>
      <c r="BC1130" s="3">
        <f>+BA1130+(BC1084/1000)+(BC1082/1000)-BC1125+BA1125</f>
        <v>-5.6999999999999993</v>
      </c>
      <c r="BE1130" s="3">
        <v>2</v>
      </c>
    </row>
    <row r="1131" spans="1:57" s="42" customFormat="1" x14ac:dyDescent="0.25">
      <c r="A1131" s="279" t="s">
        <v>1178</v>
      </c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4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4"/>
      <c r="AH1131" s="4"/>
      <c r="AI1131" s="3"/>
      <c r="AJ1131" s="3"/>
      <c r="AK1131" s="3">
        <f>+AI1131</f>
        <v>0</v>
      </c>
      <c r="AL1131" s="3"/>
      <c r="AM1131" s="3">
        <f>+AK1131</f>
        <v>0</v>
      </c>
      <c r="AN1131" s="3"/>
      <c r="AO1131" s="3">
        <f>+AM1131</f>
        <v>0</v>
      </c>
      <c r="AP1131" s="4"/>
      <c r="AQ1131" s="3">
        <f>+AO1131</f>
        <v>0</v>
      </c>
      <c r="AS1131" s="3">
        <f>+AQ1131</f>
        <v>0</v>
      </c>
      <c r="AU1131" s="3">
        <f>+AS1131</f>
        <v>0</v>
      </c>
      <c r="AW1131" s="3">
        <f>+AU1131</f>
        <v>0</v>
      </c>
      <c r="AY1131" s="3">
        <f>+AW1131</f>
        <v>0</v>
      </c>
      <c r="BA1131" s="3">
        <f>+AY1131</f>
        <v>0</v>
      </c>
      <c r="BC1131" s="3">
        <f>+BA1131</f>
        <v>0</v>
      </c>
      <c r="BE1131" s="3">
        <f>+BC1131</f>
        <v>0</v>
      </c>
    </row>
    <row r="1132" spans="1:57" s="254" customFormat="1" x14ac:dyDescent="0.25">
      <c r="A1132" s="282" t="s">
        <v>1208</v>
      </c>
      <c r="B1132" s="7"/>
      <c r="C1132" s="7"/>
      <c r="D1132" s="7"/>
      <c r="E1132" s="7"/>
      <c r="F1132" s="7"/>
      <c r="G1132" s="7"/>
      <c r="H1132" s="7"/>
      <c r="I1132" s="7"/>
      <c r="J1132" s="7"/>
      <c r="K1132" s="7"/>
      <c r="L1132" s="7"/>
      <c r="M1132" s="32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32">
        <f>SUM(AG1130:AG1131)</f>
        <v>0</v>
      </c>
      <c r="AH1132" s="32"/>
      <c r="AI1132" s="32">
        <f>SUM(AI1130:AI1131)</f>
        <v>-1.9</v>
      </c>
      <c r="AJ1132" s="7"/>
      <c r="AK1132" s="32">
        <f>SUM(AK1130:AK1131)</f>
        <v>-5.6999999999999993</v>
      </c>
      <c r="AL1132" s="7"/>
      <c r="AM1132" s="32">
        <f>SUM(AM1130:AM1131)</f>
        <v>-7.6</v>
      </c>
      <c r="AN1132" s="7"/>
      <c r="AO1132" s="32">
        <f>SUM(AO1130:AO1131)</f>
        <v>-5.6999999999999993</v>
      </c>
      <c r="AP1132" s="32"/>
      <c r="AQ1132" s="32">
        <f>SUM(AQ1130:AQ1131)</f>
        <v>-5.6999999999999993</v>
      </c>
      <c r="AS1132" s="32">
        <f>SUM(AS1130:AS1131)</f>
        <v>-5.6999999999999993</v>
      </c>
      <c r="AU1132" s="32">
        <f>SUM(AU1130:AU1131)</f>
        <v>-5.6999999999999993</v>
      </c>
      <c r="AW1132" s="32">
        <f>SUM(AW1130:AW1131)</f>
        <v>-5.6999999999999993</v>
      </c>
      <c r="AY1132" s="32">
        <f>SUM(AY1130:AY1131)</f>
        <v>-5.6999999999999993</v>
      </c>
      <c r="BA1132" s="32">
        <f>SUM(BA1130:BA1131)</f>
        <v>-5.6999999999999993</v>
      </c>
      <c r="BC1132" s="32">
        <f>SUM(BC1130:BC1131)</f>
        <v>-5.6999999999999993</v>
      </c>
      <c r="BE1132" s="32">
        <f>SUM(BE1130:BE1131)</f>
        <v>2</v>
      </c>
    </row>
    <row r="1133" spans="1:57" s="42" customFormat="1" x14ac:dyDescent="0.25">
      <c r="A1133" s="281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4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4"/>
      <c r="AH1133" s="4"/>
      <c r="AI1133" s="4"/>
      <c r="AJ1133" s="3"/>
      <c r="AK1133" s="4"/>
      <c r="AL1133" s="3"/>
      <c r="AM1133" s="4"/>
      <c r="AN1133" s="3"/>
      <c r="AO1133" s="4"/>
      <c r="AP1133" s="4"/>
      <c r="AQ1133" s="4"/>
      <c r="AS1133" s="4"/>
      <c r="AU1133" s="4"/>
      <c r="AW1133" s="4"/>
      <c r="AY1133" s="4"/>
      <c r="BA1133" s="4"/>
      <c r="BC1133" s="4"/>
      <c r="BE1133" s="4"/>
    </row>
    <row r="1134" spans="1:57" s="254" customFormat="1" x14ac:dyDescent="0.25">
      <c r="A1134" s="282" t="s">
        <v>1209</v>
      </c>
      <c r="B1134" s="7"/>
      <c r="C1134" s="7"/>
      <c r="D1134" s="7"/>
      <c r="E1134" s="7"/>
      <c r="F1134" s="7"/>
      <c r="G1134" s="7"/>
      <c r="H1134" s="7"/>
      <c r="I1134" s="7"/>
      <c r="J1134" s="7"/>
      <c r="K1134" s="7"/>
      <c r="L1134" s="7"/>
      <c r="M1134" s="32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32">
        <f>+AG1127+AG1132</f>
        <v>0</v>
      </c>
      <c r="AH1134" s="32"/>
      <c r="AI1134" s="32">
        <f>+AI1127+AI1132</f>
        <v>-1.9</v>
      </c>
      <c r="AJ1134" s="7"/>
      <c r="AK1134" s="32">
        <f>+AK1127+AK1132</f>
        <v>-3.7999999999999994</v>
      </c>
      <c r="AL1134" s="7"/>
      <c r="AM1134" s="32">
        <f>+AM1127+AM1132</f>
        <v>-5.6999999999999993</v>
      </c>
      <c r="AN1134" s="7"/>
      <c r="AO1134" s="32">
        <f>+AO1127+AO1132</f>
        <v>-5.6999999999999993</v>
      </c>
      <c r="AP1134" s="32"/>
      <c r="AQ1134" s="32">
        <f>+AQ1127+AQ1132</f>
        <v>-5.6999999999999993</v>
      </c>
      <c r="AS1134" s="32">
        <f>+AS1127+AS1132</f>
        <v>-5.6999999999999993</v>
      </c>
      <c r="AU1134" s="32">
        <f>+AU1127+AU1132</f>
        <v>-5.6999999999999993</v>
      </c>
      <c r="AW1134" s="32">
        <f>+AW1127+AW1132</f>
        <v>-5.6999999999999993</v>
      </c>
      <c r="AY1134" s="32">
        <f>+AY1127+AY1132</f>
        <v>-5.6999999999999993</v>
      </c>
      <c r="BA1134" s="32">
        <f>+BA1127+BA1132</f>
        <v>-5.6999999999999993</v>
      </c>
      <c r="BC1134" s="32">
        <f>+BC1127+BC1132</f>
        <v>-5.6999999999999993</v>
      </c>
      <c r="BE1134" s="32">
        <f>+BE1127+BE1132</f>
        <v>2</v>
      </c>
    </row>
    <row r="1135" spans="1:57" s="42" customFormat="1" x14ac:dyDescent="0.25">
      <c r="A1135" s="281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4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4"/>
      <c r="AI1135" s="3"/>
      <c r="AJ1135" s="3"/>
      <c r="AK1135" s="3"/>
      <c r="AL1135" s="3"/>
      <c r="AM1135" s="3"/>
      <c r="AN1135" s="3"/>
      <c r="AO1135" s="3"/>
      <c r="AP1135" s="4"/>
      <c r="AQ1135" s="3"/>
      <c r="AS1135" s="3"/>
      <c r="AU1135" s="3"/>
      <c r="AW1135" s="3"/>
      <c r="AY1135" s="3"/>
      <c r="BA1135" s="3"/>
      <c r="BC1135" s="3"/>
      <c r="BE1135" s="3"/>
    </row>
    <row r="1136" spans="1:57" s="254" customFormat="1" x14ac:dyDescent="0.25">
      <c r="A1136" s="282" t="s">
        <v>1210</v>
      </c>
      <c r="B1136" s="7"/>
      <c r="C1136" s="7"/>
      <c r="D1136" s="7"/>
      <c r="E1136" s="7"/>
      <c r="F1136" s="7"/>
      <c r="G1136" s="7"/>
      <c r="H1136" s="7"/>
      <c r="I1136" s="7"/>
      <c r="J1136" s="7"/>
      <c r="K1136" s="7"/>
      <c r="L1136" s="7"/>
      <c r="M1136" s="32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32">
        <f>+AG1121-AG1134</f>
        <v>4258.9025799999999</v>
      </c>
      <c r="AH1136" s="32"/>
      <c r="AI1136" s="32">
        <f>+AI1121-AI1134</f>
        <v>4827.2866435749984</v>
      </c>
      <c r="AJ1136" s="7"/>
      <c r="AK1136" s="32">
        <f>+AK1121-AK1134</f>
        <v>4559.3678960978732</v>
      </c>
      <c r="AL1136" s="7"/>
      <c r="AM1136" s="32">
        <f>+AM1121-AM1134</f>
        <v>4072.2787010567158</v>
      </c>
      <c r="AN1136" s="7"/>
      <c r="AO1136" s="32">
        <f>+AO1121-AO1134</f>
        <v>3577.9607183328035</v>
      </c>
      <c r="AP1136" s="32"/>
      <c r="AQ1136" s="32">
        <f>+AQ1121-AQ1134</f>
        <v>3520.2653488316682</v>
      </c>
      <c r="AS1136" s="32">
        <f>+AS1121-AS1134</f>
        <v>3221.8739260328575</v>
      </c>
      <c r="AU1136" s="32">
        <f>+AU1121-AU1134</f>
        <v>2743.4543373359065</v>
      </c>
      <c r="AW1136" s="32">
        <f>+AW1121-AW1134</f>
        <v>2440.0564704315584</v>
      </c>
      <c r="AY1136" s="32">
        <f>+AY1121-AY1134</f>
        <v>2029.5729893108287</v>
      </c>
      <c r="BA1136" s="32">
        <f>+BA1121-BA1134</f>
        <v>1915.7714789715726</v>
      </c>
      <c r="BC1136" s="32">
        <f>+BC1121-BC1134</f>
        <v>1883.576996431312</v>
      </c>
      <c r="BE1136" s="32">
        <f>+BE1121-BE1134</f>
        <v>1857.6684716297498</v>
      </c>
    </row>
    <row r="1137" spans="1:57" s="42" customFormat="1" x14ac:dyDescent="0.25">
      <c r="A1137" s="281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4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4"/>
      <c r="AH1137" s="4"/>
      <c r="AI1137" s="3"/>
      <c r="AJ1137" s="3"/>
      <c r="AK1137" s="3"/>
      <c r="AL1137" s="3"/>
      <c r="AM1137" s="3"/>
      <c r="AN1137" s="3"/>
      <c r="AO1137" s="3"/>
      <c r="AP1137" s="4"/>
      <c r="AQ1137" s="3"/>
      <c r="AS1137" s="3"/>
      <c r="AU1137" s="3"/>
      <c r="AW1137" s="3"/>
      <c r="AY1137" s="3"/>
      <c r="BA1137" s="3"/>
      <c r="BC1137" s="3"/>
      <c r="BE1137" s="3"/>
    </row>
    <row r="1138" spans="1:57" s="42" customFormat="1" x14ac:dyDescent="0.25">
      <c r="A1138" s="282" t="s">
        <v>1211</v>
      </c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4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4"/>
      <c r="AH1138" s="4"/>
      <c r="AI1138" s="3"/>
      <c r="AJ1138" s="3"/>
      <c r="AK1138" s="3"/>
      <c r="AL1138" s="3"/>
      <c r="AM1138" s="3"/>
      <c r="AN1138" s="3"/>
      <c r="AO1138" s="3"/>
      <c r="AP1138" s="4"/>
      <c r="AQ1138" s="3"/>
      <c r="AS1138" s="3"/>
      <c r="AU1138" s="3"/>
      <c r="AW1138" s="3"/>
      <c r="AY1138" s="3"/>
      <c r="BA1138" s="3"/>
      <c r="BC1138" s="3"/>
      <c r="BE1138" s="3"/>
    </row>
    <row r="1139" spans="1:57" s="42" customFormat="1" x14ac:dyDescent="0.25">
      <c r="A1139" s="279" t="s">
        <v>1212</v>
      </c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4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4">
        <f>+AG1105+AG1108</f>
        <v>4258.9025799999999</v>
      </c>
      <c r="AH1139" s="4"/>
      <c r="AI1139" s="3">
        <f>AG1139+(AI835/1000)</f>
        <v>4827.2866435749975</v>
      </c>
      <c r="AJ1139" s="3"/>
      <c r="AK1139" s="3">
        <f>+AI1139+(AK835/1000)-(AK1082/1000)</f>
        <v>4559.3678960978723</v>
      </c>
      <c r="AL1139" s="3"/>
      <c r="AM1139" s="3">
        <f>+AK1139+(AM835/1000)</f>
        <v>4072.2787010567158</v>
      </c>
      <c r="AN1139" s="3"/>
      <c r="AO1139" s="3">
        <f>+AM1139+(AO835/1000)</f>
        <v>3577.9607183328026</v>
      </c>
      <c r="AP1139" s="4"/>
      <c r="AQ1139" s="3">
        <f>+AO1139+(AQ835/1000)</f>
        <v>3520.2653488316682</v>
      </c>
      <c r="AS1139" s="3">
        <f>+AQ1139+(AS835/1000)</f>
        <v>3221.8739260328593</v>
      </c>
      <c r="AU1139" s="3">
        <f>+AS1139+(AU835/1000)</f>
        <v>2743.4543373359065</v>
      </c>
      <c r="AW1139" s="3">
        <f>+AU1139+(AW835/1000)</f>
        <v>2440.0564704315584</v>
      </c>
      <c r="AY1139" s="3">
        <f>+AW1139+(AY835/1000)</f>
        <v>2029.5729893108269</v>
      </c>
      <c r="BA1139" s="3">
        <f>+AY1139+(BA835/1000)</f>
        <v>1915.7714789715706</v>
      </c>
      <c r="BC1139" s="3">
        <f>+BA1139+(BC835/1000)</f>
        <v>1883.5769964313076</v>
      </c>
      <c r="BE1139" s="3">
        <f>+BC1139+(BE835/1000)</f>
        <v>1858.3684716297441</v>
      </c>
    </row>
    <row r="1140" spans="1:57" s="42" customFormat="1" x14ac:dyDescent="0.25">
      <c r="A1140" s="279" t="s">
        <v>1213</v>
      </c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4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4"/>
      <c r="AH1140" s="4"/>
      <c r="AI1140" s="3">
        <f>+AG1140</f>
        <v>0</v>
      </c>
      <c r="AJ1140" s="3"/>
      <c r="AK1140" s="3">
        <f>+AI1140</f>
        <v>0</v>
      </c>
      <c r="AL1140" s="3"/>
      <c r="AM1140" s="3">
        <f>+AK1140</f>
        <v>0</v>
      </c>
      <c r="AN1140" s="3"/>
      <c r="AO1140" s="3">
        <f>+AM1140</f>
        <v>0</v>
      </c>
      <c r="AP1140" s="4"/>
      <c r="AQ1140" s="3">
        <f>+AO1140</f>
        <v>0</v>
      </c>
      <c r="AS1140" s="3">
        <f>+AQ1140</f>
        <v>0</v>
      </c>
      <c r="AU1140" s="3">
        <f>+AS1140</f>
        <v>0</v>
      </c>
      <c r="AW1140" s="3">
        <f>+AU1140</f>
        <v>0</v>
      </c>
      <c r="AY1140" s="3">
        <f>+AW1140</f>
        <v>0</v>
      </c>
      <c r="BA1140" s="3">
        <f>+AY1140</f>
        <v>0</v>
      </c>
      <c r="BC1140" s="3">
        <f>+BA1140</f>
        <v>0</v>
      </c>
      <c r="BE1140" s="3">
        <f>+BC1140</f>
        <v>0</v>
      </c>
    </row>
    <row r="1141" spans="1:57" s="42" customFormat="1" x14ac:dyDescent="0.25">
      <c r="A1141" s="279" t="s">
        <v>1214</v>
      </c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4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4"/>
      <c r="AH1141" s="4"/>
      <c r="AI1141" s="3"/>
      <c r="AJ1141" s="3"/>
      <c r="AK1141" s="3"/>
      <c r="AL1141" s="3"/>
      <c r="AM1141" s="3"/>
      <c r="AN1141" s="3"/>
      <c r="AO1141" s="3"/>
      <c r="AP1141" s="4"/>
      <c r="AQ1141" s="3"/>
      <c r="AS1141" s="3"/>
      <c r="AU1141" s="3"/>
      <c r="AW1141" s="3"/>
      <c r="AY1141" s="3"/>
      <c r="BA1141" s="3"/>
      <c r="BC1141" s="3"/>
      <c r="BE1141" s="3"/>
    </row>
    <row r="1142" spans="1:57" s="254" customFormat="1" x14ac:dyDescent="0.25">
      <c r="A1142" s="282" t="s">
        <v>1215</v>
      </c>
      <c r="B1142" s="7"/>
      <c r="C1142" s="7"/>
      <c r="D1142" s="7"/>
      <c r="E1142" s="7"/>
      <c r="F1142" s="7"/>
      <c r="G1142" s="7"/>
      <c r="H1142" s="7"/>
      <c r="I1142" s="7"/>
      <c r="J1142" s="7"/>
      <c r="K1142" s="7"/>
      <c r="L1142" s="7"/>
      <c r="M1142" s="32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32">
        <f>SUM(AG1139:AG1141)</f>
        <v>4258.9025799999999</v>
      </c>
      <c r="AH1142" s="32"/>
      <c r="AI1142" s="32">
        <f>SUM(AI1139:AI1141)</f>
        <v>4827.2866435749975</v>
      </c>
      <c r="AJ1142" s="7"/>
      <c r="AK1142" s="32">
        <f>SUM(AK1139:AK1141)</f>
        <v>4559.3678960978723</v>
      </c>
      <c r="AL1142" s="7"/>
      <c r="AM1142" s="32">
        <f>SUM(AM1139:AM1141)</f>
        <v>4072.2787010567158</v>
      </c>
      <c r="AN1142" s="7"/>
      <c r="AO1142" s="32">
        <f>SUM(AO1139:AO1141)</f>
        <v>3577.9607183328026</v>
      </c>
      <c r="AP1142" s="32"/>
      <c r="AQ1142" s="32">
        <f>SUM(AQ1139:AQ1141)</f>
        <v>3520.2653488316682</v>
      </c>
      <c r="AS1142" s="32">
        <f>SUM(AS1139:AS1141)</f>
        <v>3221.8739260328593</v>
      </c>
      <c r="AU1142" s="32">
        <f>SUM(AU1139:AU1141)</f>
        <v>2743.4543373359065</v>
      </c>
      <c r="AW1142" s="32">
        <f>SUM(AW1139:AW1141)</f>
        <v>2440.0564704315584</v>
      </c>
      <c r="AY1142" s="32">
        <f>SUM(AY1139:AY1141)</f>
        <v>2029.5729893108269</v>
      </c>
      <c r="BA1142" s="32">
        <f>SUM(BA1139:BA1141)</f>
        <v>1915.7714789715706</v>
      </c>
      <c r="BC1142" s="32">
        <f>SUM(BC1139:BC1141)</f>
        <v>1883.5769964313076</v>
      </c>
      <c r="BE1142" s="32">
        <f>SUM(BE1139:BE1141)</f>
        <v>1858.3684716297441</v>
      </c>
    </row>
    <row r="1143" spans="1:57" s="42" customFormat="1" x14ac:dyDescent="0.25">
      <c r="A1143" s="281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4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4">
        <f>+AG1136-AG1142</f>
        <v>0</v>
      </c>
      <c r="AH1143" s="4"/>
      <c r="AI1143" s="4">
        <f>+AI1136-AI1142</f>
        <v>0</v>
      </c>
      <c r="AJ1143" s="3"/>
      <c r="AK1143" s="4">
        <f>+AK1136-AK1142</f>
        <v>0</v>
      </c>
      <c r="AL1143" s="3"/>
      <c r="AM1143" s="4">
        <f>+AM1136-AM1142</f>
        <v>0</v>
      </c>
      <c r="AN1143" s="3"/>
      <c r="AO1143" s="4">
        <f>+AO1136-AO1142</f>
        <v>0</v>
      </c>
      <c r="AP1143" s="4"/>
      <c r="AQ1143" s="4">
        <f>+AQ1136-AQ1142</f>
        <v>0</v>
      </c>
      <c r="AS1143" s="4">
        <f>+AS1136-AS1142</f>
        <v>0</v>
      </c>
      <c r="AU1143" s="4">
        <f>+AU1136-AU1142</f>
        <v>0</v>
      </c>
      <c r="AW1143" s="4">
        <f>+AW1136-AW1142</f>
        <v>0</v>
      </c>
      <c r="AY1143" s="4">
        <f>+AY1136-AY1142</f>
        <v>1.8189894035458565E-12</v>
      </c>
      <c r="BA1143" s="4">
        <f>+BA1136-BA1142</f>
        <v>2.0463630789890885E-12</v>
      </c>
      <c r="BC1143" s="4">
        <f>+BC1136-BC1142</f>
        <v>4.3200998334214091E-12</v>
      </c>
      <c r="BE1143" s="4">
        <f>+BE1136-BE1142</f>
        <v>-0.69999999999436113</v>
      </c>
    </row>
    <row r="1144" spans="1:57" s="42" customFormat="1" x14ac:dyDescent="0.25">
      <c r="A1144" s="281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4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4"/>
      <c r="AH1144" s="4"/>
      <c r="AI1144" s="3"/>
      <c r="AJ1144" s="3"/>
      <c r="AK1144" s="3"/>
      <c r="AL1144" s="3"/>
      <c r="AM1144" s="3"/>
      <c r="AN1144" s="3"/>
      <c r="AO1144" s="3"/>
      <c r="AP1144" s="4"/>
      <c r="AQ1144" s="3"/>
      <c r="AS1144" s="3"/>
      <c r="AU1144" s="3"/>
      <c r="AW1144" s="3"/>
      <c r="AY1144" s="3"/>
      <c r="BA1144" s="3"/>
    </row>
    <row r="1145" spans="1:57" s="42" customFormat="1" x14ac:dyDescent="0.25"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4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4"/>
      <c r="AH1145" s="4"/>
      <c r="AI1145" s="3"/>
      <c r="AJ1145" s="3"/>
      <c r="AK1145" s="3"/>
      <c r="AL1145" s="3"/>
      <c r="AM1145" s="3"/>
      <c r="AN1145" s="3"/>
      <c r="AO1145" s="3"/>
      <c r="AP1145" s="4"/>
      <c r="AQ1145" s="3"/>
      <c r="AS1145" s="3"/>
      <c r="AU1145" s="3"/>
      <c r="AW1145" s="3"/>
      <c r="AY1145" s="3"/>
      <c r="BA1145" s="3"/>
    </row>
    <row r="1146" spans="1:57" s="42" customFormat="1" x14ac:dyDescent="0.25"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4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4"/>
      <c r="AH1146" s="4"/>
      <c r="AI1146" s="3"/>
      <c r="AJ1146" s="3"/>
      <c r="AK1146" s="3"/>
      <c r="AL1146" s="3"/>
      <c r="AM1146" s="3"/>
      <c r="AN1146" s="3"/>
      <c r="AO1146" s="3"/>
      <c r="AP1146" s="4"/>
      <c r="AQ1146" s="3"/>
      <c r="AS1146" s="3"/>
      <c r="AU1146" s="3"/>
      <c r="AW1146" s="3"/>
      <c r="AY1146" s="3"/>
      <c r="BA1146" s="3"/>
      <c r="BC1146" s="3"/>
      <c r="BE1146" s="3"/>
    </row>
    <row r="1147" spans="1:57" x14ac:dyDescent="0.25">
      <c r="AG1147" s="328"/>
      <c r="BC1147" s="3"/>
      <c r="BE1147" s="3"/>
    </row>
    <row r="1148" spans="1:57" x14ac:dyDescent="0.25">
      <c r="BC1148" s="3"/>
      <c r="BE1148" s="3"/>
    </row>
  </sheetData>
  <autoFilter ref="A1:A1145"/>
  <mergeCells count="3">
    <mergeCell ref="A1049:BF1049"/>
    <mergeCell ref="A1100:BF1100"/>
    <mergeCell ref="A36:BE36"/>
  </mergeCells>
  <pageMargins left="0.70866141732283472" right="0.70866141732283472" top="0.74803149606299213" bottom="0.74803149606299213" header="0.31496062992125984" footer="0.31496062992125984"/>
  <pageSetup paperSize="8" scale="69" fitToHeight="20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Q256"/>
  <sheetViews>
    <sheetView topLeftCell="A233" zoomScale="75" zoomScaleNormal="75" workbookViewId="0">
      <selection activeCell="AI218" sqref="AI218:BE218"/>
    </sheetView>
  </sheetViews>
  <sheetFormatPr defaultRowHeight="15" outlineLevelRow="1" x14ac:dyDescent="0.25"/>
  <cols>
    <col min="1" max="1" width="63.42578125" style="42" customWidth="1"/>
    <col min="2" max="2" width="17.7109375" style="3" hidden="1" customWidth="1"/>
    <col min="3" max="3" width="2.85546875" style="3" hidden="1" customWidth="1"/>
    <col min="4" max="6" width="15.5703125" style="3" hidden="1" customWidth="1"/>
    <col min="7" max="7" width="3" style="3" hidden="1" customWidth="1"/>
    <col min="8" max="8" width="15.5703125" style="3" hidden="1" customWidth="1"/>
    <col min="9" max="9" width="3" style="3" hidden="1" customWidth="1"/>
    <col min="10" max="12" width="15.5703125" style="3" hidden="1" customWidth="1"/>
    <col min="13" max="13" width="3" style="4" hidden="1" customWidth="1"/>
    <col min="14" max="14" width="15.5703125" style="3" hidden="1" customWidth="1"/>
    <col min="15" max="15" width="1.7109375" style="3" hidden="1" customWidth="1"/>
    <col min="16" max="16" width="17.42578125" style="3" hidden="1" customWidth="1"/>
    <col min="17" max="17" width="1.140625" style="3" hidden="1" customWidth="1"/>
    <col min="18" max="19" width="15.28515625" style="3" hidden="1" customWidth="1"/>
    <col min="20" max="20" width="15.5703125" style="3" hidden="1" customWidth="1"/>
    <col min="21" max="21" width="15.28515625" style="3" hidden="1" customWidth="1"/>
    <col min="22" max="22" width="15.140625" style="3" hidden="1" customWidth="1"/>
    <col min="23" max="23" width="14.42578125" style="3" hidden="1" customWidth="1"/>
    <col min="24" max="24" width="1.7109375" style="3" hidden="1" customWidth="1"/>
    <col min="25" max="25" width="16.85546875" style="3" hidden="1" customWidth="1"/>
    <col min="26" max="26" width="17.140625" style="3" hidden="1" customWidth="1"/>
    <col min="27" max="27" width="2.140625" style="3" hidden="1" customWidth="1"/>
    <col min="28" max="28" width="2.7109375" style="3" hidden="1" customWidth="1"/>
    <col min="29" max="29" width="15.5703125" style="3" hidden="1" customWidth="1"/>
    <col min="30" max="30" width="16.42578125" style="3" hidden="1" customWidth="1"/>
    <col min="31" max="31" width="19.85546875" style="3" hidden="1" customWidth="1"/>
    <col min="32" max="32" width="18" style="3" hidden="1" customWidth="1"/>
    <col min="33" max="33" width="8.85546875" style="3" bestFit="1" customWidth="1"/>
    <col min="34" max="34" width="1.7109375" style="3" customWidth="1"/>
    <col min="35" max="35" width="15.5703125" style="3" customWidth="1"/>
    <col min="36" max="36" width="1.7109375" style="3" customWidth="1"/>
    <col min="37" max="37" width="15.5703125" style="3" customWidth="1"/>
    <col min="38" max="38" width="1.7109375" style="3" customWidth="1"/>
    <col min="39" max="39" width="15.5703125" style="3" customWidth="1"/>
    <col min="40" max="40" width="1.7109375" style="3" customWidth="1"/>
    <col min="41" max="41" width="15.5703125" style="3" customWidth="1"/>
    <col min="42" max="42" width="1.7109375" style="3" customWidth="1"/>
    <col min="43" max="43" width="15.5703125" style="3" customWidth="1"/>
    <col min="44" max="44" width="1.7109375" style="42" customWidth="1"/>
    <col min="45" max="45" width="15.5703125" style="3" customWidth="1"/>
    <col min="46" max="46" width="1.7109375" style="42" customWidth="1"/>
    <col min="47" max="47" width="15.85546875" style="3" customWidth="1"/>
    <col min="48" max="48" width="1.7109375" style="42" customWidth="1"/>
    <col min="49" max="49" width="15.5703125" style="3" customWidth="1"/>
    <col min="50" max="50" width="1.7109375" style="42" customWidth="1"/>
    <col min="51" max="51" width="15.5703125" style="3" customWidth="1"/>
    <col min="52" max="52" width="1.7109375" style="42" customWidth="1"/>
    <col min="53" max="53" width="15.5703125" style="3" customWidth="1"/>
    <col min="54" max="54" width="1.7109375" style="42" customWidth="1"/>
    <col min="55" max="55" width="15.140625" style="42" customWidth="1"/>
    <col min="56" max="56" width="1.7109375" style="42" customWidth="1"/>
    <col min="57" max="57" width="12" style="42" bestFit="1" customWidth="1"/>
    <col min="58" max="58" width="1.7109375" style="42" customWidth="1"/>
    <col min="59" max="60" width="13.42578125" style="42" customWidth="1"/>
    <col min="61" max="61" width="9.140625" style="42" customWidth="1"/>
    <col min="62" max="62" width="13.42578125" style="42" customWidth="1"/>
    <col min="63" max="63" width="9.140625" style="42" customWidth="1"/>
    <col min="64" max="64" width="13.42578125" style="42" customWidth="1"/>
    <col min="65" max="65" width="9.140625" style="42" customWidth="1"/>
    <col min="66" max="66" width="13.42578125" style="42" customWidth="1"/>
    <col min="67" max="67" width="9.140625" style="42" customWidth="1"/>
    <col min="68" max="68" width="13.42578125" style="42" customWidth="1"/>
    <col min="69" max="257" width="9.140625" style="42"/>
    <col min="258" max="258" width="26.5703125" style="42" customWidth="1"/>
    <col min="259" max="271" width="0" style="42" hidden="1" customWidth="1"/>
    <col min="272" max="272" width="1.7109375" style="42" customWidth="1"/>
    <col min="273" max="273" width="17.42578125" style="42" customWidth="1"/>
    <col min="274" max="274" width="1.140625" style="42" customWidth="1"/>
    <col min="275" max="287" width="0" style="42" hidden="1" customWidth="1"/>
    <col min="288" max="288" width="19.85546875" style="42" customWidth="1"/>
    <col min="289" max="289" width="0" style="42" hidden="1" customWidth="1"/>
    <col min="290" max="290" width="2.85546875" style="42" customWidth="1"/>
    <col min="291" max="291" width="15.5703125" style="42" customWidth="1"/>
    <col min="292" max="292" width="2" style="42" customWidth="1"/>
    <col min="293" max="293" width="15.5703125" style="42" customWidth="1"/>
    <col min="294" max="294" width="1.7109375" style="42" customWidth="1"/>
    <col min="295" max="295" width="15.5703125" style="42" customWidth="1"/>
    <col min="296" max="296" width="1.5703125" style="42" customWidth="1"/>
    <col min="297" max="297" width="15.5703125" style="42" customWidth="1"/>
    <col min="298" max="298" width="1.42578125" style="42" customWidth="1"/>
    <col min="299" max="299" width="15.5703125" style="42" customWidth="1"/>
    <col min="300" max="300" width="1.85546875" style="42" customWidth="1"/>
    <col min="301" max="301" width="15.5703125" style="42" customWidth="1"/>
    <col min="302" max="302" width="1.28515625" style="42" customWidth="1"/>
    <col min="303" max="303" width="15.85546875" style="42" customWidth="1"/>
    <col min="304" max="304" width="1.5703125" style="42" customWidth="1"/>
    <col min="305" max="305" width="15.5703125" style="42" customWidth="1"/>
    <col min="306" max="306" width="1.85546875" style="42" customWidth="1"/>
    <col min="307" max="307" width="15.5703125" style="42" customWidth="1"/>
    <col min="308" max="308" width="1.5703125" style="42" customWidth="1"/>
    <col min="309" max="309" width="15.5703125" style="42" customWidth="1"/>
    <col min="310" max="310" width="9.140625" style="42"/>
    <col min="311" max="311" width="15.140625" style="42" customWidth="1"/>
    <col min="312" max="513" width="9.140625" style="42"/>
    <col min="514" max="514" width="26.5703125" style="42" customWidth="1"/>
    <col min="515" max="527" width="0" style="42" hidden="1" customWidth="1"/>
    <col min="528" max="528" width="1.7109375" style="42" customWidth="1"/>
    <col min="529" max="529" width="17.42578125" style="42" customWidth="1"/>
    <col min="530" max="530" width="1.140625" style="42" customWidth="1"/>
    <col min="531" max="543" width="0" style="42" hidden="1" customWidth="1"/>
    <col min="544" max="544" width="19.85546875" style="42" customWidth="1"/>
    <col min="545" max="545" width="0" style="42" hidden="1" customWidth="1"/>
    <col min="546" max="546" width="2.85546875" style="42" customWidth="1"/>
    <col min="547" max="547" width="15.5703125" style="42" customWidth="1"/>
    <col min="548" max="548" width="2" style="42" customWidth="1"/>
    <col min="549" max="549" width="15.5703125" style="42" customWidth="1"/>
    <col min="550" max="550" width="1.7109375" style="42" customWidth="1"/>
    <col min="551" max="551" width="15.5703125" style="42" customWidth="1"/>
    <col min="552" max="552" width="1.5703125" style="42" customWidth="1"/>
    <col min="553" max="553" width="15.5703125" style="42" customWidth="1"/>
    <col min="554" max="554" width="1.42578125" style="42" customWidth="1"/>
    <col min="555" max="555" width="15.5703125" style="42" customWidth="1"/>
    <col min="556" max="556" width="1.85546875" style="42" customWidth="1"/>
    <col min="557" max="557" width="15.5703125" style="42" customWidth="1"/>
    <col min="558" max="558" width="1.28515625" style="42" customWidth="1"/>
    <col min="559" max="559" width="15.85546875" style="42" customWidth="1"/>
    <col min="560" max="560" width="1.5703125" style="42" customWidth="1"/>
    <col min="561" max="561" width="15.5703125" style="42" customWidth="1"/>
    <col min="562" max="562" width="1.85546875" style="42" customWidth="1"/>
    <col min="563" max="563" width="15.5703125" style="42" customWidth="1"/>
    <col min="564" max="564" width="1.5703125" style="42" customWidth="1"/>
    <col min="565" max="565" width="15.5703125" style="42" customWidth="1"/>
    <col min="566" max="566" width="9.140625" style="42"/>
    <col min="567" max="567" width="15.140625" style="42" customWidth="1"/>
    <col min="568" max="769" width="9.140625" style="42"/>
    <col min="770" max="770" width="26.5703125" style="42" customWidth="1"/>
    <col min="771" max="783" width="0" style="42" hidden="1" customWidth="1"/>
    <col min="784" max="784" width="1.7109375" style="42" customWidth="1"/>
    <col min="785" max="785" width="17.42578125" style="42" customWidth="1"/>
    <col min="786" max="786" width="1.140625" style="42" customWidth="1"/>
    <col min="787" max="799" width="0" style="42" hidden="1" customWidth="1"/>
    <col min="800" max="800" width="19.85546875" style="42" customWidth="1"/>
    <col min="801" max="801" width="0" style="42" hidden="1" customWidth="1"/>
    <col min="802" max="802" width="2.85546875" style="42" customWidth="1"/>
    <col min="803" max="803" width="15.5703125" style="42" customWidth="1"/>
    <col min="804" max="804" width="2" style="42" customWidth="1"/>
    <col min="805" max="805" width="15.5703125" style="42" customWidth="1"/>
    <col min="806" max="806" width="1.7109375" style="42" customWidth="1"/>
    <col min="807" max="807" width="15.5703125" style="42" customWidth="1"/>
    <col min="808" max="808" width="1.5703125" style="42" customWidth="1"/>
    <col min="809" max="809" width="15.5703125" style="42" customWidth="1"/>
    <col min="810" max="810" width="1.42578125" style="42" customWidth="1"/>
    <col min="811" max="811" width="15.5703125" style="42" customWidth="1"/>
    <col min="812" max="812" width="1.85546875" style="42" customWidth="1"/>
    <col min="813" max="813" width="15.5703125" style="42" customWidth="1"/>
    <col min="814" max="814" width="1.28515625" style="42" customWidth="1"/>
    <col min="815" max="815" width="15.85546875" style="42" customWidth="1"/>
    <col min="816" max="816" width="1.5703125" style="42" customWidth="1"/>
    <col min="817" max="817" width="15.5703125" style="42" customWidth="1"/>
    <col min="818" max="818" width="1.85546875" style="42" customWidth="1"/>
    <col min="819" max="819" width="15.5703125" style="42" customWidth="1"/>
    <col min="820" max="820" width="1.5703125" style="42" customWidth="1"/>
    <col min="821" max="821" width="15.5703125" style="42" customWidth="1"/>
    <col min="822" max="822" width="9.140625" style="42"/>
    <col min="823" max="823" width="15.140625" style="42" customWidth="1"/>
    <col min="824" max="1025" width="9.140625" style="42"/>
    <col min="1026" max="1026" width="26.5703125" style="42" customWidth="1"/>
    <col min="1027" max="1039" width="0" style="42" hidden="1" customWidth="1"/>
    <col min="1040" max="1040" width="1.7109375" style="42" customWidth="1"/>
    <col min="1041" max="1041" width="17.42578125" style="42" customWidth="1"/>
    <col min="1042" max="1042" width="1.140625" style="42" customWidth="1"/>
    <col min="1043" max="1055" width="0" style="42" hidden="1" customWidth="1"/>
    <col min="1056" max="1056" width="19.85546875" style="42" customWidth="1"/>
    <col min="1057" max="1057" width="0" style="42" hidden="1" customWidth="1"/>
    <col min="1058" max="1058" width="2.85546875" style="42" customWidth="1"/>
    <col min="1059" max="1059" width="15.5703125" style="42" customWidth="1"/>
    <col min="1060" max="1060" width="2" style="42" customWidth="1"/>
    <col min="1061" max="1061" width="15.5703125" style="42" customWidth="1"/>
    <col min="1062" max="1062" width="1.7109375" style="42" customWidth="1"/>
    <col min="1063" max="1063" width="15.5703125" style="42" customWidth="1"/>
    <col min="1064" max="1064" width="1.5703125" style="42" customWidth="1"/>
    <col min="1065" max="1065" width="15.5703125" style="42" customWidth="1"/>
    <col min="1066" max="1066" width="1.42578125" style="42" customWidth="1"/>
    <col min="1067" max="1067" width="15.5703125" style="42" customWidth="1"/>
    <col min="1068" max="1068" width="1.85546875" style="42" customWidth="1"/>
    <col min="1069" max="1069" width="15.5703125" style="42" customWidth="1"/>
    <col min="1070" max="1070" width="1.28515625" style="42" customWidth="1"/>
    <col min="1071" max="1071" width="15.85546875" style="42" customWidth="1"/>
    <col min="1072" max="1072" width="1.5703125" style="42" customWidth="1"/>
    <col min="1073" max="1073" width="15.5703125" style="42" customWidth="1"/>
    <col min="1074" max="1074" width="1.85546875" style="42" customWidth="1"/>
    <col min="1075" max="1075" width="15.5703125" style="42" customWidth="1"/>
    <col min="1076" max="1076" width="1.5703125" style="42" customWidth="1"/>
    <col min="1077" max="1077" width="15.5703125" style="42" customWidth="1"/>
    <col min="1078" max="1078" width="9.140625" style="42"/>
    <col min="1079" max="1079" width="15.140625" style="42" customWidth="1"/>
    <col min="1080" max="1281" width="9.140625" style="42"/>
    <col min="1282" max="1282" width="26.5703125" style="42" customWidth="1"/>
    <col min="1283" max="1295" width="0" style="42" hidden="1" customWidth="1"/>
    <col min="1296" max="1296" width="1.7109375" style="42" customWidth="1"/>
    <col min="1297" max="1297" width="17.42578125" style="42" customWidth="1"/>
    <col min="1298" max="1298" width="1.140625" style="42" customWidth="1"/>
    <col min="1299" max="1311" width="0" style="42" hidden="1" customWidth="1"/>
    <col min="1312" max="1312" width="19.85546875" style="42" customWidth="1"/>
    <col min="1313" max="1313" width="0" style="42" hidden="1" customWidth="1"/>
    <col min="1314" max="1314" width="2.85546875" style="42" customWidth="1"/>
    <col min="1315" max="1315" width="15.5703125" style="42" customWidth="1"/>
    <col min="1316" max="1316" width="2" style="42" customWidth="1"/>
    <col min="1317" max="1317" width="15.5703125" style="42" customWidth="1"/>
    <col min="1318" max="1318" width="1.7109375" style="42" customWidth="1"/>
    <col min="1319" max="1319" width="15.5703125" style="42" customWidth="1"/>
    <col min="1320" max="1320" width="1.5703125" style="42" customWidth="1"/>
    <col min="1321" max="1321" width="15.5703125" style="42" customWidth="1"/>
    <col min="1322" max="1322" width="1.42578125" style="42" customWidth="1"/>
    <col min="1323" max="1323" width="15.5703125" style="42" customWidth="1"/>
    <col min="1324" max="1324" width="1.85546875" style="42" customWidth="1"/>
    <col min="1325" max="1325" width="15.5703125" style="42" customWidth="1"/>
    <col min="1326" max="1326" width="1.28515625" style="42" customWidth="1"/>
    <col min="1327" max="1327" width="15.85546875" style="42" customWidth="1"/>
    <col min="1328" max="1328" width="1.5703125" style="42" customWidth="1"/>
    <col min="1329" max="1329" width="15.5703125" style="42" customWidth="1"/>
    <col min="1330" max="1330" width="1.85546875" style="42" customWidth="1"/>
    <col min="1331" max="1331" width="15.5703125" style="42" customWidth="1"/>
    <col min="1332" max="1332" width="1.5703125" style="42" customWidth="1"/>
    <col min="1333" max="1333" width="15.5703125" style="42" customWidth="1"/>
    <col min="1334" max="1334" width="9.140625" style="42"/>
    <col min="1335" max="1335" width="15.140625" style="42" customWidth="1"/>
    <col min="1336" max="1537" width="9.140625" style="42"/>
    <col min="1538" max="1538" width="26.5703125" style="42" customWidth="1"/>
    <col min="1539" max="1551" width="0" style="42" hidden="1" customWidth="1"/>
    <col min="1552" max="1552" width="1.7109375" style="42" customWidth="1"/>
    <col min="1553" max="1553" width="17.42578125" style="42" customWidth="1"/>
    <col min="1554" max="1554" width="1.140625" style="42" customWidth="1"/>
    <col min="1555" max="1567" width="0" style="42" hidden="1" customWidth="1"/>
    <col min="1568" max="1568" width="19.85546875" style="42" customWidth="1"/>
    <col min="1569" max="1569" width="0" style="42" hidden="1" customWidth="1"/>
    <col min="1570" max="1570" width="2.85546875" style="42" customWidth="1"/>
    <col min="1571" max="1571" width="15.5703125" style="42" customWidth="1"/>
    <col min="1572" max="1572" width="2" style="42" customWidth="1"/>
    <col min="1573" max="1573" width="15.5703125" style="42" customWidth="1"/>
    <col min="1574" max="1574" width="1.7109375" style="42" customWidth="1"/>
    <col min="1575" max="1575" width="15.5703125" style="42" customWidth="1"/>
    <col min="1576" max="1576" width="1.5703125" style="42" customWidth="1"/>
    <col min="1577" max="1577" width="15.5703125" style="42" customWidth="1"/>
    <col min="1578" max="1578" width="1.42578125" style="42" customWidth="1"/>
    <col min="1579" max="1579" width="15.5703125" style="42" customWidth="1"/>
    <col min="1580" max="1580" width="1.85546875" style="42" customWidth="1"/>
    <col min="1581" max="1581" width="15.5703125" style="42" customWidth="1"/>
    <col min="1582" max="1582" width="1.28515625" style="42" customWidth="1"/>
    <col min="1583" max="1583" width="15.85546875" style="42" customWidth="1"/>
    <col min="1584" max="1584" width="1.5703125" style="42" customWidth="1"/>
    <col min="1585" max="1585" width="15.5703125" style="42" customWidth="1"/>
    <col min="1586" max="1586" width="1.85546875" style="42" customWidth="1"/>
    <col min="1587" max="1587" width="15.5703125" style="42" customWidth="1"/>
    <col min="1588" max="1588" width="1.5703125" style="42" customWidth="1"/>
    <col min="1589" max="1589" width="15.5703125" style="42" customWidth="1"/>
    <col min="1590" max="1590" width="9.140625" style="42"/>
    <col min="1591" max="1591" width="15.140625" style="42" customWidth="1"/>
    <col min="1592" max="1793" width="9.140625" style="42"/>
    <col min="1794" max="1794" width="26.5703125" style="42" customWidth="1"/>
    <col min="1795" max="1807" width="0" style="42" hidden="1" customWidth="1"/>
    <col min="1808" max="1808" width="1.7109375" style="42" customWidth="1"/>
    <col min="1809" max="1809" width="17.42578125" style="42" customWidth="1"/>
    <col min="1810" max="1810" width="1.140625" style="42" customWidth="1"/>
    <col min="1811" max="1823" width="0" style="42" hidden="1" customWidth="1"/>
    <col min="1824" max="1824" width="19.85546875" style="42" customWidth="1"/>
    <col min="1825" max="1825" width="0" style="42" hidden="1" customWidth="1"/>
    <col min="1826" max="1826" width="2.85546875" style="42" customWidth="1"/>
    <col min="1827" max="1827" width="15.5703125" style="42" customWidth="1"/>
    <col min="1828" max="1828" width="2" style="42" customWidth="1"/>
    <col min="1829" max="1829" width="15.5703125" style="42" customWidth="1"/>
    <col min="1830" max="1830" width="1.7109375" style="42" customWidth="1"/>
    <col min="1831" max="1831" width="15.5703125" style="42" customWidth="1"/>
    <col min="1832" max="1832" width="1.5703125" style="42" customWidth="1"/>
    <col min="1833" max="1833" width="15.5703125" style="42" customWidth="1"/>
    <col min="1834" max="1834" width="1.42578125" style="42" customWidth="1"/>
    <col min="1835" max="1835" width="15.5703125" style="42" customWidth="1"/>
    <col min="1836" max="1836" width="1.85546875" style="42" customWidth="1"/>
    <col min="1837" max="1837" width="15.5703125" style="42" customWidth="1"/>
    <col min="1838" max="1838" width="1.28515625" style="42" customWidth="1"/>
    <col min="1839" max="1839" width="15.85546875" style="42" customWidth="1"/>
    <col min="1840" max="1840" width="1.5703125" style="42" customWidth="1"/>
    <col min="1841" max="1841" width="15.5703125" style="42" customWidth="1"/>
    <col min="1842" max="1842" width="1.85546875" style="42" customWidth="1"/>
    <col min="1843" max="1843" width="15.5703125" style="42" customWidth="1"/>
    <col min="1844" max="1844" width="1.5703125" style="42" customWidth="1"/>
    <col min="1845" max="1845" width="15.5703125" style="42" customWidth="1"/>
    <col min="1846" max="1846" width="9.140625" style="42"/>
    <col min="1847" max="1847" width="15.140625" style="42" customWidth="1"/>
    <col min="1848" max="2049" width="9.140625" style="42"/>
    <col min="2050" max="2050" width="26.5703125" style="42" customWidth="1"/>
    <col min="2051" max="2063" width="0" style="42" hidden="1" customWidth="1"/>
    <col min="2064" max="2064" width="1.7109375" style="42" customWidth="1"/>
    <col min="2065" max="2065" width="17.42578125" style="42" customWidth="1"/>
    <col min="2066" max="2066" width="1.140625" style="42" customWidth="1"/>
    <col min="2067" max="2079" width="0" style="42" hidden="1" customWidth="1"/>
    <col min="2080" max="2080" width="19.85546875" style="42" customWidth="1"/>
    <col min="2081" max="2081" width="0" style="42" hidden="1" customWidth="1"/>
    <col min="2082" max="2082" width="2.85546875" style="42" customWidth="1"/>
    <col min="2083" max="2083" width="15.5703125" style="42" customWidth="1"/>
    <col min="2084" max="2084" width="2" style="42" customWidth="1"/>
    <col min="2085" max="2085" width="15.5703125" style="42" customWidth="1"/>
    <col min="2086" max="2086" width="1.7109375" style="42" customWidth="1"/>
    <col min="2087" max="2087" width="15.5703125" style="42" customWidth="1"/>
    <col min="2088" max="2088" width="1.5703125" style="42" customWidth="1"/>
    <col min="2089" max="2089" width="15.5703125" style="42" customWidth="1"/>
    <col min="2090" max="2090" width="1.42578125" style="42" customWidth="1"/>
    <col min="2091" max="2091" width="15.5703125" style="42" customWidth="1"/>
    <col min="2092" max="2092" width="1.85546875" style="42" customWidth="1"/>
    <col min="2093" max="2093" width="15.5703125" style="42" customWidth="1"/>
    <col min="2094" max="2094" width="1.28515625" style="42" customWidth="1"/>
    <col min="2095" max="2095" width="15.85546875" style="42" customWidth="1"/>
    <col min="2096" max="2096" width="1.5703125" style="42" customWidth="1"/>
    <col min="2097" max="2097" width="15.5703125" style="42" customWidth="1"/>
    <col min="2098" max="2098" width="1.85546875" style="42" customWidth="1"/>
    <col min="2099" max="2099" width="15.5703125" style="42" customWidth="1"/>
    <col min="2100" max="2100" width="1.5703125" style="42" customWidth="1"/>
    <col min="2101" max="2101" width="15.5703125" style="42" customWidth="1"/>
    <col min="2102" max="2102" width="9.140625" style="42"/>
    <col min="2103" max="2103" width="15.140625" style="42" customWidth="1"/>
    <col min="2104" max="2305" width="9.140625" style="42"/>
    <col min="2306" max="2306" width="26.5703125" style="42" customWidth="1"/>
    <col min="2307" max="2319" width="0" style="42" hidden="1" customWidth="1"/>
    <col min="2320" max="2320" width="1.7109375" style="42" customWidth="1"/>
    <col min="2321" max="2321" width="17.42578125" style="42" customWidth="1"/>
    <col min="2322" max="2322" width="1.140625" style="42" customWidth="1"/>
    <col min="2323" max="2335" width="0" style="42" hidden="1" customWidth="1"/>
    <col min="2336" max="2336" width="19.85546875" style="42" customWidth="1"/>
    <col min="2337" max="2337" width="0" style="42" hidden="1" customWidth="1"/>
    <col min="2338" max="2338" width="2.85546875" style="42" customWidth="1"/>
    <col min="2339" max="2339" width="15.5703125" style="42" customWidth="1"/>
    <col min="2340" max="2340" width="2" style="42" customWidth="1"/>
    <col min="2341" max="2341" width="15.5703125" style="42" customWidth="1"/>
    <col min="2342" max="2342" width="1.7109375" style="42" customWidth="1"/>
    <col min="2343" max="2343" width="15.5703125" style="42" customWidth="1"/>
    <col min="2344" max="2344" width="1.5703125" style="42" customWidth="1"/>
    <col min="2345" max="2345" width="15.5703125" style="42" customWidth="1"/>
    <col min="2346" max="2346" width="1.42578125" style="42" customWidth="1"/>
    <col min="2347" max="2347" width="15.5703125" style="42" customWidth="1"/>
    <col min="2348" max="2348" width="1.85546875" style="42" customWidth="1"/>
    <col min="2349" max="2349" width="15.5703125" style="42" customWidth="1"/>
    <col min="2350" max="2350" width="1.28515625" style="42" customWidth="1"/>
    <col min="2351" max="2351" width="15.85546875" style="42" customWidth="1"/>
    <col min="2352" max="2352" width="1.5703125" style="42" customWidth="1"/>
    <col min="2353" max="2353" width="15.5703125" style="42" customWidth="1"/>
    <col min="2354" max="2354" width="1.85546875" style="42" customWidth="1"/>
    <col min="2355" max="2355" width="15.5703125" style="42" customWidth="1"/>
    <col min="2356" max="2356" width="1.5703125" style="42" customWidth="1"/>
    <col min="2357" max="2357" width="15.5703125" style="42" customWidth="1"/>
    <col min="2358" max="2358" width="9.140625" style="42"/>
    <col min="2359" max="2359" width="15.140625" style="42" customWidth="1"/>
    <col min="2360" max="2561" width="9.140625" style="42"/>
    <col min="2562" max="2562" width="26.5703125" style="42" customWidth="1"/>
    <col min="2563" max="2575" width="0" style="42" hidden="1" customWidth="1"/>
    <col min="2576" max="2576" width="1.7109375" style="42" customWidth="1"/>
    <col min="2577" max="2577" width="17.42578125" style="42" customWidth="1"/>
    <col min="2578" max="2578" width="1.140625" style="42" customWidth="1"/>
    <col min="2579" max="2591" width="0" style="42" hidden="1" customWidth="1"/>
    <col min="2592" max="2592" width="19.85546875" style="42" customWidth="1"/>
    <col min="2593" max="2593" width="0" style="42" hidden="1" customWidth="1"/>
    <col min="2594" max="2594" width="2.85546875" style="42" customWidth="1"/>
    <col min="2595" max="2595" width="15.5703125" style="42" customWidth="1"/>
    <col min="2596" max="2596" width="2" style="42" customWidth="1"/>
    <col min="2597" max="2597" width="15.5703125" style="42" customWidth="1"/>
    <col min="2598" max="2598" width="1.7109375" style="42" customWidth="1"/>
    <col min="2599" max="2599" width="15.5703125" style="42" customWidth="1"/>
    <col min="2600" max="2600" width="1.5703125" style="42" customWidth="1"/>
    <col min="2601" max="2601" width="15.5703125" style="42" customWidth="1"/>
    <col min="2602" max="2602" width="1.42578125" style="42" customWidth="1"/>
    <col min="2603" max="2603" width="15.5703125" style="42" customWidth="1"/>
    <col min="2604" max="2604" width="1.85546875" style="42" customWidth="1"/>
    <col min="2605" max="2605" width="15.5703125" style="42" customWidth="1"/>
    <col min="2606" max="2606" width="1.28515625" style="42" customWidth="1"/>
    <col min="2607" max="2607" width="15.85546875" style="42" customWidth="1"/>
    <col min="2608" max="2608" width="1.5703125" style="42" customWidth="1"/>
    <col min="2609" max="2609" width="15.5703125" style="42" customWidth="1"/>
    <col min="2610" max="2610" width="1.85546875" style="42" customWidth="1"/>
    <col min="2611" max="2611" width="15.5703125" style="42" customWidth="1"/>
    <col min="2612" max="2612" width="1.5703125" style="42" customWidth="1"/>
    <col min="2613" max="2613" width="15.5703125" style="42" customWidth="1"/>
    <col min="2614" max="2614" width="9.140625" style="42"/>
    <col min="2615" max="2615" width="15.140625" style="42" customWidth="1"/>
    <col min="2616" max="2817" width="9.140625" style="42"/>
    <col min="2818" max="2818" width="26.5703125" style="42" customWidth="1"/>
    <col min="2819" max="2831" width="0" style="42" hidden="1" customWidth="1"/>
    <col min="2832" max="2832" width="1.7109375" style="42" customWidth="1"/>
    <col min="2833" max="2833" width="17.42578125" style="42" customWidth="1"/>
    <col min="2834" max="2834" width="1.140625" style="42" customWidth="1"/>
    <col min="2835" max="2847" width="0" style="42" hidden="1" customWidth="1"/>
    <col min="2848" max="2848" width="19.85546875" style="42" customWidth="1"/>
    <col min="2849" max="2849" width="0" style="42" hidden="1" customWidth="1"/>
    <col min="2850" max="2850" width="2.85546875" style="42" customWidth="1"/>
    <col min="2851" max="2851" width="15.5703125" style="42" customWidth="1"/>
    <col min="2852" max="2852" width="2" style="42" customWidth="1"/>
    <col min="2853" max="2853" width="15.5703125" style="42" customWidth="1"/>
    <col min="2854" max="2854" width="1.7109375" style="42" customWidth="1"/>
    <col min="2855" max="2855" width="15.5703125" style="42" customWidth="1"/>
    <col min="2856" max="2856" width="1.5703125" style="42" customWidth="1"/>
    <col min="2857" max="2857" width="15.5703125" style="42" customWidth="1"/>
    <col min="2858" max="2858" width="1.42578125" style="42" customWidth="1"/>
    <col min="2859" max="2859" width="15.5703125" style="42" customWidth="1"/>
    <col min="2860" max="2860" width="1.85546875" style="42" customWidth="1"/>
    <col min="2861" max="2861" width="15.5703125" style="42" customWidth="1"/>
    <col min="2862" max="2862" width="1.28515625" style="42" customWidth="1"/>
    <col min="2863" max="2863" width="15.85546875" style="42" customWidth="1"/>
    <col min="2864" max="2864" width="1.5703125" style="42" customWidth="1"/>
    <col min="2865" max="2865" width="15.5703125" style="42" customWidth="1"/>
    <col min="2866" max="2866" width="1.85546875" style="42" customWidth="1"/>
    <col min="2867" max="2867" width="15.5703125" style="42" customWidth="1"/>
    <col min="2868" max="2868" width="1.5703125" style="42" customWidth="1"/>
    <col min="2869" max="2869" width="15.5703125" style="42" customWidth="1"/>
    <col min="2870" max="2870" width="9.140625" style="42"/>
    <col min="2871" max="2871" width="15.140625" style="42" customWidth="1"/>
    <col min="2872" max="3073" width="9.140625" style="42"/>
    <col min="3074" max="3074" width="26.5703125" style="42" customWidth="1"/>
    <col min="3075" max="3087" width="0" style="42" hidden="1" customWidth="1"/>
    <col min="3088" max="3088" width="1.7109375" style="42" customWidth="1"/>
    <col min="3089" max="3089" width="17.42578125" style="42" customWidth="1"/>
    <col min="3090" max="3090" width="1.140625" style="42" customWidth="1"/>
    <col min="3091" max="3103" width="0" style="42" hidden="1" customWidth="1"/>
    <col min="3104" max="3104" width="19.85546875" style="42" customWidth="1"/>
    <col min="3105" max="3105" width="0" style="42" hidden="1" customWidth="1"/>
    <col min="3106" max="3106" width="2.85546875" style="42" customWidth="1"/>
    <col min="3107" max="3107" width="15.5703125" style="42" customWidth="1"/>
    <col min="3108" max="3108" width="2" style="42" customWidth="1"/>
    <col min="3109" max="3109" width="15.5703125" style="42" customWidth="1"/>
    <col min="3110" max="3110" width="1.7109375" style="42" customWidth="1"/>
    <col min="3111" max="3111" width="15.5703125" style="42" customWidth="1"/>
    <col min="3112" max="3112" width="1.5703125" style="42" customWidth="1"/>
    <col min="3113" max="3113" width="15.5703125" style="42" customWidth="1"/>
    <col min="3114" max="3114" width="1.42578125" style="42" customWidth="1"/>
    <col min="3115" max="3115" width="15.5703125" style="42" customWidth="1"/>
    <col min="3116" max="3116" width="1.85546875" style="42" customWidth="1"/>
    <col min="3117" max="3117" width="15.5703125" style="42" customWidth="1"/>
    <col min="3118" max="3118" width="1.28515625" style="42" customWidth="1"/>
    <col min="3119" max="3119" width="15.85546875" style="42" customWidth="1"/>
    <col min="3120" max="3120" width="1.5703125" style="42" customWidth="1"/>
    <col min="3121" max="3121" width="15.5703125" style="42" customWidth="1"/>
    <col min="3122" max="3122" width="1.85546875" style="42" customWidth="1"/>
    <col min="3123" max="3123" width="15.5703125" style="42" customWidth="1"/>
    <col min="3124" max="3124" width="1.5703125" style="42" customWidth="1"/>
    <col min="3125" max="3125" width="15.5703125" style="42" customWidth="1"/>
    <col min="3126" max="3126" width="9.140625" style="42"/>
    <col min="3127" max="3127" width="15.140625" style="42" customWidth="1"/>
    <col min="3128" max="3329" width="9.140625" style="42"/>
    <col min="3330" max="3330" width="26.5703125" style="42" customWidth="1"/>
    <col min="3331" max="3343" width="0" style="42" hidden="1" customWidth="1"/>
    <col min="3344" max="3344" width="1.7109375" style="42" customWidth="1"/>
    <col min="3345" max="3345" width="17.42578125" style="42" customWidth="1"/>
    <col min="3346" max="3346" width="1.140625" style="42" customWidth="1"/>
    <col min="3347" max="3359" width="0" style="42" hidden="1" customWidth="1"/>
    <col min="3360" max="3360" width="19.85546875" style="42" customWidth="1"/>
    <col min="3361" max="3361" width="0" style="42" hidden="1" customWidth="1"/>
    <col min="3362" max="3362" width="2.85546875" style="42" customWidth="1"/>
    <col min="3363" max="3363" width="15.5703125" style="42" customWidth="1"/>
    <col min="3364" max="3364" width="2" style="42" customWidth="1"/>
    <col min="3365" max="3365" width="15.5703125" style="42" customWidth="1"/>
    <col min="3366" max="3366" width="1.7109375" style="42" customWidth="1"/>
    <col min="3367" max="3367" width="15.5703125" style="42" customWidth="1"/>
    <col min="3368" max="3368" width="1.5703125" style="42" customWidth="1"/>
    <col min="3369" max="3369" width="15.5703125" style="42" customWidth="1"/>
    <col min="3370" max="3370" width="1.42578125" style="42" customWidth="1"/>
    <col min="3371" max="3371" width="15.5703125" style="42" customWidth="1"/>
    <col min="3372" max="3372" width="1.85546875" style="42" customWidth="1"/>
    <col min="3373" max="3373" width="15.5703125" style="42" customWidth="1"/>
    <col min="3374" max="3374" width="1.28515625" style="42" customWidth="1"/>
    <col min="3375" max="3375" width="15.85546875" style="42" customWidth="1"/>
    <col min="3376" max="3376" width="1.5703125" style="42" customWidth="1"/>
    <col min="3377" max="3377" width="15.5703125" style="42" customWidth="1"/>
    <col min="3378" max="3378" width="1.85546875" style="42" customWidth="1"/>
    <col min="3379" max="3379" width="15.5703125" style="42" customWidth="1"/>
    <col min="3380" max="3380" width="1.5703125" style="42" customWidth="1"/>
    <col min="3381" max="3381" width="15.5703125" style="42" customWidth="1"/>
    <col min="3382" max="3382" width="9.140625" style="42"/>
    <col min="3383" max="3383" width="15.140625" style="42" customWidth="1"/>
    <col min="3384" max="3585" width="9.140625" style="42"/>
    <col min="3586" max="3586" width="26.5703125" style="42" customWidth="1"/>
    <col min="3587" max="3599" width="0" style="42" hidden="1" customWidth="1"/>
    <col min="3600" max="3600" width="1.7109375" style="42" customWidth="1"/>
    <col min="3601" max="3601" width="17.42578125" style="42" customWidth="1"/>
    <col min="3602" max="3602" width="1.140625" style="42" customWidth="1"/>
    <col min="3603" max="3615" width="0" style="42" hidden="1" customWidth="1"/>
    <col min="3616" max="3616" width="19.85546875" style="42" customWidth="1"/>
    <col min="3617" max="3617" width="0" style="42" hidden="1" customWidth="1"/>
    <col min="3618" max="3618" width="2.85546875" style="42" customWidth="1"/>
    <col min="3619" max="3619" width="15.5703125" style="42" customWidth="1"/>
    <col min="3620" max="3620" width="2" style="42" customWidth="1"/>
    <col min="3621" max="3621" width="15.5703125" style="42" customWidth="1"/>
    <col min="3622" max="3622" width="1.7109375" style="42" customWidth="1"/>
    <col min="3623" max="3623" width="15.5703125" style="42" customWidth="1"/>
    <col min="3624" max="3624" width="1.5703125" style="42" customWidth="1"/>
    <col min="3625" max="3625" width="15.5703125" style="42" customWidth="1"/>
    <col min="3626" max="3626" width="1.42578125" style="42" customWidth="1"/>
    <col min="3627" max="3627" width="15.5703125" style="42" customWidth="1"/>
    <col min="3628" max="3628" width="1.85546875" style="42" customWidth="1"/>
    <col min="3629" max="3629" width="15.5703125" style="42" customWidth="1"/>
    <col min="3630" max="3630" width="1.28515625" style="42" customWidth="1"/>
    <col min="3631" max="3631" width="15.85546875" style="42" customWidth="1"/>
    <col min="3632" max="3632" width="1.5703125" style="42" customWidth="1"/>
    <col min="3633" max="3633" width="15.5703125" style="42" customWidth="1"/>
    <col min="3634" max="3634" width="1.85546875" style="42" customWidth="1"/>
    <col min="3635" max="3635" width="15.5703125" style="42" customWidth="1"/>
    <col min="3636" max="3636" width="1.5703125" style="42" customWidth="1"/>
    <col min="3637" max="3637" width="15.5703125" style="42" customWidth="1"/>
    <col min="3638" max="3638" width="9.140625" style="42"/>
    <col min="3639" max="3639" width="15.140625" style="42" customWidth="1"/>
    <col min="3640" max="3841" width="9.140625" style="42"/>
    <col min="3842" max="3842" width="26.5703125" style="42" customWidth="1"/>
    <col min="3843" max="3855" width="0" style="42" hidden="1" customWidth="1"/>
    <col min="3856" max="3856" width="1.7109375" style="42" customWidth="1"/>
    <col min="3857" max="3857" width="17.42578125" style="42" customWidth="1"/>
    <col min="3858" max="3858" width="1.140625" style="42" customWidth="1"/>
    <col min="3859" max="3871" width="0" style="42" hidden="1" customWidth="1"/>
    <col min="3872" max="3872" width="19.85546875" style="42" customWidth="1"/>
    <col min="3873" max="3873" width="0" style="42" hidden="1" customWidth="1"/>
    <col min="3874" max="3874" width="2.85546875" style="42" customWidth="1"/>
    <col min="3875" max="3875" width="15.5703125" style="42" customWidth="1"/>
    <col min="3876" max="3876" width="2" style="42" customWidth="1"/>
    <col min="3877" max="3877" width="15.5703125" style="42" customWidth="1"/>
    <col min="3878" max="3878" width="1.7109375" style="42" customWidth="1"/>
    <col min="3879" max="3879" width="15.5703125" style="42" customWidth="1"/>
    <col min="3880" max="3880" width="1.5703125" style="42" customWidth="1"/>
    <col min="3881" max="3881" width="15.5703125" style="42" customWidth="1"/>
    <col min="3882" max="3882" width="1.42578125" style="42" customWidth="1"/>
    <col min="3883" max="3883" width="15.5703125" style="42" customWidth="1"/>
    <col min="3884" max="3884" width="1.85546875" style="42" customWidth="1"/>
    <col min="3885" max="3885" width="15.5703125" style="42" customWidth="1"/>
    <col min="3886" max="3886" width="1.28515625" style="42" customWidth="1"/>
    <col min="3887" max="3887" width="15.85546875" style="42" customWidth="1"/>
    <col min="3888" max="3888" width="1.5703125" style="42" customWidth="1"/>
    <col min="3889" max="3889" width="15.5703125" style="42" customWidth="1"/>
    <col min="3890" max="3890" width="1.85546875" style="42" customWidth="1"/>
    <col min="3891" max="3891" width="15.5703125" style="42" customWidth="1"/>
    <col min="3892" max="3892" width="1.5703125" style="42" customWidth="1"/>
    <col min="3893" max="3893" width="15.5703125" style="42" customWidth="1"/>
    <col min="3894" max="3894" width="9.140625" style="42"/>
    <col min="3895" max="3895" width="15.140625" style="42" customWidth="1"/>
    <col min="3896" max="4097" width="9.140625" style="42"/>
    <col min="4098" max="4098" width="26.5703125" style="42" customWidth="1"/>
    <col min="4099" max="4111" width="0" style="42" hidden="1" customWidth="1"/>
    <col min="4112" max="4112" width="1.7109375" style="42" customWidth="1"/>
    <col min="4113" max="4113" width="17.42578125" style="42" customWidth="1"/>
    <col min="4114" max="4114" width="1.140625" style="42" customWidth="1"/>
    <col min="4115" max="4127" width="0" style="42" hidden="1" customWidth="1"/>
    <col min="4128" max="4128" width="19.85546875" style="42" customWidth="1"/>
    <col min="4129" max="4129" width="0" style="42" hidden="1" customWidth="1"/>
    <col min="4130" max="4130" width="2.85546875" style="42" customWidth="1"/>
    <col min="4131" max="4131" width="15.5703125" style="42" customWidth="1"/>
    <col min="4132" max="4132" width="2" style="42" customWidth="1"/>
    <col min="4133" max="4133" width="15.5703125" style="42" customWidth="1"/>
    <col min="4134" max="4134" width="1.7109375" style="42" customWidth="1"/>
    <col min="4135" max="4135" width="15.5703125" style="42" customWidth="1"/>
    <col min="4136" max="4136" width="1.5703125" style="42" customWidth="1"/>
    <col min="4137" max="4137" width="15.5703125" style="42" customWidth="1"/>
    <col min="4138" max="4138" width="1.42578125" style="42" customWidth="1"/>
    <col min="4139" max="4139" width="15.5703125" style="42" customWidth="1"/>
    <col min="4140" max="4140" width="1.85546875" style="42" customWidth="1"/>
    <col min="4141" max="4141" width="15.5703125" style="42" customWidth="1"/>
    <col min="4142" max="4142" width="1.28515625" style="42" customWidth="1"/>
    <col min="4143" max="4143" width="15.85546875" style="42" customWidth="1"/>
    <col min="4144" max="4144" width="1.5703125" style="42" customWidth="1"/>
    <col min="4145" max="4145" width="15.5703125" style="42" customWidth="1"/>
    <col min="4146" max="4146" width="1.85546875" style="42" customWidth="1"/>
    <col min="4147" max="4147" width="15.5703125" style="42" customWidth="1"/>
    <col min="4148" max="4148" width="1.5703125" style="42" customWidth="1"/>
    <col min="4149" max="4149" width="15.5703125" style="42" customWidth="1"/>
    <col min="4150" max="4150" width="9.140625" style="42"/>
    <col min="4151" max="4151" width="15.140625" style="42" customWidth="1"/>
    <col min="4152" max="4353" width="9.140625" style="42"/>
    <col min="4354" max="4354" width="26.5703125" style="42" customWidth="1"/>
    <col min="4355" max="4367" width="0" style="42" hidden="1" customWidth="1"/>
    <col min="4368" max="4368" width="1.7109375" style="42" customWidth="1"/>
    <col min="4369" max="4369" width="17.42578125" style="42" customWidth="1"/>
    <col min="4370" max="4370" width="1.140625" style="42" customWidth="1"/>
    <col min="4371" max="4383" width="0" style="42" hidden="1" customWidth="1"/>
    <col min="4384" max="4384" width="19.85546875" style="42" customWidth="1"/>
    <col min="4385" max="4385" width="0" style="42" hidden="1" customWidth="1"/>
    <col min="4386" max="4386" width="2.85546875" style="42" customWidth="1"/>
    <col min="4387" max="4387" width="15.5703125" style="42" customWidth="1"/>
    <col min="4388" max="4388" width="2" style="42" customWidth="1"/>
    <col min="4389" max="4389" width="15.5703125" style="42" customWidth="1"/>
    <col min="4390" max="4390" width="1.7109375" style="42" customWidth="1"/>
    <col min="4391" max="4391" width="15.5703125" style="42" customWidth="1"/>
    <col min="4392" max="4392" width="1.5703125" style="42" customWidth="1"/>
    <col min="4393" max="4393" width="15.5703125" style="42" customWidth="1"/>
    <col min="4394" max="4394" width="1.42578125" style="42" customWidth="1"/>
    <col min="4395" max="4395" width="15.5703125" style="42" customWidth="1"/>
    <col min="4396" max="4396" width="1.85546875" style="42" customWidth="1"/>
    <col min="4397" max="4397" width="15.5703125" style="42" customWidth="1"/>
    <col min="4398" max="4398" width="1.28515625" style="42" customWidth="1"/>
    <col min="4399" max="4399" width="15.85546875" style="42" customWidth="1"/>
    <col min="4400" max="4400" width="1.5703125" style="42" customWidth="1"/>
    <col min="4401" max="4401" width="15.5703125" style="42" customWidth="1"/>
    <col min="4402" max="4402" width="1.85546875" style="42" customWidth="1"/>
    <col min="4403" max="4403" width="15.5703125" style="42" customWidth="1"/>
    <col min="4404" max="4404" width="1.5703125" style="42" customWidth="1"/>
    <col min="4405" max="4405" width="15.5703125" style="42" customWidth="1"/>
    <col min="4406" max="4406" width="9.140625" style="42"/>
    <col min="4407" max="4407" width="15.140625" style="42" customWidth="1"/>
    <col min="4408" max="4609" width="9.140625" style="42"/>
    <col min="4610" max="4610" width="26.5703125" style="42" customWidth="1"/>
    <col min="4611" max="4623" width="0" style="42" hidden="1" customWidth="1"/>
    <col min="4624" max="4624" width="1.7109375" style="42" customWidth="1"/>
    <col min="4625" max="4625" width="17.42578125" style="42" customWidth="1"/>
    <col min="4626" max="4626" width="1.140625" style="42" customWidth="1"/>
    <col min="4627" max="4639" width="0" style="42" hidden="1" customWidth="1"/>
    <col min="4640" max="4640" width="19.85546875" style="42" customWidth="1"/>
    <col min="4641" max="4641" width="0" style="42" hidden="1" customWidth="1"/>
    <col min="4642" max="4642" width="2.85546875" style="42" customWidth="1"/>
    <col min="4643" max="4643" width="15.5703125" style="42" customWidth="1"/>
    <col min="4644" max="4644" width="2" style="42" customWidth="1"/>
    <col min="4645" max="4645" width="15.5703125" style="42" customWidth="1"/>
    <col min="4646" max="4646" width="1.7109375" style="42" customWidth="1"/>
    <col min="4647" max="4647" width="15.5703125" style="42" customWidth="1"/>
    <col min="4648" max="4648" width="1.5703125" style="42" customWidth="1"/>
    <col min="4649" max="4649" width="15.5703125" style="42" customWidth="1"/>
    <col min="4650" max="4650" width="1.42578125" style="42" customWidth="1"/>
    <col min="4651" max="4651" width="15.5703125" style="42" customWidth="1"/>
    <col min="4652" max="4652" width="1.85546875" style="42" customWidth="1"/>
    <col min="4653" max="4653" width="15.5703125" style="42" customWidth="1"/>
    <col min="4654" max="4654" width="1.28515625" style="42" customWidth="1"/>
    <col min="4655" max="4655" width="15.85546875" style="42" customWidth="1"/>
    <col min="4656" max="4656" width="1.5703125" style="42" customWidth="1"/>
    <col min="4657" max="4657" width="15.5703125" style="42" customWidth="1"/>
    <col min="4658" max="4658" width="1.85546875" style="42" customWidth="1"/>
    <col min="4659" max="4659" width="15.5703125" style="42" customWidth="1"/>
    <col min="4660" max="4660" width="1.5703125" style="42" customWidth="1"/>
    <col min="4661" max="4661" width="15.5703125" style="42" customWidth="1"/>
    <col min="4662" max="4662" width="9.140625" style="42"/>
    <col min="4663" max="4663" width="15.140625" style="42" customWidth="1"/>
    <col min="4664" max="4865" width="9.140625" style="42"/>
    <col min="4866" max="4866" width="26.5703125" style="42" customWidth="1"/>
    <col min="4867" max="4879" width="0" style="42" hidden="1" customWidth="1"/>
    <col min="4880" max="4880" width="1.7109375" style="42" customWidth="1"/>
    <col min="4881" max="4881" width="17.42578125" style="42" customWidth="1"/>
    <col min="4882" max="4882" width="1.140625" style="42" customWidth="1"/>
    <col min="4883" max="4895" width="0" style="42" hidden="1" customWidth="1"/>
    <col min="4896" max="4896" width="19.85546875" style="42" customWidth="1"/>
    <col min="4897" max="4897" width="0" style="42" hidden="1" customWidth="1"/>
    <col min="4898" max="4898" width="2.85546875" style="42" customWidth="1"/>
    <col min="4899" max="4899" width="15.5703125" style="42" customWidth="1"/>
    <col min="4900" max="4900" width="2" style="42" customWidth="1"/>
    <col min="4901" max="4901" width="15.5703125" style="42" customWidth="1"/>
    <col min="4902" max="4902" width="1.7109375" style="42" customWidth="1"/>
    <col min="4903" max="4903" width="15.5703125" style="42" customWidth="1"/>
    <col min="4904" max="4904" width="1.5703125" style="42" customWidth="1"/>
    <col min="4905" max="4905" width="15.5703125" style="42" customWidth="1"/>
    <col min="4906" max="4906" width="1.42578125" style="42" customWidth="1"/>
    <col min="4907" max="4907" width="15.5703125" style="42" customWidth="1"/>
    <col min="4908" max="4908" width="1.85546875" style="42" customWidth="1"/>
    <col min="4909" max="4909" width="15.5703125" style="42" customWidth="1"/>
    <col min="4910" max="4910" width="1.28515625" style="42" customWidth="1"/>
    <col min="4911" max="4911" width="15.85546875" style="42" customWidth="1"/>
    <col min="4912" max="4912" width="1.5703125" style="42" customWidth="1"/>
    <col min="4913" max="4913" width="15.5703125" style="42" customWidth="1"/>
    <col min="4914" max="4914" width="1.85546875" style="42" customWidth="1"/>
    <col min="4915" max="4915" width="15.5703125" style="42" customWidth="1"/>
    <col min="4916" max="4916" width="1.5703125" style="42" customWidth="1"/>
    <col min="4917" max="4917" width="15.5703125" style="42" customWidth="1"/>
    <col min="4918" max="4918" width="9.140625" style="42"/>
    <col min="4919" max="4919" width="15.140625" style="42" customWidth="1"/>
    <col min="4920" max="5121" width="9.140625" style="42"/>
    <col min="5122" max="5122" width="26.5703125" style="42" customWidth="1"/>
    <col min="5123" max="5135" width="0" style="42" hidden="1" customWidth="1"/>
    <col min="5136" max="5136" width="1.7109375" style="42" customWidth="1"/>
    <col min="5137" max="5137" width="17.42578125" style="42" customWidth="1"/>
    <col min="5138" max="5138" width="1.140625" style="42" customWidth="1"/>
    <col min="5139" max="5151" width="0" style="42" hidden="1" customWidth="1"/>
    <col min="5152" max="5152" width="19.85546875" style="42" customWidth="1"/>
    <col min="5153" max="5153" width="0" style="42" hidden="1" customWidth="1"/>
    <col min="5154" max="5154" width="2.85546875" style="42" customWidth="1"/>
    <col min="5155" max="5155" width="15.5703125" style="42" customWidth="1"/>
    <col min="5156" max="5156" width="2" style="42" customWidth="1"/>
    <col min="5157" max="5157" width="15.5703125" style="42" customWidth="1"/>
    <col min="5158" max="5158" width="1.7109375" style="42" customWidth="1"/>
    <col min="5159" max="5159" width="15.5703125" style="42" customWidth="1"/>
    <col min="5160" max="5160" width="1.5703125" style="42" customWidth="1"/>
    <col min="5161" max="5161" width="15.5703125" style="42" customWidth="1"/>
    <col min="5162" max="5162" width="1.42578125" style="42" customWidth="1"/>
    <col min="5163" max="5163" width="15.5703125" style="42" customWidth="1"/>
    <col min="5164" max="5164" width="1.85546875" style="42" customWidth="1"/>
    <col min="5165" max="5165" width="15.5703125" style="42" customWidth="1"/>
    <col min="5166" max="5166" width="1.28515625" style="42" customWidth="1"/>
    <col min="5167" max="5167" width="15.85546875" style="42" customWidth="1"/>
    <col min="5168" max="5168" width="1.5703125" style="42" customWidth="1"/>
    <col min="5169" max="5169" width="15.5703125" style="42" customWidth="1"/>
    <col min="5170" max="5170" width="1.85546875" style="42" customWidth="1"/>
    <col min="5171" max="5171" width="15.5703125" style="42" customWidth="1"/>
    <col min="5172" max="5172" width="1.5703125" style="42" customWidth="1"/>
    <col min="5173" max="5173" width="15.5703125" style="42" customWidth="1"/>
    <col min="5174" max="5174" width="9.140625" style="42"/>
    <col min="5175" max="5175" width="15.140625" style="42" customWidth="1"/>
    <col min="5176" max="5377" width="9.140625" style="42"/>
    <col min="5378" max="5378" width="26.5703125" style="42" customWidth="1"/>
    <col min="5379" max="5391" width="0" style="42" hidden="1" customWidth="1"/>
    <col min="5392" max="5392" width="1.7109375" style="42" customWidth="1"/>
    <col min="5393" max="5393" width="17.42578125" style="42" customWidth="1"/>
    <col min="5394" max="5394" width="1.140625" style="42" customWidth="1"/>
    <col min="5395" max="5407" width="0" style="42" hidden="1" customWidth="1"/>
    <col min="5408" max="5408" width="19.85546875" style="42" customWidth="1"/>
    <col min="5409" max="5409" width="0" style="42" hidden="1" customWidth="1"/>
    <col min="5410" max="5410" width="2.85546875" style="42" customWidth="1"/>
    <col min="5411" max="5411" width="15.5703125" style="42" customWidth="1"/>
    <col min="5412" max="5412" width="2" style="42" customWidth="1"/>
    <col min="5413" max="5413" width="15.5703125" style="42" customWidth="1"/>
    <col min="5414" max="5414" width="1.7109375" style="42" customWidth="1"/>
    <col min="5415" max="5415" width="15.5703125" style="42" customWidth="1"/>
    <col min="5416" max="5416" width="1.5703125" style="42" customWidth="1"/>
    <col min="5417" max="5417" width="15.5703125" style="42" customWidth="1"/>
    <col min="5418" max="5418" width="1.42578125" style="42" customWidth="1"/>
    <col min="5419" max="5419" width="15.5703125" style="42" customWidth="1"/>
    <col min="5420" max="5420" width="1.85546875" style="42" customWidth="1"/>
    <col min="5421" max="5421" width="15.5703125" style="42" customWidth="1"/>
    <col min="5422" max="5422" width="1.28515625" style="42" customWidth="1"/>
    <col min="5423" max="5423" width="15.85546875" style="42" customWidth="1"/>
    <col min="5424" max="5424" width="1.5703125" style="42" customWidth="1"/>
    <col min="5425" max="5425" width="15.5703125" style="42" customWidth="1"/>
    <col min="5426" max="5426" width="1.85546875" style="42" customWidth="1"/>
    <col min="5427" max="5427" width="15.5703125" style="42" customWidth="1"/>
    <col min="5428" max="5428" width="1.5703125" style="42" customWidth="1"/>
    <col min="5429" max="5429" width="15.5703125" style="42" customWidth="1"/>
    <col min="5430" max="5430" width="9.140625" style="42"/>
    <col min="5431" max="5431" width="15.140625" style="42" customWidth="1"/>
    <col min="5432" max="5633" width="9.140625" style="42"/>
    <col min="5634" max="5634" width="26.5703125" style="42" customWidth="1"/>
    <col min="5635" max="5647" width="0" style="42" hidden="1" customWidth="1"/>
    <col min="5648" max="5648" width="1.7109375" style="42" customWidth="1"/>
    <col min="5649" max="5649" width="17.42578125" style="42" customWidth="1"/>
    <col min="5650" max="5650" width="1.140625" style="42" customWidth="1"/>
    <col min="5651" max="5663" width="0" style="42" hidden="1" customWidth="1"/>
    <col min="5664" max="5664" width="19.85546875" style="42" customWidth="1"/>
    <col min="5665" max="5665" width="0" style="42" hidden="1" customWidth="1"/>
    <col min="5666" max="5666" width="2.85546875" style="42" customWidth="1"/>
    <col min="5667" max="5667" width="15.5703125" style="42" customWidth="1"/>
    <col min="5668" max="5668" width="2" style="42" customWidth="1"/>
    <col min="5669" max="5669" width="15.5703125" style="42" customWidth="1"/>
    <col min="5670" max="5670" width="1.7109375" style="42" customWidth="1"/>
    <col min="5671" max="5671" width="15.5703125" style="42" customWidth="1"/>
    <col min="5672" max="5672" width="1.5703125" style="42" customWidth="1"/>
    <col min="5673" max="5673" width="15.5703125" style="42" customWidth="1"/>
    <col min="5674" max="5674" width="1.42578125" style="42" customWidth="1"/>
    <col min="5675" max="5675" width="15.5703125" style="42" customWidth="1"/>
    <col min="5676" max="5676" width="1.85546875" style="42" customWidth="1"/>
    <col min="5677" max="5677" width="15.5703125" style="42" customWidth="1"/>
    <col min="5678" max="5678" width="1.28515625" style="42" customWidth="1"/>
    <col min="5679" max="5679" width="15.85546875" style="42" customWidth="1"/>
    <col min="5680" max="5680" width="1.5703125" style="42" customWidth="1"/>
    <col min="5681" max="5681" width="15.5703125" style="42" customWidth="1"/>
    <col min="5682" max="5682" width="1.85546875" style="42" customWidth="1"/>
    <col min="5683" max="5683" width="15.5703125" style="42" customWidth="1"/>
    <col min="5684" max="5684" width="1.5703125" style="42" customWidth="1"/>
    <col min="5685" max="5685" width="15.5703125" style="42" customWidth="1"/>
    <col min="5686" max="5686" width="9.140625" style="42"/>
    <col min="5687" max="5687" width="15.140625" style="42" customWidth="1"/>
    <col min="5688" max="5889" width="9.140625" style="42"/>
    <col min="5890" max="5890" width="26.5703125" style="42" customWidth="1"/>
    <col min="5891" max="5903" width="0" style="42" hidden="1" customWidth="1"/>
    <col min="5904" max="5904" width="1.7109375" style="42" customWidth="1"/>
    <col min="5905" max="5905" width="17.42578125" style="42" customWidth="1"/>
    <col min="5906" max="5906" width="1.140625" style="42" customWidth="1"/>
    <col min="5907" max="5919" width="0" style="42" hidden="1" customWidth="1"/>
    <col min="5920" max="5920" width="19.85546875" style="42" customWidth="1"/>
    <col min="5921" max="5921" width="0" style="42" hidden="1" customWidth="1"/>
    <col min="5922" max="5922" width="2.85546875" style="42" customWidth="1"/>
    <col min="5923" max="5923" width="15.5703125" style="42" customWidth="1"/>
    <col min="5924" max="5924" width="2" style="42" customWidth="1"/>
    <col min="5925" max="5925" width="15.5703125" style="42" customWidth="1"/>
    <col min="5926" max="5926" width="1.7109375" style="42" customWidth="1"/>
    <col min="5927" max="5927" width="15.5703125" style="42" customWidth="1"/>
    <col min="5928" max="5928" width="1.5703125" style="42" customWidth="1"/>
    <col min="5929" max="5929" width="15.5703125" style="42" customWidth="1"/>
    <col min="5930" max="5930" width="1.42578125" style="42" customWidth="1"/>
    <col min="5931" max="5931" width="15.5703125" style="42" customWidth="1"/>
    <col min="5932" max="5932" width="1.85546875" style="42" customWidth="1"/>
    <col min="5933" max="5933" width="15.5703125" style="42" customWidth="1"/>
    <col min="5934" max="5934" width="1.28515625" style="42" customWidth="1"/>
    <col min="5935" max="5935" width="15.85546875" style="42" customWidth="1"/>
    <col min="5936" max="5936" width="1.5703125" style="42" customWidth="1"/>
    <col min="5937" max="5937" width="15.5703125" style="42" customWidth="1"/>
    <col min="5938" max="5938" width="1.85546875" style="42" customWidth="1"/>
    <col min="5939" max="5939" width="15.5703125" style="42" customWidth="1"/>
    <col min="5940" max="5940" width="1.5703125" style="42" customWidth="1"/>
    <col min="5941" max="5941" width="15.5703125" style="42" customWidth="1"/>
    <col min="5942" max="5942" width="9.140625" style="42"/>
    <col min="5943" max="5943" width="15.140625" style="42" customWidth="1"/>
    <col min="5944" max="6145" width="9.140625" style="42"/>
    <col min="6146" max="6146" width="26.5703125" style="42" customWidth="1"/>
    <col min="6147" max="6159" width="0" style="42" hidden="1" customWidth="1"/>
    <col min="6160" max="6160" width="1.7109375" style="42" customWidth="1"/>
    <col min="6161" max="6161" width="17.42578125" style="42" customWidth="1"/>
    <col min="6162" max="6162" width="1.140625" style="42" customWidth="1"/>
    <col min="6163" max="6175" width="0" style="42" hidden="1" customWidth="1"/>
    <col min="6176" max="6176" width="19.85546875" style="42" customWidth="1"/>
    <col min="6177" max="6177" width="0" style="42" hidden="1" customWidth="1"/>
    <col min="6178" max="6178" width="2.85546875" style="42" customWidth="1"/>
    <col min="6179" max="6179" width="15.5703125" style="42" customWidth="1"/>
    <col min="6180" max="6180" width="2" style="42" customWidth="1"/>
    <col min="6181" max="6181" width="15.5703125" style="42" customWidth="1"/>
    <col min="6182" max="6182" width="1.7109375" style="42" customWidth="1"/>
    <col min="6183" max="6183" width="15.5703125" style="42" customWidth="1"/>
    <col min="6184" max="6184" width="1.5703125" style="42" customWidth="1"/>
    <col min="6185" max="6185" width="15.5703125" style="42" customWidth="1"/>
    <col min="6186" max="6186" width="1.42578125" style="42" customWidth="1"/>
    <col min="6187" max="6187" width="15.5703125" style="42" customWidth="1"/>
    <col min="6188" max="6188" width="1.85546875" style="42" customWidth="1"/>
    <col min="6189" max="6189" width="15.5703125" style="42" customWidth="1"/>
    <col min="6190" max="6190" width="1.28515625" style="42" customWidth="1"/>
    <col min="6191" max="6191" width="15.85546875" style="42" customWidth="1"/>
    <col min="6192" max="6192" width="1.5703125" style="42" customWidth="1"/>
    <col min="6193" max="6193" width="15.5703125" style="42" customWidth="1"/>
    <col min="6194" max="6194" width="1.85546875" style="42" customWidth="1"/>
    <col min="6195" max="6195" width="15.5703125" style="42" customWidth="1"/>
    <col min="6196" max="6196" width="1.5703125" style="42" customWidth="1"/>
    <col min="6197" max="6197" width="15.5703125" style="42" customWidth="1"/>
    <col min="6198" max="6198" width="9.140625" style="42"/>
    <col min="6199" max="6199" width="15.140625" style="42" customWidth="1"/>
    <col min="6200" max="6401" width="9.140625" style="42"/>
    <col min="6402" max="6402" width="26.5703125" style="42" customWidth="1"/>
    <col min="6403" max="6415" width="0" style="42" hidden="1" customWidth="1"/>
    <col min="6416" max="6416" width="1.7109375" style="42" customWidth="1"/>
    <col min="6417" max="6417" width="17.42578125" style="42" customWidth="1"/>
    <col min="6418" max="6418" width="1.140625" style="42" customWidth="1"/>
    <col min="6419" max="6431" width="0" style="42" hidden="1" customWidth="1"/>
    <col min="6432" max="6432" width="19.85546875" style="42" customWidth="1"/>
    <col min="6433" max="6433" width="0" style="42" hidden="1" customWidth="1"/>
    <col min="6434" max="6434" width="2.85546875" style="42" customWidth="1"/>
    <col min="6435" max="6435" width="15.5703125" style="42" customWidth="1"/>
    <col min="6436" max="6436" width="2" style="42" customWidth="1"/>
    <col min="6437" max="6437" width="15.5703125" style="42" customWidth="1"/>
    <col min="6438" max="6438" width="1.7109375" style="42" customWidth="1"/>
    <col min="6439" max="6439" width="15.5703125" style="42" customWidth="1"/>
    <col min="6440" max="6440" width="1.5703125" style="42" customWidth="1"/>
    <col min="6441" max="6441" width="15.5703125" style="42" customWidth="1"/>
    <col min="6442" max="6442" width="1.42578125" style="42" customWidth="1"/>
    <col min="6443" max="6443" width="15.5703125" style="42" customWidth="1"/>
    <col min="6444" max="6444" width="1.85546875" style="42" customWidth="1"/>
    <col min="6445" max="6445" width="15.5703125" style="42" customWidth="1"/>
    <col min="6446" max="6446" width="1.28515625" style="42" customWidth="1"/>
    <col min="6447" max="6447" width="15.85546875" style="42" customWidth="1"/>
    <col min="6448" max="6448" width="1.5703125" style="42" customWidth="1"/>
    <col min="6449" max="6449" width="15.5703125" style="42" customWidth="1"/>
    <col min="6450" max="6450" width="1.85546875" style="42" customWidth="1"/>
    <col min="6451" max="6451" width="15.5703125" style="42" customWidth="1"/>
    <col min="6452" max="6452" width="1.5703125" style="42" customWidth="1"/>
    <col min="6453" max="6453" width="15.5703125" style="42" customWidth="1"/>
    <col min="6454" max="6454" width="9.140625" style="42"/>
    <col min="6455" max="6455" width="15.140625" style="42" customWidth="1"/>
    <col min="6456" max="6657" width="9.140625" style="42"/>
    <col min="6658" max="6658" width="26.5703125" style="42" customWidth="1"/>
    <col min="6659" max="6671" width="0" style="42" hidden="1" customWidth="1"/>
    <col min="6672" max="6672" width="1.7109375" style="42" customWidth="1"/>
    <col min="6673" max="6673" width="17.42578125" style="42" customWidth="1"/>
    <col min="6674" max="6674" width="1.140625" style="42" customWidth="1"/>
    <col min="6675" max="6687" width="0" style="42" hidden="1" customWidth="1"/>
    <col min="6688" max="6688" width="19.85546875" style="42" customWidth="1"/>
    <col min="6689" max="6689" width="0" style="42" hidden="1" customWidth="1"/>
    <col min="6690" max="6690" width="2.85546875" style="42" customWidth="1"/>
    <col min="6691" max="6691" width="15.5703125" style="42" customWidth="1"/>
    <col min="6692" max="6692" width="2" style="42" customWidth="1"/>
    <col min="6693" max="6693" width="15.5703125" style="42" customWidth="1"/>
    <col min="6694" max="6694" width="1.7109375" style="42" customWidth="1"/>
    <col min="6695" max="6695" width="15.5703125" style="42" customWidth="1"/>
    <col min="6696" max="6696" width="1.5703125" style="42" customWidth="1"/>
    <col min="6697" max="6697" width="15.5703125" style="42" customWidth="1"/>
    <col min="6698" max="6698" width="1.42578125" style="42" customWidth="1"/>
    <col min="6699" max="6699" width="15.5703125" style="42" customWidth="1"/>
    <col min="6700" max="6700" width="1.85546875" style="42" customWidth="1"/>
    <col min="6701" max="6701" width="15.5703125" style="42" customWidth="1"/>
    <col min="6702" max="6702" width="1.28515625" style="42" customWidth="1"/>
    <col min="6703" max="6703" width="15.85546875" style="42" customWidth="1"/>
    <col min="6704" max="6704" width="1.5703125" style="42" customWidth="1"/>
    <col min="6705" max="6705" width="15.5703125" style="42" customWidth="1"/>
    <col min="6706" max="6706" width="1.85546875" style="42" customWidth="1"/>
    <col min="6707" max="6707" width="15.5703125" style="42" customWidth="1"/>
    <col min="6708" max="6708" width="1.5703125" style="42" customWidth="1"/>
    <col min="6709" max="6709" width="15.5703125" style="42" customWidth="1"/>
    <col min="6710" max="6710" width="9.140625" style="42"/>
    <col min="6711" max="6711" width="15.140625" style="42" customWidth="1"/>
    <col min="6712" max="6913" width="9.140625" style="42"/>
    <col min="6914" max="6914" width="26.5703125" style="42" customWidth="1"/>
    <col min="6915" max="6927" width="0" style="42" hidden="1" customWidth="1"/>
    <col min="6928" max="6928" width="1.7109375" style="42" customWidth="1"/>
    <col min="6929" max="6929" width="17.42578125" style="42" customWidth="1"/>
    <col min="6930" max="6930" width="1.140625" style="42" customWidth="1"/>
    <col min="6931" max="6943" width="0" style="42" hidden="1" customWidth="1"/>
    <col min="6944" max="6944" width="19.85546875" style="42" customWidth="1"/>
    <col min="6945" max="6945" width="0" style="42" hidden="1" customWidth="1"/>
    <col min="6946" max="6946" width="2.85546875" style="42" customWidth="1"/>
    <col min="6947" max="6947" width="15.5703125" style="42" customWidth="1"/>
    <col min="6948" max="6948" width="2" style="42" customWidth="1"/>
    <col min="6949" max="6949" width="15.5703125" style="42" customWidth="1"/>
    <col min="6950" max="6950" width="1.7109375" style="42" customWidth="1"/>
    <col min="6951" max="6951" width="15.5703125" style="42" customWidth="1"/>
    <col min="6952" max="6952" width="1.5703125" style="42" customWidth="1"/>
    <col min="6953" max="6953" width="15.5703125" style="42" customWidth="1"/>
    <col min="6954" max="6954" width="1.42578125" style="42" customWidth="1"/>
    <col min="6955" max="6955" width="15.5703125" style="42" customWidth="1"/>
    <col min="6956" max="6956" width="1.85546875" style="42" customWidth="1"/>
    <col min="6957" max="6957" width="15.5703125" style="42" customWidth="1"/>
    <col min="6958" max="6958" width="1.28515625" style="42" customWidth="1"/>
    <col min="6959" max="6959" width="15.85546875" style="42" customWidth="1"/>
    <col min="6960" max="6960" width="1.5703125" style="42" customWidth="1"/>
    <col min="6961" max="6961" width="15.5703125" style="42" customWidth="1"/>
    <col min="6962" max="6962" width="1.85546875" style="42" customWidth="1"/>
    <col min="6963" max="6963" width="15.5703125" style="42" customWidth="1"/>
    <col min="6964" max="6964" width="1.5703125" style="42" customWidth="1"/>
    <col min="6965" max="6965" width="15.5703125" style="42" customWidth="1"/>
    <col min="6966" max="6966" width="9.140625" style="42"/>
    <col min="6967" max="6967" width="15.140625" style="42" customWidth="1"/>
    <col min="6968" max="7169" width="9.140625" style="42"/>
    <col min="7170" max="7170" width="26.5703125" style="42" customWidth="1"/>
    <col min="7171" max="7183" width="0" style="42" hidden="1" customWidth="1"/>
    <col min="7184" max="7184" width="1.7109375" style="42" customWidth="1"/>
    <col min="7185" max="7185" width="17.42578125" style="42" customWidth="1"/>
    <col min="7186" max="7186" width="1.140625" style="42" customWidth="1"/>
    <col min="7187" max="7199" width="0" style="42" hidden="1" customWidth="1"/>
    <col min="7200" max="7200" width="19.85546875" style="42" customWidth="1"/>
    <col min="7201" max="7201" width="0" style="42" hidden="1" customWidth="1"/>
    <col min="7202" max="7202" width="2.85546875" style="42" customWidth="1"/>
    <col min="7203" max="7203" width="15.5703125" style="42" customWidth="1"/>
    <col min="7204" max="7204" width="2" style="42" customWidth="1"/>
    <col min="7205" max="7205" width="15.5703125" style="42" customWidth="1"/>
    <col min="7206" max="7206" width="1.7109375" style="42" customWidth="1"/>
    <col min="7207" max="7207" width="15.5703125" style="42" customWidth="1"/>
    <col min="7208" max="7208" width="1.5703125" style="42" customWidth="1"/>
    <col min="7209" max="7209" width="15.5703125" style="42" customWidth="1"/>
    <col min="7210" max="7210" width="1.42578125" style="42" customWidth="1"/>
    <col min="7211" max="7211" width="15.5703125" style="42" customWidth="1"/>
    <col min="7212" max="7212" width="1.85546875" style="42" customWidth="1"/>
    <col min="7213" max="7213" width="15.5703125" style="42" customWidth="1"/>
    <col min="7214" max="7214" width="1.28515625" style="42" customWidth="1"/>
    <col min="7215" max="7215" width="15.85546875" style="42" customWidth="1"/>
    <col min="7216" max="7216" width="1.5703125" style="42" customWidth="1"/>
    <col min="7217" max="7217" width="15.5703125" style="42" customWidth="1"/>
    <col min="7218" max="7218" width="1.85546875" style="42" customWidth="1"/>
    <col min="7219" max="7219" width="15.5703125" style="42" customWidth="1"/>
    <col min="7220" max="7220" width="1.5703125" style="42" customWidth="1"/>
    <col min="7221" max="7221" width="15.5703125" style="42" customWidth="1"/>
    <col min="7222" max="7222" width="9.140625" style="42"/>
    <col min="7223" max="7223" width="15.140625" style="42" customWidth="1"/>
    <col min="7224" max="7425" width="9.140625" style="42"/>
    <col min="7426" max="7426" width="26.5703125" style="42" customWidth="1"/>
    <col min="7427" max="7439" width="0" style="42" hidden="1" customWidth="1"/>
    <col min="7440" max="7440" width="1.7109375" style="42" customWidth="1"/>
    <col min="7441" max="7441" width="17.42578125" style="42" customWidth="1"/>
    <col min="7442" max="7442" width="1.140625" style="42" customWidth="1"/>
    <col min="7443" max="7455" width="0" style="42" hidden="1" customWidth="1"/>
    <col min="7456" max="7456" width="19.85546875" style="42" customWidth="1"/>
    <col min="7457" max="7457" width="0" style="42" hidden="1" customWidth="1"/>
    <col min="7458" max="7458" width="2.85546875" style="42" customWidth="1"/>
    <col min="7459" max="7459" width="15.5703125" style="42" customWidth="1"/>
    <col min="7460" max="7460" width="2" style="42" customWidth="1"/>
    <col min="7461" max="7461" width="15.5703125" style="42" customWidth="1"/>
    <col min="7462" max="7462" width="1.7109375" style="42" customWidth="1"/>
    <col min="7463" max="7463" width="15.5703125" style="42" customWidth="1"/>
    <col min="7464" max="7464" width="1.5703125" style="42" customWidth="1"/>
    <col min="7465" max="7465" width="15.5703125" style="42" customWidth="1"/>
    <col min="7466" max="7466" width="1.42578125" style="42" customWidth="1"/>
    <col min="7467" max="7467" width="15.5703125" style="42" customWidth="1"/>
    <col min="7468" max="7468" width="1.85546875" style="42" customWidth="1"/>
    <col min="7469" max="7469" width="15.5703125" style="42" customWidth="1"/>
    <col min="7470" max="7470" width="1.28515625" style="42" customWidth="1"/>
    <col min="7471" max="7471" width="15.85546875" style="42" customWidth="1"/>
    <col min="7472" max="7472" width="1.5703125" style="42" customWidth="1"/>
    <col min="7473" max="7473" width="15.5703125" style="42" customWidth="1"/>
    <col min="7474" max="7474" width="1.85546875" style="42" customWidth="1"/>
    <col min="7475" max="7475" width="15.5703125" style="42" customWidth="1"/>
    <col min="7476" max="7476" width="1.5703125" style="42" customWidth="1"/>
    <col min="7477" max="7477" width="15.5703125" style="42" customWidth="1"/>
    <col min="7478" max="7478" width="9.140625" style="42"/>
    <col min="7479" max="7479" width="15.140625" style="42" customWidth="1"/>
    <col min="7480" max="7681" width="9.140625" style="42"/>
    <col min="7682" max="7682" width="26.5703125" style="42" customWidth="1"/>
    <col min="7683" max="7695" width="0" style="42" hidden="1" customWidth="1"/>
    <col min="7696" max="7696" width="1.7109375" style="42" customWidth="1"/>
    <col min="7697" max="7697" width="17.42578125" style="42" customWidth="1"/>
    <col min="7698" max="7698" width="1.140625" style="42" customWidth="1"/>
    <col min="7699" max="7711" width="0" style="42" hidden="1" customWidth="1"/>
    <col min="7712" max="7712" width="19.85546875" style="42" customWidth="1"/>
    <col min="7713" max="7713" width="0" style="42" hidden="1" customWidth="1"/>
    <col min="7714" max="7714" width="2.85546875" style="42" customWidth="1"/>
    <col min="7715" max="7715" width="15.5703125" style="42" customWidth="1"/>
    <col min="7716" max="7716" width="2" style="42" customWidth="1"/>
    <col min="7717" max="7717" width="15.5703125" style="42" customWidth="1"/>
    <col min="7718" max="7718" width="1.7109375" style="42" customWidth="1"/>
    <col min="7719" max="7719" width="15.5703125" style="42" customWidth="1"/>
    <col min="7720" max="7720" width="1.5703125" style="42" customWidth="1"/>
    <col min="7721" max="7721" width="15.5703125" style="42" customWidth="1"/>
    <col min="7722" max="7722" width="1.42578125" style="42" customWidth="1"/>
    <col min="7723" max="7723" width="15.5703125" style="42" customWidth="1"/>
    <col min="7724" max="7724" width="1.85546875" style="42" customWidth="1"/>
    <col min="7725" max="7725" width="15.5703125" style="42" customWidth="1"/>
    <col min="7726" max="7726" width="1.28515625" style="42" customWidth="1"/>
    <col min="7727" max="7727" width="15.85546875" style="42" customWidth="1"/>
    <col min="7728" max="7728" width="1.5703125" style="42" customWidth="1"/>
    <col min="7729" max="7729" width="15.5703125" style="42" customWidth="1"/>
    <col min="7730" max="7730" width="1.85546875" style="42" customWidth="1"/>
    <col min="7731" max="7731" width="15.5703125" style="42" customWidth="1"/>
    <col min="7732" max="7732" width="1.5703125" style="42" customWidth="1"/>
    <col min="7733" max="7733" width="15.5703125" style="42" customWidth="1"/>
    <col min="7734" max="7734" width="9.140625" style="42"/>
    <col min="7735" max="7735" width="15.140625" style="42" customWidth="1"/>
    <col min="7736" max="7937" width="9.140625" style="42"/>
    <col min="7938" max="7938" width="26.5703125" style="42" customWidth="1"/>
    <col min="7939" max="7951" width="0" style="42" hidden="1" customWidth="1"/>
    <col min="7952" max="7952" width="1.7109375" style="42" customWidth="1"/>
    <col min="7953" max="7953" width="17.42578125" style="42" customWidth="1"/>
    <col min="7954" max="7954" width="1.140625" style="42" customWidth="1"/>
    <col min="7955" max="7967" width="0" style="42" hidden="1" customWidth="1"/>
    <col min="7968" max="7968" width="19.85546875" style="42" customWidth="1"/>
    <col min="7969" max="7969" width="0" style="42" hidden="1" customWidth="1"/>
    <col min="7970" max="7970" width="2.85546875" style="42" customWidth="1"/>
    <col min="7971" max="7971" width="15.5703125" style="42" customWidth="1"/>
    <col min="7972" max="7972" width="2" style="42" customWidth="1"/>
    <col min="7973" max="7973" width="15.5703125" style="42" customWidth="1"/>
    <col min="7974" max="7974" width="1.7109375" style="42" customWidth="1"/>
    <col min="7975" max="7975" width="15.5703125" style="42" customWidth="1"/>
    <col min="7976" max="7976" width="1.5703125" style="42" customWidth="1"/>
    <col min="7977" max="7977" width="15.5703125" style="42" customWidth="1"/>
    <col min="7978" max="7978" width="1.42578125" style="42" customWidth="1"/>
    <col min="7979" max="7979" width="15.5703125" style="42" customWidth="1"/>
    <col min="7980" max="7980" width="1.85546875" style="42" customWidth="1"/>
    <col min="7981" max="7981" width="15.5703125" style="42" customWidth="1"/>
    <col min="7982" max="7982" width="1.28515625" style="42" customWidth="1"/>
    <col min="7983" max="7983" width="15.85546875" style="42" customWidth="1"/>
    <col min="7984" max="7984" width="1.5703125" style="42" customWidth="1"/>
    <col min="7985" max="7985" width="15.5703125" style="42" customWidth="1"/>
    <col min="7986" max="7986" width="1.85546875" style="42" customWidth="1"/>
    <col min="7987" max="7987" width="15.5703125" style="42" customWidth="1"/>
    <col min="7988" max="7988" width="1.5703125" style="42" customWidth="1"/>
    <col min="7989" max="7989" width="15.5703125" style="42" customWidth="1"/>
    <col min="7990" max="7990" width="9.140625" style="42"/>
    <col min="7991" max="7991" width="15.140625" style="42" customWidth="1"/>
    <col min="7992" max="8193" width="9.140625" style="42"/>
    <col min="8194" max="8194" width="26.5703125" style="42" customWidth="1"/>
    <col min="8195" max="8207" width="0" style="42" hidden="1" customWidth="1"/>
    <col min="8208" max="8208" width="1.7109375" style="42" customWidth="1"/>
    <col min="8209" max="8209" width="17.42578125" style="42" customWidth="1"/>
    <col min="8210" max="8210" width="1.140625" style="42" customWidth="1"/>
    <col min="8211" max="8223" width="0" style="42" hidden="1" customWidth="1"/>
    <col min="8224" max="8224" width="19.85546875" style="42" customWidth="1"/>
    <col min="8225" max="8225" width="0" style="42" hidden="1" customWidth="1"/>
    <col min="8226" max="8226" width="2.85546875" style="42" customWidth="1"/>
    <col min="8227" max="8227" width="15.5703125" style="42" customWidth="1"/>
    <col min="8228" max="8228" width="2" style="42" customWidth="1"/>
    <col min="8229" max="8229" width="15.5703125" style="42" customWidth="1"/>
    <col min="8230" max="8230" width="1.7109375" style="42" customWidth="1"/>
    <col min="8231" max="8231" width="15.5703125" style="42" customWidth="1"/>
    <col min="8232" max="8232" width="1.5703125" style="42" customWidth="1"/>
    <col min="8233" max="8233" width="15.5703125" style="42" customWidth="1"/>
    <col min="8234" max="8234" width="1.42578125" style="42" customWidth="1"/>
    <col min="8235" max="8235" width="15.5703125" style="42" customWidth="1"/>
    <col min="8236" max="8236" width="1.85546875" style="42" customWidth="1"/>
    <col min="8237" max="8237" width="15.5703125" style="42" customWidth="1"/>
    <col min="8238" max="8238" width="1.28515625" style="42" customWidth="1"/>
    <col min="8239" max="8239" width="15.85546875" style="42" customWidth="1"/>
    <col min="8240" max="8240" width="1.5703125" style="42" customWidth="1"/>
    <col min="8241" max="8241" width="15.5703125" style="42" customWidth="1"/>
    <col min="8242" max="8242" width="1.85546875" style="42" customWidth="1"/>
    <col min="8243" max="8243" width="15.5703125" style="42" customWidth="1"/>
    <col min="8244" max="8244" width="1.5703125" style="42" customWidth="1"/>
    <col min="8245" max="8245" width="15.5703125" style="42" customWidth="1"/>
    <col min="8246" max="8246" width="9.140625" style="42"/>
    <col min="8247" max="8247" width="15.140625" style="42" customWidth="1"/>
    <col min="8248" max="8449" width="9.140625" style="42"/>
    <col min="8450" max="8450" width="26.5703125" style="42" customWidth="1"/>
    <col min="8451" max="8463" width="0" style="42" hidden="1" customWidth="1"/>
    <col min="8464" max="8464" width="1.7109375" style="42" customWidth="1"/>
    <col min="8465" max="8465" width="17.42578125" style="42" customWidth="1"/>
    <col min="8466" max="8466" width="1.140625" style="42" customWidth="1"/>
    <col min="8467" max="8479" width="0" style="42" hidden="1" customWidth="1"/>
    <col min="8480" max="8480" width="19.85546875" style="42" customWidth="1"/>
    <col min="8481" max="8481" width="0" style="42" hidden="1" customWidth="1"/>
    <col min="8482" max="8482" width="2.85546875" style="42" customWidth="1"/>
    <col min="8483" max="8483" width="15.5703125" style="42" customWidth="1"/>
    <col min="8484" max="8484" width="2" style="42" customWidth="1"/>
    <col min="8485" max="8485" width="15.5703125" style="42" customWidth="1"/>
    <col min="8486" max="8486" width="1.7109375" style="42" customWidth="1"/>
    <col min="8487" max="8487" width="15.5703125" style="42" customWidth="1"/>
    <col min="8488" max="8488" width="1.5703125" style="42" customWidth="1"/>
    <col min="8489" max="8489" width="15.5703125" style="42" customWidth="1"/>
    <col min="8490" max="8490" width="1.42578125" style="42" customWidth="1"/>
    <col min="8491" max="8491" width="15.5703125" style="42" customWidth="1"/>
    <col min="8492" max="8492" width="1.85546875" style="42" customWidth="1"/>
    <col min="8493" max="8493" width="15.5703125" style="42" customWidth="1"/>
    <col min="8494" max="8494" width="1.28515625" style="42" customWidth="1"/>
    <col min="8495" max="8495" width="15.85546875" style="42" customWidth="1"/>
    <col min="8496" max="8496" width="1.5703125" style="42" customWidth="1"/>
    <col min="8497" max="8497" width="15.5703125" style="42" customWidth="1"/>
    <col min="8498" max="8498" width="1.85546875" style="42" customWidth="1"/>
    <col min="8499" max="8499" width="15.5703125" style="42" customWidth="1"/>
    <col min="8500" max="8500" width="1.5703125" style="42" customWidth="1"/>
    <col min="8501" max="8501" width="15.5703125" style="42" customWidth="1"/>
    <col min="8502" max="8502" width="9.140625" style="42"/>
    <col min="8503" max="8503" width="15.140625" style="42" customWidth="1"/>
    <col min="8504" max="8705" width="9.140625" style="42"/>
    <col min="8706" max="8706" width="26.5703125" style="42" customWidth="1"/>
    <col min="8707" max="8719" width="0" style="42" hidden="1" customWidth="1"/>
    <col min="8720" max="8720" width="1.7109375" style="42" customWidth="1"/>
    <col min="8721" max="8721" width="17.42578125" style="42" customWidth="1"/>
    <col min="8722" max="8722" width="1.140625" style="42" customWidth="1"/>
    <col min="8723" max="8735" width="0" style="42" hidden="1" customWidth="1"/>
    <col min="8736" max="8736" width="19.85546875" style="42" customWidth="1"/>
    <col min="8737" max="8737" width="0" style="42" hidden="1" customWidth="1"/>
    <col min="8738" max="8738" width="2.85546875" style="42" customWidth="1"/>
    <col min="8739" max="8739" width="15.5703125" style="42" customWidth="1"/>
    <col min="8740" max="8740" width="2" style="42" customWidth="1"/>
    <col min="8741" max="8741" width="15.5703125" style="42" customWidth="1"/>
    <col min="8742" max="8742" width="1.7109375" style="42" customWidth="1"/>
    <col min="8743" max="8743" width="15.5703125" style="42" customWidth="1"/>
    <col min="8744" max="8744" width="1.5703125" style="42" customWidth="1"/>
    <col min="8745" max="8745" width="15.5703125" style="42" customWidth="1"/>
    <col min="8746" max="8746" width="1.42578125" style="42" customWidth="1"/>
    <col min="8747" max="8747" width="15.5703125" style="42" customWidth="1"/>
    <col min="8748" max="8748" width="1.85546875" style="42" customWidth="1"/>
    <col min="8749" max="8749" width="15.5703125" style="42" customWidth="1"/>
    <col min="8750" max="8750" width="1.28515625" style="42" customWidth="1"/>
    <col min="8751" max="8751" width="15.85546875" style="42" customWidth="1"/>
    <col min="8752" max="8752" width="1.5703125" style="42" customWidth="1"/>
    <col min="8753" max="8753" width="15.5703125" style="42" customWidth="1"/>
    <col min="8754" max="8754" width="1.85546875" style="42" customWidth="1"/>
    <col min="8755" max="8755" width="15.5703125" style="42" customWidth="1"/>
    <col min="8756" max="8756" width="1.5703125" style="42" customWidth="1"/>
    <col min="8757" max="8757" width="15.5703125" style="42" customWidth="1"/>
    <col min="8758" max="8758" width="9.140625" style="42"/>
    <col min="8759" max="8759" width="15.140625" style="42" customWidth="1"/>
    <col min="8760" max="8961" width="9.140625" style="42"/>
    <col min="8962" max="8962" width="26.5703125" style="42" customWidth="1"/>
    <col min="8963" max="8975" width="0" style="42" hidden="1" customWidth="1"/>
    <col min="8976" max="8976" width="1.7109375" style="42" customWidth="1"/>
    <col min="8977" max="8977" width="17.42578125" style="42" customWidth="1"/>
    <col min="8978" max="8978" width="1.140625" style="42" customWidth="1"/>
    <col min="8979" max="8991" width="0" style="42" hidden="1" customWidth="1"/>
    <col min="8992" max="8992" width="19.85546875" style="42" customWidth="1"/>
    <col min="8993" max="8993" width="0" style="42" hidden="1" customWidth="1"/>
    <col min="8994" max="8994" width="2.85546875" style="42" customWidth="1"/>
    <col min="8995" max="8995" width="15.5703125" style="42" customWidth="1"/>
    <col min="8996" max="8996" width="2" style="42" customWidth="1"/>
    <col min="8997" max="8997" width="15.5703125" style="42" customWidth="1"/>
    <col min="8998" max="8998" width="1.7109375" style="42" customWidth="1"/>
    <col min="8999" max="8999" width="15.5703125" style="42" customWidth="1"/>
    <col min="9000" max="9000" width="1.5703125" style="42" customWidth="1"/>
    <col min="9001" max="9001" width="15.5703125" style="42" customWidth="1"/>
    <col min="9002" max="9002" width="1.42578125" style="42" customWidth="1"/>
    <col min="9003" max="9003" width="15.5703125" style="42" customWidth="1"/>
    <col min="9004" max="9004" width="1.85546875" style="42" customWidth="1"/>
    <col min="9005" max="9005" width="15.5703125" style="42" customWidth="1"/>
    <col min="9006" max="9006" width="1.28515625" style="42" customWidth="1"/>
    <col min="9007" max="9007" width="15.85546875" style="42" customWidth="1"/>
    <col min="9008" max="9008" width="1.5703125" style="42" customWidth="1"/>
    <col min="9009" max="9009" width="15.5703125" style="42" customWidth="1"/>
    <col min="9010" max="9010" width="1.85546875" style="42" customWidth="1"/>
    <col min="9011" max="9011" width="15.5703125" style="42" customWidth="1"/>
    <col min="9012" max="9012" width="1.5703125" style="42" customWidth="1"/>
    <col min="9013" max="9013" width="15.5703125" style="42" customWidth="1"/>
    <col min="9014" max="9014" width="9.140625" style="42"/>
    <col min="9015" max="9015" width="15.140625" style="42" customWidth="1"/>
    <col min="9016" max="9217" width="9.140625" style="42"/>
    <col min="9218" max="9218" width="26.5703125" style="42" customWidth="1"/>
    <col min="9219" max="9231" width="0" style="42" hidden="1" customWidth="1"/>
    <col min="9232" max="9232" width="1.7109375" style="42" customWidth="1"/>
    <col min="9233" max="9233" width="17.42578125" style="42" customWidth="1"/>
    <col min="9234" max="9234" width="1.140625" style="42" customWidth="1"/>
    <col min="9235" max="9247" width="0" style="42" hidden="1" customWidth="1"/>
    <col min="9248" max="9248" width="19.85546875" style="42" customWidth="1"/>
    <col min="9249" max="9249" width="0" style="42" hidden="1" customWidth="1"/>
    <col min="9250" max="9250" width="2.85546875" style="42" customWidth="1"/>
    <col min="9251" max="9251" width="15.5703125" style="42" customWidth="1"/>
    <col min="9252" max="9252" width="2" style="42" customWidth="1"/>
    <col min="9253" max="9253" width="15.5703125" style="42" customWidth="1"/>
    <col min="9254" max="9254" width="1.7109375" style="42" customWidth="1"/>
    <col min="9255" max="9255" width="15.5703125" style="42" customWidth="1"/>
    <col min="9256" max="9256" width="1.5703125" style="42" customWidth="1"/>
    <col min="9257" max="9257" width="15.5703125" style="42" customWidth="1"/>
    <col min="9258" max="9258" width="1.42578125" style="42" customWidth="1"/>
    <col min="9259" max="9259" width="15.5703125" style="42" customWidth="1"/>
    <col min="9260" max="9260" width="1.85546875" style="42" customWidth="1"/>
    <col min="9261" max="9261" width="15.5703125" style="42" customWidth="1"/>
    <col min="9262" max="9262" width="1.28515625" style="42" customWidth="1"/>
    <col min="9263" max="9263" width="15.85546875" style="42" customWidth="1"/>
    <col min="9264" max="9264" width="1.5703125" style="42" customWidth="1"/>
    <col min="9265" max="9265" width="15.5703125" style="42" customWidth="1"/>
    <col min="9266" max="9266" width="1.85546875" style="42" customWidth="1"/>
    <col min="9267" max="9267" width="15.5703125" style="42" customWidth="1"/>
    <col min="9268" max="9268" width="1.5703125" style="42" customWidth="1"/>
    <col min="9269" max="9269" width="15.5703125" style="42" customWidth="1"/>
    <col min="9270" max="9270" width="9.140625" style="42"/>
    <col min="9271" max="9271" width="15.140625" style="42" customWidth="1"/>
    <col min="9272" max="9473" width="9.140625" style="42"/>
    <col min="9474" max="9474" width="26.5703125" style="42" customWidth="1"/>
    <col min="9475" max="9487" width="0" style="42" hidden="1" customWidth="1"/>
    <col min="9488" max="9488" width="1.7109375" style="42" customWidth="1"/>
    <col min="9489" max="9489" width="17.42578125" style="42" customWidth="1"/>
    <col min="9490" max="9490" width="1.140625" style="42" customWidth="1"/>
    <col min="9491" max="9503" width="0" style="42" hidden="1" customWidth="1"/>
    <col min="9504" max="9504" width="19.85546875" style="42" customWidth="1"/>
    <col min="9505" max="9505" width="0" style="42" hidden="1" customWidth="1"/>
    <col min="9506" max="9506" width="2.85546875" style="42" customWidth="1"/>
    <col min="9507" max="9507" width="15.5703125" style="42" customWidth="1"/>
    <col min="9508" max="9508" width="2" style="42" customWidth="1"/>
    <col min="9509" max="9509" width="15.5703125" style="42" customWidth="1"/>
    <col min="9510" max="9510" width="1.7109375" style="42" customWidth="1"/>
    <col min="9511" max="9511" width="15.5703125" style="42" customWidth="1"/>
    <col min="9512" max="9512" width="1.5703125" style="42" customWidth="1"/>
    <col min="9513" max="9513" width="15.5703125" style="42" customWidth="1"/>
    <col min="9514" max="9514" width="1.42578125" style="42" customWidth="1"/>
    <col min="9515" max="9515" width="15.5703125" style="42" customWidth="1"/>
    <col min="9516" max="9516" width="1.85546875" style="42" customWidth="1"/>
    <col min="9517" max="9517" width="15.5703125" style="42" customWidth="1"/>
    <col min="9518" max="9518" width="1.28515625" style="42" customWidth="1"/>
    <col min="9519" max="9519" width="15.85546875" style="42" customWidth="1"/>
    <col min="9520" max="9520" width="1.5703125" style="42" customWidth="1"/>
    <col min="9521" max="9521" width="15.5703125" style="42" customWidth="1"/>
    <col min="9522" max="9522" width="1.85546875" style="42" customWidth="1"/>
    <col min="9523" max="9523" width="15.5703125" style="42" customWidth="1"/>
    <col min="9524" max="9524" width="1.5703125" style="42" customWidth="1"/>
    <col min="9525" max="9525" width="15.5703125" style="42" customWidth="1"/>
    <col min="9526" max="9526" width="9.140625" style="42"/>
    <col min="9527" max="9527" width="15.140625" style="42" customWidth="1"/>
    <col min="9528" max="9729" width="9.140625" style="42"/>
    <col min="9730" max="9730" width="26.5703125" style="42" customWidth="1"/>
    <col min="9731" max="9743" width="0" style="42" hidden="1" customWidth="1"/>
    <col min="9744" max="9744" width="1.7109375" style="42" customWidth="1"/>
    <col min="9745" max="9745" width="17.42578125" style="42" customWidth="1"/>
    <col min="9746" max="9746" width="1.140625" style="42" customWidth="1"/>
    <col min="9747" max="9759" width="0" style="42" hidden="1" customWidth="1"/>
    <col min="9760" max="9760" width="19.85546875" style="42" customWidth="1"/>
    <col min="9761" max="9761" width="0" style="42" hidden="1" customWidth="1"/>
    <col min="9762" max="9762" width="2.85546875" style="42" customWidth="1"/>
    <col min="9763" max="9763" width="15.5703125" style="42" customWidth="1"/>
    <col min="9764" max="9764" width="2" style="42" customWidth="1"/>
    <col min="9765" max="9765" width="15.5703125" style="42" customWidth="1"/>
    <col min="9766" max="9766" width="1.7109375" style="42" customWidth="1"/>
    <col min="9767" max="9767" width="15.5703125" style="42" customWidth="1"/>
    <col min="9768" max="9768" width="1.5703125" style="42" customWidth="1"/>
    <col min="9769" max="9769" width="15.5703125" style="42" customWidth="1"/>
    <col min="9770" max="9770" width="1.42578125" style="42" customWidth="1"/>
    <col min="9771" max="9771" width="15.5703125" style="42" customWidth="1"/>
    <col min="9772" max="9772" width="1.85546875" style="42" customWidth="1"/>
    <col min="9773" max="9773" width="15.5703125" style="42" customWidth="1"/>
    <col min="9774" max="9774" width="1.28515625" style="42" customWidth="1"/>
    <col min="9775" max="9775" width="15.85546875" style="42" customWidth="1"/>
    <col min="9776" max="9776" width="1.5703125" style="42" customWidth="1"/>
    <col min="9777" max="9777" width="15.5703125" style="42" customWidth="1"/>
    <col min="9778" max="9778" width="1.85546875" style="42" customWidth="1"/>
    <col min="9779" max="9779" width="15.5703125" style="42" customWidth="1"/>
    <col min="9780" max="9780" width="1.5703125" style="42" customWidth="1"/>
    <col min="9781" max="9781" width="15.5703125" style="42" customWidth="1"/>
    <col min="9782" max="9782" width="9.140625" style="42"/>
    <col min="9783" max="9783" width="15.140625" style="42" customWidth="1"/>
    <col min="9784" max="9985" width="9.140625" style="42"/>
    <col min="9986" max="9986" width="26.5703125" style="42" customWidth="1"/>
    <col min="9987" max="9999" width="0" style="42" hidden="1" customWidth="1"/>
    <col min="10000" max="10000" width="1.7109375" style="42" customWidth="1"/>
    <col min="10001" max="10001" width="17.42578125" style="42" customWidth="1"/>
    <col min="10002" max="10002" width="1.140625" style="42" customWidth="1"/>
    <col min="10003" max="10015" width="0" style="42" hidden="1" customWidth="1"/>
    <col min="10016" max="10016" width="19.85546875" style="42" customWidth="1"/>
    <col min="10017" max="10017" width="0" style="42" hidden="1" customWidth="1"/>
    <col min="10018" max="10018" width="2.85546875" style="42" customWidth="1"/>
    <col min="10019" max="10019" width="15.5703125" style="42" customWidth="1"/>
    <col min="10020" max="10020" width="2" style="42" customWidth="1"/>
    <col min="10021" max="10021" width="15.5703125" style="42" customWidth="1"/>
    <col min="10022" max="10022" width="1.7109375" style="42" customWidth="1"/>
    <col min="10023" max="10023" width="15.5703125" style="42" customWidth="1"/>
    <col min="10024" max="10024" width="1.5703125" style="42" customWidth="1"/>
    <col min="10025" max="10025" width="15.5703125" style="42" customWidth="1"/>
    <col min="10026" max="10026" width="1.42578125" style="42" customWidth="1"/>
    <col min="10027" max="10027" width="15.5703125" style="42" customWidth="1"/>
    <col min="10028" max="10028" width="1.85546875" style="42" customWidth="1"/>
    <col min="10029" max="10029" width="15.5703125" style="42" customWidth="1"/>
    <col min="10030" max="10030" width="1.28515625" style="42" customWidth="1"/>
    <col min="10031" max="10031" width="15.85546875" style="42" customWidth="1"/>
    <col min="10032" max="10032" width="1.5703125" style="42" customWidth="1"/>
    <col min="10033" max="10033" width="15.5703125" style="42" customWidth="1"/>
    <col min="10034" max="10034" width="1.85546875" style="42" customWidth="1"/>
    <col min="10035" max="10035" width="15.5703125" style="42" customWidth="1"/>
    <col min="10036" max="10036" width="1.5703125" style="42" customWidth="1"/>
    <col min="10037" max="10037" width="15.5703125" style="42" customWidth="1"/>
    <col min="10038" max="10038" width="9.140625" style="42"/>
    <col min="10039" max="10039" width="15.140625" style="42" customWidth="1"/>
    <col min="10040" max="10241" width="9.140625" style="42"/>
    <col min="10242" max="10242" width="26.5703125" style="42" customWidth="1"/>
    <col min="10243" max="10255" width="0" style="42" hidden="1" customWidth="1"/>
    <col min="10256" max="10256" width="1.7109375" style="42" customWidth="1"/>
    <col min="10257" max="10257" width="17.42578125" style="42" customWidth="1"/>
    <col min="10258" max="10258" width="1.140625" style="42" customWidth="1"/>
    <col min="10259" max="10271" width="0" style="42" hidden="1" customWidth="1"/>
    <col min="10272" max="10272" width="19.85546875" style="42" customWidth="1"/>
    <col min="10273" max="10273" width="0" style="42" hidden="1" customWidth="1"/>
    <col min="10274" max="10274" width="2.85546875" style="42" customWidth="1"/>
    <col min="10275" max="10275" width="15.5703125" style="42" customWidth="1"/>
    <col min="10276" max="10276" width="2" style="42" customWidth="1"/>
    <col min="10277" max="10277" width="15.5703125" style="42" customWidth="1"/>
    <col min="10278" max="10278" width="1.7109375" style="42" customWidth="1"/>
    <col min="10279" max="10279" width="15.5703125" style="42" customWidth="1"/>
    <col min="10280" max="10280" width="1.5703125" style="42" customWidth="1"/>
    <col min="10281" max="10281" width="15.5703125" style="42" customWidth="1"/>
    <col min="10282" max="10282" width="1.42578125" style="42" customWidth="1"/>
    <col min="10283" max="10283" width="15.5703125" style="42" customWidth="1"/>
    <col min="10284" max="10284" width="1.85546875" style="42" customWidth="1"/>
    <col min="10285" max="10285" width="15.5703125" style="42" customWidth="1"/>
    <col min="10286" max="10286" width="1.28515625" style="42" customWidth="1"/>
    <col min="10287" max="10287" width="15.85546875" style="42" customWidth="1"/>
    <col min="10288" max="10288" width="1.5703125" style="42" customWidth="1"/>
    <col min="10289" max="10289" width="15.5703125" style="42" customWidth="1"/>
    <col min="10290" max="10290" width="1.85546875" style="42" customWidth="1"/>
    <col min="10291" max="10291" width="15.5703125" style="42" customWidth="1"/>
    <col min="10292" max="10292" width="1.5703125" style="42" customWidth="1"/>
    <col min="10293" max="10293" width="15.5703125" style="42" customWidth="1"/>
    <col min="10294" max="10294" width="9.140625" style="42"/>
    <col min="10295" max="10295" width="15.140625" style="42" customWidth="1"/>
    <col min="10296" max="10497" width="9.140625" style="42"/>
    <col min="10498" max="10498" width="26.5703125" style="42" customWidth="1"/>
    <col min="10499" max="10511" width="0" style="42" hidden="1" customWidth="1"/>
    <col min="10512" max="10512" width="1.7109375" style="42" customWidth="1"/>
    <col min="10513" max="10513" width="17.42578125" style="42" customWidth="1"/>
    <col min="10514" max="10514" width="1.140625" style="42" customWidth="1"/>
    <col min="10515" max="10527" width="0" style="42" hidden="1" customWidth="1"/>
    <col min="10528" max="10528" width="19.85546875" style="42" customWidth="1"/>
    <col min="10529" max="10529" width="0" style="42" hidden="1" customWidth="1"/>
    <col min="10530" max="10530" width="2.85546875" style="42" customWidth="1"/>
    <col min="10531" max="10531" width="15.5703125" style="42" customWidth="1"/>
    <col min="10532" max="10532" width="2" style="42" customWidth="1"/>
    <col min="10533" max="10533" width="15.5703125" style="42" customWidth="1"/>
    <col min="10534" max="10534" width="1.7109375" style="42" customWidth="1"/>
    <col min="10535" max="10535" width="15.5703125" style="42" customWidth="1"/>
    <col min="10536" max="10536" width="1.5703125" style="42" customWidth="1"/>
    <col min="10537" max="10537" width="15.5703125" style="42" customWidth="1"/>
    <col min="10538" max="10538" width="1.42578125" style="42" customWidth="1"/>
    <col min="10539" max="10539" width="15.5703125" style="42" customWidth="1"/>
    <col min="10540" max="10540" width="1.85546875" style="42" customWidth="1"/>
    <col min="10541" max="10541" width="15.5703125" style="42" customWidth="1"/>
    <col min="10542" max="10542" width="1.28515625" style="42" customWidth="1"/>
    <col min="10543" max="10543" width="15.85546875" style="42" customWidth="1"/>
    <col min="10544" max="10544" width="1.5703125" style="42" customWidth="1"/>
    <col min="10545" max="10545" width="15.5703125" style="42" customWidth="1"/>
    <col min="10546" max="10546" width="1.85546875" style="42" customWidth="1"/>
    <col min="10547" max="10547" width="15.5703125" style="42" customWidth="1"/>
    <col min="10548" max="10548" width="1.5703125" style="42" customWidth="1"/>
    <col min="10549" max="10549" width="15.5703125" style="42" customWidth="1"/>
    <col min="10550" max="10550" width="9.140625" style="42"/>
    <col min="10551" max="10551" width="15.140625" style="42" customWidth="1"/>
    <col min="10552" max="10753" width="9.140625" style="42"/>
    <col min="10754" max="10754" width="26.5703125" style="42" customWidth="1"/>
    <col min="10755" max="10767" width="0" style="42" hidden="1" customWidth="1"/>
    <col min="10768" max="10768" width="1.7109375" style="42" customWidth="1"/>
    <col min="10769" max="10769" width="17.42578125" style="42" customWidth="1"/>
    <col min="10770" max="10770" width="1.140625" style="42" customWidth="1"/>
    <col min="10771" max="10783" width="0" style="42" hidden="1" customWidth="1"/>
    <col min="10784" max="10784" width="19.85546875" style="42" customWidth="1"/>
    <col min="10785" max="10785" width="0" style="42" hidden="1" customWidth="1"/>
    <col min="10786" max="10786" width="2.85546875" style="42" customWidth="1"/>
    <col min="10787" max="10787" width="15.5703125" style="42" customWidth="1"/>
    <col min="10788" max="10788" width="2" style="42" customWidth="1"/>
    <col min="10789" max="10789" width="15.5703125" style="42" customWidth="1"/>
    <col min="10790" max="10790" width="1.7109375" style="42" customWidth="1"/>
    <col min="10791" max="10791" width="15.5703125" style="42" customWidth="1"/>
    <col min="10792" max="10792" width="1.5703125" style="42" customWidth="1"/>
    <col min="10793" max="10793" width="15.5703125" style="42" customWidth="1"/>
    <col min="10794" max="10794" width="1.42578125" style="42" customWidth="1"/>
    <col min="10795" max="10795" width="15.5703125" style="42" customWidth="1"/>
    <col min="10796" max="10796" width="1.85546875" style="42" customWidth="1"/>
    <col min="10797" max="10797" width="15.5703125" style="42" customWidth="1"/>
    <col min="10798" max="10798" width="1.28515625" style="42" customWidth="1"/>
    <col min="10799" max="10799" width="15.85546875" style="42" customWidth="1"/>
    <col min="10800" max="10800" width="1.5703125" style="42" customWidth="1"/>
    <col min="10801" max="10801" width="15.5703125" style="42" customWidth="1"/>
    <col min="10802" max="10802" width="1.85546875" style="42" customWidth="1"/>
    <col min="10803" max="10803" width="15.5703125" style="42" customWidth="1"/>
    <col min="10804" max="10804" width="1.5703125" style="42" customWidth="1"/>
    <col min="10805" max="10805" width="15.5703125" style="42" customWidth="1"/>
    <col min="10806" max="10806" width="9.140625" style="42"/>
    <col min="10807" max="10807" width="15.140625" style="42" customWidth="1"/>
    <col min="10808" max="11009" width="9.140625" style="42"/>
    <col min="11010" max="11010" width="26.5703125" style="42" customWidth="1"/>
    <col min="11011" max="11023" width="0" style="42" hidden="1" customWidth="1"/>
    <col min="11024" max="11024" width="1.7109375" style="42" customWidth="1"/>
    <col min="11025" max="11025" width="17.42578125" style="42" customWidth="1"/>
    <col min="11026" max="11026" width="1.140625" style="42" customWidth="1"/>
    <col min="11027" max="11039" width="0" style="42" hidden="1" customWidth="1"/>
    <col min="11040" max="11040" width="19.85546875" style="42" customWidth="1"/>
    <col min="11041" max="11041" width="0" style="42" hidden="1" customWidth="1"/>
    <col min="11042" max="11042" width="2.85546875" style="42" customWidth="1"/>
    <col min="11043" max="11043" width="15.5703125" style="42" customWidth="1"/>
    <col min="11044" max="11044" width="2" style="42" customWidth="1"/>
    <col min="11045" max="11045" width="15.5703125" style="42" customWidth="1"/>
    <col min="11046" max="11046" width="1.7109375" style="42" customWidth="1"/>
    <col min="11047" max="11047" width="15.5703125" style="42" customWidth="1"/>
    <col min="11048" max="11048" width="1.5703125" style="42" customWidth="1"/>
    <col min="11049" max="11049" width="15.5703125" style="42" customWidth="1"/>
    <col min="11050" max="11050" width="1.42578125" style="42" customWidth="1"/>
    <col min="11051" max="11051" width="15.5703125" style="42" customWidth="1"/>
    <col min="11052" max="11052" width="1.85546875" style="42" customWidth="1"/>
    <col min="11053" max="11053" width="15.5703125" style="42" customWidth="1"/>
    <col min="11054" max="11054" width="1.28515625" style="42" customWidth="1"/>
    <col min="11055" max="11055" width="15.85546875" style="42" customWidth="1"/>
    <col min="11056" max="11056" width="1.5703125" style="42" customWidth="1"/>
    <col min="11057" max="11057" width="15.5703125" style="42" customWidth="1"/>
    <col min="11058" max="11058" width="1.85546875" style="42" customWidth="1"/>
    <col min="11059" max="11059" width="15.5703125" style="42" customWidth="1"/>
    <col min="11060" max="11060" width="1.5703125" style="42" customWidth="1"/>
    <col min="11061" max="11061" width="15.5703125" style="42" customWidth="1"/>
    <col min="11062" max="11062" width="9.140625" style="42"/>
    <col min="11063" max="11063" width="15.140625" style="42" customWidth="1"/>
    <col min="11064" max="11265" width="9.140625" style="42"/>
    <col min="11266" max="11266" width="26.5703125" style="42" customWidth="1"/>
    <col min="11267" max="11279" width="0" style="42" hidden="1" customWidth="1"/>
    <col min="11280" max="11280" width="1.7109375" style="42" customWidth="1"/>
    <col min="11281" max="11281" width="17.42578125" style="42" customWidth="1"/>
    <col min="11282" max="11282" width="1.140625" style="42" customWidth="1"/>
    <col min="11283" max="11295" width="0" style="42" hidden="1" customWidth="1"/>
    <col min="11296" max="11296" width="19.85546875" style="42" customWidth="1"/>
    <col min="11297" max="11297" width="0" style="42" hidden="1" customWidth="1"/>
    <col min="11298" max="11298" width="2.85546875" style="42" customWidth="1"/>
    <col min="11299" max="11299" width="15.5703125" style="42" customWidth="1"/>
    <col min="11300" max="11300" width="2" style="42" customWidth="1"/>
    <col min="11301" max="11301" width="15.5703125" style="42" customWidth="1"/>
    <col min="11302" max="11302" width="1.7109375" style="42" customWidth="1"/>
    <col min="11303" max="11303" width="15.5703125" style="42" customWidth="1"/>
    <col min="11304" max="11304" width="1.5703125" style="42" customWidth="1"/>
    <col min="11305" max="11305" width="15.5703125" style="42" customWidth="1"/>
    <col min="11306" max="11306" width="1.42578125" style="42" customWidth="1"/>
    <col min="11307" max="11307" width="15.5703125" style="42" customWidth="1"/>
    <col min="11308" max="11308" width="1.85546875" style="42" customWidth="1"/>
    <col min="11309" max="11309" width="15.5703125" style="42" customWidth="1"/>
    <col min="11310" max="11310" width="1.28515625" style="42" customWidth="1"/>
    <col min="11311" max="11311" width="15.85546875" style="42" customWidth="1"/>
    <col min="11312" max="11312" width="1.5703125" style="42" customWidth="1"/>
    <col min="11313" max="11313" width="15.5703125" style="42" customWidth="1"/>
    <col min="11314" max="11314" width="1.85546875" style="42" customWidth="1"/>
    <col min="11315" max="11315" width="15.5703125" style="42" customWidth="1"/>
    <col min="11316" max="11316" width="1.5703125" style="42" customWidth="1"/>
    <col min="11317" max="11317" width="15.5703125" style="42" customWidth="1"/>
    <col min="11318" max="11318" width="9.140625" style="42"/>
    <col min="11319" max="11319" width="15.140625" style="42" customWidth="1"/>
    <col min="11320" max="11521" width="9.140625" style="42"/>
    <col min="11522" max="11522" width="26.5703125" style="42" customWidth="1"/>
    <col min="11523" max="11535" width="0" style="42" hidden="1" customWidth="1"/>
    <col min="11536" max="11536" width="1.7109375" style="42" customWidth="1"/>
    <col min="11537" max="11537" width="17.42578125" style="42" customWidth="1"/>
    <col min="11538" max="11538" width="1.140625" style="42" customWidth="1"/>
    <col min="11539" max="11551" width="0" style="42" hidden="1" customWidth="1"/>
    <col min="11552" max="11552" width="19.85546875" style="42" customWidth="1"/>
    <col min="11553" max="11553" width="0" style="42" hidden="1" customWidth="1"/>
    <col min="11554" max="11554" width="2.85546875" style="42" customWidth="1"/>
    <col min="11555" max="11555" width="15.5703125" style="42" customWidth="1"/>
    <col min="11556" max="11556" width="2" style="42" customWidth="1"/>
    <col min="11557" max="11557" width="15.5703125" style="42" customWidth="1"/>
    <col min="11558" max="11558" width="1.7109375" style="42" customWidth="1"/>
    <col min="11559" max="11559" width="15.5703125" style="42" customWidth="1"/>
    <col min="11560" max="11560" width="1.5703125" style="42" customWidth="1"/>
    <col min="11561" max="11561" width="15.5703125" style="42" customWidth="1"/>
    <col min="11562" max="11562" width="1.42578125" style="42" customWidth="1"/>
    <col min="11563" max="11563" width="15.5703125" style="42" customWidth="1"/>
    <col min="11564" max="11564" width="1.85546875" style="42" customWidth="1"/>
    <col min="11565" max="11565" width="15.5703125" style="42" customWidth="1"/>
    <col min="11566" max="11566" width="1.28515625" style="42" customWidth="1"/>
    <col min="11567" max="11567" width="15.85546875" style="42" customWidth="1"/>
    <col min="11568" max="11568" width="1.5703125" style="42" customWidth="1"/>
    <col min="11569" max="11569" width="15.5703125" style="42" customWidth="1"/>
    <col min="11570" max="11570" width="1.85546875" style="42" customWidth="1"/>
    <col min="11571" max="11571" width="15.5703125" style="42" customWidth="1"/>
    <col min="11572" max="11572" width="1.5703125" style="42" customWidth="1"/>
    <col min="11573" max="11573" width="15.5703125" style="42" customWidth="1"/>
    <col min="11574" max="11574" width="9.140625" style="42"/>
    <col min="11575" max="11575" width="15.140625" style="42" customWidth="1"/>
    <col min="11576" max="11777" width="9.140625" style="42"/>
    <col min="11778" max="11778" width="26.5703125" style="42" customWidth="1"/>
    <col min="11779" max="11791" width="0" style="42" hidden="1" customWidth="1"/>
    <col min="11792" max="11792" width="1.7109375" style="42" customWidth="1"/>
    <col min="11793" max="11793" width="17.42578125" style="42" customWidth="1"/>
    <col min="11794" max="11794" width="1.140625" style="42" customWidth="1"/>
    <col min="11795" max="11807" width="0" style="42" hidden="1" customWidth="1"/>
    <col min="11808" max="11808" width="19.85546875" style="42" customWidth="1"/>
    <col min="11809" max="11809" width="0" style="42" hidden="1" customWidth="1"/>
    <col min="11810" max="11810" width="2.85546875" style="42" customWidth="1"/>
    <col min="11811" max="11811" width="15.5703125" style="42" customWidth="1"/>
    <col min="11812" max="11812" width="2" style="42" customWidth="1"/>
    <col min="11813" max="11813" width="15.5703125" style="42" customWidth="1"/>
    <col min="11814" max="11814" width="1.7109375" style="42" customWidth="1"/>
    <col min="11815" max="11815" width="15.5703125" style="42" customWidth="1"/>
    <col min="11816" max="11816" width="1.5703125" style="42" customWidth="1"/>
    <col min="11817" max="11817" width="15.5703125" style="42" customWidth="1"/>
    <col min="11818" max="11818" width="1.42578125" style="42" customWidth="1"/>
    <col min="11819" max="11819" width="15.5703125" style="42" customWidth="1"/>
    <col min="11820" max="11820" width="1.85546875" style="42" customWidth="1"/>
    <col min="11821" max="11821" width="15.5703125" style="42" customWidth="1"/>
    <col min="11822" max="11822" width="1.28515625" style="42" customWidth="1"/>
    <col min="11823" max="11823" width="15.85546875" style="42" customWidth="1"/>
    <col min="11824" max="11824" width="1.5703125" style="42" customWidth="1"/>
    <col min="11825" max="11825" width="15.5703125" style="42" customWidth="1"/>
    <col min="11826" max="11826" width="1.85546875" style="42" customWidth="1"/>
    <col min="11827" max="11827" width="15.5703125" style="42" customWidth="1"/>
    <col min="11828" max="11828" width="1.5703125" style="42" customWidth="1"/>
    <col min="11829" max="11829" width="15.5703125" style="42" customWidth="1"/>
    <col min="11830" max="11830" width="9.140625" style="42"/>
    <col min="11831" max="11831" width="15.140625" style="42" customWidth="1"/>
    <col min="11832" max="12033" width="9.140625" style="42"/>
    <col min="12034" max="12034" width="26.5703125" style="42" customWidth="1"/>
    <col min="12035" max="12047" width="0" style="42" hidden="1" customWidth="1"/>
    <col min="12048" max="12048" width="1.7109375" style="42" customWidth="1"/>
    <col min="12049" max="12049" width="17.42578125" style="42" customWidth="1"/>
    <col min="12050" max="12050" width="1.140625" style="42" customWidth="1"/>
    <col min="12051" max="12063" width="0" style="42" hidden="1" customWidth="1"/>
    <col min="12064" max="12064" width="19.85546875" style="42" customWidth="1"/>
    <col min="12065" max="12065" width="0" style="42" hidden="1" customWidth="1"/>
    <col min="12066" max="12066" width="2.85546875" style="42" customWidth="1"/>
    <col min="12067" max="12067" width="15.5703125" style="42" customWidth="1"/>
    <col min="12068" max="12068" width="2" style="42" customWidth="1"/>
    <col min="12069" max="12069" width="15.5703125" style="42" customWidth="1"/>
    <col min="12070" max="12070" width="1.7109375" style="42" customWidth="1"/>
    <col min="12071" max="12071" width="15.5703125" style="42" customWidth="1"/>
    <col min="12072" max="12072" width="1.5703125" style="42" customWidth="1"/>
    <col min="12073" max="12073" width="15.5703125" style="42" customWidth="1"/>
    <col min="12074" max="12074" width="1.42578125" style="42" customWidth="1"/>
    <col min="12075" max="12075" width="15.5703125" style="42" customWidth="1"/>
    <col min="12076" max="12076" width="1.85546875" style="42" customWidth="1"/>
    <col min="12077" max="12077" width="15.5703125" style="42" customWidth="1"/>
    <col min="12078" max="12078" width="1.28515625" style="42" customWidth="1"/>
    <col min="12079" max="12079" width="15.85546875" style="42" customWidth="1"/>
    <col min="12080" max="12080" width="1.5703125" style="42" customWidth="1"/>
    <col min="12081" max="12081" width="15.5703125" style="42" customWidth="1"/>
    <col min="12082" max="12082" width="1.85546875" style="42" customWidth="1"/>
    <col min="12083" max="12083" width="15.5703125" style="42" customWidth="1"/>
    <col min="12084" max="12084" width="1.5703125" style="42" customWidth="1"/>
    <col min="12085" max="12085" width="15.5703125" style="42" customWidth="1"/>
    <col min="12086" max="12086" width="9.140625" style="42"/>
    <col min="12087" max="12087" width="15.140625" style="42" customWidth="1"/>
    <col min="12088" max="12289" width="9.140625" style="42"/>
    <col min="12290" max="12290" width="26.5703125" style="42" customWidth="1"/>
    <col min="12291" max="12303" width="0" style="42" hidden="1" customWidth="1"/>
    <col min="12304" max="12304" width="1.7109375" style="42" customWidth="1"/>
    <col min="12305" max="12305" width="17.42578125" style="42" customWidth="1"/>
    <col min="12306" max="12306" width="1.140625" style="42" customWidth="1"/>
    <col min="12307" max="12319" width="0" style="42" hidden="1" customWidth="1"/>
    <col min="12320" max="12320" width="19.85546875" style="42" customWidth="1"/>
    <col min="12321" max="12321" width="0" style="42" hidden="1" customWidth="1"/>
    <col min="12322" max="12322" width="2.85546875" style="42" customWidth="1"/>
    <col min="12323" max="12323" width="15.5703125" style="42" customWidth="1"/>
    <col min="12324" max="12324" width="2" style="42" customWidth="1"/>
    <col min="12325" max="12325" width="15.5703125" style="42" customWidth="1"/>
    <col min="12326" max="12326" width="1.7109375" style="42" customWidth="1"/>
    <col min="12327" max="12327" width="15.5703125" style="42" customWidth="1"/>
    <col min="12328" max="12328" width="1.5703125" style="42" customWidth="1"/>
    <col min="12329" max="12329" width="15.5703125" style="42" customWidth="1"/>
    <col min="12330" max="12330" width="1.42578125" style="42" customWidth="1"/>
    <col min="12331" max="12331" width="15.5703125" style="42" customWidth="1"/>
    <col min="12332" max="12332" width="1.85546875" style="42" customWidth="1"/>
    <col min="12333" max="12333" width="15.5703125" style="42" customWidth="1"/>
    <col min="12334" max="12334" width="1.28515625" style="42" customWidth="1"/>
    <col min="12335" max="12335" width="15.85546875" style="42" customWidth="1"/>
    <col min="12336" max="12336" width="1.5703125" style="42" customWidth="1"/>
    <col min="12337" max="12337" width="15.5703125" style="42" customWidth="1"/>
    <col min="12338" max="12338" width="1.85546875" style="42" customWidth="1"/>
    <col min="12339" max="12339" width="15.5703125" style="42" customWidth="1"/>
    <col min="12340" max="12340" width="1.5703125" style="42" customWidth="1"/>
    <col min="12341" max="12341" width="15.5703125" style="42" customWidth="1"/>
    <col min="12342" max="12342" width="9.140625" style="42"/>
    <col min="12343" max="12343" width="15.140625" style="42" customWidth="1"/>
    <col min="12344" max="12545" width="9.140625" style="42"/>
    <col min="12546" max="12546" width="26.5703125" style="42" customWidth="1"/>
    <col min="12547" max="12559" width="0" style="42" hidden="1" customWidth="1"/>
    <col min="12560" max="12560" width="1.7109375" style="42" customWidth="1"/>
    <col min="12561" max="12561" width="17.42578125" style="42" customWidth="1"/>
    <col min="12562" max="12562" width="1.140625" style="42" customWidth="1"/>
    <col min="12563" max="12575" width="0" style="42" hidden="1" customWidth="1"/>
    <col min="12576" max="12576" width="19.85546875" style="42" customWidth="1"/>
    <col min="12577" max="12577" width="0" style="42" hidden="1" customWidth="1"/>
    <col min="12578" max="12578" width="2.85546875" style="42" customWidth="1"/>
    <col min="12579" max="12579" width="15.5703125" style="42" customWidth="1"/>
    <col min="12580" max="12580" width="2" style="42" customWidth="1"/>
    <col min="12581" max="12581" width="15.5703125" style="42" customWidth="1"/>
    <col min="12582" max="12582" width="1.7109375" style="42" customWidth="1"/>
    <col min="12583" max="12583" width="15.5703125" style="42" customWidth="1"/>
    <col min="12584" max="12584" width="1.5703125" style="42" customWidth="1"/>
    <col min="12585" max="12585" width="15.5703125" style="42" customWidth="1"/>
    <col min="12586" max="12586" width="1.42578125" style="42" customWidth="1"/>
    <col min="12587" max="12587" width="15.5703125" style="42" customWidth="1"/>
    <col min="12588" max="12588" width="1.85546875" style="42" customWidth="1"/>
    <col min="12589" max="12589" width="15.5703125" style="42" customWidth="1"/>
    <col min="12590" max="12590" width="1.28515625" style="42" customWidth="1"/>
    <col min="12591" max="12591" width="15.85546875" style="42" customWidth="1"/>
    <col min="12592" max="12592" width="1.5703125" style="42" customWidth="1"/>
    <col min="12593" max="12593" width="15.5703125" style="42" customWidth="1"/>
    <col min="12594" max="12594" width="1.85546875" style="42" customWidth="1"/>
    <col min="12595" max="12595" width="15.5703125" style="42" customWidth="1"/>
    <col min="12596" max="12596" width="1.5703125" style="42" customWidth="1"/>
    <col min="12597" max="12597" width="15.5703125" style="42" customWidth="1"/>
    <col min="12598" max="12598" width="9.140625" style="42"/>
    <col min="12599" max="12599" width="15.140625" style="42" customWidth="1"/>
    <col min="12600" max="12801" width="9.140625" style="42"/>
    <col min="12802" max="12802" width="26.5703125" style="42" customWidth="1"/>
    <col min="12803" max="12815" width="0" style="42" hidden="1" customWidth="1"/>
    <col min="12816" max="12816" width="1.7109375" style="42" customWidth="1"/>
    <col min="12817" max="12817" width="17.42578125" style="42" customWidth="1"/>
    <col min="12818" max="12818" width="1.140625" style="42" customWidth="1"/>
    <col min="12819" max="12831" width="0" style="42" hidden="1" customWidth="1"/>
    <col min="12832" max="12832" width="19.85546875" style="42" customWidth="1"/>
    <col min="12833" max="12833" width="0" style="42" hidden="1" customWidth="1"/>
    <col min="12834" max="12834" width="2.85546875" style="42" customWidth="1"/>
    <col min="12835" max="12835" width="15.5703125" style="42" customWidth="1"/>
    <col min="12836" max="12836" width="2" style="42" customWidth="1"/>
    <col min="12837" max="12837" width="15.5703125" style="42" customWidth="1"/>
    <col min="12838" max="12838" width="1.7109375" style="42" customWidth="1"/>
    <col min="12839" max="12839" width="15.5703125" style="42" customWidth="1"/>
    <col min="12840" max="12840" width="1.5703125" style="42" customWidth="1"/>
    <col min="12841" max="12841" width="15.5703125" style="42" customWidth="1"/>
    <col min="12842" max="12842" width="1.42578125" style="42" customWidth="1"/>
    <col min="12843" max="12843" width="15.5703125" style="42" customWidth="1"/>
    <col min="12844" max="12844" width="1.85546875" style="42" customWidth="1"/>
    <col min="12845" max="12845" width="15.5703125" style="42" customWidth="1"/>
    <col min="12846" max="12846" width="1.28515625" style="42" customWidth="1"/>
    <col min="12847" max="12847" width="15.85546875" style="42" customWidth="1"/>
    <col min="12848" max="12848" width="1.5703125" style="42" customWidth="1"/>
    <col min="12849" max="12849" width="15.5703125" style="42" customWidth="1"/>
    <col min="12850" max="12850" width="1.85546875" style="42" customWidth="1"/>
    <col min="12851" max="12851" width="15.5703125" style="42" customWidth="1"/>
    <col min="12852" max="12852" width="1.5703125" style="42" customWidth="1"/>
    <col min="12853" max="12853" width="15.5703125" style="42" customWidth="1"/>
    <col min="12854" max="12854" width="9.140625" style="42"/>
    <col min="12855" max="12855" width="15.140625" style="42" customWidth="1"/>
    <col min="12856" max="13057" width="9.140625" style="42"/>
    <col min="13058" max="13058" width="26.5703125" style="42" customWidth="1"/>
    <col min="13059" max="13071" width="0" style="42" hidden="1" customWidth="1"/>
    <col min="13072" max="13072" width="1.7109375" style="42" customWidth="1"/>
    <col min="13073" max="13073" width="17.42578125" style="42" customWidth="1"/>
    <col min="13074" max="13074" width="1.140625" style="42" customWidth="1"/>
    <col min="13075" max="13087" width="0" style="42" hidden="1" customWidth="1"/>
    <col min="13088" max="13088" width="19.85546875" style="42" customWidth="1"/>
    <col min="13089" max="13089" width="0" style="42" hidden="1" customWidth="1"/>
    <col min="13090" max="13090" width="2.85546875" style="42" customWidth="1"/>
    <col min="13091" max="13091" width="15.5703125" style="42" customWidth="1"/>
    <col min="13092" max="13092" width="2" style="42" customWidth="1"/>
    <col min="13093" max="13093" width="15.5703125" style="42" customWidth="1"/>
    <col min="13094" max="13094" width="1.7109375" style="42" customWidth="1"/>
    <col min="13095" max="13095" width="15.5703125" style="42" customWidth="1"/>
    <col min="13096" max="13096" width="1.5703125" style="42" customWidth="1"/>
    <col min="13097" max="13097" width="15.5703125" style="42" customWidth="1"/>
    <col min="13098" max="13098" width="1.42578125" style="42" customWidth="1"/>
    <col min="13099" max="13099" width="15.5703125" style="42" customWidth="1"/>
    <col min="13100" max="13100" width="1.85546875" style="42" customWidth="1"/>
    <col min="13101" max="13101" width="15.5703125" style="42" customWidth="1"/>
    <col min="13102" max="13102" width="1.28515625" style="42" customWidth="1"/>
    <col min="13103" max="13103" width="15.85546875" style="42" customWidth="1"/>
    <col min="13104" max="13104" width="1.5703125" style="42" customWidth="1"/>
    <col min="13105" max="13105" width="15.5703125" style="42" customWidth="1"/>
    <col min="13106" max="13106" width="1.85546875" style="42" customWidth="1"/>
    <col min="13107" max="13107" width="15.5703125" style="42" customWidth="1"/>
    <col min="13108" max="13108" width="1.5703125" style="42" customWidth="1"/>
    <col min="13109" max="13109" width="15.5703125" style="42" customWidth="1"/>
    <col min="13110" max="13110" width="9.140625" style="42"/>
    <col min="13111" max="13111" width="15.140625" style="42" customWidth="1"/>
    <col min="13112" max="13313" width="9.140625" style="42"/>
    <col min="13314" max="13314" width="26.5703125" style="42" customWidth="1"/>
    <col min="13315" max="13327" width="0" style="42" hidden="1" customWidth="1"/>
    <col min="13328" max="13328" width="1.7109375" style="42" customWidth="1"/>
    <col min="13329" max="13329" width="17.42578125" style="42" customWidth="1"/>
    <col min="13330" max="13330" width="1.140625" style="42" customWidth="1"/>
    <col min="13331" max="13343" width="0" style="42" hidden="1" customWidth="1"/>
    <col min="13344" max="13344" width="19.85546875" style="42" customWidth="1"/>
    <col min="13345" max="13345" width="0" style="42" hidden="1" customWidth="1"/>
    <col min="13346" max="13346" width="2.85546875" style="42" customWidth="1"/>
    <col min="13347" max="13347" width="15.5703125" style="42" customWidth="1"/>
    <col min="13348" max="13348" width="2" style="42" customWidth="1"/>
    <col min="13349" max="13349" width="15.5703125" style="42" customWidth="1"/>
    <col min="13350" max="13350" width="1.7109375" style="42" customWidth="1"/>
    <col min="13351" max="13351" width="15.5703125" style="42" customWidth="1"/>
    <col min="13352" max="13352" width="1.5703125" style="42" customWidth="1"/>
    <col min="13353" max="13353" width="15.5703125" style="42" customWidth="1"/>
    <col min="13354" max="13354" width="1.42578125" style="42" customWidth="1"/>
    <col min="13355" max="13355" width="15.5703125" style="42" customWidth="1"/>
    <col min="13356" max="13356" width="1.85546875" style="42" customWidth="1"/>
    <col min="13357" max="13357" width="15.5703125" style="42" customWidth="1"/>
    <col min="13358" max="13358" width="1.28515625" style="42" customWidth="1"/>
    <col min="13359" max="13359" width="15.85546875" style="42" customWidth="1"/>
    <col min="13360" max="13360" width="1.5703125" style="42" customWidth="1"/>
    <col min="13361" max="13361" width="15.5703125" style="42" customWidth="1"/>
    <col min="13362" max="13362" width="1.85546875" style="42" customWidth="1"/>
    <col min="13363" max="13363" width="15.5703125" style="42" customWidth="1"/>
    <col min="13364" max="13364" width="1.5703125" style="42" customWidth="1"/>
    <col min="13365" max="13365" width="15.5703125" style="42" customWidth="1"/>
    <col min="13366" max="13366" width="9.140625" style="42"/>
    <col min="13367" max="13367" width="15.140625" style="42" customWidth="1"/>
    <col min="13368" max="13569" width="9.140625" style="42"/>
    <col min="13570" max="13570" width="26.5703125" style="42" customWidth="1"/>
    <col min="13571" max="13583" width="0" style="42" hidden="1" customWidth="1"/>
    <col min="13584" max="13584" width="1.7109375" style="42" customWidth="1"/>
    <col min="13585" max="13585" width="17.42578125" style="42" customWidth="1"/>
    <col min="13586" max="13586" width="1.140625" style="42" customWidth="1"/>
    <col min="13587" max="13599" width="0" style="42" hidden="1" customWidth="1"/>
    <col min="13600" max="13600" width="19.85546875" style="42" customWidth="1"/>
    <col min="13601" max="13601" width="0" style="42" hidden="1" customWidth="1"/>
    <col min="13602" max="13602" width="2.85546875" style="42" customWidth="1"/>
    <col min="13603" max="13603" width="15.5703125" style="42" customWidth="1"/>
    <col min="13604" max="13604" width="2" style="42" customWidth="1"/>
    <col min="13605" max="13605" width="15.5703125" style="42" customWidth="1"/>
    <col min="13606" max="13606" width="1.7109375" style="42" customWidth="1"/>
    <col min="13607" max="13607" width="15.5703125" style="42" customWidth="1"/>
    <col min="13608" max="13608" width="1.5703125" style="42" customWidth="1"/>
    <col min="13609" max="13609" width="15.5703125" style="42" customWidth="1"/>
    <col min="13610" max="13610" width="1.42578125" style="42" customWidth="1"/>
    <col min="13611" max="13611" width="15.5703125" style="42" customWidth="1"/>
    <col min="13612" max="13612" width="1.85546875" style="42" customWidth="1"/>
    <col min="13613" max="13613" width="15.5703125" style="42" customWidth="1"/>
    <col min="13614" max="13614" width="1.28515625" style="42" customWidth="1"/>
    <col min="13615" max="13615" width="15.85546875" style="42" customWidth="1"/>
    <col min="13616" max="13616" width="1.5703125" style="42" customWidth="1"/>
    <col min="13617" max="13617" width="15.5703125" style="42" customWidth="1"/>
    <col min="13618" max="13618" width="1.85546875" style="42" customWidth="1"/>
    <col min="13619" max="13619" width="15.5703125" style="42" customWidth="1"/>
    <col min="13620" max="13620" width="1.5703125" style="42" customWidth="1"/>
    <col min="13621" max="13621" width="15.5703125" style="42" customWidth="1"/>
    <col min="13622" max="13622" width="9.140625" style="42"/>
    <col min="13623" max="13623" width="15.140625" style="42" customWidth="1"/>
    <col min="13624" max="13825" width="9.140625" style="42"/>
    <col min="13826" max="13826" width="26.5703125" style="42" customWidth="1"/>
    <col min="13827" max="13839" width="0" style="42" hidden="1" customWidth="1"/>
    <col min="13840" max="13840" width="1.7109375" style="42" customWidth="1"/>
    <col min="13841" max="13841" width="17.42578125" style="42" customWidth="1"/>
    <col min="13842" max="13842" width="1.140625" style="42" customWidth="1"/>
    <col min="13843" max="13855" width="0" style="42" hidden="1" customWidth="1"/>
    <col min="13856" max="13856" width="19.85546875" style="42" customWidth="1"/>
    <col min="13857" max="13857" width="0" style="42" hidden="1" customWidth="1"/>
    <col min="13858" max="13858" width="2.85546875" style="42" customWidth="1"/>
    <col min="13859" max="13859" width="15.5703125" style="42" customWidth="1"/>
    <col min="13860" max="13860" width="2" style="42" customWidth="1"/>
    <col min="13861" max="13861" width="15.5703125" style="42" customWidth="1"/>
    <col min="13862" max="13862" width="1.7109375" style="42" customWidth="1"/>
    <col min="13863" max="13863" width="15.5703125" style="42" customWidth="1"/>
    <col min="13864" max="13864" width="1.5703125" style="42" customWidth="1"/>
    <col min="13865" max="13865" width="15.5703125" style="42" customWidth="1"/>
    <col min="13866" max="13866" width="1.42578125" style="42" customWidth="1"/>
    <col min="13867" max="13867" width="15.5703125" style="42" customWidth="1"/>
    <col min="13868" max="13868" width="1.85546875" style="42" customWidth="1"/>
    <col min="13869" max="13869" width="15.5703125" style="42" customWidth="1"/>
    <col min="13870" max="13870" width="1.28515625" style="42" customWidth="1"/>
    <col min="13871" max="13871" width="15.85546875" style="42" customWidth="1"/>
    <col min="13872" max="13872" width="1.5703125" style="42" customWidth="1"/>
    <col min="13873" max="13873" width="15.5703125" style="42" customWidth="1"/>
    <col min="13874" max="13874" width="1.85546875" style="42" customWidth="1"/>
    <col min="13875" max="13875" width="15.5703125" style="42" customWidth="1"/>
    <col min="13876" max="13876" width="1.5703125" style="42" customWidth="1"/>
    <col min="13877" max="13877" width="15.5703125" style="42" customWidth="1"/>
    <col min="13878" max="13878" width="9.140625" style="42"/>
    <col min="13879" max="13879" width="15.140625" style="42" customWidth="1"/>
    <col min="13880" max="14081" width="9.140625" style="42"/>
    <col min="14082" max="14082" width="26.5703125" style="42" customWidth="1"/>
    <col min="14083" max="14095" width="0" style="42" hidden="1" customWidth="1"/>
    <col min="14096" max="14096" width="1.7109375" style="42" customWidth="1"/>
    <col min="14097" max="14097" width="17.42578125" style="42" customWidth="1"/>
    <col min="14098" max="14098" width="1.140625" style="42" customWidth="1"/>
    <col min="14099" max="14111" width="0" style="42" hidden="1" customWidth="1"/>
    <col min="14112" max="14112" width="19.85546875" style="42" customWidth="1"/>
    <col min="14113" max="14113" width="0" style="42" hidden="1" customWidth="1"/>
    <col min="14114" max="14114" width="2.85546875" style="42" customWidth="1"/>
    <col min="14115" max="14115" width="15.5703125" style="42" customWidth="1"/>
    <col min="14116" max="14116" width="2" style="42" customWidth="1"/>
    <col min="14117" max="14117" width="15.5703125" style="42" customWidth="1"/>
    <col min="14118" max="14118" width="1.7109375" style="42" customWidth="1"/>
    <col min="14119" max="14119" width="15.5703125" style="42" customWidth="1"/>
    <col min="14120" max="14120" width="1.5703125" style="42" customWidth="1"/>
    <col min="14121" max="14121" width="15.5703125" style="42" customWidth="1"/>
    <col min="14122" max="14122" width="1.42578125" style="42" customWidth="1"/>
    <col min="14123" max="14123" width="15.5703125" style="42" customWidth="1"/>
    <col min="14124" max="14124" width="1.85546875" style="42" customWidth="1"/>
    <col min="14125" max="14125" width="15.5703125" style="42" customWidth="1"/>
    <col min="14126" max="14126" width="1.28515625" style="42" customWidth="1"/>
    <col min="14127" max="14127" width="15.85546875" style="42" customWidth="1"/>
    <col min="14128" max="14128" width="1.5703125" style="42" customWidth="1"/>
    <col min="14129" max="14129" width="15.5703125" style="42" customWidth="1"/>
    <col min="14130" max="14130" width="1.85546875" style="42" customWidth="1"/>
    <col min="14131" max="14131" width="15.5703125" style="42" customWidth="1"/>
    <col min="14132" max="14132" width="1.5703125" style="42" customWidth="1"/>
    <col min="14133" max="14133" width="15.5703125" style="42" customWidth="1"/>
    <col min="14134" max="14134" width="9.140625" style="42"/>
    <col min="14135" max="14135" width="15.140625" style="42" customWidth="1"/>
    <col min="14136" max="14337" width="9.140625" style="42"/>
    <col min="14338" max="14338" width="26.5703125" style="42" customWidth="1"/>
    <col min="14339" max="14351" width="0" style="42" hidden="1" customWidth="1"/>
    <col min="14352" max="14352" width="1.7109375" style="42" customWidth="1"/>
    <col min="14353" max="14353" width="17.42578125" style="42" customWidth="1"/>
    <col min="14354" max="14354" width="1.140625" style="42" customWidth="1"/>
    <col min="14355" max="14367" width="0" style="42" hidden="1" customWidth="1"/>
    <col min="14368" max="14368" width="19.85546875" style="42" customWidth="1"/>
    <col min="14369" max="14369" width="0" style="42" hidden="1" customWidth="1"/>
    <col min="14370" max="14370" width="2.85546875" style="42" customWidth="1"/>
    <col min="14371" max="14371" width="15.5703125" style="42" customWidth="1"/>
    <col min="14372" max="14372" width="2" style="42" customWidth="1"/>
    <col min="14373" max="14373" width="15.5703125" style="42" customWidth="1"/>
    <col min="14374" max="14374" width="1.7109375" style="42" customWidth="1"/>
    <col min="14375" max="14375" width="15.5703125" style="42" customWidth="1"/>
    <col min="14376" max="14376" width="1.5703125" style="42" customWidth="1"/>
    <col min="14377" max="14377" width="15.5703125" style="42" customWidth="1"/>
    <col min="14378" max="14378" width="1.42578125" style="42" customWidth="1"/>
    <col min="14379" max="14379" width="15.5703125" style="42" customWidth="1"/>
    <col min="14380" max="14380" width="1.85546875" style="42" customWidth="1"/>
    <col min="14381" max="14381" width="15.5703125" style="42" customWidth="1"/>
    <col min="14382" max="14382" width="1.28515625" style="42" customWidth="1"/>
    <col min="14383" max="14383" width="15.85546875" style="42" customWidth="1"/>
    <col min="14384" max="14384" width="1.5703125" style="42" customWidth="1"/>
    <col min="14385" max="14385" width="15.5703125" style="42" customWidth="1"/>
    <col min="14386" max="14386" width="1.85546875" style="42" customWidth="1"/>
    <col min="14387" max="14387" width="15.5703125" style="42" customWidth="1"/>
    <col min="14388" max="14388" width="1.5703125" style="42" customWidth="1"/>
    <col min="14389" max="14389" width="15.5703125" style="42" customWidth="1"/>
    <col min="14390" max="14390" width="9.140625" style="42"/>
    <col min="14391" max="14391" width="15.140625" style="42" customWidth="1"/>
    <col min="14392" max="14593" width="9.140625" style="42"/>
    <col min="14594" max="14594" width="26.5703125" style="42" customWidth="1"/>
    <col min="14595" max="14607" width="0" style="42" hidden="1" customWidth="1"/>
    <col min="14608" max="14608" width="1.7109375" style="42" customWidth="1"/>
    <col min="14609" max="14609" width="17.42578125" style="42" customWidth="1"/>
    <col min="14610" max="14610" width="1.140625" style="42" customWidth="1"/>
    <col min="14611" max="14623" width="0" style="42" hidden="1" customWidth="1"/>
    <col min="14624" max="14624" width="19.85546875" style="42" customWidth="1"/>
    <col min="14625" max="14625" width="0" style="42" hidden="1" customWidth="1"/>
    <col min="14626" max="14626" width="2.85546875" style="42" customWidth="1"/>
    <col min="14627" max="14627" width="15.5703125" style="42" customWidth="1"/>
    <col min="14628" max="14628" width="2" style="42" customWidth="1"/>
    <col min="14629" max="14629" width="15.5703125" style="42" customWidth="1"/>
    <col min="14630" max="14630" width="1.7109375" style="42" customWidth="1"/>
    <col min="14631" max="14631" width="15.5703125" style="42" customWidth="1"/>
    <col min="14632" max="14632" width="1.5703125" style="42" customWidth="1"/>
    <col min="14633" max="14633" width="15.5703125" style="42" customWidth="1"/>
    <col min="14634" max="14634" width="1.42578125" style="42" customWidth="1"/>
    <col min="14635" max="14635" width="15.5703125" style="42" customWidth="1"/>
    <col min="14636" max="14636" width="1.85546875" style="42" customWidth="1"/>
    <col min="14637" max="14637" width="15.5703125" style="42" customWidth="1"/>
    <col min="14638" max="14638" width="1.28515625" style="42" customWidth="1"/>
    <col min="14639" max="14639" width="15.85546875" style="42" customWidth="1"/>
    <col min="14640" max="14640" width="1.5703125" style="42" customWidth="1"/>
    <col min="14641" max="14641" width="15.5703125" style="42" customWidth="1"/>
    <col min="14642" max="14642" width="1.85546875" style="42" customWidth="1"/>
    <col min="14643" max="14643" width="15.5703125" style="42" customWidth="1"/>
    <col min="14644" max="14644" width="1.5703125" style="42" customWidth="1"/>
    <col min="14645" max="14645" width="15.5703125" style="42" customWidth="1"/>
    <col min="14646" max="14646" width="9.140625" style="42"/>
    <col min="14647" max="14647" width="15.140625" style="42" customWidth="1"/>
    <col min="14648" max="14849" width="9.140625" style="42"/>
    <col min="14850" max="14850" width="26.5703125" style="42" customWidth="1"/>
    <col min="14851" max="14863" width="0" style="42" hidden="1" customWidth="1"/>
    <col min="14864" max="14864" width="1.7109375" style="42" customWidth="1"/>
    <col min="14865" max="14865" width="17.42578125" style="42" customWidth="1"/>
    <col min="14866" max="14866" width="1.140625" style="42" customWidth="1"/>
    <col min="14867" max="14879" width="0" style="42" hidden="1" customWidth="1"/>
    <col min="14880" max="14880" width="19.85546875" style="42" customWidth="1"/>
    <col min="14881" max="14881" width="0" style="42" hidden="1" customWidth="1"/>
    <col min="14882" max="14882" width="2.85546875" style="42" customWidth="1"/>
    <col min="14883" max="14883" width="15.5703125" style="42" customWidth="1"/>
    <col min="14884" max="14884" width="2" style="42" customWidth="1"/>
    <col min="14885" max="14885" width="15.5703125" style="42" customWidth="1"/>
    <col min="14886" max="14886" width="1.7109375" style="42" customWidth="1"/>
    <col min="14887" max="14887" width="15.5703125" style="42" customWidth="1"/>
    <col min="14888" max="14888" width="1.5703125" style="42" customWidth="1"/>
    <col min="14889" max="14889" width="15.5703125" style="42" customWidth="1"/>
    <col min="14890" max="14890" width="1.42578125" style="42" customWidth="1"/>
    <col min="14891" max="14891" width="15.5703125" style="42" customWidth="1"/>
    <col min="14892" max="14892" width="1.85546875" style="42" customWidth="1"/>
    <col min="14893" max="14893" width="15.5703125" style="42" customWidth="1"/>
    <col min="14894" max="14894" width="1.28515625" style="42" customWidth="1"/>
    <col min="14895" max="14895" width="15.85546875" style="42" customWidth="1"/>
    <col min="14896" max="14896" width="1.5703125" style="42" customWidth="1"/>
    <col min="14897" max="14897" width="15.5703125" style="42" customWidth="1"/>
    <col min="14898" max="14898" width="1.85546875" style="42" customWidth="1"/>
    <col min="14899" max="14899" width="15.5703125" style="42" customWidth="1"/>
    <col min="14900" max="14900" width="1.5703125" style="42" customWidth="1"/>
    <col min="14901" max="14901" width="15.5703125" style="42" customWidth="1"/>
    <col min="14902" max="14902" width="9.140625" style="42"/>
    <col min="14903" max="14903" width="15.140625" style="42" customWidth="1"/>
    <col min="14904" max="15105" width="9.140625" style="42"/>
    <col min="15106" max="15106" width="26.5703125" style="42" customWidth="1"/>
    <col min="15107" max="15119" width="0" style="42" hidden="1" customWidth="1"/>
    <col min="15120" max="15120" width="1.7109375" style="42" customWidth="1"/>
    <col min="15121" max="15121" width="17.42578125" style="42" customWidth="1"/>
    <col min="15122" max="15122" width="1.140625" style="42" customWidth="1"/>
    <col min="15123" max="15135" width="0" style="42" hidden="1" customWidth="1"/>
    <col min="15136" max="15136" width="19.85546875" style="42" customWidth="1"/>
    <col min="15137" max="15137" width="0" style="42" hidden="1" customWidth="1"/>
    <col min="15138" max="15138" width="2.85546875" style="42" customWidth="1"/>
    <col min="15139" max="15139" width="15.5703125" style="42" customWidth="1"/>
    <col min="15140" max="15140" width="2" style="42" customWidth="1"/>
    <col min="15141" max="15141" width="15.5703125" style="42" customWidth="1"/>
    <col min="15142" max="15142" width="1.7109375" style="42" customWidth="1"/>
    <col min="15143" max="15143" width="15.5703125" style="42" customWidth="1"/>
    <col min="15144" max="15144" width="1.5703125" style="42" customWidth="1"/>
    <col min="15145" max="15145" width="15.5703125" style="42" customWidth="1"/>
    <col min="15146" max="15146" width="1.42578125" style="42" customWidth="1"/>
    <col min="15147" max="15147" width="15.5703125" style="42" customWidth="1"/>
    <col min="15148" max="15148" width="1.85546875" style="42" customWidth="1"/>
    <col min="15149" max="15149" width="15.5703125" style="42" customWidth="1"/>
    <col min="15150" max="15150" width="1.28515625" style="42" customWidth="1"/>
    <col min="15151" max="15151" width="15.85546875" style="42" customWidth="1"/>
    <col min="15152" max="15152" width="1.5703125" style="42" customWidth="1"/>
    <col min="15153" max="15153" width="15.5703125" style="42" customWidth="1"/>
    <col min="15154" max="15154" width="1.85546875" style="42" customWidth="1"/>
    <col min="15155" max="15155" width="15.5703125" style="42" customWidth="1"/>
    <col min="15156" max="15156" width="1.5703125" style="42" customWidth="1"/>
    <col min="15157" max="15157" width="15.5703125" style="42" customWidth="1"/>
    <col min="15158" max="15158" width="9.140625" style="42"/>
    <col min="15159" max="15159" width="15.140625" style="42" customWidth="1"/>
    <col min="15160" max="15361" width="9.140625" style="42"/>
    <col min="15362" max="15362" width="26.5703125" style="42" customWidth="1"/>
    <col min="15363" max="15375" width="0" style="42" hidden="1" customWidth="1"/>
    <col min="15376" max="15376" width="1.7109375" style="42" customWidth="1"/>
    <col min="15377" max="15377" width="17.42578125" style="42" customWidth="1"/>
    <col min="15378" max="15378" width="1.140625" style="42" customWidth="1"/>
    <col min="15379" max="15391" width="0" style="42" hidden="1" customWidth="1"/>
    <col min="15392" max="15392" width="19.85546875" style="42" customWidth="1"/>
    <col min="15393" max="15393" width="0" style="42" hidden="1" customWidth="1"/>
    <col min="15394" max="15394" width="2.85546875" style="42" customWidth="1"/>
    <col min="15395" max="15395" width="15.5703125" style="42" customWidth="1"/>
    <col min="15396" max="15396" width="2" style="42" customWidth="1"/>
    <col min="15397" max="15397" width="15.5703125" style="42" customWidth="1"/>
    <col min="15398" max="15398" width="1.7109375" style="42" customWidth="1"/>
    <col min="15399" max="15399" width="15.5703125" style="42" customWidth="1"/>
    <col min="15400" max="15400" width="1.5703125" style="42" customWidth="1"/>
    <col min="15401" max="15401" width="15.5703125" style="42" customWidth="1"/>
    <col min="15402" max="15402" width="1.42578125" style="42" customWidth="1"/>
    <col min="15403" max="15403" width="15.5703125" style="42" customWidth="1"/>
    <col min="15404" max="15404" width="1.85546875" style="42" customWidth="1"/>
    <col min="15405" max="15405" width="15.5703125" style="42" customWidth="1"/>
    <col min="15406" max="15406" width="1.28515625" style="42" customWidth="1"/>
    <col min="15407" max="15407" width="15.85546875" style="42" customWidth="1"/>
    <col min="15408" max="15408" width="1.5703125" style="42" customWidth="1"/>
    <col min="15409" max="15409" width="15.5703125" style="42" customWidth="1"/>
    <col min="15410" max="15410" width="1.85546875" style="42" customWidth="1"/>
    <col min="15411" max="15411" width="15.5703125" style="42" customWidth="1"/>
    <col min="15412" max="15412" width="1.5703125" style="42" customWidth="1"/>
    <col min="15413" max="15413" width="15.5703125" style="42" customWidth="1"/>
    <col min="15414" max="15414" width="9.140625" style="42"/>
    <col min="15415" max="15415" width="15.140625" style="42" customWidth="1"/>
    <col min="15416" max="15617" width="9.140625" style="42"/>
    <col min="15618" max="15618" width="26.5703125" style="42" customWidth="1"/>
    <col min="15619" max="15631" width="0" style="42" hidden="1" customWidth="1"/>
    <col min="15632" max="15632" width="1.7109375" style="42" customWidth="1"/>
    <col min="15633" max="15633" width="17.42578125" style="42" customWidth="1"/>
    <col min="15634" max="15634" width="1.140625" style="42" customWidth="1"/>
    <col min="15635" max="15647" width="0" style="42" hidden="1" customWidth="1"/>
    <col min="15648" max="15648" width="19.85546875" style="42" customWidth="1"/>
    <col min="15649" max="15649" width="0" style="42" hidden="1" customWidth="1"/>
    <col min="15650" max="15650" width="2.85546875" style="42" customWidth="1"/>
    <col min="15651" max="15651" width="15.5703125" style="42" customWidth="1"/>
    <col min="15652" max="15652" width="2" style="42" customWidth="1"/>
    <col min="15653" max="15653" width="15.5703125" style="42" customWidth="1"/>
    <col min="15654" max="15654" width="1.7109375" style="42" customWidth="1"/>
    <col min="15655" max="15655" width="15.5703125" style="42" customWidth="1"/>
    <col min="15656" max="15656" width="1.5703125" style="42" customWidth="1"/>
    <col min="15657" max="15657" width="15.5703125" style="42" customWidth="1"/>
    <col min="15658" max="15658" width="1.42578125" style="42" customWidth="1"/>
    <col min="15659" max="15659" width="15.5703125" style="42" customWidth="1"/>
    <col min="15660" max="15660" width="1.85546875" style="42" customWidth="1"/>
    <col min="15661" max="15661" width="15.5703125" style="42" customWidth="1"/>
    <col min="15662" max="15662" width="1.28515625" style="42" customWidth="1"/>
    <col min="15663" max="15663" width="15.85546875" style="42" customWidth="1"/>
    <col min="15664" max="15664" width="1.5703125" style="42" customWidth="1"/>
    <col min="15665" max="15665" width="15.5703125" style="42" customWidth="1"/>
    <col min="15666" max="15666" width="1.85546875" style="42" customWidth="1"/>
    <col min="15667" max="15667" width="15.5703125" style="42" customWidth="1"/>
    <col min="15668" max="15668" width="1.5703125" style="42" customWidth="1"/>
    <col min="15669" max="15669" width="15.5703125" style="42" customWidth="1"/>
    <col min="15670" max="15670" width="9.140625" style="42"/>
    <col min="15671" max="15671" width="15.140625" style="42" customWidth="1"/>
    <col min="15672" max="15873" width="9.140625" style="42"/>
    <col min="15874" max="15874" width="26.5703125" style="42" customWidth="1"/>
    <col min="15875" max="15887" width="0" style="42" hidden="1" customWidth="1"/>
    <col min="15888" max="15888" width="1.7109375" style="42" customWidth="1"/>
    <col min="15889" max="15889" width="17.42578125" style="42" customWidth="1"/>
    <col min="15890" max="15890" width="1.140625" style="42" customWidth="1"/>
    <col min="15891" max="15903" width="0" style="42" hidden="1" customWidth="1"/>
    <col min="15904" max="15904" width="19.85546875" style="42" customWidth="1"/>
    <col min="15905" max="15905" width="0" style="42" hidden="1" customWidth="1"/>
    <col min="15906" max="15906" width="2.85546875" style="42" customWidth="1"/>
    <col min="15907" max="15907" width="15.5703125" style="42" customWidth="1"/>
    <col min="15908" max="15908" width="2" style="42" customWidth="1"/>
    <col min="15909" max="15909" width="15.5703125" style="42" customWidth="1"/>
    <col min="15910" max="15910" width="1.7109375" style="42" customWidth="1"/>
    <col min="15911" max="15911" width="15.5703125" style="42" customWidth="1"/>
    <col min="15912" max="15912" width="1.5703125" style="42" customWidth="1"/>
    <col min="15913" max="15913" width="15.5703125" style="42" customWidth="1"/>
    <col min="15914" max="15914" width="1.42578125" style="42" customWidth="1"/>
    <col min="15915" max="15915" width="15.5703125" style="42" customWidth="1"/>
    <col min="15916" max="15916" width="1.85546875" style="42" customWidth="1"/>
    <col min="15917" max="15917" width="15.5703125" style="42" customWidth="1"/>
    <col min="15918" max="15918" width="1.28515625" style="42" customWidth="1"/>
    <col min="15919" max="15919" width="15.85546875" style="42" customWidth="1"/>
    <col min="15920" max="15920" width="1.5703125" style="42" customWidth="1"/>
    <col min="15921" max="15921" width="15.5703125" style="42" customWidth="1"/>
    <col min="15922" max="15922" width="1.85546875" style="42" customWidth="1"/>
    <col min="15923" max="15923" width="15.5703125" style="42" customWidth="1"/>
    <col min="15924" max="15924" width="1.5703125" style="42" customWidth="1"/>
    <col min="15925" max="15925" width="15.5703125" style="42" customWidth="1"/>
    <col min="15926" max="15926" width="9.140625" style="42"/>
    <col min="15927" max="15927" width="15.140625" style="42" customWidth="1"/>
    <col min="15928" max="16129" width="9.140625" style="42"/>
    <col min="16130" max="16130" width="26.5703125" style="42" customWidth="1"/>
    <col min="16131" max="16143" width="0" style="42" hidden="1" customWidth="1"/>
    <col min="16144" max="16144" width="1.7109375" style="42" customWidth="1"/>
    <col min="16145" max="16145" width="17.42578125" style="42" customWidth="1"/>
    <col min="16146" max="16146" width="1.140625" style="42" customWidth="1"/>
    <col min="16147" max="16159" width="0" style="42" hidden="1" customWidth="1"/>
    <col min="16160" max="16160" width="19.85546875" style="42" customWidth="1"/>
    <col min="16161" max="16161" width="0" style="42" hidden="1" customWidth="1"/>
    <col min="16162" max="16162" width="2.85546875" style="42" customWidth="1"/>
    <col min="16163" max="16163" width="15.5703125" style="42" customWidth="1"/>
    <col min="16164" max="16164" width="2" style="42" customWidth="1"/>
    <col min="16165" max="16165" width="15.5703125" style="42" customWidth="1"/>
    <col min="16166" max="16166" width="1.7109375" style="42" customWidth="1"/>
    <col min="16167" max="16167" width="15.5703125" style="42" customWidth="1"/>
    <col min="16168" max="16168" width="1.5703125" style="42" customWidth="1"/>
    <col min="16169" max="16169" width="15.5703125" style="42" customWidth="1"/>
    <col min="16170" max="16170" width="1.42578125" style="42" customWidth="1"/>
    <col min="16171" max="16171" width="15.5703125" style="42" customWidth="1"/>
    <col min="16172" max="16172" width="1.85546875" style="42" customWidth="1"/>
    <col min="16173" max="16173" width="15.5703125" style="42" customWidth="1"/>
    <col min="16174" max="16174" width="1.28515625" style="42" customWidth="1"/>
    <col min="16175" max="16175" width="15.85546875" style="42" customWidth="1"/>
    <col min="16176" max="16176" width="1.5703125" style="42" customWidth="1"/>
    <col min="16177" max="16177" width="15.5703125" style="42" customWidth="1"/>
    <col min="16178" max="16178" width="1.85546875" style="42" customWidth="1"/>
    <col min="16179" max="16179" width="15.5703125" style="42" customWidth="1"/>
    <col min="16180" max="16180" width="1.5703125" style="42" customWidth="1"/>
    <col min="16181" max="16181" width="15.5703125" style="42" customWidth="1"/>
    <col min="16182" max="16182" width="9.140625" style="42"/>
    <col min="16183" max="16183" width="15.140625" style="42" customWidth="1"/>
    <col min="16184" max="16384" width="9.140625" style="42"/>
  </cols>
  <sheetData>
    <row r="1" spans="1:57" ht="15.75" thickBot="1" x14ac:dyDescent="0.3">
      <c r="A1" s="254" t="s">
        <v>993</v>
      </c>
    </row>
    <row r="2" spans="1:57" x14ac:dyDescent="0.25">
      <c r="A2" s="3"/>
      <c r="B2" s="237" t="s">
        <v>8</v>
      </c>
      <c r="C2" s="9"/>
      <c r="D2" s="238" t="s">
        <v>9</v>
      </c>
      <c r="E2" s="239" t="s">
        <v>10</v>
      </c>
      <c r="F2" s="240" t="s">
        <v>11</v>
      </c>
      <c r="G2" s="9"/>
      <c r="H2" s="237" t="s">
        <v>12</v>
      </c>
      <c r="I2" s="9"/>
      <c r="J2" s="238" t="s">
        <v>9</v>
      </c>
      <c r="K2" s="239" t="s">
        <v>10</v>
      </c>
      <c r="L2" s="239" t="s">
        <v>11</v>
      </c>
      <c r="M2" s="9"/>
      <c r="N2" s="240" t="s">
        <v>12</v>
      </c>
      <c r="P2" s="237" t="s">
        <v>8</v>
      </c>
      <c r="R2" s="238" t="s">
        <v>9</v>
      </c>
      <c r="S2" s="239" t="s">
        <v>10</v>
      </c>
      <c r="T2" s="249" t="s">
        <v>11</v>
      </c>
      <c r="U2" s="240" t="s">
        <v>13</v>
      </c>
      <c r="V2" s="238" t="s">
        <v>9</v>
      </c>
      <c r="W2" s="239" t="s">
        <v>10</v>
      </c>
      <c r="X2" s="239"/>
      <c r="Y2" s="249" t="s">
        <v>11</v>
      </c>
      <c r="Z2" s="240" t="s">
        <v>13</v>
      </c>
      <c r="AC2" s="238" t="s">
        <v>9</v>
      </c>
      <c r="AD2" s="239" t="s">
        <v>10</v>
      </c>
      <c r="AE2" s="249" t="s">
        <v>11</v>
      </c>
      <c r="AF2" s="240" t="s">
        <v>13</v>
      </c>
      <c r="AG2" s="9"/>
      <c r="AI2" s="237" t="s">
        <v>8</v>
      </c>
      <c r="AK2" s="237" t="s">
        <v>8</v>
      </c>
      <c r="AM2" s="237" t="s">
        <v>8</v>
      </c>
      <c r="AO2" s="237" t="s">
        <v>8</v>
      </c>
      <c r="AP2" s="42"/>
      <c r="AQ2" s="237" t="s">
        <v>8</v>
      </c>
      <c r="AS2" s="237" t="s">
        <v>8</v>
      </c>
      <c r="AU2" s="237" t="s">
        <v>8</v>
      </c>
      <c r="AW2" s="237" t="s">
        <v>8</v>
      </c>
      <c r="AY2" s="237" t="s">
        <v>8</v>
      </c>
      <c r="BA2" s="237" t="s">
        <v>8</v>
      </c>
      <c r="BC2" s="237" t="s">
        <v>8</v>
      </c>
      <c r="BE2" s="237" t="s">
        <v>8</v>
      </c>
    </row>
    <row r="3" spans="1:57" ht="15.75" thickBot="1" x14ac:dyDescent="0.3">
      <c r="A3" s="7" t="s">
        <v>1379</v>
      </c>
      <c r="B3" s="241" t="s">
        <v>14</v>
      </c>
      <c r="C3" s="9"/>
      <c r="D3" s="242" t="s">
        <v>15</v>
      </c>
      <c r="E3" s="243"/>
      <c r="F3" s="244" t="s">
        <v>16</v>
      </c>
      <c r="G3" s="9"/>
      <c r="H3" s="241"/>
      <c r="I3" s="9"/>
      <c r="J3" s="242" t="s">
        <v>17</v>
      </c>
      <c r="K3" s="243"/>
      <c r="L3" s="243" t="s">
        <v>16</v>
      </c>
      <c r="M3" s="9"/>
      <c r="N3" s="244"/>
      <c r="P3" s="241" t="s">
        <v>18</v>
      </c>
      <c r="R3" s="242" t="s">
        <v>19</v>
      </c>
      <c r="S3" s="251"/>
      <c r="T3" s="252" t="s">
        <v>20</v>
      </c>
      <c r="U3" s="253"/>
      <c r="V3" s="242" t="s">
        <v>21</v>
      </c>
      <c r="W3" s="251"/>
      <c r="X3" s="251"/>
      <c r="Y3" s="252" t="s">
        <v>21</v>
      </c>
      <c r="Z3" s="253"/>
      <c r="AC3" s="242" t="s">
        <v>22</v>
      </c>
      <c r="AD3" s="251"/>
      <c r="AE3" s="252" t="s">
        <v>23</v>
      </c>
      <c r="AF3" s="253"/>
      <c r="AG3" s="32"/>
      <c r="AI3" s="241" t="s">
        <v>24</v>
      </c>
      <c r="AK3" s="241" t="s">
        <v>25</v>
      </c>
      <c r="AM3" s="241" t="s">
        <v>26</v>
      </c>
      <c r="AO3" s="241" t="s">
        <v>27</v>
      </c>
      <c r="AP3" s="42"/>
      <c r="AQ3" s="241" t="s">
        <v>28</v>
      </c>
      <c r="AS3" s="241" t="s">
        <v>29</v>
      </c>
      <c r="AU3" s="241" t="s">
        <v>30</v>
      </c>
      <c r="AW3" s="241" t="s">
        <v>31</v>
      </c>
      <c r="AY3" s="241" t="s">
        <v>32</v>
      </c>
      <c r="BA3" s="241" t="s">
        <v>33</v>
      </c>
      <c r="BC3" s="241" t="s">
        <v>1276</v>
      </c>
      <c r="BE3" s="241" t="s">
        <v>1277</v>
      </c>
    </row>
    <row r="4" spans="1:57" hidden="1" x14ac:dyDescent="0.25">
      <c r="A4" s="287" t="s">
        <v>34</v>
      </c>
      <c r="B4" s="288">
        <v>328951</v>
      </c>
      <c r="C4" s="288"/>
      <c r="D4" s="288"/>
      <c r="E4" s="288"/>
      <c r="F4" s="288">
        <v>617344</v>
      </c>
      <c r="G4" s="288"/>
      <c r="H4" s="288">
        <f>F4-B4</f>
        <v>288393</v>
      </c>
      <c r="I4" s="288"/>
      <c r="J4" s="288"/>
      <c r="K4" s="288"/>
      <c r="L4" s="288">
        <v>617344</v>
      </c>
      <c r="M4" s="288"/>
      <c r="N4" s="288">
        <f>L4-F4</f>
        <v>0</v>
      </c>
      <c r="O4" s="289"/>
      <c r="P4" s="288">
        <f>L15</f>
        <v>557944</v>
      </c>
      <c r="Q4" s="289"/>
      <c r="R4" s="289"/>
      <c r="S4" s="289"/>
      <c r="T4" s="288">
        <v>797376</v>
      </c>
      <c r="U4" s="289">
        <f>T4-P4</f>
        <v>239432</v>
      </c>
      <c r="V4" s="289"/>
      <c r="W4" s="289"/>
      <c r="X4" s="289"/>
      <c r="Y4" s="288">
        <v>797376</v>
      </c>
      <c r="Z4" s="289">
        <f>Y4-T4</f>
        <v>0</v>
      </c>
      <c r="AA4" s="289"/>
      <c r="AB4" s="289"/>
      <c r="AC4" s="289"/>
      <c r="AD4" s="289"/>
      <c r="AE4" s="288">
        <v>797376</v>
      </c>
      <c r="AF4" s="289"/>
      <c r="AG4" s="289"/>
      <c r="AH4" s="289"/>
      <c r="AI4" s="288">
        <f>P15</f>
        <v>519728.5</v>
      </c>
      <c r="AJ4" s="289"/>
      <c r="AK4" s="288">
        <f>AI15</f>
        <v>521428.95</v>
      </c>
      <c r="AL4" s="289"/>
      <c r="AM4" s="288">
        <f>AK15</f>
        <v>515880.67844999995</v>
      </c>
      <c r="AN4" s="289"/>
      <c r="AO4" s="288">
        <f>AM15</f>
        <v>454288.22849184985</v>
      </c>
      <c r="AP4" s="288"/>
      <c r="AQ4" s="288">
        <f>AO15</f>
        <v>430208.08130417089</v>
      </c>
      <c r="AR4" s="290"/>
      <c r="AS4" s="288">
        <f>AQ15</f>
        <v>399698.01259344851</v>
      </c>
      <c r="AT4" s="290"/>
      <c r="AU4" s="288">
        <f>AS15</f>
        <v>356567.09914603428</v>
      </c>
      <c r="AV4" s="290"/>
      <c r="AW4" s="288">
        <f>AU15</f>
        <v>310875.72355110128</v>
      </c>
      <c r="AX4" s="290"/>
      <c r="AY4" s="288">
        <f>AW15</f>
        <v>257685.57692468149</v>
      </c>
      <c r="AZ4" s="290"/>
      <c r="BA4" s="291">
        <f>AY15</f>
        <v>192059.65945360356</v>
      </c>
    </row>
    <row r="5" spans="1:57" hidden="1" x14ac:dyDescent="0.25">
      <c r="A5" s="292"/>
      <c r="B5" s="293"/>
      <c r="C5" s="293"/>
      <c r="D5" s="293"/>
      <c r="E5" s="293"/>
      <c r="F5" s="293"/>
      <c r="G5" s="293"/>
      <c r="H5" s="293"/>
      <c r="I5" s="293"/>
      <c r="J5" s="293"/>
      <c r="K5" s="293"/>
      <c r="L5" s="293"/>
      <c r="M5" s="293"/>
      <c r="N5" s="293"/>
      <c r="O5" s="294"/>
      <c r="P5" s="293"/>
      <c r="Q5" s="294"/>
      <c r="R5" s="294"/>
      <c r="S5" s="294"/>
      <c r="T5" s="293"/>
      <c r="U5" s="294"/>
      <c r="V5" s="294"/>
      <c r="W5" s="294"/>
      <c r="X5" s="294"/>
      <c r="Y5" s="293"/>
      <c r="Z5" s="294"/>
      <c r="AA5" s="294"/>
      <c r="AB5" s="294"/>
      <c r="AC5" s="294"/>
      <c r="AD5" s="294"/>
      <c r="AE5" s="293"/>
      <c r="AF5" s="294"/>
      <c r="AG5" s="294"/>
      <c r="AH5" s="294"/>
      <c r="AI5" s="293"/>
      <c r="AJ5" s="294"/>
      <c r="AK5" s="293"/>
      <c r="AL5" s="294"/>
      <c r="AM5" s="293"/>
      <c r="AN5" s="294"/>
      <c r="AO5" s="293"/>
      <c r="AP5" s="293"/>
      <c r="AQ5" s="293"/>
      <c r="AR5" s="295"/>
      <c r="AS5" s="293"/>
      <c r="AT5" s="295"/>
      <c r="AU5" s="293"/>
      <c r="AV5" s="295"/>
      <c r="AW5" s="293"/>
      <c r="AX5" s="295"/>
      <c r="AY5" s="293"/>
      <c r="AZ5" s="295"/>
      <c r="BA5" s="296"/>
    </row>
    <row r="6" spans="1:57" hidden="1" x14ac:dyDescent="0.25">
      <c r="A6" s="297" t="s">
        <v>35</v>
      </c>
      <c r="B6" s="293">
        <f>B57</f>
        <v>307901</v>
      </c>
      <c r="C6" s="293"/>
      <c r="D6" s="293"/>
      <c r="E6" s="293"/>
      <c r="F6" s="293">
        <f>F57</f>
        <v>309500</v>
      </c>
      <c r="G6" s="293"/>
      <c r="H6" s="293">
        <f t="shared" ref="H6:H16" si="0">F6-B6</f>
        <v>1599</v>
      </c>
      <c r="I6" s="293"/>
      <c r="J6" s="293"/>
      <c r="K6" s="293"/>
      <c r="L6" s="293">
        <f>L57</f>
        <v>310000</v>
      </c>
      <c r="M6" s="293"/>
      <c r="N6" s="293">
        <f t="shared" ref="N6:N15" si="1">L6-F6</f>
        <v>500</v>
      </c>
      <c r="O6" s="294"/>
      <c r="P6" s="293">
        <f>P57</f>
        <v>318775</v>
      </c>
      <c r="Q6" s="294"/>
      <c r="R6" s="294"/>
      <c r="S6" s="294"/>
      <c r="T6" s="293">
        <f>T57</f>
        <v>318975</v>
      </c>
      <c r="U6" s="294">
        <f>T6-P6</f>
        <v>200</v>
      </c>
      <c r="V6" s="294"/>
      <c r="W6" s="294"/>
      <c r="X6" s="294"/>
      <c r="Y6" s="293">
        <f>Y57</f>
        <v>311975</v>
      </c>
      <c r="Z6" s="294">
        <f>Y6-T6</f>
        <v>-7000</v>
      </c>
      <c r="AA6" s="294"/>
      <c r="AB6" s="294"/>
      <c r="AC6" s="294"/>
      <c r="AD6" s="294"/>
      <c r="AE6" s="293">
        <f>AE57</f>
        <v>328755</v>
      </c>
      <c r="AF6" s="293">
        <f>AE6-Y6</f>
        <v>16780</v>
      </c>
      <c r="AG6" s="293"/>
      <c r="AH6" s="294"/>
      <c r="AI6" s="293">
        <f>AI57</f>
        <v>321299.15000000002</v>
      </c>
      <c r="AJ6" s="294"/>
      <c r="AK6" s="293">
        <f>AK57</f>
        <v>328851.87944999995</v>
      </c>
      <c r="AL6" s="294"/>
      <c r="AM6" s="293">
        <f>AM57</f>
        <v>338876.85557184991</v>
      </c>
      <c r="AN6" s="294"/>
      <c r="AO6" s="293">
        <f>AO57</f>
        <v>349663.12000822101</v>
      </c>
      <c r="AP6" s="293"/>
      <c r="AQ6" s="293">
        <f>AQ57</f>
        <v>359719.24812605471</v>
      </c>
      <c r="AR6" s="295"/>
      <c r="AS6" s="293">
        <f>AS57</f>
        <v>368804.09710071608</v>
      </c>
      <c r="AT6" s="295"/>
      <c r="AU6" s="293">
        <f>AU57</f>
        <v>378176.81518620381</v>
      </c>
      <c r="AV6" s="295"/>
      <c r="AW6" s="293">
        <f>AW57</f>
        <v>387846.85129054164</v>
      </c>
      <c r="AX6" s="295"/>
      <c r="AY6" s="293">
        <f>AY57</f>
        <v>397823.96486640256</v>
      </c>
      <c r="AZ6" s="295"/>
      <c r="BA6" s="296">
        <f>BA57</f>
        <v>408118.23612734867</v>
      </c>
    </row>
    <row r="7" spans="1:57" hidden="1" x14ac:dyDescent="0.25">
      <c r="A7" s="297" t="s">
        <v>36</v>
      </c>
      <c r="B7" s="298">
        <f>B62+B61+B60</f>
        <v>750</v>
      </c>
      <c r="C7" s="293"/>
      <c r="D7" s="293"/>
      <c r="E7" s="293"/>
      <c r="F7" s="298">
        <f>F62+F61+F60</f>
        <v>750</v>
      </c>
      <c r="G7" s="293"/>
      <c r="H7" s="298">
        <f t="shared" si="0"/>
        <v>0</v>
      </c>
      <c r="I7" s="293"/>
      <c r="J7" s="293"/>
      <c r="K7" s="293"/>
      <c r="L7" s="298">
        <f>L62+L61+L60</f>
        <v>750</v>
      </c>
      <c r="M7" s="293"/>
      <c r="N7" s="298">
        <f t="shared" si="1"/>
        <v>0</v>
      </c>
      <c r="O7" s="294"/>
      <c r="P7" s="298">
        <f>P62+P61+P60</f>
        <v>750</v>
      </c>
      <c r="Q7" s="294"/>
      <c r="R7" s="294"/>
      <c r="S7" s="294"/>
      <c r="T7" s="298">
        <f>T62+T61+T60</f>
        <v>750</v>
      </c>
      <c r="U7" s="294">
        <f>T7-P7</f>
        <v>0</v>
      </c>
      <c r="V7" s="294"/>
      <c r="W7" s="294"/>
      <c r="X7" s="294"/>
      <c r="Y7" s="298">
        <f>Y62+Y61+Y60</f>
        <v>750</v>
      </c>
      <c r="Z7" s="294">
        <f>Y7-T7</f>
        <v>0</v>
      </c>
      <c r="AA7" s="294"/>
      <c r="AB7" s="294"/>
      <c r="AC7" s="294"/>
      <c r="AD7" s="294"/>
      <c r="AE7" s="298">
        <f>AE62+AE61+AE60</f>
        <v>750</v>
      </c>
      <c r="AF7" s="298">
        <f>AE7-Y7</f>
        <v>0</v>
      </c>
      <c r="AG7" s="293"/>
      <c r="AH7" s="294"/>
      <c r="AI7" s="298">
        <f>+AI64-AI63</f>
        <v>750</v>
      </c>
      <c r="AJ7" s="294"/>
      <c r="AK7" s="298">
        <f>+AK64-AK63</f>
        <v>750</v>
      </c>
      <c r="AL7" s="294"/>
      <c r="AM7" s="298">
        <f>+AM64-AM63</f>
        <v>750</v>
      </c>
      <c r="AN7" s="294"/>
      <c r="AO7" s="298">
        <f>+AO64-AO63</f>
        <v>750</v>
      </c>
      <c r="AP7" s="298"/>
      <c r="AQ7" s="298">
        <f>+AQ64-AQ63</f>
        <v>750</v>
      </c>
      <c r="AR7" s="295"/>
      <c r="AS7" s="298">
        <f>+AS64-AS63</f>
        <v>750</v>
      </c>
      <c r="AT7" s="295"/>
      <c r="AU7" s="298">
        <f>+AU64-AU63</f>
        <v>750</v>
      </c>
      <c r="AV7" s="295"/>
      <c r="AW7" s="298">
        <f>+AW64-AW63</f>
        <v>750</v>
      </c>
      <c r="AX7" s="295"/>
      <c r="AY7" s="298">
        <f>+AY64-AY63</f>
        <v>750</v>
      </c>
      <c r="AZ7" s="295"/>
      <c r="BA7" s="299">
        <f>+BA64-BA63</f>
        <v>750</v>
      </c>
    </row>
    <row r="8" spans="1:57" hidden="1" x14ac:dyDescent="0.25">
      <c r="A8" s="292"/>
      <c r="B8" s="293">
        <f>B6+B7</f>
        <v>308651</v>
      </c>
      <c r="C8" s="293"/>
      <c r="D8" s="293"/>
      <c r="E8" s="293"/>
      <c r="F8" s="293">
        <f>F6+F7</f>
        <v>310250</v>
      </c>
      <c r="G8" s="293"/>
      <c r="H8" s="293">
        <f t="shared" si="0"/>
        <v>1599</v>
      </c>
      <c r="I8" s="293"/>
      <c r="J8" s="293"/>
      <c r="K8" s="293"/>
      <c r="L8" s="293">
        <f>L6+L7</f>
        <v>310750</v>
      </c>
      <c r="M8" s="293"/>
      <c r="N8" s="293">
        <f t="shared" si="1"/>
        <v>500</v>
      </c>
      <c r="O8" s="294"/>
      <c r="P8" s="293">
        <f>P6+P7</f>
        <v>319525</v>
      </c>
      <c r="Q8" s="294"/>
      <c r="R8" s="294"/>
      <c r="S8" s="294"/>
      <c r="T8" s="293">
        <f>T6+T7</f>
        <v>319725</v>
      </c>
      <c r="U8" s="294">
        <f>T8-P8</f>
        <v>200</v>
      </c>
      <c r="V8" s="294"/>
      <c r="W8" s="294"/>
      <c r="X8" s="294"/>
      <c r="Y8" s="293">
        <f>Y6+Y7</f>
        <v>312725</v>
      </c>
      <c r="Z8" s="294">
        <f>Y8-T8</f>
        <v>-7000</v>
      </c>
      <c r="AA8" s="294"/>
      <c r="AB8" s="294"/>
      <c r="AC8" s="294"/>
      <c r="AD8" s="294"/>
      <c r="AE8" s="293">
        <f>AE6+AE7</f>
        <v>329505</v>
      </c>
      <c r="AF8" s="293">
        <f>AE8-Y8</f>
        <v>16780</v>
      </c>
      <c r="AG8" s="293"/>
      <c r="AH8" s="294"/>
      <c r="AI8" s="293">
        <f>AI6+AI7</f>
        <v>322049.15000000002</v>
      </c>
      <c r="AJ8" s="294"/>
      <c r="AK8" s="293">
        <f>AK6+AK7</f>
        <v>329601.87944999995</v>
      </c>
      <c r="AL8" s="294"/>
      <c r="AM8" s="293">
        <f>AM6+AM7</f>
        <v>339626.85557184991</v>
      </c>
      <c r="AN8" s="294"/>
      <c r="AO8" s="293">
        <f>AO6+AO7</f>
        <v>350413.12000822101</v>
      </c>
      <c r="AP8" s="293"/>
      <c r="AQ8" s="293">
        <f>AQ6+AQ7</f>
        <v>360469.24812605471</v>
      </c>
      <c r="AR8" s="295"/>
      <c r="AS8" s="293">
        <f>AS6+AS7</f>
        <v>369554.09710071608</v>
      </c>
      <c r="AT8" s="295"/>
      <c r="AU8" s="293">
        <f>AU6+AU7</f>
        <v>378926.81518620381</v>
      </c>
      <c r="AV8" s="295"/>
      <c r="AW8" s="293">
        <f>AW6+AW7</f>
        <v>388596.85129054164</v>
      </c>
      <c r="AX8" s="295"/>
      <c r="AY8" s="293">
        <f>AY6+AY7</f>
        <v>398573.96486640256</v>
      </c>
      <c r="AZ8" s="295"/>
      <c r="BA8" s="296">
        <f>BA6+BA7</f>
        <v>408868.23612734867</v>
      </c>
    </row>
    <row r="9" spans="1:57" hidden="1" x14ac:dyDescent="0.25">
      <c r="A9" s="297"/>
      <c r="B9" s="293"/>
      <c r="C9" s="293"/>
      <c r="D9" s="293"/>
      <c r="E9" s="293"/>
      <c r="F9" s="293"/>
      <c r="G9" s="293"/>
      <c r="H9" s="293">
        <f t="shared" si="0"/>
        <v>0</v>
      </c>
      <c r="I9" s="293"/>
      <c r="J9" s="293"/>
      <c r="K9" s="293"/>
      <c r="L9" s="293"/>
      <c r="M9" s="293"/>
      <c r="N9" s="293">
        <f t="shared" si="1"/>
        <v>0</v>
      </c>
      <c r="O9" s="294"/>
      <c r="P9" s="293"/>
      <c r="Q9" s="294"/>
      <c r="R9" s="294"/>
      <c r="S9" s="294"/>
      <c r="T9" s="293"/>
      <c r="U9" s="294"/>
      <c r="V9" s="294"/>
      <c r="W9" s="294"/>
      <c r="X9" s="294"/>
      <c r="Y9" s="293"/>
      <c r="Z9" s="294"/>
      <c r="AA9" s="294"/>
      <c r="AB9" s="294"/>
      <c r="AC9" s="294"/>
      <c r="AD9" s="294"/>
      <c r="AE9" s="293"/>
      <c r="AF9" s="293"/>
      <c r="AG9" s="293"/>
      <c r="AH9" s="294"/>
      <c r="AI9" s="293"/>
      <c r="AJ9" s="294"/>
      <c r="AK9" s="293"/>
      <c r="AL9" s="294"/>
      <c r="AM9" s="293"/>
      <c r="AN9" s="294"/>
      <c r="AO9" s="293"/>
      <c r="AP9" s="293"/>
      <c r="AQ9" s="293"/>
      <c r="AR9" s="295"/>
      <c r="AS9" s="293"/>
      <c r="AT9" s="295"/>
      <c r="AU9" s="293"/>
      <c r="AV9" s="295"/>
      <c r="AW9" s="293"/>
      <c r="AX9" s="295"/>
      <c r="AY9" s="293"/>
      <c r="AZ9" s="295"/>
      <c r="BA9" s="296"/>
    </row>
    <row r="10" spans="1:57" hidden="1" x14ac:dyDescent="0.25">
      <c r="A10" s="297" t="s">
        <v>37</v>
      </c>
      <c r="B10" s="293">
        <v>369450</v>
      </c>
      <c r="C10" s="293"/>
      <c r="D10" s="293"/>
      <c r="E10" s="293"/>
      <c r="F10" s="293">
        <f>F144</f>
        <v>371450</v>
      </c>
      <c r="G10" s="293"/>
      <c r="H10" s="293">
        <f t="shared" si="0"/>
        <v>2000</v>
      </c>
      <c r="I10" s="293"/>
      <c r="J10" s="293"/>
      <c r="K10" s="293"/>
      <c r="L10" s="293">
        <f>L144</f>
        <v>370150</v>
      </c>
      <c r="M10" s="293"/>
      <c r="N10" s="293">
        <f t="shared" si="1"/>
        <v>-1300</v>
      </c>
      <c r="O10" s="294"/>
      <c r="P10" s="293">
        <f>P144</f>
        <v>357740.5</v>
      </c>
      <c r="Q10" s="294"/>
      <c r="R10" s="294"/>
      <c r="S10" s="294"/>
      <c r="T10" s="293">
        <f>T144</f>
        <v>451760</v>
      </c>
      <c r="U10" s="294">
        <f>T10-P10</f>
        <v>94019.5</v>
      </c>
      <c r="V10" s="293"/>
      <c r="W10" s="293"/>
      <c r="X10" s="293"/>
      <c r="Y10" s="293">
        <f>Y144</f>
        <v>439060</v>
      </c>
      <c r="Z10" s="294">
        <f>Y10-T10</f>
        <v>-12700</v>
      </c>
      <c r="AA10" s="293"/>
      <c r="AB10" s="293"/>
      <c r="AC10" s="293"/>
      <c r="AD10" s="293"/>
      <c r="AE10" s="293">
        <f>AE144</f>
        <v>426150</v>
      </c>
      <c r="AF10" s="293">
        <f>AE10-Y10</f>
        <v>-12910</v>
      </c>
      <c r="AG10" s="293"/>
      <c r="AH10" s="293"/>
      <c r="AI10" s="293">
        <f>AI144</f>
        <v>320348.7</v>
      </c>
      <c r="AJ10" s="293"/>
      <c r="AK10" s="293">
        <f>AK144</f>
        <v>335150.15100000001</v>
      </c>
      <c r="AL10" s="293"/>
      <c r="AM10" s="293">
        <f>AM144</f>
        <v>401219.30553000001</v>
      </c>
      <c r="AN10" s="293"/>
      <c r="AO10" s="293">
        <f>AO144</f>
        <v>374493.26719589997</v>
      </c>
      <c r="AP10" s="293"/>
      <c r="AQ10" s="293">
        <f>AQ144</f>
        <v>390979.31683677703</v>
      </c>
      <c r="AR10" s="293"/>
      <c r="AS10" s="293">
        <f>AS144</f>
        <v>412685.01054813032</v>
      </c>
      <c r="AT10" s="293"/>
      <c r="AU10" s="293">
        <f>AU144</f>
        <v>424618.19078113674</v>
      </c>
      <c r="AV10" s="293"/>
      <c r="AW10" s="293">
        <f>AW144</f>
        <v>441786.9979169615</v>
      </c>
      <c r="AX10" s="293"/>
      <c r="AY10" s="293">
        <f>AY144</f>
        <v>464199.88233748043</v>
      </c>
      <c r="AZ10" s="295"/>
      <c r="BA10" s="296">
        <f>BA144</f>
        <v>471865.61701476556</v>
      </c>
    </row>
    <row r="11" spans="1:57" hidden="1" x14ac:dyDescent="0.25">
      <c r="A11" s="297" t="s">
        <v>38</v>
      </c>
      <c r="B11" s="298">
        <f>B149</f>
        <v>0</v>
      </c>
      <c r="C11" s="293"/>
      <c r="D11" s="293"/>
      <c r="E11" s="293"/>
      <c r="F11" s="298">
        <f>F149</f>
        <v>0</v>
      </c>
      <c r="G11" s="293"/>
      <c r="H11" s="298">
        <f t="shared" si="0"/>
        <v>0</v>
      </c>
      <c r="I11" s="293"/>
      <c r="J11" s="293"/>
      <c r="K11" s="293"/>
      <c r="L11" s="298">
        <f>L149</f>
        <v>0</v>
      </c>
      <c r="M11" s="293"/>
      <c r="N11" s="298">
        <f t="shared" si="1"/>
        <v>0</v>
      </c>
      <c r="O11" s="294"/>
      <c r="P11" s="298">
        <f>P149</f>
        <v>0</v>
      </c>
      <c r="Q11" s="294"/>
      <c r="R11" s="294"/>
      <c r="S11" s="294"/>
      <c r="T11" s="298">
        <f>T149</f>
        <v>0</v>
      </c>
      <c r="U11" s="294">
        <f>T11-P11</f>
        <v>0</v>
      </c>
      <c r="V11" s="293"/>
      <c r="W11" s="293"/>
      <c r="X11" s="293"/>
      <c r="Y11" s="298">
        <f>Y149</f>
        <v>0</v>
      </c>
      <c r="Z11" s="294">
        <f>Y11-T11</f>
        <v>0</v>
      </c>
      <c r="AA11" s="293"/>
      <c r="AB11" s="293"/>
      <c r="AC11" s="293"/>
      <c r="AD11" s="293"/>
      <c r="AE11" s="298">
        <f>AE149</f>
        <v>0</v>
      </c>
      <c r="AF11" s="298">
        <f>AE11-Y11</f>
        <v>0</v>
      </c>
      <c r="AG11" s="293"/>
      <c r="AH11" s="293"/>
      <c r="AI11" s="298">
        <f>AI149</f>
        <v>0</v>
      </c>
      <c r="AJ11" s="293"/>
      <c r="AK11" s="298">
        <f>AK149</f>
        <v>0</v>
      </c>
      <c r="AL11" s="293"/>
      <c r="AM11" s="298">
        <f>AM149</f>
        <v>0</v>
      </c>
      <c r="AN11" s="293"/>
      <c r="AO11" s="298">
        <f>AO149</f>
        <v>0</v>
      </c>
      <c r="AP11" s="298"/>
      <c r="AQ11" s="298">
        <f>AQ149</f>
        <v>0</v>
      </c>
      <c r="AR11" s="293"/>
      <c r="AS11" s="298">
        <f>AS149</f>
        <v>0</v>
      </c>
      <c r="AT11" s="293"/>
      <c r="AU11" s="298">
        <f>AU149</f>
        <v>0</v>
      </c>
      <c r="AV11" s="293"/>
      <c r="AW11" s="298">
        <f>AW149</f>
        <v>0</v>
      </c>
      <c r="AX11" s="295"/>
      <c r="AY11" s="298">
        <f>AY149</f>
        <v>0</v>
      </c>
      <c r="AZ11" s="295"/>
      <c r="BA11" s="299">
        <f>BA149</f>
        <v>0</v>
      </c>
    </row>
    <row r="12" spans="1:57" hidden="1" x14ac:dyDescent="0.25">
      <c r="A12" s="292"/>
      <c r="B12" s="293">
        <f>B10+B11</f>
        <v>369450</v>
      </c>
      <c r="C12" s="293"/>
      <c r="D12" s="293"/>
      <c r="E12" s="293"/>
      <c r="F12" s="293">
        <f>F10+F11</f>
        <v>371450</v>
      </c>
      <c r="G12" s="293"/>
      <c r="H12" s="293">
        <f t="shared" si="0"/>
        <v>2000</v>
      </c>
      <c r="I12" s="293"/>
      <c r="J12" s="293"/>
      <c r="K12" s="293"/>
      <c r="L12" s="293">
        <f>L10+L11</f>
        <v>370150</v>
      </c>
      <c r="M12" s="293"/>
      <c r="N12" s="293">
        <f t="shared" si="1"/>
        <v>-1300</v>
      </c>
      <c r="O12" s="294"/>
      <c r="P12" s="293">
        <f>P10+P11</f>
        <v>357740.5</v>
      </c>
      <c r="Q12" s="294"/>
      <c r="R12" s="294"/>
      <c r="S12" s="294"/>
      <c r="T12" s="293">
        <f>T10+T11</f>
        <v>451760</v>
      </c>
      <c r="U12" s="294">
        <f>T12-P12</f>
        <v>94019.5</v>
      </c>
      <c r="V12" s="293"/>
      <c r="W12" s="293"/>
      <c r="X12" s="293"/>
      <c r="Y12" s="293">
        <f>Y10+Y11</f>
        <v>439060</v>
      </c>
      <c r="Z12" s="294">
        <f>Y12-T12</f>
        <v>-12700</v>
      </c>
      <c r="AA12" s="293"/>
      <c r="AB12" s="293"/>
      <c r="AC12" s="293"/>
      <c r="AD12" s="293"/>
      <c r="AE12" s="293">
        <f>AE10+AE11</f>
        <v>426150</v>
      </c>
      <c r="AF12" s="293">
        <f>AE12-Y12</f>
        <v>-12910</v>
      </c>
      <c r="AG12" s="293"/>
      <c r="AH12" s="293"/>
      <c r="AI12" s="293">
        <f>AI10+AI11</f>
        <v>320348.7</v>
      </c>
      <c r="AJ12" s="293"/>
      <c r="AK12" s="293">
        <f>AK10+AK11</f>
        <v>335150.15100000001</v>
      </c>
      <c r="AL12" s="293"/>
      <c r="AM12" s="293">
        <f>AM10+AM11</f>
        <v>401219.30553000001</v>
      </c>
      <c r="AN12" s="293"/>
      <c r="AO12" s="293">
        <f>AO10+AO11</f>
        <v>374493.26719589997</v>
      </c>
      <c r="AP12" s="293"/>
      <c r="AQ12" s="293">
        <f>AQ10+AQ11</f>
        <v>390979.31683677703</v>
      </c>
      <c r="AR12" s="293"/>
      <c r="AS12" s="293">
        <f>AS10+AS11</f>
        <v>412685.01054813032</v>
      </c>
      <c r="AT12" s="293"/>
      <c r="AU12" s="293">
        <f>AU10+AU11</f>
        <v>424618.19078113674</v>
      </c>
      <c r="AV12" s="293"/>
      <c r="AW12" s="293">
        <f>AW10+AW11</f>
        <v>441786.9979169615</v>
      </c>
      <c r="AX12" s="295"/>
      <c r="AY12" s="293">
        <f>AY10+AY11</f>
        <v>464199.88233748043</v>
      </c>
      <c r="AZ12" s="295"/>
      <c r="BA12" s="296">
        <f>BA10+BA11</f>
        <v>471865.61701476556</v>
      </c>
    </row>
    <row r="13" spans="1:57" hidden="1" x14ac:dyDescent="0.25">
      <c r="A13" s="292"/>
      <c r="B13" s="293"/>
      <c r="C13" s="293"/>
      <c r="D13" s="293"/>
      <c r="E13" s="293"/>
      <c r="F13" s="293"/>
      <c r="G13" s="293"/>
      <c r="H13" s="293">
        <f t="shared" si="0"/>
        <v>0</v>
      </c>
      <c r="I13" s="293"/>
      <c r="J13" s="293"/>
      <c r="K13" s="293"/>
      <c r="L13" s="293"/>
      <c r="M13" s="293"/>
      <c r="N13" s="293">
        <f t="shared" si="1"/>
        <v>0</v>
      </c>
      <c r="O13" s="294"/>
      <c r="P13" s="293"/>
      <c r="Q13" s="294"/>
      <c r="R13" s="294"/>
      <c r="S13" s="294"/>
      <c r="T13" s="293"/>
      <c r="U13" s="294"/>
      <c r="V13" s="294"/>
      <c r="W13" s="294"/>
      <c r="X13" s="294"/>
      <c r="Y13" s="293"/>
      <c r="Z13" s="294"/>
      <c r="AA13" s="294"/>
      <c r="AB13" s="294"/>
      <c r="AC13" s="294"/>
      <c r="AD13" s="294"/>
      <c r="AE13" s="293"/>
      <c r="AF13" s="293"/>
      <c r="AG13" s="293"/>
      <c r="AH13" s="294"/>
      <c r="AI13" s="293"/>
      <c r="AJ13" s="294"/>
      <c r="AK13" s="293"/>
      <c r="AL13" s="294"/>
      <c r="AM13" s="293"/>
      <c r="AN13" s="294"/>
      <c r="AO13" s="293"/>
      <c r="AP13" s="293"/>
      <c r="AQ13" s="293"/>
      <c r="AR13" s="295"/>
      <c r="AS13" s="293"/>
      <c r="AT13" s="295"/>
      <c r="AU13" s="293"/>
      <c r="AV13" s="295"/>
      <c r="AW13" s="293"/>
      <c r="AX13" s="295"/>
      <c r="AY13" s="293"/>
      <c r="AZ13" s="295"/>
      <c r="BA13" s="296"/>
    </row>
    <row r="14" spans="1:57" hidden="1" x14ac:dyDescent="0.25">
      <c r="A14" s="297" t="s">
        <v>41</v>
      </c>
      <c r="B14" s="298">
        <f>B8-B12</f>
        <v>-60799</v>
      </c>
      <c r="C14" s="293"/>
      <c r="D14" s="293"/>
      <c r="E14" s="293"/>
      <c r="F14" s="298">
        <f>F8-F12</f>
        <v>-61200</v>
      </c>
      <c r="G14" s="293"/>
      <c r="H14" s="298">
        <f t="shared" si="0"/>
        <v>-401</v>
      </c>
      <c r="I14" s="293"/>
      <c r="J14" s="293"/>
      <c r="K14" s="293"/>
      <c r="L14" s="298">
        <f>L8-L12</f>
        <v>-59400</v>
      </c>
      <c r="M14" s="293"/>
      <c r="N14" s="298">
        <f t="shared" si="1"/>
        <v>1800</v>
      </c>
      <c r="O14" s="294"/>
      <c r="P14" s="298">
        <f>P8-P12</f>
        <v>-38215.5</v>
      </c>
      <c r="Q14" s="294"/>
      <c r="R14" s="294"/>
      <c r="S14" s="294"/>
      <c r="T14" s="298">
        <f>T8-T12</f>
        <v>-132035</v>
      </c>
      <c r="U14" s="300">
        <f>T14-P14</f>
        <v>-93819.5</v>
      </c>
      <c r="V14" s="294"/>
      <c r="W14" s="294"/>
      <c r="X14" s="294"/>
      <c r="Y14" s="298">
        <f>Y8-Y12</f>
        <v>-126335</v>
      </c>
      <c r="Z14" s="300">
        <f>Y14-T14</f>
        <v>5700</v>
      </c>
      <c r="AA14" s="294"/>
      <c r="AB14" s="294"/>
      <c r="AC14" s="294"/>
      <c r="AD14" s="294"/>
      <c r="AE14" s="298">
        <f>AE8-AE12</f>
        <v>-96645</v>
      </c>
      <c r="AF14" s="298">
        <f>AE14-Y14</f>
        <v>29690</v>
      </c>
      <c r="AG14" s="293"/>
      <c r="AH14" s="294"/>
      <c r="AI14" s="298">
        <f>AI8-AI12</f>
        <v>1700.4500000000116</v>
      </c>
      <c r="AJ14" s="294"/>
      <c r="AK14" s="298">
        <f>AK8-AK12</f>
        <v>-5548.2715500000631</v>
      </c>
      <c r="AL14" s="294"/>
      <c r="AM14" s="298">
        <f>AM8-AM12</f>
        <v>-61592.4499581501</v>
      </c>
      <c r="AN14" s="294"/>
      <c r="AO14" s="298">
        <f>AO8-AO12</f>
        <v>-24080.147187678958</v>
      </c>
      <c r="AP14" s="298"/>
      <c r="AQ14" s="298">
        <f>AQ8-AQ12</f>
        <v>-30510.06871072232</v>
      </c>
      <c r="AR14" s="295"/>
      <c r="AS14" s="298">
        <f>AS8-AS12</f>
        <v>-43130.913447414234</v>
      </c>
      <c r="AT14" s="295"/>
      <c r="AU14" s="298">
        <f>AU8-AU12</f>
        <v>-45691.375594932935</v>
      </c>
      <c r="AV14" s="295"/>
      <c r="AW14" s="298">
        <f>AW8-AW12</f>
        <v>-53190.146626419853</v>
      </c>
      <c r="AX14" s="295"/>
      <c r="AY14" s="298">
        <f>AY8-AY12</f>
        <v>-65625.917471077875</v>
      </c>
      <c r="AZ14" s="295"/>
      <c r="BA14" s="299">
        <f>BA8-BA12</f>
        <v>-62997.38088741689</v>
      </c>
    </row>
    <row r="15" spans="1:57" hidden="1" x14ac:dyDescent="0.25">
      <c r="A15" s="297" t="s">
        <v>42</v>
      </c>
      <c r="B15" s="293">
        <f>B4+B8-B12+B13</f>
        <v>268152</v>
      </c>
      <c r="C15" s="293"/>
      <c r="D15" s="293"/>
      <c r="E15" s="293"/>
      <c r="F15" s="293">
        <f>F4+F8-F12+F13</f>
        <v>556144</v>
      </c>
      <c r="G15" s="293"/>
      <c r="H15" s="293">
        <f t="shared" si="0"/>
        <v>287992</v>
      </c>
      <c r="I15" s="293"/>
      <c r="J15" s="293"/>
      <c r="K15" s="293"/>
      <c r="L15" s="293">
        <f>L4+L8-L12+L13</f>
        <v>557944</v>
      </c>
      <c r="M15" s="293"/>
      <c r="N15" s="293">
        <f t="shared" si="1"/>
        <v>1800</v>
      </c>
      <c r="O15" s="294"/>
      <c r="P15" s="293">
        <f>P4+P8-P12+P13</f>
        <v>519728.5</v>
      </c>
      <c r="Q15" s="294"/>
      <c r="R15" s="294"/>
      <c r="S15" s="294"/>
      <c r="T15" s="293">
        <f>T4+T8-T12+T13</f>
        <v>665341</v>
      </c>
      <c r="U15" s="294">
        <f>T15-P15</f>
        <v>145612.5</v>
      </c>
      <c r="V15" s="294"/>
      <c r="W15" s="294"/>
      <c r="X15" s="294"/>
      <c r="Y15" s="293">
        <f>Y4+Y8-Y12+Y13</f>
        <v>671041</v>
      </c>
      <c r="Z15" s="294">
        <f>Y15-T15</f>
        <v>5700</v>
      </c>
      <c r="AA15" s="294"/>
      <c r="AB15" s="294"/>
      <c r="AC15" s="294"/>
      <c r="AD15" s="294"/>
      <c r="AE15" s="293">
        <f>AE4+AE8-AE12+AE13</f>
        <v>700731</v>
      </c>
      <c r="AF15" s="293">
        <f>AE15-Y15</f>
        <v>29690</v>
      </c>
      <c r="AG15" s="293"/>
      <c r="AH15" s="294"/>
      <c r="AI15" s="293">
        <f>AI4+AI8-AI12+AI13</f>
        <v>521428.95</v>
      </c>
      <c r="AJ15" s="294"/>
      <c r="AK15" s="293">
        <f>AK4+AK8-AK12+AK13</f>
        <v>515880.67844999995</v>
      </c>
      <c r="AL15" s="294"/>
      <c r="AM15" s="293">
        <f>AM4+AM8-AM12+AM13</f>
        <v>454288.22849184985</v>
      </c>
      <c r="AN15" s="294"/>
      <c r="AO15" s="293">
        <f>AO4+AO8-AO12+AO13</f>
        <v>430208.08130417089</v>
      </c>
      <c r="AP15" s="293"/>
      <c r="AQ15" s="293">
        <f>AQ4+AQ8-AQ12+AQ13</f>
        <v>399698.01259344851</v>
      </c>
      <c r="AR15" s="295"/>
      <c r="AS15" s="293">
        <f>AS4+AS8-AS12+AS13</f>
        <v>356567.09914603428</v>
      </c>
      <c r="AT15" s="295"/>
      <c r="AU15" s="293">
        <f>AU4+AU8-AU12+AU13</f>
        <v>310875.72355110128</v>
      </c>
      <c r="AV15" s="295"/>
      <c r="AW15" s="293">
        <f>AW4+AW8-AW12+AW13</f>
        <v>257685.57692468149</v>
      </c>
      <c r="AX15" s="295"/>
      <c r="AY15" s="293">
        <f>AY4+AY8-AY12+AY13</f>
        <v>192059.65945360356</v>
      </c>
      <c r="AZ15" s="295"/>
      <c r="BA15" s="296">
        <f>BA4+BA8-BA12+BA13</f>
        <v>129062.27856618672</v>
      </c>
    </row>
    <row r="16" spans="1:57" hidden="1" x14ac:dyDescent="0.25">
      <c r="A16" s="292" t="s">
        <v>1367</v>
      </c>
      <c r="B16" s="293"/>
      <c r="C16" s="293"/>
      <c r="D16" s="293"/>
      <c r="E16" s="293"/>
      <c r="F16" s="293"/>
      <c r="G16" s="293"/>
      <c r="H16" s="293">
        <f t="shared" si="0"/>
        <v>0</v>
      </c>
      <c r="I16" s="293"/>
      <c r="J16" s="293"/>
      <c r="K16" s="293"/>
      <c r="L16" s="293"/>
      <c r="M16" s="293"/>
      <c r="N16" s="293"/>
      <c r="O16" s="294"/>
      <c r="P16" s="293"/>
      <c r="Q16" s="294"/>
      <c r="R16" s="294"/>
      <c r="S16" s="294"/>
      <c r="T16" s="293"/>
      <c r="U16" s="294"/>
      <c r="V16" s="294"/>
      <c r="W16" s="294"/>
      <c r="X16" s="294"/>
      <c r="Y16" s="293"/>
      <c r="Z16" s="294"/>
      <c r="AA16" s="294"/>
      <c r="AB16" s="294"/>
      <c r="AC16" s="294"/>
      <c r="AD16" s="294"/>
      <c r="AE16" s="293"/>
      <c r="AF16" s="293"/>
      <c r="AG16" s="293"/>
      <c r="AH16" s="294"/>
      <c r="AI16" s="293">
        <f>+B!AH1366</f>
        <v>1700.4500000000116</v>
      </c>
      <c r="AJ16" s="293">
        <f>+B!AI1366</f>
        <v>0</v>
      </c>
      <c r="AK16" s="293">
        <f>+B!AJ1366</f>
        <v>266428.93049999978</v>
      </c>
      <c r="AL16" s="293"/>
      <c r="AM16" s="293">
        <f>+B!AL1366</f>
        <v>-761985.85084050009</v>
      </c>
      <c r="AN16" s="293">
        <f>+B!AM1366</f>
        <v>0</v>
      </c>
      <c r="AO16" s="293">
        <f>+B!AN1366</f>
        <v>-97525.340299146483</v>
      </c>
      <c r="AP16" s="293">
        <f>+B!AO1366</f>
        <v>0</v>
      </c>
      <c r="AQ16" s="293">
        <f>+B!AP1366</f>
        <v>-101942.76319486822</v>
      </c>
      <c r="AR16" s="293">
        <f>+B!AQ1366</f>
        <v>0</v>
      </c>
      <c r="AS16" s="293">
        <f>+B!AR1366</f>
        <v>-112484.69684953702</v>
      </c>
      <c r="AT16" s="293">
        <f>+B!AS1366</f>
        <v>0</v>
      </c>
      <c r="AU16" s="293">
        <f>+B!AT1366</f>
        <v>-112897.64384932572</v>
      </c>
      <c r="AV16" s="293">
        <f>+B!AU1366</f>
        <v>0</v>
      </c>
      <c r="AW16" s="293">
        <f>+B!AV1366</f>
        <v>-118178.03173320764</v>
      </c>
      <c r="AX16" s="293">
        <f>+B!AW1366</f>
        <v>0</v>
      </c>
      <c r="AY16" s="293">
        <f>+B!AX1366</f>
        <v>-128322.21278638981</v>
      </c>
      <c r="AZ16" s="293">
        <f>+B!AY1366</f>
        <v>0</v>
      </c>
      <c r="BA16" s="296">
        <f>+B!AZ1366</f>
        <v>-123326.46394813381</v>
      </c>
    </row>
    <row r="17" spans="1:53" hidden="1" x14ac:dyDescent="0.25">
      <c r="A17" s="292"/>
      <c r="B17" s="293"/>
      <c r="C17" s="293"/>
      <c r="D17" s="293"/>
      <c r="E17" s="293"/>
      <c r="F17" s="293"/>
      <c r="G17" s="293"/>
      <c r="H17" s="293"/>
      <c r="I17" s="293"/>
      <c r="J17" s="293"/>
      <c r="K17" s="293"/>
      <c r="L17" s="293"/>
      <c r="M17" s="293"/>
      <c r="N17" s="293"/>
      <c r="O17" s="294"/>
      <c r="P17" s="293"/>
      <c r="Q17" s="294"/>
      <c r="R17" s="294"/>
      <c r="S17" s="294"/>
      <c r="T17" s="293"/>
      <c r="U17" s="294"/>
      <c r="V17" s="294"/>
      <c r="W17" s="294"/>
      <c r="X17" s="294"/>
      <c r="Y17" s="293"/>
      <c r="Z17" s="294"/>
      <c r="AA17" s="294"/>
      <c r="AB17" s="294"/>
      <c r="AC17" s="294"/>
      <c r="AD17" s="294"/>
      <c r="AE17" s="293"/>
      <c r="AF17" s="293"/>
      <c r="AG17" s="293"/>
      <c r="AH17" s="294"/>
      <c r="AI17" s="293">
        <f>+AI14-AI16</f>
        <v>0</v>
      </c>
      <c r="AJ17" s="293"/>
      <c r="AK17" s="293">
        <f>+AK14-AK16</f>
        <v>-271977.20204999985</v>
      </c>
      <c r="AL17" s="293"/>
      <c r="AM17" s="293">
        <f>+AM15-AK15-AM16</f>
        <v>700393.40088235005</v>
      </c>
      <c r="AN17" s="293">
        <f t="shared" ref="AN17:AZ17" si="2">+AN15-AN16</f>
        <v>0</v>
      </c>
      <c r="AO17" s="293">
        <f>+AO15-AM15-AO16</f>
        <v>73445.193111467524</v>
      </c>
      <c r="AP17" s="293">
        <f t="shared" si="2"/>
        <v>0</v>
      </c>
      <c r="AQ17" s="293">
        <f>+AQ15-AO15-AQ16</f>
        <v>71432.694484145846</v>
      </c>
      <c r="AR17" s="293">
        <f t="shared" si="2"/>
        <v>0</v>
      </c>
      <c r="AS17" s="293">
        <f>+AS15-AQ15-AS16</f>
        <v>69353.78340212279</v>
      </c>
      <c r="AT17" s="293">
        <f t="shared" si="2"/>
        <v>0</v>
      </c>
      <c r="AU17" s="293">
        <f>+AU15-AS15-AU16</f>
        <v>67206.268254392722</v>
      </c>
      <c r="AV17" s="293">
        <f t="shared" si="2"/>
        <v>0</v>
      </c>
      <c r="AW17" s="293">
        <f>+AW15-AU15-AW16</f>
        <v>64987.885106787842</v>
      </c>
      <c r="AX17" s="293">
        <f t="shared" si="2"/>
        <v>0</v>
      </c>
      <c r="AY17" s="293">
        <f>+AY15-AW15-AY16</f>
        <v>62696.295315311872</v>
      </c>
      <c r="AZ17" s="293">
        <f t="shared" si="2"/>
        <v>0</v>
      </c>
      <c r="BA17" s="293">
        <f>+BA15-AY15-BA16</f>
        <v>60329.083060716977</v>
      </c>
    </row>
    <row r="18" spans="1:53" hidden="1" x14ac:dyDescent="0.25">
      <c r="A18" s="297" t="s">
        <v>7</v>
      </c>
      <c r="B18" s="293"/>
      <c r="C18" s="293"/>
      <c r="D18" s="293"/>
      <c r="E18" s="293"/>
      <c r="F18" s="293"/>
      <c r="G18" s="293"/>
      <c r="H18" s="293">
        <f t="shared" ref="H18:H25" si="3">F18-B18</f>
        <v>0</v>
      </c>
      <c r="I18" s="293"/>
      <c r="J18" s="293"/>
      <c r="K18" s="293"/>
      <c r="L18" s="293"/>
      <c r="M18" s="293"/>
      <c r="N18" s="293"/>
      <c r="O18" s="294"/>
      <c r="P18" s="293"/>
      <c r="Q18" s="294"/>
      <c r="R18" s="294"/>
      <c r="S18" s="294"/>
      <c r="T18" s="293"/>
      <c r="U18" s="294"/>
      <c r="V18" s="294"/>
      <c r="W18" s="294"/>
      <c r="X18" s="294"/>
      <c r="Y18" s="293"/>
      <c r="Z18" s="294"/>
      <c r="AA18" s="294"/>
      <c r="AB18" s="294"/>
      <c r="AC18" s="294"/>
      <c r="AD18" s="294"/>
      <c r="AE18" s="293"/>
      <c r="AF18" s="293"/>
      <c r="AG18" s="293"/>
      <c r="AH18" s="294"/>
      <c r="AI18" s="293"/>
      <c r="AJ18" s="293"/>
      <c r="AK18" s="293"/>
      <c r="AL18" s="293"/>
      <c r="AM18" s="293"/>
      <c r="AN18" s="293"/>
      <c r="AO18" s="293"/>
      <c r="AP18" s="293"/>
      <c r="AQ18" s="293"/>
      <c r="AR18" s="293"/>
      <c r="AS18" s="293"/>
      <c r="AT18" s="293"/>
      <c r="AU18" s="293"/>
      <c r="AV18" s="293"/>
      <c r="AW18" s="293"/>
      <c r="AX18" s="293"/>
      <c r="AY18" s="293"/>
      <c r="AZ18" s="293"/>
      <c r="BA18" s="296"/>
    </row>
    <row r="19" spans="1:53" hidden="1" x14ac:dyDescent="0.25">
      <c r="A19" s="297"/>
      <c r="B19" s="293"/>
      <c r="C19" s="293"/>
      <c r="D19" s="293"/>
      <c r="E19" s="293"/>
      <c r="F19" s="293"/>
      <c r="G19" s="293"/>
      <c r="H19" s="293">
        <f t="shared" si="3"/>
        <v>0</v>
      </c>
      <c r="I19" s="293"/>
      <c r="J19" s="293"/>
      <c r="K19" s="293"/>
      <c r="L19" s="293"/>
      <c r="M19" s="293"/>
      <c r="N19" s="293"/>
      <c r="O19" s="294"/>
      <c r="P19" s="293"/>
      <c r="Q19" s="294"/>
      <c r="R19" s="294"/>
      <c r="S19" s="294"/>
      <c r="T19" s="293"/>
      <c r="U19" s="294"/>
      <c r="V19" s="294"/>
      <c r="W19" s="294"/>
      <c r="X19" s="294"/>
      <c r="Y19" s="293"/>
      <c r="Z19" s="294"/>
      <c r="AA19" s="294"/>
      <c r="AB19" s="294"/>
      <c r="AC19" s="294"/>
      <c r="AD19" s="294"/>
      <c r="AE19" s="293"/>
      <c r="AF19" s="293"/>
      <c r="AG19" s="293"/>
      <c r="AH19" s="294"/>
      <c r="AI19" s="293"/>
      <c r="AJ19" s="294"/>
      <c r="AK19" s="293"/>
      <c r="AL19" s="294"/>
      <c r="AM19" s="293"/>
      <c r="AN19" s="294"/>
      <c r="AO19" s="293"/>
      <c r="AP19" s="293"/>
      <c r="AQ19" s="293"/>
      <c r="AR19" s="295"/>
      <c r="AS19" s="293"/>
      <c r="AT19" s="295"/>
      <c r="AU19" s="293"/>
      <c r="AV19" s="295"/>
      <c r="AW19" s="293"/>
      <c r="AX19" s="295"/>
      <c r="AY19" s="293"/>
      <c r="AZ19" s="295"/>
      <c r="BA19" s="296"/>
    </row>
    <row r="20" spans="1:53" hidden="1" x14ac:dyDescent="0.25">
      <c r="A20" s="297" t="s">
        <v>34</v>
      </c>
      <c r="B20" s="293">
        <v>5970</v>
      </c>
      <c r="C20" s="293"/>
      <c r="D20" s="293"/>
      <c r="E20" s="293"/>
      <c r="F20" s="293">
        <v>0</v>
      </c>
      <c r="G20" s="293"/>
      <c r="H20" s="293">
        <f t="shared" si="3"/>
        <v>-5970</v>
      </c>
      <c r="I20" s="293"/>
      <c r="J20" s="293"/>
      <c r="K20" s="293"/>
      <c r="L20" s="293">
        <v>0</v>
      </c>
      <c r="M20" s="293"/>
      <c r="N20" s="293">
        <f>L20-F20</f>
        <v>0</v>
      </c>
      <c r="O20" s="294"/>
      <c r="P20" s="293">
        <v>0</v>
      </c>
      <c r="Q20" s="294"/>
      <c r="R20" s="294"/>
      <c r="S20" s="294"/>
      <c r="T20" s="293">
        <v>0</v>
      </c>
      <c r="U20" s="294">
        <f>T20-P20</f>
        <v>0</v>
      </c>
      <c r="V20" s="294"/>
      <c r="W20" s="294"/>
      <c r="X20" s="294"/>
      <c r="Y20" s="293">
        <v>0</v>
      </c>
      <c r="Z20" s="294">
        <f>Y20-T20</f>
        <v>0</v>
      </c>
      <c r="AA20" s="294"/>
      <c r="AB20" s="294"/>
      <c r="AC20" s="294"/>
      <c r="AD20" s="294"/>
      <c r="AE20" s="293">
        <v>0</v>
      </c>
      <c r="AF20" s="293">
        <f t="shared" ref="AF20:AF25" si="4">AE20-Y20</f>
        <v>0</v>
      </c>
      <c r="AG20" s="293"/>
      <c r="AH20" s="294"/>
      <c r="AI20" s="293">
        <f>P25</f>
        <v>0</v>
      </c>
      <c r="AJ20" s="294"/>
      <c r="AK20" s="293">
        <f>AI25</f>
        <v>0</v>
      </c>
      <c r="AL20" s="294"/>
      <c r="AM20" s="293">
        <f>AK25</f>
        <v>0</v>
      </c>
      <c r="AN20" s="294"/>
      <c r="AO20" s="293">
        <f>AM25</f>
        <v>0</v>
      </c>
      <c r="AP20" s="293"/>
      <c r="AQ20" s="293">
        <f>AO25</f>
        <v>0</v>
      </c>
      <c r="AR20" s="295"/>
      <c r="AS20" s="293">
        <f>AQ25</f>
        <v>0</v>
      </c>
      <c r="AT20" s="295"/>
      <c r="AU20" s="293">
        <f>AS25</f>
        <v>0</v>
      </c>
      <c r="AV20" s="295"/>
      <c r="AW20" s="293">
        <f>AU25</f>
        <v>0</v>
      </c>
      <c r="AX20" s="295"/>
      <c r="AY20" s="293">
        <f>AW25</f>
        <v>0</v>
      </c>
      <c r="AZ20" s="295"/>
      <c r="BA20" s="296">
        <f>AY25</f>
        <v>0</v>
      </c>
    </row>
    <row r="21" spans="1:53" hidden="1" x14ac:dyDescent="0.25">
      <c r="A21" s="292"/>
      <c r="B21" s="293"/>
      <c r="C21" s="293"/>
      <c r="D21" s="293"/>
      <c r="E21" s="293"/>
      <c r="F21" s="293"/>
      <c r="G21" s="293"/>
      <c r="H21" s="293">
        <f t="shared" si="3"/>
        <v>0</v>
      </c>
      <c r="I21" s="293"/>
      <c r="J21" s="293"/>
      <c r="K21" s="293"/>
      <c r="L21" s="293"/>
      <c r="M21" s="293"/>
      <c r="N21" s="293"/>
      <c r="O21" s="294"/>
      <c r="P21" s="293"/>
      <c r="Q21" s="294"/>
      <c r="R21" s="294"/>
      <c r="S21" s="294"/>
      <c r="T21" s="293"/>
      <c r="U21" s="294"/>
      <c r="V21" s="294"/>
      <c r="W21" s="294"/>
      <c r="X21" s="294"/>
      <c r="Y21" s="293"/>
      <c r="Z21" s="294"/>
      <c r="AA21" s="294"/>
      <c r="AB21" s="294"/>
      <c r="AC21" s="294"/>
      <c r="AD21" s="294"/>
      <c r="AE21" s="293"/>
      <c r="AF21" s="293">
        <f t="shared" si="4"/>
        <v>0</v>
      </c>
      <c r="AG21" s="293"/>
      <c r="AH21" s="294"/>
      <c r="AI21" s="293"/>
      <c r="AJ21" s="294"/>
      <c r="AK21" s="293"/>
      <c r="AL21" s="294"/>
      <c r="AM21" s="293"/>
      <c r="AN21" s="294"/>
      <c r="AO21" s="293"/>
      <c r="AP21" s="293"/>
      <c r="AQ21" s="293"/>
      <c r="AR21" s="295"/>
      <c r="AS21" s="293"/>
      <c r="AT21" s="295"/>
      <c r="AU21" s="293"/>
      <c r="AV21" s="295"/>
      <c r="AW21" s="293"/>
      <c r="AX21" s="295"/>
      <c r="AY21" s="293"/>
      <c r="AZ21" s="295"/>
      <c r="BA21" s="296"/>
    </row>
    <row r="22" spans="1:53" hidden="1" x14ac:dyDescent="0.25">
      <c r="A22" s="297" t="s">
        <v>43</v>
      </c>
      <c r="B22" s="293">
        <v>0</v>
      </c>
      <c r="C22" s="293"/>
      <c r="D22" s="293"/>
      <c r="E22" s="293"/>
      <c r="F22" s="293">
        <v>0</v>
      </c>
      <c r="G22" s="293"/>
      <c r="H22" s="293">
        <f t="shared" si="3"/>
        <v>0</v>
      </c>
      <c r="I22" s="293"/>
      <c r="J22" s="293"/>
      <c r="K22" s="293"/>
      <c r="L22" s="293">
        <v>0</v>
      </c>
      <c r="M22" s="293"/>
      <c r="N22" s="293">
        <f>L22-H22</f>
        <v>0</v>
      </c>
      <c r="O22" s="294"/>
      <c r="P22" s="293">
        <v>0</v>
      </c>
      <c r="Q22" s="294"/>
      <c r="R22" s="294"/>
      <c r="S22" s="294"/>
      <c r="T22" s="293">
        <v>0</v>
      </c>
      <c r="U22" s="294"/>
      <c r="V22" s="294"/>
      <c r="W22" s="294"/>
      <c r="X22" s="294"/>
      <c r="Y22" s="293">
        <v>0</v>
      </c>
      <c r="Z22" s="294"/>
      <c r="AA22" s="294"/>
      <c r="AB22" s="294"/>
      <c r="AC22" s="294"/>
      <c r="AD22" s="294"/>
      <c r="AE22" s="293">
        <v>0</v>
      </c>
      <c r="AF22" s="293">
        <f t="shared" si="4"/>
        <v>0</v>
      </c>
      <c r="AG22" s="293"/>
      <c r="AH22" s="294"/>
      <c r="AI22" s="293">
        <v>0</v>
      </c>
      <c r="AJ22" s="294"/>
      <c r="AK22" s="293">
        <v>0</v>
      </c>
      <c r="AL22" s="294"/>
      <c r="AM22" s="293">
        <v>0</v>
      </c>
      <c r="AN22" s="294"/>
      <c r="AO22" s="293">
        <v>0</v>
      </c>
      <c r="AP22" s="293"/>
      <c r="AQ22" s="293">
        <v>0</v>
      </c>
      <c r="AR22" s="295"/>
      <c r="AS22" s="293">
        <v>0</v>
      </c>
      <c r="AT22" s="295"/>
      <c r="AU22" s="293">
        <v>0</v>
      </c>
      <c r="AV22" s="295"/>
      <c r="AW22" s="293">
        <v>0</v>
      </c>
      <c r="AX22" s="295"/>
      <c r="AY22" s="293">
        <v>0</v>
      </c>
      <c r="AZ22" s="295"/>
      <c r="BA22" s="296">
        <v>0</v>
      </c>
    </row>
    <row r="23" spans="1:53" hidden="1" x14ac:dyDescent="0.25">
      <c r="A23" s="297" t="s">
        <v>44</v>
      </c>
      <c r="B23" s="298"/>
      <c r="C23" s="293"/>
      <c r="D23" s="293"/>
      <c r="E23" s="293"/>
      <c r="F23" s="298"/>
      <c r="G23" s="293"/>
      <c r="H23" s="298">
        <f t="shared" si="3"/>
        <v>0</v>
      </c>
      <c r="I23" s="293"/>
      <c r="J23" s="293"/>
      <c r="K23" s="293"/>
      <c r="L23" s="298"/>
      <c r="M23" s="293"/>
      <c r="N23" s="298">
        <f>L23-H23</f>
        <v>0</v>
      </c>
      <c r="O23" s="294"/>
      <c r="P23" s="298"/>
      <c r="Q23" s="294"/>
      <c r="R23" s="294"/>
      <c r="S23" s="294"/>
      <c r="T23" s="298"/>
      <c r="U23" s="294"/>
      <c r="V23" s="294"/>
      <c r="W23" s="294"/>
      <c r="X23" s="294"/>
      <c r="Y23" s="298"/>
      <c r="Z23" s="294"/>
      <c r="AA23" s="294"/>
      <c r="AB23" s="294"/>
      <c r="AC23" s="294"/>
      <c r="AD23" s="294"/>
      <c r="AE23" s="298"/>
      <c r="AF23" s="298">
        <f t="shared" si="4"/>
        <v>0</v>
      </c>
      <c r="AG23" s="293"/>
      <c r="AH23" s="294"/>
      <c r="AI23" s="298"/>
      <c r="AJ23" s="294"/>
      <c r="AK23" s="298"/>
      <c r="AL23" s="294"/>
      <c r="AM23" s="298"/>
      <c r="AN23" s="294"/>
      <c r="AO23" s="298"/>
      <c r="AP23" s="298"/>
      <c r="AQ23" s="298"/>
      <c r="AR23" s="295"/>
      <c r="AS23" s="298"/>
      <c r="AT23" s="295"/>
      <c r="AU23" s="298"/>
      <c r="AV23" s="295"/>
      <c r="AW23" s="298"/>
      <c r="AX23" s="295"/>
      <c r="AY23" s="298"/>
      <c r="AZ23" s="295"/>
      <c r="BA23" s="299"/>
    </row>
    <row r="24" spans="1:53" hidden="1" x14ac:dyDescent="0.25">
      <c r="A24" s="297" t="s">
        <v>41</v>
      </c>
      <c r="B24" s="293">
        <f>B22+B23</f>
        <v>0</v>
      </c>
      <c r="C24" s="293"/>
      <c r="D24" s="293"/>
      <c r="E24" s="293"/>
      <c r="F24" s="293">
        <f>F22+F23</f>
        <v>0</v>
      </c>
      <c r="G24" s="293"/>
      <c r="H24" s="293">
        <f t="shared" si="3"/>
        <v>0</v>
      </c>
      <c r="I24" s="293"/>
      <c r="J24" s="293"/>
      <c r="K24" s="293"/>
      <c r="L24" s="293">
        <f>L22+L23</f>
        <v>0</v>
      </c>
      <c r="M24" s="293"/>
      <c r="N24" s="293">
        <f>L24-H24</f>
        <v>0</v>
      </c>
      <c r="O24" s="294"/>
      <c r="P24" s="293">
        <f>P22+P23</f>
        <v>0</v>
      </c>
      <c r="Q24" s="294"/>
      <c r="R24" s="294"/>
      <c r="S24" s="294"/>
      <c r="T24" s="293">
        <f>T22+T23</f>
        <v>0</v>
      </c>
      <c r="U24" s="294"/>
      <c r="V24" s="294"/>
      <c r="W24" s="294"/>
      <c r="X24" s="294"/>
      <c r="Y24" s="293">
        <f>Y22+Y23</f>
        <v>0</v>
      </c>
      <c r="Z24" s="294"/>
      <c r="AA24" s="294"/>
      <c r="AB24" s="294"/>
      <c r="AC24" s="294"/>
      <c r="AD24" s="294"/>
      <c r="AE24" s="293">
        <f>AE22+AE23</f>
        <v>0</v>
      </c>
      <c r="AF24" s="293">
        <f t="shared" si="4"/>
        <v>0</v>
      </c>
      <c r="AG24" s="293"/>
      <c r="AH24" s="294"/>
      <c r="AI24" s="293">
        <f>AI22+AI23</f>
        <v>0</v>
      </c>
      <c r="AJ24" s="294"/>
      <c r="AK24" s="293">
        <f>AK22+AK23</f>
        <v>0</v>
      </c>
      <c r="AL24" s="294"/>
      <c r="AM24" s="293">
        <f>AM22+AM23</f>
        <v>0</v>
      </c>
      <c r="AN24" s="294"/>
      <c r="AO24" s="293">
        <f>AO22+AO23</f>
        <v>0</v>
      </c>
      <c r="AP24" s="293"/>
      <c r="AQ24" s="293">
        <f>AQ22+AQ23</f>
        <v>0</v>
      </c>
      <c r="AR24" s="295"/>
      <c r="AS24" s="293">
        <f>AS22+AS23</f>
        <v>0</v>
      </c>
      <c r="AT24" s="295"/>
      <c r="AU24" s="293">
        <f>AU22+AU23</f>
        <v>0</v>
      </c>
      <c r="AV24" s="295"/>
      <c r="AW24" s="293">
        <f>AW22+AW23</f>
        <v>0</v>
      </c>
      <c r="AX24" s="295"/>
      <c r="AY24" s="293">
        <f>AY22+AY23</f>
        <v>0</v>
      </c>
      <c r="AZ24" s="295"/>
      <c r="BA24" s="296">
        <f>BA22+BA23</f>
        <v>0</v>
      </c>
    </row>
    <row r="25" spans="1:53" ht="15.75" hidden="1" thickBot="1" x14ac:dyDescent="0.3">
      <c r="A25" s="301" t="s">
        <v>42</v>
      </c>
      <c r="B25" s="302">
        <f>B20+B24</f>
        <v>5970</v>
      </c>
      <c r="C25" s="302"/>
      <c r="D25" s="302"/>
      <c r="E25" s="302"/>
      <c r="F25" s="302">
        <f>F20+F24</f>
        <v>0</v>
      </c>
      <c r="G25" s="302"/>
      <c r="H25" s="302">
        <f t="shared" si="3"/>
        <v>-5970</v>
      </c>
      <c r="I25" s="302"/>
      <c r="J25" s="302"/>
      <c r="K25" s="302"/>
      <c r="L25" s="302">
        <f>L20+L24</f>
        <v>0</v>
      </c>
      <c r="M25" s="302"/>
      <c r="N25" s="302">
        <f>L25-F25</f>
        <v>0</v>
      </c>
      <c r="O25" s="303"/>
      <c r="P25" s="302">
        <f>P20+P24</f>
        <v>0</v>
      </c>
      <c r="Q25" s="303"/>
      <c r="R25" s="303"/>
      <c r="S25" s="303"/>
      <c r="T25" s="302">
        <f>T20+T24</f>
        <v>0</v>
      </c>
      <c r="U25" s="303">
        <f>T25-P25</f>
        <v>0</v>
      </c>
      <c r="V25" s="303"/>
      <c r="W25" s="303"/>
      <c r="X25" s="303"/>
      <c r="Y25" s="302">
        <f>Y20+Y24</f>
        <v>0</v>
      </c>
      <c r="Z25" s="303">
        <f>Y25-T25</f>
        <v>0</v>
      </c>
      <c r="AA25" s="303"/>
      <c r="AB25" s="303"/>
      <c r="AC25" s="303"/>
      <c r="AD25" s="303"/>
      <c r="AE25" s="302">
        <f>AE20+AE24</f>
        <v>0</v>
      </c>
      <c r="AF25" s="302">
        <f t="shared" si="4"/>
        <v>0</v>
      </c>
      <c r="AG25" s="302"/>
      <c r="AH25" s="303"/>
      <c r="AI25" s="302">
        <f>AI20+AI24</f>
        <v>0</v>
      </c>
      <c r="AJ25" s="303"/>
      <c r="AK25" s="302">
        <f>AK20+AK24</f>
        <v>0</v>
      </c>
      <c r="AL25" s="303"/>
      <c r="AM25" s="302">
        <f>AM20+AM24</f>
        <v>0</v>
      </c>
      <c r="AN25" s="303"/>
      <c r="AO25" s="302">
        <f>AO20+AO24</f>
        <v>0</v>
      </c>
      <c r="AP25" s="302"/>
      <c r="AQ25" s="302">
        <f>AQ20+AQ24</f>
        <v>0</v>
      </c>
      <c r="AR25" s="304"/>
      <c r="AS25" s="302">
        <f>AS20+AS24</f>
        <v>0</v>
      </c>
      <c r="AT25" s="304"/>
      <c r="AU25" s="302">
        <f>AU20+AU24</f>
        <v>0</v>
      </c>
      <c r="AV25" s="304"/>
      <c r="AW25" s="302">
        <f>AW20+AW24</f>
        <v>0</v>
      </c>
      <c r="AX25" s="304"/>
      <c r="AY25" s="302">
        <f>AY20+AY24</f>
        <v>0</v>
      </c>
      <c r="AZ25" s="304"/>
      <c r="BA25" s="305">
        <f>BA20+BA24</f>
        <v>0</v>
      </c>
    </row>
    <row r="26" spans="1:53" hidden="1" x14ac:dyDescent="0.25">
      <c r="A26" s="293"/>
      <c r="B26" s="293"/>
      <c r="C26" s="293"/>
      <c r="D26" s="293"/>
      <c r="E26" s="293"/>
      <c r="F26" s="293"/>
      <c r="G26" s="293"/>
      <c r="H26" s="293"/>
      <c r="I26" s="293"/>
      <c r="J26" s="293"/>
      <c r="K26" s="293"/>
      <c r="L26" s="293"/>
      <c r="M26" s="293"/>
      <c r="N26" s="293"/>
      <c r="O26" s="294"/>
      <c r="P26" s="293"/>
      <c r="Q26" s="294"/>
      <c r="R26" s="294"/>
      <c r="S26" s="294"/>
      <c r="T26" s="293"/>
      <c r="U26" s="294"/>
      <c r="V26" s="294"/>
      <c r="W26" s="294"/>
      <c r="X26" s="294"/>
      <c r="Y26" s="293"/>
      <c r="Z26" s="294"/>
      <c r="AA26" s="294"/>
      <c r="AB26" s="294"/>
      <c r="AC26" s="294"/>
      <c r="AD26" s="294"/>
      <c r="AE26" s="293"/>
      <c r="AF26" s="293"/>
      <c r="AG26" s="293"/>
      <c r="AH26" s="294"/>
      <c r="AI26" s="293"/>
      <c r="AJ26" s="294"/>
      <c r="AK26" s="293"/>
      <c r="AL26" s="294"/>
      <c r="AM26" s="293"/>
      <c r="AN26" s="294"/>
      <c r="AO26" s="293"/>
      <c r="AP26" s="293"/>
      <c r="AQ26" s="293"/>
      <c r="AR26" s="295"/>
      <c r="AS26" s="293"/>
      <c r="AT26" s="295"/>
      <c r="AU26" s="293"/>
      <c r="AV26" s="295"/>
      <c r="AW26" s="293"/>
      <c r="AX26" s="295"/>
      <c r="AY26" s="293"/>
      <c r="AZ26" s="295"/>
      <c r="BA26" s="293"/>
    </row>
    <row r="27" spans="1:53" hidden="1" x14ac:dyDescent="0.25">
      <c r="A27" s="293" t="s">
        <v>1368</v>
      </c>
      <c r="B27" s="293"/>
      <c r="C27" s="293"/>
      <c r="D27" s="293"/>
      <c r="E27" s="293"/>
      <c r="F27" s="293"/>
      <c r="G27" s="293"/>
      <c r="H27" s="293"/>
      <c r="I27" s="293"/>
      <c r="J27" s="293"/>
      <c r="K27" s="293"/>
      <c r="L27" s="293"/>
      <c r="M27" s="293"/>
      <c r="N27" s="293"/>
      <c r="O27" s="294"/>
      <c r="P27" s="293"/>
      <c r="Q27" s="294"/>
      <c r="R27" s="294"/>
      <c r="S27" s="294"/>
      <c r="T27" s="293"/>
      <c r="U27" s="294"/>
      <c r="V27" s="294"/>
      <c r="W27" s="294"/>
      <c r="X27" s="294"/>
      <c r="Y27" s="293"/>
      <c r="Z27" s="294"/>
      <c r="AA27" s="294"/>
      <c r="AB27" s="294"/>
      <c r="AC27" s="294"/>
      <c r="AD27" s="294"/>
      <c r="AE27" s="293"/>
      <c r="AF27" s="293"/>
      <c r="AG27" s="293"/>
      <c r="AH27" s="294"/>
      <c r="AI27" s="293"/>
      <c r="AJ27" s="294"/>
      <c r="AK27" s="293">
        <f>+AK17</f>
        <v>-271977.20204999985</v>
      </c>
      <c r="AL27" s="293">
        <f t="shared" ref="AL27:AS27" si="5">+AL17</f>
        <v>0</v>
      </c>
      <c r="AM27" s="293">
        <f>+AM17</f>
        <v>700393.40088235005</v>
      </c>
      <c r="AN27" s="293">
        <f t="shared" si="5"/>
        <v>0</v>
      </c>
      <c r="AO27" s="293">
        <f t="shared" si="5"/>
        <v>73445.193111467524</v>
      </c>
      <c r="AP27" s="293">
        <f t="shared" si="5"/>
        <v>0</v>
      </c>
      <c r="AQ27" s="293">
        <f t="shared" si="5"/>
        <v>71432.694484145846</v>
      </c>
      <c r="AR27" s="293">
        <f t="shared" si="5"/>
        <v>0</v>
      </c>
      <c r="AS27" s="293">
        <f t="shared" si="5"/>
        <v>69353.78340212279</v>
      </c>
      <c r="AT27" s="293">
        <f t="shared" ref="AT27:BA27" si="6">+AT17</f>
        <v>0</v>
      </c>
      <c r="AU27" s="293">
        <f t="shared" si="6"/>
        <v>67206.268254392722</v>
      </c>
      <c r="AV27" s="293">
        <f t="shared" si="6"/>
        <v>0</v>
      </c>
      <c r="AW27" s="293">
        <f t="shared" si="6"/>
        <v>64987.885106787842</v>
      </c>
      <c r="AX27" s="293">
        <f t="shared" si="6"/>
        <v>0</v>
      </c>
      <c r="AY27" s="293">
        <f t="shared" si="6"/>
        <v>62696.295315311872</v>
      </c>
      <c r="AZ27" s="293">
        <f t="shared" si="6"/>
        <v>0</v>
      </c>
      <c r="BA27" s="293">
        <f t="shared" si="6"/>
        <v>60329.083060716977</v>
      </c>
    </row>
    <row r="28" spans="1:53" hidden="1" x14ac:dyDescent="0.25">
      <c r="A28" s="293" t="s">
        <v>946</v>
      </c>
      <c r="B28" s="293"/>
      <c r="C28" s="293"/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  <c r="P28" s="293"/>
      <c r="Q28" s="294"/>
      <c r="R28" s="294"/>
      <c r="S28" s="294"/>
      <c r="T28" s="293"/>
      <c r="U28" s="294"/>
      <c r="V28" s="294"/>
      <c r="W28" s="294"/>
      <c r="X28" s="294"/>
      <c r="Y28" s="293"/>
      <c r="Z28" s="294"/>
      <c r="AA28" s="294"/>
      <c r="AB28" s="294"/>
      <c r="AC28" s="294"/>
      <c r="AD28" s="294"/>
      <c r="AE28" s="293"/>
      <c r="AF28" s="293"/>
      <c r="AG28" s="293"/>
      <c r="AH28" s="294"/>
      <c r="AI28" s="293"/>
      <c r="AJ28" s="294"/>
      <c r="AK28" s="293">
        <f>+B!AJ1402</f>
        <v>1000000</v>
      </c>
      <c r="AL28" s="293">
        <f>+B!AK1402</f>
        <v>0</v>
      </c>
      <c r="AM28" s="293">
        <f>+B!AL1402</f>
        <v>0</v>
      </c>
      <c r="AN28" s="293">
        <f>+B!AM1402</f>
        <v>0</v>
      </c>
      <c r="AO28" s="293">
        <f>+B!AN1402</f>
        <v>0</v>
      </c>
      <c r="AP28" s="293">
        <f>+B!AO1402</f>
        <v>0</v>
      </c>
      <c r="AQ28" s="293">
        <f>+B!AP1402</f>
        <v>0</v>
      </c>
      <c r="AR28" s="293">
        <f>+B!AQ1402</f>
        <v>0</v>
      </c>
      <c r="AS28" s="293">
        <f>+B!AR1402</f>
        <v>0</v>
      </c>
      <c r="AT28" s="293">
        <f>+B!AS1402</f>
        <v>0</v>
      </c>
      <c r="AU28" s="293">
        <f>+B!AT1402</f>
        <v>0</v>
      </c>
      <c r="AV28" s="293">
        <f>+B!AU1402</f>
        <v>0</v>
      </c>
      <c r="AW28" s="293">
        <f>+B!AV1402</f>
        <v>0</v>
      </c>
      <c r="AX28" s="293">
        <f>+B!AW1402</f>
        <v>0</v>
      </c>
      <c r="AY28" s="293">
        <f>+B!AX1402</f>
        <v>0</v>
      </c>
      <c r="AZ28" s="293">
        <f>+B!AY1402</f>
        <v>0</v>
      </c>
      <c r="BA28" s="293">
        <f>+B!AZ1402</f>
        <v>0</v>
      </c>
    </row>
    <row r="29" spans="1:53" hidden="1" x14ac:dyDescent="0.25">
      <c r="A29" s="293" t="s">
        <v>1369</v>
      </c>
      <c r="B29" s="293"/>
      <c r="C29" s="293"/>
      <c r="D29" s="293"/>
      <c r="E29" s="293"/>
      <c r="F29" s="293"/>
      <c r="G29" s="293"/>
      <c r="H29" s="293"/>
      <c r="I29" s="293"/>
      <c r="J29" s="293"/>
      <c r="K29" s="293"/>
      <c r="L29" s="293"/>
      <c r="M29" s="293"/>
      <c r="N29" s="293"/>
      <c r="O29" s="294"/>
      <c r="P29" s="293"/>
      <c r="Q29" s="294"/>
      <c r="R29" s="294"/>
      <c r="S29" s="294"/>
      <c r="T29" s="293"/>
      <c r="U29" s="294"/>
      <c r="V29" s="294"/>
      <c r="W29" s="294"/>
      <c r="X29" s="294"/>
      <c r="Y29" s="293"/>
      <c r="Z29" s="294"/>
      <c r="AA29" s="294"/>
      <c r="AB29" s="294"/>
      <c r="AC29" s="294"/>
      <c r="AD29" s="294"/>
      <c r="AE29" s="293"/>
      <c r="AF29" s="293"/>
      <c r="AG29" s="293"/>
      <c r="AH29" s="294"/>
      <c r="AI29" s="293"/>
      <c r="AJ29" s="294"/>
      <c r="AK29" s="293">
        <f>-B!AJ1463</f>
        <v>-625000</v>
      </c>
      <c r="AL29" s="293">
        <f>-B!AK1463</f>
        <v>0</v>
      </c>
      <c r="AM29" s="293">
        <f>-B!AL1463</f>
        <v>-625000</v>
      </c>
      <c r="AN29" s="293">
        <f>-B!AM1463</f>
        <v>0</v>
      </c>
      <c r="AO29" s="293">
        <f>-B!AN1463</f>
        <v>0</v>
      </c>
      <c r="AP29" s="293">
        <f>-B!AO1463</f>
        <v>0</v>
      </c>
      <c r="AQ29" s="293">
        <f>-B!AP1463</f>
        <v>0</v>
      </c>
      <c r="AR29" s="293">
        <f>-B!AQ1463</f>
        <v>0</v>
      </c>
      <c r="AS29" s="293">
        <f>-B!AR1463</f>
        <v>0</v>
      </c>
      <c r="AT29" s="293">
        <f>-B!AS1463</f>
        <v>0</v>
      </c>
      <c r="AU29" s="293">
        <f>-B!AT1463</f>
        <v>0</v>
      </c>
      <c r="AV29" s="293">
        <f>-B!AU1463</f>
        <v>0</v>
      </c>
      <c r="AW29" s="293">
        <f>-B!AV1463</f>
        <v>0</v>
      </c>
      <c r="AX29" s="293">
        <f>-B!AW1463</f>
        <v>0</v>
      </c>
      <c r="AY29" s="293">
        <f>-B!AX1463</f>
        <v>0</v>
      </c>
      <c r="AZ29" s="293">
        <f>-B!AY1463</f>
        <v>0</v>
      </c>
      <c r="BA29" s="293">
        <f>-B!AZ1463</f>
        <v>0</v>
      </c>
    </row>
    <row r="30" spans="1:53" hidden="1" x14ac:dyDescent="0.25">
      <c r="A30" s="293" t="s">
        <v>1370</v>
      </c>
      <c r="B30" s="293"/>
      <c r="C30" s="293"/>
      <c r="D30" s="293"/>
      <c r="E30" s="293"/>
      <c r="F30" s="293"/>
      <c r="G30" s="293"/>
      <c r="H30" s="293"/>
      <c r="I30" s="293"/>
      <c r="J30" s="293"/>
      <c r="K30" s="293"/>
      <c r="L30" s="293"/>
      <c r="M30" s="293"/>
      <c r="N30" s="293"/>
      <c r="O30" s="294"/>
      <c r="P30" s="293"/>
      <c r="Q30" s="294"/>
      <c r="R30" s="294"/>
      <c r="S30" s="294"/>
      <c r="T30" s="293"/>
      <c r="U30" s="294"/>
      <c r="V30" s="294"/>
      <c r="W30" s="294"/>
      <c r="X30" s="294"/>
      <c r="Y30" s="293"/>
      <c r="Z30" s="294"/>
      <c r="AA30" s="294"/>
      <c r="AB30" s="294"/>
      <c r="AC30" s="294"/>
      <c r="AD30" s="294"/>
      <c r="AE30" s="293"/>
      <c r="AF30" s="293"/>
      <c r="AG30" s="293"/>
      <c r="AH30" s="294"/>
      <c r="AI30" s="293"/>
      <c r="AJ30" s="294"/>
      <c r="AK30" s="293">
        <f>-B!AJ1464</f>
        <v>-134430</v>
      </c>
      <c r="AL30" s="293">
        <f>-B!AK1464</f>
        <v>0</v>
      </c>
      <c r="AM30" s="293">
        <f>-B!AL1464</f>
        <v>-134430</v>
      </c>
      <c r="AN30" s="293">
        <f>-B!AM1464</f>
        <v>0</v>
      </c>
      <c r="AO30" s="293">
        <f>-B!AN1464</f>
        <v>-134430</v>
      </c>
      <c r="AP30" s="293">
        <f>-B!AO1464</f>
        <v>0</v>
      </c>
      <c r="AQ30" s="293">
        <f>-B!AP1464</f>
        <v>-134430</v>
      </c>
      <c r="AR30" s="293">
        <f>-B!AQ1464</f>
        <v>0</v>
      </c>
      <c r="AS30" s="293">
        <f>-B!AR1464</f>
        <v>-134430</v>
      </c>
      <c r="AT30" s="293">
        <f>-B!AS1464</f>
        <v>0</v>
      </c>
      <c r="AU30" s="293">
        <f>-B!AT1464</f>
        <v>-134430</v>
      </c>
      <c r="AV30" s="293">
        <f>-B!AU1464</f>
        <v>0</v>
      </c>
      <c r="AW30" s="293">
        <f>-B!AV1464</f>
        <v>-134430</v>
      </c>
      <c r="AX30" s="293">
        <f>-B!AW1464</f>
        <v>0</v>
      </c>
      <c r="AY30" s="293">
        <f>-B!AX1464</f>
        <v>-134430</v>
      </c>
      <c r="AZ30" s="293">
        <f>-B!AY1464</f>
        <v>0</v>
      </c>
      <c r="BA30" s="293">
        <f>-B!AZ1464</f>
        <v>-134430</v>
      </c>
    </row>
    <row r="31" spans="1:53" hidden="1" x14ac:dyDescent="0.25">
      <c r="A31" s="293" t="s">
        <v>1383</v>
      </c>
      <c r="B31" s="293"/>
      <c r="C31" s="293"/>
      <c r="D31" s="293"/>
      <c r="E31" s="293"/>
      <c r="F31" s="293"/>
      <c r="G31" s="293"/>
      <c r="H31" s="293"/>
      <c r="I31" s="293"/>
      <c r="J31" s="293"/>
      <c r="K31" s="293"/>
      <c r="L31" s="293"/>
      <c r="M31" s="293"/>
      <c r="N31" s="293"/>
      <c r="O31" s="294"/>
      <c r="P31" s="293"/>
      <c r="Q31" s="294"/>
      <c r="R31" s="294"/>
      <c r="S31" s="294"/>
      <c r="T31" s="293"/>
      <c r="U31" s="294"/>
      <c r="V31" s="294"/>
      <c r="W31" s="294"/>
      <c r="X31" s="294"/>
      <c r="Y31" s="293"/>
      <c r="Z31" s="294"/>
      <c r="AA31" s="294"/>
      <c r="AB31" s="294"/>
      <c r="AC31" s="294"/>
      <c r="AD31" s="294"/>
      <c r="AE31" s="293"/>
      <c r="AF31" s="293"/>
      <c r="AG31" s="293"/>
      <c r="AH31" s="294"/>
      <c r="AI31" s="293"/>
      <c r="AJ31" s="294"/>
      <c r="AK31" s="293">
        <v>31407.202049999847</v>
      </c>
      <c r="AL31" s="293"/>
      <c r="AM31" s="293">
        <v>59036.599117649952</v>
      </c>
      <c r="AN31" s="293"/>
      <c r="AO31" s="293">
        <v>60984.806888532476</v>
      </c>
      <c r="AP31" s="293"/>
      <c r="AQ31" s="293">
        <v>62997.305515854154</v>
      </c>
      <c r="AR31" s="293"/>
      <c r="AS31" s="293">
        <v>65076.21659787721</v>
      </c>
      <c r="AT31" s="293"/>
      <c r="AU31" s="293">
        <v>67223.731745607278</v>
      </c>
      <c r="AV31" s="293"/>
      <c r="AW31" s="293">
        <v>69442.114893212158</v>
      </c>
      <c r="AX31" s="293"/>
      <c r="AY31" s="293">
        <v>71733.704684688128</v>
      </c>
      <c r="AZ31" s="293"/>
      <c r="BA31" s="293">
        <v>74100.916939283023</v>
      </c>
    </row>
    <row r="32" spans="1:53" hidden="1" x14ac:dyDescent="0.25">
      <c r="A32" s="4"/>
      <c r="AK32" s="3">
        <f>SUM(AK27:AK31)</f>
        <v>0</v>
      </c>
      <c r="AM32" s="3">
        <f>SUM(AM27:AM31)</f>
        <v>0</v>
      </c>
      <c r="AN32" s="3">
        <f t="shared" ref="AN32:AS32" si="7">SUM(AN27:AN31)</f>
        <v>0</v>
      </c>
      <c r="AO32" s="3">
        <f t="shared" si="7"/>
        <v>0</v>
      </c>
      <c r="AP32" s="3">
        <f t="shared" si="7"/>
        <v>0</v>
      </c>
      <c r="AQ32" s="3">
        <f t="shared" si="7"/>
        <v>0</v>
      </c>
      <c r="AR32" s="3"/>
      <c r="AS32" s="3">
        <f t="shared" si="7"/>
        <v>0</v>
      </c>
      <c r="AT32" s="3">
        <f t="shared" ref="AT32" si="8">SUM(AT27:AT31)</f>
        <v>0</v>
      </c>
      <c r="AU32" s="3">
        <f t="shared" ref="AU32" si="9">SUM(AU27:AU31)</f>
        <v>0</v>
      </c>
      <c r="AV32" s="3">
        <f t="shared" ref="AV32" si="10">SUM(AV27:AV31)</f>
        <v>0</v>
      </c>
      <c r="AW32" s="3">
        <f t="shared" ref="AW32" si="11">SUM(AW27:AW31)</f>
        <v>0</v>
      </c>
      <c r="AX32" s="3">
        <f t="shared" ref="AX32" si="12">SUM(AX27:AX31)</f>
        <v>0</v>
      </c>
      <c r="AY32" s="3">
        <f t="shared" ref="AY32" si="13">SUM(AY27:AY31)</f>
        <v>0</v>
      </c>
      <c r="AZ32" s="3">
        <f t="shared" ref="AZ32:BA32" si="14">SUM(AZ27:AZ31)</f>
        <v>0</v>
      </c>
      <c r="BA32" s="3">
        <f t="shared" si="14"/>
        <v>0</v>
      </c>
    </row>
    <row r="33" spans="1:57" x14ac:dyDescent="0.25">
      <c r="A33" s="4"/>
      <c r="AR33" s="3"/>
      <c r="AT33" s="3"/>
      <c r="AV33" s="3"/>
      <c r="AX33" s="3"/>
      <c r="AZ33" s="3"/>
    </row>
    <row r="34" spans="1:57" x14ac:dyDescent="0.25">
      <c r="A34" s="461" t="s">
        <v>1245</v>
      </c>
      <c r="B34" s="461"/>
      <c r="C34" s="461"/>
      <c r="D34" s="461"/>
      <c r="E34" s="461"/>
      <c r="F34" s="461"/>
      <c r="G34" s="461"/>
      <c r="H34" s="461"/>
      <c r="I34" s="461"/>
      <c r="J34" s="461"/>
      <c r="K34" s="461"/>
      <c r="L34" s="461"/>
      <c r="M34" s="461"/>
      <c r="N34" s="461"/>
      <c r="O34" s="461"/>
      <c r="P34" s="461"/>
      <c r="Q34" s="461"/>
      <c r="R34" s="461"/>
      <c r="S34" s="461"/>
      <c r="T34" s="461"/>
      <c r="U34" s="461"/>
      <c r="V34" s="461"/>
      <c r="W34" s="461"/>
      <c r="X34" s="461"/>
      <c r="Y34" s="461"/>
      <c r="Z34" s="461"/>
      <c r="AA34" s="461"/>
      <c r="AB34" s="461"/>
      <c r="AC34" s="461"/>
      <c r="AD34" s="461"/>
      <c r="AE34" s="461"/>
      <c r="AF34" s="461"/>
      <c r="AG34" s="461"/>
      <c r="AH34" s="461"/>
      <c r="AI34" s="461"/>
      <c r="AJ34" s="461"/>
      <c r="AK34" s="461"/>
      <c r="AL34" s="461"/>
      <c r="AM34" s="461"/>
      <c r="AN34" s="461"/>
      <c r="AO34" s="461"/>
      <c r="AP34" s="461"/>
      <c r="AQ34" s="461"/>
      <c r="AR34" s="461"/>
      <c r="AS34" s="461"/>
      <c r="AT34" s="461"/>
      <c r="AU34" s="461"/>
      <c r="AV34" s="461"/>
      <c r="AW34" s="461"/>
      <c r="AX34" s="461"/>
      <c r="AY34" s="461"/>
      <c r="AZ34" s="461"/>
      <c r="BA34" s="461"/>
      <c r="BB34" s="461"/>
      <c r="BC34" s="461"/>
      <c r="BD34" s="461"/>
      <c r="BE34" s="461"/>
    </row>
    <row r="35" spans="1:57" x14ac:dyDescent="0.25">
      <c r="A35" s="4"/>
      <c r="BC35" s="3"/>
      <c r="BE35" s="3"/>
    </row>
    <row r="36" spans="1:57" x14ac:dyDescent="0.25">
      <c r="A36" s="7" t="s">
        <v>933</v>
      </c>
      <c r="BC36" s="3"/>
      <c r="BE36" s="3"/>
    </row>
    <row r="37" spans="1:57" x14ac:dyDescent="0.25">
      <c r="A37" s="7" t="s">
        <v>1231</v>
      </c>
      <c r="BC37" s="3"/>
      <c r="BE37" s="3"/>
    </row>
    <row r="38" spans="1:57" x14ac:dyDescent="0.25">
      <c r="A38" s="7" t="s">
        <v>934</v>
      </c>
      <c r="BC38" s="3"/>
      <c r="BE38" s="3"/>
    </row>
    <row r="39" spans="1:57" hidden="1" outlineLevel="1" x14ac:dyDescent="0.25">
      <c r="A39" s="3" t="s">
        <v>886</v>
      </c>
      <c r="B39" s="3">
        <v>213300</v>
      </c>
      <c r="D39" s="3">
        <v>214937</v>
      </c>
      <c r="E39" s="3">
        <f>F39-D39</f>
        <v>-937</v>
      </c>
      <c r="F39" s="3">
        <v>214000</v>
      </c>
      <c r="H39" s="3">
        <f>F39-B39</f>
        <v>700</v>
      </c>
      <c r="J39" s="3">
        <v>217793</v>
      </c>
      <c r="K39" s="4">
        <f>L39-J39</f>
        <v>-3793</v>
      </c>
      <c r="L39" s="4">
        <v>214000</v>
      </c>
      <c r="N39" s="4">
        <f>L39-F39</f>
        <v>0</v>
      </c>
      <c r="P39" s="3">
        <f>L39*1.036+21</f>
        <v>221725</v>
      </c>
      <c r="R39" s="3">
        <v>220287</v>
      </c>
      <c r="S39" s="3">
        <f>T39-R39</f>
        <v>1438</v>
      </c>
      <c r="T39" s="3">
        <v>221725</v>
      </c>
      <c r="U39" s="3">
        <f>T39-P39</f>
        <v>0</v>
      </c>
      <c r="V39" s="3">
        <v>220349</v>
      </c>
      <c r="W39" s="3">
        <f>Y39-V39</f>
        <v>1376</v>
      </c>
      <c r="Y39" s="3">
        <v>221725</v>
      </c>
      <c r="Z39" s="3">
        <f>Y39-T39</f>
        <v>0</v>
      </c>
      <c r="AC39" s="3">
        <v>220083</v>
      </c>
      <c r="AD39" s="3">
        <f>AE39-AC39</f>
        <v>1642</v>
      </c>
      <c r="AE39" s="3">
        <v>221725</v>
      </c>
      <c r="AF39" s="3">
        <f>AE39-Y39</f>
        <v>0</v>
      </c>
      <c r="AI39" s="3">
        <f>AE39*1.034-14</f>
        <v>229249.65</v>
      </c>
      <c r="AK39" s="3">
        <f>AI39*1.023</f>
        <v>234522.39194999996</v>
      </c>
      <c r="AM39" s="3">
        <f>AK39*1.033</f>
        <v>242261.63088434993</v>
      </c>
      <c r="AN39" s="3">
        <f>AL39*1.033</f>
        <v>0</v>
      </c>
      <c r="AO39" s="3">
        <f>AM39*1.033</f>
        <v>250256.26470353347</v>
      </c>
      <c r="AQ39" s="3">
        <f>AO39*1.033</f>
        <v>258514.72143875004</v>
      </c>
      <c r="AR39" s="3"/>
      <c r="AS39" s="3">
        <f>AQ39*1.033</f>
        <v>267045.70724622876</v>
      </c>
      <c r="AT39" s="3">
        <f>AR39*1.033</f>
        <v>0</v>
      </c>
      <c r="AU39" s="3">
        <f>AS39*1.033</f>
        <v>275858.21558535431</v>
      </c>
      <c r="AV39" s="3">
        <f>AT39*1.033</f>
        <v>0</v>
      </c>
      <c r="AW39" s="3">
        <f>AU39*1.033</f>
        <v>284961.53669967095</v>
      </c>
      <c r="AX39" s="3"/>
      <c r="AY39" s="3">
        <f>AW39*1.033</f>
        <v>294365.26741076005</v>
      </c>
      <c r="AZ39" s="3">
        <f>AX39*1.033</f>
        <v>0</v>
      </c>
      <c r="BA39" s="3">
        <f>AY39*1.033</f>
        <v>304079.32123531512</v>
      </c>
      <c r="BC39" s="3">
        <f>BA39*1.033</f>
        <v>314113.93883608049</v>
      </c>
      <c r="BE39" s="3">
        <f>BC39*1.033</f>
        <v>324479.6988176711</v>
      </c>
    </row>
    <row r="40" spans="1:57" hidden="1" outlineLevel="1" x14ac:dyDescent="0.25">
      <c r="A40" s="3" t="s">
        <v>935</v>
      </c>
      <c r="B40" s="3">
        <v>21800</v>
      </c>
      <c r="D40" s="3">
        <v>22787</v>
      </c>
      <c r="E40" s="3">
        <f>F40-D40</f>
        <v>-87</v>
      </c>
      <c r="F40" s="3">
        <v>22700</v>
      </c>
      <c r="H40" s="3">
        <f>F40-B40</f>
        <v>900</v>
      </c>
      <c r="J40" s="3">
        <v>22787</v>
      </c>
      <c r="K40" s="4">
        <f>L40-J40</f>
        <v>-87</v>
      </c>
      <c r="L40" s="4">
        <v>22700</v>
      </c>
      <c r="N40" s="4">
        <f>L40-F40</f>
        <v>0</v>
      </c>
      <c r="P40" s="3">
        <v>23300</v>
      </c>
      <c r="R40" s="3">
        <v>22912</v>
      </c>
      <c r="S40" s="3">
        <f>T40-R40</f>
        <v>88</v>
      </c>
      <c r="T40" s="3">
        <v>23000</v>
      </c>
      <c r="U40" s="3">
        <f>T40-P40</f>
        <v>-300</v>
      </c>
      <c r="V40" s="3">
        <v>22913</v>
      </c>
      <c r="W40" s="3">
        <f>Y40-V40</f>
        <v>87</v>
      </c>
      <c r="Y40" s="3">
        <v>23000</v>
      </c>
      <c r="Z40" s="3">
        <f>Y40-T40</f>
        <v>0</v>
      </c>
      <c r="AC40" s="3">
        <v>22913</v>
      </c>
      <c r="AD40" s="3">
        <f>AE40-AC40</f>
        <v>87</v>
      </c>
      <c r="AE40" s="3">
        <v>23000</v>
      </c>
      <c r="AF40" s="3">
        <f>AE40-Y40</f>
        <v>0</v>
      </c>
      <c r="AI40" s="3">
        <v>23000</v>
      </c>
      <c r="AK40" s="3">
        <f>AI40+100</f>
        <v>23100</v>
      </c>
      <c r="AM40" s="3">
        <f>AK40+100</f>
        <v>23200</v>
      </c>
      <c r="AO40" s="3">
        <f>AM40+100</f>
        <v>23300</v>
      </c>
      <c r="AQ40" s="3">
        <f>AO40+100</f>
        <v>23400</v>
      </c>
      <c r="AS40" s="3">
        <f>AQ40+100</f>
        <v>23500</v>
      </c>
      <c r="AU40" s="3">
        <f>AS40+100</f>
        <v>23600</v>
      </c>
      <c r="AW40" s="3">
        <f>AU40+100</f>
        <v>23700</v>
      </c>
      <c r="AY40" s="3">
        <f>AW40+100</f>
        <v>23800</v>
      </c>
      <c r="BA40" s="3">
        <f>AY40+100</f>
        <v>23900</v>
      </c>
      <c r="BC40" s="3">
        <f>BA40+100</f>
        <v>24000</v>
      </c>
      <c r="BE40" s="3">
        <f>BC40+100</f>
        <v>24100</v>
      </c>
    </row>
    <row r="41" spans="1:57" hidden="1" outlineLevel="1" x14ac:dyDescent="0.25">
      <c r="A41" s="3" t="s">
        <v>55</v>
      </c>
      <c r="B41" s="3">
        <v>8900</v>
      </c>
      <c r="E41" s="3">
        <f>F41-D41</f>
        <v>8900</v>
      </c>
      <c r="F41" s="3">
        <v>8900</v>
      </c>
      <c r="H41" s="3">
        <f>F41-B41</f>
        <v>0</v>
      </c>
      <c r="K41" s="4">
        <f>L41-J41</f>
        <v>8900</v>
      </c>
      <c r="L41" s="4">
        <v>8900</v>
      </c>
      <c r="N41" s="4">
        <f>L41-F41</f>
        <v>0</v>
      </c>
      <c r="P41" s="3">
        <f>B41*1.02+22</f>
        <v>9100</v>
      </c>
      <c r="S41" s="3">
        <f>T41-R41</f>
        <v>9100</v>
      </c>
      <c r="T41" s="3">
        <v>9100</v>
      </c>
      <c r="U41" s="3">
        <f>T41-P41</f>
        <v>0</v>
      </c>
      <c r="W41" s="3">
        <f>Y41-V41</f>
        <v>9100</v>
      </c>
      <c r="Y41" s="3">
        <v>9100</v>
      </c>
      <c r="Z41" s="3">
        <f>Y41-T41</f>
        <v>0</v>
      </c>
      <c r="AC41" s="3">
        <v>8978</v>
      </c>
      <c r="AD41" s="3">
        <f>AE41-AC41</f>
        <v>2</v>
      </c>
      <c r="AE41" s="3">
        <v>8980</v>
      </c>
      <c r="AF41" s="3">
        <f>AE41-Y41</f>
        <v>-120</v>
      </c>
      <c r="AI41" s="3">
        <f>AE41*1.025-5</f>
        <v>9199.5</v>
      </c>
      <c r="AK41" s="3">
        <f>AI41*1.025</f>
        <v>9429.4874999999993</v>
      </c>
      <c r="AM41" s="3">
        <f>AK41*1.025</f>
        <v>9665.2246874999983</v>
      </c>
      <c r="AO41" s="3">
        <f>AM41*1.025</f>
        <v>9906.8553046874968</v>
      </c>
      <c r="AQ41" s="3">
        <f>AO41*1.025</f>
        <v>10154.526687304684</v>
      </c>
      <c r="AS41" s="3">
        <f>AQ41*1.025</f>
        <v>10408.389854487301</v>
      </c>
      <c r="AU41" s="3">
        <f>AS41*1.025</f>
        <v>10668.599600849482</v>
      </c>
      <c r="AW41" s="3">
        <f>AU41*1.025</f>
        <v>10935.314590870717</v>
      </c>
      <c r="AY41" s="3">
        <f>AW41*1.025</f>
        <v>11208.697455642485</v>
      </c>
      <c r="BA41" s="3">
        <f>AY41*1.025</f>
        <v>11488.914892033546</v>
      </c>
      <c r="BC41" s="3">
        <f>BA41*1.025</f>
        <v>11776.137764334384</v>
      </c>
      <c r="BE41" s="3">
        <f>BC41*1.025</f>
        <v>12070.541208442743</v>
      </c>
    </row>
    <row r="42" spans="1:57" hidden="1" outlineLevel="1" x14ac:dyDescent="0.25">
      <c r="A42" s="3" t="s">
        <v>936</v>
      </c>
      <c r="B42" s="3">
        <v>26500</v>
      </c>
      <c r="E42" s="3">
        <f>F42-D42</f>
        <v>26500</v>
      </c>
      <c r="F42" s="3">
        <v>26500</v>
      </c>
      <c r="H42" s="3">
        <f>F42-B42</f>
        <v>0</v>
      </c>
      <c r="J42" s="3">
        <v>156</v>
      </c>
      <c r="K42" s="4">
        <f>L42-J42</f>
        <v>26344</v>
      </c>
      <c r="L42" s="4">
        <v>26500</v>
      </c>
      <c r="N42" s="4">
        <f>L42-F42</f>
        <v>0</v>
      </c>
      <c r="P42" s="3">
        <v>27000</v>
      </c>
      <c r="R42" s="3">
        <v>83</v>
      </c>
      <c r="S42" s="3">
        <f>T42-R42</f>
        <v>26917</v>
      </c>
      <c r="T42" s="3">
        <v>27000</v>
      </c>
      <c r="U42" s="3">
        <f>T42-P42</f>
        <v>0</v>
      </c>
      <c r="V42" s="3">
        <v>142</v>
      </c>
      <c r="W42" s="3">
        <f>Y42-V42</f>
        <v>19858</v>
      </c>
      <c r="Y42" s="3">
        <v>20000</v>
      </c>
      <c r="Z42" s="3">
        <f>Y42-T42</f>
        <v>-7000</v>
      </c>
      <c r="AC42" s="3">
        <v>258</v>
      </c>
      <c r="AD42" s="3">
        <f>AE42-AC42</f>
        <v>19742</v>
      </c>
      <c r="AE42" s="3">
        <v>20000</v>
      </c>
      <c r="AF42" s="3">
        <f>AE42-Y42</f>
        <v>0</v>
      </c>
      <c r="AI42" s="3">
        <f>AE42*1.025</f>
        <v>20500</v>
      </c>
      <c r="AK42" s="3">
        <v>21000</v>
      </c>
      <c r="AM42" s="3">
        <f>AK42+500</f>
        <v>21500</v>
      </c>
      <c r="AO42" s="3">
        <f>AM42</f>
        <v>21500</v>
      </c>
      <c r="AQ42" s="3">
        <f>AO42</f>
        <v>21500</v>
      </c>
      <c r="AS42" s="3">
        <f>AQ42</f>
        <v>21500</v>
      </c>
      <c r="AU42" s="3">
        <f>AS42</f>
        <v>21500</v>
      </c>
      <c r="AW42" s="3">
        <f>AU42</f>
        <v>21500</v>
      </c>
      <c r="AY42" s="3">
        <f>AW42</f>
        <v>21500</v>
      </c>
      <c r="BA42" s="3">
        <f>AY42</f>
        <v>21500</v>
      </c>
      <c r="BC42" s="3">
        <f>BA42</f>
        <v>21500</v>
      </c>
      <c r="BE42" s="3">
        <f>BC42</f>
        <v>21500</v>
      </c>
    </row>
    <row r="43" spans="1:57" hidden="1" outlineLevel="1" x14ac:dyDescent="0.25">
      <c r="A43" s="3" t="s">
        <v>937</v>
      </c>
      <c r="B43" s="3">
        <v>200</v>
      </c>
      <c r="D43" s="3">
        <v>70</v>
      </c>
      <c r="E43" s="3">
        <f>F43-D43</f>
        <v>130</v>
      </c>
      <c r="F43" s="3">
        <v>200</v>
      </c>
      <c r="H43" s="3">
        <f>F43-B43</f>
        <v>0</v>
      </c>
      <c r="K43" s="4">
        <f>L43-J43</f>
        <v>200</v>
      </c>
      <c r="L43" s="4">
        <v>200</v>
      </c>
      <c r="N43" s="4">
        <f>L43-F43</f>
        <v>0</v>
      </c>
      <c r="P43" s="3">
        <v>200</v>
      </c>
      <c r="S43" s="3">
        <f>T43-R43</f>
        <v>200</v>
      </c>
      <c r="T43" s="3">
        <v>200</v>
      </c>
      <c r="U43" s="3">
        <f>T43-P43</f>
        <v>0</v>
      </c>
      <c r="W43" s="3">
        <f>Y43-V43</f>
        <v>200</v>
      </c>
      <c r="Y43" s="3">
        <v>200</v>
      </c>
      <c r="Z43" s="3">
        <f>Y43-T43</f>
        <v>0</v>
      </c>
      <c r="AD43" s="3">
        <f>AE43-AC43</f>
        <v>0</v>
      </c>
      <c r="AF43" s="3">
        <f>AE43-Y43</f>
        <v>-200</v>
      </c>
      <c r="AI43" s="3">
        <v>200</v>
      </c>
      <c r="AK43" s="3">
        <v>200</v>
      </c>
      <c r="AM43" s="3">
        <v>200</v>
      </c>
      <c r="AO43" s="3">
        <v>200</v>
      </c>
      <c r="AQ43" s="3">
        <v>200</v>
      </c>
      <c r="AS43" s="3">
        <v>200</v>
      </c>
      <c r="AU43" s="3">
        <v>200</v>
      </c>
      <c r="AW43" s="3">
        <v>200</v>
      </c>
      <c r="AY43" s="3">
        <v>200</v>
      </c>
      <c r="BA43" s="3">
        <v>200</v>
      </c>
      <c r="BC43" s="3">
        <v>200</v>
      </c>
      <c r="BE43" s="3">
        <v>200</v>
      </c>
    </row>
    <row r="44" spans="1:57" collapsed="1" x14ac:dyDescent="0.25">
      <c r="A44" s="7" t="s">
        <v>934</v>
      </c>
      <c r="B44" s="62">
        <f>SUM(B39:B43)+1</f>
        <v>270701</v>
      </c>
      <c r="C44" s="32"/>
      <c r="D44" s="62">
        <f>SUM(D39:D43)+1</f>
        <v>237795</v>
      </c>
      <c r="E44" s="62">
        <f>SUM(E39:E43)+1</f>
        <v>34507</v>
      </c>
      <c r="F44" s="62">
        <f>SUM(F39:F43)</f>
        <v>272300</v>
      </c>
      <c r="G44" s="32"/>
      <c r="H44" s="62">
        <f>SUM(H39:H43)</f>
        <v>1600</v>
      </c>
      <c r="I44" s="32"/>
      <c r="J44" s="62">
        <f>SUM(J39:J43)</f>
        <v>240736</v>
      </c>
      <c r="K44" s="62">
        <f>SUM(K39:K43)</f>
        <v>31564</v>
      </c>
      <c r="L44" s="62">
        <f>SUM(L39:L43)</f>
        <v>272300</v>
      </c>
      <c r="M44" s="32"/>
      <c r="N44" s="62">
        <f>SUM(N39:N43)</f>
        <v>0</v>
      </c>
      <c r="P44" s="62">
        <f>SUM(P39:P43)</f>
        <v>281325</v>
      </c>
      <c r="R44" s="62">
        <f t="shared" ref="R44:Z44" si="15">SUM(R39:R43)</f>
        <v>243282</v>
      </c>
      <c r="S44" s="62">
        <f t="shared" si="15"/>
        <v>37743</v>
      </c>
      <c r="T44" s="62">
        <f t="shared" si="15"/>
        <v>281025</v>
      </c>
      <c r="U44" s="62">
        <f t="shared" si="15"/>
        <v>-300</v>
      </c>
      <c r="V44" s="62">
        <f t="shared" si="15"/>
        <v>243404</v>
      </c>
      <c r="W44" s="62">
        <f t="shared" si="15"/>
        <v>30621</v>
      </c>
      <c r="X44" s="62"/>
      <c r="Y44" s="62">
        <f t="shared" si="15"/>
        <v>274025</v>
      </c>
      <c r="Z44" s="62">
        <f t="shared" si="15"/>
        <v>-7000</v>
      </c>
      <c r="AC44" s="62">
        <f>SUM(AC39:AC43)</f>
        <v>252232</v>
      </c>
      <c r="AD44" s="62">
        <f>SUM(AD39:AD43)</f>
        <v>21473</v>
      </c>
      <c r="AE44" s="62">
        <f>SUM(AE39:AE43)</f>
        <v>273705</v>
      </c>
      <c r="AF44" s="62">
        <f>SUM(AF39:AF43)</f>
        <v>-320</v>
      </c>
      <c r="AG44" s="32"/>
      <c r="AI44" s="62">
        <f>SUM(AI39:AI43)</f>
        <v>282149.15000000002</v>
      </c>
      <c r="AK44" s="62">
        <f>SUM(AK39:AK43)</f>
        <v>288251.87944999995</v>
      </c>
      <c r="AM44" s="62">
        <f>SUM(AM39:AM43)</f>
        <v>296826.85557184991</v>
      </c>
      <c r="AO44" s="62">
        <f>SUM(AO39:AO43)</f>
        <v>305163.12000822101</v>
      </c>
      <c r="AP44" s="62"/>
      <c r="AQ44" s="62">
        <f>SUM(AQ39:AQ43)</f>
        <v>313769.24812605471</v>
      </c>
      <c r="AS44" s="62">
        <f>SUM(AS39:AS43)</f>
        <v>322654.09710071608</v>
      </c>
      <c r="AU44" s="62">
        <f>SUM(AU39:AU43)</f>
        <v>331826.81518620381</v>
      </c>
      <c r="AW44" s="62">
        <f>SUM(AW39:AW43)</f>
        <v>341296.85129054164</v>
      </c>
      <c r="AY44" s="62">
        <f>SUM(AY39:AY43)</f>
        <v>351073.96486640256</v>
      </c>
      <c r="BA44" s="62">
        <f>SUM(BA39:BA43)</f>
        <v>361168.23612734867</v>
      </c>
      <c r="BC44" s="62">
        <f>SUM(BC39:BC43)</f>
        <v>371590.07660041488</v>
      </c>
      <c r="BE44" s="62">
        <f>SUM(BE39:BE43)</f>
        <v>382350.24002611387</v>
      </c>
    </row>
    <row r="45" spans="1:57" x14ac:dyDescent="0.25">
      <c r="A45" s="3"/>
      <c r="BC45" s="3"/>
      <c r="BE45" s="3"/>
    </row>
    <row r="46" spans="1:57" x14ac:dyDescent="0.25">
      <c r="A46" s="7" t="s">
        <v>938</v>
      </c>
      <c r="BC46" s="3"/>
      <c r="BE46" s="3"/>
    </row>
    <row r="47" spans="1:57" hidden="1" outlineLevel="1" x14ac:dyDescent="0.25">
      <c r="A47" s="7" t="s">
        <v>939</v>
      </c>
      <c r="W47" s="3">
        <f t="shared" ref="W47:W54" si="16">Y47-V47</f>
        <v>0</v>
      </c>
      <c r="AD47" s="3">
        <f t="shared" ref="AD47:AD54" si="17">AE47-AC47</f>
        <v>0</v>
      </c>
      <c r="AF47" s="3">
        <f t="shared" ref="AF47:AF54" si="18">AE47-Y47</f>
        <v>0</v>
      </c>
      <c r="BC47" s="3"/>
      <c r="BE47" s="3"/>
    </row>
    <row r="48" spans="1:57" hidden="1" outlineLevel="1" x14ac:dyDescent="0.25">
      <c r="A48" s="3" t="s">
        <v>940</v>
      </c>
      <c r="B48" s="3">
        <v>12500</v>
      </c>
      <c r="E48" s="3">
        <f t="shared" ref="E48:E54" si="19">F48-D48</f>
        <v>12500</v>
      </c>
      <c r="F48" s="3">
        <v>12500</v>
      </c>
      <c r="H48" s="3">
        <f t="shared" ref="H48:H54" si="20">F48-B48</f>
        <v>0</v>
      </c>
      <c r="K48" s="4">
        <f t="shared" ref="K48:K54" si="21">L48-J48</f>
        <v>12500</v>
      </c>
      <c r="L48" s="4">
        <v>12500</v>
      </c>
      <c r="N48" s="4">
        <f t="shared" ref="N48:N54" si="22">L48-F48</f>
        <v>0</v>
      </c>
      <c r="P48" s="3">
        <v>12500</v>
      </c>
      <c r="S48" s="3">
        <f t="shared" ref="S48:S54" si="23">T48-R48</f>
        <v>12500</v>
      </c>
      <c r="T48" s="3">
        <v>12500</v>
      </c>
      <c r="U48" s="3">
        <f t="shared" ref="U48:U54" si="24">T48-P48</f>
        <v>0</v>
      </c>
      <c r="V48" s="3">
        <v>6590</v>
      </c>
      <c r="W48" s="3">
        <f t="shared" si="16"/>
        <v>5910</v>
      </c>
      <c r="Y48" s="3">
        <v>12500</v>
      </c>
      <c r="Z48" s="3">
        <f t="shared" ref="Z48:Z54" si="25">Y48-T48</f>
        <v>0</v>
      </c>
      <c r="AC48" s="3">
        <f>6591+18932</f>
        <v>25523</v>
      </c>
      <c r="AD48" s="3">
        <f t="shared" si="17"/>
        <v>3077</v>
      </c>
      <c r="AE48" s="3">
        <v>28600</v>
      </c>
      <c r="AF48" s="3">
        <f t="shared" si="18"/>
        <v>16100</v>
      </c>
      <c r="AI48" s="3">
        <v>12500</v>
      </c>
      <c r="AK48" s="3">
        <v>13750</v>
      </c>
      <c r="AM48" s="3">
        <v>15000</v>
      </c>
      <c r="AO48" s="3">
        <v>16250</v>
      </c>
      <c r="AQ48" s="3">
        <v>17500</v>
      </c>
      <c r="AS48" s="3">
        <v>17500</v>
      </c>
      <c r="AU48" s="3">
        <v>17500</v>
      </c>
      <c r="AW48" s="3">
        <v>17500</v>
      </c>
      <c r="AY48" s="3">
        <v>17500</v>
      </c>
      <c r="BA48" s="3">
        <v>17500</v>
      </c>
      <c r="BC48" s="3">
        <v>17500</v>
      </c>
      <c r="BE48" s="3">
        <v>17500</v>
      </c>
    </row>
    <row r="49" spans="1:57" hidden="1" outlineLevel="1" x14ac:dyDescent="0.25">
      <c r="A49" s="3" t="s">
        <v>941</v>
      </c>
      <c r="E49" s="3">
        <f t="shared" si="19"/>
        <v>0</v>
      </c>
      <c r="H49" s="3">
        <f t="shared" si="20"/>
        <v>0</v>
      </c>
      <c r="K49" s="4">
        <f t="shared" si="21"/>
        <v>0</v>
      </c>
      <c r="L49" s="4"/>
      <c r="N49" s="4">
        <f t="shared" si="22"/>
        <v>0</v>
      </c>
      <c r="S49" s="3">
        <f t="shared" si="23"/>
        <v>0</v>
      </c>
      <c r="U49" s="3">
        <f t="shared" si="24"/>
        <v>0</v>
      </c>
      <c r="W49" s="3">
        <f t="shared" si="16"/>
        <v>0</v>
      </c>
      <c r="Z49" s="3">
        <f t="shared" si="25"/>
        <v>0</v>
      </c>
      <c r="AD49" s="3">
        <f t="shared" si="17"/>
        <v>0</v>
      </c>
      <c r="AF49" s="3">
        <f t="shared" si="18"/>
        <v>0</v>
      </c>
      <c r="BC49" s="3"/>
      <c r="BE49" s="3"/>
    </row>
    <row r="50" spans="1:57" hidden="1" outlineLevel="1" x14ac:dyDescent="0.25">
      <c r="A50" s="7" t="s">
        <v>57</v>
      </c>
      <c r="E50" s="3">
        <f t="shared" si="19"/>
        <v>0</v>
      </c>
      <c r="H50" s="3">
        <f t="shared" si="20"/>
        <v>0</v>
      </c>
      <c r="K50" s="4">
        <f t="shared" si="21"/>
        <v>0</v>
      </c>
      <c r="L50" s="4"/>
      <c r="N50" s="4">
        <f t="shared" si="22"/>
        <v>0</v>
      </c>
      <c r="S50" s="3">
        <f t="shared" si="23"/>
        <v>0</v>
      </c>
      <c r="U50" s="3">
        <f t="shared" si="24"/>
        <v>0</v>
      </c>
      <c r="W50" s="3">
        <f t="shared" si="16"/>
        <v>0</v>
      </c>
      <c r="Z50" s="3">
        <f t="shared" si="25"/>
        <v>0</v>
      </c>
      <c r="AD50" s="3">
        <f t="shared" si="17"/>
        <v>0</v>
      </c>
      <c r="AF50" s="3">
        <f t="shared" si="18"/>
        <v>0</v>
      </c>
      <c r="BC50" s="3"/>
      <c r="BE50" s="3"/>
    </row>
    <row r="51" spans="1:57" hidden="1" outlineLevel="1" x14ac:dyDescent="0.25">
      <c r="A51" s="7" t="s">
        <v>942</v>
      </c>
      <c r="E51" s="3">
        <f t="shared" si="19"/>
        <v>0</v>
      </c>
      <c r="H51" s="3">
        <f t="shared" si="20"/>
        <v>0</v>
      </c>
      <c r="K51" s="4">
        <f t="shared" si="21"/>
        <v>0</v>
      </c>
      <c r="L51" s="4"/>
      <c r="N51" s="4">
        <f t="shared" si="22"/>
        <v>0</v>
      </c>
      <c r="S51" s="3">
        <f t="shared" si="23"/>
        <v>0</v>
      </c>
      <c r="U51" s="3">
        <f t="shared" si="24"/>
        <v>0</v>
      </c>
      <c r="W51" s="3">
        <f t="shared" si="16"/>
        <v>0</v>
      </c>
      <c r="Z51" s="3">
        <f t="shared" si="25"/>
        <v>0</v>
      </c>
      <c r="AD51" s="3">
        <f t="shared" si="17"/>
        <v>0</v>
      </c>
      <c r="AF51" s="3">
        <f t="shared" si="18"/>
        <v>0</v>
      </c>
      <c r="BC51" s="3"/>
      <c r="BE51" s="3"/>
    </row>
    <row r="52" spans="1:57" hidden="1" outlineLevel="1" x14ac:dyDescent="0.25">
      <c r="A52" s="3" t="s">
        <v>943</v>
      </c>
      <c r="E52" s="3">
        <f t="shared" si="19"/>
        <v>0</v>
      </c>
      <c r="H52" s="3">
        <f t="shared" si="20"/>
        <v>0</v>
      </c>
      <c r="K52" s="4">
        <f t="shared" si="21"/>
        <v>0</v>
      </c>
      <c r="L52" s="4"/>
      <c r="N52" s="4">
        <f t="shared" si="22"/>
        <v>0</v>
      </c>
      <c r="S52" s="3">
        <f t="shared" si="23"/>
        <v>0</v>
      </c>
      <c r="U52" s="3">
        <f t="shared" si="24"/>
        <v>0</v>
      </c>
      <c r="W52" s="3">
        <f t="shared" si="16"/>
        <v>0</v>
      </c>
      <c r="Z52" s="3">
        <f t="shared" si="25"/>
        <v>0</v>
      </c>
      <c r="AD52" s="3">
        <f t="shared" si="17"/>
        <v>0</v>
      </c>
      <c r="AF52" s="3">
        <f t="shared" si="18"/>
        <v>0</v>
      </c>
      <c r="BC52" s="3"/>
      <c r="BE52" s="3"/>
    </row>
    <row r="53" spans="1:57" hidden="1" outlineLevel="1" x14ac:dyDescent="0.25">
      <c r="A53" s="3" t="s">
        <v>944</v>
      </c>
      <c r="B53" s="3">
        <v>18500</v>
      </c>
      <c r="E53" s="3">
        <f t="shared" si="19"/>
        <v>18500</v>
      </c>
      <c r="F53" s="3">
        <v>18500</v>
      </c>
      <c r="H53" s="3">
        <f t="shared" si="20"/>
        <v>0</v>
      </c>
      <c r="K53" s="4">
        <f t="shared" si="21"/>
        <v>19000</v>
      </c>
      <c r="L53" s="4">
        <v>19000</v>
      </c>
      <c r="N53" s="4">
        <f t="shared" si="22"/>
        <v>500</v>
      </c>
      <c r="P53" s="3">
        <v>18500</v>
      </c>
      <c r="S53" s="3">
        <f t="shared" si="23"/>
        <v>19000</v>
      </c>
      <c r="T53" s="3">
        <v>19000</v>
      </c>
      <c r="U53" s="3">
        <f t="shared" si="24"/>
        <v>500</v>
      </c>
      <c r="V53" s="3">
        <v>0</v>
      </c>
      <c r="W53" s="3">
        <f t="shared" si="16"/>
        <v>19000</v>
      </c>
      <c r="Y53" s="3">
        <v>19000</v>
      </c>
      <c r="Z53" s="3">
        <f t="shared" si="25"/>
        <v>0</v>
      </c>
      <c r="AC53" s="3">
        <v>20000</v>
      </c>
      <c r="AD53" s="3">
        <f t="shared" si="17"/>
        <v>0</v>
      </c>
      <c r="AE53" s="3">
        <v>20000</v>
      </c>
      <c r="AF53" s="3">
        <f t="shared" si="18"/>
        <v>1000</v>
      </c>
      <c r="AI53" s="3">
        <v>20000</v>
      </c>
      <c r="AK53" s="3">
        <v>20000</v>
      </c>
      <c r="AM53" s="3">
        <v>20000</v>
      </c>
      <c r="AO53" s="3">
        <v>21000</v>
      </c>
      <c r="AQ53" s="3">
        <v>21000</v>
      </c>
      <c r="AS53" s="3">
        <v>21000</v>
      </c>
      <c r="AU53" s="3">
        <v>21000</v>
      </c>
      <c r="AW53" s="3">
        <v>21000</v>
      </c>
      <c r="AY53" s="3">
        <v>21000</v>
      </c>
      <c r="BA53" s="3">
        <v>21000</v>
      </c>
      <c r="BC53" s="3">
        <v>21000</v>
      </c>
      <c r="BE53" s="3">
        <v>21000</v>
      </c>
    </row>
    <row r="54" spans="1:57" hidden="1" outlineLevel="1" x14ac:dyDescent="0.25">
      <c r="A54" s="3" t="s">
        <v>945</v>
      </c>
      <c r="B54" s="3">
        <v>6200</v>
      </c>
      <c r="E54" s="3">
        <f t="shared" si="19"/>
        <v>6200</v>
      </c>
      <c r="F54" s="3">
        <v>6200</v>
      </c>
      <c r="H54" s="3">
        <f t="shared" si="20"/>
        <v>0</v>
      </c>
      <c r="K54" s="4">
        <f t="shared" si="21"/>
        <v>6200</v>
      </c>
      <c r="L54" s="4">
        <v>6200</v>
      </c>
      <c r="N54" s="4">
        <f t="shared" si="22"/>
        <v>0</v>
      </c>
      <c r="P54" s="3">
        <f>B54+200+50</f>
        <v>6450</v>
      </c>
      <c r="S54" s="3">
        <f t="shared" si="23"/>
        <v>6450</v>
      </c>
      <c r="T54" s="3">
        <v>6450</v>
      </c>
      <c r="U54" s="3">
        <f t="shared" si="24"/>
        <v>0</v>
      </c>
      <c r="V54" s="3">
        <v>0</v>
      </c>
      <c r="W54" s="3">
        <f t="shared" si="16"/>
        <v>6450</v>
      </c>
      <c r="Y54" s="3">
        <v>6450</v>
      </c>
      <c r="Z54" s="3">
        <f t="shared" si="25"/>
        <v>0</v>
      </c>
      <c r="AD54" s="3">
        <f t="shared" si="17"/>
        <v>6450</v>
      </c>
      <c r="AE54" s="3">
        <v>6450</v>
      </c>
      <c r="AF54" s="3">
        <f t="shared" si="18"/>
        <v>0</v>
      </c>
      <c r="AI54" s="3">
        <f>P54+200</f>
        <v>6650</v>
      </c>
      <c r="AK54" s="3">
        <f>AI54+200</f>
        <v>6850</v>
      </c>
      <c r="AM54" s="3">
        <f>AK54+200</f>
        <v>7050</v>
      </c>
      <c r="AO54" s="3">
        <f>AM54+200</f>
        <v>7250</v>
      </c>
      <c r="AQ54" s="3">
        <f>AO54+200</f>
        <v>7450</v>
      </c>
      <c r="AS54" s="3">
        <f>AQ54+200</f>
        <v>7650</v>
      </c>
      <c r="AU54" s="3">
        <f>AS54+200</f>
        <v>7850</v>
      </c>
      <c r="AW54" s="3">
        <f>AU54+200</f>
        <v>8050</v>
      </c>
      <c r="AY54" s="3">
        <f>AW54+200</f>
        <v>8250</v>
      </c>
      <c r="BA54" s="3">
        <f>AY54+200</f>
        <v>8450</v>
      </c>
      <c r="BC54" s="3">
        <f>BA54+200</f>
        <v>8650</v>
      </c>
      <c r="BE54" s="3">
        <f>BC54+200</f>
        <v>8850</v>
      </c>
    </row>
    <row r="55" spans="1:57" collapsed="1" x14ac:dyDescent="0.25">
      <c r="A55" s="7" t="s">
        <v>1254</v>
      </c>
      <c r="B55" s="62">
        <f>SUM(B48:B54)</f>
        <v>37200</v>
      </c>
      <c r="C55" s="32"/>
      <c r="D55" s="62">
        <f>SUM(D48:D54)</f>
        <v>0</v>
      </c>
      <c r="E55" s="62">
        <f>SUM(E48:E54)</f>
        <v>37200</v>
      </c>
      <c r="F55" s="62">
        <f>SUM(F48:F54)</f>
        <v>37200</v>
      </c>
      <c r="G55" s="32"/>
      <c r="H55" s="62">
        <f>SUM(H48:H54)</f>
        <v>0</v>
      </c>
      <c r="I55" s="32"/>
      <c r="J55" s="62">
        <f>SUM(J48:J54)</f>
        <v>0</v>
      </c>
      <c r="K55" s="62">
        <f>SUM(K48:K54)</f>
        <v>37700</v>
      </c>
      <c r="L55" s="62">
        <f>SUM(L48:L54)</f>
        <v>37700</v>
      </c>
      <c r="M55" s="32"/>
      <c r="N55" s="62">
        <f>SUM(N48:N54)</f>
        <v>500</v>
      </c>
      <c r="P55" s="62">
        <f>SUM(P48:P54)</f>
        <v>37450</v>
      </c>
      <c r="R55" s="62">
        <f t="shared" ref="R55:W55" si="26">SUM(R48:R54)</f>
        <v>0</v>
      </c>
      <c r="S55" s="62">
        <f t="shared" si="26"/>
        <v>37950</v>
      </c>
      <c r="T55" s="62">
        <f t="shared" si="26"/>
        <v>37950</v>
      </c>
      <c r="U55" s="62">
        <f t="shared" si="26"/>
        <v>500</v>
      </c>
      <c r="V55" s="62">
        <f t="shared" si="26"/>
        <v>6590</v>
      </c>
      <c r="W55" s="62">
        <f t="shared" si="26"/>
        <v>31360</v>
      </c>
      <c r="X55" s="62"/>
      <c r="Y55" s="62">
        <f>SUM(Y48:Y54)</f>
        <v>37950</v>
      </c>
      <c r="Z55" s="62">
        <f>SUM(Z48:Z54)</f>
        <v>0</v>
      </c>
      <c r="AC55" s="62">
        <f>SUM(AC48:AC54)</f>
        <v>45523</v>
      </c>
      <c r="AD55" s="62">
        <f>SUM(AD48:AD54)</f>
        <v>9527</v>
      </c>
      <c r="AE55" s="62">
        <f>SUM(AE48:AE54)</f>
        <v>55050</v>
      </c>
      <c r="AF55" s="62">
        <f>SUM(AF48:AF54)</f>
        <v>17100</v>
      </c>
      <c r="AG55" s="32"/>
      <c r="AI55" s="62">
        <f>SUM(AI48:AI54)</f>
        <v>39150</v>
      </c>
      <c r="AK55" s="62">
        <f>SUM(AK48:AK54)</f>
        <v>40600</v>
      </c>
      <c r="AM55" s="62">
        <f>SUM(AM48:AM54)</f>
        <v>42050</v>
      </c>
      <c r="AO55" s="62">
        <f>SUM(AO48:AO54)</f>
        <v>44500</v>
      </c>
      <c r="AP55" s="62"/>
      <c r="AQ55" s="62">
        <f>SUM(AQ48:AQ54)</f>
        <v>45950</v>
      </c>
      <c r="AS55" s="62">
        <f>SUM(AS48:AS54)</f>
        <v>46150</v>
      </c>
      <c r="AU55" s="62">
        <f>SUM(AU48:AU54)</f>
        <v>46350</v>
      </c>
      <c r="AW55" s="62">
        <f>SUM(AW48:AW54)</f>
        <v>46550</v>
      </c>
      <c r="AY55" s="62">
        <f>SUM(AY48:AY54)</f>
        <v>46750</v>
      </c>
      <c r="BA55" s="62">
        <f>SUM(BA48:BA54)</f>
        <v>46950</v>
      </c>
      <c r="BC55" s="62">
        <f>SUM(BC48:BC54)</f>
        <v>47150</v>
      </c>
      <c r="BE55" s="62">
        <f>SUM(BE48:BE54)</f>
        <v>47350</v>
      </c>
    </row>
    <row r="56" spans="1:57" ht="15.75" thickBot="1" x14ac:dyDescent="0.3">
      <c r="A56" s="7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P56" s="32"/>
      <c r="R56" s="32"/>
      <c r="S56" s="32"/>
      <c r="T56" s="32"/>
      <c r="U56" s="32"/>
      <c r="V56" s="32"/>
      <c r="W56" s="32"/>
      <c r="X56" s="32"/>
      <c r="Y56" s="32"/>
      <c r="Z56" s="32"/>
      <c r="AC56" s="32"/>
      <c r="AD56" s="32"/>
      <c r="AE56" s="32"/>
      <c r="AF56" s="32"/>
      <c r="AG56" s="32"/>
      <c r="AI56" s="32"/>
      <c r="AK56" s="32"/>
      <c r="AM56" s="32"/>
      <c r="AO56" s="32"/>
      <c r="AP56" s="32"/>
      <c r="AQ56" s="32"/>
      <c r="AS56" s="32"/>
      <c r="AU56" s="32"/>
      <c r="AW56" s="32"/>
      <c r="AY56" s="32"/>
      <c r="BA56" s="32"/>
      <c r="BC56" s="32"/>
      <c r="BE56" s="32"/>
    </row>
    <row r="57" spans="1:57" ht="16.5" thickTop="1" thickBot="1" x14ac:dyDescent="0.3">
      <c r="A57" s="7" t="s">
        <v>1231</v>
      </c>
      <c r="B57" s="83">
        <f>B55+B44</f>
        <v>307901</v>
      </c>
      <c r="C57" s="32"/>
      <c r="D57" s="83">
        <f>D55+D44</f>
        <v>237795</v>
      </c>
      <c r="E57" s="83">
        <f>E55+E44</f>
        <v>71707</v>
      </c>
      <c r="F57" s="83">
        <f>F55+F44</f>
        <v>309500</v>
      </c>
      <c r="G57" s="32"/>
      <c r="H57" s="83">
        <f>H55+H44</f>
        <v>1600</v>
      </c>
      <c r="I57" s="32"/>
      <c r="J57" s="83">
        <f>J55+J44</f>
        <v>240736</v>
      </c>
      <c r="K57" s="83">
        <f>K55+K44</f>
        <v>69264</v>
      </c>
      <c r="L57" s="83">
        <f>L55+L44</f>
        <v>310000</v>
      </c>
      <c r="M57" s="32"/>
      <c r="N57" s="83">
        <f>N55+N44</f>
        <v>500</v>
      </c>
      <c r="P57" s="83">
        <f>P55+P44</f>
        <v>318775</v>
      </c>
      <c r="R57" s="83">
        <f t="shared" ref="R57:W57" si="27">R55+R44</f>
        <v>243282</v>
      </c>
      <c r="S57" s="83">
        <f t="shared" si="27"/>
        <v>75693</v>
      </c>
      <c r="T57" s="83">
        <f t="shared" si="27"/>
        <v>318975</v>
      </c>
      <c r="U57" s="83">
        <f t="shared" si="27"/>
        <v>200</v>
      </c>
      <c r="V57" s="83">
        <f t="shared" si="27"/>
        <v>249994</v>
      </c>
      <c r="W57" s="83">
        <f t="shared" si="27"/>
        <v>61981</v>
      </c>
      <c r="X57" s="83"/>
      <c r="Y57" s="83">
        <f>Y55+Y44</f>
        <v>311975</v>
      </c>
      <c r="Z57" s="83">
        <f>Z55+Z44</f>
        <v>-7000</v>
      </c>
      <c r="AC57" s="83">
        <f>AC55+AC44</f>
        <v>297755</v>
      </c>
      <c r="AD57" s="83">
        <f>AD55+AD44</f>
        <v>31000</v>
      </c>
      <c r="AE57" s="83">
        <f>AE55+AE44</f>
        <v>328755</v>
      </c>
      <c r="AF57" s="83">
        <f>AF55+AF44</f>
        <v>16780</v>
      </c>
      <c r="AG57" s="32"/>
      <c r="AI57" s="83">
        <f>AI55+AI44</f>
        <v>321299.15000000002</v>
      </c>
      <c r="AK57" s="83">
        <f>AK55+AK44</f>
        <v>328851.87944999995</v>
      </c>
      <c r="AM57" s="83">
        <f>AM55+AM44</f>
        <v>338876.85557184991</v>
      </c>
      <c r="AO57" s="83">
        <f>AO55+AO44</f>
        <v>349663.12000822101</v>
      </c>
      <c r="AP57" s="83"/>
      <c r="AQ57" s="83">
        <f>AQ55+AQ44</f>
        <v>359719.24812605471</v>
      </c>
      <c r="AS57" s="83">
        <f>AS55+AS44</f>
        <v>368804.09710071608</v>
      </c>
      <c r="AU57" s="83">
        <f>AU55+AU44</f>
        <v>378176.81518620381</v>
      </c>
      <c r="AW57" s="83">
        <f>AW55+AW44</f>
        <v>387846.85129054164</v>
      </c>
      <c r="AY57" s="83">
        <f>AY55+AY44</f>
        <v>397823.96486640256</v>
      </c>
      <c r="BA57" s="83">
        <f>BA55+BA44</f>
        <v>408118.23612734867</v>
      </c>
      <c r="BC57" s="83">
        <f>BC55+BC44</f>
        <v>418740.07660041488</v>
      </c>
      <c r="BE57" s="83">
        <f>BE55+BE44</f>
        <v>429700.24002611387</v>
      </c>
    </row>
    <row r="58" spans="1:57" ht="15.75" thickTop="1" x14ac:dyDescent="0.25">
      <c r="A58" s="3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P58" s="32"/>
      <c r="R58" s="32"/>
      <c r="S58" s="32"/>
      <c r="T58" s="32"/>
      <c r="U58" s="32"/>
      <c r="V58" s="32"/>
      <c r="W58" s="32"/>
      <c r="X58" s="32"/>
      <c r="Y58" s="32"/>
      <c r="Z58" s="32"/>
      <c r="AC58" s="32"/>
      <c r="AD58" s="32"/>
      <c r="AE58" s="32"/>
      <c r="AF58" s="32"/>
      <c r="AG58" s="32"/>
      <c r="AI58" s="32"/>
      <c r="AK58" s="32"/>
      <c r="AM58" s="32"/>
      <c r="AO58" s="32"/>
      <c r="AP58" s="32"/>
      <c r="AQ58" s="32"/>
      <c r="AS58" s="32"/>
      <c r="AU58" s="32"/>
      <c r="AW58" s="32"/>
      <c r="AY58" s="32"/>
      <c r="BA58" s="32"/>
      <c r="BC58" s="32"/>
      <c r="BE58" s="32"/>
    </row>
    <row r="59" spans="1:57" x14ac:dyDescent="0.25">
      <c r="A59" s="7" t="s">
        <v>845</v>
      </c>
      <c r="BC59" s="3"/>
      <c r="BE59" s="3"/>
    </row>
    <row r="60" spans="1:57" hidden="1" outlineLevel="1" x14ac:dyDescent="0.25">
      <c r="A60" s="3" t="s">
        <v>822</v>
      </c>
      <c r="BC60" s="3"/>
      <c r="BE60" s="3"/>
    </row>
    <row r="61" spans="1:57" hidden="1" outlineLevel="1" x14ac:dyDescent="0.25">
      <c r="A61" s="3" t="s">
        <v>946</v>
      </c>
      <c r="BC61" s="3"/>
      <c r="BE61" s="3"/>
    </row>
    <row r="62" spans="1:57" hidden="1" outlineLevel="1" x14ac:dyDescent="0.25">
      <c r="A62" s="3" t="s">
        <v>289</v>
      </c>
      <c r="B62" s="3">
        <v>750</v>
      </c>
      <c r="E62" s="3">
        <f>F62-D62</f>
        <v>750</v>
      </c>
      <c r="F62" s="3">
        <v>750</v>
      </c>
      <c r="H62" s="3">
        <f>F62-B62</f>
        <v>0</v>
      </c>
      <c r="K62" s="4">
        <f>L62-J62</f>
        <v>750</v>
      </c>
      <c r="L62" s="4">
        <v>750</v>
      </c>
      <c r="N62" s="4">
        <f>L62-F62</f>
        <v>0</v>
      </c>
      <c r="P62" s="3">
        <v>750</v>
      </c>
      <c r="S62" s="3">
        <f>T62-R62</f>
        <v>750</v>
      </c>
      <c r="T62" s="3">
        <v>750</v>
      </c>
      <c r="U62" s="3">
        <f>T62-P62</f>
        <v>0</v>
      </c>
      <c r="W62" s="3">
        <f>Y62-V62</f>
        <v>750</v>
      </c>
      <c r="Y62" s="3">
        <v>750</v>
      </c>
      <c r="Z62" s="3">
        <f>Y62-T62</f>
        <v>0</v>
      </c>
      <c r="AD62" s="3">
        <f>AE62-AC62</f>
        <v>750</v>
      </c>
      <c r="AE62" s="3">
        <v>750</v>
      </c>
      <c r="AF62" s="3">
        <f>AE62-Y62</f>
        <v>0</v>
      </c>
      <c r="AI62" s="3">
        <v>750</v>
      </c>
      <c r="AK62" s="3">
        <v>750</v>
      </c>
      <c r="AM62" s="3">
        <v>750</v>
      </c>
      <c r="AO62" s="3">
        <v>750</v>
      </c>
      <c r="AQ62" s="3">
        <v>750</v>
      </c>
      <c r="AS62" s="3">
        <v>750</v>
      </c>
      <c r="AU62" s="3">
        <v>750</v>
      </c>
      <c r="AW62" s="3">
        <v>750</v>
      </c>
      <c r="AY62" s="3">
        <v>750</v>
      </c>
      <c r="BA62" s="3">
        <v>750</v>
      </c>
      <c r="BC62" s="3">
        <v>750</v>
      </c>
      <c r="BE62" s="3">
        <v>750</v>
      </c>
    </row>
    <row r="63" spans="1:57" hidden="1" outlineLevel="1" x14ac:dyDescent="0.25">
      <c r="A63" s="3" t="s">
        <v>1236</v>
      </c>
      <c r="K63" s="4"/>
      <c r="L63" s="4"/>
      <c r="N63" s="4"/>
      <c r="AI63" s="3">
        <f>-AI62</f>
        <v>-750</v>
      </c>
      <c r="AK63" s="3">
        <f>-AK62</f>
        <v>-750</v>
      </c>
      <c r="AM63" s="3">
        <f>-AM62</f>
        <v>-750</v>
      </c>
      <c r="AO63" s="3">
        <f>-AO62</f>
        <v>-750</v>
      </c>
      <c r="AQ63" s="3">
        <f>-AQ62</f>
        <v>-750</v>
      </c>
      <c r="AS63" s="3">
        <f>-AS62</f>
        <v>-750</v>
      </c>
      <c r="AU63" s="3">
        <f>-AU62</f>
        <v>-750</v>
      </c>
      <c r="AW63" s="3">
        <f>-AW62</f>
        <v>-750</v>
      </c>
      <c r="AY63" s="3">
        <f>-AY62</f>
        <v>-750</v>
      </c>
      <c r="BA63" s="3">
        <f>-BA62</f>
        <v>-750</v>
      </c>
      <c r="BC63" s="3">
        <f>-BC62</f>
        <v>-750</v>
      </c>
      <c r="BE63" s="3">
        <f>-BE62</f>
        <v>-750</v>
      </c>
    </row>
    <row r="64" spans="1:57" ht="15.75" collapsed="1" thickBot="1" x14ac:dyDescent="0.3">
      <c r="A64" s="7" t="s">
        <v>1171</v>
      </c>
      <c r="K64" s="4"/>
      <c r="L64" s="4"/>
      <c r="N64" s="4"/>
      <c r="AI64" s="44">
        <f>SUM(AI60:AI63)</f>
        <v>0</v>
      </c>
      <c r="AK64" s="44">
        <f>SUM(AK60:AK63)</f>
        <v>0</v>
      </c>
      <c r="AM64" s="44">
        <f>SUM(AM60:AM63)</f>
        <v>0</v>
      </c>
      <c r="AO64" s="44">
        <f>SUM(AO60:AO63)</f>
        <v>0</v>
      </c>
      <c r="AQ64" s="44">
        <f>SUM(AQ60:AQ63)</f>
        <v>0</v>
      </c>
      <c r="AS64" s="44">
        <f>SUM(AS60:AS63)</f>
        <v>0</v>
      </c>
      <c r="AU64" s="44">
        <f>SUM(AU60:AU63)</f>
        <v>0</v>
      </c>
      <c r="AW64" s="44">
        <f>SUM(AW60:AW63)</f>
        <v>0</v>
      </c>
      <c r="AY64" s="44">
        <f>SUM(AY60:AY63)</f>
        <v>0</v>
      </c>
      <c r="BA64" s="44">
        <f>SUM(BA60:BA63)</f>
        <v>0</v>
      </c>
      <c r="BC64" s="44">
        <f>SUM(BC60:BC63)</f>
        <v>0</v>
      </c>
      <c r="BE64" s="44">
        <f>SUM(BE60:BE63)</f>
        <v>0</v>
      </c>
    </row>
    <row r="65" spans="1:57" ht="15.75" thickTop="1" x14ac:dyDescent="0.25">
      <c r="A65" s="3"/>
      <c r="K65" s="4"/>
      <c r="L65" s="4"/>
      <c r="N65" s="4"/>
      <c r="BC65" s="3"/>
      <c r="BE65" s="3"/>
    </row>
    <row r="66" spans="1:57" ht="15.75" thickBot="1" x14ac:dyDescent="0.3">
      <c r="A66" s="7" t="s">
        <v>1170</v>
      </c>
      <c r="B66" s="44">
        <f>B62 +B61+B60+B57</f>
        <v>308651</v>
      </c>
      <c r="C66" s="32"/>
      <c r="D66" s="44">
        <f>D62 +D61+D60+D57</f>
        <v>237795</v>
      </c>
      <c r="E66" s="44">
        <f>E62 +E61+E60+E57</f>
        <v>72457</v>
      </c>
      <c r="F66" s="44">
        <f>F62 +F61+F60+F57</f>
        <v>310250</v>
      </c>
      <c r="G66" s="32"/>
      <c r="H66" s="44">
        <f>H62 +H61+H60+H57</f>
        <v>1600</v>
      </c>
      <c r="I66" s="32"/>
      <c r="J66" s="44">
        <f>J62 +J61+J60+J57</f>
        <v>240736</v>
      </c>
      <c r="K66" s="44">
        <f>K62 +K61+K60+K57</f>
        <v>70014</v>
      </c>
      <c r="L66" s="44">
        <f>L62 +L61+L60+L57</f>
        <v>310750</v>
      </c>
      <c r="M66" s="32"/>
      <c r="N66" s="44">
        <f>N62 +N61+N60+N57</f>
        <v>500</v>
      </c>
      <c r="P66" s="44">
        <f>P62 +P61+P60+P57</f>
        <v>319525</v>
      </c>
      <c r="R66" s="44">
        <f t="shared" ref="R66:Z66" si="28">R62 +R61+R60+R57</f>
        <v>243282</v>
      </c>
      <c r="S66" s="44">
        <f t="shared" si="28"/>
        <v>76443</v>
      </c>
      <c r="T66" s="44">
        <f t="shared" si="28"/>
        <v>319725</v>
      </c>
      <c r="U66" s="44">
        <f t="shared" si="28"/>
        <v>200</v>
      </c>
      <c r="V66" s="44">
        <f t="shared" si="28"/>
        <v>249994</v>
      </c>
      <c r="W66" s="44">
        <f t="shared" si="28"/>
        <v>62731</v>
      </c>
      <c r="X66" s="44"/>
      <c r="Y66" s="44">
        <f t="shared" si="28"/>
        <v>312725</v>
      </c>
      <c r="Z66" s="44">
        <f t="shared" si="28"/>
        <v>-7000</v>
      </c>
      <c r="AC66" s="44">
        <f>AC62 +AC61+AC60+AC57</f>
        <v>297755</v>
      </c>
      <c r="AD66" s="44">
        <f>AD62 +AD61+AD60+AD57</f>
        <v>31750</v>
      </c>
      <c r="AE66" s="44">
        <f>AE62 +AE61+AE60+AE57</f>
        <v>329505</v>
      </c>
      <c r="AF66" s="44">
        <f>AF62 +AF61+AF60+AF57</f>
        <v>16780</v>
      </c>
      <c r="AG66" s="32"/>
      <c r="AI66" s="44">
        <f>+AI57+AI64</f>
        <v>321299.15000000002</v>
      </c>
      <c r="AK66" s="44">
        <f>+AK57+AK64</f>
        <v>328851.87944999995</v>
      </c>
      <c r="AM66" s="44">
        <f>+AM57+AM64</f>
        <v>338876.85557184991</v>
      </c>
      <c r="AO66" s="44">
        <f>+AO57+AO64</f>
        <v>349663.12000822101</v>
      </c>
      <c r="AP66" s="44"/>
      <c r="AQ66" s="44">
        <f>+AQ57+AQ64</f>
        <v>359719.24812605471</v>
      </c>
      <c r="AS66" s="44">
        <f>+AS57+AS64</f>
        <v>368804.09710071608</v>
      </c>
      <c r="AU66" s="44">
        <f>+AU57+AU64</f>
        <v>378176.81518620381</v>
      </c>
      <c r="AW66" s="44">
        <f>+AW57+AW64</f>
        <v>387846.85129054164</v>
      </c>
      <c r="AY66" s="44">
        <f>+AY57+AY64</f>
        <v>397823.96486640256</v>
      </c>
      <c r="BA66" s="44">
        <f>+BA57+BA64</f>
        <v>408118.23612734867</v>
      </c>
      <c r="BC66" s="44">
        <f>+BC57+BC64</f>
        <v>418740.07660041488</v>
      </c>
      <c r="BE66" s="44">
        <f>+BE57+BE64</f>
        <v>429700.24002611387</v>
      </c>
    </row>
    <row r="67" spans="1:57" ht="15.75" thickTop="1" x14ac:dyDescent="0.25">
      <c r="A67" s="3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P67" s="32"/>
      <c r="R67" s="32"/>
      <c r="S67" s="32"/>
      <c r="T67" s="32"/>
      <c r="U67" s="32"/>
      <c r="V67" s="32"/>
      <c r="W67" s="32"/>
      <c r="X67" s="32"/>
      <c r="Y67" s="32"/>
      <c r="Z67" s="32"/>
      <c r="AC67" s="32"/>
      <c r="AD67" s="32"/>
      <c r="AE67" s="32"/>
      <c r="AF67" s="32"/>
      <c r="AG67" s="32"/>
      <c r="AI67" s="32"/>
      <c r="AK67" s="32"/>
      <c r="AM67" s="32"/>
      <c r="AO67" s="32"/>
      <c r="AP67" s="32"/>
      <c r="AQ67" s="32"/>
      <c r="AS67" s="32"/>
      <c r="AU67" s="32"/>
      <c r="AW67" s="32"/>
      <c r="AY67" s="32"/>
      <c r="BA67" s="32"/>
      <c r="BC67" s="32"/>
      <c r="BE67" s="32"/>
    </row>
    <row r="68" spans="1:57" x14ac:dyDescent="0.25">
      <c r="A68" s="7" t="s">
        <v>823</v>
      </c>
      <c r="BC68" s="3"/>
      <c r="BE68" s="3"/>
    </row>
    <row r="69" spans="1:57" x14ac:dyDescent="0.25">
      <c r="A69" s="7" t="s">
        <v>58</v>
      </c>
      <c r="BC69" s="3"/>
      <c r="BE69" s="3"/>
    </row>
    <row r="70" spans="1:57" hidden="1" outlineLevel="1" x14ac:dyDescent="0.25">
      <c r="A70" s="7" t="s">
        <v>59</v>
      </c>
      <c r="BC70" s="3"/>
      <c r="BE70" s="3"/>
    </row>
    <row r="71" spans="1:57" hidden="1" outlineLevel="1" x14ac:dyDescent="0.25">
      <c r="A71" s="3" t="s">
        <v>947</v>
      </c>
      <c r="B71" s="3">
        <v>20000</v>
      </c>
      <c r="E71" s="3">
        <f>F71-D71</f>
        <v>20000</v>
      </c>
      <c r="F71" s="3">
        <v>20000</v>
      </c>
      <c r="H71" s="3">
        <f>F71-B71</f>
        <v>0</v>
      </c>
      <c r="J71" s="3">
        <v>0</v>
      </c>
      <c r="K71" s="4">
        <f>L71-J71</f>
        <v>20000</v>
      </c>
      <c r="L71" s="4">
        <v>20000</v>
      </c>
      <c r="N71" s="4">
        <f>L71-F71</f>
        <v>0</v>
      </c>
      <c r="P71" s="3">
        <v>20580</v>
      </c>
      <c r="S71" s="3">
        <f>T71-R71</f>
        <v>20580</v>
      </c>
      <c r="T71" s="3">
        <v>20580</v>
      </c>
      <c r="U71" s="3">
        <f>T71-P71</f>
        <v>0</v>
      </c>
      <c r="W71" s="3">
        <f>Y71-V71</f>
        <v>20580</v>
      </c>
      <c r="Y71" s="3">
        <v>20580</v>
      </c>
      <c r="Z71" s="3">
        <f>Y71-T71</f>
        <v>0</v>
      </c>
      <c r="AC71" s="3">
        <v>0</v>
      </c>
      <c r="AD71" s="3">
        <f>AE71-AC71</f>
        <v>20580</v>
      </c>
      <c r="AE71" s="3">
        <v>20580</v>
      </c>
      <c r="AF71" s="3">
        <f>AE71-Y71</f>
        <v>0</v>
      </c>
      <c r="AI71" s="3">
        <f>AE71*1.05+41</f>
        <v>21650</v>
      </c>
      <c r="AK71" s="3">
        <f>AI71*1.05</f>
        <v>22732.5</v>
      </c>
      <c r="AM71" s="3">
        <f>AK71*1.05</f>
        <v>23869.125</v>
      </c>
      <c r="AO71" s="3">
        <f>AM71*1.05</f>
        <v>25062.581249999999</v>
      </c>
      <c r="AQ71" s="3">
        <f>AO71*1.05</f>
        <v>26315.710312499999</v>
      </c>
      <c r="AS71" s="3">
        <f>AQ71*1.05</f>
        <v>27631.495828125</v>
      </c>
      <c r="AU71" s="3">
        <f>AS71*1.05</f>
        <v>29013.070619531252</v>
      </c>
      <c r="AW71" s="3">
        <f>AU71*1.05</f>
        <v>30463.724150507816</v>
      </c>
      <c r="AY71" s="3">
        <f>AW71*1.05</f>
        <v>31986.910358033208</v>
      </c>
      <c r="BA71" s="3">
        <f>AY71*1.05</f>
        <v>33586.255875934869</v>
      </c>
      <c r="BC71" s="3">
        <f>BA71*1.05</f>
        <v>35265.568669731612</v>
      </c>
      <c r="BE71" s="3">
        <f>BC71*1.05</f>
        <v>37028.847103218191</v>
      </c>
    </row>
    <row r="72" spans="1:57" hidden="1" outlineLevel="1" x14ac:dyDescent="0.25">
      <c r="A72" s="3" t="s">
        <v>948</v>
      </c>
      <c r="B72" s="3">
        <v>300</v>
      </c>
      <c r="E72" s="3">
        <f>F72-D72</f>
        <v>300</v>
      </c>
      <c r="F72" s="3">
        <v>300</v>
      </c>
      <c r="H72" s="3">
        <f>F72-B72</f>
        <v>0</v>
      </c>
      <c r="K72" s="4">
        <f>L72-J72</f>
        <v>0</v>
      </c>
      <c r="L72" s="4"/>
      <c r="N72" s="4">
        <f>L72-F72</f>
        <v>-300</v>
      </c>
      <c r="P72" s="3">
        <f>L72*1.03</f>
        <v>0</v>
      </c>
      <c r="R72" s="3">
        <v>4280</v>
      </c>
      <c r="S72" s="3">
        <f>T72-R72</f>
        <v>0</v>
      </c>
      <c r="T72" s="3">
        <v>4280</v>
      </c>
      <c r="U72" s="3">
        <f>T72-P72</f>
        <v>4280</v>
      </c>
      <c r="V72" s="3">
        <v>4280</v>
      </c>
      <c r="W72" s="3">
        <f>Y72-V72</f>
        <v>0</v>
      </c>
      <c r="Y72" s="3">
        <v>4280</v>
      </c>
      <c r="Z72" s="3">
        <f>Y72-T72</f>
        <v>0</v>
      </c>
      <c r="AC72" s="3">
        <v>4280</v>
      </c>
      <c r="AD72" s="3">
        <f>AE72-AC72</f>
        <v>0</v>
      </c>
      <c r="AE72" s="3">
        <v>4280</v>
      </c>
      <c r="AF72" s="3">
        <f>AE72-Y72</f>
        <v>0</v>
      </c>
      <c r="AI72" s="3">
        <f>P72*1.03</f>
        <v>0</v>
      </c>
      <c r="AK72" s="3">
        <f>AI72*1.03</f>
        <v>0</v>
      </c>
      <c r="AM72" s="3">
        <f>AK72*1.03</f>
        <v>0</v>
      </c>
      <c r="AO72" s="3">
        <f>AM72*1.03</f>
        <v>0</v>
      </c>
      <c r="AQ72" s="3">
        <f>AO72*1.03</f>
        <v>0</v>
      </c>
      <c r="AS72" s="3">
        <f>AQ72*1.03</f>
        <v>0</v>
      </c>
      <c r="AU72" s="3">
        <f>AS72*1.03</f>
        <v>0</v>
      </c>
      <c r="AW72" s="3">
        <f>AU72*1.03</f>
        <v>0</v>
      </c>
      <c r="AY72" s="3">
        <f>AW72*1.03</f>
        <v>0</v>
      </c>
      <c r="BA72" s="3">
        <f>AY72*1.03</f>
        <v>0</v>
      </c>
      <c r="BC72" s="3">
        <f>BA72*1.03</f>
        <v>0</v>
      </c>
      <c r="BE72" s="3">
        <f>BC72*1.03</f>
        <v>0</v>
      </c>
    </row>
    <row r="73" spans="1:57" collapsed="1" x14ac:dyDescent="0.25">
      <c r="A73" s="7" t="s">
        <v>58</v>
      </c>
      <c r="B73" s="62">
        <f>SUM(B71:B72)</f>
        <v>20300</v>
      </c>
      <c r="C73" s="32"/>
      <c r="D73" s="62">
        <f>SUM(D71:D72)</f>
        <v>0</v>
      </c>
      <c r="E73" s="62">
        <f>SUM(E71:E72)</f>
        <v>20300</v>
      </c>
      <c r="F73" s="62">
        <f>SUM(F71:F72)</f>
        <v>20300</v>
      </c>
      <c r="G73" s="32"/>
      <c r="H73" s="62">
        <f>SUM(H71:H72)</f>
        <v>0</v>
      </c>
      <c r="I73" s="32"/>
      <c r="J73" s="62">
        <f>SUM(J71:J72)</f>
        <v>0</v>
      </c>
      <c r="K73" s="62">
        <f>SUM(K71:K72)</f>
        <v>20000</v>
      </c>
      <c r="L73" s="62">
        <f>SUM(L71:L72)</f>
        <v>20000</v>
      </c>
      <c r="M73" s="32"/>
      <c r="N73" s="62">
        <f>SUM(N71:N72)</f>
        <v>-300</v>
      </c>
      <c r="P73" s="62">
        <f>SUM(P71:P72)</f>
        <v>20580</v>
      </c>
      <c r="R73" s="62">
        <f t="shared" ref="R73:Z73" si="29">SUM(R71:R72)</f>
        <v>4280</v>
      </c>
      <c r="S73" s="62">
        <f t="shared" si="29"/>
        <v>20580</v>
      </c>
      <c r="T73" s="62">
        <f t="shared" si="29"/>
        <v>24860</v>
      </c>
      <c r="U73" s="62">
        <f t="shared" si="29"/>
        <v>4280</v>
      </c>
      <c r="V73" s="62">
        <f t="shared" si="29"/>
        <v>4280</v>
      </c>
      <c r="W73" s="62">
        <f t="shared" si="29"/>
        <v>20580</v>
      </c>
      <c r="X73" s="62"/>
      <c r="Y73" s="62">
        <f t="shared" si="29"/>
        <v>24860</v>
      </c>
      <c r="Z73" s="62">
        <f t="shared" si="29"/>
        <v>0</v>
      </c>
      <c r="AC73" s="62">
        <f>SUM(AC71:AC72)</f>
        <v>4280</v>
      </c>
      <c r="AD73" s="62">
        <f>SUM(AD71:AD72)</f>
        <v>20580</v>
      </c>
      <c r="AE73" s="62">
        <f>SUM(AE71:AE72)</f>
        <v>24860</v>
      </c>
      <c r="AF73" s="62">
        <f>SUM(AF71:AF72)</f>
        <v>0</v>
      </c>
      <c r="AG73" s="32"/>
      <c r="AI73" s="62">
        <f>SUM(AI71:AI72)</f>
        <v>21650</v>
      </c>
      <c r="AK73" s="62">
        <f>SUM(AK71:AK72)</f>
        <v>22732.5</v>
      </c>
      <c r="AM73" s="62">
        <f>SUM(AM71:AM72)</f>
        <v>23869.125</v>
      </c>
      <c r="AO73" s="62">
        <f>SUM(AO71:AO72)</f>
        <v>25062.581249999999</v>
      </c>
      <c r="AP73" s="62"/>
      <c r="AQ73" s="62">
        <f>SUM(AQ71:AQ72)</f>
        <v>26315.710312499999</v>
      </c>
      <c r="AS73" s="62">
        <f>SUM(AS71:AS72)</f>
        <v>27631.495828125</v>
      </c>
      <c r="AU73" s="62">
        <f>SUM(AU71:AU72)</f>
        <v>29013.070619531252</v>
      </c>
      <c r="AW73" s="62">
        <f>SUM(AW71:AW72)</f>
        <v>30463.724150507816</v>
      </c>
      <c r="AY73" s="62">
        <f>SUM(AY71:AY72)</f>
        <v>31986.910358033208</v>
      </c>
      <c r="BA73" s="62">
        <f>SUM(BA71:BA72)</f>
        <v>33586.255875934869</v>
      </c>
      <c r="BC73" s="62">
        <f>SUM(BC71:BC72)</f>
        <v>35265.568669731612</v>
      </c>
      <c r="BE73" s="62">
        <f>SUM(BE71:BE72)</f>
        <v>37028.847103218191</v>
      </c>
    </row>
    <row r="74" spans="1:57" x14ac:dyDescent="0.25">
      <c r="A74" s="3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P74" s="32"/>
      <c r="R74" s="32"/>
      <c r="S74" s="32"/>
      <c r="T74" s="32"/>
      <c r="U74" s="32"/>
      <c r="V74" s="32"/>
      <c r="W74" s="32"/>
      <c r="X74" s="32"/>
      <c r="Y74" s="32"/>
      <c r="Z74" s="32"/>
      <c r="AC74" s="32"/>
      <c r="AD74" s="32"/>
      <c r="AE74" s="32"/>
      <c r="AF74" s="32"/>
      <c r="AG74" s="32"/>
      <c r="AI74" s="32"/>
      <c r="AK74" s="32"/>
      <c r="AM74" s="32"/>
      <c r="AO74" s="32"/>
      <c r="AP74" s="32"/>
      <c r="AQ74" s="32"/>
      <c r="AS74" s="32"/>
      <c r="AU74" s="32"/>
      <c r="AW74" s="32"/>
      <c r="AY74" s="32"/>
      <c r="BA74" s="32"/>
      <c r="BC74" s="32"/>
      <c r="BE74" s="32"/>
    </row>
    <row r="75" spans="1:57" x14ac:dyDescent="0.25">
      <c r="A75" s="7" t="s">
        <v>77</v>
      </c>
      <c r="BC75" s="3"/>
      <c r="BE75" s="3"/>
    </row>
    <row r="76" spans="1:57" x14ac:dyDescent="0.25">
      <c r="A76" s="7" t="s">
        <v>78</v>
      </c>
      <c r="BC76" s="3"/>
      <c r="BE76" s="3"/>
    </row>
    <row r="77" spans="1:57" x14ac:dyDescent="0.25">
      <c r="A77" s="3" t="s">
        <v>384</v>
      </c>
      <c r="B77" s="37">
        <v>27000</v>
      </c>
      <c r="C77" s="32"/>
      <c r="D77" s="37">
        <v>12104</v>
      </c>
      <c r="E77" s="37">
        <f>F77-D77</f>
        <v>14896</v>
      </c>
      <c r="F77" s="37">
        <v>27000</v>
      </c>
      <c r="G77" s="32"/>
      <c r="H77" s="37">
        <f>F77-B77</f>
        <v>0</v>
      </c>
      <c r="I77" s="32"/>
      <c r="J77" s="37">
        <v>18214</v>
      </c>
      <c r="K77" s="37">
        <f>L77-J77</f>
        <v>6786</v>
      </c>
      <c r="L77" s="37">
        <v>25000</v>
      </c>
      <c r="M77" s="32"/>
      <c r="N77" s="37">
        <f>L77-F77</f>
        <v>-2000</v>
      </c>
      <c r="P77" s="37">
        <f>L77*1.0281</f>
        <v>25702.5</v>
      </c>
      <c r="R77" s="52">
        <v>12162</v>
      </c>
      <c r="S77" s="52">
        <f>T77-R77</f>
        <v>13538</v>
      </c>
      <c r="T77" s="52">
        <v>25700</v>
      </c>
      <c r="U77" s="37">
        <f>T77-P77</f>
        <v>-2.5</v>
      </c>
      <c r="V77" s="37">
        <v>18068</v>
      </c>
      <c r="W77" s="37">
        <f>Y77-V77</f>
        <v>5932</v>
      </c>
      <c r="X77" s="37"/>
      <c r="Y77" s="37">
        <v>24000</v>
      </c>
      <c r="Z77" s="37">
        <f>Y77-T77</f>
        <v>-1700</v>
      </c>
      <c r="AC77" s="37">
        <v>24082</v>
      </c>
      <c r="AD77" s="37">
        <f>AE77-AC77</f>
        <v>8</v>
      </c>
      <c r="AE77" s="37">
        <v>24090</v>
      </c>
      <c r="AF77" s="37">
        <f>AE77-Y77</f>
        <v>90</v>
      </c>
      <c r="AG77" s="32"/>
      <c r="AI77" s="37">
        <f>AE77*1.03+37</f>
        <v>24849.7</v>
      </c>
      <c r="AK77" s="37">
        <f>AI77*1.03</f>
        <v>25595.191000000003</v>
      </c>
      <c r="AM77" s="37">
        <f>AK77*1.03</f>
        <v>26363.046730000002</v>
      </c>
      <c r="AO77" s="37">
        <f>AM77*1.03</f>
        <v>27153.938131900002</v>
      </c>
      <c r="AP77" s="37"/>
      <c r="AQ77" s="37">
        <f>AO77*1.03</f>
        <v>27968.556275857001</v>
      </c>
      <c r="AS77" s="37">
        <f>AQ77*1.03</f>
        <v>28807.612964132713</v>
      </c>
      <c r="AU77" s="37">
        <f>AS77*1.03</f>
        <v>29671.841353056694</v>
      </c>
      <c r="AW77" s="37">
        <f>AU77*1.03</f>
        <v>30561.996593648397</v>
      </c>
      <c r="AY77" s="37">
        <f>AW77*1.03</f>
        <v>31478.856491457849</v>
      </c>
      <c r="BA77" s="37">
        <f>AY77*1.03</f>
        <v>32423.222186201587</v>
      </c>
      <c r="BC77" s="37">
        <f>BA77*1.03</f>
        <v>33395.918851787632</v>
      </c>
      <c r="BE77" s="37">
        <f>BC77*1.03</f>
        <v>34397.796417341262</v>
      </c>
    </row>
    <row r="78" spans="1:57" x14ac:dyDescent="0.25">
      <c r="A78" s="3"/>
      <c r="U78" s="7"/>
      <c r="V78" s="7"/>
      <c r="W78" s="7"/>
      <c r="X78" s="7"/>
      <c r="Y78" s="7"/>
      <c r="Z78" s="7"/>
      <c r="BC78" s="3"/>
      <c r="BE78" s="3"/>
    </row>
    <row r="79" spans="1:57" x14ac:dyDescent="0.25">
      <c r="A79" s="3"/>
      <c r="U79" s="7"/>
      <c r="V79" s="7"/>
      <c r="W79" s="7"/>
      <c r="X79" s="7"/>
      <c r="Y79" s="7"/>
      <c r="Z79" s="7"/>
      <c r="BC79" s="3"/>
      <c r="BE79" s="3"/>
    </row>
    <row r="80" spans="1:57" x14ac:dyDescent="0.25">
      <c r="A80" s="7" t="s">
        <v>113</v>
      </c>
      <c r="U80" s="7"/>
      <c r="V80" s="7"/>
      <c r="W80" s="7"/>
      <c r="X80" s="7"/>
      <c r="Y80" s="7"/>
      <c r="Z80" s="7"/>
      <c r="BC80" s="3"/>
      <c r="BE80" s="3"/>
    </row>
    <row r="81" spans="1:57" x14ac:dyDescent="0.25">
      <c r="A81" s="7" t="s">
        <v>57</v>
      </c>
      <c r="U81" s="7"/>
      <c r="V81" s="7"/>
      <c r="W81" s="7"/>
      <c r="X81" s="7"/>
      <c r="Y81" s="7"/>
      <c r="Z81" s="7"/>
      <c r="BC81" s="3"/>
      <c r="BE81" s="3"/>
    </row>
    <row r="82" spans="1:57" x14ac:dyDescent="0.25">
      <c r="A82" s="3" t="s">
        <v>949</v>
      </c>
      <c r="B82" s="37">
        <v>3600</v>
      </c>
      <c r="C82" s="32"/>
      <c r="D82" s="37">
        <v>265</v>
      </c>
      <c r="E82" s="37">
        <f>F82-D82</f>
        <v>3335</v>
      </c>
      <c r="F82" s="37">
        <v>3600</v>
      </c>
      <c r="G82" s="32"/>
      <c r="H82" s="37">
        <f>F82-B82</f>
        <v>0</v>
      </c>
      <c r="I82" s="32"/>
      <c r="J82" s="37">
        <v>670</v>
      </c>
      <c r="K82" s="37">
        <f>L82-J82</f>
        <v>3930</v>
      </c>
      <c r="L82" s="37">
        <v>4600</v>
      </c>
      <c r="M82" s="32"/>
      <c r="N82" s="37">
        <f>L82-F82</f>
        <v>1000</v>
      </c>
      <c r="P82" s="37">
        <f>B82*1.03</f>
        <v>3708</v>
      </c>
      <c r="R82" s="52">
        <v>696</v>
      </c>
      <c r="S82" s="52">
        <f>T82-R82</f>
        <v>3004</v>
      </c>
      <c r="T82" s="52">
        <v>3700</v>
      </c>
      <c r="U82" s="37">
        <f>T82-P82</f>
        <v>-8</v>
      </c>
      <c r="V82" s="37">
        <v>1165</v>
      </c>
      <c r="W82" s="37">
        <f>Y82-V82</f>
        <v>2535</v>
      </c>
      <c r="X82" s="37"/>
      <c r="Y82" s="37">
        <v>3700</v>
      </c>
      <c r="Z82" s="37">
        <f>Y82-T82</f>
        <v>0</v>
      </c>
      <c r="AC82" s="37">
        <v>2348</v>
      </c>
      <c r="AD82" s="37">
        <f>AE82-AC82</f>
        <v>1352</v>
      </c>
      <c r="AE82" s="37">
        <v>3700</v>
      </c>
      <c r="AF82" s="37">
        <f>AE82-Y82</f>
        <v>0</v>
      </c>
      <c r="AG82" s="32"/>
      <c r="AI82" s="37">
        <f>AE82*1.03-11</f>
        <v>3800</v>
      </c>
      <c r="AK82" s="37">
        <f>AI82*1.03</f>
        <v>3914</v>
      </c>
      <c r="AM82" s="37">
        <f>AK82*1.03</f>
        <v>4031.42</v>
      </c>
      <c r="AO82" s="37">
        <f>AM82*1.03</f>
        <v>4152.3626000000004</v>
      </c>
      <c r="AP82" s="37"/>
      <c r="AQ82" s="37">
        <f>AO82*1.03</f>
        <v>4276.9334780000008</v>
      </c>
      <c r="AS82" s="37">
        <f>AQ82*1.03</f>
        <v>4405.2414823400013</v>
      </c>
      <c r="AU82" s="37">
        <f>AS82*1.03</f>
        <v>4537.3987268102019</v>
      </c>
      <c r="AW82" s="37">
        <f>AU82*1.03</f>
        <v>4673.5206886145079</v>
      </c>
      <c r="AY82" s="37">
        <f>AW82*1.03</f>
        <v>4813.7263092729436</v>
      </c>
      <c r="BA82" s="37">
        <f>AY82*1.03</f>
        <v>4958.1380985511323</v>
      </c>
      <c r="BC82" s="37">
        <f>BA82*1.03</f>
        <v>5106.8822415076665</v>
      </c>
      <c r="BE82" s="37">
        <f>BC82*1.03</f>
        <v>5260.0887087528963</v>
      </c>
    </row>
    <row r="83" spans="1:57" x14ac:dyDescent="0.25">
      <c r="A83" s="3"/>
      <c r="BC83" s="3"/>
      <c r="BE83" s="3"/>
    </row>
    <row r="84" spans="1:57" x14ac:dyDescent="0.25">
      <c r="A84" s="7" t="s">
        <v>137</v>
      </c>
      <c r="BC84" s="3"/>
      <c r="BE84" s="3"/>
    </row>
    <row r="85" spans="1:57" hidden="1" outlineLevel="1" x14ac:dyDescent="0.25">
      <c r="A85" s="7" t="s">
        <v>164</v>
      </c>
      <c r="BC85" s="3"/>
      <c r="BE85" s="3"/>
    </row>
    <row r="86" spans="1:57" hidden="1" outlineLevel="1" x14ac:dyDescent="0.25">
      <c r="A86" s="3" t="s">
        <v>950</v>
      </c>
      <c r="B86" s="3">
        <v>15000</v>
      </c>
      <c r="D86" s="3">
        <v>0</v>
      </c>
      <c r="E86" s="3">
        <f>F86-D86</f>
        <v>15000</v>
      </c>
      <c r="F86" s="3">
        <v>15000</v>
      </c>
      <c r="H86" s="3">
        <f>F86-B86</f>
        <v>0</v>
      </c>
      <c r="K86" s="4">
        <f>L86-J86</f>
        <v>15000</v>
      </c>
      <c r="L86" s="4">
        <v>15000</v>
      </c>
      <c r="N86" s="4">
        <f>L86-F86</f>
        <v>0</v>
      </c>
      <c r="P86" s="3">
        <v>15000</v>
      </c>
      <c r="S86" s="3">
        <f>T86-R86</f>
        <v>15000</v>
      </c>
      <c r="T86" s="3">
        <v>15000</v>
      </c>
      <c r="U86" s="3">
        <f>T86-P86</f>
        <v>0</v>
      </c>
      <c r="Y86" s="3">
        <v>15000</v>
      </c>
      <c r="Z86" s="3">
        <f>Y86-T86</f>
        <v>0</v>
      </c>
      <c r="AD86" s="3">
        <f>AE86-AC86</f>
        <v>10000</v>
      </c>
      <c r="AE86" s="3">
        <v>10000</v>
      </c>
      <c r="AF86" s="3">
        <f>AE86-Y86</f>
        <v>-5000</v>
      </c>
      <c r="AI86" s="3">
        <v>5000</v>
      </c>
      <c r="AM86" s="3">
        <v>40000</v>
      </c>
      <c r="BC86" s="3"/>
      <c r="BE86" s="3"/>
    </row>
    <row r="87" spans="1:57" hidden="1" outlineLevel="1" x14ac:dyDescent="0.25">
      <c r="A87" s="3" t="s">
        <v>951</v>
      </c>
      <c r="K87" s="4"/>
      <c r="L87" s="4"/>
      <c r="N87" s="4"/>
      <c r="S87" s="3">
        <f>T87-R87</f>
        <v>10750</v>
      </c>
      <c r="T87" s="3">
        <v>10750</v>
      </c>
      <c r="U87" s="3">
        <f>T87-P87</f>
        <v>10750</v>
      </c>
      <c r="Y87" s="3">
        <v>10750</v>
      </c>
      <c r="Z87" s="3">
        <f>Y87-T87</f>
        <v>0</v>
      </c>
      <c r="AC87" s="3">
        <v>10750</v>
      </c>
      <c r="AD87" s="3">
        <f>AE87-AC87</f>
        <v>0</v>
      </c>
      <c r="AE87" s="3">
        <v>10750</v>
      </c>
      <c r="AF87" s="3">
        <f>AE87-Y87</f>
        <v>0</v>
      </c>
      <c r="BC87" s="3"/>
      <c r="BE87" s="3"/>
    </row>
    <row r="88" spans="1:57" hidden="1" outlineLevel="1" x14ac:dyDescent="0.25">
      <c r="A88" s="3" t="s">
        <v>952</v>
      </c>
      <c r="Z88" s="3">
        <f>Y88-T88</f>
        <v>0</v>
      </c>
      <c r="AD88" s="3">
        <f>AE88-AC88</f>
        <v>0</v>
      </c>
      <c r="AF88" s="3">
        <f>AE88-Y88</f>
        <v>0</v>
      </c>
      <c r="BC88" s="3"/>
      <c r="BE88" s="3"/>
    </row>
    <row r="89" spans="1:57" collapsed="1" x14ac:dyDescent="0.25">
      <c r="A89" s="7" t="s">
        <v>137</v>
      </c>
      <c r="B89" s="62">
        <f>B88+B86</f>
        <v>15000</v>
      </c>
      <c r="C89" s="32"/>
      <c r="D89" s="62">
        <f>D88+D86</f>
        <v>0</v>
      </c>
      <c r="E89" s="62">
        <f>E88+E86</f>
        <v>15000</v>
      </c>
      <c r="F89" s="62">
        <f>F88+F86</f>
        <v>15000</v>
      </c>
      <c r="G89" s="32"/>
      <c r="H89" s="62">
        <f>H88+H86</f>
        <v>0</v>
      </c>
      <c r="I89" s="32"/>
      <c r="J89" s="62">
        <f>J88+J86</f>
        <v>0</v>
      </c>
      <c r="K89" s="62">
        <f>K88+K86</f>
        <v>15000</v>
      </c>
      <c r="L89" s="62">
        <f>L88+L86</f>
        <v>15000</v>
      </c>
      <c r="M89" s="32"/>
      <c r="N89" s="62">
        <f>N88+N86</f>
        <v>0</v>
      </c>
      <c r="P89" s="62">
        <f>SUM(P86:P88)</f>
        <v>15000</v>
      </c>
      <c r="R89" s="62">
        <f t="shared" ref="R89:Z89" si="30">SUM(R86:R88)</f>
        <v>0</v>
      </c>
      <c r="S89" s="62">
        <f t="shared" si="30"/>
        <v>25750</v>
      </c>
      <c r="T89" s="62">
        <f t="shared" si="30"/>
        <v>25750</v>
      </c>
      <c r="U89" s="62">
        <f t="shared" si="30"/>
        <v>10750</v>
      </c>
      <c r="V89" s="62">
        <f t="shared" si="30"/>
        <v>0</v>
      </c>
      <c r="W89" s="62">
        <f t="shared" si="30"/>
        <v>0</v>
      </c>
      <c r="X89" s="62"/>
      <c r="Y89" s="62">
        <f t="shared" si="30"/>
        <v>25750</v>
      </c>
      <c r="Z89" s="62">
        <f t="shared" si="30"/>
        <v>0</v>
      </c>
      <c r="AC89" s="62">
        <f>SUM(AC86:AC88)</f>
        <v>10750</v>
      </c>
      <c r="AD89" s="62">
        <f>SUM(AD86:AD88)</f>
        <v>10000</v>
      </c>
      <c r="AE89" s="62">
        <f>SUM(AE86:AE88)</f>
        <v>20750</v>
      </c>
      <c r="AF89" s="62">
        <f>SUM(AF86:AF88)</f>
        <v>-5000</v>
      </c>
      <c r="AG89" s="32"/>
      <c r="AI89" s="62">
        <f>AI88+AI86</f>
        <v>5000</v>
      </c>
      <c r="AK89" s="62">
        <f>AK88+AK86</f>
        <v>0</v>
      </c>
      <c r="AM89" s="62">
        <f>AM88+AM86</f>
        <v>40000</v>
      </c>
      <c r="AO89" s="62">
        <f>AO88+AO86</f>
        <v>0</v>
      </c>
      <c r="AP89" s="62"/>
      <c r="AQ89" s="62">
        <f>AQ88+AQ86</f>
        <v>0</v>
      </c>
      <c r="AS89" s="62">
        <f>AS88+AS86</f>
        <v>0</v>
      </c>
      <c r="AU89" s="62">
        <f>AU88+AU86</f>
        <v>0</v>
      </c>
      <c r="AW89" s="62">
        <f>AW88+AW86</f>
        <v>0</v>
      </c>
      <c r="AY89" s="62">
        <f>AY88+AY86</f>
        <v>0</v>
      </c>
      <c r="BA89" s="62">
        <f>BA88+BA86</f>
        <v>0</v>
      </c>
      <c r="BC89" s="62">
        <f>BC88+BC86</f>
        <v>0</v>
      </c>
      <c r="BE89" s="62">
        <f>BE88+BE86</f>
        <v>0</v>
      </c>
    </row>
    <row r="90" spans="1:57" x14ac:dyDescent="0.25">
      <c r="A90" s="3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P90" s="32"/>
      <c r="R90" s="32"/>
      <c r="S90" s="32"/>
      <c r="T90" s="32"/>
      <c r="U90" s="32"/>
      <c r="V90" s="32"/>
      <c r="W90" s="32"/>
      <c r="X90" s="32"/>
      <c r="Y90" s="32"/>
      <c r="Z90" s="32"/>
      <c r="AC90" s="32"/>
      <c r="AD90" s="32"/>
      <c r="AE90" s="32"/>
      <c r="AF90" s="32"/>
      <c r="AG90" s="32"/>
      <c r="AI90" s="32"/>
      <c r="AK90" s="32"/>
      <c r="AM90" s="32"/>
      <c r="AO90" s="32"/>
      <c r="AP90" s="32"/>
      <c r="AQ90" s="32"/>
      <c r="AS90" s="32"/>
      <c r="AU90" s="32"/>
      <c r="AW90" s="32"/>
      <c r="AY90" s="32"/>
      <c r="BA90" s="32"/>
      <c r="BC90" s="32"/>
      <c r="BE90" s="32"/>
    </row>
    <row r="91" spans="1:57" x14ac:dyDescent="0.25">
      <c r="A91" s="7" t="s">
        <v>938</v>
      </c>
      <c r="BC91" s="3"/>
      <c r="BE91" s="3"/>
    </row>
    <row r="92" spans="1:57" hidden="1" outlineLevel="1" x14ac:dyDescent="0.25">
      <c r="A92" s="7" t="s">
        <v>495</v>
      </c>
      <c r="Z92" s="3">
        <f t="shared" ref="Z92:Z113" si="31">Y92-T92</f>
        <v>0</v>
      </c>
      <c r="AD92" s="3">
        <f t="shared" ref="AD92:AD113" si="32">AE92-AC92</f>
        <v>0</v>
      </c>
      <c r="AF92" s="3">
        <f t="shared" ref="AF92:AF113" si="33">AE92-Y92</f>
        <v>0</v>
      </c>
      <c r="BC92" s="3"/>
      <c r="BE92" s="3"/>
    </row>
    <row r="93" spans="1:57" hidden="1" outlineLevel="1" x14ac:dyDescent="0.25">
      <c r="A93" s="7" t="s">
        <v>953</v>
      </c>
      <c r="Z93" s="3">
        <f t="shared" si="31"/>
        <v>0</v>
      </c>
      <c r="AD93" s="3">
        <f t="shared" si="32"/>
        <v>0</v>
      </c>
      <c r="AF93" s="3">
        <f t="shared" si="33"/>
        <v>0</v>
      </c>
      <c r="BC93" s="3"/>
      <c r="BE93" s="3"/>
    </row>
    <row r="94" spans="1:57" hidden="1" outlineLevel="1" x14ac:dyDescent="0.25">
      <c r="A94" s="3" t="s">
        <v>954</v>
      </c>
      <c r="Z94" s="3">
        <f t="shared" si="31"/>
        <v>0</v>
      </c>
      <c r="AD94" s="3">
        <f t="shared" si="32"/>
        <v>0</v>
      </c>
      <c r="AF94" s="3">
        <f t="shared" si="33"/>
        <v>0</v>
      </c>
      <c r="BC94" s="3"/>
      <c r="BE94" s="3"/>
    </row>
    <row r="95" spans="1:57" hidden="1" outlineLevel="1" x14ac:dyDescent="0.25">
      <c r="A95" s="3" t="s">
        <v>955</v>
      </c>
      <c r="Z95" s="3">
        <f t="shared" si="31"/>
        <v>0</v>
      </c>
      <c r="AD95" s="3">
        <f t="shared" si="32"/>
        <v>0</v>
      </c>
      <c r="AF95" s="3">
        <f t="shared" si="33"/>
        <v>0</v>
      </c>
      <c r="BC95" s="3"/>
      <c r="BE95" s="3"/>
    </row>
    <row r="96" spans="1:57" hidden="1" outlineLevel="1" x14ac:dyDescent="0.25">
      <c r="A96" s="7" t="s">
        <v>956</v>
      </c>
      <c r="B96" s="3">
        <v>40000</v>
      </c>
      <c r="D96" s="3">
        <v>0</v>
      </c>
      <c r="E96" s="3">
        <f t="shared" ref="E96:E113" si="34">F96-D96</f>
        <v>40000</v>
      </c>
      <c r="F96" s="3">
        <v>40000</v>
      </c>
      <c r="H96" s="3">
        <f t="shared" ref="H96:H113" si="35">F96-B96</f>
        <v>0</v>
      </c>
      <c r="K96" s="4">
        <f t="shared" ref="K96:K113" si="36">L96-J96</f>
        <v>40000</v>
      </c>
      <c r="L96" s="4">
        <v>40000</v>
      </c>
      <c r="N96" s="4">
        <f t="shared" ref="N96:N113" si="37">L96-F96</f>
        <v>0</v>
      </c>
      <c r="P96" s="3">
        <v>105000</v>
      </c>
      <c r="R96" s="3">
        <v>12850</v>
      </c>
      <c r="S96" s="3">
        <f>T96-R96</f>
        <v>92150</v>
      </c>
      <c r="T96" s="3">
        <v>105000</v>
      </c>
      <c r="U96" s="3">
        <f>T96-P96</f>
        <v>0</v>
      </c>
      <c r="V96" s="3">
        <v>48815</v>
      </c>
      <c r="W96" s="3">
        <f t="shared" ref="W96:W107" si="38">Y96-V96</f>
        <v>56185</v>
      </c>
      <c r="Y96" s="3">
        <v>105000</v>
      </c>
      <c r="Z96" s="3">
        <f t="shared" si="31"/>
        <v>0</v>
      </c>
      <c r="AC96" s="3">
        <v>54424</v>
      </c>
      <c r="AD96" s="3">
        <f t="shared" si="32"/>
        <v>45576</v>
      </c>
      <c r="AE96" s="3">
        <v>100000</v>
      </c>
      <c r="AF96" s="3">
        <f t="shared" si="33"/>
        <v>-5000</v>
      </c>
      <c r="AI96" s="3">
        <v>70000</v>
      </c>
      <c r="AK96" s="3">
        <v>80000</v>
      </c>
      <c r="AM96" s="3">
        <v>90000</v>
      </c>
      <c r="AO96" s="3">
        <v>90000</v>
      </c>
      <c r="AQ96" s="3">
        <v>90000</v>
      </c>
      <c r="AR96" s="3"/>
      <c r="AS96" s="3">
        <v>105000</v>
      </c>
      <c r="AU96" s="3">
        <v>105000</v>
      </c>
      <c r="AW96" s="3">
        <v>105000</v>
      </c>
      <c r="AY96" s="3">
        <v>120000</v>
      </c>
      <c r="BA96" s="3">
        <v>120000</v>
      </c>
      <c r="BC96" s="3">
        <v>120000</v>
      </c>
      <c r="BE96" s="3">
        <v>120000</v>
      </c>
    </row>
    <row r="97" spans="1:57" hidden="1" outlineLevel="1" x14ac:dyDescent="0.25">
      <c r="A97" s="3" t="s">
        <v>957</v>
      </c>
      <c r="E97" s="3">
        <f t="shared" si="34"/>
        <v>0</v>
      </c>
      <c r="H97" s="3">
        <f t="shared" si="35"/>
        <v>0</v>
      </c>
      <c r="K97" s="4">
        <f t="shared" si="36"/>
        <v>0</v>
      </c>
      <c r="L97" s="4"/>
      <c r="N97" s="4">
        <f t="shared" si="37"/>
        <v>0</v>
      </c>
      <c r="W97" s="3">
        <f t="shared" si="38"/>
        <v>0</v>
      </c>
      <c r="Z97" s="3">
        <f t="shared" si="31"/>
        <v>0</v>
      </c>
      <c r="AD97" s="3">
        <f t="shared" si="32"/>
        <v>0</v>
      </c>
      <c r="AF97" s="3">
        <f t="shared" si="33"/>
        <v>0</v>
      </c>
      <c r="BC97" s="3"/>
      <c r="BE97" s="3"/>
    </row>
    <row r="98" spans="1:57" hidden="1" outlineLevel="1" x14ac:dyDescent="0.25">
      <c r="A98" s="3" t="s">
        <v>958</v>
      </c>
      <c r="E98" s="3">
        <f t="shared" si="34"/>
        <v>0</v>
      </c>
      <c r="H98" s="3">
        <f t="shared" si="35"/>
        <v>0</v>
      </c>
      <c r="K98" s="4">
        <f t="shared" si="36"/>
        <v>0</v>
      </c>
      <c r="L98" s="4"/>
      <c r="N98" s="4">
        <f t="shared" si="37"/>
        <v>0</v>
      </c>
      <c r="W98" s="3">
        <f t="shared" si="38"/>
        <v>0</v>
      </c>
      <c r="Z98" s="3">
        <f t="shared" si="31"/>
        <v>0</v>
      </c>
      <c r="AD98" s="3">
        <f t="shared" si="32"/>
        <v>0</v>
      </c>
      <c r="AF98" s="3">
        <f t="shared" si="33"/>
        <v>0</v>
      </c>
      <c r="BC98" s="3"/>
      <c r="BE98" s="3"/>
    </row>
    <row r="99" spans="1:57" hidden="1" outlineLevel="1" x14ac:dyDescent="0.25">
      <c r="A99" s="3" t="s">
        <v>959</v>
      </c>
      <c r="E99" s="3">
        <f t="shared" si="34"/>
        <v>0</v>
      </c>
      <c r="H99" s="3">
        <f t="shared" si="35"/>
        <v>0</v>
      </c>
      <c r="K99" s="4">
        <f t="shared" si="36"/>
        <v>0</v>
      </c>
      <c r="L99" s="4"/>
      <c r="N99" s="4">
        <f t="shared" si="37"/>
        <v>0</v>
      </c>
      <c r="W99" s="3">
        <f t="shared" si="38"/>
        <v>0</v>
      </c>
      <c r="Z99" s="3">
        <f t="shared" si="31"/>
        <v>0</v>
      </c>
      <c r="AD99" s="3">
        <f t="shared" si="32"/>
        <v>0</v>
      </c>
      <c r="AF99" s="3">
        <f t="shared" si="33"/>
        <v>0</v>
      </c>
      <c r="BC99" s="3"/>
      <c r="BE99" s="3"/>
    </row>
    <row r="100" spans="1:57" hidden="1" outlineLevel="1" x14ac:dyDescent="0.25">
      <c r="A100" s="3" t="s">
        <v>960</v>
      </c>
      <c r="E100" s="3">
        <f t="shared" si="34"/>
        <v>0</v>
      </c>
      <c r="H100" s="3">
        <f t="shared" si="35"/>
        <v>0</v>
      </c>
      <c r="K100" s="4">
        <f t="shared" si="36"/>
        <v>0</v>
      </c>
      <c r="L100" s="4"/>
      <c r="N100" s="4">
        <f t="shared" si="37"/>
        <v>0</v>
      </c>
      <c r="W100" s="3">
        <f t="shared" si="38"/>
        <v>0</v>
      </c>
      <c r="Z100" s="3">
        <f t="shared" si="31"/>
        <v>0</v>
      </c>
      <c r="AD100" s="3">
        <f t="shared" si="32"/>
        <v>0</v>
      </c>
      <c r="AF100" s="3">
        <f t="shared" si="33"/>
        <v>0</v>
      </c>
      <c r="BC100" s="3"/>
      <c r="BE100" s="3"/>
    </row>
    <row r="101" spans="1:57" hidden="1" outlineLevel="1" x14ac:dyDescent="0.25">
      <c r="A101" s="3" t="s">
        <v>961</v>
      </c>
      <c r="E101" s="3">
        <f t="shared" si="34"/>
        <v>0</v>
      </c>
      <c r="H101" s="3">
        <f t="shared" si="35"/>
        <v>0</v>
      </c>
      <c r="K101" s="4">
        <f t="shared" si="36"/>
        <v>0</v>
      </c>
      <c r="L101" s="4"/>
      <c r="N101" s="4">
        <f t="shared" si="37"/>
        <v>0</v>
      </c>
      <c r="W101" s="3">
        <f t="shared" si="38"/>
        <v>0</v>
      </c>
      <c r="Z101" s="3">
        <f t="shared" si="31"/>
        <v>0</v>
      </c>
      <c r="AD101" s="3">
        <f t="shared" si="32"/>
        <v>0</v>
      </c>
      <c r="AF101" s="3">
        <f t="shared" si="33"/>
        <v>0</v>
      </c>
      <c r="BC101" s="3"/>
      <c r="BE101" s="3"/>
    </row>
    <row r="102" spans="1:57" hidden="1" outlineLevel="1" x14ac:dyDescent="0.25">
      <c r="A102" s="3" t="s">
        <v>962</v>
      </c>
      <c r="E102" s="3">
        <f t="shared" si="34"/>
        <v>0</v>
      </c>
      <c r="H102" s="3">
        <f t="shared" si="35"/>
        <v>0</v>
      </c>
      <c r="K102" s="4">
        <f t="shared" si="36"/>
        <v>0</v>
      </c>
      <c r="L102" s="4"/>
      <c r="N102" s="4">
        <f t="shared" si="37"/>
        <v>0</v>
      </c>
      <c r="W102" s="3">
        <f t="shared" si="38"/>
        <v>0</v>
      </c>
      <c r="Z102" s="3">
        <f t="shared" si="31"/>
        <v>0</v>
      </c>
      <c r="AD102" s="3">
        <f t="shared" si="32"/>
        <v>0</v>
      </c>
      <c r="AF102" s="3">
        <f t="shared" si="33"/>
        <v>0</v>
      </c>
      <c r="BC102" s="3"/>
      <c r="BE102" s="3"/>
    </row>
    <row r="103" spans="1:57" hidden="1" outlineLevel="1" x14ac:dyDescent="0.25">
      <c r="A103" s="3" t="s">
        <v>959</v>
      </c>
      <c r="E103" s="3">
        <f t="shared" si="34"/>
        <v>0</v>
      </c>
      <c r="H103" s="3">
        <f t="shared" si="35"/>
        <v>0</v>
      </c>
      <c r="K103" s="4">
        <f t="shared" si="36"/>
        <v>0</v>
      </c>
      <c r="L103" s="4"/>
      <c r="N103" s="4">
        <f t="shared" si="37"/>
        <v>0</v>
      </c>
      <c r="W103" s="3">
        <f t="shared" si="38"/>
        <v>0</v>
      </c>
      <c r="Z103" s="3">
        <f t="shared" si="31"/>
        <v>0</v>
      </c>
      <c r="AD103" s="3">
        <f t="shared" si="32"/>
        <v>0</v>
      </c>
      <c r="AF103" s="3">
        <f t="shared" si="33"/>
        <v>0</v>
      </c>
      <c r="BC103" s="3"/>
      <c r="BE103" s="3"/>
    </row>
    <row r="104" spans="1:57" hidden="1" outlineLevel="1" x14ac:dyDescent="0.25">
      <c r="A104" s="3" t="s">
        <v>963</v>
      </c>
      <c r="E104" s="3">
        <f t="shared" si="34"/>
        <v>0</v>
      </c>
      <c r="H104" s="3">
        <f t="shared" si="35"/>
        <v>0</v>
      </c>
      <c r="K104" s="4">
        <f t="shared" si="36"/>
        <v>0</v>
      </c>
      <c r="L104" s="4"/>
      <c r="N104" s="4">
        <f t="shared" si="37"/>
        <v>0</v>
      </c>
      <c r="W104" s="3">
        <f t="shared" si="38"/>
        <v>0</v>
      </c>
      <c r="Z104" s="3">
        <f t="shared" si="31"/>
        <v>0</v>
      </c>
      <c r="AD104" s="3">
        <f t="shared" si="32"/>
        <v>0</v>
      </c>
      <c r="AF104" s="3">
        <f t="shared" si="33"/>
        <v>0</v>
      </c>
      <c r="BC104" s="3"/>
      <c r="BE104" s="3"/>
    </row>
    <row r="105" spans="1:57" hidden="1" outlineLevel="1" x14ac:dyDescent="0.25">
      <c r="A105" s="3" t="s">
        <v>964</v>
      </c>
      <c r="E105" s="3">
        <f t="shared" si="34"/>
        <v>0</v>
      </c>
      <c r="H105" s="3">
        <f t="shared" si="35"/>
        <v>0</v>
      </c>
      <c r="K105" s="4">
        <f t="shared" si="36"/>
        <v>0</v>
      </c>
      <c r="L105" s="4"/>
      <c r="N105" s="4">
        <f t="shared" si="37"/>
        <v>0</v>
      </c>
      <c r="W105" s="3">
        <f t="shared" si="38"/>
        <v>0</v>
      </c>
      <c r="Z105" s="3">
        <f t="shared" si="31"/>
        <v>0</v>
      </c>
      <c r="AD105" s="3">
        <f t="shared" si="32"/>
        <v>0</v>
      </c>
      <c r="AF105" s="3">
        <f t="shared" si="33"/>
        <v>0</v>
      </c>
      <c r="BC105" s="3"/>
      <c r="BE105" s="3"/>
    </row>
    <row r="106" spans="1:57" hidden="1" outlineLevel="1" x14ac:dyDescent="0.25">
      <c r="A106" s="3" t="s">
        <v>965</v>
      </c>
      <c r="E106" s="3">
        <f t="shared" si="34"/>
        <v>0</v>
      </c>
      <c r="H106" s="3">
        <f t="shared" si="35"/>
        <v>0</v>
      </c>
      <c r="K106" s="4">
        <f t="shared" si="36"/>
        <v>0</v>
      </c>
      <c r="L106" s="4"/>
      <c r="N106" s="4">
        <f t="shared" si="37"/>
        <v>0</v>
      </c>
      <c r="W106" s="3">
        <f t="shared" si="38"/>
        <v>0</v>
      </c>
      <c r="Z106" s="3">
        <f t="shared" si="31"/>
        <v>0</v>
      </c>
      <c r="AD106" s="3">
        <f t="shared" si="32"/>
        <v>0</v>
      </c>
      <c r="AF106" s="3">
        <f t="shared" si="33"/>
        <v>0</v>
      </c>
      <c r="BC106" s="3"/>
      <c r="BE106" s="3"/>
    </row>
    <row r="107" spans="1:57" hidden="1" outlineLevel="1" x14ac:dyDescent="0.25">
      <c r="A107" s="7" t="s">
        <v>966</v>
      </c>
      <c r="B107" s="3">
        <v>33000</v>
      </c>
      <c r="D107" s="3">
        <v>0</v>
      </c>
      <c r="E107" s="3">
        <f t="shared" si="34"/>
        <v>33000</v>
      </c>
      <c r="F107" s="3">
        <v>33000</v>
      </c>
      <c r="H107" s="3">
        <f t="shared" si="35"/>
        <v>0</v>
      </c>
      <c r="K107" s="4">
        <f t="shared" si="36"/>
        <v>33000</v>
      </c>
      <c r="L107" s="4">
        <v>33000</v>
      </c>
      <c r="N107" s="4">
        <f t="shared" si="37"/>
        <v>0</v>
      </c>
      <c r="P107" s="3">
        <v>20000</v>
      </c>
      <c r="R107" s="3">
        <v>17544</v>
      </c>
      <c r="S107" s="3">
        <f>T107-R107</f>
        <v>2456</v>
      </c>
      <c r="T107" s="3">
        <v>20000</v>
      </c>
      <c r="U107" s="3">
        <f>T107-P107</f>
        <v>0</v>
      </c>
      <c r="W107" s="3">
        <f t="shared" si="38"/>
        <v>20000</v>
      </c>
      <c r="Y107" s="3">
        <v>20000</v>
      </c>
      <c r="Z107" s="3">
        <f t="shared" si="31"/>
        <v>0</v>
      </c>
      <c r="AD107" s="3">
        <f t="shared" si="32"/>
        <v>17500</v>
      </c>
      <c r="AE107" s="3">
        <v>17500</v>
      </c>
      <c r="AF107" s="3">
        <f t="shared" si="33"/>
        <v>-2500</v>
      </c>
      <c r="AI107" s="3">
        <v>50000</v>
      </c>
      <c r="AK107" s="3">
        <v>50000</v>
      </c>
      <c r="AM107" s="3">
        <v>60000</v>
      </c>
      <c r="AO107" s="3">
        <v>60000</v>
      </c>
      <c r="AQ107" s="3">
        <v>70000</v>
      </c>
      <c r="AR107" s="3"/>
      <c r="AS107" s="3">
        <v>70000</v>
      </c>
      <c r="AU107" s="3">
        <v>70000</v>
      </c>
      <c r="AW107" s="3">
        <v>80000</v>
      </c>
      <c r="AY107" s="3">
        <v>80000</v>
      </c>
      <c r="BA107" s="3">
        <v>80000</v>
      </c>
      <c r="BC107" s="3">
        <v>80000</v>
      </c>
      <c r="BE107" s="3">
        <v>80000</v>
      </c>
    </row>
    <row r="108" spans="1:57" hidden="1" outlineLevel="1" x14ac:dyDescent="0.25">
      <c r="A108" s="3" t="s">
        <v>967</v>
      </c>
      <c r="E108" s="3">
        <f t="shared" si="34"/>
        <v>0</v>
      </c>
      <c r="H108" s="3">
        <f t="shared" si="35"/>
        <v>0</v>
      </c>
      <c r="K108" s="4">
        <f t="shared" si="36"/>
        <v>0</v>
      </c>
      <c r="L108" s="4"/>
      <c r="N108" s="4">
        <f t="shared" si="37"/>
        <v>0</v>
      </c>
      <c r="Z108" s="3">
        <f t="shared" si="31"/>
        <v>0</v>
      </c>
      <c r="AD108" s="3">
        <f t="shared" si="32"/>
        <v>0</v>
      </c>
      <c r="AF108" s="3">
        <f t="shared" si="33"/>
        <v>0</v>
      </c>
      <c r="AR108" s="3"/>
      <c r="BC108" s="3"/>
      <c r="BE108" s="3"/>
    </row>
    <row r="109" spans="1:57" hidden="1" outlineLevel="1" x14ac:dyDescent="0.25">
      <c r="A109" s="3" t="s">
        <v>968</v>
      </c>
      <c r="E109" s="3">
        <f t="shared" si="34"/>
        <v>0</v>
      </c>
      <c r="H109" s="3">
        <f t="shared" si="35"/>
        <v>0</v>
      </c>
      <c r="K109" s="4">
        <f t="shared" si="36"/>
        <v>0</v>
      </c>
      <c r="L109" s="4"/>
      <c r="N109" s="4">
        <f t="shared" si="37"/>
        <v>0</v>
      </c>
      <c r="Z109" s="3">
        <f t="shared" si="31"/>
        <v>0</v>
      </c>
      <c r="AD109" s="3">
        <f t="shared" si="32"/>
        <v>0</v>
      </c>
      <c r="AF109" s="3">
        <f t="shared" si="33"/>
        <v>0</v>
      </c>
      <c r="BC109" s="3"/>
      <c r="BE109" s="3"/>
    </row>
    <row r="110" spans="1:57" hidden="1" outlineLevel="1" x14ac:dyDescent="0.25">
      <c r="A110" s="3" t="s">
        <v>969</v>
      </c>
      <c r="E110" s="3">
        <f t="shared" si="34"/>
        <v>0</v>
      </c>
      <c r="H110" s="3">
        <f t="shared" si="35"/>
        <v>0</v>
      </c>
      <c r="K110" s="4">
        <f t="shared" si="36"/>
        <v>0</v>
      </c>
      <c r="L110" s="4"/>
      <c r="N110" s="4">
        <f t="shared" si="37"/>
        <v>0</v>
      </c>
      <c r="Z110" s="3">
        <f t="shared" si="31"/>
        <v>0</v>
      </c>
      <c r="AD110" s="3">
        <f t="shared" si="32"/>
        <v>0</v>
      </c>
      <c r="AF110" s="3">
        <f t="shared" si="33"/>
        <v>0</v>
      </c>
      <c r="BC110" s="3"/>
      <c r="BE110" s="3"/>
    </row>
    <row r="111" spans="1:57" hidden="1" outlineLevel="1" x14ac:dyDescent="0.25">
      <c r="A111" s="3" t="s">
        <v>970</v>
      </c>
      <c r="E111" s="3">
        <f t="shared" si="34"/>
        <v>0</v>
      </c>
      <c r="H111" s="3">
        <f t="shared" si="35"/>
        <v>0</v>
      </c>
      <c r="K111" s="4">
        <f t="shared" si="36"/>
        <v>0</v>
      </c>
      <c r="L111" s="4"/>
      <c r="N111" s="4">
        <f t="shared" si="37"/>
        <v>0</v>
      </c>
      <c r="Z111" s="3">
        <f t="shared" si="31"/>
        <v>0</v>
      </c>
      <c r="AD111" s="3">
        <f t="shared" si="32"/>
        <v>0</v>
      </c>
      <c r="AF111" s="3">
        <f t="shared" si="33"/>
        <v>0</v>
      </c>
      <c r="BC111" s="3"/>
      <c r="BE111" s="3"/>
    </row>
    <row r="112" spans="1:57" hidden="1" outlineLevel="1" x14ac:dyDescent="0.25">
      <c r="A112" s="3" t="s">
        <v>971</v>
      </c>
      <c r="E112" s="3">
        <f t="shared" si="34"/>
        <v>0</v>
      </c>
      <c r="H112" s="3">
        <f t="shared" si="35"/>
        <v>0</v>
      </c>
      <c r="K112" s="4">
        <f t="shared" si="36"/>
        <v>0</v>
      </c>
      <c r="L112" s="4"/>
      <c r="N112" s="4">
        <f t="shared" si="37"/>
        <v>0</v>
      </c>
      <c r="Z112" s="3">
        <f t="shared" si="31"/>
        <v>0</v>
      </c>
      <c r="AD112" s="3">
        <f t="shared" si="32"/>
        <v>0</v>
      </c>
      <c r="AF112" s="3">
        <f t="shared" si="33"/>
        <v>0</v>
      </c>
      <c r="BC112" s="3"/>
      <c r="BE112" s="3"/>
    </row>
    <row r="113" spans="1:57" hidden="1" outlineLevel="1" x14ac:dyDescent="0.25">
      <c r="A113" s="3" t="s">
        <v>972</v>
      </c>
      <c r="E113" s="3">
        <f t="shared" si="34"/>
        <v>0</v>
      </c>
      <c r="H113" s="3">
        <f t="shared" si="35"/>
        <v>0</v>
      </c>
      <c r="K113" s="4">
        <f t="shared" si="36"/>
        <v>0</v>
      </c>
      <c r="L113" s="4"/>
      <c r="N113" s="4">
        <f t="shared" si="37"/>
        <v>0</v>
      </c>
      <c r="Z113" s="3">
        <f t="shared" si="31"/>
        <v>0</v>
      </c>
      <c r="AD113" s="3">
        <f t="shared" si="32"/>
        <v>0</v>
      </c>
      <c r="AF113" s="3">
        <f t="shared" si="33"/>
        <v>0</v>
      </c>
      <c r="BC113" s="3"/>
      <c r="BE113" s="3"/>
    </row>
    <row r="114" spans="1:57" hidden="1" outlineLevel="1" x14ac:dyDescent="0.25">
      <c r="A114" s="7" t="s">
        <v>495</v>
      </c>
      <c r="B114" s="62">
        <f>SUM(B93:B113)</f>
        <v>73000</v>
      </c>
      <c r="C114" s="32"/>
      <c r="D114" s="62">
        <f>SUM(D93:D113)</f>
        <v>0</v>
      </c>
      <c r="E114" s="62">
        <f>SUM(E93:E113)</f>
        <v>73000</v>
      </c>
      <c r="F114" s="62">
        <f>SUM(F93:F113)</f>
        <v>73000</v>
      </c>
      <c r="G114" s="32"/>
      <c r="H114" s="62">
        <f>SUM(H93:H113)</f>
        <v>0</v>
      </c>
      <c r="I114" s="32"/>
      <c r="J114" s="62">
        <f>SUM(J93:J113)</f>
        <v>0</v>
      </c>
      <c r="K114" s="62">
        <f>SUM(K93:K113)</f>
        <v>73000</v>
      </c>
      <c r="L114" s="62">
        <f>SUM(L93:L113)</f>
        <v>73000</v>
      </c>
      <c r="M114" s="32"/>
      <c r="N114" s="62">
        <f>SUM(N93:N113)</f>
        <v>0</v>
      </c>
      <c r="P114" s="62">
        <f>SUM(P93:P113)</f>
        <v>125000</v>
      </c>
      <c r="R114" s="62">
        <f t="shared" ref="R114:Z114" si="39">SUM(R93:R113)</f>
        <v>30394</v>
      </c>
      <c r="S114" s="62">
        <f t="shared" si="39"/>
        <v>94606</v>
      </c>
      <c r="T114" s="62">
        <f t="shared" si="39"/>
        <v>125000</v>
      </c>
      <c r="U114" s="62">
        <f t="shared" si="39"/>
        <v>0</v>
      </c>
      <c r="V114" s="62">
        <f t="shared" si="39"/>
        <v>48815</v>
      </c>
      <c r="W114" s="62">
        <f t="shared" si="39"/>
        <v>76185</v>
      </c>
      <c r="X114" s="62"/>
      <c r="Y114" s="62">
        <f t="shared" si="39"/>
        <v>125000</v>
      </c>
      <c r="Z114" s="62">
        <f t="shared" si="39"/>
        <v>0</v>
      </c>
      <c r="AC114" s="62">
        <f>SUM(AC93:AC113)</f>
        <v>54424</v>
      </c>
      <c r="AD114" s="62">
        <f>SUM(AD93:AD113)</f>
        <v>63076</v>
      </c>
      <c r="AE114" s="62">
        <f>SUM(AE93:AE113)</f>
        <v>117500</v>
      </c>
      <c r="AF114" s="62">
        <f>SUM(AF93:AF113)</f>
        <v>-7500</v>
      </c>
      <c r="AG114" s="32"/>
      <c r="AI114" s="62">
        <f>SUM(AI93:AI113)</f>
        <v>120000</v>
      </c>
      <c r="AK114" s="62">
        <f>SUM(AK93:AK113)</f>
        <v>130000</v>
      </c>
      <c r="AM114" s="62">
        <f>SUM(AM93:AM113)</f>
        <v>150000</v>
      </c>
      <c r="AO114" s="62">
        <f>SUM(AO93:AO113)</f>
        <v>150000</v>
      </c>
      <c r="AP114" s="62"/>
      <c r="AQ114" s="62">
        <f>SUM(AQ93:AQ113)</f>
        <v>160000</v>
      </c>
      <c r="AS114" s="62">
        <f>SUM(AS93:AS113)</f>
        <v>175000</v>
      </c>
      <c r="AU114" s="62">
        <f>SUM(AU93:AU113)</f>
        <v>175000</v>
      </c>
      <c r="AW114" s="62">
        <f>SUM(AW93:AW113)</f>
        <v>185000</v>
      </c>
      <c r="AY114" s="62">
        <f>SUM(AY93:AY113)</f>
        <v>200000</v>
      </c>
      <c r="BA114" s="62">
        <f>SUM(BA93:BA113)</f>
        <v>200000</v>
      </c>
      <c r="BC114" s="62">
        <f>SUM(BC93:BC113)</f>
        <v>200000</v>
      </c>
      <c r="BE114" s="62">
        <f>SUM(BE93:BE113)</f>
        <v>200000</v>
      </c>
    </row>
    <row r="115" spans="1:57" hidden="1" outlineLevel="1" x14ac:dyDescent="0.25">
      <c r="A115" s="3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P115" s="32"/>
      <c r="R115" s="32"/>
      <c r="S115" s="32"/>
      <c r="T115" s="32"/>
      <c r="U115" s="32"/>
      <c r="V115" s="32"/>
      <c r="W115" s="32"/>
      <c r="X115" s="32"/>
      <c r="Y115" s="32"/>
      <c r="Z115" s="32"/>
      <c r="AC115" s="32"/>
      <c r="AD115" s="32"/>
      <c r="AE115" s="32"/>
      <c r="AF115" s="32"/>
      <c r="AG115" s="32"/>
      <c r="AI115" s="32"/>
      <c r="AK115" s="32"/>
      <c r="AM115" s="32">
        <f>+B!AL1449</f>
        <v>150000</v>
      </c>
      <c r="AO115" s="32"/>
      <c r="AP115" s="32"/>
      <c r="AQ115" s="32"/>
      <c r="AS115" s="32"/>
      <c r="AU115" s="32"/>
      <c r="AW115" s="32"/>
      <c r="AY115" s="32"/>
      <c r="BA115" s="32"/>
      <c r="BC115" s="32"/>
      <c r="BE115" s="32"/>
    </row>
    <row r="116" spans="1:57" hidden="1" outlineLevel="1" x14ac:dyDescent="0.25">
      <c r="A116" s="7" t="s">
        <v>973</v>
      </c>
      <c r="BC116" s="3"/>
      <c r="BE116" s="3"/>
    </row>
    <row r="117" spans="1:57" hidden="1" outlineLevel="1" x14ac:dyDescent="0.25">
      <c r="A117" s="3" t="s">
        <v>974</v>
      </c>
      <c r="Z117" s="3">
        <f t="shared" ref="Z117:Z125" si="40">Y117-T117</f>
        <v>0</v>
      </c>
      <c r="BC117" s="3"/>
      <c r="BE117" s="3"/>
    </row>
    <row r="118" spans="1:57" hidden="1" outlineLevel="1" x14ac:dyDescent="0.25">
      <c r="A118" s="3" t="s">
        <v>975</v>
      </c>
      <c r="B118" s="3">
        <v>26000</v>
      </c>
      <c r="D118" s="3">
        <v>0</v>
      </c>
      <c r="E118" s="3">
        <f t="shared" ref="E118:E125" si="41">F118-D118</f>
        <v>26000</v>
      </c>
      <c r="F118" s="3">
        <v>26000</v>
      </c>
      <c r="H118" s="3">
        <f t="shared" ref="H118:H125" si="42">F118-B118</f>
        <v>0</v>
      </c>
      <c r="K118" s="4">
        <f t="shared" ref="K118:K125" si="43">L118-J118</f>
        <v>26000</v>
      </c>
      <c r="L118" s="4">
        <v>26000</v>
      </c>
      <c r="N118" s="4">
        <f t="shared" ref="N118:N125" si="44">L118-F118</f>
        <v>0</v>
      </c>
      <c r="P118" s="3">
        <v>18000</v>
      </c>
      <c r="S118" s="3">
        <f>T118-R118</f>
        <v>18000</v>
      </c>
      <c r="T118" s="3">
        <v>18000</v>
      </c>
      <c r="U118" s="3">
        <f>T118-P118</f>
        <v>0</v>
      </c>
      <c r="V118" s="3">
        <v>39</v>
      </c>
      <c r="W118" s="3">
        <f>Y118-V118</f>
        <v>17961</v>
      </c>
      <c r="Y118" s="3">
        <v>18000</v>
      </c>
      <c r="Z118" s="3">
        <f t="shared" si="40"/>
        <v>0</v>
      </c>
      <c r="AC118" s="3">
        <v>5924</v>
      </c>
      <c r="AD118" s="3">
        <f t="shared" ref="AD118:AD125" si="45">AE118-AC118</f>
        <v>9076</v>
      </c>
      <c r="AE118" s="3">
        <v>15000</v>
      </c>
      <c r="AF118" s="3">
        <f t="shared" ref="AF118:AF125" si="46">AE118-Y118</f>
        <v>-3000</v>
      </c>
      <c r="AI118" s="3">
        <v>16000</v>
      </c>
      <c r="AK118" s="3">
        <v>18000</v>
      </c>
      <c r="AM118" s="3">
        <v>18000</v>
      </c>
      <c r="AO118" s="3">
        <v>25000</v>
      </c>
      <c r="AQ118" s="3">
        <v>25000</v>
      </c>
      <c r="AR118" s="3"/>
      <c r="AS118" s="3">
        <v>25000</v>
      </c>
      <c r="AU118" s="3">
        <v>30000</v>
      </c>
      <c r="AW118" s="3">
        <v>30000</v>
      </c>
      <c r="AY118" s="3">
        <v>30000</v>
      </c>
      <c r="BA118" s="3">
        <v>30000</v>
      </c>
      <c r="BC118" s="3">
        <v>30000</v>
      </c>
      <c r="BE118" s="3">
        <v>30000</v>
      </c>
    </row>
    <row r="119" spans="1:57" hidden="1" outlineLevel="1" x14ac:dyDescent="0.25">
      <c r="A119" s="3" t="s">
        <v>976</v>
      </c>
      <c r="E119" s="3">
        <f t="shared" si="41"/>
        <v>0</v>
      </c>
      <c r="H119" s="3">
        <f t="shared" si="42"/>
        <v>0</v>
      </c>
      <c r="K119" s="4">
        <f t="shared" si="43"/>
        <v>0</v>
      </c>
      <c r="L119" s="4"/>
      <c r="N119" s="4">
        <f t="shared" si="44"/>
        <v>0</v>
      </c>
      <c r="Z119" s="3">
        <f t="shared" si="40"/>
        <v>0</v>
      </c>
      <c r="AD119" s="3">
        <f t="shared" si="45"/>
        <v>0</v>
      </c>
      <c r="AF119" s="3">
        <f t="shared" si="46"/>
        <v>0</v>
      </c>
      <c r="BC119" s="3"/>
      <c r="BE119" s="3"/>
    </row>
    <row r="120" spans="1:57" hidden="1" outlineLevel="1" x14ac:dyDescent="0.25">
      <c r="A120" s="3" t="s">
        <v>977</v>
      </c>
      <c r="E120" s="3">
        <f t="shared" si="41"/>
        <v>0</v>
      </c>
      <c r="H120" s="3">
        <f t="shared" si="42"/>
        <v>0</v>
      </c>
      <c r="K120" s="4">
        <f t="shared" si="43"/>
        <v>0</v>
      </c>
      <c r="L120" s="4"/>
      <c r="N120" s="4">
        <f t="shared" si="44"/>
        <v>0</v>
      </c>
      <c r="Z120" s="3">
        <f t="shared" si="40"/>
        <v>0</v>
      </c>
      <c r="AD120" s="3">
        <f t="shared" si="45"/>
        <v>0</v>
      </c>
      <c r="AF120" s="3">
        <f t="shared" si="46"/>
        <v>0</v>
      </c>
      <c r="BC120" s="3"/>
      <c r="BE120" s="3"/>
    </row>
    <row r="121" spans="1:57" hidden="1" outlineLevel="1" x14ac:dyDescent="0.25">
      <c r="A121" s="3" t="s">
        <v>978</v>
      </c>
      <c r="E121" s="3">
        <f t="shared" si="41"/>
        <v>0</v>
      </c>
      <c r="H121" s="3">
        <f t="shared" si="42"/>
        <v>0</v>
      </c>
      <c r="K121" s="4">
        <f t="shared" si="43"/>
        <v>0</v>
      </c>
      <c r="L121" s="4"/>
      <c r="N121" s="4">
        <f t="shared" si="44"/>
        <v>0</v>
      </c>
      <c r="Z121" s="3">
        <f t="shared" si="40"/>
        <v>0</v>
      </c>
      <c r="AD121" s="3">
        <f t="shared" si="45"/>
        <v>0</v>
      </c>
      <c r="AF121" s="3">
        <f t="shared" si="46"/>
        <v>0</v>
      </c>
      <c r="BC121" s="3"/>
      <c r="BE121" s="3"/>
    </row>
    <row r="122" spans="1:57" hidden="1" outlineLevel="1" x14ac:dyDescent="0.25">
      <c r="A122" s="3" t="s">
        <v>979</v>
      </c>
      <c r="E122" s="3">
        <f t="shared" si="41"/>
        <v>0</v>
      </c>
      <c r="H122" s="3">
        <f t="shared" si="42"/>
        <v>0</v>
      </c>
      <c r="K122" s="4">
        <f t="shared" si="43"/>
        <v>0</v>
      </c>
      <c r="L122" s="4"/>
      <c r="N122" s="4">
        <f t="shared" si="44"/>
        <v>0</v>
      </c>
      <c r="Z122" s="3">
        <f t="shared" si="40"/>
        <v>0</v>
      </c>
      <c r="AD122" s="3">
        <f t="shared" si="45"/>
        <v>0</v>
      </c>
      <c r="AF122" s="3">
        <f t="shared" si="46"/>
        <v>0</v>
      </c>
      <c r="BC122" s="3"/>
      <c r="BE122" s="3"/>
    </row>
    <row r="123" spans="1:57" hidden="1" outlineLevel="1" x14ac:dyDescent="0.25">
      <c r="A123" s="3" t="s">
        <v>980</v>
      </c>
      <c r="E123" s="3">
        <f t="shared" si="41"/>
        <v>0</v>
      </c>
      <c r="H123" s="3">
        <f t="shared" si="42"/>
        <v>0</v>
      </c>
      <c r="K123" s="4">
        <f t="shared" si="43"/>
        <v>0</v>
      </c>
      <c r="L123" s="4"/>
      <c r="N123" s="4">
        <f t="shared" si="44"/>
        <v>0</v>
      </c>
      <c r="Z123" s="3">
        <f t="shared" si="40"/>
        <v>0</v>
      </c>
      <c r="AD123" s="3">
        <f t="shared" si="45"/>
        <v>0</v>
      </c>
      <c r="AF123" s="3">
        <f t="shared" si="46"/>
        <v>0</v>
      </c>
      <c r="BC123" s="3"/>
      <c r="BE123" s="3"/>
    </row>
    <row r="124" spans="1:57" hidden="1" outlineLevel="1" x14ac:dyDescent="0.25">
      <c r="A124" s="3" t="s">
        <v>977</v>
      </c>
      <c r="E124" s="3">
        <f t="shared" si="41"/>
        <v>0</v>
      </c>
      <c r="H124" s="3">
        <f t="shared" si="42"/>
        <v>0</v>
      </c>
      <c r="K124" s="4">
        <f t="shared" si="43"/>
        <v>0</v>
      </c>
      <c r="L124" s="4"/>
      <c r="N124" s="4">
        <f t="shared" si="44"/>
        <v>0</v>
      </c>
      <c r="Z124" s="3">
        <f t="shared" si="40"/>
        <v>0</v>
      </c>
      <c r="AD124" s="3">
        <f t="shared" si="45"/>
        <v>0</v>
      </c>
      <c r="AF124" s="3">
        <f t="shared" si="46"/>
        <v>0</v>
      </c>
      <c r="BC124" s="3"/>
      <c r="BE124" s="3"/>
    </row>
    <row r="125" spans="1:57" hidden="1" outlineLevel="1" x14ac:dyDescent="0.25">
      <c r="A125" s="3" t="s">
        <v>981</v>
      </c>
      <c r="E125" s="3">
        <f t="shared" si="41"/>
        <v>0</v>
      </c>
      <c r="H125" s="3">
        <f t="shared" si="42"/>
        <v>0</v>
      </c>
      <c r="K125" s="4">
        <f t="shared" si="43"/>
        <v>0</v>
      </c>
      <c r="L125" s="4"/>
      <c r="N125" s="4">
        <f t="shared" si="44"/>
        <v>0</v>
      </c>
      <c r="Z125" s="3">
        <f t="shared" si="40"/>
        <v>0</v>
      </c>
      <c r="AD125" s="3">
        <f t="shared" si="45"/>
        <v>0</v>
      </c>
      <c r="AF125" s="3">
        <f t="shared" si="46"/>
        <v>0</v>
      </c>
      <c r="BC125" s="3"/>
      <c r="BE125" s="3"/>
    </row>
    <row r="126" spans="1:57" hidden="1" outlineLevel="1" x14ac:dyDescent="0.25">
      <c r="A126" s="7" t="s">
        <v>973</v>
      </c>
      <c r="B126" s="62">
        <f>SUM(B117:B125)</f>
        <v>26000</v>
      </c>
      <c r="C126" s="32"/>
      <c r="D126" s="62">
        <f>SUM(D117:D125)</f>
        <v>0</v>
      </c>
      <c r="E126" s="62">
        <f>SUM(E117:E125)</f>
        <v>26000</v>
      </c>
      <c r="F126" s="62">
        <f>SUM(F117:F125)</f>
        <v>26000</v>
      </c>
      <c r="G126" s="32"/>
      <c r="H126" s="62">
        <f>SUM(H117:H125)</f>
        <v>0</v>
      </c>
      <c r="I126" s="32"/>
      <c r="J126" s="62">
        <f>SUM(J117:J125)</f>
        <v>0</v>
      </c>
      <c r="K126" s="62">
        <f>SUM(K117:K125)</f>
        <v>26000</v>
      </c>
      <c r="L126" s="62">
        <f>SUM(L117:L125)</f>
        <v>26000</v>
      </c>
      <c r="M126" s="32"/>
      <c r="N126" s="62">
        <f>SUM(N117:N125)</f>
        <v>0</v>
      </c>
      <c r="P126" s="62">
        <f>SUM(P117:P125)</f>
        <v>18000</v>
      </c>
      <c r="R126" s="62">
        <f t="shared" ref="R126:Z126" si="47">SUM(R117:R125)</f>
        <v>0</v>
      </c>
      <c r="S126" s="62">
        <f t="shared" si="47"/>
        <v>18000</v>
      </c>
      <c r="T126" s="62">
        <f t="shared" si="47"/>
        <v>18000</v>
      </c>
      <c r="U126" s="62">
        <f t="shared" si="47"/>
        <v>0</v>
      </c>
      <c r="V126" s="62">
        <f t="shared" si="47"/>
        <v>39</v>
      </c>
      <c r="W126" s="62">
        <f t="shared" si="47"/>
        <v>17961</v>
      </c>
      <c r="X126" s="62"/>
      <c r="Y126" s="62">
        <f t="shared" si="47"/>
        <v>18000</v>
      </c>
      <c r="Z126" s="62">
        <f t="shared" si="47"/>
        <v>0</v>
      </c>
      <c r="AC126" s="62">
        <f>SUM(AC117:AC125)</f>
        <v>5924</v>
      </c>
      <c r="AD126" s="62">
        <f>SUM(AD117:AD125)</f>
        <v>9076</v>
      </c>
      <c r="AE126" s="62">
        <f>SUM(AE117:AE125)</f>
        <v>15000</v>
      </c>
      <c r="AF126" s="62">
        <f>SUM(AF117:AF125)</f>
        <v>-3000</v>
      </c>
      <c r="AG126" s="32"/>
      <c r="AI126" s="62">
        <f>SUM(AI117:AI125)</f>
        <v>16000</v>
      </c>
      <c r="AK126" s="62">
        <f>SUM(AK117:AK125)</f>
        <v>18000</v>
      </c>
      <c r="AM126" s="62">
        <f>SUM(AM117:AM125)</f>
        <v>18000</v>
      </c>
      <c r="AO126" s="62">
        <f>SUM(AO117:AO125)</f>
        <v>25000</v>
      </c>
      <c r="AP126" s="62"/>
      <c r="AQ126" s="62">
        <f>SUM(AQ117:AQ125)</f>
        <v>25000</v>
      </c>
      <c r="AS126" s="62">
        <f>SUM(AS117:AS125)</f>
        <v>25000</v>
      </c>
      <c r="AU126" s="62">
        <f>SUM(AU117:AU125)</f>
        <v>30000</v>
      </c>
      <c r="AW126" s="62">
        <f>SUM(AW117:AW125)</f>
        <v>30000</v>
      </c>
      <c r="AY126" s="62">
        <f>SUM(AY117:AY125)</f>
        <v>30000</v>
      </c>
      <c r="BA126" s="62">
        <f>SUM(BA117:BA125)</f>
        <v>30000</v>
      </c>
      <c r="BC126" s="62">
        <f>SUM(BC117:BC125)</f>
        <v>30000</v>
      </c>
      <c r="BE126" s="62">
        <f>SUM(BE117:BE125)</f>
        <v>30000</v>
      </c>
    </row>
    <row r="127" spans="1:57" hidden="1" outlineLevel="1" x14ac:dyDescent="0.25">
      <c r="A127" s="3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P127" s="32"/>
      <c r="R127" s="32"/>
      <c r="S127" s="32"/>
      <c r="T127" s="32"/>
      <c r="U127" s="32"/>
      <c r="V127" s="32"/>
      <c r="W127" s="32"/>
      <c r="X127" s="32"/>
      <c r="Y127" s="32"/>
      <c r="Z127" s="32"/>
      <c r="AC127" s="32"/>
      <c r="AD127" s="32"/>
      <c r="AE127" s="32"/>
      <c r="AF127" s="32"/>
      <c r="AG127" s="32"/>
      <c r="AI127" s="32"/>
      <c r="AK127" s="32"/>
      <c r="AM127" s="32">
        <f>+B!AL1460</f>
        <v>18000</v>
      </c>
      <c r="AO127" s="32"/>
      <c r="AP127" s="32"/>
      <c r="AQ127" s="32"/>
      <c r="AS127" s="32"/>
      <c r="AU127" s="32"/>
      <c r="AW127" s="32"/>
      <c r="AY127" s="32"/>
      <c r="BA127" s="32"/>
      <c r="BC127" s="32"/>
      <c r="BE127" s="32"/>
    </row>
    <row r="128" spans="1:57" hidden="1" outlineLevel="1" x14ac:dyDescent="0.25">
      <c r="A128" s="7" t="s">
        <v>57</v>
      </c>
      <c r="BC128" s="3"/>
      <c r="BE128" s="3"/>
    </row>
    <row r="129" spans="1:57" hidden="1" outlineLevel="1" x14ac:dyDescent="0.25">
      <c r="A129" s="3" t="s">
        <v>982</v>
      </c>
      <c r="BC129" s="3"/>
      <c r="BE129" s="3"/>
    </row>
    <row r="130" spans="1:57" hidden="1" outlineLevel="1" x14ac:dyDescent="0.25">
      <c r="A130" s="3" t="s">
        <v>983</v>
      </c>
      <c r="B130" s="3">
        <v>20000</v>
      </c>
      <c r="D130" s="3">
        <v>0</v>
      </c>
      <c r="E130" s="3">
        <f t="shared" ref="E130:E140" si="48">F130-D130</f>
        <v>20000</v>
      </c>
      <c r="F130" s="3">
        <v>20000</v>
      </c>
      <c r="H130" s="3">
        <f t="shared" ref="H130:H140" si="49">F130-B130</f>
        <v>0</v>
      </c>
      <c r="J130" s="3">
        <v>0</v>
      </c>
      <c r="K130" s="4">
        <f t="shared" ref="K130:K140" si="50">L130-J130</f>
        <v>20000</v>
      </c>
      <c r="L130" s="3">
        <v>20000</v>
      </c>
      <c r="N130" s="4">
        <f t="shared" ref="N130:N140" si="51">L130-F130</f>
        <v>0</v>
      </c>
      <c r="P130" s="3">
        <v>20000</v>
      </c>
      <c r="S130" s="3">
        <f t="shared" ref="S130:S140" si="52">T130-R130</f>
        <v>20000</v>
      </c>
      <c r="T130" s="3">
        <v>20000</v>
      </c>
      <c r="U130" s="3">
        <f t="shared" ref="U130:U140" si="53">T130-P130</f>
        <v>0</v>
      </c>
      <c r="W130" s="3">
        <f t="shared" ref="W130:W140" si="54">Y130-V130</f>
        <v>20000</v>
      </c>
      <c r="Y130" s="3">
        <v>20000</v>
      </c>
      <c r="Z130" s="3">
        <f t="shared" ref="Z130:Z140" si="55">Y130-T130</f>
        <v>0</v>
      </c>
      <c r="AD130" s="3">
        <f t="shared" ref="AD130:AD140" si="56">AE130-AC130</f>
        <v>20000</v>
      </c>
      <c r="AE130" s="3">
        <v>20000</v>
      </c>
      <c r="AF130" s="3">
        <f t="shared" ref="AF130:AF140" si="57">AE130-Y130</f>
        <v>0</v>
      </c>
      <c r="BC130" s="3"/>
      <c r="BE130" s="3"/>
    </row>
    <row r="131" spans="1:57" hidden="1" outlineLevel="1" x14ac:dyDescent="0.25">
      <c r="A131" s="3" t="s">
        <v>984</v>
      </c>
      <c r="E131" s="3">
        <f t="shared" si="48"/>
        <v>0</v>
      </c>
      <c r="H131" s="3">
        <f t="shared" si="49"/>
        <v>0</v>
      </c>
      <c r="K131" s="4">
        <f t="shared" si="50"/>
        <v>0</v>
      </c>
      <c r="N131" s="4">
        <f t="shared" si="51"/>
        <v>0</v>
      </c>
      <c r="S131" s="3">
        <f t="shared" si="52"/>
        <v>0</v>
      </c>
      <c r="U131" s="3">
        <f t="shared" si="53"/>
        <v>0</v>
      </c>
      <c r="W131" s="3">
        <f t="shared" si="54"/>
        <v>0</v>
      </c>
      <c r="Z131" s="3">
        <f t="shared" si="55"/>
        <v>0</v>
      </c>
      <c r="AD131" s="3">
        <f t="shared" si="56"/>
        <v>0</v>
      </c>
      <c r="AF131" s="3">
        <f t="shared" si="57"/>
        <v>0</v>
      </c>
      <c r="BC131" s="3"/>
      <c r="BE131" s="3"/>
    </row>
    <row r="132" spans="1:57" hidden="1" outlineLevel="1" x14ac:dyDescent="0.25">
      <c r="A132" s="3" t="s">
        <v>985</v>
      </c>
      <c r="B132" s="3">
        <v>27750</v>
      </c>
      <c r="D132" s="3">
        <v>0</v>
      </c>
      <c r="E132" s="3">
        <f t="shared" si="48"/>
        <v>27750</v>
      </c>
      <c r="F132" s="3">
        <v>27750</v>
      </c>
      <c r="H132" s="3">
        <f t="shared" si="49"/>
        <v>0</v>
      </c>
      <c r="J132" s="3">
        <v>0</v>
      </c>
      <c r="K132" s="4">
        <f t="shared" si="50"/>
        <v>27750</v>
      </c>
      <c r="L132" s="3">
        <v>27750</v>
      </c>
      <c r="N132" s="4">
        <f t="shared" si="51"/>
        <v>0</v>
      </c>
      <c r="P132" s="3">
        <f>L132*1.036+1</f>
        <v>28750</v>
      </c>
      <c r="S132" s="3">
        <f t="shared" si="52"/>
        <v>28750</v>
      </c>
      <c r="T132" s="3">
        <v>28750</v>
      </c>
      <c r="U132" s="3">
        <f t="shared" si="53"/>
        <v>0</v>
      </c>
      <c r="W132" s="3">
        <f t="shared" si="54"/>
        <v>28750</v>
      </c>
      <c r="Y132" s="3">
        <v>28750</v>
      </c>
      <c r="Z132" s="3">
        <f t="shared" si="55"/>
        <v>0</v>
      </c>
      <c r="AD132" s="3">
        <f t="shared" si="56"/>
        <v>28750</v>
      </c>
      <c r="AE132" s="3">
        <v>28750</v>
      </c>
      <c r="AF132" s="3">
        <f t="shared" si="57"/>
        <v>0</v>
      </c>
      <c r="AI132" s="3">
        <f>AE132*1.03+37</f>
        <v>29649.5</v>
      </c>
      <c r="AK132" s="3">
        <f>AI132*1.03</f>
        <v>30538.985000000001</v>
      </c>
      <c r="AM132" s="3">
        <f>AK132*1.03</f>
        <v>31455.154550000003</v>
      </c>
      <c r="AO132" s="3">
        <f>AM132*1.03</f>
        <v>32398.809186500002</v>
      </c>
      <c r="AQ132" s="3">
        <f>AO132*1.03</f>
        <v>33370.773462095007</v>
      </c>
      <c r="AS132" s="3">
        <f>AQ132*1.03</f>
        <v>34371.896665957858</v>
      </c>
      <c r="AU132" s="3">
        <f>AS132*1.03</f>
        <v>35403.053565936592</v>
      </c>
      <c r="AW132" s="3">
        <f>AU132*1.03</f>
        <v>36465.145172914694</v>
      </c>
      <c r="AY132" s="3">
        <f>AW132*1.03</f>
        <v>37559.099528102139</v>
      </c>
      <c r="BA132" s="3">
        <f>AY132*1.03</f>
        <v>38685.872513945207</v>
      </c>
      <c r="BC132" s="3">
        <f>BA132*1.03</f>
        <v>39846.448689363562</v>
      </c>
      <c r="BE132" s="3">
        <f>BC132*1.03</f>
        <v>41041.842150044467</v>
      </c>
    </row>
    <row r="133" spans="1:57" hidden="1" outlineLevel="1" x14ac:dyDescent="0.25">
      <c r="A133" s="3" t="s">
        <v>986</v>
      </c>
      <c r="E133" s="3">
        <f t="shared" si="48"/>
        <v>0</v>
      </c>
      <c r="H133" s="3">
        <f t="shared" si="49"/>
        <v>0</v>
      </c>
      <c r="K133" s="4">
        <f t="shared" si="50"/>
        <v>0</v>
      </c>
      <c r="N133" s="4">
        <f t="shared" si="51"/>
        <v>0</v>
      </c>
      <c r="S133" s="3">
        <f t="shared" si="52"/>
        <v>0</v>
      </c>
      <c r="U133" s="3">
        <f t="shared" si="53"/>
        <v>0</v>
      </c>
      <c r="W133" s="3">
        <f t="shared" si="54"/>
        <v>0</v>
      </c>
      <c r="Z133" s="3">
        <f t="shared" si="55"/>
        <v>0</v>
      </c>
      <c r="AD133" s="3">
        <f t="shared" si="56"/>
        <v>0</v>
      </c>
      <c r="AF133" s="3">
        <f t="shared" si="57"/>
        <v>0</v>
      </c>
      <c r="BC133" s="3"/>
      <c r="BE133" s="3"/>
    </row>
    <row r="134" spans="1:57" hidden="1" outlineLevel="1" x14ac:dyDescent="0.25">
      <c r="A134" s="3" t="s">
        <v>241</v>
      </c>
      <c r="B134" s="4">
        <v>49000</v>
      </c>
      <c r="C134" s="4"/>
      <c r="D134" s="4">
        <v>0</v>
      </c>
      <c r="E134" s="3">
        <f t="shared" si="48"/>
        <v>49000</v>
      </c>
      <c r="F134" s="3">
        <v>49000</v>
      </c>
      <c r="H134" s="3">
        <f t="shared" si="49"/>
        <v>0</v>
      </c>
      <c r="J134" s="3">
        <v>0</v>
      </c>
      <c r="K134" s="4">
        <f t="shared" si="50"/>
        <v>49000</v>
      </c>
      <c r="L134" s="3">
        <v>49000</v>
      </c>
      <c r="N134" s="4">
        <f t="shared" si="51"/>
        <v>0</v>
      </c>
      <c r="P134" s="32"/>
      <c r="S134" s="3">
        <f t="shared" si="52"/>
        <v>49000</v>
      </c>
      <c r="T134" s="3">
        <v>49000</v>
      </c>
      <c r="U134" s="3">
        <f t="shared" si="53"/>
        <v>49000</v>
      </c>
      <c r="W134" s="3">
        <f t="shared" si="54"/>
        <v>49000</v>
      </c>
      <c r="Y134" s="3">
        <v>49000</v>
      </c>
      <c r="Z134" s="3">
        <f t="shared" si="55"/>
        <v>0</v>
      </c>
      <c r="AD134" s="3">
        <f t="shared" si="56"/>
        <v>49000</v>
      </c>
      <c r="AE134" s="3">
        <v>49000</v>
      </c>
      <c r="AF134" s="3">
        <f t="shared" si="57"/>
        <v>0</v>
      </c>
      <c r="AI134" s="32"/>
      <c r="AJ134" s="32"/>
      <c r="AK134" s="32"/>
      <c r="AM134" s="32"/>
      <c r="AO134" s="32"/>
      <c r="AP134" s="32"/>
      <c r="AQ134" s="32"/>
      <c r="AS134" s="32"/>
      <c r="AU134" s="32"/>
      <c r="AW134" s="32"/>
      <c r="AY134" s="32"/>
      <c r="BA134" s="32"/>
      <c r="BC134" s="32"/>
      <c r="BE134" s="32"/>
    </row>
    <row r="135" spans="1:57" hidden="1" outlineLevel="1" x14ac:dyDescent="0.25">
      <c r="A135" s="3" t="s">
        <v>842</v>
      </c>
      <c r="E135" s="3">
        <f t="shared" si="48"/>
        <v>0</v>
      </c>
      <c r="H135" s="3">
        <f t="shared" si="49"/>
        <v>0</v>
      </c>
      <c r="K135" s="4">
        <f t="shared" si="50"/>
        <v>0</v>
      </c>
      <c r="N135" s="4">
        <f t="shared" si="51"/>
        <v>0</v>
      </c>
      <c r="S135" s="3">
        <f t="shared" si="52"/>
        <v>0</v>
      </c>
      <c r="U135" s="3">
        <f t="shared" si="53"/>
        <v>0</v>
      </c>
      <c r="W135" s="3">
        <f t="shared" si="54"/>
        <v>0</v>
      </c>
      <c r="Z135" s="3">
        <f t="shared" si="55"/>
        <v>0</v>
      </c>
      <c r="AD135" s="3">
        <f t="shared" si="56"/>
        <v>0</v>
      </c>
      <c r="AF135" s="3">
        <f t="shared" si="57"/>
        <v>0</v>
      </c>
      <c r="BC135" s="3"/>
      <c r="BE135" s="3"/>
    </row>
    <row r="136" spans="1:57" hidden="1" outlineLevel="1" x14ac:dyDescent="0.25">
      <c r="A136" s="3" t="s">
        <v>987</v>
      </c>
      <c r="K136" s="4"/>
      <c r="N136" s="4"/>
      <c r="S136" s="3">
        <f t="shared" si="52"/>
        <v>0</v>
      </c>
      <c r="U136" s="3">
        <f t="shared" si="53"/>
        <v>0</v>
      </c>
      <c r="W136" s="3">
        <f t="shared" si="54"/>
        <v>0</v>
      </c>
      <c r="Z136" s="3">
        <f t="shared" si="55"/>
        <v>0</v>
      </c>
      <c r="AD136" s="3">
        <f t="shared" si="56"/>
        <v>0</v>
      </c>
      <c r="AF136" s="3">
        <f t="shared" si="57"/>
        <v>0</v>
      </c>
      <c r="BC136" s="3"/>
      <c r="BE136" s="3"/>
    </row>
    <row r="137" spans="1:57" hidden="1" outlineLevel="1" x14ac:dyDescent="0.25">
      <c r="A137" s="3" t="s">
        <v>988</v>
      </c>
      <c r="B137" s="3">
        <v>20000</v>
      </c>
      <c r="D137" s="3">
        <v>0</v>
      </c>
      <c r="E137" s="3">
        <f t="shared" si="48"/>
        <v>20000</v>
      </c>
      <c r="F137" s="3">
        <v>20000</v>
      </c>
      <c r="H137" s="3">
        <f t="shared" si="49"/>
        <v>0</v>
      </c>
      <c r="J137" s="3">
        <v>0</v>
      </c>
      <c r="K137" s="4">
        <f t="shared" si="50"/>
        <v>20000</v>
      </c>
      <c r="L137" s="3">
        <v>20000</v>
      </c>
      <c r="N137" s="4">
        <f t="shared" si="51"/>
        <v>0</v>
      </c>
      <c r="S137" s="3">
        <f t="shared" si="52"/>
        <v>30000</v>
      </c>
      <c r="T137" s="3">
        <v>30000</v>
      </c>
      <c r="U137" s="3">
        <f t="shared" si="53"/>
        <v>30000</v>
      </c>
      <c r="W137" s="3">
        <f t="shared" si="54"/>
        <v>30000</v>
      </c>
      <c r="Y137" s="3">
        <v>30000</v>
      </c>
      <c r="Z137" s="3">
        <f t="shared" si="55"/>
        <v>0</v>
      </c>
      <c r="AD137" s="3">
        <f t="shared" si="56"/>
        <v>30000</v>
      </c>
      <c r="AE137" s="3">
        <v>30000</v>
      </c>
      <c r="AF137" s="3">
        <f t="shared" si="57"/>
        <v>0</v>
      </c>
      <c r="BC137" s="3"/>
      <c r="BE137" s="3"/>
    </row>
    <row r="138" spans="1:57" hidden="1" outlineLevel="1" x14ac:dyDescent="0.25">
      <c r="A138" s="3" t="s">
        <v>989</v>
      </c>
      <c r="E138" s="3">
        <f t="shared" si="48"/>
        <v>0</v>
      </c>
      <c r="H138" s="3">
        <f t="shared" si="49"/>
        <v>0</v>
      </c>
      <c r="K138" s="4">
        <f t="shared" si="50"/>
        <v>0</v>
      </c>
      <c r="N138" s="4">
        <f t="shared" si="51"/>
        <v>0</v>
      </c>
      <c r="S138" s="3">
        <f t="shared" si="52"/>
        <v>0</v>
      </c>
      <c r="U138" s="3">
        <f t="shared" si="53"/>
        <v>0</v>
      </c>
      <c r="W138" s="3">
        <f t="shared" si="54"/>
        <v>0</v>
      </c>
      <c r="Z138" s="3">
        <f t="shared" si="55"/>
        <v>0</v>
      </c>
      <c r="AD138" s="3">
        <f t="shared" si="56"/>
        <v>0</v>
      </c>
      <c r="AF138" s="3">
        <f t="shared" si="57"/>
        <v>0</v>
      </c>
      <c r="BC138" s="3"/>
      <c r="BE138" s="3"/>
    </row>
    <row r="139" spans="1:57" hidden="1" outlineLevel="1" x14ac:dyDescent="0.25">
      <c r="A139" s="3" t="s">
        <v>990</v>
      </c>
      <c r="E139" s="3">
        <f>F139-D139</f>
        <v>2000</v>
      </c>
      <c r="F139" s="3">
        <v>2000</v>
      </c>
      <c r="H139" s="3">
        <f>F139-B139</f>
        <v>2000</v>
      </c>
      <c r="J139" s="3">
        <v>0</v>
      </c>
      <c r="K139" s="4">
        <f t="shared" si="50"/>
        <v>2000</v>
      </c>
      <c r="L139" s="3">
        <v>2000</v>
      </c>
      <c r="N139" s="4">
        <f t="shared" si="51"/>
        <v>0</v>
      </c>
      <c r="S139" s="3">
        <f t="shared" si="52"/>
        <v>0</v>
      </c>
      <c r="U139" s="3">
        <f t="shared" si="53"/>
        <v>0</v>
      </c>
      <c r="W139" s="3">
        <f t="shared" si="54"/>
        <v>0</v>
      </c>
      <c r="Z139" s="3">
        <f t="shared" si="55"/>
        <v>0</v>
      </c>
      <c r="AD139" s="3">
        <f t="shared" si="56"/>
        <v>0</v>
      </c>
      <c r="AF139" s="3">
        <f t="shared" si="57"/>
        <v>0</v>
      </c>
      <c r="BC139" s="3"/>
      <c r="BE139" s="3"/>
    </row>
    <row r="140" spans="1:57" hidden="1" outlineLevel="1" x14ac:dyDescent="0.25">
      <c r="A140" s="3" t="s">
        <v>537</v>
      </c>
      <c r="B140" s="3">
        <v>87800</v>
      </c>
      <c r="D140" s="3">
        <v>0</v>
      </c>
      <c r="E140" s="3">
        <f t="shared" si="48"/>
        <v>87800</v>
      </c>
      <c r="F140" s="3">
        <v>87800</v>
      </c>
      <c r="H140" s="3">
        <f t="shared" si="49"/>
        <v>0</v>
      </c>
      <c r="J140" s="3">
        <v>25938</v>
      </c>
      <c r="K140" s="4">
        <f t="shared" si="50"/>
        <v>61862</v>
      </c>
      <c r="L140" s="3">
        <v>87800</v>
      </c>
      <c r="N140" s="4">
        <f t="shared" si="51"/>
        <v>0</v>
      </c>
      <c r="P140" s="3">
        <v>101000</v>
      </c>
      <c r="R140" s="3">
        <v>12710</v>
      </c>
      <c r="S140" s="3">
        <f t="shared" si="52"/>
        <v>88290</v>
      </c>
      <c r="T140" s="3">
        <v>101000</v>
      </c>
      <c r="U140" s="3">
        <f t="shared" si="53"/>
        <v>0</v>
      </c>
      <c r="V140" s="3">
        <v>27897</v>
      </c>
      <c r="W140" s="3">
        <f t="shared" si="54"/>
        <v>62103</v>
      </c>
      <c r="Y140" s="3">
        <v>90000</v>
      </c>
      <c r="Z140" s="3">
        <f t="shared" si="55"/>
        <v>-11000</v>
      </c>
      <c r="AC140" s="3">
        <f>42791+1454</f>
        <v>44245</v>
      </c>
      <c r="AD140" s="3">
        <f t="shared" si="56"/>
        <v>48255</v>
      </c>
      <c r="AE140" s="3">
        <v>92500</v>
      </c>
      <c r="AF140" s="3">
        <f t="shared" si="57"/>
        <v>2500</v>
      </c>
      <c r="AI140" s="3">
        <f>AE140*1.075-38</f>
        <v>99399.5</v>
      </c>
      <c r="AK140" s="3">
        <f>AI140*1.05</f>
        <v>104369.47500000001</v>
      </c>
      <c r="AM140" s="3">
        <f>AK140*1.03</f>
        <v>107500.55925000001</v>
      </c>
      <c r="AO140" s="3">
        <f>AM140*1.03</f>
        <v>110725.57602750001</v>
      </c>
      <c r="AQ140" s="3">
        <f>AO140*1.03</f>
        <v>114047.34330832501</v>
      </c>
      <c r="AS140" s="3">
        <f>AQ140*1.03</f>
        <v>117468.76360757477</v>
      </c>
      <c r="AU140" s="3">
        <f>AS140*1.03</f>
        <v>120992.82651580202</v>
      </c>
      <c r="AW140" s="3">
        <f>AU140*1.03</f>
        <v>124622.61131127608</v>
      </c>
      <c r="AY140" s="3">
        <f>AW140*1.03</f>
        <v>128361.28965061436</v>
      </c>
      <c r="BA140" s="3">
        <f>AY140*1.03</f>
        <v>132212.1283401328</v>
      </c>
      <c r="BC140" s="3">
        <f>BA140*1.03</f>
        <v>136178.49219033678</v>
      </c>
      <c r="BE140" s="3">
        <f>BC140*1.03</f>
        <v>140263.84695604688</v>
      </c>
    </row>
    <row r="141" spans="1:57" hidden="1" outlineLevel="1" x14ac:dyDescent="0.25">
      <c r="A141" s="7" t="s">
        <v>57</v>
      </c>
      <c r="B141" s="62">
        <f>SUM(B129:B140)</f>
        <v>204550</v>
      </c>
      <c r="C141" s="32"/>
      <c r="D141" s="62">
        <f>SUM(D129:D140)</f>
        <v>0</v>
      </c>
      <c r="E141" s="62">
        <f>SUM(E129:E140)</f>
        <v>206550</v>
      </c>
      <c r="F141" s="62">
        <f>SUM(F129:F140)</f>
        <v>206550</v>
      </c>
      <c r="G141" s="32"/>
      <c r="H141" s="62">
        <f>SUM(H129:H140)</f>
        <v>2000</v>
      </c>
      <c r="I141" s="32"/>
      <c r="J141" s="62">
        <f>SUM(J129:J140)</f>
        <v>25938</v>
      </c>
      <c r="K141" s="62">
        <f>SUM(K129:K140)</f>
        <v>180612</v>
      </c>
      <c r="L141" s="62">
        <f>SUM(L129:L140)</f>
        <v>206550</v>
      </c>
      <c r="M141" s="32"/>
      <c r="N141" s="62">
        <f>SUM(N129:N140)</f>
        <v>0</v>
      </c>
      <c r="P141" s="62">
        <f>SUM(P129:P140)</f>
        <v>149750</v>
      </c>
      <c r="R141" s="62">
        <f t="shared" ref="R141:Z141" si="58">SUM(R129:R140)</f>
        <v>12710</v>
      </c>
      <c r="S141" s="62">
        <f t="shared" si="58"/>
        <v>216040</v>
      </c>
      <c r="T141" s="62">
        <f t="shared" si="58"/>
        <v>228750</v>
      </c>
      <c r="U141" s="62">
        <f t="shared" si="58"/>
        <v>79000</v>
      </c>
      <c r="V141" s="62">
        <f t="shared" si="58"/>
        <v>27897</v>
      </c>
      <c r="W141" s="62">
        <f t="shared" si="58"/>
        <v>189853</v>
      </c>
      <c r="X141" s="62"/>
      <c r="Y141" s="62">
        <f t="shared" si="58"/>
        <v>217750</v>
      </c>
      <c r="Z141" s="62">
        <f t="shared" si="58"/>
        <v>-11000</v>
      </c>
      <c r="AC141" s="62">
        <f>SUM(AC129:AC140)</f>
        <v>44245</v>
      </c>
      <c r="AD141" s="62">
        <f>SUM(AD129:AD140)</f>
        <v>176005</v>
      </c>
      <c r="AE141" s="62">
        <f>SUM(AE129:AE140)</f>
        <v>220250</v>
      </c>
      <c r="AF141" s="62">
        <f>SUM(AF129:AF140)</f>
        <v>2500</v>
      </c>
      <c r="AG141" s="32"/>
      <c r="AI141" s="62">
        <f>SUM(AI129:AI140)</f>
        <v>129049</v>
      </c>
      <c r="AK141" s="62">
        <f>SUM(AK129:AK140)</f>
        <v>134908.46000000002</v>
      </c>
      <c r="AM141" s="62">
        <f>SUM(AM129:AM140)</f>
        <v>138955.7138</v>
      </c>
      <c r="AO141" s="62">
        <f>SUM(AO129:AO140)</f>
        <v>143124.38521400001</v>
      </c>
      <c r="AP141" s="62"/>
      <c r="AQ141" s="62">
        <f>SUM(AQ129:AQ140)</f>
        <v>147418.11677042002</v>
      </c>
      <c r="AS141" s="62">
        <f>SUM(AS129:AS140)</f>
        <v>151840.66027353262</v>
      </c>
      <c r="AU141" s="62">
        <f>SUM(AU129:AU140)</f>
        <v>156395.88008173861</v>
      </c>
      <c r="AW141" s="62">
        <f>SUM(AW129:AW140)</f>
        <v>161087.75648419076</v>
      </c>
      <c r="AY141" s="62">
        <f>SUM(AY129:AY140)</f>
        <v>165920.38917871649</v>
      </c>
      <c r="BA141" s="62">
        <f>SUM(BA129:BA140)</f>
        <v>170898.00085407801</v>
      </c>
      <c r="BC141" s="62">
        <f>SUM(BC129:BC140)</f>
        <v>176024.94087970036</v>
      </c>
      <c r="BE141" s="62">
        <f>SUM(BE129:BE140)</f>
        <v>181305.68910609133</v>
      </c>
    </row>
    <row r="142" spans="1:57" ht="15.75" collapsed="1" thickBot="1" x14ac:dyDescent="0.3">
      <c r="A142" s="7" t="s">
        <v>938</v>
      </c>
      <c r="B142" s="44">
        <f>B141+B126+B114</f>
        <v>303550</v>
      </c>
      <c r="C142" s="32"/>
      <c r="D142" s="44">
        <f>D141+D126+D114</f>
        <v>0</v>
      </c>
      <c r="E142" s="44">
        <f>E141+E126+E114</f>
        <v>305550</v>
      </c>
      <c r="F142" s="44">
        <f>F141+F126+F114</f>
        <v>305550</v>
      </c>
      <c r="G142" s="32"/>
      <c r="H142" s="44">
        <f>H141+H126+H114</f>
        <v>2000</v>
      </c>
      <c r="I142" s="32"/>
      <c r="J142" s="44">
        <f>J141+J126+J114</f>
        <v>25938</v>
      </c>
      <c r="K142" s="44">
        <f>K141+K126+K114</f>
        <v>279612</v>
      </c>
      <c r="L142" s="44">
        <f>L141+L126+L114</f>
        <v>305550</v>
      </c>
      <c r="M142" s="32"/>
      <c r="N142" s="44">
        <f>N141+N126+N114</f>
        <v>0</v>
      </c>
      <c r="P142" s="44">
        <f>P141+P126+P114</f>
        <v>292750</v>
      </c>
      <c r="R142" s="44">
        <f t="shared" ref="R142:Z142" si="59">R141+R126+R114</f>
        <v>43104</v>
      </c>
      <c r="S142" s="44">
        <f t="shared" si="59"/>
        <v>328646</v>
      </c>
      <c r="T142" s="44">
        <f t="shared" si="59"/>
        <v>371750</v>
      </c>
      <c r="U142" s="44">
        <f t="shared" si="59"/>
        <v>79000</v>
      </c>
      <c r="V142" s="44">
        <f t="shared" si="59"/>
        <v>76751</v>
      </c>
      <c r="W142" s="44">
        <f t="shared" si="59"/>
        <v>283999</v>
      </c>
      <c r="X142" s="44"/>
      <c r="Y142" s="44">
        <f t="shared" si="59"/>
        <v>360750</v>
      </c>
      <c r="Z142" s="44">
        <f t="shared" si="59"/>
        <v>-11000</v>
      </c>
      <c r="AC142" s="44">
        <f>AC141+AC126+AC114</f>
        <v>104593</v>
      </c>
      <c r="AD142" s="44">
        <f>AD141+AD126+AD114</f>
        <v>248157</v>
      </c>
      <c r="AE142" s="44">
        <f>AE141+AE126+AE114</f>
        <v>352750</v>
      </c>
      <c r="AF142" s="44">
        <f>AF141+AF126+AF114</f>
        <v>-8000</v>
      </c>
      <c r="AG142" s="32"/>
      <c r="AI142" s="44">
        <f>AI141+AI126+AI114</f>
        <v>265049</v>
      </c>
      <c r="AK142" s="44">
        <f>AK141+AK126+AK114</f>
        <v>282908.46000000002</v>
      </c>
      <c r="AM142" s="44">
        <f>AM141+AM126+AM114</f>
        <v>306955.71380000003</v>
      </c>
      <c r="AO142" s="44">
        <f>AO141+AO126+AO114</f>
        <v>318124.38521400001</v>
      </c>
      <c r="AP142" s="44"/>
      <c r="AQ142" s="44">
        <f>AQ141+AQ126+AQ114</f>
        <v>332418.11677041999</v>
      </c>
      <c r="AS142" s="44">
        <f>AS141+AS126+AS114</f>
        <v>351840.66027353262</v>
      </c>
      <c r="AU142" s="44">
        <f>AU141+AU126+AU114</f>
        <v>361395.88008173858</v>
      </c>
      <c r="AW142" s="44">
        <f>AW141+AW126+AW114</f>
        <v>376087.75648419076</v>
      </c>
      <c r="AY142" s="44">
        <f>AY141+AY126+AY114</f>
        <v>395920.38917871646</v>
      </c>
      <c r="BA142" s="44">
        <f>BA141+BA126+BA114</f>
        <v>400898.00085407798</v>
      </c>
      <c r="BC142" s="44">
        <f>BC141+BC126+BC114</f>
        <v>406024.94087970036</v>
      </c>
      <c r="BE142" s="44">
        <f>BE141+BE126+BE114</f>
        <v>411305.68910609133</v>
      </c>
    </row>
    <row r="143" spans="1:57" ht="15.75" thickTop="1" x14ac:dyDescent="0.25">
      <c r="A143" s="3"/>
      <c r="BC143" s="3"/>
      <c r="BE143" s="3"/>
    </row>
    <row r="144" spans="1:57" ht="15.75" thickBot="1" x14ac:dyDescent="0.3">
      <c r="A144" s="7" t="s">
        <v>992</v>
      </c>
      <c r="B144" s="44">
        <f>B142+B82+B77+B73+B89</f>
        <v>369450</v>
      </c>
      <c r="C144" s="32"/>
      <c r="D144" s="44">
        <f>D142+D82+D77+D73+D89</f>
        <v>12369</v>
      </c>
      <c r="E144" s="44">
        <f>E142+E82+E77+E73+E89</f>
        <v>359081</v>
      </c>
      <c r="F144" s="44">
        <f>F142+F82+F77+F73+F89</f>
        <v>371450</v>
      </c>
      <c r="G144" s="32"/>
      <c r="H144" s="44">
        <f>H142+H82+H77+H73+H89</f>
        <v>2000</v>
      </c>
      <c r="I144" s="32"/>
      <c r="J144" s="44">
        <f>J142+J82+J77+J73+J89</f>
        <v>44822</v>
      </c>
      <c r="K144" s="44">
        <f>K142+K82+K77+K73+K89</f>
        <v>325328</v>
      </c>
      <c r="L144" s="44">
        <f>L142+L82+L77+L73+L89</f>
        <v>370150</v>
      </c>
      <c r="M144" s="32"/>
      <c r="N144" s="44">
        <f>N142+N82+N77+N73+N89</f>
        <v>-1300</v>
      </c>
      <c r="P144" s="44">
        <f>P142+P82+P77+P73+P89</f>
        <v>357740.5</v>
      </c>
      <c r="R144" s="44">
        <f t="shared" ref="R144:Z144" si="60">R142+R82+R77+R73+R89</f>
        <v>60242</v>
      </c>
      <c r="S144" s="44">
        <f t="shared" si="60"/>
        <v>391518</v>
      </c>
      <c r="T144" s="44">
        <f t="shared" si="60"/>
        <v>451760</v>
      </c>
      <c r="U144" s="44">
        <f t="shared" si="60"/>
        <v>94019.5</v>
      </c>
      <c r="V144" s="44">
        <f t="shared" si="60"/>
        <v>100264</v>
      </c>
      <c r="W144" s="44">
        <f t="shared" si="60"/>
        <v>313046</v>
      </c>
      <c r="X144" s="44"/>
      <c r="Y144" s="44">
        <f t="shared" si="60"/>
        <v>439060</v>
      </c>
      <c r="Z144" s="44">
        <f t="shared" si="60"/>
        <v>-12700</v>
      </c>
      <c r="AC144" s="44">
        <f>AC142+AC82+AC77+AC73+AC89</f>
        <v>146053</v>
      </c>
      <c r="AD144" s="44">
        <f>AD142+AD82+AD77+AD73+AD89</f>
        <v>280097</v>
      </c>
      <c r="AE144" s="44">
        <f>AE142+AE82+AE77+AE73+AE89</f>
        <v>426150</v>
      </c>
      <c r="AF144" s="44">
        <f>AF142+AF82+AF77+AF73+AF89</f>
        <v>-12910</v>
      </c>
      <c r="AG144" s="32"/>
      <c r="AI144" s="44">
        <f>AI142+AI82+AI77+AI73+AI89</f>
        <v>320348.7</v>
      </c>
      <c r="AK144" s="44">
        <f>AK142+AK82+AK77+AK73+AK89</f>
        <v>335150.15100000001</v>
      </c>
      <c r="AM144" s="44">
        <f>AM142+AM82+AM77+AM73+AM89</f>
        <v>401219.30553000001</v>
      </c>
      <c r="AO144" s="44">
        <f>AO142+AO82+AO77+AO73+AO89</f>
        <v>374493.26719589997</v>
      </c>
      <c r="AP144" s="44"/>
      <c r="AQ144" s="44">
        <f>AQ142+AQ82+AQ77+AQ73+AQ89</f>
        <v>390979.31683677703</v>
      </c>
      <c r="AS144" s="44">
        <f>AS142+AS82+AS77+AS73+AS89</f>
        <v>412685.01054813032</v>
      </c>
      <c r="AU144" s="44">
        <f>AU142+AU82+AU77+AU73+AU89</f>
        <v>424618.19078113674</v>
      </c>
      <c r="AW144" s="44">
        <f>AW142+AW82+AW77+AW73+AW89</f>
        <v>441786.9979169615</v>
      </c>
      <c r="AY144" s="44">
        <f>AY142+AY82+AY77+AY73+AY89</f>
        <v>464199.88233748043</v>
      </c>
      <c r="BA144" s="44">
        <f>BA142+BA82+BA77+BA73+BA89</f>
        <v>471865.61701476556</v>
      </c>
      <c r="BC144" s="44">
        <f>BC142+BC82+BC77+BC73+BC89</f>
        <v>479793.31064272724</v>
      </c>
      <c r="BE144" s="44">
        <f>BE142+BE82+BE77+BE73+BE89</f>
        <v>487992.42133540369</v>
      </c>
    </row>
    <row r="145" spans="1:57" ht="15.75" thickTop="1" x14ac:dyDescent="0.25">
      <c r="A145" s="3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P145" s="32"/>
      <c r="R145" s="32"/>
      <c r="S145" s="32"/>
      <c r="T145" s="32"/>
      <c r="U145" s="32"/>
      <c r="V145" s="32"/>
      <c r="W145" s="32"/>
      <c r="X145" s="32"/>
      <c r="Y145" s="32"/>
      <c r="Z145" s="32"/>
      <c r="AC145" s="32"/>
      <c r="AD145" s="32"/>
      <c r="AE145" s="32"/>
      <c r="AF145" s="32"/>
      <c r="AG145" s="32"/>
      <c r="AI145" s="32"/>
      <c r="AK145" s="32"/>
      <c r="AM145" s="32"/>
      <c r="AO145" s="32"/>
      <c r="AP145" s="32"/>
      <c r="AQ145" s="32"/>
      <c r="AS145" s="32"/>
      <c r="AU145" s="32"/>
      <c r="AW145" s="32"/>
      <c r="AY145" s="32"/>
      <c r="BA145" s="32"/>
      <c r="BC145" s="32"/>
      <c r="BE145" s="32"/>
    </row>
    <row r="146" spans="1:57" ht="15.75" thickBot="1" x14ac:dyDescent="0.3">
      <c r="A146" s="286" t="s">
        <v>1246</v>
      </c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P146" s="32"/>
      <c r="R146" s="32"/>
      <c r="S146" s="32"/>
      <c r="T146" s="32"/>
      <c r="U146" s="32"/>
      <c r="V146" s="32"/>
      <c r="W146" s="32"/>
      <c r="X146" s="32"/>
      <c r="Y146" s="32"/>
      <c r="Z146" s="32"/>
      <c r="AC146" s="32"/>
      <c r="AD146" s="32"/>
      <c r="AE146" s="32"/>
      <c r="AF146" s="32"/>
      <c r="AG146" s="32"/>
      <c r="AI146" s="44">
        <f>+AI66-AI144</f>
        <v>950.45000000001164</v>
      </c>
      <c r="AK146" s="44">
        <f>+AK66-AK144</f>
        <v>-6298.2715500000631</v>
      </c>
      <c r="AM146" s="44">
        <f>+AM66-AM144</f>
        <v>-62342.4499581501</v>
      </c>
      <c r="AO146" s="44">
        <f>+AO66-AO144</f>
        <v>-24830.147187678958</v>
      </c>
      <c r="AP146" s="32"/>
      <c r="AQ146" s="44">
        <f>+AQ66-AQ144</f>
        <v>-31260.06871072232</v>
      </c>
      <c r="AS146" s="44">
        <f>+AS66-AS144</f>
        <v>-43880.913447414234</v>
      </c>
      <c r="AU146" s="44">
        <f>+AU66-AU144</f>
        <v>-46441.375594932935</v>
      </c>
      <c r="AW146" s="44">
        <f>+AW66-AW144</f>
        <v>-53940.146626419853</v>
      </c>
      <c r="AY146" s="44">
        <f>+AY66-AY144</f>
        <v>-66375.917471077875</v>
      </c>
      <c r="BA146" s="44">
        <f>+BA66-BA144</f>
        <v>-63747.38088741689</v>
      </c>
      <c r="BC146" s="44">
        <f>+BC66-BC144</f>
        <v>-61053.234042312368</v>
      </c>
      <c r="BE146" s="44">
        <f>+BE66-BE144</f>
        <v>-58292.181309289823</v>
      </c>
    </row>
    <row r="147" spans="1:57" ht="15.75" thickTop="1" x14ac:dyDescent="0.25">
      <c r="A147" s="3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P147" s="32"/>
      <c r="R147" s="32"/>
      <c r="S147" s="32"/>
      <c r="T147" s="32"/>
      <c r="U147" s="32"/>
      <c r="V147" s="32"/>
      <c r="W147" s="32"/>
      <c r="X147" s="32"/>
      <c r="Y147" s="32"/>
      <c r="Z147" s="32"/>
      <c r="AC147" s="32"/>
      <c r="AD147" s="32"/>
      <c r="AE147" s="32"/>
      <c r="AF147" s="32"/>
      <c r="AG147" s="32"/>
      <c r="AI147" s="32"/>
      <c r="AK147" s="32"/>
      <c r="AM147" s="32"/>
      <c r="AO147" s="32"/>
      <c r="AP147" s="32"/>
      <c r="AQ147" s="32"/>
      <c r="AS147" s="32"/>
      <c r="AU147" s="32"/>
      <c r="AW147" s="32"/>
      <c r="AY147" s="32"/>
      <c r="BA147" s="32"/>
      <c r="BC147" s="32"/>
      <c r="BE147" s="32"/>
    </row>
    <row r="148" spans="1:57" x14ac:dyDescent="0.25">
      <c r="A148" s="7" t="s">
        <v>845</v>
      </c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32"/>
      <c r="N148" s="7"/>
      <c r="P148" s="7"/>
      <c r="R148" s="7"/>
      <c r="S148" s="7"/>
      <c r="T148" s="7"/>
      <c r="U148" s="7"/>
      <c r="V148" s="7"/>
      <c r="W148" s="7"/>
      <c r="X148" s="7"/>
      <c r="Y148" s="7"/>
      <c r="Z148" s="7"/>
      <c r="AC148" s="7"/>
      <c r="AD148" s="7"/>
      <c r="AE148" s="7"/>
      <c r="AF148" s="7"/>
      <c r="AG148" s="7"/>
      <c r="AI148" s="7"/>
      <c r="AK148" s="7"/>
      <c r="AM148" s="7"/>
      <c r="AO148" s="7"/>
      <c r="AP148" s="7"/>
      <c r="AQ148" s="7"/>
      <c r="AS148" s="7"/>
      <c r="AU148" s="7"/>
      <c r="AW148" s="7"/>
      <c r="AY148" s="7"/>
      <c r="BA148" s="7"/>
      <c r="BC148" s="7"/>
      <c r="BE148" s="7"/>
    </row>
    <row r="149" spans="1:57" x14ac:dyDescent="0.25">
      <c r="A149" s="3" t="s">
        <v>991</v>
      </c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32"/>
      <c r="N149" s="7"/>
      <c r="P149" s="7"/>
      <c r="R149" s="7"/>
      <c r="S149" s="7"/>
      <c r="T149" s="7"/>
      <c r="U149" s="7"/>
      <c r="V149" s="7"/>
      <c r="W149" s="7"/>
      <c r="X149" s="7"/>
      <c r="Y149" s="7"/>
      <c r="Z149" s="7"/>
      <c r="AC149" s="7"/>
      <c r="AD149" s="7"/>
      <c r="AE149" s="7"/>
      <c r="AF149" s="7"/>
      <c r="AG149" s="7"/>
      <c r="AI149" s="7"/>
      <c r="AK149" s="7"/>
      <c r="AM149" s="7"/>
      <c r="AO149" s="7"/>
      <c r="AP149" s="7"/>
      <c r="AQ149" s="7"/>
      <c r="AS149" s="7"/>
      <c r="AU149" s="7"/>
      <c r="AW149" s="7"/>
      <c r="AY149" s="7"/>
      <c r="BA149" s="7"/>
      <c r="BC149" s="7"/>
      <c r="BE149" s="7"/>
    </row>
    <row r="150" spans="1:57" ht="15.75" thickBot="1" x14ac:dyDescent="0.3">
      <c r="A150" s="7" t="s">
        <v>1255</v>
      </c>
      <c r="B150" s="44">
        <f>B149+B144</f>
        <v>369450</v>
      </c>
      <c r="C150" s="32"/>
      <c r="D150" s="44">
        <f>D149+D144</f>
        <v>12369</v>
      </c>
      <c r="E150" s="44">
        <f>E149+E144</f>
        <v>359081</v>
      </c>
      <c r="F150" s="44">
        <f>F149+F144</f>
        <v>371450</v>
      </c>
      <c r="G150" s="32"/>
      <c r="H150" s="44">
        <f>H149+H144</f>
        <v>2000</v>
      </c>
      <c r="I150" s="32"/>
      <c r="J150" s="44">
        <f>J149+J144</f>
        <v>44822</v>
      </c>
      <c r="K150" s="44">
        <f>K149+K144</f>
        <v>325328</v>
      </c>
      <c r="L150" s="44">
        <f>L149+L144</f>
        <v>370150</v>
      </c>
      <c r="M150" s="32"/>
      <c r="N150" s="44">
        <f>N149+N144</f>
        <v>-1300</v>
      </c>
      <c r="P150" s="44">
        <f>P149+P144</f>
        <v>357740.5</v>
      </c>
      <c r="R150" s="44">
        <f t="shared" ref="R150:Z150" si="61">R149+R144</f>
        <v>60242</v>
      </c>
      <c r="S150" s="44">
        <f t="shared" si="61"/>
        <v>391518</v>
      </c>
      <c r="T150" s="44">
        <f t="shared" si="61"/>
        <v>451760</v>
      </c>
      <c r="U150" s="44">
        <f t="shared" si="61"/>
        <v>94019.5</v>
      </c>
      <c r="V150" s="44">
        <f t="shared" si="61"/>
        <v>100264</v>
      </c>
      <c r="W150" s="44">
        <f t="shared" si="61"/>
        <v>313046</v>
      </c>
      <c r="X150" s="44"/>
      <c r="Y150" s="44">
        <f t="shared" si="61"/>
        <v>439060</v>
      </c>
      <c r="Z150" s="44">
        <f t="shared" si="61"/>
        <v>-12700</v>
      </c>
      <c r="AC150" s="44">
        <f>AC149+AC144</f>
        <v>146053</v>
      </c>
      <c r="AD150" s="44">
        <f>AD149+AD144</f>
        <v>280097</v>
      </c>
      <c r="AE150" s="44">
        <f>AE149+AE144</f>
        <v>426150</v>
      </c>
      <c r="AF150" s="44">
        <f>AF149+AF144</f>
        <v>-12910</v>
      </c>
      <c r="AG150" s="32"/>
      <c r="AI150" s="44">
        <f>+AI149</f>
        <v>0</v>
      </c>
      <c r="AK150" s="44">
        <f>+AK149</f>
        <v>0</v>
      </c>
      <c r="AM150" s="44">
        <f>+AM149</f>
        <v>0</v>
      </c>
      <c r="AO150" s="44">
        <f>+AO149</f>
        <v>0</v>
      </c>
      <c r="AP150" s="44"/>
      <c r="AQ150" s="44">
        <f>+AQ149</f>
        <v>0</v>
      </c>
      <c r="AS150" s="44">
        <f>+AS149</f>
        <v>0</v>
      </c>
      <c r="AU150" s="44">
        <f>+AU149</f>
        <v>0</v>
      </c>
      <c r="AW150" s="44">
        <f>+AW149</f>
        <v>0</v>
      </c>
      <c r="AY150" s="44">
        <f>+AY149</f>
        <v>0</v>
      </c>
      <c r="BA150" s="44">
        <f>+BA149</f>
        <v>0</v>
      </c>
      <c r="BC150" s="44">
        <f>+BC149</f>
        <v>0</v>
      </c>
      <c r="BE150" s="44">
        <f>+BE149</f>
        <v>0</v>
      </c>
    </row>
    <row r="151" spans="1:57" ht="15.75" thickTop="1" x14ac:dyDescent="0.25">
      <c r="A151" s="32"/>
      <c r="BC151" s="3"/>
      <c r="BE151" s="3"/>
    </row>
    <row r="152" spans="1:57" ht="15.75" thickBot="1" x14ac:dyDescent="0.3">
      <c r="A152" s="286" t="s">
        <v>1247</v>
      </c>
      <c r="AI152" s="44">
        <f>+AI146-AI150</f>
        <v>950.45000000001164</v>
      </c>
      <c r="AK152" s="44">
        <f>+AK146-AK150</f>
        <v>-6298.2715500000631</v>
      </c>
      <c r="AM152" s="44">
        <f>+AM146-AM150</f>
        <v>-62342.4499581501</v>
      </c>
      <c r="AO152" s="44">
        <f>+AO146-AO150</f>
        <v>-24830.147187678958</v>
      </c>
      <c r="AQ152" s="44">
        <f>+AQ146-AQ150</f>
        <v>-31260.06871072232</v>
      </c>
      <c r="AS152" s="44">
        <f>+AS146-AS150</f>
        <v>-43880.913447414234</v>
      </c>
      <c r="AU152" s="44">
        <f>+AU146-AU150</f>
        <v>-46441.375594932935</v>
      </c>
      <c r="AW152" s="44">
        <f>+AW146-AW150</f>
        <v>-53940.146626419853</v>
      </c>
      <c r="AY152" s="44">
        <f>+AY146-AY150</f>
        <v>-66375.917471077875</v>
      </c>
      <c r="BA152" s="44">
        <f>+BA146-BA150</f>
        <v>-63747.38088741689</v>
      </c>
      <c r="BC152" s="44">
        <f>+BC146-BC150</f>
        <v>-61053.234042312368</v>
      </c>
      <c r="BE152" s="44">
        <f>+BE146-BE150</f>
        <v>-58292.181309289823</v>
      </c>
    </row>
    <row r="153" spans="1:57" ht="15.75" thickTop="1" x14ac:dyDescent="0.25">
      <c r="A153" s="3"/>
      <c r="BC153" s="3"/>
      <c r="BE153" s="3"/>
    </row>
    <row r="154" spans="1:57" x14ac:dyDescent="0.25">
      <c r="A154" s="3" t="s">
        <v>1244</v>
      </c>
      <c r="AI154" s="3">
        <f>+AI62</f>
        <v>750</v>
      </c>
      <c r="AK154" s="3">
        <f>+AK62</f>
        <v>750</v>
      </c>
      <c r="AM154" s="3">
        <f>+AM62</f>
        <v>750</v>
      </c>
      <c r="AO154" s="3">
        <f>+AO62</f>
        <v>750</v>
      </c>
      <c r="AQ154" s="3">
        <f>+AQ62</f>
        <v>750</v>
      </c>
      <c r="AS154" s="3">
        <f>+AS62</f>
        <v>750</v>
      </c>
      <c r="AU154" s="3">
        <f>+AU62</f>
        <v>750</v>
      </c>
      <c r="AW154" s="3">
        <f>+AW62</f>
        <v>750</v>
      </c>
      <c r="AY154" s="3">
        <f>+AY62</f>
        <v>750</v>
      </c>
      <c r="BA154" s="3">
        <f>+BA62</f>
        <v>750</v>
      </c>
      <c r="BC154" s="3">
        <f>+BC62</f>
        <v>750</v>
      </c>
      <c r="BE154" s="3">
        <f>+BE62</f>
        <v>750</v>
      </c>
    </row>
    <row r="155" spans="1:57" x14ac:dyDescent="0.25">
      <c r="A155" s="3"/>
      <c r="BC155" s="3"/>
      <c r="BE155" s="3"/>
    </row>
    <row r="156" spans="1:57" ht="15.75" thickBot="1" x14ac:dyDescent="0.3">
      <c r="A156" s="286" t="s">
        <v>1248</v>
      </c>
      <c r="AI156" s="44">
        <f>+AI152+AI154</f>
        <v>1700.4500000000116</v>
      </c>
      <c r="AK156" s="44">
        <f>+AK152+AK154</f>
        <v>-5548.2715500000631</v>
      </c>
      <c r="AM156" s="44">
        <f>+AM152+AM154</f>
        <v>-61592.4499581501</v>
      </c>
      <c r="AO156" s="44">
        <f>+AO152+AO154</f>
        <v>-24080.147187678958</v>
      </c>
      <c r="AQ156" s="44">
        <f>+AQ152+AQ154</f>
        <v>-30510.06871072232</v>
      </c>
      <c r="AS156" s="44">
        <f>+AS152+AS154</f>
        <v>-43130.913447414234</v>
      </c>
      <c r="AU156" s="44">
        <f>+AU152+AU154</f>
        <v>-45691.375594932935</v>
      </c>
      <c r="AW156" s="44">
        <f>+AW152+AW154</f>
        <v>-53190.146626419853</v>
      </c>
      <c r="AY156" s="44">
        <f>+AY152+AY154</f>
        <v>-65625.917471077875</v>
      </c>
      <c r="BA156" s="44">
        <f>+BA152+BA154</f>
        <v>-62997.38088741689</v>
      </c>
      <c r="BC156" s="44">
        <f>+BC152+BC154</f>
        <v>-60303.234042312368</v>
      </c>
      <c r="BE156" s="44">
        <f>+BE152+BE154</f>
        <v>-57542.181309289823</v>
      </c>
    </row>
    <row r="157" spans="1:57" ht="15.75" thickTop="1" x14ac:dyDescent="0.25">
      <c r="BC157" s="3"/>
      <c r="BE157" s="3"/>
    </row>
    <row r="158" spans="1:57" x14ac:dyDescent="0.25">
      <c r="A158" s="461" t="s">
        <v>1249</v>
      </c>
      <c r="B158" s="461"/>
      <c r="C158" s="461"/>
      <c r="D158" s="461"/>
      <c r="E158" s="461"/>
      <c r="F158" s="461"/>
      <c r="G158" s="461"/>
      <c r="H158" s="461"/>
      <c r="I158" s="461"/>
      <c r="J158" s="461"/>
      <c r="K158" s="461"/>
      <c r="L158" s="461"/>
      <c r="M158" s="461"/>
      <c r="N158" s="461"/>
      <c r="O158" s="461"/>
      <c r="P158" s="461"/>
      <c r="Q158" s="461"/>
      <c r="R158" s="461"/>
      <c r="S158" s="461"/>
      <c r="T158" s="461"/>
      <c r="U158" s="461"/>
      <c r="V158" s="461"/>
      <c r="W158" s="461"/>
      <c r="X158" s="461"/>
      <c r="Y158" s="461"/>
      <c r="Z158" s="461"/>
      <c r="AA158" s="461"/>
      <c r="AB158" s="461"/>
      <c r="AC158" s="461"/>
      <c r="AD158" s="461"/>
      <c r="AE158" s="461"/>
      <c r="AF158" s="461"/>
      <c r="AG158" s="461"/>
      <c r="AH158" s="461"/>
      <c r="AI158" s="461"/>
      <c r="AJ158" s="461"/>
      <c r="AK158" s="461"/>
      <c r="AL158" s="461"/>
      <c r="AM158" s="461"/>
      <c r="AN158" s="461"/>
      <c r="AO158" s="461"/>
      <c r="AP158" s="461"/>
      <c r="AQ158" s="461"/>
      <c r="AR158" s="461"/>
      <c r="AS158" s="461"/>
      <c r="AT158" s="461"/>
      <c r="AU158" s="461"/>
      <c r="AV158" s="461"/>
      <c r="AW158" s="461"/>
      <c r="AX158" s="461"/>
      <c r="AY158" s="461"/>
      <c r="AZ158" s="461"/>
      <c r="BA158" s="461"/>
      <c r="BB158" s="461"/>
      <c r="BC158" s="461"/>
      <c r="BD158" s="461"/>
      <c r="BE158" s="461"/>
    </row>
    <row r="159" spans="1:57" x14ac:dyDescent="0.25">
      <c r="BC159" s="3"/>
      <c r="BE159" s="3"/>
    </row>
    <row r="160" spans="1:57" x14ac:dyDescent="0.25">
      <c r="A160" s="90" t="s">
        <v>1179</v>
      </c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G160" s="32" t="s">
        <v>18</v>
      </c>
      <c r="BC160" s="3"/>
      <c r="BE160" s="3"/>
    </row>
    <row r="161" spans="1:57" x14ac:dyDescent="0.25">
      <c r="A161" s="59" t="s">
        <v>1180</v>
      </c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G161" s="4"/>
      <c r="BC161" s="3"/>
      <c r="BE161" s="3"/>
    </row>
    <row r="162" spans="1:57" x14ac:dyDescent="0.25">
      <c r="A162" s="386" t="s">
        <v>1181</v>
      </c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G162" s="4"/>
      <c r="AI162" s="3">
        <f>+AI39</f>
        <v>229249.65</v>
      </c>
      <c r="AK162" s="3">
        <f>+AK39</f>
        <v>234522.39194999996</v>
      </c>
      <c r="AM162" s="3">
        <f>+AM39</f>
        <v>242261.63088434993</v>
      </c>
      <c r="AO162" s="3">
        <f>+AO39</f>
        <v>250256.26470353347</v>
      </c>
      <c r="AQ162" s="3">
        <f>+AQ39</f>
        <v>258514.72143875004</v>
      </c>
      <c r="AS162" s="3">
        <f>+AS39</f>
        <v>267045.70724622876</v>
      </c>
      <c r="AU162" s="3">
        <f>+AU39</f>
        <v>275858.21558535431</v>
      </c>
      <c r="AW162" s="3">
        <f>+AW39</f>
        <v>284961.53669967095</v>
      </c>
      <c r="AY162" s="3">
        <f>+AY39</f>
        <v>294365.26741076005</v>
      </c>
      <c r="BA162" s="3">
        <f>+BA39</f>
        <v>304079.32123531512</v>
      </c>
      <c r="BC162" s="3">
        <f>+BC39</f>
        <v>314113.93883608049</v>
      </c>
      <c r="BE162" s="3">
        <f>+BE39</f>
        <v>324479.6988176711</v>
      </c>
    </row>
    <row r="163" spans="1:57" x14ac:dyDescent="0.25">
      <c r="A163" s="386" t="s">
        <v>1217</v>
      </c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G163" s="4"/>
      <c r="AI163" s="3">
        <f>+AI40+AI41</f>
        <v>32199.5</v>
      </c>
      <c r="AK163" s="3">
        <f>+AK40+AK41</f>
        <v>32529.487499999999</v>
      </c>
      <c r="AM163" s="3">
        <f>+AM40+AM41</f>
        <v>32865.224687499998</v>
      </c>
      <c r="AO163" s="3">
        <f>+AO40+AO41</f>
        <v>33206.855304687495</v>
      </c>
      <c r="AQ163" s="3">
        <f>+AQ40+AQ41</f>
        <v>33554.526687304686</v>
      </c>
      <c r="AS163" s="3">
        <f>+AS40+AS41</f>
        <v>33908.389854487301</v>
      </c>
      <c r="AU163" s="3">
        <f>+AU40+AU41</f>
        <v>34268.599600849484</v>
      </c>
      <c r="AW163" s="3">
        <f>+AW40+AW41</f>
        <v>34635.314590870716</v>
      </c>
      <c r="AY163" s="3">
        <f>+AY40+AY41</f>
        <v>35008.697455642483</v>
      </c>
      <c r="BA163" s="3">
        <f>+BA40+BA41</f>
        <v>35388.914892033543</v>
      </c>
      <c r="BC163" s="3">
        <f>+BC40+BC41</f>
        <v>35776.137764334388</v>
      </c>
      <c r="BE163" s="3">
        <f>+BE40+BE41</f>
        <v>36170.541208442744</v>
      </c>
    </row>
    <row r="164" spans="1:57" x14ac:dyDescent="0.25">
      <c r="A164" s="386" t="s">
        <v>1218</v>
      </c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G164" s="4"/>
      <c r="AI164" s="3">
        <f>+AI42</f>
        <v>20500</v>
      </c>
      <c r="AK164" s="3">
        <f>+AK42</f>
        <v>21000</v>
      </c>
      <c r="AM164" s="3">
        <f>+AM42</f>
        <v>21500</v>
      </c>
      <c r="AO164" s="3">
        <f>+AO42</f>
        <v>21500</v>
      </c>
      <c r="AQ164" s="3">
        <f>+AQ42</f>
        <v>21500</v>
      </c>
      <c r="AS164" s="3">
        <f>+AS42</f>
        <v>21500</v>
      </c>
      <c r="AU164" s="3">
        <f>+AU42</f>
        <v>21500</v>
      </c>
      <c r="AW164" s="3">
        <f>+AW42</f>
        <v>21500</v>
      </c>
      <c r="AY164" s="3">
        <f>+AY42</f>
        <v>21500</v>
      </c>
      <c r="BA164" s="3">
        <f>+BA42</f>
        <v>21500</v>
      </c>
      <c r="BC164" s="3">
        <f>+BC42</f>
        <v>21500</v>
      </c>
      <c r="BE164" s="3">
        <f>+BE42</f>
        <v>21500</v>
      </c>
    </row>
    <row r="165" spans="1:57" x14ac:dyDescent="0.25">
      <c r="A165" s="386" t="s">
        <v>1182</v>
      </c>
      <c r="AG165" s="4"/>
      <c r="AI165" s="3">
        <f>+AI48+AI49+AI52+AI53</f>
        <v>32500</v>
      </c>
      <c r="AK165" s="3">
        <f>+AK48+AK49+AK52+AK53</f>
        <v>33750</v>
      </c>
      <c r="AM165" s="3">
        <f>+AM48+AM49+AM52+AM53</f>
        <v>35000</v>
      </c>
      <c r="AO165" s="3">
        <f>+AO48+AO49+AO52+AO53</f>
        <v>37250</v>
      </c>
      <c r="AQ165" s="3">
        <f>+AQ48+AQ49+AQ52+AQ53</f>
        <v>38500</v>
      </c>
      <c r="AS165" s="3">
        <f>+AS48+AS49+AS52+AS53</f>
        <v>38500</v>
      </c>
      <c r="AU165" s="3">
        <f>+AU48+AU49+AU52+AU53</f>
        <v>38500</v>
      </c>
      <c r="AW165" s="3">
        <f>+AW48+AW49+AW52+AW53</f>
        <v>38500</v>
      </c>
      <c r="AY165" s="3">
        <f>+AY48+AY49+AY52+AY53</f>
        <v>38500</v>
      </c>
      <c r="BA165" s="3">
        <f>+BA48+BA49+BA52+BA53</f>
        <v>38500</v>
      </c>
      <c r="BC165" s="3">
        <f>+BC48+BC49+BC52+BC53</f>
        <v>38500</v>
      </c>
      <c r="BE165" s="3">
        <f>+BE48+BE49+BE52+BE53</f>
        <v>38500</v>
      </c>
    </row>
    <row r="166" spans="1:57" x14ac:dyDescent="0.25">
      <c r="A166" s="386" t="s">
        <v>1183</v>
      </c>
      <c r="AG166" s="4"/>
      <c r="AI166" s="3">
        <f>+AI43+AI54</f>
        <v>6850</v>
      </c>
      <c r="AK166" s="3">
        <f>+AK43+AK54</f>
        <v>7050</v>
      </c>
      <c r="AM166" s="3">
        <f>+AM43+AM54</f>
        <v>7250</v>
      </c>
      <c r="AO166" s="3">
        <f>+AO43+AO54</f>
        <v>7450</v>
      </c>
      <c r="AQ166" s="3">
        <f>+AQ43+AQ54</f>
        <v>7650</v>
      </c>
      <c r="AS166" s="3">
        <f>+AS43+AS54</f>
        <v>7850</v>
      </c>
      <c r="AU166" s="3">
        <f>+AU43+AU54</f>
        <v>8050</v>
      </c>
      <c r="AW166" s="3">
        <f>+AW43+AW54</f>
        <v>8250</v>
      </c>
      <c r="AY166" s="3">
        <f>+AY43+AY54</f>
        <v>8450</v>
      </c>
      <c r="BA166" s="3">
        <f>+BA43+BA54</f>
        <v>8650</v>
      </c>
      <c r="BC166" s="3">
        <f>+BC43+BC54</f>
        <v>8850</v>
      </c>
      <c r="BE166" s="3">
        <f>+BE43+BE54</f>
        <v>9050</v>
      </c>
    </row>
    <row r="167" spans="1:57" x14ac:dyDescent="0.25">
      <c r="A167" s="51" t="s">
        <v>1184</v>
      </c>
      <c r="AG167" s="4"/>
      <c r="BC167" s="3"/>
      <c r="BE167" s="3"/>
    </row>
    <row r="168" spans="1:57" x14ac:dyDescent="0.25">
      <c r="A168" s="386" t="s">
        <v>1219</v>
      </c>
      <c r="AG168" s="4"/>
      <c r="BC168" s="3"/>
      <c r="BE168" s="3"/>
    </row>
    <row r="169" spans="1:57" x14ac:dyDescent="0.25">
      <c r="A169" s="387" t="s">
        <v>1220</v>
      </c>
      <c r="AG169" s="4"/>
      <c r="AI169" s="3">
        <f>-(AI73+AI77+AI82+AI89+AI114+AI126+AI141-AI131)+AI62</f>
        <v>-319598.7</v>
      </c>
      <c r="AK169" s="3">
        <f>-(AK73+AK77+AK82+AK89+AK114+AK126+AK141-AK131)+AK62</f>
        <v>-334400.15100000001</v>
      </c>
      <c r="AM169" s="3">
        <f>-(AM73+AM77+AM82+AM89+AM114+AM126+AM141-AM131)+AM62</f>
        <v>-400469.30553000001</v>
      </c>
      <c r="AO169" s="3">
        <f>-(AO73+AO77+AO82+AO89+AO114+AO126+AO141-AO131)+AO62</f>
        <v>-373743.26719589997</v>
      </c>
      <c r="AQ169" s="3">
        <f>-(AQ73+AQ77+AQ82+AQ89+AQ114+AQ126+AQ141-AQ131)+AQ62</f>
        <v>-390229.31683677703</v>
      </c>
      <c r="AS169" s="3">
        <f>-(AS73+AS77+AS82+AS89+AS114+AS126+AS141-AS131)+AS62</f>
        <v>-411935.01054813032</v>
      </c>
      <c r="AU169" s="3">
        <f>-(AU73+AU77+AU82+AU89+AU114+AU126+AU141-AU131)+AU62</f>
        <v>-423868.19078113674</v>
      </c>
      <c r="AW169" s="3">
        <f>-(AW73+AW77+AW82+AW89+AW114+AW126+AW141-AW131)+AW62</f>
        <v>-441036.9979169615</v>
      </c>
      <c r="AY169" s="3">
        <f>-(AY73+AY77+AY82+AY89+AY114+AY126+AY141-AY131)+AY62</f>
        <v>-463449.88233748043</v>
      </c>
      <c r="BA169" s="3">
        <f>-(BA73+BA77+BA82+BA89+BA114+BA126+BA141-BA131)+BA62</f>
        <v>-471115.61701476562</v>
      </c>
      <c r="BC169" s="3">
        <f>-(BC73+BC77+BC82+BC89+BC114+BC126+BC141-BC131)+BC62</f>
        <v>-479043.3106427273</v>
      </c>
      <c r="BE169" s="3">
        <f>-(BE73+BE77+BE82+BE89+BE114+BE126+BE141-BE131)+BE62</f>
        <v>-487242.42133540369</v>
      </c>
    </row>
    <row r="170" spans="1:57" x14ac:dyDescent="0.25">
      <c r="A170" s="387" t="s">
        <v>1221</v>
      </c>
      <c r="AG170" s="4"/>
      <c r="BC170" s="3"/>
      <c r="BE170" s="3"/>
    </row>
    <row r="171" spans="1:57" x14ac:dyDescent="0.25">
      <c r="A171" s="388" t="s">
        <v>1222</v>
      </c>
      <c r="AG171" s="4"/>
      <c r="BC171" s="3"/>
      <c r="BE171" s="3"/>
    </row>
    <row r="172" spans="1:57" x14ac:dyDescent="0.25">
      <c r="A172" s="388" t="s">
        <v>1223</v>
      </c>
      <c r="AG172" s="4"/>
      <c r="BC172" s="3"/>
      <c r="BE172" s="3"/>
    </row>
    <row r="173" spans="1:57" x14ac:dyDescent="0.25">
      <c r="A173" s="387"/>
      <c r="AG173" s="4"/>
      <c r="BC173" s="3"/>
      <c r="BE173" s="3"/>
    </row>
    <row r="174" spans="1:57" x14ac:dyDescent="0.25">
      <c r="A174" s="90" t="s">
        <v>1179</v>
      </c>
      <c r="AG174" s="4">
        <f>SUM(AG162:AG173)</f>
        <v>0</v>
      </c>
      <c r="AI174" s="4">
        <f>SUM(AI162:AI173)</f>
        <v>1700.4500000000116</v>
      </c>
      <c r="AK174" s="4">
        <f>SUM(AK162:AK173)</f>
        <v>-5548.2715500000631</v>
      </c>
      <c r="AM174" s="4">
        <f>SUM(AM162:AM173)</f>
        <v>-61592.4499581501</v>
      </c>
      <c r="AO174" s="4">
        <f>SUM(AO162:AO173)</f>
        <v>-24080.147187679016</v>
      </c>
      <c r="AQ174" s="4">
        <f>SUM(AQ162:AQ173)</f>
        <v>-30510.06871072232</v>
      </c>
      <c r="AS174" s="4">
        <f>SUM(AS162:AS173)</f>
        <v>-43130.913447414234</v>
      </c>
      <c r="AU174" s="4">
        <f>SUM(AU162:AU173)</f>
        <v>-45691.375594932935</v>
      </c>
      <c r="AW174" s="4">
        <f>SUM(AW162:AW173)</f>
        <v>-53190.146626419853</v>
      </c>
      <c r="AY174" s="4">
        <f>SUM(AY162:AY173)</f>
        <v>-65625.917471077875</v>
      </c>
      <c r="BA174" s="4">
        <f>SUM(BA162:BA173)</f>
        <v>-62997.380887416948</v>
      </c>
      <c r="BC174" s="4">
        <f>SUM(BC162:BC173)</f>
        <v>-60303.234042312426</v>
      </c>
      <c r="BE174" s="4">
        <f>SUM(BE162:BE173)</f>
        <v>-57542.181309289823</v>
      </c>
    </row>
    <row r="175" spans="1:57" x14ac:dyDescent="0.25">
      <c r="A175" s="389"/>
      <c r="AG175" s="4"/>
      <c r="AI175" s="4"/>
      <c r="AK175" s="4"/>
      <c r="AM175" s="4"/>
      <c r="AO175" s="4"/>
      <c r="AQ175" s="4"/>
      <c r="AS175" s="4"/>
      <c r="AU175" s="4"/>
      <c r="AW175" s="4"/>
      <c r="AY175" s="4"/>
      <c r="BA175" s="4"/>
      <c r="BC175" s="4"/>
      <c r="BE175" s="4"/>
    </row>
    <row r="176" spans="1:57" x14ac:dyDescent="0.25">
      <c r="A176" s="90" t="s">
        <v>1185</v>
      </c>
      <c r="AG176" s="4"/>
      <c r="AI176" s="4"/>
      <c r="AK176" s="4"/>
      <c r="AM176" s="4"/>
      <c r="AO176" s="4"/>
      <c r="AQ176" s="4"/>
      <c r="AS176" s="4"/>
      <c r="AU176" s="4"/>
      <c r="AW176" s="4"/>
      <c r="AY176" s="4"/>
      <c r="BA176" s="4"/>
      <c r="BC176" s="4"/>
      <c r="BE176" s="4"/>
    </row>
    <row r="177" spans="1:57" x14ac:dyDescent="0.25">
      <c r="A177" s="389" t="s">
        <v>1180</v>
      </c>
      <c r="AG177" s="4"/>
      <c r="AI177" s="4"/>
      <c r="AK177" s="4"/>
      <c r="AM177" s="4"/>
      <c r="AO177" s="4"/>
      <c r="AQ177" s="4"/>
      <c r="AS177" s="4"/>
      <c r="AU177" s="4"/>
      <c r="AW177" s="4"/>
      <c r="AY177" s="4"/>
      <c r="BA177" s="4"/>
      <c r="BC177" s="4"/>
      <c r="BE177" s="4"/>
    </row>
    <row r="178" spans="1:57" x14ac:dyDescent="0.25">
      <c r="A178" s="386" t="s">
        <v>1186</v>
      </c>
      <c r="AG178" s="4"/>
      <c r="AI178" s="4"/>
      <c r="AK178" s="4"/>
      <c r="AM178" s="4"/>
      <c r="AO178" s="4"/>
      <c r="AQ178" s="4"/>
      <c r="AS178" s="4"/>
      <c r="AU178" s="4"/>
      <c r="AW178" s="4"/>
      <c r="AY178" s="4"/>
      <c r="BA178" s="4"/>
      <c r="BC178" s="4"/>
      <c r="BE178" s="4"/>
    </row>
    <row r="179" spans="1:57" x14ac:dyDescent="0.25">
      <c r="A179" s="386" t="s">
        <v>1224</v>
      </c>
      <c r="AG179" s="4"/>
      <c r="AI179" s="4"/>
      <c r="AK179" s="4"/>
      <c r="AM179" s="4"/>
      <c r="AO179" s="4"/>
      <c r="AQ179" s="4"/>
      <c r="AS179" s="4"/>
      <c r="AU179" s="4"/>
      <c r="AW179" s="4"/>
      <c r="AY179" s="4"/>
      <c r="BA179" s="4"/>
      <c r="BC179" s="4"/>
      <c r="BE179" s="4"/>
    </row>
    <row r="180" spans="1:57" x14ac:dyDescent="0.25">
      <c r="A180" s="386" t="s">
        <v>1187</v>
      </c>
      <c r="AG180" s="4"/>
      <c r="AI180" s="4"/>
      <c r="AK180" s="4"/>
      <c r="AM180" s="4"/>
      <c r="AO180" s="4"/>
      <c r="AQ180" s="4"/>
      <c r="AS180" s="4"/>
      <c r="AU180" s="4"/>
      <c r="AW180" s="4"/>
      <c r="AY180" s="4"/>
      <c r="BA180" s="4"/>
      <c r="BC180" s="4"/>
      <c r="BE180" s="4"/>
    </row>
    <row r="181" spans="1:57" x14ac:dyDescent="0.25">
      <c r="A181" s="386" t="s">
        <v>1225</v>
      </c>
      <c r="AG181" s="4"/>
      <c r="AI181" s="4"/>
      <c r="AK181" s="4"/>
      <c r="AM181" s="4"/>
      <c r="AO181" s="4"/>
      <c r="AQ181" s="4"/>
      <c r="AS181" s="4"/>
      <c r="AU181" s="4"/>
      <c r="AW181" s="4"/>
      <c r="AY181" s="4"/>
      <c r="BA181" s="4"/>
      <c r="BC181" s="4"/>
      <c r="BE181" s="4"/>
    </row>
    <row r="182" spans="1:57" x14ac:dyDescent="0.25">
      <c r="A182" s="390" t="s">
        <v>1184</v>
      </c>
      <c r="AG182" s="4"/>
      <c r="AI182" s="4"/>
      <c r="AK182" s="4"/>
      <c r="AM182" s="4"/>
      <c r="AO182" s="4"/>
      <c r="AQ182" s="4"/>
      <c r="AS182" s="4"/>
      <c r="AU182" s="4"/>
      <c r="AW182" s="4"/>
      <c r="AY182" s="4"/>
      <c r="BA182" s="4"/>
      <c r="BC182" s="4"/>
      <c r="BE182" s="4"/>
    </row>
    <row r="183" spans="1:57" x14ac:dyDescent="0.25">
      <c r="A183" s="390" t="s">
        <v>1226</v>
      </c>
      <c r="AG183" s="4"/>
      <c r="AI183" s="4"/>
      <c r="AK183" s="4"/>
      <c r="AM183" s="4"/>
      <c r="AO183" s="4"/>
      <c r="AQ183" s="4"/>
      <c r="AS183" s="4"/>
      <c r="AU183" s="4"/>
      <c r="AW183" s="4"/>
      <c r="AY183" s="4"/>
      <c r="BA183" s="4"/>
      <c r="BC183" s="4"/>
      <c r="BE183" s="4"/>
    </row>
    <row r="184" spans="1:57" x14ac:dyDescent="0.25">
      <c r="A184" s="386" t="s">
        <v>1227</v>
      </c>
      <c r="AG184" s="4"/>
      <c r="AI184" s="4"/>
      <c r="AK184" s="4"/>
      <c r="AM184" s="4"/>
      <c r="AO184" s="4"/>
      <c r="AQ184" s="4"/>
      <c r="AS184" s="4"/>
      <c r="AU184" s="4"/>
      <c r="AW184" s="4"/>
      <c r="AY184" s="4"/>
      <c r="BA184" s="4"/>
      <c r="BC184" s="4"/>
      <c r="BE184" s="4"/>
    </row>
    <row r="185" spans="1:57" x14ac:dyDescent="0.25">
      <c r="A185" s="386" t="s">
        <v>1228</v>
      </c>
      <c r="AG185" s="4"/>
      <c r="AI185" s="4"/>
      <c r="AK185" s="4"/>
      <c r="AM185" s="4"/>
      <c r="AO185" s="4"/>
      <c r="AQ185" s="4"/>
      <c r="AS185" s="4"/>
      <c r="AU185" s="4"/>
      <c r="AW185" s="4"/>
      <c r="AY185" s="4"/>
      <c r="BA185" s="4"/>
      <c r="BC185" s="4"/>
      <c r="BE185" s="4"/>
    </row>
    <row r="186" spans="1:57" x14ac:dyDescent="0.25">
      <c r="A186" s="386"/>
      <c r="AG186" s="4"/>
      <c r="AI186" s="4"/>
      <c r="AK186" s="4"/>
      <c r="AM186" s="4"/>
      <c r="AO186" s="4"/>
      <c r="AQ186" s="4"/>
      <c r="AS186" s="4"/>
      <c r="AU186" s="4"/>
      <c r="AW186" s="4"/>
      <c r="AY186" s="4"/>
      <c r="BA186" s="4"/>
      <c r="BC186" s="4"/>
      <c r="BE186" s="4"/>
    </row>
    <row r="187" spans="1:57" x14ac:dyDescent="0.25">
      <c r="A187" s="90" t="s">
        <v>1185</v>
      </c>
      <c r="AG187" s="4">
        <f>SUM(AG179:AG186)</f>
        <v>0</v>
      </c>
      <c r="AI187" s="4">
        <f>SUM(AI179:AI186)</f>
        <v>0</v>
      </c>
      <c r="AK187" s="4">
        <f>SUM(AK179:AK186)</f>
        <v>0</v>
      </c>
      <c r="AM187" s="4">
        <f>SUM(AM179:AM186)</f>
        <v>0</v>
      </c>
      <c r="AO187" s="4">
        <f>SUM(AO179:AO186)</f>
        <v>0</v>
      </c>
      <c r="AQ187" s="4">
        <f>SUM(AQ179:AQ186)</f>
        <v>0</v>
      </c>
      <c r="AS187" s="4">
        <f>SUM(AS179:AS186)</f>
        <v>0</v>
      </c>
      <c r="AU187" s="4">
        <f>SUM(AU179:AU186)</f>
        <v>0</v>
      </c>
      <c r="AW187" s="4">
        <f>SUM(AW179:AW186)</f>
        <v>0</v>
      </c>
      <c r="AY187" s="4">
        <f>SUM(AY179:AY186)</f>
        <v>0</v>
      </c>
      <c r="BA187" s="4">
        <f>SUM(BA179:BA186)</f>
        <v>0</v>
      </c>
      <c r="BC187" s="4">
        <f>SUM(BC179:BC186)</f>
        <v>0</v>
      </c>
      <c r="BE187" s="4">
        <f>SUM(BE179:BE186)</f>
        <v>0</v>
      </c>
    </row>
    <row r="188" spans="1:57" x14ac:dyDescent="0.25">
      <c r="A188" s="389"/>
      <c r="AG188" s="4"/>
      <c r="AI188" s="4"/>
      <c r="AK188" s="4"/>
      <c r="AM188" s="4"/>
      <c r="AO188" s="4"/>
      <c r="AQ188" s="4"/>
      <c r="AS188" s="4"/>
      <c r="AU188" s="4"/>
      <c r="AW188" s="4"/>
      <c r="AY188" s="4"/>
      <c r="BA188" s="4"/>
      <c r="BC188" s="4"/>
      <c r="BE188" s="4"/>
    </row>
    <row r="189" spans="1:57" x14ac:dyDescent="0.25">
      <c r="A189" s="391" t="s">
        <v>1188</v>
      </c>
      <c r="AG189" s="4"/>
      <c r="AI189" s="4"/>
      <c r="AK189" s="4"/>
      <c r="AM189" s="4"/>
      <c r="AO189" s="4"/>
      <c r="AQ189" s="4"/>
      <c r="AS189" s="4"/>
      <c r="AU189" s="4"/>
      <c r="AW189" s="4"/>
      <c r="AY189" s="4"/>
      <c r="BA189" s="4"/>
      <c r="BC189" s="4"/>
      <c r="BE189" s="4"/>
    </row>
    <row r="190" spans="1:57" x14ac:dyDescent="0.25">
      <c r="A190" s="51" t="s">
        <v>1180</v>
      </c>
      <c r="AG190" s="4"/>
      <c r="AI190" s="4"/>
      <c r="AK190" s="4"/>
      <c r="AM190" s="4"/>
      <c r="AO190" s="4"/>
      <c r="AQ190" s="4"/>
      <c r="AS190" s="4"/>
      <c r="AU190" s="4"/>
      <c r="AW190" s="4"/>
      <c r="AY190" s="4"/>
      <c r="BA190" s="4"/>
      <c r="BC190" s="4"/>
      <c r="BE190" s="4"/>
    </row>
    <row r="191" spans="1:57" x14ac:dyDescent="0.25">
      <c r="A191" s="386" t="s">
        <v>1189</v>
      </c>
      <c r="AG191" s="4"/>
      <c r="AI191" s="4">
        <f>+AI61</f>
        <v>0</v>
      </c>
      <c r="AK191" s="4">
        <f>+AK61</f>
        <v>0</v>
      </c>
      <c r="AM191" s="4">
        <f>+AM61</f>
        <v>0</v>
      </c>
      <c r="AO191" s="4">
        <f>+AO61</f>
        <v>0</v>
      </c>
      <c r="AQ191" s="4">
        <f>+AQ61</f>
        <v>0</v>
      </c>
      <c r="AS191" s="4">
        <f>+AS61</f>
        <v>0</v>
      </c>
      <c r="AU191" s="4">
        <f>+AU61</f>
        <v>0</v>
      </c>
      <c r="AW191" s="4">
        <f>+AW61</f>
        <v>0</v>
      </c>
      <c r="AY191" s="4">
        <f>+AY61</f>
        <v>0</v>
      </c>
      <c r="BA191" s="4">
        <f>+BA61</f>
        <v>0</v>
      </c>
      <c r="BC191" s="4">
        <f>+BC61</f>
        <v>0</v>
      </c>
      <c r="BE191" s="4">
        <f>+BE61</f>
        <v>0</v>
      </c>
    </row>
    <row r="192" spans="1:57" x14ac:dyDescent="0.25">
      <c r="A192" s="51" t="s">
        <v>1184</v>
      </c>
      <c r="AG192" s="4"/>
      <c r="AI192" s="4"/>
      <c r="AK192" s="4"/>
      <c r="AM192" s="4"/>
      <c r="AO192" s="4"/>
      <c r="AQ192" s="4"/>
      <c r="AS192" s="4"/>
      <c r="AU192" s="4"/>
      <c r="AW192" s="4"/>
      <c r="AY192" s="4"/>
      <c r="BA192" s="4"/>
      <c r="BC192" s="4"/>
      <c r="BE192" s="4"/>
    </row>
    <row r="193" spans="1:57" x14ac:dyDescent="0.25">
      <c r="A193" s="386" t="s">
        <v>1190</v>
      </c>
      <c r="AG193" s="4"/>
      <c r="AI193" s="4">
        <f>+AI131</f>
        <v>0</v>
      </c>
      <c r="AK193" s="4">
        <f>-AK131</f>
        <v>0</v>
      </c>
      <c r="AM193" s="4">
        <f>-AM131</f>
        <v>0</v>
      </c>
      <c r="AO193" s="4">
        <f>-AO131</f>
        <v>0</v>
      </c>
      <c r="AQ193" s="4">
        <f>-AQ131</f>
        <v>0</v>
      </c>
      <c r="AS193" s="4">
        <f>-AS131</f>
        <v>0</v>
      </c>
      <c r="AU193" s="4">
        <f>-AU131</f>
        <v>0</v>
      </c>
      <c r="AW193" s="4">
        <f>-AW131</f>
        <v>0</v>
      </c>
      <c r="AY193" s="4">
        <f>-AY131</f>
        <v>0</v>
      </c>
      <c r="BA193" s="4">
        <f>-BA131</f>
        <v>0</v>
      </c>
      <c r="BC193" s="4">
        <f>-BC131</f>
        <v>0</v>
      </c>
      <c r="BE193" s="4">
        <f>-BE131</f>
        <v>0</v>
      </c>
    </row>
    <row r="194" spans="1:57" x14ac:dyDescent="0.25">
      <c r="A194" s="391" t="s">
        <v>1188</v>
      </c>
      <c r="AG194" s="4">
        <f>SUM(AG191:AG193)</f>
        <v>0</v>
      </c>
      <c r="AI194" s="4">
        <f>SUM(AI191:AI193)</f>
        <v>0</v>
      </c>
      <c r="AK194" s="4">
        <f>SUM(AK191:AK193)</f>
        <v>0</v>
      </c>
      <c r="AM194" s="4">
        <f>SUM(AM191:AM193)</f>
        <v>0</v>
      </c>
      <c r="AO194" s="4">
        <f>SUM(AO191:AO193)</f>
        <v>0</v>
      </c>
      <c r="AQ194" s="4">
        <f>SUM(AQ191:AQ193)</f>
        <v>0</v>
      </c>
      <c r="AS194" s="4">
        <f>SUM(AS191:AS193)</f>
        <v>0</v>
      </c>
      <c r="AU194" s="4">
        <f>SUM(AU191:AU193)</f>
        <v>0</v>
      </c>
      <c r="AW194" s="4">
        <f>SUM(AW191:AW193)</f>
        <v>0</v>
      </c>
      <c r="AY194" s="4">
        <f>SUM(AY191:AY193)</f>
        <v>0</v>
      </c>
      <c r="BA194" s="4">
        <f>SUM(BA191:BA193)</f>
        <v>0</v>
      </c>
      <c r="BC194" s="4">
        <f>SUM(BC191:BC193)</f>
        <v>0</v>
      </c>
      <c r="BE194" s="4">
        <f>SUM(BE191:BE193)</f>
        <v>0</v>
      </c>
    </row>
    <row r="195" spans="1:57" x14ac:dyDescent="0.25">
      <c r="BC195" s="3"/>
      <c r="BE195" s="3"/>
    </row>
    <row r="196" spans="1:57" x14ac:dyDescent="0.25">
      <c r="A196" s="391" t="s">
        <v>1191</v>
      </c>
      <c r="AI196" s="4">
        <f>+AI174+AI187+AI194</f>
        <v>1700.4500000000116</v>
      </c>
      <c r="AK196" s="4">
        <f>+AK174+AK187+AK194</f>
        <v>-5548.2715500000631</v>
      </c>
      <c r="AM196" s="4">
        <f>+AM174+AM187+AM194</f>
        <v>-61592.4499581501</v>
      </c>
      <c r="AO196" s="4">
        <f>+AO174+AO187+AO194</f>
        <v>-24080.147187679016</v>
      </c>
      <c r="AQ196" s="4">
        <f>+AQ174+AQ187+AQ194</f>
        <v>-30510.06871072232</v>
      </c>
      <c r="AS196" s="4">
        <f>+AS174+AS187+AS194</f>
        <v>-43130.913447414234</v>
      </c>
      <c r="AU196" s="4">
        <f>+AU174+AU187+AU194</f>
        <v>-45691.375594932935</v>
      </c>
      <c r="AW196" s="4">
        <f>+AW174+AW187+AW194</f>
        <v>-53190.146626419853</v>
      </c>
      <c r="AY196" s="4">
        <f>+AY174+AY187+AY194</f>
        <v>-65625.917471077875</v>
      </c>
      <c r="BA196" s="4">
        <f>+BA174+BA187+BA194</f>
        <v>-62997.380887416948</v>
      </c>
      <c r="BC196" s="4">
        <f>+BC174+BC187+BC194</f>
        <v>-60303.234042312426</v>
      </c>
      <c r="BE196" s="4">
        <f>+BE174+BE187+BE194</f>
        <v>-57542.181309289823</v>
      </c>
    </row>
    <row r="197" spans="1:57" x14ac:dyDescent="0.25">
      <c r="A197" s="391"/>
      <c r="AI197" s="4"/>
      <c r="AK197" s="4"/>
      <c r="AM197" s="4"/>
      <c r="AO197" s="4"/>
      <c r="AQ197" s="4"/>
      <c r="AS197" s="4"/>
      <c r="AU197" s="4"/>
      <c r="AW197" s="4"/>
      <c r="AY197" s="4"/>
      <c r="BA197" s="4"/>
      <c r="BC197" s="4"/>
      <c r="BE197" s="4"/>
    </row>
    <row r="198" spans="1:57" x14ac:dyDescent="0.25">
      <c r="A198" s="51" t="s">
        <v>1229</v>
      </c>
      <c r="AG198" s="4"/>
      <c r="AI198" s="3">
        <f>+AG213*1000</f>
        <v>40088.42</v>
      </c>
      <c r="AK198" s="3">
        <f>+AI213*1000</f>
        <v>41788.87000000001</v>
      </c>
      <c r="AM198" s="3">
        <f>+AK213*1000</f>
        <v>36240.598449999947</v>
      </c>
      <c r="AO198" s="3">
        <f>+AM213*1000</f>
        <v>-25351.851508150154</v>
      </c>
      <c r="AQ198" s="3">
        <f>+AO213*1000</f>
        <v>-49431.99869582917</v>
      </c>
      <c r="AS198" s="3">
        <f>+AQ213*1000</f>
        <v>-79942.06740655149</v>
      </c>
      <c r="AU198" s="3">
        <f>+AS213*1000</f>
        <v>-123072.98085396572</v>
      </c>
      <c r="AW198" s="3">
        <f>+AU213*1000</f>
        <v>-168764.35644889867</v>
      </c>
      <c r="AY198" s="3">
        <f>+AW213*1000</f>
        <v>-221954.50307531853</v>
      </c>
      <c r="BA198" s="3">
        <f>+AY213*1000</f>
        <v>-287580.4205463964</v>
      </c>
      <c r="BC198" s="3">
        <f>+BA213*1000</f>
        <v>-350577.80143381335</v>
      </c>
      <c r="BE198" s="3">
        <f>+BC213*1000</f>
        <v>-410881.03547612578</v>
      </c>
    </row>
    <row r="199" spans="1:57" x14ac:dyDescent="0.25">
      <c r="A199" s="391" t="s">
        <v>1250</v>
      </c>
      <c r="AG199" s="32">
        <f>+AG195+AG198</f>
        <v>0</v>
      </c>
      <c r="AI199" s="32">
        <f>+AI196+AI198</f>
        <v>41788.87000000001</v>
      </c>
      <c r="AK199" s="32">
        <f>+AK196+AK198</f>
        <v>36240.598449999947</v>
      </c>
      <c r="AM199" s="32">
        <f>+AM196+AM198</f>
        <v>-25351.851508150154</v>
      </c>
      <c r="AO199" s="32">
        <f>+AO196+AO198</f>
        <v>-49431.99869582917</v>
      </c>
      <c r="AQ199" s="32">
        <f>+AQ196+AQ198</f>
        <v>-79942.06740655149</v>
      </c>
      <c r="AS199" s="32">
        <f>+AS196+AS198</f>
        <v>-123072.98085396572</v>
      </c>
      <c r="AU199" s="32">
        <f>+AU196+AU198</f>
        <v>-168764.35644889867</v>
      </c>
      <c r="AW199" s="32">
        <f>+AW196+AW198</f>
        <v>-221954.50307531853</v>
      </c>
      <c r="AY199" s="32">
        <f>+AY196+AY198</f>
        <v>-287580.4205463964</v>
      </c>
      <c r="BA199" s="32">
        <f>+BA196+BA198</f>
        <v>-350577.80143381335</v>
      </c>
      <c r="BC199" s="32">
        <f>+BC196+BC198</f>
        <v>-410881.03547612578</v>
      </c>
      <c r="BE199" s="32">
        <f>+BE196+BE198</f>
        <v>-468423.2167854156</v>
      </c>
    </row>
    <row r="200" spans="1:57" x14ac:dyDescent="0.25">
      <c r="A200" s="42" t="s">
        <v>1251</v>
      </c>
      <c r="AG200" s="4"/>
      <c r="AR200" s="3"/>
      <c r="AT200" s="3"/>
      <c r="AV200" s="3"/>
      <c r="AX200" s="3"/>
      <c r="AZ200" s="3"/>
      <c r="BC200" s="3"/>
      <c r="BE200" s="3"/>
    </row>
    <row r="201" spans="1:57" x14ac:dyDescent="0.25">
      <c r="A201" s="391" t="s">
        <v>1252</v>
      </c>
      <c r="AG201" s="4"/>
      <c r="AI201" s="3">
        <f>+AI199-AI200</f>
        <v>41788.87000000001</v>
      </c>
      <c r="AK201" s="3">
        <f>+AK199-AK200</f>
        <v>36240.598449999947</v>
      </c>
      <c r="AM201" s="3">
        <f>+AM199-AM200</f>
        <v>-25351.851508150154</v>
      </c>
      <c r="AO201" s="3">
        <f>+AO199-AO200</f>
        <v>-49431.99869582917</v>
      </c>
      <c r="AQ201" s="3">
        <f>+AQ199-AQ200</f>
        <v>-79942.06740655149</v>
      </c>
      <c r="AR201" s="3"/>
      <c r="AS201" s="3">
        <f>+AS199-AS200</f>
        <v>-123072.98085396572</v>
      </c>
      <c r="AT201" s="3"/>
      <c r="AU201" s="3">
        <f>+AU199-AU200</f>
        <v>-168764.35644889867</v>
      </c>
      <c r="AV201" s="3"/>
      <c r="AW201" s="3">
        <f>+AW199-AW200</f>
        <v>-221954.50307531853</v>
      </c>
      <c r="AX201" s="3"/>
      <c r="AY201" s="3">
        <f>+AY199-AY200</f>
        <v>-287580.4205463964</v>
      </c>
      <c r="AZ201" s="3"/>
      <c r="BA201" s="3">
        <f>+BA199-BA200</f>
        <v>-350577.80143381335</v>
      </c>
      <c r="BC201" s="3">
        <f>+BC199-BC200</f>
        <v>-410881.03547612578</v>
      </c>
      <c r="BE201" s="3">
        <f>+BE199-BE200</f>
        <v>-468423.2167854156</v>
      </c>
    </row>
    <row r="202" spans="1:57" x14ac:dyDescent="0.25">
      <c r="A202" s="391"/>
      <c r="BC202" s="3"/>
      <c r="BE202" s="3"/>
    </row>
    <row r="203" spans="1:57" hidden="1" x14ac:dyDescent="0.25">
      <c r="A203" s="306" t="s">
        <v>1240</v>
      </c>
      <c r="B203" s="307"/>
      <c r="C203" s="307"/>
      <c r="D203" s="307"/>
      <c r="E203" s="307"/>
      <c r="F203" s="307"/>
      <c r="G203" s="307"/>
      <c r="H203" s="307"/>
      <c r="I203" s="307"/>
      <c r="J203" s="307"/>
      <c r="K203" s="307"/>
      <c r="L203" s="307"/>
      <c r="M203" s="307"/>
      <c r="N203" s="307"/>
      <c r="O203" s="307"/>
      <c r="P203" s="307"/>
      <c r="Q203" s="307"/>
      <c r="R203" s="307"/>
      <c r="S203" s="307"/>
      <c r="T203" s="307"/>
      <c r="U203" s="307"/>
      <c r="V203" s="307"/>
      <c r="W203" s="307"/>
      <c r="X203" s="307"/>
      <c r="Y203" s="307"/>
      <c r="Z203" s="307"/>
      <c r="AA203" s="307"/>
      <c r="AB203" s="307"/>
      <c r="AC203" s="307"/>
      <c r="AD203" s="307"/>
      <c r="AE203" s="307"/>
      <c r="AF203" s="307"/>
      <c r="AG203" s="307"/>
      <c r="AH203" s="307"/>
      <c r="AI203" s="307"/>
      <c r="AJ203" s="307"/>
      <c r="AK203" s="307"/>
      <c r="AL203" s="307"/>
      <c r="AM203" s="307"/>
      <c r="AN203" s="307"/>
      <c r="AO203" s="307"/>
      <c r="AP203" s="307"/>
      <c r="AQ203" s="307"/>
      <c r="AR203" s="308"/>
      <c r="AS203" s="307"/>
      <c r="AT203" s="308"/>
      <c r="AU203" s="307"/>
      <c r="AV203" s="308"/>
      <c r="AW203" s="307"/>
      <c r="AX203" s="308"/>
      <c r="AY203" s="307"/>
      <c r="AZ203" s="308"/>
      <c r="BA203" s="309"/>
      <c r="BC203" s="309"/>
      <c r="BE203" s="309"/>
    </row>
    <row r="204" spans="1:57" hidden="1" x14ac:dyDescent="0.25">
      <c r="A204" s="310" t="s">
        <v>1241</v>
      </c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>
        <f>+AI14</f>
        <v>1700.4500000000116</v>
      </c>
      <c r="AJ204" s="4"/>
      <c r="AK204" s="4">
        <f>+AK14</f>
        <v>-5548.2715500000631</v>
      </c>
      <c r="AL204" s="4" t="e">
        <f>+#REF!</f>
        <v>#REF!</v>
      </c>
      <c r="AM204" s="4">
        <f>+AM14</f>
        <v>-61592.4499581501</v>
      </c>
      <c r="AN204" s="4" t="e">
        <f>+#REF!</f>
        <v>#REF!</v>
      </c>
      <c r="AO204" s="4">
        <f>+AO14</f>
        <v>-24080.147187678958</v>
      </c>
      <c r="AP204" s="4" t="e">
        <f>+#REF!</f>
        <v>#REF!</v>
      </c>
      <c r="AQ204" s="4">
        <f>+AQ14</f>
        <v>-30510.06871072232</v>
      </c>
      <c r="AR204" s="4" t="e">
        <f>+#REF!</f>
        <v>#REF!</v>
      </c>
      <c r="AS204" s="4">
        <f>+AS14</f>
        <v>-43130.913447414234</v>
      </c>
      <c r="AT204" s="4" t="e">
        <f>+#REF!</f>
        <v>#REF!</v>
      </c>
      <c r="AU204" s="4">
        <f>+AU14</f>
        <v>-45691.375594932935</v>
      </c>
      <c r="AV204" s="4" t="e">
        <f>+#REF!</f>
        <v>#REF!</v>
      </c>
      <c r="AW204" s="4">
        <f>+AW14</f>
        <v>-53190.146626419853</v>
      </c>
      <c r="AX204" s="4" t="e">
        <f>+#REF!</f>
        <v>#REF!</v>
      </c>
      <c r="AY204" s="4">
        <f>+AY14</f>
        <v>-65625.917471077875</v>
      </c>
      <c r="AZ204" s="4" t="e">
        <f>+#REF!</f>
        <v>#REF!</v>
      </c>
      <c r="BA204" s="311">
        <f>+BA14</f>
        <v>-62997.38088741689</v>
      </c>
      <c r="BC204" s="311">
        <f>+BC14</f>
        <v>0</v>
      </c>
      <c r="BE204" s="311">
        <f>+BE14</f>
        <v>0</v>
      </c>
    </row>
    <row r="205" spans="1:57" hidden="1" x14ac:dyDescent="0.25">
      <c r="A205" s="310" t="s">
        <v>1242</v>
      </c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>
        <f>+AI196-AI204</f>
        <v>0</v>
      </c>
      <c r="AJ205" s="4"/>
      <c r="AK205" s="4">
        <f>+AK196-AK204</f>
        <v>0</v>
      </c>
      <c r="AL205" s="4"/>
      <c r="AM205" s="4">
        <f>+AM196-AM204</f>
        <v>0</v>
      </c>
      <c r="AN205" s="4"/>
      <c r="AO205" s="4">
        <f>+AO196-AO204</f>
        <v>-5.8207660913467407E-11</v>
      </c>
      <c r="AP205" s="4"/>
      <c r="AQ205" s="4">
        <f>+AQ196-AQ204</f>
        <v>0</v>
      </c>
      <c r="AR205" s="51"/>
      <c r="AS205" s="4">
        <f>+AS196-AS204</f>
        <v>0</v>
      </c>
      <c r="AT205" s="51"/>
      <c r="AU205" s="4">
        <f>+AU196-AU204</f>
        <v>0</v>
      </c>
      <c r="AV205" s="51"/>
      <c r="AW205" s="4">
        <f>+AW196-AW204</f>
        <v>0</v>
      </c>
      <c r="AX205" s="51"/>
      <c r="AY205" s="4">
        <f>+AY196-AY204</f>
        <v>0</v>
      </c>
      <c r="AZ205" s="51"/>
      <c r="BA205" s="311">
        <f>+BA196-BA204</f>
        <v>-5.8207660913467407E-11</v>
      </c>
      <c r="BC205" s="311">
        <f>+BC196-BC204</f>
        <v>-60303.234042312426</v>
      </c>
      <c r="BE205" s="311">
        <f>+BE196-BE204</f>
        <v>-57542.181309289823</v>
      </c>
    </row>
    <row r="206" spans="1:57" hidden="1" x14ac:dyDescent="0.25">
      <c r="A206" s="310" t="s">
        <v>777</v>
      </c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>
        <f>-AI143</f>
        <v>0</v>
      </c>
      <c r="AJ206" s="4"/>
      <c r="AK206" s="4">
        <f>-AK143</f>
        <v>0</v>
      </c>
      <c r="AL206" s="4"/>
      <c r="AM206" s="4">
        <f>-AM143</f>
        <v>0</v>
      </c>
      <c r="AN206" s="4"/>
      <c r="AO206" s="4">
        <f>-AO143</f>
        <v>0</v>
      </c>
      <c r="AP206" s="4"/>
      <c r="AQ206" s="4">
        <f>-AQ143</f>
        <v>0</v>
      </c>
      <c r="AR206" s="51"/>
      <c r="AS206" s="4">
        <f>-AS143</f>
        <v>0</v>
      </c>
      <c r="AT206" s="51"/>
      <c r="AU206" s="4">
        <f>-AU143</f>
        <v>0</v>
      </c>
      <c r="AV206" s="51"/>
      <c r="AW206" s="4">
        <f>-AW143</f>
        <v>0</v>
      </c>
      <c r="AX206" s="51"/>
      <c r="AY206" s="4">
        <f>-AY143</f>
        <v>0</v>
      </c>
      <c r="AZ206" s="51"/>
      <c r="BA206" s="311">
        <f>-BA143</f>
        <v>0</v>
      </c>
      <c r="BC206" s="311">
        <f>-BC143</f>
        <v>0</v>
      </c>
      <c r="BE206" s="311">
        <f>-BE143</f>
        <v>0</v>
      </c>
    </row>
    <row r="207" spans="1:57" ht="15.75" hidden="1" thickBot="1" x14ac:dyDescent="0.3">
      <c r="A207" s="312" t="s">
        <v>1243</v>
      </c>
      <c r="B207" s="313"/>
      <c r="C207" s="313"/>
      <c r="D207" s="313"/>
      <c r="E207" s="313"/>
      <c r="F207" s="313"/>
      <c r="G207" s="313"/>
      <c r="H207" s="313"/>
      <c r="I207" s="313"/>
      <c r="J207" s="313"/>
      <c r="K207" s="313"/>
      <c r="L207" s="313"/>
      <c r="M207" s="313"/>
      <c r="N207" s="313"/>
      <c r="O207" s="313"/>
      <c r="P207" s="313"/>
      <c r="Q207" s="313"/>
      <c r="R207" s="313"/>
      <c r="S207" s="313"/>
      <c r="T207" s="313"/>
      <c r="U207" s="313"/>
      <c r="V207" s="313"/>
      <c r="W207" s="313"/>
      <c r="X207" s="313"/>
      <c r="Y207" s="313"/>
      <c r="Z207" s="313"/>
      <c r="AA207" s="313"/>
      <c r="AB207" s="313"/>
      <c r="AC207" s="313"/>
      <c r="AD207" s="313"/>
      <c r="AE207" s="313"/>
      <c r="AF207" s="313"/>
      <c r="AG207" s="313"/>
      <c r="AH207" s="313"/>
      <c r="AI207" s="313">
        <f>+AI205+AI206</f>
        <v>0</v>
      </c>
      <c r="AJ207" s="313"/>
      <c r="AK207" s="313">
        <f>+AK205+AK206</f>
        <v>0</v>
      </c>
      <c r="AL207" s="313"/>
      <c r="AM207" s="313">
        <f>+AM205+AM206</f>
        <v>0</v>
      </c>
      <c r="AN207" s="313"/>
      <c r="AO207" s="313">
        <f>+AO205+AO206</f>
        <v>-5.8207660913467407E-11</v>
      </c>
      <c r="AP207" s="313"/>
      <c r="AQ207" s="313">
        <f>+AQ205+AQ206</f>
        <v>0</v>
      </c>
      <c r="AR207" s="314"/>
      <c r="AS207" s="313">
        <f>+AS205+AS206</f>
        <v>0</v>
      </c>
      <c r="AT207" s="314"/>
      <c r="AU207" s="313">
        <f>+AU205+AU206</f>
        <v>0</v>
      </c>
      <c r="AV207" s="314"/>
      <c r="AW207" s="313">
        <f>+AW205+AW206</f>
        <v>0</v>
      </c>
      <c r="AX207" s="314"/>
      <c r="AY207" s="313">
        <f>+AY205+AY206</f>
        <v>0</v>
      </c>
      <c r="AZ207" s="314"/>
      <c r="BA207" s="315">
        <f>+BA205+BA206</f>
        <v>-5.8207660913467407E-11</v>
      </c>
      <c r="BC207" s="315">
        <f>+BC205+BC206</f>
        <v>-60303.234042312426</v>
      </c>
      <c r="BE207" s="315">
        <f>+BE205+BE206</f>
        <v>-57542.181309289823</v>
      </c>
    </row>
    <row r="208" spans="1:57" hidden="1" x14ac:dyDescent="0.25">
      <c r="AG208" s="4"/>
      <c r="BC208" s="3"/>
      <c r="BE208" s="3"/>
    </row>
    <row r="209" spans="1:69" x14ac:dyDescent="0.25">
      <c r="A209" s="461" t="s">
        <v>1253</v>
      </c>
      <c r="B209" s="461"/>
      <c r="C209" s="461"/>
      <c r="D209" s="461"/>
      <c r="E209" s="461"/>
      <c r="F209" s="461"/>
      <c r="G209" s="461"/>
      <c r="H209" s="461"/>
      <c r="I209" s="461"/>
      <c r="J209" s="461"/>
      <c r="K209" s="461"/>
      <c r="L209" s="461"/>
      <c r="M209" s="461"/>
      <c r="N209" s="461"/>
      <c r="O209" s="461"/>
      <c r="P209" s="461"/>
      <c r="Q209" s="461"/>
      <c r="R209" s="461"/>
      <c r="S209" s="461"/>
      <c r="T209" s="461"/>
      <c r="U209" s="461"/>
      <c r="V209" s="461"/>
      <c r="W209" s="461"/>
      <c r="X209" s="461"/>
      <c r="Y209" s="461"/>
      <c r="Z209" s="461"/>
      <c r="AA209" s="461"/>
      <c r="AB209" s="461"/>
      <c r="AC209" s="461"/>
      <c r="AD209" s="461"/>
      <c r="AE209" s="461"/>
      <c r="AF209" s="461"/>
      <c r="AG209" s="461"/>
      <c r="AH209" s="461"/>
      <c r="AI209" s="461"/>
      <c r="AJ209" s="461"/>
      <c r="AK209" s="461"/>
      <c r="AL209" s="461"/>
      <c r="AM209" s="461"/>
      <c r="AN209" s="461"/>
      <c r="AO209" s="461"/>
      <c r="AP209" s="461"/>
      <c r="AQ209" s="461"/>
      <c r="AR209" s="461"/>
      <c r="AS209" s="461"/>
      <c r="AT209" s="461"/>
      <c r="AU209" s="461"/>
      <c r="AV209" s="461"/>
      <c r="AW209" s="461"/>
      <c r="AX209" s="461"/>
      <c r="AY209" s="461"/>
      <c r="AZ209" s="461"/>
      <c r="BA209" s="461"/>
      <c r="BB209" s="461"/>
      <c r="BC209" s="461"/>
      <c r="BD209" s="461"/>
      <c r="BE209" s="461"/>
    </row>
    <row r="210" spans="1:69" x14ac:dyDescent="0.25">
      <c r="A210" s="455" t="s">
        <v>1377</v>
      </c>
      <c r="BC210" s="3"/>
      <c r="BE210" s="3"/>
    </row>
    <row r="211" spans="1:69" x14ac:dyDescent="0.25">
      <c r="A211" s="254" t="s">
        <v>1378</v>
      </c>
      <c r="BC211" s="3"/>
      <c r="BE211" s="3"/>
    </row>
    <row r="212" spans="1:69" x14ac:dyDescent="0.25">
      <c r="A212" s="456" t="s">
        <v>1193</v>
      </c>
      <c r="BC212" s="3"/>
      <c r="BE212" s="3"/>
    </row>
    <row r="213" spans="1:69" x14ac:dyDescent="0.25">
      <c r="A213" s="386" t="s">
        <v>1194</v>
      </c>
      <c r="AG213" s="3">
        <f>40088.42/1000</f>
        <v>40.088419999999999</v>
      </c>
      <c r="AI213" s="3">
        <f>+AI199/1000</f>
        <v>41.78887000000001</v>
      </c>
      <c r="AK213" s="3">
        <f>+AK199/1000</f>
        <v>36.240598449999943</v>
      </c>
      <c r="AM213" s="3">
        <f>+AM199/1000</f>
        <v>-25.351851508150155</v>
      </c>
      <c r="AO213" s="3">
        <f>+AO199/1000</f>
        <v>-49.431998695829172</v>
      </c>
      <c r="AQ213" s="3">
        <f>+AQ199/1000</f>
        <v>-79.942067406551487</v>
      </c>
      <c r="AS213" s="3">
        <f>+AS199/1000</f>
        <v>-123.07298085396573</v>
      </c>
      <c r="AU213" s="3">
        <f>+AU199/1000</f>
        <v>-168.76435644889867</v>
      </c>
      <c r="AW213" s="3">
        <f>+AW199/1000</f>
        <v>-221.95450307531854</v>
      </c>
      <c r="AX213" s="3">
        <f>+AX196/1000</f>
        <v>0</v>
      </c>
      <c r="AY213" s="3">
        <f>+AY199/1000</f>
        <v>-287.5804205463964</v>
      </c>
      <c r="BA213" s="3">
        <f>+BA199/1000</f>
        <v>-350.57780143381336</v>
      </c>
      <c r="BC213" s="3">
        <f>+BC199/1000</f>
        <v>-410.88103547612576</v>
      </c>
      <c r="BE213" s="3">
        <f>+BE199/1000</f>
        <v>-468.4232167854156</v>
      </c>
      <c r="BQ213" s="3"/>
    </row>
    <row r="214" spans="1:69" x14ac:dyDescent="0.25">
      <c r="A214" s="386" t="s">
        <v>1195</v>
      </c>
      <c r="AG214" s="3">
        <f>+(328860+663149)/1000</f>
        <v>992.00900000000001</v>
      </c>
      <c r="AI214" s="3">
        <f>+AG214</f>
        <v>992.00900000000001</v>
      </c>
      <c r="AK214" s="3">
        <f>+AI214</f>
        <v>992.00900000000001</v>
      </c>
      <c r="AM214" s="3">
        <f>+AK214</f>
        <v>992.00900000000001</v>
      </c>
      <c r="AO214" s="3">
        <f>+AM214</f>
        <v>992.00900000000001</v>
      </c>
      <c r="AQ214" s="3">
        <f>+AO214</f>
        <v>992.00900000000001</v>
      </c>
      <c r="AS214" s="3">
        <f>+AQ214</f>
        <v>992.00900000000001</v>
      </c>
      <c r="AU214" s="3">
        <f>+AS214</f>
        <v>992.00900000000001</v>
      </c>
      <c r="AW214" s="3">
        <f>+AU214</f>
        <v>992.00900000000001</v>
      </c>
      <c r="AY214" s="3">
        <f>+AW214</f>
        <v>992.00900000000001</v>
      </c>
      <c r="BA214" s="3">
        <f>+AY214</f>
        <v>992.00900000000001</v>
      </c>
      <c r="BC214" s="3">
        <f>+BA214</f>
        <v>992.00900000000001</v>
      </c>
      <c r="BE214" s="3">
        <f>+BC214</f>
        <v>992.00900000000001</v>
      </c>
      <c r="BQ214" s="3"/>
    </row>
    <row r="215" spans="1:69" x14ac:dyDescent="0.25">
      <c r="A215" s="386" t="s">
        <v>1196</v>
      </c>
      <c r="BC215" s="3"/>
      <c r="BE215" s="3"/>
      <c r="BQ215" s="3"/>
    </row>
    <row r="216" spans="1:69" x14ac:dyDescent="0.25">
      <c r="A216" s="386" t="s">
        <v>1197</v>
      </c>
      <c r="BC216" s="3"/>
      <c r="BE216" s="3"/>
      <c r="BQ216" s="3"/>
    </row>
    <row r="217" spans="1:69" x14ac:dyDescent="0.25">
      <c r="A217" s="386" t="s">
        <v>1198</v>
      </c>
      <c r="BC217" s="3"/>
      <c r="BE217" s="3"/>
      <c r="BQ217" s="3"/>
    </row>
    <row r="218" spans="1:69" s="254" customFormat="1" x14ac:dyDescent="0.25">
      <c r="A218" s="90" t="s">
        <v>1199</v>
      </c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32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>
        <f>SUM(AG213:AG217)</f>
        <v>1032.0974200000001</v>
      </c>
      <c r="AH218" s="7"/>
      <c r="AI218" s="7">
        <f>SUM(AI213:AI217)</f>
        <v>1033.7978700000001</v>
      </c>
      <c r="AJ218" s="7"/>
      <c r="AK218" s="7">
        <f>SUM(AK213:AK217)</f>
        <v>1028.2495984499999</v>
      </c>
      <c r="AL218" s="7"/>
      <c r="AM218" s="7">
        <f>SUM(AM213:AM217)</f>
        <v>966.65714849184985</v>
      </c>
      <c r="AN218" s="7"/>
      <c r="AO218" s="7">
        <f>SUM(AO213:AO217)</f>
        <v>942.57700130417084</v>
      </c>
      <c r="AP218" s="7"/>
      <c r="AQ218" s="7">
        <f>SUM(AQ213:AQ217)</f>
        <v>912.06693259344854</v>
      </c>
      <c r="AS218" s="7">
        <f>SUM(AS213:AS217)</f>
        <v>868.93601914603425</v>
      </c>
      <c r="AU218" s="7">
        <f>SUM(AU213:AU217)</f>
        <v>823.24464355110138</v>
      </c>
      <c r="AW218" s="7">
        <f>SUM(AW213:AW217)</f>
        <v>770.05449692468142</v>
      </c>
      <c r="AY218" s="7">
        <f>SUM(AY213:AY217)</f>
        <v>704.42857945360356</v>
      </c>
      <c r="BA218" s="7">
        <f>SUM(BA213:BA217)</f>
        <v>641.43119856618659</v>
      </c>
      <c r="BC218" s="7">
        <f>SUM(BC213:BC217)</f>
        <v>581.1279645238742</v>
      </c>
      <c r="BE218" s="7">
        <f>SUM(BE213:BE217)</f>
        <v>523.58578321458435</v>
      </c>
      <c r="BQ218" s="3"/>
    </row>
    <row r="219" spans="1:69" x14ac:dyDescent="0.25">
      <c r="A219" s="395"/>
      <c r="BC219" s="3"/>
      <c r="BE219" s="3"/>
      <c r="BQ219" s="3"/>
    </row>
    <row r="220" spans="1:69" x14ac:dyDescent="0.25">
      <c r="A220" s="90" t="s">
        <v>1200</v>
      </c>
      <c r="BC220" s="3"/>
      <c r="BE220" s="3"/>
      <c r="BQ220" s="3"/>
    </row>
    <row r="221" spans="1:69" x14ac:dyDescent="0.25">
      <c r="A221" s="386" t="s">
        <v>1196</v>
      </c>
      <c r="BC221" s="3"/>
      <c r="BE221" s="3"/>
      <c r="BQ221" s="3"/>
    </row>
    <row r="222" spans="1:69" x14ac:dyDescent="0.25">
      <c r="A222" s="386" t="s">
        <v>1201</v>
      </c>
      <c r="AI222" s="3">
        <f>-AI154/1000</f>
        <v>-0.75</v>
      </c>
      <c r="AK222" s="3">
        <f>+AI222-(AK62/1000)</f>
        <v>-1.5</v>
      </c>
      <c r="AM222" s="3">
        <f>+AK222-(AM62/1000)</f>
        <v>-2.25</v>
      </c>
      <c r="AO222" s="3">
        <f>+AM222-(AO62/1000)</f>
        <v>-3</v>
      </c>
      <c r="AQ222" s="3">
        <f>+AO222-(AQ62/1000)</f>
        <v>-3.75</v>
      </c>
      <c r="AS222" s="3">
        <f>+AQ222-(AS62/1000)</f>
        <v>-4.5</v>
      </c>
      <c r="AU222" s="3">
        <f>+AS222-(AU62/1000)</f>
        <v>-5.25</v>
      </c>
      <c r="AW222" s="3">
        <f>+AU222-(AW62/1000)</f>
        <v>-6</v>
      </c>
      <c r="AY222" s="3">
        <f>+AW222-(AY62/1000)</f>
        <v>-6.75</v>
      </c>
      <c r="BA222" s="3">
        <f>+AY222-(BA62/1000)</f>
        <v>-7.5</v>
      </c>
      <c r="BC222" s="3">
        <f>+BA222-(BC62/1000)</f>
        <v>-8.25</v>
      </c>
      <c r="BE222" s="3">
        <f>+BC222-(BE62/1000)</f>
        <v>-9</v>
      </c>
      <c r="BQ222" s="3"/>
    </row>
    <row r="223" spans="1:69" s="254" customFormat="1" x14ac:dyDescent="0.25">
      <c r="A223" s="391" t="s">
        <v>1202</v>
      </c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32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>
        <f>SUM(AG221:AG222)</f>
        <v>0</v>
      </c>
      <c r="AH223" s="7"/>
      <c r="AI223" s="7">
        <f>SUM(AI221:AI222)</f>
        <v>-0.75</v>
      </c>
      <c r="AJ223" s="7"/>
      <c r="AK223" s="7">
        <f>SUM(AK221:AK222)</f>
        <v>-1.5</v>
      </c>
      <c r="AL223" s="7"/>
      <c r="AM223" s="7">
        <f>SUM(AM221:AM222)</f>
        <v>-2.25</v>
      </c>
      <c r="AN223" s="7"/>
      <c r="AO223" s="7">
        <f>SUM(AO221:AO222)</f>
        <v>-3</v>
      </c>
      <c r="AP223" s="7"/>
      <c r="AQ223" s="7">
        <f>SUM(AQ221:AQ222)</f>
        <v>-3.75</v>
      </c>
      <c r="AS223" s="7">
        <f>SUM(AS221:AS222)</f>
        <v>-4.5</v>
      </c>
      <c r="AU223" s="7">
        <f>SUM(AU221:AU222)</f>
        <v>-5.25</v>
      </c>
      <c r="AW223" s="7">
        <f>SUM(AW221:AW222)</f>
        <v>-6</v>
      </c>
      <c r="AY223" s="7">
        <f>SUM(AY221:AY222)</f>
        <v>-6.75</v>
      </c>
      <c r="BA223" s="7">
        <f>SUM(BA221:BA222)</f>
        <v>-7.5</v>
      </c>
      <c r="BC223" s="7">
        <f>SUM(BC221:BC222)</f>
        <v>-8.25</v>
      </c>
      <c r="BE223" s="7">
        <f>SUM(BE221:BE222)</f>
        <v>-9</v>
      </c>
      <c r="BQ223" s="3"/>
    </row>
    <row r="224" spans="1:69" x14ac:dyDescent="0.25">
      <c r="A224" s="389"/>
      <c r="BC224" s="3"/>
      <c r="BE224" s="3"/>
      <c r="BQ224" s="3"/>
    </row>
    <row r="225" spans="1:69" s="254" customFormat="1" x14ac:dyDescent="0.25">
      <c r="A225" s="90" t="s">
        <v>1203</v>
      </c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32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>
        <f>+AG218+AG223</f>
        <v>1032.0974200000001</v>
      </c>
      <c r="AH225" s="7"/>
      <c r="AI225" s="7">
        <f>+AI218+AI223</f>
        <v>1033.0478700000001</v>
      </c>
      <c r="AJ225" s="7"/>
      <c r="AK225" s="7">
        <f>+AK218+AK223</f>
        <v>1026.7495984499999</v>
      </c>
      <c r="AL225" s="7"/>
      <c r="AM225" s="7">
        <f>+AM218+AM223</f>
        <v>964.40714849184985</v>
      </c>
      <c r="AN225" s="7"/>
      <c r="AO225" s="7">
        <f>+AO218+AO223</f>
        <v>939.57700130417084</v>
      </c>
      <c r="AP225" s="7"/>
      <c r="AQ225" s="7">
        <f>+AQ218+AQ223</f>
        <v>908.31693259344854</v>
      </c>
      <c r="AS225" s="7">
        <f>+AS218+AS223</f>
        <v>864.43601914603425</v>
      </c>
      <c r="AU225" s="7">
        <f>+AU218+AU223</f>
        <v>817.99464355110138</v>
      </c>
      <c r="AW225" s="7">
        <f>+AW218+AW223</f>
        <v>764.05449692468142</v>
      </c>
      <c r="AY225" s="7">
        <f>+AY218+AY223</f>
        <v>697.67857945360356</v>
      </c>
      <c r="BA225" s="7">
        <f>+BA218+BA223</f>
        <v>633.93119856618659</v>
      </c>
      <c r="BC225" s="7">
        <f>+BC218+BC223</f>
        <v>572.8779645238742</v>
      </c>
      <c r="BE225" s="7">
        <f>+BE218+BE223</f>
        <v>514.58578321458435</v>
      </c>
      <c r="BQ225" s="3"/>
    </row>
    <row r="226" spans="1:69" x14ac:dyDescent="0.25">
      <c r="A226" s="389"/>
      <c r="BC226" s="3"/>
      <c r="BE226" s="3"/>
      <c r="BQ226" s="3"/>
    </row>
    <row r="227" spans="1:69" x14ac:dyDescent="0.25">
      <c r="A227" s="90" t="s">
        <v>1204</v>
      </c>
      <c r="BC227" s="3"/>
      <c r="BE227" s="3"/>
      <c r="BQ227" s="3"/>
    </row>
    <row r="228" spans="1:69" x14ac:dyDescent="0.25">
      <c r="A228" s="386" t="s">
        <v>1205</v>
      </c>
      <c r="BC228" s="3"/>
      <c r="BE228" s="3"/>
      <c r="BQ228" s="3"/>
    </row>
    <row r="229" spans="1:69" x14ac:dyDescent="0.25">
      <c r="A229" s="386" t="s">
        <v>1216</v>
      </c>
      <c r="AK229" s="3">
        <f>AK131/1000</f>
        <v>0</v>
      </c>
      <c r="AM229" s="3">
        <f>AM131/1000</f>
        <v>0</v>
      </c>
      <c r="AO229" s="3">
        <f>AO131/1000</f>
        <v>0</v>
      </c>
      <c r="AQ229" s="3">
        <f>AQ131/1000</f>
        <v>0</v>
      </c>
      <c r="AS229" s="3">
        <f>AS131/1000</f>
        <v>0</v>
      </c>
      <c r="AU229" s="3">
        <f>AU131/1000</f>
        <v>0</v>
      </c>
      <c r="AW229" s="3">
        <f>AW131/1000</f>
        <v>0</v>
      </c>
      <c r="AY229" s="3">
        <f>AY131/1000</f>
        <v>0</v>
      </c>
      <c r="BA229" s="3">
        <f>BA131/1000</f>
        <v>0</v>
      </c>
      <c r="BC229" s="3">
        <f>BC131/1000</f>
        <v>0</v>
      </c>
      <c r="BE229" s="3">
        <f>BE131/1000</f>
        <v>0</v>
      </c>
      <c r="BQ229" s="3"/>
    </row>
    <row r="230" spans="1:69" x14ac:dyDescent="0.25">
      <c r="A230" s="386" t="s">
        <v>1178</v>
      </c>
      <c r="BC230" s="3"/>
      <c r="BE230" s="3"/>
      <c r="BQ230" s="3"/>
    </row>
    <row r="231" spans="1:69" s="254" customFormat="1" x14ac:dyDescent="0.25">
      <c r="A231" s="90" t="s">
        <v>1206</v>
      </c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32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>
        <f>SUM(AG228:AG230)</f>
        <v>0</v>
      </c>
      <c r="AH231" s="7"/>
      <c r="AI231" s="7">
        <f>SUM(AI228:AI230)</f>
        <v>0</v>
      </c>
      <c r="AJ231" s="7"/>
      <c r="AK231" s="7">
        <f>SUM(AK228:AK230)</f>
        <v>0</v>
      </c>
      <c r="AL231" s="7"/>
      <c r="AM231" s="7">
        <f>SUM(AM228:AM230)</f>
        <v>0</v>
      </c>
      <c r="AN231" s="7"/>
      <c r="AO231" s="7">
        <f>SUM(AO228:AO230)</f>
        <v>0</v>
      </c>
      <c r="AP231" s="7"/>
      <c r="AQ231" s="7">
        <f>SUM(AQ228:AQ230)</f>
        <v>0</v>
      </c>
      <c r="AS231" s="7">
        <f>SUM(AS228:AS230)</f>
        <v>0</v>
      </c>
      <c r="AU231" s="7">
        <f>SUM(AU228:AU230)</f>
        <v>0</v>
      </c>
      <c r="AW231" s="7">
        <f>SUM(AW228:AW230)</f>
        <v>0</v>
      </c>
      <c r="AY231" s="7">
        <f>SUM(AY228:AY230)</f>
        <v>0</v>
      </c>
      <c r="BA231" s="7">
        <f>SUM(BA228:BA230)</f>
        <v>0</v>
      </c>
      <c r="BC231" s="7">
        <f>SUM(BC228:BC230)</f>
        <v>0</v>
      </c>
      <c r="BE231" s="7">
        <f>SUM(BE228:BE230)</f>
        <v>0</v>
      </c>
      <c r="BQ231" s="3"/>
    </row>
    <row r="232" spans="1:69" x14ac:dyDescent="0.25">
      <c r="A232" s="389"/>
      <c r="BC232" s="3"/>
      <c r="BE232" s="3"/>
      <c r="BQ232" s="3"/>
    </row>
    <row r="233" spans="1:69" x14ac:dyDescent="0.25">
      <c r="A233" s="90" t="s">
        <v>1207</v>
      </c>
      <c r="BC233" s="3"/>
      <c r="BE233" s="3"/>
      <c r="BQ233" s="3"/>
    </row>
    <row r="234" spans="1:69" x14ac:dyDescent="0.25">
      <c r="A234" s="386" t="s">
        <v>1216</v>
      </c>
      <c r="AK234" s="3">
        <f>+((AK191+AK193)/1000)-AK229</f>
        <v>0</v>
      </c>
      <c r="AM234" s="3">
        <f>AK229+AK234+((AM191+AM193)/1000)-AM229</f>
        <v>0</v>
      </c>
      <c r="AO234" s="3">
        <f>AM229+AM234+((AO191+AO193)/1000)-AO229</f>
        <v>0</v>
      </c>
      <c r="AQ234" s="3">
        <f>AO229+AO234+((AQ191+AQ193)/1000)-AQ229</f>
        <v>0</v>
      </c>
      <c r="AS234" s="3">
        <f>AQ229+AQ234+((AS191+AS193)/1000)-AS229</f>
        <v>0</v>
      </c>
      <c r="AU234" s="3">
        <f>AS229+AS234+((AU191+AU193)/1000)-AU229</f>
        <v>0</v>
      </c>
      <c r="AW234" s="3">
        <f>AU229+AU234+((AW191+AW193)/1000)-AW229</f>
        <v>0</v>
      </c>
      <c r="AY234" s="3">
        <f>AW229+AW234+((AY191+AY193)/1000)-AY229</f>
        <v>0</v>
      </c>
      <c r="BA234" s="3">
        <f>AY229+AY234+((BA191+BA193)/1000)-BA229</f>
        <v>0</v>
      </c>
      <c r="BE234" s="3"/>
      <c r="BQ234" s="3"/>
    </row>
    <row r="235" spans="1:69" x14ac:dyDescent="0.25">
      <c r="A235" s="386" t="s">
        <v>1178</v>
      </c>
      <c r="BC235" s="3"/>
      <c r="BE235" s="3"/>
      <c r="BQ235" s="3"/>
    </row>
    <row r="236" spans="1:69" s="254" customFormat="1" x14ac:dyDescent="0.25">
      <c r="A236" s="90" t="s">
        <v>1208</v>
      </c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32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>
        <f>SUM(AG234:AG235)</f>
        <v>0</v>
      </c>
      <c r="AH236" s="7"/>
      <c r="AI236" s="7">
        <f>SUM(AI234:AI235)</f>
        <v>0</v>
      </c>
      <c r="AJ236" s="7"/>
      <c r="AK236" s="7">
        <f>SUM(AK234:AK235)</f>
        <v>0</v>
      </c>
      <c r="AL236" s="7"/>
      <c r="AM236" s="7">
        <f>SUM(AM234:AM235)</f>
        <v>0</v>
      </c>
      <c r="AN236" s="7"/>
      <c r="AO236" s="7">
        <f>SUM(AO234:AO235)</f>
        <v>0</v>
      </c>
      <c r="AP236" s="7"/>
      <c r="AQ236" s="7">
        <f>SUM(AQ234:AQ235)</f>
        <v>0</v>
      </c>
      <c r="AS236" s="7">
        <f>SUM(AS234:AS235)</f>
        <v>0</v>
      </c>
      <c r="AU236" s="7">
        <f>SUM(AU234:AU235)</f>
        <v>0</v>
      </c>
      <c r="AW236" s="7">
        <f>SUM(AW234:AW235)</f>
        <v>0</v>
      </c>
      <c r="AY236" s="7">
        <f>SUM(AY234:AY235)</f>
        <v>0</v>
      </c>
      <c r="BA236" s="7">
        <f>SUM(BA234:BA235)</f>
        <v>0</v>
      </c>
      <c r="BC236" s="7">
        <f>SUM(BC234:BC235)</f>
        <v>0</v>
      </c>
      <c r="BE236" s="7">
        <f>SUM(BE234:BE235)</f>
        <v>0</v>
      </c>
      <c r="BQ236" s="3"/>
    </row>
    <row r="237" spans="1:69" x14ac:dyDescent="0.25">
      <c r="A237" s="389"/>
      <c r="BC237" s="3"/>
      <c r="BE237" s="3"/>
      <c r="BQ237" s="3"/>
    </row>
    <row r="238" spans="1:69" s="254" customFormat="1" x14ac:dyDescent="0.25">
      <c r="A238" s="90" t="s">
        <v>1209</v>
      </c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32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>
        <f>+AG231+AG236</f>
        <v>0</v>
      </c>
      <c r="AH238" s="7"/>
      <c r="AI238" s="7">
        <f>+AI231+AI236</f>
        <v>0</v>
      </c>
      <c r="AJ238" s="7"/>
      <c r="AK238" s="7">
        <f>+AK231+AK236</f>
        <v>0</v>
      </c>
      <c r="AL238" s="7"/>
      <c r="AM238" s="7">
        <f>+AM231+AM236</f>
        <v>0</v>
      </c>
      <c r="AN238" s="7"/>
      <c r="AO238" s="7">
        <f>+AO231+AO236</f>
        <v>0</v>
      </c>
      <c r="AP238" s="7"/>
      <c r="AQ238" s="7">
        <f>+AQ231+AQ236</f>
        <v>0</v>
      </c>
      <c r="AS238" s="7">
        <f>+AS231+AS236</f>
        <v>0</v>
      </c>
      <c r="AU238" s="7">
        <f>+AU231+AU236</f>
        <v>0</v>
      </c>
      <c r="AW238" s="7">
        <f>+AW231+AW236</f>
        <v>0</v>
      </c>
      <c r="AY238" s="7">
        <f>+AY231+AY236</f>
        <v>0</v>
      </c>
      <c r="BA238" s="7">
        <f>+BA231+BA236</f>
        <v>0</v>
      </c>
      <c r="BC238" s="7">
        <f>+BC231+BC236</f>
        <v>0</v>
      </c>
      <c r="BE238" s="7">
        <f>+BE231+BE236</f>
        <v>0</v>
      </c>
      <c r="BQ238" s="3"/>
    </row>
    <row r="239" spans="1:69" x14ac:dyDescent="0.25">
      <c r="A239" s="389"/>
      <c r="BC239" s="3"/>
      <c r="BE239" s="3"/>
      <c r="BQ239" s="3"/>
    </row>
    <row r="240" spans="1:69" s="254" customFormat="1" x14ac:dyDescent="0.25">
      <c r="A240" s="391" t="s">
        <v>1210</v>
      </c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32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>
        <f>+AG225-AG238</f>
        <v>1032.0974200000001</v>
      </c>
      <c r="AH240" s="7"/>
      <c r="AI240" s="7">
        <f>+AI225-AI238</f>
        <v>1033.0478700000001</v>
      </c>
      <c r="AJ240" s="7"/>
      <c r="AK240" s="7">
        <f>+AK225-AK238</f>
        <v>1026.7495984499999</v>
      </c>
      <c r="AL240" s="7"/>
      <c r="AM240" s="7">
        <f>+AM225-AM238</f>
        <v>964.40714849184985</v>
      </c>
      <c r="AN240" s="7"/>
      <c r="AO240" s="7">
        <f>+AO225-AO238</f>
        <v>939.57700130417084</v>
      </c>
      <c r="AP240" s="7"/>
      <c r="AQ240" s="7">
        <f>+AQ225-AQ238</f>
        <v>908.31693259344854</v>
      </c>
      <c r="AS240" s="7">
        <f>+AS225-AS238</f>
        <v>864.43601914603425</v>
      </c>
      <c r="AU240" s="7">
        <f>+AU225-AU238</f>
        <v>817.99464355110138</v>
      </c>
      <c r="AW240" s="7">
        <f>+AW225-AW238</f>
        <v>764.05449692468142</v>
      </c>
      <c r="AY240" s="7">
        <f>+AY225-AY238</f>
        <v>697.67857945360356</v>
      </c>
      <c r="BA240" s="7">
        <f>+BA225-BA238</f>
        <v>633.93119856618659</v>
      </c>
      <c r="BC240" s="7">
        <f>+BC225-BC238</f>
        <v>572.8779645238742</v>
      </c>
      <c r="BE240" s="7">
        <f>+BE225-BE238</f>
        <v>514.58578321458435</v>
      </c>
      <c r="BQ240" s="3"/>
    </row>
    <row r="241" spans="1:69" x14ac:dyDescent="0.25">
      <c r="A241" s="389"/>
      <c r="BC241" s="3"/>
      <c r="BE241" s="3"/>
      <c r="BQ241" s="3"/>
    </row>
    <row r="242" spans="1:69" x14ac:dyDescent="0.25">
      <c r="A242" s="90" t="s">
        <v>1211</v>
      </c>
      <c r="BC242" s="3"/>
      <c r="BE242" s="3"/>
      <c r="BQ242" s="3"/>
    </row>
    <row r="243" spans="1:69" x14ac:dyDescent="0.25">
      <c r="A243" s="386" t="s">
        <v>1212</v>
      </c>
      <c r="AG243" s="3">
        <v>1032</v>
      </c>
      <c r="AI243" s="3">
        <f>AG243+AI146/1000</f>
        <v>1032.95045</v>
      </c>
      <c r="AK243" s="3">
        <f>+AI243+((AK146-AK61+AK131)/1000)</f>
        <v>1026.6521784500001</v>
      </c>
      <c r="AM243" s="3">
        <f>+AK243+((AM146-AM61+AM131)/1000)</f>
        <v>964.30972849184991</v>
      </c>
      <c r="AO243" s="3">
        <f>+AM243+((AO146-AO61+AO131)/1000)</f>
        <v>939.47958130417101</v>
      </c>
      <c r="AQ243" s="3">
        <f>+AO243+((AQ146-AQ61+AQ131)/1000)</f>
        <v>908.21951259344871</v>
      </c>
      <c r="AS243" s="3">
        <f>+AQ243+((AS146-AS61+AS131)/1000)</f>
        <v>864.33859914603443</v>
      </c>
      <c r="AU243" s="3">
        <f>+AS243+((AU146-AU61+AU131)/1000)</f>
        <v>817.89722355110143</v>
      </c>
      <c r="AW243" s="3">
        <f>+AU243+((AW146-AW61+AW131)/1000)</f>
        <v>763.95707692468159</v>
      </c>
      <c r="AY243" s="3">
        <f>+AW243+((AY146-AY61+AY131)/1000)</f>
        <v>697.58115945360373</v>
      </c>
      <c r="BA243" s="3">
        <f>+AY243+((BA146-BA61+BA131)/1000)</f>
        <v>633.83377856618688</v>
      </c>
      <c r="BC243" s="3">
        <f>+BA243+((BC146-BC61+BC131)/1000)</f>
        <v>572.78054452387448</v>
      </c>
      <c r="BE243" s="3">
        <f>+BC243+((BE146-BE61+BE131)/1000)</f>
        <v>514.48836321458464</v>
      </c>
      <c r="BQ243" s="3"/>
    </row>
    <row r="244" spans="1:69" x14ac:dyDescent="0.25">
      <c r="A244" s="386" t="s">
        <v>1213</v>
      </c>
      <c r="BC244" s="3"/>
      <c r="BE244" s="3"/>
      <c r="BQ244" s="3"/>
    </row>
    <row r="245" spans="1:69" x14ac:dyDescent="0.25">
      <c r="A245" s="386" t="s">
        <v>1214</v>
      </c>
      <c r="BC245" s="3"/>
      <c r="BE245" s="3"/>
      <c r="BQ245" s="3"/>
    </row>
    <row r="246" spans="1:69" s="254" customFormat="1" x14ac:dyDescent="0.25">
      <c r="A246" s="391" t="s">
        <v>1215</v>
      </c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32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>
        <f>SUM(AG243:AG245)</f>
        <v>1032</v>
      </c>
      <c r="AH246" s="7"/>
      <c r="AI246" s="7">
        <f>SUM(AI243:AI245)</f>
        <v>1032.95045</v>
      </c>
      <c r="AJ246" s="7"/>
      <c r="AK246" s="7">
        <f>SUM(AK243:AK245)</f>
        <v>1026.6521784500001</v>
      </c>
      <c r="AL246" s="7"/>
      <c r="AM246" s="7">
        <f>SUM(AM243:AM245)</f>
        <v>964.30972849184991</v>
      </c>
      <c r="AN246" s="7"/>
      <c r="AO246" s="7">
        <f>SUM(AO243:AO245)</f>
        <v>939.47958130417101</v>
      </c>
      <c r="AP246" s="7"/>
      <c r="AQ246" s="7">
        <f>SUM(AQ243:AQ245)</f>
        <v>908.21951259344871</v>
      </c>
      <c r="AS246" s="7">
        <f>SUM(AS243:AS245)</f>
        <v>864.33859914603443</v>
      </c>
      <c r="AU246" s="7">
        <f>SUM(AU243:AU245)</f>
        <v>817.89722355110143</v>
      </c>
      <c r="AW246" s="7">
        <f>SUM(AW243:AW245)</f>
        <v>763.95707692468159</v>
      </c>
      <c r="AY246" s="7">
        <f>SUM(AY243:AY245)</f>
        <v>697.58115945360373</v>
      </c>
      <c r="BA246" s="7">
        <f>SUM(BA243:BA245)</f>
        <v>633.83377856618688</v>
      </c>
      <c r="BC246" s="7">
        <f>SUM(BC243:BC245)</f>
        <v>572.78054452387448</v>
      </c>
      <c r="BE246" s="7">
        <f>SUM(BE243:BE245)</f>
        <v>514.48836321458464</v>
      </c>
      <c r="BQ246" s="3"/>
    </row>
    <row r="247" spans="1:69" x14ac:dyDescent="0.25">
      <c r="A247" s="389"/>
      <c r="AG247" s="3">
        <f>+AG240-AG246</f>
        <v>9.7420000000056461E-2</v>
      </c>
      <c r="AI247" s="3">
        <f>+AI240-AI246</f>
        <v>9.7420000000056461E-2</v>
      </c>
      <c r="AK247" s="3">
        <f>+AK240-AK246</f>
        <v>9.7419999999829088E-2</v>
      </c>
      <c r="AM247" s="3">
        <f>+AM240-AM246</f>
        <v>9.7419999999942775E-2</v>
      </c>
      <c r="AO247" s="3">
        <f>+AO240-AO246</f>
        <v>9.7419999999829088E-2</v>
      </c>
      <c r="AQ247" s="3">
        <f>+AQ240-AQ246</f>
        <v>9.7419999999829088E-2</v>
      </c>
      <c r="AS247" s="3">
        <f>+AS240-AS246</f>
        <v>9.7419999999829088E-2</v>
      </c>
      <c r="AU247" s="3">
        <f>+AU240-AU246</f>
        <v>9.7419999999942775E-2</v>
      </c>
      <c r="AW247" s="3">
        <f>+AW240-AW246</f>
        <v>9.7419999999829088E-2</v>
      </c>
      <c r="AY247" s="3">
        <f>+AY240-AY246</f>
        <v>9.7419999999829088E-2</v>
      </c>
      <c r="BA247" s="3">
        <f>+BA240-BA246</f>
        <v>9.7419999999715401E-2</v>
      </c>
      <c r="BC247" s="3">
        <f>+BC240-BC246</f>
        <v>9.7419999999715401E-2</v>
      </c>
      <c r="BE247" s="3">
        <f>+BE240-BE246</f>
        <v>9.7419999999715401E-2</v>
      </c>
      <c r="BQ247" s="3"/>
    </row>
    <row r="248" spans="1:69" x14ac:dyDescent="0.25">
      <c r="BQ248" s="3"/>
    </row>
    <row r="249" spans="1:69" x14ac:dyDescent="0.25">
      <c r="BC249" s="3"/>
    </row>
    <row r="256" spans="1:69" x14ac:dyDescent="0.25">
      <c r="AK256" s="441"/>
    </row>
  </sheetData>
  <mergeCells count="3">
    <mergeCell ref="A34:BE34"/>
    <mergeCell ref="A209:BE209"/>
    <mergeCell ref="A158:BE158"/>
  </mergeCells>
  <pageMargins left="0.70866141732283472" right="0.70866141732283472" top="0.74803149606299213" bottom="0.74803149606299213" header="0.31496062992125984" footer="0.31496062992125984"/>
  <pageSetup paperSize="8" scale="70" fitToHeight="5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E250"/>
  <sheetViews>
    <sheetView view="pageBreakPreview" topLeftCell="A199" zoomScale="70" zoomScaleNormal="75" zoomScaleSheetLayoutView="70" workbookViewId="0">
      <selection activeCell="AM222" sqref="AM222"/>
    </sheetView>
  </sheetViews>
  <sheetFormatPr defaultRowHeight="15" outlineLevelRow="1" x14ac:dyDescent="0.25"/>
  <cols>
    <col min="1" max="1" width="54.28515625" style="42" customWidth="1"/>
    <col min="2" max="2" width="17.7109375" style="3" hidden="1" customWidth="1"/>
    <col min="3" max="3" width="2.85546875" style="3" hidden="1" customWidth="1"/>
    <col min="4" max="6" width="15.5703125" style="3" hidden="1" customWidth="1"/>
    <col min="7" max="7" width="3" style="3" hidden="1" customWidth="1"/>
    <col min="8" max="8" width="15.5703125" style="3" hidden="1" customWidth="1"/>
    <col min="9" max="9" width="3" style="3" hidden="1" customWidth="1"/>
    <col min="10" max="12" width="15.5703125" style="3" hidden="1" customWidth="1"/>
    <col min="13" max="13" width="3" style="4" hidden="1" customWidth="1"/>
    <col min="14" max="14" width="8.7109375" style="3" hidden="1" customWidth="1"/>
    <col min="15" max="15" width="1.7109375" style="3" hidden="1" customWidth="1"/>
    <col min="16" max="16" width="17.42578125" style="3" hidden="1" customWidth="1"/>
    <col min="17" max="17" width="1.140625" style="3" hidden="1" customWidth="1"/>
    <col min="18" max="19" width="15.28515625" style="3" hidden="1" customWidth="1"/>
    <col min="20" max="20" width="15.5703125" style="3" hidden="1" customWidth="1"/>
    <col min="21" max="21" width="15.28515625" style="3" hidden="1" customWidth="1"/>
    <col min="22" max="22" width="15.140625" style="3" hidden="1" customWidth="1"/>
    <col min="23" max="23" width="14.42578125" style="3" hidden="1" customWidth="1"/>
    <col min="24" max="24" width="1.7109375" style="3" hidden="1" customWidth="1"/>
    <col min="25" max="25" width="16.85546875" style="3" hidden="1" customWidth="1"/>
    <col min="26" max="26" width="17.140625" style="3" hidden="1" customWidth="1"/>
    <col min="27" max="27" width="2.140625" style="3" hidden="1" customWidth="1"/>
    <col min="28" max="28" width="2.7109375" style="3" hidden="1" customWidth="1"/>
    <col min="29" max="29" width="15.5703125" style="3" hidden="1" customWidth="1"/>
    <col min="30" max="30" width="16.42578125" style="3" hidden="1" customWidth="1"/>
    <col min="31" max="31" width="19.85546875" style="3" hidden="1" customWidth="1"/>
    <col min="32" max="32" width="18" style="3" hidden="1" customWidth="1"/>
    <col min="33" max="33" width="7.5703125" style="3" bestFit="1" customWidth="1"/>
    <col min="34" max="34" width="1.7109375" style="3" customWidth="1"/>
    <col min="35" max="35" width="10.42578125" style="3" bestFit="1" customWidth="1"/>
    <col min="36" max="36" width="1.7109375" style="3" customWidth="1"/>
    <col min="37" max="37" width="10.42578125" style="3" bestFit="1" customWidth="1"/>
    <col min="38" max="38" width="1.7109375" style="3" customWidth="1"/>
    <col min="39" max="39" width="10.42578125" style="3" bestFit="1" customWidth="1"/>
    <col min="40" max="40" width="1.7109375" style="3" customWidth="1"/>
    <col min="41" max="41" width="10.42578125" style="3" bestFit="1" customWidth="1"/>
    <col min="42" max="42" width="1.7109375" style="3" customWidth="1"/>
    <col min="43" max="43" width="10.42578125" style="3" bestFit="1" customWidth="1"/>
    <col min="44" max="44" width="1.7109375" style="42" customWidth="1"/>
    <col min="45" max="45" width="12" style="3" bestFit="1" customWidth="1"/>
    <col min="46" max="46" width="1.7109375" style="42" customWidth="1"/>
    <col min="47" max="47" width="10.42578125" style="3" bestFit="1" customWidth="1"/>
    <col min="48" max="48" width="1.7109375" style="42" customWidth="1"/>
    <col min="49" max="49" width="10.42578125" style="3" bestFit="1" customWidth="1"/>
    <col min="50" max="50" width="1.7109375" style="42" customWidth="1"/>
    <col min="51" max="51" width="10.42578125" style="3" bestFit="1" customWidth="1"/>
    <col min="52" max="52" width="1.7109375" style="42" customWidth="1"/>
    <col min="53" max="53" width="10.42578125" style="3" bestFit="1" customWidth="1"/>
    <col min="54" max="54" width="1.7109375" style="42" customWidth="1"/>
    <col min="55" max="55" width="10.42578125" style="42" bestFit="1" customWidth="1"/>
    <col min="56" max="56" width="1.7109375" style="42" customWidth="1"/>
    <col min="57" max="57" width="13.42578125" style="42" customWidth="1"/>
    <col min="58" max="58" width="9.140625" style="42" customWidth="1"/>
    <col min="59" max="60" width="13.42578125" style="42" customWidth="1"/>
    <col min="61" max="61" width="9.140625" style="42" customWidth="1"/>
    <col min="62" max="62" width="13.42578125" style="42" customWidth="1"/>
    <col min="63" max="63" width="9.140625" style="42" customWidth="1"/>
    <col min="64" max="64" width="13.42578125" style="42" customWidth="1"/>
    <col min="65" max="65" width="9.140625" style="42" customWidth="1"/>
    <col min="66" max="66" width="13.42578125" style="42" customWidth="1"/>
    <col min="67" max="67" width="9.140625" style="42" customWidth="1"/>
    <col min="68" max="68" width="13.42578125" style="42" customWidth="1"/>
    <col min="69" max="257" width="9.140625" style="42"/>
    <col min="258" max="258" width="26.5703125" style="42" customWidth="1"/>
    <col min="259" max="271" width="0" style="42" hidden="1" customWidth="1"/>
    <col min="272" max="272" width="1.7109375" style="42" customWidth="1"/>
    <col min="273" max="273" width="17.42578125" style="42" customWidth="1"/>
    <col min="274" max="274" width="1.140625" style="42" customWidth="1"/>
    <col min="275" max="287" width="0" style="42" hidden="1" customWidth="1"/>
    <col min="288" max="288" width="19.85546875" style="42" customWidth="1"/>
    <col min="289" max="289" width="0" style="42" hidden="1" customWidth="1"/>
    <col min="290" max="290" width="2.85546875" style="42" customWidth="1"/>
    <col min="291" max="291" width="15.5703125" style="42" customWidth="1"/>
    <col min="292" max="292" width="2" style="42" customWidth="1"/>
    <col min="293" max="293" width="15.5703125" style="42" customWidth="1"/>
    <col min="294" max="294" width="1.7109375" style="42" customWidth="1"/>
    <col min="295" max="295" width="15.5703125" style="42" customWidth="1"/>
    <col min="296" max="296" width="1.5703125" style="42" customWidth="1"/>
    <col min="297" max="297" width="15.5703125" style="42" customWidth="1"/>
    <col min="298" max="298" width="1.42578125" style="42" customWidth="1"/>
    <col min="299" max="299" width="15.5703125" style="42" customWidth="1"/>
    <col min="300" max="300" width="1.85546875" style="42" customWidth="1"/>
    <col min="301" max="301" width="15.5703125" style="42" customWidth="1"/>
    <col min="302" max="302" width="1.28515625" style="42" customWidth="1"/>
    <col min="303" max="303" width="15.85546875" style="42" customWidth="1"/>
    <col min="304" max="304" width="1.5703125" style="42" customWidth="1"/>
    <col min="305" max="305" width="15.5703125" style="42" customWidth="1"/>
    <col min="306" max="306" width="1.85546875" style="42" customWidth="1"/>
    <col min="307" max="307" width="15.5703125" style="42" customWidth="1"/>
    <col min="308" max="308" width="1.5703125" style="42" customWidth="1"/>
    <col min="309" max="309" width="15.5703125" style="42" customWidth="1"/>
    <col min="310" max="310" width="9.140625" style="42"/>
    <col min="311" max="311" width="15.140625" style="42" customWidth="1"/>
    <col min="312" max="513" width="9.140625" style="42"/>
    <col min="514" max="514" width="26.5703125" style="42" customWidth="1"/>
    <col min="515" max="527" width="0" style="42" hidden="1" customWidth="1"/>
    <col min="528" max="528" width="1.7109375" style="42" customWidth="1"/>
    <col min="529" max="529" width="17.42578125" style="42" customWidth="1"/>
    <col min="530" max="530" width="1.140625" style="42" customWidth="1"/>
    <col min="531" max="543" width="0" style="42" hidden="1" customWidth="1"/>
    <col min="544" max="544" width="19.85546875" style="42" customWidth="1"/>
    <col min="545" max="545" width="0" style="42" hidden="1" customWidth="1"/>
    <col min="546" max="546" width="2.85546875" style="42" customWidth="1"/>
    <col min="547" max="547" width="15.5703125" style="42" customWidth="1"/>
    <col min="548" max="548" width="2" style="42" customWidth="1"/>
    <col min="549" max="549" width="15.5703125" style="42" customWidth="1"/>
    <col min="550" max="550" width="1.7109375" style="42" customWidth="1"/>
    <col min="551" max="551" width="15.5703125" style="42" customWidth="1"/>
    <col min="552" max="552" width="1.5703125" style="42" customWidth="1"/>
    <col min="553" max="553" width="15.5703125" style="42" customWidth="1"/>
    <col min="554" max="554" width="1.42578125" style="42" customWidth="1"/>
    <col min="555" max="555" width="15.5703125" style="42" customWidth="1"/>
    <col min="556" max="556" width="1.85546875" style="42" customWidth="1"/>
    <col min="557" max="557" width="15.5703125" style="42" customWidth="1"/>
    <col min="558" max="558" width="1.28515625" style="42" customWidth="1"/>
    <col min="559" max="559" width="15.85546875" style="42" customWidth="1"/>
    <col min="560" max="560" width="1.5703125" style="42" customWidth="1"/>
    <col min="561" max="561" width="15.5703125" style="42" customWidth="1"/>
    <col min="562" max="562" width="1.85546875" style="42" customWidth="1"/>
    <col min="563" max="563" width="15.5703125" style="42" customWidth="1"/>
    <col min="564" max="564" width="1.5703125" style="42" customWidth="1"/>
    <col min="565" max="565" width="15.5703125" style="42" customWidth="1"/>
    <col min="566" max="566" width="9.140625" style="42"/>
    <col min="567" max="567" width="15.140625" style="42" customWidth="1"/>
    <col min="568" max="769" width="9.140625" style="42"/>
    <col min="770" max="770" width="26.5703125" style="42" customWidth="1"/>
    <col min="771" max="783" width="0" style="42" hidden="1" customWidth="1"/>
    <col min="784" max="784" width="1.7109375" style="42" customWidth="1"/>
    <col min="785" max="785" width="17.42578125" style="42" customWidth="1"/>
    <col min="786" max="786" width="1.140625" style="42" customWidth="1"/>
    <col min="787" max="799" width="0" style="42" hidden="1" customWidth="1"/>
    <col min="800" max="800" width="19.85546875" style="42" customWidth="1"/>
    <col min="801" max="801" width="0" style="42" hidden="1" customWidth="1"/>
    <col min="802" max="802" width="2.85546875" style="42" customWidth="1"/>
    <col min="803" max="803" width="15.5703125" style="42" customWidth="1"/>
    <col min="804" max="804" width="2" style="42" customWidth="1"/>
    <col min="805" max="805" width="15.5703125" style="42" customWidth="1"/>
    <col min="806" max="806" width="1.7109375" style="42" customWidth="1"/>
    <col min="807" max="807" width="15.5703125" style="42" customWidth="1"/>
    <col min="808" max="808" width="1.5703125" style="42" customWidth="1"/>
    <col min="809" max="809" width="15.5703125" style="42" customWidth="1"/>
    <col min="810" max="810" width="1.42578125" style="42" customWidth="1"/>
    <col min="811" max="811" width="15.5703125" style="42" customWidth="1"/>
    <col min="812" max="812" width="1.85546875" style="42" customWidth="1"/>
    <col min="813" max="813" width="15.5703125" style="42" customWidth="1"/>
    <col min="814" max="814" width="1.28515625" style="42" customWidth="1"/>
    <col min="815" max="815" width="15.85546875" style="42" customWidth="1"/>
    <col min="816" max="816" width="1.5703125" style="42" customWidth="1"/>
    <col min="817" max="817" width="15.5703125" style="42" customWidth="1"/>
    <col min="818" max="818" width="1.85546875" style="42" customWidth="1"/>
    <col min="819" max="819" width="15.5703125" style="42" customWidth="1"/>
    <col min="820" max="820" width="1.5703125" style="42" customWidth="1"/>
    <col min="821" max="821" width="15.5703125" style="42" customWidth="1"/>
    <col min="822" max="822" width="9.140625" style="42"/>
    <col min="823" max="823" width="15.140625" style="42" customWidth="1"/>
    <col min="824" max="1025" width="9.140625" style="42"/>
    <col min="1026" max="1026" width="26.5703125" style="42" customWidth="1"/>
    <col min="1027" max="1039" width="0" style="42" hidden="1" customWidth="1"/>
    <col min="1040" max="1040" width="1.7109375" style="42" customWidth="1"/>
    <col min="1041" max="1041" width="17.42578125" style="42" customWidth="1"/>
    <col min="1042" max="1042" width="1.140625" style="42" customWidth="1"/>
    <col min="1043" max="1055" width="0" style="42" hidden="1" customWidth="1"/>
    <col min="1056" max="1056" width="19.85546875" style="42" customWidth="1"/>
    <col min="1057" max="1057" width="0" style="42" hidden="1" customWidth="1"/>
    <col min="1058" max="1058" width="2.85546875" style="42" customWidth="1"/>
    <col min="1059" max="1059" width="15.5703125" style="42" customWidth="1"/>
    <col min="1060" max="1060" width="2" style="42" customWidth="1"/>
    <col min="1061" max="1061" width="15.5703125" style="42" customWidth="1"/>
    <col min="1062" max="1062" width="1.7109375" style="42" customWidth="1"/>
    <col min="1063" max="1063" width="15.5703125" style="42" customWidth="1"/>
    <col min="1064" max="1064" width="1.5703125" style="42" customWidth="1"/>
    <col min="1065" max="1065" width="15.5703125" style="42" customWidth="1"/>
    <col min="1066" max="1066" width="1.42578125" style="42" customWidth="1"/>
    <col min="1067" max="1067" width="15.5703125" style="42" customWidth="1"/>
    <col min="1068" max="1068" width="1.85546875" style="42" customWidth="1"/>
    <col min="1069" max="1069" width="15.5703125" style="42" customWidth="1"/>
    <col min="1070" max="1070" width="1.28515625" style="42" customWidth="1"/>
    <col min="1071" max="1071" width="15.85546875" style="42" customWidth="1"/>
    <col min="1072" max="1072" width="1.5703125" style="42" customWidth="1"/>
    <col min="1073" max="1073" width="15.5703125" style="42" customWidth="1"/>
    <col min="1074" max="1074" width="1.85546875" style="42" customWidth="1"/>
    <col min="1075" max="1075" width="15.5703125" style="42" customWidth="1"/>
    <col min="1076" max="1076" width="1.5703125" style="42" customWidth="1"/>
    <col min="1077" max="1077" width="15.5703125" style="42" customWidth="1"/>
    <col min="1078" max="1078" width="9.140625" style="42"/>
    <col min="1079" max="1079" width="15.140625" style="42" customWidth="1"/>
    <col min="1080" max="1281" width="9.140625" style="42"/>
    <col min="1282" max="1282" width="26.5703125" style="42" customWidth="1"/>
    <col min="1283" max="1295" width="0" style="42" hidden="1" customWidth="1"/>
    <col min="1296" max="1296" width="1.7109375" style="42" customWidth="1"/>
    <col min="1297" max="1297" width="17.42578125" style="42" customWidth="1"/>
    <col min="1298" max="1298" width="1.140625" style="42" customWidth="1"/>
    <col min="1299" max="1311" width="0" style="42" hidden="1" customWidth="1"/>
    <col min="1312" max="1312" width="19.85546875" style="42" customWidth="1"/>
    <col min="1313" max="1313" width="0" style="42" hidden="1" customWidth="1"/>
    <col min="1314" max="1314" width="2.85546875" style="42" customWidth="1"/>
    <col min="1315" max="1315" width="15.5703125" style="42" customWidth="1"/>
    <col min="1316" max="1316" width="2" style="42" customWidth="1"/>
    <col min="1317" max="1317" width="15.5703125" style="42" customWidth="1"/>
    <col min="1318" max="1318" width="1.7109375" style="42" customWidth="1"/>
    <col min="1319" max="1319" width="15.5703125" style="42" customWidth="1"/>
    <col min="1320" max="1320" width="1.5703125" style="42" customWidth="1"/>
    <col min="1321" max="1321" width="15.5703125" style="42" customWidth="1"/>
    <col min="1322" max="1322" width="1.42578125" style="42" customWidth="1"/>
    <col min="1323" max="1323" width="15.5703125" style="42" customWidth="1"/>
    <col min="1324" max="1324" width="1.85546875" style="42" customWidth="1"/>
    <col min="1325" max="1325" width="15.5703125" style="42" customWidth="1"/>
    <col min="1326" max="1326" width="1.28515625" style="42" customWidth="1"/>
    <col min="1327" max="1327" width="15.85546875" style="42" customWidth="1"/>
    <col min="1328" max="1328" width="1.5703125" style="42" customWidth="1"/>
    <col min="1329" max="1329" width="15.5703125" style="42" customWidth="1"/>
    <col min="1330" max="1330" width="1.85546875" style="42" customWidth="1"/>
    <col min="1331" max="1331" width="15.5703125" style="42" customWidth="1"/>
    <col min="1332" max="1332" width="1.5703125" style="42" customWidth="1"/>
    <col min="1333" max="1333" width="15.5703125" style="42" customWidth="1"/>
    <col min="1334" max="1334" width="9.140625" style="42"/>
    <col min="1335" max="1335" width="15.140625" style="42" customWidth="1"/>
    <col min="1336" max="1537" width="9.140625" style="42"/>
    <col min="1538" max="1538" width="26.5703125" style="42" customWidth="1"/>
    <col min="1539" max="1551" width="0" style="42" hidden="1" customWidth="1"/>
    <col min="1552" max="1552" width="1.7109375" style="42" customWidth="1"/>
    <col min="1553" max="1553" width="17.42578125" style="42" customWidth="1"/>
    <col min="1554" max="1554" width="1.140625" style="42" customWidth="1"/>
    <col min="1555" max="1567" width="0" style="42" hidden="1" customWidth="1"/>
    <col min="1568" max="1568" width="19.85546875" style="42" customWidth="1"/>
    <col min="1569" max="1569" width="0" style="42" hidden="1" customWidth="1"/>
    <col min="1570" max="1570" width="2.85546875" style="42" customWidth="1"/>
    <col min="1571" max="1571" width="15.5703125" style="42" customWidth="1"/>
    <col min="1572" max="1572" width="2" style="42" customWidth="1"/>
    <col min="1573" max="1573" width="15.5703125" style="42" customWidth="1"/>
    <col min="1574" max="1574" width="1.7109375" style="42" customWidth="1"/>
    <col min="1575" max="1575" width="15.5703125" style="42" customWidth="1"/>
    <col min="1576" max="1576" width="1.5703125" style="42" customWidth="1"/>
    <col min="1577" max="1577" width="15.5703125" style="42" customWidth="1"/>
    <col min="1578" max="1578" width="1.42578125" style="42" customWidth="1"/>
    <col min="1579" max="1579" width="15.5703125" style="42" customWidth="1"/>
    <col min="1580" max="1580" width="1.85546875" style="42" customWidth="1"/>
    <col min="1581" max="1581" width="15.5703125" style="42" customWidth="1"/>
    <col min="1582" max="1582" width="1.28515625" style="42" customWidth="1"/>
    <col min="1583" max="1583" width="15.85546875" style="42" customWidth="1"/>
    <col min="1584" max="1584" width="1.5703125" style="42" customWidth="1"/>
    <col min="1585" max="1585" width="15.5703125" style="42" customWidth="1"/>
    <col min="1586" max="1586" width="1.85546875" style="42" customWidth="1"/>
    <col min="1587" max="1587" width="15.5703125" style="42" customWidth="1"/>
    <col min="1588" max="1588" width="1.5703125" style="42" customWidth="1"/>
    <col min="1589" max="1589" width="15.5703125" style="42" customWidth="1"/>
    <col min="1590" max="1590" width="9.140625" style="42"/>
    <col min="1591" max="1591" width="15.140625" style="42" customWidth="1"/>
    <col min="1592" max="1793" width="9.140625" style="42"/>
    <col min="1794" max="1794" width="26.5703125" style="42" customWidth="1"/>
    <col min="1795" max="1807" width="0" style="42" hidden="1" customWidth="1"/>
    <col min="1808" max="1808" width="1.7109375" style="42" customWidth="1"/>
    <col min="1809" max="1809" width="17.42578125" style="42" customWidth="1"/>
    <col min="1810" max="1810" width="1.140625" style="42" customWidth="1"/>
    <col min="1811" max="1823" width="0" style="42" hidden="1" customWidth="1"/>
    <col min="1824" max="1824" width="19.85546875" style="42" customWidth="1"/>
    <col min="1825" max="1825" width="0" style="42" hidden="1" customWidth="1"/>
    <col min="1826" max="1826" width="2.85546875" style="42" customWidth="1"/>
    <col min="1827" max="1827" width="15.5703125" style="42" customWidth="1"/>
    <col min="1828" max="1828" width="2" style="42" customWidth="1"/>
    <col min="1829" max="1829" width="15.5703125" style="42" customWidth="1"/>
    <col min="1830" max="1830" width="1.7109375" style="42" customWidth="1"/>
    <col min="1831" max="1831" width="15.5703125" style="42" customWidth="1"/>
    <col min="1832" max="1832" width="1.5703125" style="42" customWidth="1"/>
    <col min="1833" max="1833" width="15.5703125" style="42" customWidth="1"/>
    <col min="1834" max="1834" width="1.42578125" style="42" customWidth="1"/>
    <col min="1835" max="1835" width="15.5703125" style="42" customWidth="1"/>
    <col min="1836" max="1836" width="1.85546875" style="42" customWidth="1"/>
    <col min="1837" max="1837" width="15.5703125" style="42" customWidth="1"/>
    <col min="1838" max="1838" width="1.28515625" style="42" customWidth="1"/>
    <col min="1839" max="1839" width="15.85546875" style="42" customWidth="1"/>
    <col min="1840" max="1840" width="1.5703125" style="42" customWidth="1"/>
    <col min="1841" max="1841" width="15.5703125" style="42" customWidth="1"/>
    <col min="1842" max="1842" width="1.85546875" style="42" customWidth="1"/>
    <col min="1843" max="1843" width="15.5703125" style="42" customWidth="1"/>
    <col min="1844" max="1844" width="1.5703125" style="42" customWidth="1"/>
    <col min="1845" max="1845" width="15.5703125" style="42" customWidth="1"/>
    <col min="1846" max="1846" width="9.140625" style="42"/>
    <col min="1847" max="1847" width="15.140625" style="42" customWidth="1"/>
    <col min="1848" max="2049" width="9.140625" style="42"/>
    <col min="2050" max="2050" width="26.5703125" style="42" customWidth="1"/>
    <col min="2051" max="2063" width="0" style="42" hidden="1" customWidth="1"/>
    <col min="2064" max="2064" width="1.7109375" style="42" customWidth="1"/>
    <col min="2065" max="2065" width="17.42578125" style="42" customWidth="1"/>
    <col min="2066" max="2066" width="1.140625" style="42" customWidth="1"/>
    <col min="2067" max="2079" width="0" style="42" hidden="1" customWidth="1"/>
    <col min="2080" max="2080" width="19.85546875" style="42" customWidth="1"/>
    <col min="2081" max="2081" width="0" style="42" hidden="1" customWidth="1"/>
    <col min="2082" max="2082" width="2.85546875" style="42" customWidth="1"/>
    <col min="2083" max="2083" width="15.5703125" style="42" customWidth="1"/>
    <col min="2084" max="2084" width="2" style="42" customWidth="1"/>
    <col min="2085" max="2085" width="15.5703125" style="42" customWidth="1"/>
    <col min="2086" max="2086" width="1.7109375" style="42" customWidth="1"/>
    <col min="2087" max="2087" width="15.5703125" style="42" customWidth="1"/>
    <col min="2088" max="2088" width="1.5703125" style="42" customWidth="1"/>
    <col min="2089" max="2089" width="15.5703125" style="42" customWidth="1"/>
    <col min="2090" max="2090" width="1.42578125" style="42" customWidth="1"/>
    <col min="2091" max="2091" width="15.5703125" style="42" customWidth="1"/>
    <col min="2092" max="2092" width="1.85546875" style="42" customWidth="1"/>
    <col min="2093" max="2093" width="15.5703125" style="42" customWidth="1"/>
    <col min="2094" max="2094" width="1.28515625" style="42" customWidth="1"/>
    <col min="2095" max="2095" width="15.85546875" style="42" customWidth="1"/>
    <col min="2096" max="2096" width="1.5703125" style="42" customWidth="1"/>
    <col min="2097" max="2097" width="15.5703125" style="42" customWidth="1"/>
    <col min="2098" max="2098" width="1.85546875" style="42" customWidth="1"/>
    <col min="2099" max="2099" width="15.5703125" style="42" customWidth="1"/>
    <col min="2100" max="2100" width="1.5703125" style="42" customWidth="1"/>
    <col min="2101" max="2101" width="15.5703125" style="42" customWidth="1"/>
    <col min="2102" max="2102" width="9.140625" style="42"/>
    <col min="2103" max="2103" width="15.140625" style="42" customWidth="1"/>
    <col min="2104" max="2305" width="9.140625" style="42"/>
    <col min="2306" max="2306" width="26.5703125" style="42" customWidth="1"/>
    <col min="2307" max="2319" width="0" style="42" hidden="1" customWidth="1"/>
    <col min="2320" max="2320" width="1.7109375" style="42" customWidth="1"/>
    <col min="2321" max="2321" width="17.42578125" style="42" customWidth="1"/>
    <col min="2322" max="2322" width="1.140625" style="42" customWidth="1"/>
    <col min="2323" max="2335" width="0" style="42" hidden="1" customWidth="1"/>
    <col min="2336" max="2336" width="19.85546875" style="42" customWidth="1"/>
    <col min="2337" max="2337" width="0" style="42" hidden="1" customWidth="1"/>
    <col min="2338" max="2338" width="2.85546875" style="42" customWidth="1"/>
    <col min="2339" max="2339" width="15.5703125" style="42" customWidth="1"/>
    <col min="2340" max="2340" width="2" style="42" customWidth="1"/>
    <col min="2341" max="2341" width="15.5703125" style="42" customWidth="1"/>
    <col min="2342" max="2342" width="1.7109375" style="42" customWidth="1"/>
    <col min="2343" max="2343" width="15.5703125" style="42" customWidth="1"/>
    <col min="2344" max="2344" width="1.5703125" style="42" customWidth="1"/>
    <col min="2345" max="2345" width="15.5703125" style="42" customWidth="1"/>
    <col min="2346" max="2346" width="1.42578125" style="42" customWidth="1"/>
    <col min="2347" max="2347" width="15.5703125" style="42" customWidth="1"/>
    <col min="2348" max="2348" width="1.85546875" style="42" customWidth="1"/>
    <col min="2349" max="2349" width="15.5703125" style="42" customWidth="1"/>
    <col min="2350" max="2350" width="1.28515625" style="42" customWidth="1"/>
    <col min="2351" max="2351" width="15.85546875" style="42" customWidth="1"/>
    <col min="2352" max="2352" width="1.5703125" style="42" customWidth="1"/>
    <col min="2353" max="2353" width="15.5703125" style="42" customWidth="1"/>
    <col min="2354" max="2354" width="1.85546875" style="42" customWidth="1"/>
    <col min="2355" max="2355" width="15.5703125" style="42" customWidth="1"/>
    <col min="2356" max="2356" width="1.5703125" style="42" customWidth="1"/>
    <col min="2357" max="2357" width="15.5703125" style="42" customWidth="1"/>
    <col min="2358" max="2358" width="9.140625" style="42"/>
    <col min="2359" max="2359" width="15.140625" style="42" customWidth="1"/>
    <col min="2360" max="2561" width="9.140625" style="42"/>
    <col min="2562" max="2562" width="26.5703125" style="42" customWidth="1"/>
    <col min="2563" max="2575" width="0" style="42" hidden="1" customWidth="1"/>
    <col min="2576" max="2576" width="1.7109375" style="42" customWidth="1"/>
    <col min="2577" max="2577" width="17.42578125" style="42" customWidth="1"/>
    <col min="2578" max="2578" width="1.140625" style="42" customWidth="1"/>
    <col min="2579" max="2591" width="0" style="42" hidden="1" customWidth="1"/>
    <col min="2592" max="2592" width="19.85546875" style="42" customWidth="1"/>
    <col min="2593" max="2593" width="0" style="42" hidden="1" customWidth="1"/>
    <col min="2594" max="2594" width="2.85546875" style="42" customWidth="1"/>
    <col min="2595" max="2595" width="15.5703125" style="42" customWidth="1"/>
    <col min="2596" max="2596" width="2" style="42" customWidth="1"/>
    <col min="2597" max="2597" width="15.5703125" style="42" customWidth="1"/>
    <col min="2598" max="2598" width="1.7109375" style="42" customWidth="1"/>
    <col min="2599" max="2599" width="15.5703125" style="42" customWidth="1"/>
    <col min="2600" max="2600" width="1.5703125" style="42" customWidth="1"/>
    <col min="2601" max="2601" width="15.5703125" style="42" customWidth="1"/>
    <col min="2602" max="2602" width="1.42578125" style="42" customWidth="1"/>
    <col min="2603" max="2603" width="15.5703125" style="42" customWidth="1"/>
    <col min="2604" max="2604" width="1.85546875" style="42" customWidth="1"/>
    <col min="2605" max="2605" width="15.5703125" style="42" customWidth="1"/>
    <col min="2606" max="2606" width="1.28515625" style="42" customWidth="1"/>
    <col min="2607" max="2607" width="15.85546875" style="42" customWidth="1"/>
    <col min="2608" max="2608" width="1.5703125" style="42" customWidth="1"/>
    <col min="2609" max="2609" width="15.5703125" style="42" customWidth="1"/>
    <col min="2610" max="2610" width="1.85546875" style="42" customWidth="1"/>
    <col min="2611" max="2611" width="15.5703125" style="42" customWidth="1"/>
    <col min="2612" max="2612" width="1.5703125" style="42" customWidth="1"/>
    <col min="2613" max="2613" width="15.5703125" style="42" customWidth="1"/>
    <col min="2614" max="2614" width="9.140625" style="42"/>
    <col min="2615" max="2615" width="15.140625" style="42" customWidth="1"/>
    <col min="2616" max="2817" width="9.140625" style="42"/>
    <col min="2818" max="2818" width="26.5703125" style="42" customWidth="1"/>
    <col min="2819" max="2831" width="0" style="42" hidden="1" customWidth="1"/>
    <col min="2832" max="2832" width="1.7109375" style="42" customWidth="1"/>
    <col min="2833" max="2833" width="17.42578125" style="42" customWidth="1"/>
    <col min="2834" max="2834" width="1.140625" style="42" customWidth="1"/>
    <col min="2835" max="2847" width="0" style="42" hidden="1" customWidth="1"/>
    <col min="2848" max="2848" width="19.85546875" style="42" customWidth="1"/>
    <col min="2849" max="2849" width="0" style="42" hidden="1" customWidth="1"/>
    <col min="2850" max="2850" width="2.85546875" style="42" customWidth="1"/>
    <col min="2851" max="2851" width="15.5703125" style="42" customWidth="1"/>
    <col min="2852" max="2852" width="2" style="42" customWidth="1"/>
    <col min="2853" max="2853" width="15.5703125" style="42" customWidth="1"/>
    <col min="2854" max="2854" width="1.7109375" style="42" customWidth="1"/>
    <col min="2855" max="2855" width="15.5703125" style="42" customWidth="1"/>
    <col min="2856" max="2856" width="1.5703125" style="42" customWidth="1"/>
    <col min="2857" max="2857" width="15.5703125" style="42" customWidth="1"/>
    <col min="2858" max="2858" width="1.42578125" style="42" customWidth="1"/>
    <col min="2859" max="2859" width="15.5703125" style="42" customWidth="1"/>
    <col min="2860" max="2860" width="1.85546875" style="42" customWidth="1"/>
    <col min="2861" max="2861" width="15.5703125" style="42" customWidth="1"/>
    <col min="2862" max="2862" width="1.28515625" style="42" customWidth="1"/>
    <col min="2863" max="2863" width="15.85546875" style="42" customWidth="1"/>
    <col min="2864" max="2864" width="1.5703125" style="42" customWidth="1"/>
    <col min="2865" max="2865" width="15.5703125" style="42" customWidth="1"/>
    <col min="2866" max="2866" width="1.85546875" style="42" customWidth="1"/>
    <col min="2867" max="2867" width="15.5703125" style="42" customWidth="1"/>
    <col min="2868" max="2868" width="1.5703125" style="42" customWidth="1"/>
    <col min="2869" max="2869" width="15.5703125" style="42" customWidth="1"/>
    <col min="2870" max="2870" width="9.140625" style="42"/>
    <col min="2871" max="2871" width="15.140625" style="42" customWidth="1"/>
    <col min="2872" max="3073" width="9.140625" style="42"/>
    <col min="3074" max="3074" width="26.5703125" style="42" customWidth="1"/>
    <col min="3075" max="3087" width="0" style="42" hidden="1" customWidth="1"/>
    <col min="3088" max="3088" width="1.7109375" style="42" customWidth="1"/>
    <col min="3089" max="3089" width="17.42578125" style="42" customWidth="1"/>
    <col min="3090" max="3090" width="1.140625" style="42" customWidth="1"/>
    <col min="3091" max="3103" width="0" style="42" hidden="1" customWidth="1"/>
    <col min="3104" max="3104" width="19.85546875" style="42" customWidth="1"/>
    <col min="3105" max="3105" width="0" style="42" hidden="1" customWidth="1"/>
    <col min="3106" max="3106" width="2.85546875" style="42" customWidth="1"/>
    <col min="3107" max="3107" width="15.5703125" style="42" customWidth="1"/>
    <col min="3108" max="3108" width="2" style="42" customWidth="1"/>
    <col min="3109" max="3109" width="15.5703125" style="42" customWidth="1"/>
    <col min="3110" max="3110" width="1.7109375" style="42" customWidth="1"/>
    <col min="3111" max="3111" width="15.5703125" style="42" customWidth="1"/>
    <col min="3112" max="3112" width="1.5703125" style="42" customWidth="1"/>
    <col min="3113" max="3113" width="15.5703125" style="42" customWidth="1"/>
    <col min="3114" max="3114" width="1.42578125" style="42" customWidth="1"/>
    <col min="3115" max="3115" width="15.5703125" style="42" customWidth="1"/>
    <col min="3116" max="3116" width="1.85546875" style="42" customWidth="1"/>
    <col min="3117" max="3117" width="15.5703125" style="42" customWidth="1"/>
    <col min="3118" max="3118" width="1.28515625" style="42" customWidth="1"/>
    <col min="3119" max="3119" width="15.85546875" style="42" customWidth="1"/>
    <col min="3120" max="3120" width="1.5703125" style="42" customWidth="1"/>
    <col min="3121" max="3121" width="15.5703125" style="42" customWidth="1"/>
    <col min="3122" max="3122" width="1.85546875" style="42" customWidth="1"/>
    <col min="3123" max="3123" width="15.5703125" style="42" customWidth="1"/>
    <col min="3124" max="3124" width="1.5703125" style="42" customWidth="1"/>
    <col min="3125" max="3125" width="15.5703125" style="42" customWidth="1"/>
    <col min="3126" max="3126" width="9.140625" style="42"/>
    <col min="3127" max="3127" width="15.140625" style="42" customWidth="1"/>
    <col min="3128" max="3329" width="9.140625" style="42"/>
    <col min="3330" max="3330" width="26.5703125" style="42" customWidth="1"/>
    <col min="3331" max="3343" width="0" style="42" hidden="1" customWidth="1"/>
    <col min="3344" max="3344" width="1.7109375" style="42" customWidth="1"/>
    <col min="3345" max="3345" width="17.42578125" style="42" customWidth="1"/>
    <col min="3346" max="3346" width="1.140625" style="42" customWidth="1"/>
    <col min="3347" max="3359" width="0" style="42" hidden="1" customWidth="1"/>
    <col min="3360" max="3360" width="19.85546875" style="42" customWidth="1"/>
    <col min="3361" max="3361" width="0" style="42" hidden="1" customWidth="1"/>
    <col min="3362" max="3362" width="2.85546875" style="42" customWidth="1"/>
    <col min="3363" max="3363" width="15.5703125" style="42" customWidth="1"/>
    <col min="3364" max="3364" width="2" style="42" customWidth="1"/>
    <col min="3365" max="3365" width="15.5703125" style="42" customWidth="1"/>
    <col min="3366" max="3366" width="1.7109375" style="42" customWidth="1"/>
    <col min="3367" max="3367" width="15.5703125" style="42" customWidth="1"/>
    <col min="3368" max="3368" width="1.5703125" style="42" customWidth="1"/>
    <col min="3369" max="3369" width="15.5703125" style="42" customWidth="1"/>
    <col min="3370" max="3370" width="1.42578125" style="42" customWidth="1"/>
    <col min="3371" max="3371" width="15.5703125" style="42" customWidth="1"/>
    <col min="3372" max="3372" width="1.85546875" style="42" customWidth="1"/>
    <col min="3373" max="3373" width="15.5703125" style="42" customWidth="1"/>
    <col min="3374" max="3374" width="1.28515625" style="42" customWidth="1"/>
    <col min="3375" max="3375" width="15.85546875" style="42" customWidth="1"/>
    <col min="3376" max="3376" width="1.5703125" style="42" customWidth="1"/>
    <col min="3377" max="3377" width="15.5703125" style="42" customWidth="1"/>
    <col min="3378" max="3378" width="1.85546875" style="42" customWidth="1"/>
    <col min="3379" max="3379" width="15.5703125" style="42" customWidth="1"/>
    <col min="3380" max="3380" width="1.5703125" style="42" customWidth="1"/>
    <col min="3381" max="3381" width="15.5703125" style="42" customWidth="1"/>
    <col min="3382" max="3382" width="9.140625" style="42"/>
    <col min="3383" max="3383" width="15.140625" style="42" customWidth="1"/>
    <col min="3384" max="3585" width="9.140625" style="42"/>
    <col min="3586" max="3586" width="26.5703125" style="42" customWidth="1"/>
    <col min="3587" max="3599" width="0" style="42" hidden="1" customWidth="1"/>
    <col min="3600" max="3600" width="1.7109375" style="42" customWidth="1"/>
    <col min="3601" max="3601" width="17.42578125" style="42" customWidth="1"/>
    <col min="3602" max="3602" width="1.140625" style="42" customWidth="1"/>
    <col min="3603" max="3615" width="0" style="42" hidden="1" customWidth="1"/>
    <col min="3616" max="3616" width="19.85546875" style="42" customWidth="1"/>
    <col min="3617" max="3617" width="0" style="42" hidden="1" customWidth="1"/>
    <col min="3618" max="3618" width="2.85546875" style="42" customWidth="1"/>
    <col min="3619" max="3619" width="15.5703125" style="42" customWidth="1"/>
    <col min="3620" max="3620" width="2" style="42" customWidth="1"/>
    <col min="3621" max="3621" width="15.5703125" style="42" customWidth="1"/>
    <col min="3622" max="3622" width="1.7109375" style="42" customWidth="1"/>
    <col min="3623" max="3623" width="15.5703125" style="42" customWidth="1"/>
    <col min="3624" max="3624" width="1.5703125" style="42" customWidth="1"/>
    <col min="3625" max="3625" width="15.5703125" style="42" customWidth="1"/>
    <col min="3626" max="3626" width="1.42578125" style="42" customWidth="1"/>
    <col min="3627" max="3627" width="15.5703125" style="42" customWidth="1"/>
    <col min="3628" max="3628" width="1.85546875" style="42" customWidth="1"/>
    <col min="3629" max="3629" width="15.5703125" style="42" customWidth="1"/>
    <col min="3630" max="3630" width="1.28515625" style="42" customWidth="1"/>
    <col min="3631" max="3631" width="15.85546875" style="42" customWidth="1"/>
    <col min="3632" max="3632" width="1.5703125" style="42" customWidth="1"/>
    <col min="3633" max="3633" width="15.5703125" style="42" customWidth="1"/>
    <col min="3634" max="3634" width="1.85546875" style="42" customWidth="1"/>
    <col min="3635" max="3635" width="15.5703125" style="42" customWidth="1"/>
    <col min="3636" max="3636" width="1.5703125" style="42" customWidth="1"/>
    <col min="3637" max="3637" width="15.5703125" style="42" customWidth="1"/>
    <col min="3638" max="3638" width="9.140625" style="42"/>
    <col min="3639" max="3639" width="15.140625" style="42" customWidth="1"/>
    <col min="3640" max="3841" width="9.140625" style="42"/>
    <col min="3842" max="3842" width="26.5703125" style="42" customWidth="1"/>
    <col min="3843" max="3855" width="0" style="42" hidden="1" customWidth="1"/>
    <col min="3856" max="3856" width="1.7109375" style="42" customWidth="1"/>
    <col min="3857" max="3857" width="17.42578125" style="42" customWidth="1"/>
    <col min="3858" max="3858" width="1.140625" style="42" customWidth="1"/>
    <col min="3859" max="3871" width="0" style="42" hidden="1" customWidth="1"/>
    <col min="3872" max="3872" width="19.85546875" style="42" customWidth="1"/>
    <col min="3873" max="3873" width="0" style="42" hidden="1" customWidth="1"/>
    <col min="3874" max="3874" width="2.85546875" style="42" customWidth="1"/>
    <col min="3875" max="3875" width="15.5703125" style="42" customWidth="1"/>
    <col min="3876" max="3876" width="2" style="42" customWidth="1"/>
    <col min="3877" max="3877" width="15.5703125" style="42" customWidth="1"/>
    <col min="3878" max="3878" width="1.7109375" style="42" customWidth="1"/>
    <col min="3879" max="3879" width="15.5703125" style="42" customWidth="1"/>
    <col min="3880" max="3880" width="1.5703125" style="42" customWidth="1"/>
    <col min="3881" max="3881" width="15.5703125" style="42" customWidth="1"/>
    <col min="3882" max="3882" width="1.42578125" style="42" customWidth="1"/>
    <col min="3883" max="3883" width="15.5703125" style="42" customWidth="1"/>
    <col min="3884" max="3884" width="1.85546875" style="42" customWidth="1"/>
    <col min="3885" max="3885" width="15.5703125" style="42" customWidth="1"/>
    <col min="3886" max="3886" width="1.28515625" style="42" customWidth="1"/>
    <col min="3887" max="3887" width="15.85546875" style="42" customWidth="1"/>
    <col min="3888" max="3888" width="1.5703125" style="42" customWidth="1"/>
    <col min="3889" max="3889" width="15.5703125" style="42" customWidth="1"/>
    <col min="3890" max="3890" width="1.85546875" style="42" customWidth="1"/>
    <col min="3891" max="3891" width="15.5703125" style="42" customWidth="1"/>
    <col min="3892" max="3892" width="1.5703125" style="42" customWidth="1"/>
    <col min="3893" max="3893" width="15.5703125" style="42" customWidth="1"/>
    <col min="3894" max="3894" width="9.140625" style="42"/>
    <col min="3895" max="3895" width="15.140625" style="42" customWidth="1"/>
    <col min="3896" max="4097" width="9.140625" style="42"/>
    <col min="4098" max="4098" width="26.5703125" style="42" customWidth="1"/>
    <col min="4099" max="4111" width="0" style="42" hidden="1" customWidth="1"/>
    <col min="4112" max="4112" width="1.7109375" style="42" customWidth="1"/>
    <col min="4113" max="4113" width="17.42578125" style="42" customWidth="1"/>
    <col min="4114" max="4114" width="1.140625" style="42" customWidth="1"/>
    <col min="4115" max="4127" width="0" style="42" hidden="1" customWidth="1"/>
    <col min="4128" max="4128" width="19.85546875" style="42" customWidth="1"/>
    <col min="4129" max="4129" width="0" style="42" hidden="1" customWidth="1"/>
    <col min="4130" max="4130" width="2.85546875" style="42" customWidth="1"/>
    <col min="4131" max="4131" width="15.5703125" style="42" customWidth="1"/>
    <col min="4132" max="4132" width="2" style="42" customWidth="1"/>
    <col min="4133" max="4133" width="15.5703125" style="42" customWidth="1"/>
    <col min="4134" max="4134" width="1.7109375" style="42" customWidth="1"/>
    <col min="4135" max="4135" width="15.5703125" style="42" customWidth="1"/>
    <col min="4136" max="4136" width="1.5703125" style="42" customWidth="1"/>
    <col min="4137" max="4137" width="15.5703125" style="42" customWidth="1"/>
    <col min="4138" max="4138" width="1.42578125" style="42" customWidth="1"/>
    <col min="4139" max="4139" width="15.5703125" style="42" customWidth="1"/>
    <col min="4140" max="4140" width="1.85546875" style="42" customWidth="1"/>
    <col min="4141" max="4141" width="15.5703125" style="42" customWidth="1"/>
    <col min="4142" max="4142" width="1.28515625" style="42" customWidth="1"/>
    <col min="4143" max="4143" width="15.85546875" style="42" customWidth="1"/>
    <col min="4144" max="4144" width="1.5703125" style="42" customWidth="1"/>
    <col min="4145" max="4145" width="15.5703125" style="42" customWidth="1"/>
    <col min="4146" max="4146" width="1.85546875" style="42" customWidth="1"/>
    <col min="4147" max="4147" width="15.5703125" style="42" customWidth="1"/>
    <col min="4148" max="4148" width="1.5703125" style="42" customWidth="1"/>
    <col min="4149" max="4149" width="15.5703125" style="42" customWidth="1"/>
    <col min="4150" max="4150" width="9.140625" style="42"/>
    <col min="4151" max="4151" width="15.140625" style="42" customWidth="1"/>
    <col min="4152" max="4353" width="9.140625" style="42"/>
    <col min="4354" max="4354" width="26.5703125" style="42" customWidth="1"/>
    <col min="4355" max="4367" width="0" style="42" hidden="1" customWidth="1"/>
    <col min="4368" max="4368" width="1.7109375" style="42" customWidth="1"/>
    <col min="4369" max="4369" width="17.42578125" style="42" customWidth="1"/>
    <col min="4370" max="4370" width="1.140625" style="42" customWidth="1"/>
    <col min="4371" max="4383" width="0" style="42" hidden="1" customWidth="1"/>
    <col min="4384" max="4384" width="19.85546875" style="42" customWidth="1"/>
    <col min="4385" max="4385" width="0" style="42" hidden="1" customWidth="1"/>
    <col min="4386" max="4386" width="2.85546875" style="42" customWidth="1"/>
    <col min="4387" max="4387" width="15.5703125" style="42" customWidth="1"/>
    <col min="4388" max="4388" width="2" style="42" customWidth="1"/>
    <col min="4389" max="4389" width="15.5703125" style="42" customWidth="1"/>
    <col min="4390" max="4390" width="1.7109375" style="42" customWidth="1"/>
    <col min="4391" max="4391" width="15.5703125" style="42" customWidth="1"/>
    <col min="4392" max="4392" width="1.5703125" style="42" customWidth="1"/>
    <col min="4393" max="4393" width="15.5703125" style="42" customWidth="1"/>
    <col min="4394" max="4394" width="1.42578125" style="42" customWidth="1"/>
    <col min="4395" max="4395" width="15.5703125" style="42" customWidth="1"/>
    <col min="4396" max="4396" width="1.85546875" style="42" customWidth="1"/>
    <col min="4397" max="4397" width="15.5703125" style="42" customWidth="1"/>
    <col min="4398" max="4398" width="1.28515625" style="42" customWidth="1"/>
    <col min="4399" max="4399" width="15.85546875" style="42" customWidth="1"/>
    <col min="4400" max="4400" width="1.5703125" style="42" customWidth="1"/>
    <col min="4401" max="4401" width="15.5703125" style="42" customWidth="1"/>
    <col min="4402" max="4402" width="1.85546875" style="42" customWidth="1"/>
    <col min="4403" max="4403" width="15.5703125" style="42" customWidth="1"/>
    <col min="4404" max="4404" width="1.5703125" style="42" customWidth="1"/>
    <col min="4405" max="4405" width="15.5703125" style="42" customWidth="1"/>
    <col min="4406" max="4406" width="9.140625" style="42"/>
    <col min="4407" max="4407" width="15.140625" style="42" customWidth="1"/>
    <col min="4408" max="4609" width="9.140625" style="42"/>
    <col min="4610" max="4610" width="26.5703125" style="42" customWidth="1"/>
    <col min="4611" max="4623" width="0" style="42" hidden="1" customWidth="1"/>
    <col min="4624" max="4624" width="1.7109375" style="42" customWidth="1"/>
    <col min="4625" max="4625" width="17.42578125" style="42" customWidth="1"/>
    <col min="4626" max="4626" width="1.140625" style="42" customWidth="1"/>
    <col min="4627" max="4639" width="0" style="42" hidden="1" customWidth="1"/>
    <col min="4640" max="4640" width="19.85546875" style="42" customWidth="1"/>
    <col min="4641" max="4641" width="0" style="42" hidden="1" customWidth="1"/>
    <col min="4642" max="4642" width="2.85546875" style="42" customWidth="1"/>
    <col min="4643" max="4643" width="15.5703125" style="42" customWidth="1"/>
    <col min="4644" max="4644" width="2" style="42" customWidth="1"/>
    <col min="4645" max="4645" width="15.5703125" style="42" customWidth="1"/>
    <col min="4646" max="4646" width="1.7109375" style="42" customWidth="1"/>
    <col min="4647" max="4647" width="15.5703125" style="42" customWidth="1"/>
    <col min="4648" max="4648" width="1.5703125" style="42" customWidth="1"/>
    <col min="4649" max="4649" width="15.5703125" style="42" customWidth="1"/>
    <col min="4650" max="4650" width="1.42578125" style="42" customWidth="1"/>
    <col min="4651" max="4651" width="15.5703125" style="42" customWidth="1"/>
    <col min="4652" max="4652" width="1.85546875" style="42" customWidth="1"/>
    <col min="4653" max="4653" width="15.5703125" style="42" customWidth="1"/>
    <col min="4654" max="4654" width="1.28515625" style="42" customWidth="1"/>
    <col min="4655" max="4655" width="15.85546875" style="42" customWidth="1"/>
    <col min="4656" max="4656" width="1.5703125" style="42" customWidth="1"/>
    <col min="4657" max="4657" width="15.5703125" style="42" customWidth="1"/>
    <col min="4658" max="4658" width="1.85546875" style="42" customWidth="1"/>
    <col min="4659" max="4659" width="15.5703125" style="42" customWidth="1"/>
    <col min="4660" max="4660" width="1.5703125" style="42" customWidth="1"/>
    <col min="4661" max="4661" width="15.5703125" style="42" customWidth="1"/>
    <col min="4662" max="4662" width="9.140625" style="42"/>
    <col min="4663" max="4663" width="15.140625" style="42" customWidth="1"/>
    <col min="4664" max="4865" width="9.140625" style="42"/>
    <col min="4866" max="4866" width="26.5703125" style="42" customWidth="1"/>
    <col min="4867" max="4879" width="0" style="42" hidden="1" customWidth="1"/>
    <col min="4880" max="4880" width="1.7109375" style="42" customWidth="1"/>
    <col min="4881" max="4881" width="17.42578125" style="42" customWidth="1"/>
    <col min="4882" max="4882" width="1.140625" style="42" customWidth="1"/>
    <col min="4883" max="4895" width="0" style="42" hidden="1" customWidth="1"/>
    <col min="4896" max="4896" width="19.85546875" style="42" customWidth="1"/>
    <col min="4897" max="4897" width="0" style="42" hidden="1" customWidth="1"/>
    <col min="4898" max="4898" width="2.85546875" style="42" customWidth="1"/>
    <col min="4899" max="4899" width="15.5703125" style="42" customWidth="1"/>
    <col min="4900" max="4900" width="2" style="42" customWidth="1"/>
    <col min="4901" max="4901" width="15.5703125" style="42" customWidth="1"/>
    <col min="4902" max="4902" width="1.7109375" style="42" customWidth="1"/>
    <col min="4903" max="4903" width="15.5703125" style="42" customWidth="1"/>
    <col min="4904" max="4904" width="1.5703125" style="42" customWidth="1"/>
    <col min="4905" max="4905" width="15.5703125" style="42" customWidth="1"/>
    <col min="4906" max="4906" width="1.42578125" style="42" customWidth="1"/>
    <col min="4907" max="4907" width="15.5703125" style="42" customWidth="1"/>
    <col min="4908" max="4908" width="1.85546875" style="42" customWidth="1"/>
    <col min="4909" max="4909" width="15.5703125" style="42" customWidth="1"/>
    <col min="4910" max="4910" width="1.28515625" style="42" customWidth="1"/>
    <col min="4911" max="4911" width="15.85546875" style="42" customWidth="1"/>
    <col min="4912" max="4912" width="1.5703125" style="42" customWidth="1"/>
    <col min="4913" max="4913" width="15.5703125" style="42" customWidth="1"/>
    <col min="4914" max="4914" width="1.85546875" style="42" customWidth="1"/>
    <col min="4915" max="4915" width="15.5703125" style="42" customWidth="1"/>
    <col min="4916" max="4916" width="1.5703125" style="42" customWidth="1"/>
    <col min="4917" max="4917" width="15.5703125" style="42" customWidth="1"/>
    <col min="4918" max="4918" width="9.140625" style="42"/>
    <col min="4919" max="4919" width="15.140625" style="42" customWidth="1"/>
    <col min="4920" max="5121" width="9.140625" style="42"/>
    <col min="5122" max="5122" width="26.5703125" style="42" customWidth="1"/>
    <col min="5123" max="5135" width="0" style="42" hidden="1" customWidth="1"/>
    <col min="5136" max="5136" width="1.7109375" style="42" customWidth="1"/>
    <col min="5137" max="5137" width="17.42578125" style="42" customWidth="1"/>
    <col min="5138" max="5138" width="1.140625" style="42" customWidth="1"/>
    <col min="5139" max="5151" width="0" style="42" hidden="1" customWidth="1"/>
    <col min="5152" max="5152" width="19.85546875" style="42" customWidth="1"/>
    <col min="5153" max="5153" width="0" style="42" hidden="1" customWidth="1"/>
    <col min="5154" max="5154" width="2.85546875" style="42" customWidth="1"/>
    <col min="5155" max="5155" width="15.5703125" style="42" customWidth="1"/>
    <col min="5156" max="5156" width="2" style="42" customWidth="1"/>
    <col min="5157" max="5157" width="15.5703125" style="42" customWidth="1"/>
    <col min="5158" max="5158" width="1.7109375" style="42" customWidth="1"/>
    <col min="5159" max="5159" width="15.5703125" style="42" customWidth="1"/>
    <col min="5160" max="5160" width="1.5703125" style="42" customWidth="1"/>
    <col min="5161" max="5161" width="15.5703125" style="42" customWidth="1"/>
    <col min="5162" max="5162" width="1.42578125" style="42" customWidth="1"/>
    <col min="5163" max="5163" width="15.5703125" style="42" customWidth="1"/>
    <col min="5164" max="5164" width="1.85546875" style="42" customWidth="1"/>
    <col min="5165" max="5165" width="15.5703125" style="42" customWidth="1"/>
    <col min="5166" max="5166" width="1.28515625" style="42" customWidth="1"/>
    <col min="5167" max="5167" width="15.85546875" style="42" customWidth="1"/>
    <col min="5168" max="5168" width="1.5703125" style="42" customWidth="1"/>
    <col min="5169" max="5169" width="15.5703125" style="42" customWidth="1"/>
    <col min="5170" max="5170" width="1.85546875" style="42" customWidth="1"/>
    <col min="5171" max="5171" width="15.5703125" style="42" customWidth="1"/>
    <col min="5172" max="5172" width="1.5703125" style="42" customWidth="1"/>
    <col min="5173" max="5173" width="15.5703125" style="42" customWidth="1"/>
    <col min="5174" max="5174" width="9.140625" style="42"/>
    <col min="5175" max="5175" width="15.140625" style="42" customWidth="1"/>
    <col min="5176" max="5377" width="9.140625" style="42"/>
    <col min="5378" max="5378" width="26.5703125" style="42" customWidth="1"/>
    <col min="5379" max="5391" width="0" style="42" hidden="1" customWidth="1"/>
    <col min="5392" max="5392" width="1.7109375" style="42" customWidth="1"/>
    <col min="5393" max="5393" width="17.42578125" style="42" customWidth="1"/>
    <col min="5394" max="5394" width="1.140625" style="42" customWidth="1"/>
    <col min="5395" max="5407" width="0" style="42" hidden="1" customWidth="1"/>
    <col min="5408" max="5408" width="19.85546875" style="42" customWidth="1"/>
    <col min="5409" max="5409" width="0" style="42" hidden="1" customWidth="1"/>
    <col min="5410" max="5410" width="2.85546875" style="42" customWidth="1"/>
    <col min="5411" max="5411" width="15.5703125" style="42" customWidth="1"/>
    <col min="5412" max="5412" width="2" style="42" customWidth="1"/>
    <col min="5413" max="5413" width="15.5703125" style="42" customWidth="1"/>
    <col min="5414" max="5414" width="1.7109375" style="42" customWidth="1"/>
    <col min="5415" max="5415" width="15.5703125" style="42" customWidth="1"/>
    <col min="5416" max="5416" width="1.5703125" style="42" customWidth="1"/>
    <col min="5417" max="5417" width="15.5703125" style="42" customWidth="1"/>
    <col min="5418" max="5418" width="1.42578125" style="42" customWidth="1"/>
    <col min="5419" max="5419" width="15.5703125" style="42" customWidth="1"/>
    <col min="5420" max="5420" width="1.85546875" style="42" customWidth="1"/>
    <col min="5421" max="5421" width="15.5703125" style="42" customWidth="1"/>
    <col min="5422" max="5422" width="1.28515625" style="42" customWidth="1"/>
    <col min="5423" max="5423" width="15.85546875" style="42" customWidth="1"/>
    <col min="5424" max="5424" width="1.5703125" style="42" customWidth="1"/>
    <col min="5425" max="5425" width="15.5703125" style="42" customWidth="1"/>
    <col min="5426" max="5426" width="1.85546875" style="42" customWidth="1"/>
    <col min="5427" max="5427" width="15.5703125" style="42" customWidth="1"/>
    <col min="5428" max="5428" width="1.5703125" style="42" customWidth="1"/>
    <col min="5429" max="5429" width="15.5703125" style="42" customWidth="1"/>
    <col min="5430" max="5430" width="9.140625" style="42"/>
    <col min="5431" max="5431" width="15.140625" style="42" customWidth="1"/>
    <col min="5432" max="5633" width="9.140625" style="42"/>
    <col min="5634" max="5634" width="26.5703125" style="42" customWidth="1"/>
    <col min="5635" max="5647" width="0" style="42" hidden="1" customWidth="1"/>
    <col min="5648" max="5648" width="1.7109375" style="42" customWidth="1"/>
    <col min="5649" max="5649" width="17.42578125" style="42" customWidth="1"/>
    <col min="5650" max="5650" width="1.140625" style="42" customWidth="1"/>
    <col min="5651" max="5663" width="0" style="42" hidden="1" customWidth="1"/>
    <col min="5664" max="5664" width="19.85546875" style="42" customWidth="1"/>
    <col min="5665" max="5665" width="0" style="42" hidden="1" customWidth="1"/>
    <col min="5666" max="5666" width="2.85546875" style="42" customWidth="1"/>
    <col min="5667" max="5667" width="15.5703125" style="42" customWidth="1"/>
    <col min="5668" max="5668" width="2" style="42" customWidth="1"/>
    <col min="5669" max="5669" width="15.5703125" style="42" customWidth="1"/>
    <col min="5670" max="5670" width="1.7109375" style="42" customWidth="1"/>
    <col min="5671" max="5671" width="15.5703125" style="42" customWidth="1"/>
    <col min="5672" max="5672" width="1.5703125" style="42" customWidth="1"/>
    <col min="5673" max="5673" width="15.5703125" style="42" customWidth="1"/>
    <col min="5674" max="5674" width="1.42578125" style="42" customWidth="1"/>
    <col min="5675" max="5675" width="15.5703125" style="42" customWidth="1"/>
    <col min="5676" max="5676" width="1.85546875" style="42" customWidth="1"/>
    <col min="5677" max="5677" width="15.5703125" style="42" customWidth="1"/>
    <col min="5678" max="5678" width="1.28515625" style="42" customWidth="1"/>
    <col min="5679" max="5679" width="15.85546875" style="42" customWidth="1"/>
    <col min="5680" max="5680" width="1.5703125" style="42" customWidth="1"/>
    <col min="5681" max="5681" width="15.5703125" style="42" customWidth="1"/>
    <col min="5682" max="5682" width="1.85546875" style="42" customWidth="1"/>
    <col min="5683" max="5683" width="15.5703125" style="42" customWidth="1"/>
    <col min="5684" max="5684" width="1.5703125" style="42" customWidth="1"/>
    <col min="5685" max="5685" width="15.5703125" style="42" customWidth="1"/>
    <col min="5686" max="5686" width="9.140625" style="42"/>
    <col min="5687" max="5687" width="15.140625" style="42" customWidth="1"/>
    <col min="5688" max="5889" width="9.140625" style="42"/>
    <col min="5890" max="5890" width="26.5703125" style="42" customWidth="1"/>
    <col min="5891" max="5903" width="0" style="42" hidden="1" customWidth="1"/>
    <col min="5904" max="5904" width="1.7109375" style="42" customWidth="1"/>
    <col min="5905" max="5905" width="17.42578125" style="42" customWidth="1"/>
    <col min="5906" max="5906" width="1.140625" style="42" customWidth="1"/>
    <col min="5907" max="5919" width="0" style="42" hidden="1" customWidth="1"/>
    <col min="5920" max="5920" width="19.85546875" style="42" customWidth="1"/>
    <col min="5921" max="5921" width="0" style="42" hidden="1" customWidth="1"/>
    <col min="5922" max="5922" width="2.85546875" style="42" customWidth="1"/>
    <col min="5923" max="5923" width="15.5703125" style="42" customWidth="1"/>
    <col min="5924" max="5924" width="2" style="42" customWidth="1"/>
    <col min="5925" max="5925" width="15.5703125" style="42" customWidth="1"/>
    <col min="5926" max="5926" width="1.7109375" style="42" customWidth="1"/>
    <col min="5927" max="5927" width="15.5703125" style="42" customWidth="1"/>
    <col min="5928" max="5928" width="1.5703125" style="42" customWidth="1"/>
    <col min="5929" max="5929" width="15.5703125" style="42" customWidth="1"/>
    <col min="5930" max="5930" width="1.42578125" style="42" customWidth="1"/>
    <col min="5931" max="5931" width="15.5703125" style="42" customWidth="1"/>
    <col min="5932" max="5932" width="1.85546875" style="42" customWidth="1"/>
    <col min="5933" max="5933" width="15.5703125" style="42" customWidth="1"/>
    <col min="5934" max="5934" width="1.28515625" style="42" customWidth="1"/>
    <col min="5935" max="5935" width="15.85546875" style="42" customWidth="1"/>
    <col min="5936" max="5936" width="1.5703125" style="42" customWidth="1"/>
    <col min="5937" max="5937" width="15.5703125" style="42" customWidth="1"/>
    <col min="5938" max="5938" width="1.85546875" style="42" customWidth="1"/>
    <col min="5939" max="5939" width="15.5703125" style="42" customWidth="1"/>
    <col min="5940" max="5940" width="1.5703125" style="42" customWidth="1"/>
    <col min="5941" max="5941" width="15.5703125" style="42" customWidth="1"/>
    <col min="5942" max="5942" width="9.140625" style="42"/>
    <col min="5943" max="5943" width="15.140625" style="42" customWidth="1"/>
    <col min="5944" max="6145" width="9.140625" style="42"/>
    <col min="6146" max="6146" width="26.5703125" style="42" customWidth="1"/>
    <col min="6147" max="6159" width="0" style="42" hidden="1" customWidth="1"/>
    <col min="6160" max="6160" width="1.7109375" style="42" customWidth="1"/>
    <col min="6161" max="6161" width="17.42578125" style="42" customWidth="1"/>
    <col min="6162" max="6162" width="1.140625" style="42" customWidth="1"/>
    <col min="6163" max="6175" width="0" style="42" hidden="1" customWidth="1"/>
    <col min="6176" max="6176" width="19.85546875" style="42" customWidth="1"/>
    <col min="6177" max="6177" width="0" style="42" hidden="1" customWidth="1"/>
    <col min="6178" max="6178" width="2.85546875" style="42" customWidth="1"/>
    <col min="6179" max="6179" width="15.5703125" style="42" customWidth="1"/>
    <col min="6180" max="6180" width="2" style="42" customWidth="1"/>
    <col min="6181" max="6181" width="15.5703125" style="42" customWidth="1"/>
    <col min="6182" max="6182" width="1.7109375" style="42" customWidth="1"/>
    <col min="6183" max="6183" width="15.5703125" style="42" customWidth="1"/>
    <col min="6184" max="6184" width="1.5703125" style="42" customWidth="1"/>
    <col min="6185" max="6185" width="15.5703125" style="42" customWidth="1"/>
    <col min="6186" max="6186" width="1.42578125" style="42" customWidth="1"/>
    <col min="6187" max="6187" width="15.5703125" style="42" customWidth="1"/>
    <col min="6188" max="6188" width="1.85546875" style="42" customWidth="1"/>
    <col min="6189" max="6189" width="15.5703125" style="42" customWidth="1"/>
    <col min="6190" max="6190" width="1.28515625" style="42" customWidth="1"/>
    <col min="6191" max="6191" width="15.85546875" style="42" customWidth="1"/>
    <col min="6192" max="6192" width="1.5703125" style="42" customWidth="1"/>
    <col min="6193" max="6193" width="15.5703125" style="42" customWidth="1"/>
    <col min="6194" max="6194" width="1.85546875" style="42" customWidth="1"/>
    <col min="6195" max="6195" width="15.5703125" style="42" customWidth="1"/>
    <col min="6196" max="6196" width="1.5703125" style="42" customWidth="1"/>
    <col min="6197" max="6197" width="15.5703125" style="42" customWidth="1"/>
    <col min="6198" max="6198" width="9.140625" style="42"/>
    <col min="6199" max="6199" width="15.140625" style="42" customWidth="1"/>
    <col min="6200" max="6401" width="9.140625" style="42"/>
    <col min="6402" max="6402" width="26.5703125" style="42" customWidth="1"/>
    <col min="6403" max="6415" width="0" style="42" hidden="1" customWidth="1"/>
    <col min="6416" max="6416" width="1.7109375" style="42" customWidth="1"/>
    <col min="6417" max="6417" width="17.42578125" style="42" customWidth="1"/>
    <col min="6418" max="6418" width="1.140625" style="42" customWidth="1"/>
    <col min="6419" max="6431" width="0" style="42" hidden="1" customWidth="1"/>
    <col min="6432" max="6432" width="19.85546875" style="42" customWidth="1"/>
    <col min="6433" max="6433" width="0" style="42" hidden="1" customWidth="1"/>
    <col min="6434" max="6434" width="2.85546875" style="42" customWidth="1"/>
    <col min="6435" max="6435" width="15.5703125" style="42" customWidth="1"/>
    <col min="6436" max="6436" width="2" style="42" customWidth="1"/>
    <col min="6437" max="6437" width="15.5703125" style="42" customWidth="1"/>
    <col min="6438" max="6438" width="1.7109375" style="42" customWidth="1"/>
    <col min="6439" max="6439" width="15.5703125" style="42" customWidth="1"/>
    <col min="6440" max="6440" width="1.5703125" style="42" customWidth="1"/>
    <col min="6441" max="6441" width="15.5703125" style="42" customWidth="1"/>
    <col min="6442" max="6442" width="1.42578125" style="42" customWidth="1"/>
    <col min="6443" max="6443" width="15.5703125" style="42" customWidth="1"/>
    <col min="6444" max="6444" width="1.85546875" style="42" customWidth="1"/>
    <col min="6445" max="6445" width="15.5703125" style="42" customWidth="1"/>
    <col min="6446" max="6446" width="1.28515625" style="42" customWidth="1"/>
    <col min="6447" max="6447" width="15.85546875" style="42" customWidth="1"/>
    <col min="6448" max="6448" width="1.5703125" style="42" customWidth="1"/>
    <col min="6449" max="6449" width="15.5703125" style="42" customWidth="1"/>
    <col min="6450" max="6450" width="1.85546875" style="42" customWidth="1"/>
    <col min="6451" max="6451" width="15.5703125" style="42" customWidth="1"/>
    <col min="6452" max="6452" width="1.5703125" style="42" customWidth="1"/>
    <col min="6453" max="6453" width="15.5703125" style="42" customWidth="1"/>
    <col min="6454" max="6454" width="9.140625" style="42"/>
    <col min="6455" max="6455" width="15.140625" style="42" customWidth="1"/>
    <col min="6456" max="6657" width="9.140625" style="42"/>
    <col min="6658" max="6658" width="26.5703125" style="42" customWidth="1"/>
    <col min="6659" max="6671" width="0" style="42" hidden="1" customWidth="1"/>
    <col min="6672" max="6672" width="1.7109375" style="42" customWidth="1"/>
    <col min="6673" max="6673" width="17.42578125" style="42" customWidth="1"/>
    <col min="6674" max="6674" width="1.140625" style="42" customWidth="1"/>
    <col min="6675" max="6687" width="0" style="42" hidden="1" customWidth="1"/>
    <col min="6688" max="6688" width="19.85546875" style="42" customWidth="1"/>
    <col min="6689" max="6689" width="0" style="42" hidden="1" customWidth="1"/>
    <col min="6690" max="6690" width="2.85546875" style="42" customWidth="1"/>
    <col min="6691" max="6691" width="15.5703125" style="42" customWidth="1"/>
    <col min="6692" max="6692" width="2" style="42" customWidth="1"/>
    <col min="6693" max="6693" width="15.5703125" style="42" customWidth="1"/>
    <col min="6694" max="6694" width="1.7109375" style="42" customWidth="1"/>
    <col min="6695" max="6695" width="15.5703125" style="42" customWidth="1"/>
    <col min="6696" max="6696" width="1.5703125" style="42" customWidth="1"/>
    <col min="6697" max="6697" width="15.5703125" style="42" customWidth="1"/>
    <col min="6698" max="6698" width="1.42578125" style="42" customWidth="1"/>
    <col min="6699" max="6699" width="15.5703125" style="42" customWidth="1"/>
    <col min="6700" max="6700" width="1.85546875" style="42" customWidth="1"/>
    <col min="6701" max="6701" width="15.5703125" style="42" customWidth="1"/>
    <col min="6702" max="6702" width="1.28515625" style="42" customWidth="1"/>
    <col min="6703" max="6703" width="15.85546875" style="42" customWidth="1"/>
    <col min="6704" max="6704" width="1.5703125" style="42" customWidth="1"/>
    <col min="6705" max="6705" width="15.5703125" style="42" customWidth="1"/>
    <col min="6706" max="6706" width="1.85546875" style="42" customWidth="1"/>
    <col min="6707" max="6707" width="15.5703125" style="42" customWidth="1"/>
    <col min="6708" max="6708" width="1.5703125" style="42" customWidth="1"/>
    <col min="6709" max="6709" width="15.5703125" style="42" customWidth="1"/>
    <col min="6710" max="6710" width="9.140625" style="42"/>
    <col min="6711" max="6711" width="15.140625" style="42" customWidth="1"/>
    <col min="6712" max="6913" width="9.140625" style="42"/>
    <col min="6914" max="6914" width="26.5703125" style="42" customWidth="1"/>
    <col min="6915" max="6927" width="0" style="42" hidden="1" customWidth="1"/>
    <col min="6928" max="6928" width="1.7109375" style="42" customWidth="1"/>
    <col min="6929" max="6929" width="17.42578125" style="42" customWidth="1"/>
    <col min="6930" max="6930" width="1.140625" style="42" customWidth="1"/>
    <col min="6931" max="6943" width="0" style="42" hidden="1" customWidth="1"/>
    <col min="6944" max="6944" width="19.85546875" style="42" customWidth="1"/>
    <col min="6945" max="6945" width="0" style="42" hidden="1" customWidth="1"/>
    <col min="6946" max="6946" width="2.85546875" style="42" customWidth="1"/>
    <col min="6947" max="6947" width="15.5703125" style="42" customWidth="1"/>
    <col min="6948" max="6948" width="2" style="42" customWidth="1"/>
    <col min="6949" max="6949" width="15.5703125" style="42" customWidth="1"/>
    <col min="6950" max="6950" width="1.7109375" style="42" customWidth="1"/>
    <col min="6951" max="6951" width="15.5703125" style="42" customWidth="1"/>
    <col min="6952" max="6952" width="1.5703125" style="42" customWidth="1"/>
    <col min="6953" max="6953" width="15.5703125" style="42" customWidth="1"/>
    <col min="6954" max="6954" width="1.42578125" style="42" customWidth="1"/>
    <col min="6955" max="6955" width="15.5703125" style="42" customWidth="1"/>
    <col min="6956" max="6956" width="1.85546875" style="42" customWidth="1"/>
    <col min="6957" max="6957" width="15.5703125" style="42" customWidth="1"/>
    <col min="6958" max="6958" width="1.28515625" style="42" customWidth="1"/>
    <col min="6959" max="6959" width="15.85546875" style="42" customWidth="1"/>
    <col min="6960" max="6960" width="1.5703125" style="42" customWidth="1"/>
    <col min="6961" max="6961" width="15.5703125" style="42" customWidth="1"/>
    <col min="6962" max="6962" width="1.85546875" style="42" customWidth="1"/>
    <col min="6963" max="6963" width="15.5703125" style="42" customWidth="1"/>
    <col min="6964" max="6964" width="1.5703125" style="42" customWidth="1"/>
    <col min="6965" max="6965" width="15.5703125" style="42" customWidth="1"/>
    <col min="6966" max="6966" width="9.140625" style="42"/>
    <col min="6967" max="6967" width="15.140625" style="42" customWidth="1"/>
    <col min="6968" max="7169" width="9.140625" style="42"/>
    <col min="7170" max="7170" width="26.5703125" style="42" customWidth="1"/>
    <col min="7171" max="7183" width="0" style="42" hidden="1" customWidth="1"/>
    <col min="7184" max="7184" width="1.7109375" style="42" customWidth="1"/>
    <col min="7185" max="7185" width="17.42578125" style="42" customWidth="1"/>
    <col min="7186" max="7186" width="1.140625" style="42" customWidth="1"/>
    <col min="7187" max="7199" width="0" style="42" hidden="1" customWidth="1"/>
    <col min="7200" max="7200" width="19.85546875" style="42" customWidth="1"/>
    <col min="7201" max="7201" width="0" style="42" hidden="1" customWidth="1"/>
    <col min="7202" max="7202" width="2.85546875" style="42" customWidth="1"/>
    <col min="7203" max="7203" width="15.5703125" style="42" customWidth="1"/>
    <col min="7204" max="7204" width="2" style="42" customWidth="1"/>
    <col min="7205" max="7205" width="15.5703125" style="42" customWidth="1"/>
    <col min="7206" max="7206" width="1.7109375" style="42" customWidth="1"/>
    <col min="7207" max="7207" width="15.5703125" style="42" customWidth="1"/>
    <col min="7208" max="7208" width="1.5703125" style="42" customWidth="1"/>
    <col min="7209" max="7209" width="15.5703125" style="42" customWidth="1"/>
    <col min="7210" max="7210" width="1.42578125" style="42" customWidth="1"/>
    <col min="7211" max="7211" width="15.5703125" style="42" customWidth="1"/>
    <col min="7212" max="7212" width="1.85546875" style="42" customWidth="1"/>
    <col min="7213" max="7213" width="15.5703125" style="42" customWidth="1"/>
    <col min="7214" max="7214" width="1.28515625" style="42" customWidth="1"/>
    <col min="7215" max="7215" width="15.85546875" style="42" customWidth="1"/>
    <col min="7216" max="7216" width="1.5703125" style="42" customWidth="1"/>
    <col min="7217" max="7217" width="15.5703125" style="42" customWidth="1"/>
    <col min="7218" max="7218" width="1.85546875" style="42" customWidth="1"/>
    <col min="7219" max="7219" width="15.5703125" style="42" customWidth="1"/>
    <col min="7220" max="7220" width="1.5703125" style="42" customWidth="1"/>
    <col min="7221" max="7221" width="15.5703125" style="42" customWidth="1"/>
    <col min="7222" max="7222" width="9.140625" style="42"/>
    <col min="7223" max="7223" width="15.140625" style="42" customWidth="1"/>
    <col min="7224" max="7425" width="9.140625" style="42"/>
    <col min="7426" max="7426" width="26.5703125" style="42" customWidth="1"/>
    <col min="7427" max="7439" width="0" style="42" hidden="1" customWidth="1"/>
    <col min="7440" max="7440" width="1.7109375" style="42" customWidth="1"/>
    <col min="7441" max="7441" width="17.42578125" style="42" customWidth="1"/>
    <col min="7442" max="7442" width="1.140625" style="42" customWidth="1"/>
    <col min="7443" max="7455" width="0" style="42" hidden="1" customWidth="1"/>
    <col min="7456" max="7456" width="19.85546875" style="42" customWidth="1"/>
    <col min="7457" max="7457" width="0" style="42" hidden="1" customWidth="1"/>
    <col min="7458" max="7458" width="2.85546875" style="42" customWidth="1"/>
    <col min="7459" max="7459" width="15.5703125" style="42" customWidth="1"/>
    <col min="7460" max="7460" width="2" style="42" customWidth="1"/>
    <col min="7461" max="7461" width="15.5703125" style="42" customWidth="1"/>
    <col min="7462" max="7462" width="1.7109375" style="42" customWidth="1"/>
    <col min="7463" max="7463" width="15.5703125" style="42" customWidth="1"/>
    <col min="7464" max="7464" width="1.5703125" style="42" customWidth="1"/>
    <col min="7465" max="7465" width="15.5703125" style="42" customWidth="1"/>
    <col min="7466" max="7466" width="1.42578125" style="42" customWidth="1"/>
    <col min="7467" max="7467" width="15.5703125" style="42" customWidth="1"/>
    <col min="7468" max="7468" width="1.85546875" style="42" customWidth="1"/>
    <col min="7469" max="7469" width="15.5703125" style="42" customWidth="1"/>
    <col min="7470" max="7470" width="1.28515625" style="42" customWidth="1"/>
    <col min="7471" max="7471" width="15.85546875" style="42" customWidth="1"/>
    <col min="7472" max="7472" width="1.5703125" style="42" customWidth="1"/>
    <col min="7473" max="7473" width="15.5703125" style="42" customWidth="1"/>
    <col min="7474" max="7474" width="1.85546875" style="42" customWidth="1"/>
    <col min="7475" max="7475" width="15.5703125" style="42" customWidth="1"/>
    <col min="7476" max="7476" width="1.5703125" style="42" customWidth="1"/>
    <col min="7477" max="7477" width="15.5703125" style="42" customWidth="1"/>
    <col min="7478" max="7478" width="9.140625" style="42"/>
    <col min="7479" max="7479" width="15.140625" style="42" customWidth="1"/>
    <col min="7480" max="7681" width="9.140625" style="42"/>
    <col min="7682" max="7682" width="26.5703125" style="42" customWidth="1"/>
    <col min="7683" max="7695" width="0" style="42" hidden="1" customWidth="1"/>
    <col min="7696" max="7696" width="1.7109375" style="42" customWidth="1"/>
    <col min="7697" max="7697" width="17.42578125" style="42" customWidth="1"/>
    <col min="7698" max="7698" width="1.140625" style="42" customWidth="1"/>
    <col min="7699" max="7711" width="0" style="42" hidden="1" customWidth="1"/>
    <col min="7712" max="7712" width="19.85546875" style="42" customWidth="1"/>
    <col min="7713" max="7713" width="0" style="42" hidden="1" customWidth="1"/>
    <col min="7714" max="7714" width="2.85546875" style="42" customWidth="1"/>
    <col min="7715" max="7715" width="15.5703125" style="42" customWidth="1"/>
    <col min="7716" max="7716" width="2" style="42" customWidth="1"/>
    <col min="7717" max="7717" width="15.5703125" style="42" customWidth="1"/>
    <col min="7718" max="7718" width="1.7109375" style="42" customWidth="1"/>
    <col min="7719" max="7719" width="15.5703125" style="42" customWidth="1"/>
    <col min="7720" max="7720" width="1.5703125" style="42" customWidth="1"/>
    <col min="7721" max="7721" width="15.5703125" style="42" customWidth="1"/>
    <col min="7722" max="7722" width="1.42578125" style="42" customWidth="1"/>
    <col min="7723" max="7723" width="15.5703125" style="42" customWidth="1"/>
    <col min="7724" max="7724" width="1.85546875" style="42" customWidth="1"/>
    <col min="7725" max="7725" width="15.5703125" style="42" customWidth="1"/>
    <col min="7726" max="7726" width="1.28515625" style="42" customWidth="1"/>
    <col min="7727" max="7727" width="15.85546875" style="42" customWidth="1"/>
    <col min="7728" max="7728" width="1.5703125" style="42" customWidth="1"/>
    <col min="7729" max="7729" width="15.5703125" style="42" customWidth="1"/>
    <col min="7730" max="7730" width="1.85546875" style="42" customWidth="1"/>
    <col min="7731" max="7731" width="15.5703125" style="42" customWidth="1"/>
    <col min="7732" max="7732" width="1.5703125" style="42" customWidth="1"/>
    <col min="7733" max="7733" width="15.5703125" style="42" customWidth="1"/>
    <col min="7734" max="7734" width="9.140625" style="42"/>
    <col min="7735" max="7735" width="15.140625" style="42" customWidth="1"/>
    <col min="7736" max="7937" width="9.140625" style="42"/>
    <col min="7938" max="7938" width="26.5703125" style="42" customWidth="1"/>
    <col min="7939" max="7951" width="0" style="42" hidden="1" customWidth="1"/>
    <col min="7952" max="7952" width="1.7109375" style="42" customWidth="1"/>
    <col min="7953" max="7953" width="17.42578125" style="42" customWidth="1"/>
    <col min="7954" max="7954" width="1.140625" style="42" customWidth="1"/>
    <col min="7955" max="7967" width="0" style="42" hidden="1" customWidth="1"/>
    <col min="7968" max="7968" width="19.85546875" style="42" customWidth="1"/>
    <col min="7969" max="7969" width="0" style="42" hidden="1" customWidth="1"/>
    <col min="7970" max="7970" width="2.85546875" style="42" customWidth="1"/>
    <col min="7971" max="7971" width="15.5703125" style="42" customWidth="1"/>
    <col min="7972" max="7972" width="2" style="42" customWidth="1"/>
    <col min="7973" max="7973" width="15.5703125" style="42" customWidth="1"/>
    <col min="7974" max="7974" width="1.7109375" style="42" customWidth="1"/>
    <col min="7975" max="7975" width="15.5703125" style="42" customWidth="1"/>
    <col min="7976" max="7976" width="1.5703125" style="42" customWidth="1"/>
    <col min="7977" max="7977" width="15.5703125" style="42" customWidth="1"/>
    <col min="7978" max="7978" width="1.42578125" style="42" customWidth="1"/>
    <col min="7979" max="7979" width="15.5703125" style="42" customWidth="1"/>
    <col min="7980" max="7980" width="1.85546875" style="42" customWidth="1"/>
    <col min="7981" max="7981" width="15.5703125" style="42" customWidth="1"/>
    <col min="7982" max="7982" width="1.28515625" style="42" customWidth="1"/>
    <col min="7983" max="7983" width="15.85546875" style="42" customWidth="1"/>
    <col min="7984" max="7984" width="1.5703125" style="42" customWidth="1"/>
    <col min="7985" max="7985" width="15.5703125" style="42" customWidth="1"/>
    <col min="7986" max="7986" width="1.85546875" style="42" customWidth="1"/>
    <col min="7987" max="7987" width="15.5703125" style="42" customWidth="1"/>
    <col min="7988" max="7988" width="1.5703125" style="42" customWidth="1"/>
    <col min="7989" max="7989" width="15.5703125" style="42" customWidth="1"/>
    <col min="7990" max="7990" width="9.140625" style="42"/>
    <col min="7991" max="7991" width="15.140625" style="42" customWidth="1"/>
    <col min="7992" max="8193" width="9.140625" style="42"/>
    <col min="8194" max="8194" width="26.5703125" style="42" customWidth="1"/>
    <col min="8195" max="8207" width="0" style="42" hidden="1" customWidth="1"/>
    <col min="8208" max="8208" width="1.7109375" style="42" customWidth="1"/>
    <col min="8209" max="8209" width="17.42578125" style="42" customWidth="1"/>
    <col min="8210" max="8210" width="1.140625" style="42" customWidth="1"/>
    <col min="8211" max="8223" width="0" style="42" hidden="1" customWidth="1"/>
    <col min="8224" max="8224" width="19.85546875" style="42" customWidth="1"/>
    <col min="8225" max="8225" width="0" style="42" hidden="1" customWidth="1"/>
    <col min="8226" max="8226" width="2.85546875" style="42" customWidth="1"/>
    <col min="8227" max="8227" width="15.5703125" style="42" customWidth="1"/>
    <col min="8228" max="8228" width="2" style="42" customWidth="1"/>
    <col min="8229" max="8229" width="15.5703125" style="42" customWidth="1"/>
    <col min="8230" max="8230" width="1.7109375" style="42" customWidth="1"/>
    <col min="8231" max="8231" width="15.5703125" style="42" customWidth="1"/>
    <col min="8232" max="8232" width="1.5703125" style="42" customWidth="1"/>
    <col min="8233" max="8233" width="15.5703125" style="42" customWidth="1"/>
    <col min="8234" max="8234" width="1.42578125" style="42" customWidth="1"/>
    <col min="8235" max="8235" width="15.5703125" style="42" customWidth="1"/>
    <col min="8236" max="8236" width="1.85546875" style="42" customWidth="1"/>
    <col min="8237" max="8237" width="15.5703125" style="42" customWidth="1"/>
    <col min="8238" max="8238" width="1.28515625" style="42" customWidth="1"/>
    <col min="8239" max="8239" width="15.85546875" style="42" customWidth="1"/>
    <col min="8240" max="8240" width="1.5703125" style="42" customWidth="1"/>
    <col min="8241" max="8241" width="15.5703125" style="42" customWidth="1"/>
    <col min="8242" max="8242" width="1.85546875" style="42" customWidth="1"/>
    <col min="8243" max="8243" width="15.5703125" style="42" customWidth="1"/>
    <col min="8244" max="8244" width="1.5703125" style="42" customWidth="1"/>
    <col min="8245" max="8245" width="15.5703125" style="42" customWidth="1"/>
    <col min="8246" max="8246" width="9.140625" style="42"/>
    <col min="8247" max="8247" width="15.140625" style="42" customWidth="1"/>
    <col min="8248" max="8449" width="9.140625" style="42"/>
    <col min="8450" max="8450" width="26.5703125" style="42" customWidth="1"/>
    <col min="8451" max="8463" width="0" style="42" hidden="1" customWidth="1"/>
    <col min="8464" max="8464" width="1.7109375" style="42" customWidth="1"/>
    <col min="8465" max="8465" width="17.42578125" style="42" customWidth="1"/>
    <col min="8466" max="8466" width="1.140625" style="42" customWidth="1"/>
    <col min="8467" max="8479" width="0" style="42" hidden="1" customWidth="1"/>
    <col min="8480" max="8480" width="19.85546875" style="42" customWidth="1"/>
    <col min="8481" max="8481" width="0" style="42" hidden="1" customWidth="1"/>
    <col min="8482" max="8482" width="2.85546875" style="42" customWidth="1"/>
    <col min="8483" max="8483" width="15.5703125" style="42" customWidth="1"/>
    <col min="8484" max="8484" width="2" style="42" customWidth="1"/>
    <col min="8485" max="8485" width="15.5703125" style="42" customWidth="1"/>
    <col min="8486" max="8486" width="1.7109375" style="42" customWidth="1"/>
    <col min="8487" max="8487" width="15.5703125" style="42" customWidth="1"/>
    <col min="8488" max="8488" width="1.5703125" style="42" customWidth="1"/>
    <col min="8489" max="8489" width="15.5703125" style="42" customWidth="1"/>
    <col min="8490" max="8490" width="1.42578125" style="42" customWidth="1"/>
    <col min="8491" max="8491" width="15.5703125" style="42" customWidth="1"/>
    <col min="8492" max="8492" width="1.85546875" style="42" customWidth="1"/>
    <col min="8493" max="8493" width="15.5703125" style="42" customWidth="1"/>
    <col min="8494" max="8494" width="1.28515625" style="42" customWidth="1"/>
    <col min="8495" max="8495" width="15.85546875" style="42" customWidth="1"/>
    <col min="8496" max="8496" width="1.5703125" style="42" customWidth="1"/>
    <col min="8497" max="8497" width="15.5703125" style="42" customWidth="1"/>
    <col min="8498" max="8498" width="1.85546875" style="42" customWidth="1"/>
    <col min="8499" max="8499" width="15.5703125" style="42" customWidth="1"/>
    <col min="8500" max="8500" width="1.5703125" style="42" customWidth="1"/>
    <col min="8501" max="8501" width="15.5703125" style="42" customWidth="1"/>
    <col min="8502" max="8502" width="9.140625" style="42"/>
    <col min="8503" max="8503" width="15.140625" style="42" customWidth="1"/>
    <col min="8504" max="8705" width="9.140625" style="42"/>
    <col min="8706" max="8706" width="26.5703125" style="42" customWidth="1"/>
    <col min="8707" max="8719" width="0" style="42" hidden="1" customWidth="1"/>
    <col min="8720" max="8720" width="1.7109375" style="42" customWidth="1"/>
    <col min="8721" max="8721" width="17.42578125" style="42" customWidth="1"/>
    <col min="8722" max="8722" width="1.140625" style="42" customWidth="1"/>
    <col min="8723" max="8735" width="0" style="42" hidden="1" customWidth="1"/>
    <col min="8736" max="8736" width="19.85546875" style="42" customWidth="1"/>
    <col min="8737" max="8737" width="0" style="42" hidden="1" customWidth="1"/>
    <col min="8738" max="8738" width="2.85546875" style="42" customWidth="1"/>
    <col min="8739" max="8739" width="15.5703125" style="42" customWidth="1"/>
    <col min="8740" max="8740" width="2" style="42" customWidth="1"/>
    <col min="8741" max="8741" width="15.5703125" style="42" customWidth="1"/>
    <col min="8742" max="8742" width="1.7109375" style="42" customWidth="1"/>
    <col min="8743" max="8743" width="15.5703125" style="42" customWidth="1"/>
    <col min="8744" max="8744" width="1.5703125" style="42" customWidth="1"/>
    <col min="8745" max="8745" width="15.5703125" style="42" customWidth="1"/>
    <col min="8746" max="8746" width="1.42578125" style="42" customWidth="1"/>
    <col min="8747" max="8747" width="15.5703125" style="42" customWidth="1"/>
    <col min="8748" max="8748" width="1.85546875" style="42" customWidth="1"/>
    <col min="8749" max="8749" width="15.5703125" style="42" customWidth="1"/>
    <col min="8750" max="8750" width="1.28515625" style="42" customWidth="1"/>
    <col min="8751" max="8751" width="15.85546875" style="42" customWidth="1"/>
    <col min="8752" max="8752" width="1.5703125" style="42" customWidth="1"/>
    <col min="8753" max="8753" width="15.5703125" style="42" customWidth="1"/>
    <col min="8754" max="8754" width="1.85546875" style="42" customWidth="1"/>
    <col min="8755" max="8755" width="15.5703125" style="42" customWidth="1"/>
    <col min="8756" max="8756" width="1.5703125" style="42" customWidth="1"/>
    <col min="8757" max="8757" width="15.5703125" style="42" customWidth="1"/>
    <col min="8758" max="8758" width="9.140625" style="42"/>
    <col min="8759" max="8759" width="15.140625" style="42" customWidth="1"/>
    <col min="8760" max="8961" width="9.140625" style="42"/>
    <col min="8962" max="8962" width="26.5703125" style="42" customWidth="1"/>
    <col min="8963" max="8975" width="0" style="42" hidden="1" customWidth="1"/>
    <col min="8976" max="8976" width="1.7109375" style="42" customWidth="1"/>
    <col min="8977" max="8977" width="17.42578125" style="42" customWidth="1"/>
    <col min="8978" max="8978" width="1.140625" style="42" customWidth="1"/>
    <col min="8979" max="8991" width="0" style="42" hidden="1" customWidth="1"/>
    <col min="8992" max="8992" width="19.85546875" style="42" customWidth="1"/>
    <col min="8993" max="8993" width="0" style="42" hidden="1" customWidth="1"/>
    <col min="8994" max="8994" width="2.85546875" style="42" customWidth="1"/>
    <col min="8995" max="8995" width="15.5703125" style="42" customWidth="1"/>
    <col min="8996" max="8996" width="2" style="42" customWidth="1"/>
    <col min="8997" max="8997" width="15.5703125" style="42" customWidth="1"/>
    <col min="8998" max="8998" width="1.7109375" style="42" customWidth="1"/>
    <col min="8999" max="8999" width="15.5703125" style="42" customWidth="1"/>
    <col min="9000" max="9000" width="1.5703125" style="42" customWidth="1"/>
    <col min="9001" max="9001" width="15.5703125" style="42" customWidth="1"/>
    <col min="9002" max="9002" width="1.42578125" style="42" customWidth="1"/>
    <col min="9003" max="9003" width="15.5703125" style="42" customWidth="1"/>
    <col min="9004" max="9004" width="1.85546875" style="42" customWidth="1"/>
    <col min="9005" max="9005" width="15.5703125" style="42" customWidth="1"/>
    <col min="9006" max="9006" width="1.28515625" style="42" customWidth="1"/>
    <col min="9007" max="9007" width="15.85546875" style="42" customWidth="1"/>
    <col min="9008" max="9008" width="1.5703125" style="42" customWidth="1"/>
    <col min="9009" max="9009" width="15.5703125" style="42" customWidth="1"/>
    <col min="9010" max="9010" width="1.85546875" style="42" customWidth="1"/>
    <col min="9011" max="9011" width="15.5703125" style="42" customWidth="1"/>
    <col min="9012" max="9012" width="1.5703125" style="42" customWidth="1"/>
    <col min="9013" max="9013" width="15.5703125" style="42" customWidth="1"/>
    <col min="9014" max="9014" width="9.140625" style="42"/>
    <col min="9015" max="9015" width="15.140625" style="42" customWidth="1"/>
    <col min="9016" max="9217" width="9.140625" style="42"/>
    <col min="9218" max="9218" width="26.5703125" style="42" customWidth="1"/>
    <col min="9219" max="9231" width="0" style="42" hidden="1" customWidth="1"/>
    <col min="9232" max="9232" width="1.7109375" style="42" customWidth="1"/>
    <col min="9233" max="9233" width="17.42578125" style="42" customWidth="1"/>
    <col min="9234" max="9234" width="1.140625" style="42" customWidth="1"/>
    <col min="9235" max="9247" width="0" style="42" hidden="1" customWidth="1"/>
    <col min="9248" max="9248" width="19.85546875" style="42" customWidth="1"/>
    <col min="9249" max="9249" width="0" style="42" hidden="1" customWidth="1"/>
    <col min="9250" max="9250" width="2.85546875" style="42" customWidth="1"/>
    <col min="9251" max="9251" width="15.5703125" style="42" customWidth="1"/>
    <col min="9252" max="9252" width="2" style="42" customWidth="1"/>
    <col min="9253" max="9253" width="15.5703125" style="42" customWidth="1"/>
    <col min="9254" max="9254" width="1.7109375" style="42" customWidth="1"/>
    <col min="9255" max="9255" width="15.5703125" style="42" customWidth="1"/>
    <col min="9256" max="9256" width="1.5703125" style="42" customWidth="1"/>
    <col min="9257" max="9257" width="15.5703125" style="42" customWidth="1"/>
    <col min="9258" max="9258" width="1.42578125" style="42" customWidth="1"/>
    <col min="9259" max="9259" width="15.5703125" style="42" customWidth="1"/>
    <col min="9260" max="9260" width="1.85546875" style="42" customWidth="1"/>
    <col min="9261" max="9261" width="15.5703125" style="42" customWidth="1"/>
    <col min="9262" max="9262" width="1.28515625" style="42" customWidth="1"/>
    <col min="9263" max="9263" width="15.85546875" style="42" customWidth="1"/>
    <col min="9264" max="9264" width="1.5703125" style="42" customWidth="1"/>
    <col min="9265" max="9265" width="15.5703125" style="42" customWidth="1"/>
    <col min="9266" max="9266" width="1.85546875" style="42" customWidth="1"/>
    <col min="9267" max="9267" width="15.5703125" style="42" customWidth="1"/>
    <col min="9268" max="9268" width="1.5703125" style="42" customWidth="1"/>
    <col min="9269" max="9269" width="15.5703125" style="42" customWidth="1"/>
    <col min="9270" max="9270" width="9.140625" style="42"/>
    <col min="9271" max="9271" width="15.140625" style="42" customWidth="1"/>
    <col min="9272" max="9473" width="9.140625" style="42"/>
    <col min="9474" max="9474" width="26.5703125" style="42" customWidth="1"/>
    <col min="9475" max="9487" width="0" style="42" hidden="1" customWidth="1"/>
    <col min="9488" max="9488" width="1.7109375" style="42" customWidth="1"/>
    <col min="9489" max="9489" width="17.42578125" style="42" customWidth="1"/>
    <col min="9490" max="9490" width="1.140625" style="42" customWidth="1"/>
    <col min="9491" max="9503" width="0" style="42" hidden="1" customWidth="1"/>
    <col min="9504" max="9504" width="19.85546875" style="42" customWidth="1"/>
    <col min="9505" max="9505" width="0" style="42" hidden="1" customWidth="1"/>
    <col min="9506" max="9506" width="2.85546875" style="42" customWidth="1"/>
    <col min="9507" max="9507" width="15.5703125" style="42" customWidth="1"/>
    <col min="9508" max="9508" width="2" style="42" customWidth="1"/>
    <col min="9509" max="9509" width="15.5703125" style="42" customWidth="1"/>
    <col min="9510" max="9510" width="1.7109375" style="42" customWidth="1"/>
    <col min="9511" max="9511" width="15.5703125" style="42" customWidth="1"/>
    <col min="9512" max="9512" width="1.5703125" style="42" customWidth="1"/>
    <col min="9513" max="9513" width="15.5703125" style="42" customWidth="1"/>
    <col min="9514" max="9514" width="1.42578125" style="42" customWidth="1"/>
    <col min="9515" max="9515" width="15.5703125" style="42" customWidth="1"/>
    <col min="9516" max="9516" width="1.85546875" style="42" customWidth="1"/>
    <col min="9517" max="9517" width="15.5703125" style="42" customWidth="1"/>
    <col min="9518" max="9518" width="1.28515625" style="42" customWidth="1"/>
    <col min="9519" max="9519" width="15.85546875" style="42" customWidth="1"/>
    <col min="9520" max="9520" width="1.5703125" style="42" customWidth="1"/>
    <col min="9521" max="9521" width="15.5703125" style="42" customWidth="1"/>
    <col min="9522" max="9522" width="1.85546875" style="42" customWidth="1"/>
    <col min="9523" max="9523" width="15.5703125" style="42" customWidth="1"/>
    <col min="9524" max="9524" width="1.5703125" style="42" customWidth="1"/>
    <col min="9525" max="9525" width="15.5703125" style="42" customWidth="1"/>
    <col min="9526" max="9526" width="9.140625" style="42"/>
    <col min="9527" max="9527" width="15.140625" style="42" customWidth="1"/>
    <col min="9528" max="9729" width="9.140625" style="42"/>
    <col min="9730" max="9730" width="26.5703125" style="42" customWidth="1"/>
    <col min="9731" max="9743" width="0" style="42" hidden="1" customWidth="1"/>
    <col min="9744" max="9744" width="1.7109375" style="42" customWidth="1"/>
    <col min="9745" max="9745" width="17.42578125" style="42" customWidth="1"/>
    <col min="9746" max="9746" width="1.140625" style="42" customWidth="1"/>
    <col min="9747" max="9759" width="0" style="42" hidden="1" customWidth="1"/>
    <col min="9760" max="9760" width="19.85546875" style="42" customWidth="1"/>
    <col min="9761" max="9761" width="0" style="42" hidden="1" customWidth="1"/>
    <col min="9762" max="9762" width="2.85546875" style="42" customWidth="1"/>
    <col min="9763" max="9763" width="15.5703125" style="42" customWidth="1"/>
    <col min="9764" max="9764" width="2" style="42" customWidth="1"/>
    <col min="9765" max="9765" width="15.5703125" style="42" customWidth="1"/>
    <col min="9766" max="9766" width="1.7109375" style="42" customWidth="1"/>
    <col min="9767" max="9767" width="15.5703125" style="42" customWidth="1"/>
    <col min="9768" max="9768" width="1.5703125" style="42" customWidth="1"/>
    <col min="9769" max="9769" width="15.5703125" style="42" customWidth="1"/>
    <col min="9770" max="9770" width="1.42578125" style="42" customWidth="1"/>
    <col min="9771" max="9771" width="15.5703125" style="42" customWidth="1"/>
    <col min="9772" max="9772" width="1.85546875" style="42" customWidth="1"/>
    <col min="9773" max="9773" width="15.5703125" style="42" customWidth="1"/>
    <col min="9774" max="9774" width="1.28515625" style="42" customWidth="1"/>
    <col min="9775" max="9775" width="15.85546875" style="42" customWidth="1"/>
    <col min="9776" max="9776" width="1.5703125" style="42" customWidth="1"/>
    <col min="9777" max="9777" width="15.5703125" style="42" customWidth="1"/>
    <col min="9778" max="9778" width="1.85546875" style="42" customWidth="1"/>
    <col min="9779" max="9779" width="15.5703125" style="42" customWidth="1"/>
    <col min="9780" max="9780" width="1.5703125" style="42" customWidth="1"/>
    <col min="9781" max="9781" width="15.5703125" style="42" customWidth="1"/>
    <col min="9782" max="9782" width="9.140625" style="42"/>
    <col min="9783" max="9783" width="15.140625" style="42" customWidth="1"/>
    <col min="9784" max="9985" width="9.140625" style="42"/>
    <col min="9986" max="9986" width="26.5703125" style="42" customWidth="1"/>
    <col min="9987" max="9999" width="0" style="42" hidden="1" customWidth="1"/>
    <col min="10000" max="10000" width="1.7109375" style="42" customWidth="1"/>
    <col min="10001" max="10001" width="17.42578125" style="42" customWidth="1"/>
    <col min="10002" max="10002" width="1.140625" style="42" customWidth="1"/>
    <col min="10003" max="10015" width="0" style="42" hidden="1" customWidth="1"/>
    <col min="10016" max="10016" width="19.85546875" style="42" customWidth="1"/>
    <col min="10017" max="10017" width="0" style="42" hidden="1" customWidth="1"/>
    <col min="10018" max="10018" width="2.85546875" style="42" customWidth="1"/>
    <col min="10019" max="10019" width="15.5703125" style="42" customWidth="1"/>
    <col min="10020" max="10020" width="2" style="42" customWidth="1"/>
    <col min="10021" max="10021" width="15.5703125" style="42" customWidth="1"/>
    <col min="10022" max="10022" width="1.7109375" style="42" customWidth="1"/>
    <col min="10023" max="10023" width="15.5703125" style="42" customWidth="1"/>
    <col min="10024" max="10024" width="1.5703125" style="42" customWidth="1"/>
    <col min="10025" max="10025" width="15.5703125" style="42" customWidth="1"/>
    <col min="10026" max="10026" width="1.42578125" style="42" customWidth="1"/>
    <col min="10027" max="10027" width="15.5703125" style="42" customWidth="1"/>
    <col min="10028" max="10028" width="1.85546875" style="42" customWidth="1"/>
    <col min="10029" max="10029" width="15.5703125" style="42" customWidth="1"/>
    <col min="10030" max="10030" width="1.28515625" style="42" customWidth="1"/>
    <col min="10031" max="10031" width="15.85546875" style="42" customWidth="1"/>
    <col min="10032" max="10032" width="1.5703125" style="42" customWidth="1"/>
    <col min="10033" max="10033" width="15.5703125" style="42" customWidth="1"/>
    <col min="10034" max="10034" width="1.85546875" style="42" customWidth="1"/>
    <col min="10035" max="10035" width="15.5703125" style="42" customWidth="1"/>
    <col min="10036" max="10036" width="1.5703125" style="42" customWidth="1"/>
    <col min="10037" max="10037" width="15.5703125" style="42" customWidth="1"/>
    <col min="10038" max="10038" width="9.140625" style="42"/>
    <col min="10039" max="10039" width="15.140625" style="42" customWidth="1"/>
    <col min="10040" max="10241" width="9.140625" style="42"/>
    <col min="10242" max="10242" width="26.5703125" style="42" customWidth="1"/>
    <col min="10243" max="10255" width="0" style="42" hidden="1" customWidth="1"/>
    <col min="10256" max="10256" width="1.7109375" style="42" customWidth="1"/>
    <col min="10257" max="10257" width="17.42578125" style="42" customWidth="1"/>
    <col min="10258" max="10258" width="1.140625" style="42" customWidth="1"/>
    <col min="10259" max="10271" width="0" style="42" hidden="1" customWidth="1"/>
    <col min="10272" max="10272" width="19.85546875" style="42" customWidth="1"/>
    <col min="10273" max="10273" width="0" style="42" hidden="1" customWidth="1"/>
    <col min="10274" max="10274" width="2.85546875" style="42" customWidth="1"/>
    <col min="10275" max="10275" width="15.5703125" style="42" customWidth="1"/>
    <col min="10276" max="10276" width="2" style="42" customWidth="1"/>
    <col min="10277" max="10277" width="15.5703125" style="42" customWidth="1"/>
    <col min="10278" max="10278" width="1.7109375" style="42" customWidth="1"/>
    <col min="10279" max="10279" width="15.5703125" style="42" customWidth="1"/>
    <col min="10280" max="10280" width="1.5703125" style="42" customWidth="1"/>
    <col min="10281" max="10281" width="15.5703125" style="42" customWidth="1"/>
    <col min="10282" max="10282" width="1.42578125" style="42" customWidth="1"/>
    <col min="10283" max="10283" width="15.5703125" style="42" customWidth="1"/>
    <col min="10284" max="10284" width="1.85546875" style="42" customWidth="1"/>
    <col min="10285" max="10285" width="15.5703125" style="42" customWidth="1"/>
    <col min="10286" max="10286" width="1.28515625" style="42" customWidth="1"/>
    <col min="10287" max="10287" width="15.85546875" style="42" customWidth="1"/>
    <col min="10288" max="10288" width="1.5703125" style="42" customWidth="1"/>
    <col min="10289" max="10289" width="15.5703125" style="42" customWidth="1"/>
    <col min="10290" max="10290" width="1.85546875" style="42" customWidth="1"/>
    <col min="10291" max="10291" width="15.5703125" style="42" customWidth="1"/>
    <col min="10292" max="10292" width="1.5703125" style="42" customWidth="1"/>
    <col min="10293" max="10293" width="15.5703125" style="42" customWidth="1"/>
    <col min="10294" max="10294" width="9.140625" style="42"/>
    <col min="10295" max="10295" width="15.140625" style="42" customWidth="1"/>
    <col min="10296" max="10497" width="9.140625" style="42"/>
    <col min="10498" max="10498" width="26.5703125" style="42" customWidth="1"/>
    <col min="10499" max="10511" width="0" style="42" hidden="1" customWidth="1"/>
    <col min="10512" max="10512" width="1.7109375" style="42" customWidth="1"/>
    <col min="10513" max="10513" width="17.42578125" style="42" customWidth="1"/>
    <col min="10514" max="10514" width="1.140625" style="42" customWidth="1"/>
    <col min="10515" max="10527" width="0" style="42" hidden="1" customWidth="1"/>
    <col min="10528" max="10528" width="19.85546875" style="42" customWidth="1"/>
    <col min="10529" max="10529" width="0" style="42" hidden="1" customWidth="1"/>
    <col min="10530" max="10530" width="2.85546875" style="42" customWidth="1"/>
    <col min="10531" max="10531" width="15.5703125" style="42" customWidth="1"/>
    <col min="10532" max="10532" width="2" style="42" customWidth="1"/>
    <col min="10533" max="10533" width="15.5703125" style="42" customWidth="1"/>
    <col min="10534" max="10534" width="1.7109375" style="42" customWidth="1"/>
    <col min="10535" max="10535" width="15.5703125" style="42" customWidth="1"/>
    <col min="10536" max="10536" width="1.5703125" style="42" customWidth="1"/>
    <col min="10537" max="10537" width="15.5703125" style="42" customWidth="1"/>
    <col min="10538" max="10538" width="1.42578125" style="42" customWidth="1"/>
    <col min="10539" max="10539" width="15.5703125" style="42" customWidth="1"/>
    <col min="10540" max="10540" width="1.85546875" style="42" customWidth="1"/>
    <col min="10541" max="10541" width="15.5703125" style="42" customWidth="1"/>
    <col min="10542" max="10542" width="1.28515625" style="42" customWidth="1"/>
    <col min="10543" max="10543" width="15.85546875" style="42" customWidth="1"/>
    <col min="10544" max="10544" width="1.5703125" style="42" customWidth="1"/>
    <col min="10545" max="10545" width="15.5703125" style="42" customWidth="1"/>
    <col min="10546" max="10546" width="1.85546875" style="42" customWidth="1"/>
    <col min="10547" max="10547" width="15.5703125" style="42" customWidth="1"/>
    <col min="10548" max="10548" width="1.5703125" style="42" customWidth="1"/>
    <col min="10549" max="10549" width="15.5703125" style="42" customWidth="1"/>
    <col min="10550" max="10550" width="9.140625" style="42"/>
    <col min="10551" max="10551" width="15.140625" style="42" customWidth="1"/>
    <col min="10552" max="10753" width="9.140625" style="42"/>
    <col min="10754" max="10754" width="26.5703125" style="42" customWidth="1"/>
    <col min="10755" max="10767" width="0" style="42" hidden="1" customWidth="1"/>
    <col min="10768" max="10768" width="1.7109375" style="42" customWidth="1"/>
    <col min="10769" max="10769" width="17.42578125" style="42" customWidth="1"/>
    <col min="10770" max="10770" width="1.140625" style="42" customWidth="1"/>
    <col min="10771" max="10783" width="0" style="42" hidden="1" customWidth="1"/>
    <col min="10784" max="10784" width="19.85546875" style="42" customWidth="1"/>
    <col min="10785" max="10785" width="0" style="42" hidden="1" customWidth="1"/>
    <col min="10786" max="10786" width="2.85546875" style="42" customWidth="1"/>
    <col min="10787" max="10787" width="15.5703125" style="42" customWidth="1"/>
    <col min="10788" max="10788" width="2" style="42" customWidth="1"/>
    <col min="10789" max="10789" width="15.5703125" style="42" customWidth="1"/>
    <col min="10790" max="10790" width="1.7109375" style="42" customWidth="1"/>
    <col min="10791" max="10791" width="15.5703125" style="42" customWidth="1"/>
    <col min="10792" max="10792" width="1.5703125" style="42" customWidth="1"/>
    <col min="10793" max="10793" width="15.5703125" style="42" customWidth="1"/>
    <col min="10794" max="10794" width="1.42578125" style="42" customWidth="1"/>
    <col min="10795" max="10795" width="15.5703125" style="42" customWidth="1"/>
    <col min="10796" max="10796" width="1.85546875" style="42" customWidth="1"/>
    <col min="10797" max="10797" width="15.5703125" style="42" customWidth="1"/>
    <col min="10798" max="10798" width="1.28515625" style="42" customWidth="1"/>
    <col min="10799" max="10799" width="15.85546875" style="42" customWidth="1"/>
    <col min="10800" max="10800" width="1.5703125" style="42" customWidth="1"/>
    <col min="10801" max="10801" width="15.5703125" style="42" customWidth="1"/>
    <col min="10802" max="10802" width="1.85546875" style="42" customWidth="1"/>
    <col min="10803" max="10803" width="15.5703125" style="42" customWidth="1"/>
    <col min="10804" max="10804" width="1.5703125" style="42" customWidth="1"/>
    <col min="10805" max="10805" width="15.5703125" style="42" customWidth="1"/>
    <col min="10806" max="10806" width="9.140625" style="42"/>
    <col min="10807" max="10807" width="15.140625" style="42" customWidth="1"/>
    <col min="10808" max="11009" width="9.140625" style="42"/>
    <col min="11010" max="11010" width="26.5703125" style="42" customWidth="1"/>
    <col min="11011" max="11023" width="0" style="42" hidden="1" customWidth="1"/>
    <col min="11024" max="11024" width="1.7109375" style="42" customWidth="1"/>
    <col min="11025" max="11025" width="17.42578125" style="42" customWidth="1"/>
    <col min="11026" max="11026" width="1.140625" style="42" customWidth="1"/>
    <col min="11027" max="11039" width="0" style="42" hidden="1" customWidth="1"/>
    <col min="11040" max="11040" width="19.85546875" style="42" customWidth="1"/>
    <col min="11041" max="11041" width="0" style="42" hidden="1" customWidth="1"/>
    <col min="11042" max="11042" width="2.85546875" style="42" customWidth="1"/>
    <col min="11043" max="11043" width="15.5703125" style="42" customWidth="1"/>
    <col min="11044" max="11044" width="2" style="42" customWidth="1"/>
    <col min="11045" max="11045" width="15.5703125" style="42" customWidth="1"/>
    <col min="11046" max="11046" width="1.7109375" style="42" customWidth="1"/>
    <col min="11047" max="11047" width="15.5703125" style="42" customWidth="1"/>
    <col min="11048" max="11048" width="1.5703125" style="42" customWidth="1"/>
    <col min="11049" max="11049" width="15.5703125" style="42" customWidth="1"/>
    <col min="11050" max="11050" width="1.42578125" style="42" customWidth="1"/>
    <col min="11051" max="11051" width="15.5703125" style="42" customWidth="1"/>
    <col min="11052" max="11052" width="1.85546875" style="42" customWidth="1"/>
    <col min="11053" max="11053" width="15.5703125" style="42" customWidth="1"/>
    <col min="11054" max="11054" width="1.28515625" style="42" customWidth="1"/>
    <col min="11055" max="11055" width="15.85546875" style="42" customWidth="1"/>
    <col min="11056" max="11056" width="1.5703125" style="42" customWidth="1"/>
    <col min="11057" max="11057" width="15.5703125" style="42" customWidth="1"/>
    <col min="11058" max="11058" width="1.85546875" style="42" customWidth="1"/>
    <col min="11059" max="11059" width="15.5703125" style="42" customWidth="1"/>
    <col min="11060" max="11060" width="1.5703125" style="42" customWidth="1"/>
    <col min="11061" max="11061" width="15.5703125" style="42" customWidth="1"/>
    <col min="11062" max="11062" width="9.140625" style="42"/>
    <col min="11063" max="11063" width="15.140625" style="42" customWidth="1"/>
    <col min="11064" max="11265" width="9.140625" style="42"/>
    <col min="11266" max="11266" width="26.5703125" style="42" customWidth="1"/>
    <col min="11267" max="11279" width="0" style="42" hidden="1" customWidth="1"/>
    <col min="11280" max="11280" width="1.7109375" style="42" customWidth="1"/>
    <col min="11281" max="11281" width="17.42578125" style="42" customWidth="1"/>
    <col min="11282" max="11282" width="1.140625" style="42" customWidth="1"/>
    <col min="11283" max="11295" width="0" style="42" hidden="1" customWidth="1"/>
    <col min="11296" max="11296" width="19.85546875" style="42" customWidth="1"/>
    <col min="11297" max="11297" width="0" style="42" hidden="1" customWidth="1"/>
    <col min="11298" max="11298" width="2.85546875" style="42" customWidth="1"/>
    <col min="11299" max="11299" width="15.5703125" style="42" customWidth="1"/>
    <col min="11300" max="11300" width="2" style="42" customWidth="1"/>
    <col min="11301" max="11301" width="15.5703125" style="42" customWidth="1"/>
    <col min="11302" max="11302" width="1.7109375" style="42" customWidth="1"/>
    <col min="11303" max="11303" width="15.5703125" style="42" customWidth="1"/>
    <col min="11304" max="11304" width="1.5703125" style="42" customWidth="1"/>
    <col min="11305" max="11305" width="15.5703125" style="42" customWidth="1"/>
    <col min="11306" max="11306" width="1.42578125" style="42" customWidth="1"/>
    <col min="11307" max="11307" width="15.5703125" style="42" customWidth="1"/>
    <col min="11308" max="11308" width="1.85546875" style="42" customWidth="1"/>
    <col min="11309" max="11309" width="15.5703125" style="42" customWidth="1"/>
    <col min="11310" max="11310" width="1.28515625" style="42" customWidth="1"/>
    <col min="11311" max="11311" width="15.85546875" style="42" customWidth="1"/>
    <col min="11312" max="11312" width="1.5703125" style="42" customWidth="1"/>
    <col min="11313" max="11313" width="15.5703125" style="42" customWidth="1"/>
    <col min="11314" max="11314" width="1.85546875" style="42" customWidth="1"/>
    <col min="11315" max="11315" width="15.5703125" style="42" customWidth="1"/>
    <col min="11316" max="11316" width="1.5703125" style="42" customWidth="1"/>
    <col min="11317" max="11317" width="15.5703125" style="42" customWidth="1"/>
    <col min="11318" max="11318" width="9.140625" style="42"/>
    <col min="11319" max="11319" width="15.140625" style="42" customWidth="1"/>
    <col min="11320" max="11521" width="9.140625" style="42"/>
    <col min="11522" max="11522" width="26.5703125" style="42" customWidth="1"/>
    <col min="11523" max="11535" width="0" style="42" hidden="1" customWidth="1"/>
    <col min="11536" max="11536" width="1.7109375" style="42" customWidth="1"/>
    <col min="11537" max="11537" width="17.42578125" style="42" customWidth="1"/>
    <col min="11538" max="11538" width="1.140625" style="42" customWidth="1"/>
    <col min="11539" max="11551" width="0" style="42" hidden="1" customWidth="1"/>
    <col min="11552" max="11552" width="19.85546875" style="42" customWidth="1"/>
    <col min="11553" max="11553" width="0" style="42" hidden="1" customWidth="1"/>
    <col min="11554" max="11554" width="2.85546875" style="42" customWidth="1"/>
    <col min="11555" max="11555" width="15.5703125" style="42" customWidth="1"/>
    <col min="11556" max="11556" width="2" style="42" customWidth="1"/>
    <col min="11557" max="11557" width="15.5703125" style="42" customWidth="1"/>
    <col min="11558" max="11558" width="1.7109375" style="42" customWidth="1"/>
    <col min="11559" max="11559" width="15.5703125" style="42" customWidth="1"/>
    <col min="11560" max="11560" width="1.5703125" style="42" customWidth="1"/>
    <col min="11561" max="11561" width="15.5703125" style="42" customWidth="1"/>
    <col min="11562" max="11562" width="1.42578125" style="42" customWidth="1"/>
    <col min="11563" max="11563" width="15.5703125" style="42" customWidth="1"/>
    <col min="11564" max="11564" width="1.85546875" style="42" customWidth="1"/>
    <col min="11565" max="11565" width="15.5703125" style="42" customWidth="1"/>
    <col min="11566" max="11566" width="1.28515625" style="42" customWidth="1"/>
    <col min="11567" max="11567" width="15.85546875" style="42" customWidth="1"/>
    <col min="11568" max="11568" width="1.5703125" style="42" customWidth="1"/>
    <col min="11569" max="11569" width="15.5703125" style="42" customWidth="1"/>
    <col min="11570" max="11570" width="1.85546875" style="42" customWidth="1"/>
    <col min="11571" max="11571" width="15.5703125" style="42" customWidth="1"/>
    <col min="11572" max="11572" width="1.5703125" style="42" customWidth="1"/>
    <col min="11573" max="11573" width="15.5703125" style="42" customWidth="1"/>
    <col min="11574" max="11574" width="9.140625" style="42"/>
    <col min="11575" max="11575" width="15.140625" style="42" customWidth="1"/>
    <col min="11576" max="11777" width="9.140625" style="42"/>
    <col min="11778" max="11778" width="26.5703125" style="42" customWidth="1"/>
    <col min="11779" max="11791" width="0" style="42" hidden="1" customWidth="1"/>
    <col min="11792" max="11792" width="1.7109375" style="42" customWidth="1"/>
    <col min="11793" max="11793" width="17.42578125" style="42" customWidth="1"/>
    <col min="11794" max="11794" width="1.140625" style="42" customWidth="1"/>
    <col min="11795" max="11807" width="0" style="42" hidden="1" customWidth="1"/>
    <col min="11808" max="11808" width="19.85546875" style="42" customWidth="1"/>
    <col min="11809" max="11809" width="0" style="42" hidden="1" customWidth="1"/>
    <col min="11810" max="11810" width="2.85546875" style="42" customWidth="1"/>
    <col min="11811" max="11811" width="15.5703125" style="42" customWidth="1"/>
    <col min="11812" max="11812" width="2" style="42" customWidth="1"/>
    <col min="11813" max="11813" width="15.5703125" style="42" customWidth="1"/>
    <col min="11814" max="11814" width="1.7109375" style="42" customWidth="1"/>
    <col min="11815" max="11815" width="15.5703125" style="42" customWidth="1"/>
    <col min="11816" max="11816" width="1.5703125" style="42" customWidth="1"/>
    <col min="11817" max="11817" width="15.5703125" style="42" customWidth="1"/>
    <col min="11818" max="11818" width="1.42578125" style="42" customWidth="1"/>
    <col min="11819" max="11819" width="15.5703125" style="42" customWidth="1"/>
    <col min="11820" max="11820" width="1.85546875" style="42" customWidth="1"/>
    <col min="11821" max="11821" width="15.5703125" style="42" customWidth="1"/>
    <col min="11822" max="11822" width="1.28515625" style="42" customWidth="1"/>
    <col min="11823" max="11823" width="15.85546875" style="42" customWidth="1"/>
    <col min="11824" max="11824" width="1.5703125" style="42" customWidth="1"/>
    <col min="11825" max="11825" width="15.5703125" style="42" customWidth="1"/>
    <col min="11826" max="11826" width="1.85546875" style="42" customWidth="1"/>
    <col min="11827" max="11827" width="15.5703125" style="42" customWidth="1"/>
    <col min="11828" max="11828" width="1.5703125" style="42" customWidth="1"/>
    <col min="11829" max="11829" width="15.5703125" style="42" customWidth="1"/>
    <col min="11830" max="11830" width="9.140625" style="42"/>
    <col min="11831" max="11831" width="15.140625" style="42" customWidth="1"/>
    <col min="11832" max="12033" width="9.140625" style="42"/>
    <col min="12034" max="12034" width="26.5703125" style="42" customWidth="1"/>
    <col min="12035" max="12047" width="0" style="42" hidden="1" customWidth="1"/>
    <col min="12048" max="12048" width="1.7109375" style="42" customWidth="1"/>
    <col min="12049" max="12049" width="17.42578125" style="42" customWidth="1"/>
    <col min="12050" max="12050" width="1.140625" style="42" customWidth="1"/>
    <col min="12051" max="12063" width="0" style="42" hidden="1" customWidth="1"/>
    <col min="12064" max="12064" width="19.85546875" style="42" customWidth="1"/>
    <col min="12065" max="12065" width="0" style="42" hidden="1" customWidth="1"/>
    <col min="12066" max="12066" width="2.85546875" style="42" customWidth="1"/>
    <col min="12067" max="12067" width="15.5703125" style="42" customWidth="1"/>
    <col min="12068" max="12068" width="2" style="42" customWidth="1"/>
    <col min="12069" max="12069" width="15.5703125" style="42" customWidth="1"/>
    <col min="12070" max="12070" width="1.7109375" style="42" customWidth="1"/>
    <col min="12071" max="12071" width="15.5703125" style="42" customWidth="1"/>
    <col min="12072" max="12072" width="1.5703125" style="42" customWidth="1"/>
    <col min="12073" max="12073" width="15.5703125" style="42" customWidth="1"/>
    <col min="12074" max="12074" width="1.42578125" style="42" customWidth="1"/>
    <col min="12075" max="12075" width="15.5703125" style="42" customWidth="1"/>
    <col min="12076" max="12076" width="1.85546875" style="42" customWidth="1"/>
    <col min="12077" max="12077" width="15.5703125" style="42" customWidth="1"/>
    <col min="12078" max="12078" width="1.28515625" style="42" customWidth="1"/>
    <col min="12079" max="12079" width="15.85546875" style="42" customWidth="1"/>
    <col min="12080" max="12080" width="1.5703125" style="42" customWidth="1"/>
    <col min="12081" max="12081" width="15.5703125" style="42" customWidth="1"/>
    <col min="12082" max="12082" width="1.85546875" style="42" customWidth="1"/>
    <col min="12083" max="12083" width="15.5703125" style="42" customWidth="1"/>
    <col min="12084" max="12084" width="1.5703125" style="42" customWidth="1"/>
    <col min="12085" max="12085" width="15.5703125" style="42" customWidth="1"/>
    <col min="12086" max="12086" width="9.140625" style="42"/>
    <col min="12087" max="12087" width="15.140625" style="42" customWidth="1"/>
    <col min="12088" max="12289" width="9.140625" style="42"/>
    <col min="12290" max="12290" width="26.5703125" style="42" customWidth="1"/>
    <col min="12291" max="12303" width="0" style="42" hidden="1" customWidth="1"/>
    <col min="12304" max="12304" width="1.7109375" style="42" customWidth="1"/>
    <col min="12305" max="12305" width="17.42578125" style="42" customWidth="1"/>
    <col min="12306" max="12306" width="1.140625" style="42" customWidth="1"/>
    <col min="12307" max="12319" width="0" style="42" hidden="1" customWidth="1"/>
    <col min="12320" max="12320" width="19.85546875" style="42" customWidth="1"/>
    <col min="12321" max="12321" width="0" style="42" hidden="1" customWidth="1"/>
    <col min="12322" max="12322" width="2.85546875" style="42" customWidth="1"/>
    <col min="12323" max="12323" width="15.5703125" style="42" customWidth="1"/>
    <col min="12324" max="12324" width="2" style="42" customWidth="1"/>
    <col min="12325" max="12325" width="15.5703125" style="42" customWidth="1"/>
    <col min="12326" max="12326" width="1.7109375" style="42" customWidth="1"/>
    <col min="12327" max="12327" width="15.5703125" style="42" customWidth="1"/>
    <col min="12328" max="12328" width="1.5703125" style="42" customWidth="1"/>
    <col min="12329" max="12329" width="15.5703125" style="42" customWidth="1"/>
    <col min="12330" max="12330" width="1.42578125" style="42" customWidth="1"/>
    <col min="12331" max="12331" width="15.5703125" style="42" customWidth="1"/>
    <col min="12332" max="12332" width="1.85546875" style="42" customWidth="1"/>
    <col min="12333" max="12333" width="15.5703125" style="42" customWidth="1"/>
    <col min="12334" max="12334" width="1.28515625" style="42" customWidth="1"/>
    <col min="12335" max="12335" width="15.85546875" style="42" customWidth="1"/>
    <col min="12336" max="12336" width="1.5703125" style="42" customWidth="1"/>
    <col min="12337" max="12337" width="15.5703125" style="42" customWidth="1"/>
    <col min="12338" max="12338" width="1.85546875" style="42" customWidth="1"/>
    <col min="12339" max="12339" width="15.5703125" style="42" customWidth="1"/>
    <col min="12340" max="12340" width="1.5703125" style="42" customWidth="1"/>
    <col min="12341" max="12341" width="15.5703125" style="42" customWidth="1"/>
    <col min="12342" max="12342" width="9.140625" style="42"/>
    <col min="12343" max="12343" width="15.140625" style="42" customWidth="1"/>
    <col min="12344" max="12545" width="9.140625" style="42"/>
    <col min="12546" max="12546" width="26.5703125" style="42" customWidth="1"/>
    <col min="12547" max="12559" width="0" style="42" hidden="1" customWidth="1"/>
    <col min="12560" max="12560" width="1.7109375" style="42" customWidth="1"/>
    <col min="12561" max="12561" width="17.42578125" style="42" customWidth="1"/>
    <col min="12562" max="12562" width="1.140625" style="42" customWidth="1"/>
    <col min="12563" max="12575" width="0" style="42" hidden="1" customWidth="1"/>
    <col min="12576" max="12576" width="19.85546875" style="42" customWidth="1"/>
    <col min="12577" max="12577" width="0" style="42" hidden="1" customWidth="1"/>
    <col min="12578" max="12578" width="2.85546875" style="42" customWidth="1"/>
    <col min="12579" max="12579" width="15.5703125" style="42" customWidth="1"/>
    <col min="12580" max="12580" width="2" style="42" customWidth="1"/>
    <col min="12581" max="12581" width="15.5703125" style="42" customWidth="1"/>
    <col min="12582" max="12582" width="1.7109375" style="42" customWidth="1"/>
    <col min="12583" max="12583" width="15.5703125" style="42" customWidth="1"/>
    <col min="12584" max="12584" width="1.5703125" style="42" customWidth="1"/>
    <col min="12585" max="12585" width="15.5703125" style="42" customWidth="1"/>
    <col min="12586" max="12586" width="1.42578125" style="42" customWidth="1"/>
    <col min="12587" max="12587" width="15.5703125" style="42" customWidth="1"/>
    <col min="12588" max="12588" width="1.85546875" style="42" customWidth="1"/>
    <col min="12589" max="12589" width="15.5703125" style="42" customWidth="1"/>
    <col min="12590" max="12590" width="1.28515625" style="42" customWidth="1"/>
    <col min="12591" max="12591" width="15.85546875" style="42" customWidth="1"/>
    <col min="12592" max="12592" width="1.5703125" style="42" customWidth="1"/>
    <col min="12593" max="12593" width="15.5703125" style="42" customWidth="1"/>
    <col min="12594" max="12594" width="1.85546875" style="42" customWidth="1"/>
    <col min="12595" max="12595" width="15.5703125" style="42" customWidth="1"/>
    <col min="12596" max="12596" width="1.5703125" style="42" customWidth="1"/>
    <col min="12597" max="12597" width="15.5703125" style="42" customWidth="1"/>
    <col min="12598" max="12598" width="9.140625" style="42"/>
    <col min="12599" max="12599" width="15.140625" style="42" customWidth="1"/>
    <col min="12600" max="12801" width="9.140625" style="42"/>
    <col min="12802" max="12802" width="26.5703125" style="42" customWidth="1"/>
    <col min="12803" max="12815" width="0" style="42" hidden="1" customWidth="1"/>
    <col min="12816" max="12816" width="1.7109375" style="42" customWidth="1"/>
    <col min="12817" max="12817" width="17.42578125" style="42" customWidth="1"/>
    <col min="12818" max="12818" width="1.140625" style="42" customWidth="1"/>
    <col min="12819" max="12831" width="0" style="42" hidden="1" customWidth="1"/>
    <col min="12832" max="12832" width="19.85546875" style="42" customWidth="1"/>
    <col min="12833" max="12833" width="0" style="42" hidden="1" customWidth="1"/>
    <col min="12834" max="12834" width="2.85546875" style="42" customWidth="1"/>
    <col min="12835" max="12835" width="15.5703125" style="42" customWidth="1"/>
    <col min="12836" max="12836" width="2" style="42" customWidth="1"/>
    <col min="12837" max="12837" width="15.5703125" style="42" customWidth="1"/>
    <col min="12838" max="12838" width="1.7109375" style="42" customWidth="1"/>
    <col min="12839" max="12839" width="15.5703125" style="42" customWidth="1"/>
    <col min="12840" max="12840" width="1.5703125" style="42" customWidth="1"/>
    <col min="12841" max="12841" width="15.5703125" style="42" customWidth="1"/>
    <col min="12842" max="12842" width="1.42578125" style="42" customWidth="1"/>
    <col min="12843" max="12843" width="15.5703125" style="42" customWidth="1"/>
    <col min="12844" max="12844" width="1.85546875" style="42" customWidth="1"/>
    <col min="12845" max="12845" width="15.5703125" style="42" customWidth="1"/>
    <col min="12846" max="12846" width="1.28515625" style="42" customWidth="1"/>
    <col min="12847" max="12847" width="15.85546875" style="42" customWidth="1"/>
    <col min="12848" max="12848" width="1.5703125" style="42" customWidth="1"/>
    <col min="12849" max="12849" width="15.5703125" style="42" customWidth="1"/>
    <col min="12850" max="12850" width="1.85546875" style="42" customWidth="1"/>
    <col min="12851" max="12851" width="15.5703125" style="42" customWidth="1"/>
    <col min="12852" max="12852" width="1.5703125" style="42" customWidth="1"/>
    <col min="12853" max="12853" width="15.5703125" style="42" customWidth="1"/>
    <col min="12854" max="12854" width="9.140625" style="42"/>
    <col min="12855" max="12855" width="15.140625" style="42" customWidth="1"/>
    <col min="12856" max="13057" width="9.140625" style="42"/>
    <col min="13058" max="13058" width="26.5703125" style="42" customWidth="1"/>
    <col min="13059" max="13071" width="0" style="42" hidden="1" customWidth="1"/>
    <col min="13072" max="13072" width="1.7109375" style="42" customWidth="1"/>
    <col min="13073" max="13073" width="17.42578125" style="42" customWidth="1"/>
    <col min="13074" max="13074" width="1.140625" style="42" customWidth="1"/>
    <col min="13075" max="13087" width="0" style="42" hidden="1" customWidth="1"/>
    <col min="13088" max="13088" width="19.85546875" style="42" customWidth="1"/>
    <col min="13089" max="13089" width="0" style="42" hidden="1" customWidth="1"/>
    <col min="13090" max="13090" width="2.85546875" style="42" customWidth="1"/>
    <col min="13091" max="13091" width="15.5703125" style="42" customWidth="1"/>
    <col min="13092" max="13092" width="2" style="42" customWidth="1"/>
    <col min="13093" max="13093" width="15.5703125" style="42" customWidth="1"/>
    <col min="13094" max="13094" width="1.7109375" style="42" customWidth="1"/>
    <col min="13095" max="13095" width="15.5703125" style="42" customWidth="1"/>
    <col min="13096" max="13096" width="1.5703125" style="42" customWidth="1"/>
    <col min="13097" max="13097" width="15.5703125" style="42" customWidth="1"/>
    <col min="13098" max="13098" width="1.42578125" style="42" customWidth="1"/>
    <col min="13099" max="13099" width="15.5703125" style="42" customWidth="1"/>
    <col min="13100" max="13100" width="1.85546875" style="42" customWidth="1"/>
    <col min="13101" max="13101" width="15.5703125" style="42" customWidth="1"/>
    <col min="13102" max="13102" width="1.28515625" style="42" customWidth="1"/>
    <col min="13103" max="13103" width="15.85546875" style="42" customWidth="1"/>
    <col min="13104" max="13104" width="1.5703125" style="42" customWidth="1"/>
    <col min="13105" max="13105" width="15.5703125" style="42" customWidth="1"/>
    <col min="13106" max="13106" width="1.85546875" style="42" customWidth="1"/>
    <col min="13107" max="13107" width="15.5703125" style="42" customWidth="1"/>
    <col min="13108" max="13108" width="1.5703125" style="42" customWidth="1"/>
    <col min="13109" max="13109" width="15.5703125" style="42" customWidth="1"/>
    <col min="13110" max="13110" width="9.140625" style="42"/>
    <col min="13111" max="13111" width="15.140625" style="42" customWidth="1"/>
    <col min="13112" max="13313" width="9.140625" style="42"/>
    <col min="13314" max="13314" width="26.5703125" style="42" customWidth="1"/>
    <col min="13315" max="13327" width="0" style="42" hidden="1" customWidth="1"/>
    <col min="13328" max="13328" width="1.7109375" style="42" customWidth="1"/>
    <col min="13329" max="13329" width="17.42578125" style="42" customWidth="1"/>
    <col min="13330" max="13330" width="1.140625" style="42" customWidth="1"/>
    <col min="13331" max="13343" width="0" style="42" hidden="1" customWidth="1"/>
    <col min="13344" max="13344" width="19.85546875" style="42" customWidth="1"/>
    <col min="13345" max="13345" width="0" style="42" hidden="1" customWidth="1"/>
    <col min="13346" max="13346" width="2.85546875" style="42" customWidth="1"/>
    <col min="13347" max="13347" width="15.5703125" style="42" customWidth="1"/>
    <col min="13348" max="13348" width="2" style="42" customWidth="1"/>
    <col min="13349" max="13349" width="15.5703125" style="42" customWidth="1"/>
    <col min="13350" max="13350" width="1.7109375" style="42" customWidth="1"/>
    <col min="13351" max="13351" width="15.5703125" style="42" customWidth="1"/>
    <col min="13352" max="13352" width="1.5703125" style="42" customWidth="1"/>
    <col min="13353" max="13353" width="15.5703125" style="42" customWidth="1"/>
    <col min="13354" max="13354" width="1.42578125" style="42" customWidth="1"/>
    <col min="13355" max="13355" width="15.5703125" style="42" customWidth="1"/>
    <col min="13356" max="13356" width="1.85546875" style="42" customWidth="1"/>
    <col min="13357" max="13357" width="15.5703125" style="42" customWidth="1"/>
    <col min="13358" max="13358" width="1.28515625" style="42" customWidth="1"/>
    <col min="13359" max="13359" width="15.85546875" style="42" customWidth="1"/>
    <col min="13360" max="13360" width="1.5703125" style="42" customWidth="1"/>
    <col min="13361" max="13361" width="15.5703125" style="42" customWidth="1"/>
    <col min="13362" max="13362" width="1.85546875" style="42" customWidth="1"/>
    <col min="13363" max="13363" width="15.5703125" style="42" customWidth="1"/>
    <col min="13364" max="13364" width="1.5703125" style="42" customWidth="1"/>
    <col min="13365" max="13365" width="15.5703125" style="42" customWidth="1"/>
    <col min="13366" max="13366" width="9.140625" style="42"/>
    <col min="13367" max="13367" width="15.140625" style="42" customWidth="1"/>
    <col min="13368" max="13569" width="9.140625" style="42"/>
    <col min="13570" max="13570" width="26.5703125" style="42" customWidth="1"/>
    <col min="13571" max="13583" width="0" style="42" hidden="1" customWidth="1"/>
    <col min="13584" max="13584" width="1.7109375" style="42" customWidth="1"/>
    <col min="13585" max="13585" width="17.42578125" style="42" customWidth="1"/>
    <col min="13586" max="13586" width="1.140625" style="42" customWidth="1"/>
    <col min="13587" max="13599" width="0" style="42" hidden="1" customWidth="1"/>
    <col min="13600" max="13600" width="19.85546875" style="42" customWidth="1"/>
    <col min="13601" max="13601" width="0" style="42" hidden="1" customWidth="1"/>
    <col min="13602" max="13602" width="2.85546875" style="42" customWidth="1"/>
    <col min="13603" max="13603" width="15.5703125" style="42" customWidth="1"/>
    <col min="13604" max="13604" width="2" style="42" customWidth="1"/>
    <col min="13605" max="13605" width="15.5703125" style="42" customWidth="1"/>
    <col min="13606" max="13606" width="1.7109375" style="42" customWidth="1"/>
    <col min="13607" max="13607" width="15.5703125" style="42" customWidth="1"/>
    <col min="13608" max="13608" width="1.5703125" style="42" customWidth="1"/>
    <col min="13609" max="13609" width="15.5703125" style="42" customWidth="1"/>
    <col min="13610" max="13610" width="1.42578125" style="42" customWidth="1"/>
    <col min="13611" max="13611" width="15.5703125" style="42" customWidth="1"/>
    <col min="13612" max="13612" width="1.85546875" style="42" customWidth="1"/>
    <col min="13613" max="13613" width="15.5703125" style="42" customWidth="1"/>
    <col min="13614" max="13614" width="1.28515625" style="42" customWidth="1"/>
    <col min="13615" max="13615" width="15.85546875" style="42" customWidth="1"/>
    <col min="13616" max="13616" width="1.5703125" style="42" customWidth="1"/>
    <col min="13617" max="13617" width="15.5703125" style="42" customWidth="1"/>
    <col min="13618" max="13618" width="1.85546875" style="42" customWidth="1"/>
    <col min="13619" max="13619" width="15.5703125" style="42" customWidth="1"/>
    <col min="13620" max="13620" width="1.5703125" style="42" customWidth="1"/>
    <col min="13621" max="13621" width="15.5703125" style="42" customWidth="1"/>
    <col min="13622" max="13622" width="9.140625" style="42"/>
    <col min="13623" max="13623" width="15.140625" style="42" customWidth="1"/>
    <col min="13624" max="13825" width="9.140625" style="42"/>
    <col min="13826" max="13826" width="26.5703125" style="42" customWidth="1"/>
    <col min="13827" max="13839" width="0" style="42" hidden="1" customWidth="1"/>
    <col min="13840" max="13840" width="1.7109375" style="42" customWidth="1"/>
    <col min="13841" max="13841" width="17.42578125" style="42" customWidth="1"/>
    <col min="13842" max="13842" width="1.140625" style="42" customWidth="1"/>
    <col min="13843" max="13855" width="0" style="42" hidden="1" customWidth="1"/>
    <col min="13856" max="13856" width="19.85546875" style="42" customWidth="1"/>
    <col min="13857" max="13857" width="0" style="42" hidden="1" customWidth="1"/>
    <col min="13858" max="13858" width="2.85546875" style="42" customWidth="1"/>
    <col min="13859" max="13859" width="15.5703125" style="42" customWidth="1"/>
    <col min="13860" max="13860" width="2" style="42" customWidth="1"/>
    <col min="13861" max="13861" width="15.5703125" style="42" customWidth="1"/>
    <col min="13862" max="13862" width="1.7109375" style="42" customWidth="1"/>
    <col min="13863" max="13863" width="15.5703125" style="42" customWidth="1"/>
    <col min="13864" max="13864" width="1.5703125" style="42" customWidth="1"/>
    <col min="13865" max="13865" width="15.5703125" style="42" customWidth="1"/>
    <col min="13866" max="13866" width="1.42578125" style="42" customWidth="1"/>
    <col min="13867" max="13867" width="15.5703125" style="42" customWidth="1"/>
    <col min="13868" max="13868" width="1.85546875" style="42" customWidth="1"/>
    <col min="13869" max="13869" width="15.5703125" style="42" customWidth="1"/>
    <col min="13870" max="13870" width="1.28515625" style="42" customWidth="1"/>
    <col min="13871" max="13871" width="15.85546875" style="42" customWidth="1"/>
    <col min="13872" max="13872" width="1.5703125" style="42" customWidth="1"/>
    <col min="13873" max="13873" width="15.5703125" style="42" customWidth="1"/>
    <col min="13874" max="13874" width="1.85546875" style="42" customWidth="1"/>
    <col min="13875" max="13875" width="15.5703125" style="42" customWidth="1"/>
    <col min="13876" max="13876" width="1.5703125" style="42" customWidth="1"/>
    <col min="13877" max="13877" width="15.5703125" style="42" customWidth="1"/>
    <col min="13878" max="13878" width="9.140625" style="42"/>
    <col min="13879" max="13879" width="15.140625" style="42" customWidth="1"/>
    <col min="13880" max="14081" width="9.140625" style="42"/>
    <col min="14082" max="14082" width="26.5703125" style="42" customWidth="1"/>
    <col min="14083" max="14095" width="0" style="42" hidden="1" customWidth="1"/>
    <col min="14096" max="14096" width="1.7109375" style="42" customWidth="1"/>
    <col min="14097" max="14097" width="17.42578125" style="42" customWidth="1"/>
    <col min="14098" max="14098" width="1.140625" style="42" customWidth="1"/>
    <col min="14099" max="14111" width="0" style="42" hidden="1" customWidth="1"/>
    <col min="14112" max="14112" width="19.85546875" style="42" customWidth="1"/>
    <col min="14113" max="14113" width="0" style="42" hidden="1" customWidth="1"/>
    <col min="14114" max="14114" width="2.85546875" style="42" customWidth="1"/>
    <col min="14115" max="14115" width="15.5703125" style="42" customWidth="1"/>
    <col min="14116" max="14116" width="2" style="42" customWidth="1"/>
    <col min="14117" max="14117" width="15.5703125" style="42" customWidth="1"/>
    <col min="14118" max="14118" width="1.7109375" style="42" customWidth="1"/>
    <col min="14119" max="14119" width="15.5703125" style="42" customWidth="1"/>
    <col min="14120" max="14120" width="1.5703125" style="42" customWidth="1"/>
    <col min="14121" max="14121" width="15.5703125" style="42" customWidth="1"/>
    <col min="14122" max="14122" width="1.42578125" style="42" customWidth="1"/>
    <col min="14123" max="14123" width="15.5703125" style="42" customWidth="1"/>
    <col min="14124" max="14124" width="1.85546875" style="42" customWidth="1"/>
    <col min="14125" max="14125" width="15.5703125" style="42" customWidth="1"/>
    <col min="14126" max="14126" width="1.28515625" style="42" customWidth="1"/>
    <col min="14127" max="14127" width="15.85546875" style="42" customWidth="1"/>
    <col min="14128" max="14128" width="1.5703125" style="42" customWidth="1"/>
    <col min="14129" max="14129" width="15.5703125" style="42" customWidth="1"/>
    <col min="14130" max="14130" width="1.85546875" style="42" customWidth="1"/>
    <col min="14131" max="14131" width="15.5703125" style="42" customWidth="1"/>
    <col min="14132" max="14132" width="1.5703125" style="42" customWidth="1"/>
    <col min="14133" max="14133" width="15.5703125" style="42" customWidth="1"/>
    <col min="14134" max="14134" width="9.140625" style="42"/>
    <col min="14135" max="14135" width="15.140625" style="42" customWidth="1"/>
    <col min="14136" max="14337" width="9.140625" style="42"/>
    <col min="14338" max="14338" width="26.5703125" style="42" customWidth="1"/>
    <col min="14339" max="14351" width="0" style="42" hidden="1" customWidth="1"/>
    <col min="14352" max="14352" width="1.7109375" style="42" customWidth="1"/>
    <col min="14353" max="14353" width="17.42578125" style="42" customWidth="1"/>
    <col min="14354" max="14354" width="1.140625" style="42" customWidth="1"/>
    <col min="14355" max="14367" width="0" style="42" hidden="1" customWidth="1"/>
    <col min="14368" max="14368" width="19.85546875" style="42" customWidth="1"/>
    <col min="14369" max="14369" width="0" style="42" hidden="1" customWidth="1"/>
    <col min="14370" max="14370" width="2.85546875" style="42" customWidth="1"/>
    <col min="14371" max="14371" width="15.5703125" style="42" customWidth="1"/>
    <col min="14372" max="14372" width="2" style="42" customWidth="1"/>
    <col min="14373" max="14373" width="15.5703125" style="42" customWidth="1"/>
    <col min="14374" max="14374" width="1.7109375" style="42" customWidth="1"/>
    <col min="14375" max="14375" width="15.5703125" style="42" customWidth="1"/>
    <col min="14376" max="14376" width="1.5703125" style="42" customWidth="1"/>
    <col min="14377" max="14377" width="15.5703125" style="42" customWidth="1"/>
    <col min="14378" max="14378" width="1.42578125" style="42" customWidth="1"/>
    <col min="14379" max="14379" width="15.5703125" style="42" customWidth="1"/>
    <col min="14380" max="14380" width="1.85546875" style="42" customWidth="1"/>
    <col min="14381" max="14381" width="15.5703125" style="42" customWidth="1"/>
    <col min="14382" max="14382" width="1.28515625" style="42" customWidth="1"/>
    <col min="14383" max="14383" width="15.85546875" style="42" customWidth="1"/>
    <col min="14384" max="14384" width="1.5703125" style="42" customWidth="1"/>
    <col min="14385" max="14385" width="15.5703125" style="42" customWidth="1"/>
    <col min="14386" max="14386" width="1.85546875" style="42" customWidth="1"/>
    <col min="14387" max="14387" width="15.5703125" style="42" customWidth="1"/>
    <col min="14388" max="14388" width="1.5703125" style="42" customWidth="1"/>
    <col min="14389" max="14389" width="15.5703125" style="42" customWidth="1"/>
    <col min="14390" max="14390" width="9.140625" style="42"/>
    <col min="14391" max="14391" width="15.140625" style="42" customWidth="1"/>
    <col min="14392" max="14593" width="9.140625" style="42"/>
    <col min="14594" max="14594" width="26.5703125" style="42" customWidth="1"/>
    <col min="14595" max="14607" width="0" style="42" hidden="1" customWidth="1"/>
    <col min="14608" max="14608" width="1.7109375" style="42" customWidth="1"/>
    <col min="14609" max="14609" width="17.42578125" style="42" customWidth="1"/>
    <col min="14610" max="14610" width="1.140625" style="42" customWidth="1"/>
    <col min="14611" max="14623" width="0" style="42" hidden="1" customWidth="1"/>
    <col min="14624" max="14624" width="19.85546875" style="42" customWidth="1"/>
    <col min="14625" max="14625" width="0" style="42" hidden="1" customWidth="1"/>
    <col min="14626" max="14626" width="2.85546875" style="42" customWidth="1"/>
    <col min="14627" max="14627" width="15.5703125" style="42" customWidth="1"/>
    <col min="14628" max="14628" width="2" style="42" customWidth="1"/>
    <col min="14629" max="14629" width="15.5703125" style="42" customWidth="1"/>
    <col min="14630" max="14630" width="1.7109375" style="42" customWidth="1"/>
    <col min="14631" max="14631" width="15.5703125" style="42" customWidth="1"/>
    <col min="14632" max="14632" width="1.5703125" style="42" customWidth="1"/>
    <col min="14633" max="14633" width="15.5703125" style="42" customWidth="1"/>
    <col min="14634" max="14634" width="1.42578125" style="42" customWidth="1"/>
    <col min="14635" max="14635" width="15.5703125" style="42" customWidth="1"/>
    <col min="14636" max="14636" width="1.85546875" style="42" customWidth="1"/>
    <col min="14637" max="14637" width="15.5703125" style="42" customWidth="1"/>
    <col min="14638" max="14638" width="1.28515625" style="42" customWidth="1"/>
    <col min="14639" max="14639" width="15.85546875" style="42" customWidth="1"/>
    <col min="14640" max="14640" width="1.5703125" style="42" customWidth="1"/>
    <col min="14641" max="14641" width="15.5703125" style="42" customWidth="1"/>
    <col min="14642" max="14642" width="1.85546875" style="42" customWidth="1"/>
    <col min="14643" max="14643" width="15.5703125" style="42" customWidth="1"/>
    <col min="14644" max="14644" width="1.5703125" style="42" customWidth="1"/>
    <col min="14645" max="14645" width="15.5703125" style="42" customWidth="1"/>
    <col min="14646" max="14646" width="9.140625" style="42"/>
    <col min="14647" max="14647" width="15.140625" style="42" customWidth="1"/>
    <col min="14648" max="14849" width="9.140625" style="42"/>
    <col min="14850" max="14850" width="26.5703125" style="42" customWidth="1"/>
    <col min="14851" max="14863" width="0" style="42" hidden="1" customWidth="1"/>
    <col min="14864" max="14864" width="1.7109375" style="42" customWidth="1"/>
    <col min="14865" max="14865" width="17.42578125" style="42" customWidth="1"/>
    <col min="14866" max="14866" width="1.140625" style="42" customWidth="1"/>
    <col min="14867" max="14879" width="0" style="42" hidden="1" customWidth="1"/>
    <col min="14880" max="14880" width="19.85546875" style="42" customWidth="1"/>
    <col min="14881" max="14881" width="0" style="42" hidden="1" customWidth="1"/>
    <col min="14882" max="14882" width="2.85546875" style="42" customWidth="1"/>
    <col min="14883" max="14883" width="15.5703125" style="42" customWidth="1"/>
    <col min="14884" max="14884" width="2" style="42" customWidth="1"/>
    <col min="14885" max="14885" width="15.5703125" style="42" customWidth="1"/>
    <col min="14886" max="14886" width="1.7109375" style="42" customWidth="1"/>
    <col min="14887" max="14887" width="15.5703125" style="42" customWidth="1"/>
    <col min="14888" max="14888" width="1.5703125" style="42" customWidth="1"/>
    <col min="14889" max="14889" width="15.5703125" style="42" customWidth="1"/>
    <col min="14890" max="14890" width="1.42578125" style="42" customWidth="1"/>
    <col min="14891" max="14891" width="15.5703125" style="42" customWidth="1"/>
    <col min="14892" max="14892" width="1.85546875" style="42" customWidth="1"/>
    <col min="14893" max="14893" width="15.5703125" style="42" customWidth="1"/>
    <col min="14894" max="14894" width="1.28515625" style="42" customWidth="1"/>
    <col min="14895" max="14895" width="15.85546875" style="42" customWidth="1"/>
    <col min="14896" max="14896" width="1.5703125" style="42" customWidth="1"/>
    <col min="14897" max="14897" width="15.5703125" style="42" customWidth="1"/>
    <col min="14898" max="14898" width="1.85546875" style="42" customWidth="1"/>
    <col min="14899" max="14899" width="15.5703125" style="42" customWidth="1"/>
    <col min="14900" max="14900" width="1.5703125" style="42" customWidth="1"/>
    <col min="14901" max="14901" width="15.5703125" style="42" customWidth="1"/>
    <col min="14902" max="14902" width="9.140625" style="42"/>
    <col min="14903" max="14903" width="15.140625" style="42" customWidth="1"/>
    <col min="14904" max="15105" width="9.140625" style="42"/>
    <col min="15106" max="15106" width="26.5703125" style="42" customWidth="1"/>
    <col min="15107" max="15119" width="0" style="42" hidden="1" customWidth="1"/>
    <col min="15120" max="15120" width="1.7109375" style="42" customWidth="1"/>
    <col min="15121" max="15121" width="17.42578125" style="42" customWidth="1"/>
    <col min="15122" max="15122" width="1.140625" style="42" customWidth="1"/>
    <col min="15123" max="15135" width="0" style="42" hidden="1" customWidth="1"/>
    <col min="15136" max="15136" width="19.85546875" style="42" customWidth="1"/>
    <col min="15137" max="15137" width="0" style="42" hidden="1" customWidth="1"/>
    <col min="15138" max="15138" width="2.85546875" style="42" customWidth="1"/>
    <col min="15139" max="15139" width="15.5703125" style="42" customWidth="1"/>
    <col min="15140" max="15140" width="2" style="42" customWidth="1"/>
    <col min="15141" max="15141" width="15.5703125" style="42" customWidth="1"/>
    <col min="15142" max="15142" width="1.7109375" style="42" customWidth="1"/>
    <col min="15143" max="15143" width="15.5703125" style="42" customWidth="1"/>
    <col min="15144" max="15144" width="1.5703125" style="42" customWidth="1"/>
    <col min="15145" max="15145" width="15.5703125" style="42" customWidth="1"/>
    <col min="15146" max="15146" width="1.42578125" style="42" customWidth="1"/>
    <col min="15147" max="15147" width="15.5703125" style="42" customWidth="1"/>
    <col min="15148" max="15148" width="1.85546875" style="42" customWidth="1"/>
    <col min="15149" max="15149" width="15.5703125" style="42" customWidth="1"/>
    <col min="15150" max="15150" width="1.28515625" style="42" customWidth="1"/>
    <col min="15151" max="15151" width="15.85546875" style="42" customWidth="1"/>
    <col min="15152" max="15152" width="1.5703125" style="42" customWidth="1"/>
    <col min="15153" max="15153" width="15.5703125" style="42" customWidth="1"/>
    <col min="15154" max="15154" width="1.85546875" style="42" customWidth="1"/>
    <col min="15155" max="15155" width="15.5703125" style="42" customWidth="1"/>
    <col min="15156" max="15156" width="1.5703125" style="42" customWidth="1"/>
    <col min="15157" max="15157" width="15.5703125" style="42" customWidth="1"/>
    <col min="15158" max="15158" width="9.140625" style="42"/>
    <col min="15159" max="15159" width="15.140625" style="42" customWidth="1"/>
    <col min="15160" max="15361" width="9.140625" style="42"/>
    <col min="15362" max="15362" width="26.5703125" style="42" customWidth="1"/>
    <col min="15363" max="15375" width="0" style="42" hidden="1" customWidth="1"/>
    <col min="15376" max="15376" width="1.7109375" style="42" customWidth="1"/>
    <col min="15377" max="15377" width="17.42578125" style="42" customWidth="1"/>
    <col min="15378" max="15378" width="1.140625" style="42" customWidth="1"/>
    <col min="15379" max="15391" width="0" style="42" hidden="1" customWidth="1"/>
    <col min="15392" max="15392" width="19.85546875" style="42" customWidth="1"/>
    <col min="15393" max="15393" width="0" style="42" hidden="1" customWidth="1"/>
    <col min="15394" max="15394" width="2.85546875" style="42" customWidth="1"/>
    <col min="15395" max="15395" width="15.5703125" style="42" customWidth="1"/>
    <col min="15396" max="15396" width="2" style="42" customWidth="1"/>
    <col min="15397" max="15397" width="15.5703125" style="42" customWidth="1"/>
    <col min="15398" max="15398" width="1.7109375" style="42" customWidth="1"/>
    <col min="15399" max="15399" width="15.5703125" style="42" customWidth="1"/>
    <col min="15400" max="15400" width="1.5703125" style="42" customWidth="1"/>
    <col min="15401" max="15401" width="15.5703125" style="42" customWidth="1"/>
    <col min="15402" max="15402" width="1.42578125" style="42" customWidth="1"/>
    <col min="15403" max="15403" width="15.5703125" style="42" customWidth="1"/>
    <col min="15404" max="15404" width="1.85546875" style="42" customWidth="1"/>
    <col min="15405" max="15405" width="15.5703125" style="42" customWidth="1"/>
    <col min="15406" max="15406" width="1.28515625" style="42" customWidth="1"/>
    <col min="15407" max="15407" width="15.85546875" style="42" customWidth="1"/>
    <col min="15408" max="15408" width="1.5703125" style="42" customWidth="1"/>
    <col min="15409" max="15409" width="15.5703125" style="42" customWidth="1"/>
    <col min="15410" max="15410" width="1.85546875" style="42" customWidth="1"/>
    <col min="15411" max="15411" width="15.5703125" style="42" customWidth="1"/>
    <col min="15412" max="15412" width="1.5703125" style="42" customWidth="1"/>
    <col min="15413" max="15413" width="15.5703125" style="42" customWidth="1"/>
    <col min="15414" max="15414" width="9.140625" style="42"/>
    <col min="15415" max="15415" width="15.140625" style="42" customWidth="1"/>
    <col min="15416" max="15617" width="9.140625" style="42"/>
    <col min="15618" max="15618" width="26.5703125" style="42" customWidth="1"/>
    <col min="15619" max="15631" width="0" style="42" hidden="1" customWidth="1"/>
    <col min="15632" max="15632" width="1.7109375" style="42" customWidth="1"/>
    <col min="15633" max="15633" width="17.42578125" style="42" customWidth="1"/>
    <col min="15634" max="15634" width="1.140625" style="42" customWidth="1"/>
    <col min="15635" max="15647" width="0" style="42" hidden="1" customWidth="1"/>
    <col min="15648" max="15648" width="19.85546875" style="42" customWidth="1"/>
    <col min="15649" max="15649" width="0" style="42" hidden="1" customWidth="1"/>
    <col min="15650" max="15650" width="2.85546875" style="42" customWidth="1"/>
    <col min="15651" max="15651" width="15.5703125" style="42" customWidth="1"/>
    <col min="15652" max="15652" width="2" style="42" customWidth="1"/>
    <col min="15653" max="15653" width="15.5703125" style="42" customWidth="1"/>
    <col min="15654" max="15654" width="1.7109375" style="42" customWidth="1"/>
    <col min="15655" max="15655" width="15.5703125" style="42" customWidth="1"/>
    <col min="15656" max="15656" width="1.5703125" style="42" customWidth="1"/>
    <col min="15657" max="15657" width="15.5703125" style="42" customWidth="1"/>
    <col min="15658" max="15658" width="1.42578125" style="42" customWidth="1"/>
    <col min="15659" max="15659" width="15.5703125" style="42" customWidth="1"/>
    <col min="15660" max="15660" width="1.85546875" style="42" customWidth="1"/>
    <col min="15661" max="15661" width="15.5703125" style="42" customWidth="1"/>
    <col min="15662" max="15662" width="1.28515625" style="42" customWidth="1"/>
    <col min="15663" max="15663" width="15.85546875" style="42" customWidth="1"/>
    <col min="15664" max="15664" width="1.5703125" style="42" customWidth="1"/>
    <col min="15665" max="15665" width="15.5703125" style="42" customWidth="1"/>
    <col min="15666" max="15666" width="1.85546875" style="42" customWidth="1"/>
    <col min="15667" max="15667" width="15.5703125" style="42" customWidth="1"/>
    <col min="15668" max="15668" width="1.5703125" style="42" customWidth="1"/>
    <col min="15669" max="15669" width="15.5703125" style="42" customWidth="1"/>
    <col min="15670" max="15670" width="9.140625" style="42"/>
    <col min="15671" max="15671" width="15.140625" style="42" customWidth="1"/>
    <col min="15672" max="15873" width="9.140625" style="42"/>
    <col min="15874" max="15874" width="26.5703125" style="42" customWidth="1"/>
    <col min="15875" max="15887" width="0" style="42" hidden="1" customWidth="1"/>
    <col min="15888" max="15888" width="1.7109375" style="42" customWidth="1"/>
    <col min="15889" max="15889" width="17.42578125" style="42" customWidth="1"/>
    <col min="15890" max="15890" width="1.140625" style="42" customWidth="1"/>
    <col min="15891" max="15903" width="0" style="42" hidden="1" customWidth="1"/>
    <col min="15904" max="15904" width="19.85546875" style="42" customWidth="1"/>
    <col min="15905" max="15905" width="0" style="42" hidden="1" customWidth="1"/>
    <col min="15906" max="15906" width="2.85546875" style="42" customWidth="1"/>
    <col min="15907" max="15907" width="15.5703125" style="42" customWidth="1"/>
    <col min="15908" max="15908" width="2" style="42" customWidth="1"/>
    <col min="15909" max="15909" width="15.5703125" style="42" customWidth="1"/>
    <col min="15910" max="15910" width="1.7109375" style="42" customWidth="1"/>
    <col min="15911" max="15911" width="15.5703125" style="42" customWidth="1"/>
    <col min="15912" max="15912" width="1.5703125" style="42" customWidth="1"/>
    <col min="15913" max="15913" width="15.5703125" style="42" customWidth="1"/>
    <col min="15914" max="15914" width="1.42578125" style="42" customWidth="1"/>
    <col min="15915" max="15915" width="15.5703125" style="42" customWidth="1"/>
    <col min="15916" max="15916" width="1.85546875" style="42" customWidth="1"/>
    <col min="15917" max="15917" width="15.5703125" style="42" customWidth="1"/>
    <col min="15918" max="15918" width="1.28515625" style="42" customWidth="1"/>
    <col min="15919" max="15919" width="15.85546875" style="42" customWidth="1"/>
    <col min="15920" max="15920" width="1.5703125" style="42" customWidth="1"/>
    <col min="15921" max="15921" width="15.5703125" style="42" customWidth="1"/>
    <col min="15922" max="15922" width="1.85546875" style="42" customWidth="1"/>
    <col min="15923" max="15923" width="15.5703125" style="42" customWidth="1"/>
    <col min="15924" max="15924" width="1.5703125" style="42" customWidth="1"/>
    <col min="15925" max="15925" width="15.5703125" style="42" customWidth="1"/>
    <col min="15926" max="15926" width="9.140625" style="42"/>
    <col min="15927" max="15927" width="15.140625" style="42" customWidth="1"/>
    <col min="15928" max="16129" width="9.140625" style="42"/>
    <col min="16130" max="16130" width="26.5703125" style="42" customWidth="1"/>
    <col min="16131" max="16143" width="0" style="42" hidden="1" customWidth="1"/>
    <col min="16144" max="16144" width="1.7109375" style="42" customWidth="1"/>
    <col min="16145" max="16145" width="17.42578125" style="42" customWidth="1"/>
    <col min="16146" max="16146" width="1.140625" style="42" customWidth="1"/>
    <col min="16147" max="16159" width="0" style="42" hidden="1" customWidth="1"/>
    <col min="16160" max="16160" width="19.85546875" style="42" customWidth="1"/>
    <col min="16161" max="16161" width="0" style="42" hidden="1" customWidth="1"/>
    <col min="16162" max="16162" width="2.85546875" style="42" customWidth="1"/>
    <col min="16163" max="16163" width="15.5703125" style="42" customWidth="1"/>
    <col min="16164" max="16164" width="2" style="42" customWidth="1"/>
    <col min="16165" max="16165" width="15.5703125" style="42" customWidth="1"/>
    <col min="16166" max="16166" width="1.7109375" style="42" customWidth="1"/>
    <col min="16167" max="16167" width="15.5703125" style="42" customWidth="1"/>
    <col min="16168" max="16168" width="1.5703125" style="42" customWidth="1"/>
    <col min="16169" max="16169" width="15.5703125" style="42" customWidth="1"/>
    <col min="16170" max="16170" width="1.42578125" style="42" customWidth="1"/>
    <col min="16171" max="16171" width="15.5703125" style="42" customWidth="1"/>
    <col min="16172" max="16172" width="1.85546875" style="42" customWidth="1"/>
    <col min="16173" max="16173" width="15.5703125" style="42" customWidth="1"/>
    <col min="16174" max="16174" width="1.28515625" style="42" customWidth="1"/>
    <col min="16175" max="16175" width="15.85546875" style="42" customWidth="1"/>
    <col min="16176" max="16176" width="1.5703125" style="42" customWidth="1"/>
    <col min="16177" max="16177" width="15.5703125" style="42" customWidth="1"/>
    <col min="16178" max="16178" width="1.85546875" style="42" customWidth="1"/>
    <col min="16179" max="16179" width="15.5703125" style="42" customWidth="1"/>
    <col min="16180" max="16180" width="1.5703125" style="42" customWidth="1"/>
    <col min="16181" max="16181" width="15.5703125" style="42" customWidth="1"/>
    <col min="16182" max="16182" width="9.140625" style="42"/>
    <col min="16183" max="16183" width="15.140625" style="42" customWidth="1"/>
    <col min="16184" max="16384" width="9.140625" style="42"/>
  </cols>
  <sheetData>
    <row r="1" spans="1:57" ht="15.75" thickBot="1" x14ac:dyDescent="0.3">
      <c r="A1" s="254" t="s">
        <v>993</v>
      </c>
    </row>
    <row r="2" spans="1:57" x14ac:dyDescent="0.25">
      <c r="A2" s="3"/>
      <c r="B2" s="237" t="s">
        <v>8</v>
      </c>
      <c r="C2" s="9"/>
      <c r="D2" s="238" t="s">
        <v>9</v>
      </c>
      <c r="E2" s="239" t="s">
        <v>10</v>
      </c>
      <c r="F2" s="240" t="s">
        <v>11</v>
      </c>
      <c r="G2" s="9"/>
      <c r="H2" s="237" t="s">
        <v>12</v>
      </c>
      <c r="I2" s="9"/>
      <c r="J2" s="238" t="s">
        <v>9</v>
      </c>
      <c r="K2" s="239" t="s">
        <v>10</v>
      </c>
      <c r="L2" s="239" t="s">
        <v>11</v>
      </c>
      <c r="M2" s="9"/>
      <c r="N2" s="240" t="s">
        <v>12</v>
      </c>
      <c r="P2" s="237" t="s">
        <v>8</v>
      </c>
      <c r="R2" s="238" t="s">
        <v>9</v>
      </c>
      <c r="S2" s="239" t="s">
        <v>10</v>
      </c>
      <c r="T2" s="249" t="s">
        <v>11</v>
      </c>
      <c r="U2" s="240" t="s">
        <v>13</v>
      </c>
      <c r="V2" s="238" t="s">
        <v>9</v>
      </c>
      <c r="W2" s="239" t="s">
        <v>10</v>
      </c>
      <c r="X2" s="239"/>
      <c r="Y2" s="249" t="s">
        <v>11</v>
      </c>
      <c r="Z2" s="240" t="s">
        <v>13</v>
      </c>
      <c r="AC2" s="238" t="s">
        <v>9</v>
      </c>
      <c r="AD2" s="239" t="s">
        <v>10</v>
      </c>
      <c r="AE2" s="249" t="s">
        <v>11</v>
      </c>
      <c r="AF2" s="240" t="s">
        <v>13</v>
      </c>
      <c r="AG2" s="9"/>
      <c r="AI2" s="237" t="s">
        <v>8</v>
      </c>
      <c r="AK2" s="237" t="s">
        <v>8</v>
      </c>
      <c r="AM2" s="237" t="s">
        <v>8</v>
      </c>
      <c r="AO2" s="237" t="s">
        <v>8</v>
      </c>
      <c r="AP2" s="42"/>
      <c r="AQ2" s="237" t="s">
        <v>8</v>
      </c>
      <c r="AS2" s="237" t="s">
        <v>8</v>
      </c>
      <c r="AU2" s="237" t="s">
        <v>8</v>
      </c>
      <c r="AW2" s="237" t="s">
        <v>8</v>
      </c>
      <c r="AY2" s="237" t="s">
        <v>8</v>
      </c>
      <c r="BA2" s="237" t="s">
        <v>8</v>
      </c>
      <c r="BC2" s="237" t="s">
        <v>8</v>
      </c>
      <c r="BE2" s="237" t="s">
        <v>8</v>
      </c>
    </row>
    <row r="3" spans="1:57" ht="15.75" thickBot="1" x14ac:dyDescent="0.3">
      <c r="A3" s="7" t="s">
        <v>1380</v>
      </c>
      <c r="B3" s="241" t="s">
        <v>14</v>
      </c>
      <c r="C3" s="9"/>
      <c r="D3" s="242" t="s">
        <v>15</v>
      </c>
      <c r="E3" s="243"/>
      <c r="F3" s="244" t="s">
        <v>16</v>
      </c>
      <c r="G3" s="9"/>
      <c r="H3" s="241"/>
      <c r="I3" s="9"/>
      <c r="J3" s="242" t="s">
        <v>17</v>
      </c>
      <c r="K3" s="243"/>
      <c r="L3" s="243" t="s">
        <v>16</v>
      </c>
      <c r="M3" s="9"/>
      <c r="N3" s="244"/>
      <c r="P3" s="241" t="s">
        <v>18</v>
      </c>
      <c r="R3" s="242" t="s">
        <v>19</v>
      </c>
      <c r="S3" s="251"/>
      <c r="T3" s="252" t="s">
        <v>20</v>
      </c>
      <c r="U3" s="253"/>
      <c r="V3" s="242" t="s">
        <v>21</v>
      </c>
      <c r="W3" s="251"/>
      <c r="X3" s="251"/>
      <c r="Y3" s="252" t="s">
        <v>21</v>
      </c>
      <c r="Z3" s="253"/>
      <c r="AC3" s="242" t="s">
        <v>22</v>
      </c>
      <c r="AD3" s="251"/>
      <c r="AE3" s="252" t="s">
        <v>23</v>
      </c>
      <c r="AF3" s="253"/>
      <c r="AG3" s="32"/>
      <c r="AI3" s="241" t="s">
        <v>24</v>
      </c>
      <c r="AK3" s="241" t="s">
        <v>25</v>
      </c>
      <c r="AM3" s="241" t="s">
        <v>26</v>
      </c>
      <c r="AO3" s="241" t="s">
        <v>27</v>
      </c>
      <c r="AP3" s="42"/>
      <c r="AQ3" s="241" t="s">
        <v>28</v>
      </c>
      <c r="AS3" s="241" t="s">
        <v>29</v>
      </c>
      <c r="AU3" s="241" t="s">
        <v>30</v>
      </c>
      <c r="AW3" s="241" t="s">
        <v>31</v>
      </c>
      <c r="AY3" s="241" t="s">
        <v>32</v>
      </c>
      <c r="BA3" s="241" t="s">
        <v>33</v>
      </c>
      <c r="BC3" s="241" t="s">
        <v>1276</v>
      </c>
      <c r="BE3" s="241" t="s">
        <v>1277</v>
      </c>
    </row>
    <row r="4" spans="1:57" ht="15.75" hidden="1" thickBot="1" x14ac:dyDescent="0.3">
      <c r="A4" s="7"/>
    </row>
    <row r="5" spans="1:57" hidden="1" x14ac:dyDescent="0.25">
      <c r="A5" s="287" t="s">
        <v>34</v>
      </c>
      <c r="B5" s="288">
        <v>495770</v>
      </c>
      <c r="C5" s="288"/>
      <c r="D5" s="288"/>
      <c r="E5" s="288"/>
      <c r="F5" s="288">
        <v>804507</v>
      </c>
      <c r="G5" s="288"/>
      <c r="H5" s="288">
        <f>F5-B5</f>
        <v>308737</v>
      </c>
      <c r="I5" s="288"/>
      <c r="J5" s="288"/>
      <c r="K5" s="288"/>
      <c r="L5" s="288">
        <v>804507</v>
      </c>
      <c r="M5" s="288"/>
      <c r="N5" s="288">
        <f>L5-F5</f>
        <v>0</v>
      </c>
      <c r="O5" s="289"/>
      <c r="P5" s="288">
        <v>791958</v>
      </c>
      <c r="Q5" s="289"/>
      <c r="R5" s="289"/>
      <c r="S5" s="289"/>
      <c r="T5" s="288">
        <v>863634</v>
      </c>
      <c r="U5" s="289">
        <f t="shared" ref="U5:U16" si="0">T5-P5</f>
        <v>71676</v>
      </c>
      <c r="V5" s="289"/>
      <c r="W5" s="289"/>
      <c r="X5" s="289"/>
      <c r="Y5" s="288">
        <v>863634</v>
      </c>
      <c r="Z5" s="289">
        <f>Y5-T5</f>
        <v>0</v>
      </c>
      <c r="AA5" s="289"/>
      <c r="AB5" s="289"/>
      <c r="AC5" s="289"/>
      <c r="AD5" s="289"/>
      <c r="AE5" s="288">
        <v>863634</v>
      </c>
      <c r="AF5" s="289"/>
      <c r="AG5" s="307"/>
      <c r="AH5" s="307"/>
      <c r="AI5" s="459">
        <f>P16</f>
        <v>772397.02499999991</v>
      </c>
      <c r="AJ5" s="289"/>
      <c r="AK5" s="288">
        <f>AI16</f>
        <v>789797.90750000009</v>
      </c>
      <c r="AL5" s="289"/>
      <c r="AM5" s="288">
        <f>AK16</f>
        <v>745057.7757090003</v>
      </c>
      <c r="AN5" s="289"/>
      <c r="AO5" s="288">
        <f>AM16</f>
        <v>807578.56167130184</v>
      </c>
      <c r="AP5" s="288"/>
      <c r="AQ5" s="288">
        <f>AO16</f>
        <v>820443.43131646642</v>
      </c>
      <c r="AR5" s="290"/>
      <c r="AS5" s="288">
        <f>AQ16</f>
        <v>786100.86434914696</v>
      </c>
      <c r="AT5" s="290"/>
      <c r="AU5" s="288">
        <f>AS16</f>
        <v>647119.93871452438</v>
      </c>
      <c r="AV5" s="290"/>
      <c r="AW5" s="288">
        <f>AU16</f>
        <v>684343.03710827034</v>
      </c>
      <c r="AX5" s="290"/>
      <c r="AY5" s="288">
        <f>AW16</f>
        <v>618438.81670293154</v>
      </c>
      <c r="AZ5" s="290"/>
      <c r="BA5" s="291">
        <f>AY16</f>
        <v>584756.22102003044</v>
      </c>
    </row>
    <row r="6" spans="1:57" hidden="1" x14ac:dyDescent="0.25">
      <c r="A6" s="292"/>
      <c r="B6" s="293"/>
      <c r="C6" s="293"/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  <c r="P6" s="293"/>
      <c r="Q6" s="294"/>
      <c r="R6" s="294"/>
      <c r="S6" s="294"/>
      <c r="T6" s="293"/>
      <c r="U6" s="294"/>
      <c r="V6" s="294"/>
      <c r="W6" s="294"/>
      <c r="X6" s="294"/>
      <c r="Y6" s="293"/>
      <c r="Z6" s="294"/>
      <c r="AA6" s="294"/>
      <c r="AB6" s="294"/>
      <c r="AC6" s="294"/>
      <c r="AD6" s="294"/>
      <c r="AE6" s="293"/>
      <c r="AF6" s="294"/>
      <c r="AG6" s="4"/>
      <c r="AH6" s="4"/>
      <c r="AI6" s="32"/>
      <c r="AJ6" s="294"/>
      <c r="AK6" s="293"/>
      <c r="AL6" s="294"/>
      <c r="AM6" s="293"/>
      <c r="AN6" s="294"/>
      <c r="AO6" s="293"/>
      <c r="AP6" s="293"/>
      <c r="AQ6" s="293"/>
      <c r="AR6" s="295"/>
      <c r="AS6" s="293"/>
      <c r="AT6" s="295"/>
      <c r="AU6" s="293"/>
      <c r="AV6" s="295"/>
      <c r="AW6" s="293"/>
      <c r="AX6" s="295"/>
      <c r="AY6" s="293"/>
      <c r="AZ6" s="295"/>
      <c r="BA6" s="296"/>
    </row>
    <row r="7" spans="1:57" hidden="1" x14ac:dyDescent="0.25">
      <c r="A7" s="297" t="s">
        <v>35</v>
      </c>
      <c r="B7" s="293">
        <f>B60</f>
        <v>684001</v>
      </c>
      <c r="C7" s="293"/>
      <c r="D7" s="293"/>
      <c r="E7" s="293"/>
      <c r="F7" s="293">
        <f>F60</f>
        <v>684001</v>
      </c>
      <c r="G7" s="293"/>
      <c r="H7" s="293">
        <f>F7-B7</f>
        <v>0</v>
      </c>
      <c r="I7" s="293"/>
      <c r="J7" s="293"/>
      <c r="K7" s="293"/>
      <c r="L7" s="293">
        <f>L60</f>
        <v>658151</v>
      </c>
      <c r="M7" s="293"/>
      <c r="N7" s="293">
        <f t="shared" ref="N7:N16" si="1">L7-F7</f>
        <v>-25850</v>
      </c>
      <c r="O7" s="294"/>
      <c r="P7" s="293">
        <f>P60</f>
        <v>708229</v>
      </c>
      <c r="Q7" s="294"/>
      <c r="R7" s="294"/>
      <c r="S7" s="294"/>
      <c r="T7" s="293">
        <f>T60</f>
        <v>708230</v>
      </c>
      <c r="U7" s="294">
        <f t="shared" si="0"/>
        <v>1</v>
      </c>
      <c r="V7" s="294"/>
      <c r="W7" s="294"/>
      <c r="X7" s="294"/>
      <c r="Y7" s="293">
        <f>Y60</f>
        <v>744750</v>
      </c>
      <c r="Z7" s="294">
        <f>Y7-T7</f>
        <v>36520</v>
      </c>
      <c r="AA7" s="294"/>
      <c r="AB7" s="294"/>
      <c r="AC7" s="294"/>
      <c r="AD7" s="294"/>
      <c r="AE7" s="293">
        <f>AE60</f>
        <v>741160</v>
      </c>
      <c r="AF7" s="293">
        <f>AE7-Y7</f>
        <v>-3590</v>
      </c>
      <c r="AG7" s="32"/>
      <c r="AH7" s="4"/>
      <c r="AI7" s="32">
        <f>AI60</f>
        <v>772520.25000000012</v>
      </c>
      <c r="AJ7" s="294"/>
      <c r="AK7" s="293">
        <f>AK60</f>
        <v>844283.75625000021</v>
      </c>
      <c r="AL7" s="294"/>
      <c r="AM7" s="293">
        <f>AM60</f>
        <v>922073.60015625029</v>
      </c>
      <c r="AN7" s="294"/>
      <c r="AO7" s="293">
        <f>AO60</f>
        <v>988892.79016015644</v>
      </c>
      <c r="AP7" s="293"/>
      <c r="AQ7" s="293">
        <f>AQ60</f>
        <v>1057999.3861641604</v>
      </c>
      <c r="AR7" s="295"/>
      <c r="AS7" s="293">
        <f>AS60</f>
        <v>1107756.7005526396</v>
      </c>
      <c r="AT7" s="295"/>
      <c r="AU7" s="293">
        <f>AU60</f>
        <v>1159982.6892875491</v>
      </c>
      <c r="AV7" s="295"/>
      <c r="AW7" s="293">
        <f>AW60</f>
        <v>1214800.3063018864</v>
      </c>
      <c r="AX7" s="295"/>
      <c r="AY7" s="293">
        <f>AY60</f>
        <v>1272338.6412306896</v>
      </c>
      <c r="AZ7" s="295"/>
      <c r="BA7" s="296">
        <f>BA60</f>
        <v>1332733.2258962754</v>
      </c>
    </row>
    <row r="8" spans="1:57" hidden="1" x14ac:dyDescent="0.25">
      <c r="A8" s="297" t="s">
        <v>36</v>
      </c>
      <c r="B8" s="298">
        <f>B68</f>
        <v>243000</v>
      </c>
      <c r="C8" s="293"/>
      <c r="D8" s="293"/>
      <c r="E8" s="293"/>
      <c r="F8" s="298">
        <f>F68</f>
        <v>243000</v>
      </c>
      <c r="G8" s="293"/>
      <c r="H8" s="298">
        <f t="shared" ref="H8:H26" si="2">F8-B8</f>
        <v>0</v>
      </c>
      <c r="I8" s="293"/>
      <c r="J8" s="293"/>
      <c r="K8" s="293"/>
      <c r="L8" s="298">
        <f>L68</f>
        <v>243000</v>
      </c>
      <c r="M8" s="293"/>
      <c r="N8" s="298">
        <f t="shared" si="1"/>
        <v>0</v>
      </c>
      <c r="O8" s="294"/>
      <c r="P8" s="298">
        <f>P68</f>
        <v>443000</v>
      </c>
      <c r="Q8" s="294"/>
      <c r="R8" s="294"/>
      <c r="S8" s="294"/>
      <c r="T8" s="298">
        <f>T68</f>
        <v>462000</v>
      </c>
      <c r="U8" s="294">
        <f t="shared" si="0"/>
        <v>19000</v>
      </c>
      <c r="V8" s="294"/>
      <c r="W8" s="294"/>
      <c r="X8" s="294"/>
      <c r="Y8" s="298">
        <f>Y68</f>
        <v>462000</v>
      </c>
      <c r="Z8" s="294">
        <f>Y8-T8</f>
        <v>0</v>
      </c>
      <c r="AA8" s="294"/>
      <c r="AB8" s="294"/>
      <c r="AC8" s="294"/>
      <c r="AD8" s="294"/>
      <c r="AE8" s="298">
        <f>AE68</f>
        <v>462000</v>
      </c>
      <c r="AF8" s="298">
        <f>AE8-Y8</f>
        <v>0</v>
      </c>
      <c r="AG8" s="32"/>
      <c r="AH8" s="4"/>
      <c r="AI8" s="37">
        <f>AI68-AI67</f>
        <v>243000</v>
      </c>
      <c r="AJ8" s="294"/>
      <c r="AK8" s="298">
        <f>AK68-AK67</f>
        <v>243000</v>
      </c>
      <c r="AL8" s="294"/>
      <c r="AM8" s="298">
        <f>AM68-AM67</f>
        <v>243000</v>
      </c>
      <c r="AN8" s="294"/>
      <c r="AO8" s="298">
        <f>AO68-AO67</f>
        <v>243000</v>
      </c>
      <c r="AP8" s="298"/>
      <c r="AQ8" s="298">
        <f>AQ68-AQ67</f>
        <v>243000</v>
      </c>
      <c r="AR8" s="295"/>
      <c r="AS8" s="298">
        <f>AS68-AS67</f>
        <v>943000</v>
      </c>
      <c r="AT8" s="295"/>
      <c r="AU8" s="298">
        <f>AU68-AU67</f>
        <v>493000</v>
      </c>
      <c r="AV8" s="295"/>
      <c r="AW8" s="298">
        <f>AW68-AW67</f>
        <v>243000</v>
      </c>
      <c r="AX8" s="295"/>
      <c r="AY8" s="298">
        <f>AY68-AY67</f>
        <v>243000</v>
      </c>
      <c r="AZ8" s="295"/>
      <c r="BA8" s="299">
        <f>BA68-BA67</f>
        <v>243000</v>
      </c>
    </row>
    <row r="9" spans="1:57" hidden="1" x14ac:dyDescent="0.25">
      <c r="A9" s="292"/>
      <c r="B9" s="293">
        <f>B7+B8</f>
        <v>927001</v>
      </c>
      <c r="C9" s="293"/>
      <c r="D9" s="293"/>
      <c r="E9" s="293"/>
      <c r="F9" s="293">
        <f>F7+F8</f>
        <v>927001</v>
      </c>
      <c r="G9" s="293"/>
      <c r="H9" s="293">
        <f t="shared" si="2"/>
        <v>0</v>
      </c>
      <c r="I9" s="293"/>
      <c r="J9" s="293"/>
      <c r="K9" s="293"/>
      <c r="L9" s="293">
        <f>L7+L8</f>
        <v>901151</v>
      </c>
      <c r="M9" s="293"/>
      <c r="N9" s="293">
        <f t="shared" si="1"/>
        <v>-25850</v>
      </c>
      <c r="O9" s="294"/>
      <c r="P9" s="293">
        <f>P7+P8</f>
        <v>1151229</v>
      </c>
      <c r="Q9" s="294"/>
      <c r="R9" s="294"/>
      <c r="S9" s="294"/>
      <c r="T9" s="293">
        <f>T7+T8</f>
        <v>1170230</v>
      </c>
      <c r="U9" s="294">
        <f t="shared" si="0"/>
        <v>19001</v>
      </c>
      <c r="V9" s="294"/>
      <c r="W9" s="294"/>
      <c r="X9" s="294"/>
      <c r="Y9" s="293">
        <f>Y7+Y8</f>
        <v>1206750</v>
      </c>
      <c r="Z9" s="294">
        <f>Y9-T9</f>
        <v>36520</v>
      </c>
      <c r="AA9" s="294"/>
      <c r="AB9" s="294"/>
      <c r="AC9" s="294"/>
      <c r="AD9" s="294"/>
      <c r="AE9" s="293">
        <f>AE7+AE8</f>
        <v>1203160</v>
      </c>
      <c r="AF9" s="293">
        <f>AE9-Y9</f>
        <v>-3590</v>
      </c>
      <c r="AG9" s="32"/>
      <c r="AH9" s="4"/>
      <c r="AI9" s="32">
        <f>AI7+AI8</f>
        <v>1015520.2500000001</v>
      </c>
      <c r="AJ9" s="294"/>
      <c r="AK9" s="293">
        <f>AK7+AK8</f>
        <v>1087283.7562500001</v>
      </c>
      <c r="AL9" s="294"/>
      <c r="AM9" s="293">
        <f>AM7+AM8</f>
        <v>1165073.6001562504</v>
      </c>
      <c r="AN9" s="294"/>
      <c r="AO9" s="293">
        <f>AO7+AO8</f>
        <v>1231892.7901601563</v>
      </c>
      <c r="AP9" s="293"/>
      <c r="AQ9" s="293">
        <f>AQ7+AQ8</f>
        <v>1300999.3861641604</v>
      </c>
      <c r="AR9" s="295"/>
      <c r="AS9" s="293">
        <f>AS7+AS8</f>
        <v>2050756.7005526396</v>
      </c>
      <c r="AT9" s="295"/>
      <c r="AU9" s="293">
        <f>AU7+AU8</f>
        <v>1652982.6892875491</v>
      </c>
      <c r="AV9" s="295"/>
      <c r="AW9" s="293">
        <f>AW7+AW8</f>
        <v>1457800.3063018864</v>
      </c>
      <c r="AX9" s="295"/>
      <c r="AY9" s="293">
        <f>AY7+AY8</f>
        <v>1515338.6412306896</v>
      </c>
      <c r="AZ9" s="295"/>
      <c r="BA9" s="296">
        <f>BA7+BA8</f>
        <v>1575733.2258962754</v>
      </c>
    </row>
    <row r="10" spans="1:57" hidden="1" x14ac:dyDescent="0.25">
      <c r="A10" s="297"/>
      <c r="B10" s="293"/>
      <c r="C10" s="293"/>
      <c r="D10" s="293"/>
      <c r="E10" s="293"/>
      <c r="F10" s="293"/>
      <c r="G10" s="293"/>
      <c r="H10" s="293">
        <f t="shared" si="2"/>
        <v>0</v>
      </c>
      <c r="I10" s="293"/>
      <c r="J10" s="293"/>
      <c r="K10" s="293"/>
      <c r="L10" s="293"/>
      <c r="M10" s="293"/>
      <c r="N10" s="293">
        <f t="shared" ref="N10:N26" si="3">L10-H10</f>
        <v>0</v>
      </c>
      <c r="O10" s="294"/>
      <c r="P10" s="293"/>
      <c r="Q10" s="294"/>
      <c r="R10" s="294"/>
      <c r="S10" s="294"/>
      <c r="T10" s="293"/>
      <c r="U10" s="294"/>
      <c r="V10" s="294"/>
      <c r="W10" s="294"/>
      <c r="X10" s="294"/>
      <c r="Y10" s="293"/>
      <c r="Z10" s="294"/>
      <c r="AA10" s="294"/>
      <c r="AB10" s="294"/>
      <c r="AC10" s="294"/>
      <c r="AD10" s="294"/>
      <c r="AE10" s="293"/>
      <c r="AF10" s="293"/>
      <c r="AG10" s="32"/>
      <c r="AH10" s="4"/>
      <c r="AI10" s="32"/>
      <c r="AJ10" s="294"/>
      <c r="AK10" s="293"/>
      <c r="AL10" s="294"/>
      <c r="AM10" s="293"/>
      <c r="AN10" s="294"/>
      <c r="AO10" s="293"/>
      <c r="AP10" s="293"/>
      <c r="AQ10" s="293"/>
      <c r="AR10" s="295"/>
      <c r="AS10" s="293"/>
      <c r="AT10" s="295"/>
      <c r="AU10" s="293"/>
      <c r="AV10" s="295"/>
      <c r="AW10" s="293"/>
      <c r="AX10" s="295"/>
      <c r="AY10" s="293"/>
      <c r="AZ10" s="295"/>
      <c r="BA10" s="296"/>
    </row>
    <row r="11" spans="1:57" hidden="1" x14ac:dyDescent="0.25">
      <c r="A11" s="297" t="s">
        <v>37</v>
      </c>
      <c r="B11" s="293">
        <f>B107</f>
        <v>787250</v>
      </c>
      <c r="C11" s="293"/>
      <c r="D11" s="293"/>
      <c r="E11" s="293"/>
      <c r="F11" s="293">
        <f>F107</f>
        <v>787250</v>
      </c>
      <c r="G11" s="293"/>
      <c r="H11" s="293">
        <f t="shared" si="2"/>
        <v>0</v>
      </c>
      <c r="I11" s="293"/>
      <c r="J11" s="293"/>
      <c r="K11" s="293"/>
      <c r="L11" s="293">
        <f>L107</f>
        <v>780100</v>
      </c>
      <c r="M11" s="293"/>
      <c r="N11" s="293">
        <f t="shared" si="1"/>
        <v>-7150</v>
      </c>
      <c r="O11" s="294"/>
      <c r="P11" s="293">
        <f>P107</f>
        <v>811739.97499999998</v>
      </c>
      <c r="Q11" s="294"/>
      <c r="R11" s="294"/>
      <c r="S11" s="294"/>
      <c r="T11" s="293">
        <f>T107</f>
        <v>829139</v>
      </c>
      <c r="U11" s="294">
        <f t="shared" si="0"/>
        <v>17399.025000000023</v>
      </c>
      <c r="V11" s="293"/>
      <c r="W11" s="293"/>
      <c r="X11" s="293"/>
      <c r="Y11" s="293">
        <f>Y107</f>
        <v>859390</v>
      </c>
      <c r="Z11" s="294">
        <f>Y11-T11</f>
        <v>30251</v>
      </c>
      <c r="AA11" s="293"/>
      <c r="AB11" s="293"/>
      <c r="AC11" s="293"/>
      <c r="AD11" s="293"/>
      <c r="AE11" s="293">
        <f>AE107</f>
        <v>853040</v>
      </c>
      <c r="AF11" s="293">
        <f>AE11-Y11</f>
        <v>-6350</v>
      </c>
      <c r="AG11" s="32"/>
      <c r="AH11" s="32"/>
      <c r="AI11" s="32">
        <f>AI107</f>
        <v>821569.36749999993</v>
      </c>
      <c r="AJ11" s="293"/>
      <c r="AK11" s="293">
        <f>AK107</f>
        <v>843664.888041</v>
      </c>
      <c r="AL11" s="293"/>
      <c r="AM11" s="293">
        <f>AM107</f>
        <v>866725.54419394885</v>
      </c>
      <c r="AN11" s="293"/>
      <c r="AO11" s="293">
        <f>AO107</f>
        <v>899672.8324149918</v>
      </c>
      <c r="AP11" s="293"/>
      <c r="AQ11" s="293">
        <f>AQ107</f>
        <v>915599.21238847985</v>
      </c>
      <c r="AR11" s="293"/>
      <c r="AS11" s="293">
        <f>AS107</f>
        <v>941547.10322197201</v>
      </c>
      <c r="AT11" s="293"/>
      <c r="AU11" s="293">
        <f>AU107</f>
        <v>978560.85223955463</v>
      </c>
      <c r="AV11" s="293"/>
      <c r="AW11" s="293">
        <f>AW107</f>
        <v>1006686.8258933491</v>
      </c>
      <c r="AX11" s="293"/>
      <c r="AY11" s="293">
        <f>AY107</f>
        <v>1035973.5050752984</v>
      </c>
      <c r="AZ11" s="295"/>
      <c r="BA11" s="296">
        <f>BA107</f>
        <v>1066471.5850461479</v>
      </c>
    </row>
    <row r="12" spans="1:57" hidden="1" x14ac:dyDescent="0.25">
      <c r="A12" s="297" t="s">
        <v>38</v>
      </c>
      <c r="B12" s="298">
        <f>B150</f>
        <v>153830</v>
      </c>
      <c r="C12" s="293"/>
      <c r="D12" s="293"/>
      <c r="E12" s="293"/>
      <c r="F12" s="298">
        <f>F150</f>
        <v>156530</v>
      </c>
      <c r="G12" s="293"/>
      <c r="H12" s="298">
        <f t="shared" si="2"/>
        <v>2700</v>
      </c>
      <c r="I12" s="293"/>
      <c r="J12" s="293"/>
      <c r="K12" s="293"/>
      <c r="L12" s="298">
        <f>L150</f>
        <v>133600</v>
      </c>
      <c r="M12" s="293"/>
      <c r="N12" s="298">
        <f t="shared" si="1"/>
        <v>-22930</v>
      </c>
      <c r="O12" s="294"/>
      <c r="P12" s="298">
        <f>P150</f>
        <v>359050</v>
      </c>
      <c r="Q12" s="294"/>
      <c r="R12" s="294"/>
      <c r="S12" s="294"/>
      <c r="T12" s="298">
        <f>T150</f>
        <v>359050</v>
      </c>
      <c r="U12" s="294">
        <f t="shared" si="0"/>
        <v>0</v>
      </c>
      <c r="V12" s="293"/>
      <c r="W12" s="293"/>
      <c r="X12" s="293"/>
      <c r="Y12" s="298">
        <f>Y150</f>
        <v>360960</v>
      </c>
      <c r="Z12" s="294">
        <f>Y12-T12</f>
        <v>1910</v>
      </c>
      <c r="AA12" s="293"/>
      <c r="AB12" s="293"/>
      <c r="AC12" s="293"/>
      <c r="AD12" s="293"/>
      <c r="AE12" s="298">
        <f>AE150</f>
        <v>357990</v>
      </c>
      <c r="AF12" s="298">
        <f>AE12-Y12</f>
        <v>-2970</v>
      </c>
      <c r="AG12" s="32"/>
      <c r="AH12" s="32"/>
      <c r="AI12" s="37">
        <f>AI150</f>
        <v>176550</v>
      </c>
      <c r="AJ12" s="293"/>
      <c r="AK12" s="298">
        <f>AK150</f>
        <v>288359</v>
      </c>
      <c r="AL12" s="293"/>
      <c r="AM12" s="298">
        <f>AM150</f>
        <v>235827.27</v>
      </c>
      <c r="AN12" s="293"/>
      <c r="AO12" s="298">
        <f>AO150</f>
        <v>319355.08809999999</v>
      </c>
      <c r="AP12" s="298"/>
      <c r="AQ12" s="298">
        <f>AQ150</f>
        <v>419742.740743</v>
      </c>
      <c r="AR12" s="293"/>
      <c r="AS12" s="298">
        <f>AS150</f>
        <v>1248190.5229652899</v>
      </c>
      <c r="AT12" s="293"/>
      <c r="AU12" s="298">
        <f>AU150</f>
        <v>637198.73865424865</v>
      </c>
      <c r="AV12" s="293"/>
      <c r="AW12" s="298">
        <f>AW150</f>
        <v>517017.70081387617</v>
      </c>
      <c r="AX12" s="295"/>
      <c r="AY12" s="298">
        <f>AY150</f>
        <v>513047.73183829244</v>
      </c>
      <c r="AZ12" s="295"/>
      <c r="BA12" s="299">
        <f>BA150</f>
        <v>513439.1637934412</v>
      </c>
    </row>
    <row r="13" spans="1:57" hidden="1" x14ac:dyDescent="0.25">
      <c r="A13" s="292"/>
      <c r="B13" s="293">
        <f>B11+B12</f>
        <v>941080</v>
      </c>
      <c r="C13" s="293"/>
      <c r="D13" s="293"/>
      <c r="E13" s="293"/>
      <c r="F13" s="293">
        <f>F11+F12</f>
        <v>943780</v>
      </c>
      <c r="G13" s="293"/>
      <c r="H13" s="293">
        <f t="shared" si="2"/>
        <v>2700</v>
      </c>
      <c r="I13" s="293"/>
      <c r="J13" s="293"/>
      <c r="K13" s="293"/>
      <c r="L13" s="293">
        <f>L11+L12</f>
        <v>913700</v>
      </c>
      <c r="M13" s="293"/>
      <c r="N13" s="293">
        <f t="shared" si="1"/>
        <v>-30080</v>
      </c>
      <c r="O13" s="294"/>
      <c r="P13" s="293">
        <f>P11+P12</f>
        <v>1170789.9750000001</v>
      </c>
      <c r="Q13" s="294"/>
      <c r="R13" s="294"/>
      <c r="S13" s="294"/>
      <c r="T13" s="293">
        <f>T11+T12</f>
        <v>1188189</v>
      </c>
      <c r="U13" s="294">
        <f t="shared" si="0"/>
        <v>17399.024999999907</v>
      </c>
      <c r="V13" s="293"/>
      <c r="W13" s="293"/>
      <c r="X13" s="293"/>
      <c r="Y13" s="293">
        <f>Y11+Y12</f>
        <v>1220350</v>
      </c>
      <c r="Z13" s="294">
        <f>Y13-T13</f>
        <v>32161</v>
      </c>
      <c r="AA13" s="293"/>
      <c r="AB13" s="293"/>
      <c r="AC13" s="293"/>
      <c r="AD13" s="293"/>
      <c r="AE13" s="293">
        <f>AE11+AE12</f>
        <v>1211030</v>
      </c>
      <c r="AF13" s="293">
        <f>AE13-Y13</f>
        <v>-9320</v>
      </c>
      <c r="AG13" s="32"/>
      <c r="AH13" s="32"/>
      <c r="AI13" s="32">
        <f>AI11+AI12</f>
        <v>998119.36749999993</v>
      </c>
      <c r="AJ13" s="293"/>
      <c r="AK13" s="293">
        <f>AK11+AK12</f>
        <v>1132023.8880409999</v>
      </c>
      <c r="AL13" s="293"/>
      <c r="AM13" s="293">
        <f>AM11+AM12</f>
        <v>1102552.8141939489</v>
      </c>
      <c r="AN13" s="293"/>
      <c r="AO13" s="293">
        <f>AO11+AO12</f>
        <v>1219027.9205149917</v>
      </c>
      <c r="AP13" s="293"/>
      <c r="AQ13" s="293">
        <f>AQ11+AQ12</f>
        <v>1335341.9531314799</v>
      </c>
      <c r="AR13" s="293"/>
      <c r="AS13" s="293">
        <f>AS11+AS12</f>
        <v>2189737.6261872621</v>
      </c>
      <c r="AT13" s="293"/>
      <c r="AU13" s="293">
        <f>AU11+AU12</f>
        <v>1615759.5908938032</v>
      </c>
      <c r="AV13" s="293"/>
      <c r="AW13" s="293">
        <f>AW11+AW12</f>
        <v>1523704.5267072252</v>
      </c>
      <c r="AX13" s="295"/>
      <c r="AY13" s="293">
        <f>AY11+AY12</f>
        <v>1549021.2369135907</v>
      </c>
      <c r="AZ13" s="295"/>
      <c r="BA13" s="296">
        <f>BA11+BA12</f>
        <v>1579910.7488395891</v>
      </c>
    </row>
    <row r="14" spans="1:57" hidden="1" x14ac:dyDescent="0.25">
      <c r="A14" s="292"/>
      <c r="B14" s="293"/>
      <c r="C14" s="293"/>
      <c r="D14" s="293"/>
      <c r="E14" s="293"/>
      <c r="F14" s="293"/>
      <c r="G14" s="293"/>
      <c r="H14" s="293">
        <f t="shared" si="2"/>
        <v>0</v>
      </c>
      <c r="I14" s="293"/>
      <c r="J14" s="293"/>
      <c r="K14" s="293"/>
      <c r="L14" s="293"/>
      <c r="M14" s="293"/>
      <c r="N14" s="293">
        <f t="shared" si="1"/>
        <v>0</v>
      </c>
      <c r="O14" s="294"/>
      <c r="P14" s="293"/>
      <c r="Q14" s="294"/>
      <c r="R14" s="294"/>
      <c r="S14" s="294"/>
      <c r="T14" s="293"/>
      <c r="U14" s="294"/>
      <c r="V14" s="294"/>
      <c r="W14" s="294"/>
      <c r="X14" s="294"/>
      <c r="Y14" s="293"/>
      <c r="Z14" s="294"/>
      <c r="AA14" s="294"/>
      <c r="AB14" s="294"/>
      <c r="AC14" s="294"/>
      <c r="AD14" s="294"/>
      <c r="AE14" s="293"/>
      <c r="AF14" s="293"/>
      <c r="AG14" s="32"/>
      <c r="AH14" s="4"/>
      <c r="AI14" s="32"/>
      <c r="AJ14" s="294"/>
      <c r="AK14" s="293"/>
      <c r="AL14" s="294"/>
      <c r="AM14" s="293"/>
      <c r="AN14" s="294"/>
      <c r="AO14" s="293"/>
      <c r="AP14" s="293"/>
      <c r="AQ14" s="293"/>
      <c r="AR14" s="295"/>
      <c r="AS14" s="293"/>
      <c r="AT14" s="295"/>
      <c r="AU14" s="293"/>
      <c r="AV14" s="295"/>
      <c r="AW14" s="293"/>
      <c r="AX14" s="295"/>
      <c r="AY14" s="293"/>
      <c r="AZ14" s="295"/>
      <c r="BA14" s="296"/>
    </row>
    <row r="15" spans="1:57" hidden="1" x14ac:dyDescent="0.25">
      <c r="A15" s="297" t="s">
        <v>41</v>
      </c>
      <c r="B15" s="298">
        <f>B9-B13</f>
        <v>-14079</v>
      </c>
      <c r="C15" s="293"/>
      <c r="D15" s="293"/>
      <c r="E15" s="293"/>
      <c r="F15" s="298">
        <f>F9-F13</f>
        <v>-16779</v>
      </c>
      <c r="G15" s="293"/>
      <c r="H15" s="298">
        <f t="shared" si="2"/>
        <v>-2700</v>
      </c>
      <c r="I15" s="293"/>
      <c r="J15" s="293"/>
      <c r="K15" s="293"/>
      <c r="L15" s="298">
        <f>L9-L13</f>
        <v>-12549</v>
      </c>
      <c r="M15" s="293"/>
      <c r="N15" s="298">
        <f t="shared" si="1"/>
        <v>4230</v>
      </c>
      <c r="O15" s="294"/>
      <c r="P15" s="298">
        <f>P9-P13</f>
        <v>-19560.975000000093</v>
      </c>
      <c r="Q15" s="294"/>
      <c r="R15" s="294"/>
      <c r="S15" s="294"/>
      <c r="T15" s="298">
        <f>T9-T13</f>
        <v>-17959</v>
      </c>
      <c r="U15" s="300">
        <f t="shared" si="0"/>
        <v>1601.9750000000931</v>
      </c>
      <c r="V15" s="294"/>
      <c r="W15" s="294"/>
      <c r="X15" s="294"/>
      <c r="Y15" s="298">
        <f>Y9-Y13</f>
        <v>-13600</v>
      </c>
      <c r="Z15" s="300">
        <f>Y15-T15</f>
        <v>4359</v>
      </c>
      <c r="AA15" s="294"/>
      <c r="AB15" s="294"/>
      <c r="AC15" s="294"/>
      <c r="AD15" s="294"/>
      <c r="AE15" s="298">
        <f>AE9-AE13</f>
        <v>-7870</v>
      </c>
      <c r="AF15" s="298">
        <f>AE15-Y15</f>
        <v>5730</v>
      </c>
      <c r="AG15" s="32"/>
      <c r="AH15" s="4"/>
      <c r="AI15" s="37">
        <f>AI9-AI13</f>
        <v>17400.882500000182</v>
      </c>
      <c r="AJ15" s="294"/>
      <c r="AK15" s="298">
        <f>AK9-AK13</f>
        <v>-44740.131790999789</v>
      </c>
      <c r="AL15" s="294"/>
      <c r="AM15" s="298">
        <f>AM9-AM13</f>
        <v>62520.785962301539</v>
      </c>
      <c r="AN15" s="294"/>
      <c r="AO15" s="298">
        <f>AO9-AO13</f>
        <v>12864.869645164581</v>
      </c>
      <c r="AP15" s="298"/>
      <c r="AQ15" s="298">
        <f>AQ9-AQ13</f>
        <v>-34342.566967319464</v>
      </c>
      <c r="AR15" s="295"/>
      <c r="AS15" s="298">
        <f>AS9-AS13</f>
        <v>-138980.92563462257</v>
      </c>
      <c r="AT15" s="295"/>
      <c r="AU15" s="298">
        <f>AU9-AU13</f>
        <v>37223.098393745953</v>
      </c>
      <c r="AV15" s="295"/>
      <c r="AW15" s="298">
        <f>AW9-AW13</f>
        <v>-65904.220405338798</v>
      </c>
      <c r="AX15" s="295"/>
      <c r="AY15" s="298">
        <f>AY9-AY13</f>
        <v>-33682.595682901097</v>
      </c>
      <c r="AZ15" s="295"/>
      <c r="BA15" s="299">
        <f>BA9-BA13</f>
        <v>-4177.5229433136992</v>
      </c>
    </row>
    <row r="16" spans="1:57" hidden="1" x14ac:dyDescent="0.25">
      <c r="A16" s="297" t="s">
        <v>42</v>
      </c>
      <c r="B16" s="293">
        <f>B5+B15</f>
        <v>481691</v>
      </c>
      <c r="C16" s="293"/>
      <c r="D16" s="293"/>
      <c r="E16" s="293"/>
      <c r="F16" s="293">
        <f>F5+F15</f>
        <v>787728</v>
      </c>
      <c r="G16" s="293"/>
      <c r="H16" s="293">
        <f t="shared" si="2"/>
        <v>306037</v>
      </c>
      <c r="I16" s="293"/>
      <c r="J16" s="293"/>
      <c r="K16" s="293"/>
      <c r="L16" s="293">
        <f>L5+L15</f>
        <v>791958</v>
      </c>
      <c r="M16" s="293"/>
      <c r="N16" s="293">
        <f t="shared" si="1"/>
        <v>4230</v>
      </c>
      <c r="O16" s="294"/>
      <c r="P16" s="293">
        <f>P5+P15</f>
        <v>772397.02499999991</v>
      </c>
      <c r="Q16" s="294"/>
      <c r="R16" s="294"/>
      <c r="S16" s="294"/>
      <c r="T16" s="293">
        <f>T5+T15</f>
        <v>845675</v>
      </c>
      <c r="U16" s="294">
        <f t="shared" si="0"/>
        <v>73277.975000000093</v>
      </c>
      <c r="V16" s="294"/>
      <c r="W16" s="294"/>
      <c r="X16" s="294"/>
      <c r="Y16" s="293">
        <f>Y5+Y15</f>
        <v>850034</v>
      </c>
      <c r="Z16" s="294">
        <f>Y16-T16</f>
        <v>4359</v>
      </c>
      <c r="AA16" s="294"/>
      <c r="AB16" s="294"/>
      <c r="AC16" s="294"/>
      <c r="AD16" s="294"/>
      <c r="AE16" s="293">
        <f>AE5+AE15</f>
        <v>855764</v>
      </c>
      <c r="AF16" s="293">
        <f>AE16-Y16</f>
        <v>5730</v>
      </c>
      <c r="AG16" s="32"/>
      <c r="AH16" s="4"/>
      <c r="AI16" s="32">
        <f>AI5+AI15</f>
        <v>789797.90750000009</v>
      </c>
      <c r="AJ16" s="294"/>
      <c r="AK16" s="293">
        <f>AK5+AK15</f>
        <v>745057.7757090003</v>
      </c>
      <c r="AL16" s="294"/>
      <c r="AM16" s="293">
        <f>AM5+AM15</f>
        <v>807578.56167130184</v>
      </c>
      <c r="AN16" s="294"/>
      <c r="AO16" s="293">
        <f>AO5+AO15</f>
        <v>820443.43131646642</v>
      </c>
      <c r="AP16" s="293"/>
      <c r="AQ16" s="293">
        <f>AQ5+AQ15</f>
        <v>786100.86434914696</v>
      </c>
      <c r="AR16" s="295"/>
      <c r="AS16" s="293">
        <f>AS5+AS15</f>
        <v>647119.93871452438</v>
      </c>
      <c r="AT16" s="295"/>
      <c r="AU16" s="293">
        <f>AU5+AU15</f>
        <v>684343.03710827034</v>
      </c>
      <c r="AV16" s="295"/>
      <c r="AW16" s="293">
        <f>AW5+AW15</f>
        <v>618438.81670293154</v>
      </c>
      <c r="AX16" s="295"/>
      <c r="AY16" s="293">
        <f>AY5+AY15</f>
        <v>584756.22102003044</v>
      </c>
      <c r="AZ16" s="295"/>
      <c r="BA16" s="296">
        <f>BA5+BA15</f>
        <v>580578.69807671674</v>
      </c>
    </row>
    <row r="17" spans="1:53" hidden="1" x14ac:dyDescent="0.25">
      <c r="A17" s="292" t="s">
        <v>1367</v>
      </c>
      <c r="B17" s="293"/>
      <c r="C17" s="293"/>
      <c r="D17" s="293"/>
      <c r="E17" s="293"/>
      <c r="F17" s="293"/>
      <c r="G17" s="293"/>
      <c r="H17" s="293">
        <f t="shared" si="2"/>
        <v>0</v>
      </c>
      <c r="I17" s="293"/>
      <c r="J17" s="293"/>
      <c r="K17" s="293"/>
      <c r="L17" s="293"/>
      <c r="M17" s="293"/>
      <c r="N17" s="293">
        <f t="shared" si="3"/>
        <v>0</v>
      </c>
      <c r="O17" s="294"/>
      <c r="P17" s="293"/>
      <c r="Q17" s="294"/>
      <c r="R17" s="294"/>
      <c r="S17" s="294"/>
      <c r="T17" s="293"/>
      <c r="U17" s="294"/>
      <c r="V17" s="294"/>
      <c r="W17" s="294"/>
      <c r="X17" s="294"/>
      <c r="Y17" s="293"/>
      <c r="Z17" s="294"/>
      <c r="AA17" s="294"/>
      <c r="AB17" s="294"/>
      <c r="AC17" s="294"/>
      <c r="AD17" s="294"/>
      <c r="AE17" s="293"/>
      <c r="AF17" s="293"/>
      <c r="AG17" s="32"/>
      <c r="AH17" s="4"/>
      <c r="AI17" s="32">
        <f>+B!AH1093</f>
        <v>17400.882500000182</v>
      </c>
      <c r="AJ17" s="293">
        <f>+B!AI1093</f>
        <v>0</v>
      </c>
      <c r="AK17" s="293">
        <f>+B!AJ1093</f>
        <v>-244740.1817909996</v>
      </c>
      <c r="AL17" s="293">
        <f>+B!AK1093</f>
        <v>0</v>
      </c>
      <c r="AM17" s="293">
        <f>+B!AL1093</f>
        <v>-137479.26528769848</v>
      </c>
      <c r="AN17" s="293">
        <f>+B!AM1093</f>
        <v>0</v>
      </c>
      <c r="AO17" s="293">
        <f>+B!AN1093</f>
        <v>12864.81711391476</v>
      </c>
      <c r="AP17" s="293">
        <f>+B!AO1093</f>
        <v>0</v>
      </c>
      <c r="AQ17" s="293">
        <f>+B!AP1093</f>
        <v>-34342.620811850764</v>
      </c>
      <c r="AR17" s="293">
        <f>+B!AQ1093</f>
        <v>0</v>
      </c>
      <c r="AS17" s="293">
        <f>+B!AR1093</f>
        <v>-138980.98082526727</v>
      </c>
      <c r="AT17" s="293">
        <f>+B!AS1093</f>
        <v>0</v>
      </c>
      <c r="AU17" s="293">
        <f>+B!AT1093</f>
        <v>37223.041823335225</v>
      </c>
      <c r="AV17" s="293">
        <f>+B!AU1093</f>
        <v>0</v>
      </c>
      <c r="AW17" s="293">
        <f>+B!AV1093</f>
        <v>-65904.278390009888</v>
      </c>
      <c r="AX17" s="293">
        <f>+B!AW1093</f>
        <v>0</v>
      </c>
      <c r="AY17" s="293">
        <f>+B!AX1093</f>
        <v>-33682.655117188813</v>
      </c>
      <c r="AZ17" s="293">
        <f>+B!AY1093</f>
        <v>0</v>
      </c>
      <c r="BA17" s="293">
        <f>+B!AZ1093</f>
        <v>-4177.5838634583633</v>
      </c>
    </row>
    <row r="18" spans="1:53" hidden="1" x14ac:dyDescent="0.25">
      <c r="A18" s="292"/>
      <c r="B18" s="293"/>
      <c r="C18" s="293"/>
      <c r="D18" s="293"/>
      <c r="E18" s="293"/>
      <c r="F18" s="293"/>
      <c r="G18" s="293"/>
      <c r="H18" s="293"/>
      <c r="I18" s="293"/>
      <c r="J18" s="293"/>
      <c r="K18" s="293"/>
      <c r="L18" s="293"/>
      <c r="M18" s="293"/>
      <c r="N18" s="293"/>
      <c r="O18" s="294"/>
      <c r="P18" s="293"/>
      <c r="Q18" s="294"/>
      <c r="R18" s="294"/>
      <c r="S18" s="294"/>
      <c r="T18" s="293"/>
      <c r="U18" s="294"/>
      <c r="V18" s="294"/>
      <c r="W18" s="294"/>
      <c r="X18" s="294"/>
      <c r="Y18" s="293"/>
      <c r="Z18" s="294"/>
      <c r="AA18" s="294"/>
      <c r="AB18" s="294"/>
      <c r="AC18" s="294"/>
      <c r="AD18" s="294"/>
      <c r="AE18" s="293"/>
      <c r="AF18" s="293"/>
      <c r="AG18" s="32"/>
      <c r="AH18" s="4"/>
      <c r="AI18" s="32">
        <f>AI15-AI17</f>
        <v>0</v>
      </c>
      <c r="AJ18" s="293">
        <f t="shared" ref="AJ18:BA18" si="4">AJ15-AJ17</f>
        <v>0</v>
      </c>
      <c r="AK18" s="293">
        <f t="shared" si="4"/>
        <v>200000.04999999981</v>
      </c>
      <c r="AL18" s="293">
        <f t="shared" si="4"/>
        <v>0</v>
      </c>
      <c r="AM18" s="293">
        <f t="shared" si="4"/>
        <v>200000.05125000002</v>
      </c>
      <c r="AN18" s="293">
        <f t="shared" si="4"/>
        <v>0</v>
      </c>
      <c r="AO18" s="293">
        <f t="shared" si="4"/>
        <v>5.2531249821186066E-2</v>
      </c>
      <c r="AP18" s="293">
        <f t="shared" si="4"/>
        <v>0</v>
      </c>
      <c r="AQ18" s="293">
        <f t="shared" si="4"/>
        <v>5.3844531299546361E-2</v>
      </c>
      <c r="AR18" s="293">
        <f t="shared" si="4"/>
        <v>0</v>
      </c>
      <c r="AS18" s="293">
        <f t="shared" si="4"/>
        <v>5.5190644692629576E-2</v>
      </c>
      <c r="AT18" s="293">
        <f t="shared" si="4"/>
        <v>0</v>
      </c>
      <c r="AU18" s="293">
        <f t="shared" si="4"/>
        <v>5.657041072845459E-2</v>
      </c>
      <c r="AV18" s="293">
        <f t="shared" si="4"/>
        <v>0</v>
      </c>
      <c r="AW18" s="293">
        <f t="shared" si="4"/>
        <v>5.7984671089798212E-2</v>
      </c>
      <c r="AX18" s="293">
        <f t="shared" si="4"/>
        <v>0</v>
      </c>
      <c r="AY18" s="293">
        <f t="shared" si="4"/>
        <v>5.9434287715703249E-2</v>
      </c>
      <c r="AZ18" s="293">
        <f t="shared" si="4"/>
        <v>0</v>
      </c>
      <c r="BA18" s="293">
        <f t="shared" si="4"/>
        <v>6.0920144664123654E-2</v>
      </c>
    </row>
    <row r="19" spans="1:53" hidden="1" x14ac:dyDescent="0.25">
      <c r="A19" s="297" t="s">
        <v>7</v>
      </c>
      <c r="B19" s="293"/>
      <c r="C19" s="293"/>
      <c r="D19" s="293"/>
      <c r="E19" s="293"/>
      <c r="F19" s="293"/>
      <c r="G19" s="293"/>
      <c r="H19" s="293">
        <f t="shared" si="2"/>
        <v>0</v>
      </c>
      <c r="I19" s="293"/>
      <c r="J19" s="293"/>
      <c r="K19" s="293"/>
      <c r="L19" s="293"/>
      <c r="M19" s="293"/>
      <c r="N19" s="293">
        <f t="shared" si="3"/>
        <v>0</v>
      </c>
      <c r="O19" s="294"/>
      <c r="P19" s="293"/>
      <c r="Q19" s="294"/>
      <c r="R19" s="294"/>
      <c r="S19" s="294"/>
      <c r="T19" s="293"/>
      <c r="U19" s="294"/>
      <c r="V19" s="294"/>
      <c r="W19" s="294"/>
      <c r="X19" s="294"/>
      <c r="Y19" s="293"/>
      <c r="Z19" s="294"/>
      <c r="AA19" s="294"/>
      <c r="AB19" s="294"/>
      <c r="AC19" s="294"/>
      <c r="AD19" s="294"/>
      <c r="AE19" s="293"/>
      <c r="AF19" s="293"/>
      <c r="AG19" s="32"/>
      <c r="AH19" s="4"/>
      <c r="AI19" s="32"/>
      <c r="AJ19" s="294"/>
      <c r="AK19" s="293"/>
      <c r="AL19" s="294"/>
      <c r="AM19" s="293"/>
      <c r="AN19" s="294"/>
      <c r="AO19" s="293"/>
      <c r="AP19" s="293"/>
      <c r="AQ19" s="293"/>
      <c r="AR19" s="295"/>
      <c r="AS19" s="293"/>
      <c r="AT19" s="295"/>
      <c r="AU19" s="293"/>
      <c r="AV19" s="295"/>
      <c r="AW19" s="293"/>
      <c r="AX19" s="295"/>
      <c r="AY19" s="293"/>
      <c r="AZ19" s="295"/>
      <c r="BA19" s="296"/>
    </row>
    <row r="20" spans="1:53" hidden="1" x14ac:dyDescent="0.25">
      <c r="A20" s="297"/>
      <c r="B20" s="293"/>
      <c r="C20" s="293"/>
      <c r="D20" s="293"/>
      <c r="E20" s="293"/>
      <c r="F20" s="293"/>
      <c r="G20" s="293"/>
      <c r="H20" s="293">
        <f t="shared" si="2"/>
        <v>0</v>
      </c>
      <c r="I20" s="293"/>
      <c r="J20" s="293"/>
      <c r="K20" s="293"/>
      <c r="L20" s="293"/>
      <c r="M20" s="293"/>
      <c r="N20" s="293">
        <f t="shared" si="3"/>
        <v>0</v>
      </c>
      <c r="O20" s="294"/>
      <c r="P20" s="293"/>
      <c r="Q20" s="294"/>
      <c r="R20" s="294"/>
      <c r="S20" s="294"/>
      <c r="T20" s="293"/>
      <c r="U20" s="294"/>
      <c r="V20" s="294"/>
      <c r="W20" s="294"/>
      <c r="X20" s="294"/>
      <c r="Y20" s="293"/>
      <c r="Z20" s="294"/>
      <c r="AA20" s="294"/>
      <c r="AB20" s="294"/>
      <c r="AC20" s="294"/>
      <c r="AD20" s="294"/>
      <c r="AE20" s="293"/>
      <c r="AF20" s="293"/>
      <c r="AG20" s="32"/>
      <c r="AH20" s="4"/>
      <c r="AI20" s="32"/>
      <c r="AJ20" s="294"/>
      <c r="AK20" s="293"/>
      <c r="AL20" s="294"/>
      <c r="AM20" s="293"/>
      <c r="AN20" s="294"/>
      <c r="AO20" s="293"/>
      <c r="AP20" s="293"/>
      <c r="AQ20" s="293"/>
      <c r="AR20" s="295"/>
      <c r="AS20" s="293"/>
      <c r="AT20" s="295"/>
      <c r="AU20" s="293"/>
      <c r="AV20" s="295"/>
      <c r="AW20" s="293"/>
      <c r="AX20" s="295"/>
      <c r="AY20" s="293"/>
      <c r="AZ20" s="295"/>
      <c r="BA20" s="296"/>
    </row>
    <row r="21" spans="1:53" hidden="1" x14ac:dyDescent="0.25">
      <c r="A21" s="297" t="s">
        <v>34</v>
      </c>
      <c r="B21" s="293">
        <v>532500</v>
      </c>
      <c r="C21" s="293"/>
      <c r="D21" s="293"/>
      <c r="E21" s="293"/>
      <c r="F21" s="293">
        <v>532500</v>
      </c>
      <c r="G21" s="293"/>
      <c r="H21" s="293">
        <f t="shared" si="2"/>
        <v>0</v>
      </c>
      <c r="I21" s="293"/>
      <c r="J21" s="293"/>
      <c r="K21" s="293"/>
      <c r="L21" s="293">
        <v>532500</v>
      </c>
      <c r="M21" s="293"/>
      <c r="N21" s="293">
        <f t="shared" si="3"/>
        <v>532500</v>
      </c>
      <c r="O21" s="294"/>
      <c r="P21" s="293">
        <v>532500</v>
      </c>
      <c r="Q21" s="294"/>
      <c r="R21" s="294"/>
      <c r="S21" s="294"/>
      <c r="T21" s="293">
        <v>532500</v>
      </c>
      <c r="U21" s="294">
        <f t="shared" ref="U21:U26" si="5">T21-P21</f>
        <v>0</v>
      </c>
      <c r="V21" s="294"/>
      <c r="W21" s="294"/>
      <c r="X21" s="294"/>
      <c r="Y21" s="293">
        <v>532500</v>
      </c>
      <c r="Z21" s="294">
        <f t="shared" ref="Z21:Z26" si="6">Y21-T21</f>
        <v>0</v>
      </c>
      <c r="AA21" s="294"/>
      <c r="AB21" s="294"/>
      <c r="AC21" s="294"/>
      <c r="AD21" s="294"/>
      <c r="AE21" s="293">
        <v>532500</v>
      </c>
      <c r="AF21" s="293">
        <f t="shared" ref="AF21:AF26" si="7">AE21-Y21</f>
        <v>0</v>
      </c>
      <c r="AG21" s="32"/>
      <c r="AH21" s="4"/>
      <c r="AI21" s="32">
        <f>P26</f>
        <v>336950</v>
      </c>
      <c r="AJ21" s="294"/>
      <c r="AK21" s="293">
        <f>AI26</f>
        <v>441400</v>
      </c>
      <c r="AL21" s="294"/>
      <c r="AM21" s="293">
        <f>AK26</f>
        <v>445850</v>
      </c>
      <c r="AN21" s="294"/>
      <c r="AO21" s="293">
        <f>AM26</f>
        <v>450300</v>
      </c>
      <c r="AP21" s="293"/>
      <c r="AQ21" s="293">
        <f>AO26</f>
        <v>756100</v>
      </c>
      <c r="AR21" s="295"/>
      <c r="AS21" s="293">
        <f>AQ26</f>
        <v>1161900</v>
      </c>
      <c r="AT21" s="295"/>
      <c r="AU21" s="293">
        <f>AS26</f>
        <v>467700</v>
      </c>
      <c r="AV21" s="295"/>
      <c r="AW21" s="293">
        <f>AU26</f>
        <v>223500</v>
      </c>
      <c r="AX21" s="295"/>
      <c r="AY21" s="293">
        <f>AW26</f>
        <v>727850</v>
      </c>
      <c r="AZ21" s="295"/>
      <c r="BA21" s="296">
        <f>AY26</f>
        <v>1227850</v>
      </c>
    </row>
    <row r="22" spans="1:53" hidden="1" x14ac:dyDescent="0.25">
      <c r="A22" s="292"/>
      <c r="B22" s="293"/>
      <c r="C22" s="293"/>
      <c r="D22" s="293"/>
      <c r="E22" s="293"/>
      <c r="F22" s="293"/>
      <c r="G22" s="293"/>
      <c r="H22" s="293">
        <f t="shared" si="2"/>
        <v>0</v>
      </c>
      <c r="I22" s="293"/>
      <c r="J22" s="293"/>
      <c r="K22" s="293"/>
      <c r="L22" s="293"/>
      <c r="M22" s="293"/>
      <c r="N22" s="293">
        <f t="shared" si="3"/>
        <v>0</v>
      </c>
      <c r="O22" s="294"/>
      <c r="P22" s="293"/>
      <c r="Q22" s="294"/>
      <c r="R22" s="294"/>
      <c r="S22" s="294"/>
      <c r="T22" s="293"/>
      <c r="U22" s="294">
        <f t="shared" si="5"/>
        <v>0</v>
      </c>
      <c r="V22" s="294"/>
      <c r="W22" s="294"/>
      <c r="X22" s="294"/>
      <c r="Y22" s="293"/>
      <c r="Z22" s="294">
        <f t="shared" si="6"/>
        <v>0</v>
      </c>
      <c r="AA22" s="294"/>
      <c r="AB22" s="294"/>
      <c r="AC22" s="294"/>
      <c r="AD22" s="294"/>
      <c r="AE22" s="293"/>
      <c r="AF22" s="293">
        <f t="shared" si="7"/>
        <v>0</v>
      </c>
      <c r="AG22" s="32"/>
      <c r="AH22" s="4"/>
      <c r="AI22" s="32"/>
      <c r="AJ22" s="294"/>
      <c r="AK22" s="293"/>
      <c r="AL22" s="294"/>
      <c r="AM22" s="293"/>
      <c r="AN22" s="294"/>
      <c r="AO22" s="293"/>
      <c r="AP22" s="293"/>
      <c r="AQ22" s="293"/>
      <c r="AR22" s="295"/>
      <c r="AS22" s="293"/>
      <c r="AT22" s="295"/>
      <c r="AU22" s="293"/>
      <c r="AV22" s="295"/>
      <c r="AW22" s="293"/>
      <c r="AX22" s="295"/>
      <c r="AY22" s="293"/>
      <c r="AZ22" s="295"/>
      <c r="BA22" s="296"/>
    </row>
    <row r="23" spans="1:53" hidden="1" x14ac:dyDescent="0.25">
      <c r="A23" s="297" t="s">
        <v>43</v>
      </c>
      <c r="B23" s="293">
        <f>B147</f>
        <v>11900</v>
      </c>
      <c r="C23" s="293"/>
      <c r="D23" s="293"/>
      <c r="E23" s="293"/>
      <c r="F23" s="293">
        <f>F147</f>
        <v>11900</v>
      </c>
      <c r="G23" s="293"/>
      <c r="H23" s="293">
        <f t="shared" si="2"/>
        <v>0</v>
      </c>
      <c r="I23" s="293"/>
      <c r="J23" s="293"/>
      <c r="K23" s="293"/>
      <c r="L23" s="293">
        <f>L147</f>
        <v>11900</v>
      </c>
      <c r="M23" s="293"/>
      <c r="N23" s="293">
        <f t="shared" si="3"/>
        <v>11900</v>
      </c>
      <c r="O23" s="294"/>
      <c r="P23" s="293">
        <f>P147</f>
        <v>4450</v>
      </c>
      <c r="Q23" s="294"/>
      <c r="R23" s="294"/>
      <c r="S23" s="294"/>
      <c r="T23" s="293">
        <f>T147</f>
        <v>4450</v>
      </c>
      <c r="U23" s="294">
        <f t="shared" si="5"/>
        <v>0</v>
      </c>
      <c r="V23" s="294"/>
      <c r="W23" s="294"/>
      <c r="X23" s="294"/>
      <c r="Y23" s="293">
        <f>Y147</f>
        <v>4450</v>
      </c>
      <c r="Z23" s="294">
        <f t="shared" si="6"/>
        <v>0</v>
      </c>
      <c r="AA23" s="294"/>
      <c r="AB23" s="294"/>
      <c r="AC23" s="294"/>
      <c r="AD23" s="294"/>
      <c r="AE23" s="293">
        <f>AE147</f>
        <v>1480</v>
      </c>
      <c r="AF23" s="293">
        <f t="shared" si="7"/>
        <v>-2970</v>
      </c>
      <c r="AG23" s="32"/>
      <c r="AH23" s="4"/>
      <c r="AI23" s="32">
        <f>AI147</f>
        <v>104450</v>
      </c>
      <c r="AJ23" s="294"/>
      <c r="AK23" s="293">
        <f>AK147</f>
        <v>4450</v>
      </c>
      <c r="AL23" s="294"/>
      <c r="AM23" s="293">
        <f>AM147</f>
        <v>4450</v>
      </c>
      <c r="AN23" s="294"/>
      <c r="AO23" s="293">
        <f>AO147</f>
        <v>305800</v>
      </c>
      <c r="AP23" s="293"/>
      <c r="AQ23" s="293">
        <f>AQ147</f>
        <v>405800</v>
      </c>
      <c r="AR23" s="295"/>
      <c r="AS23" s="293">
        <f>AS147</f>
        <v>5800</v>
      </c>
      <c r="AT23" s="295"/>
      <c r="AU23" s="293">
        <f>AU147</f>
        <v>5800</v>
      </c>
      <c r="AV23" s="295"/>
      <c r="AW23" s="293">
        <f>AW147</f>
        <v>504350</v>
      </c>
      <c r="AX23" s="295"/>
      <c r="AY23" s="293">
        <f>AY147</f>
        <v>500000</v>
      </c>
      <c r="AZ23" s="295"/>
      <c r="BA23" s="296">
        <f>BA147</f>
        <v>500000</v>
      </c>
    </row>
    <row r="24" spans="1:53" hidden="1" x14ac:dyDescent="0.25">
      <c r="A24" s="297" t="s">
        <v>44</v>
      </c>
      <c r="B24" s="298"/>
      <c r="C24" s="293"/>
      <c r="D24" s="293"/>
      <c r="E24" s="293"/>
      <c r="F24" s="298"/>
      <c r="G24" s="293"/>
      <c r="H24" s="298">
        <f t="shared" si="2"/>
        <v>0</v>
      </c>
      <c r="I24" s="293"/>
      <c r="J24" s="293"/>
      <c r="K24" s="293"/>
      <c r="L24" s="298"/>
      <c r="M24" s="293"/>
      <c r="N24" s="298">
        <f t="shared" si="3"/>
        <v>0</v>
      </c>
      <c r="O24" s="294"/>
      <c r="P24" s="298">
        <f>P65</f>
        <v>200000</v>
      </c>
      <c r="Q24" s="294"/>
      <c r="R24" s="294"/>
      <c r="S24" s="294"/>
      <c r="T24" s="298">
        <f>T65</f>
        <v>200000</v>
      </c>
      <c r="U24" s="294">
        <f t="shared" si="5"/>
        <v>0</v>
      </c>
      <c r="V24" s="294"/>
      <c r="W24" s="294"/>
      <c r="X24" s="294"/>
      <c r="Y24" s="298">
        <f>Y65</f>
        <v>200000</v>
      </c>
      <c r="Z24" s="294">
        <f t="shared" si="6"/>
        <v>0</v>
      </c>
      <c r="AA24" s="294"/>
      <c r="AB24" s="294"/>
      <c r="AC24" s="294"/>
      <c r="AD24" s="294"/>
      <c r="AE24" s="298">
        <f>AE65</f>
        <v>200000</v>
      </c>
      <c r="AF24" s="298">
        <f t="shared" si="7"/>
        <v>0</v>
      </c>
      <c r="AG24" s="32"/>
      <c r="AH24" s="4"/>
      <c r="AI24" s="37"/>
      <c r="AJ24" s="294"/>
      <c r="AK24" s="298"/>
      <c r="AL24" s="294"/>
      <c r="AM24" s="298"/>
      <c r="AN24" s="294"/>
      <c r="AO24" s="298"/>
      <c r="AP24" s="298"/>
      <c r="AQ24" s="298"/>
      <c r="AR24" s="295"/>
      <c r="AS24" s="298">
        <f>AS65</f>
        <v>700000</v>
      </c>
      <c r="AT24" s="295"/>
      <c r="AU24" s="298">
        <f>AU65</f>
        <v>250000</v>
      </c>
      <c r="AV24" s="295"/>
      <c r="AW24" s="298">
        <f>AW65</f>
        <v>0</v>
      </c>
      <c r="AX24" s="295"/>
      <c r="AY24" s="298">
        <f>AY65</f>
        <v>0</v>
      </c>
      <c r="AZ24" s="295"/>
      <c r="BA24" s="299">
        <f>BA65</f>
        <v>0</v>
      </c>
    </row>
    <row r="25" spans="1:53" hidden="1" x14ac:dyDescent="0.25">
      <c r="A25" s="297" t="s">
        <v>41</v>
      </c>
      <c r="B25" s="293">
        <f>B23+B24</f>
        <v>11900</v>
      </c>
      <c r="C25" s="293"/>
      <c r="D25" s="293"/>
      <c r="E25" s="293"/>
      <c r="F25" s="293">
        <f>F23+F24</f>
        <v>11900</v>
      </c>
      <c r="G25" s="293"/>
      <c r="H25" s="293">
        <f t="shared" si="2"/>
        <v>0</v>
      </c>
      <c r="I25" s="293"/>
      <c r="J25" s="293"/>
      <c r="K25" s="293"/>
      <c r="L25" s="293">
        <f>L23+L24</f>
        <v>11900</v>
      </c>
      <c r="M25" s="293"/>
      <c r="N25" s="293">
        <f t="shared" si="3"/>
        <v>11900</v>
      </c>
      <c r="O25" s="294"/>
      <c r="P25" s="293">
        <f>P23-P24</f>
        <v>-195550</v>
      </c>
      <c r="Q25" s="294"/>
      <c r="R25" s="294"/>
      <c r="S25" s="294"/>
      <c r="T25" s="293">
        <f>T23-T24</f>
        <v>-195550</v>
      </c>
      <c r="U25" s="294">
        <f t="shared" si="5"/>
        <v>0</v>
      </c>
      <c r="V25" s="294"/>
      <c r="W25" s="294"/>
      <c r="X25" s="294"/>
      <c r="Y25" s="293">
        <f>Y23-Y24</f>
        <v>-195550</v>
      </c>
      <c r="Z25" s="294">
        <f t="shared" si="6"/>
        <v>0</v>
      </c>
      <c r="AA25" s="294"/>
      <c r="AB25" s="294"/>
      <c r="AC25" s="294"/>
      <c r="AD25" s="294"/>
      <c r="AE25" s="293">
        <f>AE23-AE24</f>
        <v>-198520</v>
      </c>
      <c r="AF25" s="293">
        <f t="shared" si="7"/>
        <v>-2970</v>
      </c>
      <c r="AG25" s="32"/>
      <c r="AH25" s="4"/>
      <c r="AI25" s="32">
        <f>AI23+AI24</f>
        <v>104450</v>
      </c>
      <c r="AJ25" s="294"/>
      <c r="AK25" s="293">
        <f>AK23+AK24</f>
        <v>4450</v>
      </c>
      <c r="AL25" s="294"/>
      <c r="AM25" s="293">
        <f>AM23+AM24</f>
        <v>4450</v>
      </c>
      <c r="AN25" s="294"/>
      <c r="AO25" s="293">
        <f>AO23+AO24</f>
        <v>305800</v>
      </c>
      <c r="AP25" s="293"/>
      <c r="AQ25" s="293">
        <f>AQ23+AQ24</f>
        <v>405800</v>
      </c>
      <c r="AR25" s="295"/>
      <c r="AS25" s="293">
        <f>AS23-AS24</f>
        <v>-694200</v>
      </c>
      <c r="AT25" s="295"/>
      <c r="AU25" s="293">
        <f>AU23-AU24</f>
        <v>-244200</v>
      </c>
      <c r="AV25" s="295"/>
      <c r="AW25" s="293">
        <f>AW23-AW24</f>
        <v>504350</v>
      </c>
      <c r="AX25" s="295"/>
      <c r="AY25" s="293">
        <f>AY23-AY24</f>
        <v>500000</v>
      </c>
      <c r="AZ25" s="295"/>
      <c r="BA25" s="296">
        <f>BA23-BA24</f>
        <v>500000</v>
      </c>
    </row>
    <row r="26" spans="1:53" ht="15.75" hidden="1" thickBot="1" x14ac:dyDescent="0.3">
      <c r="A26" s="301" t="s">
        <v>42</v>
      </c>
      <c r="B26" s="302">
        <f>B21+B25</f>
        <v>544400</v>
      </c>
      <c r="C26" s="302"/>
      <c r="D26" s="302"/>
      <c r="E26" s="302"/>
      <c r="F26" s="302">
        <f>F21+F25</f>
        <v>544400</v>
      </c>
      <c r="G26" s="302"/>
      <c r="H26" s="302">
        <f t="shared" si="2"/>
        <v>0</v>
      </c>
      <c r="I26" s="302"/>
      <c r="J26" s="302"/>
      <c r="K26" s="302"/>
      <c r="L26" s="302">
        <f>L21+L25</f>
        <v>544400</v>
      </c>
      <c r="M26" s="302"/>
      <c r="N26" s="302">
        <f t="shared" si="3"/>
        <v>544400</v>
      </c>
      <c r="O26" s="303"/>
      <c r="P26" s="302">
        <f>P21+P25</f>
        <v>336950</v>
      </c>
      <c r="Q26" s="303"/>
      <c r="R26" s="303"/>
      <c r="S26" s="303"/>
      <c r="T26" s="302">
        <f>T21+T25</f>
        <v>336950</v>
      </c>
      <c r="U26" s="303">
        <f t="shared" si="5"/>
        <v>0</v>
      </c>
      <c r="V26" s="303"/>
      <c r="W26" s="303"/>
      <c r="X26" s="303"/>
      <c r="Y26" s="302">
        <f>Y21+Y25</f>
        <v>336950</v>
      </c>
      <c r="Z26" s="303">
        <f t="shared" si="6"/>
        <v>0</v>
      </c>
      <c r="AA26" s="303"/>
      <c r="AB26" s="303"/>
      <c r="AC26" s="303"/>
      <c r="AD26" s="303"/>
      <c r="AE26" s="302">
        <f>AE21+AE25</f>
        <v>333980</v>
      </c>
      <c r="AF26" s="302">
        <f t="shared" si="7"/>
        <v>-2970</v>
      </c>
      <c r="AG26" s="251"/>
      <c r="AH26" s="313"/>
      <c r="AI26" s="251">
        <f>AI21+AI25</f>
        <v>441400</v>
      </c>
      <c r="AJ26" s="303"/>
      <c r="AK26" s="302">
        <f>AK21+AK25</f>
        <v>445850</v>
      </c>
      <c r="AL26" s="303"/>
      <c r="AM26" s="302">
        <f>AM21+AM25</f>
        <v>450300</v>
      </c>
      <c r="AN26" s="303"/>
      <c r="AO26" s="302">
        <f>AO21+AO25</f>
        <v>756100</v>
      </c>
      <c r="AP26" s="302"/>
      <c r="AQ26" s="302">
        <f>AQ21+AQ25</f>
        <v>1161900</v>
      </c>
      <c r="AR26" s="304"/>
      <c r="AS26" s="302">
        <f>AS21+AS25</f>
        <v>467700</v>
      </c>
      <c r="AT26" s="304"/>
      <c r="AU26" s="302">
        <f>AU21+AU25</f>
        <v>223500</v>
      </c>
      <c r="AV26" s="304"/>
      <c r="AW26" s="302">
        <f>AW21+AW25</f>
        <v>727850</v>
      </c>
      <c r="AX26" s="304"/>
      <c r="AY26" s="302">
        <f>AY21+AY25</f>
        <v>1227850</v>
      </c>
      <c r="AZ26" s="304"/>
      <c r="BA26" s="305">
        <f>BA21+BA25</f>
        <v>1727850</v>
      </c>
    </row>
    <row r="27" spans="1:53" hidden="1" x14ac:dyDescent="0.25">
      <c r="A27" s="7"/>
    </row>
    <row r="28" spans="1:53" hidden="1" x14ac:dyDescent="0.25">
      <c r="A28" s="293" t="s">
        <v>1368</v>
      </c>
      <c r="B28" s="293"/>
      <c r="C28" s="293"/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  <c r="P28" s="293"/>
      <c r="Q28" s="294"/>
      <c r="R28" s="294"/>
      <c r="S28" s="294"/>
      <c r="T28" s="293"/>
      <c r="U28" s="294"/>
      <c r="V28" s="294"/>
      <c r="W28" s="294"/>
      <c r="X28" s="294"/>
      <c r="Y28" s="293"/>
      <c r="Z28" s="294"/>
      <c r="AA28" s="294"/>
      <c r="AB28" s="294"/>
      <c r="AC28" s="294"/>
      <c r="AD28" s="294"/>
      <c r="AE28" s="293"/>
      <c r="AF28" s="293"/>
      <c r="AG28" s="32"/>
      <c r="AH28" s="4"/>
      <c r="AI28" s="32"/>
      <c r="AJ28" s="294"/>
      <c r="AK28" s="293">
        <f>+AK18</f>
        <v>200000.04999999981</v>
      </c>
      <c r="AL28" s="293">
        <f t="shared" ref="AL28:BA28" si="8">+AL18</f>
        <v>0</v>
      </c>
      <c r="AM28" s="293">
        <f>+AM18</f>
        <v>200000.05125000002</v>
      </c>
      <c r="AN28" s="293">
        <f t="shared" si="8"/>
        <v>0</v>
      </c>
      <c r="AO28" s="293">
        <f t="shared" si="8"/>
        <v>5.2531249821186066E-2</v>
      </c>
      <c r="AP28" s="293">
        <f t="shared" si="8"/>
        <v>0</v>
      </c>
      <c r="AQ28" s="293">
        <f t="shared" si="8"/>
        <v>5.3844531299546361E-2</v>
      </c>
      <c r="AR28" s="293">
        <f t="shared" si="8"/>
        <v>0</v>
      </c>
      <c r="AS28" s="293">
        <f t="shared" si="8"/>
        <v>5.5190644692629576E-2</v>
      </c>
      <c r="AT28" s="293">
        <f t="shared" si="8"/>
        <v>0</v>
      </c>
      <c r="AU28" s="293">
        <f t="shared" si="8"/>
        <v>5.657041072845459E-2</v>
      </c>
      <c r="AV28" s="293">
        <f t="shared" si="8"/>
        <v>0</v>
      </c>
      <c r="AW28" s="293">
        <f t="shared" si="8"/>
        <v>5.7984671089798212E-2</v>
      </c>
      <c r="AX28" s="293">
        <f t="shared" si="8"/>
        <v>0</v>
      </c>
      <c r="AY28" s="293">
        <f t="shared" si="8"/>
        <v>5.9434287715703249E-2</v>
      </c>
      <c r="AZ28" s="293">
        <f t="shared" si="8"/>
        <v>0</v>
      </c>
      <c r="BA28" s="293">
        <f t="shared" si="8"/>
        <v>6.0920144664123654E-2</v>
      </c>
    </row>
    <row r="29" spans="1:53" hidden="1" x14ac:dyDescent="0.25">
      <c r="A29" s="293" t="s">
        <v>946</v>
      </c>
      <c r="B29" s="293"/>
      <c r="C29" s="293"/>
      <c r="D29" s="293"/>
      <c r="E29" s="293"/>
      <c r="F29" s="293"/>
      <c r="G29" s="293"/>
      <c r="H29" s="293"/>
      <c r="I29" s="293"/>
      <c r="J29" s="293"/>
      <c r="K29" s="293"/>
      <c r="L29" s="293"/>
      <c r="M29" s="293"/>
      <c r="N29" s="293"/>
      <c r="O29" s="294"/>
      <c r="P29" s="293"/>
      <c r="Q29" s="294"/>
      <c r="R29" s="294"/>
      <c r="S29" s="294"/>
      <c r="T29" s="293"/>
      <c r="U29" s="294"/>
      <c r="V29" s="294"/>
      <c r="W29" s="294"/>
      <c r="X29" s="294"/>
      <c r="Y29" s="293"/>
      <c r="Z29" s="294"/>
      <c r="AA29" s="294"/>
      <c r="AB29" s="294"/>
      <c r="AC29" s="294"/>
      <c r="AD29" s="294"/>
      <c r="AE29" s="293"/>
      <c r="AF29" s="293"/>
      <c r="AG29" s="32"/>
      <c r="AH29" s="4"/>
      <c r="AI29" s="32"/>
      <c r="AJ29" s="294"/>
      <c r="AK29" s="293"/>
      <c r="AL29" s="293"/>
      <c r="AM29" s="293"/>
      <c r="AN29" s="293"/>
      <c r="AO29" s="293"/>
      <c r="AP29" s="293"/>
      <c r="AQ29" s="293"/>
      <c r="AR29" s="293"/>
      <c r="AS29" s="293"/>
      <c r="AT29" s="293"/>
      <c r="AU29" s="293"/>
      <c r="AV29" s="293"/>
      <c r="AW29" s="293"/>
      <c r="AX29" s="293"/>
      <c r="AY29" s="293"/>
      <c r="AZ29" s="293"/>
      <c r="BA29" s="293"/>
    </row>
    <row r="30" spans="1:53" hidden="1" x14ac:dyDescent="0.25">
      <c r="A30" s="293" t="s">
        <v>1369</v>
      </c>
      <c r="B30" s="293"/>
      <c r="C30" s="293"/>
      <c r="D30" s="293"/>
      <c r="E30" s="293"/>
      <c r="F30" s="293"/>
      <c r="G30" s="293"/>
      <c r="H30" s="293"/>
      <c r="I30" s="293"/>
      <c r="J30" s="293"/>
      <c r="K30" s="293"/>
      <c r="L30" s="293"/>
      <c r="M30" s="293"/>
      <c r="N30" s="293"/>
      <c r="O30" s="294"/>
      <c r="P30" s="293"/>
      <c r="Q30" s="294"/>
      <c r="R30" s="294"/>
      <c r="S30" s="294"/>
      <c r="T30" s="293"/>
      <c r="U30" s="294"/>
      <c r="V30" s="294"/>
      <c r="W30" s="294"/>
      <c r="X30" s="294"/>
      <c r="Y30" s="293"/>
      <c r="Z30" s="294"/>
      <c r="AA30" s="294"/>
      <c r="AB30" s="294"/>
      <c r="AC30" s="294"/>
      <c r="AD30" s="294"/>
      <c r="AE30" s="293"/>
      <c r="AF30" s="293"/>
      <c r="AG30" s="32"/>
      <c r="AH30" s="4"/>
      <c r="AI30" s="32">
        <f>-B!AH1194</f>
        <v>0</v>
      </c>
      <c r="AJ30" s="293">
        <f>-B!AI1194</f>
        <v>0</v>
      </c>
      <c r="AK30" s="293">
        <f>-B!AJ1194</f>
        <v>-200000</v>
      </c>
      <c r="AL30" s="293">
        <f>-B!AK1194</f>
        <v>0</v>
      </c>
      <c r="AM30" s="293">
        <f>-B!AL1194</f>
        <v>-200000</v>
      </c>
      <c r="AN30" s="293">
        <f>-B!AM1194</f>
        <v>0</v>
      </c>
      <c r="AO30" s="293">
        <f>-B!AN1194</f>
        <v>0</v>
      </c>
      <c r="AP30" s="293">
        <f>-B!AO1194</f>
        <v>0</v>
      </c>
      <c r="AQ30" s="293">
        <f>-B!AP1194</f>
        <v>0</v>
      </c>
      <c r="AR30" s="293">
        <f>-B!AQ1194</f>
        <v>0</v>
      </c>
      <c r="AS30" s="293">
        <v>0</v>
      </c>
      <c r="AT30" s="293">
        <f>-B!AS1194</f>
        <v>0</v>
      </c>
      <c r="AU30" s="293">
        <f>-B!AT1194</f>
        <v>0</v>
      </c>
      <c r="AV30" s="293">
        <f>-B!AU1194</f>
        <v>0</v>
      </c>
      <c r="AW30" s="293">
        <f>-B!AV1194</f>
        <v>0</v>
      </c>
      <c r="AX30" s="293">
        <f>-B!AW1194</f>
        <v>0</v>
      </c>
      <c r="AY30" s="293">
        <f>-B!AX1194</f>
        <v>0</v>
      </c>
      <c r="AZ30" s="293">
        <f>-B!AY1194</f>
        <v>0</v>
      </c>
      <c r="BA30" s="293">
        <f>-B!AZ1194</f>
        <v>0</v>
      </c>
    </row>
    <row r="31" spans="1:53" hidden="1" x14ac:dyDescent="0.25">
      <c r="A31" s="293" t="s">
        <v>1370</v>
      </c>
      <c r="B31" s="293"/>
      <c r="C31" s="293"/>
      <c r="D31" s="293"/>
      <c r="E31" s="293"/>
      <c r="F31" s="293"/>
      <c r="G31" s="293"/>
      <c r="H31" s="293"/>
      <c r="I31" s="293"/>
      <c r="J31" s="293"/>
      <c r="K31" s="293"/>
      <c r="L31" s="293"/>
      <c r="M31" s="293"/>
      <c r="N31" s="293"/>
      <c r="O31" s="294"/>
      <c r="P31" s="293"/>
      <c r="Q31" s="294"/>
      <c r="R31" s="294"/>
      <c r="S31" s="294"/>
      <c r="T31" s="293"/>
      <c r="U31" s="294"/>
      <c r="V31" s="294"/>
      <c r="W31" s="294"/>
      <c r="X31" s="294"/>
      <c r="Y31" s="293"/>
      <c r="Z31" s="294"/>
      <c r="AA31" s="294"/>
      <c r="AB31" s="294"/>
      <c r="AC31" s="294"/>
      <c r="AD31" s="294"/>
      <c r="AE31" s="293"/>
      <c r="AF31" s="293"/>
      <c r="AG31" s="32"/>
      <c r="AH31" s="4"/>
      <c r="AI31" s="32"/>
      <c r="AJ31" s="294"/>
      <c r="AK31" s="293"/>
      <c r="AL31" s="293"/>
      <c r="AM31" s="293"/>
      <c r="AN31" s="293"/>
      <c r="AO31" s="293"/>
      <c r="AP31" s="293"/>
      <c r="AQ31" s="293"/>
      <c r="AR31" s="293"/>
      <c r="AS31" s="293"/>
      <c r="AT31" s="293"/>
      <c r="AU31" s="293"/>
      <c r="AV31" s="293"/>
      <c r="AW31" s="293"/>
      <c r="AX31" s="293"/>
      <c r="AY31" s="293"/>
      <c r="AZ31" s="293"/>
      <c r="BA31" s="293"/>
    </row>
    <row r="32" spans="1:53" hidden="1" x14ac:dyDescent="0.25">
      <c r="A32" s="293"/>
      <c r="B32" s="293"/>
      <c r="C32" s="293"/>
      <c r="D32" s="293"/>
      <c r="E32" s="293"/>
      <c r="F32" s="293"/>
      <c r="G32" s="293"/>
      <c r="H32" s="293"/>
      <c r="I32" s="293"/>
      <c r="J32" s="293"/>
      <c r="K32" s="293"/>
      <c r="L32" s="293"/>
      <c r="M32" s="293"/>
      <c r="N32" s="293"/>
      <c r="O32" s="294"/>
      <c r="P32" s="293"/>
      <c r="Q32" s="294"/>
      <c r="R32" s="294"/>
      <c r="S32" s="294"/>
      <c r="T32" s="293"/>
      <c r="U32" s="294"/>
      <c r="V32" s="294"/>
      <c r="W32" s="294"/>
      <c r="X32" s="294"/>
      <c r="Y32" s="293"/>
      <c r="Z32" s="294"/>
      <c r="AA32" s="294"/>
      <c r="AB32" s="294"/>
      <c r="AC32" s="294"/>
      <c r="AD32" s="294"/>
      <c r="AE32" s="293"/>
      <c r="AF32" s="293"/>
      <c r="AG32" s="32"/>
      <c r="AH32" s="4"/>
      <c r="AI32" s="32"/>
      <c r="AJ32" s="294"/>
      <c r="AK32" s="293"/>
      <c r="AL32" s="293"/>
      <c r="AM32" s="293"/>
      <c r="AN32" s="293"/>
      <c r="AO32" s="293"/>
      <c r="AP32" s="293"/>
      <c r="AQ32" s="293"/>
      <c r="AR32" s="293"/>
      <c r="AS32" s="293"/>
      <c r="AT32" s="293"/>
      <c r="AU32" s="293"/>
      <c r="AV32" s="293"/>
      <c r="AW32" s="293"/>
      <c r="AX32" s="293"/>
      <c r="AY32" s="293"/>
      <c r="AZ32" s="293"/>
      <c r="BA32" s="293"/>
    </row>
    <row r="33" spans="1:57" hidden="1" x14ac:dyDescent="0.25">
      <c r="A33" s="4"/>
      <c r="AI33" s="3">
        <f t="shared" ref="AI33" si="9">SUM(AI28:AI32)</f>
        <v>0</v>
      </c>
      <c r="AK33" s="3">
        <f>SUM(AK28:AK32)</f>
        <v>4.9999999813735485E-2</v>
      </c>
      <c r="AL33" s="3">
        <f t="shared" ref="AL33:BA33" si="10">SUM(AL28:AL32)</f>
        <v>0</v>
      </c>
      <c r="AM33" s="3">
        <f t="shared" si="10"/>
        <v>5.1250000018626451E-2</v>
      </c>
      <c r="AN33" s="3">
        <f t="shared" si="10"/>
        <v>0</v>
      </c>
      <c r="AO33" s="3">
        <f t="shared" si="10"/>
        <v>5.2531249821186066E-2</v>
      </c>
      <c r="AP33" s="3">
        <f t="shared" si="10"/>
        <v>0</v>
      </c>
      <c r="AQ33" s="3">
        <f t="shared" si="10"/>
        <v>5.3844531299546361E-2</v>
      </c>
      <c r="AR33" s="3">
        <f t="shared" si="10"/>
        <v>0</v>
      </c>
      <c r="AS33" s="3">
        <f t="shared" si="10"/>
        <v>5.5190644692629576E-2</v>
      </c>
      <c r="AT33" s="3">
        <f t="shared" si="10"/>
        <v>0</v>
      </c>
      <c r="AU33" s="3">
        <f t="shared" si="10"/>
        <v>5.657041072845459E-2</v>
      </c>
      <c r="AV33" s="3">
        <f t="shared" si="10"/>
        <v>0</v>
      </c>
      <c r="AW33" s="3">
        <f t="shared" si="10"/>
        <v>5.7984671089798212E-2</v>
      </c>
      <c r="AX33" s="3">
        <f t="shared" si="10"/>
        <v>0</v>
      </c>
      <c r="AY33" s="3">
        <f t="shared" si="10"/>
        <v>5.9434287715703249E-2</v>
      </c>
      <c r="AZ33" s="3">
        <f t="shared" si="10"/>
        <v>0</v>
      </c>
      <c r="BA33" s="3">
        <f t="shared" si="10"/>
        <v>6.0920144664123654E-2</v>
      </c>
    </row>
    <row r="34" spans="1:57" x14ac:dyDescent="0.25">
      <c r="A34" s="461" t="s">
        <v>1245</v>
      </c>
      <c r="B34" s="461"/>
      <c r="C34" s="461"/>
      <c r="D34" s="461"/>
      <c r="E34" s="461"/>
      <c r="F34" s="461"/>
      <c r="G34" s="461"/>
      <c r="H34" s="461"/>
      <c r="I34" s="461"/>
      <c r="J34" s="461"/>
      <c r="K34" s="461"/>
      <c r="L34" s="461"/>
      <c r="M34" s="461"/>
      <c r="N34" s="461"/>
      <c r="O34" s="461"/>
      <c r="P34" s="461"/>
      <c r="Q34" s="461"/>
      <c r="R34" s="461"/>
      <c r="S34" s="461"/>
      <c r="T34" s="461"/>
      <c r="U34" s="461"/>
      <c r="V34" s="461"/>
      <c r="W34" s="461"/>
      <c r="X34" s="461"/>
      <c r="Y34" s="461"/>
      <c r="Z34" s="461"/>
      <c r="AA34" s="461"/>
      <c r="AB34" s="461"/>
      <c r="AC34" s="461"/>
      <c r="AD34" s="461"/>
      <c r="AE34" s="461"/>
      <c r="AF34" s="461"/>
      <c r="AG34" s="461"/>
      <c r="AH34" s="461"/>
      <c r="AI34" s="461"/>
      <c r="AJ34" s="461"/>
      <c r="AK34" s="461"/>
      <c r="AL34" s="461"/>
      <c r="AM34" s="461"/>
      <c r="AN34" s="461"/>
      <c r="AO34" s="461"/>
      <c r="AP34" s="461"/>
      <c r="AQ34" s="461"/>
      <c r="AR34" s="461"/>
      <c r="AS34" s="461"/>
      <c r="AT34" s="461"/>
      <c r="AU34" s="461"/>
      <c r="AV34" s="461"/>
      <c r="AW34" s="461"/>
      <c r="AX34" s="461"/>
      <c r="AY34" s="461"/>
      <c r="AZ34" s="461"/>
      <c r="BA34" s="461"/>
      <c r="BB34" s="461"/>
      <c r="BC34" s="461"/>
      <c r="BD34" s="461"/>
      <c r="BE34" s="461"/>
    </row>
    <row r="35" spans="1:57" x14ac:dyDescent="0.25">
      <c r="A35" s="7"/>
    </row>
    <row r="36" spans="1:57" x14ac:dyDescent="0.25">
      <c r="A36" s="259" t="s">
        <v>1231</v>
      </c>
    </row>
    <row r="37" spans="1:57" x14ac:dyDescent="0.25">
      <c r="A37" s="7" t="s">
        <v>807</v>
      </c>
      <c r="B37" s="3">
        <f>158800-6300</f>
        <v>152500</v>
      </c>
      <c r="E37" s="3">
        <f>F37-D37</f>
        <v>152500</v>
      </c>
      <c r="F37" s="3">
        <f>158800-6300</f>
        <v>152500</v>
      </c>
      <c r="H37" s="3">
        <f>F37-B37</f>
        <v>0</v>
      </c>
      <c r="J37" s="3">
        <v>84665</v>
      </c>
      <c r="K37" s="4">
        <f>L37-J37</f>
        <v>75335</v>
      </c>
      <c r="L37" s="4">
        <v>160000</v>
      </c>
      <c r="N37" s="4">
        <f>L37-F37</f>
        <v>7500</v>
      </c>
      <c r="P37" s="3">
        <f>L37*1.1</f>
        <v>176000</v>
      </c>
      <c r="R37" s="3">
        <v>0</v>
      </c>
      <c r="S37" s="3">
        <f>T37-R37</f>
        <v>176000</v>
      </c>
      <c r="T37" s="3">
        <v>176000</v>
      </c>
      <c r="U37" s="3">
        <f>T37-P37</f>
        <v>0</v>
      </c>
      <c r="V37" s="3">
        <v>94500</v>
      </c>
      <c r="W37" s="3">
        <f>Y37-V37</f>
        <v>85500</v>
      </c>
      <c r="Y37" s="3">
        <v>180000</v>
      </c>
      <c r="Z37" s="3">
        <f>Y37-T37</f>
        <v>4000</v>
      </c>
      <c r="AC37" s="3">
        <v>91308</v>
      </c>
      <c r="AD37" s="3">
        <f>AE37-AC37</f>
        <v>88692</v>
      </c>
      <c r="AE37" s="3">
        <v>180000</v>
      </c>
      <c r="AF37" s="3">
        <f>AE37-Y37</f>
        <v>0</v>
      </c>
      <c r="AI37" s="3">
        <f>P37*1.1+4000</f>
        <v>197600.00000000003</v>
      </c>
      <c r="AK37" s="3">
        <f t="shared" ref="AK37:AM38" si="11">AI37*1.1</f>
        <v>217360.00000000006</v>
      </c>
      <c r="AL37" s="3">
        <f t="shared" si="11"/>
        <v>0</v>
      </c>
      <c r="AM37" s="3">
        <f t="shared" si="11"/>
        <v>239096.00000000009</v>
      </c>
      <c r="AO37" s="3">
        <f>AM37*1.075</f>
        <v>257028.20000000007</v>
      </c>
      <c r="AQ37" s="3">
        <f>AO37*1.075</f>
        <v>276305.31500000006</v>
      </c>
      <c r="AS37" s="3">
        <f>AQ37*1.05</f>
        <v>290120.58075000008</v>
      </c>
      <c r="AU37" s="3">
        <f>AS37*1.05</f>
        <v>304626.60978750011</v>
      </c>
      <c r="AW37" s="3">
        <f>AU37*1.05</f>
        <v>319857.94027687516</v>
      </c>
      <c r="AY37" s="3">
        <f>AW37*1.05</f>
        <v>335850.83729071892</v>
      </c>
      <c r="BA37" s="3">
        <f>AY37*1.05</f>
        <v>352643.37915525486</v>
      </c>
      <c r="BC37" s="3">
        <f>BA37*1.05</f>
        <v>370275.54811301763</v>
      </c>
      <c r="BE37" s="3">
        <f>BC37*1.05</f>
        <v>388789.32551866851</v>
      </c>
    </row>
    <row r="38" spans="1:57" x14ac:dyDescent="0.25">
      <c r="A38" s="7" t="s">
        <v>808</v>
      </c>
      <c r="B38" s="3">
        <f>489230 -41730</f>
        <v>447500</v>
      </c>
      <c r="D38" s="3">
        <v>-37</v>
      </c>
      <c r="E38" s="3">
        <f>F38-D38</f>
        <v>447537</v>
      </c>
      <c r="F38" s="3">
        <f>489230 -41730</f>
        <v>447500</v>
      </c>
      <c r="H38" s="3">
        <f>F38-B38</f>
        <v>0</v>
      </c>
      <c r="J38" s="3">
        <v>166691</v>
      </c>
      <c r="K38" s="4">
        <f>L38-J38</f>
        <v>243309</v>
      </c>
      <c r="L38" s="4">
        <v>410000</v>
      </c>
      <c r="N38" s="4">
        <f>L38-F38</f>
        <v>-37500</v>
      </c>
      <c r="P38" s="3">
        <f>L38*1.1</f>
        <v>451000.00000000006</v>
      </c>
      <c r="R38" s="3">
        <v>0</v>
      </c>
      <c r="S38" s="3">
        <f>T38-R38</f>
        <v>451000</v>
      </c>
      <c r="T38" s="3">
        <v>451000</v>
      </c>
      <c r="U38" s="3">
        <f>T38-P38</f>
        <v>0</v>
      </c>
      <c r="V38" s="3">
        <v>239411</v>
      </c>
      <c r="W38" s="3">
        <f>Y38-V38</f>
        <v>230589</v>
      </c>
      <c r="Y38" s="3">
        <v>470000</v>
      </c>
      <c r="Z38" s="3">
        <f>Y38-T38</f>
        <v>19000</v>
      </c>
      <c r="AC38" s="3">
        <v>222238</v>
      </c>
      <c r="AD38" s="3">
        <f>AE38-AC38</f>
        <v>247762</v>
      </c>
      <c r="AE38" s="3">
        <v>470000</v>
      </c>
      <c r="AF38" s="3">
        <f>AE38-Y38</f>
        <v>0</v>
      </c>
      <c r="AI38" s="3">
        <f>P38*1.1+7000</f>
        <v>503100.00000000012</v>
      </c>
      <c r="AK38" s="3">
        <f t="shared" si="11"/>
        <v>553410.00000000012</v>
      </c>
      <c r="AL38" s="3">
        <f t="shared" si="11"/>
        <v>0</v>
      </c>
      <c r="AM38" s="3">
        <f t="shared" si="11"/>
        <v>608751.00000000023</v>
      </c>
      <c r="AO38" s="3">
        <f>AM38*1.075</f>
        <v>654407.32500000019</v>
      </c>
      <c r="AQ38" s="3">
        <f>AO38*1.075</f>
        <v>703487.87437500013</v>
      </c>
      <c r="AS38" s="3">
        <f>AQ38*1.05</f>
        <v>738662.26809375011</v>
      </c>
      <c r="AU38" s="3">
        <f>AS38*1.05</f>
        <v>775595.38149843761</v>
      </c>
      <c r="AW38" s="3">
        <f>AU38*1.05</f>
        <v>814375.15057335957</v>
      </c>
      <c r="AY38" s="3">
        <f>AW38*1.05</f>
        <v>855093.90810202761</v>
      </c>
      <c r="BA38" s="3">
        <f>AY38*1.05</f>
        <v>897848.60350712901</v>
      </c>
      <c r="BC38" s="3">
        <f>BA38*1.05</f>
        <v>942741.03368248546</v>
      </c>
      <c r="BE38" s="3">
        <f>BC38*1.05</f>
        <v>989878.08536660974</v>
      </c>
    </row>
    <row r="39" spans="1:57" x14ac:dyDescent="0.25">
      <c r="A39" s="7"/>
      <c r="B39" s="247">
        <f>SUM(B37:B38)</f>
        <v>600000</v>
      </c>
      <c r="C39" s="32"/>
      <c r="D39" s="247">
        <f>SUM(D37:D38)</f>
        <v>-37</v>
      </c>
      <c r="E39" s="247">
        <f>SUM(E37:E38)</f>
        <v>600037</v>
      </c>
      <c r="F39" s="247">
        <f>SUM(F37:F38)</f>
        <v>600000</v>
      </c>
      <c r="G39" s="32"/>
      <c r="H39" s="247">
        <f>SUM(H37:H38)</f>
        <v>0</v>
      </c>
      <c r="I39" s="32"/>
      <c r="J39" s="247">
        <f>SUM(J37:J38)</f>
        <v>251356</v>
      </c>
      <c r="K39" s="247">
        <f>SUM(K37:K38)</f>
        <v>318644</v>
      </c>
      <c r="L39" s="247">
        <f>SUM(L37:L38)</f>
        <v>570000</v>
      </c>
      <c r="M39" s="32"/>
      <c r="N39" s="247">
        <f>SUM(N37:N38)</f>
        <v>-30000</v>
      </c>
      <c r="P39" s="247">
        <f>SUM(P37:P38)</f>
        <v>627000</v>
      </c>
      <c r="R39" s="247">
        <f t="shared" ref="R39:Z39" si="12">SUM(R37:R38)</f>
        <v>0</v>
      </c>
      <c r="S39" s="247">
        <f t="shared" si="12"/>
        <v>627000</v>
      </c>
      <c r="T39" s="247">
        <f t="shared" si="12"/>
        <v>627000</v>
      </c>
      <c r="U39" s="247">
        <f t="shared" si="12"/>
        <v>0</v>
      </c>
      <c r="V39" s="247">
        <f t="shared" si="12"/>
        <v>333911</v>
      </c>
      <c r="W39" s="247">
        <f t="shared" si="12"/>
        <v>316089</v>
      </c>
      <c r="X39" s="247"/>
      <c r="Y39" s="247">
        <f t="shared" si="12"/>
        <v>650000</v>
      </c>
      <c r="Z39" s="247">
        <f t="shared" si="12"/>
        <v>23000</v>
      </c>
      <c r="AC39" s="247">
        <f>SUM(AC37:AC38)</f>
        <v>313546</v>
      </c>
      <c r="AD39" s="247">
        <f>SUM(AD37:AD38)</f>
        <v>336454</v>
      </c>
      <c r="AE39" s="247">
        <f>SUM(AE37:AE38)</f>
        <v>650000</v>
      </c>
      <c r="AF39" s="247">
        <f>SUM(AF37:AF38)</f>
        <v>0</v>
      </c>
      <c r="AG39" s="32"/>
      <c r="AI39" s="247">
        <f>SUM(AI37:AI38)</f>
        <v>700700.00000000012</v>
      </c>
      <c r="AK39" s="247">
        <f>SUM(AK37:AK38)</f>
        <v>770770.00000000023</v>
      </c>
      <c r="AM39" s="247">
        <f>SUM(AM37:AM38)</f>
        <v>847847.00000000035</v>
      </c>
      <c r="AO39" s="247">
        <f>SUM(AO37:AO38)</f>
        <v>911435.52500000026</v>
      </c>
      <c r="AP39" s="247"/>
      <c r="AQ39" s="247">
        <f>SUM(AQ37:AQ38)</f>
        <v>979793.18937500019</v>
      </c>
      <c r="AS39" s="247">
        <f>SUM(AS37:AS38)</f>
        <v>1028782.8488437502</v>
      </c>
      <c r="AU39" s="247">
        <f>SUM(AU37:AU38)</f>
        <v>1080221.9912859378</v>
      </c>
      <c r="AW39" s="247">
        <f>SUM(AW37:AW38)</f>
        <v>1134233.0908502347</v>
      </c>
      <c r="AY39" s="247">
        <f>SUM(AY37:AY38)</f>
        <v>1190944.7453927465</v>
      </c>
      <c r="BA39" s="247">
        <f>SUM(BA37:BA38)</f>
        <v>1250491.9826623839</v>
      </c>
      <c r="BC39" s="247">
        <f>SUM(BC37:BC38)</f>
        <v>1313016.5817955032</v>
      </c>
      <c r="BE39" s="247">
        <f>SUM(BE37:BE38)</f>
        <v>1378667.4108852781</v>
      </c>
    </row>
    <row r="40" spans="1:57" x14ac:dyDescent="0.25">
      <c r="A40" s="7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P40" s="32"/>
      <c r="R40" s="32"/>
      <c r="S40" s="32"/>
      <c r="T40" s="32"/>
      <c r="U40" s="32"/>
      <c r="V40" s="32"/>
      <c r="W40" s="32"/>
      <c r="X40" s="32"/>
      <c r="Y40" s="32"/>
      <c r="Z40" s="32"/>
      <c r="AC40" s="32"/>
      <c r="AD40" s="32"/>
      <c r="AE40" s="32"/>
      <c r="AF40" s="32"/>
      <c r="AG40" s="32"/>
      <c r="AI40" s="32"/>
      <c r="AK40" s="32"/>
      <c r="AM40" s="32"/>
      <c r="AO40" s="32"/>
      <c r="AP40" s="32"/>
      <c r="AQ40" s="32"/>
      <c r="AS40" s="32"/>
      <c r="AU40" s="32"/>
      <c r="AW40" s="32"/>
      <c r="AY40" s="32"/>
      <c r="BA40" s="32"/>
      <c r="BC40" s="32"/>
      <c r="BE40" s="32"/>
    </row>
    <row r="41" spans="1:57" hidden="1" outlineLevel="1" x14ac:dyDescent="0.25">
      <c r="A41" s="7" t="s">
        <v>809</v>
      </c>
      <c r="BC41" s="3"/>
      <c r="BE41" s="3"/>
    </row>
    <row r="42" spans="1:57" hidden="1" outlineLevel="1" x14ac:dyDescent="0.25">
      <c r="A42" s="3" t="s">
        <v>810</v>
      </c>
      <c r="B42" s="3">
        <v>8200</v>
      </c>
      <c r="D42" s="3">
        <v>840</v>
      </c>
      <c r="E42" s="3">
        <f t="shared" ref="E42:E57" si="13">F42-D42</f>
        <v>7360</v>
      </c>
      <c r="F42" s="3">
        <v>8200</v>
      </c>
      <c r="H42" s="3">
        <f t="shared" ref="H42:H57" si="14">F42-B42</f>
        <v>0</v>
      </c>
      <c r="J42" s="3">
        <v>9894</v>
      </c>
      <c r="K42" s="4">
        <f t="shared" ref="K42:K57" si="15">L42-J42</f>
        <v>3306</v>
      </c>
      <c r="L42" s="4">
        <v>13200</v>
      </c>
      <c r="N42" s="4">
        <f t="shared" ref="N42:N57" si="16">L42-F42</f>
        <v>5000</v>
      </c>
      <c r="P42" s="3">
        <f>L42*1.025</f>
        <v>13529.999999999998</v>
      </c>
      <c r="R42" s="3">
        <v>890</v>
      </c>
      <c r="S42" s="3">
        <f t="shared" ref="S42:S57" si="17">T42-R42</f>
        <v>12640</v>
      </c>
      <c r="T42" s="3">
        <v>13530</v>
      </c>
      <c r="U42" s="3">
        <f t="shared" ref="U42:U57" si="18">T42-P42</f>
        <v>0</v>
      </c>
      <c r="V42" s="3">
        <v>2995</v>
      </c>
      <c r="W42" s="3">
        <f t="shared" ref="W42:W57" si="19">Y42-V42</f>
        <v>4005</v>
      </c>
      <c r="Y42" s="3">
        <v>7000</v>
      </c>
      <c r="Z42" s="3">
        <f t="shared" ref="Z42:Z57" si="20">Y42-T42</f>
        <v>-6530</v>
      </c>
      <c r="AC42" s="3">
        <v>2995</v>
      </c>
      <c r="AD42" s="3">
        <f t="shared" ref="AD42:AD57" si="21">AE42-AC42</f>
        <v>1505</v>
      </c>
      <c r="AE42" s="3">
        <v>4500</v>
      </c>
      <c r="AF42" s="3">
        <f t="shared" ref="AF42:AF57" si="22">AE42-Y42</f>
        <v>-2500</v>
      </c>
      <c r="AI42" s="3">
        <f>AE42*1.025-13</f>
        <v>4599.5</v>
      </c>
      <c r="AK42" s="3">
        <f t="shared" ref="AK42:AY42" si="23">AI42*1.025</f>
        <v>4714.4874999999993</v>
      </c>
      <c r="AL42" s="3">
        <f t="shared" si="23"/>
        <v>0</v>
      </c>
      <c r="AM42" s="3">
        <f t="shared" si="23"/>
        <v>4832.3496874999992</v>
      </c>
      <c r="AN42" s="3">
        <f t="shared" si="23"/>
        <v>0</v>
      </c>
      <c r="AO42" s="3">
        <f t="shared" si="23"/>
        <v>4953.1584296874989</v>
      </c>
      <c r="AQ42" s="3">
        <f>AO42*1.025</f>
        <v>5076.9873904296855</v>
      </c>
      <c r="AR42" s="3"/>
      <c r="AS42" s="3">
        <f t="shared" si="23"/>
        <v>5203.9120751904275</v>
      </c>
      <c r="AT42" s="3">
        <f t="shared" si="23"/>
        <v>0</v>
      </c>
      <c r="AU42" s="3">
        <f t="shared" si="23"/>
        <v>5334.0098770701879</v>
      </c>
      <c r="AV42" s="3"/>
      <c r="AW42" s="3">
        <f t="shared" si="23"/>
        <v>5467.3601239969421</v>
      </c>
      <c r="AX42" s="3"/>
      <c r="AY42" s="3">
        <f t="shared" si="23"/>
        <v>5604.0441270968649</v>
      </c>
      <c r="BA42" s="3">
        <f t="shared" ref="AK42:BE46" si="24">AY42*1.025</f>
        <v>5744.1452302742864</v>
      </c>
      <c r="BC42" s="3">
        <f t="shared" si="24"/>
        <v>5887.748861031143</v>
      </c>
      <c r="BE42" s="3">
        <f t="shared" si="24"/>
        <v>6034.9425825569206</v>
      </c>
    </row>
    <row r="43" spans="1:57" hidden="1" outlineLevel="1" x14ac:dyDescent="0.25">
      <c r="A43" s="3" t="s">
        <v>811</v>
      </c>
      <c r="B43" s="3">
        <v>1650</v>
      </c>
      <c r="D43" s="3">
        <v>624</v>
      </c>
      <c r="E43" s="3">
        <f t="shared" si="13"/>
        <v>1026</v>
      </c>
      <c r="F43" s="3">
        <v>1650</v>
      </c>
      <c r="H43" s="3">
        <f t="shared" si="14"/>
        <v>0</v>
      </c>
      <c r="J43" s="3">
        <v>1281</v>
      </c>
      <c r="K43" s="4">
        <f t="shared" si="15"/>
        <v>519</v>
      </c>
      <c r="L43" s="4">
        <v>1800</v>
      </c>
      <c r="N43" s="4">
        <f t="shared" si="16"/>
        <v>150</v>
      </c>
      <c r="P43" s="3">
        <f>L43*1.025+5</f>
        <v>1849.9999999999998</v>
      </c>
      <c r="R43" s="3">
        <v>790</v>
      </c>
      <c r="S43" s="3">
        <f t="shared" si="17"/>
        <v>1060</v>
      </c>
      <c r="T43" s="3">
        <v>1850</v>
      </c>
      <c r="U43" s="3">
        <f t="shared" si="18"/>
        <v>0</v>
      </c>
      <c r="V43" s="3">
        <v>1303</v>
      </c>
      <c r="W43" s="3">
        <f t="shared" si="19"/>
        <v>697</v>
      </c>
      <c r="Y43" s="3">
        <v>2000</v>
      </c>
      <c r="Z43" s="3">
        <f t="shared" si="20"/>
        <v>150</v>
      </c>
      <c r="AC43" s="3">
        <v>2289</v>
      </c>
      <c r="AD43" s="3">
        <f t="shared" si="21"/>
        <v>511</v>
      </c>
      <c r="AE43" s="3">
        <v>2800</v>
      </c>
      <c r="AF43" s="3">
        <f t="shared" si="22"/>
        <v>800</v>
      </c>
      <c r="AI43" s="3">
        <f>AE43*1.025</f>
        <v>2869.9999999999995</v>
      </c>
      <c r="AK43" s="3">
        <f t="shared" si="24"/>
        <v>2941.7499999999991</v>
      </c>
      <c r="AL43" s="3">
        <f t="shared" si="24"/>
        <v>0</v>
      </c>
      <c r="AM43" s="3">
        <f t="shared" si="24"/>
        <v>3015.2937499999989</v>
      </c>
      <c r="AN43" s="3">
        <f t="shared" si="24"/>
        <v>0</v>
      </c>
      <c r="AO43" s="3">
        <f t="shared" si="24"/>
        <v>3090.6760937499985</v>
      </c>
      <c r="AQ43" s="3">
        <f>AO43*1.025</f>
        <v>3167.9429960937482</v>
      </c>
      <c r="AR43" s="3"/>
      <c r="AS43" s="3">
        <f t="shared" si="24"/>
        <v>3247.1415709960916</v>
      </c>
      <c r="AT43" s="3">
        <f t="shared" si="24"/>
        <v>0</v>
      </c>
      <c r="AU43" s="3">
        <f t="shared" si="24"/>
        <v>3328.3201102709936</v>
      </c>
      <c r="AV43" s="3"/>
      <c r="AW43" s="3">
        <f t="shared" si="24"/>
        <v>3411.5281130277681</v>
      </c>
      <c r="AX43" s="3"/>
      <c r="AY43" s="3">
        <f t="shared" si="24"/>
        <v>3496.8163158534621</v>
      </c>
      <c r="BA43" s="3">
        <f t="shared" si="24"/>
        <v>3584.2367237497983</v>
      </c>
      <c r="BC43" s="3">
        <f t="shared" si="24"/>
        <v>3673.8426418435429</v>
      </c>
      <c r="BE43" s="3">
        <f t="shared" si="24"/>
        <v>3765.6887078896311</v>
      </c>
    </row>
    <row r="44" spans="1:57" hidden="1" outlineLevel="1" x14ac:dyDescent="0.25">
      <c r="A44" s="3" t="s">
        <v>812</v>
      </c>
      <c r="E44" s="3">
        <f t="shared" si="13"/>
        <v>0</v>
      </c>
      <c r="H44" s="3">
        <f t="shared" si="14"/>
        <v>0</v>
      </c>
      <c r="K44" s="4">
        <f t="shared" si="15"/>
        <v>0</v>
      </c>
      <c r="L44" s="4"/>
      <c r="N44" s="4">
        <f t="shared" si="16"/>
        <v>0</v>
      </c>
      <c r="S44" s="3">
        <f t="shared" si="17"/>
        <v>0</v>
      </c>
      <c r="U44" s="3">
        <f t="shared" si="18"/>
        <v>0</v>
      </c>
      <c r="W44" s="3">
        <f t="shared" si="19"/>
        <v>0</v>
      </c>
      <c r="Z44" s="3">
        <f t="shared" si="20"/>
        <v>0</v>
      </c>
      <c r="AD44" s="3">
        <f t="shared" si="21"/>
        <v>0</v>
      </c>
      <c r="AF44" s="3">
        <f t="shared" si="22"/>
        <v>0</v>
      </c>
      <c r="AI44" s="3">
        <f>P44*1.025</f>
        <v>0</v>
      </c>
      <c r="AK44" s="3">
        <f t="shared" si="24"/>
        <v>0</v>
      </c>
      <c r="AL44" s="3">
        <f t="shared" si="24"/>
        <v>0</v>
      </c>
      <c r="AM44" s="3">
        <f t="shared" si="24"/>
        <v>0</v>
      </c>
      <c r="AN44" s="3">
        <f t="shared" si="24"/>
        <v>0</v>
      </c>
      <c r="AO44" s="3">
        <f t="shared" si="24"/>
        <v>0</v>
      </c>
      <c r="AQ44" s="3">
        <f>AO44*1.025</f>
        <v>0</v>
      </c>
      <c r="AR44" s="3"/>
      <c r="AS44" s="3">
        <f t="shared" si="24"/>
        <v>0</v>
      </c>
      <c r="AT44" s="3">
        <f t="shared" si="24"/>
        <v>0</v>
      </c>
      <c r="AU44" s="3">
        <f t="shared" si="24"/>
        <v>0</v>
      </c>
      <c r="AV44" s="3"/>
      <c r="AW44" s="3">
        <f t="shared" si="24"/>
        <v>0</v>
      </c>
      <c r="AX44" s="3"/>
      <c r="AY44" s="3">
        <f t="shared" si="24"/>
        <v>0</v>
      </c>
      <c r="BA44" s="3">
        <f t="shared" si="24"/>
        <v>0</v>
      </c>
      <c r="BC44" s="3">
        <f t="shared" si="24"/>
        <v>0</v>
      </c>
      <c r="BE44" s="3">
        <f t="shared" si="24"/>
        <v>0</v>
      </c>
    </row>
    <row r="45" spans="1:57" hidden="1" outlineLevel="1" x14ac:dyDescent="0.25">
      <c r="A45" s="3" t="s">
        <v>813</v>
      </c>
      <c r="B45" s="3">
        <v>300</v>
      </c>
      <c r="E45" s="3">
        <f t="shared" si="13"/>
        <v>300</v>
      </c>
      <c r="F45" s="3">
        <v>300</v>
      </c>
      <c r="H45" s="3">
        <f t="shared" si="14"/>
        <v>0</v>
      </c>
      <c r="J45" s="3">
        <v>225</v>
      </c>
      <c r="K45" s="4">
        <f t="shared" si="15"/>
        <v>75</v>
      </c>
      <c r="L45" s="4">
        <v>300</v>
      </c>
      <c r="N45" s="4">
        <f t="shared" si="16"/>
        <v>0</v>
      </c>
      <c r="P45" s="3">
        <f>L45*1.025-8</f>
        <v>299.5</v>
      </c>
      <c r="S45" s="3">
        <f t="shared" si="17"/>
        <v>300</v>
      </c>
      <c r="T45" s="3">
        <v>300</v>
      </c>
      <c r="U45" s="3">
        <f t="shared" si="18"/>
        <v>0.5</v>
      </c>
      <c r="W45" s="3">
        <f t="shared" si="19"/>
        <v>300</v>
      </c>
      <c r="Y45" s="3">
        <v>300</v>
      </c>
      <c r="Z45" s="3">
        <f t="shared" si="20"/>
        <v>0</v>
      </c>
      <c r="AC45" s="3">
        <v>200</v>
      </c>
      <c r="AD45" s="3">
        <f t="shared" si="21"/>
        <v>100</v>
      </c>
      <c r="AE45" s="3">
        <v>300</v>
      </c>
      <c r="AF45" s="3">
        <f t="shared" si="22"/>
        <v>0</v>
      </c>
      <c r="AI45" s="3">
        <f>AE45*1.025-8</f>
        <v>299.5</v>
      </c>
      <c r="AK45" s="3">
        <f t="shared" si="24"/>
        <v>306.98749999999995</v>
      </c>
      <c r="AL45" s="3">
        <f t="shared" si="24"/>
        <v>0</v>
      </c>
      <c r="AM45" s="3">
        <f t="shared" si="24"/>
        <v>314.6621874999999</v>
      </c>
      <c r="AN45" s="3">
        <f t="shared" si="24"/>
        <v>0</v>
      </c>
      <c r="AO45" s="3">
        <f t="shared" si="24"/>
        <v>322.52874218749986</v>
      </c>
      <c r="AQ45" s="3">
        <f>AO45*1.025</f>
        <v>330.59196074218733</v>
      </c>
      <c r="AR45" s="3"/>
      <c r="AS45" s="3">
        <f t="shared" si="24"/>
        <v>338.85675976074197</v>
      </c>
      <c r="AT45" s="3">
        <f t="shared" si="24"/>
        <v>0</v>
      </c>
      <c r="AU45" s="3">
        <f t="shared" si="24"/>
        <v>347.32817875476047</v>
      </c>
      <c r="AV45" s="3"/>
      <c r="AW45" s="3">
        <f t="shared" si="24"/>
        <v>356.01138322362948</v>
      </c>
      <c r="AX45" s="3"/>
      <c r="AY45" s="3">
        <f t="shared" si="24"/>
        <v>364.9116678042202</v>
      </c>
      <c r="BA45" s="3">
        <f t="shared" si="24"/>
        <v>374.03445949932569</v>
      </c>
      <c r="BC45" s="3">
        <f t="shared" si="24"/>
        <v>383.38532098680878</v>
      </c>
      <c r="BE45" s="3">
        <f t="shared" si="24"/>
        <v>392.96995401147899</v>
      </c>
    </row>
    <row r="46" spans="1:57" hidden="1" outlineLevel="1" x14ac:dyDescent="0.25">
      <c r="A46" s="3" t="s">
        <v>814</v>
      </c>
      <c r="B46" s="3">
        <v>3500</v>
      </c>
      <c r="D46" s="3">
        <v>497</v>
      </c>
      <c r="E46" s="3">
        <f t="shared" si="13"/>
        <v>3003</v>
      </c>
      <c r="F46" s="3">
        <v>3500</v>
      </c>
      <c r="H46" s="3">
        <f t="shared" si="14"/>
        <v>0</v>
      </c>
      <c r="J46" s="3">
        <v>1182</v>
      </c>
      <c r="K46" s="4">
        <f t="shared" si="15"/>
        <v>1318</v>
      </c>
      <c r="L46" s="4">
        <v>2500</v>
      </c>
      <c r="N46" s="4">
        <f t="shared" si="16"/>
        <v>-1000</v>
      </c>
      <c r="P46" s="3">
        <f>L46*1.025+37</f>
        <v>2599.5</v>
      </c>
      <c r="R46" s="3">
        <v>1050</v>
      </c>
      <c r="S46" s="3">
        <f t="shared" si="17"/>
        <v>1550</v>
      </c>
      <c r="T46" s="3">
        <v>2600</v>
      </c>
      <c r="U46" s="3">
        <f t="shared" si="18"/>
        <v>0.5</v>
      </c>
      <c r="V46" s="3">
        <v>1918</v>
      </c>
      <c r="W46" s="3">
        <f t="shared" si="19"/>
        <v>1082</v>
      </c>
      <c r="Y46" s="3">
        <v>3000</v>
      </c>
      <c r="Z46" s="3">
        <f t="shared" si="20"/>
        <v>400</v>
      </c>
      <c r="AC46" s="3">
        <v>3080</v>
      </c>
      <c r="AD46" s="3">
        <f t="shared" si="21"/>
        <v>420</v>
      </c>
      <c r="AE46" s="3">
        <v>3500</v>
      </c>
      <c r="AF46" s="3">
        <f t="shared" si="22"/>
        <v>500</v>
      </c>
      <c r="AI46" s="3">
        <f>AE46*1.025+12</f>
        <v>3599.4999999999995</v>
      </c>
      <c r="AK46" s="3">
        <f t="shared" si="24"/>
        <v>3689.4874999999993</v>
      </c>
      <c r="AL46" s="3">
        <f t="shared" si="24"/>
        <v>0</v>
      </c>
      <c r="AM46" s="3">
        <f t="shared" si="24"/>
        <v>3781.7246874999987</v>
      </c>
      <c r="AN46" s="3">
        <f t="shared" si="24"/>
        <v>0</v>
      </c>
      <c r="AO46" s="3">
        <f t="shared" si="24"/>
        <v>3876.2678046874985</v>
      </c>
      <c r="AQ46" s="3">
        <f>AO46*1.025</f>
        <v>3973.1744998046856</v>
      </c>
      <c r="AR46" s="3"/>
      <c r="AS46" s="3">
        <f t="shared" si="24"/>
        <v>4072.5038622998022</v>
      </c>
      <c r="AT46" s="3">
        <f t="shared" si="24"/>
        <v>0</v>
      </c>
      <c r="AU46" s="3">
        <f t="shared" si="24"/>
        <v>4174.3164588572972</v>
      </c>
      <c r="AV46" s="3"/>
      <c r="AW46" s="3">
        <f t="shared" si="24"/>
        <v>4278.6743703287293</v>
      </c>
      <c r="AX46" s="3"/>
      <c r="AY46" s="3">
        <f t="shared" si="24"/>
        <v>4385.6412295869468</v>
      </c>
      <c r="BA46" s="3">
        <f t="shared" si="24"/>
        <v>4495.2822603266204</v>
      </c>
      <c r="BC46" s="3">
        <f t="shared" si="24"/>
        <v>4607.6643168347855</v>
      </c>
      <c r="BE46" s="3">
        <f t="shared" si="24"/>
        <v>4722.855924755655</v>
      </c>
    </row>
    <row r="47" spans="1:57" hidden="1" outlineLevel="1" x14ac:dyDescent="0.25">
      <c r="A47" s="3" t="s">
        <v>74</v>
      </c>
      <c r="E47" s="3">
        <f t="shared" si="13"/>
        <v>0</v>
      </c>
      <c r="H47" s="3">
        <f t="shared" si="14"/>
        <v>0</v>
      </c>
      <c r="K47" s="4">
        <f t="shared" si="15"/>
        <v>0</v>
      </c>
      <c r="L47" s="4"/>
      <c r="N47" s="4">
        <f t="shared" si="16"/>
        <v>0</v>
      </c>
      <c r="S47" s="3">
        <f t="shared" si="17"/>
        <v>0</v>
      </c>
      <c r="U47" s="3">
        <f t="shared" si="18"/>
        <v>0</v>
      </c>
      <c r="W47" s="3">
        <f t="shared" si="19"/>
        <v>0</v>
      </c>
      <c r="Z47" s="3">
        <f t="shared" si="20"/>
        <v>0</v>
      </c>
      <c r="AD47" s="3">
        <f t="shared" si="21"/>
        <v>0</v>
      </c>
      <c r="AF47" s="3">
        <f t="shared" si="22"/>
        <v>0</v>
      </c>
      <c r="BC47" s="3"/>
      <c r="BE47" s="3"/>
    </row>
    <row r="48" spans="1:57" collapsed="1" x14ac:dyDescent="0.25">
      <c r="A48" s="7" t="s">
        <v>809</v>
      </c>
      <c r="K48" s="4"/>
      <c r="L48" s="4"/>
      <c r="N48" s="4"/>
      <c r="AI48" s="247">
        <f>SUM(AI42:AI47)</f>
        <v>11368.5</v>
      </c>
      <c r="AK48" s="247">
        <f>SUM(AK42:AK47)</f>
        <v>11652.712499999998</v>
      </c>
      <c r="AM48" s="247">
        <f>SUM(AM42:AM47)</f>
        <v>11944.030312499997</v>
      </c>
      <c r="AO48" s="247">
        <f>SUM(AO42:AO47)</f>
        <v>12242.631070312496</v>
      </c>
      <c r="AQ48" s="247">
        <f>SUM(AQ42:AQ47)</f>
        <v>12548.696847070307</v>
      </c>
      <c r="AS48" s="247">
        <f>SUM(AS42:AS47)</f>
        <v>12862.414268247063</v>
      </c>
      <c r="AU48" s="247">
        <f>SUM(AU42:AU47)</f>
        <v>13183.97462495324</v>
      </c>
      <c r="AW48" s="247">
        <f>SUM(AW42:AW47)</f>
        <v>13513.573990577068</v>
      </c>
      <c r="AY48" s="247">
        <f>SUM(AY42:AY47)</f>
        <v>13851.413340341494</v>
      </c>
      <c r="BA48" s="247">
        <f>SUM(BA42:BA47)</f>
        <v>14197.698673850031</v>
      </c>
      <c r="BC48" s="247">
        <f>SUM(BC42:BC47)</f>
        <v>14552.64114069628</v>
      </c>
      <c r="BE48" s="247">
        <f>SUM(BE42:BE47)</f>
        <v>14916.457169213687</v>
      </c>
    </row>
    <row r="49" spans="1:57" x14ac:dyDescent="0.25">
      <c r="A49" s="3"/>
      <c r="K49" s="4"/>
      <c r="L49" s="4"/>
      <c r="N49" s="4"/>
      <c r="BC49" s="3"/>
      <c r="BE49" s="3"/>
    </row>
    <row r="50" spans="1:57" x14ac:dyDescent="0.25">
      <c r="A50" s="7" t="s">
        <v>815</v>
      </c>
      <c r="B50" s="3">
        <v>47500</v>
      </c>
      <c r="D50" s="3">
        <v>2</v>
      </c>
      <c r="E50" s="3">
        <f t="shared" si="13"/>
        <v>47498</v>
      </c>
      <c r="F50" s="3">
        <v>47500</v>
      </c>
      <c r="H50" s="3">
        <f t="shared" si="14"/>
        <v>0</v>
      </c>
      <c r="J50" s="3">
        <v>5</v>
      </c>
      <c r="K50" s="4">
        <f t="shared" si="15"/>
        <v>47495</v>
      </c>
      <c r="L50" s="4">
        <v>47500</v>
      </c>
      <c r="N50" s="4">
        <f t="shared" si="16"/>
        <v>0</v>
      </c>
      <c r="P50" s="3">
        <v>47500</v>
      </c>
      <c r="R50" s="3">
        <v>0</v>
      </c>
      <c r="S50" s="3">
        <f t="shared" si="17"/>
        <v>47500</v>
      </c>
      <c r="T50" s="3">
        <v>47500</v>
      </c>
      <c r="U50" s="3">
        <f t="shared" si="18"/>
        <v>0</v>
      </c>
      <c r="V50" s="3">
        <v>4</v>
      </c>
      <c r="W50" s="3">
        <f t="shared" si="19"/>
        <v>41996</v>
      </c>
      <c r="Y50" s="3">
        <v>42000</v>
      </c>
      <c r="Z50" s="3">
        <f t="shared" si="20"/>
        <v>-5500</v>
      </c>
      <c r="AC50" s="3">
        <v>6</v>
      </c>
      <c r="AD50" s="3">
        <f t="shared" si="21"/>
        <v>41994</v>
      </c>
      <c r="AE50" s="3">
        <v>42000</v>
      </c>
      <c r="AF50" s="3">
        <f t="shared" si="22"/>
        <v>0</v>
      </c>
      <c r="AI50" s="247">
        <v>44000</v>
      </c>
      <c r="AK50" s="247">
        <v>45000</v>
      </c>
      <c r="AM50" s="247">
        <v>45000</v>
      </c>
      <c r="AO50" s="247">
        <v>47500</v>
      </c>
      <c r="AQ50" s="247">
        <v>47500</v>
      </c>
      <c r="AS50" s="247">
        <v>47500</v>
      </c>
      <c r="AU50" s="247">
        <v>47500</v>
      </c>
      <c r="AW50" s="247">
        <v>47500</v>
      </c>
      <c r="AY50" s="247">
        <v>47500</v>
      </c>
      <c r="BA50" s="247">
        <v>47500</v>
      </c>
      <c r="BC50" s="247">
        <v>47500</v>
      </c>
      <c r="BE50" s="247">
        <v>47500</v>
      </c>
    </row>
    <row r="51" spans="1:57" x14ac:dyDescent="0.25">
      <c r="A51" s="7"/>
      <c r="K51" s="4"/>
      <c r="L51" s="4"/>
      <c r="N51" s="4"/>
      <c r="BC51" s="3"/>
      <c r="BE51" s="3"/>
    </row>
    <row r="52" spans="1:57" hidden="1" outlineLevel="1" x14ac:dyDescent="0.25">
      <c r="A52" s="7" t="s">
        <v>816</v>
      </c>
      <c r="E52" s="3">
        <f t="shared" si="13"/>
        <v>0</v>
      </c>
      <c r="H52" s="3">
        <f t="shared" si="14"/>
        <v>0</v>
      </c>
      <c r="K52" s="4">
        <f t="shared" si="15"/>
        <v>0</v>
      </c>
      <c r="L52" s="4"/>
      <c r="N52" s="4">
        <f t="shared" si="16"/>
        <v>0</v>
      </c>
      <c r="S52" s="3">
        <f t="shared" si="17"/>
        <v>0</v>
      </c>
      <c r="U52" s="3">
        <f t="shared" si="18"/>
        <v>0</v>
      </c>
      <c r="W52" s="3">
        <f t="shared" si="19"/>
        <v>0</v>
      </c>
      <c r="Z52" s="3">
        <f t="shared" si="20"/>
        <v>0</v>
      </c>
      <c r="AD52" s="3">
        <f t="shared" si="21"/>
        <v>0</v>
      </c>
      <c r="AF52" s="3">
        <f t="shared" si="22"/>
        <v>0</v>
      </c>
      <c r="BC52" s="3"/>
      <c r="BE52" s="3"/>
    </row>
    <row r="53" spans="1:57" hidden="1" outlineLevel="1" x14ac:dyDescent="0.25">
      <c r="A53" s="7" t="s">
        <v>93</v>
      </c>
      <c r="E53" s="3">
        <f t="shared" si="13"/>
        <v>0</v>
      </c>
      <c r="H53" s="3">
        <f t="shared" si="14"/>
        <v>0</v>
      </c>
      <c r="K53" s="4">
        <f t="shared" si="15"/>
        <v>0</v>
      </c>
      <c r="L53" s="4"/>
      <c r="N53" s="4">
        <f t="shared" si="16"/>
        <v>0</v>
      </c>
      <c r="S53" s="3">
        <f t="shared" si="17"/>
        <v>0</v>
      </c>
      <c r="U53" s="3">
        <f t="shared" si="18"/>
        <v>0</v>
      </c>
      <c r="W53" s="3">
        <f t="shared" si="19"/>
        <v>0</v>
      </c>
      <c r="Z53" s="3">
        <f t="shared" si="20"/>
        <v>0</v>
      </c>
      <c r="AD53" s="3">
        <f t="shared" si="21"/>
        <v>0</v>
      </c>
      <c r="AF53" s="3">
        <f t="shared" si="22"/>
        <v>0</v>
      </c>
      <c r="BC53" s="3"/>
      <c r="BE53" s="3"/>
    </row>
    <row r="54" spans="1:57" hidden="1" outlineLevel="1" x14ac:dyDescent="0.25">
      <c r="A54" s="3" t="s">
        <v>817</v>
      </c>
      <c r="E54" s="3">
        <f t="shared" si="13"/>
        <v>0</v>
      </c>
      <c r="H54" s="3">
        <f t="shared" si="14"/>
        <v>0</v>
      </c>
      <c r="K54" s="4">
        <f t="shared" si="15"/>
        <v>0</v>
      </c>
      <c r="L54" s="4"/>
      <c r="N54" s="4">
        <f t="shared" si="16"/>
        <v>0</v>
      </c>
      <c r="S54" s="3">
        <f t="shared" si="17"/>
        <v>0</v>
      </c>
      <c r="U54" s="3">
        <f t="shared" si="18"/>
        <v>0</v>
      </c>
      <c r="W54" s="3">
        <f t="shared" si="19"/>
        <v>25000</v>
      </c>
      <c r="Y54" s="3">
        <v>25000</v>
      </c>
      <c r="Z54" s="3">
        <f t="shared" si="20"/>
        <v>25000</v>
      </c>
      <c r="AD54" s="3">
        <f t="shared" si="21"/>
        <v>25000</v>
      </c>
      <c r="AE54" s="3">
        <v>25000</v>
      </c>
      <c r="AF54" s="3">
        <f t="shared" si="22"/>
        <v>0</v>
      </c>
      <c r="BC54" s="3"/>
      <c r="BE54" s="3"/>
    </row>
    <row r="55" spans="1:57" hidden="1" outlineLevel="1" x14ac:dyDescent="0.25">
      <c r="A55" s="3" t="s">
        <v>55</v>
      </c>
      <c r="B55" s="3">
        <v>10950</v>
      </c>
      <c r="D55" s="3">
        <v>0</v>
      </c>
      <c r="E55" s="3">
        <f t="shared" si="13"/>
        <v>10950</v>
      </c>
      <c r="F55" s="3">
        <v>10950</v>
      </c>
      <c r="H55" s="3">
        <f t="shared" si="14"/>
        <v>0</v>
      </c>
      <c r="J55" s="3">
        <v>0</v>
      </c>
      <c r="K55" s="4">
        <f t="shared" si="15"/>
        <v>10950</v>
      </c>
      <c r="L55" s="4">
        <v>10950</v>
      </c>
      <c r="N55" s="4">
        <f t="shared" si="16"/>
        <v>0</v>
      </c>
      <c r="P55" s="3">
        <v>11000</v>
      </c>
      <c r="R55" s="3">
        <v>0</v>
      </c>
      <c r="S55" s="3">
        <f t="shared" si="17"/>
        <v>11000</v>
      </c>
      <c r="T55" s="3">
        <v>11000</v>
      </c>
      <c r="U55" s="3">
        <f t="shared" si="18"/>
        <v>0</v>
      </c>
      <c r="V55" s="3">
        <v>0</v>
      </c>
      <c r="W55" s="3">
        <f t="shared" si="19"/>
        <v>11000</v>
      </c>
      <c r="Y55" s="3">
        <v>11000</v>
      </c>
      <c r="Z55" s="3">
        <f t="shared" si="20"/>
        <v>0</v>
      </c>
      <c r="AC55" s="3">
        <v>11577</v>
      </c>
      <c r="AD55" s="3">
        <f t="shared" si="21"/>
        <v>3</v>
      </c>
      <c r="AE55" s="3">
        <v>11580</v>
      </c>
      <c r="AF55" s="3">
        <f t="shared" si="22"/>
        <v>580</v>
      </c>
      <c r="AI55" s="3">
        <f>AE55*1.025+30</f>
        <v>11899.499999999998</v>
      </c>
      <c r="AK55" s="3">
        <f>AI55*1.025</f>
        <v>12196.987499999997</v>
      </c>
      <c r="AM55" s="3">
        <f>AK55*1.025</f>
        <v>12501.912187499996</v>
      </c>
      <c r="AO55" s="3">
        <f>AM55*1.025</f>
        <v>12814.459992187496</v>
      </c>
      <c r="AQ55" s="3">
        <f>AO55*1.025</f>
        <v>13134.821491992183</v>
      </c>
      <c r="AS55" s="3">
        <f>AQ55*1.025</f>
        <v>13463.192029291986</v>
      </c>
      <c r="AU55" s="3">
        <f>AS55*1.025</f>
        <v>13799.771830024285</v>
      </c>
      <c r="AW55" s="3">
        <f>AU55*1.025</f>
        <v>14144.766125774891</v>
      </c>
      <c r="AY55" s="3">
        <f>AW55*1.025</f>
        <v>14498.385278919262</v>
      </c>
      <c r="BA55" s="3">
        <f>AY55*1.025</f>
        <v>14860.844910892243</v>
      </c>
      <c r="BC55" s="3">
        <f>BA55*1.025</f>
        <v>15232.366033664548</v>
      </c>
      <c r="BE55" s="3">
        <f>BC55*1.025</f>
        <v>15613.175184506161</v>
      </c>
    </row>
    <row r="56" spans="1:57" hidden="1" outlineLevel="1" x14ac:dyDescent="0.25">
      <c r="A56" s="7" t="s">
        <v>818</v>
      </c>
      <c r="E56" s="3">
        <f t="shared" si="13"/>
        <v>0</v>
      </c>
      <c r="H56" s="3">
        <f t="shared" si="14"/>
        <v>0</v>
      </c>
      <c r="K56" s="4">
        <f t="shared" si="15"/>
        <v>0</v>
      </c>
      <c r="L56" s="4"/>
      <c r="N56" s="4">
        <f t="shared" si="16"/>
        <v>0</v>
      </c>
      <c r="S56" s="3">
        <f t="shared" si="17"/>
        <v>0</v>
      </c>
      <c r="U56" s="3">
        <f t="shared" si="18"/>
        <v>0</v>
      </c>
      <c r="W56" s="3">
        <f t="shared" si="19"/>
        <v>0</v>
      </c>
      <c r="Z56" s="3">
        <f t="shared" si="20"/>
        <v>0</v>
      </c>
      <c r="AD56" s="3">
        <f t="shared" si="21"/>
        <v>0</v>
      </c>
      <c r="AF56" s="3">
        <f t="shared" si="22"/>
        <v>0</v>
      </c>
      <c r="BC56" s="3"/>
      <c r="BE56" s="3"/>
    </row>
    <row r="57" spans="1:57" hidden="1" outlineLevel="1" x14ac:dyDescent="0.25">
      <c r="A57" s="3" t="s">
        <v>819</v>
      </c>
      <c r="B57" s="3">
        <v>11900</v>
      </c>
      <c r="D57" s="3">
        <v>0</v>
      </c>
      <c r="E57" s="3">
        <f t="shared" si="13"/>
        <v>11900</v>
      </c>
      <c r="F57" s="3">
        <v>11900</v>
      </c>
      <c r="H57" s="3">
        <f t="shared" si="14"/>
        <v>0</v>
      </c>
      <c r="K57" s="4">
        <f t="shared" si="15"/>
        <v>11900</v>
      </c>
      <c r="L57" s="4">
        <v>11900</v>
      </c>
      <c r="N57" s="4">
        <f t="shared" si="16"/>
        <v>0</v>
      </c>
      <c r="P57" s="3">
        <f>4476-26</f>
        <v>4450</v>
      </c>
      <c r="R57" s="3">
        <v>0</v>
      </c>
      <c r="S57" s="3">
        <f t="shared" si="17"/>
        <v>4450</v>
      </c>
      <c r="T57" s="3">
        <v>4450</v>
      </c>
      <c r="U57" s="3">
        <f t="shared" si="18"/>
        <v>0</v>
      </c>
      <c r="V57" s="3">
        <v>0</v>
      </c>
      <c r="W57" s="3">
        <f t="shared" si="19"/>
        <v>4450</v>
      </c>
      <c r="Y57" s="3">
        <v>4450</v>
      </c>
      <c r="Z57" s="3">
        <f t="shared" si="20"/>
        <v>0</v>
      </c>
      <c r="AD57" s="3">
        <f t="shared" si="21"/>
        <v>1480</v>
      </c>
      <c r="AE57" s="3">
        <v>1480</v>
      </c>
      <c r="AF57" s="3">
        <f t="shared" si="22"/>
        <v>-2970</v>
      </c>
      <c r="AI57" s="3">
        <f>P57*1.025-9</f>
        <v>4552.25</v>
      </c>
      <c r="AK57" s="3">
        <f>AI57*1.025-2</f>
        <v>4664.0562499999996</v>
      </c>
      <c r="AM57" s="3">
        <f t="shared" ref="AM57:BE57" si="25">AK57*1.025</f>
        <v>4780.6576562499995</v>
      </c>
      <c r="AN57" s="3">
        <f t="shared" si="25"/>
        <v>0</v>
      </c>
      <c r="AO57" s="3">
        <f t="shared" si="25"/>
        <v>4900.1740976562487</v>
      </c>
      <c r="AQ57" s="3">
        <f>AO57*1.025</f>
        <v>5022.6784500976546</v>
      </c>
      <c r="AR57" s="3"/>
      <c r="AS57" s="3">
        <f t="shared" si="25"/>
        <v>5148.2454113500953</v>
      </c>
      <c r="AT57" s="3">
        <f t="shared" si="25"/>
        <v>0</v>
      </c>
      <c r="AU57" s="3">
        <f t="shared" si="25"/>
        <v>5276.9515466338471</v>
      </c>
      <c r="AV57" s="3"/>
      <c r="AW57" s="3">
        <f t="shared" si="25"/>
        <v>5408.8753352996928</v>
      </c>
      <c r="AX57" s="3"/>
      <c r="AY57" s="3">
        <f t="shared" si="25"/>
        <v>5544.0972186821846</v>
      </c>
      <c r="BA57" s="3">
        <f t="shared" si="25"/>
        <v>5682.6996491492391</v>
      </c>
      <c r="BC57" s="3">
        <f t="shared" si="25"/>
        <v>5824.7671403779696</v>
      </c>
      <c r="BE57" s="3">
        <f t="shared" si="25"/>
        <v>5970.3863188874184</v>
      </c>
    </row>
    <row r="58" spans="1:57" s="254" customFormat="1" collapsed="1" x14ac:dyDescent="0.25">
      <c r="A58" s="7" t="s">
        <v>816</v>
      </c>
      <c r="B58" s="7"/>
      <c r="C58" s="7"/>
      <c r="D58" s="7"/>
      <c r="E58" s="7"/>
      <c r="F58" s="7"/>
      <c r="G58" s="7"/>
      <c r="H58" s="7"/>
      <c r="I58" s="7"/>
      <c r="J58" s="7"/>
      <c r="K58" s="32"/>
      <c r="L58" s="32"/>
      <c r="M58" s="32"/>
      <c r="N58" s="32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247">
        <f>SUM(AI54:AI57)</f>
        <v>16451.75</v>
      </c>
      <c r="AJ58" s="7"/>
      <c r="AK58" s="247">
        <f>SUM(AK54:AK57)</f>
        <v>16861.043749999997</v>
      </c>
      <c r="AL58" s="7"/>
      <c r="AM58" s="247">
        <f>SUM(AM54:AM57)</f>
        <v>17282.569843749996</v>
      </c>
      <c r="AN58" s="7"/>
      <c r="AO58" s="247">
        <f>SUM(AO54:AO57)</f>
        <v>17714.634089843745</v>
      </c>
      <c r="AP58" s="7"/>
      <c r="AQ58" s="247">
        <f>SUM(AQ54:AQ57)</f>
        <v>18157.499942089838</v>
      </c>
      <c r="AR58" s="7"/>
      <c r="AS58" s="247">
        <f>SUM(AS54:AS57)</f>
        <v>18611.437440642083</v>
      </c>
      <c r="AT58" s="7"/>
      <c r="AU58" s="247">
        <f>SUM(AU54:AU57)</f>
        <v>19076.723376658134</v>
      </c>
      <c r="AV58" s="7"/>
      <c r="AW58" s="247">
        <f>SUM(AW54:AW57)</f>
        <v>19553.641461074585</v>
      </c>
      <c r="AX58" s="7"/>
      <c r="AY58" s="247">
        <f>SUM(AY54:AY57)</f>
        <v>20042.482497601446</v>
      </c>
      <c r="BA58" s="247">
        <f>SUM(BA54:BA57)</f>
        <v>20543.544560041482</v>
      </c>
      <c r="BC58" s="247">
        <f>SUM(BC54:BC57)</f>
        <v>21057.133174042516</v>
      </c>
      <c r="BE58" s="247">
        <f>SUM(BE54:BE57)</f>
        <v>21583.561503393579</v>
      </c>
    </row>
    <row r="59" spans="1:57" x14ac:dyDescent="0.25">
      <c r="A59" s="3"/>
      <c r="K59" s="4"/>
      <c r="L59" s="4"/>
      <c r="N59" s="4"/>
      <c r="AR59" s="3"/>
      <c r="AT59" s="3"/>
      <c r="AV59" s="3"/>
      <c r="AX59" s="3"/>
      <c r="BC59" s="3"/>
      <c r="BE59" s="3"/>
    </row>
    <row r="60" spans="1:57" x14ac:dyDescent="0.25">
      <c r="A60" s="259" t="s">
        <v>1233</v>
      </c>
      <c r="B60" s="247">
        <f>SUM(B39:B57)+1</f>
        <v>684001</v>
      </c>
      <c r="C60" s="32"/>
      <c r="D60" s="247">
        <f>SUM(D39:D57)</f>
        <v>1926</v>
      </c>
      <c r="E60" s="247">
        <f>SUM(E39:E57)+1</f>
        <v>682075</v>
      </c>
      <c r="F60" s="247">
        <f>SUM(F39:F57)+1</f>
        <v>684001</v>
      </c>
      <c r="G60" s="32"/>
      <c r="H60" s="247">
        <f>SUM(H39:H57)+1</f>
        <v>1</v>
      </c>
      <c r="I60" s="32"/>
      <c r="J60" s="247">
        <f>SUM(J39:J57)+1</f>
        <v>263944</v>
      </c>
      <c r="K60" s="247">
        <f>SUM(K39:K57)+1</f>
        <v>394208</v>
      </c>
      <c r="L60" s="247">
        <f>SUM(L39:L57)+1</f>
        <v>658151</v>
      </c>
      <c r="M60" s="32"/>
      <c r="N60" s="247">
        <f>SUM(N39:N57)</f>
        <v>-25850</v>
      </c>
      <c r="P60" s="247">
        <f>SUM(P39:P57)</f>
        <v>708229</v>
      </c>
      <c r="R60" s="247">
        <f t="shared" ref="R60:Z60" si="26">SUM(R39:R57)</f>
        <v>2730</v>
      </c>
      <c r="S60" s="247">
        <f t="shared" si="26"/>
        <v>705500</v>
      </c>
      <c r="T60" s="247">
        <f t="shared" si="26"/>
        <v>708230</v>
      </c>
      <c r="U60" s="247">
        <f t="shared" si="26"/>
        <v>1</v>
      </c>
      <c r="V60" s="247">
        <f t="shared" si="26"/>
        <v>340131</v>
      </c>
      <c r="W60" s="247">
        <f t="shared" si="26"/>
        <v>404619</v>
      </c>
      <c r="X60" s="247"/>
      <c r="Y60" s="247">
        <f t="shared" si="26"/>
        <v>744750</v>
      </c>
      <c r="Z60" s="247">
        <f t="shared" si="26"/>
        <v>36520</v>
      </c>
      <c r="AC60" s="247">
        <f>SUM(AC39:AC57)</f>
        <v>333693</v>
      </c>
      <c r="AD60" s="247">
        <f>SUM(AD39:AD57)</f>
        <v>407467</v>
      </c>
      <c r="AE60" s="247">
        <f>SUM(AE39:AE57)</f>
        <v>741160</v>
      </c>
      <c r="AF60" s="247">
        <f>SUM(AF39:AF57)</f>
        <v>-3590</v>
      </c>
      <c r="AG60" s="32"/>
      <c r="AI60" s="247">
        <f>+AI39+AI48+AI50+AI58</f>
        <v>772520.25000000012</v>
      </c>
      <c r="AK60" s="247">
        <f>+AK39+AK48+AK50+AK58</f>
        <v>844283.75625000021</v>
      </c>
      <c r="AM60" s="247">
        <f>+AM39+AM48+AM50+AM58</f>
        <v>922073.60015625029</v>
      </c>
      <c r="AO60" s="247">
        <f>+AO39+AO48+AO50+AO58</f>
        <v>988892.79016015644</v>
      </c>
      <c r="AP60" s="247"/>
      <c r="AQ60" s="247">
        <f>+AQ39+AQ48+AQ50+AQ58</f>
        <v>1057999.3861641604</v>
      </c>
      <c r="AS60" s="247">
        <f>+AS39+AS48+AS50+AS58</f>
        <v>1107756.7005526396</v>
      </c>
      <c r="AU60" s="247">
        <f>+AU39+AU48+AU50+AU58</f>
        <v>1159982.6892875491</v>
      </c>
      <c r="AW60" s="247">
        <f>+AW39+AW48+AW50+AW58</f>
        <v>1214800.3063018864</v>
      </c>
      <c r="AY60" s="247">
        <f>+AY39+AY48+AY50+AY58</f>
        <v>1272338.6412306896</v>
      </c>
      <c r="BA60" s="247">
        <f>+BA39+BA48+BA50+BA58</f>
        <v>1332733.2258962754</v>
      </c>
      <c r="BC60" s="247">
        <f>+BC39+BC48+BC50+BC58</f>
        <v>1396126.356110242</v>
      </c>
      <c r="BE60" s="247">
        <f>+BE39+BE48+BE50+BE58</f>
        <v>1462667.4295578855</v>
      </c>
    </row>
    <row r="61" spans="1:57" x14ac:dyDescent="0.25">
      <c r="A61" s="7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P61" s="32"/>
      <c r="R61" s="32"/>
      <c r="S61" s="32"/>
      <c r="T61" s="32"/>
      <c r="U61" s="32"/>
      <c r="V61" s="32"/>
      <c r="W61" s="32"/>
      <c r="X61" s="32"/>
      <c r="Y61" s="32"/>
      <c r="Z61" s="32"/>
      <c r="AC61" s="32"/>
      <c r="AD61" s="32"/>
      <c r="AE61" s="32"/>
      <c r="AF61" s="32"/>
      <c r="AG61" s="32"/>
      <c r="AI61" s="32"/>
      <c r="AK61" s="32"/>
      <c r="AM61" s="32"/>
      <c r="AO61" s="32"/>
      <c r="AP61" s="32"/>
      <c r="AQ61" s="32"/>
      <c r="AS61" s="32"/>
      <c r="AU61" s="32"/>
      <c r="AW61" s="32"/>
      <c r="AY61" s="32"/>
      <c r="BA61" s="32"/>
      <c r="BC61" s="32"/>
      <c r="BE61" s="32"/>
    </row>
    <row r="62" spans="1:57" hidden="1" outlineLevel="1" x14ac:dyDescent="0.25">
      <c r="A62" s="7" t="s">
        <v>804</v>
      </c>
      <c r="BC62" s="3"/>
      <c r="BE62" s="3"/>
    </row>
    <row r="63" spans="1:57" hidden="1" outlineLevel="1" x14ac:dyDescent="0.25">
      <c r="A63" s="3" t="s">
        <v>820</v>
      </c>
      <c r="BC63" s="3"/>
      <c r="BE63" s="3"/>
    </row>
    <row r="64" spans="1:57" hidden="1" outlineLevel="1" x14ac:dyDescent="0.25">
      <c r="A64" s="3" t="s">
        <v>821</v>
      </c>
      <c r="W64" s="3">
        <f>Y64-V64</f>
        <v>0</v>
      </c>
      <c r="Z64" s="3">
        <f>Y64-T64</f>
        <v>0</v>
      </c>
      <c r="AD64" s="3">
        <f>AE64-AC64</f>
        <v>0</v>
      </c>
      <c r="AF64" s="3">
        <f>AE64-Y64</f>
        <v>0</v>
      </c>
      <c r="BC64" s="3"/>
      <c r="BE64" s="3"/>
    </row>
    <row r="65" spans="1:57" hidden="1" outlineLevel="1" x14ac:dyDescent="0.25">
      <c r="A65" s="3" t="s">
        <v>822</v>
      </c>
      <c r="P65" s="3">
        <v>200000</v>
      </c>
      <c r="S65" s="3">
        <f>T65-R65</f>
        <v>200000</v>
      </c>
      <c r="T65" s="3">
        <v>200000</v>
      </c>
      <c r="U65" s="3">
        <f>T65-P65</f>
        <v>0</v>
      </c>
      <c r="W65" s="3">
        <f>Y65-V65</f>
        <v>200000</v>
      </c>
      <c r="Y65" s="3">
        <v>200000</v>
      </c>
      <c r="Z65" s="3">
        <f>Y65-T65</f>
        <v>0</v>
      </c>
      <c r="AD65" s="3">
        <f>AE65-AC65</f>
        <v>200000</v>
      </c>
      <c r="AE65" s="3">
        <v>200000</v>
      </c>
      <c r="AF65" s="3">
        <f>AE65-Y65</f>
        <v>0</v>
      </c>
      <c r="AS65" s="3">
        <v>700000</v>
      </c>
      <c r="AU65" s="3">
        <v>250000</v>
      </c>
      <c r="BC65" s="3"/>
      <c r="BE65" s="3"/>
    </row>
    <row r="66" spans="1:57" hidden="1" outlineLevel="1" x14ac:dyDescent="0.25">
      <c r="A66" s="3" t="s">
        <v>289</v>
      </c>
      <c r="B66" s="3">
        <v>243000</v>
      </c>
      <c r="D66" s="3">
        <v>0</v>
      </c>
      <c r="E66" s="3">
        <f>F66-D66</f>
        <v>243000</v>
      </c>
      <c r="F66" s="3">
        <v>243000</v>
      </c>
      <c r="H66" s="3">
        <f>F66-B66</f>
        <v>0</v>
      </c>
      <c r="J66" s="3">
        <v>0</v>
      </c>
      <c r="K66" s="4">
        <f>L66-J66</f>
        <v>243000</v>
      </c>
      <c r="L66" s="4">
        <v>243000</v>
      </c>
      <c r="N66" s="4">
        <f>L66-F66</f>
        <v>0</v>
      </c>
      <c r="P66" s="3">
        <v>243000</v>
      </c>
      <c r="R66" s="3">
        <v>0</v>
      </c>
      <c r="S66" s="3">
        <f>T66-R66</f>
        <v>262000</v>
      </c>
      <c r="T66" s="3">
        <v>262000</v>
      </c>
      <c r="U66" s="3">
        <f>T66-P66</f>
        <v>19000</v>
      </c>
      <c r="W66" s="3">
        <f>Y66-V66</f>
        <v>262000</v>
      </c>
      <c r="Y66" s="3">
        <v>262000</v>
      </c>
      <c r="Z66" s="3">
        <f>Y66-T66</f>
        <v>0</v>
      </c>
      <c r="AD66" s="3">
        <f>AE66-AC66</f>
        <v>262000</v>
      </c>
      <c r="AE66" s="3">
        <v>262000</v>
      </c>
      <c r="AF66" s="3">
        <f>AE66-Y66</f>
        <v>0</v>
      </c>
      <c r="AI66" s="3">
        <v>243000</v>
      </c>
      <c r="AK66" s="3">
        <v>243000</v>
      </c>
      <c r="AM66" s="3">
        <v>243000</v>
      </c>
      <c r="AO66" s="3">
        <v>243000</v>
      </c>
      <c r="AQ66" s="3">
        <v>243000</v>
      </c>
      <c r="AS66" s="3">
        <v>243000</v>
      </c>
      <c r="AU66" s="3">
        <v>243000</v>
      </c>
      <c r="AW66" s="3">
        <v>243000</v>
      </c>
      <c r="AY66" s="3">
        <v>243000</v>
      </c>
      <c r="BA66" s="3">
        <v>243000</v>
      </c>
      <c r="BC66" s="3">
        <v>243000</v>
      </c>
      <c r="BE66" s="3">
        <v>243000</v>
      </c>
    </row>
    <row r="67" spans="1:57" hidden="1" outlineLevel="1" x14ac:dyDescent="0.25">
      <c r="A67" s="3" t="s">
        <v>1236</v>
      </c>
      <c r="K67" s="4"/>
      <c r="L67" s="4"/>
      <c r="N67" s="4"/>
      <c r="AI67" s="3">
        <f>-AI66</f>
        <v>-243000</v>
      </c>
      <c r="AK67" s="3">
        <f>-AK66</f>
        <v>-243000</v>
      </c>
      <c r="AM67" s="3">
        <f>-AM66</f>
        <v>-243000</v>
      </c>
      <c r="AO67" s="3">
        <f>-AO66</f>
        <v>-243000</v>
      </c>
      <c r="AQ67" s="3">
        <f>-AQ66</f>
        <v>-243000</v>
      </c>
      <c r="AS67" s="3">
        <f>-AS66</f>
        <v>-243000</v>
      </c>
      <c r="AU67" s="3">
        <f>-AU66</f>
        <v>-243000</v>
      </c>
      <c r="AW67" s="3">
        <f>-AW66</f>
        <v>-243000</v>
      </c>
      <c r="AY67" s="3">
        <f>-AY66</f>
        <v>-243000</v>
      </c>
      <c r="BA67" s="3">
        <f>-BA66</f>
        <v>-243000</v>
      </c>
      <c r="BC67" s="3">
        <f>-BC66</f>
        <v>-243000</v>
      </c>
      <c r="BE67" s="3">
        <f>-BE66</f>
        <v>-243000</v>
      </c>
    </row>
    <row r="68" spans="1:57" collapsed="1" x14ac:dyDescent="0.25">
      <c r="A68" s="259" t="s">
        <v>1234</v>
      </c>
      <c r="B68" s="247">
        <f>SUM(B63:B66)</f>
        <v>243000</v>
      </c>
      <c r="C68" s="32"/>
      <c r="D68" s="247">
        <f>SUM(D63:D66)</f>
        <v>0</v>
      </c>
      <c r="E68" s="247">
        <f>SUM(E63:E66)</f>
        <v>243000</v>
      </c>
      <c r="F68" s="247">
        <f>SUM(F63:F66)</f>
        <v>243000</v>
      </c>
      <c r="G68" s="32"/>
      <c r="H68" s="247">
        <f>SUM(H63:H66)</f>
        <v>0</v>
      </c>
      <c r="I68" s="32"/>
      <c r="J68" s="247">
        <f>SUM(J63:J66)</f>
        <v>0</v>
      </c>
      <c r="K68" s="247">
        <f>SUM(K63:K66)</f>
        <v>243000</v>
      </c>
      <c r="L68" s="247">
        <f>SUM(L63:L66)</f>
        <v>243000</v>
      </c>
      <c r="M68" s="32"/>
      <c r="N68" s="247">
        <f>SUM(N63:N66)</f>
        <v>0</v>
      </c>
      <c r="P68" s="247">
        <f>SUM(P63:P66)</f>
        <v>443000</v>
      </c>
      <c r="R68" s="247">
        <f t="shared" ref="R68:Z68" si="27">SUM(R63:R66)</f>
        <v>0</v>
      </c>
      <c r="S68" s="247">
        <f t="shared" si="27"/>
        <v>462000</v>
      </c>
      <c r="T68" s="247">
        <f t="shared" si="27"/>
        <v>462000</v>
      </c>
      <c r="U68" s="247">
        <f t="shared" si="27"/>
        <v>19000</v>
      </c>
      <c r="V68" s="247">
        <f t="shared" si="27"/>
        <v>0</v>
      </c>
      <c r="W68" s="247">
        <f t="shared" si="27"/>
        <v>462000</v>
      </c>
      <c r="X68" s="247"/>
      <c r="Y68" s="247">
        <f t="shared" si="27"/>
        <v>462000</v>
      </c>
      <c r="Z68" s="247">
        <f t="shared" si="27"/>
        <v>0</v>
      </c>
      <c r="AC68" s="247">
        <f>SUM(AC63:AC66)</f>
        <v>0</v>
      </c>
      <c r="AD68" s="247">
        <f>SUM(AD63:AD66)</f>
        <v>462000</v>
      </c>
      <c r="AE68" s="247">
        <f>SUM(AE63:AE66)</f>
        <v>462000</v>
      </c>
      <c r="AF68" s="247">
        <f>SUM(AF63:AF66)</f>
        <v>0</v>
      </c>
      <c r="AG68" s="32"/>
      <c r="AI68" s="247">
        <f>SUM(AI63:AI67)</f>
        <v>0</v>
      </c>
      <c r="AK68" s="247">
        <f>SUM(AK63:AK67)</f>
        <v>0</v>
      </c>
      <c r="AM68" s="247">
        <f>SUM(AM63:AM67)</f>
        <v>0</v>
      </c>
      <c r="AO68" s="247">
        <f>SUM(AO63:AO67)</f>
        <v>0</v>
      </c>
      <c r="AP68" s="247"/>
      <c r="AQ68" s="247">
        <f>SUM(AQ63:AQ67)</f>
        <v>0</v>
      </c>
      <c r="AS68" s="247">
        <f>SUM(AS63:AS67)</f>
        <v>700000</v>
      </c>
      <c r="AU68" s="247">
        <f>SUM(AU63:AU67)</f>
        <v>250000</v>
      </c>
      <c r="AW68" s="247">
        <f>SUM(AW63:AW67)</f>
        <v>0</v>
      </c>
      <c r="AY68" s="247">
        <f>SUM(AY63:AY67)</f>
        <v>0</v>
      </c>
      <c r="BA68" s="247">
        <f>SUM(BA63:BA67)</f>
        <v>0</v>
      </c>
      <c r="BC68" s="247">
        <f>SUM(BC63:BC67)</f>
        <v>0</v>
      </c>
      <c r="BE68" s="247">
        <f>SUM(BE63:BE67)</f>
        <v>0</v>
      </c>
    </row>
    <row r="69" spans="1:57" x14ac:dyDescent="0.25">
      <c r="A69" s="7"/>
      <c r="B69" s="247"/>
      <c r="C69" s="32"/>
      <c r="D69" s="247"/>
      <c r="E69" s="247"/>
      <c r="F69" s="247"/>
      <c r="G69" s="32"/>
      <c r="H69" s="247"/>
      <c r="I69" s="32"/>
      <c r="J69" s="247"/>
      <c r="K69" s="247"/>
      <c r="L69" s="247"/>
      <c r="M69" s="32"/>
      <c r="N69" s="247"/>
      <c r="P69" s="247"/>
      <c r="R69" s="247"/>
      <c r="S69" s="247"/>
      <c r="T69" s="247"/>
      <c r="U69" s="247"/>
      <c r="V69" s="247"/>
      <c r="W69" s="247"/>
      <c r="X69" s="247"/>
      <c r="Y69" s="247"/>
      <c r="Z69" s="247"/>
      <c r="AC69" s="247"/>
      <c r="AD69" s="247"/>
      <c r="AE69" s="247"/>
      <c r="AF69" s="247"/>
      <c r="AG69" s="32"/>
      <c r="AI69" s="247"/>
      <c r="AK69" s="247"/>
      <c r="AM69" s="247"/>
      <c r="AO69" s="247"/>
      <c r="AP69" s="247"/>
      <c r="AQ69" s="247"/>
      <c r="AS69" s="247"/>
      <c r="AU69" s="247"/>
      <c r="AW69" s="247"/>
      <c r="AY69" s="247"/>
      <c r="BA69" s="247"/>
      <c r="BC69" s="247"/>
      <c r="BE69" s="247"/>
    </row>
    <row r="70" spans="1:57" ht="15.75" thickBot="1" x14ac:dyDescent="0.3">
      <c r="A70" s="259" t="s">
        <v>1170</v>
      </c>
      <c r="B70" s="44">
        <f>B68+B60</f>
        <v>927001</v>
      </c>
      <c r="C70" s="32"/>
      <c r="D70" s="44">
        <f>D68+D60</f>
        <v>1926</v>
      </c>
      <c r="E70" s="44">
        <f>E68+E60</f>
        <v>925075</v>
      </c>
      <c r="F70" s="44">
        <f>F68+F60</f>
        <v>927001</v>
      </c>
      <c r="G70" s="32"/>
      <c r="H70" s="44">
        <f>H68+H60</f>
        <v>1</v>
      </c>
      <c r="I70" s="32"/>
      <c r="J70" s="44">
        <f>J68+J60</f>
        <v>263944</v>
      </c>
      <c r="K70" s="44">
        <f>K68+K60</f>
        <v>637208</v>
      </c>
      <c r="L70" s="44">
        <f>L68+L60</f>
        <v>901151</v>
      </c>
      <c r="M70" s="32"/>
      <c r="N70" s="44">
        <f>N68+N60</f>
        <v>-25850</v>
      </c>
      <c r="P70" s="44">
        <f>P68+P60</f>
        <v>1151229</v>
      </c>
      <c r="R70" s="44">
        <f t="shared" ref="R70:W70" si="28">R68+R60</f>
        <v>2730</v>
      </c>
      <c r="S70" s="44">
        <f t="shared" si="28"/>
        <v>1167500</v>
      </c>
      <c r="T70" s="44">
        <f t="shared" si="28"/>
        <v>1170230</v>
      </c>
      <c r="U70" s="44">
        <f t="shared" si="28"/>
        <v>19001</v>
      </c>
      <c r="V70" s="44">
        <f t="shared" si="28"/>
        <v>340131</v>
      </c>
      <c r="W70" s="44">
        <f t="shared" si="28"/>
        <v>866619</v>
      </c>
      <c r="X70" s="44"/>
      <c r="Y70" s="44">
        <f>Y68+Y60</f>
        <v>1206750</v>
      </c>
      <c r="Z70" s="44">
        <f>Z68+Z60</f>
        <v>36520</v>
      </c>
      <c r="AC70" s="44">
        <f>AC68+AC60</f>
        <v>333693</v>
      </c>
      <c r="AD70" s="44">
        <f>AD68+AD60</f>
        <v>869467</v>
      </c>
      <c r="AE70" s="44">
        <f>AE68+AE60</f>
        <v>1203160</v>
      </c>
      <c r="AF70" s="44">
        <f>AF68+AF60</f>
        <v>-3590</v>
      </c>
      <c r="AG70" s="32"/>
      <c r="AI70" s="44">
        <f>AI68+AI60</f>
        <v>772520.25000000012</v>
      </c>
      <c r="AK70" s="44">
        <f>AK68+AK60</f>
        <v>844283.75625000021</v>
      </c>
      <c r="AM70" s="44">
        <f>AM68+AM60</f>
        <v>922073.60015625029</v>
      </c>
      <c r="AO70" s="44">
        <f>AO68+AO60</f>
        <v>988892.79016015644</v>
      </c>
      <c r="AP70" s="44"/>
      <c r="AQ70" s="44">
        <f>AQ68+AQ60</f>
        <v>1057999.3861641604</v>
      </c>
      <c r="AS70" s="44">
        <f>AS68+AS60</f>
        <v>1807756.7005526396</v>
      </c>
      <c r="AU70" s="44">
        <f>AU68+AU60</f>
        <v>1409982.6892875491</v>
      </c>
      <c r="AW70" s="44">
        <f>AW68+AW60</f>
        <v>1214800.3063018864</v>
      </c>
      <c r="AY70" s="44">
        <f>AY68+AY60</f>
        <v>1272338.6412306896</v>
      </c>
      <c r="BA70" s="44">
        <f>BA68+BA60</f>
        <v>1332733.2258962754</v>
      </c>
      <c r="BC70" s="44">
        <f>BC68+BC60</f>
        <v>1396126.356110242</v>
      </c>
      <c r="BE70" s="44">
        <f>BE68+BE60</f>
        <v>1462667.4295578855</v>
      </c>
    </row>
    <row r="71" spans="1:57" ht="15.75" thickTop="1" x14ac:dyDescent="0.25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P71" s="32"/>
      <c r="R71" s="32"/>
      <c r="S71" s="32"/>
      <c r="T71" s="32"/>
      <c r="U71" s="32"/>
      <c r="V71" s="32"/>
      <c r="W71" s="32"/>
      <c r="X71" s="32"/>
      <c r="Y71" s="32"/>
      <c r="Z71" s="32"/>
      <c r="AC71" s="32"/>
      <c r="AD71" s="32"/>
      <c r="AE71" s="32"/>
      <c r="AF71" s="32"/>
      <c r="AG71" s="32"/>
      <c r="AI71" s="32"/>
      <c r="AK71" s="32"/>
      <c r="AM71" s="32"/>
      <c r="AO71" s="32"/>
      <c r="AP71" s="32"/>
      <c r="AQ71" s="32"/>
      <c r="AS71" s="32"/>
      <c r="AU71" s="32"/>
      <c r="AW71" s="32"/>
      <c r="AY71" s="32"/>
      <c r="BA71" s="32"/>
      <c r="BC71" s="32"/>
      <c r="BE71" s="32"/>
    </row>
    <row r="72" spans="1:57" x14ac:dyDescent="0.25">
      <c r="A72" s="266" t="s">
        <v>1232</v>
      </c>
      <c r="BC72" s="3"/>
      <c r="BE72" s="3"/>
    </row>
    <row r="73" spans="1:57" x14ac:dyDescent="0.25">
      <c r="A73" s="7" t="s">
        <v>824</v>
      </c>
      <c r="BC73" s="3"/>
      <c r="BE73" s="3"/>
    </row>
    <row r="74" spans="1:57" hidden="1" outlineLevel="1" x14ac:dyDescent="0.25">
      <c r="A74" s="7" t="s">
        <v>58</v>
      </c>
      <c r="BC74" s="3"/>
      <c r="BE74" s="3"/>
    </row>
    <row r="75" spans="1:57" hidden="1" outlineLevel="1" x14ac:dyDescent="0.25">
      <c r="A75" s="3" t="s">
        <v>825</v>
      </c>
      <c r="B75" s="3">
        <f>104838+12</f>
        <v>104850</v>
      </c>
      <c r="D75" s="3">
        <v>0</v>
      </c>
      <c r="E75" s="3">
        <f t="shared" ref="E75:E81" si="29">F75-D75</f>
        <v>104850</v>
      </c>
      <c r="F75" s="3">
        <v>104850</v>
      </c>
      <c r="H75" s="3">
        <f t="shared" ref="H75:H81" si="30">F75-B75</f>
        <v>0</v>
      </c>
      <c r="J75" s="3">
        <v>0</v>
      </c>
      <c r="K75" s="4">
        <f t="shared" ref="K75:K81" si="31">L75-J75</f>
        <v>104850</v>
      </c>
      <c r="L75" s="4">
        <v>104850</v>
      </c>
      <c r="N75" s="4">
        <f t="shared" ref="N75:N81" si="32">L75-F75</f>
        <v>0</v>
      </c>
      <c r="P75" s="3">
        <v>107990</v>
      </c>
      <c r="R75" s="3">
        <v>0</v>
      </c>
      <c r="S75" s="3">
        <f t="shared" ref="S75:S81" si="33">T75-R75</f>
        <v>107990</v>
      </c>
      <c r="T75" s="3">
        <v>107990</v>
      </c>
      <c r="U75" s="3">
        <f t="shared" ref="U75:U81" si="34">T75-P75</f>
        <v>0</v>
      </c>
      <c r="W75" s="3">
        <f t="shared" ref="W75:W81" si="35">Y75-V75</f>
        <v>107990</v>
      </c>
      <c r="Y75" s="3">
        <v>107990</v>
      </c>
      <c r="Z75" s="3">
        <f t="shared" ref="Z75:Z81" si="36">Y75-T75</f>
        <v>0</v>
      </c>
      <c r="AC75" s="3">
        <v>0</v>
      </c>
      <c r="AD75" s="3">
        <f t="shared" ref="AD75:AD81" si="37">AE75-AC75</f>
        <v>107990</v>
      </c>
      <c r="AE75" s="3">
        <v>107990</v>
      </c>
      <c r="AF75" s="3">
        <f t="shared" ref="AF75:AF81" si="38">AE75-Y75</f>
        <v>0</v>
      </c>
      <c r="AI75" s="3">
        <f>AE75*1.05+10</f>
        <v>113399.5</v>
      </c>
      <c r="AK75" s="3">
        <f>AI75*1.05</f>
        <v>119069.47500000001</v>
      </c>
      <c r="AM75" s="3">
        <f>AK75*1.05</f>
        <v>125022.94875000001</v>
      </c>
      <c r="AO75" s="3">
        <f>AM75*1.05</f>
        <v>131274.09618750002</v>
      </c>
      <c r="AQ75" s="3">
        <f>AO75*1.05</f>
        <v>137837.80099687504</v>
      </c>
      <c r="AS75" s="3">
        <f>AQ75*1.05</f>
        <v>144729.6910467188</v>
      </c>
      <c r="AU75" s="3">
        <f>AS75*1.05</f>
        <v>151966.17559905475</v>
      </c>
      <c r="AW75" s="3">
        <f>AU75*1.05</f>
        <v>159564.48437900751</v>
      </c>
      <c r="AY75" s="3">
        <f>AW75*1.05</f>
        <v>167542.70859795788</v>
      </c>
      <c r="BA75" s="3">
        <f>AY75*1.05</f>
        <v>175919.84402785578</v>
      </c>
      <c r="BC75" s="3">
        <f>BA75*1.05</f>
        <v>184715.83622924858</v>
      </c>
      <c r="BE75" s="3">
        <f>BC75*1.05</f>
        <v>193951.62804071102</v>
      </c>
    </row>
    <row r="76" spans="1:57" hidden="1" outlineLevel="1" x14ac:dyDescent="0.25">
      <c r="A76" s="3" t="s">
        <v>826</v>
      </c>
      <c r="E76" s="3">
        <f t="shared" si="29"/>
        <v>0</v>
      </c>
      <c r="H76" s="3">
        <f t="shared" si="30"/>
        <v>0</v>
      </c>
      <c r="K76" s="4">
        <f t="shared" si="31"/>
        <v>0</v>
      </c>
      <c r="L76" s="4"/>
      <c r="N76" s="4">
        <f t="shared" si="32"/>
        <v>0</v>
      </c>
      <c r="S76" s="3">
        <f t="shared" si="33"/>
        <v>0</v>
      </c>
      <c r="U76" s="3">
        <f t="shared" si="34"/>
        <v>0</v>
      </c>
      <c r="W76" s="3">
        <f t="shared" si="35"/>
        <v>0</v>
      </c>
      <c r="Z76" s="3">
        <f t="shared" si="36"/>
        <v>0</v>
      </c>
      <c r="AD76" s="3">
        <f t="shared" si="37"/>
        <v>0</v>
      </c>
      <c r="AF76" s="3">
        <f t="shared" si="38"/>
        <v>0</v>
      </c>
      <c r="BC76" s="3"/>
      <c r="BE76" s="3"/>
    </row>
    <row r="77" spans="1:57" hidden="1" outlineLevel="1" x14ac:dyDescent="0.25">
      <c r="A77" s="3" t="s">
        <v>299</v>
      </c>
      <c r="E77" s="3">
        <f t="shared" si="29"/>
        <v>0</v>
      </c>
      <c r="H77" s="3">
        <f t="shared" si="30"/>
        <v>0</v>
      </c>
      <c r="K77" s="4">
        <f t="shared" si="31"/>
        <v>0</v>
      </c>
      <c r="L77" s="4"/>
      <c r="N77" s="4">
        <f t="shared" si="32"/>
        <v>0</v>
      </c>
      <c r="S77" s="3">
        <f t="shared" si="33"/>
        <v>0</v>
      </c>
      <c r="U77" s="3">
        <f t="shared" si="34"/>
        <v>0</v>
      </c>
      <c r="W77" s="3">
        <f t="shared" si="35"/>
        <v>0</v>
      </c>
      <c r="Z77" s="3">
        <f t="shared" si="36"/>
        <v>0</v>
      </c>
      <c r="AD77" s="3">
        <f t="shared" si="37"/>
        <v>0</v>
      </c>
      <c r="AF77" s="3">
        <f t="shared" si="38"/>
        <v>0</v>
      </c>
      <c r="BC77" s="3"/>
      <c r="BE77" s="3"/>
    </row>
    <row r="78" spans="1:57" hidden="1" outlineLevel="1" x14ac:dyDescent="0.25">
      <c r="A78" s="3" t="s">
        <v>827</v>
      </c>
      <c r="B78" s="3">
        <v>41000</v>
      </c>
      <c r="D78" s="3">
        <v>9390</v>
      </c>
      <c r="E78" s="3">
        <f t="shared" si="29"/>
        <v>31610</v>
      </c>
      <c r="F78" s="3">
        <v>41000</v>
      </c>
      <c r="H78" s="3">
        <f t="shared" si="30"/>
        <v>0</v>
      </c>
      <c r="J78" s="3">
        <v>15651</v>
      </c>
      <c r="K78" s="4">
        <f t="shared" si="31"/>
        <v>24349</v>
      </c>
      <c r="L78" s="4">
        <v>40000</v>
      </c>
      <c r="N78" s="4">
        <f t="shared" si="32"/>
        <v>-1000</v>
      </c>
      <c r="P78" s="3">
        <f>L78*1.025</f>
        <v>41000</v>
      </c>
      <c r="R78" s="3">
        <v>10413</v>
      </c>
      <c r="S78" s="3">
        <f t="shared" si="33"/>
        <v>30587</v>
      </c>
      <c r="T78" s="3">
        <v>41000</v>
      </c>
      <c r="U78" s="3">
        <f t="shared" si="34"/>
        <v>0</v>
      </c>
      <c r="V78" s="3">
        <v>17599</v>
      </c>
      <c r="W78" s="3">
        <f t="shared" si="35"/>
        <v>23401</v>
      </c>
      <c r="Y78" s="3">
        <v>41000</v>
      </c>
      <c r="Z78" s="3">
        <f t="shared" si="36"/>
        <v>0</v>
      </c>
      <c r="AC78" s="3">
        <v>27380</v>
      </c>
      <c r="AD78" s="3">
        <f t="shared" si="37"/>
        <v>13620</v>
      </c>
      <c r="AE78" s="3">
        <v>41000</v>
      </c>
      <c r="AF78" s="3">
        <f t="shared" si="38"/>
        <v>0</v>
      </c>
      <c r="AI78" s="3">
        <f>AE78*1.0325+17</f>
        <v>42349.5</v>
      </c>
      <c r="AK78" s="3">
        <f>AI78*1.0325</f>
        <v>43725.858749999999</v>
      </c>
      <c r="AM78" s="3">
        <f>AK78*1.0325</f>
        <v>45146.949159374999</v>
      </c>
      <c r="AO78" s="3">
        <f>AM78*1.0325</f>
        <v>46614.225007054687</v>
      </c>
      <c r="AQ78" s="3">
        <f>AO78*1.0325</f>
        <v>48129.18731978396</v>
      </c>
      <c r="AS78" s="3">
        <f>AQ78*1.0325</f>
        <v>49693.385907676937</v>
      </c>
      <c r="AU78" s="3">
        <f>AS78*1.0325</f>
        <v>51308.420949676438</v>
      </c>
      <c r="AW78" s="3">
        <f>AU78*1.0325</f>
        <v>52975.944630540922</v>
      </c>
      <c r="AY78" s="3">
        <f>AW78*1.0325</f>
        <v>54697.6628310335</v>
      </c>
      <c r="BA78" s="3">
        <f>AY78*1.0325</f>
        <v>56475.336873042084</v>
      </c>
      <c r="BC78" s="3">
        <f>BA78*1.0325</f>
        <v>58310.785321415948</v>
      </c>
      <c r="BE78" s="3">
        <f>BC78*1.0325</f>
        <v>60205.885844361961</v>
      </c>
    </row>
    <row r="79" spans="1:57" hidden="1" outlineLevel="1" x14ac:dyDescent="0.25">
      <c r="A79" s="3" t="s">
        <v>828</v>
      </c>
      <c r="B79" s="3">
        <f>4200*1.05+90</f>
        <v>4500</v>
      </c>
      <c r="D79" s="3">
        <v>1913</v>
      </c>
      <c r="E79" s="3">
        <f t="shared" si="29"/>
        <v>2587</v>
      </c>
      <c r="F79" s="3">
        <v>4500</v>
      </c>
      <c r="H79" s="3">
        <f t="shared" si="30"/>
        <v>0</v>
      </c>
      <c r="J79" s="3">
        <v>1913</v>
      </c>
      <c r="K79" s="4">
        <f t="shared" si="31"/>
        <v>2587</v>
      </c>
      <c r="L79" s="4">
        <v>4500</v>
      </c>
      <c r="N79" s="4">
        <f t="shared" si="32"/>
        <v>0</v>
      </c>
      <c r="P79" s="3">
        <f>L79*1.07-15</f>
        <v>4800</v>
      </c>
      <c r="R79" s="3">
        <v>1980</v>
      </c>
      <c r="S79" s="3">
        <f t="shared" si="33"/>
        <v>2820</v>
      </c>
      <c r="T79" s="3">
        <v>4800</v>
      </c>
      <c r="U79" s="3">
        <f t="shared" si="34"/>
        <v>0</v>
      </c>
      <c r="V79" s="3">
        <v>1980</v>
      </c>
      <c r="W79" s="3">
        <f t="shared" si="35"/>
        <v>2820</v>
      </c>
      <c r="Y79" s="3">
        <v>4800</v>
      </c>
      <c r="Z79" s="3">
        <f t="shared" si="36"/>
        <v>0</v>
      </c>
      <c r="AC79" s="3">
        <v>3908</v>
      </c>
      <c r="AD79" s="3">
        <f t="shared" si="37"/>
        <v>892</v>
      </c>
      <c r="AE79" s="3">
        <v>4800</v>
      </c>
      <c r="AF79" s="3">
        <f t="shared" si="38"/>
        <v>0</v>
      </c>
      <c r="AI79" s="3">
        <f>AE79*1.07+14</f>
        <v>5150</v>
      </c>
      <c r="AK79" s="3">
        <f>AI79*1.07-11</f>
        <v>5499.5</v>
      </c>
      <c r="AM79" s="3">
        <f>AK79*1.07</f>
        <v>5884.4650000000001</v>
      </c>
      <c r="AO79" s="3">
        <f>AM79*1.06</f>
        <v>6237.5329000000002</v>
      </c>
      <c r="AQ79" s="3">
        <f>AO79*1.06</f>
        <v>6611.7848740000009</v>
      </c>
      <c r="AS79" s="3">
        <f>AQ79*1.06</f>
        <v>7008.4919664400013</v>
      </c>
      <c r="AU79" s="3">
        <f>AS79*1.06</f>
        <v>7429.0014844264015</v>
      </c>
      <c r="AW79" s="3">
        <f>AU79*1.06</f>
        <v>7874.7415734919859</v>
      </c>
      <c r="AY79" s="3">
        <f>AW79*1.06</f>
        <v>8347.2260679015053</v>
      </c>
      <c r="BA79" s="3">
        <f>AY79*1.06</f>
        <v>8848.0596319755969</v>
      </c>
      <c r="BC79" s="3">
        <f>BA79*1.06</f>
        <v>9378.9432098941325</v>
      </c>
      <c r="BE79" s="3">
        <f>BC79*1.06</f>
        <v>9941.6798024877808</v>
      </c>
    </row>
    <row r="80" spans="1:57" hidden="1" outlineLevel="1" x14ac:dyDescent="0.25">
      <c r="A80" s="3" t="s">
        <v>829</v>
      </c>
      <c r="B80" s="3">
        <v>11250</v>
      </c>
      <c r="D80" s="3">
        <v>3842</v>
      </c>
      <c r="E80" s="3">
        <f t="shared" si="29"/>
        <v>7408</v>
      </c>
      <c r="F80" s="3">
        <v>11250</v>
      </c>
      <c r="H80" s="3">
        <f t="shared" si="30"/>
        <v>0</v>
      </c>
      <c r="J80" s="3">
        <v>3842</v>
      </c>
      <c r="K80" s="4">
        <f t="shared" si="31"/>
        <v>7408</v>
      </c>
      <c r="L80" s="4">
        <v>11250</v>
      </c>
      <c r="N80" s="4">
        <f t="shared" si="32"/>
        <v>0</v>
      </c>
      <c r="P80" s="3">
        <f>L80*1.0281-16</f>
        <v>11550.125</v>
      </c>
      <c r="R80" s="3">
        <v>4204</v>
      </c>
      <c r="S80" s="3">
        <f t="shared" si="33"/>
        <v>1796</v>
      </c>
      <c r="T80" s="3">
        <v>6000</v>
      </c>
      <c r="U80" s="3">
        <f t="shared" si="34"/>
        <v>-5550.125</v>
      </c>
      <c r="V80" s="3">
        <v>4204</v>
      </c>
      <c r="W80" s="3">
        <f t="shared" si="35"/>
        <v>796</v>
      </c>
      <c r="Y80" s="3">
        <v>5000</v>
      </c>
      <c r="Z80" s="3">
        <f t="shared" si="36"/>
        <v>-1000</v>
      </c>
      <c r="AC80" s="3">
        <v>4204</v>
      </c>
      <c r="AD80" s="3">
        <f t="shared" si="37"/>
        <v>46</v>
      </c>
      <c r="AE80" s="3">
        <v>4250</v>
      </c>
      <c r="AF80" s="3">
        <f t="shared" si="38"/>
        <v>-750</v>
      </c>
      <c r="AI80" s="3">
        <v>7500</v>
      </c>
      <c r="AK80" s="3">
        <f>AI80*1.03</f>
        <v>7725</v>
      </c>
      <c r="AM80" s="3">
        <f>AK80*1.03</f>
        <v>7956.75</v>
      </c>
      <c r="AO80" s="3">
        <f>AM80*1.03</f>
        <v>8195.4524999999994</v>
      </c>
      <c r="AQ80" s="3">
        <f>AO80*1.03</f>
        <v>8441.3160749999988</v>
      </c>
      <c r="AS80" s="3">
        <f>AQ80*1.03</f>
        <v>8694.5555572499998</v>
      </c>
      <c r="AU80" s="3">
        <f>AS80*1.03</f>
        <v>8955.3922239674994</v>
      </c>
      <c r="AW80" s="3">
        <f>AU80*1.03</f>
        <v>9224.0539906865251</v>
      </c>
      <c r="AY80" s="3">
        <f>AW80*1.03</f>
        <v>9500.7756104071213</v>
      </c>
      <c r="BA80" s="3">
        <f>AY80*1.03</f>
        <v>9785.7988787193353</v>
      </c>
      <c r="BC80" s="3">
        <f>BA80*1.03</f>
        <v>10079.372845080916</v>
      </c>
      <c r="BE80" s="3">
        <f>BC80*1.03</f>
        <v>10381.754030433343</v>
      </c>
    </row>
    <row r="81" spans="1:57" hidden="1" outlineLevel="1" x14ac:dyDescent="0.25">
      <c r="A81" s="3" t="s">
        <v>90</v>
      </c>
      <c r="B81" s="3">
        <v>3100</v>
      </c>
      <c r="E81" s="3">
        <f t="shared" si="29"/>
        <v>3100</v>
      </c>
      <c r="F81" s="3">
        <v>3100</v>
      </c>
      <c r="H81" s="3">
        <f t="shared" si="30"/>
        <v>0</v>
      </c>
      <c r="K81" s="4">
        <f t="shared" si="31"/>
        <v>2500</v>
      </c>
      <c r="L81" s="4">
        <v>2500</v>
      </c>
      <c r="N81" s="4">
        <f t="shared" si="32"/>
        <v>-600</v>
      </c>
      <c r="P81" s="3">
        <f>L81*1.0281+30</f>
        <v>2600.25</v>
      </c>
      <c r="R81" s="3">
        <v>0</v>
      </c>
      <c r="S81" s="3">
        <f t="shared" si="33"/>
        <v>2600</v>
      </c>
      <c r="T81" s="3">
        <v>2600</v>
      </c>
      <c r="U81" s="3">
        <f t="shared" si="34"/>
        <v>-0.25</v>
      </c>
      <c r="V81" s="3">
        <v>837</v>
      </c>
      <c r="W81" s="3">
        <f t="shared" si="35"/>
        <v>1763</v>
      </c>
      <c r="Y81" s="3">
        <v>2600</v>
      </c>
      <c r="Z81" s="3">
        <f t="shared" si="36"/>
        <v>0</v>
      </c>
      <c r="AC81" s="3">
        <v>6652</v>
      </c>
      <c r="AD81" s="3">
        <f t="shared" si="37"/>
        <v>1848</v>
      </c>
      <c r="AE81" s="3">
        <v>8500</v>
      </c>
      <c r="AF81" s="3">
        <f t="shared" si="38"/>
        <v>5900</v>
      </c>
      <c r="AI81" s="3">
        <v>8500</v>
      </c>
      <c r="AK81" s="3">
        <f>AI81*1.03</f>
        <v>8755</v>
      </c>
      <c r="AM81" s="3">
        <f>AK81*1.03</f>
        <v>9017.65</v>
      </c>
      <c r="AO81" s="3">
        <f>AM81*1.03</f>
        <v>9288.1795000000002</v>
      </c>
      <c r="AQ81" s="3">
        <f>AO81*1.03</f>
        <v>9566.824885</v>
      </c>
      <c r="AS81" s="3">
        <f>AQ81*1.03</f>
        <v>9853.8296315500011</v>
      </c>
      <c r="AU81" s="3">
        <f>AS81*1.03</f>
        <v>10149.444520496501</v>
      </c>
      <c r="AW81" s="3">
        <f>AU81*1.03</f>
        <v>10453.927856111397</v>
      </c>
      <c r="AY81" s="3">
        <f>AW81*1.03</f>
        <v>10767.545691794739</v>
      </c>
      <c r="BA81" s="3">
        <f>AY81*1.03</f>
        <v>11090.572062548583</v>
      </c>
      <c r="BC81" s="3">
        <f>BA81*1.03</f>
        <v>11423.28922442504</v>
      </c>
      <c r="BE81" s="3">
        <f>BC81*1.03</f>
        <v>11765.98790115779</v>
      </c>
    </row>
    <row r="82" spans="1:57" collapsed="1" x14ac:dyDescent="0.25">
      <c r="A82" s="7" t="s">
        <v>58</v>
      </c>
      <c r="B82" s="62">
        <f>SUM(B75:B81)</f>
        <v>164700</v>
      </c>
      <c r="C82" s="32"/>
      <c r="D82" s="62">
        <f>SUM(D75:D81)</f>
        <v>15145</v>
      </c>
      <c r="E82" s="62">
        <f>SUM(E75:E81)</f>
        <v>149555</v>
      </c>
      <c r="F82" s="62">
        <f>SUM(F75:F81)</f>
        <v>164700</v>
      </c>
      <c r="G82" s="32"/>
      <c r="H82" s="62">
        <f>SUM(H75:H81)</f>
        <v>0</v>
      </c>
      <c r="I82" s="32"/>
      <c r="J82" s="62">
        <f>SUM(J75:J81)</f>
        <v>21406</v>
      </c>
      <c r="K82" s="62">
        <f>SUM(K75:K81)</f>
        <v>141694</v>
      </c>
      <c r="L82" s="62">
        <f>SUM(L75:L81)</f>
        <v>163100</v>
      </c>
      <c r="M82" s="32"/>
      <c r="N82" s="62">
        <f>SUM(N75:N81)</f>
        <v>-1600</v>
      </c>
      <c r="P82" s="62">
        <f>SUM(P75:P81)</f>
        <v>167940.375</v>
      </c>
      <c r="R82" s="62">
        <f t="shared" ref="R82:Z82" si="39">SUM(R75:R81)</f>
        <v>16597</v>
      </c>
      <c r="S82" s="62">
        <f t="shared" si="39"/>
        <v>145793</v>
      </c>
      <c r="T82" s="62">
        <f t="shared" si="39"/>
        <v>162390</v>
      </c>
      <c r="U82" s="62">
        <f t="shared" si="39"/>
        <v>-5550.375</v>
      </c>
      <c r="V82" s="62">
        <f t="shared" si="39"/>
        <v>24620</v>
      </c>
      <c r="W82" s="62">
        <f t="shared" si="39"/>
        <v>136770</v>
      </c>
      <c r="X82" s="62"/>
      <c r="Y82" s="62">
        <f t="shared" si="39"/>
        <v>161390</v>
      </c>
      <c r="Z82" s="62">
        <f t="shared" si="39"/>
        <v>-1000</v>
      </c>
      <c r="AC82" s="62">
        <f>SUM(AC75:AC81)</f>
        <v>42144</v>
      </c>
      <c r="AD82" s="62">
        <f>SUM(AD75:AD81)</f>
        <v>124396</v>
      </c>
      <c r="AE82" s="62">
        <f>SUM(AE75:AE81)</f>
        <v>166540</v>
      </c>
      <c r="AF82" s="62">
        <f>SUM(AF75:AF81)</f>
        <v>5150</v>
      </c>
      <c r="AG82" s="32"/>
      <c r="AI82" s="62">
        <f>SUM(AI75:AI81)</f>
        <v>176899</v>
      </c>
      <c r="AK82" s="62">
        <f>SUM(AK75:AK81)</f>
        <v>184774.83374999999</v>
      </c>
      <c r="AM82" s="62">
        <f>SUM(AM75:AM81)</f>
        <v>193028.76290937501</v>
      </c>
      <c r="AO82" s="62">
        <f>SUM(AO75:AO81)</f>
        <v>201609.48609455468</v>
      </c>
      <c r="AP82" s="62"/>
      <c r="AQ82" s="62">
        <f>SUM(AQ75:AQ81)</f>
        <v>210586.91415065902</v>
      </c>
      <c r="AS82" s="62">
        <f>SUM(AS75:AS81)</f>
        <v>219979.95410963573</v>
      </c>
      <c r="AU82" s="62">
        <f>SUM(AU75:AU81)</f>
        <v>229808.43477762162</v>
      </c>
      <c r="AW82" s="62">
        <f>SUM(AW75:AW81)</f>
        <v>240093.15242983834</v>
      </c>
      <c r="AY82" s="62">
        <f>SUM(AY75:AY81)</f>
        <v>250855.91879909474</v>
      </c>
      <c r="BA82" s="62">
        <f>SUM(BA75:BA81)</f>
        <v>262119.61147414136</v>
      </c>
      <c r="BC82" s="62">
        <f>SUM(BC75:BC81)</f>
        <v>273908.22683006461</v>
      </c>
      <c r="BE82" s="62">
        <f>SUM(BE75:BE81)</f>
        <v>286246.93561915198</v>
      </c>
    </row>
    <row r="83" spans="1:57" x14ac:dyDescent="0.25">
      <c r="A83" s="7" t="s">
        <v>830</v>
      </c>
      <c r="BC83" s="3"/>
      <c r="BE83" s="3"/>
    </row>
    <row r="84" spans="1:57" hidden="1" outlineLevel="1" x14ac:dyDescent="0.25">
      <c r="A84" s="7" t="s">
        <v>831</v>
      </c>
      <c r="BC84" s="3"/>
      <c r="BE84" s="3"/>
    </row>
    <row r="85" spans="1:57" hidden="1" outlineLevel="1" x14ac:dyDescent="0.25">
      <c r="A85" s="3" t="s">
        <v>832</v>
      </c>
      <c r="B85" s="3">
        <v>10650</v>
      </c>
      <c r="E85" s="3">
        <f>F85-D85</f>
        <v>10650</v>
      </c>
      <c r="F85" s="3">
        <v>10650</v>
      </c>
      <c r="H85" s="3">
        <f>F85-B85</f>
        <v>0</v>
      </c>
      <c r="J85" s="3">
        <v>275</v>
      </c>
      <c r="K85" s="4">
        <f>L85-J85</f>
        <v>9225</v>
      </c>
      <c r="L85" s="4">
        <v>9500</v>
      </c>
      <c r="N85" s="4">
        <f>L85-F85</f>
        <v>-1150</v>
      </c>
      <c r="P85" s="3">
        <f>L85*1.0281+33</f>
        <v>9799.9500000000007</v>
      </c>
      <c r="R85" s="3">
        <v>0</v>
      </c>
      <c r="S85" s="3">
        <f>T85-R85</f>
        <v>9800</v>
      </c>
      <c r="T85" s="3">
        <v>9800</v>
      </c>
      <c r="U85" s="3">
        <f>T85-P85</f>
        <v>4.9999999999272404E-2</v>
      </c>
      <c r="V85" s="3">
        <v>284</v>
      </c>
      <c r="W85" s="3">
        <f>Y85-V85</f>
        <v>9516</v>
      </c>
      <c r="Y85" s="3">
        <v>9800</v>
      </c>
      <c r="Z85" s="3">
        <f>Y85-T85</f>
        <v>0</v>
      </c>
      <c r="AC85" s="3">
        <v>670</v>
      </c>
      <c r="AD85" s="3">
        <f>AE85-AC85</f>
        <v>8330</v>
      </c>
      <c r="AE85" s="3">
        <v>9000</v>
      </c>
      <c r="AF85" s="3">
        <f>AE85-Y85</f>
        <v>-800</v>
      </c>
      <c r="AI85" s="3">
        <f>AE85*1.03-20</f>
        <v>9250</v>
      </c>
      <c r="AK85" s="3">
        <f>AI85*1.03</f>
        <v>9527.5</v>
      </c>
      <c r="AM85" s="3">
        <f>AK85*1.03</f>
        <v>9813.3250000000007</v>
      </c>
      <c r="AO85" s="3">
        <f>AM85*1.03</f>
        <v>10107.724750000001</v>
      </c>
      <c r="AQ85" s="3">
        <f>AO85*1.03</f>
        <v>10410.956492500001</v>
      </c>
      <c r="AS85" s="3">
        <f>AQ85*1.03</f>
        <v>10723.285187275002</v>
      </c>
      <c r="AU85" s="3">
        <f>AS85*1.03</f>
        <v>11044.983742893251</v>
      </c>
      <c r="AW85" s="3">
        <f>AU85*1.03</f>
        <v>11376.333255180049</v>
      </c>
      <c r="AY85" s="3">
        <f>AW85*1.03</f>
        <v>11717.62325283545</v>
      </c>
      <c r="BA85" s="3">
        <f>AY85*1.03</f>
        <v>12069.151950420513</v>
      </c>
      <c r="BC85" s="3">
        <f>BA85*1.03</f>
        <v>12431.226508933129</v>
      </c>
      <c r="BE85" s="3">
        <f>BC85*1.03</f>
        <v>12804.163304201124</v>
      </c>
    </row>
    <row r="86" spans="1:57" hidden="1" outlineLevel="1" x14ac:dyDescent="0.25">
      <c r="A86" s="3" t="s">
        <v>833</v>
      </c>
      <c r="B86" s="3">
        <v>34500</v>
      </c>
      <c r="D86" s="3">
        <v>10972</v>
      </c>
      <c r="E86" s="3">
        <f>F86-D86</f>
        <v>23528</v>
      </c>
      <c r="F86" s="3">
        <v>34500</v>
      </c>
      <c r="H86" s="3">
        <f>F86-B86</f>
        <v>0</v>
      </c>
      <c r="J86" s="3">
        <v>16632</v>
      </c>
      <c r="K86" s="4">
        <f>L86-J86</f>
        <v>17868</v>
      </c>
      <c r="L86" s="3">
        <v>34500</v>
      </c>
      <c r="N86" s="4">
        <f>L86-F86</f>
        <v>0</v>
      </c>
      <c r="P86" s="3">
        <f>L86*1.0281+31</f>
        <v>35500.449999999997</v>
      </c>
      <c r="R86" s="3">
        <v>7144</v>
      </c>
      <c r="S86" s="3">
        <f>T86-R86</f>
        <v>28356</v>
      </c>
      <c r="T86" s="3">
        <v>35500</v>
      </c>
      <c r="U86" s="3">
        <f>T86-P86</f>
        <v>-0.44999999999708962</v>
      </c>
      <c r="V86" s="3">
        <v>11536</v>
      </c>
      <c r="W86" s="3">
        <f>Y86-V86</f>
        <v>21964</v>
      </c>
      <c r="Y86" s="3">
        <v>33500</v>
      </c>
      <c r="Z86" s="3">
        <f>Y86-T86</f>
        <v>-2000</v>
      </c>
      <c r="AC86" s="3">
        <v>16237</v>
      </c>
      <c r="AD86" s="3">
        <f>AE86-AC86</f>
        <v>13763</v>
      </c>
      <c r="AE86" s="3">
        <v>30000</v>
      </c>
      <c r="AF86" s="3">
        <f>AE86-Y86</f>
        <v>-3500</v>
      </c>
      <c r="AI86" s="3">
        <f>AE86*1.03+2100</f>
        <v>33000</v>
      </c>
      <c r="AK86" s="3">
        <f>AI86*1.03</f>
        <v>33990</v>
      </c>
      <c r="AM86" s="3">
        <f>AK86*1.03</f>
        <v>35009.700000000004</v>
      </c>
      <c r="AO86" s="3">
        <f>AM86*1.03</f>
        <v>36059.991000000002</v>
      </c>
      <c r="AQ86" s="3">
        <f>AO86*1.03</f>
        <v>37141.790730000001</v>
      </c>
      <c r="AS86" s="3">
        <f>AQ86*1.03</f>
        <v>38256.044451900001</v>
      </c>
      <c r="AU86" s="3">
        <f>AS86*1.03</f>
        <v>39403.725785457005</v>
      </c>
      <c r="AW86" s="3">
        <f>AU86*1.03</f>
        <v>40585.837559020714</v>
      </c>
      <c r="AY86" s="3">
        <f>AW86*1.03</f>
        <v>41803.412685791336</v>
      </c>
      <c r="BA86" s="3">
        <f>AY86*1.03</f>
        <v>43057.515066365078</v>
      </c>
      <c r="BC86" s="3">
        <f>BA86*1.03</f>
        <v>44349.240518356033</v>
      </c>
      <c r="BE86" s="3">
        <f>BC86*1.03</f>
        <v>45679.717733906713</v>
      </c>
    </row>
    <row r="87" spans="1:57" hidden="1" outlineLevel="1" x14ac:dyDescent="0.25">
      <c r="A87" s="3" t="s">
        <v>834</v>
      </c>
      <c r="B87" s="3">
        <v>34500</v>
      </c>
      <c r="D87" s="3">
        <v>10972</v>
      </c>
      <c r="E87" s="3">
        <f>F87-D87</f>
        <v>23528</v>
      </c>
      <c r="F87" s="3">
        <v>34500</v>
      </c>
      <c r="H87" s="3">
        <f>F87-B87</f>
        <v>0</v>
      </c>
      <c r="J87" s="3">
        <v>16632</v>
      </c>
      <c r="K87" s="4">
        <f>L87-J87</f>
        <v>17868</v>
      </c>
      <c r="L87" s="3">
        <v>34500</v>
      </c>
      <c r="N87" s="4">
        <f>L87-F87</f>
        <v>0</v>
      </c>
      <c r="P87" s="3">
        <f>L87*1.0281+31</f>
        <v>35500.449999999997</v>
      </c>
      <c r="R87" s="3">
        <v>7144</v>
      </c>
      <c r="S87" s="3">
        <f>T87-R87</f>
        <v>28356</v>
      </c>
      <c r="T87" s="3">
        <v>35500</v>
      </c>
      <c r="U87" s="3">
        <f>T87-P87</f>
        <v>-0.44999999999708962</v>
      </c>
      <c r="V87" s="3">
        <v>11536</v>
      </c>
      <c r="W87" s="3">
        <f>Y87-V87</f>
        <v>21964</v>
      </c>
      <c r="Y87" s="3">
        <v>33500</v>
      </c>
      <c r="Z87" s="3">
        <f>Y87-T87</f>
        <v>-2000</v>
      </c>
      <c r="AC87" s="3">
        <v>16237</v>
      </c>
      <c r="AD87" s="3">
        <f>AE87-AC87</f>
        <v>13763</v>
      </c>
      <c r="AE87" s="3">
        <v>30000</v>
      </c>
      <c r="AF87" s="3">
        <f>AE87-Y87</f>
        <v>-3500</v>
      </c>
      <c r="AI87" s="3">
        <f>AE87*1.03+2100</f>
        <v>33000</v>
      </c>
      <c r="AK87" s="3">
        <f>AI87*1.03</f>
        <v>33990</v>
      </c>
      <c r="AM87" s="3">
        <f>AK87*1.03</f>
        <v>35009.700000000004</v>
      </c>
      <c r="AO87" s="3">
        <f>AM87*1.03</f>
        <v>36059.991000000002</v>
      </c>
      <c r="AQ87" s="3">
        <f>AO87*1.03</f>
        <v>37141.790730000001</v>
      </c>
      <c r="AS87" s="3">
        <f>AQ87*1.03</f>
        <v>38256.044451900001</v>
      </c>
      <c r="AU87" s="3">
        <f>AS87*1.03</f>
        <v>39403.725785457005</v>
      </c>
      <c r="AW87" s="3">
        <f>AU87*1.03</f>
        <v>40585.837559020714</v>
      </c>
      <c r="AY87" s="3">
        <f>AW87*1.03</f>
        <v>41803.412685791336</v>
      </c>
      <c r="BA87" s="3">
        <f>AY87*1.03</f>
        <v>43057.515066365078</v>
      </c>
      <c r="BC87" s="3">
        <f>BA87*1.03</f>
        <v>44349.240518356033</v>
      </c>
      <c r="BE87" s="3">
        <f>BC87*1.03</f>
        <v>45679.717733906713</v>
      </c>
    </row>
    <row r="88" spans="1:57" hidden="1" outlineLevel="1" x14ac:dyDescent="0.25">
      <c r="A88" s="3" t="s">
        <v>835</v>
      </c>
      <c r="B88" s="3">
        <v>170000</v>
      </c>
      <c r="D88" s="3">
        <v>37030</v>
      </c>
      <c r="E88" s="3">
        <f>F88-D88</f>
        <v>132970</v>
      </c>
      <c r="F88" s="3">
        <v>170000</v>
      </c>
      <c r="H88" s="3">
        <f>F88-B88</f>
        <v>0</v>
      </c>
      <c r="J88" s="3">
        <v>67483</v>
      </c>
      <c r="K88" s="4">
        <f>L88-J88</f>
        <v>95017</v>
      </c>
      <c r="L88" s="4">
        <v>162500</v>
      </c>
      <c r="N88" s="4">
        <f>L88-F88</f>
        <v>-7500</v>
      </c>
      <c r="P88" s="3">
        <f>L88*1.0281+34</f>
        <v>167100.25</v>
      </c>
      <c r="R88" s="3">
        <v>43868</v>
      </c>
      <c r="S88" s="3">
        <f>T88-R88</f>
        <v>123232</v>
      </c>
      <c r="T88" s="3">
        <v>167100</v>
      </c>
      <c r="U88" s="3">
        <f>T88-P88</f>
        <v>-0.25</v>
      </c>
      <c r="V88" s="3">
        <f>93071-25000</f>
        <v>68071</v>
      </c>
      <c r="W88" s="3">
        <f>Y88-V88</f>
        <v>111929</v>
      </c>
      <c r="Y88" s="3">
        <v>180000</v>
      </c>
      <c r="Z88" s="3">
        <f>Y88-T88</f>
        <v>12900</v>
      </c>
      <c r="AC88" s="3">
        <v>104929</v>
      </c>
      <c r="AD88" s="3">
        <f>AE88-AC88</f>
        <v>70071</v>
      </c>
      <c r="AE88" s="3">
        <v>175000</v>
      </c>
      <c r="AF88" s="3">
        <f>AE88-Y88</f>
        <v>-5000</v>
      </c>
      <c r="AI88" s="3">
        <f>P88*1.03+87</f>
        <v>172200.25750000001</v>
      </c>
      <c r="AK88" s="3">
        <f>AI88*1.03</f>
        <v>177366.26522500001</v>
      </c>
      <c r="AM88" s="3">
        <f>AK88*1.03</f>
        <v>182687.25318175001</v>
      </c>
      <c r="AO88" s="3">
        <f>AM88*1.03</f>
        <v>188167.87077720251</v>
      </c>
      <c r="AQ88" s="3">
        <f>AO88*1.03</f>
        <v>193812.9069005186</v>
      </c>
      <c r="AS88" s="3">
        <f>AQ88*1.03</f>
        <v>199627.29410753417</v>
      </c>
      <c r="AU88" s="3">
        <f>AS88*1.03</f>
        <v>205616.1129307602</v>
      </c>
      <c r="AW88" s="3">
        <f>AU88*1.03</f>
        <v>211784.596318683</v>
      </c>
      <c r="AY88" s="3">
        <f>AW88*1.03</f>
        <v>218138.13420824351</v>
      </c>
      <c r="BA88" s="3">
        <f>AY88*1.03</f>
        <v>224682.27823449083</v>
      </c>
      <c r="BC88" s="3">
        <f>BA88*1.03</f>
        <v>231422.74658152557</v>
      </c>
      <c r="BE88" s="3">
        <f>BC88*1.03</f>
        <v>238365.42897897135</v>
      </c>
    </row>
    <row r="89" spans="1:57" hidden="1" outlineLevel="1" x14ac:dyDescent="0.25">
      <c r="A89" s="3" t="s">
        <v>493</v>
      </c>
      <c r="E89" s="3">
        <f>F89-D89</f>
        <v>0</v>
      </c>
      <c r="H89" s="3">
        <f>F89-B89</f>
        <v>0</v>
      </c>
      <c r="K89" s="4">
        <f>L89-J89</f>
        <v>0</v>
      </c>
      <c r="L89" s="4"/>
      <c r="N89" s="4">
        <f>L89-F89</f>
        <v>0</v>
      </c>
      <c r="S89" s="3">
        <f>T89-R89</f>
        <v>0</v>
      </c>
      <c r="U89" s="3">
        <f>T89-P89</f>
        <v>0</v>
      </c>
      <c r="W89" s="3">
        <f>Y89-V89</f>
        <v>0</v>
      </c>
      <c r="Z89" s="3">
        <f>Y89-T89</f>
        <v>0</v>
      </c>
      <c r="AD89" s="3">
        <f>AE89-AC89</f>
        <v>0</v>
      </c>
      <c r="AF89" s="3">
        <f>AE89-Y89</f>
        <v>0</v>
      </c>
      <c r="BC89" s="3"/>
      <c r="BE89" s="3"/>
    </row>
    <row r="90" spans="1:57" collapsed="1" x14ac:dyDescent="0.25">
      <c r="A90" s="7" t="s">
        <v>831</v>
      </c>
      <c r="B90" s="62">
        <f>SUM(B85:B89)</f>
        <v>249650</v>
      </c>
      <c r="C90" s="32"/>
      <c r="D90" s="62">
        <f>SUM(D85:D89)</f>
        <v>58974</v>
      </c>
      <c r="E90" s="62">
        <f>SUM(E85:E89)</f>
        <v>190676</v>
      </c>
      <c r="F90" s="62">
        <f>SUM(F85:F89)</f>
        <v>249650</v>
      </c>
      <c r="G90" s="32"/>
      <c r="H90" s="62">
        <f>SUM(H85:H89)</f>
        <v>0</v>
      </c>
      <c r="I90" s="32"/>
      <c r="J90" s="62">
        <f>SUM(J85:J89)</f>
        <v>101022</v>
      </c>
      <c r="K90" s="62">
        <f>SUM(K85:K89)</f>
        <v>139978</v>
      </c>
      <c r="L90" s="62">
        <f>SUM(L85:L89)</f>
        <v>241000</v>
      </c>
      <c r="M90" s="32"/>
      <c r="N90" s="62">
        <f>SUM(N85:N89)</f>
        <v>-8650</v>
      </c>
      <c r="P90" s="62">
        <f>SUM(P85:P89)-1</f>
        <v>247900.09999999998</v>
      </c>
      <c r="R90" s="62">
        <f t="shared" ref="R90:W90" si="40">SUM(R85:R89)-1</f>
        <v>58155</v>
      </c>
      <c r="S90" s="62">
        <f t="shared" si="40"/>
        <v>189743</v>
      </c>
      <c r="T90" s="62">
        <f t="shared" si="40"/>
        <v>247899</v>
      </c>
      <c r="U90" s="62">
        <f t="shared" si="40"/>
        <v>-2.0999999999949068</v>
      </c>
      <c r="V90" s="62">
        <f t="shared" si="40"/>
        <v>91426</v>
      </c>
      <c r="W90" s="62">
        <f t="shared" si="40"/>
        <v>165372</v>
      </c>
      <c r="X90" s="62"/>
      <c r="Y90" s="62">
        <f>SUM(Y85:Y89)</f>
        <v>256800</v>
      </c>
      <c r="Z90" s="62">
        <f>SUM(Z85:Z89)</f>
        <v>8900</v>
      </c>
      <c r="AC90" s="62">
        <f>SUM(AC85:AC89)</f>
        <v>138073</v>
      </c>
      <c r="AD90" s="62">
        <f>SUM(AD85:AD89)</f>
        <v>105927</v>
      </c>
      <c r="AE90" s="62">
        <f>SUM(AE85:AE89)</f>
        <v>244000</v>
      </c>
      <c r="AF90" s="62">
        <f>SUM(AF85:AF89)</f>
        <v>-12800</v>
      </c>
      <c r="AG90" s="32"/>
      <c r="AI90" s="62">
        <f>SUM(AI85:AI89)</f>
        <v>247450.25750000001</v>
      </c>
      <c r="AK90" s="62">
        <f>SUM(AK85:AK89)</f>
        <v>254873.76522500001</v>
      </c>
      <c r="AM90" s="62">
        <f>SUM(AM85:AM89)</f>
        <v>262519.97818175005</v>
      </c>
      <c r="AO90" s="62">
        <f>SUM(AO85:AO89)</f>
        <v>270395.57752720255</v>
      </c>
      <c r="AP90" s="62"/>
      <c r="AQ90" s="62">
        <f>SUM(AQ85:AQ89)</f>
        <v>278507.44485301862</v>
      </c>
      <c r="AS90" s="62">
        <f>SUM(AS85:AS89)</f>
        <v>286862.66819860914</v>
      </c>
      <c r="AU90" s="62">
        <f>SUM(AU85:AU89)</f>
        <v>295468.54824456747</v>
      </c>
      <c r="AW90" s="62">
        <f>SUM(AW85:AW89)</f>
        <v>304332.6046919045</v>
      </c>
      <c r="AY90" s="62">
        <f>SUM(AY85:AY89)</f>
        <v>313462.58283266163</v>
      </c>
      <c r="BA90" s="62">
        <f>SUM(BA85:BA89)</f>
        <v>322866.4603176415</v>
      </c>
      <c r="BC90" s="62">
        <f>SUM(BC85:BC89)</f>
        <v>332552.45412717073</v>
      </c>
      <c r="BE90" s="62">
        <f>SUM(BE85:BE89)</f>
        <v>342529.02775098593</v>
      </c>
    </row>
    <row r="91" spans="1:57" hidden="1" outlineLevel="1" x14ac:dyDescent="0.25">
      <c r="A91" s="7" t="s">
        <v>836</v>
      </c>
      <c r="BC91" s="3"/>
      <c r="BE91" s="3"/>
    </row>
    <row r="92" spans="1:57" hidden="1" outlineLevel="1" x14ac:dyDescent="0.25">
      <c r="A92" s="3" t="s">
        <v>837</v>
      </c>
      <c r="Z92" s="3">
        <f>Y92-T92</f>
        <v>0</v>
      </c>
      <c r="AD92" s="3">
        <f>AE92-AC92</f>
        <v>0</v>
      </c>
      <c r="AF92" s="3">
        <f>AE92-Y92</f>
        <v>0</v>
      </c>
      <c r="BC92" s="3"/>
      <c r="BE92" s="3"/>
    </row>
    <row r="93" spans="1:57" hidden="1" outlineLevel="1" x14ac:dyDescent="0.25">
      <c r="A93" s="3" t="s">
        <v>838</v>
      </c>
      <c r="B93" s="3">
        <v>86800</v>
      </c>
      <c r="D93" s="3">
        <v>12254</v>
      </c>
      <c r="E93" s="3">
        <f>F93-D93</f>
        <v>74546</v>
      </c>
      <c r="F93" s="3">
        <v>86800</v>
      </c>
      <c r="H93" s="3">
        <f>F93-B93</f>
        <v>0</v>
      </c>
      <c r="J93" s="3">
        <v>31681</v>
      </c>
      <c r="K93" s="4">
        <f>L93-J93</f>
        <v>54319</v>
      </c>
      <c r="L93" s="4">
        <v>86000</v>
      </c>
      <c r="N93" s="4">
        <f>L93-F93</f>
        <v>-800</v>
      </c>
      <c r="P93" s="3">
        <f>L93*1.17+30</f>
        <v>100650</v>
      </c>
      <c r="R93" s="3">
        <v>14952</v>
      </c>
      <c r="S93" s="3">
        <f>T93-R93</f>
        <v>85698</v>
      </c>
      <c r="T93" s="3">
        <v>100650</v>
      </c>
      <c r="U93" s="3">
        <f>T93-P93</f>
        <v>0</v>
      </c>
      <c r="V93" s="3">
        <f>33509+7431</f>
        <v>40940</v>
      </c>
      <c r="W93" s="3">
        <f>Y93-V93</f>
        <v>59060</v>
      </c>
      <c r="Y93" s="3">
        <v>100000</v>
      </c>
      <c r="Z93" s="3">
        <f>Y93-T93</f>
        <v>-650</v>
      </c>
      <c r="AC93" s="3">
        <f>66405+7531</f>
        <v>73936</v>
      </c>
      <c r="AD93" s="3">
        <f>AE93-AC93</f>
        <v>28564</v>
      </c>
      <c r="AE93" s="3">
        <v>102500</v>
      </c>
      <c r="AF93" s="3">
        <f>AE93-Y93</f>
        <v>2500</v>
      </c>
      <c r="AI93" s="3">
        <f>P93*1.075+401</f>
        <v>108599.75</v>
      </c>
      <c r="AK93" s="3">
        <f>AI93*1.05</f>
        <v>114029.7375</v>
      </c>
      <c r="AM93" s="3">
        <f>AK93*1.05</f>
        <v>119731.22437500001</v>
      </c>
      <c r="AO93" s="3">
        <f>AM93*1.05</f>
        <v>125717.78559375001</v>
      </c>
      <c r="AQ93" s="3">
        <f>AO93*1.05</f>
        <v>132003.67487343753</v>
      </c>
      <c r="AS93" s="3">
        <f>AQ93*1.05</f>
        <v>138603.85861710942</v>
      </c>
      <c r="AU93" s="3">
        <f>AS93*1.05</f>
        <v>145534.05154796489</v>
      </c>
      <c r="AW93" s="3">
        <f>AU93*1.05</f>
        <v>152810.75412536314</v>
      </c>
      <c r="AY93" s="3">
        <f>AW93*1.05</f>
        <v>160451.2918316313</v>
      </c>
      <c r="BA93" s="3">
        <f>AY93*1.05</f>
        <v>168473.85642321288</v>
      </c>
      <c r="BC93" s="3">
        <f>BA93*1.05</f>
        <v>176897.54924437354</v>
      </c>
      <c r="BE93" s="3">
        <f>BC93*1.05</f>
        <v>185742.42670659223</v>
      </c>
    </row>
    <row r="94" spans="1:57" collapsed="1" x14ac:dyDescent="0.25">
      <c r="A94" s="7" t="s">
        <v>836</v>
      </c>
      <c r="B94" s="62">
        <f>SUM(B92:B93)</f>
        <v>86800</v>
      </c>
      <c r="C94" s="32"/>
      <c r="D94" s="62">
        <f>SUM(D92:D93)</f>
        <v>12254</v>
      </c>
      <c r="E94" s="62">
        <f>SUM(E92:E93)</f>
        <v>74546</v>
      </c>
      <c r="F94" s="62">
        <f>SUM(F92:F93)</f>
        <v>86800</v>
      </c>
      <c r="G94" s="32"/>
      <c r="H94" s="62">
        <f>SUM(H92:H93)</f>
        <v>0</v>
      </c>
      <c r="I94" s="32"/>
      <c r="J94" s="62">
        <f>SUM(J92:J93)</f>
        <v>31681</v>
      </c>
      <c r="K94" s="62">
        <f>SUM(K92:K93)</f>
        <v>54319</v>
      </c>
      <c r="L94" s="62">
        <f>SUM(L92:L93)</f>
        <v>86000</v>
      </c>
      <c r="M94" s="32"/>
      <c r="N94" s="62">
        <f>SUM(N92:N93)</f>
        <v>-800</v>
      </c>
      <c r="P94" s="62">
        <f>SUM(P92:P93)</f>
        <v>100650</v>
      </c>
      <c r="R94" s="62">
        <f t="shared" ref="R94:Z94" si="41">SUM(R92:R93)</f>
        <v>14952</v>
      </c>
      <c r="S94" s="62">
        <f t="shared" si="41"/>
        <v>85698</v>
      </c>
      <c r="T94" s="62">
        <f t="shared" si="41"/>
        <v>100650</v>
      </c>
      <c r="U94" s="62">
        <f t="shared" si="41"/>
        <v>0</v>
      </c>
      <c r="V94" s="62">
        <f t="shared" si="41"/>
        <v>40940</v>
      </c>
      <c r="W94" s="62">
        <f t="shared" si="41"/>
        <v>59060</v>
      </c>
      <c r="X94" s="62"/>
      <c r="Y94" s="62">
        <f t="shared" si="41"/>
        <v>100000</v>
      </c>
      <c r="Z94" s="62">
        <f t="shared" si="41"/>
        <v>-650</v>
      </c>
      <c r="AC94" s="62">
        <f>SUM(AC92:AC93)</f>
        <v>73936</v>
      </c>
      <c r="AD94" s="62">
        <f>SUM(AD92:AD93)</f>
        <v>28564</v>
      </c>
      <c r="AE94" s="62">
        <f>SUM(AE92:AE93)</f>
        <v>102500</v>
      </c>
      <c r="AF94" s="62">
        <f>SUM(AF92:AF93)</f>
        <v>2500</v>
      </c>
      <c r="AG94" s="32"/>
      <c r="AI94" s="62">
        <f>SUM(AI92:AI93)</f>
        <v>108599.75</v>
      </c>
      <c r="AK94" s="62">
        <f>SUM(AK92:AK93)</f>
        <v>114029.7375</v>
      </c>
      <c r="AM94" s="62">
        <f>SUM(AM92:AM93)</f>
        <v>119731.22437500001</v>
      </c>
      <c r="AO94" s="62">
        <f>SUM(AO92:AO93)</f>
        <v>125717.78559375001</v>
      </c>
      <c r="AP94" s="62"/>
      <c r="AQ94" s="62">
        <f>SUM(AQ92:AQ93)</f>
        <v>132003.67487343753</v>
      </c>
      <c r="AS94" s="62">
        <f>SUM(AS92:AS93)</f>
        <v>138603.85861710942</v>
      </c>
      <c r="AU94" s="62">
        <f>SUM(AU92:AU93)</f>
        <v>145534.05154796489</v>
      </c>
      <c r="AW94" s="62">
        <f>SUM(AW92:AW93)</f>
        <v>152810.75412536314</v>
      </c>
      <c r="AY94" s="62">
        <f>SUM(AY92:AY93)</f>
        <v>160451.2918316313</v>
      </c>
      <c r="BA94" s="62">
        <f>SUM(BA92:BA93)</f>
        <v>168473.85642321288</v>
      </c>
      <c r="BC94" s="62">
        <f>SUM(BC92:BC93)</f>
        <v>176897.54924437354</v>
      </c>
      <c r="BE94" s="62">
        <f>SUM(BE92:BE93)</f>
        <v>185742.42670659223</v>
      </c>
    </row>
    <row r="95" spans="1:57" hidden="1" x14ac:dyDescent="0.25">
      <c r="A95" s="7" t="s">
        <v>839</v>
      </c>
      <c r="BC95" s="3"/>
      <c r="BE95" s="3"/>
    </row>
    <row r="96" spans="1:57" x14ac:dyDescent="0.25">
      <c r="A96" s="7" t="s">
        <v>840</v>
      </c>
      <c r="B96" s="37">
        <v>26600</v>
      </c>
      <c r="C96" s="32"/>
      <c r="D96" s="37">
        <v>3086</v>
      </c>
      <c r="E96" s="37">
        <f>F96-D96</f>
        <v>23514</v>
      </c>
      <c r="F96" s="37">
        <v>26600</v>
      </c>
      <c r="G96" s="32"/>
      <c r="H96" s="37">
        <f>F96-B96</f>
        <v>0</v>
      </c>
      <c r="I96" s="32"/>
      <c r="J96" s="62">
        <v>6950</v>
      </c>
      <c r="K96" s="62">
        <f>L96-J96</f>
        <v>18050</v>
      </c>
      <c r="L96" s="62">
        <v>25000</v>
      </c>
      <c r="M96" s="32"/>
      <c r="N96" s="62">
        <f>L96-F96</f>
        <v>-1600</v>
      </c>
      <c r="P96" s="37">
        <f>L96*1.0281-3</f>
        <v>25699.5</v>
      </c>
      <c r="R96" s="52">
        <v>1692</v>
      </c>
      <c r="S96" s="52">
        <f>T96-R96</f>
        <v>24008</v>
      </c>
      <c r="T96" s="37">
        <v>25700</v>
      </c>
      <c r="U96" s="37">
        <f>T96-P96</f>
        <v>0.5</v>
      </c>
      <c r="V96" s="37">
        <v>6552</v>
      </c>
      <c r="W96" s="37">
        <f>Y96-V96</f>
        <v>17148</v>
      </c>
      <c r="X96" s="37"/>
      <c r="Y96" s="37">
        <v>23700</v>
      </c>
      <c r="Z96" s="37">
        <f>Y96-T96</f>
        <v>-2000</v>
      </c>
      <c r="AC96" s="37">
        <v>12654</v>
      </c>
      <c r="AD96" s="37">
        <f>AE96-AC96</f>
        <v>9846</v>
      </c>
      <c r="AE96" s="37">
        <v>22500</v>
      </c>
      <c r="AF96" s="37">
        <f>AE96-Y96</f>
        <v>-1200</v>
      </c>
      <c r="AG96" s="32"/>
      <c r="AI96" s="37">
        <f>P96*1.03</f>
        <v>26470.485000000001</v>
      </c>
      <c r="AK96" s="37">
        <f>AI96*1.0281</f>
        <v>27214.305628500002</v>
      </c>
      <c r="AM96" s="37">
        <f>AK96*1.03</f>
        <v>28030.734797355002</v>
      </c>
      <c r="AO96" s="37">
        <f>AM96*1.03</f>
        <v>28871.656841275653</v>
      </c>
      <c r="AP96" s="37"/>
      <c r="AQ96" s="37">
        <f>AO96*1.03</f>
        <v>29737.806546513923</v>
      </c>
      <c r="AS96" s="37">
        <f>AQ96*1.03</f>
        <v>30629.940742909341</v>
      </c>
      <c r="AU96" s="37">
        <f>AS96*1.03</f>
        <v>31548.838965196621</v>
      </c>
      <c r="AW96" s="37">
        <f>AU96*1.03</f>
        <v>32495.30413415252</v>
      </c>
      <c r="AY96" s="37">
        <f>AW96*1.03</f>
        <v>33470.163258177097</v>
      </c>
      <c r="BA96" s="37">
        <f>AY96*1.03</f>
        <v>34474.268155922415</v>
      </c>
      <c r="BC96" s="37">
        <f>BA96*1.03</f>
        <v>35508.496200600086</v>
      </c>
      <c r="BE96" s="37">
        <f>BC96*1.03</f>
        <v>36573.751086618089</v>
      </c>
    </row>
    <row r="97" spans="1:57" x14ac:dyDescent="0.25">
      <c r="A97" s="3"/>
      <c r="T97" s="7"/>
      <c r="U97" s="7"/>
      <c r="V97" s="7"/>
      <c r="W97" s="7"/>
      <c r="X97" s="7"/>
      <c r="Y97" s="7"/>
      <c r="Z97" s="7"/>
      <c r="BC97" s="3"/>
      <c r="BE97" s="3"/>
    </row>
    <row r="98" spans="1:57" x14ac:dyDescent="0.25">
      <c r="A98" s="7" t="s">
        <v>289</v>
      </c>
      <c r="B98" s="37">
        <v>243000</v>
      </c>
      <c r="C98" s="32"/>
      <c r="D98" s="37">
        <v>0</v>
      </c>
      <c r="E98" s="37">
        <f>F98-D98</f>
        <v>243000</v>
      </c>
      <c r="F98" s="37">
        <v>243000</v>
      </c>
      <c r="G98" s="32"/>
      <c r="H98" s="37">
        <f>F98-B98</f>
        <v>0</v>
      </c>
      <c r="I98" s="32"/>
      <c r="J98" s="62">
        <f>SUM(J96:J97)</f>
        <v>6950</v>
      </c>
      <c r="K98" s="62">
        <f>SUM(K96:K97)</f>
        <v>18050</v>
      </c>
      <c r="L98" s="62">
        <v>243000</v>
      </c>
      <c r="M98" s="32"/>
      <c r="N98" s="62">
        <f>L98-F98</f>
        <v>0</v>
      </c>
      <c r="P98" s="62">
        <v>243000</v>
      </c>
      <c r="R98" s="52">
        <v>0</v>
      </c>
      <c r="S98" s="52">
        <f>T98-R98</f>
        <v>262000</v>
      </c>
      <c r="T98" s="37">
        <v>262000</v>
      </c>
      <c r="U98" s="37">
        <f>T98-P98</f>
        <v>19000</v>
      </c>
      <c r="V98" s="37">
        <v>0</v>
      </c>
      <c r="W98" s="37">
        <f>Y98-V98</f>
        <v>262000</v>
      </c>
      <c r="X98" s="37"/>
      <c r="Y98" s="37">
        <v>262000</v>
      </c>
      <c r="Z98" s="37">
        <f>Y98-T98</f>
        <v>0</v>
      </c>
      <c r="AC98" s="37">
        <v>0</v>
      </c>
      <c r="AD98" s="37">
        <f>AE98-AC98</f>
        <v>262000</v>
      </c>
      <c r="AE98" s="37">
        <v>262000</v>
      </c>
      <c r="AF98" s="37">
        <f>AE98-Y98</f>
        <v>0</v>
      </c>
      <c r="AG98" s="32"/>
      <c r="AI98" s="62">
        <v>243000</v>
      </c>
      <c r="AK98" s="62">
        <v>243000</v>
      </c>
      <c r="AM98" s="62">
        <v>243000</v>
      </c>
      <c r="AO98" s="62">
        <v>243000</v>
      </c>
      <c r="AP98" s="62"/>
      <c r="AQ98" s="62">
        <v>243000</v>
      </c>
      <c r="AS98" s="62">
        <v>243000</v>
      </c>
      <c r="AU98" s="62">
        <v>243000</v>
      </c>
      <c r="AW98" s="62">
        <v>243000</v>
      </c>
      <c r="AY98" s="62">
        <v>243000</v>
      </c>
      <c r="BA98" s="62">
        <v>243000</v>
      </c>
      <c r="BC98" s="62">
        <v>243000</v>
      </c>
      <c r="BE98" s="62">
        <v>243000</v>
      </c>
    </row>
    <row r="99" spans="1:57" x14ac:dyDescent="0.25">
      <c r="A99" s="3"/>
      <c r="BC99" s="3"/>
      <c r="BE99" s="3"/>
    </row>
    <row r="100" spans="1:57" hidden="1" outlineLevel="1" x14ac:dyDescent="0.25">
      <c r="A100" s="7" t="s">
        <v>376</v>
      </c>
      <c r="BC100" s="3"/>
      <c r="BE100" s="3"/>
    </row>
    <row r="101" spans="1:57" hidden="1" outlineLevel="1" x14ac:dyDescent="0.25">
      <c r="A101" s="3" t="s">
        <v>841</v>
      </c>
      <c r="P101" s="3">
        <v>8000</v>
      </c>
      <c r="R101" s="3">
        <v>0</v>
      </c>
      <c r="S101" s="3">
        <f>T101-R101</f>
        <v>8000</v>
      </c>
      <c r="T101" s="3">
        <v>8000</v>
      </c>
      <c r="U101" s="3">
        <f>T101-P101</f>
        <v>0</v>
      </c>
      <c r="W101" s="3">
        <f>Y101-V101</f>
        <v>8000</v>
      </c>
      <c r="Y101" s="3">
        <v>8000</v>
      </c>
      <c r="Z101" s="3">
        <f>Y101-T101</f>
        <v>0</v>
      </c>
      <c r="AC101" s="3">
        <v>638</v>
      </c>
      <c r="AD101" s="3">
        <f>AE101-AC101</f>
        <v>7362</v>
      </c>
      <c r="AE101" s="3">
        <v>8000</v>
      </c>
      <c r="AF101" s="3">
        <f>AE101-Y101</f>
        <v>0</v>
      </c>
      <c r="AO101" s="3">
        <v>9000</v>
      </c>
      <c r="AU101" s="3">
        <v>10000</v>
      </c>
      <c r="AW101" s="3">
        <v>10000</v>
      </c>
      <c r="AY101" s="3">
        <v>10000</v>
      </c>
      <c r="BA101" s="3">
        <v>10000</v>
      </c>
      <c r="BC101" s="3">
        <v>10000</v>
      </c>
      <c r="BE101" s="3">
        <v>10000</v>
      </c>
    </row>
    <row r="102" spans="1:57" hidden="1" outlineLevel="1" x14ac:dyDescent="0.25">
      <c r="A102" s="3" t="s">
        <v>817</v>
      </c>
      <c r="V102" s="3">
        <v>25000</v>
      </c>
      <c r="W102" s="3">
        <f>Y102-V102</f>
        <v>0</v>
      </c>
      <c r="Y102" s="3">
        <v>25000</v>
      </c>
      <c r="Z102" s="3">
        <f>Y102-T102</f>
        <v>25000</v>
      </c>
      <c r="AD102" s="3">
        <f>AE102-AC102</f>
        <v>25000</v>
      </c>
      <c r="AE102" s="3">
        <v>25000</v>
      </c>
      <c r="AF102" s="3">
        <f>AE102-Y102</f>
        <v>0</v>
      </c>
      <c r="BC102" s="3"/>
      <c r="BE102" s="3"/>
    </row>
    <row r="103" spans="1:57" hidden="1" outlineLevel="1" x14ac:dyDescent="0.25">
      <c r="A103" s="3" t="s">
        <v>842</v>
      </c>
      <c r="K103" s="4">
        <f>L103-J103</f>
        <v>4000</v>
      </c>
      <c r="L103" s="3">
        <v>4000</v>
      </c>
      <c r="N103" s="4">
        <f>L103-F103</f>
        <v>4000</v>
      </c>
      <c r="W103" s="3">
        <f>Y103-V103</f>
        <v>0</v>
      </c>
      <c r="Z103" s="3">
        <f>Y103-T103</f>
        <v>0</v>
      </c>
      <c r="AD103" s="3">
        <f>AE103-AC103</f>
        <v>0</v>
      </c>
      <c r="AF103" s="3">
        <f>AE103-Y103</f>
        <v>0</v>
      </c>
      <c r="BC103" s="3"/>
      <c r="BE103" s="3"/>
    </row>
    <row r="104" spans="1:57" hidden="1" outlineLevel="1" x14ac:dyDescent="0.25">
      <c r="A104" s="3" t="s">
        <v>843</v>
      </c>
      <c r="B104" s="3">
        <v>16500</v>
      </c>
      <c r="D104" s="3">
        <v>6588</v>
      </c>
      <c r="E104" s="3">
        <f>F104-D104</f>
        <v>9912</v>
      </c>
      <c r="F104" s="3">
        <v>16500</v>
      </c>
      <c r="H104" s="3">
        <f>F104-B104</f>
        <v>0</v>
      </c>
      <c r="J104" s="3">
        <v>8800</v>
      </c>
      <c r="K104" s="4">
        <f>L104-J104</f>
        <v>9200</v>
      </c>
      <c r="L104" s="4">
        <v>18000</v>
      </c>
      <c r="N104" s="4">
        <f>L104-F104</f>
        <v>1500</v>
      </c>
      <c r="P104" s="3">
        <f>L104*1.0325-35</f>
        <v>18550</v>
      </c>
      <c r="R104" s="3">
        <v>5654</v>
      </c>
      <c r="S104" s="3">
        <f>T104-R104</f>
        <v>16846</v>
      </c>
      <c r="T104" s="3">
        <v>22500</v>
      </c>
      <c r="U104" s="3">
        <f>T104-P104</f>
        <v>3950</v>
      </c>
      <c r="V104" s="3">
        <v>10154</v>
      </c>
      <c r="W104" s="3">
        <f>Y104-V104</f>
        <v>12346</v>
      </c>
      <c r="Y104" s="3">
        <v>22500</v>
      </c>
      <c r="Z104" s="3">
        <f>Y104-T104</f>
        <v>0</v>
      </c>
      <c r="AC104" s="3">
        <v>14549</v>
      </c>
      <c r="AD104" s="3">
        <f>AE104-AC104</f>
        <v>7951</v>
      </c>
      <c r="AE104" s="3">
        <v>22500</v>
      </c>
      <c r="AF104" s="3">
        <f>AE104-Y104</f>
        <v>0</v>
      </c>
      <c r="AI104" s="3">
        <f>P104*1.0325-3</f>
        <v>19149.875</v>
      </c>
      <c r="AK104" s="3">
        <f>AI104*1.0325</f>
        <v>19772.2459375</v>
      </c>
      <c r="AM104" s="3">
        <f>AK104*1.0325</f>
        <v>20414.843930468749</v>
      </c>
      <c r="AO104" s="3">
        <f>AM104*1.0325</f>
        <v>21078.326358208982</v>
      </c>
      <c r="AQ104" s="3">
        <f>AO104*1.0325</f>
        <v>21763.371964850772</v>
      </c>
      <c r="AS104" s="3">
        <f>AQ104*1.0325</f>
        <v>22470.681553708422</v>
      </c>
      <c r="AU104" s="3">
        <f>AS104*1.0325</f>
        <v>23200.978704203946</v>
      </c>
      <c r="AW104" s="3">
        <f>AU104*1.0325</f>
        <v>23955.010512090576</v>
      </c>
      <c r="AY104" s="3">
        <f>AW104*1.0325</f>
        <v>24733.54835373352</v>
      </c>
      <c r="BA104" s="3">
        <f>AY104*1.0325</f>
        <v>25537.38867522986</v>
      </c>
      <c r="BC104" s="3">
        <f>BA104*1.0325</f>
        <v>26367.35380717483</v>
      </c>
      <c r="BE104" s="3">
        <f>BC104*1.0325</f>
        <v>27224.292805908011</v>
      </c>
    </row>
    <row r="105" spans="1:57" collapsed="1" x14ac:dyDescent="0.25">
      <c r="A105" s="7" t="s">
        <v>376</v>
      </c>
      <c r="B105" s="62">
        <f>SUM(B101:B104)</f>
        <v>16500</v>
      </c>
      <c r="C105" s="32"/>
      <c r="D105" s="62">
        <f>SUM(D101:D104)</f>
        <v>6588</v>
      </c>
      <c r="E105" s="62">
        <f>SUM(E101:E104)</f>
        <v>9912</v>
      </c>
      <c r="F105" s="62">
        <f>SUM(F101:F104)</f>
        <v>16500</v>
      </c>
      <c r="G105" s="32"/>
      <c r="H105" s="62">
        <f>SUM(H101:H104)</f>
        <v>0</v>
      </c>
      <c r="I105" s="32"/>
      <c r="J105" s="62">
        <f>SUM(J101:J104)</f>
        <v>8800</v>
      </c>
      <c r="K105" s="62">
        <f>SUM(K101:K104)</f>
        <v>13200</v>
      </c>
      <c r="L105" s="62">
        <f>SUM(L101:L104)</f>
        <v>22000</v>
      </c>
      <c r="M105" s="32"/>
      <c r="N105" s="62">
        <f>SUM(N101:N104)</f>
        <v>5500</v>
      </c>
      <c r="P105" s="62">
        <f>SUM(P101:P104)</f>
        <v>26550</v>
      </c>
      <c r="R105" s="62">
        <f t="shared" ref="R105:Z105" si="42">SUM(R101:R104)</f>
        <v>5654</v>
      </c>
      <c r="S105" s="62">
        <f t="shared" si="42"/>
        <v>24846</v>
      </c>
      <c r="T105" s="62">
        <f t="shared" si="42"/>
        <v>30500</v>
      </c>
      <c r="U105" s="62">
        <f t="shared" si="42"/>
        <v>3950</v>
      </c>
      <c r="V105" s="62">
        <f t="shared" si="42"/>
        <v>35154</v>
      </c>
      <c r="W105" s="62">
        <f t="shared" si="42"/>
        <v>20346</v>
      </c>
      <c r="X105" s="62"/>
      <c r="Y105" s="62">
        <f t="shared" si="42"/>
        <v>55500</v>
      </c>
      <c r="Z105" s="62">
        <f t="shared" si="42"/>
        <v>25000</v>
      </c>
      <c r="AC105" s="62">
        <f>SUM(AC101:AC104)</f>
        <v>15187</v>
      </c>
      <c r="AD105" s="62">
        <f>SUM(AD101:AD104)</f>
        <v>40313</v>
      </c>
      <c r="AE105" s="62">
        <f>SUM(AE101:AE104)</f>
        <v>55500</v>
      </c>
      <c r="AF105" s="62">
        <f>SUM(AF101:AF104)</f>
        <v>0</v>
      </c>
      <c r="AG105" s="32"/>
      <c r="AI105" s="62">
        <f>SUM(AI101:AI104)</f>
        <v>19149.875</v>
      </c>
      <c r="AK105" s="62">
        <f>SUM(AK101:AK104)</f>
        <v>19772.2459375</v>
      </c>
      <c r="AM105" s="62">
        <f>SUM(AM101:AM104)</f>
        <v>20414.843930468749</v>
      </c>
      <c r="AO105" s="62">
        <f>SUM(AO101:AO104)</f>
        <v>30078.326358208982</v>
      </c>
      <c r="AP105" s="62"/>
      <c r="AQ105" s="62">
        <f>SUM(AQ101:AQ104)</f>
        <v>21763.371964850772</v>
      </c>
      <c r="AS105" s="62">
        <f>SUM(AS101:AS104)</f>
        <v>22470.681553708422</v>
      </c>
      <c r="AU105" s="62">
        <f>SUM(AU101:AU104)</f>
        <v>33200.978704203946</v>
      </c>
      <c r="AW105" s="62">
        <f>SUM(AW101:AW104)</f>
        <v>33955.010512090579</v>
      </c>
      <c r="AY105" s="62">
        <f>SUM(AY101:AY104)</f>
        <v>34733.548353733524</v>
      </c>
      <c r="BA105" s="62">
        <f>SUM(BA101:BA104)</f>
        <v>35537.388675229857</v>
      </c>
      <c r="BC105" s="62">
        <f>SUM(BC101:BC104)</f>
        <v>36367.353807174833</v>
      </c>
      <c r="BE105" s="62">
        <f>SUM(BE101:BE104)</f>
        <v>37224.292805908015</v>
      </c>
    </row>
    <row r="106" spans="1:57" ht="15.75" thickBot="1" x14ac:dyDescent="0.3">
      <c r="A106" s="3"/>
      <c r="BC106" s="3"/>
      <c r="BE106" s="3"/>
    </row>
    <row r="107" spans="1:57" ht="16.5" thickTop="1" thickBot="1" x14ac:dyDescent="0.3">
      <c r="A107" s="266" t="s">
        <v>1235</v>
      </c>
      <c r="B107" s="83">
        <f>B105+B98+B96+B94+B90+B82</f>
        <v>787250</v>
      </c>
      <c r="C107" s="32"/>
      <c r="D107" s="83">
        <f>D105+D98+D96+D94+D90+D82</f>
        <v>96047</v>
      </c>
      <c r="E107" s="83">
        <f>E105+E98+E96+E94+E90+E82</f>
        <v>691203</v>
      </c>
      <c r="F107" s="83">
        <f>F105+F98+F96+F94+F90+F82</f>
        <v>787250</v>
      </c>
      <c r="G107" s="32"/>
      <c r="H107" s="83">
        <f>H105+H98+H96+H94+H90+H82</f>
        <v>0</v>
      </c>
      <c r="I107" s="32"/>
      <c r="J107" s="83">
        <f>J105+J98+J96+J94+J90+J82</f>
        <v>176809</v>
      </c>
      <c r="K107" s="83">
        <f>K105+K98+K96+K94+K90+K82</f>
        <v>385291</v>
      </c>
      <c r="L107" s="83">
        <f>L105+L98+L96+L94+L90+L82</f>
        <v>780100</v>
      </c>
      <c r="M107" s="32"/>
      <c r="N107" s="83">
        <f>N105+N98+N96+N94+N90+N82</f>
        <v>-7150</v>
      </c>
      <c r="P107" s="83">
        <f>P105+P98+P96+P94+P90+P82</f>
        <v>811739.97499999998</v>
      </c>
      <c r="R107" s="83">
        <f t="shared" ref="R107:Z107" si="43">R105+R98+R96+R94+R90+R82</f>
        <v>97050</v>
      </c>
      <c r="S107" s="83">
        <f t="shared" si="43"/>
        <v>732088</v>
      </c>
      <c r="T107" s="83">
        <f t="shared" si="43"/>
        <v>829139</v>
      </c>
      <c r="U107" s="83">
        <f t="shared" si="43"/>
        <v>17398.025000000005</v>
      </c>
      <c r="V107" s="83">
        <f t="shared" si="43"/>
        <v>198692</v>
      </c>
      <c r="W107" s="83">
        <f t="shared" si="43"/>
        <v>660696</v>
      </c>
      <c r="X107" s="83"/>
      <c r="Y107" s="83">
        <f t="shared" si="43"/>
        <v>859390</v>
      </c>
      <c r="Z107" s="83">
        <f t="shared" si="43"/>
        <v>30250</v>
      </c>
      <c r="AC107" s="83">
        <f>AC105+AC98+AC96+AC94+AC90+AC82</f>
        <v>281994</v>
      </c>
      <c r="AD107" s="83">
        <f>AD105+AD98+AD96+AD94+AD90+AD82</f>
        <v>571046</v>
      </c>
      <c r="AE107" s="83">
        <f>AE105+AE98+AE96+AE94+AE90+AE82</f>
        <v>853040</v>
      </c>
      <c r="AF107" s="83">
        <f>AF105+AF98+AF96+AF94+AF90+AF82</f>
        <v>-6350</v>
      </c>
      <c r="AG107" s="32"/>
      <c r="AI107" s="83">
        <f>AI105+AI98+AI96+AI94+AI90+AI82</f>
        <v>821569.36749999993</v>
      </c>
      <c r="AK107" s="83">
        <f>AK105+AK98+AK96+AK94+AK90+AK82</f>
        <v>843664.888041</v>
      </c>
      <c r="AM107" s="83">
        <f>AM105+AM98+AM96+AM94+AM90+AM82</f>
        <v>866725.54419394885</v>
      </c>
      <c r="AO107" s="83">
        <f>AO105+AO98+AO96+AO94+AO90+AO82</f>
        <v>899672.8324149918</v>
      </c>
      <c r="AP107" s="83"/>
      <c r="AQ107" s="83">
        <f>AQ105+AQ98+AQ96+AQ94+AQ90+AQ82</f>
        <v>915599.21238847985</v>
      </c>
      <c r="AS107" s="83">
        <f>AS105+AS98+AS96+AS94+AS90+AS82</f>
        <v>941547.10322197201</v>
      </c>
      <c r="AU107" s="83">
        <f>AU105+AU98+AU96+AU94+AU90+AU82</f>
        <v>978560.85223955463</v>
      </c>
      <c r="AW107" s="83">
        <f>AW105+AW98+AW96+AW94+AW90+AW82</f>
        <v>1006686.8258933491</v>
      </c>
      <c r="AY107" s="83">
        <f>AY105+AY98+AY96+AY94+AY90+AY82</f>
        <v>1035973.5050752984</v>
      </c>
      <c r="BA107" s="83">
        <f>BA105+BA98+BA96+BA94+BA90+BA82</f>
        <v>1066471.5850461479</v>
      </c>
      <c r="BC107" s="83">
        <f>BC105+BC98+BC96+BC94+BC90+BC82</f>
        <v>1098234.0802093837</v>
      </c>
      <c r="BE107" s="83">
        <f>BE105+BE98+BE96+BE94+BE90+BE82</f>
        <v>1131316.4339692562</v>
      </c>
    </row>
    <row r="108" spans="1:57" ht="16.5" thickTop="1" thickBot="1" x14ac:dyDescent="0.3">
      <c r="A108" s="7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P108" s="32"/>
      <c r="R108" s="32"/>
      <c r="S108" s="32"/>
      <c r="T108" s="32"/>
      <c r="U108" s="32"/>
      <c r="V108" s="32"/>
      <c r="W108" s="32"/>
      <c r="X108" s="32"/>
      <c r="Y108" s="32"/>
      <c r="Z108" s="32"/>
      <c r="AC108" s="32"/>
      <c r="AD108" s="32"/>
      <c r="AE108" s="32"/>
      <c r="AF108" s="32"/>
      <c r="AG108" s="32"/>
      <c r="AI108" s="32"/>
      <c r="AK108" s="32"/>
      <c r="AM108" s="32"/>
      <c r="AO108" s="32"/>
      <c r="AP108" s="32"/>
      <c r="AQ108" s="32"/>
      <c r="AS108" s="32"/>
      <c r="AU108" s="32"/>
      <c r="AW108" s="32"/>
      <c r="AY108" s="32"/>
      <c r="BA108" s="32"/>
      <c r="BC108" s="32"/>
      <c r="BE108" s="32"/>
    </row>
    <row r="109" spans="1:57" ht="16.5" thickTop="1" thickBot="1" x14ac:dyDescent="0.3">
      <c r="A109" s="286" t="s">
        <v>1246</v>
      </c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P109" s="32"/>
      <c r="R109" s="32"/>
      <c r="S109" s="32"/>
      <c r="T109" s="32"/>
      <c r="U109" s="32"/>
      <c r="V109" s="32"/>
      <c r="W109" s="32"/>
      <c r="X109" s="32"/>
      <c r="Y109" s="32"/>
      <c r="Z109" s="32"/>
      <c r="AC109" s="32"/>
      <c r="AD109" s="32"/>
      <c r="AE109" s="32"/>
      <c r="AF109" s="32"/>
      <c r="AG109" s="32"/>
      <c r="AI109" s="83">
        <f>+AI70-AI107</f>
        <v>-49049.117499999818</v>
      </c>
      <c r="AK109" s="83">
        <f>+AK70-AK107</f>
        <v>618.86820900021121</v>
      </c>
      <c r="AM109" s="83">
        <f>+AM70-AM107</f>
        <v>55348.055962301441</v>
      </c>
      <c r="AO109" s="83">
        <f>+AO70-AO107</f>
        <v>89219.957745164633</v>
      </c>
      <c r="AP109" s="32"/>
      <c r="AQ109" s="83">
        <f>+AQ70-AQ107</f>
        <v>142400.1737756806</v>
      </c>
      <c r="AS109" s="83">
        <f>+AS70-AS107</f>
        <v>866209.59733066754</v>
      </c>
      <c r="AU109" s="83">
        <f>+AU70-AU107</f>
        <v>431421.83704799449</v>
      </c>
      <c r="AW109" s="83">
        <f>+AW70-AW107</f>
        <v>208113.48040853732</v>
      </c>
      <c r="AY109" s="83">
        <f>+AY70-AY107</f>
        <v>236365.13615539123</v>
      </c>
      <c r="BA109" s="83">
        <f>+BA70-BA107</f>
        <v>266261.64085012744</v>
      </c>
      <c r="BC109" s="83">
        <f>+BC70-BC107</f>
        <v>297892.27590085822</v>
      </c>
      <c r="BE109" s="83">
        <f>+BE70-BE107</f>
        <v>331350.99558862927</v>
      </c>
    </row>
    <row r="110" spans="1:57" ht="15.75" thickTop="1" x14ac:dyDescent="0.25">
      <c r="A110" s="7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P110" s="32"/>
      <c r="R110" s="32"/>
      <c r="S110" s="32"/>
      <c r="T110" s="32"/>
      <c r="U110" s="32"/>
      <c r="V110" s="32"/>
      <c r="W110" s="32"/>
      <c r="X110" s="32"/>
      <c r="Y110" s="32"/>
      <c r="Z110" s="32"/>
      <c r="AC110" s="32"/>
      <c r="AD110" s="32"/>
      <c r="AE110" s="32"/>
      <c r="AF110" s="32"/>
      <c r="AG110" s="32"/>
      <c r="AI110" s="32"/>
      <c r="AK110" s="32"/>
      <c r="AM110" s="32"/>
      <c r="AO110" s="32"/>
      <c r="AP110" s="32"/>
      <c r="AQ110" s="32"/>
      <c r="AS110" s="32"/>
      <c r="AU110" s="32"/>
      <c r="AW110" s="32"/>
      <c r="AY110" s="32"/>
      <c r="BA110" s="32"/>
      <c r="BC110" s="32"/>
      <c r="BE110" s="32"/>
    </row>
    <row r="111" spans="1:57" hidden="1" outlineLevel="1" x14ac:dyDescent="0.25">
      <c r="A111" s="266" t="s">
        <v>909</v>
      </c>
      <c r="AD111" s="3">
        <f t="shared" ref="AD111:AD149" si="44">AE111-AC111</f>
        <v>0</v>
      </c>
      <c r="AF111" s="3">
        <f t="shared" ref="AF111:AF149" si="45">AE111-Y111</f>
        <v>0</v>
      </c>
      <c r="BC111" s="3"/>
      <c r="BE111" s="3"/>
    </row>
    <row r="112" spans="1:57" hidden="1" outlineLevel="1" x14ac:dyDescent="0.25">
      <c r="A112" s="3" t="s">
        <v>846</v>
      </c>
      <c r="W112" s="3">
        <f t="shared" ref="W112:W149" si="46">Y112-V112</f>
        <v>0</v>
      </c>
      <c r="AD112" s="3">
        <f t="shared" si="44"/>
        <v>0</v>
      </c>
      <c r="AF112" s="3">
        <f t="shared" si="45"/>
        <v>0</v>
      </c>
      <c r="BC112" s="3"/>
      <c r="BE112" s="3"/>
    </row>
    <row r="113" spans="1:57" hidden="1" outlineLevel="1" x14ac:dyDescent="0.25">
      <c r="A113" s="3" t="s">
        <v>847</v>
      </c>
      <c r="W113" s="3">
        <f t="shared" si="46"/>
        <v>0</v>
      </c>
      <c r="AD113" s="3">
        <f t="shared" si="44"/>
        <v>0</v>
      </c>
      <c r="AF113" s="3">
        <f t="shared" si="45"/>
        <v>0</v>
      </c>
      <c r="BC113" s="3"/>
      <c r="BE113" s="3"/>
    </row>
    <row r="114" spans="1:57" hidden="1" outlineLevel="1" x14ac:dyDescent="0.25">
      <c r="A114" s="3" t="s">
        <v>848</v>
      </c>
      <c r="W114" s="3">
        <f t="shared" si="46"/>
        <v>0</v>
      </c>
      <c r="AD114" s="3">
        <f t="shared" si="44"/>
        <v>0</v>
      </c>
      <c r="AF114" s="3">
        <f t="shared" si="45"/>
        <v>0</v>
      </c>
      <c r="BC114" s="3"/>
      <c r="BE114" s="3"/>
    </row>
    <row r="115" spans="1:57" hidden="1" outlineLevel="1" x14ac:dyDescent="0.25">
      <c r="A115" s="3" t="s">
        <v>849</v>
      </c>
      <c r="B115" s="3">
        <v>11000</v>
      </c>
      <c r="E115" s="3">
        <f t="shared" ref="E115:E145" si="47">F115-D115</f>
        <v>11000</v>
      </c>
      <c r="F115" s="3">
        <v>11000</v>
      </c>
      <c r="H115" s="3">
        <f t="shared" ref="H115:H145" si="48">F115-B115</f>
        <v>0</v>
      </c>
      <c r="K115" s="4">
        <f t="shared" ref="K115:K149" si="49">L115-J115</f>
        <v>10000</v>
      </c>
      <c r="L115" s="4">
        <v>10000</v>
      </c>
      <c r="N115" s="4">
        <f t="shared" ref="N115:N149" si="50">L115-F115</f>
        <v>-1000</v>
      </c>
      <c r="W115" s="3">
        <f t="shared" si="46"/>
        <v>0</v>
      </c>
      <c r="Z115" s="3">
        <f t="shared" ref="Z115:Z149" si="51">Y115-T115</f>
        <v>0</v>
      </c>
      <c r="AD115" s="3">
        <f t="shared" si="44"/>
        <v>0</v>
      </c>
      <c r="AF115" s="3">
        <f t="shared" si="45"/>
        <v>0</v>
      </c>
      <c r="AU115" s="3">
        <v>21650</v>
      </c>
      <c r="BC115" s="3"/>
      <c r="BE115" s="3"/>
    </row>
    <row r="116" spans="1:57" hidden="1" outlineLevel="1" x14ac:dyDescent="0.25">
      <c r="A116" s="3" t="s">
        <v>850</v>
      </c>
      <c r="E116" s="3">
        <f t="shared" si="47"/>
        <v>0</v>
      </c>
      <c r="H116" s="3">
        <f t="shared" si="48"/>
        <v>0</v>
      </c>
      <c r="K116" s="4">
        <f t="shared" si="49"/>
        <v>0</v>
      </c>
      <c r="L116" s="4"/>
      <c r="N116" s="4">
        <f t="shared" si="50"/>
        <v>0</v>
      </c>
      <c r="W116" s="3">
        <f t="shared" si="46"/>
        <v>0</v>
      </c>
      <c r="Z116" s="3">
        <f t="shared" si="51"/>
        <v>0</v>
      </c>
      <c r="AD116" s="3">
        <f t="shared" si="44"/>
        <v>0</v>
      </c>
      <c r="AF116" s="3">
        <f t="shared" si="45"/>
        <v>0</v>
      </c>
      <c r="AS116" s="3">
        <v>1082000</v>
      </c>
      <c r="BC116" s="3"/>
      <c r="BE116" s="3"/>
    </row>
    <row r="117" spans="1:57" hidden="1" outlineLevel="1" x14ac:dyDescent="0.25">
      <c r="A117" s="3" t="s">
        <v>851</v>
      </c>
      <c r="E117" s="3">
        <f t="shared" si="47"/>
        <v>0</v>
      </c>
      <c r="H117" s="3">
        <f t="shared" si="48"/>
        <v>0</v>
      </c>
      <c r="K117" s="4">
        <f t="shared" si="49"/>
        <v>0</v>
      </c>
      <c r="L117" s="4"/>
      <c r="N117" s="4">
        <f t="shared" si="50"/>
        <v>0</v>
      </c>
      <c r="W117" s="3">
        <f t="shared" si="46"/>
        <v>0</v>
      </c>
      <c r="Z117" s="3">
        <f t="shared" si="51"/>
        <v>0</v>
      </c>
      <c r="AD117" s="3">
        <f t="shared" si="44"/>
        <v>0</v>
      </c>
      <c r="AF117" s="3">
        <f t="shared" si="45"/>
        <v>0</v>
      </c>
      <c r="BC117" s="3"/>
      <c r="BE117" s="3"/>
    </row>
    <row r="118" spans="1:57" hidden="1" outlineLevel="1" x14ac:dyDescent="0.25">
      <c r="A118" s="3" t="s">
        <v>852</v>
      </c>
      <c r="B118" s="3">
        <v>54100</v>
      </c>
      <c r="E118" s="3">
        <f t="shared" si="47"/>
        <v>54100</v>
      </c>
      <c r="F118" s="3">
        <v>54100</v>
      </c>
      <c r="H118" s="3">
        <f t="shared" si="48"/>
        <v>0</v>
      </c>
      <c r="K118" s="4">
        <f t="shared" si="49"/>
        <v>40000</v>
      </c>
      <c r="L118" s="4">
        <v>40000</v>
      </c>
      <c r="N118" s="4">
        <f t="shared" si="50"/>
        <v>-14100</v>
      </c>
      <c r="V118" s="3">
        <v>6910</v>
      </c>
      <c r="W118" s="3">
        <f t="shared" si="46"/>
        <v>0</v>
      </c>
      <c r="Y118" s="3">
        <v>6910</v>
      </c>
      <c r="Z118" s="3">
        <f t="shared" si="51"/>
        <v>6910</v>
      </c>
      <c r="AC118" s="3">
        <v>6910</v>
      </c>
      <c r="AD118" s="3">
        <f t="shared" si="44"/>
        <v>0</v>
      </c>
      <c r="AE118" s="3">
        <v>6910</v>
      </c>
      <c r="AF118" s="3">
        <f t="shared" si="45"/>
        <v>0</v>
      </c>
      <c r="AI118" s="3">
        <v>54100</v>
      </c>
      <c r="AM118" s="3">
        <v>32500</v>
      </c>
      <c r="AS118" s="3">
        <v>32500</v>
      </c>
      <c r="AU118" s="3">
        <v>54100</v>
      </c>
      <c r="BC118" s="3"/>
      <c r="BE118" s="3"/>
    </row>
    <row r="119" spans="1:57" hidden="1" outlineLevel="1" x14ac:dyDescent="0.25">
      <c r="A119" s="3" t="s">
        <v>853</v>
      </c>
      <c r="E119" s="3">
        <f t="shared" si="47"/>
        <v>0</v>
      </c>
      <c r="H119" s="3">
        <f t="shared" si="48"/>
        <v>0</v>
      </c>
      <c r="K119" s="4">
        <f t="shared" si="49"/>
        <v>0</v>
      </c>
      <c r="L119" s="4"/>
      <c r="N119" s="4">
        <f t="shared" si="50"/>
        <v>0</v>
      </c>
      <c r="W119" s="3">
        <f t="shared" si="46"/>
        <v>0</v>
      </c>
      <c r="Z119" s="3">
        <f t="shared" si="51"/>
        <v>0</v>
      </c>
      <c r="AD119" s="3">
        <f t="shared" si="44"/>
        <v>0</v>
      </c>
      <c r="AF119" s="3">
        <f t="shared" si="45"/>
        <v>0</v>
      </c>
      <c r="BC119" s="3"/>
      <c r="BE119" s="3"/>
    </row>
    <row r="120" spans="1:57" hidden="1" outlineLevel="1" x14ac:dyDescent="0.25">
      <c r="A120" s="3" t="s">
        <v>854</v>
      </c>
      <c r="E120" s="3">
        <f t="shared" si="47"/>
        <v>0</v>
      </c>
      <c r="H120" s="3">
        <f t="shared" si="48"/>
        <v>0</v>
      </c>
      <c r="K120" s="4">
        <f t="shared" si="49"/>
        <v>0</v>
      </c>
      <c r="L120" s="4"/>
      <c r="N120" s="4">
        <f t="shared" si="50"/>
        <v>0</v>
      </c>
      <c r="W120" s="3">
        <f t="shared" si="46"/>
        <v>0</v>
      </c>
      <c r="Z120" s="3">
        <f t="shared" si="51"/>
        <v>0</v>
      </c>
      <c r="AD120" s="3">
        <f t="shared" si="44"/>
        <v>0</v>
      </c>
      <c r="AF120" s="3">
        <f t="shared" si="45"/>
        <v>0</v>
      </c>
      <c r="AW120" s="42"/>
      <c r="AY120" s="42"/>
      <c r="BA120" s="42"/>
    </row>
    <row r="121" spans="1:57" hidden="1" outlineLevel="1" x14ac:dyDescent="0.25">
      <c r="A121" s="3" t="s">
        <v>855</v>
      </c>
      <c r="E121" s="3">
        <f t="shared" si="47"/>
        <v>0</v>
      </c>
      <c r="H121" s="3">
        <f t="shared" si="48"/>
        <v>0</v>
      </c>
      <c r="K121" s="4">
        <f t="shared" si="49"/>
        <v>0</v>
      </c>
      <c r="L121" s="4"/>
      <c r="N121" s="4">
        <f t="shared" si="50"/>
        <v>0</v>
      </c>
      <c r="W121" s="3">
        <f t="shared" si="46"/>
        <v>0</v>
      </c>
      <c r="Z121" s="3">
        <f t="shared" si="51"/>
        <v>0</v>
      </c>
      <c r="AD121" s="3">
        <f t="shared" si="44"/>
        <v>0</v>
      </c>
      <c r="AF121" s="3">
        <f t="shared" si="45"/>
        <v>0</v>
      </c>
      <c r="AW121" s="42"/>
      <c r="AY121" s="42"/>
      <c r="BA121" s="42"/>
    </row>
    <row r="122" spans="1:57" hidden="1" outlineLevel="1" x14ac:dyDescent="0.25">
      <c r="A122" s="3" t="s">
        <v>856</v>
      </c>
      <c r="B122" s="3">
        <v>2250</v>
      </c>
      <c r="E122" s="3">
        <f t="shared" si="47"/>
        <v>2250</v>
      </c>
      <c r="F122" s="3">
        <v>2250</v>
      </c>
      <c r="H122" s="3">
        <f t="shared" si="48"/>
        <v>0</v>
      </c>
      <c r="J122" s="3">
        <v>0</v>
      </c>
      <c r="K122" s="4">
        <f t="shared" si="49"/>
        <v>2250</v>
      </c>
      <c r="L122" s="4">
        <v>2250</v>
      </c>
      <c r="N122" s="4">
        <f t="shared" si="50"/>
        <v>0</v>
      </c>
      <c r="P122" s="3">
        <v>20000</v>
      </c>
      <c r="S122" s="3">
        <f>T122-R122</f>
        <v>20000</v>
      </c>
      <c r="T122" s="3">
        <v>20000</v>
      </c>
      <c r="U122" s="3">
        <f>T122-P122</f>
        <v>0</v>
      </c>
      <c r="V122" s="3">
        <v>0</v>
      </c>
      <c r="W122" s="3">
        <f t="shared" si="46"/>
        <v>20000</v>
      </c>
      <c r="Y122" s="3">
        <v>20000</v>
      </c>
      <c r="Z122" s="3">
        <f t="shared" si="51"/>
        <v>0</v>
      </c>
      <c r="AC122" s="3">
        <v>0</v>
      </c>
      <c r="AD122" s="3">
        <f t="shared" si="44"/>
        <v>20000</v>
      </c>
      <c r="AE122" s="3">
        <v>20000</v>
      </c>
      <c r="AF122" s="3">
        <f t="shared" si="45"/>
        <v>0</v>
      </c>
      <c r="AI122" s="3">
        <f>2250+50</f>
        <v>2300</v>
      </c>
      <c r="AK122" s="3">
        <v>2300</v>
      </c>
      <c r="AM122" s="3">
        <v>2300</v>
      </c>
      <c r="AO122" s="3">
        <v>2300</v>
      </c>
      <c r="AQ122" s="3">
        <v>2350</v>
      </c>
      <c r="AS122" s="3">
        <v>2350</v>
      </c>
      <c r="AU122" s="3">
        <v>2350</v>
      </c>
      <c r="AW122" s="42"/>
      <c r="AY122" s="42"/>
      <c r="BA122" s="42"/>
    </row>
    <row r="123" spans="1:57" hidden="1" outlineLevel="1" x14ac:dyDescent="0.25">
      <c r="A123" s="3" t="s">
        <v>857</v>
      </c>
      <c r="E123" s="3">
        <f t="shared" si="47"/>
        <v>0</v>
      </c>
      <c r="H123" s="3">
        <f t="shared" si="48"/>
        <v>0</v>
      </c>
      <c r="K123" s="4">
        <f t="shared" si="49"/>
        <v>0</v>
      </c>
      <c r="L123" s="4"/>
      <c r="N123" s="4">
        <f t="shared" si="50"/>
        <v>0</v>
      </c>
      <c r="W123" s="3">
        <f t="shared" si="46"/>
        <v>0</v>
      </c>
      <c r="Z123" s="3">
        <f t="shared" si="51"/>
        <v>0</v>
      </c>
      <c r="AD123" s="3">
        <f t="shared" si="44"/>
        <v>0</v>
      </c>
      <c r="AF123" s="3">
        <f t="shared" si="45"/>
        <v>0</v>
      </c>
      <c r="AW123" s="42"/>
      <c r="AY123" s="42"/>
      <c r="BA123" s="42"/>
    </row>
    <row r="124" spans="1:57" hidden="1" outlineLevel="1" x14ac:dyDescent="0.25">
      <c r="A124" s="3" t="s">
        <v>858</v>
      </c>
      <c r="E124" s="3">
        <f t="shared" si="47"/>
        <v>0</v>
      </c>
      <c r="H124" s="3">
        <f t="shared" si="48"/>
        <v>0</v>
      </c>
      <c r="K124" s="4">
        <f t="shared" si="49"/>
        <v>0</v>
      </c>
      <c r="L124" s="4"/>
      <c r="N124" s="4">
        <f t="shared" si="50"/>
        <v>0</v>
      </c>
      <c r="W124" s="3">
        <f t="shared" si="46"/>
        <v>0</v>
      </c>
      <c r="Z124" s="3">
        <f t="shared" si="51"/>
        <v>0</v>
      </c>
      <c r="AD124" s="3">
        <f t="shared" si="44"/>
        <v>0</v>
      </c>
      <c r="AF124" s="3">
        <f t="shared" si="45"/>
        <v>0</v>
      </c>
      <c r="AW124" s="42"/>
      <c r="AY124" s="42"/>
      <c r="BA124" s="42"/>
    </row>
    <row r="125" spans="1:57" hidden="1" outlineLevel="1" x14ac:dyDescent="0.25">
      <c r="A125" s="3" t="s">
        <v>859</v>
      </c>
      <c r="E125" s="3">
        <f t="shared" si="47"/>
        <v>0</v>
      </c>
      <c r="H125" s="3">
        <f t="shared" si="48"/>
        <v>0</v>
      </c>
      <c r="K125" s="4">
        <f t="shared" si="49"/>
        <v>0</v>
      </c>
      <c r="L125" s="4"/>
      <c r="N125" s="4">
        <f t="shared" si="50"/>
        <v>0</v>
      </c>
      <c r="W125" s="3">
        <f t="shared" si="46"/>
        <v>0</v>
      </c>
      <c r="Z125" s="3">
        <f t="shared" si="51"/>
        <v>0</v>
      </c>
      <c r="AD125" s="3">
        <f t="shared" si="44"/>
        <v>0</v>
      </c>
      <c r="AF125" s="3">
        <f t="shared" si="45"/>
        <v>0</v>
      </c>
      <c r="AW125" s="42"/>
      <c r="AY125" s="42"/>
      <c r="BA125" s="42"/>
    </row>
    <row r="126" spans="1:57" hidden="1" outlineLevel="1" x14ac:dyDescent="0.25">
      <c r="A126" s="3" t="s">
        <v>860</v>
      </c>
      <c r="E126" s="3">
        <f t="shared" si="47"/>
        <v>0</v>
      </c>
      <c r="H126" s="3">
        <f t="shared" si="48"/>
        <v>0</v>
      </c>
      <c r="K126" s="4">
        <f t="shared" si="49"/>
        <v>0</v>
      </c>
      <c r="L126" s="4"/>
      <c r="N126" s="4">
        <f t="shared" si="50"/>
        <v>0</v>
      </c>
      <c r="W126" s="3">
        <f t="shared" si="46"/>
        <v>0</v>
      </c>
      <c r="Z126" s="3">
        <f t="shared" si="51"/>
        <v>0</v>
      </c>
      <c r="AD126" s="3">
        <f t="shared" si="44"/>
        <v>0</v>
      </c>
      <c r="AF126" s="3">
        <f t="shared" si="45"/>
        <v>0</v>
      </c>
      <c r="AW126" s="42"/>
      <c r="AY126" s="42"/>
      <c r="BA126" s="42"/>
    </row>
    <row r="127" spans="1:57" hidden="1" outlineLevel="1" x14ac:dyDescent="0.25">
      <c r="A127" s="3" t="s">
        <v>861</v>
      </c>
      <c r="B127" s="3">
        <v>5400</v>
      </c>
      <c r="E127" s="3">
        <f t="shared" si="47"/>
        <v>5400</v>
      </c>
      <c r="F127" s="3">
        <v>5400</v>
      </c>
      <c r="H127" s="3">
        <f t="shared" si="48"/>
        <v>0</v>
      </c>
      <c r="K127" s="4">
        <f t="shared" si="49"/>
        <v>5000</v>
      </c>
      <c r="L127" s="4">
        <v>5000</v>
      </c>
      <c r="N127" s="4">
        <f t="shared" si="50"/>
        <v>-400</v>
      </c>
      <c r="W127" s="3">
        <f t="shared" si="46"/>
        <v>0</v>
      </c>
      <c r="Z127" s="3">
        <f t="shared" si="51"/>
        <v>0</v>
      </c>
      <c r="AD127" s="3">
        <f t="shared" si="44"/>
        <v>0</v>
      </c>
      <c r="AF127" s="3">
        <f t="shared" si="45"/>
        <v>0</v>
      </c>
      <c r="AI127" s="3">
        <v>5400</v>
      </c>
      <c r="AM127" s="3">
        <v>5400</v>
      </c>
      <c r="AS127" s="3">
        <v>5400</v>
      </c>
      <c r="AW127" s="42"/>
      <c r="AY127" s="42"/>
      <c r="BA127" s="42"/>
    </row>
    <row r="128" spans="1:57" hidden="1" outlineLevel="1" x14ac:dyDescent="0.25">
      <c r="A128" s="3" t="s">
        <v>862</v>
      </c>
      <c r="E128" s="3">
        <f t="shared" si="47"/>
        <v>0</v>
      </c>
      <c r="H128" s="3">
        <f t="shared" si="48"/>
        <v>0</v>
      </c>
      <c r="K128" s="4">
        <f t="shared" si="49"/>
        <v>0</v>
      </c>
      <c r="L128" s="4"/>
      <c r="N128" s="4">
        <f t="shared" si="50"/>
        <v>0</v>
      </c>
      <c r="W128" s="3">
        <f t="shared" si="46"/>
        <v>0</v>
      </c>
      <c r="Z128" s="3">
        <f t="shared" si="51"/>
        <v>0</v>
      </c>
      <c r="AD128" s="3">
        <f t="shared" si="44"/>
        <v>0</v>
      </c>
      <c r="AF128" s="3">
        <f t="shared" si="45"/>
        <v>0</v>
      </c>
      <c r="AM128" s="3">
        <v>72050</v>
      </c>
      <c r="AW128" s="42"/>
      <c r="AY128" s="42"/>
      <c r="BA128" s="42"/>
    </row>
    <row r="129" spans="1:57" hidden="1" outlineLevel="1" x14ac:dyDescent="0.25">
      <c r="A129" s="3" t="s">
        <v>863</v>
      </c>
      <c r="E129" s="3">
        <f t="shared" si="47"/>
        <v>0</v>
      </c>
      <c r="H129" s="3">
        <f t="shared" si="48"/>
        <v>0</v>
      </c>
      <c r="K129" s="4">
        <f t="shared" si="49"/>
        <v>0</v>
      </c>
      <c r="L129" s="4"/>
      <c r="N129" s="4">
        <f t="shared" si="50"/>
        <v>0</v>
      </c>
      <c r="P129" s="3">
        <v>324600</v>
      </c>
      <c r="R129" s="3">
        <v>3988</v>
      </c>
      <c r="S129" s="3">
        <f>T129-R129</f>
        <v>320612</v>
      </c>
      <c r="T129" s="3">
        <v>324600</v>
      </c>
      <c r="U129" s="3">
        <f>T129-P129</f>
        <v>0</v>
      </c>
      <c r="V129" s="3">
        <v>3988</v>
      </c>
      <c r="W129" s="3">
        <f t="shared" si="46"/>
        <v>320612</v>
      </c>
      <c r="Y129" s="3">
        <v>324600</v>
      </c>
      <c r="Z129" s="3">
        <f t="shared" si="51"/>
        <v>0</v>
      </c>
      <c r="AC129" s="3">
        <v>0</v>
      </c>
      <c r="AD129" s="3">
        <f t="shared" si="44"/>
        <v>324600</v>
      </c>
      <c r="AE129" s="3">
        <v>324600</v>
      </c>
      <c r="AF129" s="3">
        <f t="shared" si="45"/>
        <v>0</v>
      </c>
      <c r="AW129" s="42"/>
      <c r="AY129" s="42"/>
      <c r="BA129" s="42"/>
    </row>
    <row r="130" spans="1:57" hidden="1" outlineLevel="1" x14ac:dyDescent="0.25">
      <c r="A130" s="3" t="s">
        <v>864</v>
      </c>
      <c r="E130" s="3">
        <f t="shared" si="47"/>
        <v>0</v>
      </c>
      <c r="H130" s="3">
        <f t="shared" si="48"/>
        <v>0</v>
      </c>
      <c r="K130" s="4">
        <f t="shared" si="49"/>
        <v>0</v>
      </c>
      <c r="L130" s="4"/>
      <c r="N130" s="4">
        <f t="shared" si="50"/>
        <v>0</v>
      </c>
      <c r="W130" s="3">
        <f t="shared" si="46"/>
        <v>0</v>
      </c>
      <c r="Z130" s="3">
        <f t="shared" si="51"/>
        <v>0</v>
      </c>
      <c r="AD130" s="3">
        <f t="shared" si="44"/>
        <v>0</v>
      </c>
      <c r="AF130" s="3">
        <f t="shared" si="45"/>
        <v>0</v>
      </c>
      <c r="AW130" s="42"/>
      <c r="AY130" s="42"/>
      <c r="BA130" s="42"/>
    </row>
    <row r="131" spans="1:57" hidden="1" outlineLevel="1" x14ac:dyDescent="0.25">
      <c r="A131" s="3" t="s">
        <v>865</v>
      </c>
      <c r="E131" s="3">
        <f t="shared" si="47"/>
        <v>0</v>
      </c>
      <c r="H131" s="3">
        <f t="shared" si="48"/>
        <v>0</v>
      </c>
      <c r="K131" s="4">
        <f t="shared" si="49"/>
        <v>0</v>
      </c>
      <c r="L131" s="4"/>
      <c r="N131" s="4">
        <f t="shared" si="50"/>
        <v>0</v>
      </c>
      <c r="W131" s="3">
        <f t="shared" si="46"/>
        <v>0</v>
      </c>
      <c r="Z131" s="3">
        <f t="shared" si="51"/>
        <v>0</v>
      </c>
      <c r="AD131" s="3">
        <f t="shared" si="44"/>
        <v>0</v>
      </c>
      <c r="AF131" s="3">
        <f t="shared" si="45"/>
        <v>0</v>
      </c>
      <c r="AW131" s="42"/>
      <c r="AY131" s="42"/>
      <c r="BA131" s="42"/>
    </row>
    <row r="132" spans="1:57" hidden="1" outlineLevel="1" x14ac:dyDescent="0.25">
      <c r="A132" s="3" t="s">
        <v>866</v>
      </c>
      <c r="E132" s="3">
        <f t="shared" si="47"/>
        <v>0</v>
      </c>
      <c r="H132" s="3">
        <f t="shared" si="48"/>
        <v>0</v>
      </c>
      <c r="K132" s="4">
        <f t="shared" si="49"/>
        <v>0</v>
      </c>
      <c r="L132" s="4"/>
      <c r="N132" s="4">
        <f t="shared" si="50"/>
        <v>0</v>
      </c>
      <c r="W132" s="3">
        <f t="shared" si="46"/>
        <v>0</v>
      </c>
      <c r="Z132" s="3">
        <f t="shared" si="51"/>
        <v>0</v>
      </c>
      <c r="AD132" s="3">
        <f t="shared" si="44"/>
        <v>0</v>
      </c>
      <c r="AF132" s="3">
        <f t="shared" si="45"/>
        <v>0</v>
      </c>
      <c r="AW132" s="42"/>
      <c r="AY132" s="42"/>
      <c r="BA132" s="42"/>
    </row>
    <row r="133" spans="1:57" hidden="1" outlineLevel="1" x14ac:dyDescent="0.25">
      <c r="A133" s="3" t="s">
        <v>867</v>
      </c>
      <c r="E133" s="3">
        <f t="shared" si="47"/>
        <v>0</v>
      </c>
      <c r="H133" s="3">
        <f t="shared" si="48"/>
        <v>0</v>
      </c>
      <c r="K133" s="4">
        <f t="shared" si="49"/>
        <v>0</v>
      </c>
      <c r="L133" s="4"/>
      <c r="N133" s="4">
        <f t="shared" si="50"/>
        <v>0</v>
      </c>
      <c r="W133" s="3">
        <f t="shared" si="46"/>
        <v>0</v>
      </c>
      <c r="Z133" s="3">
        <f t="shared" si="51"/>
        <v>0</v>
      </c>
      <c r="AD133" s="3">
        <f t="shared" si="44"/>
        <v>0</v>
      </c>
      <c r="AF133" s="3">
        <f t="shared" si="45"/>
        <v>0</v>
      </c>
      <c r="AM133" s="3">
        <v>108200</v>
      </c>
      <c r="AW133" s="42"/>
      <c r="AY133" s="42"/>
      <c r="BA133" s="42"/>
    </row>
    <row r="134" spans="1:57" hidden="1" outlineLevel="1" x14ac:dyDescent="0.25">
      <c r="A134" s="3" t="s">
        <v>868</v>
      </c>
      <c r="E134" s="3">
        <f t="shared" si="47"/>
        <v>0</v>
      </c>
      <c r="H134" s="3">
        <f t="shared" si="48"/>
        <v>0</v>
      </c>
      <c r="K134" s="4">
        <f t="shared" si="49"/>
        <v>0</v>
      </c>
      <c r="L134" s="4"/>
      <c r="N134" s="4">
        <f t="shared" si="50"/>
        <v>0</v>
      </c>
      <c r="W134" s="3">
        <f t="shared" si="46"/>
        <v>0</v>
      </c>
      <c r="Z134" s="3">
        <f t="shared" si="51"/>
        <v>0</v>
      </c>
      <c r="AD134" s="3">
        <f t="shared" si="44"/>
        <v>0</v>
      </c>
      <c r="AF134" s="3">
        <f t="shared" si="45"/>
        <v>0</v>
      </c>
      <c r="AW134" s="42"/>
      <c r="AY134" s="42"/>
      <c r="BA134" s="42"/>
    </row>
    <row r="135" spans="1:57" hidden="1" outlineLevel="1" x14ac:dyDescent="0.25">
      <c r="A135" s="3" t="s">
        <v>869</v>
      </c>
      <c r="E135" s="3">
        <f t="shared" si="47"/>
        <v>0</v>
      </c>
      <c r="H135" s="3">
        <f t="shared" si="48"/>
        <v>0</v>
      </c>
      <c r="K135" s="4">
        <f t="shared" si="49"/>
        <v>0</v>
      </c>
      <c r="L135" s="4"/>
      <c r="N135" s="4">
        <f t="shared" si="50"/>
        <v>0</v>
      </c>
      <c r="W135" s="3">
        <f t="shared" si="46"/>
        <v>0</v>
      </c>
      <c r="Z135" s="3">
        <f t="shared" si="51"/>
        <v>0</v>
      </c>
      <c r="AD135" s="3">
        <f t="shared" si="44"/>
        <v>0</v>
      </c>
      <c r="AF135" s="3">
        <f t="shared" si="45"/>
        <v>0</v>
      </c>
      <c r="AS135" s="3">
        <v>108200</v>
      </c>
      <c r="AW135" s="42"/>
      <c r="AY135" s="42"/>
      <c r="BA135" s="42"/>
    </row>
    <row r="136" spans="1:57" hidden="1" outlineLevel="1" x14ac:dyDescent="0.25">
      <c r="A136" s="3" t="s">
        <v>870</v>
      </c>
      <c r="B136" s="3">
        <v>13000</v>
      </c>
      <c r="D136" s="3">
        <v>9313</v>
      </c>
      <c r="E136" s="3">
        <f t="shared" si="47"/>
        <v>3687</v>
      </c>
      <c r="F136" s="3">
        <v>13000</v>
      </c>
      <c r="H136" s="3">
        <f t="shared" si="48"/>
        <v>0</v>
      </c>
      <c r="J136" s="3">
        <v>28000</v>
      </c>
      <c r="K136" s="4">
        <f t="shared" si="49"/>
        <v>2000</v>
      </c>
      <c r="L136" s="4">
        <v>30000</v>
      </c>
      <c r="N136" s="4">
        <f t="shared" si="50"/>
        <v>17000</v>
      </c>
      <c r="W136" s="3">
        <f t="shared" si="46"/>
        <v>0</v>
      </c>
      <c r="Z136" s="3">
        <f t="shared" si="51"/>
        <v>0</v>
      </c>
      <c r="AD136" s="3">
        <f t="shared" si="44"/>
        <v>0</v>
      </c>
      <c r="AF136" s="3">
        <f t="shared" si="45"/>
        <v>0</v>
      </c>
      <c r="BC136" s="3"/>
      <c r="BE136" s="3"/>
    </row>
    <row r="137" spans="1:57" hidden="1" outlineLevel="1" x14ac:dyDescent="0.25">
      <c r="A137" s="3" t="s">
        <v>871</v>
      </c>
      <c r="E137" s="3">
        <f t="shared" si="47"/>
        <v>0</v>
      </c>
      <c r="H137" s="3">
        <f t="shared" si="48"/>
        <v>0</v>
      </c>
      <c r="K137" s="4">
        <f t="shared" si="49"/>
        <v>0</v>
      </c>
      <c r="L137" s="4"/>
      <c r="N137" s="4">
        <f t="shared" si="50"/>
        <v>0</v>
      </c>
      <c r="W137" s="3">
        <f t="shared" si="46"/>
        <v>0</v>
      </c>
      <c r="Z137" s="3">
        <f t="shared" si="51"/>
        <v>0</v>
      </c>
      <c r="AD137" s="3">
        <f t="shared" si="44"/>
        <v>0</v>
      </c>
      <c r="AF137" s="3">
        <f t="shared" si="45"/>
        <v>0</v>
      </c>
      <c r="BC137" s="3"/>
      <c r="BE137" s="3"/>
    </row>
    <row r="138" spans="1:57" hidden="1" outlineLevel="1" x14ac:dyDescent="0.25">
      <c r="A138" s="3" t="s">
        <v>872</v>
      </c>
      <c r="E138" s="3">
        <f t="shared" si="47"/>
        <v>0</v>
      </c>
      <c r="H138" s="3">
        <f t="shared" si="48"/>
        <v>0</v>
      </c>
      <c r="K138" s="4">
        <f t="shared" si="49"/>
        <v>0</v>
      </c>
      <c r="L138" s="4"/>
      <c r="N138" s="4">
        <f t="shared" si="50"/>
        <v>0</v>
      </c>
      <c r="W138" s="3">
        <f t="shared" si="46"/>
        <v>0</v>
      </c>
      <c r="Z138" s="3">
        <f t="shared" si="51"/>
        <v>0</v>
      </c>
      <c r="AD138" s="3">
        <f t="shared" si="44"/>
        <v>0</v>
      </c>
      <c r="AF138" s="3">
        <f t="shared" si="45"/>
        <v>0</v>
      </c>
      <c r="BC138" s="3"/>
      <c r="BE138" s="3"/>
    </row>
    <row r="139" spans="1:57" hidden="1" outlineLevel="1" x14ac:dyDescent="0.25">
      <c r="A139" s="3" t="s">
        <v>873</v>
      </c>
      <c r="E139" s="3">
        <f t="shared" si="47"/>
        <v>0</v>
      </c>
      <c r="H139" s="3">
        <f t="shared" si="48"/>
        <v>0</v>
      </c>
      <c r="K139" s="4">
        <f t="shared" si="49"/>
        <v>0</v>
      </c>
      <c r="L139" s="4"/>
      <c r="N139" s="4">
        <f t="shared" si="50"/>
        <v>0</v>
      </c>
      <c r="W139" s="3">
        <f t="shared" si="46"/>
        <v>0</v>
      </c>
      <c r="Z139" s="3">
        <f t="shared" si="51"/>
        <v>0</v>
      </c>
      <c r="AD139" s="3">
        <f t="shared" si="44"/>
        <v>0</v>
      </c>
      <c r="AF139" s="3">
        <f t="shared" si="45"/>
        <v>0</v>
      </c>
      <c r="AK139" s="3">
        <v>271000</v>
      </c>
      <c r="BC139" s="3"/>
      <c r="BE139" s="3"/>
    </row>
    <row r="140" spans="1:57" hidden="1" outlineLevel="1" x14ac:dyDescent="0.25">
      <c r="A140" s="3" t="s">
        <v>874</v>
      </c>
      <c r="E140" s="3">
        <f t="shared" si="47"/>
        <v>0</v>
      </c>
      <c r="H140" s="3">
        <f t="shared" si="48"/>
        <v>0</v>
      </c>
      <c r="K140" s="4">
        <f t="shared" si="49"/>
        <v>0</v>
      </c>
      <c r="L140" s="4"/>
      <c r="N140" s="4">
        <f t="shared" si="50"/>
        <v>0</v>
      </c>
      <c r="W140" s="3">
        <f t="shared" si="46"/>
        <v>0</v>
      </c>
      <c r="Z140" s="3">
        <f t="shared" si="51"/>
        <v>0</v>
      </c>
      <c r="AD140" s="3">
        <f t="shared" si="44"/>
        <v>0</v>
      </c>
      <c r="AF140" s="3">
        <f t="shared" si="45"/>
        <v>0</v>
      </c>
      <c r="BC140" s="3"/>
      <c r="BE140" s="3"/>
    </row>
    <row r="141" spans="1:57" hidden="1" outlineLevel="1" x14ac:dyDescent="0.25">
      <c r="A141" s="3" t="s">
        <v>875</v>
      </c>
      <c r="B141" s="3">
        <v>50000</v>
      </c>
      <c r="E141" s="3">
        <f t="shared" si="47"/>
        <v>50000</v>
      </c>
      <c r="F141" s="3">
        <v>50000</v>
      </c>
      <c r="H141" s="3">
        <f t="shared" si="48"/>
        <v>0</v>
      </c>
      <c r="K141" s="4">
        <f t="shared" si="49"/>
        <v>25000</v>
      </c>
      <c r="L141" s="4">
        <v>25000</v>
      </c>
      <c r="N141" s="4">
        <f t="shared" si="50"/>
        <v>-25000</v>
      </c>
      <c r="W141" s="3">
        <f t="shared" si="46"/>
        <v>0</v>
      </c>
      <c r="Z141" s="3">
        <f t="shared" si="51"/>
        <v>0</v>
      </c>
      <c r="AD141" s="3">
        <f t="shared" si="44"/>
        <v>0</v>
      </c>
      <c r="AF141" s="3">
        <f t="shared" si="45"/>
        <v>0</v>
      </c>
      <c r="BC141" s="3"/>
      <c r="BE141" s="3"/>
    </row>
    <row r="142" spans="1:57" hidden="1" outlineLevel="1" x14ac:dyDescent="0.25">
      <c r="A142" s="3" t="s">
        <v>876</v>
      </c>
      <c r="E142" s="3">
        <f t="shared" si="47"/>
        <v>0</v>
      </c>
      <c r="H142" s="3">
        <f t="shared" si="48"/>
        <v>0</v>
      </c>
      <c r="K142" s="4">
        <f t="shared" si="49"/>
        <v>0</v>
      </c>
      <c r="L142" s="4"/>
      <c r="N142" s="4">
        <f t="shared" si="50"/>
        <v>0</v>
      </c>
      <c r="W142" s="3">
        <f t="shared" si="46"/>
        <v>0</v>
      </c>
      <c r="Z142" s="3">
        <f t="shared" si="51"/>
        <v>0</v>
      </c>
      <c r="AD142" s="3">
        <f t="shared" si="44"/>
        <v>0</v>
      </c>
      <c r="AF142" s="3">
        <f t="shared" si="45"/>
        <v>0</v>
      </c>
      <c r="BC142" s="3"/>
      <c r="BE142" s="3"/>
    </row>
    <row r="143" spans="1:57" hidden="1" outlineLevel="1" x14ac:dyDescent="0.25">
      <c r="A143" s="3" t="s">
        <v>877</v>
      </c>
      <c r="E143" s="3">
        <f t="shared" si="47"/>
        <v>0</v>
      </c>
      <c r="H143" s="3">
        <f t="shared" si="48"/>
        <v>0</v>
      </c>
      <c r="K143" s="4">
        <f t="shared" si="49"/>
        <v>0</v>
      </c>
      <c r="L143" s="4"/>
      <c r="N143" s="4">
        <f t="shared" si="50"/>
        <v>0</v>
      </c>
      <c r="W143" s="3">
        <f t="shared" si="46"/>
        <v>0</v>
      </c>
      <c r="Z143" s="3">
        <f t="shared" si="51"/>
        <v>0</v>
      </c>
      <c r="AD143" s="3">
        <f t="shared" si="44"/>
        <v>0</v>
      </c>
      <c r="AF143" s="3">
        <f t="shared" si="45"/>
        <v>0</v>
      </c>
      <c r="BC143" s="3"/>
      <c r="BE143" s="3"/>
    </row>
    <row r="144" spans="1:57" hidden="1" outlineLevel="1" x14ac:dyDescent="0.25">
      <c r="A144" s="3" t="s">
        <v>878</v>
      </c>
      <c r="E144" s="3">
        <f t="shared" si="47"/>
        <v>0</v>
      </c>
      <c r="H144" s="3">
        <f t="shared" si="48"/>
        <v>0</v>
      </c>
      <c r="K144" s="4">
        <f t="shared" si="49"/>
        <v>0</v>
      </c>
      <c r="L144" s="4"/>
      <c r="N144" s="4">
        <f t="shared" si="50"/>
        <v>0</v>
      </c>
      <c r="W144" s="3">
        <f t="shared" si="46"/>
        <v>0</v>
      </c>
      <c r="Z144" s="3">
        <f t="shared" si="51"/>
        <v>0</v>
      </c>
      <c r="AD144" s="3">
        <f t="shared" si="44"/>
        <v>0</v>
      </c>
      <c r="AF144" s="3">
        <f t="shared" si="45"/>
        <v>0</v>
      </c>
      <c r="AU144" s="3">
        <v>541000</v>
      </c>
      <c r="BC144" s="3"/>
      <c r="BE144" s="3"/>
    </row>
    <row r="145" spans="1:57" hidden="1" outlineLevel="1" x14ac:dyDescent="0.25">
      <c r="A145" s="3" t="s">
        <v>879</v>
      </c>
      <c r="D145" s="3">
        <v>2695</v>
      </c>
      <c r="E145" s="3">
        <f t="shared" si="47"/>
        <v>5</v>
      </c>
      <c r="F145" s="3">
        <v>2700</v>
      </c>
      <c r="H145" s="3">
        <f t="shared" si="48"/>
        <v>2700</v>
      </c>
      <c r="J145" s="3">
        <v>3270</v>
      </c>
      <c r="K145" s="4">
        <f t="shared" si="49"/>
        <v>0</v>
      </c>
      <c r="L145" s="4">
        <v>3270</v>
      </c>
      <c r="N145" s="4">
        <f t="shared" si="50"/>
        <v>570</v>
      </c>
      <c r="W145" s="3">
        <f t="shared" si="46"/>
        <v>0</v>
      </c>
      <c r="Z145" s="3">
        <f t="shared" si="51"/>
        <v>0</v>
      </c>
      <c r="AD145" s="3">
        <f t="shared" si="44"/>
        <v>0</v>
      </c>
      <c r="AF145" s="3">
        <f t="shared" si="45"/>
        <v>0</v>
      </c>
      <c r="BC145" s="3"/>
      <c r="BE145" s="3"/>
    </row>
    <row r="146" spans="1:57" hidden="1" outlineLevel="1" x14ac:dyDescent="0.25">
      <c r="A146" s="3" t="s">
        <v>880</v>
      </c>
      <c r="E146" s="3">
        <f>F146-D146</f>
        <v>0</v>
      </c>
      <c r="H146" s="3">
        <f>F146-B146</f>
        <v>0</v>
      </c>
      <c r="K146" s="4">
        <f t="shared" si="49"/>
        <v>0</v>
      </c>
      <c r="L146" s="4"/>
      <c r="N146" s="4">
        <f t="shared" si="50"/>
        <v>0</v>
      </c>
      <c r="W146" s="3">
        <f t="shared" si="46"/>
        <v>0</v>
      </c>
      <c r="Z146" s="3">
        <f t="shared" si="51"/>
        <v>0</v>
      </c>
      <c r="AD146" s="3">
        <f t="shared" si="44"/>
        <v>0</v>
      </c>
      <c r="AF146" s="3">
        <f t="shared" si="45"/>
        <v>0</v>
      </c>
      <c r="BC146" s="3"/>
      <c r="BE146" s="3"/>
    </row>
    <row r="147" spans="1:57" hidden="1" outlineLevel="1" x14ac:dyDescent="0.25">
      <c r="A147" s="3" t="s">
        <v>881</v>
      </c>
      <c r="B147" s="3">
        <v>11900</v>
      </c>
      <c r="E147" s="3">
        <f>F147-D147</f>
        <v>11900</v>
      </c>
      <c r="F147" s="3">
        <v>11900</v>
      </c>
      <c r="H147" s="3">
        <f>F147-B147</f>
        <v>0</v>
      </c>
      <c r="J147" s="3">
        <v>0</v>
      </c>
      <c r="K147" s="4">
        <f t="shared" si="49"/>
        <v>11900</v>
      </c>
      <c r="L147" s="4">
        <v>11900</v>
      </c>
      <c r="N147" s="4">
        <f t="shared" si="50"/>
        <v>0</v>
      </c>
      <c r="P147" s="3">
        <f>4476-26</f>
        <v>4450</v>
      </c>
      <c r="S147" s="3">
        <f>T147-R147</f>
        <v>4450</v>
      </c>
      <c r="T147" s="3">
        <v>4450</v>
      </c>
      <c r="U147" s="3">
        <f>T147-P147</f>
        <v>0</v>
      </c>
      <c r="W147" s="3">
        <f t="shared" si="46"/>
        <v>4450</v>
      </c>
      <c r="Y147" s="3">
        <v>4450</v>
      </c>
      <c r="Z147" s="3">
        <f t="shared" si="51"/>
        <v>0</v>
      </c>
      <c r="AC147" s="3">
        <v>0</v>
      </c>
      <c r="AD147" s="3">
        <f t="shared" si="44"/>
        <v>1480</v>
      </c>
      <c r="AE147" s="3">
        <v>1480</v>
      </c>
      <c r="AF147" s="3">
        <f t="shared" si="45"/>
        <v>-2970</v>
      </c>
      <c r="AI147" s="3">
        <f>4476-26+100000</f>
        <v>104450</v>
      </c>
      <c r="AK147" s="3">
        <f>4476-26</f>
        <v>4450</v>
      </c>
      <c r="AM147" s="3">
        <f>4476-26</f>
        <v>4450</v>
      </c>
      <c r="AO147" s="3">
        <f>5800+300000</f>
        <v>305800</v>
      </c>
      <c r="AQ147" s="3">
        <f>5800+400000</f>
        <v>405800</v>
      </c>
      <c r="AS147" s="3">
        <v>5800</v>
      </c>
      <c r="AU147" s="3">
        <v>5800</v>
      </c>
      <c r="AW147" s="3">
        <f>4350+500000</f>
        <v>504350</v>
      </c>
      <c r="AY147" s="3">
        <v>500000</v>
      </c>
      <c r="BA147" s="3">
        <v>500000</v>
      </c>
      <c r="BC147" s="3">
        <v>500000</v>
      </c>
      <c r="BE147" s="3">
        <v>500000</v>
      </c>
    </row>
    <row r="148" spans="1:57" hidden="1" outlineLevel="1" x14ac:dyDescent="0.25">
      <c r="A148" s="3" t="s">
        <v>798</v>
      </c>
      <c r="E148" s="3">
        <f>F148-D148</f>
        <v>0</v>
      </c>
      <c r="H148" s="3">
        <f>F148-B148</f>
        <v>0</v>
      </c>
      <c r="K148" s="4">
        <f t="shared" si="49"/>
        <v>0</v>
      </c>
      <c r="L148" s="4"/>
      <c r="N148" s="4">
        <f t="shared" si="50"/>
        <v>0</v>
      </c>
      <c r="W148" s="3">
        <f t="shared" si="46"/>
        <v>0</v>
      </c>
      <c r="Z148" s="3">
        <f t="shared" si="51"/>
        <v>0</v>
      </c>
      <c r="AD148" s="3">
        <f t="shared" si="44"/>
        <v>0</v>
      </c>
      <c r="AF148" s="3">
        <f t="shared" si="45"/>
        <v>0</v>
      </c>
      <c r="BC148" s="3"/>
      <c r="BE148" s="3"/>
    </row>
    <row r="149" spans="1:57" hidden="1" outlineLevel="1" x14ac:dyDescent="0.25">
      <c r="A149" s="3" t="s">
        <v>882</v>
      </c>
      <c r="B149" s="3">
        <v>6180</v>
      </c>
      <c r="E149" s="3">
        <f>F149-D149</f>
        <v>6180</v>
      </c>
      <c r="F149" s="3">
        <v>6180</v>
      </c>
      <c r="H149" s="3">
        <f>F149-B149</f>
        <v>0</v>
      </c>
      <c r="K149" s="4">
        <f t="shared" si="49"/>
        <v>6180</v>
      </c>
      <c r="L149" s="4">
        <v>6180</v>
      </c>
      <c r="N149" s="4">
        <f t="shared" si="50"/>
        <v>0</v>
      </c>
      <c r="P149" s="3">
        <v>10000</v>
      </c>
      <c r="S149" s="3">
        <f>T149-R149</f>
        <v>10000</v>
      </c>
      <c r="T149" s="3">
        <v>10000</v>
      </c>
      <c r="U149" s="3">
        <f>T149-P149</f>
        <v>0</v>
      </c>
      <c r="W149" s="3">
        <f t="shared" si="46"/>
        <v>5000</v>
      </c>
      <c r="Y149" s="3">
        <v>5000</v>
      </c>
      <c r="Z149" s="3">
        <f t="shared" si="51"/>
        <v>-5000</v>
      </c>
      <c r="AC149" s="3">
        <v>0</v>
      </c>
      <c r="AD149" s="3">
        <f t="shared" si="44"/>
        <v>5000</v>
      </c>
      <c r="AE149" s="3">
        <v>5000</v>
      </c>
      <c r="AF149" s="3">
        <f t="shared" si="45"/>
        <v>0</v>
      </c>
      <c r="AI149" s="3">
        <f>P149*1.03</f>
        <v>10300</v>
      </c>
      <c r="AK149" s="3">
        <f>AI149*1.03</f>
        <v>10609</v>
      </c>
      <c r="AM149" s="3">
        <f>AK149*1.03</f>
        <v>10927.27</v>
      </c>
      <c r="AO149" s="3">
        <f>AM149*1.03</f>
        <v>11255.088100000001</v>
      </c>
      <c r="AQ149" s="3">
        <f>AO149*1.03</f>
        <v>11592.740743</v>
      </c>
      <c r="AS149" s="3">
        <f>AQ149*1.03</f>
        <v>11940.52296529</v>
      </c>
      <c r="AU149" s="3">
        <f>AS149*1.03</f>
        <v>12298.7386542487</v>
      </c>
      <c r="AW149" s="3">
        <f>AU149*1.03</f>
        <v>12667.700813876161</v>
      </c>
      <c r="AY149" s="3">
        <f>AW149*1.03</f>
        <v>13047.731838292446</v>
      </c>
      <c r="BA149" s="3">
        <f>AY149*1.03</f>
        <v>13439.163793441219</v>
      </c>
      <c r="BC149" s="3">
        <f>BA149*1.03</f>
        <v>13842.338707244457</v>
      </c>
      <c r="BE149" s="3">
        <f>BC149*1.03</f>
        <v>14257.60886846179</v>
      </c>
    </row>
    <row r="150" spans="1:57" ht="15.75" collapsed="1" thickBot="1" x14ac:dyDescent="0.3">
      <c r="A150" s="266" t="s">
        <v>909</v>
      </c>
      <c r="B150" s="44">
        <f>SUM(B112:B149)</f>
        <v>153830</v>
      </c>
      <c r="C150" s="32"/>
      <c r="D150" s="44">
        <f>SUM(D112:D149)</f>
        <v>12008</v>
      </c>
      <c r="E150" s="44">
        <f>SUM(E112:E149)</f>
        <v>144522</v>
      </c>
      <c r="F150" s="44">
        <f>SUM(F112:F149)</f>
        <v>156530</v>
      </c>
      <c r="G150" s="44"/>
      <c r="H150" s="44">
        <f>SUM(H112:H149)</f>
        <v>2700</v>
      </c>
      <c r="I150" s="32"/>
      <c r="J150" s="44">
        <f>SUM(J112:J149)</f>
        <v>31270</v>
      </c>
      <c r="K150" s="44">
        <f>SUM(K112:K149)</f>
        <v>102330</v>
      </c>
      <c r="L150" s="44">
        <f>SUM(L112:L149)</f>
        <v>133600</v>
      </c>
      <c r="M150" s="32"/>
      <c r="N150" s="44">
        <f>SUM(N112:N149)</f>
        <v>-22930</v>
      </c>
      <c r="P150" s="44">
        <f>SUM(P112:P149)</f>
        <v>359050</v>
      </c>
      <c r="R150" s="44">
        <f t="shared" ref="R150:Z150" si="52">SUM(R112:R149)</f>
        <v>3988</v>
      </c>
      <c r="S150" s="44">
        <f t="shared" si="52"/>
        <v>355062</v>
      </c>
      <c r="T150" s="44">
        <f t="shared" si="52"/>
        <v>359050</v>
      </c>
      <c r="U150" s="44">
        <f t="shared" si="52"/>
        <v>0</v>
      </c>
      <c r="V150" s="44">
        <f t="shared" si="52"/>
        <v>10898</v>
      </c>
      <c r="W150" s="44">
        <f t="shared" si="52"/>
        <v>350062</v>
      </c>
      <c r="X150" s="44"/>
      <c r="Y150" s="44">
        <f t="shared" si="52"/>
        <v>360960</v>
      </c>
      <c r="Z150" s="44">
        <f t="shared" si="52"/>
        <v>1910</v>
      </c>
      <c r="AC150" s="44">
        <f>SUM(AC112:AC149)</f>
        <v>6910</v>
      </c>
      <c r="AD150" s="44">
        <f>SUM(AD112:AD149)</f>
        <v>351080</v>
      </c>
      <c r="AE150" s="44">
        <f>SUM(AE112:AE149)</f>
        <v>357990</v>
      </c>
      <c r="AF150" s="44">
        <f>SUM(AF112:AF149)</f>
        <v>-2970</v>
      </c>
      <c r="AG150" s="32"/>
      <c r="AI150" s="44">
        <f>SUM(AI112:AI149)</f>
        <v>176550</v>
      </c>
      <c r="AK150" s="44">
        <f>SUM(AK112:AK149)</f>
        <v>288359</v>
      </c>
      <c r="AM150" s="44">
        <f>SUM(AM112:AM149)</f>
        <v>235827.27</v>
      </c>
      <c r="AO150" s="44">
        <f>SUM(AO112:AO149)</f>
        <v>319355.08809999999</v>
      </c>
      <c r="AP150" s="44"/>
      <c r="AQ150" s="44">
        <f>SUM(AQ112:AQ149)</f>
        <v>419742.740743</v>
      </c>
      <c r="AS150" s="44">
        <f>SUM(AS112:AS149)</f>
        <v>1248190.5229652899</v>
      </c>
      <c r="AU150" s="44">
        <f>SUM(AU112:AU149)</f>
        <v>637198.73865424865</v>
      </c>
      <c r="AW150" s="44">
        <f>SUM(AW112:AW149)</f>
        <v>517017.70081387617</v>
      </c>
      <c r="AY150" s="44">
        <f>SUM(AY112:AY149)</f>
        <v>513047.73183829244</v>
      </c>
      <c r="BA150" s="44">
        <f>SUM(BA112:BA149)</f>
        <v>513439.1637934412</v>
      </c>
      <c r="BC150" s="44">
        <f>SUM(BC112:BC149)</f>
        <v>513842.33870724443</v>
      </c>
      <c r="BE150" s="44">
        <f>SUM(BE112:BE149)</f>
        <v>514257.6088684618</v>
      </c>
    </row>
    <row r="151" spans="1:57" ht="16.5" thickTop="1" thickBot="1" x14ac:dyDescent="0.3">
      <c r="A151" s="3"/>
      <c r="B151" s="84"/>
      <c r="C151" s="32"/>
      <c r="D151" s="84"/>
      <c r="E151" s="84"/>
      <c r="F151" s="84"/>
      <c r="G151" s="84"/>
      <c r="H151" s="84"/>
      <c r="I151" s="32"/>
      <c r="J151" s="84"/>
      <c r="K151" s="84"/>
      <c r="L151" s="84"/>
      <c r="M151" s="32"/>
      <c r="N151" s="84"/>
      <c r="P151" s="84"/>
      <c r="R151" s="84"/>
      <c r="S151" s="84"/>
      <c r="T151" s="84"/>
      <c r="U151" s="84"/>
      <c r="V151" s="84"/>
      <c r="W151" s="84"/>
      <c r="X151" s="84"/>
      <c r="Y151" s="84"/>
      <c r="Z151" s="84"/>
      <c r="AC151" s="84"/>
      <c r="AD151" s="84"/>
      <c r="AE151" s="84"/>
      <c r="AF151" s="84"/>
      <c r="AG151" s="32"/>
      <c r="AI151" s="84"/>
      <c r="AK151" s="84"/>
      <c r="AM151" s="84"/>
      <c r="AO151" s="84"/>
      <c r="AP151" s="84"/>
      <c r="AQ151" s="84"/>
      <c r="AS151" s="84"/>
      <c r="AU151" s="84"/>
      <c r="AW151" s="84"/>
      <c r="AY151" s="84"/>
      <c r="BA151" s="84"/>
      <c r="BC151" s="84"/>
      <c r="BE151" s="84"/>
    </row>
    <row r="152" spans="1:57" ht="16.5" thickTop="1" thickBot="1" x14ac:dyDescent="0.3">
      <c r="A152" s="286" t="s">
        <v>1247</v>
      </c>
      <c r="B152" s="83">
        <f>B150+B107</f>
        <v>941080</v>
      </c>
      <c r="C152" s="32"/>
      <c r="D152" s="83">
        <f>D150+D107</f>
        <v>108055</v>
      </c>
      <c r="E152" s="83">
        <f>E150+E107</f>
        <v>835725</v>
      </c>
      <c r="F152" s="83">
        <f>F150+F107</f>
        <v>943780</v>
      </c>
      <c r="G152" s="83"/>
      <c r="H152" s="83">
        <f>H150+H107</f>
        <v>2700</v>
      </c>
      <c r="I152" s="32"/>
      <c r="J152" s="83">
        <f>J150+J107</f>
        <v>208079</v>
      </c>
      <c r="K152" s="83">
        <f>K150+K107</f>
        <v>487621</v>
      </c>
      <c r="L152" s="83">
        <f>L150+L107</f>
        <v>913700</v>
      </c>
      <c r="M152" s="32"/>
      <c r="N152" s="83">
        <f>N150+N107</f>
        <v>-30080</v>
      </c>
      <c r="P152" s="83">
        <f>P150+P107</f>
        <v>1170789.9750000001</v>
      </c>
      <c r="R152" s="83">
        <f t="shared" ref="R152:W152" si="53">R150+R107</f>
        <v>101038</v>
      </c>
      <c r="S152" s="83">
        <f t="shared" si="53"/>
        <v>1087150</v>
      </c>
      <c r="T152" s="83">
        <f t="shared" si="53"/>
        <v>1188189</v>
      </c>
      <c r="U152" s="83">
        <f t="shared" si="53"/>
        <v>17398.025000000005</v>
      </c>
      <c r="V152" s="83">
        <f t="shared" si="53"/>
        <v>209590</v>
      </c>
      <c r="W152" s="83">
        <f t="shared" si="53"/>
        <v>1010758</v>
      </c>
      <c r="X152" s="83"/>
      <c r="Y152" s="83">
        <f>Y150+Y107</f>
        <v>1220350</v>
      </c>
      <c r="Z152" s="83">
        <f>Z150+Z107</f>
        <v>32160</v>
      </c>
      <c r="AC152" s="83">
        <f>AC150+AC107</f>
        <v>288904</v>
      </c>
      <c r="AD152" s="83">
        <f>AD150+AD107</f>
        <v>922126</v>
      </c>
      <c r="AE152" s="83">
        <f>AE150+AE107</f>
        <v>1211030</v>
      </c>
      <c r="AF152" s="83">
        <f>AF150+AF107</f>
        <v>-9320</v>
      </c>
      <c r="AG152" s="32"/>
      <c r="AI152" s="44">
        <f>+AI109-AI150</f>
        <v>-225599.11749999982</v>
      </c>
      <c r="AK152" s="44">
        <f>+AK109-AK150</f>
        <v>-287740.13179099979</v>
      </c>
      <c r="AM152" s="44">
        <f>+AM109-AM150</f>
        <v>-180479.21403769855</v>
      </c>
      <c r="AO152" s="44">
        <f>+AO109-AO150</f>
        <v>-230135.13035483536</v>
      </c>
      <c r="AP152" s="83"/>
      <c r="AQ152" s="44">
        <f>+AQ109-AQ150</f>
        <v>-277342.56696731941</v>
      </c>
      <c r="AS152" s="44">
        <f>+AS109-AS150</f>
        <v>-381980.92563462234</v>
      </c>
      <c r="AU152" s="44">
        <f>+AU109-AU150</f>
        <v>-205776.90160625416</v>
      </c>
      <c r="AW152" s="44">
        <f>+AW109-AW150</f>
        <v>-308904.22040533886</v>
      </c>
      <c r="AY152" s="44">
        <f>+AY109-AY150</f>
        <v>-276682.59568290121</v>
      </c>
      <c r="BA152" s="44">
        <f>+BA109-BA150</f>
        <v>-247177.52294331376</v>
      </c>
      <c r="BC152" s="44">
        <f>+BC109-BC150</f>
        <v>-215950.06280638621</v>
      </c>
      <c r="BE152" s="44">
        <f>+BE109-BE150</f>
        <v>-182906.61327983253</v>
      </c>
    </row>
    <row r="153" spans="1:57" ht="15.75" thickTop="1" x14ac:dyDescent="0.25">
      <c r="A153" s="3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P153" s="32"/>
      <c r="R153" s="32"/>
      <c r="S153" s="32"/>
      <c r="T153" s="32"/>
      <c r="U153" s="32"/>
      <c r="V153" s="32"/>
      <c r="W153" s="32"/>
      <c r="X153" s="32"/>
      <c r="Y153" s="32"/>
      <c r="Z153" s="32"/>
      <c r="AC153" s="32"/>
      <c r="AD153" s="32"/>
      <c r="AE153" s="32"/>
      <c r="AF153" s="32"/>
      <c r="AG153" s="32"/>
      <c r="AI153" s="32"/>
      <c r="AK153" s="32"/>
      <c r="AM153" s="32"/>
      <c r="AO153" s="32"/>
      <c r="AP153" s="32"/>
      <c r="AQ153" s="32"/>
      <c r="AS153" s="32"/>
      <c r="AU153" s="32"/>
      <c r="AW153" s="32"/>
      <c r="AY153" s="32"/>
      <c r="BA153" s="32"/>
      <c r="BC153" s="32"/>
      <c r="BE153" s="32"/>
    </row>
    <row r="154" spans="1:57" x14ac:dyDescent="0.25">
      <c r="A154" s="3" t="s">
        <v>1244</v>
      </c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P154" s="32"/>
      <c r="R154" s="32"/>
      <c r="S154" s="32"/>
      <c r="T154" s="32"/>
      <c r="U154" s="32"/>
      <c r="V154" s="32"/>
      <c r="W154" s="32"/>
      <c r="X154" s="32"/>
      <c r="Y154" s="32"/>
      <c r="Z154" s="32"/>
      <c r="AC154" s="32"/>
      <c r="AD154" s="32"/>
      <c r="AE154" s="32"/>
      <c r="AF154" s="32"/>
      <c r="AG154" s="32"/>
      <c r="AI154" s="4">
        <f>+AI66</f>
        <v>243000</v>
      </c>
      <c r="AK154" s="4">
        <f>+AK66</f>
        <v>243000</v>
      </c>
      <c r="AM154" s="4">
        <f>+AM66</f>
        <v>243000</v>
      </c>
      <c r="AO154" s="4">
        <f>+AO66</f>
        <v>243000</v>
      </c>
      <c r="AP154" s="32"/>
      <c r="AQ154" s="4">
        <f>+AQ66</f>
        <v>243000</v>
      </c>
      <c r="AS154" s="4">
        <f>+AS66</f>
        <v>243000</v>
      </c>
      <c r="AU154" s="4">
        <f>+AU66</f>
        <v>243000</v>
      </c>
      <c r="AW154" s="4">
        <f>+AW66</f>
        <v>243000</v>
      </c>
      <c r="AY154" s="4">
        <f>+AY66</f>
        <v>243000</v>
      </c>
      <c r="BA154" s="4">
        <f>+BA66</f>
        <v>243000</v>
      </c>
      <c r="BC154" s="4">
        <f>+BC66</f>
        <v>243000</v>
      </c>
      <c r="BE154" s="4">
        <f>+BE66</f>
        <v>243000</v>
      </c>
    </row>
    <row r="155" spans="1:57" x14ac:dyDescent="0.25">
      <c r="A155" s="3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P155" s="32"/>
      <c r="R155" s="32"/>
      <c r="S155" s="32"/>
      <c r="T155" s="32"/>
      <c r="U155" s="32"/>
      <c r="V155" s="32"/>
      <c r="W155" s="32"/>
      <c r="X155" s="32"/>
      <c r="Y155" s="32"/>
      <c r="Z155" s="32"/>
      <c r="AC155" s="32"/>
      <c r="AD155" s="32"/>
      <c r="AE155" s="32"/>
      <c r="AF155" s="32"/>
      <c r="AG155" s="32"/>
      <c r="AI155" s="32"/>
      <c r="AK155" s="32"/>
      <c r="AM155" s="32"/>
      <c r="AO155" s="32"/>
      <c r="AP155" s="32"/>
      <c r="AQ155" s="32"/>
      <c r="AS155" s="32"/>
      <c r="AU155" s="32"/>
      <c r="AW155" s="32"/>
      <c r="AY155" s="32"/>
      <c r="BA155" s="32"/>
      <c r="BC155" s="32"/>
      <c r="BE155" s="32"/>
    </row>
    <row r="156" spans="1:57" x14ac:dyDescent="0.25">
      <c r="A156" s="286" t="s">
        <v>1248</v>
      </c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P156" s="32"/>
      <c r="R156" s="32"/>
      <c r="S156" s="32"/>
      <c r="T156" s="32"/>
      <c r="U156" s="32"/>
      <c r="V156" s="32"/>
      <c r="W156" s="32"/>
      <c r="X156" s="32"/>
      <c r="Y156" s="32"/>
      <c r="Z156" s="32"/>
      <c r="AC156" s="32"/>
      <c r="AD156" s="32"/>
      <c r="AE156" s="32"/>
      <c r="AF156" s="32"/>
      <c r="AG156" s="32"/>
      <c r="AI156" s="32">
        <f>+AI152+AI154</f>
        <v>17400.882500000182</v>
      </c>
      <c r="AK156" s="32">
        <f>+AK152+AK154</f>
        <v>-44740.131790999789</v>
      </c>
      <c r="AM156" s="32">
        <f>+AM152+AM154</f>
        <v>62520.785962301452</v>
      </c>
      <c r="AO156" s="32">
        <f>+AO152+AO154</f>
        <v>12864.869645164639</v>
      </c>
      <c r="AP156" s="32"/>
      <c r="AQ156" s="32">
        <f>+AQ152+AQ154</f>
        <v>-34342.566967319406</v>
      </c>
      <c r="AS156" s="32">
        <f>+AS152+AS154</f>
        <v>-138980.92563462234</v>
      </c>
      <c r="AU156" s="32">
        <f>+AU152+AU154</f>
        <v>37223.098393745837</v>
      </c>
      <c r="AW156" s="32">
        <f>+AW152+AW154</f>
        <v>-65904.220405338856</v>
      </c>
      <c r="AY156" s="32">
        <f>+AY152+AY154</f>
        <v>-33682.595682901214</v>
      </c>
      <c r="BA156" s="32">
        <f>+BA152+BA154</f>
        <v>-4177.5229433137574</v>
      </c>
      <c r="BC156" s="32">
        <f>+BC152+BC154</f>
        <v>27049.93719361379</v>
      </c>
      <c r="BE156" s="32">
        <f>+BE152+BE154</f>
        <v>60093.386720167473</v>
      </c>
    </row>
    <row r="157" spans="1:57" x14ac:dyDescent="0.25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P157" s="32"/>
      <c r="R157" s="32"/>
      <c r="S157" s="32"/>
      <c r="T157" s="32"/>
      <c r="U157" s="32"/>
      <c r="V157" s="32"/>
      <c r="W157" s="32"/>
      <c r="X157" s="32"/>
      <c r="Y157" s="32"/>
      <c r="Z157" s="32"/>
      <c r="AC157" s="32"/>
      <c r="AD157" s="32"/>
      <c r="AE157" s="32"/>
      <c r="AF157" s="32"/>
      <c r="AG157" s="32"/>
      <c r="AI157" s="32"/>
      <c r="AK157" s="32"/>
      <c r="AM157" s="32"/>
      <c r="AO157" s="32"/>
      <c r="AP157" s="32"/>
      <c r="AQ157" s="32"/>
      <c r="AS157" s="32"/>
      <c r="AU157" s="32"/>
      <c r="AW157" s="32"/>
      <c r="AY157" s="32"/>
      <c r="BA157" s="32"/>
      <c r="BC157" s="32"/>
      <c r="BE157" s="32"/>
    </row>
    <row r="158" spans="1:57" x14ac:dyDescent="0.25">
      <c r="A158" s="461" t="s">
        <v>1249</v>
      </c>
      <c r="B158" s="461"/>
      <c r="C158" s="461"/>
      <c r="D158" s="461"/>
      <c r="E158" s="461"/>
      <c r="F158" s="461"/>
      <c r="G158" s="461"/>
      <c r="H158" s="461"/>
      <c r="I158" s="461"/>
      <c r="J158" s="461"/>
      <c r="K158" s="461"/>
      <c r="L158" s="461"/>
      <c r="M158" s="461"/>
      <c r="N158" s="461"/>
      <c r="O158" s="461"/>
      <c r="P158" s="461"/>
      <c r="Q158" s="461"/>
      <c r="R158" s="461"/>
      <c r="S158" s="461"/>
      <c r="T158" s="461"/>
      <c r="U158" s="461"/>
      <c r="V158" s="461"/>
      <c r="W158" s="461"/>
      <c r="X158" s="461"/>
      <c r="Y158" s="461"/>
      <c r="Z158" s="461"/>
      <c r="AA158" s="461"/>
      <c r="AB158" s="461"/>
      <c r="AC158" s="461"/>
      <c r="AD158" s="461"/>
      <c r="AE158" s="461"/>
      <c r="AF158" s="461"/>
      <c r="AG158" s="461"/>
      <c r="AH158" s="461"/>
      <c r="AI158" s="461"/>
      <c r="AJ158" s="461"/>
      <c r="AK158" s="461"/>
      <c r="AL158" s="461"/>
      <c r="AM158" s="461"/>
      <c r="AN158" s="461"/>
      <c r="AO158" s="461"/>
      <c r="AP158" s="461"/>
      <c r="AQ158" s="461"/>
      <c r="AR158" s="461"/>
      <c r="AS158" s="461"/>
      <c r="AT158" s="461"/>
      <c r="AU158" s="461"/>
      <c r="AV158" s="461"/>
      <c r="AW158" s="461"/>
      <c r="AX158" s="461"/>
      <c r="AY158" s="461"/>
      <c r="AZ158" s="461"/>
      <c r="BA158" s="461"/>
      <c r="BB158" s="461"/>
      <c r="BC158" s="461"/>
      <c r="BD158" s="461"/>
      <c r="BE158" s="461"/>
    </row>
    <row r="159" spans="1:57" x14ac:dyDescent="0.25"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R159" s="3"/>
      <c r="AT159" s="3"/>
      <c r="AV159" s="3"/>
      <c r="AX159" s="3"/>
    </row>
    <row r="160" spans="1:57" x14ac:dyDescent="0.25">
      <c r="A160" s="391" t="s">
        <v>1179</v>
      </c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H160" s="4"/>
      <c r="AR160" s="3"/>
      <c r="AT160" s="3"/>
      <c r="AV160" s="3"/>
      <c r="AX160" s="3"/>
    </row>
    <row r="161" spans="1:57" x14ac:dyDescent="0.25">
      <c r="A161" s="51" t="s">
        <v>1180</v>
      </c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H161" s="4"/>
      <c r="AR161" s="3"/>
      <c r="AT161" s="3"/>
      <c r="AV161" s="3"/>
      <c r="AX161" s="3"/>
    </row>
    <row r="162" spans="1:57" x14ac:dyDescent="0.25">
      <c r="A162" s="387" t="s">
        <v>1181</v>
      </c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H162" s="4"/>
      <c r="AI162" s="3">
        <f>+AI39</f>
        <v>700700.00000000012</v>
      </c>
      <c r="AK162" s="3">
        <f>+AK39</f>
        <v>770770.00000000023</v>
      </c>
      <c r="AM162" s="3">
        <f>+AM39</f>
        <v>847847.00000000035</v>
      </c>
      <c r="AO162" s="3">
        <f>+AO39</f>
        <v>911435.52500000026</v>
      </c>
      <c r="AQ162" s="3">
        <f>+AQ39</f>
        <v>979793.18937500019</v>
      </c>
      <c r="AR162" s="3"/>
      <c r="AS162" s="3">
        <f>+AS39</f>
        <v>1028782.8488437502</v>
      </c>
      <c r="AT162" s="3"/>
      <c r="AU162" s="3">
        <f>+AU39</f>
        <v>1080221.9912859378</v>
      </c>
      <c r="AV162" s="3"/>
      <c r="AW162" s="3">
        <f>+AW39</f>
        <v>1134233.0908502347</v>
      </c>
      <c r="AX162" s="3"/>
      <c r="AY162" s="3">
        <f>+AY39</f>
        <v>1190944.7453927465</v>
      </c>
      <c r="BA162" s="3">
        <f>+BA39</f>
        <v>1250491.9826623839</v>
      </c>
      <c r="BC162" s="3">
        <f>+BC39</f>
        <v>1313016.5817955032</v>
      </c>
      <c r="BE162" s="3">
        <f>+BE39</f>
        <v>1378667.4108852781</v>
      </c>
    </row>
    <row r="163" spans="1:57" x14ac:dyDescent="0.25">
      <c r="A163" s="387" t="s">
        <v>1217</v>
      </c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H163" s="4"/>
      <c r="AI163" s="3">
        <f>+AI48</f>
        <v>11368.5</v>
      </c>
      <c r="AK163" s="3">
        <f>+AK48</f>
        <v>11652.712499999998</v>
      </c>
      <c r="AM163" s="3">
        <f>+AM48</f>
        <v>11944.030312499997</v>
      </c>
      <c r="AO163" s="3">
        <f>+AO48</f>
        <v>12242.631070312496</v>
      </c>
      <c r="AQ163" s="3">
        <f>+AQ48</f>
        <v>12548.696847070307</v>
      </c>
      <c r="AR163" s="3"/>
      <c r="AS163" s="3">
        <f>+AS48</f>
        <v>12862.414268247063</v>
      </c>
      <c r="AT163" s="3"/>
      <c r="AU163" s="3">
        <f>+AU48</f>
        <v>13183.97462495324</v>
      </c>
      <c r="AV163" s="3"/>
      <c r="AW163" s="3">
        <f>+AW48</f>
        <v>13513.573990577068</v>
      </c>
      <c r="AX163" s="3"/>
      <c r="AY163" s="3">
        <f>+AY48</f>
        <v>13851.413340341494</v>
      </c>
      <c r="BA163" s="3">
        <f>+BA48</f>
        <v>14197.698673850031</v>
      </c>
      <c r="BC163" s="3">
        <f>+BC48</f>
        <v>14552.64114069628</v>
      </c>
      <c r="BE163" s="3">
        <f>+BE48</f>
        <v>14916.457169213687</v>
      </c>
    </row>
    <row r="164" spans="1:57" x14ac:dyDescent="0.25">
      <c r="A164" s="387" t="s">
        <v>1218</v>
      </c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H164" s="4"/>
      <c r="AI164" s="3">
        <f>+AI50</f>
        <v>44000</v>
      </c>
      <c r="AK164" s="3">
        <f>+AK50</f>
        <v>45000</v>
      </c>
      <c r="AM164" s="3">
        <f>+AM50</f>
        <v>45000</v>
      </c>
      <c r="AO164" s="3">
        <f>+AO50</f>
        <v>47500</v>
      </c>
      <c r="AQ164" s="3">
        <f>+AQ50</f>
        <v>47500</v>
      </c>
      <c r="AS164" s="3">
        <f>+AS50</f>
        <v>47500</v>
      </c>
      <c r="AU164" s="3">
        <f>+AU50</f>
        <v>47500</v>
      </c>
      <c r="AW164" s="3">
        <f>+AW50</f>
        <v>47500</v>
      </c>
      <c r="AY164" s="3">
        <f>+AY50</f>
        <v>47500</v>
      </c>
      <c r="BA164" s="3">
        <f>+BA50</f>
        <v>47500</v>
      </c>
      <c r="BC164" s="3">
        <f>+BC50</f>
        <v>47500</v>
      </c>
      <c r="BE164" s="3">
        <f>+BE50</f>
        <v>47500</v>
      </c>
    </row>
    <row r="165" spans="1:57" x14ac:dyDescent="0.25">
      <c r="A165" s="387" t="s">
        <v>1182</v>
      </c>
      <c r="AH165" s="4"/>
      <c r="AI165" s="3">
        <f>+AI58</f>
        <v>16451.75</v>
      </c>
      <c r="AK165" s="3">
        <f>+AK58</f>
        <v>16861.043749999997</v>
      </c>
      <c r="AM165" s="3">
        <f>+AM58</f>
        <v>17282.569843749996</v>
      </c>
      <c r="AO165" s="3">
        <f>+AO58</f>
        <v>17714.634089843745</v>
      </c>
      <c r="AQ165" s="3">
        <f>+AQ58</f>
        <v>18157.499942089838</v>
      </c>
      <c r="AS165" s="3">
        <f>+AS58</f>
        <v>18611.437440642083</v>
      </c>
      <c r="AU165" s="3">
        <f>+AU58</f>
        <v>19076.723376658134</v>
      </c>
      <c r="AW165" s="3">
        <f>+AW58</f>
        <v>19553.641461074585</v>
      </c>
      <c r="AY165" s="3">
        <f>+AY58</f>
        <v>20042.482497601446</v>
      </c>
      <c r="BA165" s="3">
        <f>+BA58</f>
        <v>20543.544560041482</v>
      </c>
      <c r="BC165" s="3">
        <f>+BC58</f>
        <v>21057.133174042516</v>
      </c>
      <c r="BE165" s="3">
        <f>+BE58</f>
        <v>21583.561503393579</v>
      </c>
    </row>
    <row r="166" spans="1:57" x14ac:dyDescent="0.25">
      <c r="A166" s="387" t="s">
        <v>1183</v>
      </c>
      <c r="AH166" s="4"/>
      <c r="BC166" s="3"/>
      <c r="BE166" s="3"/>
    </row>
    <row r="167" spans="1:57" x14ac:dyDescent="0.25">
      <c r="A167" s="51" t="s">
        <v>1184</v>
      </c>
      <c r="AH167" s="4"/>
      <c r="BC167" s="3"/>
      <c r="BE167" s="3"/>
    </row>
    <row r="168" spans="1:57" x14ac:dyDescent="0.25">
      <c r="A168" s="387" t="s">
        <v>1219</v>
      </c>
      <c r="AH168" s="4"/>
      <c r="AI168" s="3">
        <f>-(AI78+AI90+AI94+AI105)</f>
        <v>-417549.38250000001</v>
      </c>
      <c r="AK168" s="3">
        <f>-(AK78+AK90+AK94+AK105)</f>
        <v>-432401.60741249996</v>
      </c>
      <c r="AM168" s="3">
        <f>-(AM78+AM90+AM94+AM105)</f>
        <v>-447812.99564659374</v>
      </c>
      <c r="AO168" s="3">
        <f>-(AO78+AO90+AO94+AO105)</f>
        <v>-472805.91448621621</v>
      </c>
      <c r="AQ168" s="3">
        <f>-(AQ78+AQ90+AQ94+AQ105)</f>
        <v>-480403.67901109083</v>
      </c>
      <c r="AS168" s="3">
        <f>-(AS78+AS90+AS94+AS105)</f>
        <v>-497630.59427710396</v>
      </c>
      <c r="AU168" s="3">
        <f>-(AU78+AU90+AU94+AU105)</f>
        <v>-525511.99944641278</v>
      </c>
      <c r="AW168" s="3">
        <f>-(AW78+AW90+AW94+AW105)</f>
        <v>-544074.31395989913</v>
      </c>
      <c r="AY168" s="3">
        <f>-(AY78+AY90+AY94+AY105)</f>
        <v>-563345.08584905998</v>
      </c>
      <c r="BA168" s="3">
        <f>-(BA78+BA90+BA94+BA105)</f>
        <v>-583353.04228912632</v>
      </c>
      <c r="BC168" s="3">
        <f>-(BC78+BC90+BC94+BC105)</f>
        <v>-604128.142500135</v>
      </c>
      <c r="BE168" s="3">
        <f>-(BE78+BE90+BE94+BE105)</f>
        <v>-625701.63310784812</v>
      </c>
    </row>
    <row r="169" spans="1:57" x14ac:dyDescent="0.25">
      <c r="A169" s="387" t="s">
        <v>1220</v>
      </c>
      <c r="AH169" s="4"/>
      <c r="AI169" s="3">
        <f>-AI96</f>
        <v>-26470.485000000001</v>
      </c>
      <c r="AK169" s="3">
        <f>-AK96</f>
        <v>-27214.305628500002</v>
      </c>
      <c r="AM169" s="3">
        <f>-AM96</f>
        <v>-28030.734797355002</v>
      </c>
      <c r="AO169" s="3">
        <f>-AO96</f>
        <v>-28871.656841275653</v>
      </c>
      <c r="AQ169" s="3">
        <f>-AQ96</f>
        <v>-29737.806546513923</v>
      </c>
      <c r="AS169" s="3">
        <f>-AS96</f>
        <v>-30629.940742909341</v>
      </c>
      <c r="AU169" s="3">
        <f>-AU96</f>
        <v>-31548.838965196621</v>
      </c>
      <c r="AW169" s="3">
        <f>-AW96</f>
        <v>-32495.30413415252</v>
      </c>
      <c r="AY169" s="3">
        <f>-AY96</f>
        <v>-33470.163258177097</v>
      </c>
      <c r="BA169" s="3">
        <f>-BA96</f>
        <v>-34474.268155922415</v>
      </c>
      <c r="BC169" s="3">
        <f>-BC96</f>
        <v>-35508.496200600086</v>
      </c>
      <c r="BE169" s="3">
        <f>-BE96</f>
        <v>-36573.751086618089</v>
      </c>
    </row>
    <row r="170" spans="1:57" x14ac:dyDescent="0.25">
      <c r="A170" s="387" t="s">
        <v>1221</v>
      </c>
      <c r="AH170" s="4"/>
      <c r="BC170" s="3"/>
      <c r="BE170" s="3"/>
    </row>
    <row r="171" spans="1:57" x14ac:dyDescent="0.25">
      <c r="A171" s="457" t="s">
        <v>1222</v>
      </c>
      <c r="AH171" s="4"/>
      <c r="BC171" s="3"/>
      <c r="BE171" s="3"/>
    </row>
    <row r="172" spans="1:57" x14ac:dyDescent="0.25">
      <c r="A172" s="457" t="s">
        <v>1223</v>
      </c>
      <c r="AH172" s="4"/>
      <c r="AI172" s="3">
        <f>-(AI75+AI79+AI80+AI81)</f>
        <v>-134549.5</v>
      </c>
      <c r="AK172" s="3">
        <f>-(AK75+AK79+AK80+AK81)</f>
        <v>-141048.97500000001</v>
      </c>
      <c r="AM172" s="3">
        <f>-(AM75+AM79+AM80+AM81)</f>
        <v>-147881.81375</v>
      </c>
      <c r="AO172" s="3">
        <f>-(AO75+AO79+AO80+AO81)</f>
        <v>-154995.2610875</v>
      </c>
      <c r="AQ172" s="3">
        <f>-(AQ75+AQ79+AQ80+AQ81)</f>
        <v>-162457.72683087506</v>
      </c>
      <c r="AS172" s="3">
        <f>-(AS75+AS79+AS80+AS81)</f>
        <v>-170286.56820195878</v>
      </c>
      <c r="AU172" s="3">
        <f>-(AU75+AU79+AU80+AU81)</f>
        <v>-178500.01382794516</v>
      </c>
      <c r="AW172" s="3">
        <f>-(AW75+AW79+AW80+AW81)</f>
        <v>-187117.20779929741</v>
      </c>
      <c r="AY172" s="3">
        <f>-(AY75+AY79+AY80+AY81)</f>
        <v>-196158.25596806125</v>
      </c>
      <c r="BA172" s="3">
        <f>-(BA75+BA79+BA80+BA81)</f>
        <v>-205644.27460109929</v>
      </c>
      <c r="BC172" s="3">
        <f>-(BC75+BC79+BC80+BC81)</f>
        <v>-215597.44150864868</v>
      </c>
      <c r="BE172" s="3">
        <f>-(BE75+BE79+BE80+BE81)</f>
        <v>-226041.04977478992</v>
      </c>
    </row>
    <row r="173" spans="1:57" x14ac:dyDescent="0.25">
      <c r="A173" s="387"/>
      <c r="AH173" s="4"/>
      <c r="BC173" s="3"/>
      <c r="BE173" s="3"/>
    </row>
    <row r="174" spans="1:57" x14ac:dyDescent="0.25">
      <c r="A174" s="391" t="s">
        <v>1179</v>
      </c>
      <c r="AG174" s="4">
        <f>SUM(AG162:AG173)</f>
        <v>0</v>
      </c>
      <c r="AH174" s="42"/>
      <c r="AI174" s="4">
        <f>SUM(AI162:AI173)</f>
        <v>193950.88250000012</v>
      </c>
      <c r="AK174" s="4">
        <f>SUM(AK162:AK173)</f>
        <v>243618.86820900024</v>
      </c>
      <c r="AM174" s="4">
        <f>SUM(AM162:AM173)</f>
        <v>298348.05596230156</v>
      </c>
      <c r="AO174" s="4">
        <f>SUM(AO162:AO173)</f>
        <v>332219.95774516463</v>
      </c>
      <c r="AQ174" s="4">
        <f>SUM(AQ162:AQ173)</f>
        <v>385400.1737756806</v>
      </c>
      <c r="AS174" s="4">
        <f>SUM(AS162:AS173)</f>
        <v>409209.59733066754</v>
      </c>
      <c r="AT174" s="4"/>
      <c r="AU174" s="4">
        <f>SUM(AU162:AU173)</f>
        <v>424421.83704799454</v>
      </c>
      <c r="AW174" s="4">
        <f>SUM(AW162:AW173)</f>
        <v>451113.48040853743</v>
      </c>
      <c r="AY174" s="4">
        <f>SUM(AY162:AY173)</f>
        <v>479365.13615539123</v>
      </c>
      <c r="BA174" s="4">
        <f>SUM(BA162:BA173)</f>
        <v>509261.64085012733</v>
      </c>
      <c r="BC174" s="4">
        <f>SUM(BC162:BC173)</f>
        <v>540892.27590085822</v>
      </c>
      <c r="BE174" s="4">
        <f>SUM(BE162:BE173)</f>
        <v>574350.99558862939</v>
      </c>
    </row>
    <row r="175" spans="1:57" x14ac:dyDescent="0.25">
      <c r="A175" s="390"/>
      <c r="AG175" s="4"/>
      <c r="AH175" s="42"/>
      <c r="AI175" s="4"/>
      <c r="AK175" s="4"/>
      <c r="AM175" s="4"/>
      <c r="AO175" s="4"/>
      <c r="AQ175" s="4"/>
      <c r="AS175" s="4"/>
      <c r="AU175" s="4"/>
      <c r="AW175" s="4"/>
      <c r="AY175" s="4"/>
      <c r="BA175" s="4"/>
      <c r="BC175" s="4"/>
      <c r="BE175" s="4"/>
    </row>
    <row r="176" spans="1:57" x14ac:dyDescent="0.25">
      <c r="A176" s="391" t="s">
        <v>1185</v>
      </c>
      <c r="AG176" s="4"/>
      <c r="AH176" s="42"/>
      <c r="AI176" s="4"/>
      <c r="AK176" s="4"/>
      <c r="AM176" s="4"/>
      <c r="AO176" s="4"/>
      <c r="AQ176" s="4"/>
      <c r="AS176" s="4"/>
      <c r="AU176" s="4"/>
      <c r="AW176" s="4"/>
      <c r="AY176" s="4"/>
      <c r="BA176" s="4"/>
      <c r="BC176" s="4"/>
      <c r="BE176" s="4"/>
    </row>
    <row r="177" spans="1:57" x14ac:dyDescent="0.25">
      <c r="A177" s="390" t="s">
        <v>1180</v>
      </c>
      <c r="AG177" s="4"/>
      <c r="AH177" s="42"/>
      <c r="AI177" s="4"/>
      <c r="AK177" s="4"/>
      <c r="AM177" s="4"/>
      <c r="AO177" s="4"/>
      <c r="AQ177" s="4"/>
      <c r="AS177" s="4"/>
      <c r="AU177" s="4"/>
      <c r="AW177" s="4"/>
      <c r="AY177" s="4"/>
      <c r="BA177" s="4"/>
      <c r="BC177" s="4"/>
      <c r="BE177" s="4"/>
    </row>
    <row r="178" spans="1:57" x14ac:dyDescent="0.25">
      <c r="A178" s="387" t="s">
        <v>1186</v>
      </c>
      <c r="AG178" s="4"/>
      <c r="AH178" s="42"/>
      <c r="AI178" s="4"/>
      <c r="AK178" s="4"/>
      <c r="AM178" s="4"/>
      <c r="AO178" s="4"/>
      <c r="AQ178" s="4"/>
      <c r="AS178" s="4"/>
      <c r="AU178" s="4"/>
      <c r="AW178" s="4"/>
      <c r="AY178" s="4"/>
      <c r="BA178" s="4"/>
      <c r="BC178" s="4"/>
      <c r="BE178" s="4"/>
    </row>
    <row r="179" spans="1:57" x14ac:dyDescent="0.25">
      <c r="A179" s="387" t="s">
        <v>1224</v>
      </c>
      <c r="AG179" s="4"/>
      <c r="AH179" s="42"/>
      <c r="AI179" s="4"/>
      <c r="AK179" s="4"/>
      <c r="AM179" s="4"/>
      <c r="AO179" s="4"/>
      <c r="AQ179" s="4"/>
      <c r="AS179" s="4"/>
      <c r="AU179" s="4"/>
      <c r="AW179" s="4"/>
      <c r="AY179" s="4"/>
      <c r="BA179" s="4"/>
      <c r="BC179" s="4"/>
      <c r="BE179" s="4"/>
    </row>
    <row r="180" spans="1:57" x14ac:dyDescent="0.25">
      <c r="A180" s="387" t="s">
        <v>1187</v>
      </c>
      <c r="AG180" s="4"/>
      <c r="AH180" s="42"/>
      <c r="AI180" s="4"/>
      <c r="AK180" s="4"/>
      <c r="AM180" s="4"/>
      <c r="AO180" s="4"/>
      <c r="AQ180" s="4"/>
      <c r="AS180" s="4"/>
      <c r="AU180" s="4"/>
      <c r="AW180" s="4"/>
      <c r="AY180" s="4"/>
      <c r="BA180" s="4"/>
      <c r="BC180" s="4"/>
      <c r="BE180" s="4"/>
    </row>
    <row r="181" spans="1:57" x14ac:dyDescent="0.25">
      <c r="A181" s="387" t="s">
        <v>1225</v>
      </c>
      <c r="AG181" s="4"/>
      <c r="AH181" s="42"/>
      <c r="AI181" s="4"/>
      <c r="AK181" s="4"/>
      <c r="AM181" s="4"/>
      <c r="AO181" s="4"/>
      <c r="AQ181" s="4"/>
      <c r="AS181" s="4"/>
      <c r="AU181" s="4"/>
      <c r="AW181" s="4"/>
      <c r="AY181" s="4"/>
      <c r="BA181" s="4"/>
      <c r="BC181" s="4"/>
      <c r="BE181" s="4"/>
    </row>
    <row r="182" spans="1:57" x14ac:dyDescent="0.25">
      <c r="A182" s="390" t="s">
        <v>1184</v>
      </c>
      <c r="AG182" s="4"/>
      <c r="AH182" s="42"/>
      <c r="AI182" s="4"/>
      <c r="AK182" s="4"/>
      <c r="AM182" s="4"/>
      <c r="AO182" s="4"/>
      <c r="AQ182" s="4"/>
      <c r="AS182" s="4"/>
      <c r="AU182" s="4"/>
      <c r="AW182" s="4"/>
      <c r="AY182" s="4"/>
      <c r="BA182" s="4"/>
      <c r="BC182" s="4"/>
      <c r="BE182" s="4"/>
    </row>
    <row r="183" spans="1:57" x14ac:dyDescent="0.25">
      <c r="A183" s="390" t="s">
        <v>1226</v>
      </c>
      <c r="AG183" s="4"/>
      <c r="AH183" s="42"/>
      <c r="AI183" s="4"/>
      <c r="AK183" s="4"/>
      <c r="AM183" s="4"/>
      <c r="AO183" s="4"/>
      <c r="AQ183" s="4"/>
      <c r="AS183" s="4"/>
      <c r="AU183" s="4"/>
      <c r="AW183" s="4"/>
      <c r="AY183" s="4"/>
      <c r="BA183" s="4"/>
      <c r="BC183" s="4"/>
      <c r="BE183" s="4"/>
    </row>
    <row r="184" spans="1:57" x14ac:dyDescent="0.25">
      <c r="A184" s="387" t="s">
        <v>1227</v>
      </c>
      <c r="AG184" s="4"/>
      <c r="AH184" s="42"/>
      <c r="AI184" s="4">
        <f>-(AI113+AI114+AI115+AI116+AI117+AI118+AI119+AI120+AI121+AI122+AI123+AI124+AI125+AI126+AI127+AI128+AI129+AI130+AI131+AI132+AI133+AI134+AI135+AI136+AI137+AI138+AI139+AI140+AI141+AI142+AI143+AI144+AI145+AI149)</f>
        <v>-72100</v>
      </c>
      <c r="AK184" s="4">
        <f>-(AK113+AK114+AK115+AK116+AK117+AK118+AK119+AK120+AK121+AK122+AK123+AK124+AK125+AK126+AK127+AK128+AK129+AK130+AK131+AK132+AK133+AK134+AK135+AK136+AK137+AK138+AK139+AK140+AK141+AK142+AK143+AK144+AK145+AK149)</f>
        <v>-283909</v>
      </c>
      <c r="AM184" s="4">
        <f>-(AM113+AM114+AM115+AM116+AM117+AM118+AM119+AM120+AM121+AM122+AM123+AM124+AM125+AM126+AM127+AM128+AM129+AM130+AM131+AM132+AM133+AM134+AM135+AM136+AM137+AM138+AM139+AM140+AM141+AM142+AM143+AM144+AM145+AM149)</f>
        <v>-231377.27</v>
      </c>
      <c r="AO184" s="4">
        <f>-(AO113+AO114+AO115+AO116+AO117+AO118+AO119+AO120+AO121+AO122+AO123+AO124+AO125+AO126+AO127+AO128+AO129+AO130+AO131+AO132+AO133+AO134+AO135+AO136+AO137+AO138+AO139+AO140+AO141+AO142+AO143+AO144+AO145+AO149)</f>
        <v>-13555.088100000001</v>
      </c>
      <c r="AQ184" s="4">
        <f>-(AQ113+AQ114+AQ115+AQ116+AQ117+AQ118+AQ119+AQ120+AQ121+AQ122+AQ123+AQ124+AQ125+AQ126+AQ127+AQ128+AQ129+AQ130+AQ131+AQ132+AQ133+AQ134+AQ135+AQ136+AQ137+AQ138+AQ139+AQ140+AQ141+AQ142+AQ143+AQ144+AQ145+AQ149)</f>
        <v>-13942.740743</v>
      </c>
      <c r="AS184" s="4">
        <f>-(AS113+AS114+AS115+AS116+AS117+AS118+AS119+AS120+AS121+AS122+AS123+AS124+AS125+AS126+AS127+AS128+AS129+AS130+AS131+AS132+AS133+AS134+AS135+AS136+AS137+AS138+AS139+AS140+AS141+AS142+AS143+AS144+AS145+AS149)</f>
        <v>-1242390.5229652899</v>
      </c>
      <c r="AU184" s="4">
        <f>-(AU113+AU114+AU115+AU116+AU117+AU118+AU119+AU120+AU121+AU122+AU123+AU124+AU125+AU126+AU127+AU128+AU129+AU130+AU131+AU132+AU133+AU134+AU135+AU136+AU137+AU138+AU139+AU140+AU141+AU142+AU143+AU144+AU145+AU149)</f>
        <v>-631398.73865424865</v>
      </c>
      <c r="AW184" s="4">
        <f>-(AW113+AW114+AW115+AW116+AW117+AW118+AW119+AW120+AW121+AW122+AW123+AW124+AW125+AW126+AW127+AW128+AW129+AW130+AW131+AW132+AW133+AW134+AW135+AW136+AW137+AW138+AW139+AW140+AW141+AW142+AW143+AW144+AW145+AW149)</f>
        <v>-12667.700813876161</v>
      </c>
      <c r="AY184" s="4">
        <f>-(AY113+AY114+AY115+AY116+AY117+AY118+AY119+AY120+AY121+AY122+AY123+AY124+AY125+AY126+AY127+AY128+AY129+AY130+AY131+AY132+AY133+AY134+AY135+AY136+AY137+AY138+AY139+AY140+AY141+AY142+AY143+AY144+AY145+AY149)</f>
        <v>-13047.731838292446</v>
      </c>
      <c r="BA184" s="4">
        <f>-(BA113+BA114+BA115+BA116+BA117+BA118+BA119+BA120+BA121+BA122+BA123+BA124+BA125+BA126+BA127+BA128+BA129+BA130+BA131+BA132+BA133+BA134+BA135+BA136+BA137+BA138+BA139+BA140+BA141+BA142+BA143+BA144+BA145+BA149)</f>
        <v>-13439.163793441219</v>
      </c>
      <c r="BC184" s="4">
        <f>-(BC113+BC114+BC115+BC116+BC117+BC118+BC119+BC120+BC121+BC122+BC123+BC124+BC125+BC126+BC127+BC128+BC129+BC130+BC131+BC132+BC133+BC134+BC135+BC136+BC137+BC138+BC139+BC140+BC141+BC142+BC143+BC144+BC145+BC149)</f>
        <v>-13842.338707244457</v>
      </c>
      <c r="BE184" s="4">
        <f>-(BE113+BE114+BE115+BE116+BE117+BE118+BE119+BE120+BE121+BE122+BE123+BE124+BE125+BE126+BE127+BE128+BE129+BE130+BE131+BE132+BE133+BE134+BE135+BE136+BE137+BE138+BE139+BE140+BE141+BE142+BE143+BE144+BE145+BE149)</f>
        <v>-14257.60886846179</v>
      </c>
    </row>
    <row r="185" spans="1:57" x14ac:dyDescent="0.25">
      <c r="A185" s="387" t="s">
        <v>1228</v>
      </c>
      <c r="AG185" s="4"/>
      <c r="AH185" s="42"/>
      <c r="AI185" s="4"/>
      <c r="AK185" s="4"/>
      <c r="AM185" s="4"/>
      <c r="AO185" s="4"/>
      <c r="AQ185" s="4"/>
      <c r="AS185" s="4"/>
      <c r="AU185" s="4"/>
      <c r="AW185" s="4"/>
      <c r="AY185" s="4"/>
      <c r="BA185" s="4"/>
      <c r="BC185" s="4"/>
      <c r="BE185" s="4"/>
    </row>
    <row r="186" spans="1:57" x14ac:dyDescent="0.25">
      <c r="A186" s="387"/>
      <c r="AG186" s="4"/>
      <c r="AH186" s="42"/>
      <c r="AI186" s="4"/>
      <c r="AK186" s="4"/>
      <c r="AM186" s="4"/>
      <c r="AO186" s="4"/>
      <c r="AQ186" s="4"/>
      <c r="AS186" s="4"/>
      <c r="AU186" s="4"/>
      <c r="AW186" s="4"/>
      <c r="AY186" s="4"/>
      <c r="BA186" s="4"/>
      <c r="BC186" s="4"/>
      <c r="BE186" s="4"/>
    </row>
    <row r="187" spans="1:57" x14ac:dyDescent="0.25">
      <c r="A187" s="391" t="s">
        <v>1185</v>
      </c>
      <c r="AG187" s="4">
        <f>SUM(AG179:AG186)</f>
        <v>0</v>
      </c>
      <c r="AH187" s="42"/>
      <c r="AI187" s="4">
        <f>SUM(AI179:AI186)</f>
        <v>-72100</v>
      </c>
      <c r="AK187" s="4">
        <f>SUM(AK179:AK186)</f>
        <v>-283909</v>
      </c>
      <c r="AM187" s="4">
        <f>SUM(AM179:AM186)</f>
        <v>-231377.27</v>
      </c>
      <c r="AO187" s="4">
        <f>SUM(AO179:AO186)</f>
        <v>-13555.088100000001</v>
      </c>
      <c r="AQ187" s="4">
        <f>SUM(AQ179:AQ186)</f>
        <v>-13942.740743</v>
      </c>
      <c r="AS187" s="4">
        <f>SUM(AS179:AS186)</f>
        <v>-1242390.5229652899</v>
      </c>
      <c r="AU187" s="4">
        <f>SUM(AU179:AU186)</f>
        <v>-631398.73865424865</v>
      </c>
      <c r="AW187" s="4">
        <f>SUM(AW179:AW186)</f>
        <v>-12667.700813876161</v>
      </c>
      <c r="AY187" s="4">
        <f>SUM(AY179:AY186)</f>
        <v>-13047.731838292446</v>
      </c>
      <c r="BA187" s="4">
        <f>SUM(BA179:BA186)</f>
        <v>-13439.163793441219</v>
      </c>
      <c r="BC187" s="4">
        <f>SUM(BC179:BC186)</f>
        <v>-13842.338707244457</v>
      </c>
      <c r="BE187" s="4">
        <f>SUM(BE179:BE186)</f>
        <v>-14257.60886846179</v>
      </c>
    </row>
    <row r="188" spans="1:57" x14ac:dyDescent="0.25">
      <c r="A188" s="390"/>
      <c r="AG188" s="4"/>
      <c r="AH188" s="42"/>
      <c r="AI188" s="4">
        <f>-AI150+AI147</f>
        <v>-72100</v>
      </c>
      <c r="AK188" s="4">
        <f>-AK150+AK147</f>
        <v>-283909</v>
      </c>
      <c r="AM188" s="4">
        <f>-AM150+AM147</f>
        <v>-231377.27</v>
      </c>
      <c r="AO188" s="4">
        <f>-AO150+AO147</f>
        <v>-13555.088099999994</v>
      </c>
      <c r="AQ188" s="4">
        <f>-AQ150+AQ147</f>
        <v>-13942.740743000002</v>
      </c>
      <c r="AS188" s="4">
        <f>-AS150+AS147</f>
        <v>-1242390.5229652899</v>
      </c>
      <c r="AU188" s="4">
        <f>-AU150+AU147</f>
        <v>-631398.73865424865</v>
      </c>
      <c r="AW188" s="4">
        <f>-AW150+AW147</f>
        <v>-12667.700813876174</v>
      </c>
      <c r="AY188" s="4">
        <f>-AY150+AY147</f>
        <v>-13047.731838292442</v>
      </c>
      <c r="BA188" s="4">
        <f>-BA150+BA147</f>
        <v>-13439.163793441199</v>
      </c>
      <c r="BC188" s="4">
        <f>-BC150+BC147</f>
        <v>-13842.338707244431</v>
      </c>
      <c r="BE188" s="4">
        <f>-BE150+BE147</f>
        <v>-14257.608868461801</v>
      </c>
    </row>
    <row r="189" spans="1:57" x14ac:dyDescent="0.25">
      <c r="A189" s="391" t="s">
        <v>1188</v>
      </c>
      <c r="AG189" s="4"/>
      <c r="AH189" s="42"/>
      <c r="AI189" s="4">
        <f>+AI187-AI188</f>
        <v>0</v>
      </c>
      <c r="AK189" s="4">
        <f>+AK187-AK188</f>
        <v>0</v>
      </c>
      <c r="AM189" s="4">
        <f>+AM187-AM188</f>
        <v>0</v>
      </c>
      <c r="AO189" s="4">
        <f>+AO187-AO188</f>
        <v>0</v>
      </c>
      <c r="AQ189" s="4">
        <f>+AQ187-AQ188</f>
        <v>0</v>
      </c>
      <c r="AS189" s="4">
        <f>+AS187-AS188</f>
        <v>0</v>
      </c>
      <c r="AU189" s="4">
        <f>+AU187-AU188</f>
        <v>0</v>
      </c>
      <c r="AW189" s="4">
        <f>+AW187-AW188</f>
        <v>0</v>
      </c>
      <c r="AY189" s="4">
        <f>+AY187-AY188</f>
        <v>0</v>
      </c>
      <c r="BA189" s="4">
        <f>+BA187-BA188</f>
        <v>-2.0008883439004421E-11</v>
      </c>
      <c r="BC189" s="4">
        <f>+BC187-BC188</f>
        <v>-2.5465851649641991E-11</v>
      </c>
      <c r="BE189" s="4">
        <f>+BE187-BE188</f>
        <v>0</v>
      </c>
    </row>
    <row r="190" spans="1:57" x14ac:dyDescent="0.25">
      <c r="A190" s="51" t="s">
        <v>1180</v>
      </c>
      <c r="AG190" s="4"/>
      <c r="AH190" s="42"/>
      <c r="AI190" s="4"/>
      <c r="AK190" s="4"/>
      <c r="AM190" s="4"/>
      <c r="AO190" s="4"/>
      <c r="AQ190" s="4"/>
      <c r="AS190" s="4"/>
      <c r="AU190" s="4"/>
      <c r="AW190" s="4"/>
      <c r="AY190" s="4"/>
      <c r="BA190" s="4"/>
      <c r="BC190" s="4"/>
      <c r="BE190" s="4"/>
    </row>
    <row r="191" spans="1:57" x14ac:dyDescent="0.25">
      <c r="A191" s="387" t="s">
        <v>1189</v>
      </c>
      <c r="AG191" s="4"/>
      <c r="AH191" s="42"/>
      <c r="AI191" s="4"/>
      <c r="AK191" s="4"/>
      <c r="AM191" s="4"/>
      <c r="AO191" s="4"/>
      <c r="AQ191" s="4"/>
      <c r="AS191" s="4"/>
      <c r="AU191" s="4"/>
      <c r="AW191" s="4"/>
      <c r="AY191" s="4"/>
      <c r="BA191" s="4"/>
      <c r="BC191" s="4"/>
      <c r="BE191" s="4"/>
    </row>
    <row r="192" spans="1:57" x14ac:dyDescent="0.25">
      <c r="A192" s="51" t="s">
        <v>1184</v>
      </c>
      <c r="AG192" s="4"/>
      <c r="AH192" s="42"/>
      <c r="AI192" s="4"/>
      <c r="AK192" s="4"/>
      <c r="AM192" s="4"/>
      <c r="AO192" s="4"/>
      <c r="AQ192" s="4"/>
      <c r="AS192" s="4"/>
      <c r="AU192" s="4"/>
      <c r="AW192" s="4"/>
      <c r="AY192" s="4"/>
      <c r="BA192" s="4"/>
      <c r="BC192" s="4"/>
      <c r="BE192" s="4"/>
    </row>
    <row r="193" spans="1:57" x14ac:dyDescent="0.25">
      <c r="A193" s="387" t="s">
        <v>1190</v>
      </c>
      <c r="AG193" s="4"/>
      <c r="AH193" s="42"/>
      <c r="AI193" s="4">
        <f>-AI112</f>
        <v>0</v>
      </c>
      <c r="AK193" s="4">
        <f>-AK112</f>
        <v>0</v>
      </c>
      <c r="AM193" s="4">
        <f>-AM112</f>
        <v>0</v>
      </c>
      <c r="AO193" s="4">
        <f>-AO112</f>
        <v>0</v>
      </c>
      <c r="AQ193" s="4">
        <f>-AQ112</f>
        <v>0</v>
      </c>
      <c r="AS193" s="4">
        <f>-AS112</f>
        <v>0</v>
      </c>
      <c r="AU193" s="4">
        <f>-AU112</f>
        <v>0</v>
      </c>
      <c r="AW193" s="4">
        <f>-AW112</f>
        <v>0</v>
      </c>
      <c r="AY193" s="4">
        <f>-AY112</f>
        <v>0</v>
      </c>
      <c r="BA193" s="4">
        <f>-BA112</f>
        <v>0</v>
      </c>
      <c r="BC193" s="4">
        <f>-BC112</f>
        <v>0</v>
      </c>
      <c r="BE193" s="4">
        <f>-BE112</f>
        <v>0</v>
      </c>
    </row>
    <row r="194" spans="1:57" x14ac:dyDescent="0.25">
      <c r="A194" s="391" t="s">
        <v>1188</v>
      </c>
      <c r="AG194" s="4">
        <f>SUM(AG191:AG193)</f>
        <v>0</v>
      </c>
      <c r="AH194" s="42"/>
      <c r="AI194" s="4">
        <f>SUM(AI191:AI193)</f>
        <v>0</v>
      </c>
      <c r="AK194" s="4">
        <f>SUM(AK191:AK193)</f>
        <v>0</v>
      </c>
      <c r="AM194" s="4">
        <f>SUM(AM191:AM193)</f>
        <v>0</v>
      </c>
      <c r="AO194" s="4">
        <f>SUM(AO191:AO193)</f>
        <v>0</v>
      </c>
      <c r="AQ194" s="4">
        <f>SUM(AQ191:AQ193)</f>
        <v>0</v>
      </c>
      <c r="AS194" s="4">
        <f>SUM(AS191:AS193)</f>
        <v>0</v>
      </c>
      <c r="AU194" s="4">
        <f>SUM(AU191:AU193)</f>
        <v>0</v>
      </c>
      <c r="AW194" s="4">
        <f>SUM(AW191:AW193)</f>
        <v>0</v>
      </c>
      <c r="AY194" s="4">
        <f>SUM(AY191:AY193)</f>
        <v>0</v>
      </c>
      <c r="BA194" s="4">
        <f>SUM(BA191:BA193)</f>
        <v>0</v>
      </c>
      <c r="BC194" s="4">
        <f>SUM(BC191:BC193)</f>
        <v>0</v>
      </c>
      <c r="BE194" s="4">
        <f>SUM(BE191:BE193)</f>
        <v>0</v>
      </c>
    </row>
    <row r="195" spans="1:57" x14ac:dyDescent="0.25">
      <c r="A195" s="390"/>
      <c r="AG195" s="4"/>
      <c r="AH195" s="42"/>
      <c r="AI195" s="4"/>
      <c r="AK195" s="4"/>
      <c r="AM195" s="4"/>
      <c r="AO195" s="4"/>
      <c r="AQ195" s="4"/>
      <c r="AS195" s="4"/>
      <c r="AU195" s="4"/>
      <c r="AW195" s="4"/>
      <c r="AY195" s="4"/>
      <c r="BA195" s="4"/>
      <c r="BC195" s="4"/>
      <c r="BE195" s="4"/>
    </row>
    <row r="196" spans="1:57" x14ac:dyDescent="0.25">
      <c r="A196" s="391" t="s">
        <v>1191</v>
      </c>
      <c r="AG196" s="4">
        <f>+AG174+AG187+AG194</f>
        <v>0</v>
      </c>
      <c r="AH196" s="42"/>
      <c r="AI196" s="4">
        <f>+AI174+AI187+AI194</f>
        <v>121850.88250000012</v>
      </c>
      <c r="AK196" s="4">
        <f>+AK174+AK187+AK194</f>
        <v>-40290.13179099976</v>
      </c>
      <c r="AM196" s="4">
        <f>+AM174+AM187+AM194</f>
        <v>66970.785962301568</v>
      </c>
      <c r="AO196" s="4">
        <f>+AO174+AO187+AO194</f>
        <v>318664.86964516464</v>
      </c>
      <c r="AQ196" s="4">
        <f>+AQ174+AQ187+AQ194</f>
        <v>371457.43303268059</v>
      </c>
      <c r="AS196" s="4">
        <f>+AS174+AS187+AS194</f>
        <v>-833180.92563462234</v>
      </c>
      <c r="AU196" s="4">
        <f>+AU174+AU187+AU194</f>
        <v>-206976.9016062541</v>
      </c>
      <c r="AW196" s="4">
        <f>+AW174+AW187+AW194</f>
        <v>438445.77959466126</v>
      </c>
      <c r="AY196" s="4">
        <f>+AY174+AY187+AY194</f>
        <v>466317.40431709879</v>
      </c>
      <c r="BA196" s="4">
        <f>+BA174+BA187+BA194</f>
        <v>495822.47705668613</v>
      </c>
      <c r="BC196" s="4">
        <f>+BC174+BC187+BC194</f>
        <v>527049.93719361373</v>
      </c>
      <c r="BE196" s="4">
        <f>+BE174+BE187+BE194</f>
        <v>560093.38672016759</v>
      </c>
    </row>
    <row r="197" spans="1:57" x14ac:dyDescent="0.25">
      <c r="A197" s="391"/>
      <c r="AG197" s="4"/>
      <c r="AH197" s="42"/>
      <c r="AI197" s="4"/>
      <c r="AK197" s="4"/>
      <c r="AM197" s="4"/>
      <c r="AO197" s="4"/>
      <c r="AQ197" s="4"/>
      <c r="AS197" s="4"/>
      <c r="AU197" s="4"/>
      <c r="AW197" s="4"/>
      <c r="AY197" s="4"/>
      <c r="BA197" s="4"/>
      <c r="BC197" s="4"/>
      <c r="BE197" s="4"/>
    </row>
    <row r="198" spans="1:57" x14ac:dyDescent="0.25">
      <c r="A198" s="51" t="s">
        <v>1229</v>
      </c>
      <c r="AG198" s="4"/>
      <c r="AH198" s="42"/>
      <c r="AI198" s="4">
        <f>+AG213*1000</f>
        <v>724000</v>
      </c>
      <c r="AK198" s="3">
        <f>+AI213*1000</f>
        <v>245850.88250000001</v>
      </c>
      <c r="AM198" s="3">
        <f>+AK213*1000</f>
        <v>405560.75070900022</v>
      </c>
      <c r="AO198" s="3">
        <f>+AM213*1000</f>
        <v>472531.53667130182</v>
      </c>
      <c r="AQ198" s="3">
        <f>+AO213*1000</f>
        <v>641196.4063164664</v>
      </c>
      <c r="AS198" s="3">
        <f>+AQ213*1000</f>
        <v>712653.83934914693</v>
      </c>
      <c r="AU198" s="3">
        <f>+AS213*1000</f>
        <v>529472.91371452459</v>
      </c>
      <c r="AW198" s="3">
        <f>+AU213*1000</f>
        <v>522496.01210827043</v>
      </c>
      <c r="AY198" s="3">
        <f>+AW213*1000</f>
        <v>560941.79170293175</v>
      </c>
      <c r="BA198" s="3">
        <f>+AY213*1000</f>
        <v>627259.19602003042</v>
      </c>
      <c r="BC198" s="3">
        <f>+BA213*1000</f>
        <v>523081.67307671648</v>
      </c>
      <c r="BE198" s="3">
        <f>+BC213*1000</f>
        <v>450131.61027033016</v>
      </c>
    </row>
    <row r="199" spans="1:57" x14ac:dyDescent="0.25">
      <c r="A199" s="391" t="s">
        <v>1230</v>
      </c>
      <c r="AG199" s="32">
        <f>+AG196+AG198</f>
        <v>0</v>
      </c>
      <c r="AH199" s="42"/>
      <c r="AI199" s="32">
        <f>+AI196+AI198</f>
        <v>845850.88250000007</v>
      </c>
      <c r="AK199" s="32">
        <f>+AK196+AK198</f>
        <v>205560.75070900025</v>
      </c>
      <c r="AM199" s="32">
        <f>+AM196+AM198</f>
        <v>472531.53667130182</v>
      </c>
      <c r="AO199" s="32">
        <f>+AO196+AO198</f>
        <v>791196.4063164664</v>
      </c>
      <c r="AQ199" s="32">
        <f>+AQ196+AQ198</f>
        <v>1012653.8393491469</v>
      </c>
      <c r="AS199" s="32">
        <f>+AS196+AS198</f>
        <v>-120527.08628547541</v>
      </c>
      <c r="AU199" s="32">
        <f>+AU196+AU198</f>
        <v>322496.01210827049</v>
      </c>
      <c r="AW199" s="32">
        <f>+AW196+AW198</f>
        <v>960941.79170293175</v>
      </c>
      <c r="AY199" s="32">
        <f>+AY196+AY198</f>
        <v>1027259.1960200305</v>
      </c>
      <c r="BA199" s="32">
        <f>+BA196+BA198</f>
        <v>1123081.6730767165</v>
      </c>
      <c r="BC199" s="32">
        <f>+BC196+BC198</f>
        <v>1050131.6102703302</v>
      </c>
      <c r="BE199" s="32">
        <f>+BE196+BE198</f>
        <v>1010224.9969904977</v>
      </c>
    </row>
    <row r="200" spans="1:57" x14ac:dyDescent="0.25">
      <c r="A200" s="42" t="s">
        <v>1257</v>
      </c>
      <c r="AG200" s="32"/>
      <c r="AH200" s="42"/>
      <c r="AI200" s="3">
        <f>+AI199-(AI213*1000)</f>
        <v>600000</v>
      </c>
      <c r="AK200" s="3">
        <f>+AK199-(AK213*1000)</f>
        <v>-199999.99999999997</v>
      </c>
      <c r="AM200" s="3">
        <f>+AM199-(AM213*1000)</f>
        <v>0</v>
      </c>
      <c r="AO200" s="3">
        <f>+AO199-(AO213*1000)</f>
        <v>150000</v>
      </c>
      <c r="AQ200" s="3">
        <f>+AQ199-(AQ213*1000)</f>
        <v>300000</v>
      </c>
      <c r="AR200" s="3"/>
      <c r="AS200" s="3">
        <f>+AS199-(AS213*1000)</f>
        <v>-650000</v>
      </c>
      <c r="AT200" s="3"/>
      <c r="AU200" s="3">
        <f>+AU199-(AU213*1000)</f>
        <v>-199999.99999999994</v>
      </c>
      <c r="AV200" s="3"/>
      <c r="AW200" s="3">
        <f>+AW199-(AW213*1000)</f>
        <v>400000</v>
      </c>
      <c r="AX200" s="3"/>
      <c r="AY200" s="3">
        <f>+AY199-(AY213*1000)</f>
        <v>400000.00000000012</v>
      </c>
      <c r="AZ200" s="3"/>
      <c r="BA200" s="3">
        <f>+BA199-(BA213*1000)</f>
        <v>600000</v>
      </c>
      <c r="BC200" s="3">
        <f>+BC199-(BC213*1000)</f>
        <v>600000</v>
      </c>
      <c r="BE200" s="3">
        <f>+BE199-(BE213*1000)</f>
        <v>600000</v>
      </c>
    </row>
    <row r="201" spans="1:57" x14ac:dyDescent="0.25">
      <c r="A201" s="391" t="s">
        <v>1252</v>
      </c>
      <c r="AG201" s="32"/>
      <c r="AH201" s="42"/>
      <c r="AI201" s="3">
        <f>+AI199-AI200</f>
        <v>245850.88250000007</v>
      </c>
      <c r="AK201" s="3">
        <f>+AK199-AK200</f>
        <v>405560.75070900022</v>
      </c>
      <c r="AM201" s="3">
        <f>+AM199-AM200</f>
        <v>472531.53667130182</v>
      </c>
      <c r="AO201" s="3">
        <f>+AO199-AO200</f>
        <v>641196.4063164664</v>
      </c>
      <c r="AQ201" s="3">
        <f>+AQ199-AQ200</f>
        <v>712653.83934914693</v>
      </c>
      <c r="AS201" s="3">
        <f>+AS199-AS200</f>
        <v>529472.91371452459</v>
      </c>
      <c r="AU201" s="3">
        <f>+AU199-AU200</f>
        <v>522496.01210827043</v>
      </c>
      <c r="AW201" s="3">
        <f>+AW199-AW200</f>
        <v>560941.79170293175</v>
      </c>
      <c r="AY201" s="3">
        <f>+AY199-AY200</f>
        <v>627259.19602003042</v>
      </c>
      <c r="BA201" s="3">
        <f>+BA199-BA200</f>
        <v>523081.67307671648</v>
      </c>
      <c r="BC201" s="3">
        <f>+BC199-BC200</f>
        <v>450131.61027033022</v>
      </c>
      <c r="BE201" s="3">
        <f>+BE199-BE200</f>
        <v>410224.99699049769</v>
      </c>
    </row>
    <row r="202" spans="1:57" x14ac:dyDescent="0.25">
      <c r="AG202" s="4"/>
      <c r="AH202" s="42"/>
      <c r="BC202" s="3"/>
      <c r="BE202" s="3"/>
    </row>
    <row r="203" spans="1:57" hidden="1" x14ac:dyDescent="0.25">
      <c r="A203" s="306" t="s">
        <v>1240</v>
      </c>
      <c r="B203" s="307"/>
      <c r="C203" s="307"/>
      <c r="D203" s="307"/>
      <c r="E203" s="307"/>
      <c r="F203" s="307"/>
      <c r="G203" s="307"/>
      <c r="H203" s="307"/>
      <c r="I203" s="307"/>
      <c r="J203" s="307"/>
      <c r="K203" s="307"/>
      <c r="L203" s="307"/>
      <c r="M203" s="307"/>
      <c r="N203" s="307"/>
      <c r="O203" s="307"/>
      <c r="P203" s="307"/>
      <c r="Q203" s="307"/>
      <c r="R203" s="307"/>
      <c r="S203" s="307"/>
      <c r="T203" s="307"/>
      <c r="U203" s="307"/>
      <c r="V203" s="307"/>
      <c r="W203" s="307"/>
      <c r="X203" s="307"/>
      <c r="Y203" s="307"/>
      <c r="Z203" s="307"/>
      <c r="AA203" s="307"/>
      <c r="AB203" s="307"/>
      <c r="AC203" s="307"/>
      <c r="AD203" s="307"/>
      <c r="AE203" s="307"/>
      <c r="AF203" s="307"/>
      <c r="AG203" s="307"/>
      <c r="AH203" s="307"/>
      <c r="AI203" s="307"/>
      <c r="AJ203" s="307"/>
      <c r="AK203" s="307"/>
      <c r="AL203" s="307"/>
      <c r="AM203" s="307"/>
      <c r="AN203" s="307"/>
      <c r="AO203" s="307"/>
      <c r="AP203" s="307"/>
      <c r="AQ203" s="307"/>
      <c r="AR203" s="308"/>
      <c r="AS203" s="307"/>
      <c r="AT203" s="308"/>
      <c r="AU203" s="307"/>
      <c r="AV203" s="308"/>
      <c r="AW203" s="307"/>
      <c r="AX203" s="308"/>
      <c r="AY203" s="307"/>
      <c r="AZ203" s="308"/>
      <c r="BA203" s="309"/>
    </row>
    <row r="204" spans="1:57" hidden="1" x14ac:dyDescent="0.25">
      <c r="A204" s="310" t="s">
        <v>1241</v>
      </c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>
        <f>+AI15</f>
        <v>17400.882500000182</v>
      </c>
      <c r="AJ204" s="4"/>
      <c r="AK204" s="4">
        <f>+AK15</f>
        <v>-44740.131790999789</v>
      </c>
      <c r="AL204" s="4"/>
      <c r="AM204" s="4">
        <f t="shared" ref="AM204:BA204" si="54">+AM15</f>
        <v>62520.785962301539</v>
      </c>
      <c r="AN204" s="4"/>
      <c r="AO204" s="4">
        <f t="shared" si="54"/>
        <v>12864.869645164581</v>
      </c>
      <c r="AP204" s="4"/>
      <c r="AQ204" s="4">
        <f t="shared" si="54"/>
        <v>-34342.566967319464</v>
      </c>
      <c r="AR204" s="4"/>
      <c r="AS204" s="4">
        <f t="shared" si="54"/>
        <v>-138980.92563462257</v>
      </c>
      <c r="AT204" s="4"/>
      <c r="AU204" s="4">
        <f t="shared" si="54"/>
        <v>37223.098393745953</v>
      </c>
      <c r="AV204" s="4"/>
      <c r="AW204" s="4">
        <f t="shared" si="54"/>
        <v>-65904.220405338798</v>
      </c>
      <c r="AX204" s="4"/>
      <c r="AY204" s="4">
        <f t="shared" si="54"/>
        <v>-33682.595682901097</v>
      </c>
      <c r="AZ204" s="4"/>
      <c r="BA204" s="311">
        <f t="shared" si="54"/>
        <v>-4177.5229433136992</v>
      </c>
    </row>
    <row r="205" spans="1:57" hidden="1" x14ac:dyDescent="0.25">
      <c r="A205" s="310" t="s">
        <v>1242</v>
      </c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>
        <f>+AI196-AI204</f>
        <v>104449.99999999994</v>
      </c>
      <c r="AJ205" s="4"/>
      <c r="AK205" s="4">
        <f>+AK196-AK204</f>
        <v>4450.0000000000291</v>
      </c>
      <c r="AL205" s="4"/>
      <c r="AM205" s="4">
        <f>+AM196-AM204</f>
        <v>4450.0000000000291</v>
      </c>
      <c r="AN205" s="4"/>
      <c r="AO205" s="4">
        <f>+AO196-AO204</f>
        <v>305800.00000000006</v>
      </c>
      <c r="AP205" s="4"/>
      <c r="AQ205" s="4">
        <f>+AQ196-AQ204</f>
        <v>405800.00000000006</v>
      </c>
      <c r="AR205" s="51"/>
      <c r="AS205" s="4">
        <f>+AS196-AS204</f>
        <v>-694199.99999999977</v>
      </c>
      <c r="AT205" s="51"/>
      <c r="AU205" s="4">
        <f>+AU196-AU204</f>
        <v>-244200.00000000006</v>
      </c>
      <c r="AV205" s="51"/>
      <c r="AW205" s="4">
        <f>+AW196-AW204</f>
        <v>504350.00000000006</v>
      </c>
      <c r="AX205" s="51"/>
      <c r="AY205" s="4">
        <f>+AY196-AY204</f>
        <v>499999.99999999988</v>
      </c>
      <c r="AZ205" s="51"/>
      <c r="BA205" s="311">
        <f>+BA196-BA204</f>
        <v>499999.99999999983</v>
      </c>
    </row>
    <row r="206" spans="1:57" hidden="1" x14ac:dyDescent="0.25">
      <c r="A206" s="310" t="s">
        <v>1256</v>
      </c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>
        <f>-AI147+AI65</f>
        <v>-104450</v>
      </c>
      <c r="AJ206" s="4"/>
      <c r="AK206" s="4">
        <f>-AK147+AK65</f>
        <v>-4450</v>
      </c>
      <c r="AL206" s="4"/>
      <c r="AM206" s="4">
        <f>-AM147+AM65</f>
        <v>-4450</v>
      </c>
      <c r="AN206" s="4"/>
      <c r="AO206" s="4">
        <f>-AO147+AO65</f>
        <v>-305800</v>
      </c>
      <c r="AP206" s="4"/>
      <c r="AQ206" s="4">
        <f>-AQ147+AQ65</f>
        <v>-405800</v>
      </c>
      <c r="AR206" s="51"/>
      <c r="AS206" s="4">
        <f>-AS147+AS65</f>
        <v>694200</v>
      </c>
      <c r="AT206" s="51"/>
      <c r="AU206" s="4">
        <f>-AU147+AU65</f>
        <v>244200</v>
      </c>
      <c r="AV206" s="51"/>
      <c r="AW206" s="4">
        <f>-AW147+AW65</f>
        <v>-504350</v>
      </c>
      <c r="AX206" s="51"/>
      <c r="AY206" s="4">
        <f>-AY147+AY65</f>
        <v>-500000</v>
      </c>
      <c r="AZ206" s="51"/>
      <c r="BA206" s="311">
        <f>-BA147+BA65</f>
        <v>-500000</v>
      </c>
    </row>
    <row r="207" spans="1:57" ht="15.75" hidden="1" thickBot="1" x14ac:dyDescent="0.3">
      <c r="A207" s="312" t="s">
        <v>1243</v>
      </c>
      <c r="B207" s="313"/>
      <c r="C207" s="313"/>
      <c r="D207" s="313"/>
      <c r="E207" s="313"/>
      <c r="F207" s="313"/>
      <c r="G207" s="313"/>
      <c r="H207" s="313"/>
      <c r="I207" s="313"/>
      <c r="J207" s="313"/>
      <c r="K207" s="313"/>
      <c r="L207" s="313"/>
      <c r="M207" s="313"/>
      <c r="N207" s="313"/>
      <c r="O207" s="313"/>
      <c r="P207" s="313"/>
      <c r="Q207" s="313"/>
      <c r="R207" s="313"/>
      <c r="S207" s="313"/>
      <c r="T207" s="313"/>
      <c r="U207" s="313"/>
      <c r="V207" s="313"/>
      <c r="W207" s="313"/>
      <c r="X207" s="313"/>
      <c r="Y207" s="313"/>
      <c r="Z207" s="313"/>
      <c r="AA207" s="313"/>
      <c r="AB207" s="313"/>
      <c r="AC207" s="313"/>
      <c r="AD207" s="313"/>
      <c r="AE207" s="313"/>
      <c r="AF207" s="313"/>
      <c r="AG207" s="313"/>
      <c r="AH207" s="313"/>
      <c r="AI207" s="313">
        <f>+AI205+AI206</f>
        <v>0</v>
      </c>
      <c r="AJ207" s="313"/>
      <c r="AK207" s="313">
        <f>+AK205+AK206</f>
        <v>2.9103830456733704E-11</v>
      </c>
      <c r="AL207" s="313"/>
      <c r="AM207" s="313">
        <f>+AM205+AM206</f>
        <v>2.9103830456733704E-11</v>
      </c>
      <c r="AN207" s="313"/>
      <c r="AO207" s="313">
        <f>+AO205+AO206</f>
        <v>0</v>
      </c>
      <c r="AP207" s="313"/>
      <c r="AQ207" s="313">
        <f>+AQ205+AQ206</f>
        <v>0</v>
      </c>
      <c r="AR207" s="314"/>
      <c r="AS207" s="313">
        <f>+AS205+AS206</f>
        <v>0</v>
      </c>
      <c r="AT207" s="314"/>
      <c r="AU207" s="313">
        <f>+AU205+AU206</f>
        <v>0</v>
      </c>
      <c r="AV207" s="314"/>
      <c r="AW207" s="313">
        <f>+AW205+AW206</f>
        <v>0</v>
      </c>
      <c r="AX207" s="314"/>
      <c r="AY207" s="313">
        <f>+AY205+AY206</f>
        <v>0</v>
      </c>
      <c r="AZ207" s="314"/>
      <c r="BA207" s="315">
        <f>+BA205+BA206</f>
        <v>0</v>
      </c>
    </row>
    <row r="208" spans="1:57" hidden="1" x14ac:dyDescent="0.25">
      <c r="AG208" s="4"/>
      <c r="AH208" s="42"/>
    </row>
    <row r="209" spans="1:57" x14ac:dyDescent="0.25">
      <c r="A209" s="461" t="s">
        <v>1253</v>
      </c>
      <c r="B209" s="461"/>
      <c r="C209" s="461"/>
      <c r="D209" s="461"/>
      <c r="E209" s="461"/>
      <c r="F209" s="461"/>
      <c r="G209" s="461"/>
      <c r="H209" s="461"/>
      <c r="I209" s="461"/>
      <c r="J209" s="461"/>
      <c r="K209" s="461"/>
      <c r="L209" s="461"/>
      <c r="M209" s="461"/>
      <c r="N209" s="461"/>
      <c r="O209" s="461"/>
      <c r="P209" s="461"/>
      <c r="Q209" s="461"/>
      <c r="R209" s="461"/>
      <c r="S209" s="461"/>
      <c r="T209" s="461"/>
      <c r="U209" s="461"/>
      <c r="V209" s="461"/>
      <c r="W209" s="461"/>
      <c r="X209" s="461"/>
      <c r="Y209" s="461"/>
      <c r="Z209" s="461"/>
      <c r="AA209" s="461"/>
      <c r="AB209" s="461"/>
      <c r="AC209" s="461"/>
      <c r="AD209" s="461"/>
      <c r="AE209" s="461"/>
      <c r="AF209" s="461"/>
      <c r="AG209" s="461"/>
      <c r="AH209" s="461"/>
      <c r="AI209" s="461"/>
      <c r="AJ209" s="461"/>
      <c r="AK209" s="461"/>
      <c r="AL209" s="461"/>
      <c r="AM209" s="461"/>
      <c r="AN209" s="461"/>
      <c r="AO209" s="461"/>
      <c r="AP209" s="461"/>
      <c r="AQ209" s="461"/>
      <c r="AR209" s="461"/>
      <c r="AS209" s="461"/>
      <c r="AT209" s="461"/>
      <c r="AU209" s="461"/>
      <c r="AV209" s="461"/>
      <c r="AW209" s="461"/>
      <c r="AX209" s="461"/>
      <c r="AY209" s="461"/>
      <c r="AZ209" s="461"/>
      <c r="BA209" s="461"/>
      <c r="BB209" s="461"/>
      <c r="BC209" s="461"/>
      <c r="BD209" s="461"/>
      <c r="BE209" s="461"/>
    </row>
    <row r="210" spans="1:57" x14ac:dyDescent="0.25">
      <c r="AG210" s="4"/>
      <c r="AH210" s="42"/>
    </row>
    <row r="211" spans="1:57" x14ac:dyDescent="0.25">
      <c r="A211" s="391" t="s">
        <v>1192</v>
      </c>
      <c r="AG211" s="4"/>
      <c r="AH211" s="42"/>
    </row>
    <row r="212" spans="1:57" x14ac:dyDescent="0.25">
      <c r="A212" s="458" t="s">
        <v>1193</v>
      </c>
      <c r="AG212" s="4"/>
      <c r="AH212" s="42"/>
    </row>
    <row r="213" spans="1:57" x14ac:dyDescent="0.25">
      <c r="A213" s="387" t="s">
        <v>1194</v>
      </c>
      <c r="AG213" s="4">
        <v>724</v>
      </c>
      <c r="AH213" s="42"/>
      <c r="AI213" s="3">
        <f>+(AI199/1000)-600</f>
        <v>245.85088250000001</v>
      </c>
      <c r="AK213" s="3">
        <f>+(AK199/1000)+200</f>
        <v>405.56075070900022</v>
      </c>
      <c r="AM213" s="3">
        <f>+(AM199/1000)</f>
        <v>472.53153667130181</v>
      </c>
      <c r="AO213" s="3">
        <f>+(AO199/1000)-150</f>
        <v>641.19640631646644</v>
      </c>
      <c r="AQ213" s="3">
        <f>+(AQ199/1000)-300</f>
        <v>712.65383934914689</v>
      </c>
      <c r="AS213" s="3">
        <f>+(AS199/1000)+650</f>
        <v>529.47291371452457</v>
      </c>
      <c r="AU213" s="3">
        <f>+(AU199/1000)+200</f>
        <v>522.49601210827041</v>
      </c>
      <c r="AW213" s="3">
        <f>+(AW199/1000)-400</f>
        <v>560.94179170293171</v>
      </c>
      <c r="AY213" s="3">
        <f>+(AY199/1000)-400</f>
        <v>627.25919602003046</v>
      </c>
      <c r="BA213" s="3">
        <f>+(BA199/1000)-600</f>
        <v>523.08167307671647</v>
      </c>
      <c r="BC213" s="3">
        <f>+(BC199/1000)-600</f>
        <v>450.13161027033016</v>
      </c>
      <c r="BE213" s="3">
        <f>+(BE199/1000)-600</f>
        <v>410.22499699049774</v>
      </c>
    </row>
    <row r="214" spans="1:57" hidden="1" outlineLevel="1" x14ac:dyDescent="0.25">
      <c r="A214" s="386" t="s">
        <v>1362</v>
      </c>
      <c r="AG214" s="4">
        <v>553</v>
      </c>
      <c r="AH214" s="42"/>
      <c r="AI214" s="3">
        <f>+AG214+600+57</f>
        <v>1210</v>
      </c>
      <c r="AK214" s="3">
        <f>+AI214-200+48</f>
        <v>1058</v>
      </c>
      <c r="AM214" s="3">
        <f>+AK214+41</f>
        <v>1099</v>
      </c>
      <c r="AO214" s="3">
        <f>+AM214+150+35</f>
        <v>1284</v>
      </c>
      <c r="AQ214" s="3">
        <f>+AO214+300+30</f>
        <v>1614</v>
      </c>
      <c r="AS214" s="3">
        <f>+AQ214-650+25</f>
        <v>989</v>
      </c>
      <c r="AU214" s="3">
        <f>+AS214-200+29</f>
        <v>818</v>
      </c>
      <c r="AW214" s="3">
        <f>+AU214+400</f>
        <v>1218</v>
      </c>
      <c r="AY214" s="3">
        <f>+AW214+400</f>
        <v>1618</v>
      </c>
      <c r="BA214" s="3">
        <f>+AY214+600</f>
        <v>2218</v>
      </c>
      <c r="BC214" s="3">
        <f>+BA214+600</f>
        <v>2818</v>
      </c>
      <c r="BE214" s="3">
        <f>+BC214+600</f>
        <v>3418</v>
      </c>
    </row>
    <row r="215" spans="1:57" hidden="1" outlineLevel="1" x14ac:dyDescent="0.25">
      <c r="A215" s="386" t="s">
        <v>1360</v>
      </c>
      <c r="AG215" s="4"/>
      <c r="AH215" s="42"/>
      <c r="AI215" s="3">
        <f>+AG215-(AI147/1000)+(AI65/1000)</f>
        <v>-104.45</v>
      </c>
      <c r="AK215" s="3">
        <f>+AI215-(AK147/1000)+(AK65/1000)</f>
        <v>-108.9</v>
      </c>
      <c r="AM215" s="3">
        <f>+AK215-(AM147/1000)+(AM65/1000)</f>
        <v>-113.35000000000001</v>
      </c>
      <c r="AO215" s="3">
        <f>+AM215-(AO147/1000)+(AO65/1000)</f>
        <v>-419.15000000000003</v>
      </c>
      <c r="AQ215" s="3">
        <f>+AO215-(AQ147/1000)+(AQ65/1000)</f>
        <v>-824.95</v>
      </c>
      <c r="AS215" s="3">
        <f>+AQ215-(AS147/1000)+(AS65/1000)</f>
        <v>-130.75</v>
      </c>
      <c r="AU215" s="3">
        <f>+AS215-(AU147/1000)+(AU65/1000)</f>
        <v>113.44999999999999</v>
      </c>
      <c r="AW215" s="3">
        <f>+AU215-(AW147/1000)+(AW65/1000)</f>
        <v>-390.90000000000003</v>
      </c>
      <c r="AY215" s="3">
        <f>+AW215-(AY147/1000)+(AY65/1000)</f>
        <v>-890.90000000000009</v>
      </c>
      <c r="BA215" s="3">
        <f>+AY215-(BA147/1000)+(BA65/1000)</f>
        <v>-1390.9</v>
      </c>
      <c r="BC215" s="3">
        <f>+BA215-(BC147/1000)+(BC65/1000)</f>
        <v>-1890.9</v>
      </c>
      <c r="BE215" s="3">
        <f>+BC215-(BE147/1000)+(BE65/1000)</f>
        <v>-2390.9</v>
      </c>
    </row>
    <row r="216" spans="1:57" collapsed="1" x14ac:dyDescent="0.25">
      <c r="A216" s="386" t="s">
        <v>1361</v>
      </c>
      <c r="AG216" s="3">
        <f>SUM(AG214:AG215)</f>
        <v>553</v>
      </c>
      <c r="AH216" s="42"/>
      <c r="AI216" s="3">
        <f>SUM(AI214:AI215)</f>
        <v>1105.55</v>
      </c>
      <c r="AK216" s="3">
        <f>SUM(AK214:AK215)</f>
        <v>949.1</v>
      </c>
      <c r="AM216" s="3">
        <f>SUM(AM214:AM215)</f>
        <v>985.65</v>
      </c>
      <c r="AO216" s="3">
        <f>SUM(AO214:AO215)</f>
        <v>864.84999999999991</v>
      </c>
      <c r="AQ216" s="3">
        <f>SUM(AQ214:AQ215)</f>
        <v>789.05</v>
      </c>
      <c r="AS216" s="3">
        <f>SUM(AS214:AS215)</f>
        <v>858.25</v>
      </c>
      <c r="AU216" s="3">
        <f>SUM(AU214:AU215)</f>
        <v>931.45</v>
      </c>
      <c r="AW216" s="3">
        <f>SUM(AW214:AW215)</f>
        <v>827.09999999999991</v>
      </c>
      <c r="AY216" s="3">
        <f>SUM(AY214:AY215)</f>
        <v>727.09999999999991</v>
      </c>
      <c r="BA216" s="3">
        <f>SUM(BA214:BA215)</f>
        <v>827.09999999999991</v>
      </c>
      <c r="BC216" s="3">
        <f>SUM(BC214:BC215)</f>
        <v>927.09999999999991</v>
      </c>
      <c r="BE216" s="3">
        <f>SUM(BE214:BE215)</f>
        <v>1027.0999999999999</v>
      </c>
    </row>
    <row r="217" spans="1:57" x14ac:dyDescent="0.25">
      <c r="A217" s="450" t="s">
        <v>1363</v>
      </c>
      <c r="AG217" s="4">
        <f>+AG213+AG216</f>
        <v>1277</v>
      </c>
      <c r="AH217" s="42"/>
      <c r="AI217" s="4">
        <f>+AI213+AI216</f>
        <v>1351.4008825000001</v>
      </c>
      <c r="AK217" s="4">
        <f>+AK213+AK216</f>
        <v>1354.6607507090002</v>
      </c>
      <c r="AM217" s="4">
        <f>+AM213+AM216</f>
        <v>1458.1815366713017</v>
      </c>
      <c r="AO217" s="4">
        <f>+AO213+AO216</f>
        <v>1506.0464063164663</v>
      </c>
      <c r="AQ217" s="4">
        <f>+AQ213+AQ216</f>
        <v>1501.7038393491468</v>
      </c>
      <c r="AS217" s="4">
        <f>+AS213+AS216</f>
        <v>1387.7229137145246</v>
      </c>
      <c r="AU217" s="4">
        <f>+AU213+AU216</f>
        <v>1453.9460121082705</v>
      </c>
      <c r="AW217" s="4">
        <f>+AW213+AW216</f>
        <v>1388.0417917029317</v>
      </c>
      <c r="AY217" s="4">
        <f>+AY213+AY216</f>
        <v>1354.3591960200304</v>
      </c>
      <c r="BA217" s="4">
        <f>+BA213+BA216</f>
        <v>1350.1816730767164</v>
      </c>
      <c r="BC217" s="4">
        <f>+BC213+BC216</f>
        <v>1377.2316102703301</v>
      </c>
      <c r="BE217" s="4">
        <f>+BE213+BE216</f>
        <v>1437.3249969904978</v>
      </c>
    </row>
    <row r="218" spans="1:57" x14ac:dyDescent="0.25">
      <c r="A218" s="387" t="s">
        <v>1196</v>
      </c>
      <c r="AG218" s="4">
        <v>380</v>
      </c>
      <c r="AH218" s="42"/>
      <c r="AI218" s="3">
        <f>+AG218-57</f>
        <v>323</v>
      </c>
      <c r="AK218" s="3">
        <f>+AI218-48</f>
        <v>275</v>
      </c>
      <c r="AM218" s="3">
        <f>+AK218-41</f>
        <v>234</v>
      </c>
      <c r="AO218" s="3">
        <f>+AM218-35</f>
        <v>199</v>
      </c>
      <c r="AQ218" s="3">
        <f>+AO218-30</f>
        <v>169</v>
      </c>
      <c r="AS218" s="3">
        <f>+AQ218-25</f>
        <v>144</v>
      </c>
      <c r="AU218" s="3">
        <f>+AS218-29</f>
        <v>115</v>
      </c>
      <c r="AW218" s="3">
        <f>+AU218</f>
        <v>115</v>
      </c>
      <c r="AY218" s="3">
        <f>+AW218</f>
        <v>115</v>
      </c>
      <c r="BA218" s="3">
        <f>+AY218</f>
        <v>115</v>
      </c>
      <c r="BC218" s="3">
        <f>+BA218</f>
        <v>115</v>
      </c>
      <c r="BE218" s="3">
        <f>+BC218</f>
        <v>115</v>
      </c>
    </row>
    <row r="219" spans="1:57" x14ac:dyDescent="0.25">
      <c r="A219" s="387" t="s">
        <v>1197</v>
      </c>
      <c r="AG219" s="4"/>
      <c r="AH219" s="42"/>
      <c r="BC219" s="3"/>
      <c r="BE219" s="3"/>
    </row>
    <row r="220" spans="1:57" x14ac:dyDescent="0.25">
      <c r="A220" s="387" t="s">
        <v>1198</v>
      </c>
      <c r="AG220" s="4"/>
      <c r="AH220" s="42"/>
      <c r="BC220" s="3"/>
      <c r="BE220" s="3"/>
    </row>
    <row r="221" spans="1:57" x14ac:dyDescent="0.25">
      <c r="A221" s="391" t="s">
        <v>1199</v>
      </c>
      <c r="AG221" s="32">
        <f>+AG213+AG216+AG218+AG219+AG220</f>
        <v>1657</v>
      </c>
      <c r="AH221" s="42"/>
      <c r="AI221" s="32">
        <f>+AI213+AI216+AI218+AI219+AI220</f>
        <v>1674.4008825000001</v>
      </c>
      <c r="AK221" s="32">
        <f>+AK213+AK216+AK218+AK219+AK220</f>
        <v>1629.6607507090002</v>
      </c>
      <c r="AM221" s="32">
        <f>+AM213+AM216+AM218+AM219+AM220</f>
        <v>1692.1815366713017</v>
      </c>
      <c r="AO221" s="32">
        <f>+AO213+AO216+AO218+AO219+AO220</f>
        <v>1705.0464063164663</v>
      </c>
      <c r="AQ221" s="32">
        <f>+AQ213+AQ216+AQ218+AQ219+AQ220</f>
        <v>1670.7038393491468</v>
      </c>
      <c r="AS221" s="32">
        <f>+AS213+AS216+AS218+AS219+AS220</f>
        <v>1531.7229137145246</v>
      </c>
      <c r="AU221" s="32">
        <f>+AU213+AU216+AU218+AU219+AU220</f>
        <v>1568.9460121082705</v>
      </c>
      <c r="AW221" s="32">
        <f>+AW213+AW216+AW218+AW219+AW220</f>
        <v>1503.0417917029317</v>
      </c>
      <c r="AY221" s="32">
        <f>+AY213+AY216+AY218+AY219+AY220</f>
        <v>1469.3591960200304</v>
      </c>
      <c r="BA221" s="32">
        <f>+BA213+BA216+BA218+BA219+BA220</f>
        <v>1465.1816730767164</v>
      </c>
      <c r="BC221" s="32">
        <f>+BC213+BC216+BC218+BC219+BC220</f>
        <v>1492.2316102703301</v>
      </c>
      <c r="BE221" s="32">
        <f>+BE213+BE216+BE218+BE219+BE220</f>
        <v>1552.3249969904978</v>
      </c>
    </row>
    <row r="222" spans="1:57" x14ac:dyDescent="0.25">
      <c r="A222" s="395"/>
      <c r="AG222" s="4"/>
      <c r="AH222" s="42"/>
      <c r="BC222" s="3"/>
      <c r="BE222" s="3"/>
    </row>
    <row r="223" spans="1:57" x14ac:dyDescent="0.25">
      <c r="A223" s="391" t="s">
        <v>1200</v>
      </c>
      <c r="AG223" s="4"/>
      <c r="AH223" s="42"/>
      <c r="BC223" s="3"/>
      <c r="BE223" s="3"/>
    </row>
    <row r="224" spans="1:57" x14ac:dyDescent="0.25">
      <c r="A224" s="387" t="s">
        <v>1196</v>
      </c>
      <c r="AG224" s="4"/>
      <c r="AH224" s="42"/>
      <c r="BC224" s="3"/>
      <c r="BE224" s="3"/>
    </row>
    <row r="225" spans="1:57" x14ac:dyDescent="0.25">
      <c r="A225" s="387" t="s">
        <v>1201</v>
      </c>
      <c r="AG225" s="4">
        <v>9661</v>
      </c>
      <c r="AH225" s="42"/>
      <c r="AI225" s="3">
        <f>+AG225-(AI66/1000)+(AI150/1000)</f>
        <v>9594.5499999999993</v>
      </c>
      <c r="AK225" s="3">
        <f>+AI225-(AK66/1000)+(AK150/1000)</f>
        <v>9639.9089999999997</v>
      </c>
      <c r="AM225" s="3">
        <f>+AK225-(AM66/1000)+(AM150/1000)</f>
        <v>9632.7362699999994</v>
      </c>
      <c r="AO225" s="3">
        <f>+AM225-(AO66/1000)+(AO150/1000)</f>
        <v>9709.0913580999986</v>
      </c>
      <c r="AQ225" s="3">
        <f>+AO225-(AQ66/1000)+(AQ150/1000)</f>
        <v>9885.8340988429991</v>
      </c>
      <c r="AS225" s="3">
        <f>+AQ225-(AS66/1000)+(AS150/1000)</f>
        <v>10891.024621808288</v>
      </c>
      <c r="AU225" s="3">
        <f>+AS225-(AU66/1000)+(AU150/1000)</f>
        <v>11285.223360462536</v>
      </c>
      <c r="AW225" s="3">
        <f>+AU225-(AW66/1000)+(AW150/1000)</f>
        <v>11559.241061276412</v>
      </c>
      <c r="AY225" s="3">
        <f>+AW225-(AY66/1000)+(AY150/1000)</f>
        <v>11829.288793114705</v>
      </c>
      <c r="BA225" s="3">
        <f>+AY225-(BA66/1000)+(BA150/1000)</f>
        <v>12099.727956908146</v>
      </c>
      <c r="BC225" s="3">
        <f>+BA225-(BC66/1000)+(BC150/1000)</f>
        <v>12370.570295615391</v>
      </c>
      <c r="BE225" s="3">
        <f>+BC225-(BE66/1000)+(BE150/1000)</f>
        <v>12641.827904483853</v>
      </c>
    </row>
    <row r="226" spans="1:57" x14ac:dyDescent="0.25">
      <c r="A226" s="391" t="s">
        <v>1202</v>
      </c>
      <c r="AG226" s="4">
        <f>SUM(AG224:AG225)</f>
        <v>9661</v>
      </c>
      <c r="AH226" s="42"/>
      <c r="AI226" s="32">
        <f>SUM(AI224:AI225)</f>
        <v>9594.5499999999993</v>
      </c>
      <c r="AK226" s="32">
        <f>SUM(AK224:AK225)</f>
        <v>9639.9089999999997</v>
      </c>
      <c r="AM226" s="32">
        <f>SUM(AM224:AM225)</f>
        <v>9632.7362699999994</v>
      </c>
      <c r="AO226" s="32">
        <f>SUM(AO224:AO225)</f>
        <v>9709.0913580999986</v>
      </c>
      <c r="AQ226" s="32">
        <f>SUM(AQ224:AQ225)</f>
        <v>9885.8340988429991</v>
      </c>
      <c r="AS226" s="32">
        <f>SUM(AS224:AS225)</f>
        <v>10891.024621808288</v>
      </c>
      <c r="AU226" s="32">
        <f>SUM(AU224:AU225)</f>
        <v>11285.223360462536</v>
      </c>
      <c r="AW226" s="32">
        <f>SUM(AW224:AW225)</f>
        <v>11559.241061276412</v>
      </c>
      <c r="AY226" s="32">
        <f>SUM(AY224:AY225)</f>
        <v>11829.288793114705</v>
      </c>
      <c r="BA226" s="32">
        <f>SUM(BA224:BA225)</f>
        <v>12099.727956908146</v>
      </c>
      <c r="BC226" s="32">
        <f>SUM(BC224:BC225)</f>
        <v>12370.570295615391</v>
      </c>
      <c r="BE226" s="32">
        <f>SUM(BE224:BE225)</f>
        <v>12641.827904483853</v>
      </c>
    </row>
    <row r="227" spans="1:57" x14ac:dyDescent="0.25">
      <c r="A227" s="390"/>
      <c r="AG227" s="4"/>
      <c r="AH227" s="42"/>
      <c r="AI227" s="4"/>
      <c r="AK227" s="4"/>
      <c r="AM227" s="4"/>
      <c r="AO227" s="4"/>
      <c r="AQ227" s="4"/>
      <c r="AS227" s="4"/>
      <c r="AU227" s="4"/>
      <c r="AW227" s="4"/>
      <c r="AY227" s="4"/>
      <c r="BA227" s="4"/>
      <c r="BC227" s="4"/>
      <c r="BE227" s="4"/>
    </row>
    <row r="228" spans="1:57" x14ac:dyDescent="0.25">
      <c r="A228" s="391" t="s">
        <v>1203</v>
      </c>
      <c r="AG228" s="4">
        <f>+AG221+AG226</f>
        <v>11318</v>
      </c>
      <c r="AH228" s="42"/>
      <c r="AI228" s="32">
        <f>+AI221+AI226</f>
        <v>11268.950882499999</v>
      </c>
      <c r="AK228" s="32">
        <f>+AK221+AK226</f>
        <v>11269.569750709001</v>
      </c>
      <c r="AM228" s="32">
        <f>+AM221+AM226</f>
        <v>11324.917806671301</v>
      </c>
      <c r="AO228" s="32">
        <f>+AO221+AO226</f>
        <v>11414.137764416464</v>
      </c>
      <c r="AQ228" s="32">
        <f>+AQ221+AQ226</f>
        <v>11556.537938192147</v>
      </c>
      <c r="AS228" s="32">
        <f>+AS221+AS226</f>
        <v>12422.747535522813</v>
      </c>
      <c r="AU228" s="32">
        <f>+AU221+AU226</f>
        <v>12854.169372570806</v>
      </c>
      <c r="AW228" s="32">
        <f>+AW221+AW226</f>
        <v>13062.282852979344</v>
      </c>
      <c r="AY228" s="32">
        <f>+AY221+AY226</f>
        <v>13298.647989134735</v>
      </c>
      <c r="BA228" s="32">
        <f>+BA221+BA226</f>
        <v>13564.909629984862</v>
      </c>
      <c r="BC228" s="32">
        <f>+BC221+BC226</f>
        <v>13862.801905885721</v>
      </c>
      <c r="BE228" s="32">
        <f>+BE221+BE226</f>
        <v>14194.15290147435</v>
      </c>
    </row>
    <row r="229" spans="1:57" x14ac:dyDescent="0.25">
      <c r="A229" s="390"/>
      <c r="AG229" s="4"/>
      <c r="AH229" s="42"/>
      <c r="BC229" s="3"/>
      <c r="BE229" s="3"/>
    </row>
    <row r="230" spans="1:57" x14ac:dyDescent="0.25">
      <c r="A230" s="391" t="s">
        <v>1204</v>
      </c>
      <c r="AG230" s="4"/>
      <c r="AH230" s="42"/>
      <c r="BC230" s="3"/>
      <c r="BE230" s="3"/>
    </row>
    <row r="231" spans="1:57" x14ac:dyDescent="0.25">
      <c r="A231" s="387" t="s">
        <v>1205</v>
      </c>
      <c r="AG231" s="4"/>
      <c r="AH231" s="42"/>
      <c r="BC231" s="3"/>
      <c r="BE231" s="3"/>
    </row>
    <row r="232" spans="1:57" x14ac:dyDescent="0.25">
      <c r="A232" s="387" t="s">
        <v>1216</v>
      </c>
      <c r="AG232" s="4"/>
      <c r="AH232" s="42"/>
      <c r="BC232" s="3"/>
      <c r="BE232" s="3"/>
    </row>
    <row r="233" spans="1:57" x14ac:dyDescent="0.25">
      <c r="A233" s="387" t="s">
        <v>1178</v>
      </c>
      <c r="AG233" s="4">
        <v>72</v>
      </c>
      <c r="AH233" s="42"/>
      <c r="AI233" s="3">
        <f>+AG233</f>
        <v>72</v>
      </c>
      <c r="AK233" s="3">
        <f>+AI233</f>
        <v>72</v>
      </c>
      <c r="AM233" s="3">
        <f>+AK233</f>
        <v>72</v>
      </c>
      <c r="AO233" s="3">
        <f>+AM233</f>
        <v>72</v>
      </c>
      <c r="AQ233" s="3">
        <f>+AO233</f>
        <v>72</v>
      </c>
      <c r="AS233" s="3">
        <f>+AQ233</f>
        <v>72</v>
      </c>
      <c r="AU233" s="3">
        <f>+AS233</f>
        <v>72</v>
      </c>
      <c r="AW233" s="3">
        <f>+AU233</f>
        <v>72</v>
      </c>
      <c r="AY233" s="3">
        <f>+AW233</f>
        <v>72</v>
      </c>
      <c r="BA233" s="3">
        <f>+AY233</f>
        <v>72</v>
      </c>
      <c r="BC233" s="3">
        <f>+BA233</f>
        <v>72</v>
      </c>
      <c r="BE233" s="3">
        <f>+BC233</f>
        <v>72</v>
      </c>
    </row>
    <row r="234" spans="1:57" x14ac:dyDescent="0.25">
      <c r="A234" s="391" t="s">
        <v>1206</v>
      </c>
      <c r="AG234" s="4">
        <f>SUM(AG231:AG233)</f>
        <v>72</v>
      </c>
      <c r="AH234" s="42"/>
      <c r="AI234" s="32">
        <f>SUM(AI231:AI233)</f>
        <v>72</v>
      </c>
      <c r="AJ234" s="7"/>
      <c r="AK234" s="32">
        <f>SUM(AK231:AK233)</f>
        <v>72</v>
      </c>
      <c r="AM234" s="32">
        <f>SUM(AM231:AM233)</f>
        <v>72</v>
      </c>
      <c r="AO234" s="32">
        <f>SUM(AO231:AO233)</f>
        <v>72</v>
      </c>
      <c r="AQ234" s="32">
        <f>SUM(AQ231:AQ233)</f>
        <v>72</v>
      </c>
      <c r="AS234" s="32">
        <f>SUM(AS231:AS233)</f>
        <v>72</v>
      </c>
      <c r="AU234" s="32">
        <f>SUM(AU231:AU233)</f>
        <v>72</v>
      </c>
      <c r="AW234" s="32">
        <f>SUM(AW231:AW233)</f>
        <v>72</v>
      </c>
      <c r="AY234" s="32">
        <f>SUM(AY231:AY233)</f>
        <v>72</v>
      </c>
      <c r="BA234" s="32">
        <f>SUM(BA231:BA233)</f>
        <v>72</v>
      </c>
      <c r="BC234" s="32">
        <f>SUM(BC231:BC233)</f>
        <v>72</v>
      </c>
      <c r="BE234" s="32">
        <f>SUM(BE231:BE233)</f>
        <v>72</v>
      </c>
    </row>
    <row r="235" spans="1:57" x14ac:dyDescent="0.25">
      <c r="A235" s="390"/>
      <c r="AG235" s="4"/>
      <c r="AH235" s="42"/>
      <c r="AI235" s="4"/>
      <c r="AK235" s="4"/>
      <c r="AM235" s="4"/>
      <c r="AO235" s="4"/>
      <c r="AQ235" s="4"/>
      <c r="AS235" s="4"/>
      <c r="AU235" s="4"/>
      <c r="AW235" s="4"/>
      <c r="AY235" s="4"/>
      <c r="BA235" s="4"/>
      <c r="BC235" s="4"/>
      <c r="BE235" s="4"/>
    </row>
    <row r="236" spans="1:57" x14ac:dyDescent="0.25">
      <c r="A236" s="391" t="s">
        <v>1207</v>
      </c>
      <c r="AG236" s="4"/>
      <c r="AH236" s="42"/>
      <c r="AI236" s="4"/>
      <c r="AK236" s="4"/>
      <c r="AM236" s="4"/>
      <c r="AO236" s="4"/>
      <c r="AQ236" s="4"/>
      <c r="AS236" s="4"/>
      <c r="AU236" s="4"/>
      <c r="AW236" s="4"/>
      <c r="AY236" s="4"/>
      <c r="BA236" s="4"/>
      <c r="BC236" s="4"/>
      <c r="BE236" s="4"/>
    </row>
    <row r="237" spans="1:57" x14ac:dyDescent="0.25">
      <c r="A237" s="387" t="s">
        <v>1216</v>
      </c>
      <c r="AG237" s="4"/>
      <c r="AH237" s="42"/>
      <c r="AI237" s="4"/>
      <c r="AK237" s="4"/>
      <c r="AM237" s="4"/>
      <c r="AO237" s="4"/>
      <c r="AQ237" s="4"/>
      <c r="AS237" s="4"/>
      <c r="AU237" s="4"/>
      <c r="AW237" s="4"/>
      <c r="AY237" s="4"/>
      <c r="BA237" s="4"/>
      <c r="BC237" s="4"/>
      <c r="BE237" s="4"/>
    </row>
    <row r="238" spans="1:57" x14ac:dyDescent="0.25">
      <c r="A238" s="387" t="s">
        <v>1178</v>
      </c>
      <c r="AG238" s="4"/>
      <c r="AH238" s="42"/>
      <c r="AI238" s="4"/>
      <c r="AK238" s="4"/>
      <c r="AM238" s="4"/>
      <c r="AO238" s="4"/>
      <c r="AQ238" s="4"/>
      <c r="AS238" s="4"/>
      <c r="AU238" s="4"/>
      <c r="AW238" s="4"/>
      <c r="AY238" s="4"/>
      <c r="BA238" s="4"/>
      <c r="BC238" s="4"/>
      <c r="BE238" s="4"/>
    </row>
    <row r="239" spans="1:57" x14ac:dyDescent="0.25">
      <c r="A239" s="391" t="s">
        <v>1208</v>
      </c>
      <c r="AG239" s="4"/>
      <c r="AH239" s="42"/>
      <c r="AI239" s="32">
        <f>SUM(AI237:AI238)</f>
        <v>0</v>
      </c>
      <c r="AK239" s="32">
        <f>SUM(AK237:AK238)</f>
        <v>0</v>
      </c>
      <c r="AM239" s="32">
        <f>SUM(AM237:AM238)</f>
        <v>0</v>
      </c>
      <c r="AO239" s="32">
        <f>SUM(AO237:AO238)</f>
        <v>0</v>
      </c>
      <c r="AQ239" s="32">
        <f>SUM(AQ237:AQ238)</f>
        <v>0</v>
      </c>
      <c r="AS239" s="32">
        <f>SUM(AS237:AS238)</f>
        <v>0</v>
      </c>
      <c r="AU239" s="32">
        <f>SUM(AU237:AU238)</f>
        <v>0</v>
      </c>
      <c r="AW239" s="32">
        <f>SUM(AW237:AW238)</f>
        <v>0</v>
      </c>
      <c r="AY239" s="32">
        <f>SUM(AY237:AY238)</f>
        <v>0</v>
      </c>
      <c r="BA239" s="32">
        <f>SUM(BA237:BA238)</f>
        <v>0</v>
      </c>
      <c r="BC239" s="32">
        <f>SUM(BC237:BC238)</f>
        <v>0</v>
      </c>
      <c r="BE239" s="32">
        <f>SUM(BE237:BE238)</f>
        <v>0</v>
      </c>
    </row>
    <row r="240" spans="1:57" x14ac:dyDescent="0.25">
      <c r="A240" s="390"/>
      <c r="AG240" s="4"/>
      <c r="AH240" s="42"/>
      <c r="AI240" s="4"/>
      <c r="AK240" s="4"/>
      <c r="AM240" s="4"/>
      <c r="AO240" s="4"/>
      <c r="AQ240" s="4"/>
      <c r="AS240" s="4"/>
      <c r="AU240" s="4"/>
      <c r="AW240" s="4"/>
      <c r="AY240" s="4"/>
      <c r="BA240" s="4"/>
      <c r="BC240" s="4"/>
      <c r="BE240" s="4"/>
    </row>
    <row r="241" spans="1:57" x14ac:dyDescent="0.25">
      <c r="A241" s="391" t="s">
        <v>1209</v>
      </c>
      <c r="AG241" s="4">
        <f>+AG234+AG239</f>
        <v>72</v>
      </c>
      <c r="AH241" s="42"/>
      <c r="AI241" s="32">
        <f>+AI234+AI239</f>
        <v>72</v>
      </c>
      <c r="AK241" s="32">
        <f>+AK234+AK239</f>
        <v>72</v>
      </c>
      <c r="AM241" s="32">
        <f>+AM234+AM239</f>
        <v>72</v>
      </c>
      <c r="AO241" s="32">
        <f>+AO234+AO239</f>
        <v>72</v>
      </c>
      <c r="AQ241" s="32">
        <f>+AQ234+AQ239</f>
        <v>72</v>
      </c>
      <c r="AS241" s="32">
        <f>+AS234+AS239</f>
        <v>72</v>
      </c>
      <c r="AU241" s="32">
        <f>+AU234+AU239</f>
        <v>72</v>
      </c>
      <c r="AW241" s="32">
        <f>+AW234+AW239</f>
        <v>72</v>
      </c>
      <c r="AY241" s="32">
        <f>+AY234+AY239</f>
        <v>72</v>
      </c>
      <c r="BA241" s="32">
        <f>+BA234+BA239</f>
        <v>72</v>
      </c>
      <c r="BC241" s="32">
        <f>+BC234+BC239</f>
        <v>72</v>
      </c>
      <c r="BE241" s="32">
        <f>+BE234+BE239</f>
        <v>72</v>
      </c>
    </row>
    <row r="242" spans="1:57" x14ac:dyDescent="0.25">
      <c r="A242" s="390"/>
      <c r="AG242" s="4"/>
      <c r="AH242" s="42"/>
      <c r="AI242" s="4"/>
      <c r="AK242" s="4"/>
      <c r="AM242" s="4"/>
      <c r="AO242" s="4"/>
      <c r="AQ242" s="4"/>
      <c r="AS242" s="4"/>
      <c r="AU242" s="4"/>
      <c r="AW242" s="4"/>
      <c r="AY242" s="4"/>
      <c r="BA242" s="4"/>
      <c r="BC242" s="4"/>
      <c r="BE242" s="4"/>
    </row>
    <row r="243" spans="1:57" x14ac:dyDescent="0.25">
      <c r="A243" s="391" t="s">
        <v>1210</v>
      </c>
      <c r="AG243" s="32">
        <f>+AG228-AG241</f>
        <v>11246</v>
      </c>
      <c r="AH243" s="42"/>
      <c r="AI243" s="32">
        <f>+AI228-AI241</f>
        <v>11196.950882499999</v>
      </c>
      <c r="AK243" s="32">
        <f>+AK228-AK241</f>
        <v>11197.569750709001</v>
      </c>
      <c r="AM243" s="32">
        <f>+AM228-AM241</f>
        <v>11252.917806671301</v>
      </c>
      <c r="AO243" s="32">
        <f>+AO228-AO241</f>
        <v>11342.137764416464</v>
      </c>
      <c r="AQ243" s="32">
        <f>+AQ228-AQ241</f>
        <v>11484.537938192147</v>
      </c>
      <c r="AS243" s="32">
        <f>+AS228-AS241</f>
        <v>12350.747535522813</v>
      </c>
      <c r="AU243" s="32">
        <f>+AU228-AU241</f>
        <v>12782.169372570806</v>
      </c>
      <c r="AW243" s="32">
        <f>+AW228-AW241</f>
        <v>12990.282852979344</v>
      </c>
      <c r="AY243" s="32">
        <f>+AY228-AY241</f>
        <v>13226.647989134735</v>
      </c>
      <c r="BA243" s="32">
        <f>+BA228-BA241</f>
        <v>13492.909629984862</v>
      </c>
      <c r="BC243" s="32">
        <f>+BC228-BC241</f>
        <v>13790.801905885721</v>
      </c>
      <c r="BE243" s="32">
        <f>+BE228-BE241</f>
        <v>14122.15290147435</v>
      </c>
    </row>
    <row r="244" spans="1:57" x14ac:dyDescent="0.25">
      <c r="A244" s="390"/>
      <c r="AG244" s="4"/>
      <c r="AH244" s="42"/>
      <c r="BC244" s="3"/>
      <c r="BE244" s="3"/>
    </row>
    <row r="245" spans="1:57" x14ac:dyDescent="0.25">
      <c r="A245" s="391" t="s">
        <v>1211</v>
      </c>
      <c r="AG245" s="4"/>
      <c r="AH245" s="42"/>
      <c r="BC245" s="3"/>
      <c r="BE245" s="3"/>
    </row>
    <row r="246" spans="1:57" x14ac:dyDescent="0.25">
      <c r="A246" s="387" t="s">
        <v>1212</v>
      </c>
      <c r="AG246" s="4">
        <v>2642</v>
      </c>
      <c r="AH246" s="42"/>
      <c r="AI246" s="3">
        <f>+AG246+(AI109/1000)</f>
        <v>2592.9508825000003</v>
      </c>
      <c r="AK246" s="3">
        <f>+AI246+(AK109/1000)</f>
        <v>2593.5697507090003</v>
      </c>
      <c r="AM246" s="3">
        <f>+AK246+(AM109/1000)</f>
        <v>2648.9178066713016</v>
      </c>
      <c r="AO246" s="3">
        <f>+AM246+(AO109/1000)</f>
        <v>2738.1377644164663</v>
      </c>
      <c r="AQ246" s="3">
        <f>+AO246+(AQ109/1000)</f>
        <v>2880.5379381921471</v>
      </c>
      <c r="AS246" s="3">
        <f>+AQ246+(AS109/1000)</f>
        <v>3746.7475355228144</v>
      </c>
      <c r="AU246" s="3">
        <f>+AS246+(AU109/1000)</f>
        <v>4178.1693725708092</v>
      </c>
      <c r="AW246" s="3">
        <f>+AU246+(AW109/1000)</f>
        <v>4386.2828529793469</v>
      </c>
      <c r="AY246" s="3">
        <f>+AW246+(AY109/1000)</f>
        <v>4622.6479891347381</v>
      </c>
      <c r="BA246" s="3">
        <f>+AY246+(BA109/1000)</f>
        <v>4888.9096299848652</v>
      </c>
      <c r="BC246" s="3">
        <f>+BA246+(BC109/1000)</f>
        <v>5186.8019058857235</v>
      </c>
      <c r="BE246" s="3">
        <f>+BC246+(BE109/1000)</f>
        <v>5518.1529014743528</v>
      </c>
    </row>
    <row r="247" spans="1:57" x14ac:dyDescent="0.25">
      <c r="A247" s="387" t="s">
        <v>1213</v>
      </c>
      <c r="AG247" s="4">
        <v>8604</v>
      </c>
      <c r="AH247" s="42"/>
      <c r="AI247" s="3">
        <f>+AG247</f>
        <v>8604</v>
      </c>
      <c r="AK247" s="3">
        <f>+AI247</f>
        <v>8604</v>
      </c>
      <c r="AM247" s="3">
        <f>+AK247</f>
        <v>8604</v>
      </c>
      <c r="AO247" s="3">
        <f>+AM247</f>
        <v>8604</v>
      </c>
      <c r="AQ247" s="3">
        <f>+AO247</f>
        <v>8604</v>
      </c>
      <c r="AS247" s="3">
        <f>+AQ247</f>
        <v>8604</v>
      </c>
      <c r="AU247" s="3">
        <f>+AS247</f>
        <v>8604</v>
      </c>
      <c r="AW247" s="3">
        <f>+AU247</f>
        <v>8604</v>
      </c>
      <c r="AY247" s="3">
        <f>+AW247</f>
        <v>8604</v>
      </c>
      <c r="BA247" s="3">
        <f>+AY247</f>
        <v>8604</v>
      </c>
      <c r="BC247" s="3">
        <f>+BA247</f>
        <v>8604</v>
      </c>
      <c r="BE247" s="3">
        <f>+BC247</f>
        <v>8604</v>
      </c>
    </row>
    <row r="248" spans="1:57" x14ac:dyDescent="0.25">
      <c r="A248" s="387" t="s">
        <v>1214</v>
      </c>
      <c r="AG248" s="4"/>
      <c r="AH248" s="42"/>
      <c r="BC248" s="3"/>
      <c r="BE248" s="3"/>
    </row>
    <row r="249" spans="1:57" x14ac:dyDescent="0.25">
      <c r="A249" s="391" t="s">
        <v>1215</v>
      </c>
      <c r="AG249" s="32">
        <f>SUM(AG246:AG248)</f>
        <v>11246</v>
      </c>
      <c r="AH249" s="42"/>
      <c r="AI249" s="32">
        <f>SUM(AI246:AI248)</f>
        <v>11196.950882500001</v>
      </c>
      <c r="AK249" s="32">
        <f>SUM(AK246:AK248)</f>
        <v>11197.569750709001</v>
      </c>
      <c r="AM249" s="32">
        <f>SUM(AM246:AM248)</f>
        <v>11252.917806671301</v>
      </c>
      <c r="AO249" s="32">
        <f>SUM(AO246:AO248)</f>
        <v>11342.137764416466</v>
      </c>
      <c r="AQ249" s="32">
        <f>SUM(AQ246:AQ248)</f>
        <v>11484.537938192147</v>
      </c>
      <c r="AS249" s="32">
        <f>SUM(AS246:AS248)</f>
        <v>12350.747535522814</v>
      </c>
      <c r="AU249" s="32">
        <f>SUM(AU246:AU248)</f>
        <v>12782.16937257081</v>
      </c>
      <c r="AW249" s="32">
        <f>SUM(AW246:AW248)</f>
        <v>12990.282852979348</v>
      </c>
      <c r="AY249" s="32">
        <f>SUM(AY246:AY248)</f>
        <v>13226.647989134737</v>
      </c>
      <c r="BA249" s="32">
        <f>SUM(BA246:BA248)</f>
        <v>13492.909629984864</v>
      </c>
      <c r="BC249" s="32">
        <f>SUM(BC246:BC248)</f>
        <v>13790.801905885724</v>
      </c>
      <c r="BE249" s="32">
        <f>SUM(BE246:BE248)</f>
        <v>14122.152901474354</v>
      </c>
    </row>
    <row r="250" spans="1:57" x14ac:dyDescent="0.25"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3">
        <f>+AG243-AG249</f>
        <v>0</v>
      </c>
      <c r="AI250" s="3">
        <f>+AI243-AI249</f>
        <v>0</v>
      </c>
      <c r="AK250" s="3">
        <f>+AK243-AK249</f>
        <v>0</v>
      </c>
      <c r="AM250" s="3">
        <f>+AM243-AM249</f>
        <v>0</v>
      </c>
      <c r="AO250" s="3">
        <f>+AO243-AO249</f>
        <v>0</v>
      </c>
      <c r="AQ250" s="3">
        <f>+AQ243-AQ249</f>
        <v>0</v>
      </c>
      <c r="AS250" s="3">
        <f>+AS243-AS249</f>
        <v>0</v>
      </c>
      <c r="AU250" s="3">
        <f>+AU243-AU249</f>
        <v>0</v>
      </c>
      <c r="AW250" s="3">
        <f>+AW243-AW249</f>
        <v>0</v>
      </c>
      <c r="AY250" s="3">
        <f>+AY243-AY249</f>
        <v>0</v>
      </c>
      <c r="BA250" s="3">
        <f>+BA243-BA249</f>
        <v>0</v>
      </c>
      <c r="BC250" s="3">
        <f>+BC243-BC249</f>
        <v>0</v>
      </c>
      <c r="BE250" s="3">
        <f>+BE243-BE249</f>
        <v>0</v>
      </c>
    </row>
  </sheetData>
  <autoFilter ref="A1:A250"/>
  <mergeCells count="3">
    <mergeCell ref="A34:BE34"/>
    <mergeCell ref="A158:BE158"/>
    <mergeCell ref="A209:BE209"/>
  </mergeCells>
  <pageMargins left="0.70866141732283472" right="0.70866141732283472" top="0.74803149606299213" bottom="0.74803149606299213" header="0.31496062992125984" footer="0.31496062992125984"/>
  <pageSetup paperSize="8" scale="90" fitToHeight="4" orientation="landscape" r:id="rId1"/>
  <rowBreaks count="2" manualBreakCount="2">
    <brk id="157" max="56" man="1"/>
    <brk id="208" max="56" man="1"/>
  </row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E238"/>
  <sheetViews>
    <sheetView view="pageBreakPreview" zoomScale="60" zoomScaleNormal="75" workbookViewId="0">
      <selection activeCell="AI201" sqref="AI201:BE201"/>
    </sheetView>
  </sheetViews>
  <sheetFormatPr defaultRowHeight="15" outlineLevelRow="1" x14ac:dyDescent="0.25"/>
  <cols>
    <col min="1" max="1" width="63.7109375" style="42" bestFit="1" customWidth="1"/>
    <col min="2" max="2" width="17.7109375" style="3" hidden="1" customWidth="1"/>
    <col min="3" max="3" width="2.85546875" style="3" hidden="1" customWidth="1"/>
    <col min="4" max="6" width="15.5703125" style="3" hidden="1" customWidth="1"/>
    <col min="7" max="7" width="3" style="3" hidden="1" customWidth="1"/>
    <col min="8" max="8" width="15.5703125" style="3" hidden="1" customWidth="1"/>
    <col min="9" max="9" width="3" style="3" hidden="1" customWidth="1"/>
    <col min="10" max="12" width="15.5703125" style="3" hidden="1" customWidth="1"/>
    <col min="13" max="13" width="3" style="4" hidden="1" customWidth="1"/>
    <col min="14" max="14" width="15.5703125" style="3" hidden="1" customWidth="1"/>
    <col min="15" max="15" width="4.5703125" style="3" hidden="1" customWidth="1"/>
    <col min="16" max="16" width="17.42578125" style="3" hidden="1" customWidth="1"/>
    <col min="17" max="17" width="1.140625" style="3" hidden="1" customWidth="1"/>
    <col min="18" max="19" width="15.28515625" style="3" hidden="1" customWidth="1"/>
    <col min="20" max="20" width="15.5703125" style="3" hidden="1" customWidth="1"/>
    <col min="21" max="21" width="15.28515625" style="3" hidden="1" customWidth="1"/>
    <col min="22" max="22" width="15.140625" style="3" hidden="1" customWidth="1"/>
    <col min="23" max="23" width="14.42578125" style="3" hidden="1" customWidth="1"/>
    <col min="24" max="24" width="1.7109375" style="3" hidden="1" customWidth="1"/>
    <col min="25" max="25" width="16.85546875" style="3" hidden="1" customWidth="1"/>
    <col min="26" max="26" width="17.140625" style="3" hidden="1" customWidth="1"/>
    <col min="27" max="27" width="2.140625" style="3" hidden="1" customWidth="1"/>
    <col min="28" max="28" width="2.7109375" style="3" hidden="1" customWidth="1"/>
    <col min="29" max="29" width="15.5703125" style="3" hidden="1" customWidth="1"/>
    <col min="30" max="30" width="16.42578125" style="3" hidden="1" customWidth="1"/>
    <col min="31" max="31" width="19.85546875" style="3" hidden="1" customWidth="1"/>
    <col min="32" max="32" width="7.28515625" style="3" hidden="1" customWidth="1"/>
    <col min="33" max="33" width="7.5703125" style="3" bestFit="1" customWidth="1"/>
    <col min="34" max="34" width="1.7109375" style="3" customWidth="1"/>
    <col min="35" max="35" width="12.7109375" style="3" bestFit="1" customWidth="1"/>
    <col min="36" max="36" width="1.7109375" style="3" customWidth="1"/>
    <col min="37" max="37" width="12.7109375" style="3" bestFit="1" customWidth="1"/>
    <col min="38" max="38" width="1.7109375" style="3" customWidth="1"/>
    <col min="39" max="39" width="10.28515625" style="3" bestFit="1" customWidth="1"/>
    <col min="40" max="40" width="1.7109375" style="3" customWidth="1"/>
    <col min="41" max="41" width="10.42578125" style="3" bestFit="1" customWidth="1"/>
    <col min="42" max="42" width="1.7109375" style="3" customWidth="1"/>
    <col min="43" max="43" width="10.42578125" style="3" bestFit="1" customWidth="1"/>
    <col min="44" max="44" width="1.7109375" style="42" customWidth="1"/>
    <col min="45" max="45" width="10.42578125" style="3" bestFit="1" customWidth="1"/>
    <col min="46" max="46" width="1.7109375" style="42" customWidth="1"/>
    <col min="47" max="47" width="13" style="3" bestFit="1" customWidth="1"/>
    <col min="48" max="48" width="1.7109375" style="42" customWidth="1"/>
    <col min="49" max="49" width="10.42578125" style="3" bestFit="1" customWidth="1"/>
    <col min="50" max="50" width="1.7109375" style="42" customWidth="1"/>
    <col min="51" max="51" width="10.42578125" style="3" bestFit="1" customWidth="1"/>
    <col min="52" max="52" width="1.7109375" style="42" customWidth="1"/>
    <col min="53" max="53" width="10.42578125" style="3" bestFit="1" customWidth="1"/>
    <col min="54" max="54" width="1.7109375" style="42" customWidth="1"/>
    <col min="55" max="55" width="10.42578125" style="42" bestFit="1" customWidth="1"/>
    <col min="56" max="56" width="1.7109375" style="42" customWidth="1"/>
    <col min="57" max="57" width="13" style="42" bestFit="1" customWidth="1"/>
    <col min="58" max="58" width="9.140625" style="42" customWidth="1"/>
    <col min="59" max="60" width="13.42578125" style="42" customWidth="1"/>
    <col min="61" max="61" width="9.140625" style="42" customWidth="1"/>
    <col min="62" max="62" width="13.42578125" style="42" customWidth="1"/>
    <col min="63" max="63" width="9.140625" style="42" customWidth="1"/>
    <col min="64" max="64" width="13.42578125" style="42" customWidth="1"/>
    <col min="65" max="65" width="9.140625" style="42" customWidth="1"/>
    <col min="66" max="66" width="13.42578125" style="42" customWidth="1"/>
    <col min="67" max="67" width="9.140625" style="42" customWidth="1"/>
    <col min="68" max="68" width="13.42578125" style="42" customWidth="1"/>
    <col min="69" max="257" width="9.140625" style="42"/>
    <col min="258" max="258" width="26.5703125" style="42" customWidth="1"/>
    <col min="259" max="271" width="0" style="42" hidden="1" customWidth="1"/>
    <col min="272" max="272" width="1.7109375" style="42" customWidth="1"/>
    <col min="273" max="273" width="17.42578125" style="42" customWidth="1"/>
    <col min="274" max="274" width="1.140625" style="42" customWidth="1"/>
    <col min="275" max="287" width="0" style="42" hidden="1" customWidth="1"/>
    <col min="288" max="288" width="19.85546875" style="42" customWidth="1"/>
    <col min="289" max="289" width="0" style="42" hidden="1" customWidth="1"/>
    <col min="290" max="290" width="2.85546875" style="42" customWidth="1"/>
    <col min="291" max="291" width="15.5703125" style="42" customWidth="1"/>
    <col min="292" max="292" width="2" style="42" customWidth="1"/>
    <col min="293" max="293" width="15.5703125" style="42" customWidth="1"/>
    <col min="294" max="294" width="1.7109375" style="42" customWidth="1"/>
    <col min="295" max="295" width="15.5703125" style="42" customWidth="1"/>
    <col min="296" max="296" width="1.5703125" style="42" customWidth="1"/>
    <col min="297" max="297" width="15.5703125" style="42" customWidth="1"/>
    <col min="298" max="298" width="1.42578125" style="42" customWidth="1"/>
    <col min="299" max="299" width="15.5703125" style="42" customWidth="1"/>
    <col min="300" max="300" width="1.85546875" style="42" customWidth="1"/>
    <col min="301" max="301" width="15.5703125" style="42" customWidth="1"/>
    <col min="302" max="302" width="1.28515625" style="42" customWidth="1"/>
    <col min="303" max="303" width="15.85546875" style="42" customWidth="1"/>
    <col min="304" max="304" width="1.5703125" style="42" customWidth="1"/>
    <col min="305" max="305" width="15.5703125" style="42" customWidth="1"/>
    <col min="306" max="306" width="1.85546875" style="42" customWidth="1"/>
    <col min="307" max="307" width="15.5703125" style="42" customWidth="1"/>
    <col min="308" max="308" width="1.5703125" style="42" customWidth="1"/>
    <col min="309" max="309" width="15.5703125" style="42" customWidth="1"/>
    <col min="310" max="310" width="9.140625" style="42"/>
    <col min="311" max="311" width="15.140625" style="42" customWidth="1"/>
    <col min="312" max="513" width="9.140625" style="42"/>
    <col min="514" max="514" width="26.5703125" style="42" customWidth="1"/>
    <col min="515" max="527" width="0" style="42" hidden="1" customWidth="1"/>
    <col min="528" max="528" width="1.7109375" style="42" customWidth="1"/>
    <col min="529" max="529" width="17.42578125" style="42" customWidth="1"/>
    <col min="530" max="530" width="1.140625" style="42" customWidth="1"/>
    <col min="531" max="543" width="0" style="42" hidden="1" customWidth="1"/>
    <col min="544" max="544" width="19.85546875" style="42" customWidth="1"/>
    <col min="545" max="545" width="0" style="42" hidden="1" customWidth="1"/>
    <col min="546" max="546" width="2.85546875" style="42" customWidth="1"/>
    <col min="547" max="547" width="15.5703125" style="42" customWidth="1"/>
    <col min="548" max="548" width="2" style="42" customWidth="1"/>
    <col min="549" max="549" width="15.5703125" style="42" customWidth="1"/>
    <col min="550" max="550" width="1.7109375" style="42" customWidth="1"/>
    <col min="551" max="551" width="15.5703125" style="42" customWidth="1"/>
    <col min="552" max="552" width="1.5703125" style="42" customWidth="1"/>
    <col min="553" max="553" width="15.5703125" style="42" customWidth="1"/>
    <col min="554" max="554" width="1.42578125" style="42" customWidth="1"/>
    <col min="555" max="555" width="15.5703125" style="42" customWidth="1"/>
    <col min="556" max="556" width="1.85546875" style="42" customWidth="1"/>
    <col min="557" max="557" width="15.5703125" style="42" customWidth="1"/>
    <col min="558" max="558" width="1.28515625" style="42" customWidth="1"/>
    <col min="559" max="559" width="15.85546875" style="42" customWidth="1"/>
    <col min="560" max="560" width="1.5703125" style="42" customWidth="1"/>
    <col min="561" max="561" width="15.5703125" style="42" customWidth="1"/>
    <col min="562" max="562" width="1.85546875" style="42" customWidth="1"/>
    <col min="563" max="563" width="15.5703125" style="42" customWidth="1"/>
    <col min="564" max="564" width="1.5703125" style="42" customWidth="1"/>
    <col min="565" max="565" width="15.5703125" style="42" customWidth="1"/>
    <col min="566" max="566" width="9.140625" style="42"/>
    <col min="567" max="567" width="15.140625" style="42" customWidth="1"/>
    <col min="568" max="769" width="9.140625" style="42"/>
    <col min="770" max="770" width="26.5703125" style="42" customWidth="1"/>
    <col min="771" max="783" width="0" style="42" hidden="1" customWidth="1"/>
    <col min="784" max="784" width="1.7109375" style="42" customWidth="1"/>
    <col min="785" max="785" width="17.42578125" style="42" customWidth="1"/>
    <col min="786" max="786" width="1.140625" style="42" customWidth="1"/>
    <col min="787" max="799" width="0" style="42" hidden="1" customWidth="1"/>
    <col min="800" max="800" width="19.85546875" style="42" customWidth="1"/>
    <col min="801" max="801" width="0" style="42" hidden="1" customWidth="1"/>
    <col min="802" max="802" width="2.85546875" style="42" customWidth="1"/>
    <col min="803" max="803" width="15.5703125" style="42" customWidth="1"/>
    <col min="804" max="804" width="2" style="42" customWidth="1"/>
    <col min="805" max="805" width="15.5703125" style="42" customWidth="1"/>
    <col min="806" max="806" width="1.7109375" style="42" customWidth="1"/>
    <col min="807" max="807" width="15.5703125" style="42" customWidth="1"/>
    <col min="808" max="808" width="1.5703125" style="42" customWidth="1"/>
    <col min="809" max="809" width="15.5703125" style="42" customWidth="1"/>
    <col min="810" max="810" width="1.42578125" style="42" customWidth="1"/>
    <col min="811" max="811" width="15.5703125" style="42" customWidth="1"/>
    <col min="812" max="812" width="1.85546875" style="42" customWidth="1"/>
    <col min="813" max="813" width="15.5703125" style="42" customWidth="1"/>
    <col min="814" max="814" width="1.28515625" style="42" customWidth="1"/>
    <col min="815" max="815" width="15.85546875" style="42" customWidth="1"/>
    <col min="816" max="816" width="1.5703125" style="42" customWidth="1"/>
    <col min="817" max="817" width="15.5703125" style="42" customWidth="1"/>
    <col min="818" max="818" width="1.85546875" style="42" customWidth="1"/>
    <col min="819" max="819" width="15.5703125" style="42" customWidth="1"/>
    <col min="820" max="820" width="1.5703125" style="42" customWidth="1"/>
    <col min="821" max="821" width="15.5703125" style="42" customWidth="1"/>
    <col min="822" max="822" width="9.140625" style="42"/>
    <col min="823" max="823" width="15.140625" style="42" customWidth="1"/>
    <col min="824" max="1025" width="9.140625" style="42"/>
    <col min="1026" max="1026" width="26.5703125" style="42" customWidth="1"/>
    <col min="1027" max="1039" width="0" style="42" hidden="1" customWidth="1"/>
    <col min="1040" max="1040" width="1.7109375" style="42" customWidth="1"/>
    <col min="1041" max="1041" width="17.42578125" style="42" customWidth="1"/>
    <col min="1042" max="1042" width="1.140625" style="42" customWidth="1"/>
    <col min="1043" max="1055" width="0" style="42" hidden="1" customWidth="1"/>
    <col min="1056" max="1056" width="19.85546875" style="42" customWidth="1"/>
    <col min="1057" max="1057" width="0" style="42" hidden="1" customWidth="1"/>
    <col min="1058" max="1058" width="2.85546875" style="42" customWidth="1"/>
    <col min="1059" max="1059" width="15.5703125" style="42" customWidth="1"/>
    <col min="1060" max="1060" width="2" style="42" customWidth="1"/>
    <col min="1061" max="1061" width="15.5703125" style="42" customWidth="1"/>
    <col min="1062" max="1062" width="1.7109375" style="42" customWidth="1"/>
    <col min="1063" max="1063" width="15.5703125" style="42" customWidth="1"/>
    <col min="1064" max="1064" width="1.5703125" style="42" customWidth="1"/>
    <col min="1065" max="1065" width="15.5703125" style="42" customWidth="1"/>
    <col min="1066" max="1066" width="1.42578125" style="42" customWidth="1"/>
    <col min="1067" max="1067" width="15.5703125" style="42" customWidth="1"/>
    <col min="1068" max="1068" width="1.85546875" style="42" customWidth="1"/>
    <col min="1069" max="1069" width="15.5703125" style="42" customWidth="1"/>
    <col min="1070" max="1070" width="1.28515625" style="42" customWidth="1"/>
    <col min="1071" max="1071" width="15.85546875" style="42" customWidth="1"/>
    <col min="1072" max="1072" width="1.5703125" style="42" customWidth="1"/>
    <col min="1073" max="1073" width="15.5703125" style="42" customWidth="1"/>
    <col min="1074" max="1074" width="1.85546875" style="42" customWidth="1"/>
    <col min="1075" max="1075" width="15.5703125" style="42" customWidth="1"/>
    <col min="1076" max="1076" width="1.5703125" style="42" customWidth="1"/>
    <col min="1077" max="1077" width="15.5703125" style="42" customWidth="1"/>
    <col min="1078" max="1078" width="9.140625" style="42"/>
    <col min="1079" max="1079" width="15.140625" style="42" customWidth="1"/>
    <col min="1080" max="1281" width="9.140625" style="42"/>
    <col min="1282" max="1282" width="26.5703125" style="42" customWidth="1"/>
    <col min="1283" max="1295" width="0" style="42" hidden="1" customWidth="1"/>
    <col min="1296" max="1296" width="1.7109375" style="42" customWidth="1"/>
    <col min="1297" max="1297" width="17.42578125" style="42" customWidth="1"/>
    <col min="1298" max="1298" width="1.140625" style="42" customWidth="1"/>
    <col min="1299" max="1311" width="0" style="42" hidden="1" customWidth="1"/>
    <col min="1312" max="1312" width="19.85546875" style="42" customWidth="1"/>
    <col min="1313" max="1313" width="0" style="42" hidden="1" customWidth="1"/>
    <col min="1314" max="1314" width="2.85546875" style="42" customWidth="1"/>
    <col min="1315" max="1315" width="15.5703125" style="42" customWidth="1"/>
    <col min="1316" max="1316" width="2" style="42" customWidth="1"/>
    <col min="1317" max="1317" width="15.5703125" style="42" customWidth="1"/>
    <col min="1318" max="1318" width="1.7109375" style="42" customWidth="1"/>
    <col min="1319" max="1319" width="15.5703125" style="42" customWidth="1"/>
    <col min="1320" max="1320" width="1.5703125" style="42" customWidth="1"/>
    <col min="1321" max="1321" width="15.5703125" style="42" customWidth="1"/>
    <col min="1322" max="1322" width="1.42578125" style="42" customWidth="1"/>
    <col min="1323" max="1323" width="15.5703125" style="42" customWidth="1"/>
    <col min="1324" max="1324" width="1.85546875" style="42" customWidth="1"/>
    <col min="1325" max="1325" width="15.5703125" style="42" customWidth="1"/>
    <col min="1326" max="1326" width="1.28515625" style="42" customWidth="1"/>
    <col min="1327" max="1327" width="15.85546875" style="42" customWidth="1"/>
    <col min="1328" max="1328" width="1.5703125" style="42" customWidth="1"/>
    <col min="1329" max="1329" width="15.5703125" style="42" customWidth="1"/>
    <col min="1330" max="1330" width="1.85546875" style="42" customWidth="1"/>
    <col min="1331" max="1331" width="15.5703125" style="42" customWidth="1"/>
    <col min="1332" max="1332" width="1.5703125" style="42" customWidth="1"/>
    <col min="1333" max="1333" width="15.5703125" style="42" customWidth="1"/>
    <col min="1334" max="1334" width="9.140625" style="42"/>
    <col min="1335" max="1335" width="15.140625" style="42" customWidth="1"/>
    <col min="1336" max="1537" width="9.140625" style="42"/>
    <col min="1538" max="1538" width="26.5703125" style="42" customWidth="1"/>
    <col min="1539" max="1551" width="0" style="42" hidden="1" customWidth="1"/>
    <col min="1552" max="1552" width="1.7109375" style="42" customWidth="1"/>
    <col min="1553" max="1553" width="17.42578125" style="42" customWidth="1"/>
    <col min="1554" max="1554" width="1.140625" style="42" customWidth="1"/>
    <col min="1555" max="1567" width="0" style="42" hidden="1" customWidth="1"/>
    <col min="1568" max="1568" width="19.85546875" style="42" customWidth="1"/>
    <col min="1569" max="1569" width="0" style="42" hidden="1" customWidth="1"/>
    <col min="1570" max="1570" width="2.85546875" style="42" customWidth="1"/>
    <col min="1571" max="1571" width="15.5703125" style="42" customWidth="1"/>
    <col min="1572" max="1572" width="2" style="42" customWidth="1"/>
    <col min="1573" max="1573" width="15.5703125" style="42" customWidth="1"/>
    <col min="1574" max="1574" width="1.7109375" style="42" customWidth="1"/>
    <col min="1575" max="1575" width="15.5703125" style="42" customWidth="1"/>
    <col min="1576" max="1576" width="1.5703125" style="42" customWidth="1"/>
    <col min="1577" max="1577" width="15.5703125" style="42" customWidth="1"/>
    <col min="1578" max="1578" width="1.42578125" style="42" customWidth="1"/>
    <col min="1579" max="1579" width="15.5703125" style="42" customWidth="1"/>
    <col min="1580" max="1580" width="1.85546875" style="42" customWidth="1"/>
    <col min="1581" max="1581" width="15.5703125" style="42" customWidth="1"/>
    <col min="1582" max="1582" width="1.28515625" style="42" customWidth="1"/>
    <col min="1583" max="1583" width="15.85546875" style="42" customWidth="1"/>
    <col min="1584" max="1584" width="1.5703125" style="42" customWidth="1"/>
    <col min="1585" max="1585" width="15.5703125" style="42" customWidth="1"/>
    <col min="1586" max="1586" width="1.85546875" style="42" customWidth="1"/>
    <col min="1587" max="1587" width="15.5703125" style="42" customWidth="1"/>
    <col min="1588" max="1588" width="1.5703125" style="42" customWidth="1"/>
    <col min="1589" max="1589" width="15.5703125" style="42" customWidth="1"/>
    <col min="1590" max="1590" width="9.140625" style="42"/>
    <col min="1591" max="1591" width="15.140625" style="42" customWidth="1"/>
    <col min="1592" max="1793" width="9.140625" style="42"/>
    <col min="1794" max="1794" width="26.5703125" style="42" customWidth="1"/>
    <col min="1795" max="1807" width="0" style="42" hidden="1" customWidth="1"/>
    <col min="1808" max="1808" width="1.7109375" style="42" customWidth="1"/>
    <col min="1809" max="1809" width="17.42578125" style="42" customWidth="1"/>
    <col min="1810" max="1810" width="1.140625" style="42" customWidth="1"/>
    <col min="1811" max="1823" width="0" style="42" hidden="1" customWidth="1"/>
    <col min="1824" max="1824" width="19.85546875" style="42" customWidth="1"/>
    <col min="1825" max="1825" width="0" style="42" hidden="1" customWidth="1"/>
    <col min="1826" max="1826" width="2.85546875" style="42" customWidth="1"/>
    <col min="1827" max="1827" width="15.5703125" style="42" customWidth="1"/>
    <col min="1828" max="1828" width="2" style="42" customWidth="1"/>
    <col min="1829" max="1829" width="15.5703125" style="42" customWidth="1"/>
    <col min="1830" max="1830" width="1.7109375" style="42" customWidth="1"/>
    <col min="1831" max="1831" width="15.5703125" style="42" customWidth="1"/>
    <col min="1832" max="1832" width="1.5703125" style="42" customWidth="1"/>
    <col min="1833" max="1833" width="15.5703125" style="42" customWidth="1"/>
    <col min="1834" max="1834" width="1.42578125" style="42" customWidth="1"/>
    <col min="1835" max="1835" width="15.5703125" style="42" customWidth="1"/>
    <col min="1836" max="1836" width="1.85546875" style="42" customWidth="1"/>
    <col min="1837" max="1837" width="15.5703125" style="42" customWidth="1"/>
    <col min="1838" max="1838" width="1.28515625" style="42" customWidth="1"/>
    <col min="1839" max="1839" width="15.85546875" style="42" customWidth="1"/>
    <col min="1840" max="1840" width="1.5703125" style="42" customWidth="1"/>
    <col min="1841" max="1841" width="15.5703125" style="42" customWidth="1"/>
    <col min="1842" max="1842" width="1.85546875" style="42" customWidth="1"/>
    <col min="1843" max="1843" width="15.5703125" style="42" customWidth="1"/>
    <col min="1844" max="1844" width="1.5703125" style="42" customWidth="1"/>
    <col min="1845" max="1845" width="15.5703125" style="42" customWidth="1"/>
    <col min="1846" max="1846" width="9.140625" style="42"/>
    <col min="1847" max="1847" width="15.140625" style="42" customWidth="1"/>
    <col min="1848" max="2049" width="9.140625" style="42"/>
    <col min="2050" max="2050" width="26.5703125" style="42" customWidth="1"/>
    <col min="2051" max="2063" width="0" style="42" hidden="1" customWidth="1"/>
    <col min="2064" max="2064" width="1.7109375" style="42" customWidth="1"/>
    <col min="2065" max="2065" width="17.42578125" style="42" customWidth="1"/>
    <col min="2066" max="2066" width="1.140625" style="42" customWidth="1"/>
    <col min="2067" max="2079" width="0" style="42" hidden="1" customWidth="1"/>
    <col min="2080" max="2080" width="19.85546875" style="42" customWidth="1"/>
    <col min="2081" max="2081" width="0" style="42" hidden="1" customWidth="1"/>
    <col min="2082" max="2082" width="2.85546875" style="42" customWidth="1"/>
    <col min="2083" max="2083" width="15.5703125" style="42" customWidth="1"/>
    <col min="2084" max="2084" width="2" style="42" customWidth="1"/>
    <col min="2085" max="2085" width="15.5703125" style="42" customWidth="1"/>
    <col min="2086" max="2086" width="1.7109375" style="42" customWidth="1"/>
    <col min="2087" max="2087" width="15.5703125" style="42" customWidth="1"/>
    <col min="2088" max="2088" width="1.5703125" style="42" customWidth="1"/>
    <col min="2089" max="2089" width="15.5703125" style="42" customWidth="1"/>
    <col min="2090" max="2090" width="1.42578125" style="42" customWidth="1"/>
    <col min="2091" max="2091" width="15.5703125" style="42" customWidth="1"/>
    <col min="2092" max="2092" width="1.85546875" style="42" customWidth="1"/>
    <col min="2093" max="2093" width="15.5703125" style="42" customWidth="1"/>
    <col min="2094" max="2094" width="1.28515625" style="42" customWidth="1"/>
    <col min="2095" max="2095" width="15.85546875" style="42" customWidth="1"/>
    <col min="2096" max="2096" width="1.5703125" style="42" customWidth="1"/>
    <col min="2097" max="2097" width="15.5703125" style="42" customWidth="1"/>
    <col min="2098" max="2098" width="1.85546875" style="42" customWidth="1"/>
    <col min="2099" max="2099" width="15.5703125" style="42" customWidth="1"/>
    <col min="2100" max="2100" width="1.5703125" style="42" customWidth="1"/>
    <col min="2101" max="2101" width="15.5703125" style="42" customWidth="1"/>
    <col min="2102" max="2102" width="9.140625" style="42"/>
    <col min="2103" max="2103" width="15.140625" style="42" customWidth="1"/>
    <col min="2104" max="2305" width="9.140625" style="42"/>
    <col min="2306" max="2306" width="26.5703125" style="42" customWidth="1"/>
    <col min="2307" max="2319" width="0" style="42" hidden="1" customWidth="1"/>
    <col min="2320" max="2320" width="1.7109375" style="42" customWidth="1"/>
    <col min="2321" max="2321" width="17.42578125" style="42" customWidth="1"/>
    <col min="2322" max="2322" width="1.140625" style="42" customWidth="1"/>
    <col min="2323" max="2335" width="0" style="42" hidden="1" customWidth="1"/>
    <col min="2336" max="2336" width="19.85546875" style="42" customWidth="1"/>
    <col min="2337" max="2337" width="0" style="42" hidden="1" customWidth="1"/>
    <col min="2338" max="2338" width="2.85546875" style="42" customWidth="1"/>
    <col min="2339" max="2339" width="15.5703125" style="42" customWidth="1"/>
    <col min="2340" max="2340" width="2" style="42" customWidth="1"/>
    <col min="2341" max="2341" width="15.5703125" style="42" customWidth="1"/>
    <col min="2342" max="2342" width="1.7109375" style="42" customWidth="1"/>
    <col min="2343" max="2343" width="15.5703125" style="42" customWidth="1"/>
    <col min="2344" max="2344" width="1.5703125" style="42" customWidth="1"/>
    <col min="2345" max="2345" width="15.5703125" style="42" customWidth="1"/>
    <col min="2346" max="2346" width="1.42578125" style="42" customWidth="1"/>
    <col min="2347" max="2347" width="15.5703125" style="42" customWidth="1"/>
    <col min="2348" max="2348" width="1.85546875" style="42" customWidth="1"/>
    <col min="2349" max="2349" width="15.5703125" style="42" customWidth="1"/>
    <col min="2350" max="2350" width="1.28515625" style="42" customWidth="1"/>
    <col min="2351" max="2351" width="15.85546875" style="42" customWidth="1"/>
    <col min="2352" max="2352" width="1.5703125" style="42" customWidth="1"/>
    <col min="2353" max="2353" width="15.5703125" style="42" customWidth="1"/>
    <col min="2354" max="2354" width="1.85546875" style="42" customWidth="1"/>
    <col min="2355" max="2355" width="15.5703125" style="42" customWidth="1"/>
    <col min="2356" max="2356" width="1.5703125" style="42" customWidth="1"/>
    <col min="2357" max="2357" width="15.5703125" style="42" customWidth="1"/>
    <col min="2358" max="2358" width="9.140625" style="42"/>
    <col min="2359" max="2359" width="15.140625" style="42" customWidth="1"/>
    <col min="2360" max="2561" width="9.140625" style="42"/>
    <col min="2562" max="2562" width="26.5703125" style="42" customWidth="1"/>
    <col min="2563" max="2575" width="0" style="42" hidden="1" customWidth="1"/>
    <col min="2576" max="2576" width="1.7109375" style="42" customWidth="1"/>
    <col min="2577" max="2577" width="17.42578125" style="42" customWidth="1"/>
    <col min="2578" max="2578" width="1.140625" style="42" customWidth="1"/>
    <col min="2579" max="2591" width="0" style="42" hidden="1" customWidth="1"/>
    <col min="2592" max="2592" width="19.85546875" style="42" customWidth="1"/>
    <col min="2593" max="2593" width="0" style="42" hidden="1" customWidth="1"/>
    <col min="2594" max="2594" width="2.85546875" style="42" customWidth="1"/>
    <col min="2595" max="2595" width="15.5703125" style="42" customWidth="1"/>
    <col min="2596" max="2596" width="2" style="42" customWidth="1"/>
    <col min="2597" max="2597" width="15.5703125" style="42" customWidth="1"/>
    <col min="2598" max="2598" width="1.7109375" style="42" customWidth="1"/>
    <col min="2599" max="2599" width="15.5703125" style="42" customWidth="1"/>
    <col min="2600" max="2600" width="1.5703125" style="42" customWidth="1"/>
    <col min="2601" max="2601" width="15.5703125" style="42" customWidth="1"/>
    <col min="2602" max="2602" width="1.42578125" style="42" customWidth="1"/>
    <col min="2603" max="2603" width="15.5703125" style="42" customWidth="1"/>
    <col min="2604" max="2604" width="1.85546875" style="42" customWidth="1"/>
    <col min="2605" max="2605" width="15.5703125" style="42" customWidth="1"/>
    <col min="2606" max="2606" width="1.28515625" style="42" customWidth="1"/>
    <col min="2607" max="2607" width="15.85546875" style="42" customWidth="1"/>
    <col min="2608" max="2608" width="1.5703125" style="42" customWidth="1"/>
    <col min="2609" max="2609" width="15.5703125" style="42" customWidth="1"/>
    <col min="2610" max="2610" width="1.85546875" style="42" customWidth="1"/>
    <col min="2611" max="2611" width="15.5703125" style="42" customWidth="1"/>
    <col min="2612" max="2612" width="1.5703125" style="42" customWidth="1"/>
    <col min="2613" max="2613" width="15.5703125" style="42" customWidth="1"/>
    <col min="2614" max="2614" width="9.140625" style="42"/>
    <col min="2615" max="2615" width="15.140625" style="42" customWidth="1"/>
    <col min="2616" max="2817" width="9.140625" style="42"/>
    <col min="2818" max="2818" width="26.5703125" style="42" customWidth="1"/>
    <col min="2819" max="2831" width="0" style="42" hidden="1" customWidth="1"/>
    <col min="2832" max="2832" width="1.7109375" style="42" customWidth="1"/>
    <col min="2833" max="2833" width="17.42578125" style="42" customWidth="1"/>
    <col min="2834" max="2834" width="1.140625" style="42" customWidth="1"/>
    <col min="2835" max="2847" width="0" style="42" hidden="1" customWidth="1"/>
    <col min="2848" max="2848" width="19.85546875" style="42" customWidth="1"/>
    <col min="2849" max="2849" width="0" style="42" hidden="1" customWidth="1"/>
    <col min="2850" max="2850" width="2.85546875" style="42" customWidth="1"/>
    <col min="2851" max="2851" width="15.5703125" style="42" customWidth="1"/>
    <col min="2852" max="2852" width="2" style="42" customWidth="1"/>
    <col min="2853" max="2853" width="15.5703125" style="42" customWidth="1"/>
    <col min="2854" max="2854" width="1.7109375" style="42" customWidth="1"/>
    <col min="2855" max="2855" width="15.5703125" style="42" customWidth="1"/>
    <col min="2856" max="2856" width="1.5703125" style="42" customWidth="1"/>
    <col min="2857" max="2857" width="15.5703125" style="42" customWidth="1"/>
    <col min="2858" max="2858" width="1.42578125" style="42" customWidth="1"/>
    <col min="2859" max="2859" width="15.5703125" style="42" customWidth="1"/>
    <col min="2860" max="2860" width="1.85546875" style="42" customWidth="1"/>
    <col min="2861" max="2861" width="15.5703125" style="42" customWidth="1"/>
    <col min="2862" max="2862" width="1.28515625" style="42" customWidth="1"/>
    <col min="2863" max="2863" width="15.85546875" style="42" customWidth="1"/>
    <col min="2864" max="2864" width="1.5703125" style="42" customWidth="1"/>
    <col min="2865" max="2865" width="15.5703125" style="42" customWidth="1"/>
    <col min="2866" max="2866" width="1.85546875" style="42" customWidth="1"/>
    <col min="2867" max="2867" width="15.5703125" style="42" customWidth="1"/>
    <col min="2868" max="2868" width="1.5703125" style="42" customWidth="1"/>
    <col min="2869" max="2869" width="15.5703125" style="42" customWidth="1"/>
    <col min="2870" max="2870" width="9.140625" style="42"/>
    <col min="2871" max="2871" width="15.140625" style="42" customWidth="1"/>
    <col min="2872" max="3073" width="9.140625" style="42"/>
    <col min="3074" max="3074" width="26.5703125" style="42" customWidth="1"/>
    <col min="3075" max="3087" width="0" style="42" hidden="1" customWidth="1"/>
    <col min="3088" max="3088" width="1.7109375" style="42" customWidth="1"/>
    <col min="3089" max="3089" width="17.42578125" style="42" customWidth="1"/>
    <col min="3090" max="3090" width="1.140625" style="42" customWidth="1"/>
    <col min="3091" max="3103" width="0" style="42" hidden="1" customWidth="1"/>
    <col min="3104" max="3104" width="19.85546875" style="42" customWidth="1"/>
    <col min="3105" max="3105" width="0" style="42" hidden="1" customWidth="1"/>
    <col min="3106" max="3106" width="2.85546875" style="42" customWidth="1"/>
    <col min="3107" max="3107" width="15.5703125" style="42" customWidth="1"/>
    <col min="3108" max="3108" width="2" style="42" customWidth="1"/>
    <col min="3109" max="3109" width="15.5703125" style="42" customWidth="1"/>
    <col min="3110" max="3110" width="1.7109375" style="42" customWidth="1"/>
    <col min="3111" max="3111" width="15.5703125" style="42" customWidth="1"/>
    <col min="3112" max="3112" width="1.5703125" style="42" customWidth="1"/>
    <col min="3113" max="3113" width="15.5703125" style="42" customWidth="1"/>
    <col min="3114" max="3114" width="1.42578125" style="42" customWidth="1"/>
    <col min="3115" max="3115" width="15.5703125" style="42" customWidth="1"/>
    <col min="3116" max="3116" width="1.85546875" style="42" customWidth="1"/>
    <col min="3117" max="3117" width="15.5703125" style="42" customWidth="1"/>
    <col min="3118" max="3118" width="1.28515625" style="42" customWidth="1"/>
    <col min="3119" max="3119" width="15.85546875" style="42" customWidth="1"/>
    <col min="3120" max="3120" width="1.5703125" style="42" customWidth="1"/>
    <col min="3121" max="3121" width="15.5703125" style="42" customWidth="1"/>
    <col min="3122" max="3122" width="1.85546875" style="42" customWidth="1"/>
    <col min="3123" max="3123" width="15.5703125" style="42" customWidth="1"/>
    <col min="3124" max="3124" width="1.5703125" style="42" customWidth="1"/>
    <col min="3125" max="3125" width="15.5703125" style="42" customWidth="1"/>
    <col min="3126" max="3126" width="9.140625" style="42"/>
    <col min="3127" max="3127" width="15.140625" style="42" customWidth="1"/>
    <col min="3128" max="3329" width="9.140625" style="42"/>
    <col min="3330" max="3330" width="26.5703125" style="42" customWidth="1"/>
    <col min="3331" max="3343" width="0" style="42" hidden="1" customWidth="1"/>
    <col min="3344" max="3344" width="1.7109375" style="42" customWidth="1"/>
    <col min="3345" max="3345" width="17.42578125" style="42" customWidth="1"/>
    <col min="3346" max="3346" width="1.140625" style="42" customWidth="1"/>
    <col min="3347" max="3359" width="0" style="42" hidden="1" customWidth="1"/>
    <col min="3360" max="3360" width="19.85546875" style="42" customWidth="1"/>
    <col min="3361" max="3361" width="0" style="42" hidden="1" customWidth="1"/>
    <col min="3362" max="3362" width="2.85546875" style="42" customWidth="1"/>
    <col min="3363" max="3363" width="15.5703125" style="42" customWidth="1"/>
    <col min="3364" max="3364" width="2" style="42" customWidth="1"/>
    <col min="3365" max="3365" width="15.5703125" style="42" customWidth="1"/>
    <col min="3366" max="3366" width="1.7109375" style="42" customWidth="1"/>
    <col min="3367" max="3367" width="15.5703125" style="42" customWidth="1"/>
    <col min="3368" max="3368" width="1.5703125" style="42" customWidth="1"/>
    <col min="3369" max="3369" width="15.5703125" style="42" customWidth="1"/>
    <col min="3370" max="3370" width="1.42578125" style="42" customWidth="1"/>
    <col min="3371" max="3371" width="15.5703125" style="42" customWidth="1"/>
    <col min="3372" max="3372" width="1.85546875" style="42" customWidth="1"/>
    <col min="3373" max="3373" width="15.5703125" style="42" customWidth="1"/>
    <col min="3374" max="3374" width="1.28515625" style="42" customWidth="1"/>
    <col min="3375" max="3375" width="15.85546875" style="42" customWidth="1"/>
    <col min="3376" max="3376" width="1.5703125" style="42" customWidth="1"/>
    <col min="3377" max="3377" width="15.5703125" style="42" customWidth="1"/>
    <col min="3378" max="3378" width="1.85546875" style="42" customWidth="1"/>
    <col min="3379" max="3379" width="15.5703125" style="42" customWidth="1"/>
    <col min="3380" max="3380" width="1.5703125" style="42" customWidth="1"/>
    <col min="3381" max="3381" width="15.5703125" style="42" customWidth="1"/>
    <col min="3382" max="3382" width="9.140625" style="42"/>
    <col min="3383" max="3383" width="15.140625" style="42" customWidth="1"/>
    <col min="3384" max="3585" width="9.140625" style="42"/>
    <col min="3586" max="3586" width="26.5703125" style="42" customWidth="1"/>
    <col min="3587" max="3599" width="0" style="42" hidden="1" customWidth="1"/>
    <col min="3600" max="3600" width="1.7109375" style="42" customWidth="1"/>
    <col min="3601" max="3601" width="17.42578125" style="42" customWidth="1"/>
    <col min="3602" max="3602" width="1.140625" style="42" customWidth="1"/>
    <col min="3603" max="3615" width="0" style="42" hidden="1" customWidth="1"/>
    <col min="3616" max="3616" width="19.85546875" style="42" customWidth="1"/>
    <col min="3617" max="3617" width="0" style="42" hidden="1" customWidth="1"/>
    <col min="3618" max="3618" width="2.85546875" style="42" customWidth="1"/>
    <col min="3619" max="3619" width="15.5703125" style="42" customWidth="1"/>
    <col min="3620" max="3620" width="2" style="42" customWidth="1"/>
    <col min="3621" max="3621" width="15.5703125" style="42" customWidth="1"/>
    <col min="3622" max="3622" width="1.7109375" style="42" customWidth="1"/>
    <col min="3623" max="3623" width="15.5703125" style="42" customWidth="1"/>
    <col min="3624" max="3624" width="1.5703125" style="42" customWidth="1"/>
    <col min="3625" max="3625" width="15.5703125" style="42" customWidth="1"/>
    <col min="3626" max="3626" width="1.42578125" style="42" customWidth="1"/>
    <col min="3627" max="3627" width="15.5703125" style="42" customWidth="1"/>
    <col min="3628" max="3628" width="1.85546875" style="42" customWidth="1"/>
    <col min="3629" max="3629" width="15.5703125" style="42" customWidth="1"/>
    <col min="3630" max="3630" width="1.28515625" style="42" customWidth="1"/>
    <col min="3631" max="3631" width="15.85546875" style="42" customWidth="1"/>
    <col min="3632" max="3632" width="1.5703125" style="42" customWidth="1"/>
    <col min="3633" max="3633" width="15.5703125" style="42" customWidth="1"/>
    <col min="3634" max="3634" width="1.85546875" style="42" customWidth="1"/>
    <col min="3635" max="3635" width="15.5703125" style="42" customWidth="1"/>
    <col min="3636" max="3636" width="1.5703125" style="42" customWidth="1"/>
    <col min="3637" max="3637" width="15.5703125" style="42" customWidth="1"/>
    <col min="3638" max="3638" width="9.140625" style="42"/>
    <col min="3639" max="3639" width="15.140625" style="42" customWidth="1"/>
    <col min="3640" max="3841" width="9.140625" style="42"/>
    <col min="3842" max="3842" width="26.5703125" style="42" customWidth="1"/>
    <col min="3843" max="3855" width="0" style="42" hidden="1" customWidth="1"/>
    <col min="3856" max="3856" width="1.7109375" style="42" customWidth="1"/>
    <col min="3857" max="3857" width="17.42578125" style="42" customWidth="1"/>
    <col min="3858" max="3858" width="1.140625" style="42" customWidth="1"/>
    <col min="3859" max="3871" width="0" style="42" hidden="1" customWidth="1"/>
    <col min="3872" max="3872" width="19.85546875" style="42" customWidth="1"/>
    <col min="3873" max="3873" width="0" style="42" hidden="1" customWidth="1"/>
    <col min="3874" max="3874" width="2.85546875" style="42" customWidth="1"/>
    <col min="3875" max="3875" width="15.5703125" style="42" customWidth="1"/>
    <col min="3876" max="3876" width="2" style="42" customWidth="1"/>
    <col min="3877" max="3877" width="15.5703125" style="42" customWidth="1"/>
    <col min="3878" max="3878" width="1.7109375" style="42" customWidth="1"/>
    <col min="3879" max="3879" width="15.5703125" style="42" customWidth="1"/>
    <col min="3880" max="3880" width="1.5703125" style="42" customWidth="1"/>
    <col min="3881" max="3881" width="15.5703125" style="42" customWidth="1"/>
    <col min="3882" max="3882" width="1.42578125" style="42" customWidth="1"/>
    <col min="3883" max="3883" width="15.5703125" style="42" customWidth="1"/>
    <col min="3884" max="3884" width="1.85546875" style="42" customWidth="1"/>
    <col min="3885" max="3885" width="15.5703125" style="42" customWidth="1"/>
    <col min="3886" max="3886" width="1.28515625" style="42" customWidth="1"/>
    <col min="3887" max="3887" width="15.85546875" style="42" customWidth="1"/>
    <col min="3888" max="3888" width="1.5703125" style="42" customWidth="1"/>
    <col min="3889" max="3889" width="15.5703125" style="42" customWidth="1"/>
    <col min="3890" max="3890" width="1.85546875" style="42" customWidth="1"/>
    <col min="3891" max="3891" width="15.5703125" style="42" customWidth="1"/>
    <col min="3892" max="3892" width="1.5703125" style="42" customWidth="1"/>
    <col min="3893" max="3893" width="15.5703125" style="42" customWidth="1"/>
    <col min="3894" max="3894" width="9.140625" style="42"/>
    <col min="3895" max="3895" width="15.140625" style="42" customWidth="1"/>
    <col min="3896" max="4097" width="9.140625" style="42"/>
    <col min="4098" max="4098" width="26.5703125" style="42" customWidth="1"/>
    <col min="4099" max="4111" width="0" style="42" hidden="1" customWidth="1"/>
    <col min="4112" max="4112" width="1.7109375" style="42" customWidth="1"/>
    <col min="4113" max="4113" width="17.42578125" style="42" customWidth="1"/>
    <col min="4114" max="4114" width="1.140625" style="42" customWidth="1"/>
    <col min="4115" max="4127" width="0" style="42" hidden="1" customWidth="1"/>
    <col min="4128" max="4128" width="19.85546875" style="42" customWidth="1"/>
    <col min="4129" max="4129" width="0" style="42" hidden="1" customWidth="1"/>
    <col min="4130" max="4130" width="2.85546875" style="42" customWidth="1"/>
    <col min="4131" max="4131" width="15.5703125" style="42" customWidth="1"/>
    <col min="4132" max="4132" width="2" style="42" customWidth="1"/>
    <col min="4133" max="4133" width="15.5703125" style="42" customWidth="1"/>
    <col min="4134" max="4134" width="1.7109375" style="42" customWidth="1"/>
    <col min="4135" max="4135" width="15.5703125" style="42" customWidth="1"/>
    <col min="4136" max="4136" width="1.5703125" style="42" customWidth="1"/>
    <col min="4137" max="4137" width="15.5703125" style="42" customWidth="1"/>
    <col min="4138" max="4138" width="1.42578125" style="42" customWidth="1"/>
    <col min="4139" max="4139" width="15.5703125" style="42" customWidth="1"/>
    <col min="4140" max="4140" width="1.85546875" style="42" customWidth="1"/>
    <col min="4141" max="4141" width="15.5703125" style="42" customWidth="1"/>
    <col min="4142" max="4142" width="1.28515625" style="42" customWidth="1"/>
    <col min="4143" max="4143" width="15.85546875" style="42" customWidth="1"/>
    <col min="4144" max="4144" width="1.5703125" style="42" customWidth="1"/>
    <col min="4145" max="4145" width="15.5703125" style="42" customWidth="1"/>
    <col min="4146" max="4146" width="1.85546875" style="42" customWidth="1"/>
    <col min="4147" max="4147" width="15.5703125" style="42" customWidth="1"/>
    <col min="4148" max="4148" width="1.5703125" style="42" customWidth="1"/>
    <col min="4149" max="4149" width="15.5703125" style="42" customWidth="1"/>
    <col min="4150" max="4150" width="9.140625" style="42"/>
    <col min="4151" max="4151" width="15.140625" style="42" customWidth="1"/>
    <col min="4152" max="4353" width="9.140625" style="42"/>
    <col min="4354" max="4354" width="26.5703125" style="42" customWidth="1"/>
    <col min="4355" max="4367" width="0" style="42" hidden="1" customWidth="1"/>
    <col min="4368" max="4368" width="1.7109375" style="42" customWidth="1"/>
    <col min="4369" max="4369" width="17.42578125" style="42" customWidth="1"/>
    <col min="4370" max="4370" width="1.140625" style="42" customWidth="1"/>
    <col min="4371" max="4383" width="0" style="42" hidden="1" customWidth="1"/>
    <col min="4384" max="4384" width="19.85546875" style="42" customWidth="1"/>
    <col min="4385" max="4385" width="0" style="42" hidden="1" customWidth="1"/>
    <col min="4386" max="4386" width="2.85546875" style="42" customWidth="1"/>
    <col min="4387" max="4387" width="15.5703125" style="42" customWidth="1"/>
    <col min="4388" max="4388" width="2" style="42" customWidth="1"/>
    <col min="4389" max="4389" width="15.5703125" style="42" customWidth="1"/>
    <col min="4390" max="4390" width="1.7109375" style="42" customWidth="1"/>
    <col min="4391" max="4391" width="15.5703125" style="42" customWidth="1"/>
    <col min="4392" max="4392" width="1.5703125" style="42" customWidth="1"/>
    <col min="4393" max="4393" width="15.5703125" style="42" customWidth="1"/>
    <col min="4394" max="4394" width="1.42578125" style="42" customWidth="1"/>
    <col min="4395" max="4395" width="15.5703125" style="42" customWidth="1"/>
    <col min="4396" max="4396" width="1.85546875" style="42" customWidth="1"/>
    <col min="4397" max="4397" width="15.5703125" style="42" customWidth="1"/>
    <col min="4398" max="4398" width="1.28515625" style="42" customWidth="1"/>
    <col min="4399" max="4399" width="15.85546875" style="42" customWidth="1"/>
    <col min="4400" max="4400" width="1.5703125" style="42" customWidth="1"/>
    <col min="4401" max="4401" width="15.5703125" style="42" customWidth="1"/>
    <col min="4402" max="4402" width="1.85546875" style="42" customWidth="1"/>
    <col min="4403" max="4403" width="15.5703125" style="42" customWidth="1"/>
    <col min="4404" max="4404" width="1.5703125" style="42" customWidth="1"/>
    <col min="4405" max="4405" width="15.5703125" style="42" customWidth="1"/>
    <col min="4406" max="4406" width="9.140625" style="42"/>
    <col min="4407" max="4407" width="15.140625" style="42" customWidth="1"/>
    <col min="4408" max="4609" width="9.140625" style="42"/>
    <col min="4610" max="4610" width="26.5703125" style="42" customWidth="1"/>
    <col min="4611" max="4623" width="0" style="42" hidden="1" customWidth="1"/>
    <col min="4624" max="4624" width="1.7109375" style="42" customWidth="1"/>
    <col min="4625" max="4625" width="17.42578125" style="42" customWidth="1"/>
    <col min="4626" max="4626" width="1.140625" style="42" customWidth="1"/>
    <col min="4627" max="4639" width="0" style="42" hidden="1" customWidth="1"/>
    <col min="4640" max="4640" width="19.85546875" style="42" customWidth="1"/>
    <col min="4641" max="4641" width="0" style="42" hidden="1" customWidth="1"/>
    <col min="4642" max="4642" width="2.85546875" style="42" customWidth="1"/>
    <col min="4643" max="4643" width="15.5703125" style="42" customWidth="1"/>
    <col min="4644" max="4644" width="2" style="42" customWidth="1"/>
    <col min="4645" max="4645" width="15.5703125" style="42" customWidth="1"/>
    <col min="4646" max="4646" width="1.7109375" style="42" customWidth="1"/>
    <col min="4647" max="4647" width="15.5703125" style="42" customWidth="1"/>
    <col min="4648" max="4648" width="1.5703125" style="42" customWidth="1"/>
    <col min="4649" max="4649" width="15.5703125" style="42" customWidth="1"/>
    <col min="4650" max="4650" width="1.42578125" style="42" customWidth="1"/>
    <col min="4651" max="4651" width="15.5703125" style="42" customWidth="1"/>
    <col min="4652" max="4652" width="1.85546875" style="42" customWidth="1"/>
    <col min="4653" max="4653" width="15.5703125" style="42" customWidth="1"/>
    <col min="4654" max="4654" width="1.28515625" style="42" customWidth="1"/>
    <col min="4655" max="4655" width="15.85546875" style="42" customWidth="1"/>
    <col min="4656" max="4656" width="1.5703125" style="42" customWidth="1"/>
    <col min="4657" max="4657" width="15.5703125" style="42" customWidth="1"/>
    <col min="4658" max="4658" width="1.85546875" style="42" customWidth="1"/>
    <col min="4659" max="4659" width="15.5703125" style="42" customWidth="1"/>
    <col min="4660" max="4660" width="1.5703125" style="42" customWidth="1"/>
    <col min="4661" max="4661" width="15.5703125" style="42" customWidth="1"/>
    <col min="4662" max="4662" width="9.140625" style="42"/>
    <col min="4663" max="4663" width="15.140625" style="42" customWidth="1"/>
    <col min="4664" max="4865" width="9.140625" style="42"/>
    <col min="4866" max="4866" width="26.5703125" style="42" customWidth="1"/>
    <col min="4867" max="4879" width="0" style="42" hidden="1" customWidth="1"/>
    <col min="4880" max="4880" width="1.7109375" style="42" customWidth="1"/>
    <col min="4881" max="4881" width="17.42578125" style="42" customWidth="1"/>
    <col min="4882" max="4882" width="1.140625" style="42" customWidth="1"/>
    <col min="4883" max="4895" width="0" style="42" hidden="1" customWidth="1"/>
    <col min="4896" max="4896" width="19.85546875" style="42" customWidth="1"/>
    <col min="4897" max="4897" width="0" style="42" hidden="1" customWidth="1"/>
    <col min="4898" max="4898" width="2.85546875" style="42" customWidth="1"/>
    <col min="4899" max="4899" width="15.5703125" style="42" customWidth="1"/>
    <col min="4900" max="4900" width="2" style="42" customWidth="1"/>
    <col min="4901" max="4901" width="15.5703125" style="42" customWidth="1"/>
    <col min="4902" max="4902" width="1.7109375" style="42" customWidth="1"/>
    <col min="4903" max="4903" width="15.5703125" style="42" customWidth="1"/>
    <col min="4904" max="4904" width="1.5703125" style="42" customWidth="1"/>
    <col min="4905" max="4905" width="15.5703125" style="42" customWidth="1"/>
    <col min="4906" max="4906" width="1.42578125" style="42" customWidth="1"/>
    <col min="4907" max="4907" width="15.5703125" style="42" customWidth="1"/>
    <col min="4908" max="4908" width="1.85546875" style="42" customWidth="1"/>
    <col min="4909" max="4909" width="15.5703125" style="42" customWidth="1"/>
    <col min="4910" max="4910" width="1.28515625" style="42" customWidth="1"/>
    <col min="4911" max="4911" width="15.85546875" style="42" customWidth="1"/>
    <col min="4912" max="4912" width="1.5703125" style="42" customWidth="1"/>
    <col min="4913" max="4913" width="15.5703125" style="42" customWidth="1"/>
    <col min="4914" max="4914" width="1.85546875" style="42" customWidth="1"/>
    <col min="4915" max="4915" width="15.5703125" style="42" customWidth="1"/>
    <col min="4916" max="4916" width="1.5703125" style="42" customWidth="1"/>
    <col min="4917" max="4917" width="15.5703125" style="42" customWidth="1"/>
    <col min="4918" max="4918" width="9.140625" style="42"/>
    <col min="4919" max="4919" width="15.140625" style="42" customWidth="1"/>
    <col min="4920" max="5121" width="9.140625" style="42"/>
    <col min="5122" max="5122" width="26.5703125" style="42" customWidth="1"/>
    <col min="5123" max="5135" width="0" style="42" hidden="1" customWidth="1"/>
    <col min="5136" max="5136" width="1.7109375" style="42" customWidth="1"/>
    <col min="5137" max="5137" width="17.42578125" style="42" customWidth="1"/>
    <col min="5138" max="5138" width="1.140625" style="42" customWidth="1"/>
    <col min="5139" max="5151" width="0" style="42" hidden="1" customWidth="1"/>
    <col min="5152" max="5152" width="19.85546875" style="42" customWidth="1"/>
    <col min="5153" max="5153" width="0" style="42" hidden="1" customWidth="1"/>
    <col min="5154" max="5154" width="2.85546875" style="42" customWidth="1"/>
    <col min="5155" max="5155" width="15.5703125" style="42" customWidth="1"/>
    <col min="5156" max="5156" width="2" style="42" customWidth="1"/>
    <col min="5157" max="5157" width="15.5703125" style="42" customWidth="1"/>
    <col min="5158" max="5158" width="1.7109375" style="42" customWidth="1"/>
    <col min="5159" max="5159" width="15.5703125" style="42" customWidth="1"/>
    <col min="5160" max="5160" width="1.5703125" style="42" customWidth="1"/>
    <col min="5161" max="5161" width="15.5703125" style="42" customWidth="1"/>
    <col min="5162" max="5162" width="1.42578125" style="42" customWidth="1"/>
    <col min="5163" max="5163" width="15.5703125" style="42" customWidth="1"/>
    <col min="5164" max="5164" width="1.85546875" style="42" customWidth="1"/>
    <col min="5165" max="5165" width="15.5703125" style="42" customWidth="1"/>
    <col min="5166" max="5166" width="1.28515625" style="42" customWidth="1"/>
    <col min="5167" max="5167" width="15.85546875" style="42" customWidth="1"/>
    <col min="5168" max="5168" width="1.5703125" style="42" customWidth="1"/>
    <col min="5169" max="5169" width="15.5703125" style="42" customWidth="1"/>
    <col min="5170" max="5170" width="1.85546875" style="42" customWidth="1"/>
    <col min="5171" max="5171" width="15.5703125" style="42" customWidth="1"/>
    <col min="5172" max="5172" width="1.5703125" style="42" customWidth="1"/>
    <col min="5173" max="5173" width="15.5703125" style="42" customWidth="1"/>
    <col min="5174" max="5174" width="9.140625" style="42"/>
    <col min="5175" max="5175" width="15.140625" style="42" customWidth="1"/>
    <col min="5176" max="5377" width="9.140625" style="42"/>
    <col min="5378" max="5378" width="26.5703125" style="42" customWidth="1"/>
    <col min="5379" max="5391" width="0" style="42" hidden="1" customWidth="1"/>
    <col min="5392" max="5392" width="1.7109375" style="42" customWidth="1"/>
    <col min="5393" max="5393" width="17.42578125" style="42" customWidth="1"/>
    <col min="5394" max="5394" width="1.140625" style="42" customWidth="1"/>
    <col min="5395" max="5407" width="0" style="42" hidden="1" customWidth="1"/>
    <col min="5408" max="5408" width="19.85546875" style="42" customWidth="1"/>
    <col min="5409" max="5409" width="0" style="42" hidden="1" customWidth="1"/>
    <col min="5410" max="5410" width="2.85546875" style="42" customWidth="1"/>
    <col min="5411" max="5411" width="15.5703125" style="42" customWidth="1"/>
    <col min="5412" max="5412" width="2" style="42" customWidth="1"/>
    <col min="5413" max="5413" width="15.5703125" style="42" customWidth="1"/>
    <col min="5414" max="5414" width="1.7109375" style="42" customWidth="1"/>
    <col min="5415" max="5415" width="15.5703125" style="42" customWidth="1"/>
    <col min="5416" max="5416" width="1.5703125" style="42" customWidth="1"/>
    <col min="5417" max="5417" width="15.5703125" style="42" customWidth="1"/>
    <col min="5418" max="5418" width="1.42578125" style="42" customWidth="1"/>
    <col min="5419" max="5419" width="15.5703125" style="42" customWidth="1"/>
    <col min="5420" max="5420" width="1.85546875" style="42" customWidth="1"/>
    <col min="5421" max="5421" width="15.5703125" style="42" customWidth="1"/>
    <col min="5422" max="5422" width="1.28515625" style="42" customWidth="1"/>
    <col min="5423" max="5423" width="15.85546875" style="42" customWidth="1"/>
    <col min="5424" max="5424" width="1.5703125" style="42" customWidth="1"/>
    <col min="5425" max="5425" width="15.5703125" style="42" customWidth="1"/>
    <col min="5426" max="5426" width="1.85546875" style="42" customWidth="1"/>
    <col min="5427" max="5427" width="15.5703125" style="42" customWidth="1"/>
    <col min="5428" max="5428" width="1.5703125" style="42" customWidth="1"/>
    <col min="5429" max="5429" width="15.5703125" style="42" customWidth="1"/>
    <col min="5430" max="5430" width="9.140625" style="42"/>
    <col min="5431" max="5431" width="15.140625" style="42" customWidth="1"/>
    <col min="5432" max="5633" width="9.140625" style="42"/>
    <col min="5634" max="5634" width="26.5703125" style="42" customWidth="1"/>
    <col min="5635" max="5647" width="0" style="42" hidden="1" customWidth="1"/>
    <col min="5648" max="5648" width="1.7109375" style="42" customWidth="1"/>
    <col min="5649" max="5649" width="17.42578125" style="42" customWidth="1"/>
    <col min="5650" max="5650" width="1.140625" style="42" customWidth="1"/>
    <col min="5651" max="5663" width="0" style="42" hidden="1" customWidth="1"/>
    <col min="5664" max="5664" width="19.85546875" style="42" customWidth="1"/>
    <col min="5665" max="5665" width="0" style="42" hidden="1" customWidth="1"/>
    <col min="5666" max="5666" width="2.85546875" style="42" customWidth="1"/>
    <col min="5667" max="5667" width="15.5703125" style="42" customWidth="1"/>
    <col min="5668" max="5668" width="2" style="42" customWidth="1"/>
    <col min="5669" max="5669" width="15.5703125" style="42" customWidth="1"/>
    <col min="5670" max="5670" width="1.7109375" style="42" customWidth="1"/>
    <col min="5671" max="5671" width="15.5703125" style="42" customWidth="1"/>
    <col min="5672" max="5672" width="1.5703125" style="42" customWidth="1"/>
    <col min="5673" max="5673" width="15.5703125" style="42" customWidth="1"/>
    <col min="5674" max="5674" width="1.42578125" style="42" customWidth="1"/>
    <col min="5675" max="5675" width="15.5703125" style="42" customWidth="1"/>
    <col min="5676" max="5676" width="1.85546875" style="42" customWidth="1"/>
    <col min="5677" max="5677" width="15.5703125" style="42" customWidth="1"/>
    <col min="5678" max="5678" width="1.28515625" style="42" customWidth="1"/>
    <col min="5679" max="5679" width="15.85546875" style="42" customWidth="1"/>
    <col min="5680" max="5680" width="1.5703125" style="42" customWidth="1"/>
    <col min="5681" max="5681" width="15.5703125" style="42" customWidth="1"/>
    <col min="5682" max="5682" width="1.85546875" style="42" customWidth="1"/>
    <col min="5683" max="5683" width="15.5703125" style="42" customWidth="1"/>
    <col min="5684" max="5684" width="1.5703125" style="42" customWidth="1"/>
    <col min="5685" max="5685" width="15.5703125" style="42" customWidth="1"/>
    <col min="5686" max="5686" width="9.140625" style="42"/>
    <col min="5687" max="5687" width="15.140625" style="42" customWidth="1"/>
    <col min="5688" max="5889" width="9.140625" style="42"/>
    <col min="5890" max="5890" width="26.5703125" style="42" customWidth="1"/>
    <col min="5891" max="5903" width="0" style="42" hidden="1" customWidth="1"/>
    <col min="5904" max="5904" width="1.7109375" style="42" customWidth="1"/>
    <col min="5905" max="5905" width="17.42578125" style="42" customWidth="1"/>
    <col min="5906" max="5906" width="1.140625" style="42" customWidth="1"/>
    <col min="5907" max="5919" width="0" style="42" hidden="1" customWidth="1"/>
    <col min="5920" max="5920" width="19.85546875" style="42" customWidth="1"/>
    <col min="5921" max="5921" width="0" style="42" hidden="1" customWidth="1"/>
    <col min="5922" max="5922" width="2.85546875" style="42" customWidth="1"/>
    <col min="5923" max="5923" width="15.5703125" style="42" customWidth="1"/>
    <col min="5924" max="5924" width="2" style="42" customWidth="1"/>
    <col min="5925" max="5925" width="15.5703125" style="42" customWidth="1"/>
    <col min="5926" max="5926" width="1.7109375" style="42" customWidth="1"/>
    <col min="5927" max="5927" width="15.5703125" style="42" customWidth="1"/>
    <col min="5928" max="5928" width="1.5703125" style="42" customWidth="1"/>
    <col min="5929" max="5929" width="15.5703125" style="42" customWidth="1"/>
    <col min="5930" max="5930" width="1.42578125" style="42" customWidth="1"/>
    <col min="5931" max="5931" width="15.5703125" style="42" customWidth="1"/>
    <col min="5932" max="5932" width="1.85546875" style="42" customWidth="1"/>
    <col min="5933" max="5933" width="15.5703125" style="42" customWidth="1"/>
    <col min="5934" max="5934" width="1.28515625" style="42" customWidth="1"/>
    <col min="5935" max="5935" width="15.85546875" style="42" customWidth="1"/>
    <col min="5936" max="5936" width="1.5703125" style="42" customWidth="1"/>
    <col min="5937" max="5937" width="15.5703125" style="42" customWidth="1"/>
    <col min="5938" max="5938" width="1.85546875" style="42" customWidth="1"/>
    <col min="5939" max="5939" width="15.5703125" style="42" customWidth="1"/>
    <col min="5940" max="5940" width="1.5703125" style="42" customWidth="1"/>
    <col min="5941" max="5941" width="15.5703125" style="42" customWidth="1"/>
    <col min="5942" max="5942" width="9.140625" style="42"/>
    <col min="5943" max="5943" width="15.140625" style="42" customWidth="1"/>
    <col min="5944" max="6145" width="9.140625" style="42"/>
    <col min="6146" max="6146" width="26.5703125" style="42" customWidth="1"/>
    <col min="6147" max="6159" width="0" style="42" hidden="1" customWidth="1"/>
    <col min="6160" max="6160" width="1.7109375" style="42" customWidth="1"/>
    <col min="6161" max="6161" width="17.42578125" style="42" customWidth="1"/>
    <col min="6162" max="6162" width="1.140625" style="42" customWidth="1"/>
    <col min="6163" max="6175" width="0" style="42" hidden="1" customWidth="1"/>
    <col min="6176" max="6176" width="19.85546875" style="42" customWidth="1"/>
    <col min="6177" max="6177" width="0" style="42" hidden="1" customWidth="1"/>
    <col min="6178" max="6178" width="2.85546875" style="42" customWidth="1"/>
    <col min="6179" max="6179" width="15.5703125" style="42" customWidth="1"/>
    <col min="6180" max="6180" width="2" style="42" customWidth="1"/>
    <col min="6181" max="6181" width="15.5703125" style="42" customWidth="1"/>
    <col min="6182" max="6182" width="1.7109375" style="42" customWidth="1"/>
    <col min="6183" max="6183" width="15.5703125" style="42" customWidth="1"/>
    <col min="6184" max="6184" width="1.5703125" style="42" customWidth="1"/>
    <col min="6185" max="6185" width="15.5703125" style="42" customWidth="1"/>
    <col min="6186" max="6186" width="1.42578125" style="42" customWidth="1"/>
    <col min="6187" max="6187" width="15.5703125" style="42" customWidth="1"/>
    <col min="6188" max="6188" width="1.85546875" style="42" customWidth="1"/>
    <col min="6189" max="6189" width="15.5703125" style="42" customWidth="1"/>
    <col min="6190" max="6190" width="1.28515625" style="42" customWidth="1"/>
    <col min="6191" max="6191" width="15.85546875" style="42" customWidth="1"/>
    <col min="6192" max="6192" width="1.5703125" style="42" customWidth="1"/>
    <col min="6193" max="6193" width="15.5703125" style="42" customWidth="1"/>
    <col min="6194" max="6194" width="1.85546875" style="42" customWidth="1"/>
    <col min="6195" max="6195" width="15.5703125" style="42" customWidth="1"/>
    <col min="6196" max="6196" width="1.5703125" style="42" customWidth="1"/>
    <col min="6197" max="6197" width="15.5703125" style="42" customWidth="1"/>
    <col min="6198" max="6198" width="9.140625" style="42"/>
    <col min="6199" max="6199" width="15.140625" style="42" customWidth="1"/>
    <col min="6200" max="6401" width="9.140625" style="42"/>
    <col min="6402" max="6402" width="26.5703125" style="42" customWidth="1"/>
    <col min="6403" max="6415" width="0" style="42" hidden="1" customWidth="1"/>
    <col min="6416" max="6416" width="1.7109375" style="42" customWidth="1"/>
    <col min="6417" max="6417" width="17.42578125" style="42" customWidth="1"/>
    <col min="6418" max="6418" width="1.140625" style="42" customWidth="1"/>
    <col min="6419" max="6431" width="0" style="42" hidden="1" customWidth="1"/>
    <col min="6432" max="6432" width="19.85546875" style="42" customWidth="1"/>
    <col min="6433" max="6433" width="0" style="42" hidden="1" customWidth="1"/>
    <col min="6434" max="6434" width="2.85546875" style="42" customWidth="1"/>
    <col min="6435" max="6435" width="15.5703125" style="42" customWidth="1"/>
    <col min="6436" max="6436" width="2" style="42" customWidth="1"/>
    <col min="6437" max="6437" width="15.5703125" style="42" customWidth="1"/>
    <col min="6438" max="6438" width="1.7109375" style="42" customWidth="1"/>
    <col min="6439" max="6439" width="15.5703125" style="42" customWidth="1"/>
    <col min="6440" max="6440" width="1.5703125" style="42" customWidth="1"/>
    <col min="6441" max="6441" width="15.5703125" style="42" customWidth="1"/>
    <col min="6442" max="6442" width="1.42578125" style="42" customWidth="1"/>
    <col min="6443" max="6443" width="15.5703125" style="42" customWidth="1"/>
    <col min="6444" max="6444" width="1.85546875" style="42" customWidth="1"/>
    <col min="6445" max="6445" width="15.5703125" style="42" customWidth="1"/>
    <col min="6446" max="6446" width="1.28515625" style="42" customWidth="1"/>
    <col min="6447" max="6447" width="15.85546875" style="42" customWidth="1"/>
    <col min="6448" max="6448" width="1.5703125" style="42" customWidth="1"/>
    <col min="6449" max="6449" width="15.5703125" style="42" customWidth="1"/>
    <col min="6450" max="6450" width="1.85546875" style="42" customWidth="1"/>
    <col min="6451" max="6451" width="15.5703125" style="42" customWidth="1"/>
    <col min="6452" max="6452" width="1.5703125" style="42" customWidth="1"/>
    <col min="6453" max="6453" width="15.5703125" style="42" customWidth="1"/>
    <col min="6454" max="6454" width="9.140625" style="42"/>
    <col min="6455" max="6455" width="15.140625" style="42" customWidth="1"/>
    <col min="6456" max="6657" width="9.140625" style="42"/>
    <col min="6658" max="6658" width="26.5703125" style="42" customWidth="1"/>
    <col min="6659" max="6671" width="0" style="42" hidden="1" customWidth="1"/>
    <col min="6672" max="6672" width="1.7109375" style="42" customWidth="1"/>
    <col min="6673" max="6673" width="17.42578125" style="42" customWidth="1"/>
    <col min="6674" max="6674" width="1.140625" style="42" customWidth="1"/>
    <col min="6675" max="6687" width="0" style="42" hidden="1" customWidth="1"/>
    <col min="6688" max="6688" width="19.85546875" style="42" customWidth="1"/>
    <col min="6689" max="6689" width="0" style="42" hidden="1" customWidth="1"/>
    <col min="6690" max="6690" width="2.85546875" style="42" customWidth="1"/>
    <col min="6691" max="6691" width="15.5703125" style="42" customWidth="1"/>
    <col min="6692" max="6692" width="2" style="42" customWidth="1"/>
    <col min="6693" max="6693" width="15.5703125" style="42" customWidth="1"/>
    <col min="6694" max="6694" width="1.7109375" style="42" customWidth="1"/>
    <col min="6695" max="6695" width="15.5703125" style="42" customWidth="1"/>
    <col min="6696" max="6696" width="1.5703125" style="42" customWidth="1"/>
    <col min="6697" max="6697" width="15.5703125" style="42" customWidth="1"/>
    <col min="6698" max="6698" width="1.42578125" style="42" customWidth="1"/>
    <col min="6699" max="6699" width="15.5703125" style="42" customWidth="1"/>
    <col min="6700" max="6700" width="1.85546875" style="42" customWidth="1"/>
    <col min="6701" max="6701" width="15.5703125" style="42" customWidth="1"/>
    <col min="6702" max="6702" width="1.28515625" style="42" customWidth="1"/>
    <col min="6703" max="6703" width="15.85546875" style="42" customWidth="1"/>
    <col min="6704" max="6704" width="1.5703125" style="42" customWidth="1"/>
    <col min="6705" max="6705" width="15.5703125" style="42" customWidth="1"/>
    <col min="6706" max="6706" width="1.85546875" style="42" customWidth="1"/>
    <col min="6707" max="6707" width="15.5703125" style="42" customWidth="1"/>
    <col min="6708" max="6708" width="1.5703125" style="42" customWidth="1"/>
    <col min="6709" max="6709" width="15.5703125" style="42" customWidth="1"/>
    <col min="6710" max="6710" width="9.140625" style="42"/>
    <col min="6711" max="6711" width="15.140625" style="42" customWidth="1"/>
    <col min="6712" max="6913" width="9.140625" style="42"/>
    <col min="6914" max="6914" width="26.5703125" style="42" customWidth="1"/>
    <col min="6915" max="6927" width="0" style="42" hidden="1" customWidth="1"/>
    <col min="6928" max="6928" width="1.7109375" style="42" customWidth="1"/>
    <col min="6929" max="6929" width="17.42578125" style="42" customWidth="1"/>
    <col min="6930" max="6930" width="1.140625" style="42" customWidth="1"/>
    <col min="6931" max="6943" width="0" style="42" hidden="1" customWidth="1"/>
    <col min="6944" max="6944" width="19.85546875" style="42" customWidth="1"/>
    <col min="6945" max="6945" width="0" style="42" hidden="1" customWidth="1"/>
    <col min="6946" max="6946" width="2.85546875" style="42" customWidth="1"/>
    <col min="6947" max="6947" width="15.5703125" style="42" customWidth="1"/>
    <col min="6948" max="6948" width="2" style="42" customWidth="1"/>
    <col min="6949" max="6949" width="15.5703125" style="42" customWidth="1"/>
    <col min="6950" max="6950" width="1.7109375" style="42" customWidth="1"/>
    <col min="6951" max="6951" width="15.5703125" style="42" customWidth="1"/>
    <col min="6952" max="6952" width="1.5703125" style="42" customWidth="1"/>
    <col min="6953" max="6953" width="15.5703125" style="42" customWidth="1"/>
    <col min="6954" max="6954" width="1.42578125" style="42" customWidth="1"/>
    <col min="6955" max="6955" width="15.5703125" style="42" customWidth="1"/>
    <col min="6956" max="6956" width="1.85546875" style="42" customWidth="1"/>
    <col min="6957" max="6957" width="15.5703125" style="42" customWidth="1"/>
    <col min="6958" max="6958" width="1.28515625" style="42" customWidth="1"/>
    <col min="6959" max="6959" width="15.85546875" style="42" customWidth="1"/>
    <col min="6960" max="6960" width="1.5703125" style="42" customWidth="1"/>
    <col min="6961" max="6961" width="15.5703125" style="42" customWidth="1"/>
    <col min="6962" max="6962" width="1.85546875" style="42" customWidth="1"/>
    <col min="6963" max="6963" width="15.5703125" style="42" customWidth="1"/>
    <col min="6964" max="6964" width="1.5703125" style="42" customWidth="1"/>
    <col min="6965" max="6965" width="15.5703125" style="42" customWidth="1"/>
    <col min="6966" max="6966" width="9.140625" style="42"/>
    <col min="6967" max="6967" width="15.140625" style="42" customWidth="1"/>
    <col min="6968" max="7169" width="9.140625" style="42"/>
    <col min="7170" max="7170" width="26.5703125" style="42" customWidth="1"/>
    <col min="7171" max="7183" width="0" style="42" hidden="1" customWidth="1"/>
    <col min="7184" max="7184" width="1.7109375" style="42" customWidth="1"/>
    <col min="7185" max="7185" width="17.42578125" style="42" customWidth="1"/>
    <col min="7186" max="7186" width="1.140625" style="42" customWidth="1"/>
    <col min="7187" max="7199" width="0" style="42" hidden="1" customWidth="1"/>
    <col min="7200" max="7200" width="19.85546875" style="42" customWidth="1"/>
    <col min="7201" max="7201" width="0" style="42" hidden="1" customWidth="1"/>
    <col min="7202" max="7202" width="2.85546875" style="42" customWidth="1"/>
    <col min="7203" max="7203" width="15.5703125" style="42" customWidth="1"/>
    <col min="7204" max="7204" width="2" style="42" customWidth="1"/>
    <col min="7205" max="7205" width="15.5703125" style="42" customWidth="1"/>
    <col min="7206" max="7206" width="1.7109375" style="42" customWidth="1"/>
    <col min="7207" max="7207" width="15.5703125" style="42" customWidth="1"/>
    <col min="7208" max="7208" width="1.5703125" style="42" customWidth="1"/>
    <col min="7209" max="7209" width="15.5703125" style="42" customWidth="1"/>
    <col min="7210" max="7210" width="1.42578125" style="42" customWidth="1"/>
    <col min="7211" max="7211" width="15.5703125" style="42" customWidth="1"/>
    <col min="7212" max="7212" width="1.85546875" style="42" customWidth="1"/>
    <col min="7213" max="7213" width="15.5703125" style="42" customWidth="1"/>
    <col min="7214" max="7214" width="1.28515625" style="42" customWidth="1"/>
    <col min="7215" max="7215" width="15.85546875" style="42" customWidth="1"/>
    <col min="7216" max="7216" width="1.5703125" style="42" customWidth="1"/>
    <col min="7217" max="7217" width="15.5703125" style="42" customWidth="1"/>
    <col min="7218" max="7218" width="1.85546875" style="42" customWidth="1"/>
    <col min="7219" max="7219" width="15.5703125" style="42" customWidth="1"/>
    <col min="7220" max="7220" width="1.5703125" style="42" customWidth="1"/>
    <col min="7221" max="7221" width="15.5703125" style="42" customWidth="1"/>
    <col min="7222" max="7222" width="9.140625" style="42"/>
    <col min="7223" max="7223" width="15.140625" style="42" customWidth="1"/>
    <col min="7224" max="7425" width="9.140625" style="42"/>
    <col min="7426" max="7426" width="26.5703125" style="42" customWidth="1"/>
    <col min="7427" max="7439" width="0" style="42" hidden="1" customWidth="1"/>
    <col min="7440" max="7440" width="1.7109375" style="42" customWidth="1"/>
    <col min="7441" max="7441" width="17.42578125" style="42" customWidth="1"/>
    <col min="7442" max="7442" width="1.140625" style="42" customWidth="1"/>
    <col min="7443" max="7455" width="0" style="42" hidden="1" customWidth="1"/>
    <col min="7456" max="7456" width="19.85546875" style="42" customWidth="1"/>
    <col min="7457" max="7457" width="0" style="42" hidden="1" customWidth="1"/>
    <col min="7458" max="7458" width="2.85546875" style="42" customWidth="1"/>
    <col min="7459" max="7459" width="15.5703125" style="42" customWidth="1"/>
    <col min="7460" max="7460" width="2" style="42" customWidth="1"/>
    <col min="7461" max="7461" width="15.5703125" style="42" customWidth="1"/>
    <col min="7462" max="7462" width="1.7109375" style="42" customWidth="1"/>
    <col min="7463" max="7463" width="15.5703125" style="42" customWidth="1"/>
    <col min="7464" max="7464" width="1.5703125" style="42" customWidth="1"/>
    <col min="7465" max="7465" width="15.5703125" style="42" customWidth="1"/>
    <col min="7466" max="7466" width="1.42578125" style="42" customWidth="1"/>
    <col min="7467" max="7467" width="15.5703125" style="42" customWidth="1"/>
    <col min="7468" max="7468" width="1.85546875" style="42" customWidth="1"/>
    <col min="7469" max="7469" width="15.5703125" style="42" customWidth="1"/>
    <col min="7470" max="7470" width="1.28515625" style="42" customWidth="1"/>
    <col min="7471" max="7471" width="15.85546875" style="42" customWidth="1"/>
    <col min="7472" max="7472" width="1.5703125" style="42" customWidth="1"/>
    <col min="7473" max="7473" width="15.5703125" style="42" customWidth="1"/>
    <col min="7474" max="7474" width="1.85546875" style="42" customWidth="1"/>
    <col min="7475" max="7475" width="15.5703125" style="42" customWidth="1"/>
    <col min="7476" max="7476" width="1.5703125" style="42" customWidth="1"/>
    <col min="7477" max="7477" width="15.5703125" style="42" customWidth="1"/>
    <col min="7478" max="7478" width="9.140625" style="42"/>
    <col min="7479" max="7479" width="15.140625" style="42" customWidth="1"/>
    <col min="7480" max="7681" width="9.140625" style="42"/>
    <col min="7682" max="7682" width="26.5703125" style="42" customWidth="1"/>
    <col min="7683" max="7695" width="0" style="42" hidden="1" customWidth="1"/>
    <col min="7696" max="7696" width="1.7109375" style="42" customWidth="1"/>
    <col min="7697" max="7697" width="17.42578125" style="42" customWidth="1"/>
    <col min="7698" max="7698" width="1.140625" style="42" customWidth="1"/>
    <col min="7699" max="7711" width="0" style="42" hidden="1" customWidth="1"/>
    <col min="7712" max="7712" width="19.85546875" style="42" customWidth="1"/>
    <col min="7713" max="7713" width="0" style="42" hidden="1" customWidth="1"/>
    <col min="7714" max="7714" width="2.85546875" style="42" customWidth="1"/>
    <col min="7715" max="7715" width="15.5703125" style="42" customWidth="1"/>
    <col min="7716" max="7716" width="2" style="42" customWidth="1"/>
    <col min="7717" max="7717" width="15.5703125" style="42" customWidth="1"/>
    <col min="7718" max="7718" width="1.7109375" style="42" customWidth="1"/>
    <col min="7719" max="7719" width="15.5703125" style="42" customWidth="1"/>
    <col min="7720" max="7720" width="1.5703125" style="42" customWidth="1"/>
    <col min="7721" max="7721" width="15.5703125" style="42" customWidth="1"/>
    <col min="7722" max="7722" width="1.42578125" style="42" customWidth="1"/>
    <col min="7723" max="7723" width="15.5703125" style="42" customWidth="1"/>
    <col min="7724" max="7724" width="1.85546875" style="42" customWidth="1"/>
    <col min="7725" max="7725" width="15.5703125" style="42" customWidth="1"/>
    <col min="7726" max="7726" width="1.28515625" style="42" customWidth="1"/>
    <col min="7727" max="7727" width="15.85546875" style="42" customWidth="1"/>
    <col min="7728" max="7728" width="1.5703125" style="42" customWidth="1"/>
    <col min="7729" max="7729" width="15.5703125" style="42" customWidth="1"/>
    <col min="7730" max="7730" width="1.85546875" style="42" customWidth="1"/>
    <col min="7731" max="7731" width="15.5703125" style="42" customWidth="1"/>
    <col min="7732" max="7732" width="1.5703125" style="42" customWidth="1"/>
    <col min="7733" max="7733" width="15.5703125" style="42" customWidth="1"/>
    <col min="7734" max="7734" width="9.140625" style="42"/>
    <col min="7735" max="7735" width="15.140625" style="42" customWidth="1"/>
    <col min="7736" max="7937" width="9.140625" style="42"/>
    <col min="7938" max="7938" width="26.5703125" style="42" customWidth="1"/>
    <col min="7939" max="7951" width="0" style="42" hidden="1" customWidth="1"/>
    <col min="7952" max="7952" width="1.7109375" style="42" customWidth="1"/>
    <col min="7953" max="7953" width="17.42578125" style="42" customWidth="1"/>
    <col min="7954" max="7954" width="1.140625" style="42" customWidth="1"/>
    <col min="7955" max="7967" width="0" style="42" hidden="1" customWidth="1"/>
    <col min="7968" max="7968" width="19.85546875" style="42" customWidth="1"/>
    <col min="7969" max="7969" width="0" style="42" hidden="1" customWidth="1"/>
    <col min="7970" max="7970" width="2.85546875" style="42" customWidth="1"/>
    <col min="7971" max="7971" width="15.5703125" style="42" customWidth="1"/>
    <col min="7972" max="7972" width="2" style="42" customWidth="1"/>
    <col min="7973" max="7973" width="15.5703125" style="42" customWidth="1"/>
    <col min="7974" max="7974" width="1.7109375" style="42" customWidth="1"/>
    <col min="7975" max="7975" width="15.5703125" style="42" customWidth="1"/>
    <col min="7976" max="7976" width="1.5703125" style="42" customWidth="1"/>
    <col min="7977" max="7977" width="15.5703125" style="42" customWidth="1"/>
    <col min="7978" max="7978" width="1.42578125" style="42" customWidth="1"/>
    <col min="7979" max="7979" width="15.5703125" style="42" customWidth="1"/>
    <col min="7980" max="7980" width="1.85546875" style="42" customWidth="1"/>
    <col min="7981" max="7981" width="15.5703125" style="42" customWidth="1"/>
    <col min="7982" max="7982" width="1.28515625" style="42" customWidth="1"/>
    <col min="7983" max="7983" width="15.85546875" style="42" customWidth="1"/>
    <col min="7984" max="7984" width="1.5703125" style="42" customWidth="1"/>
    <col min="7985" max="7985" width="15.5703125" style="42" customWidth="1"/>
    <col min="7986" max="7986" width="1.85546875" style="42" customWidth="1"/>
    <col min="7987" max="7987" width="15.5703125" style="42" customWidth="1"/>
    <col min="7988" max="7988" width="1.5703125" style="42" customWidth="1"/>
    <col min="7989" max="7989" width="15.5703125" style="42" customWidth="1"/>
    <col min="7990" max="7990" width="9.140625" style="42"/>
    <col min="7991" max="7991" width="15.140625" style="42" customWidth="1"/>
    <col min="7992" max="8193" width="9.140625" style="42"/>
    <col min="8194" max="8194" width="26.5703125" style="42" customWidth="1"/>
    <col min="8195" max="8207" width="0" style="42" hidden="1" customWidth="1"/>
    <col min="8208" max="8208" width="1.7109375" style="42" customWidth="1"/>
    <col min="8209" max="8209" width="17.42578125" style="42" customWidth="1"/>
    <col min="8210" max="8210" width="1.140625" style="42" customWidth="1"/>
    <col min="8211" max="8223" width="0" style="42" hidden="1" customWidth="1"/>
    <col min="8224" max="8224" width="19.85546875" style="42" customWidth="1"/>
    <col min="8225" max="8225" width="0" style="42" hidden="1" customWidth="1"/>
    <col min="8226" max="8226" width="2.85546875" style="42" customWidth="1"/>
    <col min="8227" max="8227" width="15.5703125" style="42" customWidth="1"/>
    <col min="8228" max="8228" width="2" style="42" customWidth="1"/>
    <col min="8229" max="8229" width="15.5703125" style="42" customWidth="1"/>
    <col min="8230" max="8230" width="1.7109375" style="42" customWidth="1"/>
    <col min="8231" max="8231" width="15.5703125" style="42" customWidth="1"/>
    <col min="8232" max="8232" width="1.5703125" style="42" customWidth="1"/>
    <col min="8233" max="8233" width="15.5703125" style="42" customWidth="1"/>
    <col min="8234" max="8234" width="1.42578125" style="42" customWidth="1"/>
    <col min="8235" max="8235" width="15.5703125" style="42" customWidth="1"/>
    <col min="8236" max="8236" width="1.85546875" style="42" customWidth="1"/>
    <col min="8237" max="8237" width="15.5703125" style="42" customWidth="1"/>
    <col min="8238" max="8238" width="1.28515625" style="42" customWidth="1"/>
    <col min="8239" max="8239" width="15.85546875" style="42" customWidth="1"/>
    <col min="8240" max="8240" width="1.5703125" style="42" customWidth="1"/>
    <col min="8241" max="8241" width="15.5703125" style="42" customWidth="1"/>
    <col min="8242" max="8242" width="1.85546875" style="42" customWidth="1"/>
    <col min="8243" max="8243" width="15.5703125" style="42" customWidth="1"/>
    <col min="8244" max="8244" width="1.5703125" style="42" customWidth="1"/>
    <col min="8245" max="8245" width="15.5703125" style="42" customWidth="1"/>
    <col min="8246" max="8246" width="9.140625" style="42"/>
    <col min="8247" max="8247" width="15.140625" style="42" customWidth="1"/>
    <col min="8248" max="8449" width="9.140625" style="42"/>
    <col min="8450" max="8450" width="26.5703125" style="42" customWidth="1"/>
    <col min="8451" max="8463" width="0" style="42" hidden="1" customWidth="1"/>
    <col min="8464" max="8464" width="1.7109375" style="42" customWidth="1"/>
    <col min="8465" max="8465" width="17.42578125" style="42" customWidth="1"/>
    <col min="8466" max="8466" width="1.140625" style="42" customWidth="1"/>
    <col min="8467" max="8479" width="0" style="42" hidden="1" customWidth="1"/>
    <col min="8480" max="8480" width="19.85546875" style="42" customWidth="1"/>
    <col min="8481" max="8481" width="0" style="42" hidden="1" customWidth="1"/>
    <col min="8482" max="8482" width="2.85546875" style="42" customWidth="1"/>
    <col min="8483" max="8483" width="15.5703125" style="42" customWidth="1"/>
    <col min="8484" max="8484" width="2" style="42" customWidth="1"/>
    <col min="8485" max="8485" width="15.5703125" style="42" customWidth="1"/>
    <col min="8486" max="8486" width="1.7109375" style="42" customWidth="1"/>
    <col min="8487" max="8487" width="15.5703125" style="42" customWidth="1"/>
    <col min="8488" max="8488" width="1.5703125" style="42" customWidth="1"/>
    <col min="8489" max="8489" width="15.5703125" style="42" customWidth="1"/>
    <col min="8490" max="8490" width="1.42578125" style="42" customWidth="1"/>
    <col min="8491" max="8491" width="15.5703125" style="42" customWidth="1"/>
    <col min="8492" max="8492" width="1.85546875" style="42" customWidth="1"/>
    <col min="8493" max="8493" width="15.5703125" style="42" customWidth="1"/>
    <col min="8494" max="8494" width="1.28515625" style="42" customWidth="1"/>
    <col min="8495" max="8495" width="15.85546875" style="42" customWidth="1"/>
    <col min="8496" max="8496" width="1.5703125" style="42" customWidth="1"/>
    <col min="8497" max="8497" width="15.5703125" style="42" customWidth="1"/>
    <col min="8498" max="8498" width="1.85546875" style="42" customWidth="1"/>
    <col min="8499" max="8499" width="15.5703125" style="42" customWidth="1"/>
    <col min="8500" max="8500" width="1.5703125" style="42" customWidth="1"/>
    <col min="8501" max="8501" width="15.5703125" style="42" customWidth="1"/>
    <col min="8502" max="8502" width="9.140625" style="42"/>
    <col min="8503" max="8503" width="15.140625" style="42" customWidth="1"/>
    <col min="8504" max="8705" width="9.140625" style="42"/>
    <col min="8706" max="8706" width="26.5703125" style="42" customWidth="1"/>
    <col min="8707" max="8719" width="0" style="42" hidden="1" customWidth="1"/>
    <col min="8720" max="8720" width="1.7109375" style="42" customWidth="1"/>
    <col min="8721" max="8721" width="17.42578125" style="42" customWidth="1"/>
    <col min="8722" max="8722" width="1.140625" style="42" customWidth="1"/>
    <col min="8723" max="8735" width="0" style="42" hidden="1" customWidth="1"/>
    <col min="8736" max="8736" width="19.85546875" style="42" customWidth="1"/>
    <col min="8737" max="8737" width="0" style="42" hidden="1" customWidth="1"/>
    <col min="8738" max="8738" width="2.85546875" style="42" customWidth="1"/>
    <col min="8739" max="8739" width="15.5703125" style="42" customWidth="1"/>
    <col min="8740" max="8740" width="2" style="42" customWidth="1"/>
    <col min="8741" max="8741" width="15.5703125" style="42" customWidth="1"/>
    <col min="8742" max="8742" width="1.7109375" style="42" customWidth="1"/>
    <col min="8743" max="8743" width="15.5703125" style="42" customWidth="1"/>
    <col min="8744" max="8744" width="1.5703125" style="42" customWidth="1"/>
    <col min="8745" max="8745" width="15.5703125" style="42" customWidth="1"/>
    <col min="8746" max="8746" width="1.42578125" style="42" customWidth="1"/>
    <col min="8747" max="8747" width="15.5703125" style="42" customWidth="1"/>
    <col min="8748" max="8748" width="1.85546875" style="42" customWidth="1"/>
    <col min="8749" max="8749" width="15.5703125" style="42" customWidth="1"/>
    <col min="8750" max="8750" width="1.28515625" style="42" customWidth="1"/>
    <col min="8751" max="8751" width="15.85546875" style="42" customWidth="1"/>
    <col min="8752" max="8752" width="1.5703125" style="42" customWidth="1"/>
    <col min="8753" max="8753" width="15.5703125" style="42" customWidth="1"/>
    <col min="8754" max="8754" width="1.85546875" style="42" customWidth="1"/>
    <col min="8755" max="8755" width="15.5703125" style="42" customWidth="1"/>
    <col min="8756" max="8756" width="1.5703125" style="42" customWidth="1"/>
    <col min="8757" max="8757" width="15.5703125" style="42" customWidth="1"/>
    <col min="8758" max="8758" width="9.140625" style="42"/>
    <col min="8759" max="8759" width="15.140625" style="42" customWidth="1"/>
    <col min="8760" max="8961" width="9.140625" style="42"/>
    <col min="8962" max="8962" width="26.5703125" style="42" customWidth="1"/>
    <col min="8963" max="8975" width="0" style="42" hidden="1" customWidth="1"/>
    <col min="8976" max="8976" width="1.7109375" style="42" customWidth="1"/>
    <col min="8977" max="8977" width="17.42578125" style="42" customWidth="1"/>
    <col min="8978" max="8978" width="1.140625" style="42" customWidth="1"/>
    <col min="8979" max="8991" width="0" style="42" hidden="1" customWidth="1"/>
    <col min="8992" max="8992" width="19.85546875" style="42" customWidth="1"/>
    <col min="8993" max="8993" width="0" style="42" hidden="1" customWidth="1"/>
    <col min="8994" max="8994" width="2.85546875" style="42" customWidth="1"/>
    <col min="8995" max="8995" width="15.5703125" style="42" customWidth="1"/>
    <col min="8996" max="8996" width="2" style="42" customWidth="1"/>
    <col min="8997" max="8997" width="15.5703125" style="42" customWidth="1"/>
    <col min="8998" max="8998" width="1.7109375" style="42" customWidth="1"/>
    <col min="8999" max="8999" width="15.5703125" style="42" customWidth="1"/>
    <col min="9000" max="9000" width="1.5703125" style="42" customWidth="1"/>
    <col min="9001" max="9001" width="15.5703125" style="42" customWidth="1"/>
    <col min="9002" max="9002" width="1.42578125" style="42" customWidth="1"/>
    <col min="9003" max="9003" width="15.5703125" style="42" customWidth="1"/>
    <col min="9004" max="9004" width="1.85546875" style="42" customWidth="1"/>
    <col min="9005" max="9005" width="15.5703125" style="42" customWidth="1"/>
    <col min="9006" max="9006" width="1.28515625" style="42" customWidth="1"/>
    <col min="9007" max="9007" width="15.85546875" style="42" customWidth="1"/>
    <col min="9008" max="9008" width="1.5703125" style="42" customWidth="1"/>
    <col min="9009" max="9009" width="15.5703125" style="42" customWidth="1"/>
    <col min="9010" max="9010" width="1.85546875" style="42" customWidth="1"/>
    <col min="9011" max="9011" width="15.5703125" style="42" customWidth="1"/>
    <col min="9012" max="9012" width="1.5703125" style="42" customWidth="1"/>
    <col min="9013" max="9013" width="15.5703125" style="42" customWidth="1"/>
    <col min="9014" max="9014" width="9.140625" style="42"/>
    <col min="9015" max="9015" width="15.140625" style="42" customWidth="1"/>
    <col min="9016" max="9217" width="9.140625" style="42"/>
    <col min="9218" max="9218" width="26.5703125" style="42" customWidth="1"/>
    <col min="9219" max="9231" width="0" style="42" hidden="1" customWidth="1"/>
    <col min="9232" max="9232" width="1.7109375" style="42" customWidth="1"/>
    <col min="9233" max="9233" width="17.42578125" style="42" customWidth="1"/>
    <col min="9234" max="9234" width="1.140625" style="42" customWidth="1"/>
    <col min="9235" max="9247" width="0" style="42" hidden="1" customWidth="1"/>
    <col min="9248" max="9248" width="19.85546875" style="42" customWidth="1"/>
    <col min="9249" max="9249" width="0" style="42" hidden="1" customWidth="1"/>
    <col min="9250" max="9250" width="2.85546875" style="42" customWidth="1"/>
    <col min="9251" max="9251" width="15.5703125" style="42" customWidth="1"/>
    <col min="9252" max="9252" width="2" style="42" customWidth="1"/>
    <col min="9253" max="9253" width="15.5703125" style="42" customWidth="1"/>
    <col min="9254" max="9254" width="1.7109375" style="42" customWidth="1"/>
    <col min="9255" max="9255" width="15.5703125" style="42" customWidth="1"/>
    <col min="9256" max="9256" width="1.5703125" style="42" customWidth="1"/>
    <col min="9257" max="9257" width="15.5703125" style="42" customWidth="1"/>
    <col min="9258" max="9258" width="1.42578125" style="42" customWidth="1"/>
    <col min="9259" max="9259" width="15.5703125" style="42" customWidth="1"/>
    <col min="9260" max="9260" width="1.85546875" style="42" customWidth="1"/>
    <col min="9261" max="9261" width="15.5703125" style="42" customWidth="1"/>
    <col min="9262" max="9262" width="1.28515625" style="42" customWidth="1"/>
    <col min="9263" max="9263" width="15.85546875" style="42" customWidth="1"/>
    <col min="9264" max="9264" width="1.5703125" style="42" customWidth="1"/>
    <col min="9265" max="9265" width="15.5703125" style="42" customWidth="1"/>
    <col min="9266" max="9266" width="1.85546875" style="42" customWidth="1"/>
    <col min="9267" max="9267" width="15.5703125" style="42" customWidth="1"/>
    <col min="9268" max="9268" width="1.5703125" style="42" customWidth="1"/>
    <col min="9269" max="9269" width="15.5703125" style="42" customWidth="1"/>
    <col min="9270" max="9270" width="9.140625" style="42"/>
    <col min="9271" max="9271" width="15.140625" style="42" customWidth="1"/>
    <col min="9272" max="9473" width="9.140625" style="42"/>
    <col min="9474" max="9474" width="26.5703125" style="42" customWidth="1"/>
    <col min="9475" max="9487" width="0" style="42" hidden="1" customWidth="1"/>
    <col min="9488" max="9488" width="1.7109375" style="42" customWidth="1"/>
    <col min="9489" max="9489" width="17.42578125" style="42" customWidth="1"/>
    <col min="9490" max="9490" width="1.140625" style="42" customWidth="1"/>
    <col min="9491" max="9503" width="0" style="42" hidden="1" customWidth="1"/>
    <col min="9504" max="9504" width="19.85546875" style="42" customWidth="1"/>
    <col min="9505" max="9505" width="0" style="42" hidden="1" customWidth="1"/>
    <col min="9506" max="9506" width="2.85546875" style="42" customWidth="1"/>
    <col min="9507" max="9507" width="15.5703125" style="42" customWidth="1"/>
    <col min="9508" max="9508" width="2" style="42" customWidth="1"/>
    <col min="9509" max="9509" width="15.5703125" style="42" customWidth="1"/>
    <col min="9510" max="9510" width="1.7109375" style="42" customWidth="1"/>
    <col min="9511" max="9511" width="15.5703125" style="42" customWidth="1"/>
    <col min="9512" max="9512" width="1.5703125" style="42" customWidth="1"/>
    <col min="9513" max="9513" width="15.5703125" style="42" customWidth="1"/>
    <col min="9514" max="9514" width="1.42578125" style="42" customWidth="1"/>
    <col min="9515" max="9515" width="15.5703125" style="42" customWidth="1"/>
    <col min="9516" max="9516" width="1.85546875" style="42" customWidth="1"/>
    <col min="9517" max="9517" width="15.5703125" style="42" customWidth="1"/>
    <col min="9518" max="9518" width="1.28515625" style="42" customWidth="1"/>
    <col min="9519" max="9519" width="15.85546875" style="42" customWidth="1"/>
    <col min="9520" max="9520" width="1.5703125" style="42" customWidth="1"/>
    <col min="9521" max="9521" width="15.5703125" style="42" customWidth="1"/>
    <col min="9522" max="9522" width="1.85546875" style="42" customWidth="1"/>
    <col min="9523" max="9523" width="15.5703125" style="42" customWidth="1"/>
    <col min="9524" max="9524" width="1.5703125" style="42" customWidth="1"/>
    <col min="9525" max="9525" width="15.5703125" style="42" customWidth="1"/>
    <col min="9526" max="9526" width="9.140625" style="42"/>
    <col min="9527" max="9527" width="15.140625" style="42" customWidth="1"/>
    <col min="9528" max="9729" width="9.140625" style="42"/>
    <col min="9730" max="9730" width="26.5703125" style="42" customWidth="1"/>
    <col min="9731" max="9743" width="0" style="42" hidden="1" customWidth="1"/>
    <col min="9744" max="9744" width="1.7109375" style="42" customWidth="1"/>
    <col min="9745" max="9745" width="17.42578125" style="42" customWidth="1"/>
    <col min="9746" max="9746" width="1.140625" style="42" customWidth="1"/>
    <col min="9747" max="9759" width="0" style="42" hidden="1" customWidth="1"/>
    <col min="9760" max="9760" width="19.85546875" style="42" customWidth="1"/>
    <col min="9761" max="9761" width="0" style="42" hidden="1" customWidth="1"/>
    <col min="9762" max="9762" width="2.85546875" style="42" customWidth="1"/>
    <col min="9763" max="9763" width="15.5703125" style="42" customWidth="1"/>
    <col min="9764" max="9764" width="2" style="42" customWidth="1"/>
    <col min="9765" max="9765" width="15.5703125" style="42" customWidth="1"/>
    <col min="9766" max="9766" width="1.7109375" style="42" customWidth="1"/>
    <col min="9767" max="9767" width="15.5703125" style="42" customWidth="1"/>
    <col min="9768" max="9768" width="1.5703125" style="42" customWidth="1"/>
    <col min="9769" max="9769" width="15.5703125" style="42" customWidth="1"/>
    <col min="9770" max="9770" width="1.42578125" style="42" customWidth="1"/>
    <col min="9771" max="9771" width="15.5703125" style="42" customWidth="1"/>
    <col min="9772" max="9772" width="1.85546875" style="42" customWidth="1"/>
    <col min="9773" max="9773" width="15.5703125" style="42" customWidth="1"/>
    <col min="9774" max="9774" width="1.28515625" style="42" customWidth="1"/>
    <col min="9775" max="9775" width="15.85546875" style="42" customWidth="1"/>
    <col min="9776" max="9776" width="1.5703125" style="42" customWidth="1"/>
    <col min="9777" max="9777" width="15.5703125" style="42" customWidth="1"/>
    <col min="9778" max="9778" width="1.85546875" style="42" customWidth="1"/>
    <col min="9779" max="9779" width="15.5703125" style="42" customWidth="1"/>
    <col min="9780" max="9780" width="1.5703125" style="42" customWidth="1"/>
    <col min="9781" max="9781" width="15.5703125" style="42" customWidth="1"/>
    <col min="9782" max="9782" width="9.140625" style="42"/>
    <col min="9783" max="9783" width="15.140625" style="42" customWidth="1"/>
    <col min="9784" max="9985" width="9.140625" style="42"/>
    <col min="9986" max="9986" width="26.5703125" style="42" customWidth="1"/>
    <col min="9987" max="9999" width="0" style="42" hidden="1" customWidth="1"/>
    <col min="10000" max="10000" width="1.7109375" style="42" customWidth="1"/>
    <col min="10001" max="10001" width="17.42578125" style="42" customWidth="1"/>
    <col min="10002" max="10002" width="1.140625" style="42" customWidth="1"/>
    <col min="10003" max="10015" width="0" style="42" hidden="1" customWidth="1"/>
    <col min="10016" max="10016" width="19.85546875" style="42" customWidth="1"/>
    <col min="10017" max="10017" width="0" style="42" hidden="1" customWidth="1"/>
    <col min="10018" max="10018" width="2.85546875" style="42" customWidth="1"/>
    <col min="10019" max="10019" width="15.5703125" style="42" customWidth="1"/>
    <col min="10020" max="10020" width="2" style="42" customWidth="1"/>
    <col min="10021" max="10021" width="15.5703125" style="42" customWidth="1"/>
    <col min="10022" max="10022" width="1.7109375" style="42" customWidth="1"/>
    <col min="10023" max="10023" width="15.5703125" style="42" customWidth="1"/>
    <col min="10024" max="10024" width="1.5703125" style="42" customWidth="1"/>
    <col min="10025" max="10025" width="15.5703125" style="42" customWidth="1"/>
    <col min="10026" max="10026" width="1.42578125" style="42" customWidth="1"/>
    <col min="10027" max="10027" width="15.5703125" style="42" customWidth="1"/>
    <col min="10028" max="10028" width="1.85546875" style="42" customWidth="1"/>
    <col min="10029" max="10029" width="15.5703125" style="42" customWidth="1"/>
    <col min="10030" max="10030" width="1.28515625" style="42" customWidth="1"/>
    <col min="10031" max="10031" width="15.85546875" style="42" customWidth="1"/>
    <col min="10032" max="10032" width="1.5703125" style="42" customWidth="1"/>
    <col min="10033" max="10033" width="15.5703125" style="42" customWidth="1"/>
    <col min="10034" max="10034" width="1.85546875" style="42" customWidth="1"/>
    <col min="10035" max="10035" width="15.5703125" style="42" customWidth="1"/>
    <col min="10036" max="10036" width="1.5703125" style="42" customWidth="1"/>
    <col min="10037" max="10037" width="15.5703125" style="42" customWidth="1"/>
    <col min="10038" max="10038" width="9.140625" style="42"/>
    <col min="10039" max="10039" width="15.140625" style="42" customWidth="1"/>
    <col min="10040" max="10241" width="9.140625" style="42"/>
    <col min="10242" max="10242" width="26.5703125" style="42" customWidth="1"/>
    <col min="10243" max="10255" width="0" style="42" hidden="1" customWidth="1"/>
    <col min="10256" max="10256" width="1.7109375" style="42" customWidth="1"/>
    <col min="10257" max="10257" width="17.42578125" style="42" customWidth="1"/>
    <col min="10258" max="10258" width="1.140625" style="42" customWidth="1"/>
    <col min="10259" max="10271" width="0" style="42" hidden="1" customWidth="1"/>
    <col min="10272" max="10272" width="19.85546875" style="42" customWidth="1"/>
    <col min="10273" max="10273" width="0" style="42" hidden="1" customWidth="1"/>
    <col min="10274" max="10274" width="2.85546875" style="42" customWidth="1"/>
    <col min="10275" max="10275" width="15.5703125" style="42" customWidth="1"/>
    <col min="10276" max="10276" width="2" style="42" customWidth="1"/>
    <col min="10277" max="10277" width="15.5703125" style="42" customWidth="1"/>
    <col min="10278" max="10278" width="1.7109375" style="42" customWidth="1"/>
    <col min="10279" max="10279" width="15.5703125" style="42" customWidth="1"/>
    <col min="10280" max="10280" width="1.5703125" style="42" customWidth="1"/>
    <col min="10281" max="10281" width="15.5703125" style="42" customWidth="1"/>
    <col min="10282" max="10282" width="1.42578125" style="42" customWidth="1"/>
    <col min="10283" max="10283" width="15.5703125" style="42" customWidth="1"/>
    <col min="10284" max="10284" width="1.85546875" style="42" customWidth="1"/>
    <col min="10285" max="10285" width="15.5703125" style="42" customWidth="1"/>
    <col min="10286" max="10286" width="1.28515625" style="42" customWidth="1"/>
    <col min="10287" max="10287" width="15.85546875" style="42" customWidth="1"/>
    <col min="10288" max="10288" width="1.5703125" style="42" customWidth="1"/>
    <col min="10289" max="10289" width="15.5703125" style="42" customWidth="1"/>
    <col min="10290" max="10290" width="1.85546875" style="42" customWidth="1"/>
    <col min="10291" max="10291" width="15.5703125" style="42" customWidth="1"/>
    <col min="10292" max="10292" width="1.5703125" style="42" customWidth="1"/>
    <col min="10293" max="10293" width="15.5703125" style="42" customWidth="1"/>
    <col min="10294" max="10294" width="9.140625" style="42"/>
    <col min="10295" max="10295" width="15.140625" style="42" customWidth="1"/>
    <col min="10296" max="10497" width="9.140625" style="42"/>
    <col min="10498" max="10498" width="26.5703125" style="42" customWidth="1"/>
    <col min="10499" max="10511" width="0" style="42" hidden="1" customWidth="1"/>
    <col min="10512" max="10512" width="1.7109375" style="42" customWidth="1"/>
    <col min="10513" max="10513" width="17.42578125" style="42" customWidth="1"/>
    <col min="10514" max="10514" width="1.140625" style="42" customWidth="1"/>
    <col min="10515" max="10527" width="0" style="42" hidden="1" customWidth="1"/>
    <col min="10528" max="10528" width="19.85546875" style="42" customWidth="1"/>
    <col min="10529" max="10529" width="0" style="42" hidden="1" customWidth="1"/>
    <col min="10530" max="10530" width="2.85546875" style="42" customWidth="1"/>
    <col min="10531" max="10531" width="15.5703125" style="42" customWidth="1"/>
    <col min="10532" max="10532" width="2" style="42" customWidth="1"/>
    <col min="10533" max="10533" width="15.5703125" style="42" customWidth="1"/>
    <col min="10534" max="10534" width="1.7109375" style="42" customWidth="1"/>
    <col min="10535" max="10535" width="15.5703125" style="42" customWidth="1"/>
    <col min="10536" max="10536" width="1.5703125" style="42" customWidth="1"/>
    <col min="10537" max="10537" width="15.5703125" style="42" customWidth="1"/>
    <col min="10538" max="10538" width="1.42578125" style="42" customWidth="1"/>
    <col min="10539" max="10539" width="15.5703125" style="42" customWidth="1"/>
    <col min="10540" max="10540" width="1.85546875" style="42" customWidth="1"/>
    <col min="10541" max="10541" width="15.5703125" style="42" customWidth="1"/>
    <col min="10542" max="10542" width="1.28515625" style="42" customWidth="1"/>
    <col min="10543" max="10543" width="15.85546875" style="42" customWidth="1"/>
    <col min="10544" max="10544" width="1.5703125" style="42" customWidth="1"/>
    <col min="10545" max="10545" width="15.5703125" style="42" customWidth="1"/>
    <col min="10546" max="10546" width="1.85546875" style="42" customWidth="1"/>
    <col min="10547" max="10547" width="15.5703125" style="42" customWidth="1"/>
    <col min="10548" max="10548" width="1.5703125" style="42" customWidth="1"/>
    <col min="10549" max="10549" width="15.5703125" style="42" customWidth="1"/>
    <col min="10550" max="10550" width="9.140625" style="42"/>
    <col min="10551" max="10551" width="15.140625" style="42" customWidth="1"/>
    <col min="10552" max="10753" width="9.140625" style="42"/>
    <col min="10754" max="10754" width="26.5703125" style="42" customWidth="1"/>
    <col min="10755" max="10767" width="0" style="42" hidden="1" customWidth="1"/>
    <col min="10768" max="10768" width="1.7109375" style="42" customWidth="1"/>
    <col min="10769" max="10769" width="17.42578125" style="42" customWidth="1"/>
    <col min="10770" max="10770" width="1.140625" style="42" customWidth="1"/>
    <col min="10771" max="10783" width="0" style="42" hidden="1" customWidth="1"/>
    <col min="10784" max="10784" width="19.85546875" style="42" customWidth="1"/>
    <col min="10785" max="10785" width="0" style="42" hidden="1" customWidth="1"/>
    <col min="10786" max="10786" width="2.85546875" style="42" customWidth="1"/>
    <col min="10787" max="10787" width="15.5703125" style="42" customWidth="1"/>
    <col min="10788" max="10788" width="2" style="42" customWidth="1"/>
    <col min="10789" max="10789" width="15.5703125" style="42" customWidth="1"/>
    <col min="10790" max="10790" width="1.7109375" style="42" customWidth="1"/>
    <col min="10791" max="10791" width="15.5703125" style="42" customWidth="1"/>
    <col min="10792" max="10792" width="1.5703125" style="42" customWidth="1"/>
    <col min="10793" max="10793" width="15.5703125" style="42" customWidth="1"/>
    <col min="10794" max="10794" width="1.42578125" style="42" customWidth="1"/>
    <col min="10795" max="10795" width="15.5703125" style="42" customWidth="1"/>
    <col min="10796" max="10796" width="1.85546875" style="42" customWidth="1"/>
    <col min="10797" max="10797" width="15.5703125" style="42" customWidth="1"/>
    <col min="10798" max="10798" width="1.28515625" style="42" customWidth="1"/>
    <col min="10799" max="10799" width="15.85546875" style="42" customWidth="1"/>
    <col min="10800" max="10800" width="1.5703125" style="42" customWidth="1"/>
    <col min="10801" max="10801" width="15.5703125" style="42" customWidth="1"/>
    <col min="10802" max="10802" width="1.85546875" style="42" customWidth="1"/>
    <col min="10803" max="10803" width="15.5703125" style="42" customWidth="1"/>
    <col min="10804" max="10804" width="1.5703125" style="42" customWidth="1"/>
    <col min="10805" max="10805" width="15.5703125" style="42" customWidth="1"/>
    <col min="10806" max="10806" width="9.140625" style="42"/>
    <col min="10807" max="10807" width="15.140625" style="42" customWidth="1"/>
    <col min="10808" max="11009" width="9.140625" style="42"/>
    <col min="11010" max="11010" width="26.5703125" style="42" customWidth="1"/>
    <col min="11011" max="11023" width="0" style="42" hidden="1" customWidth="1"/>
    <col min="11024" max="11024" width="1.7109375" style="42" customWidth="1"/>
    <col min="11025" max="11025" width="17.42578125" style="42" customWidth="1"/>
    <col min="11026" max="11026" width="1.140625" style="42" customWidth="1"/>
    <col min="11027" max="11039" width="0" style="42" hidden="1" customWidth="1"/>
    <col min="11040" max="11040" width="19.85546875" style="42" customWidth="1"/>
    <col min="11041" max="11041" width="0" style="42" hidden="1" customWidth="1"/>
    <col min="11042" max="11042" width="2.85546875" style="42" customWidth="1"/>
    <col min="11043" max="11043" width="15.5703125" style="42" customWidth="1"/>
    <col min="11044" max="11044" width="2" style="42" customWidth="1"/>
    <col min="11045" max="11045" width="15.5703125" style="42" customWidth="1"/>
    <col min="11046" max="11046" width="1.7109375" style="42" customWidth="1"/>
    <col min="11047" max="11047" width="15.5703125" style="42" customWidth="1"/>
    <col min="11048" max="11048" width="1.5703125" style="42" customWidth="1"/>
    <col min="11049" max="11049" width="15.5703125" style="42" customWidth="1"/>
    <col min="11050" max="11050" width="1.42578125" style="42" customWidth="1"/>
    <col min="11051" max="11051" width="15.5703125" style="42" customWidth="1"/>
    <col min="11052" max="11052" width="1.85546875" style="42" customWidth="1"/>
    <col min="11053" max="11053" width="15.5703125" style="42" customWidth="1"/>
    <col min="11054" max="11054" width="1.28515625" style="42" customWidth="1"/>
    <col min="11055" max="11055" width="15.85546875" style="42" customWidth="1"/>
    <col min="11056" max="11056" width="1.5703125" style="42" customWidth="1"/>
    <col min="11057" max="11057" width="15.5703125" style="42" customWidth="1"/>
    <col min="11058" max="11058" width="1.85546875" style="42" customWidth="1"/>
    <col min="11059" max="11059" width="15.5703125" style="42" customWidth="1"/>
    <col min="11060" max="11060" width="1.5703125" style="42" customWidth="1"/>
    <col min="11061" max="11061" width="15.5703125" style="42" customWidth="1"/>
    <col min="11062" max="11062" width="9.140625" style="42"/>
    <col min="11063" max="11063" width="15.140625" style="42" customWidth="1"/>
    <col min="11064" max="11265" width="9.140625" style="42"/>
    <col min="11266" max="11266" width="26.5703125" style="42" customWidth="1"/>
    <col min="11267" max="11279" width="0" style="42" hidden="1" customWidth="1"/>
    <col min="11280" max="11280" width="1.7109375" style="42" customWidth="1"/>
    <col min="11281" max="11281" width="17.42578125" style="42" customWidth="1"/>
    <col min="11282" max="11282" width="1.140625" style="42" customWidth="1"/>
    <col min="11283" max="11295" width="0" style="42" hidden="1" customWidth="1"/>
    <col min="11296" max="11296" width="19.85546875" style="42" customWidth="1"/>
    <col min="11297" max="11297" width="0" style="42" hidden="1" customWidth="1"/>
    <col min="11298" max="11298" width="2.85546875" style="42" customWidth="1"/>
    <col min="11299" max="11299" width="15.5703125" style="42" customWidth="1"/>
    <col min="11300" max="11300" width="2" style="42" customWidth="1"/>
    <col min="11301" max="11301" width="15.5703125" style="42" customWidth="1"/>
    <col min="11302" max="11302" width="1.7109375" style="42" customWidth="1"/>
    <col min="11303" max="11303" width="15.5703125" style="42" customWidth="1"/>
    <col min="11304" max="11304" width="1.5703125" style="42" customWidth="1"/>
    <col min="11305" max="11305" width="15.5703125" style="42" customWidth="1"/>
    <col min="11306" max="11306" width="1.42578125" style="42" customWidth="1"/>
    <col min="11307" max="11307" width="15.5703125" style="42" customWidth="1"/>
    <col min="11308" max="11308" width="1.85546875" style="42" customWidth="1"/>
    <col min="11309" max="11309" width="15.5703125" style="42" customWidth="1"/>
    <col min="11310" max="11310" width="1.28515625" style="42" customWidth="1"/>
    <col min="11311" max="11311" width="15.85546875" style="42" customWidth="1"/>
    <col min="11312" max="11312" width="1.5703125" style="42" customWidth="1"/>
    <col min="11313" max="11313" width="15.5703125" style="42" customWidth="1"/>
    <col min="11314" max="11314" width="1.85546875" style="42" customWidth="1"/>
    <col min="11315" max="11315" width="15.5703125" style="42" customWidth="1"/>
    <col min="11316" max="11316" width="1.5703125" style="42" customWidth="1"/>
    <col min="11317" max="11317" width="15.5703125" style="42" customWidth="1"/>
    <col min="11318" max="11318" width="9.140625" style="42"/>
    <col min="11319" max="11319" width="15.140625" style="42" customWidth="1"/>
    <col min="11320" max="11521" width="9.140625" style="42"/>
    <col min="11522" max="11522" width="26.5703125" style="42" customWidth="1"/>
    <col min="11523" max="11535" width="0" style="42" hidden="1" customWidth="1"/>
    <col min="11536" max="11536" width="1.7109375" style="42" customWidth="1"/>
    <col min="11537" max="11537" width="17.42578125" style="42" customWidth="1"/>
    <col min="11538" max="11538" width="1.140625" style="42" customWidth="1"/>
    <col min="11539" max="11551" width="0" style="42" hidden="1" customWidth="1"/>
    <col min="11552" max="11552" width="19.85546875" style="42" customWidth="1"/>
    <col min="11553" max="11553" width="0" style="42" hidden="1" customWidth="1"/>
    <col min="11554" max="11554" width="2.85546875" style="42" customWidth="1"/>
    <col min="11555" max="11555" width="15.5703125" style="42" customWidth="1"/>
    <col min="11556" max="11556" width="2" style="42" customWidth="1"/>
    <col min="11557" max="11557" width="15.5703125" style="42" customWidth="1"/>
    <col min="11558" max="11558" width="1.7109375" style="42" customWidth="1"/>
    <col min="11559" max="11559" width="15.5703125" style="42" customWidth="1"/>
    <col min="11560" max="11560" width="1.5703125" style="42" customWidth="1"/>
    <col min="11561" max="11561" width="15.5703125" style="42" customWidth="1"/>
    <col min="11562" max="11562" width="1.42578125" style="42" customWidth="1"/>
    <col min="11563" max="11563" width="15.5703125" style="42" customWidth="1"/>
    <col min="11564" max="11564" width="1.85546875" style="42" customWidth="1"/>
    <col min="11565" max="11565" width="15.5703125" style="42" customWidth="1"/>
    <col min="11566" max="11566" width="1.28515625" style="42" customWidth="1"/>
    <col min="11567" max="11567" width="15.85546875" style="42" customWidth="1"/>
    <col min="11568" max="11568" width="1.5703125" style="42" customWidth="1"/>
    <col min="11569" max="11569" width="15.5703125" style="42" customWidth="1"/>
    <col min="11570" max="11570" width="1.85546875" style="42" customWidth="1"/>
    <col min="11571" max="11571" width="15.5703125" style="42" customWidth="1"/>
    <col min="11572" max="11572" width="1.5703125" style="42" customWidth="1"/>
    <col min="11573" max="11573" width="15.5703125" style="42" customWidth="1"/>
    <col min="11574" max="11574" width="9.140625" style="42"/>
    <col min="11575" max="11575" width="15.140625" style="42" customWidth="1"/>
    <col min="11576" max="11777" width="9.140625" style="42"/>
    <col min="11778" max="11778" width="26.5703125" style="42" customWidth="1"/>
    <col min="11779" max="11791" width="0" style="42" hidden="1" customWidth="1"/>
    <col min="11792" max="11792" width="1.7109375" style="42" customWidth="1"/>
    <col min="11793" max="11793" width="17.42578125" style="42" customWidth="1"/>
    <col min="11794" max="11794" width="1.140625" style="42" customWidth="1"/>
    <col min="11795" max="11807" width="0" style="42" hidden="1" customWidth="1"/>
    <col min="11808" max="11808" width="19.85546875" style="42" customWidth="1"/>
    <col min="11809" max="11809" width="0" style="42" hidden="1" customWidth="1"/>
    <col min="11810" max="11810" width="2.85546875" style="42" customWidth="1"/>
    <col min="11811" max="11811" width="15.5703125" style="42" customWidth="1"/>
    <col min="11812" max="11812" width="2" style="42" customWidth="1"/>
    <col min="11813" max="11813" width="15.5703125" style="42" customWidth="1"/>
    <col min="11814" max="11814" width="1.7109375" style="42" customWidth="1"/>
    <col min="11815" max="11815" width="15.5703125" style="42" customWidth="1"/>
    <col min="11816" max="11816" width="1.5703125" style="42" customWidth="1"/>
    <col min="11817" max="11817" width="15.5703125" style="42" customWidth="1"/>
    <col min="11818" max="11818" width="1.42578125" style="42" customWidth="1"/>
    <col min="11819" max="11819" width="15.5703125" style="42" customWidth="1"/>
    <col min="11820" max="11820" width="1.85546875" style="42" customWidth="1"/>
    <col min="11821" max="11821" width="15.5703125" style="42" customWidth="1"/>
    <col min="11822" max="11822" width="1.28515625" style="42" customWidth="1"/>
    <col min="11823" max="11823" width="15.85546875" style="42" customWidth="1"/>
    <col min="11824" max="11824" width="1.5703125" style="42" customWidth="1"/>
    <col min="11825" max="11825" width="15.5703125" style="42" customWidth="1"/>
    <col min="11826" max="11826" width="1.85546875" style="42" customWidth="1"/>
    <col min="11827" max="11827" width="15.5703125" style="42" customWidth="1"/>
    <col min="11828" max="11828" width="1.5703125" style="42" customWidth="1"/>
    <col min="11829" max="11829" width="15.5703125" style="42" customWidth="1"/>
    <col min="11830" max="11830" width="9.140625" style="42"/>
    <col min="11831" max="11831" width="15.140625" style="42" customWidth="1"/>
    <col min="11832" max="12033" width="9.140625" style="42"/>
    <col min="12034" max="12034" width="26.5703125" style="42" customWidth="1"/>
    <col min="12035" max="12047" width="0" style="42" hidden="1" customWidth="1"/>
    <col min="12048" max="12048" width="1.7109375" style="42" customWidth="1"/>
    <col min="12049" max="12049" width="17.42578125" style="42" customWidth="1"/>
    <col min="12050" max="12050" width="1.140625" style="42" customWidth="1"/>
    <col min="12051" max="12063" width="0" style="42" hidden="1" customWidth="1"/>
    <col min="12064" max="12064" width="19.85546875" style="42" customWidth="1"/>
    <col min="12065" max="12065" width="0" style="42" hidden="1" customWidth="1"/>
    <col min="12066" max="12066" width="2.85546875" style="42" customWidth="1"/>
    <col min="12067" max="12067" width="15.5703125" style="42" customWidth="1"/>
    <col min="12068" max="12068" width="2" style="42" customWidth="1"/>
    <col min="12069" max="12069" width="15.5703125" style="42" customWidth="1"/>
    <col min="12070" max="12070" width="1.7109375" style="42" customWidth="1"/>
    <col min="12071" max="12071" width="15.5703125" style="42" customWidth="1"/>
    <col min="12072" max="12072" width="1.5703125" style="42" customWidth="1"/>
    <col min="12073" max="12073" width="15.5703125" style="42" customWidth="1"/>
    <col min="12074" max="12074" width="1.42578125" style="42" customWidth="1"/>
    <col min="12075" max="12075" width="15.5703125" style="42" customWidth="1"/>
    <col min="12076" max="12076" width="1.85546875" style="42" customWidth="1"/>
    <col min="12077" max="12077" width="15.5703125" style="42" customWidth="1"/>
    <col min="12078" max="12078" width="1.28515625" style="42" customWidth="1"/>
    <col min="12079" max="12079" width="15.85546875" style="42" customWidth="1"/>
    <col min="12080" max="12080" width="1.5703125" style="42" customWidth="1"/>
    <col min="12081" max="12081" width="15.5703125" style="42" customWidth="1"/>
    <col min="12082" max="12082" width="1.85546875" style="42" customWidth="1"/>
    <col min="12083" max="12083" width="15.5703125" style="42" customWidth="1"/>
    <col min="12084" max="12084" width="1.5703125" style="42" customWidth="1"/>
    <col min="12085" max="12085" width="15.5703125" style="42" customWidth="1"/>
    <col min="12086" max="12086" width="9.140625" style="42"/>
    <col min="12087" max="12087" width="15.140625" style="42" customWidth="1"/>
    <col min="12088" max="12289" width="9.140625" style="42"/>
    <col min="12290" max="12290" width="26.5703125" style="42" customWidth="1"/>
    <col min="12291" max="12303" width="0" style="42" hidden="1" customWidth="1"/>
    <col min="12304" max="12304" width="1.7109375" style="42" customWidth="1"/>
    <col min="12305" max="12305" width="17.42578125" style="42" customWidth="1"/>
    <col min="12306" max="12306" width="1.140625" style="42" customWidth="1"/>
    <col min="12307" max="12319" width="0" style="42" hidden="1" customWidth="1"/>
    <col min="12320" max="12320" width="19.85546875" style="42" customWidth="1"/>
    <col min="12321" max="12321" width="0" style="42" hidden="1" customWidth="1"/>
    <col min="12322" max="12322" width="2.85546875" style="42" customWidth="1"/>
    <col min="12323" max="12323" width="15.5703125" style="42" customWidth="1"/>
    <col min="12324" max="12324" width="2" style="42" customWidth="1"/>
    <col min="12325" max="12325" width="15.5703125" style="42" customWidth="1"/>
    <col min="12326" max="12326" width="1.7109375" style="42" customWidth="1"/>
    <col min="12327" max="12327" width="15.5703125" style="42" customWidth="1"/>
    <col min="12328" max="12328" width="1.5703125" style="42" customWidth="1"/>
    <col min="12329" max="12329" width="15.5703125" style="42" customWidth="1"/>
    <col min="12330" max="12330" width="1.42578125" style="42" customWidth="1"/>
    <col min="12331" max="12331" width="15.5703125" style="42" customWidth="1"/>
    <col min="12332" max="12332" width="1.85546875" style="42" customWidth="1"/>
    <col min="12333" max="12333" width="15.5703125" style="42" customWidth="1"/>
    <col min="12334" max="12334" width="1.28515625" style="42" customWidth="1"/>
    <col min="12335" max="12335" width="15.85546875" style="42" customWidth="1"/>
    <col min="12336" max="12336" width="1.5703125" style="42" customWidth="1"/>
    <col min="12337" max="12337" width="15.5703125" style="42" customWidth="1"/>
    <col min="12338" max="12338" width="1.85546875" style="42" customWidth="1"/>
    <col min="12339" max="12339" width="15.5703125" style="42" customWidth="1"/>
    <col min="12340" max="12340" width="1.5703125" style="42" customWidth="1"/>
    <col min="12341" max="12341" width="15.5703125" style="42" customWidth="1"/>
    <col min="12342" max="12342" width="9.140625" style="42"/>
    <col min="12343" max="12343" width="15.140625" style="42" customWidth="1"/>
    <col min="12344" max="12545" width="9.140625" style="42"/>
    <col min="12546" max="12546" width="26.5703125" style="42" customWidth="1"/>
    <col min="12547" max="12559" width="0" style="42" hidden="1" customWidth="1"/>
    <col min="12560" max="12560" width="1.7109375" style="42" customWidth="1"/>
    <col min="12561" max="12561" width="17.42578125" style="42" customWidth="1"/>
    <col min="12562" max="12562" width="1.140625" style="42" customWidth="1"/>
    <col min="12563" max="12575" width="0" style="42" hidden="1" customWidth="1"/>
    <col min="12576" max="12576" width="19.85546875" style="42" customWidth="1"/>
    <col min="12577" max="12577" width="0" style="42" hidden="1" customWidth="1"/>
    <col min="12578" max="12578" width="2.85546875" style="42" customWidth="1"/>
    <col min="12579" max="12579" width="15.5703125" style="42" customWidth="1"/>
    <col min="12580" max="12580" width="2" style="42" customWidth="1"/>
    <col min="12581" max="12581" width="15.5703125" style="42" customWidth="1"/>
    <col min="12582" max="12582" width="1.7109375" style="42" customWidth="1"/>
    <col min="12583" max="12583" width="15.5703125" style="42" customWidth="1"/>
    <col min="12584" max="12584" width="1.5703125" style="42" customWidth="1"/>
    <col min="12585" max="12585" width="15.5703125" style="42" customWidth="1"/>
    <col min="12586" max="12586" width="1.42578125" style="42" customWidth="1"/>
    <col min="12587" max="12587" width="15.5703125" style="42" customWidth="1"/>
    <col min="12588" max="12588" width="1.85546875" style="42" customWidth="1"/>
    <col min="12589" max="12589" width="15.5703125" style="42" customWidth="1"/>
    <col min="12590" max="12590" width="1.28515625" style="42" customWidth="1"/>
    <col min="12591" max="12591" width="15.85546875" style="42" customWidth="1"/>
    <col min="12592" max="12592" width="1.5703125" style="42" customWidth="1"/>
    <col min="12593" max="12593" width="15.5703125" style="42" customWidth="1"/>
    <col min="12594" max="12594" width="1.85546875" style="42" customWidth="1"/>
    <col min="12595" max="12595" width="15.5703125" style="42" customWidth="1"/>
    <col min="12596" max="12596" width="1.5703125" style="42" customWidth="1"/>
    <col min="12597" max="12597" width="15.5703125" style="42" customWidth="1"/>
    <col min="12598" max="12598" width="9.140625" style="42"/>
    <col min="12599" max="12599" width="15.140625" style="42" customWidth="1"/>
    <col min="12600" max="12801" width="9.140625" style="42"/>
    <col min="12802" max="12802" width="26.5703125" style="42" customWidth="1"/>
    <col min="12803" max="12815" width="0" style="42" hidden="1" customWidth="1"/>
    <col min="12816" max="12816" width="1.7109375" style="42" customWidth="1"/>
    <col min="12817" max="12817" width="17.42578125" style="42" customWidth="1"/>
    <col min="12818" max="12818" width="1.140625" style="42" customWidth="1"/>
    <col min="12819" max="12831" width="0" style="42" hidden="1" customWidth="1"/>
    <col min="12832" max="12832" width="19.85546875" style="42" customWidth="1"/>
    <col min="12833" max="12833" width="0" style="42" hidden="1" customWidth="1"/>
    <col min="12834" max="12834" width="2.85546875" style="42" customWidth="1"/>
    <col min="12835" max="12835" width="15.5703125" style="42" customWidth="1"/>
    <col min="12836" max="12836" width="2" style="42" customWidth="1"/>
    <col min="12837" max="12837" width="15.5703125" style="42" customWidth="1"/>
    <col min="12838" max="12838" width="1.7109375" style="42" customWidth="1"/>
    <col min="12839" max="12839" width="15.5703125" style="42" customWidth="1"/>
    <col min="12840" max="12840" width="1.5703125" style="42" customWidth="1"/>
    <col min="12841" max="12841" width="15.5703125" style="42" customWidth="1"/>
    <col min="12842" max="12842" width="1.42578125" style="42" customWidth="1"/>
    <col min="12843" max="12843" width="15.5703125" style="42" customWidth="1"/>
    <col min="12844" max="12844" width="1.85546875" style="42" customWidth="1"/>
    <col min="12845" max="12845" width="15.5703125" style="42" customWidth="1"/>
    <col min="12846" max="12846" width="1.28515625" style="42" customWidth="1"/>
    <col min="12847" max="12847" width="15.85546875" style="42" customWidth="1"/>
    <col min="12848" max="12848" width="1.5703125" style="42" customWidth="1"/>
    <col min="12849" max="12849" width="15.5703125" style="42" customWidth="1"/>
    <col min="12850" max="12850" width="1.85546875" style="42" customWidth="1"/>
    <col min="12851" max="12851" width="15.5703125" style="42" customWidth="1"/>
    <col min="12852" max="12852" width="1.5703125" style="42" customWidth="1"/>
    <col min="12853" max="12853" width="15.5703125" style="42" customWidth="1"/>
    <col min="12854" max="12854" width="9.140625" style="42"/>
    <col min="12855" max="12855" width="15.140625" style="42" customWidth="1"/>
    <col min="12856" max="13057" width="9.140625" style="42"/>
    <col min="13058" max="13058" width="26.5703125" style="42" customWidth="1"/>
    <col min="13059" max="13071" width="0" style="42" hidden="1" customWidth="1"/>
    <col min="13072" max="13072" width="1.7109375" style="42" customWidth="1"/>
    <col min="13073" max="13073" width="17.42578125" style="42" customWidth="1"/>
    <col min="13074" max="13074" width="1.140625" style="42" customWidth="1"/>
    <col min="13075" max="13087" width="0" style="42" hidden="1" customWidth="1"/>
    <col min="13088" max="13088" width="19.85546875" style="42" customWidth="1"/>
    <col min="13089" max="13089" width="0" style="42" hidden="1" customWidth="1"/>
    <col min="13090" max="13090" width="2.85546875" style="42" customWidth="1"/>
    <col min="13091" max="13091" width="15.5703125" style="42" customWidth="1"/>
    <col min="13092" max="13092" width="2" style="42" customWidth="1"/>
    <col min="13093" max="13093" width="15.5703125" style="42" customWidth="1"/>
    <col min="13094" max="13094" width="1.7109375" style="42" customWidth="1"/>
    <col min="13095" max="13095" width="15.5703125" style="42" customWidth="1"/>
    <col min="13096" max="13096" width="1.5703125" style="42" customWidth="1"/>
    <col min="13097" max="13097" width="15.5703125" style="42" customWidth="1"/>
    <col min="13098" max="13098" width="1.42578125" style="42" customWidth="1"/>
    <col min="13099" max="13099" width="15.5703125" style="42" customWidth="1"/>
    <col min="13100" max="13100" width="1.85546875" style="42" customWidth="1"/>
    <col min="13101" max="13101" width="15.5703125" style="42" customWidth="1"/>
    <col min="13102" max="13102" width="1.28515625" style="42" customWidth="1"/>
    <col min="13103" max="13103" width="15.85546875" style="42" customWidth="1"/>
    <col min="13104" max="13104" width="1.5703125" style="42" customWidth="1"/>
    <col min="13105" max="13105" width="15.5703125" style="42" customWidth="1"/>
    <col min="13106" max="13106" width="1.85546875" style="42" customWidth="1"/>
    <col min="13107" max="13107" width="15.5703125" style="42" customWidth="1"/>
    <col min="13108" max="13108" width="1.5703125" style="42" customWidth="1"/>
    <col min="13109" max="13109" width="15.5703125" style="42" customWidth="1"/>
    <col min="13110" max="13110" width="9.140625" style="42"/>
    <col min="13111" max="13111" width="15.140625" style="42" customWidth="1"/>
    <col min="13112" max="13313" width="9.140625" style="42"/>
    <col min="13314" max="13314" width="26.5703125" style="42" customWidth="1"/>
    <col min="13315" max="13327" width="0" style="42" hidden="1" customWidth="1"/>
    <col min="13328" max="13328" width="1.7109375" style="42" customWidth="1"/>
    <col min="13329" max="13329" width="17.42578125" style="42" customWidth="1"/>
    <col min="13330" max="13330" width="1.140625" style="42" customWidth="1"/>
    <col min="13331" max="13343" width="0" style="42" hidden="1" customWidth="1"/>
    <col min="13344" max="13344" width="19.85546875" style="42" customWidth="1"/>
    <col min="13345" max="13345" width="0" style="42" hidden="1" customWidth="1"/>
    <col min="13346" max="13346" width="2.85546875" style="42" customWidth="1"/>
    <col min="13347" max="13347" width="15.5703125" style="42" customWidth="1"/>
    <col min="13348" max="13348" width="2" style="42" customWidth="1"/>
    <col min="13349" max="13349" width="15.5703125" style="42" customWidth="1"/>
    <col min="13350" max="13350" width="1.7109375" style="42" customWidth="1"/>
    <col min="13351" max="13351" width="15.5703125" style="42" customWidth="1"/>
    <col min="13352" max="13352" width="1.5703125" style="42" customWidth="1"/>
    <col min="13353" max="13353" width="15.5703125" style="42" customWidth="1"/>
    <col min="13354" max="13354" width="1.42578125" style="42" customWidth="1"/>
    <col min="13355" max="13355" width="15.5703125" style="42" customWidth="1"/>
    <col min="13356" max="13356" width="1.85546875" style="42" customWidth="1"/>
    <col min="13357" max="13357" width="15.5703125" style="42" customWidth="1"/>
    <col min="13358" max="13358" width="1.28515625" style="42" customWidth="1"/>
    <col min="13359" max="13359" width="15.85546875" style="42" customWidth="1"/>
    <col min="13360" max="13360" width="1.5703125" style="42" customWidth="1"/>
    <col min="13361" max="13361" width="15.5703125" style="42" customWidth="1"/>
    <col min="13362" max="13362" width="1.85546875" style="42" customWidth="1"/>
    <col min="13363" max="13363" width="15.5703125" style="42" customWidth="1"/>
    <col min="13364" max="13364" width="1.5703125" style="42" customWidth="1"/>
    <col min="13365" max="13365" width="15.5703125" style="42" customWidth="1"/>
    <col min="13366" max="13366" width="9.140625" style="42"/>
    <col min="13367" max="13367" width="15.140625" style="42" customWidth="1"/>
    <col min="13368" max="13569" width="9.140625" style="42"/>
    <col min="13570" max="13570" width="26.5703125" style="42" customWidth="1"/>
    <col min="13571" max="13583" width="0" style="42" hidden="1" customWidth="1"/>
    <col min="13584" max="13584" width="1.7109375" style="42" customWidth="1"/>
    <col min="13585" max="13585" width="17.42578125" style="42" customWidth="1"/>
    <col min="13586" max="13586" width="1.140625" style="42" customWidth="1"/>
    <col min="13587" max="13599" width="0" style="42" hidden="1" customWidth="1"/>
    <col min="13600" max="13600" width="19.85546875" style="42" customWidth="1"/>
    <col min="13601" max="13601" width="0" style="42" hidden="1" customWidth="1"/>
    <col min="13602" max="13602" width="2.85546875" style="42" customWidth="1"/>
    <col min="13603" max="13603" width="15.5703125" style="42" customWidth="1"/>
    <col min="13604" max="13604" width="2" style="42" customWidth="1"/>
    <col min="13605" max="13605" width="15.5703125" style="42" customWidth="1"/>
    <col min="13606" max="13606" width="1.7109375" style="42" customWidth="1"/>
    <col min="13607" max="13607" width="15.5703125" style="42" customWidth="1"/>
    <col min="13608" max="13608" width="1.5703125" style="42" customWidth="1"/>
    <col min="13609" max="13609" width="15.5703125" style="42" customWidth="1"/>
    <col min="13610" max="13610" width="1.42578125" style="42" customWidth="1"/>
    <col min="13611" max="13611" width="15.5703125" style="42" customWidth="1"/>
    <col min="13612" max="13612" width="1.85546875" style="42" customWidth="1"/>
    <col min="13613" max="13613" width="15.5703125" style="42" customWidth="1"/>
    <col min="13614" max="13614" width="1.28515625" style="42" customWidth="1"/>
    <col min="13615" max="13615" width="15.85546875" style="42" customWidth="1"/>
    <col min="13616" max="13616" width="1.5703125" style="42" customWidth="1"/>
    <col min="13617" max="13617" width="15.5703125" style="42" customWidth="1"/>
    <col min="13618" max="13618" width="1.85546875" style="42" customWidth="1"/>
    <col min="13619" max="13619" width="15.5703125" style="42" customWidth="1"/>
    <col min="13620" max="13620" width="1.5703125" style="42" customWidth="1"/>
    <col min="13621" max="13621" width="15.5703125" style="42" customWidth="1"/>
    <col min="13622" max="13622" width="9.140625" style="42"/>
    <col min="13623" max="13623" width="15.140625" style="42" customWidth="1"/>
    <col min="13624" max="13825" width="9.140625" style="42"/>
    <col min="13826" max="13826" width="26.5703125" style="42" customWidth="1"/>
    <col min="13827" max="13839" width="0" style="42" hidden="1" customWidth="1"/>
    <col min="13840" max="13840" width="1.7109375" style="42" customWidth="1"/>
    <col min="13841" max="13841" width="17.42578125" style="42" customWidth="1"/>
    <col min="13842" max="13842" width="1.140625" style="42" customWidth="1"/>
    <col min="13843" max="13855" width="0" style="42" hidden="1" customWidth="1"/>
    <col min="13856" max="13856" width="19.85546875" style="42" customWidth="1"/>
    <col min="13857" max="13857" width="0" style="42" hidden="1" customWidth="1"/>
    <col min="13858" max="13858" width="2.85546875" style="42" customWidth="1"/>
    <col min="13859" max="13859" width="15.5703125" style="42" customWidth="1"/>
    <col min="13860" max="13860" width="2" style="42" customWidth="1"/>
    <col min="13861" max="13861" width="15.5703125" style="42" customWidth="1"/>
    <col min="13862" max="13862" width="1.7109375" style="42" customWidth="1"/>
    <col min="13863" max="13863" width="15.5703125" style="42" customWidth="1"/>
    <col min="13864" max="13864" width="1.5703125" style="42" customWidth="1"/>
    <col min="13865" max="13865" width="15.5703125" style="42" customWidth="1"/>
    <col min="13866" max="13866" width="1.42578125" style="42" customWidth="1"/>
    <col min="13867" max="13867" width="15.5703125" style="42" customWidth="1"/>
    <col min="13868" max="13868" width="1.85546875" style="42" customWidth="1"/>
    <col min="13869" max="13869" width="15.5703125" style="42" customWidth="1"/>
    <col min="13870" max="13870" width="1.28515625" style="42" customWidth="1"/>
    <col min="13871" max="13871" width="15.85546875" style="42" customWidth="1"/>
    <col min="13872" max="13872" width="1.5703125" style="42" customWidth="1"/>
    <col min="13873" max="13873" width="15.5703125" style="42" customWidth="1"/>
    <col min="13874" max="13874" width="1.85546875" style="42" customWidth="1"/>
    <col min="13875" max="13875" width="15.5703125" style="42" customWidth="1"/>
    <col min="13876" max="13876" width="1.5703125" style="42" customWidth="1"/>
    <col min="13877" max="13877" width="15.5703125" style="42" customWidth="1"/>
    <col min="13878" max="13878" width="9.140625" style="42"/>
    <col min="13879" max="13879" width="15.140625" style="42" customWidth="1"/>
    <col min="13880" max="14081" width="9.140625" style="42"/>
    <col min="14082" max="14082" width="26.5703125" style="42" customWidth="1"/>
    <col min="14083" max="14095" width="0" style="42" hidden="1" customWidth="1"/>
    <col min="14096" max="14096" width="1.7109375" style="42" customWidth="1"/>
    <col min="14097" max="14097" width="17.42578125" style="42" customWidth="1"/>
    <col min="14098" max="14098" width="1.140625" style="42" customWidth="1"/>
    <col min="14099" max="14111" width="0" style="42" hidden="1" customWidth="1"/>
    <col min="14112" max="14112" width="19.85546875" style="42" customWidth="1"/>
    <col min="14113" max="14113" width="0" style="42" hidden="1" customWidth="1"/>
    <col min="14114" max="14114" width="2.85546875" style="42" customWidth="1"/>
    <col min="14115" max="14115" width="15.5703125" style="42" customWidth="1"/>
    <col min="14116" max="14116" width="2" style="42" customWidth="1"/>
    <col min="14117" max="14117" width="15.5703125" style="42" customWidth="1"/>
    <col min="14118" max="14118" width="1.7109375" style="42" customWidth="1"/>
    <col min="14119" max="14119" width="15.5703125" style="42" customWidth="1"/>
    <col min="14120" max="14120" width="1.5703125" style="42" customWidth="1"/>
    <col min="14121" max="14121" width="15.5703125" style="42" customWidth="1"/>
    <col min="14122" max="14122" width="1.42578125" style="42" customWidth="1"/>
    <col min="14123" max="14123" width="15.5703125" style="42" customWidth="1"/>
    <col min="14124" max="14124" width="1.85546875" style="42" customWidth="1"/>
    <col min="14125" max="14125" width="15.5703125" style="42" customWidth="1"/>
    <col min="14126" max="14126" width="1.28515625" style="42" customWidth="1"/>
    <col min="14127" max="14127" width="15.85546875" style="42" customWidth="1"/>
    <col min="14128" max="14128" width="1.5703125" style="42" customWidth="1"/>
    <col min="14129" max="14129" width="15.5703125" style="42" customWidth="1"/>
    <col min="14130" max="14130" width="1.85546875" style="42" customWidth="1"/>
    <col min="14131" max="14131" width="15.5703125" style="42" customWidth="1"/>
    <col min="14132" max="14132" width="1.5703125" style="42" customWidth="1"/>
    <col min="14133" max="14133" width="15.5703125" style="42" customWidth="1"/>
    <col min="14134" max="14134" width="9.140625" style="42"/>
    <col min="14135" max="14135" width="15.140625" style="42" customWidth="1"/>
    <col min="14136" max="14337" width="9.140625" style="42"/>
    <col min="14338" max="14338" width="26.5703125" style="42" customWidth="1"/>
    <col min="14339" max="14351" width="0" style="42" hidden="1" customWidth="1"/>
    <col min="14352" max="14352" width="1.7109375" style="42" customWidth="1"/>
    <col min="14353" max="14353" width="17.42578125" style="42" customWidth="1"/>
    <col min="14354" max="14354" width="1.140625" style="42" customWidth="1"/>
    <col min="14355" max="14367" width="0" style="42" hidden="1" customWidth="1"/>
    <col min="14368" max="14368" width="19.85546875" style="42" customWidth="1"/>
    <col min="14369" max="14369" width="0" style="42" hidden="1" customWidth="1"/>
    <col min="14370" max="14370" width="2.85546875" style="42" customWidth="1"/>
    <col min="14371" max="14371" width="15.5703125" style="42" customWidth="1"/>
    <col min="14372" max="14372" width="2" style="42" customWidth="1"/>
    <col min="14373" max="14373" width="15.5703125" style="42" customWidth="1"/>
    <col min="14374" max="14374" width="1.7109375" style="42" customWidth="1"/>
    <col min="14375" max="14375" width="15.5703125" style="42" customWidth="1"/>
    <col min="14376" max="14376" width="1.5703125" style="42" customWidth="1"/>
    <col min="14377" max="14377" width="15.5703125" style="42" customWidth="1"/>
    <col min="14378" max="14378" width="1.42578125" style="42" customWidth="1"/>
    <col min="14379" max="14379" width="15.5703125" style="42" customWidth="1"/>
    <col min="14380" max="14380" width="1.85546875" style="42" customWidth="1"/>
    <col min="14381" max="14381" width="15.5703125" style="42" customWidth="1"/>
    <col min="14382" max="14382" width="1.28515625" style="42" customWidth="1"/>
    <col min="14383" max="14383" width="15.85546875" style="42" customWidth="1"/>
    <col min="14384" max="14384" width="1.5703125" style="42" customWidth="1"/>
    <col min="14385" max="14385" width="15.5703125" style="42" customWidth="1"/>
    <col min="14386" max="14386" width="1.85546875" style="42" customWidth="1"/>
    <col min="14387" max="14387" width="15.5703125" style="42" customWidth="1"/>
    <col min="14388" max="14388" width="1.5703125" style="42" customWidth="1"/>
    <col min="14389" max="14389" width="15.5703125" style="42" customWidth="1"/>
    <col min="14390" max="14390" width="9.140625" style="42"/>
    <col min="14391" max="14391" width="15.140625" style="42" customWidth="1"/>
    <col min="14392" max="14593" width="9.140625" style="42"/>
    <col min="14594" max="14594" width="26.5703125" style="42" customWidth="1"/>
    <col min="14595" max="14607" width="0" style="42" hidden="1" customWidth="1"/>
    <col min="14608" max="14608" width="1.7109375" style="42" customWidth="1"/>
    <col min="14609" max="14609" width="17.42578125" style="42" customWidth="1"/>
    <col min="14610" max="14610" width="1.140625" style="42" customWidth="1"/>
    <col min="14611" max="14623" width="0" style="42" hidden="1" customWidth="1"/>
    <col min="14624" max="14624" width="19.85546875" style="42" customWidth="1"/>
    <col min="14625" max="14625" width="0" style="42" hidden="1" customWidth="1"/>
    <col min="14626" max="14626" width="2.85546875" style="42" customWidth="1"/>
    <col min="14627" max="14627" width="15.5703125" style="42" customWidth="1"/>
    <col min="14628" max="14628" width="2" style="42" customWidth="1"/>
    <col min="14629" max="14629" width="15.5703125" style="42" customWidth="1"/>
    <col min="14630" max="14630" width="1.7109375" style="42" customWidth="1"/>
    <col min="14631" max="14631" width="15.5703125" style="42" customWidth="1"/>
    <col min="14632" max="14632" width="1.5703125" style="42" customWidth="1"/>
    <col min="14633" max="14633" width="15.5703125" style="42" customWidth="1"/>
    <col min="14634" max="14634" width="1.42578125" style="42" customWidth="1"/>
    <col min="14635" max="14635" width="15.5703125" style="42" customWidth="1"/>
    <col min="14636" max="14636" width="1.85546875" style="42" customWidth="1"/>
    <col min="14637" max="14637" width="15.5703125" style="42" customWidth="1"/>
    <col min="14638" max="14638" width="1.28515625" style="42" customWidth="1"/>
    <col min="14639" max="14639" width="15.85546875" style="42" customWidth="1"/>
    <col min="14640" max="14640" width="1.5703125" style="42" customWidth="1"/>
    <col min="14641" max="14641" width="15.5703125" style="42" customWidth="1"/>
    <col min="14642" max="14642" width="1.85546875" style="42" customWidth="1"/>
    <col min="14643" max="14643" width="15.5703125" style="42" customWidth="1"/>
    <col min="14644" max="14644" width="1.5703125" style="42" customWidth="1"/>
    <col min="14645" max="14645" width="15.5703125" style="42" customWidth="1"/>
    <col min="14646" max="14646" width="9.140625" style="42"/>
    <col min="14647" max="14647" width="15.140625" style="42" customWidth="1"/>
    <col min="14648" max="14849" width="9.140625" style="42"/>
    <col min="14850" max="14850" width="26.5703125" style="42" customWidth="1"/>
    <col min="14851" max="14863" width="0" style="42" hidden="1" customWidth="1"/>
    <col min="14864" max="14864" width="1.7109375" style="42" customWidth="1"/>
    <col min="14865" max="14865" width="17.42578125" style="42" customWidth="1"/>
    <col min="14866" max="14866" width="1.140625" style="42" customWidth="1"/>
    <col min="14867" max="14879" width="0" style="42" hidden="1" customWidth="1"/>
    <col min="14880" max="14880" width="19.85546875" style="42" customWidth="1"/>
    <col min="14881" max="14881" width="0" style="42" hidden="1" customWidth="1"/>
    <col min="14882" max="14882" width="2.85546875" style="42" customWidth="1"/>
    <col min="14883" max="14883" width="15.5703125" style="42" customWidth="1"/>
    <col min="14884" max="14884" width="2" style="42" customWidth="1"/>
    <col min="14885" max="14885" width="15.5703125" style="42" customWidth="1"/>
    <col min="14886" max="14886" width="1.7109375" style="42" customWidth="1"/>
    <col min="14887" max="14887" width="15.5703125" style="42" customWidth="1"/>
    <col min="14888" max="14888" width="1.5703125" style="42" customWidth="1"/>
    <col min="14889" max="14889" width="15.5703125" style="42" customWidth="1"/>
    <col min="14890" max="14890" width="1.42578125" style="42" customWidth="1"/>
    <col min="14891" max="14891" width="15.5703125" style="42" customWidth="1"/>
    <col min="14892" max="14892" width="1.85546875" style="42" customWidth="1"/>
    <col min="14893" max="14893" width="15.5703125" style="42" customWidth="1"/>
    <col min="14894" max="14894" width="1.28515625" style="42" customWidth="1"/>
    <col min="14895" max="14895" width="15.85546875" style="42" customWidth="1"/>
    <col min="14896" max="14896" width="1.5703125" style="42" customWidth="1"/>
    <col min="14897" max="14897" width="15.5703125" style="42" customWidth="1"/>
    <col min="14898" max="14898" width="1.85546875" style="42" customWidth="1"/>
    <col min="14899" max="14899" width="15.5703125" style="42" customWidth="1"/>
    <col min="14900" max="14900" width="1.5703125" style="42" customWidth="1"/>
    <col min="14901" max="14901" width="15.5703125" style="42" customWidth="1"/>
    <col min="14902" max="14902" width="9.140625" style="42"/>
    <col min="14903" max="14903" width="15.140625" style="42" customWidth="1"/>
    <col min="14904" max="15105" width="9.140625" style="42"/>
    <col min="15106" max="15106" width="26.5703125" style="42" customWidth="1"/>
    <col min="15107" max="15119" width="0" style="42" hidden="1" customWidth="1"/>
    <col min="15120" max="15120" width="1.7109375" style="42" customWidth="1"/>
    <col min="15121" max="15121" width="17.42578125" style="42" customWidth="1"/>
    <col min="15122" max="15122" width="1.140625" style="42" customWidth="1"/>
    <col min="15123" max="15135" width="0" style="42" hidden="1" customWidth="1"/>
    <col min="15136" max="15136" width="19.85546875" style="42" customWidth="1"/>
    <col min="15137" max="15137" width="0" style="42" hidden="1" customWidth="1"/>
    <col min="15138" max="15138" width="2.85546875" style="42" customWidth="1"/>
    <col min="15139" max="15139" width="15.5703125" style="42" customWidth="1"/>
    <col min="15140" max="15140" width="2" style="42" customWidth="1"/>
    <col min="15141" max="15141" width="15.5703125" style="42" customWidth="1"/>
    <col min="15142" max="15142" width="1.7109375" style="42" customWidth="1"/>
    <col min="15143" max="15143" width="15.5703125" style="42" customWidth="1"/>
    <col min="15144" max="15144" width="1.5703125" style="42" customWidth="1"/>
    <col min="15145" max="15145" width="15.5703125" style="42" customWidth="1"/>
    <col min="15146" max="15146" width="1.42578125" style="42" customWidth="1"/>
    <col min="15147" max="15147" width="15.5703125" style="42" customWidth="1"/>
    <col min="15148" max="15148" width="1.85546875" style="42" customWidth="1"/>
    <col min="15149" max="15149" width="15.5703125" style="42" customWidth="1"/>
    <col min="15150" max="15150" width="1.28515625" style="42" customWidth="1"/>
    <col min="15151" max="15151" width="15.85546875" style="42" customWidth="1"/>
    <col min="15152" max="15152" width="1.5703125" style="42" customWidth="1"/>
    <col min="15153" max="15153" width="15.5703125" style="42" customWidth="1"/>
    <col min="15154" max="15154" width="1.85546875" style="42" customWidth="1"/>
    <col min="15155" max="15155" width="15.5703125" style="42" customWidth="1"/>
    <col min="15156" max="15156" width="1.5703125" style="42" customWidth="1"/>
    <col min="15157" max="15157" width="15.5703125" style="42" customWidth="1"/>
    <col min="15158" max="15158" width="9.140625" style="42"/>
    <col min="15159" max="15159" width="15.140625" style="42" customWidth="1"/>
    <col min="15160" max="15361" width="9.140625" style="42"/>
    <col min="15362" max="15362" width="26.5703125" style="42" customWidth="1"/>
    <col min="15363" max="15375" width="0" style="42" hidden="1" customWidth="1"/>
    <col min="15376" max="15376" width="1.7109375" style="42" customWidth="1"/>
    <col min="15377" max="15377" width="17.42578125" style="42" customWidth="1"/>
    <col min="15378" max="15378" width="1.140625" style="42" customWidth="1"/>
    <col min="15379" max="15391" width="0" style="42" hidden="1" customWidth="1"/>
    <col min="15392" max="15392" width="19.85546875" style="42" customWidth="1"/>
    <col min="15393" max="15393" width="0" style="42" hidden="1" customWidth="1"/>
    <col min="15394" max="15394" width="2.85546875" style="42" customWidth="1"/>
    <col min="15395" max="15395" width="15.5703125" style="42" customWidth="1"/>
    <col min="15396" max="15396" width="2" style="42" customWidth="1"/>
    <col min="15397" max="15397" width="15.5703125" style="42" customWidth="1"/>
    <col min="15398" max="15398" width="1.7109375" style="42" customWidth="1"/>
    <col min="15399" max="15399" width="15.5703125" style="42" customWidth="1"/>
    <col min="15400" max="15400" width="1.5703125" style="42" customWidth="1"/>
    <col min="15401" max="15401" width="15.5703125" style="42" customWidth="1"/>
    <col min="15402" max="15402" width="1.42578125" style="42" customWidth="1"/>
    <col min="15403" max="15403" width="15.5703125" style="42" customWidth="1"/>
    <col min="15404" max="15404" width="1.85546875" style="42" customWidth="1"/>
    <col min="15405" max="15405" width="15.5703125" style="42" customWidth="1"/>
    <col min="15406" max="15406" width="1.28515625" style="42" customWidth="1"/>
    <col min="15407" max="15407" width="15.85546875" style="42" customWidth="1"/>
    <col min="15408" max="15408" width="1.5703125" style="42" customWidth="1"/>
    <col min="15409" max="15409" width="15.5703125" style="42" customWidth="1"/>
    <col min="15410" max="15410" width="1.85546875" style="42" customWidth="1"/>
    <col min="15411" max="15411" width="15.5703125" style="42" customWidth="1"/>
    <col min="15412" max="15412" width="1.5703125" style="42" customWidth="1"/>
    <col min="15413" max="15413" width="15.5703125" style="42" customWidth="1"/>
    <col min="15414" max="15414" width="9.140625" style="42"/>
    <col min="15415" max="15415" width="15.140625" style="42" customWidth="1"/>
    <col min="15416" max="15617" width="9.140625" style="42"/>
    <col min="15618" max="15618" width="26.5703125" style="42" customWidth="1"/>
    <col min="15619" max="15631" width="0" style="42" hidden="1" customWidth="1"/>
    <col min="15632" max="15632" width="1.7109375" style="42" customWidth="1"/>
    <col min="15633" max="15633" width="17.42578125" style="42" customWidth="1"/>
    <col min="15634" max="15634" width="1.140625" style="42" customWidth="1"/>
    <col min="15635" max="15647" width="0" style="42" hidden="1" customWidth="1"/>
    <col min="15648" max="15648" width="19.85546875" style="42" customWidth="1"/>
    <col min="15649" max="15649" width="0" style="42" hidden="1" customWidth="1"/>
    <col min="15650" max="15650" width="2.85546875" style="42" customWidth="1"/>
    <col min="15651" max="15651" width="15.5703125" style="42" customWidth="1"/>
    <col min="15652" max="15652" width="2" style="42" customWidth="1"/>
    <col min="15653" max="15653" width="15.5703125" style="42" customWidth="1"/>
    <col min="15654" max="15654" width="1.7109375" style="42" customWidth="1"/>
    <col min="15655" max="15655" width="15.5703125" style="42" customWidth="1"/>
    <col min="15656" max="15656" width="1.5703125" style="42" customWidth="1"/>
    <col min="15657" max="15657" width="15.5703125" style="42" customWidth="1"/>
    <col min="15658" max="15658" width="1.42578125" style="42" customWidth="1"/>
    <col min="15659" max="15659" width="15.5703125" style="42" customWidth="1"/>
    <col min="15660" max="15660" width="1.85546875" style="42" customWidth="1"/>
    <col min="15661" max="15661" width="15.5703125" style="42" customWidth="1"/>
    <col min="15662" max="15662" width="1.28515625" style="42" customWidth="1"/>
    <col min="15663" max="15663" width="15.85546875" style="42" customWidth="1"/>
    <col min="15664" max="15664" width="1.5703125" style="42" customWidth="1"/>
    <col min="15665" max="15665" width="15.5703125" style="42" customWidth="1"/>
    <col min="15666" max="15666" width="1.85546875" style="42" customWidth="1"/>
    <col min="15667" max="15667" width="15.5703125" style="42" customWidth="1"/>
    <col min="15668" max="15668" width="1.5703125" style="42" customWidth="1"/>
    <col min="15669" max="15669" width="15.5703125" style="42" customWidth="1"/>
    <col min="15670" max="15670" width="9.140625" style="42"/>
    <col min="15671" max="15671" width="15.140625" style="42" customWidth="1"/>
    <col min="15672" max="15873" width="9.140625" style="42"/>
    <col min="15874" max="15874" width="26.5703125" style="42" customWidth="1"/>
    <col min="15875" max="15887" width="0" style="42" hidden="1" customWidth="1"/>
    <col min="15888" max="15888" width="1.7109375" style="42" customWidth="1"/>
    <col min="15889" max="15889" width="17.42578125" style="42" customWidth="1"/>
    <col min="15890" max="15890" width="1.140625" style="42" customWidth="1"/>
    <col min="15891" max="15903" width="0" style="42" hidden="1" customWidth="1"/>
    <col min="15904" max="15904" width="19.85546875" style="42" customWidth="1"/>
    <col min="15905" max="15905" width="0" style="42" hidden="1" customWidth="1"/>
    <col min="15906" max="15906" width="2.85546875" style="42" customWidth="1"/>
    <col min="15907" max="15907" width="15.5703125" style="42" customWidth="1"/>
    <col min="15908" max="15908" width="2" style="42" customWidth="1"/>
    <col min="15909" max="15909" width="15.5703125" style="42" customWidth="1"/>
    <col min="15910" max="15910" width="1.7109375" style="42" customWidth="1"/>
    <col min="15911" max="15911" width="15.5703125" style="42" customWidth="1"/>
    <col min="15912" max="15912" width="1.5703125" style="42" customWidth="1"/>
    <col min="15913" max="15913" width="15.5703125" style="42" customWidth="1"/>
    <col min="15914" max="15914" width="1.42578125" style="42" customWidth="1"/>
    <col min="15915" max="15915" width="15.5703125" style="42" customWidth="1"/>
    <col min="15916" max="15916" width="1.85546875" style="42" customWidth="1"/>
    <col min="15917" max="15917" width="15.5703125" style="42" customWidth="1"/>
    <col min="15918" max="15918" width="1.28515625" style="42" customWidth="1"/>
    <col min="15919" max="15919" width="15.85546875" style="42" customWidth="1"/>
    <col min="15920" max="15920" width="1.5703125" style="42" customWidth="1"/>
    <col min="15921" max="15921" width="15.5703125" style="42" customWidth="1"/>
    <col min="15922" max="15922" width="1.85546875" style="42" customWidth="1"/>
    <col min="15923" max="15923" width="15.5703125" style="42" customWidth="1"/>
    <col min="15924" max="15924" width="1.5703125" style="42" customWidth="1"/>
    <col min="15925" max="15925" width="15.5703125" style="42" customWidth="1"/>
    <col min="15926" max="15926" width="9.140625" style="42"/>
    <col min="15927" max="15927" width="15.140625" style="42" customWidth="1"/>
    <col min="15928" max="16129" width="9.140625" style="42"/>
    <col min="16130" max="16130" width="26.5703125" style="42" customWidth="1"/>
    <col min="16131" max="16143" width="0" style="42" hidden="1" customWidth="1"/>
    <col min="16144" max="16144" width="1.7109375" style="42" customWidth="1"/>
    <col min="16145" max="16145" width="17.42578125" style="42" customWidth="1"/>
    <col min="16146" max="16146" width="1.140625" style="42" customWidth="1"/>
    <col min="16147" max="16159" width="0" style="42" hidden="1" customWidth="1"/>
    <col min="16160" max="16160" width="19.85546875" style="42" customWidth="1"/>
    <col min="16161" max="16161" width="0" style="42" hidden="1" customWidth="1"/>
    <col min="16162" max="16162" width="2.85546875" style="42" customWidth="1"/>
    <col min="16163" max="16163" width="15.5703125" style="42" customWidth="1"/>
    <col min="16164" max="16164" width="2" style="42" customWidth="1"/>
    <col min="16165" max="16165" width="15.5703125" style="42" customWidth="1"/>
    <col min="16166" max="16166" width="1.7109375" style="42" customWidth="1"/>
    <col min="16167" max="16167" width="15.5703125" style="42" customWidth="1"/>
    <col min="16168" max="16168" width="1.5703125" style="42" customWidth="1"/>
    <col min="16169" max="16169" width="15.5703125" style="42" customWidth="1"/>
    <col min="16170" max="16170" width="1.42578125" style="42" customWidth="1"/>
    <col min="16171" max="16171" width="15.5703125" style="42" customWidth="1"/>
    <col min="16172" max="16172" width="1.85546875" style="42" customWidth="1"/>
    <col min="16173" max="16173" width="15.5703125" style="42" customWidth="1"/>
    <col min="16174" max="16174" width="1.28515625" style="42" customWidth="1"/>
    <col min="16175" max="16175" width="15.85546875" style="42" customWidth="1"/>
    <col min="16176" max="16176" width="1.5703125" style="42" customWidth="1"/>
    <col min="16177" max="16177" width="15.5703125" style="42" customWidth="1"/>
    <col min="16178" max="16178" width="1.85546875" style="42" customWidth="1"/>
    <col min="16179" max="16179" width="15.5703125" style="42" customWidth="1"/>
    <col min="16180" max="16180" width="1.5703125" style="42" customWidth="1"/>
    <col min="16181" max="16181" width="15.5703125" style="42" customWidth="1"/>
    <col min="16182" max="16182" width="9.140625" style="42"/>
    <col min="16183" max="16183" width="15.140625" style="42" customWidth="1"/>
    <col min="16184" max="16384" width="9.140625" style="42"/>
  </cols>
  <sheetData>
    <row r="1" spans="1:57" ht="15.75" thickBot="1" x14ac:dyDescent="0.3">
      <c r="A1" s="7" t="s">
        <v>993</v>
      </c>
    </row>
    <row r="2" spans="1:57" x14ac:dyDescent="0.25">
      <c r="A2" s="3"/>
      <c r="B2" s="237" t="s">
        <v>8</v>
      </c>
      <c r="C2" s="9"/>
      <c r="D2" s="238" t="s">
        <v>9</v>
      </c>
      <c r="E2" s="239" t="s">
        <v>10</v>
      </c>
      <c r="F2" s="240" t="s">
        <v>11</v>
      </c>
      <c r="G2" s="9"/>
      <c r="H2" s="237" t="s">
        <v>12</v>
      </c>
      <c r="I2" s="9"/>
      <c r="J2" s="238" t="s">
        <v>9</v>
      </c>
      <c r="K2" s="239" t="s">
        <v>10</v>
      </c>
      <c r="L2" s="239" t="s">
        <v>11</v>
      </c>
      <c r="M2" s="9"/>
      <c r="N2" s="240" t="s">
        <v>12</v>
      </c>
      <c r="P2" s="237" t="s">
        <v>8</v>
      </c>
      <c r="R2" s="238" t="s">
        <v>9</v>
      </c>
      <c r="S2" s="239" t="s">
        <v>10</v>
      </c>
      <c r="T2" s="249" t="s">
        <v>11</v>
      </c>
      <c r="U2" s="240" t="s">
        <v>13</v>
      </c>
      <c r="V2" s="238" t="s">
        <v>9</v>
      </c>
      <c r="W2" s="239" t="s">
        <v>10</v>
      </c>
      <c r="X2" s="239"/>
      <c r="Y2" s="249" t="s">
        <v>11</v>
      </c>
      <c r="Z2" s="240" t="s">
        <v>13</v>
      </c>
      <c r="AC2" s="238" t="s">
        <v>9</v>
      </c>
      <c r="AD2" s="239" t="s">
        <v>10</v>
      </c>
      <c r="AE2" s="249" t="s">
        <v>11</v>
      </c>
      <c r="AF2" s="240" t="s">
        <v>13</v>
      </c>
      <c r="AG2" s="9"/>
      <c r="AI2" s="237" t="s">
        <v>8</v>
      </c>
      <c r="AK2" s="237" t="s">
        <v>8</v>
      </c>
      <c r="AM2" s="237" t="s">
        <v>8</v>
      </c>
      <c r="AO2" s="237" t="s">
        <v>8</v>
      </c>
      <c r="AP2" s="237"/>
      <c r="AQ2" s="237" t="s">
        <v>8</v>
      </c>
      <c r="AS2" s="237" t="s">
        <v>8</v>
      </c>
      <c r="AU2" s="237" t="s">
        <v>8</v>
      </c>
      <c r="AW2" s="237" t="s">
        <v>8</v>
      </c>
      <c r="AY2" s="237" t="s">
        <v>8</v>
      </c>
      <c r="BA2" s="237" t="s">
        <v>8</v>
      </c>
      <c r="BC2" s="237" t="s">
        <v>8</v>
      </c>
      <c r="BE2" s="237" t="s">
        <v>8</v>
      </c>
    </row>
    <row r="3" spans="1:57" ht="15.75" thickBot="1" x14ac:dyDescent="0.3">
      <c r="A3" s="7" t="s">
        <v>1382</v>
      </c>
      <c r="B3" s="241" t="s">
        <v>14</v>
      </c>
      <c r="C3" s="9"/>
      <c r="D3" s="242" t="s">
        <v>15</v>
      </c>
      <c r="E3" s="243"/>
      <c r="F3" s="244" t="s">
        <v>16</v>
      </c>
      <c r="G3" s="9"/>
      <c r="H3" s="241"/>
      <c r="I3" s="9"/>
      <c r="J3" s="242" t="s">
        <v>17</v>
      </c>
      <c r="K3" s="243"/>
      <c r="L3" s="243" t="s">
        <v>16</v>
      </c>
      <c r="M3" s="9"/>
      <c r="N3" s="244"/>
      <c r="P3" s="241" t="s">
        <v>18</v>
      </c>
      <c r="R3" s="242" t="s">
        <v>19</v>
      </c>
      <c r="S3" s="251"/>
      <c r="T3" s="252" t="s">
        <v>20</v>
      </c>
      <c r="U3" s="253"/>
      <c r="V3" s="242" t="s">
        <v>21</v>
      </c>
      <c r="W3" s="251"/>
      <c r="X3" s="251"/>
      <c r="Y3" s="252" t="s">
        <v>21</v>
      </c>
      <c r="Z3" s="253"/>
      <c r="AC3" s="242" t="s">
        <v>22</v>
      </c>
      <c r="AD3" s="251"/>
      <c r="AE3" s="252" t="s">
        <v>23</v>
      </c>
      <c r="AF3" s="253"/>
      <c r="AG3" s="32"/>
      <c r="AI3" s="241" t="s">
        <v>24</v>
      </c>
      <c r="AK3" s="241" t="s">
        <v>25</v>
      </c>
      <c r="AM3" s="241" t="s">
        <v>26</v>
      </c>
      <c r="AO3" s="241" t="s">
        <v>27</v>
      </c>
      <c r="AP3" s="241"/>
      <c r="AQ3" s="241" t="s">
        <v>28</v>
      </c>
      <c r="AS3" s="241" t="s">
        <v>29</v>
      </c>
      <c r="AU3" s="241" t="s">
        <v>30</v>
      </c>
      <c r="AW3" s="241" t="s">
        <v>31</v>
      </c>
      <c r="AY3" s="241" t="s">
        <v>32</v>
      </c>
      <c r="BA3" s="241" t="s">
        <v>33</v>
      </c>
      <c r="BC3" s="241" t="s">
        <v>1276</v>
      </c>
      <c r="BE3" s="241" t="s">
        <v>1277</v>
      </c>
    </row>
    <row r="4" spans="1:57" x14ac:dyDescent="0.25">
      <c r="A4" s="7"/>
    </row>
    <row r="5" spans="1:57" hidden="1" x14ac:dyDescent="0.25">
      <c r="A5" s="287" t="s">
        <v>34</v>
      </c>
      <c r="B5" s="288">
        <v>495770</v>
      </c>
      <c r="C5" s="288"/>
      <c r="D5" s="288"/>
      <c r="E5" s="288"/>
      <c r="F5" s="288">
        <v>300054</v>
      </c>
      <c r="G5" s="288"/>
      <c r="H5" s="288">
        <f>F5-B5</f>
        <v>-195716</v>
      </c>
      <c r="I5" s="288"/>
      <c r="J5" s="288"/>
      <c r="K5" s="288"/>
      <c r="L5" s="288">
        <v>300054</v>
      </c>
      <c r="M5" s="288"/>
      <c r="N5" s="288">
        <f>L5-F5</f>
        <v>0</v>
      </c>
      <c r="O5" s="289"/>
      <c r="P5" s="288">
        <v>365680</v>
      </c>
      <c r="Q5" s="289"/>
      <c r="R5" s="289"/>
      <c r="S5" s="289"/>
      <c r="T5" s="288">
        <v>432011</v>
      </c>
      <c r="U5" s="289">
        <f>T5-P5</f>
        <v>66331</v>
      </c>
      <c r="V5" s="289"/>
      <c r="W5" s="289"/>
      <c r="X5" s="289"/>
      <c r="Y5" s="288">
        <v>432011</v>
      </c>
      <c r="Z5" s="289">
        <f>Y5-T5</f>
        <v>0</v>
      </c>
      <c r="AA5" s="289"/>
      <c r="AB5" s="289"/>
      <c r="AC5" s="289"/>
      <c r="AD5" s="289"/>
      <c r="AE5" s="288">
        <v>432011</v>
      </c>
      <c r="AF5" s="289"/>
      <c r="AG5" s="289"/>
      <c r="AH5" s="289"/>
      <c r="AI5" s="288">
        <v>425373</v>
      </c>
      <c r="AJ5" s="289"/>
      <c r="AK5" s="288">
        <f>AI16</f>
        <v>476612.18140000012</v>
      </c>
      <c r="AL5" s="289"/>
      <c r="AM5" s="288">
        <f>AK16</f>
        <v>469627.65221700002</v>
      </c>
      <c r="AN5" s="289"/>
      <c r="AO5" s="288">
        <f>AM16</f>
        <v>421035.4523206976</v>
      </c>
      <c r="AP5" s="288"/>
      <c r="AQ5" s="288">
        <f>AO16</f>
        <v>516084.33185344562</v>
      </c>
      <c r="AR5" s="290"/>
      <c r="AS5" s="288">
        <f>AQ16</f>
        <v>366070.86613970087</v>
      </c>
      <c r="AT5" s="290"/>
      <c r="AU5" s="288">
        <f>AS16</f>
        <v>482452.36664376629</v>
      </c>
      <c r="AV5" s="290"/>
      <c r="AW5" s="288">
        <f>AU16</f>
        <v>535328.65119714069</v>
      </c>
      <c r="AX5" s="290"/>
      <c r="AY5" s="288">
        <f>AW16</f>
        <v>644533.75559449254</v>
      </c>
      <c r="AZ5" s="290"/>
      <c r="BA5" s="291">
        <f>AY16</f>
        <v>688937.77577273885</v>
      </c>
    </row>
    <row r="6" spans="1:57" hidden="1" x14ac:dyDescent="0.25">
      <c r="A6" s="292"/>
      <c r="B6" s="293"/>
      <c r="C6" s="293"/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  <c r="P6" s="293"/>
      <c r="Q6" s="294"/>
      <c r="R6" s="294"/>
      <c r="S6" s="294"/>
      <c r="T6" s="293"/>
      <c r="U6" s="294"/>
      <c r="V6" s="294"/>
      <c r="W6" s="294"/>
      <c r="X6" s="294"/>
      <c r="Y6" s="293"/>
      <c r="Z6" s="294"/>
      <c r="AA6" s="294"/>
      <c r="AB6" s="294"/>
      <c r="AC6" s="294"/>
      <c r="AD6" s="294"/>
      <c r="AE6" s="293"/>
      <c r="AF6" s="294"/>
      <c r="AG6" s="294"/>
      <c r="AH6" s="294"/>
      <c r="AI6" s="293"/>
      <c r="AJ6" s="294"/>
      <c r="AK6" s="293"/>
      <c r="AL6" s="294"/>
      <c r="AM6" s="293"/>
      <c r="AN6" s="294"/>
      <c r="AO6" s="293"/>
      <c r="AP6" s="293"/>
      <c r="AQ6" s="293"/>
      <c r="AR6" s="295"/>
      <c r="AS6" s="293"/>
      <c r="AT6" s="295"/>
      <c r="AU6" s="293"/>
      <c r="AV6" s="295"/>
      <c r="AW6" s="293"/>
      <c r="AX6" s="295"/>
      <c r="AY6" s="293"/>
      <c r="AZ6" s="295"/>
      <c r="BA6" s="296"/>
    </row>
    <row r="7" spans="1:57" hidden="1" x14ac:dyDescent="0.25">
      <c r="A7" s="297" t="s">
        <v>35</v>
      </c>
      <c r="B7" s="293">
        <v>684000</v>
      </c>
      <c r="C7" s="293"/>
      <c r="D7" s="293"/>
      <c r="E7" s="293"/>
      <c r="F7" s="293">
        <f>F54</f>
        <v>474000</v>
      </c>
      <c r="G7" s="293"/>
      <c r="H7" s="293">
        <f t="shared" ref="H7:H26" si="0">F7-B7</f>
        <v>-210000</v>
      </c>
      <c r="I7" s="293"/>
      <c r="J7" s="293"/>
      <c r="K7" s="293"/>
      <c r="L7" s="293">
        <f>L54</f>
        <v>487698</v>
      </c>
      <c r="M7" s="293"/>
      <c r="N7" s="293">
        <f t="shared" ref="N7:N16" si="1">L7-F7</f>
        <v>13698</v>
      </c>
      <c r="O7" s="294"/>
      <c r="P7" s="293">
        <f>P54</f>
        <v>541190</v>
      </c>
      <c r="Q7" s="294"/>
      <c r="R7" s="294"/>
      <c r="S7" s="294"/>
      <c r="T7" s="293">
        <f>T54</f>
        <v>541190</v>
      </c>
      <c r="U7" s="294">
        <f t="shared" ref="U7:U16" si="2">T7-P7</f>
        <v>0</v>
      </c>
      <c r="V7" s="294"/>
      <c r="W7" s="294"/>
      <c r="X7" s="294"/>
      <c r="Y7" s="293">
        <f>Y54</f>
        <v>558890</v>
      </c>
      <c r="Z7" s="294">
        <f>Y7-T7</f>
        <v>17700</v>
      </c>
      <c r="AA7" s="294"/>
      <c r="AB7" s="294"/>
      <c r="AC7" s="294"/>
      <c r="AD7" s="294"/>
      <c r="AE7" s="293">
        <f>AE54</f>
        <v>565520</v>
      </c>
      <c r="AF7" s="293">
        <f>AE7-Y7</f>
        <v>6630</v>
      </c>
      <c r="AG7" s="293"/>
      <c r="AH7" s="294"/>
      <c r="AI7" s="293">
        <f>AI54</f>
        <v>638989.25</v>
      </c>
      <c r="AJ7" s="294"/>
      <c r="AK7" s="293">
        <f>AK54</f>
        <v>701170.97875000001</v>
      </c>
      <c r="AL7" s="294"/>
      <c r="AM7" s="293">
        <f>AM54</f>
        <v>770442.41564375011</v>
      </c>
      <c r="AN7" s="294"/>
      <c r="AO7" s="293">
        <f>AO54</f>
        <v>850951.808332594</v>
      </c>
      <c r="AP7" s="293"/>
      <c r="AQ7" s="293">
        <f>AQ54</f>
        <v>913057.01080759126</v>
      </c>
      <c r="AR7" s="295"/>
      <c r="AS7" s="293">
        <f>AS54</f>
        <v>979724.70356246398</v>
      </c>
      <c r="AT7" s="295"/>
      <c r="AU7" s="293">
        <f>AU54</f>
        <v>1027916.8747607492</v>
      </c>
      <c r="AV7" s="295"/>
      <c r="AW7" s="293">
        <f>AW54</f>
        <v>1075088.0254572679</v>
      </c>
      <c r="AX7" s="295"/>
      <c r="AY7" s="293">
        <f>AY54</f>
        <v>1127095.3350765251</v>
      </c>
      <c r="AZ7" s="295"/>
      <c r="BA7" s="296">
        <f>BA54</f>
        <v>1181691.835160773</v>
      </c>
    </row>
    <row r="8" spans="1:57" hidden="1" x14ac:dyDescent="0.25">
      <c r="A8" s="297" t="s">
        <v>36</v>
      </c>
      <c r="B8" s="298">
        <v>243000</v>
      </c>
      <c r="C8" s="293"/>
      <c r="D8" s="293"/>
      <c r="E8" s="293"/>
      <c r="F8" s="298">
        <f>F61</f>
        <v>145000</v>
      </c>
      <c r="G8" s="293"/>
      <c r="H8" s="298">
        <f t="shared" si="0"/>
        <v>-98000</v>
      </c>
      <c r="I8" s="293"/>
      <c r="J8" s="293"/>
      <c r="K8" s="293"/>
      <c r="L8" s="298">
        <f>L61</f>
        <v>145000</v>
      </c>
      <c r="M8" s="293"/>
      <c r="N8" s="298">
        <f t="shared" si="1"/>
        <v>0</v>
      </c>
      <c r="O8" s="294"/>
      <c r="P8" s="298">
        <f>P61</f>
        <v>145000</v>
      </c>
      <c r="Q8" s="294"/>
      <c r="R8" s="294"/>
      <c r="S8" s="294"/>
      <c r="T8" s="298">
        <f>T61</f>
        <v>163000</v>
      </c>
      <c r="U8" s="294">
        <f t="shared" si="2"/>
        <v>18000</v>
      </c>
      <c r="V8" s="294"/>
      <c r="W8" s="294"/>
      <c r="X8" s="294"/>
      <c r="Y8" s="298">
        <f>Y61</f>
        <v>163000</v>
      </c>
      <c r="Z8" s="294">
        <f>Y8-T8</f>
        <v>0</v>
      </c>
      <c r="AA8" s="294"/>
      <c r="AB8" s="294"/>
      <c r="AC8" s="294"/>
      <c r="AD8" s="294"/>
      <c r="AE8" s="298">
        <f>AE61</f>
        <v>163000</v>
      </c>
      <c r="AF8" s="298">
        <f>AE8-Y8</f>
        <v>0</v>
      </c>
      <c r="AG8" s="293"/>
      <c r="AH8" s="294"/>
      <c r="AI8" s="298">
        <f>AI61-AI60</f>
        <v>145000</v>
      </c>
      <c r="AJ8" s="294"/>
      <c r="AK8" s="298">
        <f>AK61-AK60</f>
        <v>145000</v>
      </c>
      <c r="AL8" s="294"/>
      <c r="AM8" s="298">
        <f>AM61-AM60</f>
        <v>145000</v>
      </c>
      <c r="AN8" s="294"/>
      <c r="AO8" s="298">
        <f>AO61-AO60</f>
        <v>145000</v>
      </c>
      <c r="AP8" s="298"/>
      <c r="AQ8" s="298">
        <f>AQ61-AQ60</f>
        <v>145000</v>
      </c>
      <c r="AR8" s="295"/>
      <c r="AS8" s="298">
        <f>AS61-AS60</f>
        <v>145000</v>
      </c>
      <c r="AT8" s="295"/>
      <c r="AU8" s="298">
        <f>AU61-AU60</f>
        <v>145000</v>
      </c>
      <c r="AV8" s="295"/>
      <c r="AW8" s="298">
        <f>AW61-AW60</f>
        <v>145000</v>
      </c>
      <c r="AX8" s="295"/>
      <c r="AY8" s="298">
        <f>AY61-AY60</f>
        <v>145000</v>
      </c>
      <c r="AZ8" s="295"/>
      <c r="BA8" s="299">
        <f>BA61-BA60</f>
        <v>145000</v>
      </c>
    </row>
    <row r="9" spans="1:57" hidden="1" x14ac:dyDescent="0.25">
      <c r="A9" s="292"/>
      <c r="B9" s="293">
        <f>B7+B8</f>
        <v>927000</v>
      </c>
      <c r="C9" s="293"/>
      <c r="D9" s="293"/>
      <c r="E9" s="293"/>
      <c r="F9" s="293">
        <f>F7+F8</f>
        <v>619000</v>
      </c>
      <c r="G9" s="293"/>
      <c r="H9" s="293">
        <f t="shared" si="0"/>
        <v>-308000</v>
      </c>
      <c r="I9" s="293"/>
      <c r="J9" s="293"/>
      <c r="K9" s="293"/>
      <c r="L9" s="293">
        <f>L7+L8</f>
        <v>632698</v>
      </c>
      <c r="M9" s="293"/>
      <c r="N9" s="293">
        <f t="shared" si="1"/>
        <v>13698</v>
      </c>
      <c r="O9" s="294"/>
      <c r="P9" s="293">
        <f>P7+P8</f>
        <v>686190</v>
      </c>
      <c r="Q9" s="294"/>
      <c r="R9" s="294"/>
      <c r="S9" s="294"/>
      <c r="T9" s="293">
        <f>T7+T8</f>
        <v>704190</v>
      </c>
      <c r="U9" s="294">
        <f t="shared" si="2"/>
        <v>18000</v>
      </c>
      <c r="V9" s="294"/>
      <c r="W9" s="294"/>
      <c r="X9" s="294"/>
      <c r="Y9" s="293">
        <f>Y7+Y8</f>
        <v>721890</v>
      </c>
      <c r="Z9" s="294">
        <f>Y9-T9</f>
        <v>17700</v>
      </c>
      <c r="AA9" s="294"/>
      <c r="AB9" s="294"/>
      <c r="AC9" s="294"/>
      <c r="AD9" s="294"/>
      <c r="AE9" s="293">
        <f>AE7+AE8</f>
        <v>728520</v>
      </c>
      <c r="AF9" s="293">
        <f>AE9-Y9</f>
        <v>6630</v>
      </c>
      <c r="AG9" s="293"/>
      <c r="AH9" s="294"/>
      <c r="AI9" s="293">
        <f>AI7+AI8</f>
        <v>783989.25</v>
      </c>
      <c r="AJ9" s="294"/>
      <c r="AK9" s="293">
        <f>AK7+AK8</f>
        <v>846170.97875000001</v>
      </c>
      <c r="AL9" s="294"/>
      <c r="AM9" s="293">
        <f>AM7+AM8</f>
        <v>915442.41564375011</v>
      </c>
      <c r="AN9" s="294"/>
      <c r="AO9" s="293">
        <f>AO7+AO8</f>
        <v>995951.808332594</v>
      </c>
      <c r="AP9" s="293"/>
      <c r="AQ9" s="293">
        <f>AQ7+AQ8</f>
        <v>1058057.0108075913</v>
      </c>
      <c r="AR9" s="295"/>
      <c r="AS9" s="293">
        <f>AS7+AS8</f>
        <v>1124724.7035624641</v>
      </c>
      <c r="AT9" s="295"/>
      <c r="AU9" s="293">
        <f>AU7+AU8</f>
        <v>1172916.8747607493</v>
      </c>
      <c r="AV9" s="295"/>
      <c r="AW9" s="293">
        <f>AW7+AW8</f>
        <v>1220088.0254572679</v>
      </c>
      <c r="AX9" s="295"/>
      <c r="AY9" s="293">
        <f>AY7+AY8</f>
        <v>1272095.3350765251</v>
      </c>
      <c r="AZ9" s="295"/>
      <c r="BA9" s="296">
        <f>BA7+BA8</f>
        <v>1326691.835160773</v>
      </c>
    </row>
    <row r="10" spans="1:57" hidden="1" x14ac:dyDescent="0.25">
      <c r="A10" s="297"/>
      <c r="B10" s="293"/>
      <c r="C10" s="293"/>
      <c r="D10" s="293"/>
      <c r="E10" s="293"/>
      <c r="F10" s="293"/>
      <c r="G10" s="293"/>
      <c r="H10" s="293">
        <f t="shared" si="0"/>
        <v>0</v>
      </c>
      <c r="I10" s="293"/>
      <c r="J10" s="293"/>
      <c r="K10" s="293"/>
      <c r="L10" s="293"/>
      <c r="M10" s="293"/>
      <c r="N10" s="293">
        <f t="shared" si="1"/>
        <v>0</v>
      </c>
      <c r="O10" s="294"/>
      <c r="P10" s="293"/>
      <c r="Q10" s="294"/>
      <c r="R10" s="294"/>
      <c r="S10" s="294"/>
      <c r="T10" s="293"/>
      <c r="U10" s="294"/>
      <c r="V10" s="294"/>
      <c r="W10" s="294"/>
      <c r="X10" s="294"/>
      <c r="Y10" s="293"/>
      <c r="Z10" s="294"/>
      <c r="AA10" s="294"/>
      <c r="AB10" s="294"/>
      <c r="AC10" s="294"/>
      <c r="AD10" s="294"/>
      <c r="AE10" s="293"/>
      <c r="AF10" s="293"/>
      <c r="AG10" s="293"/>
      <c r="AH10" s="294"/>
      <c r="AI10" s="293"/>
      <c r="AJ10" s="294"/>
      <c r="AK10" s="293"/>
      <c r="AL10" s="294"/>
      <c r="AM10" s="293"/>
      <c r="AN10" s="294"/>
      <c r="AO10" s="293"/>
      <c r="AP10" s="293"/>
      <c r="AQ10" s="293"/>
      <c r="AR10" s="295"/>
      <c r="AS10" s="293"/>
      <c r="AT10" s="295"/>
      <c r="AU10" s="293"/>
      <c r="AV10" s="295"/>
      <c r="AW10" s="293"/>
      <c r="AX10" s="295"/>
      <c r="AY10" s="293"/>
      <c r="AZ10" s="295"/>
      <c r="BA10" s="296"/>
    </row>
    <row r="11" spans="1:57" hidden="1" x14ac:dyDescent="0.25">
      <c r="A11" s="297" t="s">
        <v>37</v>
      </c>
      <c r="B11" s="293">
        <f>B103</f>
        <v>476800</v>
      </c>
      <c r="C11" s="293"/>
      <c r="D11" s="293"/>
      <c r="E11" s="293"/>
      <c r="F11" s="293">
        <f>F103</f>
        <v>476802</v>
      </c>
      <c r="G11" s="293"/>
      <c r="H11" s="293">
        <f t="shared" si="0"/>
        <v>2</v>
      </c>
      <c r="I11" s="293"/>
      <c r="J11" s="293"/>
      <c r="K11" s="293"/>
      <c r="L11" s="293">
        <f>L103</f>
        <v>487072</v>
      </c>
      <c r="M11" s="293"/>
      <c r="N11" s="293">
        <f t="shared" si="1"/>
        <v>10270</v>
      </c>
      <c r="O11" s="294"/>
      <c r="P11" s="293">
        <f>P103</f>
        <v>508497.36699999997</v>
      </c>
      <c r="Q11" s="294"/>
      <c r="R11" s="294"/>
      <c r="S11" s="294"/>
      <c r="T11" s="293">
        <f>T103</f>
        <v>526900</v>
      </c>
      <c r="U11" s="294">
        <f t="shared" si="2"/>
        <v>18402.633000000031</v>
      </c>
      <c r="V11" s="293"/>
      <c r="W11" s="293"/>
      <c r="X11" s="293"/>
      <c r="Y11" s="293">
        <f>Y103</f>
        <v>533800</v>
      </c>
      <c r="Z11" s="294">
        <f>Y11-T11</f>
        <v>6900</v>
      </c>
      <c r="AA11" s="293"/>
      <c r="AB11" s="293"/>
      <c r="AC11" s="293"/>
      <c r="AD11" s="293"/>
      <c r="AE11" s="293">
        <f>AE103</f>
        <v>531550</v>
      </c>
      <c r="AF11" s="293">
        <f>AE11-Y11</f>
        <v>-2250</v>
      </c>
      <c r="AG11" s="293"/>
      <c r="AH11" s="293"/>
      <c r="AI11" s="293">
        <f>AI103</f>
        <v>511750.06859999994</v>
      </c>
      <c r="AJ11" s="293"/>
      <c r="AK11" s="293">
        <f>AK103</f>
        <v>526155.5079330001</v>
      </c>
      <c r="AL11" s="293"/>
      <c r="AM11" s="293">
        <f>AM103</f>
        <v>540334.61554005253</v>
      </c>
      <c r="AN11" s="293"/>
      <c r="AO11" s="293">
        <f>AO103</f>
        <v>571902.92879984598</v>
      </c>
      <c r="AP11" s="293"/>
      <c r="AQ11" s="293">
        <f>AQ103</f>
        <v>567870.47652133601</v>
      </c>
      <c r="AR11" s="293"/>
      <c r="AS11" s="293">
        <f>AS103</f>
        <v>582343.20305839868</v>
      </c>
      <c r="AT11" s="293">
        <f>AU103</f>
        <v>617340.59020737489</v>
      </c>
      <c r="AU11" s="293">
        <f>AU103</f>
        <v>617340.59020737489</v>
      </c>
      <c r="AV11" s="293">
        <f>AW103</f>
        <v>632882.92105991603</v>
      </c>
      <c r="AW11" s="293">
        <f>AW103</f>
        <v>632882.92105991603</v>
      </c>
      <c r="AX11" s="293"/>
      <c r="AY11" s="293">
        <f>AY103</f>
        <v>648991.3148982788</v>
      </c>
      <c r="AZ11" s="295"/>
      <c r="BA11" s="296">
        <f>BA103</f>
        <v>665687.76368069812</v>
      </c>
    </row>
    <row r="12" spans="1:57" hidden="1" x14ac:dyDescent="0.25">
      <c r="A12" s="297" t="s">
        <v>38</v>
      </c>
      <c r="B12" s="298">
        <f>B133</f>
        <v>81250</v>
      </c>
      <c r="C12" s="293"/>
      <c r="D12" s="293"/>
      <c r="E12" s="293"/>
      <c r="F12" s="298">
        <f>F133</f>
        <v>81250</v>
      </c>
      <c r="G12" s="293"/>
      <c r="H12" s="298">
        <f t="shared" si="0"/>
        <v>0</v>
      </c>
      <c r="I12" s="293"/>
      <c r="J12" s="293"/>
      <c r="K12" s="293"/>
      <c r="L12" s="298">
        <f>L133</f>
        <v>80000</v>
      </c>
      <c r="M12" s="293"/>
      <c r="N12" s="298">
        <f t="shared" si="1"/>
        <v>-1250</v>
      </c>
      <c r="O12" s="294"/>
      <c r="P12" s="298">
        <f>P133</f>
        <v>118000</v>
      </c>
      <c r="Q12" s="294"/>
      <c r="R12" s="294"/>
      <c r="S12" s="294"/>
      <c r="T12" s="298">
        <f>T133</f>
        <v>118000</v>
      </c>
      <c r="U12" s="294">
        <f t="shared" si="2"/>
        <v>0</v>
      </c>
      <c r="V12" s="293"/>
      <c r="W12" s="293"/>
      <c r="X12" s="293"/>
      <c r="Y12" s="298">
        <f>Y133</f>
        <v>118000</v>
      </c>
      <c r="Z12" s="294">
        <f>Y12-T12</f>
        <v>0</v>
      </c>
      <c r="AA12" s="293"/>
      <c r="AB12" s="293"/>
      <c r="AC12" s="293"/>
      <c r="AD12" s="293"/>
      <c r="AE12" s="298">
        <f>AE133</f>
        <v>109200</v>
      </c>
      <c r="AF12" s="298">
        <f>AE12-Y12</f>
        <v>-8800</v>
      </c>
      <c r="AG12" s="293"/>
      <c r="AH12" s="293"/>
      <c r="AI12" s="298">
        <f>AI133</f>
        <v>221000</v>
      </c>
      <c r="AJ12" s="293"/>
      <c r="AK12" s="298">
        <f>AK133</f>
        <v>327000</v>
      </c>
      <c r="AL12" s="293"/>
      <c r="AM12" s="298">
        <f>AM133</f>
        <v>423700</v>
      </c>
      <c r="AN12" s="293"/>
      <c r="AO12" s="298">
        <f>AO133</f>
        <v>329000</v>
      </c>
      <c r="AP12" s="298"/>
      <c r="AQ12" s="298">
        <f>AQ133</f>
        <v>640200</v>
      </c>
      <c r="AR12" s="293"/>
      <c r="AS12" s="298">
        <f>AS133</f>
        <v>426000</v>
      </c>
      <c r="AT12" s="293">
        <f>AU133</f>
        <v>502700</v>
      </c>
      <c r="AU12" s="298">
        <f>AU133</f>
        <v>502700</v>
      </c>
      <c r="AV12" s="293">
        <f>AW133</f>
        <v>478000</v>
      </c>
      <c r="AW12" s="298">
        <f>AW133</f>
        <v>478000</v>
      </c>
      <c r="AX12" s="295"/>
      <c r="AY12" s="298">
        <f>AY133</f>
        <v>578700</v>
      </c>
      <c r="AZ12" s="295"/>
      <c r="BA12" s="299">
        <f>BA133</f>
        <v>578700</v>
      </c>
    </row>
    <row r="13" spans="1:57" hidden="1" x14ac:dyDescent="0.25">
      <c r="A13" s="292"/>
      <c r="B13" s="293">
        <f>B11+B12</f>
        <v>558050</v>
      </c>
      <c r="C13" s="293"/>
      <c r="D13" s="293"/>
      <c r="E13" s="293"/>
      <c r="F13" s="293">
        <f>F11+F12</f>
        <v>558052</v>
      </c>
      <c r="G13" s="293"/>
      <c r="H13" s="293">
        <f t="shared" si="0"/>
        <v>2</v>
      </c>
      <c r="I13" s="293"/>
      <c r="J13" s="293"/>
      <c r="K13" s="293"/>
      <c r="L13" s="293">
        <f>L11+L12</f>
        <v>567072</v>
      </c>
      <c r="M13" s="293"/>
      <c r="N13" s="293">
        <f t="shared" si="1"/>
        <v>9020</v>
      </c>
      <c r="O13" s="294"/>
      <c r="P13" s="293">
        <f>P11+P12</f>
        <v>626497.36699999997</v>
      </c>
      <c r="Q13" s="294"/>
      <c r="R13" s="294"/>
      <c r="S13" s="294"/>
      <c r="T13" s="293">
        <f>T11+T12</f>
        <v>644900</v>
      </c>
      <c r="U13" s="294">
        <f t="shared" si="2"/>
        <v>18402.633000000031</v>
      </c>
      <c r="V13" s="293"/>
      <c r="W13" s="293"/>
      <c r="X13" s="293"/>
      <c r="Y13" s="293">
        <f>Y11+Y12</f>
        <v>651800</v>
      </c>
      <c r="Z13" s="294">
        <f>Y13-T13</f>
        <v>6900</v>
      </c>
      <c r="AA13" s="293"/>
      <c r="AB13" s="293"/>
      <c r="AC13" s="293"/>
      <c r="AD13" s="293"/>
      <c r="AE13" s="293">
        <f>AE11+AE12</f>
        <v>640750</v>
      </c>
      <c r="AF13" s="293">
        <f>AE13-Y13</f>
        <v>-11050</v>
      </c>
      <c r="AG13" s="293"/>
      <c r="AH13" s="293"/>
      <c r="AI13" s="293">
        <f>AI11+AI12</f>
        <v>732750.06859999988</v>
      </c>
      <c r="AJ13" s="293"/>
      <c r="AK13" s="293">
        <f>AK11+AK12</f>
        <v>853155.5079330001</v>
      </c>
      <c r="AL13" s="293"/>
      <c r="AM13" s="293">
        <f>AM11+AM12</f>
        <v>964034.61554005253</v>
      </c>
      <c r="AN13" s="293">
        <f>AN11+AN12</f>
        <v>0</v>
      </c>
      <c r="AO13" s="293">
        <f>AO11+AO12</f>
        <v>900902.92879984598</v>
      </c>
      <c r="AP13" s="293"/>
      <c r="AQ13" s="293">
        <f>AQ11+AQ12</f>
        <v>1208070.476521336</v>
      </c>
      <c r="AR13" s="293"/>
      <c r="AS13" s="293">
        <f>AS11+AS12</f>
        <v>1008343.2030583987</v>
      </c>
      <c r="AT13" s="293">
        <f>AT11+AT12</f>
        <v>1120040.5902073749</v>
      </c>
      <c r="AU13" s="293">
        <f>AU11+AU12</f>
        <v>1120040.5902073749</v>
      </c>
      <c r="AV13" s="293">
        <f>AV11+AV12</f>
        <v>1110882.921059916</v>
      </c>
      <c r="AW13" s="293">
        <f>AW11+AW12</f>
        <v>1110882.921059916</v>
      </c>
      <c r="AX13" s="295"/>
      <c r="AY13" s="293">
        <f>AY11+AY12</f>
        <v>1227691.3148982788</v>
      </c>
      <c r="AZ13" s="295"/>
      <c r="BA13" s="296">
        <f>BA11+BA12</f>
        <v>1244387.7636806981</v>
      </c>
    </row>
    <row r="14" spans="1:57" hidden="1" x14ac:dyDescent="0.25">
      <c r="A14" s="292"/>
      <c r="B14" s="293"/>
      <c r="C14" s="293"/>
      <c r="D14" s="293"/>
      <c r="E14" s="293"/>
      <c r="F14" s="293"/>
      <c r="G14" s="293"/>
      <c r="H14" s="293">
        <f t="shared" si="0"/>
        <v>0</v>
      </c>
      <c r="I14" s="293"/>
      <c r="J14" s="293"/>
      <c r="K14" s="293"/>
      <c r="L14" s="293"/>
      <c r="M14" s="293"/>
      <c r="N14" s="293">
        <f t="shared" si="1"/>
        <v>0</v>
      </c>
      <c r="O14" s="294"/>
      <c r="P14" s="293"/>
      <c r="Q14" s="294"/>
      <c r="R14" s="294"/>
      <c r="S14" s="294"/>
      <c r="T14" s="293"/>
      <c r="U14" s="294"/>
      <c r="V14" s="294"/>
      <c r="W14" s="294"/>
      <c r="X14" s="294"/>
      <c r="Y14" s="293"/>
      <c r="Z14" s="294"/>
      <c r="AA14" s="294"/>
      <c r="AB14" s="294"/>
      <c r="AC14" s="294"/>
      <c r="AD14" s="294"/>
      <c r="AE14" s="293"/>
      <c r="AF14" s="293"/>
      <c r="AG14" s="293"/>
      <c r="AH14" s="294"/>
      <c r="AI14" s="293"/>
      <c r="AJ14" s="294"/>
      <c r="AK14" s="293"/>
      <c r="AL14" s="294"/>
      <c r="AM14" s="293"/>
      <c r="AN14" s="294"/>
      <c r="AO14" s="293"/>
      <c r="AP14" s="293"/>
      <c r="AQ14" s="293"/>
      <c r="AR14" s="295"/>
      <c r="AS14" s="293"/>
      <c r="AT14" s="295"/>
      <c r="AU14" s="293"/>
      <c r="AV14" s="295"/>
      <c r="AW14" s="293"/>
      <c r="AX14" s="295"/>
      <c r="AY14" s="293"/>
      <c r="AZ14" s="295"/>
      <c r="BA14" s="296"/>
    </row>
    <row r="15" spans="1:57" hidden="1" x14ac:dyDescent="0.25">
      <c r="A15" s="297" t="s">
        <v>41</v>
      </c>
      <c r="B15" s="298">
        <f>B9-B13</f>
        <v>368950</v>
      </c>
      <c r="C15" s="293"/>
      <c r="D15" s="293"/>
      <c r="E15" s="293"/>
      <c r="F15" s="298">
        <f>F9-F13</f>
        <v>60948</v>
      </c>
      <c r="G15" s="293"/>
      <c r="H15" s="298">
        <f t="shared" si="0"/>
        <v>-308002</v>
      </c>
      <c r="I15" s="293"/>
      <c r="J15" s="293"/>
      <c r="K15" s="293"/>
      <c r="L15" s="298">
        <f>L9-L13</f>
        <v>65626</v>
      </c>
      <c r="M15" s="293"/>
      <c r="N15" s="298">
        <f t="shared" si="1"/>
        <v>4678</v>
      </c>
      <c r="O15" s="294"/>
      <c r="P15" s="298">
        <f>P9-P13</f>
        <v>59692.633000000031</v>
      </c>
      <c r="Q15" s="294"/>
      <c r="R15" s="294"/>
      <c r="S15" s="294"/>
      <c r="T15" s="298">
        <f>T9-T13</f>
        <v>59290</v>
      </c>
      <c r="U15" s="300">
        <f t="shared" si="2"/>
        <v>-402.63300000003073</v>
      </c>
      <c r="V15" s="294"/>
      <c r="W15" s="294"/>
      <c r="X15" s="294"/>
      <c r="Y15" s="298">
        <f>Y9-Y13</f>
        <v>70090</v>
      </c>
      <c r="Z15" s="300">
        <f>Y15-T15</f>
        <v>10800</v>
      </c>
      <c r="AA15" s="294"/>
      <c r="AB15" s="294"/>
      <c r="AC15" s="294"/>
      <c r="AD15" s="294"/>
      <c r="AE15" s="298">
        <f>AE9-AE13</f>
        <v>87770</v>
      </c>
      <c r="AF15" s="298">
        <f>AE15-Y15</f>
        <v>17680</v>
      </c>
      <c r="AG15" s="293"/>
      <c r="AH15" s="294"/>
      <c r="AI15" s="298">
        <f>AI9-AI13</f>
        <v>51239.181400000118</v>
      </c>
      <c r="AJ15" s="294"/>
      <c r="AK15" s="298">
        <f>AK9-AK13</f>
        <v>-6984.5291830000933</v>
      </c>
      <c r="AL15" s="294"/>
      <c r="AM15" s="298">
        <f>AM9-AM13</f>
        <v>-48592.199896302423</v>
      </c>
      <c r="AN15" s="294"/>
      <c r="AO15" s="298">
        <f>AO9-AO13</f>
        <v>95048.879532748018</v>
      </c>
      <c r="AP15" s="298"/>
      <c r="AQ15" s="298">
        <f>AQ9-AQ13</f>
        <v>-150013.46571374475</v>
      </c>
      <c r="AR15" s="295"/>
      <c r="AS15" s="298">
        <f>AS9-AS13</f>
        <v>116381.50050406542</v>
      </c>
      <c r="AT15" s="295"/>
      <c r="AU15" s="298">
        <f>AU9-AU13</f>
        <v>52876.284553374397</v>
      </c>
      <c r="AV15" s="295"/>
      <c r="AW15" s="298">
        <f>AW9-AW13</f>
        <v>109205.10439735185</v>
      </c>
      <c r="AX15" s="295"/>
      <c r="AY15" s="298">
        <f>AY9-AY13</f>
        <v>44404.020178246312</v>
      </c>
      <c r="AZ15" s="295"/>
      <c r="BA15" s="299">
        <f>BA9-BA13</f>
        <v>82304.071480074897</v>
      </c>
    </row>
    <row r="16" spans="1:57" hidden="1" x14ac:dyDescent="0.25">
      <c r="A16" s="297" t="s">
        <v>42</v>
      </c>
      <c r="B16" s="293">
        <f>B5+B15</f>
        <v>864720</v>
      </c>
      <c r="C16" s="293"/>
      <c r="D16" s="293"/>
      <c r="E16" s="293"/>
      <c r="F16" s="293">
        <f>F5+F15</f>
        <v>361002</v>
      </c>
      <c r="G16" s="293"/>
      <c r="H16" s="293">
        <f t="shared" si="0"/>
        <v>-503718</v>
      </c>
      <c r="I16" s="293"/>
      <c r="J16" s="293"/>
      <c r="K16" s="293"/>
      <c r="L16" s="293">
        <f>L5+L15</f>
        <v>365680</v>
      </c>
      <c r="M16" s="293"/>
      <c r="N16" s="293">
        <f t="shared" si="1"/>
        <v>4678</v>
      </c>
      <c r="O16" s="294"/>
      <c r="P16" s="293">
        <f>P5+P15</f>
        <v>425372.63300000003</v>
      </c>
      <c r="Q16" s="294"/>
      <c r="R16" s="294"/>
      <c r="S16" s="294"/>
      <c r="T16" s="293">
        <f>T5+T15</f>
        <v>491301</v>
      </c>
      <c r="U16" s="294">
        <f t="shared" si="2"/>
        <v>65928.366999999969</v>
      </c>
      <c r="V16" s="294"/>
      <c r="W16" s="294"/>
      <c r="X16" s="294"/>
      <c r="Y16" s="293">
        <f>Y5+Y15</f>
        <v>502101</v>
      </c>
      <c r="Z16" s="294">
        <f>Y16-T16</f>
        <v>10800</v>
      </c>
      <c r="AA16" s="294"/>
      <c r="AB16" s="294"/>
      <c r="AC16" s="294"/>
      <c r="AD16" s="294"/>
      <c r="AE16" s="293">
        <f>AE5+AE15</f>
        <v>519781</v>
      </c>
      <c r="AF16" s="293">
        <f>AE16-Y16</f>
        <v>17680</v>
      </c>
      <c r="AG16" s="293"/>
      <c r="AH16" s="294"/>
      <c r="AI16" s="293">
        <f>AI5+AI15</f>
        <v>476612.18140000012</v>
      </c>
      <c r="AJ16" s="294"/>
      <c r="AK16" s="293">
        <f>AK5+AK15</f>
        <v>469627.65221700002</v>
      </c>
      <c r="AL16" s="294"/>
      <c r="AM16" s="293">
        <f>AM5+AM15</f>
        <v>421035.4523206976</v>
      </c>
      <c r="AN16" s="294"/>
      <c r="AO16" s="293">
        <f>AO5+AO15</f>
        <v>516084.33185344562</v>
      </c>
      <c r="AP16" s="293"/>
      <c r="AQ16" s="293">
        <f>AQ5+AQ15</f>
        <v>366070.86613970087</v>
      </c>
      <c r="AR16" s="295"/>
      <c r="AS16" s="293">
        <f>AS5+AS15</f>
        <v>482452.36664376629</v>
      </c>
      <c r="AT16" s="295"/>
      <c r="AU16" s="293">
        <f>AU5+AU15</f>
        <v>535328.65119714069</v>
      </c>
      <c r="AV16" s="295"/>
      <c r="AW16" s="293">
        <f>AW5+AW15</f>
        <v>644533.75559449254</v>
      </c>
      <c r="AX16" s="295"/>
      <c r="AY16" s="293">
        <f>AY5+AY15</f>
        <v>688937.77577273885</v>
      </c>
      <c r="AZ16" s="295"/>
      <c r="BA16" s="296">
        <f>BA5+BA15</f>
        <v>771241.84725281375</v>
      </c>
    </row>
    <row r="17" spans="1:53" hidden="1" x14ac:dyDescent="0.25">
      <c r="A17" s="292" t="s">
        <v>1367</v>
      </c>
      <c r="B17" s="293"/>
      <c r="C17" s="293"/>
      <c r="D17" s="293"/>
      <c r="E17" s="293"/>
      <c r="F17" s="293"/>
      <c r="G17" s="293"/>
      <c r="H17" s="293"/>
      <c r="I17" s="293"/>
      <c r="J17" s="293"/>
      <c r="K17" s="293"/>
      <c r="L17" s="293"/>
      <c r="M17" s="293"/>
      <c r="N17" s="293"/>
      <c r="O17" s="294"/>
      <c r="P17" s="293"/>
      <c r="Q17" s="294"/>
      <c r="R17" s="294"/>
      <c r="S17" s="294"/>
      <c r="T17" s="293"/>
      <c r="U17" s="294"/>
      <c r="V17" s="294"/>
      <c r="W17" s="294"/>
      <c r="X17" s="294"/>
      <c r="Y17" s="293"/>
      <c r="Z17" s="294"/>
      <c r="AA17" s="294"/>
      <c r="AB17" s="294"/>
      <c r="AC17" s="294"/>
      <c r="AD17" s="294"/>
      <c r="AE17" s="293"/>
      <c r="AF17" s="293"/>
      <c r="AG17" s="293"/>
      <c r="AH17" s="294"/>
      <c r="AI17" s="293">
        <f>+B!AH1242</f>
        <v>51239.181400000118</v>
      </c>
      <c r="AJ17" s="293">
        <f>+B!AI1242</f>
        <v>0</v>
      </c>
      <c r="AK17" s="293">
        <f>+B!AJ1242</f>
        <v>-181984.52918300009</v>
      </c>
      <c r="AL17" s="293">
        <f>+B!AK1242</f>
        <v>0</v>
      </c>
      <c r="AM17" s="293">
        <f>+B!AL1242</f>
        <v>-223592.19989630242</v>
      </c>
      <c r="AN17" s="293">
        <f>+B!AM1242</f>
        <v>0</v>
      </c>
      <c r="AO17" s="293">
        <f>+B!AN1242</f>
        <v>95048.879532748018</v>
      </c>
      <c r="AP17" s="293">
        <f>+B!AO1242</f>
        <v>0</v>
      </c>
      <c r="AQ17" s="293">
        <f>+B!AP1242</f>
        <v>-150013.46571374475</v>
      </c>
      <c r="AR17" s="293">
        <f>+B!AQ1242</f>
        <v>0</v>
      </c>
      <c r="AS17" s="293">
        <f>+B!AR1242</f>
        <v>116381.50050406542</v>
      </c>
      <c r="AT17" s="293">
        <f>+B!AS1242</f>
        <v>0</v>
      </c>
      <c r="AU17" s="293">
        <f>+B!AT1242</f>
        <v>52876.284553374397</v>
      </c>
      <c r="AV17" s="293">
        <f>+B!AU1242</f>
        <v>0</v>
      </c>
      <c r="AW17" s="293">
        <f>+B!AV1242</f>
        <v>109205.10439735185</v>
      </c>
      <c r="AX17" s="293">
        <f>+B!AW1242</f>
        <v>0</v>
      </c>
      <c r="AY17" s="293">
        <f>+B!AX1242</f>
        <v>34294.020178246312</v>
      </c>
      <c r="AZ17" s="293">
        <f>+B!AY1242</f>
        <v>0</v>
      </c>
      <c r="BA17" s="296">
        <f>+B!AZ1242</f>
        <v>72194.071480074897</v>
      </c>
    </row>
    <row r="18" spans="1:53" hidden="1" x14ac:dyDescent="0.25">
      <c r="A18" s="292"/>
      <c r="B18" s="293"/>
      <c r="C18" s="293"/>
      <c r="D18" s="293"/>
      <c r="E18" s="293"/>
      <c r="F18" s="293"/>
      <c r="G18" s="293"/>
      <c r="H18" s="293"/>
      <c r="I18" s="293"/>
      <c r="J18" s="293"/>
      <c r="K18" s="293"/>
      <c r="L18" s="293"/>
      <c r="M18" s="293"/>
      <c r="N18" s="293"/>
      <c r="O18" s="294"/>
      <c r="P18" s="293"/>
      <c r="Q18" s="294"/>
      <c r="R18" s="294"/>
      <c r="S18" s="294"/>
      <c r="T18" s="293"/>
      <c r="U18" s="294"/>
      <c r="V18" s="294"/>
      <c r="W18" s="294"/>
      <c r="X18" s="294"/>
      <c r="Y18" s="293"/>
      <c r="Z18" s="294"/>
      <c r="AA18" s="294"/>
      <c r="AB18" s="294"/>
      <c r="AC18" s="294"/>
      <c r="AD18" s="294"/>
      <c r="AE18" s="293"/>
      <c r="AF18" s="293"/>
      <c r="AG18" s="293"/>
      <c r="AH18" s="294"/>
      <c r="AI18" s="293">
        <f>+AI15-AI17</f>
        <v>0</v>
      </c>
      <c r="AJ18" s="293">
        <f t="shared" ref="AJ18:BA18" si="3">+AJ15-AJ17</f>
        <v>0</v>
      </c>
      <c r="AK18" s="293">
        <f t="shared" si="3"/>
        <v>175000</v>
      </c>
      <c r="AL18" s="293">
        <f t="shared" si="3"/>
        <v>0</v>
      </c>
      <c r="AM18" s="293">
        <f t="shared" si="3"/>
        <v>175000</v>
      </c>
      <c r="AN18" s="293">
        <f t="shared" si="3"/>
        <v>0</v>
      </c>
      <c r="AO18" s="293">
        <f t="shared" si="3"/>
        <v>0</v>
      </c>
      <c r="AP18" s="293">
        <f t="shared" si="3"/>
        <v>0</v>
      </c>
      <c r="AQ18" s="293">
        <f t="shared" si="3"/>
        <v>0</v>
      </c>
      <c r="AR18" s="293">
        <f t="shared" si="3"/>
        <v>0</v>
      </c>
      <c r="AS18" s="293">
        <f t="shared" si="3"/>
        <v>0</v>
      </c>
      <c r="AT18" s="293">
        <f t="shared" si="3"/>
        <v>0</v>
      </c>
      <c r="AU18" s="293">
        <f t="shared" si="3"/>
        <v>0</v>
      </c>
      <c r="AV18" s="293">
        <f t="shared" si="3"/>
        <v>0</v>
      </c>
      <c r="AW18" s="293">
        <f t="shared" si="3"/>
        <v>0</v>
      </c>
      <c r="AX18" s="293">
        <f t="shared" si="3"/>
        <v>0</v>
      </c>
      <c r="AY18" s="293">
        <f t="shared" si="3"/>
        <v>10110</v>
      </c>
      <c r="AZ18" s="293">
        <f t="shared" si="3"/>
        <v>0</v>
      </c>
      <c r="BA18" s="293">
        <f t="shared" si="3"/>
        <v>10110</v>
      </c>
    </row>
    <row r="19" spans="1:53" hidden="1" x14ac:dyDescent="0.25">
      <c r="A19" s="297" t="s">
        <v>7</v>
      </c>
      <c r="B19" s="293"/>
      <c r="C19" s="293"/>
      <c r="D19" s="293"/>
      <c r="E19" s="293"/>
      <c r="F19" s="293"/>
      <c r="G19" s="293"/>
      <c r="H19" s="293">
        <f t="shared" si="0"/>
        <v>0</v>
      </c>
      <c r="I19" s="293"/>
      <c r="J19" s="293"/>
      <c r="K19" s="293"/>
      <c r="L19" s="293"/>
      <c r="M19" s="293"/>
      <c r="N19" s="293"/>
      <c r="O19" s="294"/>
      <c r="P19" s="293"/>
      <c r="Q19" s="294"/>
      <c r="R19" s="294"/>
      <c r="S19" s="294"/>
      <c r="T19" s="293"/>
      <c r="U19" s="294"/>
      <c r="V19" s="294"/>
      <c r="W19" s="294"/>
      <c r="X19" s="294"/>
      <c r="Y19" s="293"/>
      <c r="Z19" s="294"/>
      <c r="AA19" s="294"/>
      <c r="AB19" s="294"/>
      <c r="AC19" s="294"/>
      <c r="AD19" s="294"/>
      <c r="AE19" s="293"/>
      <c r="AF19" s="293"/>
      <c r="AG19" s="293"/>
      <c r="AH19" s="294"/>
      <c r="AI19" s="293"/>
      <c r="AJ19" s="293"/>
      <c r="AK19" s="293"/>
      <c r="AL19" s="293"/>
      <c r="AM19" s="293"/>
      <c r="AN19" s="293"/>
      <c r="AO19" s="293"/>
      <c r="AP19" s="293"/>
      <c r="AQ19" s="293"/>
      <c r="AR19" s="293"/>
      <c r="AS19" s="293"/>
      <c r="AT19" s="293"/>
      <c r="AU19" s="293"/>
      <c r="AV19" s="293"/>
      <c r="AW19" s="293"/>
      <c r="AX19" s="293"/>
      <c r="AY19" s="293"/>
      <c r="AZ19" s="293"/>
      <c r="BA19" s="293"/>
    </row>
    <row r="20" spans="1:53" hidden="1" x14ac:dyDescent="0.25">
      <c r="A20" s="297"/>
      <c r="B20" s="293"/>
      <c r="C20" s="293"/>
      <c r="D20" s="293"/>
      <c r="E20" s="293"/>
      <c r="F20" s="293"/>
      <c r="G20" s="293"/>
      <c r="H20" s="293">
        <f t="shared" si="0"/>
        <v>0</v>
      </c>
      <c r="I20" s="293"/>
      <c r="J20" s="293"/>
      <c r="K20" s="293"/>
      <c r="L20" s="293"/>
      <c r="M20" s="293"/>
      <c r="N20" s="293"/>
      <c r="O20" s="294"/>
      <c r="P20" s="293"/>
      <c r="Q20" s="294"/>
      <c r="R20" s="294"/>
      <c r="S20" s="294"/>
      <c r="T20" s="293"/>
      <c r="U20" s="294"/>
      <c r="V20" s="294"/>
      <c r="W20" s="294"/>
      <c r="X20" s="294"/>
      <c r="Y20" s="293"/>
      <c r="Z20" s="294"/>
      <c r="AA20" s="294"/>
      <c r="AB20" s="294"/>
      <c r="AC20" s="294"/>
      <c r="AD20" s="294"/>
      <c r="AE20" s="293"/>
      <c r="AF20" s="293"/>
      <c r="AG20" s="293"/>
      <c r="AH20" s="294"/>
      <c r="AI20" s="293"/>
      <c r="AJ20" s="294"/>
      <c r="AK20" s="293"/>
      <c r="AL20" s="294"/>
      <c r="AM20" s="293"/>
      <c r="AN20" s="294"/>
      <c r="AO20" s="293"/>
      <c r="AP20" s="293"/>
      <c r="AQ20" s="293"/>
      <c r="AR20" s="295"/>
      <c r="AS20" s="293"/>
      <c r="AT20" s="295"/>
      <c r="AU20" s="293"/>
      <c r="AV20" s="295"/>
      <c r="AW20" s="293"/>
      <c r="AX20" s="295"/>
      <c r="AY20" s="293"/>
      <c r="AZ20" s="295"/>
      <c r="BA20" s="296"/>
    </row>
    <row r="21" spans="1:53" hidden="1" x14ac:dyDescent="0.25">
      <c r="A21" s="297" t="s">
        <v>34</v>
      </c>
      <c r="B21" s="293">
        <v>0</v>
      </c>
      <c r="C21" s="293"/>
      <c r="D21" s="293"/>
      <c r="E21" s="293"/>
      <c r="F21" s="293">
        <v>0</v>
      </c>
      <c r="G21" s="293"/>
      <c r="H21" s="293">
        <f t="shared" si="0"/>
        <v>0</v>
      </c>
      <c r="I21" s="293"/>
      <c r="J21" s="293"/>
      <c r="K21" s="293"/>
      <c r="L21" s="293">
        <v>0</v>
      </c>
      <c r="M21" s="293"/>
      <c r="N21" s="293">
        <f t="shared" ref="N21:N26" si="4">L21-F21</f>
        <v>0</v>
      </c>
      <c r="O21" s="294"/>
      <c r="P21" s="293">
        <v>0</v>
      </c>
      <c r="Q21" s="294"/>
      <c r="R21" s="294"/>
      <c r="S21" s="294"/>
      <c r="T21" s="293">
        <v>0</v>
      </c>
      <c r="U21" s="294">
        <f t="shared" ref="U21:U26" si="5">T21-P21</f>
        <v>0</v>
      </c>
      <c r="V21" s="294"/>
      <c r="W21" s="294"/>
      <c r="X21" s="294"/>
      <c r="Y21" s="293">
        <v>0</v>
      </c>
      <c r="Z21" s="294">
        <f>Y21-T21</f>
        <v>0</v>
      </c>
      <c r="AA21" s="294"/>
      <c r="AB21" s="294"/>
      <c r="AC21" s="294"/>
      <c r="AD21" s="294"/>
      <c r="AE21" s="293">
        <v>0</v>
      </c>
      <c r="AF21" s="293">
        <f t="shared" ref="AF21:AF26" si="6">AE21-Y21</f>
        <v>0</v>
      </c>
      <c r="AG21" s="293"/>
      <c r="AH21" s="294"/>
      <c r="AI21" s="293">
        <f>P26</f>
        <v>50000</v>
      </c>
      <c r="AJ21" s="294"/>
      <c r="AK21" s="293">
        <f>AI26</f>
        <v>250000</v>
      </c>
      <c r="AL21" s="294"/>
      <c r="AM21" s="293">
        <f>AK26</f>
        <v>550000</v>
      </c>
      <c r="AN21" s="294"/>
      <c r="AO21" s="293">
        <f>AM26</f>
        <v>725000</v>
      </c>
      <c r="AP21" s="293"/>
      <c r="AQ21" s="293">
        <f>AO26</f>
        <v>1025000</v>
      </c>
      <c r="AR21" s="295"/>
      <c r="AS21" s="293">
        <f>AQ26</f>
        <v>1025000</v>
      </c>
      <c r="AT21" s="295"/>
      <c r="AU21" s="293">
        <f>AS26</f>
        <v>1425000</v>
      </c>
      <c r="AV21" s="295"/>
      <c r="AW21" s="293">
        <f>AU26</f>
        <v>1675000</v>
      </c>
      <c r="AX21" s="295"/>
      <c r="AY21" s="293">
        <f>AW26</f>
        <v>1925000</v>
      </c>
      <c r="AZ21" s="295"/>
      <c r="BA21" s="296">
        <f>AY26</f>
        <v>2050000</v>
      </c>
    </row>
    <row r="22" spans="1:53" hidden="1" x14ac:dyDescent="0.25">
      <c r="A22" s="292"/>
      <c r="B22" s="293"/>
      <c r="C22" s="293"/>
      <c r="D22" s="293"/>
      <c r="E22" s="293"/>
      <c r="F22" s="293"/>
      <c r="G22" s="293"/>
      <c r="H22" s="293">
        <f t="shared" si="0"/>
        <v>0</v>
      </c>
      <c r="I22" s="293"/>
      <c r="J22" s="293"/>
      <c r="K22" s="293"/>
      <c r="L22" s="293"/>
      <c r="M22" s="293"/>
      <c r="N22" s="293"/>
      <c r="O22" s="294"/>
      <c r="P22" s="293"/>
      <c r="Q22" s="294"/>
      <c r="R22" s="294"/>
      <c r="S22" s="294"/>
      <c r="T22" s="293"/>
      <c r="U22" s="294"/>
      <c r="V22" s="294"/>
      <c r="W22" s="294"/>
      <c r="X22" s="294"/>
      <c r="Y22" s="293"/>
      <c r="Z22" s="294"/>
      <c r="AA22" s="294"/>
      <c r="AB22" s="294"/>
      <c r="AC22" s="294"/>
      <c r="AD22" s="294"/>
      <c r="AE22" s="293"/>
      <c r="AF22" s="293">
        <f t="shared" si="6"/>
        <v>0</v>
      </c>
      <c r="AG22" s="293"/>
      <c r="AH22" s="294"/>
      <c r="AI22" s="293"/>
      <c r="AJ22" s="294"/>
      <c r="AK22" s="293"/>
      <c r="AL22" s="294"/>
      <c r="AM22" s="293"/>
      <c r="AN22" s="294"/>
      <c r="AO22" s="293"/>
      <c r="AP22" s="293"/>
      <c r="AQ22" s="293"/>
      <c r="AR22" s="295"/>
      <c r="AS22" s="293"/>
      <c r="AT22" s="295"/>
      <c r="AU22" s="293"/>
      <c r="AV22" s="295"/>
      <c r="AW22" s="293"/>
      <c r="AX22" s="295"/>
      <c r="AY22" s="293"/>
      <c r="AZ22" s="295"/>
      <c r="BA22" s="296"/>
    </row>
    <row r="23" spans="1:53" hidden="1" x14ac:dyDescent="0.25">
      <c r="A23" s="297" t="s">
        <v>43</v>
      </c>
      <c r="B23" s="293">
        <f>B131</f>
        <v>20000</v>
      </c>
      <c r="C23" s="293"/>
      <c r="D23" s="293"/>
      <c r="E23" s="293"/>
      <c r="F23" s="293">
        <f>F131</f>
        <v>20000</v>
      </c>
      <c r="G23" s="293"/>
      <c r="H23" s="293">
        <f t="shared" si="0"/>
        <v>0</v>
      </c>
      <c r="I23" s="293"/>
      <c r="J23" s="293"/>
      <c r="K23" s="293"/>
      <c r="L23" s="293">
        <f>L131</f>
        <v>20000</v>
      </c>
      <c r="M23" s="293"/>
      <c r="N23" s="293">
        <f t="shared" si="4"/>
        <v>0</v>
      </c>
      <c r="O23" s="294"/>
      <c r="P23" s="293">
        <f>P131</f>
        <v>50000</v>
      </c>
      <c r="Q23" s="294"/>
      <c r="R23" s="294"/>
      <c r="S23" s="294"/>
      <c r="T23" s="293">
        <f>T131</f>
        <v>50000</v>
      </c>
      <c r="U23" s="294">
        <f t="shared" si="5"/>
        <v>0</v>
      </c>
      <c r="V23" s="294"/>
      <c r="W23" s="294"/>
      <c r="X23" s="294"/>
      <c r="Y23" s="293">
        <f>Y131</f>
        <v>50000</v>
      </c>
      <c r="Z23" s="294">
        <f>Y23-T23</f>
        <v>0</v>
      </c>
      <c r="AA23" s="294"/>
      <c r="AB23" s="294"/>
      <c r="AC23" s="294"/>
      <c r="AD23" s="294"/>
      <c r="AE23" s="293">
        <f>AE131</f>
        <v>50000</v>
      </c>
      <c r="AF23" s="293">
        <f t="shared" si="6"/>
        <v>0</v>
      </c>
      <c r="AG23" s="293"/>
      <c r="AH23" s="294"/>
      <c r="AI23" s="293">
        <f>AI131</f>
        <v>200000</v>
      </c>
      <c r="AJ23" s="294"/>
      <c r="AK23" s="293">
        <f>AK131</f>
        <v>300000</v>
      </c>
      <c r="AL23" s="294"/>
      <c r="AM23" s="293">
        <f>AM131</f>
        <v>175000</v>
      </c>
      <c r="AN23" s="294"/>
      <c r="AO23" s="293">
        <f>AO131</f>
        <v>300000</v>
      </c>
      <c r="AP23" s="293"/>
      <c r="AQ23" s="293">
        <f>AQ131</f>
        <v>0</v>
      </c>
      <c r="AR23" s="295"/>
      <c r="AS23" s="293">
        <f>AS131</f>
        <v>400000</v>
      </c>
      <c r="AT23" s="295"/>
      <c r="AU23" s="293">
        <f>AU131</f>
        <v>250000</v>
      </c>
      <c r="AV23" s="295"/>
      <c r="AW23" s="293">
        <f>AW131</f>
        <v>250000</v>
      </c>
      <c r="AX23" s="295"/>
      <c r="AY23" s="293">
        <f>AY131</f>
        <v>125000</v>
      </c>
      <c r="AZ23" s="295"/>
      <c r="BA23" s="296">
        <f>BA131</f>
        <v>125000</v>
      </c>
    </row>
    <row r="24" spans="1:53" hidden="1" x14ac:dyDescent="0.25">
      <c r="A24" s="297" t="s">
        <v>44</v>
      </c>
      <c r="B24" s="298"/>
      <c r="C24" s="293"/>
      <c r="D24" s="293"/>
      <c r="E24" s="293"/>
      <c r="F24" s="298"/>
      <c r="G24" s="293"/>
      <c r="H24" s="298">
        <f t="shared" si="0"/>
        <v>0</v>
      </c>
      <c r="I24" s="293"/>
      <c r="J24" s="293"/>
      <c r="K24" s="293"/>
      <c r="L24" s="298"/>
      <c r="M24" s="293"/>
      <c r="N24" s="298">
        <f t="shared" si="4"/>
        <v>0</v>
      </c>
      <c r="O24" s="294"/>
      <c r="P24" s="298"/>
      <c r="Q24" s="294"/>
      <c r="R24" s="294"/>
      <c r="S24" s="294"/>
      <c r="T24" s="298"/>
      <c r="U24" s="294">
        <f t="shared" si="5"/>
        <v>0</v>
      </c>
      <c r="V24" s="294"/>
      <c r="W24" s="294"/>
      <c r="X24" s="294"/>
      <c r="Y24" s="298"/>
      <c r="Z24" s="294">
        <f>Y24-T24</f>
        <v>0</v>
      </c>
      <c r="AA24" s="294"/>
      <c r="AB24" s="294"/>
      <c r="AC24" s="294"/>
      <c r="AD24" s="294"/>
      <c r="AE24" s="298"/>
      <c r="AF24" s="298">
        <f t="shared" si="6"/>
        <v>0</v>
      </c>
      <c r="AG24" s="293"/>
      <c r="AH24" s="294"/>
      <c r="AI24" s="298"/>
      <c r="AJ24" s="294"/>
      <c r="AK24" s="298"/>
      <c r="AL24" s="294"/>
      <c r="AM24" s="298"/>
      <c r="AN24" s="294"/>
      <c r="AO24" s="298"/>
      <c r="AP24" s="298"/>
      <c r="AQ24" s="298"/>
      <c r="AR24" s="295"/>
      <c r="AS24" s="298"/>
      <c r="AT24" s="295"/>
      <c r="AU24" s="298"/>
      <c r="AV24" s="295"/>
      <c r="AW24" s="298"/>
      <c r="AX24" s="295"/>
      <c r="AY24" s="298"/>
      <c r="AZ24" s="295"/>
      <c r="BA24" s="299"/>
    </row>
    <row r="25" spans="1:53" hidden="1" x14ac:dyDescent="0.25">
      <c r="A25" s="297" t="s">
        <v>41</v>
      </c>
      <c r="B25" s="293">
        <f>B23-B24</f>
        <v>20000</v>
      </c>
      <c r="C25" s="293"/>
      <c r="D25" s="293"/>
      <c r="E25" s="293"/>
      <c r="F25" s="293">
        <f>F23-F24</f>
        <v>20000</v>
      </c>
      <c r="G25" s="293"/>
      <c r="H25" s="293">
        <f t="shared" si="0"/>
        <v>0</v>
      </c>
      <c r="I25" s="293"/>
      <c r="J25" s="293"/>
      <c r="K25" s="293"/>
      <c r="L25" s="293">
        <f>L23-L24</f>
        <v>20000</v>
      </c>
      <c r="M25" s="293"/>
      <c r="N25" s="293">
        <f t="shared" si="4"/>
        <v>0</v>
      </c>
      <c r="O25" s="294"/>
      <c r="P25" s="293">
        <f>P23-P24</f>
        <v>50000</v>
      </c>
      <c r="Q25" s="294"/>
      <c r="R25" s="294"/>
      <c r="S25" s="294"/>
      <c r="T25" s="293">
        <f>T23-T24</f>
        <v>50000</v>
      </c>
      <c r="U25" s="294">
        <f t="shared" si="5"/>
        <v>0</v>
      </c>
      <c r="V25" s="294"/>
      <c r="W25" s="294"/>
      <c r="X25" s="294"/>
      <c r="Y25" s="293">
        <f>Y23-Y24</f>
        <v>50000</v>
      </c>
      <c r="Z25" s="294">
        <f>Y25-T25</f>
        <v>0</v>
      </c>
      <c r="AA25" s="294"/>
      <c r="AB25" s="294"/>
      <c r="AC25" s="294"/>
      <c r="AD25" s="294"/>
      <c r="AE25" s="293">
        <f>AE23-AE24</f>
        <v>50000</v>
      </c>
      <c r="AF25" s="293">
        <f t="shared" si="6"/>
        <v>0</v>
      </c>
      <c r="AG25" s="293"/>
      <c r="AH25" s="294"/>
      <c r="AI25" s="293">
        <f>AI23-AI24</f>
        <v>200000</v>
      </c>
      <c r="AJ25" s="294"/>
      <c r="AK25" s="293">
        <f>AK23-AK24</f>
        <v>300000</v>
      </c>
      <c r="AL25" s="294"/>
      <c r="AM25" s="293">
        <f>AM23-AM24</f>
        <v>175000</v>
      </c>
      <c r="AN25" s="294"/>
      <c r="AO25" s="293">
        <f>AO23-AO24</f>
        <v>300000</v>
      </c>
      <c r="AP25" s="293"/>
      <c r="AQ25" s="293">
        <f>AQ23-AQ24</f>
        <v>0</v>
      </c>
      <c r="AR25" s="295"/>
      <c r="AS25" s="293">
        <f>AS23-AS24</f>
        <v>400000</v>
      </c>
      <c r="AT25" s="295"/>
      <c r="AU25" s="293">
        <f>AU23-AU24</f>
        <v>250000</v>
      </c>
      <c r="AV25" s="295"/>
      <c r="AW25" s="293">
        <f>AW23-AW24</f>
        <v>250000</v>
      </c>
      <c r="AX25" s="295"/>
      <c r="AY25" s="293">
        <f>AY23-AY24</f>
        <v>125000</v>
      </c>
      <c r="AZ25" s="295"/>
      <c r="BA25" s="296">
        <f>BA23-BA24</f>
        <v>125000</v>
      </c>
    </row>
    <row r="26" spans="1:53" ht="15.75" hidden="1" thickBot="1" x14ac:dyDescent="0.3">
      <c r="A26" s="301" t="s">
        <v>42</v>
      </c>
      <c r="B26" s="302">
        <f>B21+B25</f>
        <v>20000</v>
      </c>
      <c r="C26" s="302"/>
      <c r="D26" s="302"/>
      <c r="E26" s="302"/>
      <c r="F26" s="302">
        <f>F21+F25</f>
        <v>20000</v>
      </c>
      <c r="G26" s="302"/>
      <c r="H26" s="302">
        <f t="shared" si="0"/>
        <v>0</v>
      </c>
      <c r="I26" s="302"/>
      <c r="J26" s="302"/>
      <c r="K26" s="302"/>
      <c r="L26" s="302">
        <f>L21+L25</f>
        <v>20000</v>
      </c>
      <c r="M26" s="302"/>
      <c r="N26" s="302">
        <f t="shared" si="4"/>
        <v>0</v>
      </c>
      <c r="O26" s="303"/>
      <c r="P26" s="302">
        <f>P21+P25</f>
        <v>50000</v>
      </c>
      <c r="Q26" s="303"/>
      <c r="R26" s="303"/>
      <c r="S26" s="303"/>
      <c r="T26" s="302">
        <f>T21+T25</f>
        <v>50000</v>
      </c>
      <c r="U26" s="303">
        <f t="shared" si="5"/>
        <v>0</v>
      </c>
      <c r="V26" s="303"/>
      <c r="W26" s="303"/>
      <c r="X26" s="303"/>
      <c r="Y26" s="302">
        <f>Y21+Y25</f>
        <v>50000</v>
      </c>
      <c r="Z26" s="303">
        <f>Y26-T26</f>
        <v>0</v>
      </c>
      <c r="AA26" s="303"/>
      <c r="AB26" s="303"/>
      <c r="AC26" s="303"/>
      <c r="AD26" s="303"/>
      <c r="AE26" s="302">
        <f>AE21+AE25</f>
        <v>50000</v>
      </c>
      <c r="AF26" s="302">
        <f t="shared" si="6"/>
        <v>0</v>
      </c>
      <c r="AG26" s="302"/>
      <c r="AH26" s="303"/>
      <c r="AI26" s="302">
        <f>AI21+AI25</f>
        <v>250000</v>
      </c>
      <c r="AJ26" s="303"/>
      <c r="AK26" s="302">
        <f>AK25+AI26</f>
        <v>550000</v>
      </c>
      <c r="AL26" s="303"/>
      <c r="AM26" s="302">
        <f>AM25+AK26</f>
        <v>725000</v>
      </c>
      <c r="AN26" s="303"/>
      <c r="AO26" s="302">
        <f>AO25+AM26</f>
        <v>1025000</v>
      </c>
      <c r="AP26" s="302"/>
      <c r="AQ26" s="302">
        <f>AQ21+AQ25</f>
        <v>1025000</v>
      </c>
      <c r="AR26" s="304"/>
      <c r="AS26" s="302">
        <f>AS21+AS25</f>
        <v>1425000</v>
      </c>
      <c r="AT26" s="304"/>
      <c r="AU26" s="302">
        <f>AU21+AU25</f>
        <v>1675000</v>
      </c>
      <c r="AV26" s="304"/>
      <c r="AW26" s="302">
        <f>AW21+AW25</f>
        <v>1925000</v>
      </c>
      <c r="AX26" s="304"/>
      <c r="AY26" s="302">
        <f>AY21+AY25</f>
        <v>2050000</v>
      </c>
      <c r="AZ26" s="304"/>
      <c r="BA26" s="305">
        <f>BA21+BA25</f>
        <v>2175000</v>
      </c>
    </row>
    <row r="27" spans="1:53" hidden="1" x14ac:dyDescent="0.25">
      <c r="A27" s="7"/>
    </row>
    <row r="28" spans="1:53" hidden="1" x14ac:dyDescent="0.25">
      <c r="A28" s="293" t="s">
        <v>1368</v>
      </c>
      <c r="B28" s="293"/>
      <c r="C28" s="293"/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  <c r="P28" s="293"/>
      <c r="Q28" s="294"/>
      <c r="R28" s="294"/>
      <c r="S28" s="294"/>
      <c r="T28" s="293"/>
      <c r="U28" s="294"/>
      <c r="V28" s="294"/>
      <c r="W28" s="294"/>
      <c r="X28" s="294"/>
      <c r="Y28" s="293"/>
      <c r="Z28" s="294"/>
      <c r="AA28" s="294"/>
      <c r="AB28" s="294"/>
      <c r="AC28" s="294"/>
      <c r="AD28" s="294"/>
      <c r="AE28" s="293"/>
      <c r="AF28" s="293"/>
      <c r="AG28" s="293"/>
      <c r="AH28" s="294"/>
      <c r="AI28" s="293"/>
      <c r="AJ28" s="294"/>
      <c r="AK28" s="293">
        <f>+AK18</f>
        <v>175000</v>
      </c>
      <c r="AL28" s="293">
        <f t="shared" ref="AL28:BA28" si="7">+AL18</f>
        <v>0</v>
      </c>
      <c r="AM28" s="293">
        <f>+AM18</f>
        <v>175000</v>
      </c>
      <c r="AN28" s="293">
        <f t="shared" si="7"/>
        <v>0</v>
      </c>
      <c r="AO28" s="293">
        <f t="shared" si="7"/>
        <v>0</v>
      </c>
      <c r="AP28" s="293">
        <f t="shared" si="7"/>
        <v>0</v>
      </c>
      <c r="AQ28" s="293">
        <f t="shared" si="7"/>
        <v>0</v>
      </c>
      <c r="AR28" s="293">
        <f t="shared" si="7"/>
        <v>0</v>
      </c>
      <c r="AS28" s="293">
        <f t="shared" si="7"/>
        <v>0</v>
      </c>
      <c r="AT28" s="293">
        <f t="shared" si="7"/>
        <v>0</v>
      </c>
      <c r="AU28" s="293">
        <f t="shared" si="7"/>
        <v>0</v>
      </c>
      <c r="AV28" s="293">
        <f t="shared" si="7"/>
        <v>0</v>
      </c>
      <c r="AW28" s="293">
        <f t="shared" si="7"/>
        <v>0</v>
      </c>
      <c r="AX28" s="293">
        <f t="shared" si="7"/>
        <v>0</v>
      </c>
      <c r="AY28" s="293">
        <f t="shared" si="7"/>
        <v>10110</v>
      </c>
      <c r="AZ28" s="293">
        <f t="shared" si="7"/>
        <v>0</v>
      </c>
      <c r="BA28" s="293">
        <f t="shared" si="7"/>
        <v>10110</v>
      </c>
    </row>
    <row r="29" spans="1:53" hidden="1" x14ac:dyDescent="0.25">
      <c r="A29" s="293" t="s">
        <v>946</v>
      </c>
      <c r="B29" s="293"/>
      <c r="C29" s="293"/>
      <c r="D29" s="293"/>
      <c r="E29" s="293"/>
      <c r="F29" s="293"/>
      <c r="G29" s="293"/>
      <c r="H29" s="293"/>
      <c r="I29" s="293"/>
      <c r="J29" s="293"/>
      <c r="K29" s="293"/>
      <c r="L29" s="293"/>
      <c r="M29" s="293"/>
      <c r="N29" s="293"/>
      <c r="O29" s="294"/>
      <c r="P29" s="293"/>
      <c r="Q29" s="294"/>
      <c r="R29" s="294"/>
      <c r="S29" s="294"/>
      <c r="T29" s="293"/>
      <c r="U29" s="294"/>
      <c r="V29" s="294"/>
      <c r="W29" s="294"/>
      <c r="X29" s="294"/>
      <c r="Y29" s="293"/>
      <c r="Z29" s="294"/>
      <c r="AA29" s="294"/>
      <c r="AB29" s="294"/>
      <c r="AC29" s="294"/>
      <c r="AD29" s="294"/>
      <c r="AE29" s="293"/>
      <c r="AF29" s="293"/>
      <c r="AG29" s="293"/>
      <c r="AH29" s="294"/>
      <c r="AI29" s="293"/>
      <c r="AJ29" s="294"/>
      <c r="AK29" s="293"/>
      <c r="AL29" s="293"/>
      <c r="AM29" s="293"/>
      <c r="AN29" s="293"/>
      <c r="AO29" s="293"/>
      <c r="AP29" s="293"/>
      <c r="AQ29" s="293"/>
      <c r="AR29" s="293"/>
      <c r="AS29" s="293"/>
      <c r="AT29" s="293"/>
      <c r="AU29" s="293"/>
      <c r="AV29" s="293"/>
      <c r="AW29" s="293"/>
      <c r="AX29" s="293"/>
      <c r="AY29" s="293"/>
      <c r="AZ29" s="293"/>
      <c r="BA29" s="293"/>
    </row>
    <row r="30" spans="1:53" hidden="1" x14ac:dyDescent="0.25">
      <c r="A30" s="293" t="s">
        <v>1369</v>
      </c>
      <c r="B30" s="293"/>
      <c r="C30" s="293"/>
      <c r="D30" s="293"/>
      <c r="E30" s="293"/>
      <c r="F30" s="293"/>
      <c r="G30" s="293"/>
      <c r="H30" s="293"/>
      <c r="I30" s="293"/>
      <c r="J30" s="293"/>
      <c r="K30" s="293"/>
      <c r="L30" s="293"/>
      <c r="M30" s="293"/>
      <c r="N30" s="293"/>
      <c r="O30" s="294"/>
      <c r="P30" s="293"/>
      <c r="Q30" s="294"/>
      <c r="R30" s="294"/>
      <c r="S30" s="294"/>
      <c r="T30" s="293"/>
      <c r="U30" s="294"/>
      <c r="V30" s="294"/>
      <c r="W30" s="294"/>
      <c r="X30" s="294"/>
      <c r="Y30" s="293"/>
      <c r="Z30" s="294"/>
      <c r="AA30" s="294"/>
      <c r="AB30" s="294"/>
      <c r="AC30" s="294"/>
      <c r="AD30" s="294"/>
      <c r="AE30" s="293"/>
      <c r="AF30" s="293"/>
      <c r="AG30" s="293"/>
      <c r="AH30" s="294"/>
      <c r="AI30" s="293"/>
      <c r="AJ30" s="294"/>
      <c r="AK30" s="293">
        <f>-B!AJ1341</f>
        <v>-175000</v>
      </c>
      <c r="AL30" s="293">
        <f>-B!AK1341</f>
        <v>0</v>
      </c>
      <c r="AM30" s="293">
        <f>-B!AL1341</f>
        <v>-175000</v>
      </c>
      <c r="AN30" s="293">
        <f>-B!AM1341</f>
        <v>0</v>
      </c>
      <c r="AO30" s="293">
        <f>-B!AN1341</f>
        <v>0</v>
      </c>
      <c r="AP30" s="293">
        <f>-B!AO1341</f>
        <v>0</v>
      </c>
      <c r="AQ30" s="293">
        <f>-B!AP1341</f>
        <v>0</v>
      </c>
      <c r="AR30" s="293">
        <f>-B!AQ1341</f>
        <v>0</v>
      </c>
      <c r="AS30" s="293">
        <f>-B!AR1341</f>
        <v>0</v>
      </c>
      <c r="AT30" s="293">
        <f>-B!AS1341</f>
        <v>0</v>
      </c>
      <c r="AU30" s="293">
        <f>-B!AT1341</f>
        <v>0</v>
      </c>
      <c r="AV30" s="293">
        <f>-B!AU1341</f>
        <v>0</v>
      </c>
      <c r="AW30" s="293">
        <f>-B!AV1341</f>
        <v>0</v>
      </c>
      <c r="AX30" s="293">
        <f>-B!AW1341</f>
        <v>0</v>
      </c>
      <c r="AY30" s="293">
        <f>-B!AX1341</f>
        <v>0</v>
      </c>
      <c r="AZ30" s="293">
        <f>-B!AY1341</f>
        <v>0</v>
      </c>
      <c r="BA30" s="293">
        <f>-B!AZ1341</f>
        <v>0</v>
      </c>
    </row>
    <row r="31" spans="1:53" hidden="1" x14ac:dyDescent="0.25">
      <c r="A31" s="293" t="s">
        <v>1370</v>
      </c>
      <c r="B31" s="293"/>
      <c r="C31" s="293"/>
      <c r="D31" s="293"/>
      <c r="E31" s="293"/>
      <c r="F31" s="293"/>
      <c r="G31" s="293"/>
      <c r="H31" s="293"/>
      <c r="I31" s="293"/>
      <c r="J31" s="293"/>
      <c r="K31" s="293"/>
      <c r="L31" s="293"/>
      <c r="M31" s="293"/>
      <c r="N31" s="293"/>
      <c r="O31" s="294"/>
      <c r="P31" s="293"/>
      <c r="Q31" s="294"/>
      <c r="R31" s="294"/>
      <c r="S31" s="294"/>
      <c r="T31" s="293"/>
      <c r="U31" s="294"/>
      <c r="V31" s="294"/>
      <c r="W31" s="294"/>
      <c r="X31" s="294"/>
      <c r="Y31" s="293"/>
      <c r="Z31" s="294"/>
      <c r="AA31" s="294"/>
      <c r="AB31" s="294"/>
      <c r="AC31" s="294"/>
      <c r="AD31" s="294"/>
      <c r="AE31" s="293"/>
      <c r="AF31" s="293"/>
      <c r="AG31" s="293"/>
      <c r="AH31" s="294"/>
      <c r="AI31" s="293"/>
      <c r="AJ31" s="294"/>
      <c r="AK31" s="293"/>
      <c r="AL31" s="293"/>
      <c r="AM31" s="293"/>
      <c r="AN31" s="293"/>
      <c r="AO31" s="293"/>
      <c r="AP31" s="293"/>
      <c r="AQ31" s="293"/>
      <c r="AR31" s="293"/>
      <c r="AS31" s="293"/>
      <c r="AT31" s="293"/>
      <c r="AU31" s="293"/>
      <c r="AV31" s="293"/>
      <c r="AW31" s="293"/>
      <c r="AX31" s="293"/>
      <c r="AY31" s="293"/>
      <c r="AZ31" s="293"/>
      <c r="BA31" s="293"/>
    </row>
    <row r="32" spans="1:53" hidden="1" x14ac:dyDescent="0.25">
      <c r="A32" s="293"/>
      <c r="B32" s="293"/>
      <c r="C32" s="293"/>
      <c r="D32" s="293"/>
      <c r="E32" s="293"/>
      <c r="F32" s="293"/>
      <c r="G32" s="293"/>
      <c r="H32" s="293"/>
      <c r="I32" s="293"/>
      <c r="J32" s="293"/>
      <c r="K32" s="293"/>
      <c r="L32" s="293"/>
      <c r="M32" s="293"/>
      <c r="N32" s="293"/>
      <c r="O32" s="294"/>
      <c r="P32" s="293"/>
      <c r="Q32" s="294"/>
      <c r="R32" s="294"/>
      <c r="S32" s="294"/>
      <c r="T32" s="293"/>
      <c r="U32" s="294"/>
      <c r="V32" s="294"/>
      <c r="W32" s="294"/>
      <c r="X32" s="294"/>
      <c r="Y32" s="293"/>
      <c r="Z32" s="294"/>
      <c r="AA32" s="294"/>
      <c r="AB32" s="294"/>
      <c r="AC32" s="294"/>
      <c r="AD32" s="294"/>
      <c r="AE32" s="293"/>
      <c r="AF32" s="293"/>
      <c r="AG32" s="293"/>
      <c r="AH32" s="294"/>
      <c r="AI32" s="293"/>
      <c r="AJ32" s="294"/>
      <c r="AK32" s="293"/>
      <c r="AL32" s="293"/>
      <c r="AM32" s="293"/>
      <c r="AN32" s="293"/>
      <c r="AO32" s="293"/>
      <c r="AP32" s="293"/>
      <c r="AQ32" s="293"/>
      <c r="AR32" s="293"/>
      <c r="AS32" s="293"/>
      <c r="AT32" s="293"/>
      <c r="AU32" s="293"/>
      <c r="AV32" s="293"/>
      <c r="AW32" s="293"/>
      <c r="AX32" s="293"/>
      <c r="AY32" s="293"/>
      <c r="AZ32" s="293"/>
      <c r="BA32" s="293"/>
    </row>
    <row r="33" spans="1:57" hidden="1" x14ac:dyDescent="0.25">
      <c r="A33" s="4"/>
      <c r="AK33" s="3">
        <f>SUM(AK28:AK32)</f>
        <v>0</v>
      </c>
      <c r="AM33" s="3">
        <f>SUM(AM28:AM32)</f>
        <v>0</v>
      </c>
      <c r="AN33" s="3">
        <f t="shared" ref="AN33:BA33" si="8">SUM(AN28:AN32)</f>
        <v>0</v>
      </c>
      <c r="AO33" s="3">
        <f>SUM(AO28:AO32)</f>
        <v>0</v>
      </c>
      <c r="AP33" s="3">
        <f t="shared" si="8"/>
        <v>0</v>
      </c>
      <c r="AQ33" s="3">
        <f t="shared" si="8"/>
        <v>0</v>
      </c>
      <c r="AR33" s="3"/>
      <c r="AS33" s="3">
        <f t="shared" si="8"/>
        <v>0</v>
      </c>
      <c r="AT33" s="3">
        <f t="shared" si="8"/>
        <v>0</v>
      </c>
      <c r="AU33" s="3">
        <f t="shared" si="8"/>
        <v>0</v>
      </c>
      <c r="AV33" s="3">
        <f t="shared" si="8"/>
        <v>0</v>
      </c>
      <c r="AW33" s="3">
        <f t="shared" si="8"/>
        <v>0</v>
      </c>
      <c r="AX33" s="3">
        <f t="shared" si="8"/>
        <v>0</v>
      </c>
      <c r="AY33" s="3">
        <f t="shared" si="8"/>
        <v>10110</v>
      </c>
      <c r="AZ33" s="3">
        <f t="shared" si="8"/>
        <v>0</v>
      </c>
      <c r="BA33" s="3">
        <f t="shared" si="8"/>
        <v>10110</v>
      </c>
    </row>
    <row r="34" spans="1:57" x14ac:dyDescent="0.25">
      <c r="A34" s="461" t="s">
        <v>1245</v>
      </c>
      <c r="B34" s="461"/>
      <c r="C34" s="461"/>
      <c r="D34" s="461"/>
      <c r="E34" s="461"/>
      <c r="F34" s="461"/>
      <c r="G34" s="461"/>
      <c r="H34" s="461"/>
      <c r="I34" s="461"/>
      <c r="J34" s="461"/>
      <c r="K34" s="461"/>
      <c r="L34" s="461"/>
      <c r="M34" s="461"/>
      <c r="N34" s="461"/>
      <c r="O34" s="461"/>
      <c r="P34" s="461"/>
      <c r="Q34" s="461"/>
      <c r="R34" s="461"/>
      <c r="S34" s="461"/>
      <c r="T34" s="461"/>
      <c r="U34" s="461"/>
      <c r="V34" s="461"/>
      <c r="W34" s="461"/>
      <c r="X34" s="461"/>
      <c r="Y34" s="461"/>
      <c r="Z34" s="461"/>
      <c r="AA34" s="461"/>
      <c r="AB34" s="461"/>
      <c r="AC34" s="461"/>
      <c r="AD34" s="461"/>
      <c r="AE34" s="461"/>
      <c r="AF34" s="461"/>
      <c r="AG34" s="461"/>
      <c r="AH34" s="461"/>
      <c r="AI34" s="461"/>
      <c r="AJ34" s="461"/>
      <c r="AK34" s="461"/>
      <c r="AL34" s="461"/>
      <c r="AM34" s="461"/>
      <c r="AN34" s="461"/>
      <c r="AO34" s="461"/>
      <c r="AP34" s="461"/>
      <c r="AQ34" s="461"/>
      <c r="AR34" s="461"/>
      <c r="AS34" s="461"/>
      <c r="AT34" s="461"/>
      <c r="AU34" s="461"/>
      <c r="AV34" s="461"/>
      <c r="AW34" s="461"/>
      <c r="AX34" s="461"/>
      <c r="AY34" s="461"/>
      <c r="AZ34" s="461"/>
      <c r="BA34" s="461"/>
      <c r="BB34" s="461"/>
      <c r="BC34" s="461"/>
      <c r="BD34" s="461"/>
      <c r="BE34" s="461"/>
    </row>
    <row r="35" spans="1:57" x14ac:dyDescent="0.25">
      <c r="A35" s="7"/>
      <c r="BC35" s="3"/>
      <c r="BE35" s="3"/>
    </row>
    <row r="36" spans="1:57" x14ac:dyDescent="0.25">
      <c r="A36" s="259" t="s">
        <v>1231</v>
      </c>
      <c r="BC36" s="3"/>
      <c r="BE36" s="3"/>
    </row>
    <row r="37" spans="1:57" x14ac:dyDescent="0.25">
      <c r="A37" s="3" t="s">
        <v>886</v>
      </c>
      <c r="BC37" s="3"/>
      <c r="BE37" s="3"/>
    </row>
    <row r="38" spans="1:57" x14ac:dyDescent="0.25">
      <c r="A38" s="3" t="s">
        <v>809</v>
      </c>
      <c r="BC38" s="3"/>
      <c r="BE38" s="3"/>
    </row>
    <row r="39" spans="1:57" x14ac:dyDescent="0.25">
      <c r="A39" s="3" t="s">
        <v>1343</v>
      </c>
      <c r="B39" s="3">
        <v>445000</v>
      </c>
      <c r="D39" s="3">
        <v>-43</v>
      </c>
      <c r="E39" s="3">
        <f t="shared" ref="E39:E48" si="9">F39-D39</f>
        <v>445043</v>
      </c>
      <c r="F39" s="3">
        <v>445000</v>
      </c>
      <c r="H39" s="3">
        <f t="shared" ref="H39:H48" si="10">F39-B39</f>
        <v>0</v>
      </c>
      <c r="J39" s="3">
        <v>229829</v>
      </c>
      <c r="K39" s="4">
        <f t="shared" ref="K39:K48" si="11">L39-J39</f>
        <v>215171</v>
      </c>
      <c r="L39" s="4">
        <v>445000</v>
      </c>
      <c r="N39" s="4">
        <f t="shared" ref="N39:N48" si="12">L39-F39</f>
        <v>0</v>
      </c>
      <c r="P39" s="3">
        <f>B39*1.15</f>
        <v>511749.99999999994</v>
      </c>
      <c r="R39" s="3">
        <v>-486</v>
      </c>
      <c r="S39" s="3">
        <f t="shared" ref="S39:S48" si="13">T39-R39</f>
        <v>512236</v>
      </c>
      <c r="T39" s="3">
        <v>511750</v>
      </c>
      <c r="U39" s="3">
        <f t="shared" ref="U39:U48" si="14">T39-P39</f>
        <v>0</v>
      </c>
      <c r="V39" s="3">
        <v>292487</v>
      </c>
      <c r="W39" s="3">
        <f t="shared" ref="W39:W48" si="15">Y39-V39</f>
        <v>237513</v>
      </c>
      <c r="Y39" s="3">
        <v>530000</v>
      </c>
      <c r="Z39" s="3">
        <f t="shared" ref="Z39:Z48" si="16">Y39-T39</f>
        <v>18250</v>
      </c>
      <c r="AC39" s="3">
        <v>291840</v>
      </c>
      <c r="AD39" s="3">
        <f t="shared" ref="AD39:AD48" si="17">AE39-AC39</f>
        <v>248160</v>
      </c>
      <c r="AE39" s="3">
        <v>540000</v>
      </c>
      <c r="AF39" s="3">
        <f t="shared" ref="AF39:AF48" si="18">AE39-Y39</f>
        <v>10000</v>
      </c>
      <c r="AI39" s="3">
        <f>AE39*1.125+500</f>
        <v>608000</v>
      </c>
      <c r="AK39" s="3">
        <f>AI39*1.1</f>
        <v>668800</v>
      </c>
      <c r="AM39" s="3">
        <f>AK39*1.1</f>
        <v>735680.00000000012</v>
      </c>
      <c r="AO39" s="3">
        <f>AM39*1.1</f>
        <v>809248.00000000023</v>
      </c>
      <c r="AQ39" s="3">
        <f>AO39*1.075</f>
        <v>869941.60000000021</v>
      </c>
      <c r="AS39" s="3">
        <f>AQ39*1.075</f>
        <v>935187.2200000002</v>
      </c>
      <c r="AU39" s="3">
        <f>AS39*1.05</f>
        <v>981946.58100000024</v>
      </c>
      <c r="AW39" s="3">
        <f>AU39*1.05</f>
        <v>1031043.9100500003</v>
      </c>
      <c r="AY39" s="3">
        <f>AW39*1.05</f>
        <v>1082596.1055525003</v>
      </c>
      <c r="BA39" s="3">
        <f>AY39*1.05</f>
        <v>1136725.9108301254</v>
      </c>
      <c r="BC39" s="3">
        <f>BA39*1.05</f>
        <v>1193562.2063716317</v>
      </c>
      <c r="BE39" s="3">
        <f>BC39*1.05</f>
        <v>1253240.3166902133</v>
      </c>
    </row>
    <row r="40" spans="1:57" x14ac:dyDescent="0.25">
      <c r="A40" s="3" t="s">
        <v>815</v>
      </c>
      <c r="B40" s="3">
        <v>7000</v>
      </c>
      <c r="D40" s="3">
        <v>0</v>
      </c>
      <c r="E40" s="3">
        <f t="shared" si="9"/>
        <v>7000</v>
      </c>
      <c r="F40" s="3">
        <v>7000</v>
      </c>
      <c r="H40" s="3">
        <f t="shared" si="10"/>
        <v>0</v>
      </c>
      <c r="J40" s="3">
        <v>0</v>
      </c>
      <c r="K40" s="4">
        <f t="shared" si="11"/>
        <v>7000</v>
      </c>
      <c r="L40" s="4">
        <v>7000</v>
      </c>
      <c r="N40" s="4">
        <f t="shared" si="12"/>
        <v>0</v>
      </c>
      <c r="P40" s="3">
        <v>8000</v>
      </c>
      <c r="S40" s="3">
        <f t="shared" si="13"/>
        <v>8000</v>
      </c>
      <c r="T40" s="3">
        <v>8000</v>
      </c>
      <c r="U40" s="3">
        <f t="shared" si="14"/>
        <v>0</v>
      </c>
      <c r="W40" s="3">
        <f t="shared" si="15"/>
        <v>7000</v>
      </c>
      <c r="Y40" s="3">
        <v>7000</v>
      </c>
      <c r="Z40" s="3">
        <f t="shared" si="16"/>
        <v>-1000</v>
      </c>
      <c r="AD40" s="3">
        <f t="shared" si="17"/>
        <v>7000</v>
      </c>
      <c r="AE40" s="3">
        <v>7000</v>
      </c>
      <c r="AF40" s="3">
        <f t="shared" si="18"/>
        <v>0</v>
      </c>
      <c r="AI40" s="3">
        <v>8000</v>
      </c>
      <c r="AK40" s="3">
        <v>9000</v>
      </c>
      <c r="AM40" s="3">
        <v>11000</v>
      </c>
      <c r="AO40" s="3">
        <v>12000</v>
      </c>
      <c r="AQ40" s="3">
        <v>13000</v>
      </c>
      <c r="AS40" s="3">
        <v>14000</v>
      </c>
      <c r="AU40" s="3">
        <v>15000</v>
      </c>
      <c r="AW40" s="3">
        <v>16000</v>
      </c>
      <c r="AY40" s="3">
        <v>16000</v>
      </c>
      <c r="BA40" s="3">
        <v>16000</v>
      </c>
      <c r="BC40" s="3">
        <v>16000</v>
      </c>
      <c r="BE40" s="3">
        <v>16000</v>
      </c>
    </row>
    <row r="41" spans="1:57" x14ac:dyDescent="0.25">
      <c r="A41" s="3" t="s">
        <v>816</v>
      </c>
      <c r="E41" s="3">
        <f t="shared" si="9"/>
        <v>0</v>
      </c>
      <c r="H41" s="3">
        <f t="shared" si="10"/>
        <v>0</v>
      </c>
      <c r="K41" s="4">
        <f t="shared" si="11"/>
        <v>0</v>
      </c>
      <c r="L41" s="4"/>
      <c r="N41" s="4">
        <f t="shared" si="12"/>
        <v>0</v>
      </c>
      <c r="S41" s="3">
        <f t="shared" si="13"/>
        <v>0</v>
      </c>
      <c r="U41" s="3">
        <f t="shared" si="14"/>
        <v>0</v>
      </c>
      <c r="W41" s="3">
        <f t="shared" si="15"/>
        <v>0</v>
      </c>
      <c r="Z41" s="3">
        <f t="shared" si="16"/>
        <v>0</v>
      </c>
      <c r="AD41" s="3">
        <f t="shared" si="17"/>
        <v>0</v>
      </c>
      <c r="AF41" s="3">
        <f t="shared" si="18"/>
        <v>0</v>
      </c>
      <c r="BC41" s="3"/>
      <c r="BE41" s="3"/>
    </row>
    <row r="42" spans="1:57" x14ac:dyDescent="0.25">
      <c r="A42" s="3" t="s">
        <v>888</v>
      </c>
      <c r="E42" s="3">
        <f t="shared" si="9"/>
        <v>0</v>
      </c>
      <c r="H42" s="3">
        <f t="shared" si="10"/>
        <v>0</v>
      </c>
      <c r="K42" s="4">
        <f t="shared" si="11"/>
        <v>0</v>
      </c>
      <c r="L42" s="4"/>
      <c r="N42" s="4">
        <f t="shared" si="12"/>
        <v>0</v>
      </c>
      <c r="S42" s="3">
        <f t="shared" si="13"/>
        <v>0</v>
      </c>
      <c r="U42" s="3">
        <f t="shared" si="14"/>
        <v>0</v>
      </c>
      <c r="W42" s="3">
        <f t="shared" si="15"/>
        <v>0</v>
      </c>
      <c r="Z42" s="3">
        <f t="shared" si="16"/>
        <v>0</v>
      </c>
      <c r="AD42" s="3">
        <f t="shared" si="17"/>
        <v>0</v>
      </c>
      <c r="AF42" s="3">
        <f t="shared" si="18"/>
        <v>0</v>
      </c>
      <c r="BC42" s="3"/>
      <c r="BE42" s="3"/>
    </row>
    <row r="43" spans="1:57" x14ac:dyDescent="0.25">
      <c r="A43" s="3" t="s">
        <v>811</v>
      </c>
      <c r="B43" s="3">
        <v>1500</v>
      </c>
      <c r="D43" s="3">
        <v>806</v>
      </c>
      <c r="E43" s="3">
        <f t="shared" si="9"/>
        <v>694</v>
      </c>
      <c r="F43" s="3">
        <v>1500</v>
      </c>
      <c r="H43" s="3">
        <f t="shared" si="10"/>
        <v>0</v>
      </c>
      <c r="J43" s="3">
        <v>1646</v>
      </c>
      <c r="K43" s="4">
        <f t="shared" si="11"/>
        <v>354</v>
      </c>
      <c r="L43" s="4">
        <v>2000</v>
      </c>
      <c r="N43" s="4">
        <f t="shared" si="12"/>
        <v>500</v>
      </c>
      <c r="P43" s="3">
        <f>L43*1.025</f>
        <v>2050</v>
      </c>
      <c r="R43" s="3">
        <v>1089</v>
      </c>
      <c r="S43" s="3">
        <f t="shared" si="13"/>
        <v>961</v>
      </c>
      <c r="T43" s="3">
        <v>2050</v>
      </c>
      <c r="U43" s="3">
        <f t="shared" si="14"/>
        <v>0</v>
      </c>
      <c r="V43" s="3">
        <v>1840</v>
      </c>
      <c r="W43" s="3">
        <f t="shared" si="15"/>
        <v>660</v>
      </c>
      <c r="Y43" s="3">
        <v>2500</v>
      </c>
      <c r="Z43" s="3">
        <f t="shared" si="16"/>
        <v>450</v>
      </c>
      <c r="AC43" s="3">
        <v>3273</v>
      </c>
      <c r="AD43" s="3">
        <f t="shared" si="17"/>
        <v>427</v>
      </c>
      <c r="AE43" s="3">
        <v>3700</v>
      </c>
      <c r="AF43" s="3">
        <f t="shared" si="18"/>
        <v>1200</v>
      </c>
      <c r="AI43" s="3">
        <v>3000</v>
      </c>
      <c r="AK43" s="3">
        <f>AI43*1.025</f>
        <v>3074.9999999999995</v>
      </c>
      <c r="AM43" s="3">
        <f>AK43*1.025</f>
        <v>3151.8749999999991</v>
      </c>
      <c r="AO43" s="3">
        <f>AM43*1.025</f>
        <v>3230.6718749999986</v>
      </c>
      <c r="AQ43" s="3">
        <f>AO43*1.025</f>
        <v>3311.4386718749984</v>
      </c>
      <c r="AS43" s="3">
        <f>AQ43*1.025</f>
        <v>3394.224638671873</v>
      </c>
      <c r="AU43" s="3">
        <f>AS43*1.025</f>
        <v>3479.0802546386694</v>
      </c>
      <c r="AW43" s="3">
        <f>AU43*1.025</f>
        <v>3566.0572610046361</v>
      </c>
      <c r="AY43" s="3">
        <f>AW43*1.025</f>
        <v>3655.2086925297517</v>
      </c>
      <c r="BA43" s="3">
        <f>AY43*1.025</f>
        <v>3746.5889098429952</v>
      </c>
      <c r="BC43" s="3">
        <f>BA43*1.025</f>
        <v>3840.2536325890696</v>
      </c>
      <c r="BE43" s="3">
        <f>BC43*1.025</f>
        <v>3936.2599734037958</v>
      </c>
    </row>
    <row r="44" spans="1:57" x14ac:dyDescent="0.25">
      <c r="A44" s="3" t="s">
        <v>57</v>
      </c>
      <c r="B44" s="3">
        <v>1000</v>
      </c>
      <c r="D44" s="3">
        <v>330</v>
      </c>
      <c r="E44" s="3">
        <f t="shared" si="9"/>
        <v>670</v>
      </c>
      <c r="F44" s="3">
        <v>1000</v>
      </c>
      <c r="H44" s="3">
        <f t="shared" si="10"/>
        <v>0</v>
      </c>
      <c r="J44" s="3">
        <v>743</v>
      </c>
      <c r="K44" s="4">
        <f t="shared" si="11"/>
        <v>257</v>
      </c>
      <c r="L44" s="4">
        <v>1000</v>
      </c>
      <c r="N44" s="4">
        <f t="shared" si="12"/>
        <v>0</v>
      </c>
      <c r="P44" s="3">
        <f>L44*1.025+25</f>
        <v>1050</v>
      </c>
      <c r="R44" s="3">
        <v>478</v>
      </c>
      <c r="S44" s="3">
        <f t="shared" si="13"/>
        <v>572</v>
      </c>
      <c r="T44" s="3">
        <v>1050</v>
      </c>
      <c r="U44" s="3">
        <f t="shared" si="14"/>
        <v>0</v>
      </c>
      <c r="V44" s="3">
        <v>808</v>
      </c>
      <c r="W44" s="3">
        <f t="shared" si="15"/>
        <v>242</v>
      </c>
      <c r="Y44" s="3">
        <v>1050</v>
      </c>
      <c r="Z44" s="3">
        <f t="shared" si="16"/>
        <v>0</v>
      </c>
      <c r="AC44" s="3">
        <v>1288</v>
      </c>
      <c r="AD44" s="3">
        <f t="shared" si="17"/>
        <v>212</v>
      </c>
      <c r="AE44" s="3">
        <v>1500</v>
      </c>
      <c r="AF44" s="3">
        <f t="shared" si="18"/>
        <v>450</v>
      </c>
      <c r="AI44" s="3">
        <f>P44*1.03+18</f>
        <v>1099.5</v>
      </c>
      <c r="AK44" s="3">
        <f>AI44*1.03</f>
        <v>1132.4850000000001</v>
      </c>
      <c r="AM44" s="3">
        <f>AK44*1.03</f>
        <v>1166.4595500000003</v>
      </c>
      <c r="AO44" s="3">
        <f>AM44*1.03</f>
        <v>1201.4533365000002</v>
      </c>
      <c r="AQ44" s="3">
        <f>AO44*1.03</f>
        <v>1237.4969365950003</v>
      </c>
      <c r="AS44" s="3">
        <f>AQ44*1.03</f>
        <v>1274.6218446928503</v>
      </c>
      <c r="AU44" s="3">
        <f>AS44*1.03</f>
        <v>1312.8605000336358</v>
      </c>
      <c r="AW44" s="3">
        <f>AU44*1.03</f>
        <v>1352.246315034645</v>
      </c>
      <c r="AY44" s="3">
        <f>AW44*1.03</f>
        <v>1392.8137044856844</v>
      </c>
      <c r="BA44" s="3">
        <f>AY44*1.03</f>
        <v>1434.5981156202549</v>
      </c>
      <c r="BC44" s="3">
        <f>BA44*1.03</f>
        <v>1477.6360590888626</v>
      </c>
      <c r="BE44" s="3">
        <f>BC44*1.03</f>
        <v>1521.9651408615284</v>
      </c>
    </row>
    <row r="45" spans="1:57" x14ac:dyDescent="0.25">
      <c r="A45" s="3" t="s">
        <v>93</v>
      </c>
      <c r="E45" s="3">
        <f t="shared" si="9"/>
        <v>0</v>
      </c>
      <c r="H45" s="3">
        <f t="shared" si="10"/>
        <v>0</v>
      </c>
      <c r="K45" s="4">
        <f t="shared" si="11"/>
        <v>0</v>
      </c>
      <c r="L45" s="4"/>
      <c r="N45" s="4">
        <f t="shared" si="12"/>
        <v>0</v>
      </c>
      <c r="S45" s="3">
        <f t="shared" si="13"/>
        <v>0</v>
      </c>
      <c r="U45" s="3">
        <f t="shared" si="14"/>
        <v>0</v>
      </c>
      <c r="W45" s="3">
        <f t="shared" si="15"/>
        <v>0</v>
      </c>
      <c r="Z45" s="3">
        <f t="shared" si="16"/>
        <v>0</v>
      </c>
      <c r="AD45" s="3">
        <f t="shared" si="17"/>
        <v>0</v>
      </c>
      <c r="AF45" s="3">
        <f t="shared" si="18"/>
        <v>0</v>
      </c>
      <c r="BC45" s="3"/>
      <c r="BE45" s="3"/>
    </row>
    <row r="46" spans="1:57" x14ac:dyDescent="0.25">
      <c r="A46" s="3" t="s">
        <v>55</v>
      </c>
      <c r="B46" s="3">
        <v>10200</v>
      </c>
      <c r="D46" s="3">
        <v>0</v>
      </c>
      <c r="E46" s="3">
        <f t="shared" si="9"/>
        <v>10200</v>
      </c>
      <c r="F46" s="3">
        <v>10200</v>
      </c>
      <c r="H46" s="3">
        <f t="shared" si="10"/>
        <v>0</v>
      </c>
      <c r="K46" s="4">
        <f t="shared" si="11"/>
        <v>10200</v>
      </c>
      <c r="L46" s="4">
        <v>10200</v>
      </c>
      <c r="N46" s="4">
        <f t="shared" si="12"/>
        <v>0</v>
      </c>
      <c r="P46" s="3">
        <f>L46*1.02-4</f>
        <v>10400</v>
      </c>
      <c r="R46" s="3">
        <v>0</v>
      </c>
      <c r="S46" s="3">
        <f t="shared" si="13"/>
        <v>10400</v>
      </c>
      <c r="T46" s="3">
        <v>10400</v>
      </c>
      <c r="U46" s="3">
        <f t="shared" si="14"/>
        <v>0</v>
      </c>
      <c r="W46" s="3">
        <f t="shared" si="15"/>
        <v>10400</v>
      </c>
      <c r="Y46" s="3">
        <v>10400</v>
      </c>
      <c r="Z46" s="3">
        <f t="shared" si="16"/>
        <v>0</v>
      </c>
      <c r="AC46" s="3">
        <v>10669</v>
      </c>
      <c r="AD46" s="3">
        <f t="shared" si="17"/>
        <v>1</v>
      </c>
      <c r="AE46" s="3">
        <v>10670</v>
      </c>
      <c r="AF46" s="3">
        <f t="shared" si="18"/>
        <v>270</v>
      </c>
      <c r="AI46" s="3">
        <f>AE46*1.025+13</f>
        <v>10949.749999999998</v>
      </c>
      <c r="AK46" s="3">
        <f>AI46*1.025</f>
        <v>11223.493749999998</v>
      </c>
      <c r="AM46" s="3">
        <f>AK46*1.025</f>
        <v>11504.081093749997</v>
      </c>
      <c r="AO46" s="3">
        <f>AM46*1.025</f>
        <v>11791.683121093747</v>
      </c>
      <c r="AQ46" s="3">
        <f>AO46*1.025</f>
        <v>12086.475199121091</v>
      </c>
      <c r="AS46" s="3">
        <f>AQ46*1.025</f>
        <v>12388.637079099117</v>
      </c>
      <c r="AU46" s="3">
        <f>AS46*1.025</f>
        <v>12698.353006076593</v>
      </c>
      <c r="AW46" s="3">
        <f>AU46*1.025</f>
        <v>13015.811831228508</v>
      </c>
      <c r="AY46" s="3">
        <f>AW46*1.025</f>
        <v>13341.20712700922</v>
      </c>
      <c r="BA46" s="3">
        <f>AY46*1.025</f>
        <v>13674.73730518445</v>
      </c>
      <c r="BC46" s="3">
        <f>BA46*1.025</f>
        <v>14016.605737814059</v>
      </c>
      <c r="BE46" s="3">
        <f>BC46*1.025</f>
        <v>14367.02088125941</v>
      </c>
    </row>
    <row r="47" spans="1:57" x14ac:dyDescent="0.25">
      <c r="A47" s="3" t="s">
        <v>889</v>
      </c>
      <c r="E47" s="3">
        <f t="shared" si="9"/>
        <v>0</v>
      </c>
      <c r="H47" s="3">
        <f t="shared" si="10"/>
        <v>0</v>
      </c>
      <c r="K47" s="4">
        <f t="shared" si="11"/>
        <v>0</v>
      </c>
      <c r="L47" s="4"/>
      <c r="N47" s="4">
        <f t="shared" si="12"/>
        <v>0</v>
      </c>
      <c r="S47" s="3">
        <f t="shared" si="13"/>
        <v>0</v>
      </c>
      <c r="U47" s="3">
        <f t="shared" si="14"/>
        <v>0</v>
      </c>
      <c r="W47" s="3">
        <f t="shared" si="15"/>
        <v>0</v>
      </c>
      <c r="Z47" s="3">
        <f t="shared" si="16"/>
        <v>0</v>
      </c>
      <c r="AD47" s="3">
        <f t="shared" si="17"/>
        <v>0</v>
      </c>
      <c r="AF47" s="3">
        <f t="shared" si="18"/>
        <v>0</v>
      </c>
      <c r="BC47" s="3"/>
      <c r="BE47" s="3"/>
    </row>
    <row r="48" spans="1:57" x14ac:dyDescent="0.25">
      <c r="A48" s="3" t="s">
        <v>890</v>
      </c>
      <c r="E48" s="3">
        <f t="shared" si="9"/>
        <v>0</v>
      </c>
      <c r="H48" s="3">
        <f t="shared" si="10"/>
        <v>0</v>
      </c>
      <c r="K48" s="4">
        <f t="shared" si="11"/>
        <v>0</v>
      </c>
      <c r="L48" s="4"/>
      <c r="N48" s="4">
        <f t="shared" si="12"/>
        <v>0</v>
      </c>
      <c r="S48" s="3">
        <f t="shared" si="13"/>
        <v>0</v>
      </c>
      <c r="U48" s="3">
        <f t="shared" si="14"/>
        <v>0</v>
      </c>
      <c r="W48" s="3">
        <f t="shared" si="15"/>
        <v>0</v>
      </c>
      <c r="Z48" s="3">
        <f t="shared" si="16"/>
        <v>0</v>
      </c>
      <c r="AD48" s="3">
        <f t="shared" si="17"/>
        <v>0</v>
      </c>
      <c r="AF48" s="3">
        <f t="shared" si="18"/>
        <v>0</v>
      </c>
      <c r="BC48" s="3"/>
      <c r="BE48" s="3"/>
    </row>
    <row r="49" spans="1:57" x14ac:dyDescent="0.25">
      <c r="A49" s="259" t="s">
        <v>1231</v>
      </c>
      <c r="B49" s="62">
        <f>SUM(B37:B48)</f>
        <v>464700</v>
      </c>
      <c r="C49" s="32"/>
      <c r="D49" s="62">
        <f>SUM(D37:D48)-1</f>
        <v>1092</v>
      </c>
      <c r="E49" s="62">
        <f>SUM(E37:E48)-1</f>
        <v>463606</v>
      </c>
      <c r="F49" s="62">
        <f>SUM(F37:F48)</f>
        <v>464700</v>
      </c>
      <c r="G49" s="32"/>
      <c r="H49" s="62">
        <f>SUM(H37:H48)-1</f>
        <v>-1</v>
      </c>
      <c r="I49" s="32"/>
      <c r="J49" s="62">
        <f>SUM(J37:J48)-1</f>
        <v>232217</v>
      </c>
      <c r="K49" s="62">
        <f>SUM(K37:K48)-1</f>
        <v>232981</v>
      </c>
      <c r="L49" s="62">
        <f>SUM(L37:L48)-1</f>
        <v>465199</v>
      </c>
      <c r="M49" s="32"/>
      <c r="N49" s="62">
        <f>SUM(N37:N48)-1</f>
        <v>499</v>
      </c>
      <c r="P49" s="62">
        <f>SUM(P37:P48)</f>
        <v>533250</v>
      </c>
      <c r="R49" s="62">
        <f t="shared" ref="R49:W49" si="19">SUM(R37:R48)</f>
        <v>1081</v>
      </c>
      <c r="S49" s="62">
        <f t="shared" si="19"/>
        <v>532169</v>
      </c>
      <c r="T49" s="62">
        <f t="shared" si="19"/>
        <v>533250</v>
      </c>
      <c r="U49" s="62">
        <f t="shared" si="19"/>
        <v>0</v>
      </c>
      <c r="V49" s="62">
        <f t="shared" si="19"/>
        <v>295135</v>
      </c>
      <c r="W49" s="62">
        <f t="shared" si="19"/>
        <v>255815</v>
      </c>
      <c r="X49" s="62"/>
      <c r="Y49" s="62">
        <f>SUM(Y37:Y48)</f>
        <v>550950</v>
      </c>
      <c r="Z49" s="62">
        <f>SUM(Z37:Z48)</f>
        <v>17700</v>
      </c>
      <c r="AC49" s="62">
        <f>SUM(AC37:AC48)</f>
        <v>307070</v>
      </c>
      <c r="AD49" s="62">
        <f>SUM(AD37:AD48)</f>
        <v>255800</v>
      </c>
      <c r="AE49" s="62">
        <f>SUM(AE37:AE48)</f>
        <v>562870</v>
      </c>
      <c r="AF49" s="62">
        <f>SUM(AF37:AF48)</f>
        <v>11920</v>
      </c>
      <c r="AG49" s="32"/>
      <c r="AI49" s="62">
        <f>SUM(AI37:AI48)</f>
        <v>631049.25</v>
      </c>
      <c r="AK49" s="62">
        <f>SUM(AK37:AK48)</f>
        <v>693230.97875000001</v>
      </c>
      <c r="AM49" s="62">
        <f>SUM(AM37:AM48)</f>
        <v>762502.41564375011</v>
      </c>
      <c r="AO49" s="62">
        <f>SUM(AO37:AO48)</f>
        <v>837471.808332594</v>
      </c>
      <c r="AP49" s="62"/>
      <c r="AQ49" s="62">
        <f>SUM(AQ37:AQ48)</f>
        <v>899577.01080759126</v>
      </c>
      <c r="AS49" s="62">
        <f>SUM(AS37:AS48)</f>
        <v>966244.70356246398</v>
      </c>
      <c r="AU49" s="62">
        <f>SUM(AU37:AU48)</f>
        <v>1014436.8747607492</v>
      </c>
      <c r="AW49" s="62">
        <f>SUM(AW37:AW48)</f>
        <v>1064978.0254572679</v>
      </c>
      <c r="AY49" s="62">
        <f>SUM(AY37:AY48)</f>
        <v>1116985.3350765251</v>
      </c>
      <c r="BA49" s="62">
        <f>SUM(BA37:BA48)</f>
        <v>1171581.835160773</v>
      </c>
      <c r="BC49" s="62">
        <f>SUM(BC37:BC48)</f>
        <v>1228896.7018011236</v>
      </c>
      <c r="BE49" s="62">
        <f>SUM(BE37:BE48)</f>
        <v>1289065.5626857379</v>
      </c>
    </row>
    <row r="50" spans="1:57" x14ac:dyDescent="0.25">
      <c r="A50" s="7" t="s">
        <v>1381</v>
      </c>
      <c r="BC50" s="3"/>
      <c r="BE50" s="3"/>
    </row>
    <row r="51" spans="1:57" x14ac:dyDescent="0.25">
      <c r="A51" s="3" t="s">
        <v>891</v>
      </c>
      <c r="E51" s="3">
        <f>F51-D51</f>
        <v>0</v>
      </c>
      <c r="H51" s="3">
        <f>F51-B51</f>
        <v>0</v>
      </c>
      <c r="J51" s="3">
        <v>0</v>
      </c>
      <c r="K51" s="4">
        <f>L51-J51</f>
        <v>0</v>
      </c>
      <c r="L51" s="4">
        <v>0</v>
      </c>
      <c r="N51" s="4">
        <f>L51-F51</f>
        <v>0</v>
      </c>
      <c r="BC51" s="3"/>
      <c r="BE51" s="3"/>
    </row>
    <row r="52" spans="1:57" x14ac:dyDescent="0.25">
      <c r="A52" s="3" t="s">
        <v>892</v>
      </c>
      <c r="B52" s="3">
        <v>9300</v>
      </c>
      <c r="E52" s="3">
        <f>F52-D52</f>
        <v>9300</v>
      </c>
      <c r="F52" s="3">
        <v>9300</v>
      </c>
      <c r="H52" s="3">
        <f>F52-B52</f>
        <v>0</v>
      </c>
      <c r="J52" s="3">
        <v>0</v>
      </c>
      <c r="K52" s="4">
        <f>L52-J52</f>
        <v>9300</v>
      </c>
      <c r="L52" s="4">
        <v>9300</v>
      </c>
      <c r="N52" s="4">
        <f>L52-F52</f>
        <v>0</v>
      </c>
      <c r="P52" s="3">
        <v>7940</v>
      </c>
      <c r="S52" s="3">
        <f>T52-R52</f>
        <v>7940</v>
      </c>
      <c r="T52" s="3">
        <v>7940</v>
      </c>
      <c r="U52" s="3">
        <f>T52-P52</f>
        <v>0</v>
      </c>
      <c r="W52" s="3">
        <f>Y52-V52</f>
        <v>7940</v>
      </c>
      <c r="Y52" s="3">
        <v>7940</v>
      </c>
      <c r="Z52" s="3">
        <f>Y52-T52</f>
        <v>0</v>
      </c>
      <c r="AD52" s="3">
        <f>AE52-AC52</f>
        <v>2650</v>
      </c>
      <c r="AE52" s="3">
        <v>2650</v>
      </c>
      <c r="AF52" s="3">
        <f>AE52-Y52</f>
        <v>-5290</v>
      </c>
      <c r="AI52" s="3">
        <v>7940</v>
      </c>
      <c r="AK52" s="3">
        <v>7940</v>
      </c>
      <c r="AM52" s="3">
        <v>7940</v>
      </c>
      <c r="AO52" s="3">
        <v>13480</v>
      </c>
      <c r="AQ52" s="3">
        <v>13480</v>
      </c>
      <c r="AS52" s="3">
        <v>13480</v>
      </c>
      <c r="AU52" s="3">
        <v>13480</v>
      </c>
      <c r="AW52" s="3">
        <v>10110</v>
      </c>
      <c r="AY52" s="3">
        <v>10110</v>
      </c>
      <c r="BA52" s="3">
        <v>10110</v>
      </c>
      <c r="BC52" s="3">
        <v>10110</v>
      </c>
      <c r="BE52" s="3">
        <v>10110</v>
      </c>
    </row>
    <row r="53" spans="1:57" x14ac:dyDescent="0.25">
      <c r="A53" s="259" t="s">
        <v>1381</v>
      </c>
      <c r="K53" s="4"/>
      <c r="L53" s="4"/>
      <c r="N53" s="4"/>
      <c r="AI53" s="3">
        <f>+AI52</f>
        <v>7940</v>
      </c>
      <c r="AK53" s="3">
        <f>+AK52</f>
        <v>7940</v>
      </c>
      <c r="AM53" s="3">
        <f>+AM52</f>
        <v>7940</v>
      </c>
      <c r="AO53" s="3">
        <f>+AO52</f>
        <v>13480</v>
      </c>
      <c r="AQ53" s="3">
        <f>+AQ52</f>
        <v>13480</v>
      </c>
      <c r="AS53" s="3">
        <f>+AS52</f>
        <v>13480</v>
      </c>
      <c r="AU53" s="3">
        <f>+AU52</f>
        <v>13480</v>
      </c>
      <c r="AW53" s="3">
        <f>+AW52</f>
        <v>10110</v>
      </c>
      <c r="AY53" s="3">
        <f>+AY52</f>
        <v>10110</v>
      </c>
      <c r="BA53" s="3">
        <f>+BA52</f>
        <v>10110</v>
      </c>
      <c r="BC53" s="3">
        <f>+BC52</f>
        <v>10110</v>
      </c>
      <c r="BE53" s="3">
        <f>+BE52</f>
        <v>10110</v>
      </c>
    </row>
    <row r="54" spans="1:57" ht="15.75" thickBot="1" x14ac:dyDescent="0.3">
      <c r="A54" s="259" t="s">
        <v>1233</v>
      </c>
      <c r="B54" s="44">
        <f>B49+B51+B52</f>
        <v>474000</v>
      </c>
      <c r="C54" s="32"/>
      <c r="D54" s="44">
        <f>D49+D51+D52</f>
        <v>1092</v>
      </c>
      <c r="E54" s="44">
        <f>E49+E51+E52</f>
        <v>472906</v>
      </c>
      <c r="F54" s="44">
        <f>F49+F51+F52</f>
        <v>474000</v>
      </c>
      <c r="G54" s="32"/>
      <c r="H54" s="44">
        <f>H49+H51+H52</f>
        <v>-1</v>
      </c>
      <c r="I54" s="32"/>
      <c r="J54" s="44">
        <f>SUM(J41:J52)-1</f>
        <v>234605</v>
      </c>
      <c r="K54" s="44">
        <f>SUM(K41:K52)-1</f>
        <v>253091</v>
      </c>
      <c r="L54" s="44">
        <f>SUM(L41:L52)-1</f>
        <v>487698</v>
      </c>
      <c r="M54" s="32"/>
      <c r="N54" s="44">
        <f>N49+N51+N52</f>
        <v>499</v>
      </c>
      <c r="P54" s="44">
        <f>P49+P51+P52</f>
        <v>541190</v>
      </c>
      <c r="R54" s="44">
        <f t="shared" ref="R54:Z54" si="20">R49+R51+R52</f>
        <v>1081</v>
      </c>
      <c r="S54" s="44">
        <f t="shared" si="20"/>
        <v>540109</v>
      </c>
      <c r="T54" s="44">
        <f t="shared" si="20"/>
        <v>541190</v>
      </c>
      <c r="U54" s="44">
        <f t="shared" si="20"/>
        <v>0</v>
      </c>
      <c r="V54" s="44">
        <f t="shared" si="20"/>
        <v>295135</v>
      </c>
      <c r="W54" s="44">
        <f t="shared" si="20"/>
        <v>263755</v>
      </c>
      <c r="X54" s="44"/>
      <c r="Y54" s="44">
        <f t="shared" si="20"/>
        <v>558890</v>
      </c>
      <c r="Z54" s="44">
        <f t="shared" si="20"/>
        <v>17700</v>
      </c>
      <c r="AC54" s="44">
        <f>AC49+AC51+AC52</f>
        <v>307070</v>
      </c>
      <c r="AD54" s="44">
        <f>AD49+AD51+AD52</f>
        <v>258450</v>
      </c>
      <c r="AE54" s="44">
        <f>AE49+AE51+AE52</f>
        <v>565520</v>
      </c>
      <c r="AF54" s="44">
        <f>AF49+AF51+AF52</f>
        <v>6630</v>
      </c>
      <c r="AG54" s="32"/>
      <c r="AI54" s="44">
        <f>AI49+AI51+AI53</f>
        <v>638989.25</v>
      </c>
      <c r="AK54" s="44">
        <f>AK49+AK51+AK53</f>
        <v>701170.97875000001</v>
      </c>
      <c r="AM54" s="44">
        <f>AM49+AM51+AM53</f>
        <v>770442.41564375011</v>
      </c>
      <c r="AO54" s="44">
        <f>AO49+AO51+AO53</f>
        <v>850951.808332594</v>
      </c>
      <c r="AP54" s="44"/>
      <c r="AQ54" s="44">
        <f>AQ49+AQ51+AQ53</f>
        <v>913057.01080759126</v>
      </c>
      <c r="AS54" s="44">
        <f>AS49+AS51+AS53</f>
        <v>979724.70356246398</v>
      </c>
      <c r="AU54" s="44">
        <f>AU49+AU51+AU53</f>
        <v>1027916.8747607492</v>
      </c>
      <c r="AW54" s="44">
        <f>AW49+AW51+AW53</f>
        <v>1075088.0254572679</v>
      </c>
      <c r="AY54" s="44">
        <f>AY49+AY51+AY53</f>
        <v>1127095.3350765251</v>
      </c>
      <c r="BA54" s="44">
        <f>BA49+BA51+BA53</f>
        <v>1181691.835160773</v>
      </c>
      <c r="BC54" s="44">
        <f>BC49+BC51+BC53</f>
        <v>1239006.7018011236</v>
      </c>
      <c r="BE54" s="44">
        <f>BE49+BE51+BE53</f>
        <v>1299175.5626857379</v>
      </c>
    </row>
    <row r="55" spans="1:57" ht="15.75" thickTop="1" x14ac:dyDescent="0.25">
      <c r="A55" s="7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P55" s="32"/>
      <c r="R55" s="32"/>
      <c r="S55" s="32"/>
      <c r="T55" s="32"/>
      <c r="U55" s="32"/>
      <c r="V55" s="32"/>
      <c r="W55" s="32"/>
      <c r="X55" s="32"/>
      <c r="Y55" s="32"/>
      <c r="Z55" s="32"/>
      <c r="AC55" s="32"/>
      <c r="AD55" s="32"/>
      <c r="AE55" s="32"/>
      <c r="AF55" s="32"/>
      <c r="AG55" s="32"/>
      <c r="AI55" s="32"/>
      <c r="AK55" s="32"/>
      <c r="AM55" s="32"/>
      <c r="AO55" s="32"/>
      <c r="AP55" s="32"/>
      <c r="AQ55" s="32"/>
      <c r="AS55" s="32"/>
      <c r="AU55" s="32"/>
      <c r="AW55" s="32"/>
      <c r="AY55" s="32"/>
      <c r="BA55" s="32"/>
      <c r="BC55" s="32"/>
      <c r="BE55" s="32"/>
    </row>
    <row r="56" spans="1:57" x14ac:dyDescent="0.25">
      <c r="A56" s="7" t="s">
        <v>1171</v>
      </c>
      <c r="BC56" s="3"/>
      <c r="BE56" s="3"/>
    </row>
    <row r="57" spans="1:57" x14ac:dyDescent="0.25">
      <c r="A57" s="3" t="s">
        <v>893</v>
      </c>
      <c r="BC57" s="3"/>
      <c r="BE57" s="3"/>
    </row>
    <row r="58" spans="1:57" x14ac:dyDescent="0.25">
      <c r="A58" s="3" t="s">
        <v>894</v>
      </c>
      <c r="BC58" s="3"/>
      <c r="BE58" s="3"/>
    </row>
    <row r="59" spans="1:57" x14ac:dyDescent="0.25">
      <c r="A59" s="3" t="s">
        <v>289</v>
      </c>
      <c r="B59" s="3">
        <v>145000</v>
      </c>
      <c r="E59" s="3">
        <f>F59-D59</f>
        <v>145000</v>
      </c>
      <c r="F59" s="3">
        <v>145000</v>
      </c>
      <c r="H59" s="3">
        <f>F59-B59</f>
        <v>0</v>
      </c>
      <c r="J59" s="3">
        <v>0</v>
      </c>
      <c r="K59" s="4">
        <f>L59-J59</f>
        <v>145000</v>
      </c>
      <c r="L59" s="4">
        <v>145000</v>
      </c>
      <c r="N59" s="4">
        <f>L59-F59</f>
        <v>0</v>
      </c>
      <c r="P59" s="3">
        <v>145000</v>
      </c>
      <c r="S59" s="3">
        <f>T59-R59</f>
        <v>163000</v>
      </c>
      <c r="T59" s="3">
        <v>163000</v>
      </c>
      <c r="U59" s="3">
        <f>T59-P59</f>
        <v>18000</v>
      </c>
      <c r="W59" s="3">
        <f>Y59-V59</f>
        <v>163000</v>
      </c>
      <c r="Y59" s="3">
        <v>163000</v>
      </c>
      <c r="Z59" s="3">
        <f>Y59-T59</f>
        <v>0</v>
      </c>
      <c r="AD59" s="3">
        <f>AE59-AC59</f>
        <v>163000</v>
      </c>
      <c r="AE59" s="3">
        <v>163000</v>
      </c>
      <c r="AF59" s="3">
        <f>AE59-Y59</f>
        <v>0</v>
      </c>
      <c r="AI59" s="3">
        <v>145000</v>
      </c>
      <c r="AK59" s="3">
        <v>145000</v>
      </c>
      <c r="AM59" s="3">
        <v>145000</v>
      </c>
      <c r="AO59" s="3">
        <v>145000</v>
      </c>
      <c r="AQ59" s="3">
        <v>145000</v>
      </c>
      <c r="AS59" s="3">
        <v>145000</v>
      </c>
      <c r="AU59" s="3">
        <v>145000</v>
      </c>
      <c r="AW59" s="3">
        <v>145000</v>
      </c>
      <c r="AY59" s="3">
        <v>145000</v>
      </c>
      <c r="BA59" s="3">
        <v>145000</v>
      </c>
      <c r="BC59" s="3">
        <v>145000</v>
      </c>
      <c r="BE59" s="3">
        <v>145000</v>
      </c>
    </row>
    <row r="60" spans="1:57" x14ac:dyDescent="0.25">
      <c r="A60" s="3" t="s">
        <v>1236</v>
      </c>
      <c r="K60" s="4"/>
      <c r="L60" s="4"/>
      <c r="N60" s="4"/>
      <c r="AI60" s="3">
        <v>-145000</v>
      </c>
      <c r="AK60" s="3">
        <f>-AK59</f>
        <v>-145000</v>
      </c>
      <c r="AM60" s="3">
        <f>-AM59</f>
        <v>-145000</v>
      </c>
      <c r="AO60" s="3">
        <f>-AO59</f>
        <v>-145000</v>
      </c>
      <c r="AQ60" s="3">
        <f>-AQ59</f>
        <v>-145000</v>
      </c>
      <c r="AS60" s="3">
        <f>-AS59</f>
        <v>-145000</v>
      </c>
      <c r="AU60" s="3">
        <f>-AU59</f>
        <v>-145000</v>
      </c>
      <c r="AW60" s="3">
        <f>-AW59</f>
        <v>-145000</v>
      </c>
      <c r="AY60" s="3">
        <f>-AY59</f>
        <v>-145000</v>
      </c>
      <c r="BA60" s="3">
        <f>-BA59</f>
        <v>-145000</v>
      </c>
      <c r="BC60" s="3">
        <f>-BC59</f>
        <v>-145000</v>
      </c>
      <c r="BE60" s="3">
        <f>-BE59</f>
        <v>-145000</v>
      </c>
    </row>
    <row r="61" spans="1:57" ht="15.75" thickBot="1" x14ac:dyDescent="0.3">
      <c r="A61" s="259" t="s">
        <v>1234</v>
      </c>
      <c r="B61" s="44">
        <f>SUM(B57:B59)</f>
        <v>145000</v>
      </c>
      <c r="C61" s="32"/>
      <c r="D61" s="44">
        <f>SUM(D57:D59)</f>
        <v>0</v>
      </c>
      <c r="E61" s="44">
        <f>SUM(E57:E59)</f>
        <v>145000</v>
      </c>
      <c r="F61" s="44">
        <f>SUM(F57:F59)</f>
        <v>145000</v>
      </c>
      <c r="G61" s="44"/>
      <c r="H61" s="44">
        <f>SUM(H57:H59)</f>
        <v>0</v>
      </c>
      <c r="I61" s="32"/>
      <c r="J61" s="44">
        <f>SUM(J57:J59)</f>
        <v>0</v>
      </c>
      <c r="K61" s="44">
        <f>SUM(K57:K59)</f>
        <v>145000</v>
      </c>
      <c r="L61" s="44">
        <f>SUM(L57:L59)</f>
        <v>145000</v>
      </c>
      <c r="M61" s="32"/>
      <c r="N61" s="44">
        <f>SUM(N57:N59)</f>
        <v>0</v>
      </c>
      <c r="P61" s="44">
        <f>SUM(P57:P59)</f>
        <v>145000</v>
      </c>
      <c r="R61" s="44">
        <f t="shared" ref="R61:W61" si="21">SUM(R57:R59)</f>
        <v>0</v>
      </c>
      <c r="S61" s="44">
        <f t="shared" si="21"/>
        <v>163000</v>
      </c>
      <c r="T61" s="44">
        <f t="shared" si="21"/>
        <v>163000</v>
      </c>
      <c r="U61" s="44">
        <f t="shared" si="21"/>
        <v>18000</v>
      </c>
      <c r="V61" s="44">
        <f t="shared" si="21"/>
        <v>0</v>
      </c>
      <c r="W61" s="44">
        <f t="shared" si="21"/>
        <v>163000</v>
      </c>
      <c r="X61" s="44"/>
      <c r="Y61" s="44">
        <f>SUM(Y57:Y59)</f>
        <v>163000</v>
      </c>
      <c r="Z61" s="44">
        <f>SUM(Z57:Z59)</f>
        <v>0</v>
      </c>
      <c r="AC61" s="44">
        <f>SUM(AC57:AC59)</f>
        <v>0</v>
      </c>
      <c r="AD61" s="44">
        <f>SUM(AD57:AD59)</f>
        <v>163000</v>
      </c>
      <c r="AE61" s="44">
        <f>SUM(AE57:AE59)</f>
        <v>163000</v>
      </c>
      <c r="AF61" s="44">
        <f>SUM(AF57:AF59)</f>
        <v>0</v>
      </c>
      <c r="AG61" s="32"/>
      <c r="AI61" s="44">
        <f>SUM(AI57:AI60)</f>
        <v>0</v>
      </c>
      <c r="AK61" s="44">
        <f>SUM(AK57:AK60)</f>
        <v>0</v>
      </c>
      <c r="AM61" s="44">
        <f>SUM(AM57:AM60)</f>
        <v>0</v>
      </c>
      <c r="AO61" s="44">
        <f>SUM(AO57:AO60)</f>
        <v>0</v>
      </c>
      <c r="AP61" s="44"/>
      <c r="AQ61" s="44">
        <f>SUM(AQ57:AQ60)</f>
        <v>0</v>
      </c>
      <c r="AS61" s="44">
        <f>SUM(AS57:AS60)</f>
        <v>0</v>
      </c>
      <c r="AU61" s="44">
        <f>SUM(AU57:AU60)</f>
        <v>0</v>
      </c>
      <c r="AW61" s="44">
        <f>SUM(AW57:AW60)</f>
        <v>0</v>
      </c>
      <c r="AY61" s="44">
        <f>SUM(AY57:AY60)</f>
        <v>0</v>
      </c>
      <c r="BA61" s="44">
        <f>SUM(BA57:BA60)</f>
        <v>0</v>
      </c>
      <c r="BC61" s="44">
        <f>SUM(BC57:BC60)</f>
        <v>0</v>
      </c>
      <c r="BE61" s="44">
        <f>SUM(BE57:BE60)</f>
        <v>0</v>
      </c>
    </row>
    <row r="62" spans="1:57" ht="16.5" thickTop="1" thickBot="1" x14ac:dyDescent="0.3">
      <c r="A62" s="7"/>
      <c r="B62" s="84"/>
      <c r="C62" s="32"/>
      <c r="D62" s="84"/>
      <c r="E62" s="84"/>
      <c r="F62" s="84"/>
      <c r="G62" s="84"/>
      <c r="H62" s="84"/>
      <c r="I62" s="32"/>
      <c r="J62" s="84"/>
      <c r="K62" s="84"/>
      <c r="L62" s="84"/>
      <c r="M62" s="32"/>
      <c r="N62" s="84"/>
      <c r="P62" s="84"/>
      <c r="R62" s="84"/>
      <c r="S62" s="84"/>
      <c r="T62" s="84"/>
      <c r="U62" s="84"/>
      <c r="V62" s="84"/>
      <c r="W62" s="84"/>
      <c r="X62" s="84"/>
      <c r="Y62" s="84"/>
      <c r="Z62" s="84"/>
      <c r="AC62" s="84"/>
      <c r="AD62" s="84"/>
      <c r="AE62" s="84"/>
      <c r="AF62" s="84"/>
      <c r="AG62" s="32"/>
      <c r="AI62" s="84"/>
      <c r="AK62" s="84"/>
      <c r="AM62" s="84"/>
      <c r="AO62" s="84"/>
      <c r="AP62" s="84"/>
      <c r="AQ62" s="84"/>
      <c r="AS62" s="84"/>
      <c r="AU62" s="84"/>
      <c r="AW62" s="84"/>
      <c r="AY62" s="84"/>
      <c r="BA62" s="84"/>
      <c r="BC62" s="84"/>
      <c r="BE62" s="84"/>
    </row>
    <row r="63" spans="1:57" ht="16.5" thickTop="1" thickBot="1" x14ac:dyDescent="0.3">
      <c r="A63" s="259" t="s">
        <v>1170</v>
      </c>
      <c r="B63" s="84">
        <f>B54+B61</f>
        <v>619000</v>
      </c>
      <c r="C63" s="32"/>
      <c r="D63" s="84">
        <f>D54+D61</f>
        <v>1092</v>
      </c>
      <c r="E63" s="84">
        <f>E54+E61</f>
        <v>617906</v>
      </c>
      <c r="F63" s="84">
        <f>F54+F61</f>
        <v>619000</v>
      </c>
      <c r="G63" s="84"/>
      <c r="H63" s="84">
        <f>H54+H61</f>
        <v>-1</v>
      </c>
      <c r="I63" s="32"/>
      <c r="J63" s="84">
        <f>J54+J61</f>
        <v>234605</v>
      </c>
      <c r="K63" s="84">
        <f>K54+K61</f>
        <v>398091</v>
      </c>
      <c r="L63" s="84">
        <f>L54+L61</f>
        <v>632698</v>
      </c>
      <c r="M63" s="32"/>
      <c r="N63" s="84">
        <f>N54+N61</f>
        <v>499</v>
      </c>
      <c r="P63" s="84">
        <f>P54+P61</f>
        <v>686190</v>
      </c>
      <c r="R63" s="84">
        <f t="shared" ref="R63:W63" si="22">R54+R61</f>
        <v>1081</v>
      </c>
      <c r="S63" s="84">
        <f t="shared" si="22"/>
        <v>703109</v>
      </c>
      <c r="T63" s="84">
        <f t="shared" si="22"/>
        <v>704190</v>
      </c>
      <c r="U63" s="84">
        <f t="shared" si="22"/>
        <v>18000</v>
      </c>
      <c r="V63" s="84">
        <f t="shared" si="22"/>
        <v>295135</v>
      </c>
      <c r="W63" s="84">
        <f t="shared" si="22"/>
        <v>426755</v>
      </c>
      <c r="X63" s="84"/>
      <c r="Y63" s="84">
        <f>Y54+Y61</f>
        <v>721890</v>
      </c>
      <c r="Z63" s="84">
        <f>Z54+Z61</f>
        <v>17700</v>
      </c>
      <c r="AC63" s="84">
        <f>AC54+AC61</f>
        <v>307070</v>
      </c>
      <c r="AD63" s="84">
        <f>AD54+AD61</f>
        <v>421450</v>
      </c>
      <c r="AE63" s="84">
        <f>AE54+AE61</f>
        <v>728520</v>
      </c>
      <c r="AF63" s="84">
        <f>AF54+AF61</f>
        <v>6630</v>
      </c>
      <c r="AG63" s="32"/>
      <c r="AI63" s="84">
        <f>AI54+AI61</f>
        <v>638989.25</v>
      </c>
      <c r="AK63" s="84">
        <f>AK54+AK61</f>
        <v>701170.97875000001</v>
      </c>
      <c r="AM63" s="84">
        <f>AM54+AM61</f>
        <v>770442.41564375011</v>
      </c>
      <c r="AO63" s="84">
        <f>AO54+AO61</f>
        <v>850951.808332594</v>
      </c>
      <c r="AP63" s="84"/>
      <c r="AQ63" s="84">
        <f>AQ54+AQ61</f>
        <v>913057.01080759126</v>
      </c>
      <c r="AS63" s="84">
        <f>AS54+AS61</f>
        <v>979724.70356246398</v>
      </c>
      <c r="AU63" s="84">
        <f>AU54+AU61</f>
        <v>1027916.8747607492</v>
      </c>
      <c r="AW63" s="84">
        <f>AW54+AW61</f>
        <v>1075088.0254572679</v>
      </c>
      <c r="AY63" s="84">
        <f>AY54+AY61</f>
        <v>1127095.3350765251</v>
      </c>
      <c r="BA63" s="84">
        <f>BA54+BA61</f>
        <v>1181691.835160773</v>
      </c>
      <c r="BC63" s="84">
        <f>BC54+BC61</f>
        <v>1239006.7018011236</v>
      </c>
      <c r="BE63" s="84">
        <f>BE54+BE61</f>
        <v>1299175.5626857379</v>
      </c>
    </row>
    <row r="64" spans="1:57" ht="15.75" thickTop="1" x14ac:dyDescent="0.25">
      <c r="A64" s="3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P64" s="32"/>
      <c r="R64" s="32"/>
      <c r="S64" s="32"/>
      <c r="T64" s="32"/>
      <c r="U64" s="32"/>
      <c r="V64" s="32"/>
      <c r="W64" s="32"/>
      <c r="X64" s="32"/>
      <c r="Y64" s="32"/>
      <c r="Z64" s="32"/>
      <c r="AC64" s="32"/>
      <c r="AD64" s="32"/>
      <c r="AE64" s="32"/>
      <c r="AF64" s="32"/>
      <c r="AG64" s="32"/>
      <c r="AI64" s="32"/>
      <c r="AK64" s="32"/>
      <c r="AM64" s="32"/>
      <c r="AO64" s="32"/>
      <c r="AP64" s="32"/>
      <c r="AQ64" s="32"/>
      <c r="AS64" s="32"/>
      <c r="AU64" s="32"/>
      <c r="AW64" s="32"/>
      <c r="AY64" s="32"/>
      <c r="BA64" s="32"/>
      <c r="BC64" s="32"/>
      <c r="BE64" s="32"/>
    </row>
    <row r="65" spans="1:57" x14ac:dyDescent="0.25">
      <c r="A65" s="266" t="s">
        <v>1232</v>
      </c>
      <c r="BC65" s="3"/>
      <c r="BE65" s="3"/>
    </row>
    <row r="66" spans="1:57" x14ac:dyDescent="0.25">
      <c r="A66" s="7" t="s">
        <v>824</v>
      </c>
      <c r="BC66" s="3"/>
      <c r="BE66" s="3"/>
    </row>
    <row r="67" spans="1:57" hidden="1" outlineLevel="1" x14ac:dyDescent="0.25">
      <c r="A67" s="7" t="s">
        <v>58</v>
      </c>
      <c r="W67" s="3">
        <f t="shared" ref="W67:W76" si="23">Y67-V67</f>
        <v>0</v>
      </c>
      <c r="BC67" s="3"/>
      <c r="BE67" s="3"/>
    </row>
    <row r="68" spans="1:57" hidden="1" outlineLevel="1" x14ac:dyDescent="0.25">
      <c r="A68" s="3" t="s">
        <v>825</v>
      </c>
      <c r="B68" s="3">
        <f>42180+20</f>
        <v>42200</v>
      </c>
      <c r="D68" s="3">
        <v>0</v>
      </c>
      <c r="E68" s="3">
        <f t="shared" ref="E68:E76" si="24">F68-D68</f>
        <v>42200</v>
      </c>
      <c r="F68" s="3">
        <v>42200</v>
      </c>
      <c r="H68" s="3">
        <f t="shared" ref="H68:H76" si="25">F68-B68</f>
        <v>0</v>
      </c>
      <c r="J68" s="3">
        <v>0</v>
      </c>
      <c r="K68" s="4">
        <f t="shared" ref="K68:K76" si="26">L68-J68</f>
        <v>42200</v>
      </c>
      <c r="L68" s="4">
        <v>42200</v>
      </c>
      <c r="N68" s="4">
        <f t="shared" ref="N68:N76" si="27">L68-F68</f>
        <v>0</v>
      </c>
      <c r="P68" s="3">
        <v>43450</v>
      </c>
      <c r="R68" s="3">
        <v>0</v>
      </c>
      <c r="S68" s="3">
        <f t="shared" ref="S68:S76" si="28">T68-R68</f>
        <v>43450</v>
      </c>
      <c r="T68" s="3">
        <v>43450</v>
      </c>
      <c r="U68" s="3">
        <f t="shared" ref="U68:U76" si="29">T68-P68</f>
        <v>0</v>
      </c>
      <c r="V68" s="3">
        <v>0</v>
      </c>
      <c r="W68" s="3">
        <f t="shared" si="23"/>
        <v>43450</v>
      </c>
      <c r="Y68" s="3">
        <v>43450</v>
      </c>
      <c r="Z68" s="3">
        <f t="shared" ref="Z68:Z76" si="30">Y68-T68</f>
        <v>0</v>
      </c>
      <c r="AC68" s="3">
        <v>0</v>
      </c>
      <c r="AD68" s="3">
        <f t="shared" ref="AD68:AD76" si="31">AE68-AC68</f>
        <v>43450</v>
      </c>
      <c r="AE68" s="3">
        <v>43450</v>
      </c>
      <c r="AF68" s="3">
        <f t="shared" ref="AF68:AF76" si="32">AE68-Y68</f>
        <v>0</v>
      </c>
      <c r="AI68" s="3">
        <f>AE68*1.05+27</f>
        <v>45649.5</v>
      </c>
      <c r="AK68" s="3">
        <f>AI68*1.05</f>
        <v>47931.974999999999</v>
      </c>
      <c r="AM68" s="3">
        <f>AK68*1.05</f>
        <v>50328.573750000003</v>
      </c>
      <c r="AO68" s="3">
        <f>AM68*1.05</f>
        <v>52845.002437500007</v>
      </c>
      <c r="AQ68" s="3">
        <f>AO68*1.05</f>
        <v>55487.252559375011</v>
      </c>
      <c r="AS68" s="3">
        <f>AQ68*1.05</f>
        <v>58261.615187343763</v>
      </c>
      <c r="AU68" s="3">
        <f>AS68*1.05</f>
        <v>61174.695946710955</v>
      </c>
      <c r="AW68" s="3">
        <f>AU68*1.05</f>
        <v>64233.430744046505</v>
      </c>
      <c r="AY68" s="3">
        <f>AW68*1.05</f>
        <v>67445.102281248837</v>
      </c>
      <c r="BA68" s="3">
        <f>AY68*1.05</f>
        <v>70817.357395311279</v>
      </c>
      <c r="BC68" s="3">
        <f>BA68*1.05</f>
        <v>74358.22526507685</v>
      </c>
      <c r="BE68" s="3">
        <f>BC68*1.05</f>
        <v>78076.136528330695</v>
      </c>
    </row>
    <row r="69" spans="1:57" hidden="1" outlineLevel="1" x14ac:dyDescent="0.25">
      <c r="A69" s="3" t="s">
        <v>895</v>
      </c>
      <c r="E69" s="3">
        <f t="shared" si="24"/>
        <v>0</v>
      </c>
      <c r="H69" s="3">
        <f t="shared" si="25"/>
        <v>0</v>
      </c>
      <c r="K69" s="4">
        <f t="shared" si="26"/>
        <v>0</v>
      </c>
      <c r="L69" s="4"/>
      <c r="N69" s="4">
        <f t="shared" si="27"/>
        <v>0</v>
      </c>
      <c r="S69" s="3">
        <f t="shared" si="28"/>
        <v>0</v>
      </c>
      <c r="U69" s="3">
        <f t="shared" si="29"/>
        <v>0</v>
      </c>
      <c r="W69" s="3">
        <f t="shared" si="23"/>
        <v>0</v>
      </c>
      <c r="Z69" s="3">
        <f t="shared" si="30"/>
        <v>0</v>
      </c>
      <c r="AD69" s="3">
        <f t="shared" si="31"/>
        <v>0</v>
      </c>
      <c r="AF69" s="3">
        <f t="shared" si="32"/>
        <v>0</v>
      </c>
      <c r="BC69" s="3"/>
      <c r="BE69" s="3"/>
    </row>
    <row r="70" spans="1:57" hidden="1" outlineLevel="1" x14ac:dyDescent="0.25">
      <c r="A70" s="3" t="s">
        <v>299</v>
      </c>
      <c r="B70" s="3">
        <v>5000</v>
      </c>
      <c r="D70" s="3">
        <v>1424</v>
      </c>
      <c r="E70" s="3">
        <f t="shared" si="24"/>
        <v>3576</v>
      </c>
      <c r="F70" s="3">
        <v>5000</v>
      </c>
      <c r="H70" s="3">
        <f t="shared" si="25"/>
        <v>0</v>
      </c>
      <c r="J70" s="3">
        <v>4415</v>
      </c>
      <c r="K70" s="4">
        <f t="shared" si="26"/>
        <v>585</v>
      </c>
      <c r="L70" s="4">
        <v>5000</v>
      </c>
      <c r="N70" s="4">
        <f t="shared" si="27"/>
        <v>0</v>
      </c>
      <c r="P70" s="3">
        <f>L70*1.0281+9</f>
        <v>5149.5</v>
      </c>
      <c r="R70" s="3">
        <v>0</v>
      </c>
      <c r="S70" s="3">
        <f t="shared" si="28"/>
        <v>5150</v>
      </c>
      <c r="T70" s="3">
        <v>5150</v>
      </c>
      <c r="U70" s="3">
        <f t="shared" si="29"/>
        <v>0.5</v>
      </c>
      <c r="V70" s="3">
        <v>0</v>
      </c>
      <c r="W70" s="3">
        <f t="shared" si="23"/>
        <v>5000</v>
      </c>
      <c r="Y70" s="3">
        <v>5000</v>
      </c>
      <c r="Z70" s="3">
        <f t="shared" si="30"/>
        <v>-150</v>
      </c>
      <c r="AC70" s="3">
        <v>0</v>
      </c>
      <c r="AD70" s="3">
        <f t="shared" si="31"/>
        <v>4000</v>
      </c>
      <c r="AE70" s="3">
        <v>4000</v>
      </c>
      <c r="AF70" s="3">
        <f t="shared" si="32"/>
        <v>-1000</v>
      </c>
      <c r="AI70" s="3">
        <f>AE70*1.03+30</f>
        <v>4150</v>
      </c>
      <c r="AK70" s="3">
        <f>AI70*1.03</f>
        <v>4274.5</v>
      </c>
      <c r="AM70" s="3">
        <f>AK70*1.03</f>
        <v>4402.7349999999997</v>
      </c>
      <c r="AO70" s="3">
        <f>AM70*1.03</f>
        <v>4534.8170499999997</v>
      </c>
      <c r="AQ70" s="3">
        <f>AO70*1.03</f>
        <v>4670.8615614999999</v>
      </c>
      <c r="AS70" s="3">
        <f>AQ70*1.03</f>
        <v>4810.9874083450004</v>
      </c>
      <c r="AU70" s="3">
        <f>AS70*1.03</f>
        <v>4955.3170305953508</v>
      </c>
      <c r="AW70" s="3">
        <f>AU70*1.03</f>
        <v>5103.9765415132115</v>
      </c>
      <c r="AY70" s="3">
        <f>AW70*1.03</f>
        <v>5257.0958377586076</v>
      </c>
      <c r="BA70" s="3">
        <f>AY70*1.03</f>
        <v>5414.8087128913658</v>
      </c>
      <c r="BC70" s="3">
        <f>BA70*1.03</f>
        <v>5577.2529742781071</v>
      </c>
      <c r="BE70" s="3">
        <f>BC70*1.03</f>
        <v>5744.5705635064505</v>
      </c>
    </row>
    <row r="71" spans="1:57" hidden="1" outlineLevel="1" x14ac:dyDescent="0.25">
      <c r="A71" s="3" t="s">
        <v>896</v>
      </c>
      <c r="B71" s="3">
        <v>4300</v>
      </c>
      <c r="D71" s="3">
        <v>0</v>
      </c>
      <c r="E71" s="3">
        <f t="shared" si="24"/>
        <v>4300</v>
      </c>
      <c r="F71" s="3">
        <v>4300</v>
      </c>
      <c r="H71" s="3">
        <f t="shared" si="25"/>
        <v>0</v>
      </c>
      <c r="J71" s="3">
        <v>3008</v>
      </c>
      <c r="K71" s="4">
        <f t="shared" si="26"/>
        <v>1292</v>
      </c>
      <c r="L71" s="4">
        <v>4300</v>
      </c>
      <c r="N71" s="4">
        <f t="shared" si="27"/>
        <v>0</v>
      </c>
      <c r="P71" s="3">
        <f>L71*1.0281+29</f>
        <v>4449.83</v>
      </c>
      <c r="R71" s="3">
        <v>3142</v>
      </c>
      <c r="S71" s="3">
        <f t="shared" si="28"/>
        <v>1308</v>
      </c>
      <c r="T71" s="3">
        <v>4450</v>
      </c>
      <c r="U71" s="3">
        <f t="shared" si="29"/>
        <v>0.17000000000007276</v>
      </c>
      <c r="V71" s="3">
        <v>3142</v>
      </c>
      <c r="W71" s="3">
        <f t="shared" si="23"/>
        <v>1308</v>
      </c>
      <c r="Y71" s="3">
        <v>4450</v>
      </c>
      <c r="Z71" s="3">
        <f t="shared" si="30"/>
        <v>0</v>
      </c>
      <c r="AC71" s="3">
        <v>6271</v>
      </c>
      <c r="AD71" s="3">
        <f t="shared" si="31"/>
        <v>1229</v>
      </c>
      <c r="AE71" s="3">
        <v>7500</v>
      </c>
      <c r="AF71" s="3">
        <f t="shared" si="32"/>
        <v>3050</v>
      </c>
      <c r="AI71" s="3">
        <f>AE71*1.07-25</f>
        <v>8000.0000000000009</v>
      </c>
      <c r="AK71" s="3">
        <f>AI71*1.07</f>
        <v>8560.0000000000018</v>
      </c>
      <c r="AM71" s="3">
        <f>AK71*1.07</f>
        <v>9159.2000000000025</v>
      </c>
      <c r="AO71" s="3">
        <f>AM71*1.06</f>
        <v>9708.752000000004</v>
      </c>
      <c r="AQ71" s="3">
        <f>AO71*1.05</f>
        <v>10194.189600000005</v>
      </c>
      <c r="AS71" s="3">
        <f>AQ71*1.05</f>
        <v>10703.899080000007</v>
      </c>
      <c r="AU71" s="3">
        <f>AS71*1.05</f>
        <v>11239.094034000007</v>
      </c>
      <c r="AW71" s="3">
        <f>AU71*1.05</f>
        <v>11801.048735700007</v>
      </c>
      <c r="AY71" s="3">
        <f>AW71*1.05</f>
        <v>12391.101172485009</v>
      </c>
      <c r="BA71" s="3">
        <f>AY71*1.05</f>
        <v>13010.65623110926</v>
      </c>
      <c r="BC71" s="3">
        <f>BA71*1.05</f>
        <v>13661.189042664724</v>
      </c>
      <c r="BE71" s="3">
        <f>BC71*1.05</f>
        <v>14344.248494797961</v>
      </c>
    </row>
    <row r="72" spans="1:57" hidden="1" outlineLevel="1" x14ac:dyDescent="0.25">
      <c r="A72" s="3" t="s">
        <v>897</v>
      </c>
      <c r="E72" s="3">
        <f t="shared" si="24"/>
        <v>0</v>
      </c>
      <c r="H72" s="3">
        <f t="shared" si="25"/>
        <v>0</v>
      </c>
      <c r="K72" s="4">
        <f t="shared" si="26"/>
        <v>0</v>
      </c>
      <c r="L72" s="4"/>
      <c r="N72" s="4">
        <f t="shared" si="27"/>
        <v>0</v>
      </c>
      <c r="S72" s="3">
        <f t="shared" si="28"/>
        <v>0</v>
      </c>
      <c r="U72" s="3">
        <f t="shared" si="29"/>
        <v>0</v>
      </c>
      <c r="W72" s="3">
        <f t="shared" si="23"/>
        <v>0</v>
      </c>
      <c r="Z72" s="3">
        <f t="shared" si="30"/>
        <v>0</v>
      </c>
      <c r="AD72" s="3">
        <f t="shared" si="31"/>
        <v>0</v>
      </c>
      <c r="AF72" s="3">
        <f t="shared" si="32"/>
        <v>0</v>
      </c>
      <c r="BC72" s="3"/>
      <c r="BE72" s="3"/>
    </row>
    <row r="73" spans="1:57" hidden="1" outlineLevel="1" x14ac:dyDescent="0.25">
      <c r="A73" s="3" t="s">
        <v>827</v>
      </c>
      <c r="B73" s="3">
        <v>8000</v>
      </c>
      <c r="D73" s="3">
        <v>535</v>
      </c>
      <c r="E73" s="3">
        <f t="shared" si="24"/>
        <v>7465</v>
      </c>
      <c r="F73" s="3">
        <v>8000</v>
      </c>
      <c r="H73" s="3">
        <f t="shared" si="25"/>
        <v>0</v>
      </c>
      <c r="J73" s="3">
        <v>1032</v>
      </c>
      <c r="K73" s="4">
        <f t="shared" si="26"/>
        <v>5968</v>
      </c>
      <c r="L73" s="4">
        <v>7000</v>
      </c>
      <c r="N73" s="4">
        <f t="shared" si="27"/>
        <v>-1000</v>
      </c>
      <c r="P73" s="3">
        <v>8500</v>
      </c>
      <c r="R73" s="3">
        <v>1684</v>
      </c>
      <c r="S73" s="3">
        <f t="shared" si="28"/>
        <v>6816</v>
      </c>
      <c r="T73" s="3">
        <v>8500</v>
      </c>
      <c r="U73" s="3">
        <f t="shared" si="29"/>
        <v>0</v>
      </c>
      <c r="V73" s="3">
        <v>3012</v>
      </c>
      <c r="W73" s="3">
        <f t="shared" si="23"/>
        <v>5488</v>
      </c>
      <c r="Y73" s="3">
        <v>8500</v>
      </c>
      <c r="Z73" s="3">
        <f t="shared" si="30"/>
        <v>0</v>
      </c>
      <c r="AC73" s="3">
        <v>4969</v>
      </c>
      <c r="AD73" s="3">
        <f t="shared" si="31"/>
        <v>3531</v>
      </c>
      <c r="AE73" s="3">
        <v>8500</v>
      </c>
      <c r="AF73" s="3">
        <f t="shared" si="32"/>
        <v>0</v>
      </c>
      <c r="AI73" s="3">
        <f>P73*1.0325-26</f>
        <v>8750.25</v>
      </c>
      <c r="AK73" s="3">
        <f>AI73*1.0275</f>
        <v>8990.8818750000009</v>
      </c>
      <c r="AM73" s="3">
        <f>AK73*1.0275</f>
        <v>9238.1311265625009</v>
      </c>
      <c r="AO73" s="3">
        <f>AM73*1.0275</f>
        <v>9492.1797325429707</v>
      </c>
      <c r="AQ73" s="3">
        <f>AO73*1.0275</f>
        <v>9753.2146751879027</v>
      </c>
      <c r="AS73" s="3">
        <f>AQ73*1.0275</f>
        <v>10021.428078755571</v>
      </c>
      <c r="AU73" s="3">
        <f>AS73*1.0275</f>
        <v>10297.017350921349</v>
      </c>
      <c r="AW73" s="3">
        <f>AU73*1.0275</f>
        <v>10580.185328071688</v>
      </c>
      <c r="AY73" s="3">
        <f>AW73*1.0275</f>
        <v>10871.140424593659</v>
      </c>
      <c r="BA73" s="3">
        <f>AY73*1.0275</f>
        <v>11170.096786269985</v>
      </c>
      <c r="BC73" s="3">
        <f>BA73*1.0275</f>
        <v>11477.274447892411</v>
      </c>
      <c r="BE73" s="3">
        <f>BC73*1.0275</f>
        <v>11792.899495209453</v>
      </c>
    </row>
    <row r="74" spans="1:57" hidden="1" outlineLevel="1" x14ac:dyDescent="0.25">
      <c r="A74" s="3" t="s">
        <v>898</v>
      </c>
      <c r="E74" s="3">
        <f t="shared" si="24"/>
        <v>0</v>
      </c>
      <c r="H74" s="3">
        <f t="shared" si="25"/>
        <v>0</v>
      </c>
      <c r="K74" s="4">
        <f t="shared" si="26"/>
        <v>4000</v>
      </c>
      <c r="L74" s="4">
        <v>4000</v>
      </c>
      <c r="N74" s="4">
        <f t="shared" si="27"/>
        <v>4000</v>
      </c>
      <c r="P74" s="3">
        <v>8000</v>
      </c>
      <c r="S74" s="3">
        <f t="shared" si="28"/>
        <v>8000</v>
      </c>
      <c r="T74" s="3">
        <v>8000</v>
      </c>
      <c r="U74" s="3">
        <f t="shared" si="29"/>
        <v>0</v>
      </c>
      <c r="W74" s="3">
        <f t="shared" si="23"/>
        <v>0</v>
      </c>
      <c r="Y74" s="3">
        <v>0</v>
      </c>
      <c r="Z74" s="3">
        <f t="shared" si="30"/>
        <v>-8000</v>
      </c>
      <c r="AD74" s="3">
        <f t="shared" si="31"/>
        <v>0</v>
      </c>
      <c r="AF74" s="3">
        <f t="shared" si="32"/>
        <v>0</v>
      </c>
      <c r="AO74" s="3">
        <v>9000</v>
      </c>
      <c r="AU74" s="3">
        <v>10000</v>
      </c>
      <c r="AW74" s="3">
        <v>10000</v>
      </c>
      <c r="AY74" s="3">
        <v>10000</v>
      </c>
      <c r="BA74" s="3">
        <v>10000</v>
      </c>
      <c r="BC74" s="3">
        <v>10000</v>
      </c>
      <c r="BE74" s="3">
        <v>10000</v>
      </c>
    </row>
    <row r="75" spans="1:57" hidden="1" outlineLevel="1" x14ac:dyDescent="0.25">
      <c r="A75" s="3" t="s">
        <v>899</v>
      </c>
      <c r="B75" s="3">
        <v>4000</v>
      </c>
      <c r="E75" s="3">
        <f t="shared" si="24"/>
        <v>4000</v>
      </c>
      <c r="F75" s="3">
        <v>4000</v>
      </c>
      <c r="H75" s="3">
        <f t="shared" si="25"/>
        <v>0</v>
      </c>
      <c r="J75" s="3">
        <v>4069</v>
      </c>
      <c r="K75" s="4">
        <f t="shared" si="26"/>
        <v>1</v>
      </c>
      <c r="L75" s="4">
        <v>4070</v>
      </c>
      <c r="N75" s="4">
        <f t="shared" si="27"/>
        <v>70</v>
      </c>
      <c r="P75" s="3">
        <f>L75*1.0281+16</f>
        <v>4200.3670000000002</v>
      </c>
      <c r="R75" s="3">
        <v>4080</v>
      </c>
      <c r="S75" s="3">
        <f t="shared" si="28"/>
        <v>120</v>
      </c>
      <c r="T75" s="3">
        <v>4200</v>
      </c>
      <c r="U75" s="3">
        <f t="shared" si="29"/>
        <v>-0.36700000000018917</v>
      </c>
      <c r="V75" s="3">
        <v>4081</v>
      </c>
      <c r="W75" s="3">
        <f t="shared" si="23"/>
        <v>119</v>
      </c>
      <c r="Y75" s="3">
        <v>4200</v>
      </c>
      <c r="Z75" s="3">
        <f t="shared" si="30"/>
        <v>0</v>
      </c>
      <c r="AC75" s="3">
        <v>4081</v>
      </c>
      <c r="AD75" s="3">
        <f t="shared" si="31"/>
        <v>19</v>
      </c>
      <c r="AE75" s="3">
        <v>4100</v>
      </c>
      <c r="AF75" s="3">
        <f t="shared" si="32"/>
        <v>-100</v>
      </c>
      <c r="AI75" s="3">
        <f>AE75*1.03-23</f>
        <v>4200</v>
      </c>
      <c r="AK75" s="3">
        <f>AI75*1.03</f>
        <v>4326</v>
      </c>
      <c r="AM75" s="3">
        <f>AK75*1.03</f>
        <v>4455.78</v>
      </c>
      <c r="AO75" s="3">
        <f>AM75*1.03</f>
        <v>4589.4533999999994</v>
      </c>
      <c r="AQ75" s="3">
        <f>AO75*1.03</f>
        <v>4727.1370019999995</v>
      </c>
      <c r="AS75" s="3">
        <f>AQ75*1.03</f>
        <v>4868.95111206</v>
      </c>
      <c r="AU75" s="3">
        <f>AS75*1.03</f>
        <v>5015.0196454218003</v>
      </c>
      <c r="AW75" s="3">
        <f>AU75*1.03</f>
        <v>5165.4702347844541</v>
      </c>
      <c r="AY75" s="3">
        <f>AW75*1.03</f>
        <v>5320.4343418279877</v>
      </c>
      <c r="BA75" s="3">
        <f>AY75*1.03</f>
        <v>5480.0473720828277</v>
      </c>
      <c r="BC75" s="3">
        <f>BA75*1.03</f>
        <v>5644.448793245313</v>
      </c>
      <c r="BE75" s="3">
        <f>BC75*1.03</f>
        <v>5813.7822570426724</v>
      </c>
    </row>
    <row r="76" spans="1:57" hidden="1" outlineLevel="1" x14ac:dyDescent="0.25">
      <c r="A76" s="3" t="s">
        <v>57</v>
      </c>
      <c r="B76" s="3">
        <v>10300</v>
      </c>
      <c r="E76" s="3">
        <f t="shared" si="24"/>
        <v>10300</v>
      </c>
      <c r="F76" s="3">
        <v>10300</v>
      </c>
      <c r="H76" s="3">
        <f t="shared" si="25"/>
        <v>0</v>
      </c>
      <c r="K76" s="4">
        <f t="shared" si="26"/>
        <v>10000</v>
      </c>
      <c r="L76" s="4">
        <v>10000</v>
      </c>
      <c r="N76" s="4">
        <f t="shared" si="27"/>
        <v>-300</v>
      </c>
      <c r="P76" s="3">
        <f>L76*1.0281+19</f>
        <v>10300</v>
      </c>
      <c r="S76" s="3">
        <f t="shared" si="28"/>
        <v>10300</v>
      </c>
      <c r="T76" s="3">
        <v>10300</v>
      </c>
      <c r="U76" s="3">
        <f t="shared" si="29"/>
        <v>0</v>
      </c>
      <c r="W76" s="3">
        <f t="shared" si="23"/>
        <v>5000</v>
      </c>
      <c r="Y76" s="3">
        <v>5000</v>
      </c>
      <c r="Z76" s="3">
        <f t="shared" si="30"/>
        <v>-5300</v>
      </c>
      <c r="AC76" s="3">
        <v>3671</v>
      </c>
      <c r="AD76" s="3">
        <f t="shared" si="31"/>
        <v>1329</v>
      </c>
      <c r="AE76" s="3">
        <v>5000</v>
      </c>
      <c r="AF76" s="3">
        <f t="shared" si="32"/>
        <v>0</v>
      </c>
      <c r="AI76" s="3">
        <f>AE76*1.03</f>
        <v>5150</v>
      </c>
      <c r="AK76" s="3">
        <f>AI76*1.03</f>
        <v>5304.5</v>
      </c>
      <c r="AM76" s="3">
        <f>AK76*1.03</f>
        <v>5463.6350000000002</v>
      </c>
      <c r="AO76" s="3">
        <f>AM76*1.03</f>
        <v>5627.5440500000004</v>
      </c>
      <c r="AQ76" s="3">
        <f>AO76*1.03</f>
        <v>5796.3703715000001</v>
      </c>
      <c r="AS76" s="3">
        <f>AQ76*1.03</f>
        <v>5970.2614826449999</v>
      </c>
      <c r="AU76" s="3">
        <f>AS76*1.03</f>
        <v>6149.3693271243501</v>
      </c>
      <c r="AW76" s="3">
        <f>AU76*1.03</f>
        <v>6333.8504069380806</v>
      </c>
      <c r="AY76" s="3">
        <f>AW76*1.03</f>
        <v>6523.865919146223</v>
      </c>
      <c r="BA76" s="3">
        <f>AY76*1.03</f>
        <v>6719.5818967206096</v>
      </c>
      <c r="BC76" s="3">
        <f>BA76*1.03</f>
        <v>6921.1693536222283</v>
      </c>
      <c r="BE76" s="3">
        <f>BC76*1.03</f>
        <v>7128.8044342308949</v>
      </c>
    </row>
    <row r="77" spans="1:57" collapsed="1" x14ac:dyDescent="0.25">
      <c r="A77" s="7" t="s">
        <v>58</v>
      </c>
      <c r="B77" s="62">
        <f>SUM(B68:B76)</f>
        <v>73800</v>
      </c>
      <c r="C77" s="32"/>
      <c r="D77" s="62">
        <f>SUM(D68:D76)+1</f>
        <v>1960</v>
      </c>
      <c r="E77" s="62">
        <f>SUM(E68:E76)+1</f>
        <v>71842</v>
      </c>
      <c r="F77" s="62">
        <f>SUM(F68:F76)+1</f>
        <v>73801</v>
      </c>
      <c r="G77" s="32"/>
      <c r="H77" s="62">
        <f>SUM(H68:H76)+1</f>
        <v>1</v>
      </c>
      <c r="I77" s="32"/>
      <c r="J77" s="62">
        <f>SUM(J68:J76)+1</f>
        <v>12525</v>
      </c>
      <c r="K77" s="62">
        <f>SUM(K68:K76)+1</f>
        <v>64047</v>
      </c>
      <c r="L77" s="62">
        <f>SUM(L68:L76)+1</f>
        <v>76571</v>
      </c>
      <c r="M77" s="32"/>
      <c r="N77" s="62">
        <f>SUM(N68:N76)+1</f>
        <v>2771</v>
      </c>
      <c r="P77" s="62">
        <f>SUM(P68:P76)</f>
        <v>84049.697</v>
      </c>
      <c r="R77" s="62">
        <f t="shared" ref="R77:Z77" si="33">SUM(R68:R76)</f>
        <v>8906</v>
      </c>
      <c r="S77" s="62">
        <f t="shared" si="33"/>
        <v>75144</v>
      </c>
      <c r="T77" s="62">
        <f t="shared" si="33"/>
        <v>84050</v>
      </c>
      <c r="U77" s="62">
        <f t="shared" si="33"/>
        <v>0.30299999999988358</v>
      </c>
      <c r="V77" s="62">
        <f t="shared" si="33"/>
        <v>10235</v>
      </c>
      <c r="W77" s="62">
        <f t="shared" si="33"/>
        <v>60365</v>
      </c>
      <c r="X77" s="62"/>
      <c r="Y77" s="62">
        <f t="shared" si="33"/>
        <v>70600</v>
      </c>
      <c r="Z77" s="62">
        <f t="shared" si="33"/>
        <v>-13450</v>
      </c>
      <c r="AC77" s="62">
        <f>SUM(AC68:AC76)</f>
        <v>18992</v>
      </c>
      <c r="AD77" s="62">
        <f>SUM(AD68:AD76)</f>
        <v>53558</v>
      </c>
      <c r="AE77" s="62">
        <f>SUM(AE68:AE76)</f>
        <v>72550</v>
      </c>
      <c r="AF77" s="62">
        <f>SUM(AF68:AF76)</f>
        <v>1950</v>
      </c>
      <c r="AG77" s="32"/>
      <c r="AI77" s="62">
        <f>SUM(AI68:AI76)</f>
        <v>75899.75</v>
      </c>
      <c r="AK77" s="62">
        <f>SUM(AK68:AK76)</f>
        <v>79387.856874999998</v>
      </c>
      <c r="AM77" s="62">
        <f>SUM(AM68:AM76)</f>
        <v>83048.054876562499</v>
      </c>
      <c r="AO77" s="62">
        <f>SUM(AO68:AO76)</f>
        <v>95797.748670042973</v>
      </c>
      <c r="AP77" s="62"/>
      <c r="AQ77" s="62">
        <f>SUM(AQ68:AQ76)</f>
        <v>90629.025769562926</v>
      </c>
      <c r="AS77" s="62">
        <f>SUM(AS68:AS76)</f>
        <v>94637.142349149333</v>
      </c>
      <c r="AU77" s="62">
        <f>SUM(AU68:AU76)</f>
        <v>108830.51333477382</v>
      </c>
      <c r="AW77" s="62">
        <f>SUM(AW68:AW76)</f>
        <v>113217.96199105396</v>
      </c>
      <c r="AY77" s="62">
        <f>SUM(AY68:AY76)</f>
        <v>117808.73997706032</v>
      </c>
      <c r="BA77" s="62">
        <f>SUM(BA68:BA76)</f>
        <v>122612.54839438533</v>
      </c>
      <c r="BC77" s="62">
        <f>SUM(BC68:BC76)</f>
        <v>127639.55987677965</v>
      </c>
      <c r="BE77" s="62">
        <f>SUM(BE68:BE76)</f>
        <v>132900.44177311813</v>
      </c>
    </row>
    <row r="78" spans="1:57" x14ac:dyDescent="0.25">
      <c r="A78" s="7" t="s">
        <v>830</v>
      </c>
      <c r="BC78" s="3"/>
      <c r="BE78" s="3"/>
    </row>
    <row r="79" spans="1:57" hidden="1" outlineLevel="1" x14ac:dyDescent="0.25">
      <c r="A79" s="7" t="s">
        <v>831</v>
      </c>
      <c r="BC79" s="3"/>
      <c r="BE79" s="3"/>
    </row>
    <row r="80" spans="1:57" hidden="1" outlineLevel="1" x14ac:dyDescent="0.25">
      <c r="A80" s="3" t="s">
        <v>900</v>
      </c>
      <c r="B80" s="3">
        <v>146000</v>
      </c>
      <c r="D80" s="3">
        <f>40791-1401+4080-1875</f>
        <v>41595</v>
      </c>
      <c r="E80" s="3">
        <f t="shared" ref="E80:E87" si="34">F80-D80</f>
        <v>104405</v>
      </c>
      <c r="F80" s="3">
        <v>146000</v>
      </c>
      <c r="H80" s="3">
        <f t="shared" ref="H80:H87" si="35">F80-B80</f>
        <v>0</v>
      </c>
      <c r="J80" s="3">
        <v>73993</v>
      </c>
      <c r="K80" s="4">
        <f t="shared" ref="K80:K87" si="36">L80-J80</f>
        <v>76007</v>
      </c>
      <c r="L80" s="4">
        <v>150000</v>
      </c>
      <c r="N80" s="4">
        <f t="shared" ref="N80:N87" si="37">L80-F80</f>
        <v>4000</v>
      </c>
      <c r="P80" s="3">
        <f>L80*1.0281+385</f>
        <v>154600</v>
      </c>
      <c r="R80" s="3">
        <v>41322</v>
      </c>
      <c r="S80" s="3">
        <f t="shared" ref="S80:S87" si="38">T80-R80</f>
        <v>113278</v>
      </c>
      <c r="T80" s="3">
        <v>154600</v>
      </c>
      <c r="U80" s="3">
        <f t="shared" ref="U80:U87" si="39">T80-P80</f>
        <v>0</v>
      </c>
      <c r="V80" s="3">
        <v>101623</v>
      </c>
      <c r="W80" s="3">
        <f t="shared" ref="W80:W87" si="40">Y80-V80</f>
        <v>68377</v>
      </c>
      <c r="Y80" s="3">
        <v>170000</v>
      </c>
      <c r="Z80" s="3">
        <f t="shared" ref="Z80:Z87" si="41">Y80-T80</f>
        <v>15400</v>
      </c>
      <c r="AC80" s="3">
        <f>13333+21346+2286+59003+8971+20572+5229</f>
        <v>130740</v>
      </c>
      <c r="AD80" s="3">
        <f t="shared" ref="AD80:AD87" si="42">AE80-AC80</f>
        <v>44260</v>
      </c>
      <c r="AE80" s="3">
        <v>175000</v>
      </c>
      <c r="AF80" s="3">
        <f t="shared" ref="AF80:AF87" si="43">AE80-Y80</f>
        <v>5000</v>
      </c>
      <c r="AI80" s="3">
        <f>AE80*1.03</f>
        <v>180250</v>
      </c>
      <c r="AK80" s="3">
        <f t="shared" ref="AK80:AK87" si="44">AI80*1.03</f>
        <v>185657.5</v>
      </c>
      <c r="AM80" s="3">
        <f t="shared" ref="AM80:AM87" si="45">AK80*1.03</f>
        <v>191227.22500000001</v>
      </c>
      <c r="AO80" s="3">
        <f t="shared" ref="AO80:AO87" si="46">AM80*1.03</f>
        <v>196964.04175</v>
      </c>
      <c r="AQ80" s="3">
        <f t="shared" ref="AQ80:AQ87" si="47">AO80*1.03</f>
        <v>202872.96300250001</v>
      </c>
      <c r="AS80" s="3">
        <f t="shared" ref="AS80:AS87" si="48">AQ80*1.03</f>
        <v>208959.15189257503</v>
      </c>
      <c r="AU80" s="3">
        <f t="shared" ref="AU80:AU87" si="49">AS80*1.03</f>
        <v>215227.92644935229</v>
      </c>
      <c r="AW80" s="3">
        <f t="shared" ref="AW80:AW87" si="50">AU80*1.03</f>
        <v>221684.76424283287</v>
      </c>
      <c r="AY80" s="3">
        <f t="shared" ref="AY80:AY87" si="51">AW80*1.03</f>
        <v>228335.30717011786</v>
      </c>
      <c r="BA80" s="3">
        <f t="shared" ref="BA80:BE87" si="52">AY80*1.03</f>
        <v>235185.36638522139</v>
      </c>
      <c r="BC80" s="3">
        <f t="shared" si="52"/>
        <v>242240.92737677804</v>
      </c>
      <c r="BE80" s="3">
        <f t="shared" si="52"/>
        <v>249508.1551980814</v>
      </c>
    </row>
    <row r="81" spans="1:57" hidden="1" outlineLevel="1" x14ac:dyDescent="0.25">
      <c r="A81" s="3" t="s">
        <v>901</v>
      </c>
      <c r="B81" s="3">
        <v>7500</v>
      </c>
      <c r="D81" s="3">
        <v>1875</v>
      </c>
      <c r="E81" s="3">
        <f t="shared" si="34"/>
        <v>5625</v>
      </c>
      <c r="F81" s="3">
        <v>7500</v>
      </c>
      <c r="H81" s="3">
        <f t="shared" si="35"/>
        <v>0</v>
      </c>
      <c r="K81" s="4">
        <f t="shared" si="36"/>
        <v>7500</v>
      </c>
      <c r="L81" s="4">
        <v>7500</v>
      </c>
      <c r="N81" s="4">
        <f t="shared" si="37"/>
        <v>0</v>
      </c>
      <c r="P81" s="3">
        <f>B81*1.025+112</f>
        <v>7799.4999999999991</v>
      </c>
      <c r="R81" s="3">
        <v>0</v>
      </c>
      <c r="S81" s="3">
        <f t="shared" si="38"/>
        <v>7800</v>
      </c>
      <c r="T81" s="3">
        <v>7800</v>
      </c>
      <c r="U81" s="3">
        <f t="shared" si="39"/>
        <v>0.50000000000090949</v>
      </c>
      <c r="W81" s="3">
        <f t="shared" si="40"/>
        <v>7800</v>
      </c>
      <c r="Y81" s="3">
        <v>7800</v>
      </c>
      <c r="Z81" s="3">
        <f t="shared" si="41"/>
        <v>0</v>
      </c>
      <c r="AC81" s="3">
        <v>0</v>
      </c>
      <c r="AD81" s="3">
        <f t="shared" si="42"/>
        <v>7800</v>
      </c>
      <c r="AE81" s="3">
        <v>7800</v>
      </c>
      <c r="AF81" s="3">
        <f t="shared" si="43"/>
        <v>0</v>
      </c>
      <c r="AI81" s="3">
        <v>0</v>
      </c>
      <c r="AK81" s="3">
        <f t="shared" si="44"/>
        <v>0</v>
      </c>
      <c r="AM81" s="3">
        <f t="shared" si="45"/>
        <v>0</v>
      </c>
      <c r="AO81" s="3">
        <f t="shared" si="46"/>
        <v>0</v>
      </c>
      <c r="AQ81" s="3">
        <f t="shared" si="47"/>
        <v>0</v>
      </c>
      <c r="AS81" s="3">
        <f t="shared" si="48"/>
        <v>0</v>
      </c>
      <c r="AU81" s="3">
        <f t="shared" si="49"/>
        <v>0</v>
      </c>
      <c r="AW81" s="3">
        <f t="shared" si="50"/>
        <v>0</v>
      </c>
      <c r="AY81" s="3">
        <f t="shared" si="51"/>
        <v>0</v>
      </c>
      <c r="BA81" s="3">
        <f t="shared" si="52"/>
        <v>0</v>
      </c>
      <c r="BC81" s="3">
        <f t="shared" si="52"/>
        <v>0</v>
      </c>
      <c r="BE81" s="3">
        <f t="shared" si="52"/>
        <v>0</v>
      </c>
    </row>
    <row r="82" spans="1:57" hidden="1" outlineLevel="1" x14ac:dyDescent="0.25">
      <c r="A82" s="3" t="s">
        <v>902</v>
      </c>
      <c r="B82" s="3">
        <v>26000</v>
      </c>
      <c r="D82" s="3">
        <v>23798</v>
      </c>
      <c r="E82" s="3">
        <f t="shared" si="34"/>
        <v>10202</v>
      </c>
      <c r="F82" s="3">
        <v>34000</v>
      </c>
      <c r="H82" s="3">
        <f t="shared" si="35"/>
        <v>8000</v>
      </c>
      <c r="J82" s="3">
        <v>30604</v>
      </c>
      <c r="K82" s="4">
        <f t="shared" si="36"/>
        <v>11896</v>
      </c>
      <c r="L82" s="4">
        <v>42500</v>
      </c>
      <c r="N82" s="4">
        <f t="shared" si="37"/>
        <v>8500</v>
      </c>
      <c r="P82" s="3">
        <f>L82*1.0281+6</f>
        <v>43700.25</v>
      </c>
      <c r="R82" s="3">
        <v>13947</v>
      </c>
      <c r="S82" s="3">
        <f t="shared" si="38"/>
        <v>29753</v>
      </c>
      <c r="T82" s="3">
        <v>43700</v>
      </c>
      <c r="U82" s="3">
        <f t="shared" si="39"/>
        <v>-0.25</v>
      </c>
      <c r="V82" s="3">
        <v>17130</v>
      </c>
      <c r="W82" s="3">
        <f t="shared" si="40"/>
        <v>26570</v>
      </c>
      <c r="Y82" s="3">
        <v>43700</v>
      </c>
      <c r="Z82" s="3">
        <f t="shared" si="41"/>
        <v>0</v>
      </c>
      <c r="AC82" s="3">
        <v>26964</v>
      </c>
      <c r="AD82" s="3">
        <f t="shared" si="42"/>
        <v>15036</v>
      </c>
      <c r="AE82" s="3">
        <v>42000</v>
      </c>
      <c r="AF82" s="3">
        <f t="shared" si="43"/>
        <v>-1700</v>
      </c>
      <c r="AI82" s="3">
        <f>AE82*1.03-10</f>
        <v>43250</v>
      </c>
      <c r="AK82" s="3">
        <f t="shared" si="44"/>
        <v>44547.5</v>
      </c>
      <c r="AM82" s="3">
        <f t="shared" si="45"/>
        <v>45883.925000000003</v>
      </c>
      <c r="AO82" s="3">
        <f t="shared" si="46"/>
        <v>47260.442750000002</v>
      </c>
      <c r="AQ82" s="3">
        <f t="shared" si="47"/>
        <v>48678.256032500001</v>
      </c>
      <c r="AS82" s="3">
        <f t="shared" si="48"/>
        <v>50138.603713475</v>
      </c>
      <c r="AU82" s="3">
        <f t="shared" si="49"/>
        <v>51642.76182487925</v>
      </c>
      <c r="AW82" s="3">
        <f t="shared" si="50"/>
        <v>53192.044679625629</v>
      </c>
      <c r="AY82" s="3">
        <f t="shared" si="51"/>
        <v>54787.806020014403</v>
      </c>
      <c r="BA82" s="3">
        <f t="shared" si="52"/>
        <v>56431.440200614838</v>
      </c>
      <c r="BC82" s="3">
        <f t="shared" si="52"/>
        <v>58124.383406633286</v>
      </c>
      <c r="BE82" s="3">
        <f t="shared" si="52"/>
        <v>59868.114908832285</v>
      </c>
    </row>
    <row r="83" spans="1:57" hidden="1" outlineLevel="1" x14ac:dyDescent="0.25">
      <c r="A83" s="3" t="s">
        <v>903</v>
      </c>
      <c r="B83" s="3">
        <v>48000</v>
      </c>
      <c r="D83" s="3">
        <v>1952</v>
      </c>
      <c r="E83" s="3">
        <f t="shared" si="34"/>
        <v>38048</v>
      </c>
      <c r="F83" s="3">
        <v>40000</v>
      </c>
      <c r="H83" s="3">
        <f t="shared" si="35"/>
        <v>-8000</v>
      </c>
      <c r="J83" s="3">
        <v>4800</v>
      </c>
      <c r="K83" s="4">
        <f t="shared" si="36"/>
        <v>30200</v>
      </c>
      <c r="L83" s="4">
        <v>35000</v>
      </c>
      <c r="N83" s="4">
        <f t="shared" si="37"/>
        <v>-5000</v>
      </c>
      <c r="P83" s="3">
        <f>L83*1.0281+16</f>
        <v>35999.5</v>
      </c>
      <c r="R83" s="3">
        <v>255</v>
      </c>
      <c r="S83" s="3">
        <f t="shared" si="38"/>
        <v>35745</v>
      </c>
      <c r="T83" s="3">
        <v>36000</v>
      </c>
      <c r="U83" s="3">
        <f t="shared" si="39"/>
        <v>0.5</v>
      </c>
      <c r="V83" s="3">
        <v>1224</v>
      </c>
      <c r="W83" s="3">
        <f t="shared" si="40"/>
        <v>34776</v>
      </c>
      <c r="Y83" s="3">
        <v>36000</v>
      </c>
      <c r="Z83" s="3">
        <f t="shared" si="41"/>
        <v>0</v>
      </c>
      <c r="AC83" s="3">
        <v>6185</v>
      </c>
      <c r="AD83" s="3">
        <f t="shared" si="42"/>
        <v>23815</v>
      </c>
      <c r="AE83" s="3">
        <v>30000</v>
      </c>
      <c r="AF83" s="3">
        <f t="shared" si="43"/>
        <v>-6000</v>
      </c>
      <c r="AI83" s="3">
        <f>P83*1.03+121</f>
        <v>37200.485000000001</v>
      </c>
      <c r="AK83" s="3">
        <f t="shared" si="44"/>
        <v>38316.49955</v>
      </c>
      <c r="AM83" s="3">
        <f t="shared" si="45"/>
        <v>39465.994536500002</v>
      </c>
      <c r="AO83" s="3">
        <f t="shared" si="46"/>
        <v>40649.974372595003</v>
      </c>
      <c r="AQ83" s="3">
        <f t="shared" si="47"/>
        <v>41869.473603772851</v>
      </c>
      <c r="AS83" s="3">
        <f t="shared" si="48"/>
        <v>43125.557811886036</v>
      </c>
      <c r="AU83" s="3">
        <f t="shared" si="49"/>
        <v>44419.32454624262</v>
      </c>
      <c r="AW83" s="3">
        <f t="shared" si="50"/>
        <v>45751.904282629897</v>
      </c>
      <c r="AY83" s="3">
        <f t="shared" si="51"/>
        <v>47124.461411108794</v>
      </c>
      <c r="BA83" s="3">
        <f t="shared" si="52"/>
        <v>48538.195253442056</v>
      </c>
      <c r="BC83" s="3">
        <f t="shared" si="52"/>
        <v>49994.341111045316</v>
      </c>
      <c r="BE83" s="3">
        <f t="shared" si="52"/>
        <v>51494.171344376678</v>
      </c>
    </row>
    <row r="84" spans="1:57" hidden="1" outlineLevel="1" x14ac:dyDescent="0.25">
      <c r="A84" s="3" t="s">
        <v>904</v>
      </c>
      <c r="B84" s="3">
        <v>5500</v>
      </c>
      <c r="D84" s="3">
        <v>158</v>
      </c>
      <c r="E84" s="3">
        <f t="shared" si="34"/>
        <v>5342</v>
      </c>
      <c r="F84" s="3">
        <v>5500</v>
      </c>
      <c r="H84" s="3">
        <f t="shared" si="35"/>
        <v>0</v>
      </c>
      <c r="J84" s="3">
        <v>3902</v>
      </c>
      <c r="K84" s="4">
        <f t="shared" si="36"/>
        <v>2598</v>
      </c>
      <c r="L84" s="4">
        <v>6500</v>
      </c>
      <c r="N84" s="4">
        <f t="shared" si="37"/>
        <v>1000</v>
      </c>
      <c r="P84" s="3">
        <f>L84*1.0281+17</f>
        <v>6699.65</v>
      </c>
      <c r="R84" s="3">
        <v>0</v>
      </c>
      <c r="S84" s="3">
        <f t="shared" si="38"/>
        <v>6700</v>
      </c>
      <c r="T84" s="3">
        <v>6700</v>
      </c>
      <c r="U84" s="3">
        <f t="shared" si="39"/>
        <v>0.3500000000003638</v>
      </c>
      <c r="V84" s="3">
        <v>2850</v>
      </c>
      <c r="W84" s="3">
        <f t="shared" si="40"/>
        <v>3650</v>
      </c>
      <c r="Y84" s="3">
        <v>6500</v>
      </c>
      <c r="Z84" s="3">
        <f t="shared" si="41"/>
        <v>-200</v>
      </c>
      <c r="AC84" s="3">
        <v>2850</v>
      </c>
      <c r="AD84" s="3">
        <f t="shared" si="42"/>
        <v>3150</v>
      </c>
      <c r="AE84" s="3">
        <v>6000</v>
      </c>
      <c r="AF84" s="3">
        <f t="shared" si="43"/>
        <v>-500</v>
      </c>
      <c r="AI84" s="3">
        <f>P84*1.03-1</f>
        <v>6899.6395000000002</v>
      </c>
      <c r="AK84" s="3">
        <f t="shared" si="44"/>
        <v>7106.6286850000006</v>
      </c>
      <c r="AM84" s="3">
        <f t="shared" si="45"/>
        <v>7319.8275455500007</v>
      </c>
      <c r="AO84" s="3">
        <f t="shared" si="46"/>
        <v>7539.4223719165011</v>
      </c>
      <c r="AQ84" s="3">
        <f t="shared" si="47"/>
        <v>7765.6050430739961</v>
      </c>
      <c r="AS84" s="3">
        <f t="shared" si="48"/>
        <v>7998.5731943662158</v>
      </c>
      <c r="AU84" s="3">
        <f t="shared" si="49"/>
        <v>8238.530390197202</v>
      </c>
      <c r="AW84" s="3">
        <f t="shared" si="50"/>
        <v>8485.6863019031189</v>
      </c>
      <c r="AY84" s="3">
        <f t="shared" si="51"/>
        <v>8740.2568909602123</v>
      </c>
      <c r="BA84" s="3">
        <f t="shared" si="52"/>
        <v>9002.4645976890188</v>
      </c>
      <c r="BC84" s="3">
        <f t="shared" si="52"/>
        <v>9272.5385356196894</v>
      </c>
      <c r="BE84" s="3">
        <f t="shared" si="52"/>
        <v>9550.7146916882812</v>
      </c>
    </row>
    <row r="85" spans="1:57" hidden="1" outlineLevel="1" x14ac:dyDescent="0.25">
      <c r="A85" s="3" t="s">
        <v>905</v>
      </c>
      <c r="B85" s="3">
        <v>1200</v>
      </c>
      <c r="E85" s="3">
        <f t="shared" si="34"/>
        <v>1200</v>
      </c>
      <c r="F85" s="3">
        <v>1200</v>
      </c>
      <c r="H85" s="3">
        <f t="shared" si="35"/>
        <v>0</v>
      </c>
      <c r="J85" s="3">
        <v>0</v>
      </c>
      <c r="K85" s="4">
        <f t="shared" si="36"/>
        <v>1200</v>
      </c>
      <c r="L85" s="4">
        <v>1200</v>
      </c>
      <c r="N85" s="4">
        <f t="shared" si="37"/>
        <v>0</v>
      </c>
      <c r="P85" s="3">
        <f>L85*1.0281+16</f>
        <v>1249.72</v>
      </c>
      <c r="R85" s="3">
        <v>0</v>
      </c>
      <c r="S85" s="3">
        <f t="shared" si="38"/>
        <v>1250</v>
      </c>
      <c r="T85" s="3">
        <v>1250</v>
      </c>
      <c r="U85" s="3">
        <f t="shared" si="39"/>
        <v>0.27999999999997272</v>
      </c>
      <c r="W85" s="3">
        <f t="shared" si="40"/>
        <v>1250</v>
      </c>
      <c r="Y85" s="3">
        <v>1250</v>
      </c>
      <c r="Z85" s="3">
        <f t="shared" si="41"/>
        <v>0</v>
      </c>
      <c r="AC85" s="3">
        <v>0</v>
      </c>
      <c r="AD85" s="3">
        <f t="shared" si="42"/>
        <v>1250</v>
      </c>
      <c r="AE85" s="3">
        <v>1250</v>
      </c>
      <c r="AF85" s="3">
        <f t="shared" si="43"/>
        <v>0</v>
      </c>
      <c r="AI85" s="3">
        <f>P85*1.03+13</f>
        <v>1300.2116000000001</v>
      </c>
      <c r="AK85" s="3">
        <f t="shared" si="44"/>
        <v>1339.2179480000002</v>
      </c>
      <c r="AM85" s="3">
        <f t="shared" si="45"/>
        <v>1379.3944864400003</v>
      </c>
      <c r="AO85" s="3">
        <f t="shared" si="46"/>
        <v>1420.7763210332002</v>
      </c>
      <c r="AQ85" s="3">
        <f t="shared" si="47"/>
        <v>1463.3996106641962</v>
      </c>
      <c r="AS85" s="3">
        <f t="shared" si="48"/>
        <v>1507.3015989841222</v>
      </c>
      <c r="AU85" s="3">
        <f t="shared" si="49"/>
        <v>1552.5206469536458</v>
      </c>
      <c r="AW85" s="3">
        <f t="shared" si="50"/>
        <v>1599.0962663622552</v>
      </c>
      <c r="AY85" s="3">
        <f t="shared" si="51"/>
        <v>1647.0691543531229</v>
      </c>
      <c r="BA85" s="3">
        <f t="shared" si="52"/>
        <v>1696.4812289837166</v>
      </c>
      <c r="BC85" s="3">
        <f t="shared" si="52"/>
        <v>1747.3756658532282</v>
      </c>
      <c r="BE85" s="3">
        <f t="shared" si="52"/>
        <v>1799.7969358288251</v>
      </c>
    </row>
    <row r="86" spans="1:57" hidden="1" outlineLevel="1" x14ac:dyDescent="0.25">
      <c r="A86" s="3" t="s">
        <v>526</v>
      </c>
      <c r="E86" s="3">
        <f t="shared" si="34"/>
        <v>0</v>
      </c>
      <c r="H86" s="3">
        <f t="shared" si="35"/>
        <v>0</v>
      </c>
      <c r="J86" s="3">
        <v>1007</v>
      </c>
      <c r="K86" s="4">
        <f t="shared" si="36"/>
        <v>993</v>
      </c>
      <c r="L86" s="4">
        <v>2000</v>
      </c>
      <c r="N86" s="4">
        <f t="shared" si="37"/>
        <v>2000</v>
      </c>
      <c r="S86" s="3">
        <f t="shared" si="38"/>
        <v>0</v>
      </c>
      <c r="U86" s="3">
        <f t="shared" si="39"/>
        <v>0</v>
      </c>
      <c r="V86" s="3">
        <v>1700</v>
      </c>
      <c r="W86" s="3">
        <f t="shared" si="40"/>
        <v>0</v>
      </c>
      <c r="Y86" s="3">
        <v>1700</v>
      </c>
      <c r="Z86" s="3">
        <f t="shared" si="41"/>
        <v>1700</v>
      </c>
      <c r="AC86" s="3">
        <v>1700</v>
      </c>
      <c r="AD86" s="3">
        <f t="shared" si="42"/>
        <v>0</v>
      </c>
      <c r="AE86" s="3">
        <v>1700</v>
      </c>
      <c r="AF86" s="3">
        <f t="shared" si="43"/>
        <v>0</v>
      </c>
      <c r="AK86" s="3">
        <f t="shared" si="44"/>
        <v>0</v>
      </c>
      <c r="AM86" s="3">
        <f t="shared" si="45"/>
        <v>0</v>
      </c>
      <c r="AO86" s="3">
        <f t="shared" si="46"/>
        <v>0</v>
      </c>
      <c r="AQ86" s="3">
        <f t="shared" si="47"/>
        <v>0</v>
      </c>
      <c r="AS86" s="3">
        <f t="shared" si="48"/>
        <v>0</v>
      </c>
      <c r="AU86" s="3">
        <f t="shared" si="49"/>
        <v>0</v>
      </c>
      <c r="AW86" s="3">
        <f t="shared" si="50"/>
        <v>0</v>
      </c>
      <c r="AY86" s="3">
        <f t="shared" si="51"/>
        <v>0</v>
      </c>
      <c r="BA86" s="3">
        <f t="shared" si="52"/>
        <v>0</v>
      </c>
      <c r="BC86" s="3">
        <f t="shared" si="52"/>
        <v>0</v>
      </c>
      <c r="BE86" s="3">
        <f t="shared" si="52"/>
        <v>0</v>
      </c>
    </row>
    <row r="87" spans="1:57" hidden="1" outlineLevel="1" x14ac:dyDescent="0.25">
      <c r="A87" s="3" t="s">
        <v>493</v>
      </c>
      <c r="B87" s="3">
        <v>0</v>
      </c>
      <c r="E87" s="3">
        <f t="shared" si="34"/>
        <v>0</v>
      </c>
      <c r="H87" s="3">
        <f t="shared" si="35"/>
        <v>0</v>
      </c>
      <c r="K87" s="4">
        <f t="shared" si="36"/>
        <v>0</v>
      </c>
      <c r="L87" s="4"/>
      <c r="N87" s="4">
        <f t="shared" si="37"/>
        <v>0</v>
      </c>
      <c r="P87" s="3">
        <f>B87*1.03</f>
        <v>0</v>
      </c>
      <c r="S87" s="3">
        <f t="shared" si="38"/>
        <v>0</v>
      </c>
      <c r="U87" s="3">
        <f t="shared" si="39"/>
        <v>0</v>
      </c>
      <c r="W87" s="3">
        <f t="shared" si="40"/>
        <v>0</v>
      </c>
      <c r="Z87" s="3">
        <f t="shared" si="41"/>
        <v>0</v>
      </c>
      <c r="AD87" s="3">
        <f t="shared" si="42"/>
        <v>0</v>
      </c>
      <c r="AF87" s="3">
        <f t="shared" si="43"/>
        <v>0</v>
      </c>
      <c r="AI87" s="3">
        <f>P87*1.03</f>
        <v>0</v>
      </c>
      <c r="AK87" s="3">
        <f t="shared" si="44"/>
        <v>0</v>
      </c>
      <c r="AM87" s="3">
        <f t="shared" si="45"/>
        <v>0</v>
      </c>
      <c r="AO87" s="3">
        <f t="shared" si="46"/>
        <v>0</v>
      </c>
      <c r="AQ87" s="3">
        <f t="shared" si="47"/>
        <v>0</v>
      </c>
      <c r="AS87" s="3">
        <f t="shared" si="48"/>
        <v>0</v>
      </c>
      <c r="AU87" s="3">
        <f t="shared" si="49"/>
        <v>0</v>
      </c>
      <c r="AW87" s="3">
        <f t="shared" si="50"/>
        <v>0</v>
      </c>
      <c r="AY87" s="3">
        <f t="shared" si="51"/>
        <v>0</v>
      </c>
      <c r="BA87" s="3">
        <f t="shared" si="52"/>
        <v>0</v>
      </c>
      <c r="BC87" s="3">
        <f t="shared" si="52"/>
        <v>0</v>
      </c>
      <c r="BE87" s="3">
        <f t="shared" si="52"/>
        <v>0</v>
      </c>
    </row>
    <row r="88" spans="1:57" collapsed="1" x14ac:dyDescent="0.25">
      <c r="A88" s="7" t="s">
        <v>831</v>
      </c>
      <c r="B88" s="62">
        <f>SUM(B80:B87)</f>
        <v>234200</v>
      </c>
      <c r="C88" s="32"/>
      <c r="D88" s="62">
        <f>SUM(D80:D87)+1</f>
        <v>69379</v>
      </c>
      <c r="E88" s="62">
        <f>SUM(E80:E87)+1</f>
        <v>164823</v>
      </c>
      <c r="F88" s="62">
        <f>SUM(F80:F87)+1</f>
        <v>234201</v>
      </c>
      <c r="G88" s="32"/>
      <c r="H88" s="62">
        <f>SUM(H80:H87)+1</f>
        <v>1</v>
      </c>
      <c r="I88" s="32"/>
      <c r="J88" s="62">
        <f>SUM(J80:J87)+1</f>
        <v>114307</v>
      </c>
      <c r="K88" s="62">
        <f>SUM(K80:K87)+1</f>
        <v>130395</v>
      </c>
      <c r="L88" s="62">
        <f>SUM(L80:L87)+1</f>
        <v>244701</v>
      </c>
      <c r="M88" s="32"/>
      <c r="N88" s="62">
        <f>SUM(N80:N87)+1</f>
        <v>10501</v>
      </c>
      <c r="P88" s="62">
        <f>SUM(P80:P87)</f>
        <v>250048.62</v>
      </c>
      <c r="R88" s="62">
        <f t="shared" ref="R88:Z88" si="53">SUM(R80:R87)</f>
        <v>55524</v>
      </c>
      <c r="S88" s="62">
        <f t="shared" si="53"/>
        <v>194526</v>
      </c>
      <c r="T88" s="62">
        <f t="shared" si="53"/>
        <v>250050</v>
      </c>
      <c r="U88" s="62">
        <f t="shared" si="53"/>
        <v>1.380000000001246</v>
      </c>
      <c r="V88" s="62">
        <f t="shared" si="53"/>
        <v>124527</v>
      </c>
      <c r="W88" s="62">
        <f t="shared" si="53"/>
        <v>142423</v>
      </c>
      <c r="X88" s="62"/>
      <c r="Y88" s="62">
        <f t="shared" si="53"/>
        <v>266950</v>
      </c>
      <c r="Z88" s="62">
        <f t="shared" si="53"/>
        <v>16900</v>
      </c>
      <c r="AC88" s="62">
        <f>SUM(AC80:AC87)</f>
        <v>168439</v>
      </c>
      <c r="AD88" s="62">
        <f>SUM(AD80:AD87)</f>
        <v>95311</v>
      </c>
      <c r="AE88" s="62">
        <f>SUM(AE80:AE87)</f>
        <v>263750</v>
      </c>
      <c r="AF88" s="62">
        <f>SUM(AF80:AF87)</f>
        <v>-3200</v>
      </c>
      <c r="AG88" s="32"/>
      <c r="AI88" s="62">
        <f>SUM(AI80:AI87)</f>
        <v>268900.33609999996</v>
      </c>
      <c r="AK88" s="62">
        <f>SUM(AK80:AK87)</f>
        <v>276967.34618300002</v>
      </c>
      <c r="AM88" s="62">
        <f>SUM(AM80:AM87)</f>
        <v>285276.36656849005</v>
      </c>
      <c r="AO88" s="62">
        <f>SUM(AO80:AO87)</f>
        <v>293834.65756554471</v>
      </c>
      <c r="AP88" s="62"/>
      <c r="AQ88" s="62">
        <f>SUM(AQ80:AQ87)</f>
        <v>302649.69729251106</v>
      </c>
      <c r="AS88" s="62">
        <f>SUM(AS80:AS87)</f>
        <v>311729.18821128638</v>
      </c>
      <c r="AU88" s="62">
        <f>SUM(AU80:AU87)</f>
        <v>321081.06385762501</v>
      </c>
      <c r="AW88" s="62">
        <f>SUM(AW80:AW87)</f>
        <v>330713.49577335373</v>
      </c>
      <c r="AY88" s="62">
        <f>SUM(AY80:AY87)</f>
        <v>340634.90064655436</v>
      </c>
      <c r="BA88" s="62">
        <f>SUM(BA80:BA87)</f>
        <v>350853.94766595104</v>
      </c>
      <c r="BC88" s="62">
        <f>SUM(BC80:BC87)</f>
        <v>361379.56609592953</v>
      </c>
      <c r="BE88" s="62">
        <f>SUM(BE80:BE87)</f>
        <v>372220.95307880751</v>
      </c>
    </row>
    <row r="89" spans="1:57" hidden="1" outlineLevel="1" x14ac:dyDescent="0.25">
      <c r="A89" s="7" t="s">
        <v>836</v>
      </c>
      <c r="BC89" s="3"/>
      <c r="BE89" s="3"/>
    </row>
    <row r="90" spans="1:57" hidden="1" outlineLevel="1" x14ac:dyDescent="0.25">
      <c r="A90" s="3" t="s">
        <v>838</v>
      </c>
      <c r="B90" s="3">
        <v>18500</v>
      </c>
      <c r="D90" s="3">
        <v>1401</v>
      </c>
      <c r="E90" s="3">
        <f>F90-D90</f>
        <v>17099</v>
      </c>
      <c r="F90" s="3">
        <v>18500</v>
      </c>
      <c r="H90" s="3">
        <f>F90-B90</f>
        <v>0</v>
      </c>
      <c r="J90" s="3">
        <f>4969</f>
        <v>4969</v>
      </c>
      <c r="K90" s="4">
        <f>L90-J90</f>
        <v>10531</v>
      </c>
      <c r="L90" s="4">
        <v>15500</v>
      </c>
      <c r="N90" s="4">
        <f>L90-F90</f>
        <v>-3000</v>
      </c>
      <c r="P90" s="3">
        <f>L90*1.0281+14</f>
        <v>15949.550000000001</v>
      </c>
      <c r="R90" s="3">
        <v>4791</v>
      </c>
      <c r="S90" s="3">
        <f>T90-R90</f>
        <v>12209</v>
      </c>
      <c r="T90" s="3">
        <v>17000</v>
      </c>
      <c r="U90" s="3">
        <f>T90-P90</f>
        <v>1050.4499999999989</v>
      </c>
      <c r="V90" s="3">
        <f>3901+1436+2845</f>
        <v>8182</v>
      </c>
      <c r="W90" s="3">
        <f>Y90-V90</f>
        <v>9068</v>
      </c>
      <c r="Y90" s="3">
        <v>17250</v>
      </c>
      <c r="Z90" s="3">
        <f>Y90-T90</f>
        <v>250</v>
      </c>
      <c r="AC90" s="3">
        <f>5819+1923</f>
        <v>7742</v>
      </c>
      <c r="AD90" s="3">
        <f>AE90-AC90</f>
        <v>9508</v>
      </c>
      <c r="AE90" s="3">
        <v>17250</v>
      </c>
      <c r="AF90" s="3">
        <f>AE90-Y90</f>
        <v>0</v>
      </c>
      <c r="AI90" s="3">
        <f>P90*1.15+58</f>
        <v>18399.982499999998</v>
      </c>
      <c r="AK90" s="3">
        <f>AI90*1.15</f>
        <v>21159.979874999997</v>
      </c>
      <c r="AM90" s="3">
        <f>AK90*1.1</f>
        <v>23275.9778625</v>
      </c>
      <c r="AO90" s="3">
        <f>AM90*1.05</f>
        <v>24439.776755625</v>
      </c>
      <c r="AQ90" s="3">
        <f>AO90*1.05</f>
        <v>25661.76559340625</v>
      </c>
      <c r="AS90" s="3">
        <f>AQ90*1.05</f>
        <v>26944.853873076565</v>
      </c>
      <c r="AU90" s="3">
        <f>AS90*1.05</f>
        <v>28292.096566730394</v>
      </c>
      <c r="AW90" s="3">
        <f>AU90*1.05</f>
        <v>29706.701395066913</v>
      </c>
      <c r="AY90" s="3">
        <f>AW90*1.05</f>
        <v>31192.036464820259</v>
      </c>
      <c r="BA90" s="3">
        <f>AY90*1.05</f>
        <v>32751.638288061273</v>
      </c>
      <c r="BC90" s="3">
        <f>BA90*1.05</f>
        <v>34389.220202464341</v>
      </c>
      <c r="BE90" s="3">
        <f>BC90*1.05</f>
        <v>36108.681212587559</v>
      </c>
    </row>
    <row r="91" spans="1:57" hidden="1" outlineLevel="1" x14ac:dyDescent="0.25">
      <c r="A91" s="3" t="s">
        <v>837</v>
      </c>
      <c r="B91" s="3">
        <v>0</v>
      </c>
      <c r="E91" s="3">
        <f>F91-D91</f>
        <v>0</v>
      </c>
      <c r="H91" s="3">
        <f>F91-B91</f>
        <v>0</v>
      </c>
      <c r="K91" s="4">
        <f>L91-J91</f>
        <v>0</v>
      </c>
      <c r="L91" s="4"/>
      <c r="N91" s="4">
        <f>L91-F91</f>
        <v>0</v>
      </c>
      <c r="S91" s="3">
        <f>T91-R91</f>
        <v>0</v>
      </c>
      <c r="U91" s="3">
        <f>T91-P91</f>
        <v>0</v>
      </c>
      <c r="W91" s="3">
        <f>Y91-V91</f>
        <v>0</v>
      </c>
      <c r="Z91" s="3">
        <f>Y91-T91</f>
        <v>0</v>
      </c>
      <c r="AD91" s="3">
        <f>AE91-AC91</f>
        <v>0</v>
      </c>
      <c r="AF91" s="3">
        <f>AE91-Y91</f>
        <v>0</v>
      </c>
      <c r="AI91" s="3">
        <f>P91*1.0281</f>
        <v>0</v>
      </c>
      <c r="AK91" s="3">
        <f>AI91*1.0281</f>
        <v>0</v>
      </c>
      <c r="AM91" s="3">
        <f>AK91*1.0281</f>
        <v>0</v>
      </c>
      <c r="AO91" s="3">
        <f>AM91*1.05</f>
        <v>0</v>
      </c>
      <c r="AQ91" s="3">
        <f>AO91*1.0281</f>
        <v>0</v>
      </c>
      <c r="AS91" s="3">
        <f>AQ91*1.0281</f>
        <v>0</v>
      </c>
      <c r="AU91" s="3">
        <f>AS91*1.0281</f>
        <v>0</v>
      </c>
      <c r="AW91" s="3">
        <f>AU91*1.0281</f>
        <v>0</v>
      </c>
      <c r="AY91" s="3">
        <f>AW91*1.0281</f>
        <v>0</v>
      </c>
      <c r="BA91" s="3">
        <f>AY91*1.0281</f>
        <v>0</v>
      </c>
      <c r="BC91" s="3">
        <f>BA91*1.0281</f>
        <v>0</v>
      </c>
      <c r="BE91" s="3">
        <f>BC91*1.0281</f>
        <v>0</v>
      </c>
    </row>
    <row r="92" spans="1:57" hidden="1" outlineLevel="1" x14ac:dyDescent="0.25">
      <c r="A92" s="3" t="s">
        <v>906</v>
      </c>
      <c r="B92" s="3">
        <v>5000</v>
      </c>
      <c r="D92" s="3">
        <v>158</v>
      </c>
      <c r="E92" s="3">
        <f>F92-D92</f>
        <v>4842</v>
      </c>
      <c r="F92" s="3">
        <v>5000</v>
      </c>
      <c r="H92" s="3">
        <f>F92-B92</f>
        <v>0</v>
      </c>
      <c r="J92" s="3">
        <v>1088</v>
      </c>
      <c r="K92" s="4">
        <f>L92-J92</f>
        <v>3912</v>
      </c>
      <c r="L92" s="4">
        <v>5000</v>
      </c>
      <c r="N92" s="4">
        <f>L92-F92</f>
        <v>0</v>
      </c>
      <c r="P92" s="3">
        <f>L92*1.0281+9</f>
        <v>5149.5</v>
      </c>
      <c r="R92" s="3">
        <v>284</v>
      </c>
      <c r="S92" s="3">
        <f>T92-R92</f>
        <v>4216</v>
      </c>
      <c r="T92" s="3">
        <v>4500</v>
      </c>
      <c r="U92" s="3">
        <f>T92-P92</f>
        <v>-649.5</v>
      </c>
      <c r="V92" s="3">
        <v>974</v>
      </c>
      <c r="W92" s="3">
        <f>Y92-V92</f>
        <v>3026</v>
      </c>
      <c r="Y92" s="3">
        <v>4000</v>
      </c>
      <c r="Z92" s="3">
        <f>Y92-T92</f>
        <v>-500</v>
      </c>
      <c r="AC92" s="3">
        <v>974</v>
      </c>
      <c r="AD92" s="3">
        <f>AE92-AC92</f>
        <v>2026</v>
      </c>
      <c r="AE92" s="3">
        <v>3000</v>
      </c>
      <c r="AF92" s="3">
        <f>AE92-Y92</f>
        <v>-1000</v>
      </c>
      <c r="AI92" s="3">
        <f>AE92*1.03+160</f>
        <v>3250</v>
      </c>
      <c r="AK92" s="3">
        <f>AI92*1.0281</f>
        <v>3341.3249999999998</v>
      </c>
      <c r="AM92" s="3">
        <f>AK92*1.0281</f>
        <v>3435.2162324999999</v>
      </c>
      <c r="AO92" s="3">
        <f>AM92*1.0281</f>
        <v>3531.7458086332499</v>
      </c>
      <c r="AQ92" s="3">
        <f>AO92*1.0281</f>
        <v>3630.9878658558441</v>
      </c>
      <c r="AS92" s="3">
        <f>AQ92*1.0281</f>
        <v>3733.0186248863934</v>
      </c>
      <c r="AU92" s="3">
        <f>AS92*1.0281</f>
        <v>3837.9164482457008</v>
      </c>
      <c r="AW92" s="3">
        <f>AU92*1.0281</f>
        <v>3945.761900441405</v>
      </c>
      <c r="AY92" s="3">
        <f>AW92*1.0281</f>
        <v>4056.6378098438086</v>
      </c>
      <c r="BA92" s="3">
        <f>AY92*1.0281</f>
        <v>4170.6293323004193</v>
      </c>
      <c r="BC92" s="3">
        <f>BA92*1.0281</f>
        <v>4287.8240165380612</v>
      </c>
      <c r="BE92" s="3">
        <f>BC92*1.0281</f>
        <v>4408.3118714027805</v>
      </c>
    </row>
    <row r="93" spans="1:57" collapsed="1" x14ac:dyDescent="0.25">
      <c r="A93" s="7" t="s">
        <v>836</v>
      </c>
      <c r="B93" s="62">
        <f>SUM(B90:B92)</f>
        <v>23500</v>
      </c>
      <c r="C93" s="32"/>
      <c r="D93" s="62">
        <f>SUM(D90:D92)</f>
        <v>1559</v>
      </c>
      <c r="E93" s="62">
        <f>SUM(E90:E92)</f>
        <v>21941</v>
      </c>
      <c r="F93" s="62">
        <f>SUM(F90:F92)</f>
        <v>23500</v>
      </c>
      <c r="G93" s="32"/>
      <c r="H93" s="62">
        <f>SUM(H90:H92)</f>
        <v>0</v>
      </c>
      <c r="I93" s="32"/>
      <c r="J93" s="62">
        <f>SUM(J90:J92)</f>
        <v>6057</v>
      </c>
      <c r="K93" s="62">
        <f>SUM(K90:K92)</f>
        <v>14443</v>
      </c>
      <c r="L93" s="62">
        <f>SUM(L90:L92)</f>
        <v>20500</v>
      </c>
      <c r="M93" s="32"/>
      <c r="N93" s="62">
        <f>SUM(N90:N92)</f>
        <v>-3000</v>
      </c>
      <c r="P93" s="62">
        <f>SUM(P90:P92)</f>
        <v>21099.050000000003</v>
      </c>
      <c r="R93" s="62">
        <f t="shared" ref="R93:Z93" si="54">SUM(R90:R92)</f>
        <v>5075</v>
      </c>
      <c r="S93" s="62">
        <f t="shared" si="54"/>
        <v>16425</v>
      </c>
      <c r="T93" s="62">
        <f t="shared" si="54"/>
        <v>21500</v>
      </c>
      <c r="U93" s="62">
        <f t="shared" si="54"/>
        <v>400.94999999999891</v>
      </c>
      <c r="V93" s="62">
        <f t="shared" si="54"/>
        <v>9156</v>
      </c>
      <c r="W93" s="62">
        <f t="shared" si="54"/>
        <v>12094</v>
      </c>
      <c r="X93" s="62"/>
      <c r="Y93" s="62">
        <f t="shared" si="54"/>
        <v>21250</v>
      </c>
      <c r="Z93" s="62">
        <f t="shared" si="54"/>
        <v>-250</v>
      </c>
      <c r="AC93" s="62">
        <f>SUM(AC90:AC92)</f>
        <v>8716</v>
      </c>
      <c r="AD93" s="62">
        <f>SUM(AD90:AD92)</f>
        <v>11534</v>
      </c>
      <c r="AE93" s="62">
        <f>SUM(AE90:AE92)</f>
        <v>20250</v>
      </c>
      <c r="AF93" s="62">
        <f>SUM(AF90:AF92)</f>
        <v>-1000</v>
      </c>
      <c r="AG93" s="32"/>
      <c r="AI93" s="62">
        <f>SUM(AI90:AI92)</f>
        <v>21649.982499999998</v>
      </c>
      <c r="AK93" s="62">
        <f>SUM(AK90:AK92)</f>
        <v>24501.304874999998</v>
      </c>
      <c r="AM93" s="62">
        <f>SUM(AM90:AM92)</f>
        <v>26711.194094999999</v>
      </c>
      <c r="AO93" s="62">
        <f>SUM(AO90:AO92)</f>
        <v>27971.522564258252</v>
      </c>
      <c r="AP93" s="62"/>
      <c r="AQ93" s="62">
        <f>SUM(AQ90:AQ92)</f>
        <v>29292.753459262094</v>
      </c>
      <c r="AS93" s="62">
        <f>SUM(AS90:AS92)</f>
        <v>30677.872497962959</v>
      </c>
      <c r="AU93" s="62">
        <f>SUM(AU90:AU92)</f>
        <v>32130.013014976095</v>
      </c>
      <c r="AW93" s="62">
        <f>SUM(AW90:AW92)</f>
        <v>33652.463295508322</v>
      </c>
      <c r="AY93" s="62">
        <f>SUM(AY90:AY92)</f>
        <v>35248.674274664067</v>
      </c>
      <c r="BA93" s="62">
        <f>SUM(BA90:BA92)</f>
        <v>36922.267620361694</v>
      </c>
      <c r="BC93" s="62">
        <f>SUM(BC90:BC92)</f>
        <v>38677.044219002404</v>
      </c>
      <c r="BE93" s="62">
        <f>SUM(BE90:BE92)</f>
        <v>40516.993083990339</v>
      </c>
    </row>
    <row r="94" spans="1:57" x14ac:dyDescent="0.25">
      <c r="A94" s="3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P94" s="32"/>
      <c r="R94" s="32"/>
      <c r="S94" s="247"/>
      <c r="T94" s="247"/>
      <c r="U94" s="247"/>
      <c r="V94" s="32"/>
      <c r="W94" s="247"/>
      <c r="X94" s="247"/>
      <c r="Y94" s="247"/>
      <c r="Z94" s="247"/>
      <c r="AC94" s="247"/>
      <c r="AD94" s="247"/>
      <c r="AE94" s="247"/>
      <c r="AF94" s="247"/>
      <c r="AG94" s="32"/>
      <c r="AI94" s="32"/>
      <c r="AK94" s="32"/>
      <c r="AM94" s="32"/>
      <c r="AO94" s="32"/>
      <c r="AP94" s="32"/>
      <c r="AQ94" s="32"/>
      <c r="AS94" s="32"/>
      <c r="AU94" s="32"/>
      <c r="AW94" s="32"/>
      <c r="AY94" s="32"/>
      <c r="BA94" s="32"/>
      <c r="BC94" s="32"/>
      <c r="BE94" s="32"/>
    </row>
    <row r="95" spans="1:57" s="51" customFormat="1" x14ac:dyDescent="0.25">
      <c r="A95" s="32" t="s">
        <v>289</v>
      </c>
      <c r="B95" s="4">
        <v>145000</v>
      </c>
      <c r="C95" s="4"/>
      <c r="D95" s="4"/>
      <c r="E95" s="4">
        <f>F95-D95</f>
        <v>145000</v>
      </c>
      <c r="F95" s="4">
        <v>145000</v>
      </c>
      <c r="G95" s="4"/>
      <c r="H95" s="4">
        <f>F95-B95</f>
        <v>0</v>
      </c>
      <c r="I95" s="4"/>
      <c r="J95" s="4">
        <v>0</v>
      </c>
      <c r="K95" s="4">
        <f>L95-J95</f>
        <v>145000</v>
      </c>
      <c r="L95" s="4">
        <v>145000</v>
      </c>
      <c r="M95" s="4"/>
      <c r="N95" s="4">
        <f>L95-F95</f>
        <v>0</v>
      </c>
      <c r="O95" s="4"/>
      <c r="P95" s="4">
        <v>145000</v>
      </c>
      <c r="Q95" s="4"/>
      <c r="R95" s="4"/>
      <c r="S95" s="4">
        <f>T95-R95</f>
        <v>163000</v>
      </c>
      <c r="T95" s="4">
        <v>163000</v>
      </c>
      <c r="U95" s="4">
        <f>T95-P95</f>
        <v>18000</v>
      </c>
      <c r="V95" s="4"/>
      <c r="W95" s="4">
        <f>Y95-V95</f>
        <v>163000</v>
      </c>
      <c r="X95" s="4"/>
      <c r="Y95" s="4">
        <v>163000</v>
      </c>
      <c r="Z95" s="4">
        <f>Y95-T95</f>
        <v>0</v>
      </c>
      <c r="AA95" s="4"/>
      <c r="AB95" s="4"/>
      <c r="AC95" s="4">
        <v>0</v>
      </c>
      <c r="AD95" s="4">
        <f>AE95-AC95</f>
        <v>163000</v>
      </c>
      <c r="AE95" s="4">
        <v>163000</v>
      </c>
      <c r="AF95" s="4">
        <f>AE95-Y95</f>
        <v>0</v>
      </c>
      <c r="AG95" s="4"/>
      <c r="AH95" s="4"/>
      <c r="AI95" s="4">
        <v>145000</v>
      </c>
      <c r="AJ95" s="4"/>
      <c r="AK95" s="4">
        <v>145000</v>
      </c>
      <c r="AL95" s="4"/>
      <c r="AM95" s="4">
        <v>145000</v>
      </c>
      <c r="AN95" s="4"/>
      <c r="AO95" s="4">
        <v>145000</v>
      </c>
      <c r="AP95" s="4"/>
      <c r="AQ95" s="4">
        <v>145000</v>
      </c>
      <c r="AS95" s="4">
        <v>145000</v>
      </c>
      <c r="AU95" s="4">
        <v>145000</v>
      </c>
      <c r="AW95" s="4">
        <v>145000</v>
      </c>
      <c r="AY95" s="4">
        <v>145000</v>
      </c>
      <c r="BA95" s="4">
        <v>145000</v>
      </c>
      <c r="BC95" s="4">
        <v>145000</v>
      </c>
      <c r="BE95" s="4">
        <v>145000</v>
      </c>
    </row>
    <row r="96" spans="1:57" s="51" customForma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S96" s="4"/>
      <c r="AU96" s="4"/>
      <c r="AW96" s="4"/>
      <c r="AY96" s="4"/>
      <c r="BA96" s="4"/>
      <c r="BC96" s="4"/>
      <c r="BE96" s="4"/>
    </row>
    <row r="97" spans="1:57" hidden="1" outlineLevel="1" x14ac:dyDescent="0.25">
      <c r="A97" s="7" t="s">
        <v>376</v>
      </c>
      <c r="BC97" s="3"/>
      <c r="BE97" s="3"/>
    </row>
    <row r="98" spans="1:57" hidden="1" outlineLevel="1" x14ac:dyDescent="0.25">
      <c r="A98" s="3" t="s">
        <v>842</v>
      </c>
      <c r="BC98" s="3"/>
      <c r="BE98" s="3"/>
    </row>
    <row r="99" spans="1:57" hidden="1" outlineLevel="1" x14ac:dyDescent="0.25">
      <c r="A99" s="3" t="s">
        <v>841</v>
      </c>
      <c r="P99" s="3">
        <v>8000</v>
      </c>
      <c r="S99" s="3">
        <f>T99-R99</f>
        <v>8000</v>
      </c>
      <c r="T99" s="3">
        <v>8000</v>
      </c>
      <c r="U99" s="3">
        <f>T99-P99</f>
        <v>0</v>
      </c>
      <c r="W99" s="3">
        <f>Y99-V99</f>
        <v>12000</v>
      </c>
      <c r="Y99" s="3">
        <v>12000</v>
      </c>
      <c r="Z99" s="3">
        <f>Y99-T99</f>
        <v>4000</v>
      </c>
      <c r="AC99" s="3">
        <f>638+5020</f>
        <v>5658</v>
      </c>
      <c r="AD99" s="3">
        <f>AE99-AC99</f>
        <v>6342</v>
      </c>
      <c r="AE99" s="3">
        <v>12000</v>
      </c>
      <c r="AF99" s="3">
        <f>AE99-Y99</f>
        <v>0</v>
      </c>
      <c r="AO99" s="3">
        <v>9000</v>
      </c>
      <c r="AU99" s="3">
        <v>10000</v>
      </c>
      <c r="AW99" s="3">
        <v>10000</v>
      </c>
      <c r="AY99" s="3">
        <v>10000</v>
      </c>
      <c r="BA99" s="3">
        <v>10000</v>
      </c>
      <c r="BC99" s="3">
        <v>10000</v>
      </c>
      <c r="BE99" s="3">
        <v>10000</v>
      </c>
    </row>
    <row r="100" spans="1:57" hidden="1" outlineLevel="1" x14ac:dyDescent="0.25">
      <c r="A100" s="3" t="s">
        <v>907</v>
      </c>
      <c r="B100" s="3">
        <v>300</v>
      </c>
      <c r="E100" s="3">
        <f>F100-D100</f>
        <v>300</v>
      </c>
      <c r="F100" s="3">
        <v>300</v>
      </c>
      <c r="H100" s="3">
        <f>F100-B100</f>
        <v>0</v>
      </c>
      <c r="K100" s="4">
        <f>L100-J100</f>
        <v>300</v>
      </c>
      <c r="L100" s="4">
        <v>300</v>
      </c>
      <c r="N100" s="4">
        <f>L100-F100</f>
        <v>0</v>
      </c>
      <c r="P100" s="3">
        <v>300</v>
      </c>
      <c r="S100" s="3">
        <f>T100-R100</f>
        <v>300</v>
      </c>
      <c r="T100" s="3">
        <v>300</v>
      </c>
      <c r="U100" s="3">
        <f>T100-P100</f>
        <v>0</v>
      </c>
      <c r="W100" s="3">
        <f>Y100-V100</f>
        <v>0</v>
      </c>
      <c r="Z100" s="3">
        <f>Y100-T100</f>
        <v>-300</v>
      </c>
      <c r="AD100" s="3">
        <f>AE100-AC100</f>
        <v>0</v>
      </c>
      <c r="AF100" s="3">
        <f>AE100-Y100</f>
        <v>0</v>
      </c>
      <c r="AI100" s="3">
        <v>300</v>
      </c>
      <c r="AK100" s="3">
        <v>300</v>
      </c>
      <c r="AM100" s="3">
        <v>300</v>
      </c>
      <c r="AO100" s="3">
        <v>300</v>
      </c>
      <c r="AQ100" s="3">
        <v>300</v>
      </c>
      <c r="AS100" s="3">
        <v>300</v>
      </c>
      <c r="AU100" s="3">
        <v>300</v>
      </c>
      <c r="AW100" s="3">
        <v>300</v>
      </c>
      <c r="AY100" s="3">
        <v>300</v>
      </c>
      <c r="BA100" s="3">
        <v>300</v>
      </c>
      <c r="BC100" s="3">
        <v>300</v>
      </c>
      <c r="BE100" s="3">
        <v>300</v>
      </c>
    </row>
    <row r="101" spans="1:57" hidden="1" outlineLevel="1" x14ac:dyDescent="0.25">
      <c r="A101" s="3" t="s">
        <v>908</v>
      </c>
      <c r="E101" s="3">
        <f>F101-D101</f>
        <v>0</v>
      </c>
      <c r="H101" s="3">
        <f>F101-B101</f>
        <v>0</v>
      </c>
      <c r="K101" s="4">
        <f>L101-J101</f>
        <v>0</v>
      </c>
      <c r="L101" s="4"/>
      <c r="N101" s="4">
        <f>L101-F101</f>
        <v>0</v>
      </c>
      <c r="S101" s="3">
        <f>T101-R101</f>
        <v>0</v>
      </c>
      <c r="U101" s="3">
        <f>T101-P101</f>
        <v>0</v>
      </c>
      <c r="W101" s="3">
        <f>Y101-V101</f>
        <v>0</v>
      </c>
      <c r="Z101" s="3">
        <f>Y101-T101</f>
        <v>0</v>
      </c>
      <c r="AD101" s="3">
        <f>AE101-AC101</f>
        <v>0</v>
      </c>
      <c r="AF101" s="3">
        <f>AE101-Y101</f>
        <v>0</v>
      </c>
      <c r="BC101" s="3"/>
      <c r="BE101" s="3"/>
    </row>
    <row r="102" spans="1:57" ht="15.75" collapsed="1" thickBot="1" x14ac:dyDescent="0.3">
      <c r="A102" s="7" t="s">
        <v>376</v>
      </c>
      <c r="B102" s="62">
        <f>SUM(B98:B101)</f>
        <v>300</v>
      </c>
      <c r="C102" s="32"/>
      <c r="D102" s="62">
        <f>SUM(D98:D101)</f>
        <v>0</v>
      </c>
      <c r="E102" s="62">
        <f>SUM(E98:E101)</f>
        <v>300</v>
      </c>
      <c r="F102" s="62">
        <f>SUM(F98:F101)</f>
        <v>300</v>
      </c>
      <c r="G102" s="32"/>
      <c r="H102" s="62">
        <f>SUM(H98:H101)</f>
        <v>0</v>
      </c>
      <c r="I102" s="32"/>
      <c r="J102" s="62">
        <f>SUM(J98:J101)</f>
        <v>0</v>
      </c>
      <c r="K102" s="62">
        <f>SUM(K98:K101)</f>
        <v>300</v>
      </c>
      <c r="L102" s="62">
        <f>SUM(L98:L101)</f>
        <v>300</v>
      </c>
      <c r="M102" s="32"/>
      <c r="N102" s="62">
        <f>SUM(N98:N101)</f>
        <v>0</v>
      </c>
      <c r="P102" s="62">
        <f>SUM(P98:P101)</f>
        <v>8300</v>
      </c>
      <c r="R102" s="62">
        <f t="shared" ref="R102:Z102" si="55">SUM(R98:R101)</f>
        <v>0</v>
      </c>
      <c r="S102" s="62">
        <f t="shared" si="55"/>
        <v>8300</v>
      </c>
      <c r="T102" s="62">
        <f t="shared" si="55"/>
        <v>8300</v>
      </c>
      <c r="U102" s="62">
        <f t="shared" si="55"/>
        <v>0</v>
      </c>
      <c r="V102" s="62">
        <f t="shared" si="55"/>
        <v>0</v>
      </c>
      <c r="W102" s="62">
        <f t="shared" si="55"/>
        <v>12000</v>
      </c>
      <c r="X102" s="62"/>
      <c r="Y102" s="62">
        <f t="shared" si="55"/>
        <v>12000</v>
      </c>
      <c r="Z102" s="62">
        <f t="shared" si="55"/>
        <v>3700</v>
      </c>
      <c r="AC102" s="62">
        <f>SUM(AC98:AC101)</f>
        <v>5658</v>
      </c>
      <c r="AD102" s="62">
        <f>SUM(AD98:AD101)</f>
        <v>6342</v>
      </c>
      <c r="AE102" s="62">
        <f>SUM(AE98:AE101)</f>
        <v>12000</v>
      </c>
      <c r="AF102" s="62">
        <f>SUM(AF98:AF101)</f>
        <v>0</v>
      </c>
      <c r="AG102" s="32"/>
      <c r="AI102" s="62">
        <f>SUM(AI98:AI101)</f>
        <v>300</v>
      </c>
      <c r="AK102" s="62">
        <f>SUM(AK98:AK101)</f>
        <v>300</v>
      </c>
      <c r="AM102" s="62">
        <f>SUM(AM98:AM101)</f>
        <v>300</v>
      </c>
      <c r="AO102" s="62">
        <f>SUM(AO98:AO101)</f>
        <v>9300</v>
      </c>
      <c r="AP102" s="62"/>
      <c r="AQ102" s="62">
        <f>SUM(AQ98:AQ101)</f>
        <v>300</v>
      </c>
      <c r="AS102" s="62">
        <f>SUM(AS98:AS101)</f>
        <v>300</v>
      </c>
      <c r="AU102" s="62">
        <f>SUM(AU98:AU101)</f>
        <v>10300</v>
      </c>
      <c r="AW102" s="62">
        <f>SUM(AW98:AW101)</f>
        <v>10300</v>
      </c>
      <c r="AY102" s="62">
        <f>SUM(AY98:AY101)</f>
        <v>10300</v>
      </c>
      <c r="BA102" s="62">
        <f>SUM(BA98:BA101)</f>
        <v>10300</v>
      </c>
      <c r="BC102" s="62">
        <f>SUM(BC98:BC101)</f>
        <v>10300</v>
      </c>
      <c r="BE102" s="62">
        <f>SUM(BE98:BE101)</f>
        <v>10300</v>
      </c>
    </row>
    <row r="103" spans="1:57" ht="16.5" thickTop="1" thickBot="1" x14ac:dyDescent="0.3">
      <c r="A103" s="266" t="s">
        <v>1235</v>
      </c>
      <c r="B103" s="83">
        <f>B102+B95+B93+B88+B77</f>
        <v>476800</v>
      </c>
      <c r="C103" s="32"/>
      <c r="D103" s="83">
        <f>D102+D95+D93+D88+D77</f>
        <v>72898</v>
      </c>
      <c r="E103" s="83">
        <f>E102+E95+E93+E88+E77</f>
        <v>403906</v>
      </c>
      <c r="F103" s="83">
        <f>F102+F95+F93+F88+F77</f>
        <v>476802</v>
      </c>
      <c r="G103" s="32"/>
      <c r="H103" s="83">
        <f>H102+H95+H93+H88+H77</f>
        <v>2</v>
      </c>
      <c r="I103" s="32"/>
      <c r="J103" s="83">
        <f>J102+J95+J93+J88+J77</f>
        <v>132889</v>
      </c>
      <c r="K103" s="83">
        <f>K102+K95+K93+K88+K77</f>
        <v>354185</v>
      </c>
      <c r="L103" s="83">
        <f>L102+L95+L93+L88+L77</f>
        <v>487072</v>
      </c>
      <c r="M103" s="32"/>
      <c r="N103" s="83">
        <f>N102+N95+N93+N88+N77</f>
        <v>10272</v>
      </c>
      <c r="P103" s="83">
        <f>P102+P95+P93+P88+P77</f>
        <v>508497.36699999997</v>
      </c>
      <c r="R103" s="83">
        <f t="shared" ref="R103:Z103" si="56">R102+R95+R93+R88+R77</f>
        <v>69505</v>
      </c>
      <c r="S103" s="83">
        <f t="shared" si="56"/>
        <v>457395</v>
      </c>
      <c r="T103" s="83">
        <f t="shared" si="56"/>
        <v>526900</v>
      </c>
      <c r="U103" s="83">
        <f t="shared" si="56"/>
        <v>18402.632999999998</v>
      </c>
      <c r="V103" s="83">
        <f t="shared" si="56"/>
        <v>143918</v>
      </c>
      <c r="W103" s="83">
        <f t="shared" si="56"/>
        <v>389882</v>
      </c>
      <c r="X103" s="83"/>
      <c r="Y103" s="83">
        <f t="shared" si="56"/>
        <v>533800</v>
      </c>
      <c r="Z103" s="83">
        <f t="shared" si="56"/>
        <v>6900</v>
      </c>
      <c r="AC103" s="83">
        <f>AC102+AC95+AC93+AC88+AC77</f>
        <v>201805</v>
      </c>
      <c r="AD103" s="83">
        <f>AD102+AD95+AD93+AD88+AD77</f>
        <v>329745</v>
      </c>
      <c r="AE103" s="83">
        <f>AE102+AE95+AE93+AE88+AE77</f>
        <v>531550</v>
      </c>
      <c r="AF103" s="83">
        <f>AF102+AF95+AF93+AF88+AF77</f>
        <v>-2250</v>
      </c>
      <c r="AG103" s="32"/>
      <c r="AI103" s="83">
        <f>AI102+AI95+AI93+AI88+AI77</f>
        <v>511750.06859999994</v>
      </c>
      <c r="AK103" s="83">
        <f>AK102+AK95+AK93+AK88+AK77-1</f>
        <v>526155.5079330001</v>
      </c>
      <c r="AM103" s="83">
        <f>AM102+AM95+AM93+AM88+AM77-1</f>
        <v>540334.61554005253</v>
      </c>
      <c r="AO103" s="83">
        <f>AO102+AO95+AO93+AO88+AO77-1</f>
        <v>571902.92879984598</v>
      </c>
      <c r="AP103" s="83"/>
      <c r="AQ103" s="83">
        <f>AQ102+AQ95+AQ93+AQ88+AQ77-1</f>
        <v>567870.47652133601</v>
      </c>
      <c r="AS103" s="83">
        <f>AS102+AS95+AS93+AS88+AS77-1</f>
        <v>582343.20305839868</v>
      </c>
      <c r="AU103" s="83">
        <f>AU102+AU95+AU93+AU88+AU77-1</f>
        <v>617340.59020737489</v>
      </c>
      <c r="AW103" s="83">
        <f>AW102+AW95+AW93+AW88+AW77-1</f>
        <v>632882.92105991603</v>
      </c>
      <c r="AY103" s="83">
        <f>AY102+AY95+AY93+AY88+AY77-1</f>
        <v>648991.3148982788</v>
      </c>
      <c r="BA103" s="83">
        <f>BA102+BA95+BA93+BA88+BA77-1</f>
        <v>665687.76368069812</v>
      </c>
      <c r="BC103" s="83">
        <f>BC102+BC95+BC93+BC88+BC77-1</f>
        <v>682995.17019171163</v>
      </c>
      <c r="BE103" s="83">
        <f>BE102+BE95+BE93+BE88+BE77-1</f>
        <v>700937.38793591596</v>
      </c>
    </row>
    <row r="104" spans="1:57" ht="16.5" thickTop="1" thickBot="1" x14ac:dyDescent="0.3">
      <c r="A104" s="3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P104" s="32"/>
      <c r="AI104" s="32"/>
      <c r="AK104" s="32"/>
      <c r="AM104" s="32"/>
      <c r="AO104" s="32"/>
      <c r="AP104" s="32"/>
      <c r="AQ104" s="32"/>
      <c r="AS104" s="32"/>
      <c r="AU104" s="32"/>
      <c r="AW104" s="32"/>
      <c r="AY104" s="32"/>
      <c r="BA104" s="32"/>
      <c r="BC104" s="32"/>
      <c r="BE104" s="32"/>
    </row>
    <row r="105" spans="1:57" ht="16.5" thickTop="1" thickBot="1" x14ac:dyDescent="0.3">
      <c r="A105" s="286" t="s">
        <v>1246</v>
      </c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P105" s="32"/>
      <c r="AI105" s="83">
        <f>+AI63-AI103</f>
        <v>127239.18140000006</v>
      </c>
      <c r="AK105" s="83">
        <f>+AK63-AK103</f>
        <v>175015.47081699991</v>
      </c>
      <c r="AM105" s="83">
        <f>+AM63-AM103</f>
        <v>230107.80010369758</v>
      </c>
      <c r="AO105" s="83">
        <f>+AO63-AO103</f>
        <v>279048.87953274802</v>
      </c>
      <c r="AP105" s="32"/>
      <c r="AQ105" s="83">
        <f>+AQ63-AQ103</f>
        <v>345186.53428625525</v>
      </c>
      <c r="AS105" s="83">
        <f>+AS63-AS103</f>
        <v>397381.5005040653</v>
      </c>
      <c r="AU105" s="83">
        <f>+AU63-AU103</f>
        <v>410576.28455337428</v>
      </c>
      <c r="AW105" s="83">
        <f>+AW63-AW103</f>
        <v>442205.10439735185</v>
      </c>
      <c r="AY105" s="83">
        <f>+AY63-AY103</f>
        <v>478104.02017824631</v>
      </c>
      <c r="BA105" s="83">
        <f>+BA63-BA103</f>
        <v>516004.0714800749</v>
      </c>
      <c r="BC105" s="83">
        <f>+BC63-BC103</f>
        <v>556011.53160941193</v>
      </c>
      <c r="BE105" s="83">
        <f>+BE63-BE103</f>
        <v>598238.17474982189</v>
      </c>
    </row>
    <row r="106" spans="1:57" ht="15.75" thickTop="1" x14ac:dyDescent="0.25">
      <c r="A106" s="3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P106" s="32"/>
      <c r="AI106" s="32"/>
      <c r="AK106" s="32"/>
      <c r="AM106" s="32"/>
      <c r="AO106" s="32"/>
      <c r="AP106" s="32"/>
      <c r="AQ106" s="32"/>
      <c r="AS106" s="32"/>
      <c r="AU106" s="32"/>
      <c r="AW106" s="32"/>
      <c r="AY106" s="32"/>
      <c r="BA106" s="32"/>
      <c r="BC106" s="32"/>
      <c r="BE106" s="32"/>
    </row>
    <row r="107" spans="1:57" x14ac:dyDescent="0.25">
      <c r="A107" s="266" t="s">
        <v>909</v>
      </c>
      <c r="BC107" s="3"/>
      <c r="BE107" s="3"/>
    </row>
    <row r="108" spans="1:57" hidden="1" outlineLevel="1" x14ac:dyDescent="0.25">
      <c r="A108" s="3" t="s">
        <v>910</v>
      </c>
      <c r="BC108" s="3"/>
      <c r="BE108" s="3"/>
    </row>
    <row r="109" spans="1:57" s="51" customFormat="1" hidden="1" outlineLevel="1" x14ac:dyDescent="0.25">
      <c r="A109" s="4" t="s">
        <v>891</v>
      </c>
      <c r="B109" s="4"/>
      <c r="C109" s="4"/>
      <c r="D109" s="4"/>
      <c r="E109" s="3">
        <f t="shared" ref="E109:E131" si="57">F109-D109</f>
        <v>0</v>
      </c>
      <c r="F109" s="3"/>
      <c r="G109" s="3"/>
      <c r="H109" s="3">
        <f t="shared" ref="H109:H131" si="58">F109-B109</f>
        <v>0</v>
      </c>
      <c r="I109" s="3"/>
      <c r="J109" s="3"/>
      <c r="K109" s="4">
        <f t="shared" ref="K109:K131" si="59">L109-J109</f>
        <v>0</v>
      </c>
      <c r="L109" s="4"/>
      <c r="M109" s="4"/>
      <c r="N109" s="4">
        <f t="shared" ref="N109:N131" si="60">L109-F109</f>
        <v>0</v>
      </c>
      <c r="O109" s="4"/>
      <c r="P109" s="4"/>
      <c r="Q109" s="4"/>
      <c r="R109" s="4"/>
      <c r="S109" s="4"/>
      <c r="T109" s="4"/>
      <c r="U109" s="4"/>
      <c r="V109" s="4"/>
      <c r="W109" s="3">
        <f t="shared" ref="W109:W131" si="61">Y109-V109</f>
        <v>0</v>
      </c>
      <c r="X109" s="3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S109" s="4"/>
      <c r="AU109" s="4"/>
      <c r="AW109" s="4"/>
      <c r="AY109" s="4"/>
      <c r="BA109" s="4"/>
      <c r="BC109" s="4"/>
      <c r="BE109" s="4"/>
    </row>
    <row r="110" spans="1:57" hidden="1" outlineLevel="1" x14ac:dyDescent="0.25">
      <c r="A110" s="3" t="s">
        <v>911</v>
      </c>
      <c r="E110" s="3">
        <f t="shared" si="57"/>
        <v>0</v>
      </c>
      <c r="H110" s="3">
        <f t="shared" si="58"/>
        <v>0</v>
      </c>
      <c r="K110" s="4">
        <f t="shared" si="59"/>
        <v>0</v>
      </c>
      <c r="L110" s="4"/>
      <c r="N110" s="4">
        <f t="shared" si="60"/>
        <v>0</v>
      </c>
      <c r="W110" s="3">
        <f t="shared" si="61"/>
        <v>0</v>
      </c>
      <c r="Z110" s="3">
        <f t="shared" ref="Z110:Z131" si="62">Y110-T110</f>
        <v>0</v>
      </c>
      <c r="AM110" s="3">
        <v>225700</v>
      </c>
      <c r="AQ110" s="3">
        <v>225700</v>
      </c>
      <c r="AU110" s="3">
        <v>225700</v>
      </c>
      <c r="AY110" s="3">
        <v>225700</v>
      </c>
      <c r="BA110" s="3">
        <v>225700</v>
      </c>
      <c r="BC110" s="3">
        <v>225700</v>
      </c>
      <c r="BE110" s="3">
        <v>225700</v>
      </c>
    </row>
    <row r="111" spans="1:57" s="51" customFormat="1" hidden="1" outlineLevel="1" x14ac:dyDescent="0.25">
      <c r="A111" s="4" t="s">
        <v>912</v>
      </c>
      <c r="B111" s="4"/>
      <c r="C111" s="4"/>
      <c r="D111" s="4"/>
      <c r="E111" s="3">
        <f t="shared" si="57"/>
        <v>0</v>
      </c>
      <c r="F111" s="3"/>
      <c r="G111" s="3"/>
      <c r="H111" s="3">
        <f t="shared" si="58"/>
        <v>0</v>
      </c>
      <c r="I111" s="3"/>
      <c r="J111" s="3"/>
      <c r="K111" s="4">
        <f t="shared" si="59"/>
        <v>0</v>
      </c>
      <c r="L111" s="4"/>
      <c r="M111" s="4"/>
      <c r="N111" s="4">
        <f t="shared" si="60"/>
        <v>0</v>
      </c>
      <c r="O111" s="4"/>
      <c r="P111" s="4"/>
      <c r="Q111" s="4"/>
      <c r="R111" s="4"/>
      <c r="S111" s="4"/>
      <c r="T111" s="4"/>
      <c r="U111" s="4"/>
      <c r="V111" s="4"/>
      <c r="W111" s="3">
        <f t="shared" si="61"/>
        <v>0</v>
      </c>
      <c r="X111" s="3"/>
      <c r="Y111" s="4"/>
      <c r="Z111" s="3">
        <f t="shared" si="62"/>
        <v>0</v>
      </c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S111" s="4"/>
      <c r="AU111" s="4"/>
      <c r="AW111" s="4"/>
      <c r="AY111" s="4"/>
      <c r="BA111" s="4"/>
      <c r="BC111" s="4"/>
      <c r="BE111" s="4"/>
    </row>
    <row r="112" spans="1:57" hidden="1" outlineLevel="1" x14ac:dyDescent="0.25">
      <c r="A112" s="3" t="s">
        <v>913</v>
      </c>
      <c r="E112" s="3">
        <f t="shared" si="57"/>
        <v>0</v>
      </c>
      <c r="H112" s="3">
        <f t="shared" si="58"/>
        <v>0</v>
      </c>
      <c r="K112" s="4">
        <f t="shared" si="59"/>
        <v>0</v>
      </c>
      <c r="L112" s="4"/>
      <c r="N112" s="4">
        <f t="shared" si="60"/>
        <v>0</v>
      </c>
      <c r="P112" s="3">
        <v>30000</v>
      </c>
      <c r="R112" s="3">
        <v>0</v>
      </c>
      <c r="S112" s="3">
        <f>T112-R112</f>
        <v>30000</v>
      </c>
      <c r="T112" s="3">
        <v>30000</v>
      </c>
      <c r="U112" s="3">
        <f>T112-P112</f>
        <v>0</v>
      </c>
      <c r="W112" s="3">
        <f t="shared" si="61"/>
        <v>30000</v>
      </c>
      <c r="Y112" s="3">
        <v>30000</v>
      </c>
      <c r="Z112" s="3">
        <f t="shared" si="62"/>
        <v>0</v>
      </c>
      <c r="AC112" s="3">
        <v>9942</v>
      </c>
      <c r="AD112" s="3">
        <f t="shared" ref="AD112:AD131" si="63">AE112-AC112</f>
        <v>15058</v>
      </c>
      <c r="AE112" s="3">
        <v>25000</v>
      </c>
      <c r="AF112" s="3">
        <f t="shared" ref="AF112:AF131" si="64">AE112-Y112</f>
        <v>-5000</v>
      </c>
      <c r="BC112" s="3"/>
      <c r="BE112" s="3"/>
    </row>
    <row r="113" spans="1:57" hidden="1" outlineLevel="1" x14ac:dyDescent="0.25">
      <c r="A113" s="3" t="s">
        <v>914</v>
      </c>
      <c r="K113" s="4"/>
      <c r="L113" s="4"/>
      <c r="N113" s="4"/>
      <c r="P113" s="3">
        <v>10000</v>
      </c>
      <c r="R113" s="3">
        <v>0</v>
      </c>
      <c r="S113" s="3">
        <f>T113-R113</f>
        <v>10000</v>
      </c>
      <c r="T113" s="3">
        <v>10000</v>
      </c>
      <c r="U113" s="3">
        <f>T113-P113</f>
        <v>0</v>
      </c>
      <c r="W113" s="3">
        <f t="shared" si="61"/>
        <v>10000</v>
      </c>
      <c r="Y113" s="3">
        <v>10000</v>
      </c>
      <c r="Z113" s="3">
        <f t="shared" si="62"/>
        <v>0</v>
      </c>
      <c r="AD113" s="3">
        <f t="shared" si="63"/>
        <v>7500</v>
      </c>
      <c r="AE113" s="3">
        <v>7500</v>
      </c>
      <c r="AF113" s="3">
        <f t="shared" si="64"/>
        <v>-2500</v>
      </c>
      <c r="AK113" s="3">
        <v>5000</v>
      </c>
      <c r="AO113" s="3">
        <v>5000</v>
      </c>
      <c r="BC113" s="3"/>
      <c r="BE113" s="3"/>
    </row>
    <row r="114" spans="1:57" s="51" customFormat="1" hidden="1" outlineLevel="1" x14ac:dyDescent="0.25">
      <c r="A114" s="4" t="s">
        <v>915</v>
      </c>
      <c r="B114" s="4"/>
      <c r="C114" s="4"/>
      <c r="D114" s="4"/>
      <c r="E114" s="3">
        <f t="shared" si="57"/>
        <v>0</v>
      </c>
      <c r="F114" s="3"/>
      <c r="G114" s="3"/>
      <c r="H114" s="3">
        <f t="shared" si="58"/>
        <v>0</v>
      </c>
      <c r="I114" s="3"/>
      <c r="J114" s="3"/>
      <c r="K114" s="4">
        <f t="shared" si="59"/>
        <v>0</v>
      </c>
      <c r="L114" s="4"/>
      <c r="M114" s="4"/>
      <c r="N114" s="4">
        <f t="shared" si="60"/>
        <v>0</v>
      </c>
      <c r="O114" s="4"/>
      <c r="P114" s="4"/>
      <c r="Q114" s="4"/>
      <c r="R114" s="4"/>
      <c r="S114" s="3">
        <f>T114-R114</f>
        <v>0</v>
      </c>
      <c r="T114" s="3"/>
      <c r="U114" s="3">
        <f>T114-P114</f>
        <v>0</v>
      </c>
      <c r="V114" s="4"/>
      <c r="W114" s="3">
        <f t="shared" si="61"/>
        <v>0</v>
      </c>
      <c r="X114" s="3"/>
      <c r="Y114" s="4"/>
      <c r="Z114" s="3">
        <f t="shared" si="62"/>
        <v>0</v>
      </c>
      <c r="AA114" s="4"/>
      <c r="AB114" s="4"/>
      <c r="AC114" s="4"/>
      <c r="AD114" s="3">
        <f t="shared" si="63"/>
        <v>0</v>
      </c>
      <c r="AE114" s="3"/>
      <c r="AF114" s="3">
        <f t="shared" si="64"/>
        <v>0</v>
      </c>
      <c r="AG114" s="3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S114" s="4"/>
      <c r="AU114" s="4"/>
      <c r="AW114" s="4"/>
      <c r="AY114" s="4"/>
      <c r="BA114" s="4"/>
      <c r="BC114" s="4"/>
      <c r="BE114" s="4"/>
    </row>
    <row r="115" spans="1:57" hidden="1" outlineLevel="1" x14ac:dyDescent="0.25">
      <c r="A115" s="3" t="s">
        <v>916</v>
      </c>
      <c r="E115" s="3">
        <f t="shared" si="57"/>
        <v>0</v>
      </c>
      <c r="H115" s="3">
        <f t="shared" si="58"/>
        <v>0</v>
      </c>
      <c r="K115" s="4">
        <f t="shared" si="59"/>
        <v>0</v>
      </c>
      <c r="L115" s="4"/>
      <c r="N115" s="4">
        <f t="shared" si="60"/>
        <v>0</v>
      </c>
      <c r="P115" s="3">
        <v>8000</v>
      </c>
      <c r="R115" s="3">
        <v>0</v>
      </c>
      <c r="S115" s="3">
        <f>T115-R115</f>
        <v>8000</v>
      </c>
      <c r="T115" s="3">
        <v>8000</v>
      </c>
      <c r="U115" s="3">
        <f>T115-P115</f>
        <v>0</v>
      </c>
      <c r="V115" s="3">
        <v>2690</v>
      </c>
      <c r="W115" s="3">
        <f t="shared" si="61"/>
        <v>5310</v>
      </c>
      <c r="Y115" s="3">
        <v>8000</v>
      </c>
      <c r="Z115" s="3">
        <f t="shared" si="62"/>
        <v>0</v>
      </c>
      <c r="AC115" s="3">
        <v>13419</v>
      </c>
      <c r="AD115" s="3">
        <f t="shared" si="63"/>
        <v>581</v>
      </c>
      <c r="AE115" s="3">
        <v>14000</v>
      </c>
      <c r="AF115" s="3">
        <f t="shared" si="64"/>
        <v>6000</v>
      </c>
      <c r="AQ115" s="3">
        <f>61400+106000+100</f>
        <v>167500</v>
      </c>
      <c r="BC115" s="3"/>
      <c r="BE115" s="3"/>
    </row>
    <row r="116" spans="1:57" s="51" customFormat="1" hidden="1" outlineLevel="1" x14ac:dyDescent="0.25">
      <c r="A116" s="4" t="s">
        <v>917</v>
      </c>
      <c r="B116" s="4">
        <v>30000</v>
      </c>
      <c r="C116" s="4"/>
      <c r="D116" s="4"/>
      <c r="E116" s="3">
        <f t="shared" si="57"/>
        <v>30000</v>
      </c>
      <c r="F116" s="3">
        <v>30000</v>
      </c>
      <c r="G116" s="3"/>
      <c r="H116" s="3">
        <f t="shared" si="58"/>
        <v>0</v>
      </c>
      <c r="I116" s="3"/>
      <c r="J116" s="3">
        <v>11691</v>
      </c>
      <c r="K116" s="4">
        <f t="shared" si="59"/>
        <v>18309</v>
      </c>
      <c r="L116" s="4">
        <v>30000</v>
      </c>
      <c r="M116" s="4"/>
      <c r="N116" s="4">
        <f t="shared" si="60"/>
        <v>0</v>
      </c>
      <c r="O116" s="4"/>
      <c r="P116" s="4"/>
      <c r="Q116" s="4"/>
      <c r="R116" s="4"/>
      <c r="S116" s="4"/>
      <c r="T116" s="4"/>
      <c r="U116" s="4"/>
      <c r="V116" s="4"/>
      <c r="W116" s="3">
        <f t="shared" si="61"/>
        <v>0</v>
      </c>
      <c r="X116" s="3"/>
      <c r="Y116" s="4"/>
      <c r="Z116" s="3">
        <f t="shared" si="62"/>
        <v>0</v>
      </c>
      <c r="AA116" s="4"/>
      <c r="AB116" s="4"/>
      <c r="AC116" s="4"/>
      <c r="AD116" s="3">
        <f t="shared" si="63"/>
        <v>0</v>
      </c>
      <c r="AE116" s="3"/>
      <c r="AF116" s="3">
        <f t="shared" si="64"/>
        <v>0</v>
      </c>
      <c r="AG116" s="3"/>
      <c r="AH116" s="4"/>
      <c r="AI116" s="4"/>
      <c r="AJ116" s="4"/>
      <c r="AK116" s="4"/>
      <c r="AL116" s="4"/>
      <c r="AM116" s="4"/>
      <c r="AN116" s="4"/>
      <c r="AO116" s="4"/>
      <c r="AP116" s="4"/>
      <c r="AQ116" s="4">
        <v>222000</v>
      </c>
      <c r="AS116" s="4"/>
      <c r="AU116" s="4"/>
      <c r="AW116" s="4"/>
      <c r="AY116" s="4"/>
      <c r="BA116" s="4"/>
      <c r="BC116" s="4"/>
      <c r="BE116" s="4"/>
    </row>
    <row r="117" spans="1:57" hidden="1" outlineLevel="1" x14ac:dyDescent="0.25">
      <c r="A117" s="3" t="s">
        <v>918</v>
      </c>
      <c r="E117" s="3">
        <f t="shared" si="57"/>
        <v>0</v>
      </c>
      <c r="H117" s="3">
        <f t="shared" si="58"/>
        <v>0</v>
      </c>
      <c r="K117" s="4">
        <f t="shared" si="59"/>
        <v>0</v>
      </c>
      <c r="L117" s="4"/>
      <c r="N117" s="4">
        <f t="shared" si="60"/>
        <v>0</v>
      </c>
      <c r="W117" s="3">
        <f t="shared" si="61"/>
        <v>0</v>
      </c>
      <c r="Z117" s="3">
        <f t="shared" si="62"/>
        <v>0</v>
      </c>
      <c r="AD117" s="3">
        <f t="shared" si="63"/>
        <v>0</v>
      </c>
      <c r="AF117" s="3">
        <f t="shared" si="64"/>
        <v>0</v>
      </c>
      <c r="BC117" s="3"/>
      <c r="BE117" s="3"/>
    </row>
    <row r="118" spans="1:57" s="51" customFormat="1" hidden="1" outlineLevel="1" x14ac:dyDescent="0.25">
      <c r="A118" s="4" t="s">
        <v>919</v>
      </c>
      <c r="B118" s="4">
        <v>16250</v>
      </c>
      <c r="C118" s="4"/>
      <c r="D118" s="4"/>
      <c r="E118" s="3">
        <f t="shared" si="57"/>
        <v>16250</v>
      </c>
      <c r="F118" s="3">
        <v>16250</v>
      </c>
      <c r="G118" s="3"/>
      <c r="H118" s="3">
        <f t="shared" si="58"/>
        <v>0</v>
      </c>
      <c r="I118" s="3"/>
      <c r="J118" s="3">
        <v>0</v>
      </c>
      <c r="K118" s="4">
        <f t="shared" si="59"/>
        <v>15000</v>
      </c>
      <c r="L118" s="4">
        <v>15000</v>
      </c>
      <c r="M118" s="4"/>
      <c r="N118" s="4">
        <f t="shared" si="60"/>
        <v>-1250</v>
      </c>
      <c r="O118" s="4"/>
      <c r="P118" s="4"/>
      <c r="Q118" s="4"/>
      <c r="R118" s="4"/>
      <c r="S118" s="4"/>
      <c r="T118" s="4"/>
      <c r="U118" s="4"/>
      <c r="V118" s="4"/>
      <c r="W118" s="3">
        <f t="shared" si="61"/>
        <v>0</v>
      </c>
      <c r="X118" s="3"/>
      <c r="Y118" s="4"/>
      <c r="Z118" s="3">
        <f t="shared" si="62"/>
        <v>0</v>
      </c>
      <c r="AA118" s="4"/>
      <c r="AB118" s="4"/>
      <c r="AC118" s="4">
        <v>2690</v>
      </c>
      <c r="AD118" s="3">
        <f t="shared" si="63"/>
        <v>10</v>
      </c>
      <c r="AE118" s="3">
        <v>2700</v>
      </c>
      <c r="AF118" s="3">
        <f t="shared" si="64"/>
        <v>2700</v>
      </c>
      <c r="AG118" s="3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S118" s="4"/>
      <c r="AU118" s="4"/>
      <c r="AW118" s="4"/>
      <c r="AY118" s="4"/>
      <c r="BA118" s="4"/>
      <c r="BC118" s="4"/>
      <c r="BE118" s="4"/>
    </row>
    <row r="119" spans="1:57" hidden="1" outlineLevel="1" x14ac:dyDescent="0.25">
      <c r="A119" s="3" t="s">
        <v>920</v>
      </c>
      <c r="E119" s="3">
        <f t="shared" si="57"/>
        <v>0</v>
      </c>
      <c r="H119" s="3">
        <f t="shared" si="58"/>
        <v>0</v>
      </c>
      <c r="K119" s="4">
        <f t="shared" si="59"/>
        <v>0</v>
      </c>
      <c r="L119" s="4"/>
      <c r="N119" s="4">
        <f t="shared" si="60"/>
        <v>0</v>
      </c>
      <c r="W119" s="3">
        <f t="shared" si="61"/>
        <v>0</v>
      </c>
      <c r="Z119" s="3">
        <f t="shared" si="62"/>
        <v>0</v>
      </c>
      <c r="AD119" s="3">
        <f t="shared" si="63"/>
        <v>0</v>
      </c>
      <c r="AF119" s="3">
        <f t="shared" si="64"/>
        <v>0</v>
      </c>
      <c r="BC119" s="3"/>
      <c r="BE119" s="3"/>
    </row>
    <row r="120" spans="1:57" s="51" customFormat="1" hidden="1" outlineLevel="1" x14ac:dyDescent="0.25">
      <c r="A120" s="4" t="s">
        <v>921</v>
      </c>
      <c r="B120" s="4"/>
      <c r="C120" s="4"/>
      <c r="D120" s="4"/>
      <c r="E120" s="3">
        <f t="shared" si="57"/>
        <v>0</v>
      </c>
      <c r="F120" s="3"/>
      <c r="G120" s="3"/>
      <c r="H120" s="3">
        <f t="shared" si="58"/>
        <v>0</v>
      </c>
      <c r="I120" s="3"/>
      <c r="J120" s="3"/>
      <c r="K120" s="4">
        <f t="shared" si="59"/>
        <v>0</v>
      </c>
      <c r="L120" s="4"/>
      <c r="M120" s="4"/>
      <c r="N120" s="4">
        <f t="shared" si="60"/>
        <v>0</v>
      </c>
      <c r="O120" s="4"/>
      <c r="P120" s="4"/>
      <c r="Q120" s="4"/>
      <c r="R120" s="4"/>
      <c r="S120" s="4"/>
      <c r="T120" s="4"/>
      <c r="U120" s="4"/>
      <c r="V120" s="4"/>
      <c r="W120" s="3">
        <f t="shared" si="61"/>
        <v>0</v>
      </c>
      <c r="X120" s="3"/>
      <c r="Y120" s="4"/>
      <c r="Z120" s="3">
        <f t="shared" si="62"/>
        <v>0</v>
      </c>
      <c r="AA120" s="4"/>
      <c r="AB120" s="4"/>
      <c r="AC120" s="4"/>
      <c r="AD120" s="3">
        <f t="shared" si="63"/>
        <v>0</v>
      </c>
      <c r="AE120" s="3"/>
      <c r="AF120" s="3">
        <f t="shared" si="64"/>
        <v>0</v>
      </c>
      <c r="AG120" s="3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S120" s="4"/>
      <c r="AU120" s="4"/>
      <c r="AW120" s="4"/>
      <c r="AY120" s="4"/>
      <c r="BA120" s="4"/>
      <c r="BC120" s="4"/>
      <c r="BE120" s="4"/>
    </row>
    <row r="121" spans="1:57" hidden="1" outlineLevel="1" x14ac:dyDescent="0.25">
      <c r="A121" s="3" t="s">
        <v>922</v>
      </c>
      <c r="E121" s="3">
        <f t="shared" si="57"/>
        <v>0</v>
      </c>
      <c r="H121" s="3">
        <f t="shared" si="58"/>
        <v>0</v>
      </c>
      <c r="K121" s="4">
        <f t="shared" si="59"/>
        <v>0</v>
      </c>
      <c r="L121" s="4"/>
      <c r="N121" s="4">
        <f t="shared" si="60"/>
        <v>0</v>
      </c>
      <c r="W121" s="3">
        <f t="shared" si="61"/>
        <v>0</v>
      </c>
      <c r="Z121" s="3">
        <f t="shared" si="62"/>
        <v>0</v>
      </c>
      <c r="AD121" s="3">
        <f t="shared" si="63"/>
        <v>0</v>
      </c>
      <c r="AF121" s="3">
        <f t="shared" si="64"/>
        <v>0</v>
      </c>
      <c r="BC121" s="3"/>
      <c r="BE121" s="3"/>
    </row>
    <row r="122" spans="1:57" s="51" customFormat="1" hidden="1" outlineLevel="1" x14ac:dyDescent="0.25">
      <c r="A122" s="4" t="s">
        <v>923</v>
      </c>
      <c r="B122" s="4"/>
      <c r="C122" s="4"/>
      <c r="D122" s="4"/>
      <c r="E122" s="3">
        <f t="shared" si="57"/>
        <v>0</v>
      </c>
      <c r="F122" s="3"/>
      <c r="G122" s="3"/>
      <c r="H122" s="3">
        <f t="shared" si="58"/>
        <v>0</v>
      </c>
      <c r="I122" s="3"/>
      <c r="J122" s="3"/>
      <c r="K122" s="4">
        <f t="shared" si="59"/>
        <v>0</v>
      </c>
      <c r="L122" s="4"/>
      <c r="M122" s="4"/>
      <c r="N122" s="4">
        <f t="shared" si="60"/>
        <v>0</v>
      </c>
      <c r="O122" s="4"/>
      <c r="P122" s="4"/>
      <c r="Q122" s="4"/>
      <c r="R122" s="4"/>
      <c r="S122" s="4"/>
      <c r="T122" s="4"/>
      <c r="U122" s="4"/>
      <c r="V122" s="4"/>
      <c r="W122" s="3">
        <f t="shared" si="61"/>
        <v>0</v>
      </c>
      <c r="X122" s="3"/>
      <c r="Y122" s="4"/>
      <c r="Z122" s="3">
        <f t="shared" si="62"/>
        <v>0</v>
      </c>
      <c r="AA122" s="4"/>
      <c r="AB122" s="4"/>
      <c r="AC122" s="4"/>
      <c r="AD122" s="3">
        <f t="shared" si="63"/>
        <v>0</v>
      </c>
      <c r="AE122" s="3"/>
      <c r="AF122" s="3">
        <f t="shared" si="64"/>
        <v>0</v>
      </c>
      <c r="AG122" s="3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S122" s="4"/>
      <c r="AU122" s="4"/>
      <c r="AW122" s="4"/>
      <c r="AY122" s="4"/>
      <c r="BA122" s="4"/>
      <c r="BC122" s="4"/>
      <c r="BE122" s="4"/>
    </row>
    <row r="123" spans="1:57" hidden="1" outlineLevel="1" x14ac:dyDescent="0.25">
      <c r="A123" s="3" t="s">
        <v>879</v>
      </c>
      <c r="E123" s="3">
        <f t="shared" si="57"/>
        <v>0</v>
      </c>
      <c r="H123" s="3">
        <f t="shared" si="58"/>
        <v>0</v>
      </c>
      <c r="K123" s="4">
        <f t="shared" si="59"/>
        <v>0</v>
      </c>
      <c r="L123" s="4"/>
      <c r="N123" s="4">
        <f t="shared" si="60"/>
        <v>0</v>
      </c>
      <c r="W123" s="3">
        <f t="shared" si="61"/>
        <v>0</v>
      </c>
      <c r="Z123" s="3">
        <f t="shared" si="62"/>
        <v>0</v>
      </c>
      <c r="AD123" s="3">
        <f t="shared" si="63"/>
        <v>0</v>
      </c>
      <c r="AF123" s="3">
        <f t="shared" si="64"/>
        <v>0</v>
      </c>
      <c r="BC123" s="3"/>
      <c r="BE123" s="3"/>
    </row>
    <row r="124" spans="1:57" s="51" customFormat="1" hidden="1" outlineLevel="1" x14ac:dyDescent="0.25">
      <c r="A124" s="4" t="s">
        <v>924</v>
      </c>
      <c r="B124" s="4"/>
      <c r="C124" s="4"/>
      <c r="D124" s="4"/>
      <c r="E124" s="3">
        <f t="shared" si="57"/>
        <v>0</v>
      </c>
      <c r="F124" s="3"/>
      <c r="G124" s="3"/>
      <c r="H124" s="3">
        <f t="shared" si="58"/>
        <v>0</v>
      </c>
      <c r="I124" s="3"/>
      <c r="J124" s="3"/>
      <c r="K124" s="4">
        <f t="shared" si="59"/>
        <v>0</v>
      </c>
      <c r="L124" s="4"/>
      <c r="M124" s="4"/>
      <c r="N124" s="4">
        <f t="shared" si="60"/>
        <v>0</v>
      </c>
      <c r="O124" s="4"/>
      <c r="P124" s="4"/>
      <c r="Q124" s="4"/>
      <c r="R124" s="4"/>
      <c r="S124" s="4"/>
      <c r="T124" s="4"/>
      <c r="U124" s="4"/>
      <c r="V124" s="4"/>
      <c r="W124" s="3">
        <f t="shared" si="61"/>
        <v>0</v>
      </c>
      <c r="X124" s="3"/>
      <c r="Y124" s="4"/>
      <c r="Z124" s="3">
        <f t="shared" si="62"/>
        <v>0</v>
      </c>
      <c r="AA124" s="4"/>
      <c r="AB124" s="4"/>
      <c r="AC124" s="4"/>
      <c r="AD124" s="3">
        <f t="shared" si="63"/>
        <v>0</v>
      </c>
      <c r="AE124" s="3"/>
      <c r="AF124" s="3">
        <f t="shared" si="64"/>
        <v>0</v>
      </c>
      <c r="AG124" s="3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S124" s="4"/>
      <c r="AU124" s="4"/>
      <c r="AW124" s="4"/>
      <c r="AY124" s="4"/>
      <c r="BA124" s="4"/>
      <c r="BC124" s="4"/>
      <c r="BE124" s="4"/>
    </row>
    <row r="125" spans="1:57" hidden="1" outlineLevel="1" x14ac:dyDescent="0.25">
      <c r="A125" s="3" t="s">
        <v>925</v>
      </c>
      <c r="E125" s="3">
        <f t="shared" si="57"/>
        <v>0</v>
      </c>
      <c r="H125" s="3">
        <f t="shared" si="58"/>
        <v>0</v>
      </c>
      <c r="K125" s="4">
        <f t="shared" si="59"/>
        <v>0</v>
      </c>
      <c r="L125" s="4"/>
      <c r="N125" s="4">
        <f t="shared" si="60"/>
        <v>0</v>
      </c>
      <c r="W125" s="3">
        <f t="shared" si="61"/>
        <v>0</v>
      </c>
      <c r="Z125" s="3">
        <f t="shared" si="62"/>
        <v>0</v>
      </c>
      <c r="AD125" s="3">
        <f t="shared" si="63"/>
        <v>0</v>
      </c>
      <c r="AF125" s="3">
        <f t="shared" si="64"/>
        <v>0</v>
      </c>
      <c r="BC125" s="3"/>
      <c r="BD125" s="3"/>
      <c r="BE125" s="3"/>
    </row>
    <row r="126" spans="1:57" s="51" customFormat="1" hidden="1" outlineLevel="1" x14ac:dyDescent="0.25">
      <c r="A126" s="4" t="s">
        <v>919</v>
      </c>
      <c r="B126" s="4"/>
      <c r="C126" s="4"/>
      <c r="D126" s="4"/>
      <c r="E126" s="3">
        <f t="shared" si="57"/>
        <v>0</v>
      </c>
      <c r="F126" s="3"/>
      <c r="G126" s="3"/>
      <c r="H126" s="3">
        <f t="shared" si="58"/>
        <v>0</v>
      </c>
      <c r="I126" s="3"/>
      <c r="J126" s="3"/>
      <c r="K126" s="4">
        <f t="shared" si="59"/>
        <v>0</v>
      </c>
      <c r="L126" s="4"/>
      <c r="M126" s="4"/>
      <c r="N126" s="4">
        <f t="shared" si="60"/>
        <v>0</v>
      </c>
      <c r="O126" s="4"/>
      <c r="P126" s="4"/>
      <c r="Q126" s="4"/>
      <c r="R126" s="4"/>
      <c r="S126" s="4"/>
      <c r="T126" s="4"/>
      <c r="U126" s="4"/>
      <c r="V126" s="4"/>
      <c r="W126" s="3">
        <f t="shared" si="61"/>
        <v>0</v>
      </c>
      <c r="X126" s="3"/>
      <c r="Y126" s="4"/>
      <c r="Z126" s="3">
        <f t="shared" si="62"/>
        <v>0</v>
      </c>
      <c r="AA126" s="4"/>
      <c r="AB126" s="4"/>
      <c r="AC126" s="4"/>
      <c r="AD126" s="3">
        <f t="shared" si="63"/>
        <v>0</v>
      </c>
      <c r="AE126" s="3"/>
      <c r="AF126" s="3">
        <f t="shared" si="64"/>
        <v>0</v>
      </c>
      <c r="AG126" s="3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S126" s="4"/>
      <c r="AU126" s="4"/>
      <c r="AW126" s="4"/>
      <c r="AY126" s="4"/>
      <c r="BA126" s="4"/>
      <c r="BC126" s="4"/>
      <c r="BD126" s="3"/>
      <c r="BE126" s="4"/>
    </row>
    <row r="127" spans="1:57" hidden="1" outlineLevel="1" x14ac:dyDescent="0.25">
      <c r="A127" s="3" t="s">
        <v>926</v>
      </c>
      <c r="E127" s="3">
        <f t="shared" si="57"/>
        <v>0</v>
      </c>
      <c r="H127" s="3">
        <f t="shared" si="58"/>
        <v>0</v>
      </c>
      <c r="K127" s="4">
        <f t="shared" si="59"/>
        <v>0</v>
      </c>
      <c r="L127" s="4"/>
      <c r="N127" s="4">
        <f t="shared" si="60"/>
        <v>0</v>
      </c>
      <c r="W127" s="3">
        <f t="shared" si="61"/>
        <v>0</v>
      </c>
      <c r="Z127" s="3">
        <f t="shared" si="62"/>
        <v>0</v>
      </c>
      <c r="AD127" s="3">
        <f t="shared" si="63"/>
        <v>0</v>
      </c>
      <c r="AF127" s="3">
        <f t="shared" si="64"/>
        <v>0</v>
      </c>
      <c r="BC127" s="3"/>
      <c r="BD127" s="3"/>
      <c r="BE127" s="3"/>
    </row>
    <row r="128" spans="1:57" hidden="1" outlineLevel="1" x14ac:dyDescent="0.25">
      <c r="A128" s="3" t="s">
        <v>927</v>
      </c>
      <c r="E128" s="3">
        <f t="shared" si="57"/>
        <v>0</v>
      </c>
      <c r="H128" s="3">
        <f t="shared" si="58"/>
        <v>0</v>
      </c>
      <c r="K128" s="4">
        <f t="shared" si="59"/>
        <v>0</v>
      </c>
      <c r="L128" s="4"/>
      <c r="N128" s="4">
        <f t="shared" si="60"/>
        <v>0</v>
      </c>
      <c r="W128" s="3">
        <f t="shared" si="61"/>
        <v>0</v>
      </c>
      <c r="Z128" s="3">
        <f t="shared" si="62"/>
        <v>0</v>
      </c>
      <c r="AD128" s="3">
        <f t="shared" si="63"/>
        <v>0</v>
      </c>
      <c r="AF128" s="3">
        <f t="shared" si="64"/>
        <v>0</v>
      </c>
      <c r="BC128" s="3"/>
      <c r="BD128" s="3"/>
      <c r="BE128" s="3"/>
    </row>
    <row r="129" spans="1:57" s="51" customFormat="1" hidden="1" outlineLevel="1" x14ac:dyDescent="0.25">
      <c r="A129" s="4" t="s">
        <v>928</v>
      </c>
      <c r="B129" s="4"/>
      <c r="C129" s="4"/>
      <c r="D129" s="4"/>
      <c r="E129" s="3">
        <f t="shared" si="57"/>
        <v>0</v>
      </c>
      <c r="F129" s="3"/>
      <c r="G129" s="3"/>
      <c r="H129" s="3">
        <f t="shared" si="58"/>
        <v>0</v>
      </c>
      <c r="I129" s="3"/>
      <c r="J129" s="3"/>
      <c r="K129" s="4">
        <f t="shared" si="59"/>
        <v>0</v>
      </c>
      <c r="L129" s="4"/>
      <c r="M129" s="4"/>
      <c r="N129" s="4">
        <f t="shared" si="60"/>
        <v>0</v>
      </c>
      <c r="O129" s="4"/>
      <c r="P129" s="4"/>
      <c r="Q129" s="4"/>
      <c r="R129" s="4"/>
      <c r="S129" s="4"/>
      <c r="T129" s="4"/>
      <c r="U129" s="4"/>
      <c r="V129" s="4"/>
      <c r="W129" s="3">
        <f t="shared" si="61"/>
        <v>0</v>
      </c>
      <c r="X129" s="3"/>
      <c r="Y129" s="4"/>
      <c r="Z129" s="3">
        <f t="shared" si="62"/>
        <v>0</v>
      </c>
      <c r="AA129" s="4"/>
      <c r="AB129" s="4"/>
      <c r="AC129" s="4"/>
      <c r="AD129" s="3">
        <f t="shared" si="63"/>
        <v>0</v>
      </c>
      <c r="AE129" s="3"/>
      <c r="AF129" s="3">
        <f t="shared" si="64"/>
        <v>0</v>
      </c>
      <c r="AG129" s="3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S129" s="4"/>
      <c r="AU129" s="4"/>
      <c r="AW129" s="4"/>
      <c r="AY129" s="4"/>
      <c r="BA129" s="4"/>
      <c r="BC129" s="4"/>
      <c r="BD129" s="3"/>
      <c r="BE129" s="4"/>
    </row>
    <row r="130" spans="1:57" hidden="1" outlineLevel="1" x14ac:dyDescent="0.25">
      <c r="A130" s="3" t="s">
        <v>929</v>
      </c>
      <c r="B130" s="3">
        <v>15000</v>
      </c>
      <c r="E130" s="3">
        <f t="shared" si="57"/>
        <v>15000</v>
      </c>
      <c r="F130" s="3">
        <v>15000</v>
      </c>
      <c r="H130" s="3">
        <f t="shared" si="58"/>
        <v>0</v>
      </c>
      <c r="J130" s="3">
        <v>0</v>
      </c>
      <c r="K130" s="4">
        <f t="shared" si="59"/>
        <v>15000</v>
      </c>
      <c r="L130" s="4">
        <v>15000</v>
      </c>
      <c r="N130" s="4">
        <f t="shared" si="60"/>
        <v>0</v>
      </c>
      <c r="P130" s="3">
        <v>20000</v>
      </c>
      <c r="S130" s="3">
        <f>T130-R130</f>
        <v>20000</v>
      </c>
      <c r="T130" s="3">
        <v>20000</v>
      </c>
      <c r="U130" s="3">
        <f>T130-P130</f>
        <v>0</v>
      </c>
      <c r="W130" s="3">
        <f t="shared" si="61"/>
        <v>20000</v>
      </c>
      <c r="Y130" s="3">
        <v>20000</v>
      </c>
      <c r="Z130" s="3">
        <f t="shared" si="62"/>
        <v>0</v>
      </c>
      <c r="AD130" s="3">
        <f t="shared" si="63"/>
        <v>10000</v>
      </c>
      <c r="AE130" s="3">
        <v>10000</v>
      </c>
      <c r="AF130" s="3">
        <f t="shared" si="64"/>
        <v>-10000</v>
      </c>
      <c r="AI130" s="3">
        <v>21000</v>
      </c>
      <c r="AK130" s="3">
        <v>22000</v>
      </c>
      <c r="AM130" s="3">
        <v>23000</v>
      </c>
      <c r="AO130" s="3">
        <v>24000</v>
      </c>
      <c r="AQ130" s="3">
        <v>25000</v>
      </c>
      <c r="AS130" s="3">
        <v>26000</v>
      </c>
      <c r="AU130" s="3">
        <v>27000</v>
      </c>
      <c r="AW130" s="3">
        <v>228000</v>
      </c>
      <c r="AY130" s="3">
        <v>228000</v>
      </c>
      <c r="BA130" s="3">
        <v>228000</v>
      </c>
      <c r="BC130" s="3">
        <v>228000</v>
      </c>
      <c r="BE130" s="3">
        <v>228000</v>
      </c>
    </row>
    <row r="131" spans="1:57" s="51" customFormat="1" hidden="1" outlineLevel="1" x14ac:dyDescent="0.25">
      <c r="A131" s="4" t="s">
        <v>930</v>
      </c>
      <c r="B131" s="4">
        <v>20000</v>
      </c>
      <c r="C131" s="4"/>
      <c r="D131" s="4"/>
      <c r="E131" s="3">
        <f t="shared" si="57"/>
        <v>20000</v>
      </c>
      <c r="F131" s="3">
        <v>20000</v>
      </c>
      <c r="G131" s="3"/>
      <c r="H131" s="3">
        <f t="shared" si="58"/>
        <v>0</v>
      </c>
      <c r="I131" s="3"/>
      <c r="J131" s="3">
        <v>0</v>
      </c>
      <c r="K131" s="4">
        <f t="shared" si="59"/>
        <v>20000</v>
      </c>
      <c r="L131" s="4">
        <v>20000</v>
      </c>
      <c r="M131" s="4"/>
      <c r="N131" s="4">
        <f t="shared" si="60"/>
        <v>0</v>
      </c>
      <c r="O131" s="4"/>
      <c r="P131" s="4">
        <v>50000</v>
      </c>
      <c r="Q131" s="4"/>
      <c r="R131" s="4"/>
      <c r="S131" s="3">
        <f>T131-R131</f>
        <v>50000</v>
      </c>
      <c r="T131" s="3">
        <v>50000</v>
      </c>
      <c r="U131" s="3">
        <f>T131-P131</f>
        <v>0</v>
      </c>
      <c r="V131" s="4"/>
      <c r="W131" s="3">
        <f t="shared" si="61"/>
        <v>50000</v>
      </c>
      <c r="X131" s="3"/>
      <c r="Y131" s="4">
        <v>50000</v>
      </c>
      <c r="Z131" s="3">
        <f t="shared" si="62"/>
        <v>0</v>
      </c>
      <c r="AA131" s="4"/>
      <c r="AB131" s="4"/>
      <c r="AC131" s="4">
        <v>0</v>
      </c>
      <c r="AD131" s="3">
        <f t="shared" si="63"/>
        <v>50000</v>
      </c>
      <c r="AE131" s="3">
        <v>50000</v>
      </c>
      <c r="AF131" s="3">
        <f t="shared" si="64"/>
        <v>0</v>
      </c>
      <c r="AG131" s="3"/>
      <c r="AH131" s="4"/>
      <c r="AI131" s="4">
        <v>200000</v>
      </c>
      <c r="AJ131" s="4"/>
      <c r="AK131" s="4">
        <v>300000</v>
      </c>
      <c r="AL131" s="4"/>
      <c r="AM131" s="4">
        <v>175000</v>
      </c>
      <c r="AN131" s="4"/>
      <c r="AO131" s="4">
        <v>300000</v>
      </c>
      <c r="AP131" s="4"/>
      <c r="AQ131" s="4"/>
      <c r="AS131" s="4">
        <v>400000</v>
      </c>
      <c r="AU131" s="4">
        <v>250000</v>
      </c>
      <c r="AW131" s="4">
        <v>250000</v>
      </c>
      <c r="AY131" s="4">
        <v>125000</v>
      </c>
      <c r="BA131" s="4">
        <v>125000</v>
      </c>
      <c r="BC131" s="4">
        <v>125000</v>
      </c>
      <c r="BE131" s="4">
        <v>125000</v>
      </c>
    </row>
    <row r="132" spans="1:57" s="51" customFormat="1" hidden="1" outlineLevel="1" x14ac:dyDescent="0.25">
      <c r="A132" s="4"/>
      <c r="B132" s="4"/>
      <c r="C132" s="4"/>
      <c r="D132" s="4"/>
      <c r="E132" s="3"/>
      <c r="F132" s="3"/>
      <c r="G132" s="3"/>
      <c r="H132" s="3"/>
      <c r="I132" s="3"/>
      <c r="J132" s="3"/>
      <c r="K132" s="4"/>
      <c r="L132" s="4"/>
      <c r="M132" s="4"/>
      <c r="N132" s="4"/>
      <c r="O132" s="4"/>
      <c r="P132" s="4"/>
      <c r="Q132" s="4"/>
      <c r="R132" s="4"/>
      <c r="S132" s="3"/>
      <c r="T132" s="3"/>
      <c r="U132" s="3"/>
      <c r="V132" s="4"/>
      <c r="W132" s="3"/>
      <c r="X132" s="3"/>
      <c r="Y132" s="4"/>
      <c r="Z132" s="3"/>
      <c r="AA132" s="4"/>
      <c r="AB132" s="4"/>
      <c r="AC132" s="4"/>
      <c r="AD132" s="3"/>
      <c r="AE132" s="3"/>
      <c r="AF132" s="3"/>
      <c r="AG132" s="3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S132" s="4"/>
      <c r="AU132" s="4"/>
      <c r="AW132" s="4"/>
      <c r="AY132" s="4"/>
      <c r="BA132" s="4"/>
      <c r="BC132" s="4"/>
      <c r="BE132" s="4"/>
    </row>
    <row r="133" spans="1:57" ht="15.75" collapsed="1" thickBot="1" x14ac:dyDescent="0.3">
      <c r="A133" s="266" t="s">
        <v>909</v>
      </c>
      <c r="B133" s="44">
        <f>SUM(B108:B131)</f>
        <v>81250</v>
      </c>
      <c r="C133" s="32"/>
      <c r="D133" s="44">
        <f>SUM(D108:D131)</f>
        <v>0</v>
      </c>
      <c r="E133" s="44">
        <f>SUM(E108:E131)</f>
        <v>81250</v>
      </c>
      <c r="F133" s="44">
        <f>SUM(F108:F131)</f>
        <v>81250</v>
      </c>
      <c r="G133" s="32"/>
      <c r="H133" s="44">
        <f>SUM(H108:H131)</f>
        <v>0</v>
      </c>
      <c r="I133" s="32"/>
      <c r="J133" s="44">
        <f>SUM(J108:J131)</f>
        <v>11691</v>
      </c>
      <c r="K133" s="44">
        <f>SUM(K108:K131)</f>
        <v>68309</v>
      </c>
      <c r="L133" s="44">
        <f>SUM(L108:L131)</f>
        <v>80000</v>
      </c>
      <c r="M133" s="32"/>
      <c r="N133" s="44">
        <f>SUM(N108:N131)</f>
        <v>-1250</v>
      </c>
      <c r="P133" s="44">
        <f>SUM(P108:P131)</f>
        <v>118000</v>
      </c>
      <c r="R133" s="44">
        <f t="shared" ref="R133:Z133" si="65">SUM(R108:R131)</f>
        <v>0</v>
      </c>
      <c r="S133" s="44">
        <f t="shared" si="65"/>
        <v>118000</v>
      </c>
      <c r="T133" s="44">
        <f t="shared" si="65"/>
        <v>118000</v>
      </c>
      <c r="U133" s="44">
        <f t="shared" si="65"/>
        <v>0</v>
      </c>
      <c r="V133" s="44">
        <f t="shared" si="65"/>
        <v>2690</v>
      </c>
      <c r="W133" s="44">
        <f t="shared" si="65"/>
        <v>115310</v>
      </c>
      <c r="X133" s="44"/>
      <c r="Y133" s="44">
        <f t="shared" si="65"/>
        <v>118000</v>
      </c>
      <c r="Z133" s="44">
        <f t="shared" si="65"/>
        <v>0</v>
      </c>
      <c r="AC133" s="44">
        <f>SUM(AC108:AC131)</f>
        <v>26051</v>
      </c>
      <c r="AD133" s="44">
        <f>SUM(AD108:AD131)</f>
        <v>83149</v>
      </c>
      <c r="AE133" s="44">
        <f>SUM(AE108:AE131)</f>
        <v>109200</v>
      </c>
      <c r="AF133" s="44">
        <f>SUM(AF108:AF131)</f>
        <v>-8800</v>
      </c>
      <c r="AG133" s="32"/>
      <c r="AI133" s="44">
        <f>SUM(AI108:AI132)</f>
        <v>221000</v>
      </c>
      <c r="AK133" s="44">
        <f>SUM(AK108:AK132)</f>
        <v>327000</v>
      </c>
      <c r="AM133" s="44">
        <f>SUM(AM108:AM132)</f>
        <v>423700</v>
      </c>
      <c r="AO133" s="44">
        <f>SUM(AO108:AO132)</f>
        <v>329000</v>
      </c>
      <c r="AP133" s="44"/>
      <c r="AQ133" s="44">
        <f>SUM(AQ108:AQ132)</f>
        <v>640200</v>
      </c>
      <c r="AS133" s="44">
        <f>SUM(AS108:AS132)</f>
        <v>426000</v>
      </c>
      <c r="AU133" s="44">
        <f>SUM(AU108:AU132)</f>
        <v>502700</v>
      </c>
      <c r="AW133" s="44">
        <f>SUM(AW108:AW132)</f>
        <v>478000</v>
      </c>
      <c r="AY133" s="44">
        <f>SUM(AY108:AY132)</f>
        <v>578700</v>
      </c>
      <c r="BA133" s="44">
        <f>SUM(BA108:BA132)</f>
        <v>578700</v>
      </c>
      <c r="BC133" s="44">
        <f>SUM(BC108:BC132)</f>
        <v>578700</v>
      </c>
      <c r="BE133" s="44">
        <f>SUM(BE108:BE132)</f>
        <v>578700</v>
      </c>
    </row>
    <row r="134" spans="1:57" ht="15.75" thickTop="1" x14ac:dyDescent="0.25">
      <c r="A134" s="3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32"/>
      <c r="N134" s="7"/>
      <c r="P134" s="7"/>
      <c r="R134" s="7"/>
      <c r="S134" s="7"/>
      <c r="T134" s="7"/>
      <c r="U134" s="7"/>
      <c r="V134" s="7"/>
      <c r="W134" s="7"/>
      <c r="X134" s="7"/>
      <c r="Y134" s="7"/>
      <c r="Z134" s="7"/>
      <c r="AI134" s="7"/>
      <c r="AK134" s="7"/>
      <c r="AM134" s="7"/>
      <c r="AO134" s="7"/>
      <c r="AP134" s="7"/>
      <c r="AQ134" s="7"/>
      <c r="AS134" s="7"/>
      <c r="AU134" s="7"/>
      <c r="AW134" s="7"/>
      <c r="AY134" s="7"/>
      <c r="BA134" s="7"/>
      <c r="BC134" s="7"/>
      <c r="BE134" s="7"/>
    </row>
    <row r="135" spans="1:57" s="254" customFormat="1" ht="15.75" thickBot="1" x14ac:dyDescent="0.3">
      <c r="A135" s="286" t="s">
        <v>1247</v>
      </c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32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44">
        <f>+AI105-AI133</f>
        <v>-93760.81859999994</v>
      </c>
      <c r="AJ135" s="3"/>
      <c r="AK135" s="44">
        <f>+AK105-AK133</f>
        <v>-151984.52918300009</v>
      </c>
      <c r="AL135" s="3"/>
      <c r="AM135" s="44">
        <f>+AM105-AM133</f>
        <v>-193592.19989630242</v>
      </c>
      <c r="AN135" s="3"/>
      <c r="AO135" s="44">
        <f>+AO105-AO133</f>
        <v>-49951.120467251982</v>
      </c>
      <c r="AP135" s="44"/>
      <c r="AQ135" s="44">
        <f>+AQ105-AQ133</f>
        <v>-295013.46571374475</v>
      </c>
      <c r="AR135" s="42"/>
      <c r="AS135" s="44">
        <f>+AS105-AS133</f>
        <v>-28618.499495934695</v>
      </c>
      <c r="AT135" s="42"/>
      <c r="AU135" s="44">
        <f>+AU105-AU133</f>
        <v>-92123.71544662572</v>
      </c>
      <c r="AV135" s="42"/>
      <c r="AW135" s="44">
        <f>+AW105-AW133</f>
        <v>-35794.895602648146</v>
      </c>
      <c r="AX135" s="42"/>
      <c r="AY135" s="44">
        <f>+AY105-AY133</f>
        <v>-100595.97982175369</v>
      </c>
      <c r="AZ135" s="42"/>
      <c r="BA135" s="44">
        <f>+BA105-BA133</f>
        <v>-62695.928519925103</v>
      </c>
      <c r="BC135" s="44">
        <f>+BC105-BC133</f>
        <v>-22688.468390588067</v>
      </c>
      <c r="BE135" s="44">
        <f>+BE105-BE133</f>
        <v>19538.17474982189</v>
      </c>
    </row>
    <row r="136" spans="1:57" ht="15.75" thickTop="1" x14ac:dyDescent="0.25">
      <c r="A136" s="3"/>
      <c r="BC136" s="3"/>
      <c r="BE136" s="3"/>
    </row>
    <row r="137" spans="1:57" x14ac:dyDescent="0.25">
      <c r="A137" s="3" t="s">
        <v>1244</v>
      </c>
      <c r="AI137" s="3">
        <f>+AI95</f>
        <v>145000</v>
      </c>
      <c r="AK137" s="3">
        <f>+AK95</f>
        <v>145000</v>
      </c>
      <c r="AM137" s="3">
        <f>+AM95</f>
        <v>145000</v>
      </c>
      <c r="AO137" s="3">
        <f>+AO95</f>
        <v>145000</v>
      </c>
      <c r="AQ137" s="3">
        <f>+AQ95</f>
        <v>145000</v>
      </c>
      <c r="AS137" s="3">
        <f>+AS95</f>
        <v>145000</v>
      </c>
      <c r="AU137" s="3">
        <f>+AU95</f>
        <v>145000</v>
      </c>
      <c r="AW137" s="3">
        <f>+AW95</f>
        <v>145000</v>
      </c>
      <c r="AY137" s="3">
        <f>+AY95</f>
        <v>145000</v>
      </c>
      <c r="BA137" s="3">
        <f>+BA95</f>
        <v>145000</v>
      </c>
      <c r="BC137" s="3">
        <f>+BC95</f>
        <v>145000</v>
      </c>
      <c r="BE137" s="3">
        <f>+BE95</f>
        <v>145000</v>
      </c>
    </row>
    <row r="138" spans="1:57" x14ac:dyDescent="0.25">
      <c r="A138" s="3"/>
      <c r="BC138" s="3"/>
      <c r="BE138" s="3"/>
    </row>
    <row r="139" spans="1:57" ht="15.75" thickBot="1" x14ac:dyDescent="0.3">
      <c r="A139" s="286" t="s">
        <v>1248</v>
      </c>
      <c r="AI139" s="44">
        <f>+AI135+AI137</f>
        <v>51239.18140000006</v>
      </c>
      <c r="AK139" s="44">
        <f>+AK135+AK137</f>
        <v>-6984.5291830000933</v>
      </c>
      <c r="AM139" s="44">
        <f>+AM135+AM137</f>
        <v>-48592.199896302423</v>
      </c>
      <c r="AO139" s="44">
        <f>+AO135+AO137</f>
        <v>95048.879532748018</v>
      </c>
      <c r="AQ139" s="44">
        <f>+AQ135+AQ137</f>
        <v>-150013.46571374475</v>
      </c>
      <c r="AS139" s="44">
        <f>+AS135+AS137</f>
        <v>116381.5005040653</v>
      </c>
      <c r="AU139" s="44">
        <f>+AU135+AU137</f>
        <v>52876.28455337428</v>
      </c>
      <c r="AW139" s="44">
        <f>+AW135+AW137</f>
        <v>109205.10439735185</v>
      </c>
      <c r="AY139" s="44">
        <f>+AY135+AY137</f>
        <v>44404.020178246312</v>
      </c>
      <c r="BA139" s="44">
        <f>+BA135+BA137</f>
        <v>82304.071480074897</v>
      </c>
      <c r="BC139" s="44">
        <f>+BC135+BC137</f>
        <v>122311.53160941193</v>
      </c>
      <c r="BE139" s="44">
        <f>+BE135+BE137</f>
        <v>164538.17474982189</v>
      </c>
    </row>
    <row r="140" spans="1:57" ht="15.75" thickTop="1" x14ac:dyDescent="0.25">
      <c r="A140" s="3"/>
      <c r="BC140" s="3"/>
      <c r="BE140" s="3"/>
    </row>
    <row r="141" spans="1:57" x14ac:dyDescent="0.25">
      <c r="A141" s="3"/>
    </row>
    <row r="142" spans="1:57" x14ac:dyDescent="0.25">
      <c r="A142" s="461" t="s">
        <v>1249</v>
      </c>
      <c r="B142" s="461"/>
      <c r="C142" s="461"/>
      <c r="D142" s="461"/>
      <c r="E142" s="461"/>
      <c r="F142" s="461"/>
      <c r="G142" s="461"/>
      <c r="H142" s="461"/>
      <c r="I142" s="461"/>
      <c r="J142" s="461"/>
      <c r="K142" s="461"/>
      <c r="L142" s="461"/>
      <c r="M142" s="461"/>
      <c r="N142" s="461"/>
      <c r="O142" s="461"/>
      <c r="P142" s="461"/>
      <c r="Q142" s="461"/>
      <c r="R142" s="461"/>
      <c r="S142" s="461"/>
      <c r="T142" s="461"/>
      <c r="U142" s="461"/>
      <c r="V142" s="461"/>
      <c r="W142" s="461"/>
      <c r="X142" s="461"/>
      <c r="Y142" s="461"/>
      <c r="Z142" s="461"/>
      <c r="AA142" s="461"/>
      <c r="AB142" s="461"/>
      <c r="AC142" s="461"/>
      <c r="AD142" s="461"/>
      <c r="AE142" s="461"/>
      <c r="AF142" s="461"/>
      <c r="AG142" s="461"/>
      <c r="AH142" s="461"/>
      <c r="AI142" s="461"/>
      <c r="AJ142" s="461"/>
      <c r="AK142" s="461"/>
      <c r="AL142" s="461"/>
      <c r="AM142" s="461"/>
      <c r="AN142" s="461"/>
      <c r="AO142" s="461"/>
      <c r="AP142" s="461"/>
      <c r="AQ142" s="461"/>
      <c r="AR142" s="461"/>
      <c r="AS142" s="461"/>
      <c r="AT142" s="461"/>
      <c r="AU142" s="461"/>
      <c r="AV142" s="461"/>
      <c r="AW142" s="461"/>
      <c r="AX142" s="461"/>
      <c r="AY142" s="461"/>
      <c r="AZ142" s="461"/>
      <c r="BA142" s="461"/>
      <c r="BB142" s="461"/>
      <c r="BC142" s="461"/>
      <c r="BD142" s="461"/>
      <c r="BE142" s="461"/>
    </row>
    <row r="143" spans="1:57" x14ac:dyDescent="0.25"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R143" s="3"/>
      <c r="AT143" s="3"/>
      <c r="AV143" s="3"/>
      <c r="AX143" s="3"/>
    </row>
    <row r="144" spans="1:57" x14ac:dyDescent="0.25">
      <c r="A144" s="274" t="s">
        <v>1179</v>
      </c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G144" s="32"/>
      <c r="AR144" s="3"/>
      <c r="AT144" s="3"/>
      <c r="AV144" s="3"/>
      <c r="AX144" s="3"/>
    </row>
    <row r="145" spans="1:57" x14ac:dyDescent="0.25">
      <c r="A145" s="275" t="s">
        <v>1180</v>
      </c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G145" s="4"/>
      <c r="AR145" s="3"/>
      <c r="AT145" s="3"/>
      <c r="AV145" s="3"/>
      <c r="AX145" s="3"/>
    </row>
    <row r="146" spans="1:57" x14ac:dyDescent="0.25">
      <c r="A146" s="276" t="s">
        <v>1181</v>
      </c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G146" s="4"/>
      <c r="AI146" s="3">
        <f>+AI39</f>
        <v>608000</v>
      </c>
      <c r="AK146" s="3">
        <f>+AK39</f>
        <v>668800</v>
      </c>
      <c r="AM146" s="3">
        <f>+AM39</f>
        <v>735680.00000000012</v>
      </c>
      <c r="AO146" s="3">
        <f>+AO39</f>
        <v>809248.00000000023</v>
      </c>
      <c r="AQ146" s="3">
        <f>+AQ39</f>
        <v>869941.60000000021</v>
      </c>
      <c r="AR146" s="3"/>
      <c r="AS146" s="3">
        <f>+AS39</f>
        <v>935187.2200000002</v>
      </c>
      <c r="AT146" s="3"/>
      <c r="AU146" s="3">
        <f>+AU39</f>
        <v>981946.58100000024</v>
      </c>
      <c r="AV146" s="3"/>
      <c r="AW146" s="3">
        <f>+AW39</f>
        <v>1031043.9100500003</v>
      </c>
      <c r="AX146" s="3"/>
      <c r="AY146" s="3">
        <f>+AY39</f>
        <v>1082596.1055525003</v>
      </c>
      <c r="BA146" s="3">
        <f>+BA39</f>
        <v>1136725.9108301254</v>
      </c>
      <c r="BC146" s="3">
        <f>+BC39</f>
        <v>1193562.2063716317</v>
      </c>
      <c r="BE146" s="3">
        <f>+BE39</f>
        <v>1253240.3166902133</v>
      </c>
    </row>
    <row r="147" spans="1:57" x14ac:dyDescent="0.25">
      <c r="A147" s="276" t="s">
        <v>1217</v>
      </c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G147" s="4"/>
      <c r="AR147" s="3"/>
      <c r="AT147" s="3"/>
      <c r="AV147" s="3"/>
      <c r="AX147" s="3"/>
      <c r="BC147" s="3"/>
      <c r="BE147" s="3"/>
    </row>
    <row r="148" spans="1:57" x14ac:dyDescent="0.25">
      <c r="A148" s="276" t="s">
        <v>1218</v>
      </c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G148" s="4"/>
      <c r="AI148" s="3">
        <f>+AI40</f>
        <v>8000</v>
      </c>
      <c r="AK148" s="3">
        <f>+AK40</f>
        <v>9000</v>
      </c>
      <c r="AM148" s="3">
        <f>+AM40</f>
        <v>11000</v>
      </c>
      <c r="AO148" s="3">
        <f>+AO40</f>
        <v>12000</v>
      </c>
      <c r="AQ148" s="3">
        <f>+AQ40</f>
        <v>13000</v>
      </c>
      <c r="AR148" s="3"/>
      <c r="AS148" s="3">
        <f>+AS40</f>
        <v>14000</v>
      </c>
      <c r="AT148" s="3"/>
      <c r="AU148" s="3">
        <f>+AU40</f>
        <v>15000</v>
      </c>
      <c r="AV148" s="3"/>
      <c r="AW148" s="3">
        <f>+AW40</f>
        <v>16000</v>
      </c>
      <c r="AX148" s="3"/>
      <c r="AY148" s="3">
        <f>+AY40</f>
        <v>16000</v>
      </c>
      <c r="BA148" s="3">
        <f>+BA40</f>
        <v>16000</v>
      </c>
      <c r="BC148" s="3">
        <f>+BC40</f>
        <v>16000</v>
      </c>
      <c r="BE148" s="3">
        <f>+BE40</f>
        <v>16000</v>
      </c>
    </row>
    <row r="149" spans="1:57" x14ac:dyDescent="0.25">
      <c r="A149" s="276" t="s">
        <v>1182</v>
      </c>
      <c r="AG149" s="4"/>
      <c r="AI149" s="3">
        <f>+AI45+AI51+AI52</f>
        <v>7940</v>
      </c>
      <c r="AK149" s="3">
        <f>+AK45+AK51+AK52</f>
        <v>7940</v>
      </c>
      <c r="AM149" s="3">
        <f>+AM45+AM51+AM52</f>
        <v>7940</v>
      </c>
      <c r="AO149" s="3">
        <f>+AO45+AO51+AO52</f>
        <v>13480</v>
      </c>
      <c r="AQ149" s="3">
        <f>+AQ45+AQ51+AQ52</f>
        <v>13480</v>
      </c>
      <c r="AR149" s="3"/>
      <c r="AS149" s="3">
        <f>+AS45+AS51+AS52</f>
        <v>13480</v>
      </c>
      <c r="AT149" s="3"/>
      <c r="AU149" s="3">
        <f>+AU45+AU51+AU52</f>
        <v>13480</v>
      </c>
      <c r="AV149" s="3"/>
      <c r="AW149" s="3">
        <f>+AW45+AW51+AW52</f>
        <v>10110</v>
      </c>
      <c r="AX149" s="3"/>
      <c r="AY149" s="3">
        <f>+AY45+AY51+AY52</f>
        <v>10110</v>
      </c>
      <c r="BA149" s="3">
        <f>+BA45+BA51+BA52</f>
        <v>10110</v>
      </c>
      <c r="BC149" s="3">
        <f>+BC45+BC51+BC52</f>
        <v>10110</v>
      </c>
      <c r="BE149" s="3">
        <f>+BE45+BE51+BE52</f>
        <v>10110</v>
      </c>
    </row>
    <row r="150" spans="1:57" x14ac:dyDescent="0.25">
      <c r="A150" s="276" t="s">
        <v>1183</v>
      </c>
      <c r="AG150" s="4"/>
      <c r="AI150" s="3">
        <f>+AI41+AI42+AI43+AI44+AI46+AI47+AI48</f>
        <v>15049.249999999998</v>
      </c>
      <c r="AK150" s="3">
        <f>+AK41+AK42+AK43+AK44+AK46+AK47+AK48</f>
        <v>15430.978749999998</v>
      </c>
      <c r="AM150" s="3">
        <f>+AM41+AM42+AM43+AM44+AM46+AM47+AM48</f>
        <v>15822.415643749997</v>
      </c>
      <c r="AO150" s="3">
        <f>+AO41+AO42+AO43+AO44+AO46+AO47+AO48</f>
        <v>16223.808332593746</v>
      </c>
      <c r="AQ150" s="3">
        <f>+AQ41+AQ42+AQ43+AQ44+AQ46+AQ47+AQ48</f>
        <v>16635.410807591088</v>
      </c>
      <c r="AR150" s="3"/>
      <c r="AS150" s="3">
        <f>+AS41+AS42+AS43+AS44+AS46+AS47+AS48</f>
        <v>17057.48356246384</v>
      </c>
      <c r="AT150" s="3"/>
      <c r="AU150" s="3">
        <f>+AU41+AU42+AU43+AU44+AU46+AU47+AU48</f>
        <v>17490.2937607489</v>
      </c>
      <c r="AV150" s="3"/>
      <c r="AW150" s="3">
        <f>+AW41+AW42+AW43+AW44+AW46+AW47+AW48</f>
        <v>17934.115407267789</v>
      </c>
      <c r="AX150" s="3"/>
      <c r="AY150" s="3">
        <f>+AY41+AY42+AY43+AY44+AY46+AY47+AY48</f>
        <v>18389.229524024657</v>
      </c>
      <c r="BA150" s="3">
        <f>+BA41+BA42+BA43+BA44+BA46+BA47+BA48</f>
        <v>18855.9243306477</v>
      </c>
      <c r="BC150" s="3">
        <f>+BC41+BC42+BC43+BC44+BC46+BC47+BC48</f>
        <v>19334.495429491992</v>
      </c>
      <c r="BE150" s="3">
        <f>+BE41+BE42+BE43+BE44+BE46+BE47+BE48</f>
        <v>19825.245995524732</v>
      </c>
    </row>
    <row r="151" spans="1:57" x14ac:dyDescent="0.25">
      <c r="A151" s="277" t="s">
        <v>1184</v>
      </c>
      <c r="AG151" s="4"/>
      <c r="BC151" s="3"/>
      <c r="BE151" s="3"/>
    </row>
    <row r="152" spans="1:57" x14ac:dyDescent="0.25">
      <c r="A152" s="276" t="s">
        <v>1219</v>
      </c>
      <c r="AG152" s="4"/>
      <c r="AI152" s="3">
        <f>-((AI73/9.25)*100)-AI73</f>
        <v>-103347.54729729731</v>
      </c>
      <c r="AK152" s="3">
        <f>-((AK73/9.25)*100)-AK73</f>
        <v>-106189.60484797299</v>
      </c>
      <c r="AM152" s="3">
        <f>-((AM73/9.25)*100)-AM73</f>
        <v>-109109.81898129224</v>
      </c>
      <c r="AO152" s="3">
        <f>-((AO73/9.25)*100)-AO73</f>
        <v>-112110.3390032778</v>
      </c>
      <c r="AQ152" s="3">
        <f>-((AQ73/9.25)*100)-AQ73</f>
        <v>-115193.37332586793</v>
      </c>
      <c r="AS152" s="3">
        <f>-((AS73/9.25)*100)-AS73</f>
        <v>-118361.19109232932</v>
      </c>
      <c r="AU152" s="3">
        <f>-((AU73/9.25)*100)-AU73</f>
        <v>-121616.12384736836</v>
      </c>
      <c r="AW152" s="3">
        <f>-((AW73/9.25)*100)-AW73</f>
        <v>-124960.56725317102</v>
      </c>
      <c r="AY152" s="3">
        <f>-((AY73/9.25)*100)-AY73</f>
        <v>-128396.98285263321</v>
      </c>
      <c r="BA152" s="3">
        <f>-((BA73/9.25)*100)-BA73</f>
        <v>-131927.89988108064</v>
      </c>
      <c r="BC152" s="3">
        <f>-((BC73/9.25)*100)-BC73</f>
        <v>-135555.91712781036</v>
      </c>
      <c r="BE152" s="3">
        <f>-((BE73/9.25)*100)-BE73</f>
        <v>-139283.70484882515</v>
      </c>
    </row>
    <row r="153" spans="1:57" x14ac:dyDescent="0.25">
      <c r="A153" s="279" t="s">
        <v>1220</v>
      </c>
      <c r="AG153" s="4"/>
      <c r="AI153" s="3">
        <f>-(AI88+AI93+AI152)-AI73</f>
        <v>-195953.02130270263</v>
      </c>
      <c r="AK153" s="3">
        <f>-(AK88+AK93+AK152)-AK73</f>
        <v>-204269.928085027</v>
      </c>
      <c r="AM153" s="3">
        <f>-(AM88+AM93+AM152)-AM73</f>
        <v>-212115.87280876029</v>
      </c>
      <c r="AO153" s="3">
        <f>-(AO88+AO93+AO152)-AO73</f>
        <v>-219188.02085906814</v>
      </c>
      <c r="AQ153" s="3">
        <f>-(AQ88+AQ93+AQ152)-AQ73</f>
        <v>-226502.2921010931</v>
      </c>
      <c r="AS153" s="3">
        <f>-(AS88+AS93+AS152)-AS73</f>
        <v>-234067.29769567557</v>
      </c>
      <c r="AU153" s="3">
        <f>-(AU88+AU93+AU152)-AU73</f>
        <v>-241891.97037615412</v>
      </c>
      <c r="AW153" s="3">
        <f>-(AW88+AW93+AW152)-AW73</f>
        <v>-249985.5771437627</v>
      </c>
      <c r="AY153" s="3">
        <f>-(AY88+AY93+AY152)-AY73</f>
        <v>-258357.73249317889</v>
      </c>
      <c r="BA153" s="3">
        <f>-(BA88+BA93+BA152)-BA73</f>
        <v>-267018.41219150211</v>
      </c>
      <c r="BC153" s="3">
        <f>-(BC88+BC93+BC152)-BC73</f>
        <v>-275977.96763501398</v>
      </c>
      <c r="BE153" s="3">
        <f>-(BE88+BE93+BE152)-BE73</f>
        <v>-285247.14080918219</v>
      </c>
    </row>
    <row r="154" spans="1:57" x14ac:dyDescent="0.25">
      <c r="A154" s="279" t="s">
        <v>1221</v>
      </c>
      <c r="AG154" s="4"/>
      <c r="BC154" s="3"/>
      <c r="BE154" s="3"/>
    </row>
    <row r="155" spans="1:57" x14ac:dyDescent="0.25">
      <c r="A155" s="278" t="s">
        <v>1222</v>
      </c>
      <c r="AG155" s="4"/>
      <c r="BC155" s="3"/>
      <c r="BE155" s="3"/>
    </row>
    <row r="156" spans="1:57" x14ac:dyDescent="0.25">
      <c r="A156" s="278" t="s">
        <v>1223</v>
      </c>
      <c r="AG156" s="4"/>
      <c r="AI156" s="3">
        <f>-(AI68+AI69+AI70+AI71+AI72+AI74+AI75+AI76+AI102)</f>
        <v>-67449.5</v>
      </c>
      <c r="AK156" s="3">
        <f>-(AK68+AK69+AK70+AK71+AK72+AK74+AK75+AK76+AK102)</f>
        <v>-70696.975000000006</v>
      </c>
      <c r="AM156" s="3">
        <f>-(AM68+AM69+AM70+AM71+AM72+AM74+AM75+AM76+AM102)</f>
        <v>-74109.923750000002</v>
      </c>
      <c r="AO156" s="3">
        <f>-(AO68+AO69+AO70+AO71+AO72+AO74+AO75+AO76+AO102)</f>
        <v>-95605.568937500007</v>
      </c>
      <c r="AQ156" s="3">
        <f>-(AQ68+AQ69+AQ70+AQ71+AQ72+AQ74+AQ75+AQ76+AQ102)</f>
        <v>-81175.811094375022</v>
      </c>
      <c r="AS156" s="3">
        <f>-(AS68+AS69+AS70+AS71+AS72+AS74+AS75+AS76+AS102)</f>
        <v>-84915.714270393772</v>
      </c>
      <c r="AU156" s="3">
        <f>-(AU68+AU69+AU70+AU71+AU72+AU74+AU75+AU76+AU102)</f>
        <v>-108833.49598385247</v>
      </c>
      <c r="AW156" s="3">
        <f>-(AW68+AW69+AW70+AW71+AW72+AW74+AW75+AW76+AW102)</f>
        <v>-112937.77666298227</v>
      </c>
      <c r="AY156" s="3">
        <f>-(AY68+AY69+AY70+AY71+AY72+AY74+AY75+AY76+AY102)</f>
        <v>-117237.59955246667</v>
      </c>
      <c r="BA156" s="3">
        <f>-(BA68+BA69+BA70+BA71+BA72+BA74+BA75+BA76+BA102)</f>
        <v>-121742.45160811534</v>
      </c>
      <c r="BC156" s="3">
        <f>-(BC68+BC69+BC70+BC71+BC72+BC74+BC75+BC76+BC102)</f>
        <v>-126462.28542888723</v>
      </c>
      <c r="BE156" s="3">
        <f>-(BE68+BE69+BE70+BE71+BE72+BE74+BE75+BE76+BE102)</f>
        <v>-131407.54227790868</v>
      </c>
    </row>
    <row r="157" spans="1:57" x14ac:dyDescent="0.25">
      <c r="A157" s="279"/>
      <c r="AG157" s="4"/>
      <c r="BC157" s="3"/>
      <c r="BE157" s="3"/>
    </row>
    <row r="158" spans="1:57" x14ac:dyDescent="0.25">
      <c r="A158" s="274" t="s">
        <v>1179</v>
      </c>
      <c r="AG158" s="4"/>
      <c r="AI158" s="4">
        <f>SUM(AI146:AI157)</f>
        <v>272239.18140000012</v>
      </c>
      <c r="AK158" s="4">
        <f>SUM(AK146:AK157)</f>
        <v>320014.47081700002</v>
      </c>
      <c r="AM158" s="4">
        <f>SUM(AM146:AM157)</f>
        <v>375106.80010369763</v>
      </c>
      <c r="AO158" s="4">
        <f>SUM(AO146:AO157)</f>
        <v>424047.87953274802</v>
      </c>
      <c r="AQ158" s="4">
        <f>SUM(AQ146:AQ157)</f>
        <v>490185.53428625519</v>
      </c>
      <c r="AS158" s="4">
        <f>SUM(AS146:AS157)</f>
        <v>542380.5005040653</v>
      </c>
      <c r="AU158" s="4">
        <f>SUM(AU146:AU157)</f>
        <v>555575.28455337428</v>
      </c>
      <c r="AW158" s="4">
        <f>SUM(AW146:AW157)</f>
        <v>587204.10439735209</v>
      </c>
      <c r="AY158" s="4">
        <f>SUM(AY146:AY157)</f>
        <v>623103.02017824631</v>
      </c>
      <c r="BA158" s="4">
        <f>SUM(BA146:BA157)</f>
        <v>661003.07148007513</v>
      </c>
      <c r="BC158" s="4">
        <f>SUM(BC146:BC157)</f>
        <v>701010.53160941217</v>
      </c>
      <c r="BE158" s="4">
        <f>SUM(BE146:BE157)</f>
        <v>743237.17474982201</v>
      </c>
    </row>
    <row r="159" spans="1:57" x14ac:dyDescent="0.25">
      <c r="A159" s="280"/>
      <c r="AG159" s="4"/>
      <c r="BC159" s="3"/>
      <c r="BE159" s="3"/>
    </row>
    <row r="160" spans="1:57" x14ac:dyDescent="0.25">
      <c r="A160" s="274" t="s">
        <v>1185</v>
      </c>
      <c r="AG160" s="4"/>
      <c r="BC160" s="3"/>
      <c r="BE160" s="3"/>
    </row>
    <row r="161" spans="1:57" x14ac:dyDescent="0.25">
      <c r="A161" s="280" t="s">
        <v>1180</v>
      </c>
      <c r="AG161" s="4"/>
      <c r="BC161" s="3"/>
      <c r="BE161" s="3"/>
    </row>
    <row r="162" spans="1:57" x14ac:dyDescent="0.25">
      <c r="A162" s="276" t="s">
        <v>1186</v>
      </c>
      <c r="AG162" s="4"/>
      <c r="BC162" s="3"/>
      <c r="BE162" s="3"/>
    </row>
    <row r="163" spans="1:57" x14ac:dyDescent="0.25">
      <c r="A163" s="276" t="s">
        <v>1224</v>
      </c>
      <c r="AG163" s="4"/>
      <c r="BC163" s="3"/>
      <c r="BE163" s="3"/>
    </row>
    <row r="164" spans="1:57" x14ac:dyDescent="0.25">
      <c r="A164" s="276" t="s">
        <v>1187</v>
      </c>
      <c r="AG164" s="4"/>
      <c r="BC164" s="3"/>
      <c r="BE164" s="3"/>
    </row>
    <row r="165" spans="1:57" x14ac:dyDescent="0.25">
      <c r="A165" s="276" t="s">
        <v>1225</v>
      </c>
      <c r="AG165" s="4"/>
      <c r="BC165" s="3"/>
      <c r="BE165" s="3"/>
    </row>
    <row r="166" spans="1:57" x14ac:dyDescent="0.25">
      <c r="A166" s="281" t="s">
        <v>1184</v>
      </c>
      <c r="AG166" s="4"/>
      <c r="BC166" s="3"/>
      <c r="BE166" s="3"/>
    </row>
    <row r="167" spans="1:57" x14ac:dyDescent="0.25">
      <c r="A167" s="281" t="s">
        <v>1226</v>
      </c>
      <c r="AG167" s="4"/>
      <c r="BC167" s="3"/>
      <c r="BE167" s="3"/>
    </row>
    <row r="168" spans="1:57" x14ac:dyDescent="0.25">
      <c r="A168" s="276" t="s">
        <v>1227</v>
      </c>
      <c r="AG168" s="4"/>
      <c r="AI168" s="3">
        <f>-(AI109+AI110+AI111+AI112+AI113+AI114+AI115+AI116+AI117+AI118+AI119+AI120+AI121+AI122+AI123+AI124+AI125+AI126+AI127+AI129+AI130)</f>
        <v>-21000</v>
      </c>
      <c r="AK168" s="3">
        <f>-(AK109+AK110+AK111+AK112+AK113+AK114+AK115+AK116+AK117+AK118+AK119+AK120+AK121+AK122+AK123+AK124+AK125+AK126+AK127+AK129+AK130)</f>
        <v>-27000</v>
      </c>
      <c r="AM168" s="3">
        <f>-(AM109+AM110+AM111+AM112+AM113+AM114+AM115+AM116+AM117+AM118+AM119+AM120+AM121+AM122+AM123+AM124+AM125+AM126+AM127+AM129+AM130)</f>
        <v>-248700</v>
      </c>
      <c r="AO168" s="3">
        <f>-(AO109+AO110+AO111+AO112+AO113+AO114+AO115+AO116+AO117+AO118+AO119+AO120+AO121+AO122+AO123+AO124+AO125+AO126+AO127+AO129+AO130)</f>
        <v>-29000</v>
      </c>
      <c r="AQ168" s="3">
        <f>-(AQ109+AQ110+AQ111+AQ112+AQ113+AQ114+AQ115+AQ116+AQ117+AQ118+AQ119+AQ120+AQ121+AQ122+AQ123+AQ124+AQ125+AQ126+AQ127+AQ129+AQ130)</f>
        <v>-640200</v>
      </c>
      <c r="AS168" s="3">
        <f>-(AS109+AS110+AS111+AS112+AS113+AS114+AS115+AS116+AS117+AS118+AS119+AS120+AS121+AS122+AS123+AS124+AS125+AS126+AS127+AS129+AS130)</f>
        <v>-26000</v>
      </c>
      <c r="AU168" s="3">
        <f>-(AU109+AU110+AU111+AU112+AU113+AU114+AU115+AU116+AU117+AU118+AU119+AU120+AU121+AU122+AU123+AU124+AU125+AU126+AU127+AU129+AU130)</f>
        <v>-252700</v>
      </c>
      <c r="AW168" s="3">
        <f>-(AW109+AW110+AW111+AW112+AW113+AW114+AW115+AW116+AW117+AW118+AW119+AW120+AW121+AW122+AW123+AW124+AW125+AW126+AW127+AW129+AW130)</f>
        <v>-228000</v>
      </c>
      <c r="AY168" s="3">
        <f>-(AY109+AY110+AY111+AY112+AY113+AY114+AY115+AY116+AY117+AY118+AY119+AY120+AY121+AY122+AY123+AY124+AY125+AY126+AY127+AY129+AY130)</f>
        <v>-453700</v>
      </c>
      <c r="BA168" s="3">
        <f>-(BA109+BA110+BA111+BA112+BA113+BA114+BA115+BA116+BA117+BA118+BA119+BA120+BA121+BA122+BA123+BA124+BA125+BA126+BA127+BA129+BA130)</f>
        <v>-453700</v>
      </c>
      <c r="BC168" s="3">
        <f>-(BC109+BC110+BC111+BC112+BC113+BC114+BC115+BC116+BC117+BC118+BC119+BC120+BC121+BC122+BC123+BC124+BC125+BC126+BC127+BC129+BC130)</f>
        <v>-453700</v>
      </c>
      <c r="BE168" s="3">
        <f>-(BE109+BE110+BE111+BE112+BE113+BE114+BE115+BE116+BE117+BE118+BE119+BE120+BE121+BE122+BE123+BE124+BE125+BE126+BE127+BE129+BE130)</f>
        <v>-453700</v>
      </c>
    </row>
    <row r="169" spans="1:57" x14ac:dyDescent="0.25">
      <c r="A169" s="276" t="s">
        <v>1228</v>
      </c>
      <c r="AG169" s="4"/>
      <c r="BC169" s="3"/>
      <c r="BE169" s="3"/>
    </row>
    <row r="170" spans="1:57" x14ac:dyDescent="0.25">
      <c r="A170" s="276"/>
      <c r="AG170" s="4"/>
      <c r="BC170" s="3"/>
      <c r="BE170" s="3"/>
    </row>
    <row r="171" spans="1:57" x14ac:dyDescent="0.25">
      <c r="A171" s="274" t="s">
        <v>1185</v>
      </c>
      <c r="AG171" s="4"/>
      <c r="AI171" s="4">
        <f>SUM(AI163:AI170)</f>
        <v>-21000</v>
      </c>
      <c r="AK171" s="4">
        <f>SUM(AK163:AK170)</f>
        <v>-27000</v>
      </c>
      <c r="AM171" s="4">
        <f>SUM(AM163:AM170)</f>
        <v>-248700</v>
      </c>
      <c r="AO171" s="4">
        <f>SUM(AO163:AO170)</f>
        <v>-29000</v>
      </c>
      <c r="AQ171" s="4">
        <f>SUM(AQ163:AQ170)</f>
        <v>-640200</v>
      </c>
      <c r="AS171" s="4">
        <f>SUM(AS163:AS170)</f>
        <v>-26000</v>
      </c>
      <c r="AU171" s="4">
        <f>SUM(AU163:AU170)</f>
        <v>-252700</v>
      </c>
      <c r="AW171" s="4">
        <f>SUM(AW163:AW170)</f>
        <v>-228000</v>
      </c>
      <c r="AY171" s="4">
        <f>SUM(AY163:AY170)</f>
        <v>-453700</v>
      </c>
      <c r="BA171" s="4">
        <f>SUM(BA163:BA170)</f>
        <v>-453700</v>
      </c>
      <c r="BC171" s="4">
        <f>SUM(BC163:BC170)</f>
        <v>-453700</v>
      </c>
      <c r="BE171" s="4">
        <f>SUM(BE163:BE170)</f>
        <v>-453700</v>
      </c>
    </row>
    <row r="172" spans="1:57" x14ac:dyDescent="0.25">
      <c r="A172" s="280"/>
      <c r="AG172" s="4"/>
      <c r="AI172" s="4"/>
      <c r="AK172" s="4"/>
      <c r="AM172" s="4"/>
      <c r="AO172" s="4"/>
      <c r="AQ172" s="4"/>
      <c r="AS172" s="4"/>
      <c r="AU172" s="4"/>
      <c r="AW172" s="4"/>
      <c r="AY172" s="4"/>
      <c r="BA172" s="4"/>
      <c r="BC172" s="4"/>
      <c r="BE172" s="4"/>
    </row>
    <row r="173" spans="1:57" x14ac:dyDescent="0.25">
      <c r="A173" s="282" t="s">
        <v>1188</v>
      </c>
      <c r="AG173" s="4"/>
      <c r="AI173" s="4"/>
      <c r="AK173" s="4"/>
      <c r="AM173" s="4"/>
      <c r="AO173" s="4"/>
      <c r="AQ173" s="4"/>
      <c r="AS173" s="4"/>
      <c r="AU173" s="4"/>
      <c r="AW173" s="4"/>
      <c r="AY173" s="4"/>
      <c r="BA173" s="4"/>
      <c r="BC173" s="4"/>
      <c r="BE173" s="4"/>
    </row>
    <row r="174" spans="1:57" x14ac:dyDescent="0.25">
      <c r="A174" s="277" t="s">
        <v>1180</v>
      </c>
      <c r="AG174" s="4"/>
      <c r="AI174" s="4"/>
      <c r="AK174" s="4"/>
      <c r="AM174" s="4"/>
      <c r="AO174" s="4"/>
      <c r="AQ174" s="4"/>
      <c r="AS174" s="4"/>
      <c r="AU174" s="4"/>
      <c r="AW174" s="4"/>
      <c r="AY174" s="4"/>
      <c r="BA174" s="4"/>
      <c r="BC174" s="4"/>
      <c r="BE174" s="4"/>
    </row>
    <row r="175" spans="1:57" x14ac:dyDescent="0.25">
      <c r="A175" s="276" t="s">
        <v>1189</v>
      </c>
      <c r="AG175" s="4"/>
      <c r="AI175" s="4"/>
      <c r="AK175" s="4"/>
      <c r="AM175" s="4"/>
      <c r="AO175" s="4"/>
      <c r="AQ175" s="4"/>
      <c r="AS175" s="4"/>
      <c r="AU175" s="4"/>
      <c r="AW175" s="4"/>
      <c r="AY175" s="4"/>
      <c r="BA175" s="4"/>
      <c r="BC175" s="4"/>
      <c r="BE175" s="4"/>
    </row>
    <row r="176" spans="1:57" x14ac:dyDescent="0.25">
      <c r="A176" s="277" t="s">
        <v>1184</v>
      </c>
      <c r="AG176" s="4"/>
      <c r="AI176" s="4"/>
      <c r="AK176" s="4"/>
      <c r="AM176" s="4"/>
      <c r="AO176" s="4"/>
      <c r="AQ176" s="4"/>
      <c r="AS176" s="4"/>
      <c r="AU176" s="4"/>
      <c r="AW176" s="4"/>
      <c r="AY176" s="4"/>
      <c r="BA176" s="4"/>
      <c r="BC176" s="4"/>
      <c r="BE176" s="4"/>
    </row>
    <row r="177" spans="1:57" x14ac:dyDescent="0.25">
      <c r="A177" s="276" t="s">
        <v>1190</v>
      </c>
      <c r="AG177" s="4"/>
      <c r="AI177" s="4">
        <f>+AI108/1000</f>
        <v>0</v>
      </c>
      <c r="AK177" s="4">
        <f>+AK108/1000</f>
        <v>0</v>
      </c>
      <c r="AM177" s="4">
        <f>+AM108/1000</f>
        <v>0</v>
      </c>
      <c r="AO177" s="4">
        <f>+AO108/1000</f>
        <v>0</v>
      </c>
      <c r="AQ177" s="4">
        <f>+AQ108/1000</f>
        <v>0</v>
      </c>
      <c r="AS177" s="4">
        <f>+AS108/1000</f>
        <v>0</v>
      </c>
      <c r="AU177" s="4">
        <f>+AU108/1000</f>
        <v>0</v>
      </c>
      <c r="AW177" s="4">
        <f>+AW108/1000</f>
        <v>0</v>
      </c>
      <c r="AY177" s="4">
        <f>+AY108/1000</f>
        <v>0</v>
      </c>
      <c r="BA177" s="4">
        <f>+BA108/1000</f>
        <v>0</v>
      </c>
      <c r="BC177" s="4">
        <f>+BC108/1000</f>
        <v>0</v>
      </c>
      <c r="BE177" s="4">
        <f>+BE108/1000</f>
        <v>0</v>
      </c>
    </row>
    <row r="178" spans="1:57" x14ac:dyDescent="0.25">
      <c r="A178" s="282" t="s">
        <v>1188</v>
      </c>
      <c r="AG178" s="4"/>
      <c r="AI178" s="4">
        <f>SUM(AI175:AI177)</f>
        <v>0</v>
      </c>
      <c r="AK178" s="4">
        <f>SUM(AK175:AK177)</f>
        <v>0</v>
      </c>
      <c r="AM178" s="4">
        <f>SUM(AM175:AM177)</f>
        <v>0</v>
      </c>
      <c r="AO178" s="4">
        <f>SUM(AO175:AO177)</f>
        <v>0</v>
      </c>
      <c r="AQ178" s="4">
        <f>SUM(AQ175:AQ177)</f>
        <v>0</v>
      </c>
      <c r="AS178" s="4">
        <f>SUM(AS175:AS177)</f>
        <v>0</v>
      </c>
      <c r="AU178" s="4">
        <f>SUM(AU175:AU177)</f>
        <v>0</v>
      </c>
      <c r="AW178" s="4">
        <f>SUM(AW175:AW177)</f>
        <v>0</v>
      </c>
      <c r="AY178" s="4">
        <f>SUM(AY175:AY177)</f>
        <v>0</v>
      </c>
      <c r="BA178" s="4">
        <f>SUM(BA175:BA177)</f>
        <v>0</v>
      </c>
      <c r="BC178" s="4">
        <f>SUM(BC175:BC177)</f>
        <v>0</v>
      </c>
      <c r="BE178" s="4">
        <f>SUM(BE175:BE177)</f>
        <v>0</v>
      </c>
    </row>
    <row r="179" spans="1:57" x14ac:dyDescent="0.25">
      <c r="A179" s="280"/>
      <c r="AG179" s="4"/>
      <c r="AI179" s="4"/>
      <c r="AK179" s="4"/>
      <c r="AM179" s="4"/>
      <c r="AO179" s="4"/>
      <c r="AQ179" s="4"/>
      <c r="AS179" s="4"/>
      <c r="AU179" s="4"/>
      <c r="AW179" s="4"/>
      <c r="AY179" s="4"/>
      <c r="BA179" s="4"/>
      <c r="BC179" s="4"/>
      <c r="BE179" s="4"/>
    </row>
    <row r="180" spans="1:57" x14ac:dyDescent="0.25">
      <c r="A180" s="282" t="s">
        <v>1191</v>
      </c>
      <c r="AG180" s="4"/>
      <c r="AI180" s="4">
        <f>+AI158+AI171+AI178</f>
        <v>251239.18140000012</v>
      </c>
      <c r="AK180" s="4">
        <f>+AK158+AK171+AK178</f>
        <v>293014.47081700002</v>
      </c>
      <c r="AM180" s="4">
        <f>+AM158+AM171+AM178</f>
        <v>126406.80010369763</v>
      </c>
      <c r="AO180" s="4">
        <f>+AO158+AO171+AO178</f>
        <v>395047.87953274802</v>
      </c>
      <c r="AQ180" s="4">
        <f>+AQ158+AQ171+AQ178</f>
        <v>-150014.46571374481</v>
      </c>
      <c r="AS180" s="4">
        <f>+AS158+AS171+AS178</f>
        <v>516380.5005040653</v>
      </c>
      <c r="AU180" s="4">
        <f>+AU158+AU171+AU178</f>
        <v>302875.28455337428</v>
      </c>
      <c r="AW180" s="4">
        <f>+AW158+AW171+AW178</f>
        <v>359204.10439735209</v>
      </c>
      <c r="AY180" s="4">
        <f>+AY158+AY171+AY178</f>
        <v>169403.02017824631</v>
      </c>
      <c r="BA180" s="4">
        <f>+BA158+BA171+BA178</f>
        <v>207303.07148007513</v>
      </c>
      <c r="BC180" s="4">
        <f>+BC158+BC171+BC178</f>
        <v>247310.53160941217</v>
      </c>
      <c r="BE180" s="4">
        <f>+BE158+BE171+BE178</f>
        <v>289537.17474982201</v>
      </c>
    </row>
    <row r="181" spans="1:57" x14ac:dyDescent="0.25">
      <c r="A181" s="282"/>
      <c r="AG181" s="4"/>
      <c r="BC181" s="3"/>
      <c r="BE181" s="3"/>
    </row>
    <row r="182" spans="1:57" x14ac:dyDescent="0.25">
      <c r="A182" s="277" t="s">
        <v>1229</v>
      </c>
      <c r="AG182" s="4"/>
      <c r="AI182" s="63">
        <f>+AG197*1000</f>
        <v>209000</v>
      </c>
      <c r="AK182" s="3">
        <f>+AI197*1000</f>
        <v>200239.18140000012</v>
      </c>
      <c r="AM182" s="3">
        <f>+AK197*1000</f>
        <v>293253.65221700014</v>
      </c>
      <c r="AO182" s="3">
        <f>+AM197*1000</f>
        <v>419660.45232069778</v>
      </c>
      <c r="AQ182" s="3">
        <f>+AO197*1000</f>
        <v>364708.33185344591</v>
      </c>
      <c r="AS182" s="3">
        <f>+AQ197*1000</f>
        <v>264693.86613970104</v>
      </c>
      <c r="AU182" s="3">
        <f>+AS197*1000</f>
        <v>281074.36664376647</v>
      </c>
      <c r="AW182" s="3">
        <f>+AU197*1000</f>
        <v>283949.65119714086</v>
      </c>
      <c r="AY182" s="3">
        <f>+AW197*1000</f>
        <v>243153.75559449286</v>
      </c>
      <c r="BA182" s="3">
        <f>+AY197*1000</f>
        <v>212556.77577273923</v>
      </c>
      <c r="BC182" s="3">
        <f>+BA197*1000</f>
        <v>219859.84725281436</v>
      </c>
      <c r="BE182" s="3">
        <f>+BC197*1000</f>
        <v>267170.3788622265</v>
      </c>
    </row>
    <row r="183" spans="1:57" x14ac:dyDescent="0.25">
      <c r="A183" s="282" t="s">
        <v>1250</v>
      </c>
      <c r="AG183" s="32"/>
      <c r="AI183" s="32">
        <f>+AI180+AI182</f>
        <v>460239.18140000012</v>
      </c>
      <c r="AK183" s="32">
        <f>+AK180+AK182</f>
        <v>493253.65221700014</v>
      </c>
      <c r="AM183" s="32">
        <f>+AM180+AM182</f>
        <v>419660.45232069778</v>
      </c>
      <c r="AO183" s="32">
        <f>+AO180+AO182</f>
        <v>814708.33185344585</v>
      </c>
      <c r="AQ183" s="32">
        <f>+AQ180+AQ182</f>
        <v>214693.8661397011</v>
      </c>
      <c r="AS183" s="32">
        <f>+AS180+AS182</f>
        <v>781074.36664376641</v>
      </c>
      <c r="AU183" s="32">
        <f>+AU180+AU182</f>
        <v>583949.6511971408</v>
      </c>
      <c r="AW183" s="32">
        <f>+AW180+AW182</f>
        <v>643153.75559449289</v>
      </c>
      <c r="AY183" s="32">
        <f>+AY180+AY182</f>
        <v>412556.7757727392</v>
      </c>
      <c r="BA183" s="32">
        <f>+BA180+BA182</f>
        <v>419859.84725281433</v>
      </c>
      <c r="BC183" s="32">
        <f>+BC180+BC182</f>
        <v>467170.3788622265</v>
      </c>
      <c r="BE183" s="32">
        <f>+BE180+BE182</f>
        <v>556707.5536120485</v>
      </c>
    </row>
    <row r="184" spans="1:57" x14ac:dyDescent="0.25">
      <c r="A184" s="42" t="s">
        <v>1251</v>
      </c>
      <c r="AG184" s="4"/>
      <c r="AI184" s="3">
        <f>+AI183-(AI197*1000)</f>
        <v>260000</v>
      </c>
      <c r="AK184" s="3">
        <f>+AK183-(AK197*1000)</f>
        <v>200000</v>
      </c>
      <c r="AM184" s="3">
        <f>+AM183-(AM197*1000)</f>
        <v>0</v>
      </c>
      <c r="AO184" s="3">
        <f>+AO183-(AO197*1000)</f>
        <v>449999.99999999994</v>
      </c>
      <c r="AQ184" s="3">
        <f>+AQ183-(AQ197*1000)</f>
        <v>-49999.999999999942</v>
      </c>
      <c r="AR184" s="3"/>
      <c r="AS184" s="3">
        <f>+AS183-(AS197*1000)</f>
        <v>499999.99999999994</v>
      </c>
      <c r="AT184" s="3"/>
      <c r="AU184" s="3">
        <f>+AU183-(AU197*1000)</f>
        <v>299999.99999999994</v>
      </c>
      <c r="AV184" s="3"/>
      <c r="AW184" s="3">
        <f>+AW183-(AW197*1000)</f>
        <v>400000</v>
      </c>
      <c r="AX184" s="3"/>
      <c r="AY184" s="3">
        <f>+AY183-(AY197*1000)</f>
        <v>199999.99999999997</v>
      </c>
      <c r="AZ184" s="3"/>
      <c r="BA184" s="3">
        <f>+BA183-(BA197*1000)</f>
        <v>199999.99999999997</v>
      </c>
      <c r="BC184" s="3">
        <f>+BC183-(BC197*1000)</f>
        <v>200000</v>
      </c>
      <c r="BE184" s="3">
        <f>+BE183-(BE197*1000)</f>
        <v>200000</v>
      </c>
    </row>
    <row r="185" spans="1:57" x14ac:dyDescent="0.25">
      <c r="A185" s="282" t="s">
        <v>1252</v>
      </c>
      <c r="AG185" s="4"/>
      <c r="AI185" s="3">
        <f>+AI183-AI184</f>
        <v>200239.18140000012</v>
      </c>
      <c r="AK185" s="3">
        <f>+AK183-AK184</f>
        <v>293253.65221700014</v>
      </c>
      <c r="AM185" s="3">
        <f>+AM183-AM184</f>
        <v>419660.45232069778</v>
      </c>
      <c r="AO185" s="3">
        <f>+AO183-AO184</f>
        <v>364708.33185344591</v>
      </c>
      <c r="AQ185" s="3">
        <f>+AQ183-AQ184</f>
        <v>264693.86613970104</v>
      </c>
      <c r="AR185" s="3"/>
      <c r="AS185" s="3">
        <f>+AS183-AS184</f>
        <v>281074.36664376647</v>
      </c>
      <c r="AT185" s="3"/>
      <c r="AU185" s="3">
        <f>+AU183-AU184</f>
        <v>283949.65119714086</v>
      </c>
      <c r="AV185" s="3"/>
      <c r="AW185" s="3">
        <f>+AW183-AW184</f>
        <v>243153.75559449289</v>
      </c>
      <c r="AX185" s="3"/>
      <c r="AY185" s="3">
        <f>+AY183-AY184</f>
        <v>212556.77577273923</v>
      </c>
      <c r="AZ185" s="3"/>
      <c r="BA185" s="3">
        <f>+BA183-BA184</f>
        <v>219859.84725281436</v>
      </c>
      <c r="BC185" s="3">
        <f>+BC183-BC184</f>
        <v>267170.3788622265</v>
      </c>
      <c r="BE185" s="3">
        <f>+BE183-BE184</f>
        <v>356707.5536120485</v>
      </c>
    </row>
    <row r="186" spans="1:57" x14ac:dyDescent="0.25">
      <c r="AG186" s="4"/>
      <c r="AR186" s="3"/>
      <c r="AT186" s="3"/>
      <c r="AV186" s="3"/>
      <c r="AX186" s="3"/>
      <c r="AZ186" s="3"/>
      <c r="BC186" s="3"/>
      <c r="BE186" s="3"/>
    </row>
    <row r="187" spans="1:57" hidden="1" x14ac:dyDescent="0.25">
      <c r="A187" s="306" t="s">
        <v>1240</v>
      </c>
      <c r="B187" s="307"/>
      <c r="C187" s="307"/>
      <c r="D187" s="307"/>
      <c r="E187" s="307"/>
      <c r="F187" s="307"/>
      <c r="G187" s="307"/>
      <c r="H187" s="307"/>
      <c r="I187" s="307"/>
      <c r="J187" s="307"/>
      <c r="K187" s="307"/>
      <c r="L187" s="307"/>
      <c r="M187" s="307"/>
      <c r="N187" s="307"/>
      <c r="O187" s="307"/>
      <c r="P187" s="307"/>
      <c r="Q187" s="307"/>
      <c r="R187" s="307"/>
      <c r="S187" s="307"/>
      <c r="T187" s="307"/>
      <c r="U187" s="307"/>
      <c r="V187" s="307"/>
      <c r="W187" s="307"/>
      <c r="X187" s="307"/>
      <c r="Y187" s="307"/>
      <c r="Z187" s="307"/>
      <c r="AA187" s="307"/>
      <c r="AB187" s="307"/>
      <c r="AC187" s="307"/>
      <c r="AD187" s="307"/>
      <c r="AE187" s="307"/>
      <c r="AF187" s="307"/>
      <c r="AG187" s="307"/>
      <c r="AH187" s="307"/>
      <c r="AI187" s="307"/>
      <c r="AJ187" s="307"/>
      <c r="AK187" s="307"/>
      <c r="AL187" s="307"/>
      <c r="AM187" s="307"/>
      <c r="AN187" s="307"/>
      <c r="AO187" s="307"/>
      <c r="AP187" s="307"/>
      <c r="AQ187" s="307"/>
      <c r="AR187" s="308"/>
      <c r="AS187" s="307"/>
      <c r="AT187" s="308"/>
      <c r="AU187" s="307"/>
      <c r="AV187" s="308"/>
      <c r="AW187" s="307"/>
      <c r="AX187" s="308"/>
      <c r="AY187" s="307"/>
      <c r="AZ187" s="308"/>
      <c r="BA187" s="309"/>
    </row>
    <row r="188" spans="1:57" hidden="1" x14ac:dyDescent="0.25">
      <c r="A188" s="310" t="s">
        <v>1241</v>
      </c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>
        <f>+AI15</f>
        <v>51239.181400000118</v>
      </c>
      <c r="AJ188" s="4">
        <f t="shared" ref="AJ188:BA188" si="66">+AJ15</f>
        <v>0</v>
      </c>
      <c r="AK188" s="4">
        <f t="shared" si="66"/>
        <v>-6984.5291830000933</v>
      </c>
      <c r="AL188" s="4">
        <f t="shared" si="66"/>
        <v>0</v>
      </c>
      <c r="AM188" s="4">
        <f t="shared" si="66"/>
        <v>-48592.199896302423</v>
      </c>
      <c r="AN188" s="4">
        <f t="shared" si="66"/>
        <v>0</v>
      </c>
      <c r="AO188" s="4">
        <f t="shared" si="66"/>
        <v>95048.879532748018</v>
      </c>
      <c r="AP188" s="4">
        <f t="shared" si="66"/>
        <v>0</v>
      </c>
      <c r="AQ188" s="4">
        <f t="shared" si="66"/>
        <v>-150013.46571374475</v>
      </c>
      <c r="AR188" s="4">
        <f t="shared" si="66"/>
        <v>0</v>
      </c>
      <c r="AS188" s="4">
        <f t="shared" si="66"/>
        <v>116381.50050406542</v>
      </c>
      <c r="AT188" s="4">
        <f t="shared" si="66"/>
        <v>0</v>
      </c>
      <c r="AU188" s="4">
        <f t="shared" si="66"/>
        <v>52876.284553374397</v>
      </c>
      <c r="AV188" s="4">
        <f t="shared" si="66"/>
        <v>0</v>
      </c>
      <c r="AW188" s="4">
        <f t="shared" si="66"/>
        <v>109205.10439735185</v>
      </c>
      <c r="AX188" s="4">
        <f t="shared" si="66"/>
        <v>0</v>
      </c>
      <c r="AY188" s="4">
        <f t="shared" si="66"/>
        <v>44404.020178246312</v>
      </c>
      <c r="AZ188" s="4">
        <f t="shared" si="66"/>
        <v>0</v>
      </c>
      <c r="BA188" s="311">
        <f t="shared" si="66"/>
        <v>82304.071480074897</v>
      </c>
    </row>
    <row r="189" spans="1:57" hidden="1" x14ac:dyDescent="0.25">
      <c r="A189" s="310" t="s">
        <v>1242</v>
      </c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>
        <f>+AI180-AI188</f>
        <v>200000</v>
      </c>
      <c r="AJ189" s="4"/>
      <c r="AK189" s="4">
        <f>+AK180-AK188</f>
        <v>299999.00000000012</v>
      </c>
      <c r="AL189" s="4"/>
      <c r="AM189" s="4">
        <f>+AM180-AM188</f>
        <v>174999.00000000006</v>
      </c>
      <c r="AN189" s="4"/>
      <c r="AO189" s="4">
        <f>+AO180-AO188</f>
        <v>299999</v>
      </c>
      <c r="AP189" s="4"/>
      <c r="AQ189" s="4">
        <f>+AQ180-AQ188</f>
        <v>-1.0000000000582077</v>
      </c>
      <c r="AR189" s="51"/>
      <c r="AS189" s="4">
        <f>+AS180-AS188</f>
        <v>399998.99999999988</v>
      </c>
      <c r="AT189" s="51"/>
      <c r="AU189" s="4">
        <f>+AU180-AU188</f>
        <v>249998.99999999988</v>
      </c>
      <c r="AV189" s="51"/>
      <c r="AW189" s="4">
        <f>+AW180-AW188</f>
        <v>249999.00000000023</v>
      </c>
      <c r="AX189" s="51"/>
      <c r="AY189" s="4">
        <f>+AY180-AY188</f>
        <v>124999</v>
      </c>
      <c r="AZ189" s="51"/>
      <c r="BA189" s="311">
        <f>+BA180-BA188</f>
        <v>124999.00000000023</v>
      </c>
    </row>
    <row r="190" spans="1:57" hidden="1" x14ac:dyDescent="0.25">
      <c r="A190" s="310" t="s">
        <v>777</v>
      </c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>
        <f>-AI131</f>
        <v>-200000</v>
      </c>
      <c r="AJ190" s="4"/>
      <c r="AK190" s="4">
        <f>-AK131</f>
        <v>-300000</v>
      </c>
      <c r="AL190" s="4"/>
      <c r="AM190" s="4">
        <f>-AM131</f>
        <v>-175000</v>
      </c>
      <c r="AN190" s="4"/>
      <c r="AO190" s="4">
        <f>-AO131</f>
        <v>-300000</v>
      </c>
      <c r="AP190" s="4"/>
      <c r="AQ190" s="4">
        <f>-AQ131</f>
        <v>0</v>
      </c>
      <c r="AR190" s="51"/>
      <c r="AS190" s="4">
        <f>-AS131</f>
        <v>-400000</v>
      </c>
      <c r="AT190" s="51"/>
      <c r="AU190" s="4">
        <f>-AU131</f>
        <v>-250000</v>
      </c>
      <c r="AV190" s="51"/>
      <c r="AW190" s="4">
        <f>-AW131</f>
        <v>-250000</v>
      </c>
      <c r="AX190" s="51"/>
      <c r="AY190" s="4">
        <f>-AY131</f>
        <v>-125000</v>
      </c>
      <c r="AZ190" s="51"/>
      <c r="BA190" s="311">
        <f>-BA131</f>
        <v>-125000</v>
      </c>
    </row>
    <row r="191" spans="1:57" ht="15.75" hidden="1" thickBot="1" x14ac:dyDescent="0.3">
      <c r="A191" s="312" t="s">
        <v>1243</v>
      </c>
      <c r="B191" s="313"/>
      <c r="C191" s="313"/>
      <c r="D191" s="313"/>
      <c r="E191" s="313"/>
      <c r="F191" s="313"/>
      <c r="G191" s="313"/>
      <c r="H191" s="313"/>
      <c r="I191" s="313"/>
      <c r="J191" s="313"/>
      <c r="K191" s="313"/>
      <c r="L191" s="313"/>
      <c r="M191" s="313"/>
      <c r="N191" s="313"/>
      <c r="O191" s="313"/>
      <c r="P191" s="313"/>
      <c r="Q191" s="313"/>
      <c r="R191" s="313"/>
      <c r="S191" s="313"/>
      <c r="T191" s="313"/>
      <c r="U191" s="313"/>
      <c r="V191" s="313"/>
      <c r="W191" s="313"/>
      <c r="X191" s="313"/>
      <c r="Y191" s="313"/>
      <c r="Z191" s="313"/>
      <c r="AA191" s="313"/>
      <c r="AB191" s="313"/>
      <c r="AC191" s="313"/>
      <c r="AD191" s="313"/>
      <c r="AE191" s="313"/>
      <c r="AF191" s="313"/>
      <c r="AG191" s="313"/>
      <c r="AH191" s="313"/>
      <c r="AI191" s="313">
        <f>+AI189+AI190</f>
        <v>0</v>
      </c>
      <c r="AJ191" s="313"/>
      <c r="AK191" s="313">
        <f>+AK189+AK190</f>
        <v>-0.99999999988358468</v>
      </c>
      <c r="AL191" s="313"/>
      <c r="AM191" s="313">
        <f>+AM189+AM190</f>
        <v>-0.99999999994179234</v>
      </c>
      <c r="AN191" s="313"/>
      <c r="AO191" s="313">
        <f>+AO189+AO190</f>
        <v>-1</v>
      </c>
      <c r="AP191" s="313"/>
      <c r="AQ191" s="313">
        <f>+AQ189+AQ190</f>
        <v>-1.0000000000582077</v>
      </c>
      <c r="AR191" s="314"/>
      <c r="AS191" s="313">
        <f>+AS189+AS190</f>
        <v>-1.0000000001164153</v>
      </c>
      <c r="AT191" s="314"/>
      <c r="AU191" s="313">
        <f>+AU189+AU190</f>
        <v>-1.0000000001164153</v>
      </c>
      <c r="AV191" s="314"/>
      <c r="AW191" s="313">
        <f>+AW189+AW190</f>
        <v>-0.99999999976716936</v>
      </c>
      <c r="AX191" s="314"/>
      <c r="AY191" s="313">
        <f>+AY189+AY190</f>
        <v>-1</v>
      </c>
      <c r="AZ191" s="314"/>
      <c r="BA191" s="315">
        <f>+BA189+BA190</f>
        <v>-0.99999999976716936</v>
      </c>
    </row>
    <row r="192" spans="1:57" hidden="1" x14ac:dyDescent="0.25">
      <c r="AG192" s="4"/>
    </row>
    <row r="193" spans="1:57" x14ac:dyDescent="0.25">
      <c r="A193" s="461" t="s">
        <v>1253</v>
      </c>
      <c r="B193" s="461"/>
      <c r="C193" s="461"/>
      <c r="D193" s="461"/>
      <c r="E193" s="461"/>
      <c r="F193" s="461"/>
      <c r="G193" s="461"/>
      <c r="H193" s="461"/>
      <c r="I193" s="461"/>
      <c r="J193" s="461"/>
      <c r="K193" s="461"/>
      <c r="L193" s="461"/>
      <c r="M193" s="461"/>
      <c r="N193" s="461"/>
      <c r="O193" s="461"/>
      <c r="P193" s="461"/>
      <c r="Q193" s="461"/>
      <c r="R193" s="461"/>
      <c r="S193" s="461"/>
      <c r="T193" s="461"/>
      <c r="U193" s="461"/>
      <c r="V193" s="461"/>
      <c r="W193" s="461"/>
      <c r="X193" s="461"/>
      <c r="Y193" s="461"/>
      <c r="Z193" s="461"/>
      <c r="AA193" s="461"/>
      <c r="AB193" s="461"/>
      <c r="AC193" s="461"/>
      <c r="AD193" s="461"/>
      <c r="AE193" s="461"/>
      <c r="AF193" s="461"/>
      <c r="AG193" s="461"/>
      <c r="AH193" s="461"/>
      <c r="AI193" s="461"/>
      <c r="AJ193" s="461"/>
      <c r="AK193" s="461"/>
      <c r="AL193" s="461"/>
      <c r="AM193" s="461"/>
      <c r="AN193" s="461"/>
      <c r="AO193" s="461"/>
      <c r="AP193" s="461"/>
      <c r="AQ193" s="461"/>
      <c r="AR193" s="461"/>
      <c r="AS193" s="461"/>
      <c r="AT193" s="461"/>
      <c r="AU193" s="461"/>
      <c r="AV193" s="461"/>
      <c r="AW193" s="461"/>
      <c r="AX193" s="461"/>
      <c r="AY193" s="461"/>
      <c r="AZ193" s="461"/>
      <c r="BA193" s="461"/>
      <c r="BB193" s="461"/>
      <c r="BC193" s="461"/>
      <c r="BD193" s="461"/>
      <c r="BE193" s="461"/>
    </row>
    <row r="194" spans="1:57" x14ac:dyDescent="0.25">
      <c r="A194" s="316"/>
      <c r="B194" s="317"/>
      <c r="C194" s="317"/>
      <c r="D194" s="317"/>
      <c r="E194" s="317"/>
      <c r="F194" s="317"/>
      <c r="G194" s="317"/>
      <c r="H194" s="317"/>
      <c r="I194" s="317"/>
      <c r="J194" s="317"/>
      <c r="K194" s="317"/>
      <c r="L194" s="317"/>
      <c r="M194" s="317"/>
      <c r="N194" s="317"/>
      <c r="O194" s="317"/>
      <c r="P194" s="317"/>
      <c r="Q194" s="317"/>
      <c r="R194" s="317"/>
      <c r="S194" s="317"/>
      <c r="T194" s="317"/>
      <c r="U194" s="317"/>
      <c r="V194" s="317"/>
      <c r="W194" s="317"/>
      <c r="X194" s="317"/>
      <c r="Y194" s="317"/>
      <c r="Z194" s="317"/>
      <c r="AA194" s="317"/>
      <c r="AB194" s="317"/>
      <c r="AC194" s="317"/>
      <c r="AD194" s="317"/>
      <c r="AE194" s="317"/>
      <c r="AF194" s="317"/>
      <c r="AG194" s="318"/>
      <c r="AH194" s="317"/>
      <c r="AI194" s="318"/>
      <c r="AJ194" s="317"/>
      <c r="AK194" s="318"/>
      <c r="AL194" s="317"/>
      <c r="AM194" s="318"/>
      <c r="AN194" s="317"/>
      <c r="AO194" s="318"/>
      <c r="AP194" s="317"/>
      <c r="AQ194" s="318"/>
      <c r="AR194" s="317"/>
      <c r="AS194" s="318"/>
      <c r="AT194" s="317"/>
      <c r="AU194" s="318"/>
      <c r="AV194" s="317"/>
      <c r="AW194" s="318"/>
      <c r="AX194" s="317"/>
      <c r="AY194" s="318"/>
      <c r="AZ194" s="317"/>
      <c r="BA194" s="318"/>
    </row>
    <row r="195" spans="1:57" x14ac:dyDescent="0.25">
      <c r="A195" s="274" t="s">
        <v>1192</v>
      </c>
      <c r="AG195" s="4"/>
    </row>
    <row r="196" spans="1:57" x14ac:dyDescent="0.25">
      <c r="A196" s="283" t="s">
        <v>1193</v>
      </c>
      <c r="AG196" s="4"/>
      <c r="BC196" s="3"/>
      <c r="BE196" s="3"/>
    </row>
    <row r="197" spans="1:57" x14ac:dyDescent="0.25">
      <c r="A197" s="276" t="s">
        <v>1194</v>
      </c>
      <c r="AG197" s="231">
        <v>209</v>
      </c>
      <c r="AI197" s="3">
        <f>+(AI183/1000)-260</f>
        <v>200.23918140000012</v>
      </c>
      <c r="AK197" s="3">
        <f>+(AK183/1000)-200</f>
        <v>293.25365221700014</v>
      </c>
      <c r="AM197" s="3">
        <f>+(AM183/1000)</f>
        <v>419.6604523206978</v>
      </c>
      <c r="AO197" s="3">
        <f>+(AO183/1000)-450</f>
        <v>364.70833185344588</v>
      </c>
      <c r="AQ197" s="3">
        <f>+(AQ183/1000)+50</f>
        <v>264.69386613970107</v>
      </c>
      <c r="AS197" s="3">
        <f>+(AS183/1000)-500</f>
        <v>281.07436664376644</v>
      </c>
      <c r="AU197" s="3">
        <f>+(AU183/1000)-300</f>
        <v>283.94965119714084</v>
      </c>
      <c r="AW197" s="3">
        <f>+(AW183/1000)-400</f>
        <v>243.15375559449285</v>
      </c>
      <c r="AY197" s="3">
        <f>+(AY183/1000)-200</f>
        <v>212.55677577273923</v>
      </c>
      <c r="BA197" s="3">
        <f>+(BA183/1000)-200</f>
        <v>219.85984725281435</v>
      </c>
      <c r="BC197" s="3">
        <f>+(BC183/1000)-200</f>
        <v>267.17037886222647</v>
      </c>
      <c r="BE197" s="3">
        <f>+(BE183/1000)-200</f>
        <v>356.70755361204851</v>
      </c>
    </row>
    <row r="198" spans="1:57" hidden="1" outlineLevel="1" x14ac:dyDescent="0.25">
      <c r="A198" s="276" t="s">
        <v>1362</v>
      </c>
      <c r="AG198" s="4">
        <v>153</v>
      </c>
      <c r="AI198" s="3">
        <f>+AG198+260+50</f>
        <v>463</v>
      </c>
      <c r="AK198" s="3">
        <f>+AI198+200+44</f>
        <v>707</v>
      </c>
      <c r="AM198" s="3">
        <f>+AK198+37</f>
        <v>744</v>
      </c>
      <c r="AO198" s="3">
        <f>+AM198+450+31</f>
        <v>1225</v>
      </c>
      <c r="AQ198" s="3">
        <f>+AO198-50+27</f>
        <v>1202</v>
      </c>
      <c r="AS198" s="3">
        <f>+AQ198+500+23</f>
        <v>1725</v>
      </c>
      <c r="AU198" s="3">
        <f>+AS198+300+20</f>
        <v>2045</v>
      </c>
      <c r="AW198" s="3">
        <f>+AU198+400</f>
        <v>2445</v>
      </c>
      <c r="AY198" s="3">
        <f>+AW198+200</f>
        <v>2645</v>
      </c>
      <c r="BA198" s="3">
        <f>+AY198+200</f>
        <v>2845</v>
      </c>
      <c r="BC198" s="3">
        <f>+BA198+200</f>
        <v>3045</v>
      </c>
      <c r="BE198" s="3">
        <f>+BC198+200</f>
        <v>3245</v>
      </c>
    </row>
    <row r="199" spans="1:57" hidden="1" outlineLevel="1" x14ac:dyDescent="0.25">
      <c r="A199" s="276" t="s">
        <v>1360</v>
      </c>
      <c r="AG199" s="4"/>
      <c r="AI199" s="3">
        <f>AG199-(AI131/1000)</f>
        <v>-200</v>
      </c>
      <c r="AK199" s="3">
        <f>AI199-(AK131/1000)</f>
        <v>-500</v>
      </c>
      <c r="AM199" s="3">
        <f>AK199-(AM131/1000)</f>
        <v>-675</v>
      </c>
      <c r="AO199" s="3">
        <f>AM199-(AO131/1000)</f>
        <v>-975</v>
      </c>
      <c r="AQ199" s="3">
        <f>AO199-(AQ131/1000)</f>
        <v>-975</v>
      </c>
      <c r="AS199" s="3">
        <f>AQ199-(AS131/1000)</f>
        <v>-1375</v>
      </c>
      <c r="AU199" s="3">
        <f>AS199-(AU131/1000)</f>
        <v>-1625</v>
      </c>
      <c r="AW199" s="3">
        <f>AU199-(AW131/1000)</f>
        <v>-1875</v>
      </c>
      <c r="AY199" s="3">
        <f>AW199-(AY131/1000)</f>
        <v>-2000</v>
      </c>
      <c r="BA199" s="3">
        <f>AY199-(BA131/1000)</f>
        <v>-2125</v>
      </c>
      <c r="BC199" s="3">
        <f>BA199-(BC131/1000)</f>
        <v>-2250</v>
      </c>
      <c r="BE199" s="3">
        <f>BC199-(BE131/1000)</f>
        <v>-2375</v>
      </c>
    </row>
    <row r="200" spans="1:57" collapsed="1" x14ac:dyDescent="0.25">
      <c r="A200" s="276" t="s">
        <v>1361</v>
      </c>
      <c r="AG200" s="4">
        <f>+AG198+AG199</f>
        <v>153</v>
      </c>
      <c r="AI200" s="4">
        <f>+AI198+AI199</f>
        <v>263</v>
      </c>
      <c r="AK200" s="4">
        <f>+AK198+AK199</f>
        <v>207</v>
      </c>
      <c r="AM200" s="4">
        <f>+AM198+AM199</f>
        <v>69</v>
      </c>
      <c r="AO200" s="4">
        <f>+AO198+AO199</f>
        <v>250</v>
      </c>
      <c r="AQ200" s="4">
        <f>+AQ198+AQ199</f>
        <v>227</v>
      </c>
      <c r="AS200" s="4">
        <f>+AS198+AS199</f>
        <v>350</v>
      </c>
      <c r="AU200" s="4">
        <f>+AU198+AU199</f>
        <v>420</v>
      </c>
      <c r="AW200" s="4">
        <f>+AW198+AW199</f>
        <v>570</v>
      </c>
      <c r="AY200" s="4">
        <f>+AY198+AY199</f>
        <v>645</v>
      </c>
      <c r="BA200" s="4">
        <f>+BA198+BA199</f>
        <v>720</v>
      </c>
      <c r="BC200" s="4">
        <f>+BC198+BC199</f>
        <v>795</v>
      </c>
      <c r="BE200" s="4">
        <f>+BE198+BE199</f>
        <v>870</v>
      </c>
    </row>
    <row r="201" spans="1:57" x14ac:dyDescent="0.25">
      <c r="A201" s="449" t="s">
        <v>1359</v>
      </c>
      <c r="AG201" s="4">
        <f>+AG197+AG200</f>
        <v>362</v>
      </c>
      <c r="AI201" s="4">
        <f>+AI197+AI200</f>
        <v>463.23918140000012</v>
      </c>
      <c r="AK201" s="4">
        <f>+AK197+AK200</f>
        <v>500.25365221700014</v>
      </c>
      <c r="AM201" s="4">
        <f>+AM197+AM200</f>
        <v>488.6604523206978</v>
      </c>
      <c r="AO201" s="4">
        <f>+AO197+AO200</f>
        <v>614.70833185344588</v>
      </c>
      <c r="AQ201" s="4">
        <f>+AQ197+AQ200</f>
        <v>491.69386613970107</v>
      </c>
      <c r="AS201" s="4">
        <f>+AS197+AS200</f>
        <v>631.07436664376644</v>
      </c>
      <c r="AU201" s="4">
        <f>+AU197+AU200</f>
        <v>703.94965119714084</v>
      </c>
      <c r="AW201" s="4">
        <f>+AW197+AW200</f>
        <v>813.15375559449285</v>
      </c>
      <c r="AY201" s="4">
        <f>+AY197+AY200</f>
        <v>857.55677577273923</v>
      </c>
      <c r="BA201" s="4">
        <f>+BA197+BA200</f>
        <v>939.85984725281435</v>
      </c>
      <c r="BC201" s="4">
        <f>+BC197+BC200</f>
        <v>1062.1703788622265</v>
      </c>
      <c r="BE201" s="4">
        <f>+BE197+BE200</f>
        <v>1226.7075536120485</v>
      </c>
    </row>
    <row r="202" spans="1:57" x14ac:dyDescent="0.25">
      <c r="A202" s="276" t="s">
        <v>1196</v>
      </c>
      <c r="AG202" s="4">
        <v>343</v>
      </c>
      <c r="AI202" s="3">
        <f>+AG202-50</f>
        <v>293</v>
      </c>
      <c r="AK202" s="3">
        <f>+AI202-44</f>
        <v>249</v>
      </c>
      <c r="AM202" s="3">
        <f>+AK202-37</f>
        <v>212</v>
      </c>
      <c r="AO202" s="3">
        <f>+AM202-31</f>
        <v>181</v>
      </c>
      <c r="AQ202" s="3">
        <f>+AO202-27</f>
        <v>154</v>
      </c>
      <c r="AS202" s="3">
        <f>+AQ202-23</f>
        <v>131</v>
      </c>
      <c r="AU202" s="3">
        <f>+AS202-20</f>
        <v>111</v>
      </c>
      <c r="AW202" s="3">
        <f>+AU202</f>
        <v>111</v>
      </c>
      <c r="AY202" s="3">
        <f>+AW202</f>
        <v>111</v>
      </c>
      <c r="BA202" s="3">
        <f>+AY202</f>
        <v>111</v>
      </c>
      <c r="BC202" s="3">
        <f>+BA202</f>
        <v>111</v>
      </c>
      <c r="BE202" s="3">
        <f>+BC202</f>
        <v>111</v>
      </c>
    </row>
    <row r="203" spans="1:57" x14ac:dyDescent="0.25">
      <c r="A203" s="276" t="s">
        <v>1197</v>
      </c>
      <c r="AG203" s="4"/>
      <c r="BC203" s="3"/>
      <c r="BE203" s="3"/>
    </row>
    <row r="204" spans="1:57" x14ac:dyDescent="0.25">
      <c r="A204" s="276" t="s">
        <v>1198</v>
      </c>
      <c r="AG204" s="4"/>
      <c r="BC204" s="3"/>
      <c r="BE204" s="3"/>
    </row>
    <row r="205" spans="1:57" x14ac:dyDescent="0.25">
      <c r="A205" s="274" t="s">
        <v>1199</v>
      </c>
      <c r="AG205" s="32">
        <f>+AG197+AG200+AG202+AG203+AG204</f>
        <v>705</v>
      </c>
      <c r="AH205" s="7"/>
      <c r="AI205" s="32">
        <f>+AI197+AI200+AI202+AI203+AI204</f>
        <v>756.23918140000012</v>
      </c>
      <c r="AK205" s="32">
        <f>+AK197+AK200+AK202+AK203+AK204</f>
        <v>749.25365221700008</v>
      </c>
      <c r="AM205" s="32">
        <f>+AM197+AM200+AM202+AM203+AM204</f>
        <v>700.6604523206978</v>
      </c>
      <c r="AO205" s="32">
        <f>+AO197+AO200+AO202+AO203+AO204</f>
        <v>795.70833185344588</v>
      </c>
      <c r="AQ205" s="32">
        <f>+AQ197+AQ200+AQ202+AQ203+AQ204</f>
        <v>645.69386613970107</v>
      </c>
      <c r="AS205" s="32">
        <f>+AS197+AS200+AS202+AS203+AS204</f>
        <v>762.07436664376644</v>
      </c>
      <c r="AU205" s="32">
        <f>+AU197+AU200+AU202+AU203+AU204</f>
        <v>814.94965119714084</v>
      </c>
      <c r="AW205" s="32">
        <f>+AW197+AW200+AW202+AW203+AW204</f>
        <v>924.15375559449285</v>
      </c>
      <c r="AY205" s="32">
        <f>+AY197+AY200+AY202+AY203+AY204</f>
        <v>968.55677577273923</v>
      </c>
      <c r="BA205" s="32">
        <f>+BA197+BA200+BA202+BA203+BA204</f>
        <v>1050.8598472528142</v>
      </c>
      <c r="BC205" s="32">
        <f>+BC197+BC200+BC202+BC203+BC204</f>
        <v>1173.1703788622265</v>
      </c>
      <c r="BE205" s="32">
        <f>+BE197+BE200+BE202+BE203+BE204</f>
        <v>1337.7075536120485</v>
      </c>
    </row>
    <row r="206" spans="1:57" x14ac:dyDescent="0.25">
      <c r="A206" s="284"/>
      <c r="AG206" s="4">
        <v>705</v>
      </c>
      <c r="AI206" s="3">
        <v>756.23918140000012</v>
      </c>
      <c r="AK206" s="3">
        <v>659.25365221700008</v>
      </c>
      <c r="AM206" s="3">
        <v>430.6604523206978</v>
      </c>
      <c r="AO206" s="3">
        <v>435.70833185344577</v>
      </c>
      <c r="AQ206" s="3">
        <v>285.69386613970096</v>
      </c>
      <c r="AS206" s="3">
        <v>402.07436664376633</v>
      </c>
      <c r="AU206" s="3">
        <v>454.94965119714061</v>
      </c>
      <c r="AW206" s="3">
        <v>564.15375559449285</v>
      </c>
      <c r="AY206" s="3">
        <v>598.44677577273887</v>
      </c>
      <c r="BA206" s="3">
        <v>670.63984725281398</v>
      </c>
      <c r="BC206" s="3">
        <v>670.63984725281398</v>
      </c>
      <c r="BE206" s="3">
        <v>670.63984725281398</v>
      </c>
    </row>
    <row r="207" spans="1:57" x14ac:dyDescent="0.25">
      <c r="A207" s="274" t="s">
        <v>1200</v>
      </c>
      <c r="AG207" s="4"/>
      <c r="BC207" s="3"/>
      <c r="BE207" s="3"/>
    </row>
    <row r="208" spans="1:57" x14ac:dyDescent="0.25">
      <c r="A208" s="276" t="s">
        <v>1196</v>
      </c>
      <c r="AG208" s="4"/>
      <c r="BC208" s="3"/>
      <c r="BE208" s="3"/>
    </row>
    <row r="209" spans="1:57" x14ac:dyDescent="0.25">
      <c r="A209" s="276" t="s">
        <v>1201</v>
      </c>
      <c r="AG209" s="4">
        <v>8099</v>
      </c>
      <c r="AI209" s="3">
        <f>+AG209-(AI59/1000)+(AI133/1000)</f>
        <v>8175</v>
      </c>
      <c r="AK209" s="3">
        <f>+AI209-(AK59/1000)+(AK133/1000)</f>
        <v>8357</v>
      </c>
      <c r="AM209" s="3">
        <f>+AK209-(AM59/1000)+(AM133/1000)</f>
        <v>8635.7000000000007</v>
      </c>
      <c r="AO209" s="3">
        <f>+AM209-(AO59/1000)+(AO133/1000)</f>
        <v>8819.7000000000007</v>
      </c>
      <c r="AQ209" s="3">
        <f>+AO209-(AQ59/1000)+(AQ133/1000)</f>
        <v>9314.9000000000015</v>
      </c>
      <c r="AS209" s="3">
        <f>+AQ209-(AS59/1000)+(AS133/1000)</f>
        <v>9595.9000000000015</v>
      </c>
      <c r="AU209" s="3">
        <f>+AS209-(AU59/1000)+(AU133/1000)</f>
        <v>9953.6000000000022</v>
      </c>
      <c r="AW209" s="3">
        <f>+AU209-(AW59/1000)+(AW133/1000)</f>
        <v>10286.600000000002</v>
      </c>
      <c r="AY209" s="3">
        <f>+AW209-(AY59/1000)+(AY133/1000)</f>
        <v>10720.300000000003</v>
      </c>
      <c r="BA209" s="3">
        <f>+AY209-(BA59/1000)+(BA133/1000)</f>
        <v>11154.000000000004</v>
      </c>
      <c r="BC209" s="3">
        <f>+BA209-(BC59/1000)+(BC133/1000)</f>
        <v>11587.700000000004</v>
      </c>
      <c r="BE209" s="3">
        <f>+BC209-(BE59/1000)+(BE133/1000)</f>
        <v>12021.400000000005</v>
      </c>
    </row>
    <row r="210" spans="1:57" x14ac:dyDescent="0.25">
      <c r="A210" s="282" t="s">
        <v>1202</v>
      </c>
      <c r="AG210" s="32">
        <f>SUM(AG208:AG209)</f>
        <v>8099</v>
      </c>
      <c r="AH210" s="7"/>
      <c r="AI210" s="32">
        <f>SUM(AI208:AI209)</f>
        <v>8175</v>
      </c>
      <c r="AK210" s="32">
        <f>SUM(AK208:AK209)</f>
        <v>8357</v>
      </c>
      <c r="AM210" s="32">
        <f>SUM(AM208:AM209)</f>
        <v>8635.7000000000007</v>
      </c>
      <c r="AO210" s="32">
        <f>SUM(AO208:AO209)</f>
        <v>8819.7000000000007</v>
      </c>
      <c r="AQ210" s="32">
        <f>SUM(AQ208:AQ209)</f>
        <v>9314.9000000000015</v>
      </c>
      <c r="AS210" s="32">
        <f>SUM(AS208:AS209)</f>
        <v>9595.9000000000015</v>
      </c>
      <c r="AU210" s="32">
        <f>SUM(AU208:AU209)</f>
        <v>9953.6000000000022</v>
      </c>
      <c r="AW210" s="32">
        <f>SUM(AW208:AW209)</f>
        <v>10286.600000000002</v>
      </c>
      <c r="AY210" s="32">
        <f>SUM(AY208:AY209)</f>
        <v>10720.300000000003</v>
      </c>
      <c r="BA210" s="32">
        <f>SUM(BA208:BA209)</f>
        <v>11154.000000000004</v>
      </c>
      <c r="BC210" s="32">
        <f>SUM(BC208:BC209)</f>
        <v>11587.700000000004</v>
      </c>
      <c r="BE210" s="32">
        <f>SUM(BE208:BE209)</f>
        <v>12021.400000000005</v>
      </c>
    </row>
    <row r="211" spans="1:57" x14ac:dyDescent="0.25">
      <c r="A211" s="280"/>
      <c r="AG211" s="4"/>
      <c r="AI211" s="4"/>
      <c r="AK211" s="4"/>
      <c r="AM211" s="4"/>
      <c r="AO211" s="4"/>
      <c r="AQ211" s="4"/>
      <c r="AS211" s="4"/>
      <c r="AU211" s="4"/>
      <c r="AW211" s="4"/>
      <c r="AY211" s="4"/>
      <c r="BA211" s="4"/>
      <c r="BC211" s="4"/>
      <c r="BE211" s="4"/>
    </row>
    <row r="212" spans="1:57" x14ac:dyDescent="0.25">
      <c r="A212" s="274" t="s">
        <v>1203</v>
      </c>
      <c r="AG212" s="32">
        <f>+AG205+AG210</f>
        <v>8804</v>
      </c>
      <c r="AH212" s="7"/>
      <c r="AI212" s="32">
        <f>+AI205+AI210</f>
        <v>8931.2391814000002</v>
      </c>
      <c r="AK212" s="32">
        <f>+AK205+AK210</f>
        <v>9106.2536522169994</v>
      </c>
      <c r="AM212" s="32">
        <f>+AM205+AM210</f>
        <v>9336.3604523206977</v>
      </c>
      <c r="AO212" s="32">
        <f>+AO205+AO210</f>
        <v>9615.4083318534467</v>
      </c>
      <c r="AQ212" s="32">
        <f>+AQ205+AQ210</f>
        <v>9960.5938661397031</v>
      </c>
      <c r="AS212" s="32">
        <f>+AS205+AS210</f>
        <v>10357.974366643768</v>
      </c>
      <c r="AU212" s="32">
        <f>+AU205+AU210</f>
        <v>10768.549651197143</v>
      </c>
      <c r="AW212" s="32">
        <f>+AW205+AW210</f>
        <v>11210.753755594495</v>
      </c>
      <c r="AY212" s="32">
        <f>+AY205+AY210</f>
        <v>11688.856775772741</v>
      </c>
      <c r="BA212" s="32">
        <f>+BA205+BA210</f>
        <v>12204.859847252817</v>
      </c>
      <c r="BC212" s="32">
        <f>+BC205+BC210</f>
        <v>12760.870378862232</v>
      </c>
      <c r="BE212" s="32">
        <f>+BE205+BE210</f>
        <v>13359.107553612053</v>
      </c>
    </row>
    <row r="213" spans="1:57" x14ac:dyDescent="0.25">
      <c r="A213" s="280"/>
      <c r="AG213" s="4"/>
      <c r="BC213" s="3"/>
      <c r="BE213" s="3"/>
    </row>
    <row r="214" spans="1:57" x14ac:dyDescent="0.25">
      <c r="A214" s="274" t="s">
        <v>1204</v>
      </c>
      <c r="AG214" s="4"/>
      <c r="BC214" s="3"/>
      <c r="BE214" s="3"/>
    </row>
    <row r="215" spans="1:57" x14ac:dyDescent="0.25">
      <c r="A215" s="276" t="s">
        <v>1205</v>
      </c>
      <c r="AG215" s="4"/>
      <c r="BC215" s="3"/>
      <c r="BE215" s="3"/>
    </row>
    <row r="216" spans="1:57" x14ac:dyDescent="0.25">
      <c r="A216" s="276" t="s">
        <v>1216</v>
      </c>
      <c r="AG216" s="4"/>
      <c r="BC216" s="3"/>
      <c r="BE216" s="3"/>
    </row>
    <row r="217" spans="1:57" x14ac:dyDescent="0.25">
      <c r="A217" s="276" t="s">
        <v>1178</v>
      </c>
      <c r="AG217" s="4">
        <v>36</v>
      </c>
      <c r="AI217" s="3">
        <f>+AG217</f>
        <v>36</v>
      </c>
      <c r="AK217" s="3">
        <f>+AI217</f>
        <v>36</v>
      </c>
      <c r="AM217" s="3">
        <f>+AK217</f>
        <v>36</v>
      </c>
      <c r="AO217" s="3">
        <f>+AM217</f>
        <v>36</v>
      </c>
      <c r="AQ217" s="3">
        <f>+AO217</f>
        <v>36</v>
      </c>
      <c r="AS217" s="3">
        <f>+AQ217</f>
        <v>36</v>
      </c>
      <c r="AU217" s="3">
        <f>+AS217</f>
        <v>36</v>
      </c>
      <c r="AW217" s="3">
        <f>+AU217</f>
        <v>36</v>
      </c>
      <c r="AY217" s="3">
        <f>+AW217</f>
        <v>36</v>
      </c>
      <c r="BA217" s="3">
        <f>+AY217</f>
        <v>36</v>
      </c>
      <c r="BC217" s="3">
        <f>+BA217</f>
        <v>36</v>
      </c>
      <c r="BE217" s="3">
        <f>+BC217</f>
        <v>36</v>
      </c>
    </row>
    <row r="218" spans="1:57" x14ac:dyDescent="0.25">
      <c r="A218" s="274" t="s">
        <v>1206</v>
      </c>
      <c r="AG218" s="32">
        <f>SUM(AG215:AG217)</f>
        <v>36</v>
      </c>
      <c r="AH218" s="7"/>
      <c r="AI218" s="32">
        <f>SUM(AI215:AI217)</f>
        <v>36</v>
      </c>
      <c r="AJ218" s="7"/>
      <c r="AK218" s="32">
        <f>SUM(AK215:AK217)</f>
        <v>36</v>
      </c>
      <c r="AM218" s="32">
        <f>SUM(AM215:AM217)</f>
        <v>36</v>
      </c>
      <c r="AO218" s="32">
        <f>SUM(AO215:AO217)</f>
        <v>36</v>
      </c>
      <c r="AQ218" s="32">
        <f>SUM(AQ215:AQ217)</f>
        <v>36</v>
      </c>
      <c r="AS218" s="32">
        <f>SUM(AS215:AS217)</f>
        <v>36</v>
      </c>
      <c r="AU218" s="32">
        <f>SUM(AU215:AU217)</f>
        <v>36</v>
      </c>
      <c r="AW218" s="32">
        <f>SUM(AW215:AW217)</f>
        <v>36</v>
      </c>
      <c r="AY218" s="32">
        <f>SUM(AY215:AY217)</f>
        <v>36</v>
      </c>
      <c r="BA218" s="32">
        <f>SUM(BA215:BA217)</f>
        <v>36</v>
      </c>
      <c r="BC218" s="32">
        <f>SUM(BC215:BC217)</f>
        <v>36</v>
      </c>
      <c r="BE218" s="32">
        <f>SUM(BE215:BE217)</f>
        <v>36</v>
      </c>
    </row>
    <row r="219" spans="1:57" x14ac:dyDescent="0.25">
      <c r="A219" s="280"/>
      <c r="AG219" s="4"/>
      <c r="AI219" s="4"/>
      <c r="AK219" s="4"/>
      <c r="AM219" s="4"/>
      <c r="AO219" s="4"/>
      <c r="AQ219" s="4"/>
      <c r="AS219" s="4"/>
      <c r="AU219" s="4"/>
      <c r="AW219" s="4"/>
      <c r="AY219" s="4"/>
      <c r="BA219" s="4"/>
      <c r="BC219" s="4"/>
      <c r="BE219" s="4"/>
    </row>
    <row r="220" spans="1:57" x14ac:dyDescent="0.25">
      <c r="A220" s="274" t="s">
        <v>1207</v>
      </c>
      <c r="AG220" s="4"/>
      <c r="AI220" s="4"/>
      <c r="AK220" s="4"/>
      <c r="AM220" s="4"/>
      <c r="AO220" s="4"/>
      <c r="AQ220" s="4"/>
      <c r="AS220" s="4"/>
      <c r="AU220" s="4"/>
      <c r="AW220" s="4"/>
      <c r="AY220" s="4"/>
      <c r="BA220" s="4"/>
      <c r="BC220" s="4"/>
      <c r="BE220" s="4"/>
    </row>
    <row r="221" spans="1:57" x14ac:dyDescent="0.25">
      <c r="A221" s="276" t="s">
        <v>1216</v>
      </c>
      <c r="AG221" s="4"/>
      <c r="AI221" s="4"/>
      <c r="AK221" s="4"/>
      <c r="AM221" s="4"/>
      <c r="AO221" s="4"/>
      <c r="AQ221" s="4"/>
      <c r="AS221" s="4"/>
      <c r="AU221" s="4"/>
      <c r="AW221" s="4"/>
      <c r="AY221" s="4"/>
      <c r="BA221" s="4"/>
      <c r="BC221" s="4"/>
      <c r="BE221" s="4"/>
    </row>
    <row r="222" spans="1:57" x14ac:dyDescent="0.25">
      <c r="A222" s="276" t="s">
        <v>1178</v>
      </c>
      <c r="AG222" s="4"/>
      <c r="AI222" s="4"/>
      <c r="AK222" s="4"/>
      <c r="AM222" s="4"/>
      <c r="AO222" s="4"/>
      <c r="AQ222" s="4"/>
      <c r="AS222" s="4"/>
      <c r="AU222" s="4"/>
      <c r="AW222" s="4"/>
      <c r="AY222" s="4"/>
      <c r="BA222" s="4"/>
      <c r="BC222" s="4"/>
      <c r="BE222" s="4"/>
    </row>
    <row r="223" spans="1:57" x14ac:dyDescent="0.25">
      <c r="A223" s="274" t="s">
        <v>1208</v>
      </c>
      <c r="AG223" s="32">
        <f>SUM(AG221:AG222)</f>
        <v>0</v>
      </c>
      <c r="AH223" s="7"/>
      <c r="AI223" s="32">
        <f>SUM(AI221:AI222)</f>
        <v>0</v>
      </c>
      <c r="AK223" s="32">
        <f>SUM(AK221:AK222)</f>
        <v>0</v>
      </c>
      <c r="AM223" s="32">
        <f>SUM(AM221:AM222)</f>
        <v>0</v>
      </c>
      <c r="AO223" s="32">
        <f>SUM(AO221:AO222)</f>
        <v>0</v>
      </c>
      <c r="AQ223" s="32">
        <f>SUM(AQ221:AQ222)</f>
        <v>0</v>
      </c>
      <c r="AS223" s="32">
        <f>SUM(AS221:AS222)</f>
        <v>0</v>
      </c>
      <c r="AU223" s="32">
        <f>SUM(AU221:AU222)</f>
        <v>0</v>
      </c>
      <c r="AW223" s="32">
        <f>SUM(AW221:AW222)</f>
        <v>0</v>
      </c>
      <c r="AY223" s="32">
        <f>SUM(AY221:AY222)</f>
        <v>0</v>
      </c>
      <c r="BA223" s="32">
        <f>SUM(BA221:BA222)</f>
        <v>0</v>
      </c>
      <c r="BC223" s="32">
        <f>SUM(BC221:BC222)</f>
        <v>0</v>
      </c>
      <c r="BE223" s="32">
        <f>SUM(BE221:BE222)</f>
        <v>0</v>
      </c>
    </row>
    <row r="224" spans="1:57" x14ac:dyDescent="0.25">
      <c r="A224" s="280"/>
      <c r="AG224" s="4"/>
      <c r="AI224" s="4"/>
      <c r="AK224" s="4"/>
      <c r="AM224" s="4"/>
      <c r="AO224" s="4"/>
      <c r="AQ224" s="4"/>
      <c r="AS224" s="4"/>
      <c r="AU224" s="4"/>
      <c r="AW224" s="4"/>
      <c r="AY224" s="4"/>
      <c r="BA224" s="4"/>
      <c r="BC224" s="4"/>
      <c r="BE224" s="4"/>
    </row>
    <row r="225" spans="1:57" x14ac:dyDescent="0.25">
      <c r="A225" s="274" t="s">
        <v>1209</v>
      </c>
      <c r="AG225" s="32">
        <f>+AG218+AG223</f>
        <v>36</v>
      </c>
      <c r="AH225" s="7"/>
      <c r="AI225" s="32">
        <f>+AI218+AI223</f>
        <v>36</v>
      </c>
      <c r="AK225" s="32">
        <f>+AK218+AK223</f>
        <v>36</v>
      </c>
      <c r="AM225" s="32">
        <f>+AM218+AM223</f>
        <v>36</v>
      </c>
      <c r="AO225" s="32">
        <f>+AO218+AO223</f>
        <v>36</v>
      </c>
      <c r="AQ225" s="32">
        <f>+AQ218+AQ223</f>
        <v>36</v>
      </c>
      <c r="AS225" s="32">
        <f>+AS218+AS223</f>
        <v>36</v>
      </c>
      <c r="AU225" s="32">
        <f>+AU218+AU223</f>
        <v>36</v>
      </c>
      <c r="AW225" s="32">
        <f>+AW218+AW223</f>
        <v>36</v>
      </c>
      <c r="AY225" s="32">
        <f>+AY218+AY223</f>
        <v>36</v>
      </c>
      <c r="BA225" s="32">
        <f>+BA218+BA223</f>
        <v>36</v>
      </c>
      <c r="BC225" s="32">
        <f>+BC218+BC223</f>
        <v>36</v>
      </c>
      <c r="BE225" s="32">
        <f>+BE218+BE223</f>
        <v>36</v>
      </c>
    </row>
    <row r="226" spans="1:57" x14ac:dyDescent="0.25">
      <c r="A226" s="280"/>
      <c r="AG226" s="4"/>
      <c r="AI226" s="4"/>
      <c r="AK226" s="4"/>
      <c r="AM226" s="4"/>
      <c r="AO226" s="4"/>
      <c r="AQ226" s="4"/>
      <c r="AS226" s="4"/>
      <c r="AU226" s="4"/>
      <c r="AW226" s="4"/>
      <c r="AY226" s="4"/>
      <c r="BA226" s="4"/>
      <c r="BC226" s="4"/>
      <c r="BE226" s="4"/>
    </row>
    <row r="227" spans="1:57" x14ac:dyDescent="0.25">
      <c r="A227" s="282" t="s">
        <v>1210</v>
      </c>
      <c r="AG227" s="32">
        <f>+AG212-AG225</f>
        <v>8768</v>
      </c>
      <c r="AI227" s="32">
        <f>+AI212-AI225</f>
        <v>8895.2391814000002</v>
      </c>
      <c r="AK227" s="32">
        <f>+AK212-AK225</f>
        <v>9070.2536522169994</v>
      </c>
      <c r="AM227" s="32">
        <f>+AM212-AM225</f>
        <v>9300.3604523206977</v>
      </c>
      <c r="AO227" s="32">
        <f>+AO212-AO225</f>
        <v>9579.4083318534467</v>
      </c>
      <c r="AQ227" s="32">
        <f>+AQ212-AQ225</f>
        <v>9924.5938661397031</v>
      </c>
      <c r="AS227" s="32">
        <f>+AS212-AS225</f>
        <v>10321.974366643768</v>
      </c>
      <c r="AU227" s="32">
        <f>+AU212-AU225</f>
        <v>10732.549651197143</v>
      </c>
      <c r="AW227" s="32">
        <f>+AW212-AW225</f>
        <v>11174.753755594495</v>
      </c>
      <c r="AY227" s="32">
        <f>+AY212-AY225</f>
        <v>11652.856775772741</v>
      </c>
      <c r="BA227" s="32">
        <f>+BA212-BA225</f>
        <v>12168.859847252817</v>
      </c>
      <c r="BC227" s="32">
        <f>+BC212-BC225</f>
        <v>12724.870378862232</v>
      </c>
      <c r="BE227" s="32">
        <f>+BE212-BE225</f>
        <v>13323.107553612053</v>
      </c>
    </row>
    <row r="228" spans="1:57" x14ac:dyDescent="0.25">
      <c r="A228" s="280"/>
      <c r="AG228" s="4"/>
      <c r="BC228" s="3"/>
      <c r="BE228" s="3"/>
    </row>
    <row r="229" spans="1:57" x14ac:dyDescent="0.25">
      <c r="A229" s="274" t="s">
        <v>1211</v>
      </c>
      <c r="AG229" s="4"/>
      <c r="BC229" s="3"/>
      <c r="BE229" s="3"/>
    </row>
    <row r="230" spans="1:57" x14ac:dyDescent="0.25">
      <c r="A230" s="276" t="s">
        <v>1212</v>
      </c>
      <c r="AG230" s="4">
        <v>530</v>
      </c>
      <c r="AI230" s="3">
        <f>+AG230+(AI105/1000)</f>
        <v>657.23918140000001</v>
      </c>
      <c r="AK230" s="3">
        <f>+AI230+(AK105/1000)</f>
        <v>832.25465221699994</v>
      </c>
      <c r="AM230" s="3">
        <f>+AK230+(AM105/1000)</f>
        <v>1062.3624523206975</v>
      </c>
      <c r="AO230" s="3">
        <f>+AM230+(AO105/1000)</f>
        <v>1341.4113318534455</v>
      </c>
      <c r="AQ230" s="3">
        <f>+AO230+(AQ105/1000)</f>
        <v>1686.5978661397007</v>
      </c>
      <c r="AS230" s="3">
        <f>+AQ230+(AS105/1000)</f>
        <v>2083.9793666437658</v>
      </c>
      <c r="AU230" s="3">
        <f>+AS230+(AU105/1000)</f>
        <v>2494.5556511971399</v>
      </c>
      <c r="AW230" s="3">
        <f>+AU230+(AW105/1000)</f>
        <v>2936.7607555944919</v>
      </c>
      <c r="AY230" s="3">
        <f>+AW230+(AY105/1000)</f>
        <v>3414.8647757727381</v>
      </c>
      <c r="BA230" s="3">
        <f>+AY230+(BA105/1000)</f>
        <v>3930.8688472528129</v>
      </c>
      <c r="BC230" s="3">
        <f>+BA230+(BC105/1000)</f>
        <v>4486.8803788622245</v>
      </c>
      <c r="BE230" s="3">
        <f>+BC230+(BE105/1000)</f>
        <v>5085.1185536120465</v>
      </c>
    </row>
    <row r="231" spans="1:57" x14ac:dyDescent="0.25">
      <c r="A231" s="276" t="s">
        <v>1213</v>
      </c>
      <c r="AG231" s="4">
        <v>8238</v>
      </c>
      <c r="AI231" s="3">
        <f>+AG231</f>
        <v>8238</v>
      </c>
      <c r="AK231" s="3">
        <f>+AI231</f>
        <v>8238</v>
      </c>
      <c r="AM231" s="3">
        <f>+AK231</f>
        <v>8238</v>
      </c>
      <c r="AO231" s="3">
        <f>+AM231</f>
        <v>8238</v>
      </c>
      <c r="AQ231" s="3">
        <f>+AO231</f>
        <v>8238</v>
      </c>
      <c r="AS231" s="3">
        <f>+AQ231</f>
        <v>8238</v>
      </c>
      <c r="AU231" s="3">
        <f>+AS231</f>
        <v>8238</v>
      </c>
      <c r="AW231" s="3">
        <f>+AU231</f>
        <v>8238</v>
      </c>
      <c r="AY231" s="3">
        <f>+AW231</f>
        <v>8238</v>
      </c>
      <c r="BA231" s="3">
        <f>+AY231</f>
        <v>8238</v>
      </c>
      <c r="BC231" s="3">
        <f>+BA231</f>
        <v>8238</v>
      </c>
      <c r="BE231" s="3">
        <f>+BC231</f>
        <v>8238</v>
      </c>
    </row>
    <row r="232" spans="1:57" x14ac:dyDescent="0.25">
      <c r="A232" s="276" t="s">
        <v>1214</v>
      </c>
      <c r="AG232" s="4"/>
      <c r="BC232" s="3"/>
      <c r="BE232" s="3"/>
    </row>
    <row r="233" spans="1:57" x14ac:dyDescent="0.25">
      <c r="A233" s="282" t="s">
        <v>1215</v>
      </c>
      <c r="AG233" s="32">
        <f>SUM(AG230:AG232)</f>
        <v>8768</v>
      </c>
      <c r="AI233" s="32">
        <f>SUM(AI230:AI232)</f>
        <v>8895.2391814000002</v>
      </c>
      <c r="AK233" s="32">
        <f>SUM(AK230:AK232)</f>
        <v>9070.2546522169996</v>
      </c>
      <c r="AM233" s="32">
        <f>SUM(AM230:AM232)</f>
        <v>9300.3624523206981</v>
      </c>
      <c r="AO233" s="32">
        <f>SUM(AO230:AO232)</f>
        <v>9579.4113318534455</v>
      </c>
      <c r="AQ233" s="32">
        <f>SUM(AQ230:AQ232)</f>
        <v>9924.5978661397003</v>
      </c>
      <c r="AS233" s="32">
        <f>SUM(AS230:AS232)</f>
        <v>10321.979366643765</v>
      </c>
      <c r="AU233" s="32">
        <f>SUM(AU230:AU232)</f>
        <v>10732.555651197141</v>
      </c>
      <c r="AW233" s="32">
        <f>SUM(AW230:AW232)</f>
        <v>11174.760755594492</v>
      </c>
      <c r="AY233" s="32">
        <f>SUM(AY230:AY232)</f>
        <v>11652.864775772738</v>
      </c>
      <c r="BA233" s="32">
        <f>SUM(BA230:BA232)</f>
        <v>12168.868847252812</v>
      </c>
      <c r="BC233" s="32">
        <f>SUM(BC230:BC232)</f>
        <v>12724.880378862224</v>
      </c>
      <c r="BE233" s="32">
        <f>SUM(BE230:BE232)</f>
        <v>13323.118553612047</v>
      </c>
    </row>
    <row r="234" spans="1:57" x14ac:dyDescent="0.25">
      <c r="AG234" s="3">
        <f>+AG227-AG233</f>
        <v>0</v>
      </c>
      <c r="AI234" s="3">
        <f>+AI227-AI233</f>
        <v>0</v>
      </c>
      <c r="AK234" s="3">
        <f>+AK227-AK233</f>
        <v>-1.0000000002037268E-3</v>
      </c>
      <c r="AM234" s="3">
        <f>+AM227-AM233</f>
        <v>-2.0000000004074536E-3</v>
      </c>
      <c r="AO234" s="3">
        <f>+AO227-AO233</f>
        <v>-2.999999998792191E-3</v>
      </c>
      <c r="AQ234" s="3">
        <f>+AQ227-AQ233</f>
        <v>-3.9999999971769284E-3</v>
      </c>
      <c r="AS234" s="3">
        <f>+AS227-AS233</f>
        <v>-4.9999999973806553E-3</v>
      </c>
      <c r="AU234" s="3">
        <f>+AU227-AU233</f>
        <v>-5.9999999975843821E-3</v>
      </c>
      <c r="AW234" s="3">
        <f>+AW227-AW233</f>
        <v>-6.9999999977881089E-3</v>
      </c>
      <c r="AY234" s="3">
        <f>+AY227-AY233</f>
        <v>-7.9999999961728463E-3</v>
      </c>
      <c r="BA234" s="3">
        <f>+BA227-BA233</f>
        <v>-8.9999999945575837E-3</v>
      </c>
      <c r="BC234" s="3">
        <f>+BC227-BC233</f>
        <v>-9.9999999929423211E-3</v>
      </c>
      <c r="BE234" s="3">
        <f>+BE227-BE233</f>
        <v>-1.0999999993146048E-2</v>
      </c>
    </row>
    <row r="236" spans="1:57" x14ac:dyDescent="0.25">
      <c r="A236" s="42" t="s">
        <v>1237</v>
      </c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S236" s="42"/>
      <c r="AU236" s="42"/>
      <c r="AW236" s="42"/>
      <c r="AY236" s="42"/>
      <c r="BA236" s="42"/>
    </row>
    <row r="237" spans="1:57" x14ac:dyDescent="0.25">
      <c r="A237" s="42" t="s">
        <v>1238</v>
      </c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S237" s="42"/>
      <c r="AU237" s="42"/>
      <c r="AW237" s="42"/>
      <c r="AY237" s="42"/>
      <c r="BA237" s="42"/>
    </row>
    <row r="238" spans="1:57" x14ac:dyDescent="0.25">
      <c r="A238" s="42" t="s">
        <v>1239</v>
      </c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S238" s="42"/>
      <c r="AU238" s="42"/>
      <c r="AW238" s="42"/>
      <c r="AY238" s="42"/>
      <c r="BA238" s="42"/>
    </row>
  </sheetData>
  <mergeCells count="3">
    <mergeCell ref="A193:BE193"/>
    <mergeCell ref="A142:BE142"/>
    <mergeCell ref="A34:BE34"/>
  </mergeCells>
  <pageMargins left="0.70866141732283472" right="0.70866141732283472" top="0.74803149606299213" bottom="0.74803149606299213" header="0.31496062992125984" footer="0.31496062992125984"/>
  <pageSetup paperSize="8" scale="85" fitToHeight="5" orientation="landscape" r:id="rId1"/>
  <rowBreaks count="1" manualBreakCount="1">
    <brk id="186" max="16383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12</vt:i4>
      </vt:variant>
    </vt:vector>
  </HeadingPairs>
  <TitlesOfParts>
    <vt:vector size="25" baseType="lpstr">
      <vt:lpstr>B</vt:lpstr>
      <vt:lpstr>R</vt:lpstr>
      <vt:lpstr>Recommendations</vt:lpstr>
      <vt:lpstr>rev 9-13</vt:lpstr>
      <vt:lpstr>Gen-TID Com CashFlow &amp; BalSheet</vt:lpstr>
      <vt:lpstr>General</vt:lpstr>
      <vt:lpstr>TID</vt:lpstr>
      <vt:lpstr>Water</vt:lpstr>
      <vt:lpstr>Sewer</vt:lpstr>
      <vt:lpstr>Senario's</vt:lpstr>
      <vt:lpstr>Loan Cal's v SRV</vt:lpstr>
      <vt:lpstr>Rates</vt:lpstr>
      <vt:lpstr>Sheet1</vt:lpstr>
      <vt:lpstr>B!Print_Area</vt:lpstr>
      <vt:lpstr>General!Print_Area</vt:lpstr>
      <vt:lpstr>'Gen-TID Com CashFlow &amp; BalSheet'!Print_Area</vt:lpstr>
      <vt:lpstr>'R'!Print_Area</vt:lpstr>
      <vt:lpstr>Recommendations!Print_Area</vt:lpstr>
      <vt:lpstr>'rev 9-13'!Print_Area</vt:lpstr>
      <vt:lpstr>Water!Print_Area</vt:lpstr>
      <vt:lpstr>General!Print_Titles</vt:lpstr>
      <vt:lpstr>'Gen-TID Com CashFlow &amp; BalSheet'!Print_Titles</vt:lpstr>
      <vt:lpstr>Sewer!Print_Titles</vt:lpstr>
      <vt:lpstr>TID!Print_Titles</vt:lpstr>
      <vt:lpstr>Water!Print_Titles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Rebecca Martin</dc:creator>
  <cp:lastModifiedBy>Tessndale</cp:lastModifiedBy>
  <cp:lastPrinted>2013-12-06T01:54:46Z</cp:lastPrinted>
  <dcterms:created xsi:type="dcterms:W3CDTF">2013-06-11T00:15:55Z</dcterms:created>
  <dcterms:modified xsi:type="dcterms:W3CDTF">2014-02-17T22:11:38Z</dcterms:modified>
</cp:coreProperties>
</file>